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2.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7.xml" ContentType="application/vnd.openxmlformats-officedocument.drawingml.chartshapes+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0.xml" ContentType="application/vnd.openxmlformats-officedocument.drawingml.chartshapes+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3.xml" ContentType="application/vnd.openxmlformats-officedocument.drawingml.chartshape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xml" ContentType="application/vnd.openxmlformats-officedocument.themeOverride+xml"/>
  <Override PartName="/xl/drawings/drawing46.xml" ContentType="application/vnd.openxmlformats-officedocument.drawingml.chartshapes+xml"/>
  <Override PartName="/xl/drawings/drawing47.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8.xml" ContentType="application/vnd.openxmlformats-officedocument.drawingml.chartshapes+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1.xml" ContentType="application/vnd.openxmlformats-officedocument.drawingml.chartshapes+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4.xml" ContentType="application/vnd.openxmlformats-officedocument.drawingml.chartsha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defaultThemeVersion="166925"/>
  <mc:AlternateContent xmlns:mc="http://schemas.openxmlformats.org/markup-compatibility/2006">
    <mc:Choice Requires="x15">
      <x15ac:absPath xmlns:x15ac="http://schemas.microsoft.com/office/spreadsheetml/2010/11/ac" url="C:\Users\warlimont\Desktop\"/>
    </mc:Choice>
  </mc:AlternateContent>
  <xr:revisionPtr revIDLastSave="0" documentId="8_{5CDCA58E-FAF9-4C85-97A0-5B04FDAC81C5}" xr6:coauthVersionLast="36" xr6:coauthVersionMax="36" xr10:uidLastSave="{00000000-0000-0000-0000-000000000000}"/>
  <bookViews>
    <workbookView xWindow="0" yWindow="0" windowWidth="23040" windowHeight="9060" tabRatio="710" xr2:uid="{00000000-000D-0000-FFFF-FFFF00000000}"/>
  </bookViews>
  <sheets>
    <sheet name="ReadMe" sheetId="23" r:id="rId1"/>
    <sheet name="Updates and Corrections" sheetId="40" r:id="rId2"/>
    <sheet name="Bilateral Assistance, MAIN DATA" sheetId="1" r:id="rId3"/>
    <sheet name="Country Summary" sheetId="15" r:id="rId4"/>
    <sheet name="Aggregates by Country Group" sheetId="48" r:id="rId5"/>
    <sheet name="Fig 1. Transparency Index" sheetId="104" r:id="rId6"/>
    <sheet name="Fig 2. Refugee Number" sheetId="120" r:id="rId7"/>
    <sheet name="Fig 3. Country Groups" sheetId="98" r:id="rId8"/>
    <sheet name="Fig 4. Ranking (€)" sheetId="10" r:id="rId9"/>
    <sheet name="Fig 5. Ranking (%)" sheetId="8" r:id="rId10"/>
    <sheet name="Fig 6. Ranking (€ bn.+ EU)" sheetId="12" r:id="rId11"/>
    <sheet name="Fig 7. With Refugee Support, €" sheetId="39" r:id="rId12"/>
    <sheet name="Fig 8. With Refugee Support, %" sheetId="38" r:id="rId13"/>
    <sheet name="Fig 9. Financial Aid" sheetId="53" r:id="rId14"/>
    <sheet name="Fig 10. Budget Support" sheetId="56" r:id="rId15"/>
    <sheet name="Fig 11. Military Aid" sheetId="36" r:id="rId16"/>
    <sheet name="Fig 12 Heavy Weapon Ranking" sheetId="164" r:id="rId17"/>
    <sheet name="Fig 13. Weapon Stocks UKR RU" sheetId="155" r:id="rId18"/>
    <sheet name="Fig 14. NATO Stocks" sheetId="141" r:id="rId19"/>
    <sheet name="Fig 15. Share of stocks pledged" sheetId="95" r:id="rId20"/>
    <sheet name="Fig 16. Aid over Time" sheetId="117" r:id="rId21"/>
    <sheet name="Fig 17. Financial aid over time" sheetId="126" r:id="rId22"/>
    <sheet name="Fig 18. Comparison WW2 (weap.)" sheetId="142" r:id="rId23"/>
    <sheet name="Fig 19. Comparison WW2 % GDP" sheetId="166" r:id="rId24"/>
    <sheet name="Fig 20. Comp. with US wars" sheetId="163" r:id="rId25"/>
    <sheet name="Fig 21. Comparison Gulf War" sheetId="153" r:id="rId26"/>
    <sheet name="Fig 22. Comp. European Crises" sheetId="136" r:id="rId27"/>
    <sheet name="Fig 23. Domestic Priorities" sheetId="148" r:id="rId28"/>
    <sheet name="Fig 24. Priorities Germany" sheetId="135" r:id="rId29"/>
    <sheet name="Figure A1. Transparency Index" sheetId="140" r:id="rId30"/>
    <sheet name="Figure A2.  Ranking % GDP + EU" sheetId="32" r:id="rId31"/>
    <sheet name="Figure A3. In-kind over Time" sheetId="128" r:id="rId32"/>
    <sheet name="Figure A4. Units over Time" sheetId="131" r:id="rId33"/>
    <sheet name="Figure A5. Weapon Delivery" sheetId="156" r:id="rId34"/>
    <sheet name="Data Transparency Index" sheetId="105" r:id="rId35"/>
    <sheet name="EU Aid Shares" sheetId="41" r:id="rId36"/>
    <sheet name="EPF Aid Shares" sheetId="44" r:id="rId37"/>
    <sheet name="EIB Aid Shares" sheetId="43" r:id="rId38"/>
    <sheet name="Multilateral Assistance" sheetId="5" r:id="rId39"/>
    <sheet name="Commercial Assistance" sheetId="58" r:id="rId40"/>
    <sheet name="Price List, Weapons &amp; Items" sheetId="24" r:id="rId41"/>
    <sheet name="Exchange Rates" sheetId="3" r:id="rId42"/>
    <sheet name="Refugee Cost Calculations" sheetId="42" r:id="rId43"/>
    <sheet name="Comm. per Month (Heavy Weapons)" sheetId="121" r:id="rId44"/>
    <sheet name="In-kind Military per Country" sheetId="64" r:id="rId45"/>
    <sheet name="Share, Heavy Weapons to Ukraine" sheetId="92" r:id="rId46"/>
    <sheet name="Heavy Weapon Stocks" sheetId="78" r:id="rId47"/>
    <sheet name="Commitments per Month" sheetId="109" r:id="rId48"/>
    <sheet name="Comm per Month (Mil in-kind)" sheetId="111" r:id="rId49"/>
    <sheet name="Financial disb per Month (EUR)" sheetId="127" r:id="rId50"/>
    <sheet name="Table Aid vs Energy" sheetId="137" r:id="rId51"/>
    <sheet name="Table European Crisis" sheetId="139" r:id="rId52"/>
    <sheet name="Historical comparison (data) " sheetId="146" r:id="rId53"/>
    <sheet name="deflator" sheetId="147" r:id="rId54"/>
    <sheet name="Table Gulf War" sheetId="150" r:id="rId55"/>
  </sheets>
  <definedNames>
    <definedName name="_xlnm._FilterDatabase" localSheetId="2" hidden="1">'Bilateral Assistance, MAIN DATA'!$A$1:$BS$1405</definedName>
    <definedName name="_xlnm._FilterDatabase" localSheetId="39" hidden="1">'Commercial Assistance'!$L$1:$L$1</definedName>
    <definedName name="_xlnm._FilterDatabase" localSheetId="5" hidden="1">'Fig 1. Transparency Index'!$B$11:$C$11</definedName>
    <definedName name="_xlnm._FilterDatabase" localSheetId="14" hidden="1">'Fig 10. Budget Support'!$B$11:$F$161</definedName>
    <definedName name="_xlnm._FilterDatabase" localSheetId="15" hidden="1">'Fig 11. Military Aid'!$B$11:$C$11</definedName>
    <definedName name="_xlnm._FilterDatabase" localSheetId="16" hidden="1">'Fig 12 Heavy Weapon Ranking'!$B$11:$C$11</definedName>
    <definedName name="_xlnm._FilterDatabase" localSheetId="19" hidden="1">'Fig 15. Share of stocks pledged'!$B$11:$N$11</definedName>
    <definedName name="_xlnm._FilterDatabase" localSheetId="23" hidden="1">'Fig 19. Comparison WW2 % GDP'!$F$11:$H$11</definedName>
    <definedName name="_xlnm._FilterDatabase" localSheetId="24" hidden="1">'Fig 20. Comp. with US wars'!$H$11:$I$11</definedName>
    <definedName name="_xlnm._FilterDatabase" localSheetId="8" hidden="1">'Fig 4. Ranking (€)'!$B$11:$F$49</definedName>
    <definedName name="_xlnm._FilterDatabase" localSheetId="9" hidden="1">'Fig 5. Ranking (%)'!$B$11:$C$11</definedName>
    <definedName name="_xlnm._FilterDatabase" localSheetId="10" hidden="1">'Fig 6. Ranking (€ bn.+ EU)'!$B$11:$E$11</definedName>
    <definedName name="_xlnm._FilterDatabase" localSheetId="11" hidden="1">'Fig 7. With Refugee Support, €'!$B$11:$G$11</definedName>
    <definedName name="_xlnm._FilterDatabase" localSheetId="12" hidden="1">'Fig 8. With Refugee Support, %'!$B$11:$E$11</definedName>
    <definedName name="_xlnm._FilterDatabase" localSheetId="13" hidden="1">'Fig 9. Financial Aid'!$B$11:$G$11</definedName>
    <definedName name="_xlnm._FilterDatabase" localSheetId="29" hidden="1">'Figure A1. Transparency Index'!$B$12:$H$12</definedName>
    <definedName name="_xlnm._FilterDatabase" localSheetId="30" hidden="1">'Figure A2.  Ranking % GDP + EU'!$B$11:$E$11</definedName>
    <definedName name="_xlnm._FilterDatabase" localSheetId="46" hidden="1">'Heavy Weapon Stocks'!$B$11:$OE$11</definedName>
    <definedName name="_xlnm._FilterDatabase" localSheetId="52" hidden="1">'Historical comparison (data) '!$B$98:$D$98</definedName>
    <definedName name="_xlnm._FilterDatabase" localSheetId="44" hidden="1">'In-kind Military per Country'!$J$12:$L$12</definedName>
    <definedName name="_xlnm._FilterDatabase" localSheetId="40" hidden="1">'Price List, Weapons &amp; Items'!$B$11:$Q$11</definedName>
    <definedName name="_xlnm._FilterDatabase" localSheetId="45" hidden="1">'Share, Heavy Weapons to Ukraine'!$B$11:$P$11</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3" i="146" l="1"/>
  <c r="D14" i="146"/>
  <c r="D15" i="146"/>
  <c r="D16" i="146"/>
  <c r="D17" i="146"/>
  <c r="D18" i="146"/>
  <c r="D19" i="146"/>
  <c r="D20" i="146"/>
  <c r="D21" i="146"/>
  <c r="D22" i="146"/>
  <c r="D23" i="146"/>
  <c r="D24" i="146"/>
  <c r="D25" i="146"/>
  <c r="D26" i="146"/>
  <c r="D27" i="146"/>
  <c r="D28" i="146"/>
  <c r="D29" i="146"/>
  <c r="D30" i="146"/>
  <c r="D31" i="146"/>
  <c r="D32" i="146"/>
  <c r="D33" i="146"/>
  <c r="D12" i="146"/>
  <c r="Q25" i="146" l="1"/>
  <c r="Q24" i="146"/>
  <c r="Q16" i="146"/>
  <c r="Q15" i="146"/>
  <c r="Q14" i="146"/>
  <c r="Q13" i="146"/>
  <c r="Q12" i="146"/>
  <c r="H28" i="146" l="1"/>
  <c r="H29" i="146"/>
  <c r="H30" i="146"/>
  <c r="H31" i="146"/>
  <c r="G28" i="146"/>
  <c r="O28" i="146"/>
  <c r="E28" i="146" s="1"/>
  <c r="O29" i="146"/>
  <c r="O30" i="146"/>
  <c r="O31" i="146"/>
  <c r="F31" i="146"/>
  <c r="D14" i="163" s="1"/>
  <c r="F30" i="146"/>
  <c r="D12" i="163" s="1"/>
  <c r="F29" i="146"/>
  <c r="D15" i="163" s="1"/>
  <c r="F28" i="146"/>
  <c r="D13" i="163" s="1"/>
  <c r="H18" i="146"/>
  <c r="H19" i="146"/>
  <c r="F19" i="146" s="1"/>
  <c r="H20" i="146"/>
  <c r="F20" i="146" s="1"/>
  <c r="H21" i="146"/>
  <c r="F21" i="146" s="1"/>
  <c r="H22" i="146"/>
  <c r="F22" i="146" s="1"/>
  <c r="H24" i="146"/>
  <c r="H25" i="146"/>
  <c r="F25" i="146" s="1"/>
  <c r="H13" i="146"/>
  <c r="H14" i="146"/>
  <c r="H15" i="146"/>
  <c r="H16" i="146"/>
  <c r="H12" i="146"/>
  <c r="G12" i="146"/>
  <c r="J27" i="146"/>
  <c r="H27" i="146" s="1"/>
  <c r="F27" i="146" s="1"/>
  <c r="D14" i="166" s="1"/>
  <c r="G27" i="146"/>
  <c r="Q26" i="146"/>
  <c r="Q23" i="146"/>
  <c r="Q17" i="146"/>
  <c r="P17" i="146"/>
  <c r="K13" i="150"/>
  <c r="J13" i="150" s="1"/>
  <c r="K14" i="150"/>
  <c r="J14" i="150" s="1"/>
  <c r="K15" i="150"/>
  <c r="J15" i="150" s="1"/>
  <c r="K16" i="150"/>
  <c r="J16" i="150" s="1"/>
  <c r="K17" i="150"/>
  <c r="J17" i="150" s="1"/>
  <c r="K18" i="150"/>
  <c r="J18" i="150" s="1"/>
  <c r="K19" i="150"/>
  <c r="J19" i="150" s="1"/>
  <c r="K12" i="150"/>
  <c r="J12" i="150" s="1"/>
  <c r="F12" i="150"/>
  <c r="D12" i="150"/>
  <c r="C14" i="156"/>
  <c r="C15" i="156"/>
  <c r="C13" i="156"/>
  <c r="C12" i="156"/>
  <c r="C16" i="156"/>
  <c r="C23" i="156"/>
  <c r="C24" i="156"/>
  <c r="C25" i="156"/>
  <c r="C22" i="156"/>
  <c r="C21" i="156"/>
  <c r="C18" i="156"/>
  <c r="C19" i="156"/>
  <c r="C20" i="156"/>
  <c r="C17" i="156"/>
  <c r="M26" i="146"/>
  <c r="P23" i="146"/>
  <c r="M23" i="146"/>
  <c r="G23" i="146" l="1"/>
  <c r="H14" i="166" s="1"/>
  <c r="H23" i="146"/>
  <c r="F23" i="146" s="1"/>
  <c r="D13" i="166" s="1"/>
  <c r="G26" i="146"/>
  <c r="H15" i="166" s="1"/>
  <c r="H26" i="146"/>
  <c r="F26" i="146" s="1"/>
  <c r="D15" i="166" s="1"/>
  <c r="F12" i="146"/>
  <c r="F16" i="146"/>
  <c r="F15" i="146"/>
  <c r="F14" i="146"/>
  <c r="F13" i="146"/>
  <c r="F24" i="146"/>
  <c r="F18" i="146"/>
  <c r="J17" i="146"/>
  <c r="M17" i="146"/>
  <c r="G31" i="146"/>
  <c r="E31" i="146" s="1"/>
  <c r="G30" i="146"/>
  <c r="E30" i="146" s="1"/>
  <c r="G29" i="146"/>
  <c r="E29" i="146" s="1"/>
  <c r="G25" i="146"/>
  <c r="G24" i="146"/>
  <c r="G22" i="146"/>
  <c r="G21" i="146"/>
  <c r="G20" i="146"/>
  <c r="G19" i="146"/>
  <c r="G18" i="146"/>
  <c r="G16" i="146"/>
  <c r="G15" i="146"/>
  <c r="G14" i="146"/>
  <c r="G13" i="146"/>
  <c r="P26" i="146"/>
  <c r="G14" i="150"/>
  <c r="F14" i="150" s="1"/>
  <c r="D14" i="150" s="1"/>
  <c r="S19" i="92"/>
  <c r="G21" i="155"/>
  <c r="E13" i="155"/>
  <c r="G25" i="155" s="1"/>
  <c r="C13" i="155"/>
  <c r="G23" i="155" s="1"/>
  <c r="E12" i="155"/>
  <c r="E26" i="155" s="1"/>
  <c r="D12" i="155"/>
  <c r="E22" i="155" s="1"/>
  <c r="C12" i="155"/>
  <c r="E24" i="155" s="1"/>
  <c r="F25" i="150"/>
  <c r="D25" i="150" s="1"/>
  <c r="F24" i="150"/>
  <c r="D24" i="150" s="1"/>
  <c r="F23" i="150"/>
  <c r="D23" i="150" s="1"/>
  <c r="F22" i="150"/>
  <c r="D22" i="150" s="1"/>
  <c r="F21" i="150"/>
  <c r="D21" i="150" s="1"/>
  <c r="F20" i="150"/>
  <c r="D20" i="150" s="1"/>
  <c r="F18" i="150"/>
  <c r="D18" i="150" s="1"/>
  <c r="F16" i="150"/>
  <c r="D16" i="150" s="1"/>
  <c r="H12" i="153"/>
  <c r="H17" i="146" l="1"/>
  <c r="F17" i="146" s="1"/>
  <c r="D12" i="166" s="1"/>
  <c r="G17" i="146"/>
  <c r="C15" i="153"/>
  <c r="C14" i="153"/>
  <c r="H13" i="153"/>
  <c r="C13" i="153"/>
  <c r="H14" i="153"/>
  <c r="C12" i="153"/>
  <c r="H15" i="153"/>
  <c r="I13" i="163"/>
  <c r="I12" i="163"/>
  <c r="H12" i="166" l="1"/>
  <c r="C17" i="153"/>
  <c r="H17" i="153"/>
  <c r="AZ364" i="1"/>
  <c r="AZ365" i="1"/>
  <c r="AY364" i="1"/>
  <c r="AY365" i="1"/>
  <c r="AX364" i="1"/>
  <c r="AX365" i="1"/>
  <c r="AW364" i="1"/>
  <c r="AW365" i="1"/>
  <c r="AU362" i="1"/>
  <c r="AU363" i="1"/>
  <c r="AU364" i="1"/>
  <c r="AU365" i="1"/>
  <c r="AT364" i="1"/>
  <c r="AT365" i="1"/>
  <c r="AS364" i="1"/>
  <c r="AS365" i="1"/>
  <c r="AR364" i="1"/>
  <c r="AR365" i="1"/>
  <c r="AO364" i="1"/>
  <c r="AO365" i="1"/>
  <c r="AM364" i="1"/>
  <c r="AM365" i="1"/>
  <c r="T364" i="1"/>
  <c r="AV364" i="1" s="1"/>
  <c r="T365" i="1"/>
  <c r="R364" i="1"/>
  <c r="S364" i="1" s="1"/>
  <c r="R365" i="1"/>
  <c r="S365" i="1" s="1"/>
  <c r="Q364" i="1"/>
  <c r="Q365" i="1"/>
  <c r="P363" i="1"/>
  <c r="P364" i="1"/>
  <c r="P365" i="1"/>
  <c r="O364" i="1"/>
  <c r="O365" i="1"/>
  <c r="L364" i="1"/>
  <c r="L365" i="1"/>
  <c r="K364" i="1"/>
  <c r="K365" i="1"/>
  <c r="J364" i="1"/>
  <c r="J365" i="1"/>
  <c r="AZ361" i="1"/>
  <c r="AY361" i="1"/>
  <c r="AX361" i="1"/>
  <c r="AW361" i="1"/>
  <c r="AU361" i="1"/>
  <c r="AT361" i="1"/>
  <c r="AS361" i="1"/>
  <c r="AR361" i="1"/>
  <c r="AO361" i="1"/>
  <c r="AM361" i="1"/>
  <c r="T361" i="1"/>
  <c r="AV361" i="1" s="1"/>
  <c r="R361" i="1"/>
  <c r="S361" i="1" s="1"/>
  <c r="Q361" i="1"/>
  <c r="P361" i="1"/>
  <c r="O361" i="1"/>
  <c r="AZ106" i="1"/>
  <c r="AY106" i="1"/>
  <c r="AX106" i="1"/>
  <c r="AW106" i="1"/>
  <c r="AU106" i="1"/>
  <c r="AT106" i="1"/>
  <c r="AS106" i="1"/>
  <c r="AR106" i="1"/>
  <c r="AO106" i="1"/>
  <c r="AM106" i="1"/>
  <c r="T106" i="1"/>
  <c r="AV106" i="1" s="1"/>
  <c r="R106" i="1"/>
  <c r="S106" i="1" s="1"/>
  <c r="Q106" i="1"/>
  <c r="P106" i="1"/>
  <c r="O106" i="1"/>
  <c r="L106" i="1"/>
  <c r="K106" i="1"/>
  <c r="J106" i="1"/>
  <c r="D15" i="56"/>
  <c r="C17" i="148"/>
  <c r="C16" i="148"/>
  <c r="C15" i="148"/>
  <c r="C14" i="148"/>
  <c r="C13" i="148"/>
  <c r="C12" i="148"/>
  <c r="O27" i="146"/>
  <c r="H17" i="166"/>
  <c r="O25" i="146"/>
  <c r="O24" i="146"/>
  <c r="O22" i="146"/>
  <c r="O21" i="146"/>
  <c r="O20" i="146"/>
  <c r="O19" i="146"/>
  <c r="O18" i="146"/>
  <c r="O16" i="146"/>
  <c r="O15" i="146"/>
  <c r="O14" i="146"/>
  <c r="O13" i="146"/>
  <c r="O12" i="146"/>
  <c r="E12" i="146" s="1"/>
  <c r="T961" i="1"/>
  <c r="T962" i="1"/>
  <c r="T963" i="1"/>
  <c r="T964" i="1"/>
  <c r="T965" i="1"/>
  <c r="T966" i="1"/>
  <c r="T967" i="1"/>
  <c r="T968" i="1"/>
  <c r="T970" i="1"/>
  <c r="T971" i="1"/>
  <c r="T972" i="1"/>
  <c r="T973" i="1"/>
  <c r="T974" i="1"/>
  <c r="T975" i="1"/>
  <c r="T976" i="1"/>
  <c r="T977" i="1"/>
  <c r="T978" i="1"/>
  <c r="T979" i="1"/>
  <c r="T980" i="1"/>
  <c r="T981" i="1"/>
  <c r="T982" i="1"/>
  <c r="T983" i="1"/>
  <c r="T984" i="1"/>
  <c r="T985" i="1"/>
  <c r="T986" i="1"/>
  <c r="T987" i="1"/>
  <c r="T988" i="1"/>
  <c r="T989" i="1"/>
  <c r="T990" i="1"/>
  <c r="T991" i="1"/>
  <c r="T992" i="1"/>
  <c r="T993" i="1"/>
  <c r="T996" i="1"/>
  <c r="T997" i="1"/>
  <c r="T999" i="1"/>
  <c r="T1001" i="1"/>
  <c r="T1002" i="1"/>
  <c r="T1003" i="1"/>
  <c r="T1004" i="1"/>
  <c r="T1005" i="1"/>
  <c r="T1006" i="1"/>
  <c r="T1008" i="1"/>
  <c r="T1009" i="1"/>
  <c r="T1010"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M15" i="92"/>
  <c r="M22" i="92"/>
  <c r="M18" i="92"/>
  <c r="H16" i="141" s="1"/>
  <c r="M30" i="92"/>
  <c r="AT13" i="78"/>
  <c r="AT14" i="78"/>
  <c r="AT15" i="78"/>
  <c r="AT16" i="78"/>
  <c r="AT17" i="78"/>
  <c r="AT18" i="78"/>
  <c r="AT19" i="78"/>
  <c r="AT20" i="78"/>
  <c r="AT21" i="78"/>
  <c r="AT22" i="78"/>
  <c r="AT23" i="78"/>
  <c r="AT24" i="78"/>
  <c r="AT25" i="78"/>
  <c r="AT26" i="78"/>
  <c r="AT27" i="78"/>
  <c r="AT28" i="78"/>
  <c r="AT29" i="78"/>
  <c r="AT30" i="78"/>
  <c r="AT31" i="78"/>
  <c r="AT32" i="78"/>
  <c r="AT33" i="78"/>
  <c r="AT34" i="78"/>
  <c r="AT35" i="78"/>
  <c r="AT36" i="78"/>
  <c r="AT37" i="78"/>
  <c r="AT38" i="78"/>
  <c r="AT39" i="78"/>
  <c r="AT40" i="78"/>
  <c r="AT41" i="78"/>
  <c r="AT42" i="78"/>
  <c r="AT43" i="78"/>
  <c r="AT44" i="78"/>
  <c r="AT45" i="78"/>
  <c r="AT46" i="78"/>
  <c r="AT47" i="78"/>
  <c r="AT48" i="78"/>
  <c r="AT49" i="78"/>
  <c r="AT12" i="78"/>
  <c r="C49" i="78"/>
  <c r="C48" i="78"/>
  <c r="C47" i="78"/>
  <c r="C46" i="78"/>
  <c r="C45" i="78"/>
  <c r="C44" i="78"/>
  <c r="C43" i="78"/>
  <c r="C42" i="78"/>
  <c r="C41" i="78"/>
  <c r="C40" i="78"/>
  <c r="C39" i="78"/>
  <c r="C38" i="78"/>
  <c r="C37" i="78"/>
  <c r="C36" i="78"/>
  <c r="C35" i="78"/>
  <c r="C34" i="78"/>
  <c r="C33" i="78"/>
  <c r="C32" i="78"/>
  <c r="C31" i="78"/>
  <c r="C30" i="78"/>
  <c r="C29" i="78"/>
  <c r="C28" i="78"/>
  <c r="C27" i="78"/>
  <c r="C26" i="78"/>
  <c r="C25" i="78"/>
  <c r="C24" i="78"/>
  <c r="C23" i="78"/>
  <c r="C22" i="78"/>
  <c r="C21" i="78"/>
  <c r="C20" i="78"/>
  <c r="C19" i="78"/>
  <c r="C18" i="78"/>
  <c r="C17" i="78"/>
  <c r="C16" i="78"/>
  <c r="C15" i="78"/>
  <c r="C14" i="78"/>
  <c r="C13" i="78"/>
  <c r="C12" i="78"/>
  <c r="G22" i="140"/>
  <c r="G26" i="140"/>
  <c r="G28" i="140"/>
  <c r="G34" i="140"/>
  <c r="G42" i="140"/>
  <c r="G44" i="140"/>
  <c r="G45" i="140"/>
  <c r="G46" i="140"/>
  <c r="D14" i="140"/>
  <c r="D15" i="140"/>
  <c r="D18" i="140"/>
  <c r="D16" i="140"/>
  <c r="D17" i="140"/>
  <c r="D19" i="140"/>
  <c r="D20" i="140"/>
  <c r="D21" i="140"/>
  <c r="D22" i="140"/>
  <c r="D23" i="140"/>
  <c r="D24" i="140"/>
  <c r="D25" i="140"/>
  <c r="D26" i="140"/>
  <c r="D27" i="140"/>
  <c r="D28" i="140"/>
  <c r="D29" i="140"/>
  <c r="D30" i="140"/>
  <c r="D32" i="140"/>
  <c r="D33" i="140"/>
  <c r="D34" i="140"/>
  <c r="D35" i="140"/>
  <c r="D31" i="140"/>
  <c r="D36" i="140"/>
  <c r="D37" i="140"/>
  <c r="D40" i="140"/>
  <c r="D38" i="140"/>
  <c r="D39" i="140"/>
  <c r="D50" i="140"/>
  <c r="D42" i="140"/>
  <c r="D41" i="140"/>
  <c r="D43" i="140"/>
  <c r="D44" i="140"/>
  <c r="D45" i="140"/>
  <c r="D46" i="140"/>
  <c r="D47" i="140"/>
  <c r="D48" i="140"/>
  <c r="D49" i="140"/>
  <c r="D51" i="140"/>
  <c r="D52" i="140"/>
  <c r="D53" i="140"/>
  <c r="G13" i="140"/>
  <c r="D13" i="140"/>
  <c r="C14" i="140"/>
  <c r="C15" i="140"/>
  <c r="C18" i="140"/>
  <c r="C16" i="140"/>
  <c r="C17" i="140"/>
  <c r="C19" i="140"/>
  <c r="C20" i="140"/>
  <c r="C21" i="140"/>
  <c r="C22" i="140"/>
  <c r="C23" i="140"/>
  <c r="C24" i="140"/>
  <c r="C25" i="140"/>
  <c r="C26" i="140"/>
  <c r="C27" i="140"/>
  <c r="C28" i="140"/>
  <c r="C29" i="140"/>
  <c r="C30" i="140"/>
  <c r="C32" i="140"/>
  <c r="C33" i="140"/>
  <c r="C34" i="140"/>
  <c r="C35" i="140"/>
  <c r="C31" i="140"/>
  <c r="C36" i="140"/>
  <c r="C37" i="140"/>
  <c r="C40" i="140"/>
  <c r="C38" i="140"/>
  <c r="C39" i="140"/>
  <c r="C50" i="140"/>
  <c r="C42" i="140"/>
  <c r="C41" i="140"/>
  <c r="C43" i="140"/>
  <c r="C44" i="140"/>
  <c r="C45" i="140"/>
  <c r="C46" i="140"/>
  <c r="C47" i="140"/>
  <c r="C48" i="140"/>
  <c r="C49" i="140"/>
  <c r="C51" i="140"/>
  <c r="C52" i="140"/>
  <c r="C53" i="140"/>
  <c r="C13" i="140"/>
  <c r="E15" i="105"/>
  <c r="E14" i="140" s="1"/>
  <c r="E16" i="105"/>
  <c r="E15" i="140" s="1"/>
  <c r="E17" i="105"/>
  <c r="E18" i="140" s="1"/>
  <c r="E18" i="105"/>
  <c r="E16" i="140" s="1"/>
  <c r="E19" i="105"/>
  <c r="E17" i="140" s="1"/>
  <c r="E20" i="105"/>
  <c r="E19" i="140" s="1"/>
  <c r="E21" i="105"/>
  <c r="E20" i="140" s="1"/>
  <c r="E22" i="105"/>
  <c r="E21" i="140" s="1"/>
  <c r="E23" i="105"/>
  <c r="E22" i="140" s="1"/>
  <c r="E24" i="105"/>
  <c r="E23" i="140" s="1"/>
  <c r="E25" i="105"/>
  <c r="E24" i="140" s="1"/>
  <c r="E26" i="105"/>
  <c r="E25" i="140" s="1"/>
  <c r="E27" i="105"/>
  <c r="E26" i="140" s="1"/>
  <c r="E28" i="105"/>
  <c r="E27" i="140" s="1"/>
  <c r="E29" i="105"/>
  <c r="E28" i="140" s="1"/>
  <c r="E30" i="105"/>
  <c r="E29" i="140" s="1"/>
  <c r="E31" i="105"/>
  <c r="E30" i="140" s="1"/>
  <c r="E32" i="105"/>
  <c r="E32" i="140" s="1"/>
  <c r="E33" i="105"/>
  <c r="E33" i="140" s="1"/>
  <c r="E34" i="105"/>
  <c r="E34" i="140" s="1"/>
  <c r="E35" i="105"/>
  <c r="E35" i="140" s="1"/>
  <c r="E36" i="105"/>
  <c r="E31" i="140" s="1"/>
  <c r="E37" i="105"/>
  <c r="E36" i="140" s="1"/>
  <c r="E38" i="105"/>
  <c r="E37" i="140" s="1"/>
  <c r="E39" i="105"/>
  <c r="E40" i="140" s="1"/>
  <c r="E40" i="105"/>
  <c r="E38" i="140" s="1"/>
  <c r="E41" i="105"/>
  <c r="E39" i="140" s="1"/>
  <c r="E42" i="105"/>
  <c r="E50" i="140" s="1"/>
  <c r="E43" i="105"/>
  <c r="E42" i="140" s="1"/>
  <c r="E44" i="105"/>
  <c r="E41" i="140" s="1"/>
  <c r="E45" i="105"/>
  <c r="E43" i="140" s="1"/>
  <c r="E46" i="105"/>
  <c r="E44" i="140" s="1"/>
  <c r="E47" i="105"/>
  <c r="E45" i="140" s="1"/>
  <c r="E48" i="105"/>
  <c r="E46" i="140" s="1"/>
  <c r="E49" i="105"/>
  <c r="E47" i="140" s="1"/>
  <c r="E50" i="105"/>
  <c r="E48" i="140" s="1"/>
  <c r="E51" i="105"/>
  <c r="E49" i="140" s="1"/>
  <c r="E52" i="105"/>
  <c r="E51" i="140" s="1"/>
  <c r="E53" i="105"/>
  <c r="E52" i="140" s="1"/>
  <c r="E54" i="105"/>
  <c r="E53" i="140" s="1"/>
  <c r="E21" i="139"/>
  <c r="C13" i="136" s="1"/>
  <c r="C16" i="136" s="1"/>
  <c r="D45" i="137"/>
  <c r="D44" i="137"/>
  <c r="D43" i="137"/>
  <c r="C18" i="148" s="1"/>
  <c r="E16" i="135"/>
  <c r="AP106" i="1"/>
  <c r="AP105" i="1"/>
  <c r="AP365" i="1"/>
  <c r="AP104" i="1"/>
  <c r="AP361" i="1"/>
  <c r="AP364" i="1"/>
  <c r="O17" i="146" l="1"/>
  <c r="O23" i="146"/>
  <c r="E23" i="146" s="1"/>
  <c r="D57" i="140"/>
  <c r="D58" i="140" s="1"/>
  <c r="AV365" i="1"/>
  <c r="C20" i="148"/>
  <c r="E15" i="146"/>
  <c r="E20" i="146"/>
  <c r="E25" i="146"/>
  <c r="I14" i="163"/>
  <c r="I16" i="163"/>
  <c r="E13" i="146"/>
  <c r="E18" i="146"/>
  <c r="O26" i="146"/>
  <c r="E26" i="146" s="1"/>
  <c r="E16" i="146"/>
  <c r="E27" i="146"/>
  <c r="E21" i="146"/>
  <c r="E17" i="146"/>
  <c r="E22" i="146"/>
  <c r="E19" i="146"/>
  <c r="E14" i="146"/>
  <c r="E24" i="146"/>
  <c r="C57" i="140"/>
  <c r="C58" i="140" s="1"/>
  <c r="C56" i="140"/>
  <c r="D56" i="140"/>
  <c r="AP9" i="1" l="1"/>
  <c r="AP10" i="1"/>
  <c r="AP11" i="1"/>
  <c r="AP12" i="1"/>
  <c r="AP15" i="1"/>
  <c r="AP17" i="1"/>
  <c r="AP19" i="1"/>
  <c r="AP21" i="1"/>
  <c r="AP22" i="1"/>
  <c r="AP23" i="1"/>
  <c r="AP26" i="1"/>
  <c r="AP28" i="1"/>
  <c r="AP29" i="1"/>
  <c r="AP30" i="1"/>
  <c r="AP31" i="1"/>
  <c r="AP32" i="1"/>
  <c r="AP33" i="1"/>
  <c r="AP34" i="1"/>
  <c r="AP38" i="1"/>
  <c r="AP39" i="1"/>
  <c r="AP44" i="1"/>
  <c r="AP48" i="1"/>
  <c r="AP49" i="1"/>
  <c r="AP50" i="1"/>
  <c r="AP54" i="1"/>
  <c r="AP55" i="1"/>
  <c r="AP61" i="1"/>
  <c r="AP62" i="1"/>
  <c r="AP63" i="1"/>
  <c r="AP66" i="1"/>
  <c r="AP67" i="1"/>
  <c r="AP68" i="1"/>
  <c r="AP70" i="1"/>
  <c r="AP71" i="1"/>
  <c r="AP72" i="1"/>
  <c r="AP73" i="1"/>
  <c r="AP74" i="1"/>
  <c r="AP75" i="1"/>
  <c r="AP76" i="1"/>
  <c r="AP78" i="1"/>
  <c r="AP85" i="1"/>
  <c r="AP86" i="1"/>
  <c r="AP87" i="1"/>
  <c r="AP88" i="1"/>
  <c r="AP110" i="1"/>
  <c r="AP111" i="1"/>
  <c r="AP112" i="1"/>
  <c r="AP114" i="1"/>
  <c r="AP115" i="1"/>
  <c r="AP116" i="1"/>
  <c r="AP118" i="1"/>
  <c r="AP121" i="1"/>
  <c r="AP123" i="1"/>
  <c r="AP125" i="1"/>
  <c r="AP126" i="1"/>
  <c r="AP128" i="1"/>
  <c r="AP129" i="1"/>
  <c r="AP130" i="1"/>
  <c r="AP132" i="1"/>
  <c r="AP134" i="1"/>
  <c r="AP135" i="1"/>
  <c r="AP137" i="1"/>
  <c r="AP148" i="1"/>
  <c r="AP149" i="1"/>
  <c r="AP150" i="1"/>
  <c r="AP151" i="1"/>
  <c r="AP157" i="1"/>
  <c r="AP158" i="1"/>
  <c r="AP159" i="1"/>
  <c r="AP160" i="1"/>
  <c r="AP161" i="1"/>
  <c r="AP162" i="1"/>
  <c r="AP163" i="1"/>
  <c r="AP164" i="1"/>
  <c r="AP165" i="1"/>
  <c r="AP166" i="1"/>
  <c r="AP167" i="1"/>
  <c r="AP169" i="1"/>
  <c r="AP170" i="1"/>
  <c r="AP171" i="1"/>
  <c r="AP172" i="1"/>
  <c r="AP173" i="1"/>
  <c r="AP185" i="1"/>
  <c r="AP188" i="1"/>
  <c r="AP205" i="1"/>
  <c r="AP216" i="1"/>
  <c r="AP217" i="1"/>
  <c r="AP218" i="1"/>
  <c r="AP219" i="1"/>
  <c r="AP220" i="1"/>
  <c r="AP221" i="1"/>
  <c r="AP222" i="1"/>
  <c r="AP223" i="1"/>
  <c r="AP225" i="1"/>
  <c r="AP226" i="1"/>
  <c r="AP234" i="1"/>
  <c r="AP235" i="1"/>
  <c r="AP236" i="1"/>
  <c r="AP237" i="1"/>
  <c r="AP238" i="1"/>
  <c r="AP239" i="1"/>
  <c r="AP240" i="1"/>
  <c r="AP241" i="1"/>
  <c r="AP242" i="1"/>
  <c r="AP243" i="1"/>
  <c r="AP244" i="1"/>
  <c r="AP245" i="1"/>
  <c r="AP246" i="1"/>
  <c r="AP247" i="1"/>
  <c r="AP248" i="1"/>
  <c r="AP249" i="1"/>
  <c r="AP250" i="1"/>
  <c r="AP251" i="1"/>
  <c r="AP252" i="1"/>
  <c r="AP256" i="1"/>
  <c r="AP258" i="1"/>
  <c r="AP260" i="1"/>
  <c r="AP261" i="1"/>
  <c r="AP262" i="1"/>
  <c r="AP265" i="1"/>
  <c r="AP266" i="1"/>
  <c r="AP267" i="1"/>
  <c r="AP268" i="1"/>
  <c r="AP271" i="1"/>
  <c r="AP272" i="1"/>
  <c r="AP273" i="1"/>
  <c r="AP274" i="1"/>
  <c r="AP278" i="1"/>
  <c r="AP279" i="1"/>
  <c r="AP294" i="1"/>
  <c r="AP297" i="1"/>
  <c r="AP298" i="1"/>
  <c r="AP299" i="1"/>
  <c r="AP300" i="1"/>
  <c r="AP301" i="1"/>
  <c r="AP302" i="1"/>
  <c r="AP314" i="1"/>
  <c r="AP315" i="1"/>
  <c r="AP316" i="1"/>
  <c r="AP317" i="1"/>
  <c r="AP318" i="1"/>
  <c r="AP321" i="1"/>
  <c r="AP322" i="1"/>
  <c r="AP323" i="1"/>
  <c r="AP324" i="1"/>
  <c r="AP326" i="1"/>
  <c r="AP327" i="1"/>
  <c r="AP328" i="1"/>
  <c r="AP329" i="1"/>
  <c r="AP332" i="1"/>
  <c r="AP333" i="1"/>
  <c r="AP334" i="1"/>
  <c r="AP335" i="1"/>
  <c r="AP336" i="1"/>
  <c r="AP337" i="1"/>
  <c r="AP345" i="1"/>
  <c r="AP346" i="1"/>
  <c r="AP347" i="1"/>
  <c r="AP348" i="1"/>
  <c r="AP349" i="1"/>
  <c r="AP350" i="1"/>
  <c r="AP351" i="1"/>
  <c r="AP352" i="1"/>
  <c r="AP353" i="1"/>
  <c r="AP354" i="1"/>
  <c r="AP355" i="1"/>
  <c r="AP357" i="1"/>
  <c r="AP371" i="1"/>
  <c r="AP372" i="1"/>
  <c r="AP375" i="1"/>
  <c r="AP376" i="1"/>
  <c r="AP377" i="1"/>
  <c r="AP392" i="1"/>
  <c r="AP393" i="1"/>
  <c r="AP394" i="1"/>
  <c r="AP395" i="1"/>
  <c r="AP396" i="1"/>
  <c r="AP397" i="1"/>
  <c r="AP398" i="1"/>
  <c r="AP399" i="1"/>
  <c r="AP400" i="1"/>
  <c r="AP401" i="1"/>
  <c r="AP402" i="1"/>
  <c r="AP403" i="1"/>
  <c r="AP404" i="1"/>
  <c r="AP405" i="1"/>
  <c r="AP406" i="1"/>
  <c r="AP407" i="1"/>
  <c r="AP408" i="1"/>
  <c r="AP409" i="1"/>
  <c r="AP410" i="1"/>
  <c r="AP411" i="1"/>
  <c r="AP412" i="1"/>
  <c r="AP413" i="1"/>
  <c r="AP414" i="1"/>
  <c r="AP415" i="1"/>
  <c r="AP416" i="1"/>
  <c r="AP417" i="1"/>
  <c r="AP418" i="1"/>
  <c r="AP419" i="1"/>
  <c r="AP420" i="1"/>
  <c r="AP421" i="1"/>
  <c r="AP422" i="1"/>
  <c r="AP423" i="1"/>
  <c r="AP424" i="1"/>
  <c r="AP425" i="1"/>
  <c r="AP426" i="1"/>
  <c r="AP427" i="1"/>
  <c r="AP428" i="1"/>
  <c r="AP429" i="1"/>
  <c r="AP430" i="1"/>
  <c r="AP431" i="1"/>
  <c r="AP432" i="1"/>
  <c r="AP433" i="1"/>
  <c r="AP434" i="1"/>
  <c r="AP435" i="1"/>
  <c r="AP436" i="1"/>
  <c r="AP437" i="1"/>
  <c r="AP438" i="1"/>
  <c r="AP439" i="1"/>
  <c r="AP440" i="1"/>
  <c r="AP441" i="1"/>
  <c r="AP442" i="1"/>
  <c r="AP443" i="1"/>
  <c r="AP444" i="1"/>
  <c r="AP445" i="1"/>
  <c r="AP446" i="1"/>
  <c r="AP447" i="1"/>
  <c r="AP448" i="1"/>
  <c r="AP449" i="1"/>
  <c r="AP450" i="1"/>
  <c r="AP451" i="1"/>
  <c r="AP452" i="1"/>
  <c r="AP453" i="1"/>
  <c r="AP455" i="1"/>
  <c r="AP456" i="1"/>
  <c r="AP457" i="1"/>
  <c r="AP458" i="1"/>
  <c r="AP459" i="1"/>
  <c r="AP460" i="1"/>
  <c r="AP461" i="1"/>
  <c r="AP462" i="1"/>
  <c r="AP463" i="1"/>
  <c r="AP464" i="1"/>
  <c r="AP465" i="1"/>
  <c r="AP466" i="1"/>
  <c r="AP467" i="1"/>
  <c r="AP468" i="1"/>
  <c r="AP469" i="1"/>
  <c r="AP470" i="1"/>
  <c r="AP471" i="1"/>
  <c r="AP472" i="1"/>
  <c r="AP473" i="1"/>
  <c r="AP474" i="1"/>
  <c r="AP475" i="1"/>
  <c r="AP476" i="1"/>
  <c r="AP477" i="1"/>
  <c r="AP478" i="1"/>
  <c r="AP479" i="1"/>
  <c r="AP480" i="1"/>
  <c r="AP481" i="1"/>
  <c r="AP482" i="1"/>
  <c r="AP483" i="1"/>
  <c r="AP484" i="1"/>
  <c r="AP485" i="1"/>
  <c r="AP486" i="1"/>
  <c r="AP487" i="1"/>
  <c r="AP488" i="1"/>
  <c r="AP489" i="1"/>
  <c r="AP490" i="1"/>
  <c r="AP491" i="1"/>
  <c r="AP492" i="1"/>
  <c r="AP493" i="1"/>
  <c r="AP494" i="1"/>
  <c r="AP495" i="1"/>
  <c r="AP496" i="1"/>
  <c r="AP497" i="1"/>
  <c r="AP498" i="1"/>
  <c r="AP499" i="1"/>
  <c r="AP500" i="1"/>
  <c r="AP501" i="1"/>
  <c r="AP502" i="1"/>
  <c r="AP503" i="1"/>
  <c r="AP504" i="1"/>
  <c r="AP505" i="1"/>
  <c r="AP506" i="1"/>
  <c r="AP507" i="1"/>
  <c r="AP508" i="1"/>
  <c r="AP509" i="1"/>
  <c r="AP510" i="1"/>
  <c r="AP511" i="1"/>
  <c r="AP512" i="1"/>
  <c r="AP513" i="1"/>
  <c r="AP514" i="1"/>
  <c r="AP515" i="1"/>
  <c r="AP518" i="1"/>
  <c r="AP520" i="1"/>
  <c r="AP530" i="1"/>
  <c r="AP531" i="1"/>
  <c r="AP533" i="1"/>
  <c r="AP534" i="1"/>
  <c r="AP535" i="1"/>
  <c r="AP536" i="1"/>
  <c r="AP537" i="1"/>
  <c r="AP538" i="1"/>
  <c r="AP541" i="1"/>
  <c r="AP542" i="1"/>
  <c r="AP544" i="1"/>
  <c r="AP545" i="1"/>
  <c r="AP546" i="1"/>
  <c r="AP552" i="1"/>
  <c r="AP553" i="1"/>
  <c r="AP561" i="1"/>
  <c r="AP562" i="1"/>
  <c r="AP572" i="1"/>
  <c r="AP573" i="1"/>
  <c r="AP574" i="1"/>
  <c r="AP575" i="1"/>
  <c r="AP583" i="1"/>
  <c r="AP584" i="1"/>
  <c r="AP585" i="1"/>
  <c r="AP589" i="1"/>
  <c r="AP590" i="1"/>
  <c r="AP591" i="1"/>
  <c r="AP599" i="1"/>
  <c r="AP603" i="1"/>
  <c r="AP604" i="1"/>
  <c r="AP605" i="1"/>
  <c r="AP606" i="1"/>
  <c r="AP607" i="1"/>
  <c r="AP608" i="1"/>
  <c r="AP609" i="1"/>
  <c r="AP611" i="1"/>
  <c r="AP612" i="1"/>
  <c r="AP619" i="1"/>
  <c r="AP626" i="1"/>
  <c r="AP627" i="1"/>
  <c r="AP628" i="1"/>
  <c r="AP629" i="1"/>
  <c r="AP630" i="1"/>
  <c r="AP633" i="1"/>
  <c r="AP639" i="1"/>
  <c r="AP642" i="1"/>
  <c r="AP643" i="1"/>
  <c r="AP645" i="1"/>
  <c r="AP646" i="1"/>
  <c r="AP648" i="1"/>
  <c r="AP650" i="1"/>
  <c r="AP652" i="1"/>
  <c r="AP655" i="1"/>
  <c r="AP656" i="1"/>
  <c r="AP657" i="1"/>
  <c r="AP658" i="1"/>
  <c r="AP659" i="1"/>
  <c r="AP674" i="1"/>
  <c r="AP675" i="1"/>
  <c r="AP676" i="1"/>
  <c r="AP677" i="1"/>
  <c r="AP678" i="1"/>
  <c r="AP679" i="1"/>
  <c r="AP680" i="1"/>
  <c r="AP681" i="1"/>
  <c r="AP682" i="1"/>
  <c r="AP683" i="1"/>
  <c r="AP684" i="1"/>
  <c r="AP685" i="1"/>
  <c r="AP686" i="1"/>
  <c r="AP687" i="1"/>
  <c r="AP688" i="1"/>
  <c r="AP689" i="1"/>
  <c r="AP690" i="1"/>
  <c r="AP691" i="1"/>
  <c r="AP692" i="1"/>
  <c r="AP693" i="1"/>
  <c r="AP703" i="1"/>
  <c r="AP704" i="1"/>
  <c r="AP705" i="1"/>
  <c r="AP706" i="1"/>
  <c r="AP707" i="1"/>
  <c r="AP708" i="1"/>
  <c r="AP709" i="1"/>
  <c r="AP710" i="1"/>
  <c r="AP711" i="1"/>
  <c r="AP712" i="1"/>
  <c r="AP713" i="1"/>
  <c r="AP714" i="1"/>
  <c r="AP715" i="1"/>
  <c r="AP716" i="1"/>
  <c r="AP717" i="1"/>
  <c r="AP719" i="1"/>
  <c r="AP729" i="1"/>
  <c r="AP730" i="1"/>
  <c r="AP739" i="1"/>
  <c r="AP740" i="1"/>
  <c r="AP745" i="1"/>
  <c r="AP754" i="1"/>
  <c r="AP756" i="1"/>
  <c r="AP757" i="1"/>
  <c r="AP758" i="1"/>
  <c r="AP759" i="1"/>
  <c r="AP760" i="1"/>
  <c r="AP761" i="1"/>
  <c r="AP764" i="1"/>
  <c r="AP765" i="1"/>
  <c r="AP766" i="1"/>
  <c r="AP767" i="1"/>
  <c r="AP772" i="1"/>
  <c r="AP773" i="1"/>
  <c r="AP774" i="1"/>
  <c r="AP779" i="1"/>
  <c r="AP796" i="1"/>
  <c r="AP797" i="1"/>
  <c r="AP798" i="1"/>
  <c r="AP799" i="1"/>
  <c r="AP800" i="1"/>
  <c r="AP801" i="1"/>
  <c r="AP802" i="1"/>
  <c r="AP803" i="1"/>
  <c r="AP804" i="1"/>
  <c r="AP805" i="1"/>
  <c r="AP806" i="1"/>
  <c r="AP807" i="1"/>
  <c r="AP815" i="1"/>
  <c r="AP816" i="1"/>
  <c r="AP820" i="1"/>
  <c r="AP821" i="1"/>
  <c r="AP822" i="1"/>
  <c r="AP823" i="1"/>
  <c r="AP824" i="1"/>
  <c r="AP825" i="1"/>
  <c r="AP829" i="1"/>
  <c r="AP839" i="1"/>
  <c r="AP840" i="1"/>
  <c r="AP841" i="1"/>
  <c r="AP844" i="1"/>
  <c r="AP845" i="1"/>
  <c r="AP846" i="1"/>
  <c r="AP854" i="1"/>
  <c r="AP855" i="1"/>
  <c r="AP856" i="1"/>
  <c r="AP859" i="1"/>
  <c r="AP865" i="1"/>
  <c r="AP866" i="1"/>
  <c r="AP869" i="1"/>
  <c r="AP870" i="1"/>
  <c r="AP871" i="1"/>
  <c r="AP872" i="1"/>
  <c r="AP874" i="1"/>
  <c r="AP875" i="1"/>
  <c r="AP876" i="1"/>
  <c r="AP877" i="1"/>
  <c r="AP878" i="1"/>
  <c r="AP883" i="1"/>
  <c r="AP884" i="1"/>
  <c r="AP885" i="1"/>
  <c r="AP886" i="1"/>
  <c r="AP887" i="1"/>
  <c r="AP893" i="1"/>
  <c r="AP899" i="1"/>
  <c r="AP905" i="1"/>
  <c r="AP906" i="1"/>
  <c r="AP910" i="1"/>
  <c r="AP911" i="1"/>
  <c r="AP915" i="1"/>
  <c r="AP916" i="1"/>
  <c r="AP917" i="1"/>
  <c r="AP918" i="1"/>
  <c r="AP920" i="1"/>
  <c r="AP921" i="1"/>
  <c r="AP922" i="1"/>
  <c r="AP923" i="1"/>
  <c r="AP925" i="1"/>
  <c r="AP926" i="1"/>
  <c r="AP928" i="1"/>
  <c r="AP929" i="1"/>
  <c r="AP940" i="1"/>
  <c r="AP941" i="1"/>
  <c r="AP942" i="1"/>
  <c r="AP946" i="1"/>
  <c r="AP947" i="1"/>
  <c r="AP960" i="1"/>
  <c r="AP961" i="1"/>
  <c r="AP962" i="1"/>
  <c r="AP963" i="1"/>
  <c r="AP971" i="1"/>
  <c r="AP972" i="1"/>
  <c r="AP973" i="1"/>
  <c r="AP974" i="1"/>
  <c r="AP999" i="1"/>
  <c r="AP1001" i="1"/>
  <c r="AP1002" i="1"/>
  <c r="AP1003" i="1"/>
  <c r="AP1004" i="1"/>
  <c r="AP1005" i="1"/>
  <c r="AP1006" i="1"/>
  <c r="AP1008" i="1"/>
  <c r="AP1009" i="1"/>
  <c r="AP1010" i="1"/>
  <c r="AP1013" i="1"/>
  <c r="AP1014" i="1"/>
  <c r="AP1015" i="1"/>
  <c r="AP1016" i="1"/>
  <c r="AP1017" i="1"/>
  <c r="AP1018" i="1"/>
  <c r="AP1019" i="1"/>
  <c r="AP1020" i="1"/>
  <c r="AP1022" i="1"/>
  <c r="AP1023" i="1"/>
  <c r="AP1024" i="1"/>
  <c r="AP1025" i="1"/>
  <c r="AP1026" i="1"/>
  <c r="AP1027" i="1"/>
  <c r="AP1028" i="1"/>
  <c r="AP1029" i="1"/>
  <c r="AP1030" i="1"/>
  <c r="AP1033" i="1"/>
  <c r="AP1034" i="1"/>
  <c r="AP1035" i="1"/>
  <c r="AP1040" i="1"/>
  <c r="AP1042" i="1"/>
  <c r="AP1043" i="1"/>
  <c r="AP1044" i="1"/>
  <c r="AP1045" i="1"/>
  <c r="AP1046" i="1"/>
  <c r="AP1047" i="1"/>
  <c r="AP1048" i="1"/>
  <c r="AP1049" i="1"/>
  <c r="AP1050" i="1"/>
  <c r="AP1073" i="1"/>
  <c r="AP1074" i="1"/>
  <c r="AP1075" i="1"/>
  <c r="AP1076" i="1"/>
  <c r="AP1077" i="1"/>
  <c r="AP1078" i="1"/>
  <c r="AP1079" i="1"/>
  <c r="AP1080" i="1"/>
  <c r="AP1081" i="1"/>
  <c r="AP1082" i="1"/>
  <c r="AP1083" i="1"/>
  <c r="AP1084" i="1"/>
  <c r="AP1085" i="1"/>
  <c r="AP1086" i="1"/>
  <c r="AP1087" i="1"/>
  <c r="AP1088" i="1"/>
  <c r="AP1089" i="1"/>
  <c r="AP1090" i="1"/>
  <c r="AP1091" i="1"/>
  <c r="AP1092" i="1"/>
  <c r="AP1093" i="1"/>
  <c r="AP1094" i="1"/>
  <c r="AP1095" i="1"/>
  <c r="AP1096" i="1"/>
  <c r="AP1097" i="1"/>
  <c r="AP1098" i="1"/>
  <c r="AP1099" i="1"/>
  <c r="AP1100" i="1"/>
  <c r="AP1101" i="1"/>
  <c r="AP1102" i="1"/>
  <c r="AP1103" i="1"/>
  <c r="AP1104" i="1"/>
  <c r="AP1105" i="1"/>
  <c r="AP1106" i="1"/>
  <c r="AP1107" i="1"/>
  <c r="AP1108" i="1"/>
  <c r="AP1109" i="1"/>
  <c r="AP1110" i="1"/>
  <c r="AP1111" i="1"/>
  <c r="AP1112" i="1"/>
  <c r="AP1113" i="1"/>
  <c r="AP1114" i="1"/>
  <c r="AP1115" i="1"/>
  <c r="AP1116" i="1"/>
  <c r="AP1117" i="1"/>
  <c r="AP1118" i="1"/>
  <c r="AP1119" i="1"/>
  <c r="AP1120" i="1"/>
  <c r="AP1121" i="1"/>
  <c r="AP1122" i="1"/>
  <c r="AP1123" i="1"/>
  <c r="AP1124" i="1"/>
  <c r="AP1125" i="1"/>
  <c r="AP1126" i="1"/>
  <c r="AP1127" i="1"/>
  <c r="AP1128" i="1"/>
  <c r="AP1129" i="1"/>
  <c r="AP1130" i="1"/>
  <c r="AP1131" i="1"/>
  <c r="AP1132" i="1"/>
  <c r="AP1133" i="1"/>
  <c r="AP1134" i="1"/>
  <c r="AP1135" i="1"/>
  <c r="AP1136" i="1"/>
  <c r="AP1137" i="1"/>
  <c r="AP1138" i="1"/>
  <c r="AP1139" i="1"/>
  <c r="AP1140" i="1"/>
  <c r="AP1141" i="1"/>
  <c r="AP1142" i="1"/>
  <c r="AP1143" i="1"/>
  <c r="AP1144" i="1"/>
  <c r="AP1145" i="1"/>
  <c r="AP1146" i="1"/>
  <c r="AP1147" i="1"/>
  <c r="AP1148" i="1"/>
  <c r="AP1149" i="1"/>
  <c r="AP1150" i="1"/>
  <c r="AP1151" i="1"/>
  <c r="AP1152" i="1"/>
  <c r="AP1153" i="1"/>
  <c r="AP1154" i="1"/>
  <c r="AP1155" i="1"/>
  <c r="AP1156" i="1"/>
  <c r="AP1157" i="1"/>
  <c r="AP1158" i="1"/>
  <c r="AP1159" i="1"/>
  <c r="AP1160" i="1"/>
  <c r="AP1161" i="1"/>
  <c r="AP1162" i="1"/>
  <c r="AP1163" i="1"/>
  <c r="AP1164" i="1"/>
  <c r="AP1165" i="1"/>
  <c r="AP1166" i="1"/>
  <c r="AP1167" i="1"/>
  <c r="AP1168" i="1"/>
  <c r="AP1169" i="1"/>
  <c r="AP1170" i="1"/>
  <c r="AP1171" i="1"/>
  <c r="AP1172" i="1"/>
  <c r="AP1173" i="1"/>
  <c r="AP1174" i="1"/>
  <c r="AP1175" i="1"/>
  <c r="AP1176" i="1"/>
  <c r="AP1177" i="1"/>
  <c r="AP1178" i="1"/>
  <c r="AP1179" i="1"/>
  <c r="AP1180" i="1"/>
  <c r="AP1181" i="1"/>
  <c r="AP1182" i="1"/>
  <c r="AP1183" i="1"/>
  <c r="AP1184" i="1"/>
  <c r="AP1185" i="1"/>
  <c r="AP1186" i="1"/>
  <c r="AP1187" i="1"/>
  <c r="AP1188" i="1"/>
  <c r="AP1189" i="1"/>
  <c r="AP1190" i="1"/>
  <c r="AP1191" i="1"/>
  <c r="AP1192" i="1"/>
  <c r="AP1193" i="1"/>
  <c r="AP1194" i="1"/>
  <c r="AP1195" i="1"/>
  <c r="AP1196" i="1"/>
  <c r="AP1197" i="1"/>
  <c r="AP1198" i="1"/>
  <c r="AP1199" i="1"/>
  <c r="AP1200" i="1"/>
  <c r="AP1201" i="1"/>
  <c r="AP1202" i="1"/>
  <c r="AP1203" i="1"/>
  <c r="AP1204" i="1"/>
  <c r="AP1205" i="1"/>
  <c r="AP1206" i="1"/>
  <c r="AP1207" i="1"/>
  <c r="AP1208" i="1"/>
  <c r="AP1209" i="1"/>
  <c r="AP1210" i="1"/>
  <c r="AP1211" i="1"/>
  <c r="AP1212" i="1"/>
  <c r="AP1213" i="1"/>
  <c r="AP1214" i="1"/>
  <c r="AP1215" i="1"/>
  <c r="AP1217" i="1"/>
  <c r="AP1218" i="1"/>
  <c r="AP1219" i="1"/>
  <c r="AP1220" i="1"/>
  <c r="AP1221" i="1"/>
  <c r="AP1222" i="1"/>
  <c r="AP1223" i="1"/>
  <c r="AP1224" i="1"/>
  <c r="AP1225" i="1"/>
  <c r="AP1226" i="1"/>
  <c r="AP1227" i="1"/>
  <c r="AP1228" i="1"/>
  <c r="AP1229" i="1"/>
  <c r="AP1230" i="1"/>
  <c r="AP1231" i="1"/>
  <c r="AP1232" i="1"/>
  <c r="AP1233" i="1"/>
  <c r="AP1235" i="1"/>
  <c r="AP1236" i="1"/>
  <c r="AP1237" i="1"/>
  <c r="AP1238" i="1"/>
  <c r="AP1239" i="1"/>
  <c r="AP1240" i="1"/>
  <c r="AP1241" i="1"/>
  <c r="AP1242" i="1"/>
  <c r="AP1243" i="1"/>
  <c r="AP1244" i="1"/>
  <c r="AP1245" i="1"/>
  <c r="AP1246" i="1"/>
  <c r="AP1247" i="1"/>
  <c r="AP1248" i="1"/>
  <c r="AP1249" i="1"/>
  <c r="AP1250" i="1"/>
  <c r="AP1251" i="1"/>
  <c r="AP1252" i="1"/>
  <c r="AP1253" i="1"/>
  <c r="AP1254" i="1"/>
  <c r="AP1255" i="1"/>
  <c r="AP1256" i="1"/>
  <c r="AP1257" i="1"/>
  <c r="AP1258" i="1"/>
  <c r="AP1259" i="1"/>
  <c r="AP1260" i="1"/>
  <c r="AP1261" i="1"/>
  <c r="AP1262" i="1"/>
  <c r="AP1263" i="1"/>
  <c r="AP1264" i="1"/>
  <c r="AP1265" i="1"/>
  <c r="AP1266" i="1"/>
  <c r="AP1267" i="1"/>
  <c r="AP1268" i="1"/>
  <c r="AP1269" i="1"/>
  <c r="AP1270" i="1"/>
  <c r="AP1271" i="1"/>
  <c r="AP1272" i="1"/>
  <c r="AP1273" i="1"/>
  <c r="AP1274" i="1"/>
  <c r="AP1275" i="1"/>
  <c r="AP1276" i="1"/>
  <c r="AP1277" i="1"/>
  <c r="AP1278" i="1"/>
  <c r="AP1279" i="1"/>
  <c r="AP1280" i="1"/>
  <c r="AP1281" i="1"/>
  <c r="AP1282" i="1"/>
  <c r="AP1284" i="1"/>
  <c r="AP1285" i="1"/>
  <c r="AP1286" i="1"/>
  <c r="AP1287" i="1"/>
  <c r="AP1288" i="1"/>
  <c r="AP1289" i="1"/>
  <c r="AP1290" i="1"/>
  <c r="AP1291" i="1"/>
  <c r="AP1292" i="1"/>
  <c r="AP1293" i="1"/>
  <c r="AP1294" i="1"/>
  <c r="AP1295" i="1"/>
  <c r="AP1296" i="1"/>
  <c r="AP1297" i="1"/>
  <c r="AP1298" i="1"/>
  <c r="AP1299" i="1"/>
  <c r="AP1300" i="1"/>
  <c r="AP1301" i="1"/>
  <c r="AP1302" i="1"/>
  <c r="AP1303" i="1"/>
  <c r="AP1304" i="1"/>
  <c r="AP1305" i="1"/>
  <c r="AP1306" i="1"/>
  <c r="AP1307" i="1"/>
  <c r="AP1308" i="1"/>
  <c r="AP1309" i="1"/>
  <c r="AP1310" i="1"/>
  <c r="AP1311" i="1"/>
  <c r="AP1312" i="1"/>
  <c r="AP1313" i="1"/>
  <c r="AP1314" i="1"/>
  <c r="AP1315" i="1"/>
  <c r="AP1316" i="1"/>
  <c r="AP1317" i="1"/>
  <c r="AP1318" i="1"/>
  <c r="AP1319" i="1"/>
  <c r="AP1320" i="1"/>
  <c r="AP1321" i="1"/>
  <c r="AP1322" i="1"/>
  <c r="AP1323" i="1"/>
  <c r="AP1324" i="1"/>
  <c r="AP1325" i="1"/>
  <c r="AP1326" i="1"/>
  <c r="AP1327" i="1"/>
  <c r="AP1328" i="1"/>
  <c r="AP1329" i="1"/>
  <c r="AP1330" i="1"/>
  <c r="AP1331" i="1"/>
  <c r="AP1332" i="1"/>
  <c r="AP1333" i="1"/>
  <c r="AP1334" i="1"/>
  <c r="AP1335" i="1"/>
  <c r="AP1336" i="1"/>
  <c r="AP1337" i="1"/>
  <c r="AP1338" i="1"/>
  <c r="AP1339" i="1"/>
  <c r="AP1340" i="1"/>
  <c r="AP1341" i="1"/>
  <c r="AP1342" i="1"/>
  <c r="AP1343" i="1"/>
  <c r="AP1344" i="1"/>
  <c r="AP1345" i="1"/>
  <c r="AP1346" i="1"/>
  <c r="AP1347" i="1"/>
  <c r="AP1348" i="1"/>
  <c r="AP1349" i="1"/>
  <c r="AP1350" i="1"/>
  <c r="AP1352" i="1"/>
  <c r="AP1353" i="1"/>
  <c r="AP1354" i="1"/>
  <c r="AP1355" i="1"/>
  <c r="AP1356" i="1"/>
  <c r="AP1357" i="1"/>
  <c r="AP1358" i="1"/>
  <c r="AP1359" i="1"/>
  <c r="AP1360" i="1"/>
  <c r="AP1361" i="1"/>
  <c r="AP1362" i="1"/>
  <c r="AP1363" i="1"/>
  <c r="AP1364" i="1"/>
  <c r="AP1365" i="1"/>
  <c r="AP1366" i="1"/>
  <c r="AP1367" i="1"/>
  <c r="AP1368" i="1"/>
  <c r="AP1369" i="1"/>
  <c r="AP1370" i="1"/>
  <c r="AP1371" i="1"/>
  <c r="AP1372" i="1"/>
  <c r="AP1373" i="1"/>
  <c r="AP1374" i="1"/>
  <c r="AP1377" i="1"/>
  <c r="AP1378" i="1"/>
  <c r="AP1379" i="1"/>
  <c r="AP1380" i="1"/>
  <c r="AP1381" i="1"/>
  <c r="AP2" i="1"/>
  <c r="AP990" i="1"/>
  <c r="AP776" i="1"/>
  <c r="AP768" i="1"/>
  <c r="AP529" i="1"/>
  <c r="AP777" i="1"/>
  <c r="AP935" i="1"/>
  <c r="AP293" i="1"/>
  <c r="AP832" i="1"/>
  <c r="AP84" i="1"/>
  <c r="AP738" i="1"/>
  <c r="AP1404" i="1"/>
  <c r="AP753" i="1"/>
  <c r="AP950" i="1"/>
  <c r="AP526" i="1"/>
  <c r="AP1021" i="1"/>
  <c r="AP964" i="1"/>
  <c r="AP770" i="1"/>
  <c r="AP1070" i="1"/>
  <c r="AP563" i="1"/>
  <c r="AP647" i="1"/>
  <c r="AP737" i="1"/>
  <c r="AP696" i="1"/>
  <c r="AP1399" i="1"/>
  <c r="AP968" i="1"/>
  <c r="AP341" i="1"/>
  <c r="AP519" i="1"/>
  <c r="AP1037" i="1"/>
  <c r="AP369" i="1"/>
  <c r="AP547" i="1"/>
  <c r="AP370" i="1"/>
  <c r="AP976" i="1"/>
  <c r="AP793" i="1"/>
  <c r="AP190" i="1"/>
  <c r="AP325" i="1"/>
  <c r="AP952" i="1"/>
  <c r="AP286" i="1"/>
  <c r="AP257" i="1"/>
  <c r="AP902" i="1"/>
  <c r="AP725" i="1"/>
  <c r="AP139" i="1"/>
  <c r="AP303" i="1"/>
  <c r="AP660" i="1"/>
  <c r="AP1061" i="1"/>
  <c r="AP780" i="1"/>
  <c r="AP197" i="1"/>
  <c r="AP311" i="1"/>
  <c r="AP794" i="1"/>
  <c r="AP224" i="1"/>
  <c r="AP937" i="1"/>
  <c r="AP721" i="1"/>
  <c r="AP183" i="1"/>
  <c r="AP253" i="1"/>
  <c r="AP35" i="1"/>
  <c r="AP168" i="1"/>
  <c r="AP851" i="1"/>
  <c r="AP305" i="1"/>
  <c r="AP778" i="1"/>
  <c r="AP539" i="1"/>
  <c r="AP37" i="1"/>
  <c r="AP59" i="1"/>
  <c r="AP255" i="1"/>
  <c r="AP1064" i="1"/>
  <c r="AP201" i="1"/>
  <c r="AP788" i="1"/>
  <c r="AP146" i="1"/>
  <c r="AP835" i="1"/>
  <c r="AP598" i="1"/>
  <c r="AP1234" i="1"/>
  <c r="AP1376" i="1"/>
  <c r="AP18" i="1"/>
  <c r="AP957" i="1"/>
  <c r="AP1402" i="1"/>
  <c r="AP743" i="1"/>
  <c r="AP1039" i="1"/>
  <c r="AP567" i="1"/>
  <c r="AP640" i="1"/>
  <c r="AP140" i="1"/>
  <c r="AP383" i="1"/>
  <c r="AP568" i="1"/>
  <c r="AP936" i="1"/>
  <c r="AP231" i="1"/>
  <c r="AP891" i="1"/>
  <c r="AP178" i="1"/>
  <c r="AP669" i="1"/>
  <c r="AP290" i="1"/>
  <c r="AP653" i="1"/>
  <c r="AP763" i="1"/>
  <c r="AP153" i="1"/>
  <c r="AP842" i="1"/>
  <c r="AP895" i="1"/>
  <c r="AP181" i="1"/>
  <c r="AP610" i="1"/>
  <c r="AP992" i="1"/>
  <c r="AP909" i="1"/>
  <c r="AP51" i="1"/>
  <c r="AP527" i="1"/>
  <c r="AP615" i="1"/>
  <c r="AP1398" i="1"/>
  <c r="AP3" i="1"/>
  <c r="AP295" i="1"/>
  <c r="AP833" i="1"/>
  <c r="AP959" i="1"/>
  <c r="AP1216" i="1"/>
  <c r="AP117" i="1"/>
  <c r="AP934" i="1"/>
  <c r="AP592" i="1"/>
  <c r="AP734" i="1"/>
  <c r="AP13" i="1"/>
  <c r="AP202" i="1"/>
  <c r="AP194" i="1"/>
  <c r="AP958" i="1"/>
  <c r="AP227" i="1"/>
  <c r="AP380" i="1"/>
  <c r="AP810" i="1"/>
  <c r="AP306" i="1"/>
  <c r="AP276" i="1"/>
  <c r="AP174" i="1"/>
  <c r="AP744" i="1"/>
  <c r="AP1393" i="1"/>
  <c r="AP808" i="1"/>
  <c r="AP1057" i="1"/>
  <c r="AP986" i="1"/>
  <c r="AP751" i="1"/>
  <c r="AP291" i="1"/>
  <c r="AP4" i="1"/>
  <c r="AP554" i="1"/>
  <c r="AP882" i="1"/>
  <c r="AP625" i="1"/>
  <c r="AP850" i="1"/>
  <c r="AP1000" i="1"/>
  <c r="AP602" i="1"/>
  <c r="AP198" i="1"/>
  <c r="AP727" i="1"/>
  <c r="AP977" i="1"/>
  <c r="AP264" i="1"/>
  <c r="AP987" i="1"/>
  <c r="AP320" i="1"/>
  <c r="AP955" i="1"/>
  <c r="AP849" i="1"/>
  <c r="AP287" i="1"/>
  <c r="AP52" i="1"/>
  <c r="AP91" i="1"/>
  <c r="AP983" i="1"/>
  <c r="AP24" i="1"/>
  <c r="AP956" i="1"/>
  <c r="AP1389" i="1"/>
  <c r="AP564" i="1"/>
  <c r="AP862" i="1"/>
  <c r="AP1063" i="1"/>
  <c r="AP80" i="1"/>
  <c r="AP41" i="1"/>
  <c r="AP98" i="1"/>
  <c r="AP382" i="1"/>
  <c r="AP147" i="1"/>
  <c r="AP600" i="1"/>
  <c r="AP100" i="1"/>
  <c r="AP672" i="1"/>
  <c r="AP184" i="1"/>
  <c r="AP898" i="1"/>
  <c r="AP360" i="1"/>
  <c r="AP1395" i="1"/>
  <c r="AP873" i="1"/>
  <c r="AP313" i="1"/>
  <c r="AP945" i="1"/>
  <c r="AP289" i="1"/>
  <c r="AP996" i="1"/>
  <c r="AP152" i="1"/>
  <c r="AP99" i="1"/>
  <c r="AP903" i="1"/>
  <c r="AP269" i="1"/>
  <c r="AP308" i="1"/>
  <c r="AP543" i="1"/>
  <c r="AP948" i="1"/>
  <c r="AP837" i="1"/>
  <c r="AP791" i="1"/>
  <c r="AP1400" i="1"/>
  <c r="AP728" i="1"/>
  <c r="AP83" i="1"/>
  <c r="AP1055" i="1"/>
  <c r="AP631" i="1"/>
  <c r="AP741" i="1"/>
  <c r="AP454" i="1"/>
  <c r="AP892" i="1"/>
  <c r="AP312" i="1"/>
  <c r="AP145" i="1"/>
  <c r="AP588" i="1"/>
  <c r="AP387" i="1"/>
  <c r="AP79" i="1"/>
  <c r="AP889" i="1"/>
  <c r="AP665" i="1"/>
  <c r="AP890" i="1"/>
  <c r="AP1036" i="1"/>
  <c r="AP180" i="1"/>
  <c r="AP576" i="1"/>
  <c r="AP193" i="1"/>
  <c r="AP385" i="1"/>
  <c r="AP7" i="1"/>
  <c r="AP919" i="1"/>
  <c r="AP750" i="1"/>
  <c r="AP861" i="1"/>
  <c r="AP847" i="1"/>
  <c r="AP270" i="1"/>
  <c r="AP991" i="1"/>
  <c r="AP199" i="1"/>
  <c r="AP189" i="1"/>
  <c r="AP736" i="1"/>
  <c r="AP277" i="1"/>
  <c r="AP720" i="1"/>
  <c r="AP814" i="1"/>
  <c r="AP664" i="1"/>
  <c r="AP119" i="1"/>
  <c r="AP848" i="1"/>
  <c r="AP53" i="1"/>
  <c r="AP27" i="1"/>
  <c r="AP522" i="1"/>
  <c r="AP378" i="1"/>
  <c r="AP214" i="1"/>
  <c r="AP812" i="1"/>
  <c r="AP1060" i="1"/>
  <c r="AP831" i="1"/>
  <c r="AP1351" i="1"/>
  <c r="AP155" i="1"/>
  <c r="AP980" i="1"/>
  <c r="AP89" i="1"/>
  <c r="AP133" i="1"/>
  <c r="AP283" i="1"/>
  <c r="AP284" i="1"/>
  <c r="AP852" i="1"/>
  <c r="AP907" i="1"/>
  <c r="AP259" i="1"/>
  <c r="AP733" i="1"/>
  <c r="AP623" i="1"/>
  <c r="AP586" i="1"/>
  <c r="AP578" i="1"/>
  <c r="AP215" i="1"/>
  <c r="AP571" i="1"/>
  <c r="AP752" i="1"/>
  <c r="AP142" i="1"/>
  <c r="AP641" i="1"/>
  <c r="AP1065" i="1"/>
  <c r="AP795" i="1"/>
  <c r="AP965" i="1"/>
  <c r="AP624" i="1"/>
  <c r="AP560" i="1"/>
  <c r="AP340" i="1"/>
  <c r="AP384" i="1"/>
  <c r="AP781" i="1"/>
  <c r="AP827" i="1"/>
  <c r="AP668" i="1"/>
  <c r="AP830" i="1"/>
  <c r="AP1396" i="1"/>
  <c r="AP230" i="1"/>
  <c r="AP670" i="1"/>
  <c r="AP206" i="1"/>
  <c r="AP662" i="1"/>
  <c r="AP732" i="1"/>
  <c r="AP901" i="1"/>
  <c r="AP555" i="1"/>
  <c r="AP191" i="1"/>
  <c r="AP613" i="1"/>
  <c r="AP200" i="1"/>
  <c r="AP809" i="1"/>
  <c r="AP587" i="1"/>
  <c r="AP36" i="1"/>
  <c r="AP182" i="1"/>
  <c r="AP785" i="1"/>
  <c r="AP103" i="1"/>
  <c r="AP989" i="1"/>
  <c r="AP616" i="1"/>
  <c r="AP1054" i="1"/>
  <c r="AP82" i="1"/>
  <c r="AP366" i="1"/>
  <c r="AP131" i="1"/>
  <c r="AP550" i="1"/>
  <c r="AP966" i="1"/>
  <c r="AP1062" i="1"/>
  <c r="AP742" i="1"/>
  <c r="AP65" i="1"/>
  <c r="AP1375" i="1"/>
  <c r="AP228" i="1"/>
  <c r="AP651" i="1"/>
  <c r="AP694" i="1"/>
  <c r="AP528" i="1"/>
  <c r="AP997" i="1"/>
  <c r="AP951" i="1"/>
  <c r="AP943" i="1"/>
  <c r="AP695" i="1"/>
  <c r="AP944" i="1"/>
  <c r="AP212" i="1"/>
  <c r="AP790" i="1"/>
  <c r="AP853" i="1"/>
  <c r="AP211" i="1"/>
  <c r="AP97" i="1"/>
  <c r="AP566" i="1"/>
  <c r="AP908" i="1"/>
  <c r="AP701" i="1"/>
  <c r="AP46" i="1"/>
  <c r="AP42" i="1"/>
  <c r="AP949" i="1"/>
  <c r="AP196" i="1"/>
  <c r="AP210" i="1"/>
  <c r="AP390" i="1"/>
  <c r="AP747" i="1"/>
  <c r="AP954" i="1"/>
  <c r="AP1051" i="1"/>
  <c r="AP138" i="1"/>
  <c r="AP967" i="1"/>
  <c r="AP593" i="1"/>
  <c r="AP888" i="1"/>
  <c r="AP1031" i="1"/>
  <c r="AP319" i="1"/>
  <c r="AP213" i="1"/>
  <c r="AP64" i="1"/>
  <c r="AP254" i="1"/>
  <c r="AP769" i="1"/>
  <c r="AP93" i="1"/>
  <c r="AP828" i="1"/>
  <c r="AP16" i="1"/>
  <c r="AP988" i="1"/>
  <c r="AP107" i="1"/>
  <c r="AP551" i="1"/>
  <c r="AP636" i="1"/>
  <c r="AP994" i="1"/>
  <c r="AP102" i="1"/>
  <c r="AP582" i="1"/>
  <c r="AP1069" i="1"/>
  <c r="AP1071" i="1"/>
  <c r="AP204" i="1"/>
  <c r="AP912" i="1"/>
  <c r="AP331" i="1"/>
  <c r="AP1068" i="1"/>
  <c r="AP860" i="1"/>
  <c r="AP671" i="1"/>
  <c r="AP1032" i="1"/>
  <c r="AP144" i="1"/>
  <c r="AP634" i="1"/>
  <c r="AP784" i="1"/>
  <c r="AP897" i="1"/>
  <c r="AP1385" i="1"/>
  <c r="AP601" i="1"/>
  <c r="AP735" i="1"/>
  <c r="AP978" i="1"/>
  <c r="AP56" i="1"/>
  <c r="AP40" i="1"/>
  <c r="AP1012" i="1"/>
  <c r="AP108" i="1"/>
  <c r="AP186" i="1"/>
  <c r="AP867" i="1"/>
  <c r="AP982" i="1"/>
  <c r="AP1067" i="1"/>
  <c r="AP1405" i="1"/>
  <c r="AP1397" i="1"/>
  <c r="AP654" i="1"/>
  <c r="AP58" i="1"/>
  <c r="AP718" i="1"/>
  <c r="AP339" i="1"/>
  <c r="AP783" i="1"/>
  <c r="AP338" i="1"/>
  <c r="AP881" i="1"/>
  <c r="AP47" i="1"/>
  <c r="AP558" i="1"/>
  <c r="AP1386" i="1"/>
  <c r="AP748" i="1"/>
  <c r="AP381" i="1"/>
  <c r="AP1283" i="1"/>
  <c r="AP913" i="1"/>
  <c r="AP113" i="1"/>
  <c r="AP644" i="1"/>
  <c r="AP1053" i="1"/>
  <c r="AP904" i="1"/>
  <c r="AP879" i="1"/>
  <c r="AP109" i="1"/>
  <c r="AP1391" i="1"/>
  <c r="AP622" i="1"/>
  <c r="AP25" i="1"/>
  <c r="AP90" i="1"/>
  <c r="AP786" i="1"/>
  <c r="AP359" i="1"/>
  <c r="AP233" i="1"/>
  <c r="AP1011" i="1"/>
  <c r="AP556" i="1"/>
  <c r="AP813" i="1"/>
  <c r="AP722" i="1"/>
  <c r="AP154" i="1"/>
  <c r="AP344" i="1"/>
  <c r="AP192" i="1"/>
  <c r="AP95" i="1"/>
  <c r="AP924" i="1"/>
  <c r="AP330" i="1"/>
  <c r="AP635" i="1"/>
  <c r="AP787" i="1"/>
  <c r="AP8" i="1"/>
  <c r="AP843" i="1"/>
  <c r="AP1382" i="1"/>
  <c r="AP702" i="1"/>
  <c r="AP632" i="1"/>
  <c r="AP953" i="1"/>
  <c r="AP386" i="1"/>
  <c r="AP1384" i="1"/>
  <c r="AP896" i="1"/>
  <c r="AP358" i="1"/>
  <c r="AP638" i="1"/>
  <c r="AP367" i="1"/>
  <c r="AP532" i="1"/>
  <c r="AP1390" i="1"/>
  <c r="AP373" i="1"/>
  <c r="AP580" i="1"/>
  <c r="AP838" i="1"/>
  <c r="AP746" i="1"/>
  <c r="AP379" i="1"/>
  <c r="AP995" i="1"/>
  <c r="AP282" i="1"/>
  <c r="AP1038" i="1"/>
  <c r="AP179" i="1"/>
  <c r="AP363" i="1"/>
  <c r="AP981" i="1"/>
  <c r="AP96" i="1"/>
  <c r="AP700" i="1"/>
  <c r="AP569" i="1"/>
  <c r="AP818" i="1"/>
  <c r="AP362" i="1"/>
  <c r="AP900" i="1"/>
  <c r="AP540" i="1"/>
  <c r="AP868" i="1"/>
  <c r="AP666" i="1"/>
  <c r="AP136" i="1"/>
  <c r="AP1041" i="1"/>
  <c r="AP661" i="1"/>
  <c r="AP789" i="1"/>
  <c r="AP775" i="1"/>
  <c r="AP930" i="1"/>
  <c r="AP156" i="1"/>
  <c r="AP229" i="1"/>
  <c r="AP621" i="1"/>
  <c r="AP836" i="1"/>
  <c r="AP124" i="1"/>
  <c r="AP1383" i="1"/>
  <c r="AP342" i="1"/>
  <c r="AP296" i="1"/>
  <c r="AP288" i="1"/>
  <c r="AP77" i="1"/>
  <c r="AP667" i="1"/>
  <c r="AP570" i="1"/>
  <c r="AP1401" i="1"/>
  <c r="AP726" i="1"/>
  <c r="AP175" i="1"/>
  <c r="AP516" i="1"/>
  <c r="AP388" i="1"/>
  <c r="AP94" i="1"/>
  <c r="AP549" i="1"/>
  <c r="AP280" i="1"/>
  <c r="AP969" i="1"/>
  <c r="AP548" i="1"/>
  <c r="AP979" i="1"/>
  <c r="AP374" i="1"/>
  <c r="AP309" i="1"/>
  <c r="AP927" i="1"/>
  <c r="AP92" i="1"/>
  <c r="AP975" i="1"/>
  <c r="AP60" i="1"/>
  <c r="AP141" i="1"/>
  <c r="AP782" i="1"/>
  <c r="AP127" i="1"/>
  <c r="AP45" i="1"/>
  <c r="AP389" i="1"/>
  <c r="AP281" i="1"/>
  <c r="AP597" i="1"/>
  <c r="AP723" i="1"/>
  <c r="AP993" i="1"/>
  <c r="AP20" i="1"/>
  <c r="AP368" i="1"/>
  <c r="AP6" i="1"/>
  <c r="AP195" i="1"/>
  <c r="AP122" i="1"/>
  <c r="AP731" i="1"/>
  <c r="AP565" i="1"/>
  <c r="AP834" i="1"/>
  <c r="AP985" i="1"/>
  <c r="AP699" i="1"/>
  <c r="AP577" i="1"/>
  <c r="AP1387" i="1"/>
  <c r="AP81" i="1"/>
  <c r="AP187" i="1"/>
  <c r="AP581" i="1"/>
  <c r="AP275" i="1"/>
  <c r="AP931" i="1"/>
  <c r="AP826" i="1"/>
  <c r="AP557" i="1"/>
  <c r="AP858" i="1"/>
  <c r="AP101" i="1"/>
  <c r="AP57" i="1"/>
  <c r="AP863" i="1"/>
  <c r="AP343" i="1"/>
  <c r="AP970" i="1"/>
  <c r="AP649" i="1"/>
  <c r="AP14" i="1"/>
  <c r="AP1056" i="1"/>
  <c r="AP232" i="1"/>
  <c r="AP1392" i="1"/>
  <c r="AP208" i="1"/>
  <c r="AP1403" i="1"/>
  <c r="AP517" i="1"/>
  <c r="AP285" i="1"/>
  <c r="AP356" i="1"/>
  <c r="AP637" i="1"/>
  <c r="AP292" i="1"/>
  <c r="AP614" i="1"/>
  <c r="AP1059" i="1"/>
  <c r="AP932" i="1"/>
  <c r="AP1052" i="1"/>
  <c r="AP792" i="1"/>
  <c r="AP263" i="1"/>
  <c r="AP697" i="1"/>
  <c r="AP880" i="1"/>
  <c r="AP176" i="1"/>
  <c r="AP43" i="1"/>
  <c r="AP1007" i="1"/>
  <c r="AP939" i="1"/>
  <c r="AP617" i="1"/>
  <c r="AP120" i="1"/>
  <c r="AP523" i="1"/>
  <c r="AP673" i="1"/>
  <c r="AP209" i="1"/>
  <c r="AP1072" i="1"/>
  <c r="AP864" i="1"/>
  <c r="AP938" i="1"/>
  <c r="AP525" i="1"/>
  <c r="AP998" i="1"/>
  <c r="AP391" i="1"/>
  <c r="AP749" i="1"/>
  <c r="AP203" i="1"/>
  <c r="AP663" i="1"/>
  <c r="AP559" i="1"/>
  <c r="AP1058" i="1"/>
  <c r="AP933" i="1"/>
  <c r="AP521" i="1"/>
  <c r="AP857" i="1"/>
  <c r="AP177" i="1"/>
  <c r="AP755" i="1"/>
  <c r="AP594" i="1"/>
  <c r="AP762" i="1"/>
  <c r="AP984" i="1"/>
  <c r="AP310" i="1"/>
  <c r="AP207" i="1"/>
  <c r="AP698" i="1"/>
  <c r="AP1394" i="1"/>
  <c r="AP620" i="1"/>
  <c r="AP304" i="1"/>
  <c r="AP819" i="1"/>
  <c r="AP817" i="1"/>
  <c r="AP143" i="1"/>
  <c r="AP1066" i="1"/>
  <c r="AP69" i="1"/>
  <c r="AP771" i="1"/>
  <c r="AP1388" i="1"/>
  <c r="AP307" i="1"/>
  <c r="AP524" i="1"/>
  <c r="AP724" i="1"/>
  <c r="AP618" i="1"/>
  <c r="AP5" i="1"/>
  <c r="AP914" i="1"/>
  <c r="AP579" i="1"/>
  <c r="AP811" i="1"/>
  <c r="AP894" i="1"/>
  <c r="O815" i="1" l="1"/>
  <c r="O816" i="1"/>
  <c r="T815" i="1"/>
  <c r="T816" i="1"/>
  <c r="R815" i="1"/>
  <c r="S815" i="1" s="1"/>
  <c r="R816" i="1"/>
  <c r="S816" i="1" s="1"/>
  <c r="AZ962" i="1"/>
  <c r="AZ963" i="1"/>
  <c r="AZ964" i="1"/>
  <c r="AZ965" i="1"/>
  <c r="AZ966" i="1"/>
  <c r="AZ967" i="1"/>
  <c r="AZ968" i="1"/>
  <c r="AZ969" i="1"/>
  <c r="AY963" i="1"/>
  <c r="AY964" i="1"/>
  <c r="AY965" i="1"/>
  <c r="AY966" i="1"/>
  <c r="AY967" i="1"/>
  <c r="AY968" i="1"/>
  <c r="AX963" i="1"/>
  <c r="AX964" i="1"/>
  <c r="AX965" i="1"/>
  <c r="AX966" i="1"/>
  <c r="AX967" i="1"/>
  <c r="AX968" i="1"/>
  <c r="AX969" i="1"/>
  <c r="AW963" i="1"/>
  <c r="AW964" i="1"/>
  <c r="AW965" i="1"/>
  <c r="AW966" i="1"/>
  <c r="AW967" i="1"/>
  <c r="AW968" i="1"/>
  <c r="AU963" i="1"/>
  <c r="AU964" i="1"/>
  <c r="AU965" i="1"/>
  <c r="AU966" i="1"/>
  <c r="AU967" i="1"/>
  <c r="AT963" i="1"/>
  <c r="AT964" i="1"/>
  <c r="AT965" i="1"/>
  <c r="AT966" i="1"/>
  <c r="AT967" i="1"/>
  <c r="AS964" i="1"/>
  <c r="AS965" i="1"/>
  <c r="AS966" i="1"/>
  <c r="AS967" i="1"/>
  <c r="AS968" i="1"/>
  <c r="AS969" i="1"/>
  <c r="AR965" i="1"/>
  <c r="AR966" i="1"/>
  <c r="AR967" i="1"/>
  <c r="AR968" i="1"/>
  <c r="AR969" i="1"/>
  <c r="AO964" i="1"/>
  <c r="AO965" i="1"/>
  <c r="AO966" i="1"/>
  <c r="AO967" i="1"/>
  <c r="AO968" i="1"/>
  <c r="AO969" i="1"/>
  <c r="AN963" i="1"/>
  <c r="AM964" i="1"/>
  <c r="AM965" i="1"/>
  <c r="AM966" i="1"/>
  <c r="AM967" i="1"/>
  <c r="AM968" i="1"/>
  <c r="AM969" i="1"/>
  <c r="AM970" i="1"/>
  <c r="AM963" i="1"/>
  <c r="AV964" i="1"/>
  <c r="AV965" i="1"/>
  <c r="AV966" i="1"/>
  <c r="AV967" i="1"/>
  <c r="AV968" i="1"/>
  <c r="R964" i="1"/>
  <c r="S964" i="1" s="1"/>
  <c r="R965" i="1"/>
  <c r="S965" i="1" s="1"/>
  <c r="R966" i="1"/>
  <c r="S966" i="1" s="1"/>
  <c r="R967" i="1"/>
  <c r="S967" i="1" s="1"/>
  <c r="E28" i="53" s="1"/>
  <c r="Q964" i="1"/>
  <c r="Q965" i="1"/>
  <c r="Q966" i="1"/>
  <c r="Q967" i="1"/>
  <c r="Q968" i="1"/>
  <c r="P964" i="1"/>
  <c r="P965" i="1"/>
  <c r="P966" i="1"/>
  <c r="P967" i="1"/>
  <c r="O964" i="1"/>
  <c r="O965" i="1"/>
  <c r="O966" i="1"/>
  <c r="O967" i="1"/>
  <c r="L964" i="1"/>
  <c r="L965" i="1"/>
  <c r="L966" i="1"/>
  <c r="L967" i="1"/>
  <c r="K964" i="1"/>
  <c r="K965" i="1"/>
  <c r="K966" i="1"/>
  <c r="K967" i="1"/>
  <c r="J964" i="1"/>
  <c r="J965" i="1"/>
  <c r="J966" i="1"/>
  <c r="J967" i="1"/>
  <c r="AC965" i="1"/>
  <c r="AZ3" i="1"/>
  <c r="AZ4" i="1"/>
  <c r="AZ5" i="1"/>
  <c r="AZ9" i="1"/>
  <c r="AZ10" i="1"/>
  <c r="AZ11" i="1"/>
  <c r="AZ12" i="1"/>
  <c r="AZ15" i="1"/>
  <c r="AZ17" i="1"/>
  <c r="AZ19" i="1"/>
  <c r="AZ21" i="1"/>
  <c r="AZ22" i="1"/>
  <c r="AZ23" i="1"/>
  <c r="AZ26" i="1"/>
  <c r="AZ27" i="1"/>
  <c r="AZ28" i="1"/>
  <c r="AZ29" i="1"/>
  <c r="AZ30" i="1"/>
  <c r="AZ31" i="1"/>
  <c r="AZ32" i="1"/>
  <c r="AZ33" i="1"/>
  <c r="AZ34" i="1"/>
  <c r="AZ35" i="1"/>
  <c r="AZ36" i="1"/>
  <c r="AZ37" i="1"/>
  <c r="AZ38" i="1"/>
  <c r="AZ39" i="1"/>
  <c r="AZ40" i="1"/>
  <c r="AZ42" i="1"/>
  <c r="AZ43" i="1"/>
  <c r="AZ44" i="1"/>
  <c r="AZ46" i="1"/>
  <c r="AZ47" i="1"/>
  <c r="AZ48" i="1"/>
  <c r="AZ49" i="1"/>
  <c r="AZ50" i="1"/>
  <c r="AZ51" i="1"/>
  <c r="AZ52" i="1"/>
  <c r="AZ53" i="1"/>
  <c r="AZ54" i="1"/>
  <c r="AZ55" i="1"/>
  <c r="AZ56" i="1"/>
  <c r="AZ57" i="1"/>
  <c r="AZ58" i="1"/>
  <c r="AZ59" i="1"/>
  <c r="AZ61" i="1"/>
  <c r="AZ62" i="1"/>
  <c r="AZ63" i="1"/>
  <c r="AZ66" i="1"/>
  <c r="AZ67" i="1"/>
  <c r="AZ68" i="1"/>
  <c r="AZ70" i="1"/>
  <c r="AZ71" i="1"/>
  <c r="AZ72" i="1"/>
  <c r="AZ73" i="1"/>
  <c r="AZ74" i="1"/>
  <c r="AZ75" i="1"/>
  <c r="AZ76" i="1"/>
  <c r="AZ77" i="1"/>
  <c r="AZ78" i="1"/>
  <c r="AZ80" i="1"/>
  <c r="AZ81" i="1"/>
  <c r="AZ82" i="1"/>
  <c r="AZ83" i="1"/>
  <c r="AZ85" i="1"/>
  <c r="AZ86" i="1"/>
  <c r="AZ87" i="1"/>
  <c r="AZ88" i="1"/>
  <c r="AZ89" i="1"/>
  <c r="AZ91" i="1"/>
  <c r="AZ92" i="1"/>
  <c r="AZ93" i="1"/>
  <c r="AZ94" i="1"/>
  <c r="AZ95" i="1"/>
  <c r="AZ96" i="1"/>
  <c r="AZ97" i="1"/>
  <c r="AZ98" i="1"/>
  <c r="AZ99" i="1"/>
  <c r="AZ100" i="1"/>
  <c r="AZ101" i="1"/>
  <c r="AZ102" i="1"/>
  <c r="AZ103" i="1"/>
  <c r="AZ104" i="1"/>
  <c r="AZ105" i="1"/>
  <c r="AZ109" i="1"/>
  <c r="AZ110" i="1"/>
  <c r="AZ111" i="1"/>
  <c r="AZ112" i="1"/>
  <c r="AZ114" i="1"/>
  <c r="AZ115" i="1"/>
  <c r="AZ116" i="1"/>
  <c r="AZ117" i="1"/>
  <c r="AZ118" i="1"/>
  <c r="AZ121" i="1"/>
  <c r="AZ122" i="1"/>
  <c r="AZ123" i="1"/>
  <c r="AZ125" i="1"/>
  <c r="AZ126" i="1"/>
  <c r="AZ128" i="1"/>
  <c r="AZ129" i="1"/>
  <c r="AZ130" i="1"/>
  <c r="AZ131" i="1"/>
  <c r="AZ132" i="1"/>
  <c r="AZ134" i="1"/>
  <c r="AZ135" i="1"/>
  <c r="AZ137" i="1"/>
  <c r="AZ139" i="1"/>
  <c r="AZ140" i="1"/>
  <c r="AZ141" i="1"/>
  <c r="AZ142" i="1"/>
  <c r="AZ143" i="1"/>
  <c r="AZ144" i="1"/>
  <c r="AZ147" i="1"/>
  <c r="AZ148" i="1"/>
  <c r="AZ149" i="1"/>
  <c r="AZ150" i="1"/>
  <c r="AZ151" i="1"/>
  <c r="AZ152" i="1"/>
  <c r="AZ153" i="1"/>
  <c r="AZ154" i="1"/>
  <c r="AZ157" i="1"/>
  <c r="AZ158" i="1"/>
  <c r="AZ159" i="1"/>
  <c r="AZ160" i="1"/>
  <c r="AZ161" i="1"/>
  <c r="AZ162" i="1"/>
  <c r="AZ163" i="1"/>
  <c r="AZ164" i="1"/>
  <c r="AZ165" i="1"/>
  <c r="AZ166" i="1"/>
  <c r="AZ167" i="1"/>
  <c r="AZ169" i="1"/>
  <c r="AZ170" i="1"/>
  <c r="AZ171" i="1"/>
  <c r="AZ172" i="1"/>
  <c r="AZ173" i="1"/>
  <c r="AZ177" i="1"/>
  <c r="AZ181" i="1"/>
  <c r="AZ183" i="1"/>
  <c r="AZ184" i="1"/>
  <c r="AZ185" i="1"/>
  <c r="AZ187" i="1"/>
  <c r="AZ188" i="1"/>
  <c r="AZ189" i="1"/>
  <c r="AZ196" i="1"/>
  <c r="AZ197" i="1"/>
  <c r="AZ198" i="1"/>
  <c r="AZ199" i="1"/>
  <c r="AZ200" i="1"/>
  <c r="AZ201" i="1"/>
  <c r="AZ202" i="1"/>
  <c r="AZ203" i="1"/>
  <c r="AZ204" i="1"/>
  <c r="AZ205" i="1"/>
  <c r="AZ206" i="1"/>
  <c r="AZ207" i="1"/>
  <c r="AZ208" i="1"/>
  <c r="AZ209" i="1"/>
  <c r="AZ210" i="1"/>
  <c r="AZ211" i="1"/>
  <c r="AZ212" i="1"/>
  <c r="AZ213" i="1"/>
  <c r="AZ214" i="1"/>
  <c r="AZ216" i="1"/>
  <c r="AZ217" i="1"/>
  <c r="AZ218" i="1"/>
  <c r="AZ219" i="1"/>
  <c r="AZ220" i="1"/>
  <c r="AZ221" i="1"/>
  <c r="AZ222" i="1"/>
  <c r="AZ223" i="1"/>
  <c r="AZ225" i="1"/>
  <c r="AZ226" i="1"/>
  <c r="AZ231" i="1"/>
  <c r="AZ232" i="1"/>
  <c r="AZ234" i="1"/>
  <c r="AZ235" i="1"/>
  <c r="AZ236" i="1"/>
  <c r="AZ237" i="1"/>
  <c r="AZ238" i="1"/>
  <c r="AZ239" i="1"/>
  <c r="AZ240" i="1"/>
  <c r="AZ241" i="1"/>
  <c r="AZ242" i="1"/>
  <c r="AZ243" i="1"/>
  <c r="AZ244" i="1"/>
  <c r="AZ245" i="1"/>
  <c r="AZ246" i="1"/>
  <c r="AZ247" i="1"/>
  <c r="AZ248" i="1"/>
  <c r="AZ249" i="1"/>
  <c r="AZ250" i="1"/>
  <c r="AZ251" i="1"/>
  <c r="AZ252" i="1"/>
  <c r="AZ256" i="1"/>
  <c r="AZ258" i="1"/>
  <c r="AZ260" i="1"/>
  <c r="AZ261" i="1"/>
  <c r="AZ262" i="1"/>
  <c r="AZ264" i="1"/>
  <c r="AZ265" i="1"/>
  <c r="AZ266" i="1"/>
  <c r="AZ267" i="1"/>
  <c r="AZ268" i="1"/>
  <c r="AZ269" i="1"/>
  <c r="AZ270" i="1"/>
  <c r="AZ271" i="1"/>
  <c r="AZ272" i="1"/>
  <c r="AZ273" i="1"/>
  <c r="AZ274" i="1"/>
  <c r="AZ275" i="1"/>
  <c r="AZ277" i="1"/>
  <c r="AZ278" i="1"/>
  <c r="AZ279" i="1"/>
  <c r="AZ281" i="1"/>
  <c r="AZ282" i="1"/>
  <c r="AZ283" i="1"/>
  <c r="AZ284" i="1"/>
  <c r="AZ287" i="1"/>
  <c r="AZ288" i="1"/>
  <c r="AZ289" i="1"/>
  <c r="AZ292" i="1"/>
  <c r="AZ293" i="1"/>
  <c r="AZ294" i="1"/>
  <c r="AZ295" i="1"/>
  <c r="AZ297" i="1"/>
  <c r="AZ298" i="1"/>
  <c r="AZ299" i="1"/>
  <c r="AZ300" i="1"/>
  <c r="AZ301" i="1"/>
  <c r="AZ302" i="1"/>
  <c r="AZ303" i="1"/>
  <c r="AZ306" i="1"/>
  <c r="AZ310" i="1"/>
  <c r="AZ311" i="1"/>
  <c r="AZ312" i="1"/>
  <c r="AZ313" i="1"/>
  <c r="AZ314" i="1"/>
  <c r="AZ315" i="1"/>
  <c r="AZ316" i="1"/>
  <c r="AZ317" i="1"/>
  <c r="AZ318" i="1"/>
  <c r="AZ319" i="1"/>
  <c r="AZ320" i="1"/>
  <c r="AZ321" i="1"/>
  <c r="AZ322" i="1"/>
  <c r="AZ323" i="1"/>
  <c r="AZ324" i="1"/>
  <c r="AZ325" i="1"/>
  <c r="AZ326" i="1"/>
  <c r="AZ327" i="1"/>
  <c r="AZ328" i="1"/>
  <c r="AZ329" i="1"/>
  <c r="AZ330" i="1"/>
  <c r="AZ331" i="1"/>
  <c r="AZ332" i="1"/>
  <c r="AZ333" i="1"/>
  <c r="AZ334" i="1"/>
  <c r="AZ335" i="1"/>
  <c r="AZ336" i="1"/>
  <c r="AZ337" i="1"/>
  <c r="AZ338" i="1"/>
  <c r="AZ339" i="1"/>
  <c r="AZ340" i="1"/>
  <c r="AZ341" i="1"/>
  <c r="AZ342" i="1"/>
  <c r="AZ343" i="1"/>
  <c r="AZ344" i="1"/>
  <c r="AZ345" i="1"/>
  <c r="AZ346" i="1"/>
  <c r="AZ347" i="1"/>
  <c r="AZ348" i="1"/>
  <c r="AZ349" i="1"/>
  <c r="AZ350" i="1"/>
  <c r="AZ351" i="1"/>
  <c r="AZ352" i="1"/>
  <c r="AZ353" i="1"/>
  <c r="AZ354" i="1"/>
  <c r="AZ355" i="1"/>
  <c r="AZ356" i="1"/>
  <c r="AZ357" i="1"/>
  <c r="AZ358" i="1"/>
  <c r="AZ359" i="1"/>
  <c r="AZ362" i="1"/>
  <c r="AZ363" i="1"/>
  <c r="AZ367" i="1"/>
  <c r="AZ368" i="1"/>
  <c r="AZ369" i="1"/>
  <c r="AZ370" i="1"/>
  <c r="AZ371" i="1"/>
  <c r="AZ372" i="1"/>
  <c r="AZ374" i="1"/>
  <c r="AZ375" i="1"/>
  <c r="AZ376" i="1"/>
  <c r="AZ377" i="1"/>
  <c r="AZ379" i="1"/>
  <c r="AZ380" i="1"/>
  <c r="AZ381" i="1"/>
  <c r="AZ382" i="1"/>
  <c r="AZ383" i="1"/>
  <c r="AZ384" i="1"/>
  <c r="AZ385" i="1"/>
  <c r="AZ386" i="1"/>
  <c r="AZ387" i="1"/>
  <c r="AZ388" i="1"/>
  <c r="AZ389" i="1"/>
  <c r="AZ390" i="1"/>
  <c r="AZ392" i="1"/>
  <c r="AZ393" i="1"/>
  <c r="AZ394" i="1"/>
  <c r="AZ395" i="1"/>
  <c r="AZ396" i="1"/>
  <c r="AZ397" i="1"/>
  <c r="AZ398" i="1"/>
  <c r="AZ399" i="1"/>
  <c r="AZ400" i="1"/>
  <c r="AZ401" i="1"/>
  <c r="AZ402" i="1"/>
  <c r="AZ403" i="1"/>
  <c r="AZ404" i="1"/>
  <c r="AZ405" i="1"/>
  <c r="AZ406" i="1"/>
  <c r="AZ407" i="1"/>
  <c r="AZ408" i="1"/>
  <c r="AZ409" i="1"/>
  <c r="AZ410" i="1"/>
  <c r="AZ411" i="1"/>
  <c r="AZ412" i="1"/>
  <c r="AZ413" i="1"/>
  <c r="AZ414" i="1"/>
  <c r="AZ415" i="1"/>
  <c r="AZ416" i="1"/>
  <c r="AZ417" i="1"/>
  <c r="AZ418" i="1"/>
  <c r="AZ419" i="1"/>
  <c r="AZ420" i="1"/>
  <c r="AZ421" i="1"/>
  <c r="AZ422" i="1"/>
  <c r="AZ423" i="1"/>
  <c r="AZ424" i="1"/>
  <c r="AZ425" i="1"/>
  <c r="AZ426" i="1"/>
  <c r="AZ427" i="1"/>
  <c r="AZ428" i="1"/>
  <c r="AZ429" i="1"/>
  <c r="AZ430" i="1"/>
  <c r="AZ431" i="1"/>
  <c r="AZ432" i="1"/>
  <c r="AZ433" i="1"/>
  <c r="AZ434" i="1"/>
  <c r="AZ435" i="1"/>
  <c r="AZ436" i="1"/>
  <c r="AZ437" i="1"/>
  <c r="AZ438" i="1"/>
  <c r="AZ439" i="1"/>
  <c r="AZ440" i="1"/>
  <c r="AZ441" i="1"/>
  <c r="AZ442" i="1"/>
  <c r="AZ443" i="1"/>
  <c r="AZ444" i="1"/>
  <c r="AZ445" i="1"/>
  <c r="AZ446" i="1"/>
  <c r="AZ447" i="1"/>
  <c r="AZ448" i="1"/>
  <c r="AZ449" i="1"/>
  <c r="AZ450" i="1"/>
  <c r="AZ451" i="1"/>
  <c r="AZ452" i="1"/>
  <c r="AZ453" i="1"/>
  <c r="AZ455" i="1"/>
  <c r="AZ456" i="1"/>
  <c r="AZ457" i="1"/>
  <c r="AZ458" i="1"/>
  <c r="AZ459" i="1"/>
  <c r="AZ460" i="1"/>
  <c r="AZ461" i="1"/>
  <c r="AZ463" i="1"/>
  <c r="AZ464" i="1"/>
  <c r="AZ465" i="1"/>
  <c r="AZ466" i="1"/>
  <c r="AZ467" i="1"/>
  <c r="AZ468" i="1"/>
  <c r="AZ469" i="1"/>
  <c r="AZ470" i="1"/>
  <c r="AZ471" i="1"/>
  <c r="AZ472" i="1"/>
  <c r="AZ473" i="1"/>
  <c r="AZ474" i="1"/>
  <c r="AZ475" i="1"/>
  <c r="AZ476" i="1"/>
  <c r="AZ477" i="1"/>
  <c r="AZ478" i="1"/>
  <c r="AZ479" i="1"/>
  <c r="AZ480" i="1"/>
  <c r="AZ481" i="1"/>
  <c r="AZ482" i="1"/>
  <c r="AZ483" i="1"/>
  <c r="AZ484" i="1"/>
  <c r="AZ485" i="1"/>
  <c r="AZ486" i="1"/>
  <c r="AZ487" i="1"/>
  <c r="AZ488" i="1"/>
  <c r="AZ489" i="1"/>
  <c r="AZ490" i="1"/>
  <c r="AZ491" i="1"/>
  <c r="AZ492" i="1"/>
  <c r="AZ493" i="1"/>
  <c r="AZ494" i="1"/>
  <c r="AZ495" i="1"/>
  <c r="AZ496" i="1"/>
  <c r="AZ497" i="1"/>
  <c r="AZ498" i="1"/>
  <c r="AZ499" i="1"/>
  <c r="AZ500" i="1"/>
  <c r="AZ501" i="1"/>
  <c r="AZ502" i="1"/>
  <c r="AZ503" i="1"/>
  <c r="AZ504" i="1"/>
  <c r="AZ505" i="1"/>
  <c r="AZ506" i="1"/>
  <c r="AZ507" i="1"/>
  <c r="AZ508" i="1"/>
  <c r="AZ509" i="1"/>
  <c r="AZ510" i="1"/>
  <c r="AZ511" i="1"/>
  <c r="AZ512" i="1"/>
  <c r="AZ513" i="1"/>
  <c r="AZ514" i="1"/>
  <c r="AZ515" i="1"/>
  <c r="AZ516" i="1"/>
  <c r="AZ517" i="1"/>
  <c r="AZ518" i="1"/>
  <c r="AZ519" i="1"/>
  <c r="AZ520" i="1"/>
  <c r="AZ521" i="1"/>
  <c r="AZ522" i="1"/>
  <c r="AZ523" i="1"/>
  <c r="AZ524" i="1"/>
  <c r="AZ525" i="1"/>
  <c r="AZ526" i="1"/>
  <c r="AZ527" i="1"/>
  <c r="AZ528" i="1"/>
  <c r="AZ529" i="1"/>
  <c r="AZ530" i="1"/>
  <c r="AZ531" i="1"/>
  <c r="AZ532" i="1"/>
  <c r="AZ533" i="1"/>
  <c r="AZ534" i="1"/>
  <c r="AZ535" i="1"/>
  <c r="AZ536" i="1"/>
  <c r="AZ537" i="1"/>
  <c r="AZ538" i="1"/>
  <c r="AZ539" i="1"/>
  <c r="AZ540" i="1"/>
  <c r="AZ541" i="1"/>
  <c r="AZ542" i="1"/>
  <c r="AZ543" i="1"/>
  <c r="AZ544" i="1"/>
  <c r="AZ545" i="1"/>
  <c r="AZ546" i="1"/>
  <c r="AZ547" i="1"/>
  <c r="AZ548" i="1"/>
  <c r="AZ549" i="1"/>
  <c r="AZ550" i="1"/>
  <c r="AZ551" i="1"/>
  <c r="AZ552" i="1"/>
  <c r="AZ553" i="1"/>
  <c r="AZ554" i="1"/>
  <c r="AZ555" i="1"/>
  <c r="AZ556" i="1"/>
  <c r="AZ557" i="1"/>
  <c r="AZ558" i="1"/>
  <c r="AZ559" i="1"/>
  <c r="AZ560" i="1"/>
  <c r="AZ561" i="1"/>
  <c r="AZ562" i="1"/>
  <c r="AZ563" i="1"/>
  <c r="AZ564" i="1"/>
  <c r="AZ565" i="1"/>
  <c r="AZ566" i="1"/>
  <c r="AZ567" i="1"/>
  <c r="AZ568" i="1"/>
  <c r="AZ569" i="1"/>
  <c r="AZ570" i="1"/>
  <c r="AZ571" i="1"/>
  <c r="AZ572" i="1"/>
  <c r="AZ573" i="1"/>
  <c r="AZ574" i="1"/>
  <c r="AZ575" i="1"/>
  <c r="AZ576" i="1"/>
  <c r="AZ577" i="1"/>
  <c r="AZ578" i="1"/>
  <c r="AZ579" i="1"/>
  <c r="AZ581" i="1"/>
  <c r="AZ582" i="1"/>
  <c r="AZ583" i="1"/>
  <c r="AZ584" i="1"/>
  <c r="AZ585" i="1"/>
  <c r="AZ586" i="1"/>
  <c r="AZ587" i="1"/>
  <c r="AZ588" i="1"/>
  <c r="AZ589" i="1"/>
  <c r="AZ590" i="1"/>
  <c r="AZ591" i="1"/>
  <c r="AZ593" i="1"/>
  <c r="AZ594" i="1"/>
  <c r="AZ597" i="1"/>
  <c r="AZ598" i="1"/>
  <c r="AZ599" i="1"/>
  <c r="AZ600" i="1"/>
  <c r="AZ602" i="1"/>
  <c r="AZ603" i="1"/>
  <c r="AZ604" i="1"/>
  <c r="AZ605" i="1"/>
  <c r="AZ606" i="1"/>
  <c r="AZ607" i="1"/>
  <c r="AZ608" i="1"/>
  <c r="AZ609" i="1"/>
  <c r="AZ610" i="1"/>
  <c r="AZ611" i="1"/>
  <c r="AZ612" i="1"/>
  <c r="AZ613" i="1"/>
  <c r="AZ614" i="1"/>
  <c r="AZ615" i="1"/>
  <c r="AZ616" i="1"/>
  <c r="AZ601" i="1"/>
  <c r="AZ618" i="1"/>
  <c r="AZ619" i="1"/>
  <c r="AZ620" i="1"/>
  <c r="AZ621" i="1"/>
  <c r="AZ622" i="1"/>
  <c r="AZ623" i="1"/>
  <c r="AZ624" i="1"/>
  <c r="AZ626" i="1"/>
  <c r="AZ627" i="1"/>
  <c r="AZ628" i="1"/>
  <c r="AZ629" i="1"/>
  <c r="AZ630" i="1"/>
  <c r="AZ632" i="1"/>
  <c r="AZ633" i="1"/>
  <c r="AZ634" i="1"/>
  <c r="AZ635" i="1"/>
  <c r="AZ636" i="1"/>
  <c r="AZ639" i="1"/>
  <c r="AZ642" i="1"/>
  <c r="AZ643" i="1"/>
  <c r="AZ645" i="1"/>
  <c r="AZ646" i="1"/>
  <c r="AZ649" i="1"/>
  <c r="AZ650" i="1"/>
  <c r="AZ653" i="1"/>
  <c r="AZ654" i="1"/>
  <c r="AZ655" i="1"/>
  <c r="AZ656" i="1"/>
  <c r="AZ657" i="1"/>
  <c r="AZ658" i="1"/>
  <c r="AZ659" i="1"/>
  <c r="AZ660" i="1"/>
  <c r="AZ662" i="1"/>
  <c r="AZ664" i="1"/>
  <c r="AZ665" i="1"/>
  <c r="AZ666" i="1"/>
  <c r="AZ667" i="1"/>
  <c r="AZ668" i="1"/>
  <c r="AZ669" i="1"/>
  <c r="AZ670" i="1"/>
  <c r="AZ671" i="1"/>
  <c r="AZ672" i="1"/>
  <c r="AZ674" i="1"/>
  <c r="AZ675" i="1"/>
  <c r="AZ676" i="1"/>
  <c r="AZ677" i="1"/>
  <c r="AZ678" i="1"/>
  <c r="AZ679" i="1"/>
  <c r="AZ680" i="1"/>
  <c r="AZ681" i="1"/>
  <c r="AZ682" i="1"/>
  <c r="AZ683" i="1"/>
  <c r="AZ684" i="1"/>
  <c r="AZ685" i="1"/>
  <c r="AZ686" i="1"/>
  <c r="AZ687" i="1"/>
  <c r="AZ688" i="1"/>
  <c r="AZ689" i="1"/>
  <c r="AZ690" i="1"/>
  <c r="AZ691" i="1"/>
  <c r="AZ692" i="1"/>
  <c r="AZ693" i="1"/>
  <c r="AZ694" i="1"/>
  <c r="AZ697" i="1"/>
  <c r="AZ698" i="1"/>
  <c r="AZ699" i="1"/>
  <c r="AZ700" i="1"/>
  <c r="AZ701" i="1"/>
  <c r="AZ703" i="1"/>
  <c r="AZ704" i="1"/>
  <c r="AZ705" i="1"/>
  <c r="AZ706" i="1"/>
  <c r="AZ707" i="1"/>
  <c r="AZ708" i="1"/>
  <c r="AZ709" i="1"/>
  <c r="AZ710" i="1"/>
  <c r="AZ711" i="1"/>
  <c r="AZ712" i="1"/>
  <c r="AZ713" i="1"/>
  <c r="AZ714" i="1"/>
  <c r="AZ715" i="1"/>
  <c r="AZ716" i="1"/>
  <c r="AZ717" i="1"/>
  <c r="AZ718" i="1"/>
  <c r="AZ719" i="1"/>
  <c r="AZ720" i="1"/>
  <c r="AZ721" i="1"/>
  <c r="AZ726" i="1"/>
  <c r="AZ727" i="1"/>
  <c r="AZ728" i="1"/>
  <c r="AZ729" i="1"/>
  <c r="AZ730" i="1"/>
  <c r="AZ731" i="1"/>
  <c r="AZ732" i="1"/>
  <c r="AZ733" i="1"/>
  <c r="AZ734" i="1"/>
  <c r="AZ735" i="1"/>
  <c r="AZ736" i="1"/>
  <c r="AZ738" i="1"/>
  <c r="AZ739" i="1"/>
  <c r="AZ740" i="1"/>
  <c r="AZ744" i="1"/>
  <c r="AZ745" i="1"/>
  <c r="AZ747" i="1"/>
  <c r="AZ749" i="1"/>
  <c r="AZ750" i="1"/>
  <c r="AZ751" i="1"/>
  <c r="AZ752" i="1"/>
  <c r="AZ753" i="1"/>
  <c r="AZ754" i="1"/>
  <c r="AZ755" i="1"/>
  <c r="AZ756" i="1"/>
  <c r="AZ757" i="1"/>
  <c r="AZ758" i="1"/>
  <c r="AZ759" i="1"/>
  <c r="AZ760" i="1"/>
  <c r="AZ761" i="1"/>
  <c r="AZ763" i="1"/>
  <c r="AZ764" i="1"/>
  <c r="AZ765" i="1"/>
  <c r="AZ766" i="1"/>
  <c r="AZ767" i="1"/>
  <c r="AZ768" i="1"/>
  <c r="AZ769" i="1"/>
  <c r="AZ770" i="1"/>
  <c r="AZ771" i="1"/>
  <c r="AZ772" i="1"/>
  <c r="AZ773" i="1"/>
  <c r="AZ774" i="1"/>
  <c r="AZ779" i="1"/>
  <c r="AZ780" i="1"/>
  <c r="AZ781" i="1"/>
  <c r="AZ782" i="1"/>
  <c r="AZ783" i="1"/>
  <c r="AZ784" i="1"/>
  <c r="AZ785" i="1"/>
  <c r="AZ786" i="1"/>
  <c r="AZ787" i="1"/>
  <c r="AZ788" i="1"/>
  <c r="AZ789" i="1"/>
  <c r="AZ790" i="1"/>
  <c r="AZ791" i="1"/>
  <c r="AZ793" i="1"/>
  <c r="AZ794" i="1"/>
  <c r="AZ796" i="1"/>
  <c r="AZ797" i="1"/>
  <c r="AZ798" i="1"/>
  <c r="AZ799" i="1"/>
  <c r="AZ800" i="1"/>
  <c r="AZ801" i="1"/>
  <c r="AZ802" i="1"/>
  <c r="AZ803" i="1"/>
  <c r="AZ804" i="1"/>
  <c r="AZ805" i="1"/>
  <c r="AZ806" i="1"/>
  <c r="AZ807" i="1"/>
  <c r="AZ808" i="1"/>
  <c r="AZ809" i="1"/>
  <c r="AZ810" i="1"/>
  <c r="AZ811" i="1"/>
  <c r="AZ812" i="1"/>
  <c r="AZ813" i="1"/>
  <c r="AZ814" i="1"/>
  <c r="AZ815" i="1"/>
  <c r="AZ816" i="1"/>
  <c r="AZ817" i="1"/>
  <c r="AZ818" i="1"/>
  <c r="AZ819" i="1"/>
  <c r="AZ820" i="1"/>
  <c r="AZ821" i="1"/>
  <c r="AZ822" i="1"/>
  <c r="AZ823" i="1"/>
  <c r="AZ824" i="1"/>
  <c r="AZ825" i="1"/>
  <c r="AZ826" i="1"/>
  <c r="AZ827" i="1"/>
  <c r="AZ828" i="1"/>
  <c r="AZ829" i="1"/>
  <c r="AZ830" i="1"/>
  <c r="AZ831" i="1"/>
  <c r="AZ832" i="1"/>
  <c r="AZ833" i="1"/>
  <c r="AZ834" i="1"/>
  <c r="AZ835" i="1"/>
  <c r="AZ836" i="1"/>
  <c r="AZ839" i="1"/>
  <c r="AZ840" i="1"/>
  <c r="AZ841" i="1"/>
  <c r="AZ843" i="1"/>
  <c r="AZ844" i="1"/>
  <c r="AZ845" i="1"/>
  <c r="AZ846" i="1"/>
  <c r="AZ847" i="1"/>
  <c r="AZ848" i="1"/>
  <c r="AZ849" i="1"/>
  <c r="AZ851" i="1"/>
  <c r="AZ852" i="1"/>
  <c r="AZ853" i="1"/>
  <c r="AZ854" i="1"/>
  <c r="AZ855" i="1"/>
  <c r="AZ856" i="1"/>
  <c r="AZ859" i="1"/>
  <c r="AZ862" i="1"/>
  <c r="AZ864" i="1"/>
  <c r="AZ865" i="1"/>
  <c r="AZ866" i="1"/>
  <c r="AZ867" i="1"/>
  <c r="AZ869" i="1"/>
  <c r="AZ870" i="1"/>
  <c r="AZ871" i="1"/>
  <c r="AZ872" i="1"/>
  <c r="AZ873" i="1"/>
  <c r="AZ874" i="1"/>
  <c r="AZ875" i="1"/>
  <c r="AZ876" i="1"/>
  <c r="AZ877" i="1"/>
  <c r="AZ878" i="1"/>
  <c r="AZ879" i="1"/>
  <c r="AZ880" i="1"/>
  <c r="AZ881" i="1"/>
  <c r="AZ882" i="1"/>
  <c r="AZ883" i="1"/>
  <c r="AZ884" i="1"/>
  <c r="AZ885" i="1"/>
  <c r="AZ886" i="1"/>
  <c r="AZ887" i="1"/>
  <c r="AZ888" i="1"/>
  <c r="AZ889" i="1"/>
  <c r="AZ890" i="1"/>
  <c r="AZ893" i="1"/>
  <c r="AZ894" i="1"/>
  <c r="AZ895" i="1"/>
  <c r="AZ896" i="1"/>
  <c r="AZ897" i="1"/>
  <c r="AZ898" i="1"/>
  <c r="AZ899" i="1"/>
  <c r="AZ900" i="1"/>
  <c r="AZ901" i="1"/>
  <c r="AZ902" i="1"/>
  <c r="AZ903" i="1"/>
  <c r="AZ904" i="1"/>
  <c r="AZ905" i="1"/>
  <c r="AZ906" i="1"/>
  <c r="AZ907" i="1"/>
  <c r="AZ908" i="1"/>
  <c r="AZ909" i="1"/>
  <c r="AZ910" i="1"/>
  <c r="AZ911" i="1"/>
  <c r="AZ912" i="1"/>
  <c r="AZ913" i="1"/>
  <c r="AZ914" i="1"/>
  <c r="AZ915" i="1"/>
  <c r="AZ916" i="1"/>
  <c r="AZ917" i="1"/>
  <c r="AZ918" i="1"/>
  <c r="AZ919" i="1"/>
  <c r="AZ920" i="1"/>
  <c r="AZ921" i="1"/>
  <c r="AZ922" i="1"/>
  <c r="AZ923" i="1"/>
  <c r="AZ924" i="1"/>
  <c r="AZ925" i="1"/>
  <c r="AZ926" i="1"/>
  <c r="AZ927" i="1"/>
  <c r="AZ928" i="1"/>
  <c r="AZ929" i="1"/>
  <c r="AZ930" i="1"/>
  <c r="AZ931" i="1"/>
  <c r="AZ932" i="1"/>
  <c r="AZ933" i="1"/>
  <c r="AZ934" i="1"/>
  <c r="AZ935" i="1"/>
  <c r="AZ936" i="1"/>
  <c r="AZ937" i="1"/>
  <c r="AZ938" i="1"/>
  <c r="AZ940" i="1"/>
  <c r="AZ941" i="1"/>
  <c r="AZ942" i="1"/>
  <c r="AZ944" i="1"/>
  <c r="AZ946" i="1"/>
  <c r="AZ947" i="1"/>
  <c r="AZ953" i="1"/>
  <c r="AZ954" i="1"/>
  <c r="AZ955" i="1"/>
  <c r="AZ956" i="1"/>
  <c r="AZ957" i="1"/>
  <c r="AZ958" i="1"/>
  <c r="AZ959" i="1"/>
  <c r="AZ960" i="1"/>
  <c r="AZ961" i="1"/>
  <c r="AZ970" i="1"/>
  <c r="AZ971" i="1"/>
  <c r="AZ972" i="1"/>
  <c r="AZ973" i="1"/>
  <c r="AZ974" i="1"/>
  <c r="AZ975" i="1"/>
  <c r="AZ976" i="1"/>
  <c r="AZ977" i="1"/>
  <c r="AZ978" i="1"/>
  <c r="AZ979" i="1"/>
  <c r="AZ980" i="1"/>
  <c r="AZ981" i="1"/>
  <c r="AZ982" i="1"/>
  <c r="AZ983" i="1"/>
  <c r="AZ984" i="1"/>
  <c r="AZ985" i="1"/>
  <c r="AZ986" i="1"/>
  <c r="AZ987" i="1"/>
  <c r="AZ988" i="1"/>
  <c r="AZ989" i="1"/>
  <c r="AZ990" i="1"/>
  <c r="AZ991" i="1"/>
  <c r="AZ992" i="1"/>
  <c r="AZ993" i="1"/>
  <c r="AZ994" i="1"/>
  <c r="AZ995" i="1"/>
  <c r="AZ996" i="1"/>
  <c r="AZ997" i="1"/>
  <c r="AZ998" i="1"/>
  <c r="AZ999" i="1"/>
  <c r="AZ1001" i="1"/>
  <c r="AZ1002" i="1"/>
  <c r="AZ1003" i="1"/>
  <c r="AZ1004" i="1"/>
  <c r="AZ1005" i="1"/>
  <c r="AZ1006" i="1"/>
  <c r="AZ1007" i="1"/>
  <c r="AZ1008" i="1"/>
  <c r="AZ1009" i="1"/>
  <c r="AZ1010" i="1"/>
  <c r="AZ1011" i="1"/>
  <c r="AZ1013" i="1"/>
  <c r="AZ1014" i="1"/>
  <c r="AZ1015" i="1"/>
  <c r="AZ1016" i="1"/>
  <c r="AZ1017" i="1"/>
  <c r="AZ1018" i="1"/>
  <c r="AZ1019" i="1"/>
  <c r="AZ1020" i="1"/>
  <c r="AZ1022" i="1"/>
  <c r="AZ1023" i="1"/>
  <c r="AZ1024" i="1"/>
  <c r="AZ1025" i="1"/>
  <c r="AZ1026" i="1"/>
  <c r="AZ1027" i="1"/>
  <c r="AZ1028" i="1"/>
  <c r="AZ1029" i="1"/>
  <c r="AZ1030" i="1"/>
  <c r="AZ1031" i="1"/>
  <c r="AZ1032" i="1"/>
  <c r="AZ1033" i="1"/>
  <c r="AZ1034" i="1"/>
  <c r="AZ1035" i="1"/>
  <c r="AZ1037" i="1"/>
  <c r="AZ1039" i="1"/>
  <c r="AZ1040" i="1"/>
  <c r="AZ1041" i="1"/>
  <c r="AZ1042" i="1"/>
  <c r="AZ1043" i="1"/>
  <c r="AZ1044" i="1"/>
  <c r="AZ1045" i="1"/>
  <c r="AZ1046" i="1"/>
  <c r="AZ1047" i="1"/>
  <c r="AZ1048" i="1"/>
  <c r="AZ1049" i="1"/>
  <c r="AZ1050" i="1"/>
  <c r="AZ1051" i="1"/>
  <c r="AZ1052" i="1"/>
  <c r="AZ1053" i="1"/>
  <c r="AZ1054" i="1"/>
  <c r="AZ1055" i="1"/>
  <c r="AZ1056" i="1"/>
  <c r="AZ1057" i="1"/>
  <c r="AZ1058" i="1"/>
  <c r="AZ1059" i="1"/>
  <c r="AZ1060" i="1"/>
  <c r="AZ1061" i="1"/>
  <c r="AZ1063" i="1"/>
  <c r="AZ1069" i="1"/>
  <c r="AZ1070" i="1"/>
  <c r="AZ1071" i="1"/>
  <c r="AZ1073" i="1"/>
  <c r="AZ1074" i="1"/>
  <c r="AZ1075" i="1"/>
  <c r="AZ1076" i="1"/>
  <c r="AZ1077" i="1"/>
  <c r="AZ1078" i="1"/>
  <c r="AZ1079" i="1"/>
  <c r="AZ1080" i="1"/>
  <c r="AZ1081" i="1"/>
  <c r="AZ1082" i="1"/>
  <c r="AZ1083" i="1"/>
  <c r="AZ1084" i="1"/>
  <c r="AZ1085" i="1"/>
  <c r="AZ1086" i="1"/>
  <c r="AZ1087" i="1"/>
  <c r="AZ1088" i="1"/>
  <c r="AZ1089" i="1"/>
  <c r="AZ1090" i="1"/>
  <c r="AZ1091" i="1"/>
  <c r="AZ1092" i="1"/>
  <c r="AZ1093" i="1"/>
  <c r="AZ1094" i="1"/>
  <c r="AZ1095" i="1"/>
  <c r="AZ1096" i="1"/>
  <c r="AZ1097" i="1"/>
  <c r="AZ1098" i="1"/>
  <c r="AZ1099" i="1"/>
  <c r="AZ1100" i="1"/>
  <c r="AZ1101" i="1"/>
  <c r="AZ1102" i="1"/>
  <c r="AZ1103" i="1"/>
  <c r="AZ1104" i="1"/>
  <c r="AZ1105" i="1"/>
  <c r="AZ1106" i="1"/>
  <c r="AZ1107" i="1"/>
  <c r="AZ1108" i="1"/>
  <c r="AZ1109" i="1"/>
  <c r="AZ1110" i="1"/>
  <c r="AZ1111" i="1"/>
  <c r="AZ1112" i="1"/>
  <c r="AZ1113" i="1"/>
  <c r="AZ1114" i="1"/>
  <c r="AZ1115" i="1"/>
  <c r="AZ1116" i="1"/>
  <c r="AZ1117" i="1"/>
  <c r="AZ1118" i="1"/>
  <c r="AZ1119" i="1"/>
  <c r="AZ1120" i="1"/>
  <c r="AZ1121" i="1"/>
  <c r="AZ1122" i="1"/>
  <c r="AZ1123" i="1"/>
  <c r="AZ1124" i="1"/>
  <c r="AZ1125" i="1"/>
  <c r="AZ1126" i="1"/>
  <c r="AZ1127" i="1"/>
  <c r="AZ1128" i="1"/>
  <c r="AZ1129" i="1"/>
  <c r="AZ1130" i="1"/>
  <c r="AZ1131" i="1"/>
  <c r="AZ1132" i="1"/>
  <c r="AZ1133" i="1"/>
  <c r="AZ1134" i="1"/>
  <c r="AZ1135" i="1"/>
  <c r="AZ1136" i="1"/>
  <c r="AZ1137" i="1"/>
  <c r="AZ1138" i="1"/>
  <c r="AZ1139" i="1"/>
  <c r="AZ1140" i="1"/>
  <c r="AZ1141" i="1"/>
  <c r="AZ1142" i="1"/>
  <c r="AZ1143" i="1"/>
  <c r="AZ1144" i="1"/>
  <c r="AZ1145" i="1"/>
  <c r="AZ1146" i="1"/>
  <c r="AZ1147" i="1"/>
  <c r="AZ1148" i="1"/>
  <c r="AZ1149" i="1"/>
  <c r="AZ1150" i="1"/>
  <c r="AZ1151" i="1"/>
  <c r="AZ1152" i="1"/>
  <c r="AZ1153" i="1"/>
  <c r="AZ1154" i="1"/>
  <c r="AZ1155" i="1"/>
  <c r="AZ1156" i="1"/>
  <c r="AZ1157" i="1"/>
  <c r="AZ1158" i="1"/>
  <c r="AZ1159" i="1"/>
  <c r="AZ1160" i="1"/>
  <c r="AZ1161" i="1"/>
  <c r="AZ1162" i="1"/>
  <c r="AZ1163" i="1"/>
  <c r="AZ1164" i="1"/>
  <c r="AZ1165" i="1"/>
  <c r="AZ1166" i="1"/>
  <c r="AZ1167" i="1"/>
  <c r="AZ1168" i="1"/>
  <c r="AZ1169" i="1"/>
  <c r="AZ1170" i="1"/>
  <c r="AZ1171" i="1"/>
  <c r="AZ1172" i="1"/>
  <c r="AZ1173" i="1"/>
  <c r="AZ1174" i="1"/>
  <c r="AZ1175" i="1"/>
  <c r="AZ1176" i="1"/>
  <c r="AZ1177" i="1"/>
  <c r="AZ1178" i="1"/>
  <c r="AZ1179" i="1"/>
  <c r="AZ1180" i="1"/>
  <c r="AZ1181" i="1"/>
  <c r="AZ1182" i="1"/>
  <c r="AZ1183" i="1"/>
  <c r="AZ1184" i="1"/>
  <c r="AZ1185" i="1"/>
  <c r="AZ1186" i="1"/>
  <c r="AZ1187" i="1"/>
  <c r="AZ1188" i="1"/>
  <c r="AZ1189" i="1"/>
  <c r="AZ1190" i="1"/>
  <c r="AZ1191" i="1"/>
  <c r="AZ1192" i="1"/>
  <c r="AZ1193" i="1"/>
  <c r="AZ1194" i="1"/>
  <c r="AZ1195" i="1"/>
  <c r="AZ1196" i="1"/>
  <c r="AZ1197" i="1"/>
  <c r="AZ1198" i="1"/>
  <c r="AZ1199" i="1"/>
  <c r="AZ1200" i="1"/>
  <c r="AZ1201" i="1"/>
  <c r="AZ1202" i="1"/>
  <c r="AZ1203" i="1"/>
  <c r="AZ1204" i="1"/>
  <c r="AZ1205" i="1"/>
  <c r="AZ1206" i="1"/>
  <c r="AZ1207" i="1"/>
  <c r="AZ1208" i="1"/>
  <c r="AZ1209" i="1"/>
  <c r="AZ1210" i="1"/>
  <c r="AZ1211" i="1"/>
  <c r="AZ1212" i="1"/>
  <c r="AZ1213" i="1"/>
  <c r="AZ1214" i="1"/>
  <c r="AZ1215" i="1"/>
  <c r="AZ1217" i="1"/>
  <c r="AZ1218" i="1"/>
  <c r="AZ1219" i="1"/>
  <c r="AZ1220" i="1"/>
  <c r="AZ1221" i="1"/>
  <c r="AZ1222" i="1"/>
  <c r="AZ1223" i="1"/>
  <c r="AZ1224" i="1"/>
  <c r="AZ1225" i="1"/>
  <c r="AZ1226" i="1"/>
  <c r="AZ1227" i="1"/>
  <c r="AZ1228" i="1"/>
  <c r="AZ1229" i="1"/>
  <c r="AZ1230" i="1"/>
  <c r="AZ1231" i="1"/>
  <c r="AZ1232" i="1"/>
  <c r="AZ1233" i="1"/>
  <c r="AZ1235" i="1"/>
  <c r="AZ1236" i="1"/>
  <c r="AZ1237" i="1"/>
  <c r="AZ1238" i="1"/>
  <c r="AZ1239" i="1"/>
  <c r="AZ1240" i="1"/>
  <c r="AZ1241" i="1"/>
  <c r="AZ1242" i="1"/>
  <c r="AZ1243" i="1"/>
  <c r="AZ1244" i="1"/>
  <c r="AZ1245" i="1"/>
  <c r="AZ1246" i="1"/>
  <c r="AZ1247" i="1"/>
  <c r="AZ1248" i="1"/>
  <c r="AZ1249" i="1"/>
  <c r="AZ1250" i="1"/>
  <c r="AZ1251" i="1"/>
  <c r="AZ1252" i="1"/>
  <c r="AZ1253" i="1"/>
  <c r="AZ1254" i="1"/>
  <c r="AZ1255" i="1"/>
  <c r="AZ1256" i="1"/>
  <c r="AZ1257" i="1"/>
  <c r="AZ1258" i="1"/>
  <c r="AZ1259" i="1"/>
  <c r="AZ1260" i="1"/>
  <c r="AZ1261" i="1"/>
  <c r="AZ1262" i="1"/>
  <c r="AZ1263" i="1"/>
  <c r="AZ1264" i="1"/>
  <c r="AZ1265" i="1"/>
  <c r="AZ1266" i="1"/>
  <c r="AZ1267" i="1"/>
  <c r="AZ1268" i="1"/>
  <c r="AZ1269" i="1"/>
  <c r="AZ1270" i="1"/>
  <c r="AZ1271" i="1"/>
  <c r="AZ1272" i="1"/>
  <c r="AZ1273" i="1"/>
  <c r="AZ1274" i="1"/>
  <c r="AZ1275" i="1"/>
  <c r="AZ1276" i="1"/>
  <c r="AZ1277" i="1"/>
  <c r="AZ1278" i="1"/>
  <c r="AZ1279" i="1"/>
  <c r="AZ1280" i="1"/>
  <c r="AZ1281" i="1"/>
  <c r="AZ1282" i="1"/>
  <c r="AZ1284" i="1"/>
  <c r="AZ1285" i="1"/>
  <c r="AZ1286" i="1"/>
  <c r="AZ1287" i="1"/>
  <c r="AZ1288" i="1"/>
  <c r="AZ1289" i="1"/>
  <c r="AZ1290" i="1"/>
  <c r="AZ1291" i="1"/>
  <c r="AZ1292" i="1"/>
  <c r="AZ1293" i="1"/>
  <c r="AZ1294" i="1"/>
  <c r="AZ1295" i="1"/>
  <c r="AZ1296" i="1"/>
  <c r="AZ1297" i="1"/>
  <c r="AZ1298" i="1"/>
  <c r="AZ1299" i="1"/>
  <c r="AZ1300" i="1"/>
  <c r="AZ1301" i="1"/>
  <c r="AZ1302" i="1"/>
  <c r="AZ1303" i="1"/>
  <c r="AZ1304" i="1"/>
  <c r="AZ1305" i="1"/>
  <c r="AZ1306" i="1"/>
  <c r="AZ1307" i="1"/>
  <c r="AZ1308" i="1"/>
  <c r="AZ1309" i="1"/>
  <c r="AZ1310" i="1"/>
  <c r="AZ1311" i="1"/>
  <c r="AZ1312" i="1"/>
  <c r="AZ1313" i="1"/>
  <c r="AZ1314" i="1"/>
  <c r="AZ1315" i="1"/>
  <c r="AZ1316" i="1"/>
  <c r="AZ1317" i="1"/>
  <c r="AZ1318" i="1"/>
  <c r="AZ1319" i="1"/>
  <c r="AZ1320" i="1"/>
  <c r="AZ1321" i="1"/>
  <c r="AZ1322" i="1"/>
  <c r="AZ1323" i="1"/>
  <c r="AZ1324" i="1"/>
  <c r="AZ1325" i="1"/>
  <c r="AZ1326" i="1"/>
  <c r="AZ1327" i="1"/>
  <c r="AZ1328" i="1"/>
  <c r="AZ1329" i="1"/>
  <c r="AZ1330" i="1"/>
  <c r="AZ1331" i="1"/>
  <c r="AZ1332" i="1"/>
  <c r="AZ1333" i="1"/>
  <c r="AZ1334" i="1"/>
  <c r="AZ1335" i="1"/>
  <c r="AZ1336" i="1"/>
  <c r="AZ1337" i="1"/>
  <c r="AZ1338" i="1"/>
  <c r="AZ1339" i="1"/>
  <c r="AZ1340" i="1"/>
  <c r="AZ1341" i="1"/>
  <c r="AZ1342" i="1"/>
  <c r="AZ1343" i="1"/>
  <c r="AZ1344" i="1"/>
  <c r="AZ1345" i="1"/>
  <c r="AZ1346" i="1"/>
  <c r="AZ1347" i="1"/>
  <c r="AZ1348" i="1"/>
  <c r="AZ1349" i="1"/>
  <c r="AZ1350" i="1"/>
  <c r="AZ1352" i="1"/>
  <c r="AZ1353" i="1"/>
  <c r="AZ1354" i="1"/>
  <c r="AZ1355" i="1"/>
  <c r="AZ1356" i="1"/>
  <c r="AZ1357" i="1"/>
  <c r="AZ1358" i="1"/>
  <c r="AZ1359" i="1"/>
  <c r="AZ1360" i="1"/>
  <c r="AZ1361" i="1"/>
  <c r="AZ1362" i="1"/>
  <c r="AZ1363" i="1"/>
  <c r="AZ1364" i="1"/>
  <c r="AZ1365" i="1"/>
  <c r="AZ1366" i="1"/>
  <c r="AZ1367" i="1"/>
  <c r="AZ1368" i="1"/>
  <c r="AZ1369" i="1"/>
  <c r="AZ1370" i="1"/>
  <c r="AZ1371" i="1"/>
  <c r="AZ1372" i="1"/>
  <c r="AZ1373" i="1"/>
  <c r="AZ1374" i="1"/>
  <c r="AZ1377" i="1"/>
  <c r="AZ1378" i="1"/>
  <c r="AZ1379" i="1"/>
  <c r="AZ1380" i="1"/>
  <c r="AZ1381" i="1"/>
  <c r="AZ1383" i="1"/>
  <c r="AZ1384" i="1"/>
  <c r="AZ1385" i="1"/>
  <c r="AZ1386" i="1"/>
  <c r="AZ1387" i="1"/>
  <c r="AZ1388" i="1"/>
  <c r="AZ1389" i="1"/>
  <c r="AZ1390" i="1"/>
  <c r="AZ1391" i="1"/>
  <c r="AZ1392" i="1"/>
  <c r="AZ1393" i="1"/>
  <c r="AZ1394" i="1"/>
  <c r="AZ1395" i="1"/>
  <c r="AZ1396" i="1"/>
  <c r="AZ1397" i="1"/>
  <c r="AZ1404" i="1"/>
  <c r="AZ1405" i="1"/>
  <c r="AZ2" i="1"/>
  <c r="P1227" i="1"/>
  <c r="AY2" i="1"/>
  <c r="AY3" i="1"/>
  <c r="AY4" i="1"/>
  <c r="AY5" i="1"/>
  <c r="AY9" i="1"/>
  <c r="AY10" i="1"/>
  <c r="AY11" i="1"/>
  <c r="AY12" i="1"/>
  <c r="AY15" i="1"/>
  <c r="AY17" i="1"/>
  <c r="AY19" i="1"/>
  <c r="AY21" i="1"/>
  <c r="AY22" i="1"/>
  <c r="AY23" i="1"/>
  <c r="AY26" i="1"/>
  <c r="AY27" i="1"/>
  <c r="AY28" i="1"/>
  <c r="AY29" i="1"/>
  <c r="AY30" i="1"/>
  <c r="AY31" i="1"/>
  <c r="AY32" i="1"/>
  <c r="AY33" i="1"/>
  <c r="AY34" i="1"/>
  <c r="AY35" i="1"/>
  <c r="AY36" i="1"/>
  <c r="AY37" i="1"/>
  <c r="AY38" i="1"/>
  <c r="AY39" i="1"/>
  <c r="AY40" i="1"/>
  <c r="AY42" i="1"/>
  <c r="AY43" i="1"/>
  <c r="AY44" i="1"/>
  <c r="AY46" i="1"/>
  <c r="AY47" i="1"/>
  <c r="AY48" i="1"/>
  <c r="AY49" i="1"/>
  <c r="AY50" i="1"/>
  <c r="AY51" i="1"/>
  <c r="AY52" i="1"/>
  <c r="AY53" i="1"/>
  <c r="AY54" i="1"/>
  <c r="AY55" i="1"/>
  <c r="AY56" i="1"/>
  <c r="AY57" i="1"/>
  <c r="AY58" i="1"/>
  <c r="AY59" i="1"/>
  <c r="AY61" i="1"/>
  <c r="AY62" i="1"/>
  <c r="AY63" i="1"/>
  <c r="AY66" i="1"/>
  <c r="AY67" i="1"/>
  <c r="AY68" i="1"/>
  <c r="AY70" i="1"/>
  <c r="AY71" i="1"/>
  <c r="AY72" i="1"/>
  <c r="AY73" i="1"/>
  <c r="AY74" i="1"/>
  <c r="AY75" i="1"/>
  <c r="AY76" i="1"/>
  <c r="AY77" i="1"/>
  <c r="AY78" i="1"/>
  <c r="AY80" i="1"/>
  <c r="AY81" i="1"/>
  <c r="AY82" i="1"/>
  <c r="AY83" i="1"/>
  <c r="AY85" i="1"/>
  <c r="AY86" i="1"/>
  <c r="AY87" i="1"/>
  <c r="AY88" i="1"/>
  <c r="AY89" i="1"/>
  <c r="AY91" i="1"/>
  <c r="AY92" i="1"/>
  <c r="AY93" i="1"/>
  <c r="AY94" i="1"/>
  <c r="AY95" i="1"/>
  <c r="AY96" i="1"/>
  <c r="AY97" i="1"/>
  <c r="AY98" i="1"/>
  <c r="AY99" i="1"/>
  <c r="AY100" i="1"/>
  <c r="AY101" i="1"/>
  <c r="AY102" i="1"/>
  <c r="AY103" i="1"/>
  <c r="AY104" i="1"/>
  <c r="AY105" i="1"/>
  <c r="AY109" i="1"/>
  <c r="AY110" i="1"/>
  <c r="AY111" i="1"/>
  <c r="AY112" i="1"/>
  <c r="AY114" i="1"/>
  <c r="AY115" i="1"/>
  <c r="AY116" i="1"/>
  <c r="AY117" i="1"/>
  <c r="AY118" i="1"/>
  <c r="AY121" i="1"/>
  <c r="AY122" i="1"/>
  <c r="AY123" i="1"/>
  <c r="AY125" i="1"/>
  <c r="AY126" i="1"/>
  <c r="AY128" i="1"/>
  <c r="AY129" i="1"/>
  <c r="AY130" i="1"/>
  <c r="AY131" i="1"/>
  <c r="AY132" i="1"/>
  <c r="AY134" i="1"/>
  <c r="AY135" i="1"/>
  <c r="AY137" i="1"/>
  <c r="AY139" i="1"/>
  <c r="AY140" i="1"/>
  <c r="AY141" i="1"/>
  <c r="AY142" i="1"/>
  <c r="AY143" i="1"/>
  <c r="AY144" i="1"/>
  <c r="AY147" i="1"/>
  <c r="AY148" i="1"/>
  <c r="AY149" i="1"/>
  <c r="AY150" i="1"/>
  <c r="AY151" i="1"/>
  <c r="AY152" i="1"/>
  <c r="AY153" i="1"/>
  <c r="AY154" i="1"/>
  <c r="AY157" i="1"/>
  <c r="AY158" i="1"/>
  <c r="AY159" i="1"/>
  <c r="AY160" i="1"/>
  <c r="AY161" i="1"/>
  <c r="AY162" i="1"/>
  <c r="AY163" i="1"/>
  <c r="AY164" i="1"/>
  <c r="AY165" i="1"/>
  <c r="AY166" i="1"/>
  <c r="AY167" i="1"/>
  <c r="AY169" i="1"/>
  <c r="AY170" i="1"/>
  <c r="AY171" i="1"/>
  <c r="AY172" i="1"/>
  <c r="AY173" i="1"/>
  <c r="AY177" i="1"/>
  <c r="AY181" i="1"/>
  <c r="AY183" i="1"/>
  <c r="AY184" i="1"/>
  <c r="AY185" i="1"/>
  <c r="AY187" i="1"/>
  <c r="AY188" i="1"/>
  <c r="AY189" i="1"/>
  <c r="AY196" i="1"/>
  <c r="AY197" i="1"/>
  <c r="AY198" i="1"/>
  <c r="AY199" i="1"/>
  <c r="AY200" i="1"/>
  <c r="AY201" i="1"/>
  <c r="AY202" i="1"/>
  <c r="AY203" i="1"/>
  <c r="AY204" i="1"/>
  <c r="AY205" i="1"/>
  <c r="AY206" i="1"/>
  <c r="AY207" i="1"/>
  <c r="AY208" i="1"/>
  <c r="AY209" i="1"/>
  <c r="AY210" i="1"/>
  <c r="AY211" i="1"/>
  <c r="AY212" i="1"/>
  <c r="AY213" i="1"/>
  <c r="AY214" i="1"/>
  <c r="AY216" i="1"/>
  <c r="AY217" i="1"/>
  <c r="AY218" i="1"/>
  <c r="AY219" i="1"/>
  <c r="AY220" i="1"/>
  <c r="AY221" i="1"/>
  <c r="AY222" i="1"/>
  <c r="AY223" i="1"/>
  <c r="AY225" i="1"/>
  <c r="AY226" i="1"/>
  <c r="AY231" i="1"/>
  <c r="AY232" i="1"/>
  <c r="AY234" i="1"/>
  <c r="AY235" i="1"/>
  <c r="AY236" i="1"/>
  <c r="AY237" i="1"/>
  <c r="AY238" i="1"/>
  <c r="AY239" i="1"/>
  <c r="AY240" i="1"/>
  <c r="AY241" i="1"/>
  <c r="AY242" i="1"/>
  <c r="AY243" i="1"/>
  <c r="AY244" i="1"/>
  <c r="AY245" i="1"/>
  <c r="AY246" i="1"/>
  <c r="AY247" i="1"/>
  <c r="AY248" i="1"/>
  <c r="AY249" i="1"/>
  <c r="AY250" i="1"/>
  <c r="AY251" i="1"/>
  <c r="AY252" i="1"/>
  <c r="AY256" i="1"/>
  <c r="AY258" i="1"/>
  <c r="AY260" i="1"/>
  <c r="AY261" i="1"/>
  <c r="AY262" i="1"/>
  <c r="AY264" i="1"/>
  <c r="AY265" i="1"/>
  <c r="AY266" i="1"/>
  <c r="AY267" i="1"/>
  <c r="AY268" i="1"/>
  <c r="AY269" i="1"/>
  <c r="AY270" i="1"/>
  <c r="AY271" i="1"/>
  <c r="AY272" i="1"/>
  <c r="AY273" i="1"/>
  <c r="AY274" i="1"/>
  <c r="AY275" i="1"/>
  <c r="AY277" i="1"/>
  <c r="AY278" i="1"/>
  <c r="AY279" i="1"/>
  <c r="AY281" i="1"/>
  <c r="AY282" i="1"/>
  <c r="AY283" i="1"/>
  <c r="AY284" i="1"/>
  <c r="AY287" i="1"/>
  <c r="AY288" i="1"/>
  <c r="AY289" i="1"/>
  <c r="AY292" i="1"/>
  <c r="AY293" i="1"/>
  <c r="AY294" i="1"/>
  <c r="AY295" i="1"/>
  <c r="AY297" i="1"/>
  <c r="AY298" i="1"/>
  <c r="AY299" i="1"/>
  <c r="AY300" i="1"/>
  <c r="AY301" i="1"/>
  <c r="AY302" i="1"/>
  <c r="AY303" i="1"/>
  <c r="AY306" i="1"/>
  <c r="AY310" i="1"/>
  <c r="AY311" i="1"/>
  <c r="AY312" i="1"/>
  <c r="AY313" i="1"/>
  <c r="AY314" i="1"/>
  <c r="AY315" i="1"/>
  <c r="AY316" i="1"/>
  <c r="AY317" i="1"/>
  <c r="AY318" i="1"/>
  <c r="AY319" i="1"/>
  <c r="AY320" i="1"/>
  <c r="AY321" i="1"/>
  <c r="AY322" i="1"/>
  <c r="AY323" i="1"/>
  <c r="AY324" i="1"/>
  <c r="AY325" i="1"/>
  <c r="AY326" i="1"/>
  <c r="AY327" i="1"/>
  <c r="AY328" i="1"/>
  <c r="AY329" i="1"/>
  <c r="AY330" i="1"/>
  <c r="AY331" i="1"/>
  <c r="AY332" i="1"/>
  <c r="AY333" i="1"/>
  <c r="AY334" i="1"/>
  <c r="AY335" i="1"/>
  <c r="AY336" i="1"/>
  <c r="AY337" i="1"/>
  <c r="AY338" i="1"/>
  <c r="AY339" i="1"/>
  <c r="AY340" i="1"/>
  <c r="AY341" i="1"/>
  <c r="AY342" i="1"/>
  <c r="AY343" i="1"/>
  <c r="AY344" i="1"/>
  <c r="AY345" i="1"/>
  <c r="AY346" i="1"/>
  <c r="AY347" i="1"/>
  <c r="AY348" i="1"/>
  <c r="AY349" i="1"/>
  <c r="AY350" i="1"/>
  <c r="AY351" i="1"/>
  <c r="AY352" i="1"/>
  <c r="AY353" i="1"/>
  <c r="AY354" i="1"/>
  <c r="AY355" i="1"/>
  <c r="AY356" i="1"/>
  <c r="AY357" i="1"/>
  <c r="AY358" i="1"/>
  <c r="AY359" i="1"/>
  <c r="AY362" i="1"/>
  <c r="AY363" i="1"/>
  <c r="AY367" i="1"/>
  <c r="AY368" i="1"/>
  <c r="AY369" i="1"/>
  <c r="AY370" i="1"/>
  <c r="AY371" i="1"/>
  <c r="AY372" i="1"/>
  <c r="AY374" i="1"/>
  <c r="AY375" i="1"/>
  <c r="AY376" i="1"/>
  <c r="AY377" i="1"/>
  <c r="AY379" i="1"/>
  <c r="AY380" i="1"/>
  <c r="AY381" i="1"/>
  <c r="AY382" i="1"/>
  <c r="AY383" i="1"/>
  <c r="AY384" i="1"/>
  <c r="AY385" i="1"/>
  <c r="AY386" i="1"/>
  <c r="AY387" i="1"/>
  <c r="AY388" i="1"/>
  <c r="AY389" i="1"/>
  <c r="AY390" i="1"/>
  <c r="AY392" i="1"/>
  <c r="AY393" i="1"/>
  <c r="AY394" i="1"/>
  <c r="AY395" i="1"/>
  <c r="AY396" i="1"/>
  <c r="AY397" i="1"/>
  <c r="AY398" i="1"/>
  <c r="AY399" i="1"/>
  <c r="AY400" i="1"/>
  <c r="AY401" i="1"/>
  <c r="AY402" i="1"/>
  <c r="AY403" i="1"/>
  <c r="AY404" i="1"/>
  <c r="AY405" i="1"/>
  <c r="AY406" i="1"/>
  <c r="AY407" i="1"/>
  <c r="AY408" i="1"/>
  <c r="AY409" i="1"/>
  <c r="AY410" i="1"/>
  <c r="AY411" i="1"/>
  <c r="AY412" i="1"/>
  <c r="AY413" i="1"/>
  <c r="AY414" i="1"/>
  <c r="AY415" i="1"/>
  <c r="AY416" i="1"/>
  <c r="AY417" i="1"/>
  <c r="AY418" i="1"/>
  <c r="AY419" i="1"/>
  <c r="AY420" i="1"/>
  <c r="AY421" i="1"/>
  <c r="AY422" i="1"/>
  <c r="AY423" i="1"/>
  <c r="AY424" i="1"/>
  <c r="AY425" i="1"/>
  <c r="AY426" i="1"/>
  <c r="AY427" i="1"/>
  <c r="AY428" i="1"/>
  <c r="AY429" i="1"/>
  <c r="AY430" i="1"/>
  <c r="AY431" i="1"/>
  <c r="AY432" i="1"/>
  <c r="AY433" i="1"/>
  <c r="AY434" i="1"/>
  <c r="AY435" i="1"/>
  <c r="AY436" i="1"/>
  <c r="AY437" i="1"/>
  <c r="AY438" i="1"/>
  <c r="AY439" i="1"/>
  <c r="AY440" i="1"/>
  <c r="AY441" i="1"/>
  <c r="AY442" i="1"/>
  <c r="AY443" i="1"/>
  <c r="AY444" i="1"/>
  <c r="AY445" i="1"/>
  <c r="AY446" i="1"/>
  <c r="AY447" i="1"/>
  <c r="AY448" i="1"/>
  <c r="AY449" i="1"/>
  <c r="AY450" i="1"/>
  <c r="AY451" i="1"/>
  <c r="AY452" i="1"/>
  <c r="AY453" i="1"/>
  <c r="AY455" i="1"/>
  <c r="AY456" i="1"/>
  <c r="AY457" i="1"/>
  <c r="AY458" i="1"/>
  <c r="AY459" i="1"/>
  <c r="AY460" i="1"/>
  <c r="AY461" i="1"/>
  <c r="AY463" i="1"/>
  <c r="AY464" i="1"/>
  <c r="AY465" i="1"/>
  <c r="AY466" i="1"/>
  <c r="AY467" i="1"/>
  <c r="AY468" i="1"/>
  <c r="AY469" i="1"/>
  <c r="AY470" i="1"/>
  <c r="AY471" i="1"/>
  <c r="AY472" i="1"/>
  <c r="AY473" i="1"/>
  <c r="AY474" i="1"/>
  <c r="AY475" i="1"/>
  <c r="AY476" i="1"/>
  <c r="AY477" i="1"/>
  <c r="AY478" i="1"/>
  <c r="AY479" i="1"/>
  <c r="AY480" i="1"/>
  <c r="AY481" i="1"/>
  <c r="AY482" i="1"/>
  <c r="AY483" i="1"/>
  <c r="AY484" i="1"/>
  <c r="AY485" i="1"/>
  <c r="AY486" i="1"/>
  <c r="AY487" i="1"/>
  <c r="AY488" i="1"/>
  <c r="AY489" i="1"/>
  <c r="AY490" i="1"/>
  <c r="AY491" i="1"/>
  <c r="AY492" i="1"/>
  <c r="AY493" i="1"/>
  <c r="AY494" i="1"/>
  <c r="AY495" i="1"/>
  <c r="AY496" i="1"/>
  <c r="AY497" i="1"/>
  <c r="AY498" i="1"/>
  <c r="AY499" i="1"/>
  <c r="AY500" i="1"/>
  <c r="AY501" i="1"/>
  <c r="AY502" i="1"/>
  <c r="AY503" i="1"/>
  <c r="AY504" i="1"/>
  <c r="AY505" i="1"/>
  <c r="AY506" i="1"/>
  <c r="AY507" i="1"/>
  <c r="AY508" i="1"/>
  <c r="AY509" i="1"/>
  <c r="AY510" i="1"/>
  <c r="AY511" i="1"/>
  <c r="AY512" i="1"/>
  <c r="AY513" i="1"/>
  <c r="AY514" i="1"/>
  <c r="AY515" i="1"/>
  <c r="AY516" i="1"/>
  <c r="AY517" i="1"/>
  <c r="AY518" i="1"/>
  <c r="AY519" i="1"/>
  <c r="AY520" i="1"/>
  <c r="AY521" i="1"/>
  <c r="AY522" i="1"/>
  <c r="AY523" i="1"/>
  <c r="AY524" i="1"/>
  <c r="AY525" i="1"/>
  <c r="AY526" i="1"/>
  <c r="AY527" i="1"/>
  <c r="AY528" i="1"/>
  <c r="AY529" i="1"/>
  <c r="AY530" i="1"/>
  <c r="AY531" i="1"/>
  <c r="AY532" i="1"/>
  <c r="AY533" i="1"/>
  <c r="AY534" i="1"/>
  <c r="AY535" i="1"/>
  <c r="AY536" i="1"/>
  <c r="AY537" i="1"/>
  <c r="AY538" i="1"/>
  <c r="AY539" i="1"/>
  <c r="AY540" i="1"/>
  <c r="AY541" i="1"/>
  <c r="AY542" i="1"/>
  <c r="AY543" i="1"/>
  <c r="AY544" i="1"/>
  <c r="AY545" i="1"/>
  <c r="AY546" i="1"/>
  <c r="AY547" i="1"/>
  <c r="AY548" i="1"/>
  <c r="AY549" i="1"/>
  <c r="AY550" i="1"/>
  <c r="AY551" i="1"/>
  <c r="AY552" i="1"/>
  <c r="AY553" i="1"/>
  <c r="AY554" i="1"/>
  <c r="AY555" i="1"/>
  <c r="AY556" i="1"/>
  <c r="AY557" i="1"/>
  <c r="AY558" i="1"/>
  <c r="AY559" i="1"/>
  <c r="AY560" i="1"/>
  <c r="AY561" i="1"/>
  <c r="AY562" i="1"/>
  <c r="AY563" i="1"/>
  <c r="AY564" i="1"/>
  <c r="AY565" i="1"/>
  <c r="AY566" i="1"/>
  <c r="AY567" i="1"/>
  <c r="AY568" i="1"/>
  <c r="AY569" i="1"/>
  <c r="AY570" i="1"/>
  <c r="AY571" i="1"/>
  <c r="AY572" i="1"/>
  <c r="AY573" i="1"/>
  <c r="AY574" i="1"/>
  <c r="AY575" i="1"/>
  <c r="AY576" i="1"/>
  <c r="AY577" i="1"/>
  <c r="AY578" i="1"/>
  <c r="AY579" i="1"/>
  <c r="AY581" i="1"/>
  <c r="AY582" i="1"/>
  <c r="AY583" i="1"/>
  <c r="AY584" i="1"/>
  <c r="AY585" i="1"/>
  <c r="AY586" i="1"/>
  <c r="AY587" i="1"/>
  <c r="AY588" i="1"/>
  <c r="AY589" i="1"/>
  <c r="AY590" i="1"/>
  <c r="AY591" i="1"/>
  <c r="AY593" i="1"/>
  <c r="AY594" i="1"/>
  <c r="AY597" i="1"/>
  <c r="AY598" i="1"/>
  <c r="AY599" i="1"/>
  <c r="AY600" i="1"/>
  <c r="AY602" i="1"/>
  <c r="AY603" i="1"/>
  <c r="AY604" i="1"/>
  <c r="AY605" i="1"/>
  <c r="AY606" i="1"/>
  <c r="AY607" i="1"/>
  <c r="AY608" i="1"/>
  <c r="AY609" i="1"/>
  <c r="AY610" i="1"/>
  <c r="AY611" i="1"/>
  <c r="AY612" i="1"/>
  <c r="AY613" i="1"/>
  <c r="AY614" i="1"/>
  <c r="AY615" i="1"/>
  <c r="AY616" i="1"/>
  <c r="AY601" i="1"/>
  <c r="AY618" i="1"/>
  <c r="AY619" i="1"/>
  <c r="AY620" i="1"/>
  <c r="AY621" i="1"/>
  <c r="AY622" i="1"/>
  <c r="AY623" i="1"/>
  <c r="AY624" i="1"/>
  <c r="AY626" i="1"/>
  <c r="AY627" i="1"/>
  <c r="AY628" i="1"/>
  <c r="AY629" i="1"/>
  <c r="AY630" i="1"/>
  <c r="AY632" i="1"/>
  <c r="AY633" i="1"/>
  <c r="AY634" i="1"/>
  <c r="AY635" i="1"/>
  <c r="AY636" i="1"/>
  <c r="AY639" i="1"/>
  <c r="AY642" i="1"/>
  <c r="AY643" i="1"/>
  <c r="AY645" i="1"/>
  <c r="AY646" i="1"/>
  <c r="AY649" i="1"/>
  <c r="AY650" i="1"/>
  <c r="AY653" i="1"/>
  <c r="AY654" i="1"/>
  <c r="AY655" i="1"/>
  <c r="AY656" i="1"/>
  <c r="AY657" i="1"/>
  <c r="AY658" i="1"/>
  <c r="AY659" i="1"/>
  <c r="AY660" i="1"/>
  <c r="AY662" i="1"/>
  <c r="AY664" i="1"/>
  <c r="AY665" i="1"/>
  <c r="AY666" i="1"/>
  <c r="AY667" i="1"/>
  <c r="AY668" i="1"/>
  <c r="AY669" i="1"/>
  <c r="AY670" i="1"/>
  <c r="AY671" i="1"/>
  <c r="AY672" i="1"/>
  <c r="AY674" i="1"/>
  <c r="AY675" i="1"/>
  <c r="AY676" i="1"/>
  <c r="AY677" i="1"/>
  <c r="AY678" i="1"/>
  <c r="AY679" i="1"/>
  <c r="AY680" i="1"/>
  <c r="AY681" i="1"/>
  <c r="AY682" i="1"/>
  <c r="AY683" i="1"/>
  <c r="AY684" i="1"/>
  <c r="AY685" i="1"/>
  <c r="AY686" i="1"/>
  <c r="AY687" i="1"/>
  <c r="AY688" i="1"/>
  <c r="AY689" i="1"/>
  <c r="AY690" i="1"/>
  <c r="AY691" i="1"/>
  <c r="AY692" i="1"/>
  <c r="AY693" i="1"/>
  <c r="AY694" i="1"/>
  <c r="AY697" i="1"/>
  <c r="AY698" i="1"/>
  <c r="AY699" i="1"/>
  <c r="AY700" i="1"/>
  <c r="AY701" i="1"/>
  <c r="AY703" i="1"/>
  <c r="AY704" i="1"/>
  <c r="AY705" i="1"/>
  <c r="AY706" i="1"/>
  <c r="AY707" i="1"/>
  <c r="AY708" i="1"/>
  <c r="AY709" i="1"/>
  <c r="AY710" i="1"/>
  <c r="AY711" i="1"/>
  <c r="AY712" i="1"/>
  <c r="AY713" i="1"/>
  <c r="AY714" i="1"/>
  <c r="AY715" i="1"/>
  <c r="AY716" i="1"/>
  <c r="AY717" i="1"/>
  <c r="AY718" i="1"/>
  <c r="AY719" i="1"/>
  <c r="AY720" i="1"/>
  <c r="AY721" i="1"/>
  <c r="AY726" i="1"/>
  <c r="AY727" i="1"/>
  <c r="AY728" i="1"/>
  <c r="AY729" i="1"/>
  <c r="AY730" i="1"/>
  <c r="AY731" i="1"/>
  <c r="AY732" i="1"/>
  <c r="AY733" i="1"/>
  <c r="AY734" i="1"/>
  <c r="AY735" i="1"/>
  <c r="AY736" i="1"/>
  <c r="AY738" i="1"/>
  <c r="AY739" i="1"/>
  <c r="AY740" i="1"/>
  <c r="AY744" i="1"/>
  <c r="AY745" i="1"/>
  <c r="AY747" i="1"/>
  <c r="AY749" i="1"/>
  <c r="AY750" i="1"/>
  <c r="AY751" i="1"/>
  <c r="AY752" i="1"/>
  <c r="AY753" i="1"/>
  <c r="AY754" i="1"/>
  <c r="AY755" i="1"/>
  <c r="AY756" i="1"/>
  <c r="AY757" i="1"/>
  <c r="AY758" i="1"/>
  <c r="AY759" i="1"/>
  <c r="AY760" i="1"/>
  <c r="AY761" i="1"/>
  <c r="AY763" i="1"/>
  <c r="AY764" i="1"/>
  <c r="AY765" i="1"/>
  <c r="AY766" i="1"/>
  <c r="AY767" i="1"/>
  <c r="AY768" i="1"/>
  <c r="AY769" i="1"/>
  <c r="AY770" i="1"/>
  <c r="AY771" i="1"/>
  <c r="AY772" i="1"/>
  <c r="AY773" i="1"/>
  <c r="AY774" i="1"/>
  <c r="AY779" i="1"/>
  <c r="AY780" i="1"/>
  <c r="AY781" i="1"/>
  <c r="AY782" i="1"/>
  <c r="AY783" i="1"/>
  <c r="AY784" i="1"/>
  <c r="AY785" i="1"/>
  <c r="AY786" i="1"/>
  <c r="AY787" i="1"/>
  <c r="AY788" i="1"/>
  <c r="AY789" i="1"/>
  <c r="AY790" i="1"/>
  <c r="AY791" i="1"/>
  <c r="AY793" i="1"/>
  <c r="AY794" i="1"/>
  <c r="AY796" i="1"/>
  <c r="AY797" i="1"/>
  <c r="AY798" i="1"/>
  <c r="AY799" i="1"/>
  <c r="AY800" i="1"/>
  <c r="AY801" i="1"/>
  <c r="AY802" i="1"/>
  <c r="AY803" i="1"/>
  <c r="AY804" i="1"/>
  <c r="AY805" i="1"/>
  <c r="AY806" i="1"/>
  <c r="AY807" i="1"/>
  <c r="AY808" i="1"/>
  <c r="AY809" i="1"/>
  <c r="AY810" i="1"/>
  <c r="AY811" i="1"/>
  <c r="AY812" i="1"/>
  <c r="AY813" i="1"/>
  <c r="AY814" i="1"/>
  <c r="AY815" i="1"/>
  <c r="AY816" i="1"/>
  <c r="AY817" i="1"/>
  <c r="AY818" i="1"/>
  <c r="AY819" i="1"/>
  <c r="AY820" i="1"/>
  <c r="AY821" i="1"/>
  <c r="AY822" i="1"/>
  <c r="AY823" i="1"/>
  <c r="AY824" i="1"/>
  <c r="AY825" i="1"/>
  <c r="AY826" i="1"/>
  <c r="AY827" i="1"/>
  <c r="AY828" i="1"/>
  <c r="AY829" i="1"/>
  <c r="AY830" i="1"/>
  <c r="AY831" i="1"/>
  <c r="AY832" i="1"/>
  <c r="AY833" i="1"/>
  <c r="AY834" i="1"/>
  <c r="AY835" i="1"/>
  <c r="AY836" i="1"/>
  <c r="AY839" i="1"/>
  <c r="AY840" i="1"/>
  <c r="AY841" i="1"/>
  <c r="AY843" i="1"/>
  <c r="AY844" i="1"/>
  <c r="AY845" i="1"/>
  <c r="AY846" i="1"/>
  <c r="AY847" i="1"/>
  <c r="AY848" i="1"/>
  <c r="AY849" i="1"/>
  <c r="AY851" i="1"/>
  <c r="AY852" i="1"/>
  <c r="AY853" i="1"/>
  <c r="AY854" i="1"/>
  <c r="AY855" i="1"/>
  <c r="AY856" i="1"/>
  <c r="AY859" i="1"/>
  <c r="AY862" i="1"/>
  <c r="AY864" i="1"/>
  <c r="AY865" i="1"/>
  <c r="AY866" i="1"/>
  <c r="AY867" i="1"/>
  <c r="AY869" i="1"/>
  <c r="AY870" i="1"/>
  <c r="AY871" i="1"/>
  <c r="AY872" i="1"/>
  <c r="AY873" i="1"/>
  <c r="AY874" i="1"/>
  <c r="AY875" i="1"/>
  <c r="AY876" i="1"/>
  <c r="AY877" i="1"/>
  <c r="AY878" i="1"/>
  <c r="AY879" i="1"/>
  <c r="AY880" i="1"/>
  <c r="AY881" i="1"/>
  <c r="AY882" i="1"/>
  <c r="AY883" i="1"/>
  <c r="AY884" i="1"/>
  <c r="AY885" i="1"/>
  <c r="AY886" i="1"/>
  <c r="AY887" i="1"/>
  <c r="AY888" i="1"/>
  <c r="AY889" i="1"/>
  <c r="AY890" i="1"/>
  <c r="AY893" i="1"/>
  <c r="AY894" i="1"/>
  <c r="AY895" i="1"/>
  <c r="AY896" i="1"/>
  <c r="AY897" i="1"/>
  <c r="AY898" i="1"/>
  <c r="AY899" i="1"/>
  <c r="AY900" i="1"/>
  <c r="AY901" i="1"/>
  <c r="AY902" i="1"/>
  <c r="AY903" i="1"/>
  <c r="AY904" i="1"/>
  <c r="AY905" i="1"/>
  <c r="AY906" i="1"/>
  <c r="AY907" i="1"/>
  <c r="AY908" i="1"/>
  <c r="AY909" i="1"/>
  <c r="AY910" i="1"/>
  <c r="AY911" i="1"/>
  <c r="AY912" i="1"/>
  <c r="AY913" i="1"/>
  <c r="AY914" i="1"/>
  <c r="AY915" i="1"/>
  <c r="AY916" i="1"/>
  <c r="AY917" i="1"/>
  <c r="AY918" i="1"/>
  <c r="AY919" i="1"/>
  <c r="AY920" i="1"/>
  <c r="AY921" i="1"/>
  <c r="AY922" i="1"/>
  <c r="AY923" i="1"/>
  <c r="AY924" i="1"/>
  <c r="AY925" i="1"/>
  <c r="AY926" i="1"/>
  <c r="AY927" i="1"/>
  <c r="AY928" i="1"/>
  <c r="AY929" i="1"/>
  <c r="AY930" i="1"/>
  <c r="AY931" i="1"/>
  <c r="AY932" i="1"/>
  <c r="AY933" i="1"/>
  <c r="AY934" i="1"/>
  <c r="AY935" i="1"/>
  <c r="AY936" i="1"/>
  <c r="AY937" i="1"/>
  <c r="AY938" i="1"/>
  <c r="AY940" i="1"/>
  <c r="AY941" i="1"/>
  <c r="AY942" i="1"/>
  <c r="AY944" i="1"/>
  <c r="AY946" i="1"/>
  <c r="AY947" i="1"/>
  <c r="AY953" i="1"/>
  <c r="AY954" i="1"/>
  <c r="AY955" i="1"/>
  <c r="AY956" i="1"/>
  <c r="AY957" i="1"/>
  <c r="AY958" i="1"/>
  <c r="AY959" i="1"/>
  <c r="AY960" i="1"/>
  <c r="AY961" i="1"/>
  <c r="AY962" i="1"/>
  <c r="AY969" i="1"/>
  <c r="AY970" i="1"/>
  <c r="AY971" i="1"/>
  <c r="AY972" i="1"/>
  <c r="AY973" i="1"/>
  <c r="AY974" i="1"/>
  <c r="AY975" i="1"/>
  <c r="AY976" i="1"/>
  <c r="AY977" i="1"/>
  <c r="AY978" i="1"/>
  <c r="AY979" i="1"/>
  <c r="AY980" i="1"/>
  <c r="AY981" i="1"/>
  <c r="AY982" i="1"/>
  <c r="AY983" i="1"/>
  <c r="AY984" i="1"/>
  <c r="AY985" i="1"/>
  <c r="AY986" i="1"/>
  <c r="AY987" i="1"/>
  <c r="AY988" i="1"/>
  <c r="AY989" i="1"/>
  <c r="AY990" i="1"/>
  <c r="AY991" i="1"/>
  <c r="AY992" i="1"/>
  <c r="AY993" i="1"/>
  <c r="AY994" i="1"/>
  <c r="AY995" i="1"/>
  <c r="AY996" i="1"/>
  <c r="AY997" i="1"/>
  <c r="AY998" i="1"/>
  <c r="AY999" i="1"/>
  <c r="AY1001" i="1"/>
  <c r="AY1002" i="1"/>
  <c r="AY1003" i="1"/>
  <c r="AY1004" i="1"/>
  <c r="AY1005" i="1"/>
  <c r="AY1006" i="1"/>
  <c r="AY1007" i="1"/>
  <c r="AY1008" i="1"/>
  <c r="AY1009" i="1"/>
  <c r="AY1010" i="1"/>
  <c r="AY1011" i="1"/>
  <c r="AY1013" i="1"/>
  <c r="AY1014" i="1"/>
  <c r="AY1015" i="1"/>
  <c r="AY1016" i="1"/>
  <c r="AY1017" i="1"/>
  <c r="AY1018" i="1"/>
  <c r="AY1019" i="1"/>
  <c r="AY1020" i="1"/>
  <c r="AY1022" i="1"/>
  <c r="AY1023" i="1"/>
  <c r="AY1024" i="1"/>
  <c r="AY1025" i="1"/>
  <c r="AY1026" i="1"/>
  <c r="AY1027" i="1"/>
  <c r="AY1028" i="1"/>
  <c r="AY1029" i="1"/>
  <c r="AY1030" i="1"/>
  <c r="AY1031" i="1"/>
  <c r="AY1032" i="1"/>
  <c r="AY1033" i="1"/>
  <c r="AY1034" i="1"/>
  <c r="AY1035" i="1"/>
  <c r="AY1037" i="1"/>
  <c r="AY1039" i="1"/>
  <c r="AY1040" i="1"/>
  <c r="AY1041" i="1"/>
  <c r="AY1042" i="1"/>
  <c r="AY1043" i="1"/>
  <c r="AY1044" i="1"/>
  <c r="AY1045" i="1"/>
  <c r="AY1046" i="1"/>
  <c r="AY1047" i="1"/>
  <c r="AY1048" i="1"/>
  <c r="AY1049" i="1"/>
  <c r="AY1050" i="1"/>
  <c r="AY1051" i="1"/>
  <c r="AY1052" i="1"/>
  <c r="AY1053" i="1"/>
  <c r="AY1054" i="1"/>
  <c r="AY1055" i="1"/>
  <c r="AY1056" i="1"/>
  <c r="AY1057" i="1"/>
  <c r="AY1058" i="1"/>
  <c r="AY1059" i="1"/>
  <c r="AY1060" i="1"/>
  <c r="AY1061" i="1"/>
  <c r="AY1063" i="1"/>
  <c r="AY1069" i="1"/>
  <c r="AY1070" i="1"/>
  <c r="AY1071" i="1"/>
  <c r="AY1073" i="1"/>
  <c r="AY1074" i="1"/>
  <c r="AY1075" i="1"/>
  <c r="AY1076" i="1"/>
  <c r="AY1077" i="1"/>
  <c r="AY1078" i="1"/>
  <c r="AY1079" i="1"/>
  <c r="AY1080" i="1"/>
  <c r="AY1081" i="1"/>
  <c r="AY1082" i="1"/>
  <c r="AY1083" i="1"/>
  <c r="AY1084" i="1"/>
  <c r="AY1085" i="1"/>
  <c r="AY1086" i="1"/>
  <c r="AY1087" i="1"/>
  <c r="AY1088" i="1"/>
  <c r="AY1089" i="1"/>
  <c r="AY1090" i="1"/>
  <c r="AY1091" i="1"/>
  <c r="AY1092" i="1"/>
  <c r="AY1093" i="1"/>
  <c r="AY1094" i="1"/>
  <c r="AY1095" i="1"/>
  <c r="AY1096" i="1"/>
  <c r="AY1097" i="1"/>
  <c r="AY1098" i="1"/>
  <c r="AY1099" i="1"/>
  <c r="AY1100" i="1"/>
  <c r="AY1101" i="1"/>
  <c r="AY1102" i="1"/>
  <c r="AY1103" i="1"/>
  <c r="AY1104" i="1"/>
  <c r="AY1105" i="1"/>
  <c r="AY1106" i="1"/>
  <c r="AY1107" i="1"/>
  <c r="AY1108" i="1"/>
  <c r="AY1109" i="1"/>
  <c r="AY1110" i="1"/>
  <c r="AY1111" i="1"/>
  <c r="AY1112" i="1"/>
  <c r="AY1113" i="1"/>
  <c r="AY1114" i="1"/>
  <c r="AY1115" i="1"/>
  <c r="AY1116" i="1"/>
  <c r="AY1117" i="1"/>
  <c r="AY1118" i="1"/>
  <c r="AY1119" i="1"/>
  <c r="AY1120" i="1"/>
  <c r="AY1121" i="1"/>
  <c r="AY1122" i="1"/>
  <c r="AY1123" i="1"/>
  <c r="AY1124" i="1"/>
  <c r="AY1125" i="1"/>
  <c r="AY1126" i="1"/>
  <c r="AY1127" i="1"/>
  <c r="AY1128" i="1"/>
  <c r="AY1129" i="1"/>
  <c r="AY1130" i="1"/>
  <c r="AY1131" i="1"/>
  <c r="AY1132" i="1"/>
  <c r="AY1133" i="1"/>
  <c r="AY1134" i="1"/>
  <c r="AY1135" i="1"/>
  <c r="AY1136" i="1"/>
  <c r="AY1137" i="1"/>
  <c r="AY1138" i="1"/>
  <c r="AY1139" i="1"/>
  <c r="AY1140" i="1"/>
  <c r="AY1141" i="1"/>
  <c r="AY1142" i="1"/>
  <c r="AY1143" i="1"/>
  <c r="AY1144" i="1"/>
  <c r="AY1145" i="1"/>
  <c r="AY1146" i="1"/>
  <c r="AY1147" i="1"/>
  <c r="AY1148" i="1"/>
  <c r="AY1149" i="1"/>
  <c r="AY1150" i="1"/>
  <c r="AY1151" i="1"/>
  <c r="AY1152" i="1"/>
  <c r="AY1153" i="1"/>
  <c r="AY1154" i="1"/>
  <c r="AY1155" i="1"/>
  <c r="AY1156" i="1"/>
  <c r="AY1157" i="1"/>
  <c r="AY1158" i="1"/>
  <c r="AY1159" i="1"/>
  <c r="AY1160" i="1"/>
  <c r="AY1161" i="1"/>
  <c r="AY1162" i="1"/>
  <c r="AY1163" i="1"/>
  <c r="AY1164" i="1"/>
  <c r="AY1165" i="1"/>
  <c r="AY1166" i="1"/>
  <c r="AY1167" i="1"/>
  <c r="AY1168" i="1"/>
  <c r="AY1169" i="1"/>
  <c r="AY1170" i="1"/>
  <c r="AY1171" i="1"/>
  <c r="AY1172" i="1"/>
  <c r="AY1173" i="1"/>
  <c r="AY1174" i="1"/>
  <c r="AY1175" i="1"/>
  <c r="AY1176" i="1"/>
  <c r="AY1177" i="1"/>
  <c r="AY1178" i="1"/>
  <c r="AY1179" i="1"/>
  <c r="AY1180" i="1"/>
  <c r="AY1181" i="1"/>
  <c r="AY1182" i="1"/>
  <c r="AY1183" i="1"/>
  <c r="AY1184" i="1"/>
  <c r="AY1185" i="1"/>
  <c r="AY1186" i="1"/>
  <c r="AY1187" i="1"/>
  <c r="AY1188" i="1"/>
  <c r="AY1189" i="1"/>
  <c r="AY1190" i="1"/>
  <c r="AY1191" i="1"/>
  <c r="AY1192" i="1"/>
  <c r="AY1193" i="1"/>
  <c r="AY1194" i="1"/>
  <c r="AY1195" i="1"/>
  <c r="AY1196" i="1"/>
  <c r="AY1197" i="1"/>
  <c r="AY1198" i="1"/>
  <c r="AY1199" i="1"/>
  <c r="AY1200" i="1"/>
  <c r="AY1201" i="1"/>
  <c r="AY1202" i="1"/>
  <c r="AY1203" i="1"/>
  <c r="AY1204" i="1"/>
  <c r="AY1205" i="1"/>
  <c r="AY1206" i="1"/>
  <c r="AY1207" i="1"/>
  <c r="AY1208" i="1"/>
  <c r="AY1209" i="1"/>
  <c r="AY1210" i="1"/>
  <c r="AY1211" i="1"/>
  <c r="AY1212" i="1"/>
  <c r="AY1213" i="1"/>
  <c r="AY1214" i="1"/>
  <c r="AY1215" i="1"/>
  <c r="AY1217" i="1"/>
  <c r="AY1218" i="1"/>
  <c r="AY1219" i="1"/>
  <c r="AY1220" i="1"/>
  <c r="AY1221" i="1"/>
  <c r="AY1222" i="1"/>
  <c r="AY1223" i="1"/>
  <c r="AY1224" i="1"/>
  <c r="AY1225" i="1"/>
  <c r="AY1226" i="1"/>
  <c r="AY1227" i="1"/>
  <c r="AY1228" i="1"/>
  <c r="AY1229" i="1"/>
  <c r="AY1230" i="1"/>
  <c r="AY1231" i="1"/>
  <c r="AY1232" i="1"/>
  <c r="AY1233" i="1"/>
  <c r="AY1235" i="1"/>
  <c r="AY1236" i="1"/>
  <c r="AY1237" i="1"/>
  <c r="AY1238" i="1"/>
  <c r="AY1239" i="1"/>
  <c r="AY1240" i="1"/>
  <c r="AY1241" i="1"/>
  <c r="AY1242" i="1"/>
  <c r="AY1243" i="1"/>
  <c r="AY1244" i="1"/>
  <c r="AY1245" i="1"/>
  <c r="AY1246" i="1"/>
  <c r="AY1247" i="1"/>
  <c r="AY1248" i="1"/>
  <c r="AY1249" i="1"/>
  <c r="AY1250" i="1"/>
  <c r="AY1251" i="1"/>
  <c r="AY1252" i="1"/>
  <c r="AY1253" i="1"/>
  <c r="AY1254" i="1"/>
  <c r="AY1255" i="1"/>
  <c r="AY1256" i="1"/>
  <c r="AY1257" i="1"/>
  <c r="AY1258" i="1"/>
  <c r="AY1259" i="1"/>
  <c r="AY1260" i="1"/>
  <c r="AY1261" i="1"/>
  <c r="AY1262" i="1"/>
  <c r="AY1263" i="1"/>
  <c r="AY1264" i="1"/>
  <c r="AY1265" i="1"/>
  <c r="AY1266" i="1"/>
  <c r="AY1267" i="1"/>
  <c r="AY1268" i="1"/>
  <c r="AY1269" i="1"/>
  <c r="AY1270" i="1"/>
  <c r="AY1271" i="1"/>
  <c r="AY1272" i="1"/>
  <c r="AY1273" i="1"/>
  <c r="AY1274" i="1"/>
  <c r="AY1275" i="1"/>
  <c r="AY1276" i="1"/>
  <c r="AY1277" i="1"/>
  <c r="AY1278" i="1"/>
  <c r="AY1279" i="1"/>
  <c r="AY1280" i="1"/>
  <c r="AY1281" i="1"/>
  <c r="AY1282" i="1"/>
  <c r="AY1284" i="1"/>
  <c r="AY1285" i="1"/>
  <c r="AY1286" i="1"/>
  <c r="AY1287" i="1"/>
  <c r="AY1288" i="1"/>
  <c r="AY1289" i="1"/>
  <c r="AY1290" i="1"/>
  <c r="AY1291" i="1"/>
  <c r="AY1292" i="1"/>
  <c r="AY1293" i="1"/>
  <c r="AY1294" i="1"/>
  <c r="AY1295" i="1"/>
  <c r="AY1296" i="1"/>
  <c r="AY1297" i="1"/>
  <c r="AY1298" i="1"/>
  <c r="AY1299" i="1"/>
  <c r="AY1300" i="1"/>
  <c r="AY1301" i="1"/>
  <c r="AY1302" i="1"/>
  <c r="AY1303" i="1"/>
  <c r="AY1304" i="1"/>
  <c r="AY1305" i="1"/>
  <c r="AY1306" i="1"/>
  <c r="AY1307" i="1"/>
  <c r="AY1308" i="1"/>
  <c r="AY1309" i="1"/>
  <c r="AY1310" i="1"/>
  <c r="AY1311" i="1"/>
  <c r="AY1312" i="1"/>
  <c r="AY1313" i="1"/>
  <c r="AY1314" i="1"/>
  <c r="AY1315" i="1"/>
  <c r="AY1316" i="1"/>
  <c r="AY1317" i="1"/>
  <c r="AY1318" i="1"/>
  <c r="AY1319" i="1"/>
  <c r="AY1320" i="1"/>
  <c r="AY1321" i="1"/>
  <c r="AY1322" i="1"/>
  <c r="AY1323" i="1"/>
  <c r="AY1324" i="1"/>
  <c r="AY1325" i="1"/>
  <c r="AY1326" i="1"/>
  <c r="AY1327" i="1"/>
  <c r="AY1328" i="1"/>
  <c r="AY1329" i="1"/>
  <c r="AY1330" i="1"/>
  <c r="AY1331" i="1"/>
  <c r="AY1332" i="1"/>
  <c r="AY1333" i="1"/>
  <c r="AY1334" i="1"/>
  <c r="AY1335" i="1"/>
  <c r="AY1336" i="1"/>
  <c r="AY1337" i="1"/>
  <c r="AY1338" i="1"/>
  <c r="AY1339" i="1"/>
  <c r="AY1340" i="1"/>
  <c r="AY1341" i="1"/>
  <c r="AY1342" i="1"/>
  <c r="AY1343" i="1"/>
  <c r="AY1344" i="1"/>
  <c r="AY1345" i="1"/>
  <c r="AY1346" i="1"/>
  <c r="AY1347" i="1"/>
  <c r="AY1348" i="1"/>
  <c r="AY1349" i="1"/>
  <c r="AY1350" i="1"/>
  <c r="AY1352" i="1"/>
  <c r="AY1353" i="1"/>
  <c r="AY1354" i="1"/>
  <c r="AY1355" i="1"/>
  <c r="AY1356" i="1"/>
  <c r="AY1357" i="1"/>
  <c r="AY1358" i="1"/>
  <c r="AY1359" i="1"/>
  <c r="AY1360" i="1"/>
  <c r="AY1361" i="1"/>
  <c r="AY1362" i="1"/>
  <c r="AY1363" i="1"/>
  <c r="AY1364" i="1"/>
  <c r="AY1365" i="1"/>
  <c r="AY1366" i="1"/>
  <c r="AY1367" i="1"/>
  <c r="AY1368" i="1"/>
  <c r="AY1369" i="1"/>
  <c r="AY1370" i="1"/>
  <c r="AY1371" i="1"/>
  <c r="AY1372" i="1"/>
  <c r="AY1373" i="1"/>
  <c r="AY1374" i="1"/>
  <c r="AY1377" i="1"/>
  <c r="AY1378" i="1"/>
  <c r="AY1379" i="1"/>
  <c r="AY1380" i="1"/>
  <c r="AY1381" i="1"/>
  <c r="AY1383" i="1"/>
  <c r="AY1384" i="1"/>
  <c r="AY1385" i="1"/>
  <c r="AY1386" i="1"/>
  <c r="AY1387" i="1"/>
  <c r="AY1388" i="1"/>
  <c r="AY1389" i="1"/>
  <c r="AY1390" i="1"/>
  <c r="AY1391" i="1"/>
  <c r="AY1392" i="1"/>
  <c r="AY1393" i="1"/>
  <c r="AY1394" i="1"/>
  <c r="AY1395" i="1"/>
  <c r="AY1396" i="1"/>
  <c r="AY1397" i="1"/>
  <c r="AY1404" i="1"/>
  <c r="AY1405" i="1"/>
  <c r="AT3" i="1"/>
  <c r="AT4" i="1"/>
  <c r="AT5" i="1"/>
  <c r="AT6" i="1"/>
  <c r="AT7" i="1"/>
  <c r="AT8" i="1"/>
  <c r="AT9" i="1"/>
  <c r="AT10" i="1"/>
  <c r="AT11" i="1"/>
  <c r="AT12" i="1"/>
  <c r="AT13" i="1"/>
  <c r="AT14" i="1"/>
  <c r="AT15" i="1"/>
  <c r="AT16" i="1"/>
  <c r="AT17" i="1"/>
  <c r="AT18" i="1"/>
  <c r="AT19" i="1"/>
  <c r="AT20" i="1"/>
  <c r="AT21" i="1"/>
  <c r="AT22" i="1"/>
  <c r="AT23" i="1"/>
  <c r="AT24" i="1"/>
  <c r="AT25" i="1"/>
  <c r="AT26" i="1"/>
  <c r="AT27" i="1"/>
  <c r="AT28" i="1"/>
  <c r="AT29" i="1"/>
  <c r="AT30" i="1"/>
  <c r="AT31" i="1"/>
  <c r="AT32" i="1"/>
  <c r="AT33" i="1"/>
  <c r="AT34" i="1"/>
  <c r="AT35" i="1"/>
  <c r="AT36" i="1"/>
  <c r="AT37" i="1"/>
  <c r="AT38" i="1"/>
  <c r="AT39" i="1"/>
  <c r="AT40" i="1"/>
  <c r="AT41" i="1"/>
  <c r="AT42" i="1"/>
  <c r="AT43" i="1"/>
  <c r="AT44" i="1"/>
  <c r="AT45" i="1"/>
  <c r="AT46" i="1"/>
  <c r="AT47" i="1"/>
  <c r="AT48" i="1"/>
  <c r="AT49" i="1"/>
  <c r="AT50" i="1"/>
  <c r="AT51" i="1"/>
  <c r="AT52" i="1"/>
  <c r="AT53" i="1"/>
  <c r="AT54" i="1"/>
  <c r="AT55" i="1"/>
  <c r="AT56" i="1"/>
  <c r="AT57" i="1"/>
  <c r="AT58" i="1"/>
  <c r="AT59" i="1"/>
  <c r="AT60" i="1"/>
  <c r="AT61" i="1"/>
  <c r="AT62" i="1"/>
  <c r="AT63" i="1"/>
  <c r="AT64" i="1"/>
  <c r="AT65" i="1"/>
  <c r="AT66" i="1"/>
  <c r="AT67" i="1"/>
  <c r="AT68" i="1"/>
  <c r="AT69" i="1"/>
  <c r="AT70" i="1"/>
  <c r="AT71" i="1"/>
  <c r="AT72" i="1"/>
  <c r="AT73" i="1"/>
  <c r="AT74" i="1"/>
  <c r="AT75" i="1"/>
  <c r="AT76" i="1"/>
  <c r="AT77" i="1"/>
  <c r="AT78" i="1"/>
  <c r="AT79" i="1"/>
  <c r="AT80" i="1"/>
  <c r="AT81" i="1"/>
  <c r="AT82" i="1"/>
  <c r="AT83" i="1"/>
  <c r="AT84" i="1"/>
  <c r="AT85" i="1"/>
  <c r="AT86" i="1"/>
  <c r="AT87" i="1"/>
  <c r="AT88" i="1"/>
  <c r="AT89" i="1"/>
  <c r="AT90" i="1"/>
  <c r="AT91" i="1"/>
  <c r="AT92" i="1"/>
  <c r="AT93" i="1"/>
  <c r="AT94" i="1"/>
  <c r="AT95" i="1"/>
  <c r="AT96" i="1"/>
  <c r="AT97" i="1"/>
  <c r="AT98" i="1"/>
  <c r="AT99" i="1"/>
  <c r="AT100" i="1"/>
  <c r="AT101" i="1"/>
  <c r="AT102" i="1"/>
  <c r="AT103" i="1"/>
  <c r="AT104" i="1"/>
  <c r="AT105" i="1"/>
  <c r="AT107" i="1"/>
  <c r="AT108" i="1"/>
  <c r="AT109" i="1"/>
  <c r="AT110" i="1"/>
  <c r="AT111" i="1"/>
  <c r="AT112" i="1"/>
  <c r="AT113" i="1"/>
  <c r="AT114" i="1"/>
  <c r="AT115" i="1"/>
  <c r="AT116" i="1"/>
  <c r="AT117" i="1"/>
  <c r="AT118" i="1"/>
  <c r="AT119" i="1"/>
  <c r="AT120" i="1"/>
  <c r="AT121" i="1"/>
  <c r="AT122" i="1"/>
  <c r="AT123" i="1"/>
  <c r="AT124" i="1"/>
  <c r="AT125" i="1"/>
  <c r="AT126" i="1"/>
  <c r="AT127" i="1"/>
  <c r="AT128" i="1"/>
  <c r="AT129" i="1"/>
  <c r="AT130" i="1"/>
  <c r="AT131" i="1"/>
  <c r="AT132" i="1"/>
  <c r="AT133" i="1"/>
  <c r="AT134" i="1"/>
  <c r="AT135" i="1"/>
  <c r="AT136" i="1"/>
  <c r="AT137" i="1"/>
  <c r="AT138" i="1"/>
  <c r="AT139" i="1"/>
  <c r="AT140" i="1"/>
  <c r="AT141" i="1"/>
  <c r="AT142" i="1"/>
  <c r="AT143" i="1"/>
  <c r="AT144" i="1"/>
  <c r="AT145" i="1"/>
  <c r="AT146" i="1"/>
  <c r="AT147" i="1"/>
  <c r="AT148" i="1"/>
  <c r="AT149" i="1"/>
  <c r="AT150" i="1"/>
  <c r="AT151" i="1"/>
  <c r="AT152" i="1"/>
  <c r="AT153" i="1"/>
  <c r="AT154" i="1"/>
  <c r="AT155" i="1"/>
  <c r="AT156" i="1"/>
  <c r="AT157" i="1"/>
  <c r="AT158" i="1"/>
  <c r="AT159" i="1"/>
  <c r="AT160" i="1"/>
  <c r="AT161" i="1"/>
  <c r="AT162" i="1"/>
  <c r="AT163" i="1"/>
  <c r="AT164" i="1"/>
  <c r="AT165" i="1"/>
  <c r="AT166" i="1"/>
  <c r="AT167" i="1"/>
  <c r="AT168" i="1"/>
  <c r="AT169" i="1"/>
  <c r="AT170" i="1"/>
  <c r="AT171" i="1"/>
  <c r="AT172" i="1"/>
  <c r="AT173" i="1"/>
  <c r="AT174" i="1"/>
  <c r="AT175" i="1"/>
  <c r="AT176" i="1"/>
  <c r="AT177" i="1"/>
  <c r="AT178" i="1"/>
  <c r="AT179" i="1"/>
  <c r="AT180" i="1"/>
  <c r="AT181" i="1"/>
  <c r="AT182" i="1"/>
  <c r="AT183" i="1"/>
  <c r="AT184" i="1"/>
  <c r="AT185" i="1"/>
  <c r="AT186" i="1"/>
  <c r="AT187" i="1"/>
  <c r="AT188" i="1"/>
  <c r="AT189" i="1"/>
  <c r="AT190" i="1"/>
  <c r="AT191" i="1"/>
  <c r="AT192" i="1"/>
  <c r="AT193" i="1"/>
  <c r="AT194" i="1"/>
  <c r="AT195" i="1"/>
  <c r="AT196" i="1"/>
  <c r="AT197" i="1"/>
  <c r="AT198" i="1"/>
  <c r="AT199" i="1"/>
  <c r="AT200" i="1"/>
  <c r="AT201" i="1"/>
  <c r="AT202" i="1"/>
  <c r="AT203" i="1"/>
  <c r="AT204" i="1"/>
  <c r="AT205" i="1"/>
  <c r="AT206" i="1"/>
  <c r="AT207" i="1"/>
  <c r="AT208" i="1"/>
  <c r="AT209" i="1"/>
  <c r="AT210" i="1"/>
  <c r="AT211" i="1"/>
  <c r="AT212" i="1"/>
  <c r="AT213" i="1"/>
  <c r="AT214" i="1"/>
  <c r="AT215" i="1"/>
  <c r="AT216" i="1"/>
  <c r="AT217" i="1"/>
  <c r="AT218" i="1"/>
  <c r="AT219" i="1"/>
  <c r="AT220" i="1"/>
  <c r="AT221" i="1"/>
  <c r="AT222" i="1"/>
  <c r="AT223" i="1"/>
  <c r="AT224" i="1"/>
  <c r="AT225" i="1"/>
  <c r="AT226" i="1"/>
  <c r="AT227" i="1"/>
  <c r="AT228" i="1"/>
  <c r="AT229" i="1"/>
  <c r="AT230" i="1"/>
  <c r="AT231" i="1"/>
  <c r="AT232" i="1"/>
  <c r="AT233" i="1"/>
  <c r="AT234" i="1"/>
  <c r="AT235" i="1"/>
  <c r="AT236" i="1"/>
  <c r="AT237" i="1"/>
  <c r="AT238" i="1"/>
  <c r="AT239" i="1"/>
  <c r="AT240" i="1"/>
  <c r="AT241" i="1"/>
  <c r="AT242" i="1"/>
  <c r="AT243" i="1"/>
  <c r="AT244" i="1"/>
  <c r="AT245" i="1"/>
  <c r="AT246" i="1"/>
  <c r="AT247" i="1"/>
  <c r="AT248" i="1"/>
  <c r="AT249" i="1"/>
  <c r="AT250" i="1"/>
  <c r="AT251" i="1"/>
  <c r="AT252" i="1"/>
  <c r="AT253" i="1"/>
  <c r="AT254" i="1"/>
  <c r="AT255" i="1"/>
  <c r="AT256" i="1"/>
  <c r="AT257" i="1"/>
  <c r="AT258" i="1"/>
  <c r="AT259" i="1"/>
  <c r="AT260" i="1"/>
  <c r="AT261" i="1"/>
  <c r="AT262" i="1"/>
  <c r="AT263" i="1"/>
  <c r="AT264" i="1"/>
  <c r="AT265" i="1"/>
  <c r="AT266" i="1"/>
  <c r="AT267" i="1"/>
  <c r="AT268" i="1"/>
  <c r="AT269" i="1"/>
  <c r="AT270" i="1"/>
  <c r="AT271" i="1"/>
  <c r="AT272" i="1"/>
  <c r="AT273" i="1"/>
  <c r="AT274" i="1"/>
  <c r="AT275" i="1"/>
  <c r="AT276" i="1"/>
  <c r="AT277" i="1"/>
  <c r="AT278" i="1"/>
  <c r="AT279" i="1"/>
  <c r="AT280" i="1"/>
  <c r="AT281" i="1"/>
  <c r="AT282" i="1"/>
  <c r="AT283" i="1"/>
  <c r="AT284" i="1"/>
  <c r="AT285" i="1"/>
  <c r="AT286" i="1"/>
  <c r="AT287" i="1"/>
  <c r="AT288" i="1"/>
  <c r="AT289" i="1"/>
  <c r="AT290" i="1"/>
  <c r="AT291" i="1"/>
  <c r="AT292" i="1"/>
  <c r="AT293" i="1"/>
  <c r="AT294" i="1"/>
  <c r="AT295" i="1"/>
  <c r="AT296" i="1"/>
  <c r="AT297" i="1"/>
  <c r="AT298" i="1"/>
  <c r="AT299" i="1"/>
  <c r="AT300" i="1"/>
  <c r="AT301" i="1"/>
  <c r="AT302" i="1"/>
  <c r="AT303" i="1"/>
  <c r="AT304" i="1"/>
  <c r="AT305" i="1"/>
  <c r="AT306" i="1"/>
  <c r="AT307" i="1"/>
  <c r="AT308" i="1"/>
  <c r="AT309" i="1"/>
  <c r="AT310" i="1"/>
  <c r="AT311" i="1"/>
  <c r="AT312" i="1"/>
  <c r="AT313" i="1"/>
  <c r="AT314" i="1"/>
  <c r="AT315" i="1"/>
  <c r="AT316" i="1"/>
  <c r="AT317" i="1"/>
  <c r="AT318" i="1"/>
  <c r="AT319" i="1"/>
  <c r="AT320" i="1"/>
  <c r="AT321" i="1"/>
  <c r="AT322" i="1"/>
  <c r="AT323" i="1"/>
  <c r="AT324" i="1"/>
  <c r="AT325" i="1"/>
  <c r="AT326" i="1"/>
  <c r="AT327" i="1"/>
  <c r="AT328" i="1"/>
  <c r="AT329" i="1"/>
  <c r="AT330" i="1"/>
  <c r="AT331" i="1"/>
  <c r="AT332" i="1"/>
  <c r="AT333" i="1"/>
  <c r="AT334" i="1"/>
  <c r="AT335" i="1"/>
  <c r="AT336" i="1"/>
  <c r="AT337" i="1"/>
  <c r="AT338" i="1"/>
  <c r="AT339" i="1"/>
  <c r="AT340" i="1"/>
  <c r="AT341" i="1"/>
  <c r="AT342" i="1"/>
  <c r="AT343" i="1"/>
  <c r="AT344" i="1"/>
  <c r="AT345" i="1"/>
  <c r="AT346" i="1"/>
  <c r="AT347" i="1"/>
  <c r="AT348" i="1"/>
  <c r="AT349" i="1"/>
  <c r="AT350" i="1"/>
  <c r="AT351" i="1"/>
  <c r="AT352" i="1"/>
  <c r="AT353" i="1"/>
  <c r="AT354" i="1"/>
  <c r="AT355" i="1"/>
  <c r="AT356" i="1"/>
  <c r="AT357" i="1"/>
  <c r="AT358" i="1"/>
  <c r="AT359" i="1"/>
  <c r="AT360" i="1"/>
  <c r="AT362" i="1"/>
  <c r="AT363" i="1"/>
  <c r="AT366" i="1"/>
  <c r="AT367" i="1"/>
  <c r="AT368" i="1"/>
  <c r="AT369" i="1"/>
  <c r="AT370" i="1"/>
  <c r="AT371" i="1"/>
  <c r="AT372" i="1"/>
  <c r="AT373" i="1"/>
  <c r="AT374" i="1"/>
  <c r="AT375" i="1"/>
  <c r="AT376" i="1"/>
  <c r="AT377" i="1"/>
  <c r="AT378" i="1"/>
  <c r="AT379" i="1"/>
  <c r="AT380" i="1"/>
  <c r="AT381" i="1"/>
  <c r="AT382" i="1"/>
  <c r="AT383" i="1"/>
  <c r="AT384" i="1"/>
  <c r="AT385" i="1"/>
  <c r="AT386" i="1"/>
  <c r="AT387" i="1"/>
  <c r="AT388" i="1"/>
  <c r="AT389" i="1"/>
  <c r="AT390" i="1"/>
  <c r="AT391" i="1"/>
  <c r="AT392" i="1"/>
  <c r="AT393" i="1"/>
  <c r="AT394" i="1"/>
  <c r="AT395" i="1"/>
  <c r="AT396" i="1"/>
  <c r="AT397" i="1"/>
  <c r="AT398" i="1"/>
  <c r="AT399" i="1"/>
  <c r="AT400" i="1"/>
  <c r="AT401" i="1"/>
  <c r="AT402" i="1"/>
  <c r="AT403" i="1"/>
  <c r="AT404" i="1"/>
  <c r="AT405" i="1"/>
  <c r="AT406" i="1"/>
  <c r="AT407" i="1"/>
  <c r="AT408" i="1"/>
  <c r="AT409" i="1"/>
  <c r="AT410" i="1"/>
  <c r="AT411" i="1"/>
  <c r="AT412" i="1"/>
  <c r="AT413" i="1"/>
  <c r="AT414" i="1"/>
  <c r="AT415" i="1"/>
  <c r="AT416" i="1"/>
  <c r="AT417" i="1"/>
  <c r="AT418" i="1"/>
  <c r="AT419" i="1"/>
  <c r="AT420" i="1"/>
  <c r="AT421" i="1"/>
  <c r="AT422" i="1"/>
  <c r="AT423" i="1"/>
  <c r="AT424" i="1"/>
  <c r="AT425" i="1"/>
  <c r="AT426" i="1"/>
  <c r="AT427" i="1"/>
  <c r="AT428" i="1"/>
  <c r="AT429" i="1"/>
  <c r="AT430" i="1"/>
  <c r="AT431" i="1"/>
  <c r="AT432" i="1"/>
  <c r="AT433" i="1"/>
  <c r="AT434" i="1"/>
  <c r="AT435" i="1"/>
  <c r="AT436" i="1"/>
  <c r="AT437" i="1"/>
  <c r="AT438" i="1"/>
  <c r="AT439" i="1"/>
  <c r="AT440" i="1"/>
  <c r="AT441" i="1"/>
  <c r="AT442" i="1"/>
  <c r="AT443" i="1"/>
  <c r="AT444" i="1"/>
  <c r="AT445" i="1"/>
  <c r="AT446" i="1"/>
  <c r="AT447" i="1"/>
  <c r="AT448" i="1"/>
  <c r="AT449" i="1"/>
  <c r="AT450" i="1"/>
  <c r="AT451" i="1"/>
  <c r="AT452" i="1"/>
  <c r="AT453" i="1"/>
  <c r="AT454" i="1"/>
  <c r="AT455" i="1"/>
  <c r="AT456" i="1"/>
  <c r="AT457" i="1"/>
  <c r="AT458" i="1"/>
  <c r="AT459" i="1"/>
  <c r="AT460" i="1"/>
  <c r="AT461" i="1"/>
  <c r="AT462" i="1"/>
  <c r="AT463" i="1"/>
  <c r="AT464" i="1"/>
  <c r="AT465" i="1"/>
  <c r="AT466" i="1"/>
  <c r="AT467" i="1"/>
  <c r="AT468" i="1"/>
  <c r="AT469" i="1"/>
  <c r="AT470" i="1"/>
  <c r="AT471" i="1"/>
  <c r="AT472" i="1"/>
  <c r="AT473" i="1"/>
  <c r="AT474" i="1"/>
  <c r="AT475" i="1"/>
  <c r="AT476" i="1"/>
  <c r="AT477" i="1"/>
  <c r="AT478" i="1"/>
  <c r="AT479" i="1"/>
  <c r="AT480" i="1"/>
  <c r="AT481" i="1"/>
  <c r="AT482" i="1"/>
  <c r="AT483" i="1"/>
  <c r="AT484" i="1"/>
  <c r="AT485" i="1"/>
  <c r="AT486" i="1"/>
  <c r="AT487" i="1"/>
  <c r="AT488" i="1"/>
  <c r="AT489" i="1"/>
  <c r="AT490" i="1"/>
  <c r="AT491" i="1"/>
  <c r="AT492" i="1"/>
  <c r="AT493" i="1"/>
  <c r="AT494" i="1"/>
  <c r="AT495" i="1"/>
  <c r="AT496" i="1"/>
  <c r="AT497" i="1"/>
  <c r="AT498" i="1"/>
  <c r="AT499" i="1"/>
  <c r="AT500" i="1"/>
  <c r="AT501" i="1"/>
  <c r="AT502" i="1"/>
  <c r="AT503" i="1"/>
  <c r="AT504" i="1"/>
  <c r="AT505" i="1"/>
  <c r="AT506" i="1"/>
  <c r="AT507" i="1"/>
  <c r="AT508" i="1"/>
  <c r="AT509" i="1"/>
  <c r="AT510" i="1"/>
  <c r="AT511" i="1"/>
  <c r="AT512" i="1"/>
  <c r="AT513" i="1"/>
  <c r="AT514" i="1"/>
  <c r="AT515" i="1"/>
  <c r="AT516" i="1"/>
  <c r="AT517" i="1"/>
  <c r="AT518" i="1"/>
  <c r="AT519" i="1"/>
  <c r="AT520" i="1"/>
  <c r="AT521" i="1"/>
  <c r="AT522" i="1"/>
  <c r="AT523" i="1"/>
  <c r="AT524" i="1"/>
  <c r="AT525" i="1"/>
  <c r="AT526" i="1"/>
  <c r="AT527" i="1"/>
  <c r="AT528" i="1"/>
  <c r="AT529" i="1"/>
  <c r="AT530" i="1"/>
  <c r="AT531" i="1"/>
  <c r="AT532" i="1"/>
  <c r="AT533" i="1"/>
  <c r="AT534" i="1"/>
  <c r="AT535" i="1"/>
  <c r="AT536" i="1"/>
  <c r="AT537" i="1"/>
  <c r="AT538" i="1"/>
  <c r="AT539" i="1"/>
  <c r="AT540" i="1"/>
  <c r="AT541" i="1"/>
  <c r="AT542" i="1"/>
  <c r="AT543" i="1"/>
  <c r="AT544" i="1"/>
  <c r="AT545" i="1"/>
  <c r="AT546" i="1"/>
  <c r="AT547" i="1"/>
  <c r="AT548" i="1"/>
  <c r="AT549" i="1"/>
  <c r="AT550" i="1"/>
  <c r="AT551" i="1"/>
  <c r="AT552" i="1"/>
  <c r="AT553" i="1"/>
  <c r="AT554" i="1"/>
  <c r="AT555" i="1"/>
  <c r="AT556" i="1"/>
  <c r="AT557" i="1"/>
  <c r="AT558" i="1"/>
  <c r="AT559" i="1"/>
  <c r="AT560" i="1"/>
  <c r="AT561" i="1"/>
  <c r="AT562" i="1"/>
  <c r="AT563" i="1"/>
  <c r="AT564" i="1"/>
  <c r="AT565" i="1"/>
  <c r="AT566" i="1"/>
  <c r="AT567" i="1"/>
  <c r="AT568" i="1"/>
  <c r="AT569" i="1"/>
  <c r="AT570" i="1"/>
  <c r="AT571" i="1"/>
  <c r="AT572" i="1"/>
  <c r="AT573" i="1"/>
  <c r="AT574" i="1"/>
  <c r="AT575" i="1"/>
  <c r="AT576" i="1"/>
  <c r="AT577" i="1"/>
  <c r="AT578" i="1"/>
  <c r="AT579" i="1"/>
  <c r="AT580" i="1"/>
  <c r="AT581" i="1"/>
  <c r="AT582" i="1"/>
  <c r="AT583" i="1"/>
  <c r="AT584" i="1"/>
  <c r="AT585" i="1"/>
  <c r="AT586" i="1"/>
  <c r="AT587" i="1"/>
  <c r="AT588" i="1"/>
  <c r="AT589" i="1"/>
  <c r="AT590" i="1"/>
  <c r="AT591" i="1"/>
  <c r="AT592" i="1"/>
  <c r="AT593" i="1"/>
  <c r="AT594" i="1"/>
  <c r="AT597" i="1"/>
  <c r="AT598" i="1"/>
  <c r="AT599" i="1"/>
  <c r="AT600" i="1"/>
  <c r="AT602" i="1"/>
  <c r="AT603" i="1"/>
  <c r="AT604" i="1"/>
  <c r="AT605" i="1"/>
  <c r="AT606" i="1"/>
  <c r="AT607" i="1"/>
  <c r="AT608" i="1"/>
  <c r="AT609" i="1"/>
  <c r="AT610" i="1"/>
  <c r="AT611" i="1"/>
  <c r="AT612" i="1"/>
  <c r="AT613" i="1"/>
  <c r="AT614" i="1"/>
  <c r="AT615" i="1"/>
  <c r="AT616" i="1"/>
  <c r="AT601" i="1"/>
  <c r="AT617" i="1"/>
  <c r="AT618" i="1"/>
  <c r="AT619" i="1"/>
  <c r="AT620" i="1"/>
  <c r="AT621" i="1"/>
  <c r="AT622" i="1"/>
  <c r="AT623" i="1"/>
  <c r="AT624" i="1"/>
  <c r="AT625" i="1"/>
  <c r="AT626" i="1"/>
  <c r="AT627" i="1"/>
  <c r="AT628" i="1"/>
  <c r="AT629" i="1"/>
  <c r="AT630" i="1"/>
  <c r="AT631" i="1"/>
  <c r="AT632" i="1"/>
  <c r="AT633" i="1"/>
  <c r="AT634" i="1"/>
  <c r="AT635" i="1"/>
  <c r="AT636" i="1"/>
  <c r="AT637" i="1"/>
  <c r="AT638" i="1"/>
  <c r="AT639" i="1"/>
  <c r="AT640" i="1"/>
  <c r="AT641" i="1"/>
  <c r="AT642" i="1"/>
  <c r="AT643" i="1"/>
  <c r="AT644" i="1"/>
  <c r="AT645" i="1"/>
  <c r="AT646" i="1"/>
  <c r="AT647" i="1"/>
  <c r="AT648" i="1"/>
  <c r="AT649" i="1"/>
  <c r="AT650" i="1"/>
  <c r="AT651" i="1"/>
  <c r="AT652" i="1"/>
  <c r="AT653" i="1"/>
  <c r="AT654" i="1"/>
  <c r="AT655" i="1"/>
  <c r="AT656" i="1"/>
  <c r="AT657" i="1"/>
  <c r="AT658" i="1"/>
  <c r="AT659" i="1"/>
  <c r="AT660" i="1"/>
  <c r="AT661" i="1"/>
  <c r="AT662" i="1"/>
  <c r="AT663" i="1"/>
  <c r="AT664" i="1"/>
  <c r="AT665" i="1"/>
  <c r="AT666" i="1"/>
  <c r="AT667" i="1"/>
  <c r="AT668" i="1"/>
  <c r="AT669" i="1"/>
  <c r="AT670" i="1"/>
  <c r="AT671" i="1"/>
  <c r="AT672" i="1"/>
  <c r="AT673" i="1"/>
  <c r="AT674" i="1"/>
  <c r="AT675" i="1"/>
  <c r="AT676" i="1"/>
  <c r="AT677" i="1"/>
  <c r="AT678" i="1"/>
  <c r="AT679" i="1"/>
  <c r="AT680" i="1"/>
  <c r="AT681" i="1"/>
  <c r="AT682" i="1"/>
  <c r="AT683" i="1"/>
  <c r="AT684" i="1"/>
  <c r="AT685" i="1"/>
  <c r="AT686" i="1"/>
  <c r="AT687" i="1"/>
  <c r="AT688" i="1"/>
  <c r="AT689" i="1"/>
  <c r="AT690" i="1"/>
  <c r="AT691" i="1"/>
  <c r="AT692" i="1"/>
  <c r="AT693" i="1"/>
  <c r="AT694" i="1"/>
  <c r="AT695" i="1"/>
  <c r="AT696" i="1"/>
  <c r="AT697" i="1"/>
  <c r="AT698" i="1"/>
  <c r="AT699" i="1"/>
  <c r="AT700" i="1"/>
  <c r="AT701" i="1"/>
  <c r="AT702" i="1"/>
  <c r="AT703" i="1"/>
  <c r="AT704" i="1"/>
  <c r="AT705" i="1"/>
  <c r="AT706" i="1"/>
  <c r="AT707" i="1"/>
  <c r="AT708" i="1"/>
  <c r="AT709" i="1"/>
  <c r="AT710" i="1"/>
  <c r="AT711" i="1"/>
  <c r="AT712" i="1"/>
  <c r="AT713" i="1"/>
  <c r="AT714" i="1"/>
  <c r="AT715" i="1"/>
  <c r="AT716" i="1"/>
  <c r="AT717" i="1"/>
  <c r="AT718" i="1"/>
  <c r="AT719" i="1"/>
  <c r="AT720" i="1"/>
  <c r="AT721" i="1"/>
  <c r="AT722" i="1"/>
  <c r="AT723" i="1"/>
  <c r="AT724" i="1"/>
  <c r="AT725" i="1"/>
  <c r="AT726" i="1"/>
  <c r="AT727" i="1"/>
  <c r="AT728" i="1"/>
  <c r="AT729" i="1"/>
  <c r="AT730" i="1"/>
  <c r="AT731" i="1"/>
  <c r="AT732" i="1"/>
  <c r="AT733" i="1"/>
  <c r="AT734" i="1"/>
  <c r="AT735" i="1"/>
  <c r="AT736" i="1"/>
  <c r="AT737" i="1"/>
  <c r="AT738" i="1"/>
  <c r="AT739" i="1"/>
  <c r="AT740" i="1"/>
  <c r="AT741" i="1"/>
  <c r="AT742" i="1"/>
  <c r="AT743" i="1"/>
  <c r="AT744" i="1"/>
  <c r="AT745" i="1"/>
  <c r="AT746" i="1"/>
  <c r="AT747" i="1"/>
  <c r="AT748" i="1"/>
  <c r="AT749" i="1"/>
  <c r="AT750" i="1"/>
  <c r="AT751" i="1"/>
  <c r="AT752" i="1"/>
  <c r="AT753" i="1"/>
  <c r="AT754" i="1"/>
  <c r="AT755" i="1"/>
  <c r="AT756" i="1"/>
  <c r="AT757" i="1"/>
  <c r="AT758" i="1"/>
  <c r="AT759" i="1"/>
  <c r="AT760" i="1"/>
  <c r="AT761" i="1"/>
  <c r="AT762" i="1"/>
  <c r="AT763" i="1"/>
  <c r="AT764" i="1"/>
  <c r="AT765" i="1"/>
  <c r="AT766" i="1"/>
  <c r="AT767" i="1"/>
  <c r="AT768" i="1"/>
  <c r="AT769" i="1"/>
  <c r="AT770" i="1"/>
  <c r="AT771" i="1"/>
  <c r="AT772" i="1"/>
  <c r="AT773" i="1"/>
  <c r="AT774" i="1"/>
  <c r="AT775" i="1"/>
  <c r="AT776" i="1"/>
  <c r="AT777" i="1"/>
  <c r="AT778" i="1"/>
  <c r="AT779" i="1"/>
  <c r="AT780" i="1"/>
  <c r="AT781" i="1"/>
  <c r="AT782" i="1"/>
  <c r="AT783" i="1"/>
  <c r="AT784" i="1"/>
  <c r="AT785" i="1"/>
  <c r="AT786" i="1"/>
  <c r="AT787" i="1"/>
  <c r="AT788" i="1"/>
  <c r="AT789" i="1"/>
  <c r="AT790" i="1"/>
  <c r="AT791" i="1"/>
  <c r="AT792" i="1"/>
  <c r="AT793" i="1"/>
  <c r="AT794" i="1"/>
  <c r="AT795" i="1"/>
  <c r="AT796" i="1"/>
  <c r="AT797" i="1"/>
  <c r="AT798" i="1"/>
  <c r="AT799" i="1"/>
  <c r="AT800" i="1"/>
  <c r="AT801" i="1"/>
  <c r="AT802" i="1"/>
  <c r="AT803" i="1"/>
  <c r="AT804" i="1"/>
  <c r="AT805" i="1"/>
  <c r="AT806" i="1"/>
  <c r="AT807" i="1"/>
  <c r="AT808" i="1"/>
  <c r="AT809" i="1"/>
  <c r="AT810" i="1"/>
  <c r="AT811" i="1"/>
  <c r="AT812" i="1"/>
  <c r="AT813" i="1"/>
  <c r="AT814" i="1"/>
  <c r="AT815" i="1"/>
  <c r="AT816" i="1"/>
  <c r="AT817" i="1"/>
  <c r="AT818" i="1"/>
  <c r="AT819" i="1"/>
  <c r="AT820" i="1"/>
  <c r="AT821" i="1"/>
  <c r="AT822" i="1"/>
  <c r="AT823" i="1"/>
  <c r="AT824" i="1"/>
  <c r="AT825" i="1"/>
  <c r="AT826" i="1"/>
  <c r="AT827" i="1"/>
  <c r="AT828" i="1"/>
  <c r="AT829" i="1"/>
  <c r="AT830" i="1"/>
  <c r="AT831" i="1"/>
  <c r="AT832" i="1"/>
  <c r="AT833" i="1"/>
  <c r="AT834" i="1"/>
  <c r="AT835" i="1"/>
  <c r="AT836" i="1"/>
  <c r="AT837" i="1"/>
  <c r="AT838" i="1"/>
  <c r="AT839" i="1"/>
  <c r="AT840" i="1"/>
  <c r="AT841" i="1"/>
  <c r="AT842" i="1"/>
  <c r="AT843" i="1"/>
  <c r="AT844" i="1"/>
  <c r="AT845" i="1"/>
  <c r="AT846" i="1"/>
  <c r="AT847" i="1"/>
  <c r="AT848" i="1"/>
  <c r="AT849" i="1"/>
  <c r="AT850" i="1"/>
  <c r="AT851" i="1"/>
  <c r="AT852" i="1"/>
  <c r="AT853" i="1"/>
  <c r="AT854" i="1"/>
  <c r="AT855" i="1"/>
  <c r="AT856" i="1"/>
  <c r="AT857" i="1"/>
  <c r="AT858" i="1"/>
  <c r="AT859" i="1"/>
  <c r="AT860" i="1"/>
  <c r="AT861" i="1"/>
  <c r="AT862" i="1"/>
  <c r="AT863" i="1"/>
  <c r="AT864" i="1"/>
  <c r="AT865" i="1"/>
  <c r="AT866" i="1"/>
  <c r="AT867" i="1"/>
  <c r="AT868" i="1"/>
  <c r="AT869" i="1"/>
  <c r="AT870" i="1"/>
  <c r="AT871" i="1"/>
  <c r="AT872" i="1"/>
  <c r="AT873" i="1"/>
  <c r="AT874" i="1"/>
  <c r="AT875" i="1"/>
  <c r="AT876" i="1"/>
  <c r="AT877" i="1"/>
  <c r="AT878" i="1"/>
  <c r="AT879" i="1"/>
  <c r="AT880" i="1"/>
  <c r="AT881" i="1"/>
  <c r="AT882" i="1"/>
  <c r="AT883" i="1"/>
  <c r="AT884" i="1"/>
  <c r="AT885" i="1"/>
  <c r="AT886" i="1"/>
  <c r="AT887" i="1"/>
  <c r="AT888" i="1"/>
  <c r="AT889" i="1"/>
  <c r="AT890" i="1"/>
  <c r="AT891" i="1"/>
  <c r="AT892" i="1"/>
  <c r="AT893" i="1"/>
  <c r="AT894" i="1"/>
  <c r="AT895" i="1"/>
  <c r="AT896" i="1"/>
  <c r="AT897" i="1"/>
  <c r="AT898" i="1"/>
  <c r="AT899" i="1"/>
  <c r="AT900" i="1"/>
  <c r="AT901" i="1"/>
  <c r="AT902" i="1"/>
  <c r="AT903" i="1"/>
  <c r="AT904" i="1"/>
  <c r="AT905" i="1"/>
  <c r="AT906" i="1"/>
  <c r="AT907" i="1"/>
  <c r="AT908" i="1"/>
  <c r="AT909" i="1"/>
  <c r="AT910" i="1"/>
  <c r="AT911" i="1"/>
  <c r="AT912" i="1"/>
  <c r="AT913" i="1"/>
  <c r="AT914" i="1"/>
  <c r="AT915" i="1"/>
  <c r="AT916" i="1"/>
  <c r="AT917" i="1"/>
  <c r="AT918" i="1"/>
  <c r="AT919" i="1"/>
  <c r="AT920" i="1"/>
  <c r="AT921" i="1"/>
  <c r="AT922" i="1"/>
  <c r="AT923" i="1"/>
  <c r="AT924" i="1"/>
  <c r="AT925" i="1"/>
  <c r="AT926" i="1"/>
  <c r="AT927" i="1"/>
  <c r="AT928" i="1"/>
  <c r="AT929" i="1"/>
  <c r="AT930" i="1"/>
  <c r="AT931" i="1"/>
  <c r="AT932" i="1"/>
  <c r="AT933" i="1"/>
  <c r="AT934" i="1"/>
  <c r="AT935" i="1"/>
  <c r="AT936" i="1"/>
  <c r="AT937" i="1"/>
  <c r="AT938" i="1"/>
  <c r="AT939" i="1"/>
  <c r="AT940" i="1"/>
  <c r="AT941" i="1"/>
  <c r="AT942" i="1"/>
  <c r="AT943" i="1"/>
  <c r="AT944" i="1"/>
  <c r="AT945" i="1"/>
  <c r="AT946" i="1"/>
  <c r="AT947" i="1"/>
  <c r="AT948" i="1"/>
  <c r="AT949" i="1"/>
  <c r="AT950" i="1"/>
  <c r="AT951" i="1"/>
  <c r="AT952" i="1"/>
  <c r="AT953" i="1"/>
  <c r="AT954" i="1"/>
  <c r="AT955" i="1"/>
  <c r="AT956" i="1"/>
  <c r="AT957" i="1"/>
  <c r="AT958" i="1"/>
  <c r="AT959" i="1"/>
  <c r="AT960" i="1"/>
  <c r="AT961" i="1"/>
  <c r="AT962" i="1"/>
  <c r="AT968" i="1"/>
  <c r="AT969" i="1"/>
  <c r="AT970" i="1"/>
  <c r="AT971" i="1"/>
  <c r="AT972" i="1"/>
  <c r="AT973" i="1"/>
  <c r="AT974" i="1"/>
  <c r="AT975" i="1"/>
  <c r="AT976" i="1"/>
  <c r="AT977" i="1"/>
  <c r="AT978" i="1"/>
  <c r="AT979" i="1"/>
  <c r="AT980" i="1"/>
  <c r="AT981" i="1"/>
  <c r="AT982" i="1"/>
  <c r="AT983" i="1"/>
  <c r="AT984" i="1"/>
  <c r="AT985" i="1"/>
  <c r="AT986" i="1"/>
  <c r="AT987" i="1"/>
  <c r="AT988" i="1"/>
  <c r="AT989" i="1"/>
  <c r="AT990" i="1"/>
  <c r="AT991" i="1"/>
  <c r="AT992" i="1"/>
  <c r="AT993" i="1"/>
  <c r="AT994" i="1"/>
  <c r="AT995" i="1"/>
  <c r="AT996" i="1"/>
  <c r="AT997" i="1"/>
  <c r="AT998" i="1"/>
  <c r="AT999" i="1"/>
  <c r="AT1000" i="1"/>
  <c r="AT1001" i="1"/>
  <c r="AT1002" i="1"/>
  <c r="AT1003" i="1"/>
  <c r="AT1004" i="1"/>
  <c r="AT1005" i="1"/>
  <c r="AT1006" i="1"/>
  <c r="AT1007" i="1"/>
  <c r="AT1008" i="1"/>
  <c r="AT1009" i="1"/>
  <c r="AT1010" i="1"/>
  <c r="AT1011" i="1"/>
  <c r="AT1012" i="1"/>
  <c r="AT1013" i="1"/>
  <c r="AT1014" i="1"/>
  <c r="AT1015" i="1"/>
  <c r="AT1016" i="1"/>
  <c r="AT1017" i="1"/>
  <c r="AT1018" i="1"/>
  <c r="AT1019" i="1"/>
  <c r="AT1020" i="1"/>
  <c r="AT1021" i="1"/>
  <c r="AT1022" i="1"/>
  <c r="AT1023" i="1"/>
  <c r="AT1024" i="1"/>
  <c r="AT1025" i="1"/>
  <c r="AT1026" i="1"/>
  <c r="AT1027" i="1"/>
  <c r="AT1028" i="1"/>
  <c r="AT1029" i="1"/>
  <c r="AT1030" i="1"/>
  <c r="AT1031" i="1"/>
  <c r="AT1032" i="1"/>
  <c r="AT1033" i="1"/>
  <c r="AT1034" i="1"/>
  <c r="AT1035" i="1"/>
  <c r="AT1036" i="1"/>
  <c r="AT1037" i="1"/>
  <c r="AT1038" i="1"/>
  <c r="AT1039" i="1"/>
  <c r="AT1040" i="1"/>
  <c r="AT1041" i="1"/>
  <c r="AT1042" i="1"/>
  <c r="AT1043" i="1"/>
  <c r="AT1044" i="1"/>
  <c r="AT1045" i="1"/>
  <c r="AT1046" i="1"/>
  <c r="AT1047" i="1"/>
  <c r="AT1048" i="1"/>
  <c r="AT1049" i="1"/>
  <c r="AT1050" i="1"/>
  <c r="AT1051" i="1"/>
  <c r="AT1052" i="1"/>
  <c r="AT1053" i="1"/>
  <c r="AT1054" i="1"/>
  <c r="AT1055" i="1"/>
  <c r="AT1056" i="1"/>
  <c r="AT1057" i="1"/>
  <c r="AT1058" i="1"/>
  <c r="AT1059" i="1"/>
  <c r="AT1060" i="1"/>
  <c r="AT1061" i="1"/>
  <c r="AT1062" i="1"/>
  <c r="AT1063" i="1"/>
  <c r="AT1064" i="1"/>
  <c r="AT1065" i="1"/>
  <c r="AT1066" i="1"/>
  <c r="AT1067" i="1"/>
  <c r="AT1068" i="1"/>
  <c r="AT1069" i="1"/>
  <c r="AT1070" i="1"/>
  <c r="AT1071" i="1"/>
  <c r="AT1072" i="1"/>
  <c r="AT1073" i="1"/>
  <c r="AT1074" i="1"/>
  <c r="AT1075" i="1"/>
  <c r="AT1076" i="1"/>
  <c r="AT1077" i="1"/>
  <c r="AT1078" i="1"/>
  <c r="AT1079" i="1"/>
  <c r="AT1080" i="1"/>
  <c r="AT1081" i="1"/>
  <c r="AT1082" i="1"/>
  <c r="AT1083" i="1"/>
  <c r="AT1084" i="1"/>
  <c r="AT1085" i="1"/>
  <c r="AT1086" i="1"/>
  <c r="AT1087" i="1"/>
  <c r="AT1088" i="1"/>
  <c r="AT1089" i="1"/>
  <c r="AT1090" i="1"/>
  <c r="AT1091" i="1"/>
  <c r="AT1092" i="1"/>
  <c r="AT1093" i="1"/>
  <c r="AT1094" i="1"/>
  <c r="AT1095" i="1"/>
  <c r="AT1096" i="1"/>
  <c r="AT1097" i="1"/>
  <c r="AT1098" i="1"/>
  <c r="AT1099" i="1"/>
  <c r="AT1100" i="1"/>
  <c r="AT1101" i="1"/>
  <c r="AT1102" i="1"/>
  <c r="AT1103" i="1"/>
  <c r="AT1104" i="1"/>
  <c r="AT1105" i="1"/>
  <c r="AT1106" i="1"/>
  <c r="AT1107" i="1"/>
  <c r="AT1108" i="1"/>
  <c r="AT1109" i="1"/>
  <c r="AT1110" i="1"/>
  <c r="AT1111" i="1"/>
  <c r="AT1112" i="1"/>
  <c r="AT1113" i="1"/>
  <c r="AT1114" i="1"/>
  <c r="AT1115" i="1"/>
  <c r="AT1116" i="1"/>
  <c r="AT1117" i="1"/>
  <c r="AT1118" i="1"/>
  <c r="AT1119" i="1"/>
  <c r="AT1120" i="1"/>
  <c r="AT1121" i="1"/>
  <c r="AT1122" i="1"/>
  <c r="AT1123" i="1"/>
  <c r="AT1124" i="1"/>
  <c r="AT1125" i="1"/>
  <c r="AT1126" i="1"/>
  <c r="AT1127" i="1"/>
  <c r="AT1128" i="1"/>
  <c r="AT1129" i="1"/>
  <c r="AT1130" i="1"/>
  <c r="AT1131" i="1"/>
  <c r="AT1132" i="1"/>
  <c r="AT1133" i="1"/>
  <c r="AT1134" i="1"/>
  <c r="AT1135" i="1"/>
  <c r="AT1136" i="1"/>
  <c r="AT1137" i="1"/>
  <c r="AT1138" i="1"/>
  <c r="AT1139" i="1"/>
  <c r="AT1140" i="1"/>
  <c r="AT1141" i="1"/>
  <c r="AT1142" i="1"/>
  <c r="AT1143" i="1"/>
  <c r="AT1144" i="1"/>
  <c r="AT1145" i="1"/>
  <c r="AT1146" i="1"/>
  <c r="AT1147" i="1"/>
  <c r="AT1148" i="1"/>
  <c r="AT1149" i="1"/>
  <c r="AT1150" i="1"/>
  <c r="AT1151" i="1"/>
  <c r="AT1152" i="1"/>
  <c r="AT1153" i="1"/>
  <c r="AT1154" i="1"/>
  <c r="AT1155" i="1"/>
  <c r="AT1156" i="1"/>
  <c r="AT1157" i="1"/>
  <c r="AT1158" i="1"/>
  <c r="AT1159" i="1"/>
  <c r="AT1160" i="1"/>
  <c r="AT1161" i="1"/>
  <c r="AT1162" i="1"/>
  <c r="AT1163" i="1"/>
  <c r="AT1164" i="1"/>
  <c r="AT1165" i="1"/>
  <c r="AT1166" i="1"/>
  <c r="AT1167" i="1"/>
  <c r="AT1168" i="1"/>
  <c r="AT1169" i="1"/>
  <c r="AT1170" i="1"/>
  <c r="AT1171" i="1"/>
  <c r="AT1172" i="1"/>
  <c r="AT1173" i="1"/>
  <c r="AT1174" i="1"/>
  <c r="AT1175" i="1"/>
  <c r="AT1176" i="1"/>
  <c r="AT1177" i="1"/>
  <c r="AT1178" i="1"/>
  <c r="AT1179" i="1"/>
  <c r="AT1180" i="1"/>
  <c r="AT1181" i="1"/>
  <c r="AT1182" i="1"/>
  <c r="AT1183" i="1"/>
  <c r="AT1184" i="1"/>
  <c r="AT1185" i="1"/>
  <c r="AT1186" i="1"/>
  <c r="AT1187" i="1"/>
  <c r="AT1188" i="1"/>
  <c r="AT1189" i="1"/>
  <c r="AT1190" i="1"/>
  <c r="AT1191" i="1"/>
  <c r="AT1192" i="1"/>
  <c r="AT1193" i="1"/>
  <c r="AT1194" i="1"/>
  <c r="AT1195" i="1"/>
  <c r="AT1196" i="1"/>
  <c r="AT1197" i="1"/>
  <c r="AT1198" i="1"/>
  <c r="AT1199" i="1"/>
  <c r="AT1200" i="1"/>
  <c r="AT1201" i="1"/>
  <c r="AT1202" i="1"/>
  <c r="AT1203" i="1"/>
  <c r="AT1204" i="1"/>
  <c r="AT1205" i="1"/>
  <c r="AT1206" i="1"/>
  <c r="AT1207" i="1"/>
  <c r="AT1208" i="1"/>
  <c r="AT1209" i="1"/>
  <c r="AT1210" i="1"/>
  <c r="AT1211" i="1"/>
  <c r="AT1212" i="1"/>
  <c r="AT1213" i="1"/>
  <c r="AT1214" i="1"/>
  <c r="AT1215" i="1"/>
  <c r="AT1216" i="1"/>
  <c r="AT1217" i="1"/>
  <c r="AT1218" i="1"/>
  <c r="AT1219" i="1"/>
  <c r="AT1220" i="1"/>
  <c r="AT1221" i="1"/>
  <c r="AT1222" i="1"/>
  <c r="AT1223" i="1"/>
  <c r="AT1224" i="1"/>
  <c r="AT1225" i="1"/>
  <c r="AT1226" i="1"/>
  <c r="AT1227" i="1"/>
  <c r="AT1228" i="1"/>
  <c r="AT1229" i="1"/>
  <c r="AT1230" i="1"/>
  <c r="AT1231" i="1"/>
  <c r="AT1232" i="1"/>
  <c r="AT1233" i="1"/>
  <c r="AT1234" i="1"/>
  <c r="AT1235" i="1"/>
  <c r="AT1236" i="1"/>
  <c r="AT1237" i="1"/>
  <c r="AT1238" i="1"/>
  <c r="AT1239" i="1"/>
  <c r="AT1240" i="1"/>
  <c r="AT1241" i="1"/>
  <c r="AT1242" i="1"/>
  <c r="AT1243" i="1"/>
  <c r="AT1244" i="1"/>
  <c r="AT1245" i="1"/>
  <c r="AT1246" i="1"/>
  <c r="AT1247" i="1"/>
  <c r="AT1248" i="1"/>
  <c r="AT1249" i="1"/>
  <c r="AT1250" i="1"/>
  <c r="AT1251" i="1"/>
  <c r="AT1252" i="1"/>
  <c r="AT1253" i="1"/>
  <c r="AT1254" i="1"/>
  <c r="AT1255" i="1"/>
  <c r="AT1256" i="1"/>
  <c r="AT1257" i="1"/>
  <c r="AT1258" i="1"/>
  <c r="AT1259" i="1"/>
  <c r="AT1260" i="1"/>
  <c r="AT1261" i="1"/>
  <c r="AT1262" i="1"/>
  <c r="AT1263" i="1"/>
  <c r="AT1264" i="1"/>
  <c r="AT1265" i="1"/>
  <c r="AT1266" i="1"/>
  <c r="AT1267" i="1"/>
  <c r="AT1268" i="1"/>
  <c r="AT1269" i="1"/>
  <c r="AT1270" i="1"/>
  <c r="AT1271" i="1"/>
  <c r="AT1272" i="1"/>
  <c r="AT1273" i="1"/>
  <c r="AT1274" i="1"/>
  <c r="AT1275" i="1"/>
  <c r="AT1276" i="1"/>
  <c r="AT1277" i="1"/>
  <c r="AT1278" i="1"/>
  <c r="AT1279" i="1"/>
  <c r="AT1280" i="1"/>
  <c r="AT1281" i="1"/>
  <c r="AT1282" i="1"/>
  <c r="AT1283" i="1"/>
  <c r="AT1284" i="1"/>
  <c r="AT1285" i="1"/>
  <c r="AT1286" i="1"/>
  <c r="AT1287" i="1"/>
  <c r="AT1288" i="1"/>
  <c r="AT1289" i="1"/>
  <c r="AT1290" i="1"/>
  <c r="AT1291" i="1"/>
  <c r="AT1292" i="1"/>
  <c r="AT1293" i="1"/>
  <c r="AT1294" i="1"/>
  <c r="AT1295" i="1"/>
  <c r="AT1296" i="1"/>
  <c r="AT1297" i="1"/>
  <c r="AT1298" i="1"/>
  <c r="AT1299" i="1"/>
  <c r="AT1300" i="1"/>
  <c r="AT1301" i="1"/>
  <c r="AT1302" i="1"/>
  <c r="AT1303" i="1"/>
  <c r="AT1304" i="1"/>
  <c r="AT1305" i="1"/>
  <c r="AT1306" i="1"/>
  <c r="AT1307" i="1"/>
  <c r="AT1308" i="1"/>
  <c r="AT1309" i="1"/>
  <c r="AT1310" i="1"/>
  <c r="AT1311" i="1"/>
  <c r="AT1312" i="1"/>
  <c r="AT1313" i="1"/>
  <c r="AT1314" i="1"/>
  <c r="AT1315" i="1"/>
  <c r="AT1316" i="1"/>
  <c r="AT1317" i="1"/>
  <c r="AT1318" i="1"/>
  <c r="AT1319" i="1"/>
  <c r="AT1320" i="1"/>
  <c r="AT1321" i="1"/>
  <c r="AT1322" i="1"/>
  <c r="AT1323" i="1"/>
  <c r="AT1324" i="1"/>
  <c r="AT1325" i="1"/>
  <c r="AT1326" i="1"/>
  <c r="AT1327" i="1"/>
  <c r="AT1328" i="1"/>
  <c r="AT1329" i="1"/>
  <c r="AT1330" i="1"/>
  <c r="AT1331" i="1"/>
  <c r="AT1332" i="1"/>
  <c r="AT1333" i="1"/>
  <c r="AT1334" i="1"/>
  <c r="AT1335" i="1"/>
  <c r="AT1336" i="1"/>
  <c r="AT1337" i="1"/>
  <c r="AT1338" i="1"/>
  <c r="AT1339" i="1"/>
  <c r="AT1340" i="1"/>
  <c r="AT1341" i="1"/>
  <c r="AT1342" i="1"/>
  <c r="AT1343" i="1"/>
  <c r="AT1344" i="1"/>
  <c r="AT1345" i="1"/>
  <c r="AT1346" i="1"/>
  <c r="AT1347" i="1"/>
  <c r="AT1348" i="1"/>
  <c r="AT1349" i="1"/>
  <c r="AT1350" i="1"/>
  <c r="AT1351" i="1"/>
  <c r="AT1352" i="1"/>
  <c r="AT1353" i="1"/>
  <c r="AT1354" i="1"/>
  <c r="AT1355" i="1"/>
  <c r="AT1356" i="1"/>
  <c r="AT1357" i="1"/>
  <c r="AT1358" i="1"/>
  <c r="AT1359" i="1"/>
  <c r="AT1360" i="1"/>
  <c r="AT1361" i="1"/>
  <c r="AT1362" i="1"/>
  <c r="AT1363" i="1"/>
  <c r="AT1364" i="1"/>
  <c r="AT1365" i="1"/>
  <c r="AT1366" i="1"/>
  <c r="AT1367" i="1"/>
  <c r="AT1368" i="1"/>
  <c r="AT1369" i="1"/>
  <c r="AT1370" i="1"/>
  <c r="AT1371" i="1"/>
  <c r="AT1372" i="1"/>
  <c r="AT1373" i="1"/>
  <c r="AT1374" i="1"/>
  <c r="AT1375" i="1"/>
  <c r="AT1376" i="1"/>
  <c r="AT1377" i="1"/>
  <c r="AT1378" i="1"/>
  <c r="AT1379" i="1"/>
  <c r="AT1380" i="1"/>
  <c r="AT1381" i="1"/>
  <c r="AT1382" i="1"/>
  <c r="AT1383" i="1"/>
  <c r="AT1384" i="1"/>
  <c r="AT1385" i="1"/>
  <c r="AT1386" i="1"/>
  <c r="AT1387" i="1"/>
  <c r="AT1388" i="1"/>
  <c r="AT1389" i="1"/>
  <c r="AT1390" i="1"/>
  <c r="AT1391" i="1"/>
  <c r="AT1392" i="1"/>
  <c r="AT1393" i="1"/>
  <c r="AT1394" i="1"/>
  <c r="AT1395" i="1"/>
  <c r="AT1396" i="1"/>
  <c r="AT1397" i="1"/>
  <c r="AT1398" i="1"/>
  <c r="AT1399" i="1"/>
  <c r="AT1400" i="1"/>
  <c r="AT1401" i="1"/>
  <c r="AT1402" i="1"/>
  <c r="AT1403" i="1"/>
  <c r="AT1404" i="1"/>
  <c r="AT1405" i="1"/>
  <c r="AT2" i="1"/>
  <c r="F14" i="53"/>
  <c r="E16" i="53"/>
  <c r="F16" i="53"/>
  <c r="C17" i="53"/>
  <c r="E17" i="53"/>
  <c r="E15" i="53"/>
  <c r="F15" i="53"/>
  <c r="F22" i="53"/>
  <c r="D18" i="53"/>
  <c r="E18" i="53"/>
  <c r="F18" i="53"/>
  <c r="C19" i="53"/>
  <c r="E19" i="53"/>
  <c r="F19" i="53"/>
  <c r="C29" i="53"/>
  <c r="E29" i="53"/>
  <c r="F29" i="53"/>
  <c r="C24" i="53"/>
  <c r="F24" i="53"/>
  <c r="C34" i="53"/>
  <c r="E34" i="53"/>
  <c r="F34" i="53"/>
  <c r="C36" i="53"/>
  <c r="D36" i="53"/>
  <c r="E36" i="53"/>
  <c r="F36" i="53"/>
  <c r="E23" i="53"/>
  <c r="F23" i="53"/>
  <c r="C37" i="53"/>
  <c r="D37" i="53"/>
  <c r="E37" i="53"/>
  <c r="F37" i="53"/>
  <c r="E31" i="53"/>
  <c r="F31" i="53"/>
  <c r="C30" i="53"/>
  <c r="E30" i="53"/>
  <c r="F30" i="53"/>
  <c r="C38" i="53"/>
  <c r="D38" i="53"/>
  <c r="E38" i="53"/>
  <c r="F38" i="53"/>
  <c r="C39" i="53"/>
  <c r="D39" i="53"/>
  <c r="E39" i="53"/>
  <c r="F39" i="53"/>
  <c r="C27" i="53"/>
  <c r="E27" i="53"/>
  <c r="F27" i="53"/>
  <c r="C40" i="53"/>
  <c r="D40" i="53"/>
  <c r="E40" i="53"/>
  <c r="F40" i="53"/>
  <c r="C33" i="53"/>
  <c r="E33" i="53"/>
  <c r="F33" i="53"/>
  <c r="C25" i="53"/>
  <c r="F25" i="53"/>
  <c r="C41" i="53"/>
  <c r="D41" i="53"/>
  <c r="E41" i="53"/>
  <c r="F41" i="53"/>
  <c r="C42" i="53"/>
  <c r="D42" i="53"/>
  <c r="E42" i="53"/>
  <c r="F42" i="53"/>
  <c r="C35" i="53"/>
  <c r="E35" i="53"/>
  <c r="F35" i="53"/>
  <c r="C26" i="53"/>
  <c r="E26" i="53"/>
  <c r="F26" i="53"/>
  <c r="C43" i="53"/>
  <c r="D43" i="53"/>
  <c r="E43" i="53"/>
  <c r="F43" i="53"/>
  <c r="C44" i="53"/>
  <c r="D44" i="53"/>
  <c r="E44" i="53"/>
  <c r="F44" i="53"/>
  <c r="C20" i="53"/>
  <c r="F20" i="53"/>
  <c r="C45" i="53"/>
  <c r="D45" i="53"/>
  <c r="E45" i="53"/>
  <c r="F45" i="53"/>
  <c r="C46" i="53"/>
  <c r="D46" i="53"/>
  <c r="E46" i="53"/>
  <c r="F46" i="53"/>
  <c r="D21" i="53"/>
  <c r="E21" i="53"/>
  <c r="F21" i="53"/>
  <c r="C28" i="53"/>
  <c r="F28" i="53"/>
  <c r="C47" i="53"/>
  <c r="D47" i="53"/>
  <c r="E47" i="53"/>
  <c r="F47" i="53"/>
  <c r="C32" i="53"/>
  <c r="E32" i="53"/>
  <c r="F32" i="53"/>
  <c r="C48" i="53"/>
  <c r="D48" i="53"/>
  <c r="E48" i="53"/>
  <c r="F48" i="53"/>
  <c r="C49" i="53"/>
  <c r="D49" i="53"/>
  <c r="E49" i="53"/>
  <c r="F49" i="53"/>
  <c r="C50" i="53"/>
  <c r="D50" i="53"/>
  <c r="E50" i="53"/>
  <c r="F50" i="53"/>
  <c r="C51" i="53"/>
  <c r="D51" i="53"/>
  <c r="E51" i="53"/>
  <c r="F51" i="53"/>
  <c r="C52" i="53"/>
  <c r="D52" i="53"/>
  <c r="E52" i="53"/>
  <c r="F52" i="53"/>
  <c r="K3" i="58"/>
  <c r="K4" i="58"/>
  <c r="K5" i="58"/>
  <c r="K6" i="58"/>
  <c r="K7" i="58"/>
  <c r="K2" i="58"/>
  <c r="J2" i="58"/>
  <c r="AW3" i="1"/>
  <c r="AX3" i="1"/>
  <c r="AW4" i="1"/>
  <c r="AX4" i="1"/>
  <c r="AW5" i="1"/>
  <c r="AX5" i="1"/>
  <c r="AW6" i="1"/>
  <c r="AX6" i="1"/>
  <c r="AW7" i="1"/>
  <c r="AX7" i="1"/>
  <c r="AW8" i="1"/>
  <c r="AX8" i="1"/>
  <c r="AW9" i="1"/>
  <c r="AX9" i="1"/>
  <c r="AW10" i="1"/>
  <c r="AX10" i="1"/>
  <c r="AW11" i="1"/>
  <c r="AX11" i="1"/>
  <c r="AW12" i="1"/>
  <c r="AX12" i="1"/>
  <c r="AW13" i="1"/>
  <c r="AX13" i="1"/>
  <c r="AW14" i="1"/>
  <c r="AX14" i="1"/>
  <c r="AW15" i="1"/>
  <c r="AX15" i="1"/>
  <c r="AW16" i="1"/>
  <c r="AX16" i="1"/>
  <c r="AW17" i="1"/>
  <c r="AX17" i="1"/>
  <c r="AW18" i="1"/>
  <c r="AX18" i="1"/>
  <c r="AW19" i="1"/>
  <c r="AX19" i="1"/>
  <c r="AW20" i="1"/>
  <c r="AX20" i="1"/>
  <c r="AW21" i="1"/>
  <c r="AX21" i="1"/>
  <c r="AW22" i="1"/>
  <c r="AX22" i="1"/>
  <c r="AW23" i="1"/>
  <c r="AX23" i="1"/>
  <c r="AW24" i="1"/>
  <c r="AX24" i="1"/>
  <c r="AW25" i="1"/>
  <c r="AX25" i="1"/>
  <c r="AW26" i="1"/>
  <c r="AX26" i="1"/>
  <c r="AW27" i="1"/>
  <c r="AX27" i="1"/>
  <c r="AW28" i="1"/>
  <c r="AX28" i="1"/>
  <c r="AW29" i="1"/>
  <c r="AX29" i="1"/>
  <c r="AW30" i="1"/>
  <c r="AX30" i="1"/>
  <c r="AW31" i="1"/>
  <c r="AX31" i="1"/>
  <c r="AW32" i="1"/>
  <c r="AX32" i="1"/>
  <c r="AW33" i="1"/>
  <c r="AX33" i="1"/>
  <c r="AW34" i="1"/>
  <c r="AX34" i="1"/>
  <c r="AW35" i="1"/>
  <c r="AX35" i="1"/>
  <c r="AW36" i="1"/>
  <c r="AX36" i="1"/>
  <c r="AW37" i="1"/>
  <c r="AX37" i="1"/>
  <c r="AW38" i="1"/>
  <c r="AX38" i="1"/>
  <c r="AW39" i="1"/>
  <c r="AX39" i="1"/>
  <c r="AW40" i="1"/>
  <c r="AX40" i="1"/>
  <c r="AW41" i="1"/>
  <c r="AX41" i="1"/>
  <c r="AW42" i="1"/>
  <c r="AX42" i="1"/>
  <c r="AW43" i="1"/>
  <c r="AX43" i="1"/>
  <c r="AW44" i="1"/>
  <c r="AX44" i="1"/>
  <c r="AW45" i="1"/>
  <c r="AX45" i="1"/>
  <c r="AW46" i="1"/>
  <c r="AX46" i="1"/>
  <c r="AW47" i="1"/>
  <c r="AX47" i="1"/>
  <c r="AW48" i="1"/>
  <c r="AX48" i="1"/>
  <c r="AW49" i="1"/>
  <c r="AX49" i="1"/>
  <c r="AW50" i="1"/>
  <c r="AX50" i="1"/>
  <c r="AW51" i="1"/>
  <c r="AX51" i="1"/>
  <c r="AW52" i="1"/>
  <c r="AX52" i="1"/>
  <c r="AW53" i="1"/>
  <c r="AX53" i="1"/>
  <c r="AW54" i="1"/>
  <c r="AX54" i="1"/>
  <c r="AW55" i="1"/>
  <c r="AX55" i="1"/>
  <c r="AW56" i="1"/>
  <c r="AX56" i="1"/>
  <c r="AW57" i="1"/>
  <c r="AX57" i="1"/>
  <c r="AW58" i="1"/>
  <c r="AX58" i="1"/>
  <c r="AW59" i="1"/>
  <c r="AX59" i="1"/>
  <c r="AW60" i="1"/>
  <c r="AX60" i="1"/>
  <c r="AW61" i="1"/>
  <c r="AX61" i="1"/>
  <c r="AW62" i="1"/>
  <c r="AX62" i="1"/>
  <c r="AW63" i="1"/>
  <c r="AX63" i="1"/>
  <c r="AW64" i="1"/>
  <c r="AX64" i="1"/>
  <c r="AW65" i="1"/>
  <c r="AX65" i="1"/>
  <c r="AW66" i="1"/>
  <c r="AX66" i="1"/>
  <c r="AW67" i="1"/>
  <c r="AX67" i="1"/>
  <c r="AW68" i="1"/>
  <c r="AX68" i="1"/>
  <c r="AW69" i="1"/>
  <c r="AX69" i="1"/>
  <c r="AW70" i="1"/>
  <c r="AX70" i="1"/>
  <c r="AW71" i="1"/>
  <c r="AX71" i="1"/>
  <c r="AW72" i="1"/>
  <c r="AX72" i="1"/>
  <c r="AW73" i="1"/>
  <c r="AX73" i="1"/>
  <c r="AW74" i="1"/>
  <c r="AX74" i="1"/>
  <c r="AW75" i="1"/>
  <c r="AX75" i="1"/>
  <c r="AW76" i="1"/>
  <c r="AX76" i="1"/>
  <c r="AW77" i="1"/>
  <c r="AX77" i="1"/>
  <c r="AW78" i="1"/>
  <c r="AX78" i="1"/>
  <c r="AW79" i="1"/>
  <c r="AX79" i="1"/>
  <c r="AW80" i="1"/>
  <c r="AX80" i="1"/>
  <c r="AW81" i="1"/>
  <c r="AX81" i="1"/>
  <c r="AW82" i="1"/>
  <c r="AX82" i="1"/>
  <c r="AW83" i="1"/>
  <c r="AX83" i="1"/>
  <c r="AW84" i="1"/>
  <c r="AX84" i="1"/>
  <c r="AW85" i="1"/>
  <c r="AX85" i="1"/>
  <c r="AW86" i="1"/>
  <c r="AX86" i="1"/>
  <c r="AW87" i="1"/>
  <c r="AX87" i="1"/>
  <c r="AW88" i="1"/>
  <c r="AX88" i="1"/>
  <c r="AW89" i="1"/>
  <c r="AX89" i="1"/>
  <c r="AW90" i="1"/>
  <c r="AX90" i="1"/>
  <c r="AW91" i="1"/>
  <c r="AX91" i="1"/>
  <c r="AW92" i="1"/>
  <c r="AX92" i="1"/>
  <c r="AW93" i="1"/>
  <c r="AX93" i="1"/>
  <c r="AW94" i="1"/>
  <c r="AX94" i="1"/>
  <c r="AW95" i="1"/>
  <c r="AX95" i="1"/>
  <c r="AW96" i="1"/>
  <c r="AX96" i="1"/>
  <c r="AW97" i="1"/>
  <c r="AX97" i="1"/>
  <c r="AW98" i="1"/>
  <c r="AX98" i="1"/>
  <c r="AW99" i="1"/>
  <c r="AX99" i="1"/>
  <c r="AW100" i="1"/>
  <c r="AX100" i="1"/>
  <c r="AW101" i="1"/>
  <c r="AX101" i="1"/>
  <c r="AW102" i="1"/>
  <c r="AX102" i="1"/>
  <c r="AW103" i="1"/>
  <c r="AX103" i="1"/>
  <c r="AW104" i="1"/>
  <c r="AX104" i="1"/>
  <c r="AW105" i="1"/>
  <c r="AX105" i="1"/>
  <c r="AW107" i="1"/>
  <c r="AX107" i="1"/>
  <c r="AW108" i="1"/>
  <c r="AX108" i="1"/>
  <c r="AW109" i="1"/>
  <c r="AX109" i="1"/>
  <c r="AW110" i="1"/>
  <c r="AX110" i="1"/>
  <c r="AW111" i="1"/>
  <c r="AX111" i="1"/>
  <c r="AW112" i="1"/>
  <c r="AX112" i="1"/>
  <c r="AW113" i="1"/>
  <c r="AX113" i="1"/>
  <c r="AW114" i="1"/>
  <c r="AX114" i="1"/>
  <c r="AW115" i="1"/>
  <c r="AX115" i="1"/>
  <c r="AW116" i="1"/>
  <c r="AX116" i="1"/>
  <c r="AW117" i="1"/>
  <c r="AX117" i="1"/>
  <c r="AW118" i="1"/>
  <c r="AX118" i="1"/>
  <c r="AW119" i="1"/>
  <c r="AX119" i="1"/>
  <c r="AW120" i="1"/>
  <c r="AX120" i="1"/>
  <c r="AW121" i="1"/>
  <c r="AX121" i="1"/>
  <c r="AW122" i="1"/>
  <c r="AX122" i="1"/>
  <c r="AW123" i="1"/>
  <c r="AX123" i="1"/>
  <c r="AW124" i="1"/>
  <c r="AX124" i="1"/>
  <c r="AW125" i="1"/>
  <c r="AX125" i="1"/>
  <c r="AW126" i="1"/>
  <c r="AX126" i="1"/>
  <c r="AW127" i="1"/>
  <c r="AX127" i="1"/>
  <c r="AW128" i="1"/>
  <c r="AX128" i="1"/>
  <c r="AW129" i="1"/>
  <c r="AX129" i="1"/>
  <c r="AW130" i="1"/>
  <c r="AX130" i="1"/>
  <c r="AW131" i="1"/>
  <c r="AX131" i="1"/>
  <c r="AW132" i="1"/>
  <c r="AX132" i="1"/>
  <c r="AW133" i="1"/>
  <c r="AX133" i="1"/>
  <c r="AW134" i="1"/>
  <c r="AX134" i="1"/>
  <c r="AW135" i="1"/>
  <c r="AX135" i="1"/>
  <c r="AW136" i="1"/>
  <c r="AX136" i="1"/>
  <c r="AW137" i="1"/>
  <c r="AX137" i="1"/>
  <c r="AW138" i="1"/>
  <c r="AX138" i="1"/>
  <c r="AW139" i="1"/>
  <c r="AX139" i="1"/>
  <c r="AW140" i="1"/>
  <c r="AX140" i="1"/>
  <c r="AW141" i="1"/>
  <c r="AX141" i="1"/>
  <c r="AW142" i="1"/>
  <c r="AX142" i="1"/>
  <c r="AW143" i="1"/>
  <c r="AX143" i="1"/>
  <c r="AW144" i="1"/>
  <c r="AX144" i="1"/>
  <c r="AW145" i="1"/>
  <c r="AX145" i="1"/>
  <c r="AW146" i="1"/>
  <c r="AX146" i="1"/>
  <c r="AW147" i="1"/>
  <c r="AX147" i="1"/>
  <c r="AW148" i="1"/>
  <c r="AX148" i="1"/>
  <c r="AW149" i="1"/>
  <c r="AX149" i="1"/>
  <c r="AW150" i="1"/>
  <c r="AX150" i="1"/>
  <c r="AW151" i="1"/>
  <c r="AX151" i="1"/>
  <c r="AW152" i="1"/>
  <c r="AX152" i="1"/>
  <c r="AW153" i="1"/>
  <c r="AX153" i="1"/>
  <c r="AW154" i="1"/>
  <c r="AX154" i="1"/>
  <c r="AW155" i="1"/>
  <c r="AX155" i="1"/>
  <c r="AW156" i="1"/>
  <c r="AX156" i="1"/>
  <c r="AW157" i="1"/>
  <c r="AX157" i="1"/>
  <c r="AW158" i="1"/>
  <c r="AX158" i="1"/>
  <c r="AW159" i="1"/>
  <c r="AX159" i="1"/>
  <c r="AW160" i="1"/>
  <c r="AX160" i="1"/>
  <c r="AW161" i="1"/>
  <c r="AX161" i="1"/>
  <c r="AW162" i="1"/>
  <c r="AX162" i="1"/>
  <c r="AW163" i="1"/>
  <c r="AX163" i="1"/>
  <c r="AW164" i="1"/>
  <c r="AX164" i="1"/>
  <c r="AW165" i="1"/>
  <c r="AX165" i="1"/>
  <c r="AW166" i="1"/>
  <c r="AX166" i="1"/>
  <c r="AW167" i="1"/>
  <c r="AX167" i="1"/>
  <c r="AW168" i="1"/>
  <c r="AX168" i="1"/>
  <c r="AW169" i="1"/>
  <c r="AX169" i="1"/>
  <c r="AW170" i="1"/>
  <c r="AX170" i="1"/>
  <c r="AW171" i="1"/>
  <c r="AX171" i="1"/>
  <c r="AW172" i="1"/>
  <c r="AX172" i="1"/>
  <c r="AW173" i="1"/>
  <c r="AX173" i="1"/>
  <c r="AW174" i="1"/>
  <c r="AX174" i="1"/>
  <c r="AW175" i="1"/>
  <c r="AX175" i="1"/>
  <c r="AW176" i="1"/>
  <c r="AX176" i="1"/>
  <c r="AW177" i="1"/>
  <c r="AX177" i="1"/>
  <c r="AW178" i="1"/>
  <c r="AX178" i="1"/>
  <c r="AW179" i="1"/>
  <c r="AX179" i="1"/>
  <c r="AW180" i="1"/>
  <c r="AX180" i="1"/>
  <c r="AW181" i="1"/>
  <c r="AX181" i="1"/>
  <c r="AW182" i="1"/>
  <c r="AX182" i="1"/>
  <c r="AW183" i="1"/>
  <c r="AX183" i="1"/>
  <c r="AW184" i="1"/>
  <c r="AX184" i="1"/>
  <c r="AW185" i="1"/>
  <c r="AX185" i="1"/>
  <c r="AW186" i="1"/>
  <c r="AX186" i="1"/>
  <c r="AW187" i="1"/>
  <c r="AX187" i="1"/>
  <c r="AW188" i="1"/>
  <c r="AX188" i="1"/>
  <c r="AW189" i="1"/>
  <c r="AX189" i="1"/>
  <c r="AW190" i="1"/>
  <c r="AX190" i="1"/>
  <c r="AW191" i="1"/>
  <c r="AX191" i="1"/>
  <c r="AW192" i="1"/>
  <c r="AX192" i="1"/>
  <c r="AW193" i="1"/>
  <c r="AX193" i="1"/>
  <c r="AW194" i="1"/>
  <c r="AX194" i="1"/>
  <c r="AW195" i="1"/>
  <c r="AX195" i="1"/>
  <c r="AW196" i="1"/>
  <c r="AX196" i="1"/>
  <c r="AW197" i="1"/>
  <c r="AX197" i="1"/>
  <c r="AW198" i="1"/>
  <c r="AX198" i="1"/>
  <c r="AW199" i="1"/>
  <c r="AX199" i="1"/>
  <c r="AW200" i="1"/>
  <c r="AX200" i="1"/>
  <c r="AW201" i="1"/>
  <c r="AX201" i="1"/>
  <c r="AW202" i="1"/>
  <c r="AX202" i="1"/>
  <c r="AW203" i="1"/>
  <c r="AX203" i="1"/>
  <c r="AW204" i="1"/>
  <c r="AX204" i="1"/>
  <c r="AW205" i="1"/>
  <c r="AX205" i="1"/>
  <c r="AW206" i="1"/>
  <c r="AX206" i="1"/>
  <c r="AW207" i="1"/>
  <c r="AX207" i="1"/>
  <c r="AW208" i="1"/>
  <c r="AX208" i="1"/>
  <c r="AW209" i="1"/>
  <c r="AX209" i="1"/>
  <c r="AW210" i="1"/>
  <c r="AX210" i="1"/>
  <c r="AW211" i="1"/>
  <c r="AX211" i="1"/>
  <c r="AW212" i="1"/>
  <c r="AX212" i="1"/>
  <c r="AW213" i="1"/>
  <c r="AX213" i="1"/>
  <c r="AW214" i="1"/>
  <c r="AX214" i="1"/>
  <c r="AW215" i="1"/>
  <c r="AX215" i="1"/>
  <c r="AW216" i="1"/>
  <c r="AX216" i="1"/>
  <c r="AW217" i="1"/>
  <c r="AX217" i="1"/>
  <c r="AW218" i="1"/>
  <c r="AX218" i="1"/>
  <c r="AW219" i="1"/>
  <c r="AX219" i="1"/>
  <c r="AW220" i="1"/>
  <c r="AX220" i="1"/>
  <c r="AW221" i="1"/>
  <c r="AX221" i="1"/>
  <c r="AW222" i="1"/>
  <c r="AX222" i="1"/>
  <c r="AW223" i="1"/>
  <c r="AX223" i="1"/>
  <c r="AW224" i="1"/>
  <c r="AX224" i="1"/>
  <c r="AW225" i="1"/>
  <c r="AX225" i="1"/>
  <c r="AW226" i="1"/>
  <c r="AX226" i="1"/>
  <c r="AW227" i="1"/>
  <c r="AX227" i="1"/>
  <c r="AW228" i="1"/>
  <c r="AX228" i="1"/>
  <c r="AW229" i="1"/>
  <c r="AX229" i="1"/>
  <c r="AW230" i="1"/>
  <c r="AX230" i="1"/>
  <c r="AW231" i="1"/>
  <c r="AX231" i="1"/>
  <c r="AW232" i="1"/>
  <c r="AX232" i="1"/>
  <c r="AW233" i="1"/>
  <c r="AX233" i="1"/>
  <c r="AW234" i="1"/>
  <c r="AX234" i="1"/>
  <c r="AW235" i="1"/>
  <c r="AX235" i="1"/>
  <c r="AW236" i="1"/>
  <c r="AX236" i="1"/>
  <c r="AW237" i="1"/>
  <c r="AX237" i="1"/>
  <c r="AW238" i="1"/>
  <c r="AX238" i="1"/>
  <c r="AW239" i="1"/>
  <c r="AX239" i="1"/>
  <c r="AW240" i="1"/>
  <c r="AX240" i="1"/>
  <c r="AW241" i="1"/>
  <c r="AX241" i="1"/>
  <c r="AW242" i="1"/>
  <c r="AX242" i="1"/>
  <c r="AW243" i="1"/>
  <c r="AX243" i="1"/>
  <c r="AW244" i="1"/>
  <c r="AX244" i="1"/>
  <c r="AW245" i="1"/>
  <c r="AX245" i="1"/>
  <c r="AW246" i="1"/>
  <c r="AX246" i="1"/>
  <c r="AW247" i="1"/>
  <c r="AX247" i="1"/>
  <c r="AW248" i="1"/>
  <c r="AX248" i="1"/>
  <c r="AW249" i="1"/>
  <c r="AX249" i="1"/>
  <c r="AW250" i="1"/>
  <c r="AX250" i="1"/>
  <c r="AW251" i="1"/>
  <c r="AX251" i="1"/>
  <c r="AW252" i="1"/>
  <c r="AX252" i="1"/>
  <c r="AW253" i="1"/>
  <c r="AX253" i="1"/>
  <c r="AW254" i="1"/>
  <c r="AX254" i="1"/>
  <c r="AW255" i="1"/>
  <c r="AX255" i="1"/>
  <c r="AW256" i="1"/>
  <c r="AX256" i="1"/>
  <c r="AW257" i="1"/>
  <c r="AX257" i="1"/>
  <c r="AW258" i="1"/>
  <c r="AX258" i="1"/>
  <c r="AW259" i="1"/>
  <c r="AX259" i="1"/>
  <c r="AW260" i="1"/>
  <c r="AX260" i="1"/>
  <c r="AW261" i="1"/>
  <c r="AX261" i="1"/>
  <c r="AW262" i="1"/>
  <c r="AX262" i="1"/>
  <c r="AW263" i="1"/>
  <c r="AX263" i="1"/>
  <c r="AW264" i="1"/>
  <c r="AX264" i="1"/>
  <c r="AW265" i="1"/>
  <c r="AX265" i="1"/>
  <c r="AW266" i="1"/>
  <c r="AX266" i="1"/>
  <c r="AW267" i="1"/>
  <c r="AX267" i="1"/>
  <c r="AW268" i="1"/>
  <c r="AX268" i="1"/>
  <c r="AW269" i="1"/>
  <c r="AX269" i="1"/>
  <c r="AW270" i="1"/>
  <c r="AX270" i="1"/>
  <c r="AW271" i="1"/>
  <c r="AX271" i="1"/>
  <c r="AW272" i="1"/>
  <c r="AX272" i="1"/>
  <c r="AW273" i="1"/>
  <c r="AX273" i="1"/>
  <c r="AW274" i="1"/>
  <c r="AX274" i="1"/>
  <c r="AW275" i="1"/>
  <c r="AX275" i="1"/>
  <c r="AW276" i="1"/>
  <c r="AX276" i="1"/>
  <c r="AW277" i="1"/>
  <c r="AX277" i="1"/>
  <c r="AW278" i="1"/>
  <c r="AX278" i="1"/>
  <c r="AW279" i="1"/>
  <c r="AX279" i="1"/>
  <c r="AW280" i="1"/>
  <c r="AX280" i="1"/>
  <c r="AW281" i="1"/>
  <c r="AX281" i="1"/>
  <c r="AW282" i="1"/>
  <c r="AX282" i="1"/>
  <c r="AW283" i="1"/>
  <c r="AX283" i="1"/>
  <c r="AW284" i="1"/>
  <c r="AX284" i="1"/>
  <c r="AW285" i="1"/>
  <c r="AX285" i="1"/>
  <c r="AW286" i="1"/>
  <c r="AX286" i="1"/>
  <c r="AW287" i="1"/>
  <c r="AX287" i="1"/>
  <c r="AW288" i="1"/>
  <c r="AX288" i="1"/>
  <c r="AW289" i="1"/>
  <c r="AX289" i="1"/>
  <c r="AW290" i="1"/>
  <c r="AX290" i="1"/>
  <c r="AW291" i="1"/>
  <c r="AX291" i="1"/>
  <c r="AW292" i="1"/>
  <c r="AX292" i="1"/>
  <c r="AW293" i="1"/>
  <c r="AX293" i="1"/>
  <c r="AW294" i="1"/>
  <c r="AX294" i="1"/>
  <c r="AW295" i="1"/>
  <c r="AX295" i="1"/>
  <c r="AW296" i="1"/>
  <c r="AX296" i="1"/>
  <c r="AW297" i="1"/>
  <c r="AX297" i="1"/>
  <c r="AW298" i="1"/>
  <c r="AX298" i="1"/>
  <c r="AW299" i="1"/>
  <c r="AX299" i="1"/>
  <c r="AW300" i="1"/>
  <c r="AX300" i="1"/>
  <c r="AW301" i="1"/>
  <c r="AX301" i="1"/>
  <c r="AW302" i="1"/>
  <c r="AX302" i="1"/>
  <c r="AW303" i="1"/>
  <c r="AX303" i="1"/>
  <c r="AW304" i="1"/>
  <c r="AX304" i="1"/>
  <c r="AW305" i="1"/>
  <c r="AX305" i="1"/>
  <c r="AW306" i="1"/>
  <c r="AX306" i="1"/>
  <c r="AW307" i="1"/>
  <c r="AX307" i="1"/>
  <c r="AW308" i="1"/>
  <c r="AX308" i="1"/>
  <c r="AW309" i="1"/>
  <c r="AX309" i="1"/>
  <c r="AW310" i="1"/>
  <c r="AX310" i="1"/>
  <c r="AW311" i="1"/>
  <c r="AX311" i="1"/>
  <c r="AW312" i="1"/>
  <c r="AX312" i="1"/>
  <c r="AW313" i="1"/>
  <c r="AX313" i="1"/>
  <c r="AW314" i="1"/>
  <c r="AX314" i="1"/>
  <c r="AW315" i="1"/>
  <c r="AX315" i="1"/>
  <c r="AW316" i="1"/>
  <c r="AX316" i="1"/>
  <c r="AW317" i="1"/>
  <c r="AX317" i="1"/>
  <c r="AW318" i="1"/>
  <c r="AX318" i="1"/>
  <c r="AW319" i="1"/>
  <c r="AX319" i="1"/>
  <c r="AW320" i="1"/>
  <c r="AX320" i="1"/>
  <c r="AW321" i="1"/>
  <c r="AX321" i="1"/>
  <c r="AW322" i="1"/>
  <c r="AX322" i="1"/>
  <c r="AW323" i="1"/>
  <c r="AX323" i="1"/>
  <c r="AW324" i="1"/>
  <c r="AX324" i="1"/>
  <c r="AW325" i="1"/>
  <c r="AX325" i="1"/>
  <c r="AW326" i="1"/>
  <c r="AX326" i="1"/>
  <c r="AW327" i="1"/>
  <c r="AX327" i="1"/>
  <c r="AW328" i="1"/>
  <c r="AX328" i="1"/>
  <c r="AW329" i="1"/>
  <c r="AX329" i="1"/>
  <c r="AW330" i="1"/>
  <c r="AX330" i="1"/>
  <c r="AW331" i="1"/>
  <c r="AX331" i="1"/>
  <c r="AW332" i="1"/>
  <c r="AX332" i="1"/>
  <c r="AW333" i="1"/>
  <c r="AX333" i="1"/>
  <c r="AW334" i="1"/>
  <c r="AX334" i="1"/>
  <c r="AW335" i="1"/>
  <c r="AX335" i="1"/>
  <c r="AW336" i="1"/>
  <c r="AX336" i="1"/>
  <c r="AW337" i="1"/>
  <c r="AX337" i="1"/>
  <c r="AW338" i="1"/>
  <c r="AX338" i="1"/>
  <c r="AW339" i="1"/>
  <c r="AX339" i="1"/>
  <c r="AW340" i="1"/>
  <c r="AX340" i="1"/>
  <c r="AW341" i="1"/>
  <c r="AX341" i="1"/>
  <c r="AW342" i="1"/>
  <c r="AX342" i="1"/>
  <c r="AW343" i="1"/>
  <c r="AX343" i="1"/>
  <c r="AW344" i="1"/>
  <c r="AX344" i="1"/>
  <c r="AW345" i="1"/>
  <c r="AX345" i="1"/>
  <c r="AW346" i="1"/>
  <c r="AX346" i="1"/>
  <c r="AW347" i="1"/>
  <c r="AX347" i="1"/>
  <c r="AW348" i="1"/>
  <c r="AX348" i="1"/>
  <c r="AW349" i="1"/>
  <c r="AX349" i="1"/>
  <c r="AW350" i="1"/>
  <c r="AX350" i="1"/>
  <c r="AW351" i="1"/>
  <c r="AX351" i="1"/>
  <c r="AW352" i="1"/>
  <c r="AX352" i="1"/>
  <c r="AW353" i="1"/>
  <c r="AX353" i="1"/>
  <c r="AW354" i="1"/>
  <c r="AX354" i="1"/>
  <c r="AW355" i="1"/>
  <c r="AX355" i="1"/>
  <c r="AW356" i="1"/>
  <c r="AX356" i="1"/>
  <c r="AW357" i="1"/>
  <c r="AX357" i="1"/>
  <c r="AW358" i="1"/>
  <c r="AX358" i="1"/>
  <c r="AW359" i="1"/>
  <c r="AX359" i="1"/>
  <c r="AW360" i="1"/>
  <c r="AX360" i="1"/>
  <c r="AW362" i="1"/>
  <c r="AX362" i="1"/>
  <c r="AW363" i="1"/>
  <c r="AX363" i="1"/>
  <c r="AW366" i="1"/>
  <c r="AX366" i="1"/>
  <c r="AW367" i="1"/>
  <c r="AX367" i="1"/>
  <c r="AW368" i="1"/>
  <c r="AX368" i="1"/>
  <c r="AW369" i="1"/>
  <c r="AX369" i="1"/>
  <c r="AW370" i="1"/>
  <c r="AX370" i="1"/>
  <c r="AW371" i="1"/>
  <c r="AX371" i="1"/>
  <c r="AW372" i="1"/>
  <c r="AX372" i="1"/>
  <c r="AW373" i="1"/>
  <c r="AX373" i="1"/>
  <c r="AW374" i="1"/>
  <c r="AX374" i="1"/>
  <c r="AW375" i="1"/>
  <c r="AX375" i="1"/>
  <c r="AW376" i="1"/>
  <c r="AX376" i="1"/>
  <c r="AW377" i="1"/>
  <c r="AX377" i="1"/>
  <c r="AW378" i="1"/>
  <c r="AX378" i="1"/>
  <c r="AW379" i="1"/>
  <c r="AX379" i="1"/>
  <c r="AW380" i="1"/>
  <c r="AX380" i="1"/>
  <c r="AW381" i="1"/>
  <c r="AX381" i="1"/>
  <c r="AW382" i="1"/>
  <c r="AX382" i="1"/>
  <c r="AW383" i="1"/>
  <c r="AX383" i="1"/>
  <c r="AW384" i="1"/>
  <c r="AX384" i="1"/>
  <c r="AW385" i="1"/>
  <c r="AX385" i="1"/>
  <c r="AW386" i="1"/>
  <c r="AX386" i="1"/>
  <c r="AW387" i="1"/>
  <c r="AX387" i="1"/>
  <c r="AW388" i="1"/>
  <c r="AX388" i="1"/>
  <c r="AW389" i="1"/>
  <c r="AX389" i="1"/>
  <c r="AW390" i="1"/>
  <c r="AX390" i="1"/>
  <c r="AW391" i="1"/>
  <c r="AX391" i="1"/>
  <c r="AW392" i="1"/>
  <c r="AX392" i="1"/>
  <c r="AW393" i="1"/>
  <c r="AX393" i="1"/>
  <c r="AW394" i="1"/>
  <c r="AX394" i="1"/>
  <c r="AW395" i="1"/>
  <c r="AX395" i="1"/>
  <c r="AW396" i="1"/>
  <c r="AX396" i="1"/>
  <c r="AW397" i="1"/>
  <c r="AX397" i="1"/>
  <c r="AW398" i="1"/>
  <c r="AX398" i="1"/>
  <c r="AW399" i="1"/>
  <c r="AX399" i="1"/>
  <c r="AW400" i="1"/>
  <c r="AX400" i="1"/>
  <c r="AW401" i="1"/>
  <c r="AX401" i="1"/>
  <c r="AW402" i="1"/>
  <c r="AX402" i="1"/>
  <c r="AW403" i="1"/>
  <c r="AX403" i="1"/>
  <c r="AW404" i="1"/>
  <c r="AX404" i="1"/>
  <c r="AW405" i="1"/>
  <c r="AX405" i="1"/>
  <c r="AW406" i="1"/>
  <c r="AX406" i="1"/>
  <c r="AW407" i="1"/>
  <c r="AX407" i="1"/>
  <c r="AW408" i="1"/>
  <c r="AX408" i="1"/>
  <c r="AW409" i="1"/>
  <c r="AX409" i="1"/>
  <c r="AW410" i="1"/>
  <c r="AX410" i="1"/>
  <c r="AW411" i="1"/>
  <c r="AX411" i="1"/>
  <c r="AW412" i="1"/>
  <c r="AX412" i="1"/>
  <c r="AW413" i="1"/>
  <c r="AX413" i="1"/>
  <c r="AW414" i="1"/>
  <c r="AX414" i="1"/>
  <c r="AW415" i="1"/>
  <c r="AX415" i="1"/>
  <c r="AW416" i="1"/>
  <c r="AX416" i="1"/>
  <c r="AW417" i="1"/>
  <c r="AX417" i="1"/>
  <c r="AW418" i="1"/>
  <c r="AX418" i="1"/>
  <c r="AW419" i="1"/>
  <c r="AX419" i="1"/>
  <c r="AW420" i="1"/>
  <c r="AX420" i="1"/>
  <c r="AW421" i="1"/>
  <c r="AX421" i="1"/>
  <c r="AW422" i="1"/>
  <c r="AX422" i="1"/>
  <c r="AW423" i="1"/>
  <c r="AX423" i="1"/>
  <c r="AW424" i="1"/>
  <c r="AX424" i="1"/>
  <c r="AW425" i="1"/>
  <c r="AX425" i="1"/>
  <c r="AW426" i="1"/>
  <c r="AX426" i="1"/>
  <c r="AW427" i="1"/>
  <c r="AX427" i="1"/>
  <c r="AW428" i="1"/>
  <c r="AX428" i="1"/>
  <c r="AW429" i="1"/>
  <c r="AX429" i="1"/>
  <c r="AW430" i="1"/>
  <c r="AX430" i="1"/>
  <c r="AW431" i="1"/>
  <c r="AX431" i="1"/>
  <c r="AW432" i="1"/>
  <c r="AX432" i="1"/>
  <c r="AW433" i="1"/>
  <c r="AX433" i="1"/>
  <c r="AW434" i="1"/>
  <c r="AX434" i="1"/>
  <c r="AW435" i="1"/>
  <c r="AX435" i="1"/>
  <c r="AW436" i="1"/>
  <c r="AX436" i="1"/>
  <c r="AW437" i="1"/>
  <c r="AX437" i="1"/>
  <c r="AW438" i="1"/>
  <c r="AX438" i="1"/>
  <c r="AW439" i="1"/>
  <c r="AX439" i="1"/>
  <c r="AW440" i="1"/>
  <c r="AX440" i="1"/>
  <c r="AW441" i="1"/>
  <c r="AX441" i="1"/>
  <c r="AW442" i="1"/>
  <c r="AX442" i="1"/>
  <c r="AW443" i="1"/>
  <c r="AX443" i="1"/>
  <c r="AW444" i="1"/>
  <c r="AX444" i="1"/>
  <c r="AW445" i="1"/>
  <c r="AX445" i="1"/>
  <c r="AW446" i="1"/>
  <c r="AX446" i="1"/>
  <c r="AW447" i="1"/>
  <c r="AX447" i="1"/>
  <c r="AW448" i="1"/>
  <c r="AX448" i="1"/>
  <c r="AW449" i="1"/>
  <c r="AX449" i="1"/>
  <c r="AW450" i="1"/>
  <c r="AX450" i="1"/>
  <c r="AW451" i="1"/>
  <c r="AX451" i="1"/>
  <c r="AW452" i="1"/>
  <c r="AX452" i="1"/>
  <c r="AW453" i="1"/>
  <c r="AX453" i="1"/>
  <c r="AW454" i="1"/>
  <c r="AX454" i="1"/>
  <c r="AW455" i="1"/>
  <c r="AX455" i="1"/>
  <c r="AW456" i="1"/>
  <c r="AX456" i="1"/>
  <c r="AW457" i="1"/>
  <c r="AX457" i="1"/>
  <c r="AW458" i="1"/>
  <c r="AX458" i="1"/>
  <c r="AW459" i="1"/>
  <c r="AX459" i="1"/>
  <c r="AW460" i="1"/>
  <c r="AX460" i="1"/>
  <c r="AW461" i="1"/>
  <c r="AX461" i="1"/>
  <c r="AW462" i="1"/>
  <c r="AX462" i="1"/>
  <c r="AW463" i="1"/>
  <c r="AX463" i="1"/>
  <c r="AW464" i="1"/>
  <c r="AX464" i="1"/>
  <c r="AW465" i="1"/>
  <c r="AX465" i="1"/>
  <c r="AW466" i="1"/>
  <c r="AX466" i="1"/>
  <c r="AW467" i="1"/>
  <c r="AX467" i="1"/>
  <c r="AW468" i="1"/>
  <c r="AX468" i="1"/>
  <c r="AW469" i="1"/>
  <c r="AX469" i="1"/>
  <c r="AW470" i="1"/>
  <c r="AX470" i="1"/>
  <c r="AW471" i="1"/>
  <c r="AX471" i="1"/>
  <c r="AW472" i="1"/>
  <c r="AX472" i="1"/>
  <c r="AW473" i="1"/>
  <c r="AX473" i="1"/>
  <c r="AW474" i="1"/>
  <c r="AX474" i="1"/>
  <c r="AW475" i="1"/>
  <c r="AX475" i="1"/>
  <c r="AW476" i="1"/>
  <c r="AX476" i="1"/>
  <c r="AW477" i="1"/>
  <c r="AX477" i="1"/>
  <c r="AW478" i="1"/>
  <c r="AX478" i="1"/>
  <c r="AW479" i="1"/>
  <c r="AX479" i="1"/>
  <c r="AW480" i="1"/>
  <c r="AX480" i="1"/>
  <c r="AW481" i="1"/>
  <c r="AX481" i="1"/>
  <c r="AW482" i="1"/>
  <c r="AX482" i="1"/>
  <c r="AW483" i="1"/>
  <c r="AX483" i="1"/>
  <c r="AW484" i="1"/>
  <c r="AX484" i="1"/>
  <c r="AW485" i="1"/>
  <c r="AX485" i="1"/>
  <c r="AW486" i="1"/>
  <c r="AX486" i="1"/>
  <c r="AW487" i="1"/>
  <c r="AX487" i="1"/>
  <c r="AW488" i="1"/>
  <c r="AX488" i="1"/>
  <c r="AW489" i="1"/>
  <c r="AX489" i="1"/>
  <c r="AW490" i="1"/>
  <c r="AX490" i="1"/>
  <c r="AW491" i="1"/>
  <c r="AX491" i="1"/>
  <c r="AW492" i="1"/>
  <c r="AX492" i="1"/>
  <c r="AW493" i="1"/>
  <c r="AX493" i="1"/>
  <c r="AW494" i="1"/>
  <c r="AX494" i="1"/>
  <c r="AW495" i="1"/>
  <c r="AX495" i="1"/>
  <c r="AW496" i="1"/>
  <c r="AX496" i="1"/>
  <c r="AW497" i="1"/>
  <c r="AX497" i="1"/>
  <c r="AW498" i="1"/>
  <c r="AX498" i="1"/>
  <c r="AW499" i="1"/>
  <c r="AX499" i="1"/>
  <c r="AW500" i="1"/>
  <c r="AX500" i="1"/>
  <c r="AW501" i="1"/>
  <c r="AX501" i="1"/>
  <c r="AW502" i="1"/>
  <c r="AX502" i="1"/>
  <c r="AW503" i="1"/>
  <c r="AX503" i="1"/>
  <c r="AW504" i="1"/>
  <c r="AX504" i="1"/>
  <c r="AW505" i="1"/>
  <c r="AX505" i="1"/>
  <c r="AW506" i="1"/>
  <c r="AX506" i="1"/>
  <c r="AW507" i="1"/>
  <c r="AX507" i="1"/>
  <c r="AW508" i="1"/>
  <c r="AX508" i="1"/>
  <c r="AW509" i="1"/>
  <c r="AX509" i="1"/>
  <c r="AW510" i="1"/>
  <c r="AX510" i="1"/>
  <c r="AW511" i="1"/>
  <c r="AX511" i="1"/>
  <c r="AW512" i="1"/>
  <c r="AX512" i="1"/>
  <c r="AW513" i="1"/>
  <c r="AX513" i="1"/>
  <c r="AW514" i="1"/>
  <c r="AX514" i="1"/>
  <c r="AW515" i="1"/>
  <c r="AX515" i="1"/>
  <c r="AW516" i="1"/>
  <c r="AX516" i="1"/>
  <c r="AW517" i="1"/>
  <c r="AX517" i="1"/>
  <c r="AW518" i="1"/>
  <c r="AX518" i="1"/>
  <c r="AW519" i="1"/>
  <c r="AX519" i="1"/>
  <c r="AW520" i="1"/>
  <c r="AX520" i="1"/>
  <c r="AW521" i="1"/>
  <c r="AX521" i="1"/>
  <c r="AW522" i="1"/>
  <c r="AX522" i="1"/>
  <c r="AW523" i="1"/>
  <c r="AX523" i="1"/>
  <c r="AW524" i="1"/>
  <c r="AX524" i="1"/>
  <c r="AW525" i="1"/>
  <c r="AX525" i="1"/>
  <c r="AW526" i="1"/>
  <c r="AX526" i="1"/>
  <c r="AW527" i="1"/>
  <c r="AX527" i="1"/>
  <c r="AW528" i="1"/>
  <c r="AX528" i="1"/>
  <c r="AW529" i="1"/>
  <c r="AX529" i="1"/>
  <c r="AW530" i="1"/>
  <c r="AX530" i="1"/>
  <c r="AW531" i="1"/>
  <c r="AX531" i="1"/>
  <c r="AW532" i="1"/>
  <c r="AX532" i="1"/>
  <c r="AW533" i="1"/>
  <c r="AX533" i="1"/>
  <c r="AW534" i="1"/>
  <c r="AX534" i="1"/>
  <c r="AW535" i="1"/>
  <c r="AX535" i="1"/>
  <c r="AW536" i="1"/>
  <c r="AX536" i="1"/>
  <c r="AW537" i="1"/>
  <c r="AX537" i="1"/>
  <c r="AW538" i="1"/>
  <c r="AX538" i="1"/>
  <c r="AW539" i="1"/>
  <c r="AX539" i="1"/>
  <c r="AW540" i="1"/>
  <c r="AX540" i="1"/>
  <c r="AW541" i="1"/>
  <c r="AX541" i="1"/>
  <c r="AW542" i="1"/>
  <c r="AX542" i="1"/>
  <c r="AW543" i="1"/>
  <c r="AX543" i="1"/>
  <c r="AW544" i="1"/>
  <c r="AX544" i="1"/>
  <c r="AW545" i="1"/>
  <c r="AX545" i="1"/>
  <c r="AW546" i="1"/>
  <c r="AX546" i="1"/>
  <c r="AW547" i="1"/>
  <c r="AX547" i="1"/>
  <c r="AW548" i="1"/>
  <c r="AX548" i="1"/>
  <c r="AW549" i="1"/>
  <c r="AX549" i="1"/>
  <c r="AW550" i="1"/>
  <c r="AX550" i="1"/>
  <c r="AW551" i="1"/>
  <c r="AX551" i="1"/>
  <c r="AW552" i="1"/>
  <c r="AX552" i="1"/>
  <c r="AW553" i="1"/>
  <c r="AX553" i="1"/>
  <c r="AW554" i="1"/>
  <c r="AX554" i="1"/>
  <c r="AW555" i="1"/>
  <c r="AX555" i="1"/>
  <c r="AW556" i="1"/>
  <c r="AX556" i="1"/>
  <c r="AW557" i="1"/>
  <c r="AX557" i="1"/>
  <c r="AW558" i="1"/>
  <c r="AX558" i="1"/>
  <c r="AW559" i="1"/>
  <c r="AX559" i="1"/>
  <c r="AW560" i="1"/>
  <c r="AX560" i="1"/>
  <c r="AW561" i="1"/>
  <c r="AX561" i="1"/>
  <c r="AW562" i="1"/>
  <c r="AX562" i="1"/>
  <c r="AW563" i="1"/>
  <c r="AX563" i="1"/>
  <c r="AW564" i="1"/>
  <c r="AX564" i="1"/>
  <c r="AW565" i="1"/>
  <c r="AX565" i="1"/>
  <c r="AW566" i="1"/>
  <c r="AX566" i="1"/>
  <c r="AW567" i="1"/>
  <c r="AX567" i="1"/>
  <c r="AW568" i="1"/>
  <c r="AX568" i="1"/>
  <c r="AW569" i="1"/>
  <c r="AX569" i="1"/>
  <c r="AW570" i="1"/>
  <c r="AX570" i="1"/>
  <c r="AW571" i="1"/>
  <c r="AX571" i="1"/>
  <c r="AW572" i="1"/>
  <c r="AX572" i="1"/>
  <c r="AW573" i="1"/>
  <c r="AX573" i="1"/>
  <c r="AW574" i="1"/>
  <c r="AX574" i="1"/>
  <c r="AW575" i="1"/>
  <c r="AX575" i="1"/>
  <c r="AW576" i="1"/>
  <c r="AX576" i="1"/>
  <c r="AW577" i="1"/>
  <c r="AX577" i="1"/>
  <c r="AW578" i="1"/>
  <c r="AX578" i="1"/>
  <c r="AW579" i="1"/>
  <c r="AX579" i="1"/>
  <c r="AW580" i="1"/>
  <c r="AX580" i="1"/>
  <c r="AW581" i="1"/>
  <c r="AX581" i="1"/>
  <c r="AW582" i="1"/>
  <c r="AX582" i="1"/>
  <c r="AW583" i="1"/>
  <c r="AX583" i="1"/>
  <c r="AW584" i="1"/>
  <c r="AX584" i="1"/>
  <c r="AW585" i="1"/>
  <c r="AX585" i="1"/>
  <c r="AW586" i="1"/>
  <c r="AX586" i="1"/>
  <c r="AW587" i="1"/>
  <c r="AX587" i="1"/>
  <c r="AW588" i="1"/>
  <c r="AX588" i="1"/>
  <c r="AW589" i="1"/>
  <c r="AX589" i="1"/>
  <c r="AW590" i="1"/>
  <c r="AX590" i="1"/>
  <c r="AW591" i="1"/>
  <c r="AX591" i="1"/>
  <c r="AW592" i="1"/>
  <c r="AX592" i="1"/>
  <c r="AW593" i="1"/>
  <c r="AX593" i="1"/>
  <c r="AW594" i="1"/>
  <c r="AX594" i="1"/>
  <c r="AW597" i="1"/>
  <c r="AX597" i="1"/>
  <c r="AW598" i="1"/>
  <c r="AX598" i="1"/>
  <c r="AW599" i="1"/>
  <c r="AX599" i="1"/>
  <c r="AW600" i="1"/>
  <c r="AX600" i="1"/>
  <c r="AW602" i="1"/>
  <c r="AX602" i="1"/>
  <c r="AW603" i="1"/>
  <c r="AX603" i="1"/>
  <c r="AW604" i="1"/>
  <c r="AX604" i="1"/>
  <c r="AW605" i="1"/>
  <c r="AX605" i="1"/>
  <c r="AW606" i="1"/>
  <c r="AX606" i="1"/>
  <c r="AW607" i="1"/>
  <c r="AX607" i="1"/>
  <c r="AW608" i="1"/>
  <c r="AX608" i="1"/>
  <c r="AW609" i="1"/>
  <c r="AX609" i="1"/>
  <c r="AW610" i="1"/>
  <c r="AX610" i="1"/>
  <c r="AW611" i="1"/>
  <c r="AX611" i="1"/>
  <c r="AW612" i="1"/>
  <c r="AX612" i="1"/>
  <c r="AW613" i="1"/>
  <c r="AX613" i="1"/>
  <c r="AW614" i="1"/>
  <c r="AX614" i="1"/>
  <c r="AW615" i="1"/>
  <c r="AX615" i="1"/>
  <c r="AW616" i="1"/>
  <c r="AX616" i="1"/>
  <c r="AW601" i="1"/>
  <c r="AX601" i="1"/>
  <c r="AW617" i="1"/>
  <c r="AX617" i="1"/>
  <c r="AW618" i="1"/>
  <c r="AX618" i="1"/>
  <c r="AW619" i="1"/>
  <c r="AX619" i="1"/>
  <c r="AW620" i="1"/>
  <c r="AX620" i="1"/>
  <c r="AW621" i="1"/>
  <c r="AX621" i="1"/>
  <c r="AW622" i="1"/>
  <c r="AX622" i="1"/>
  <c r="AW623" i="1"/>
  <c r="AX623" i="1"/>
  <c r="AW624" i="1"/>
  <c r="AX624" i="1"/>
  <c r="AW625" i="1"/>
  <c r="AX625" i="1"/>
  <c r="AW626" i="1"/>
  <c r="AX626" i="1"/>
  <c r="AW627" i="1"/>
  <c r="AX627" i="1"/>
  <c r="AW628" i="1"/>
  <c r="AX628" i="1"/>
  <c r="AW629" i="1"/>
  <c r="AX629" i="1"/>
  <c r="AW630" i="1"/>
  <c r="AX630" i="1"/>
  <c r="AW631" i="1"/>
  <c r="AX631" i="1"/>
  <c r="AW632" i="1"/>
  <c r="AX632" i="1"/>
  <c r="AW633" i="1"/>
  <c r="AX633" i="1"/>
  <c r="AW634" i="1"/>
  <c r="AX634" i="1"/>
  <c r="AW635" i="1"/>
  <c r="AX635" i="1"/>
  <c r="AW636" i="1"/>
  <c r="AX636" i="1"/>
  <c r="AW637" i="1"/>
  <c r="AX637" i="1"/>
  <c r="AW638" i="1"/>
  <c r="AX638" i="1"/>
  <c r="AW639" i="1"/>
  <c r="AX639" i="1"/>
  <c r="AW640" i="1"/>
  <c r="AX640" i="1"/>
  <c r="AW641" i="1"/>
  <c r="AX641" i="1"/>
  <c r="AW642" i="1"/>
  <c r="AX642" i="1"/>
  <c r="AW643" i="1"/>
  <c r="AX643" i="1"/>
  <c r="AW644" i="1"/>
  <c r="AX644" i="1"/>
  <c r="AW645" i="1"/>
  <c r="AX645" i="1"/>
  <c r="AW646" i="1"/>
  <c r="AX646" i="1"/>
  <c r="AW647" i="1"/>
  <c r="AX647" i="1"/>
  <c r="AW648" i="1"/>
  <c r="AX648" i="1"/>
  <c r="AW649" i="1"/>
  <c r="AX649" i="1"/>
  <c r="AW650" i="1"/>
  <c r="AX650" i="1"/>
  <c r="AW651" i="1"/>
  <c r="AX651" i="1"/>
  <c r="AW652" i="1"/>
  <c r="AX652" i="1"/>
  <c r="AW653" i="1"/>
  <c r="AX653" i="1"/>
  <c r="AW654" i="1"/>
  <c r="AX654" i="1"/>
  <c r="AW655" i="1"/>
  <c r="AX655" i="1"/>
  <c r="AW656" i="1"/>
  <c r="AX656" i="1"/>
  <c r="AW657" i="1"/>
  <c r="AX657" i="1"/>
  <c r="AW658" i="1"/>
  <c r="AX658" i="1"/>
  <c r="AW659" i="1"/>
  <c r="AX659" i="1"/>
  <c r="AW660" i="1"/>
  <c r="AX660" i="1"/>
  <c r="AW661" i="1"/>
  <c r="AX661" i="1"/>
  <c r="AW662" i="1"/>
  <c r="AX662" i="1"/>
  <c r="AW663" i="1"/>
  <c r="AX663" i="1"/>
  <c r="AW664" i="1"/>
  <c r="AX664" i="1"/>
  <c r="AW665" i="1"/>
  <c r="AX665" i="1"/>
  <c r="AW666" i="1"/>
  <c r="AX666" i="1"/>
  <c r="AW667" i="1"/>
  <c r="AX667" i="1"/>
  <c r="AW668" i="1"/>
  <c r="AX668" i="1"/>
  <c r="AW669" i="1"/>
  <c r="AX669" i="1"/>
  <c r="AW670" i="1"/>
  <c r="AX670" i="1"/>
  <c r="AW671" i="1"/>
  <c r="AX671" i="1"/>
  <c r="AW672" i="1"/>
  <c r="AX672" i="1"/>
  <c r="AW673" i="1"/>
  <c r="AX673" i="1"/>
  <c r="AW674" i="1"/>
  <c r="AX674" i="1"/>
  <c r="AW675" i="1"/>
  <c r="AX675" i="1"/>
  <c r="AW676" i="1"/>
  <c r="AX676" i="1"/>
  <c r="AW677" i="1"/>
  <c r="AX677" i="1"/>
  <c r="AW678" i="1"/>
  <c r="AX678" i="1"/>
  <c r="AW679" i="1"/>
  <c r="AX679" i="1"/>
  <c r="AW680" i="1"/>
  <c r="AX680" i="1"/>
  <c r="AW681" i="1"/>
  <c r="AX681" i="1"/>
  <c r="AW682" i="1"/>
  <c r="AX682" i="1"/>
  <c r="AW683" i="1"/>
  <c r="AX683" i="1"/>
  <c r="AW684" i="1"/>
  <c r="AX684" i="1"/>
  <c r="AW685" i="1"/>
  <c r="AX685" i="1"/>
  <c r="AW686" i="1"/>
  <c r="AX686" i="1"/>
  <c r="AW687" i="1"/>
  <c r="AX687" i="1"/>
  <c r="AW688" i="1"/>
  <c r="AX688" i="1"/>
  <c r="AW689" i="1"/>
  <c r="AX689" i="1"/>
  <c r="AW690" i="1"/>
  <c r="AX690" i="1"/>
  <c r="AW691" i="1"/>
  <c r="AX691" i="1"/>
  <c r="AW692" i="1"/>
  <c r="AX692" i="1"/>
  <c r="AW693" i="1"/>
  <c r="AX693" i="1"/>
  <c r="AW694" i="1"/>
  <c r="AX694" i="1"/>
  <c r="AW695" i="1"/>
  <c r="AX695" i="1"/>
  <c r="AW696" i="1"/>
  <c r="AX696" i="1"/>
  <c r="AW697" i="1"/>
  <c r="AX697" i="1"/>
  <c r="AW698" i="1"/>
  <c r="AX698" i="1"/>
  <c r="AW699" i="1"/>
  <c r="AX699" i="1"/>
  <c r="AW700" i="1"/>
  <c r="AX700" i="1"/>
  <c r="AW701" i="1"/>
  <c r="AX701" i="1"/>
  <c r="AW702" i="1"/>
  <c r="AX702" i="1"/>
  <c r="AW703" i="1"/>
  <c r="AX703" i="1"/>
  <c r="AW704" i="1"/>
  <c r="AX704" i="1"/>
  <c r="AW705" i="1"/>
  <c r="AX705" i="1"/>
  <c r="AW706" i="1"/>
  <c r="AX706" i="1"/>
  <c r="AW707" i="1"/>
  <c r="AX707" i="1"/>
  <c r="AW708" i="1"/>
  <c r="AX708" i="1"/>
  <c r="AW709" i="1"/>
  <c r="AX709" i="1"/>
  <c r="AW710" i="1"/>
  <c r="AX710" i="1"/>
  <c r="AW711" i="1"/>
  <c r="AX711" i="1"/>
  <c r="AW712" i="1"/>
  <c r="AX712" i="1"/>
  <c r="AW713" i="1"/>
  <c r="AX713" i="1"/>
  <c r="AW714" i="1"/>
  <c r="AX714" i="1"/>
  <c r="AW715" i="1"/>
  <c r="AX715" i="1"/>
  <c r="AW716" i="1"/>
  <c r="AX716" i="1"/>
  <c r="AW717" i="1"/>
  <c r="AX717" i="1"/>
  <c r="AW718" i="1"/>
  <c r="AX718" i="1"/>
  <c r="AW719" i="1"/>
  <c r="AX719" i="1"/>
  <c r="AW720" i="1"/>
  <c r="AX720" i="1"/>
  <c r="AW721" i="1"/>
  <c r="AX721" i="1"/>
  <c r="AW722" i="1"/>
  <c r="AX722" i="1"/>
  <c r="AW723" i="1"/>
  <c r="AX723" i="1"/>
  <c r="AW724" i="1"/>
  <c r="AX724" i="1"/>
  <c r="AW725" i="1"/>
  <c r="AX725" i="1"/>
  <c r="AW726" i="1"/>
  <c r="AX726" i="1"/>
  <c r="AW727" i="1"/>
  <c r="AX727" i="1"/>
  <c r="AW728" i="1"/>
  <c r="AX728" i="1"/>
  <c r="AW729" i="1"/>
  <c r="AX729" i="1"/>
  <c r="AW730" i="1"/>
  <c r="AX730" i="1"/>
  <c r="AW731" i="1"/>
  <c r="AX731" i="1"/>
  <c r="AW732" i="1"/>
  <c r="AX732" i="1"/>
  <c r="AW733" i="1"/>
  <c r="AX733" i="1"/>
  <c r="AW734" i="1"/>
  <c r="AX734" i="1"/>
  <c r="AW735" i="1"/>
  <c r="AX735" i="1"/>
  <c r="AW736" i="1"/>
  <c r="AX736" i="1"/>
  <c r="AW737" i="1"/>
  <c r="AX737" i="1"/>
  <c r="AW738" i="1"/>
  <c r="AX738" i="1"/>
  <c r="AW739" i="1"/>
  <c r="AX739" i="1"/>
  <c r="AW740" i="1"/>
  <c r="AX740" i="1"/>
  <c r="AW741" i="1"/>
  <c r="AX741" i="1"/>
  <c r="AW742" i="1"/>
  <c r="AX742" i="1"/>
  <c r="AW743" i="1"/>
  <c r="AX743" i="1"/>
  <c r="AW744" i="1"/>
  <c r="AX744" i="1"/>
  <c r="AW745" i="1"/>
  <c r="AX745" i="1"/>
  <c r="AW746" i="1"/>
  <c r="AX746" i="1"/>
  <c r="AW747" i="1"/>
  <c r="AX747" i="1"/>
  <c r="AW748" i="1"/>
  <c r="AX748" i="1"/>
  <c r="AW749" i="1"/>
  <c r="AX749" i="1"/>
  <c r="AW750" i="1"/>
  <c r="AX750" i="1"/>
  <c r="AW751" i="1"/>
  <c r="AX751" i="1"/>
  <c r="AW752" i="1"/>
  <c r="AX752" i="1"/>
  <c r="AW753" i="1"/>
  <c r="AX753" i="1"/>
  <c r="AW754" i="1"/>
  <c r="AX754" i="1"/>
  <c r="AW755" i="1"/>
  <c r="AX755" i="1"/>
  <c r="AW756" i="1"/>
  <c r="AX756" i="1"/>
  <c r="AW757" i="1"/>
  <c r="AX757" i="1"/>
  <c r="AW758" i="1"/>
  <c r="AX758" i="1"/>
  <c r="AW759" i="1"/>
  <c r="AX759" i="1"/>
  <c r="AW760" i="1"/>
  <c r="AX760" i="1"/>
  <c r="AW761" i="1"/>
  <c r="AX761" i="1"/>
  <c r="AW762" i="1"/>
  <c r="AX762" i="1"/>
  <c r="AW763" i="1"/>
  <c r="AX763" i="1"/>
  <c r="AW764" i="1"/>
  <c r="AX764" i="1"/>
  <c r="AW765" i="1"/>
  <c r="AX765" i="1"/>
  <c r="AW766" i="1"/>
  <c r="AX766" i="1"/>
  <c r="AW767" i="1"/>
  <c r="AX767" i="1"/>
  <c r="AW768" i="1"/>
  <c r="AX768" i="1"/>
  <c r="AW769" i="1"/>
  <c r="AX769" i="1"/>
  <c r="AW770" i="1"/>
  <c r="AX770" i="1"/>
  <c r="AW771" i="1"/>
  <c r="AX771" i="1"/>
  <c r="AW772" i="1"/>
  <c r="AX772" i="1"/>
  <c r="AW773" i="1"/>
  <c r="AX773" i="1"/>
  <c r="AW774" i="1"/>
  <c r="AX774" i="1"/>
  <c r="AW775" i="1"/>
  <c r="AX775" i="1"/>
  <c r="AW776" i="1"/>
  <c r="AX776" i="1"/>
  <c r="AW777" i="1"/>
  <c r="AX777" i="1"/>
  <c r="AW778" i="1"/>
  <c r="AX778" i="1"/>
  <c r="AW779" i="1"/>
  <c r="AX779" i="1"/>
  <c r="AW780" i="1"/>
  <c r="AX780" i="1"/>
  <c r="AW781" i="1"/>
  <c r="AX781" i="1"/>
  <c r="AW782" i="1"/>
  <c r="AX782" i="1"/>
  <c r="AW783" i="1"/>
  <c r="AX783" i="1"/>
  <c r="AW784" i="1"/>
  <c r="AX784" i="1"/>
  <c r="AW785" i="1"/>
  <c r="AX785" i="1"/>
  <c r="AW786" i="1"/>
  <c r="AX786" i="1"/>
  <c r="AW787" i="1"/>
  <c r="AX787" i="1"/>
  <c r="AW788" i="1"/>
  <c r="AX788" i="1"/>
  <c r="AW789" i="1"/>
  <c r="AX789" i="1"/>
  <c r="AW790" i="1"/>
  <c r="AX790" i="1"/>
  <c r="AW791" i="1"/>
  <c r="AX791" i="1"/>
  <c r="AW792" i="1"/>
  <c r="AX792" i="1"/>
  <c r="AW793" i="1"/>
  <c r="AX793" i="1"/>
  <c r="AW794" i="1"/>
  <c r="AX794" i="1"/>
  <c r="AW795" i="1"/>
  <c r="AX795" i="1"/>
  <c r="AW796" i="1"/>
  <c r="AX796" i="1"/>
  <c r="AW797" i="1"/>
  <c r="AX797" i="1"/>
  <c r="AW798" i="1"/>
  <c r="AX798" i="1"/>
  <c r="AW799" i="1"/>
  <c r="AX799" i="1"/>
  <c r="AW800" i="1"/>
  <c r="AX800" i="1"/>
  <c r="AW801" i="1"/>
  <c r="AX801" i="1"/>
  <c r="AW802" i="1"/>
  <c r="AX802" i="1"/>
  <c r="AW803" i="1"/>
  <c r="AX803" i="1"/>
  <c r="AW804" i="1"/>
  <c r="AX804" i="1"/>
  <c r="AW805" i="1"/>
  <c r="AX805" i="1"/>
  <c r="AW806" i="1"/>
  <c r="AX806" i="1"/>
  <c r="AW807" i="1"/>
  <c r="AX807" i="1"/>
  <c r="AW808" i="1"/>
  <c r="AX808" i="1"/>
  <c r="AW809" i="1"/>
  <c r="AX809" i="1"/>
  <c r="AW810" i="1"/>
  <c r="AX810" i="1"/>
  <c r="AW811" i="1"/>
  <c r="AX811" i="1"/>
  <c r="AW812" i="1"/>
  <c r="AX812" i="1"/>
  <c r="AW813" i="1"/>
  <c r="AX813" i="1"/>
  <c r="AW814" i="1"/>
  <c r="AX814" i="1"/>
  <c r="AW815" i="1"/>
  <c r="AX815" i="1"/>
  <c r="AW816" i="1"/>
  <c r="AX816" i="1"/>
  <c r="AW817" i="1"/>
  <c r="AX817" i="1"/>
  <c r="AW818" i="1"/>
  <c r="AX818" i="1"/>
  <c r="AW819" i="1"/>
  <c r="AX819" i="1"/>
  <c r="AW820" i="1"/>
  <c r="AX820" i="1"/>
  <c r="AW821" i="1"/>
  <c r="AX821" i="1"/>
  <c r="AW822" i="1"/>
  <c r="AX822" i="1"/>
  <c r="AW823" i="1"/>
  <c r="AX823" i="1"/>
  <c r="AW824" i="1"/>
  <c r="AX824" i="1"/>
  <c r="AW825" i="1"/>
  <c r="AX825" i="1"/>
  <c r="AW826" i="1"/>
  <c r="AX826" i="1"/>
  <c r="AW827" i="1"/>
  <c r="AX827" i="1"/>
  <c r="AW828" i="1"/>
  <c r="AX828" i="1"/>
  <c r="AW829" i="1"/>
  <c r="AX829" i="1"/>
  <c r="AW830" i="1"/>
  <c r="AX830" i="1"/>
  <c r="AW831" i="1"/>
  <c r="AX831" i="1"/>
  <c r="AW832" i="1"/>
  <c r="AX832" i="1"/>
  <c r="AW833" i="1"/>
  <c r="AX833" i="1"/>
  <c r="AW834" i="1"/>
  <c r="AX834" i="1"/>
  <c r="AW835" i="1"/>
  <c r="AX835" i="1"/>
  <c r="AW836" i="1"/>
  <c r="AX836" i="1"/>
  <c r="AW837" i="1"/>
  <c r="AX837" i="1"/>
  <c r="AW838" i="1"/>
  <c r="AX838" i="1"/>
  <c r="AW839" i="1"/>
  <c r="AX839" i="1"/>
  <c r="AW840" i="1"/>
  <c r="AX840" i="1"/>
  <c r="AW841" i="1"/>
  <c r="AX841" i="1"/>
  <c r="AW842" i="1"/>
  <c r="AX842" i="1"/>
  <c r="AW843" i="1"/>
  <c r="AX843" i="1"/>
  <c r="AW844" i="1"/>
  <c r="AX844" i="1"/>
  <c r="AW845" i="1"/>
  <c r="AX845" i="1"/>
  <c r="AW846" i="1"/>
  <c r="AX846" i="1"/>
  <c r="AW847" i="1"/>
  <c r="AX847" i="1"/>
  <c r="AW848" i="1"/>
  <c r="AX848" i="1"/>
  <c r="AW849" i="1"/>
  <c r="AX849" i="1"/>
  <c r="AW850" i="1"/>
  <c r="AX850" i="1"/>
  <c r="AW851" i="1"/>
  <c r="AX851" i="1"/>
  <c r="AW852" i="1"/>
  <c r="AX852" i="1"/>
  <c r="AW853" i="1"/>
  <c r="AX853" i="1"/>
  <c r="AW854" i="1"/>
  <c r="AX854" i="1"/>
  <c r="AW855" i="1"/>
  <c r="AX855" i="1"/>
  <c r="AW856" i="1"/>
  <c r="AX856" i="1"/>
  <c r="AW857" i="1"/>
  <c r="AX857" i="1"/>
  <c r="AW858" i="1"/>
  <c r="AX858" i="1"/>
  <c r="AW859" i="1"/>
  <c r="AX859" i="1"/>
  <c r="AW860" i="1"/>
  <c r="AX860" i="1"/>
  <c r="AW861" i="1"/>
  <c r="AX861" i="1"/>
  <c r="AW862" i="1"/>
  <c r="AX862" i="1"/>
  <c r="AW863" i="1"/>
  <c r="AX863" i="1"/>
  <c r="AW864" i="1"/>
  <c r="AX864" i="1"/>
  <c r="AW865" i="1"/>
  <c r="AX865" i="1"/>
  <c r="AW866" i="1"/>
  <c r="AX866" i="1"/>
  <c r="AW867" i="1"/>
  <c r="AX867" i="1"/>
  <c r="AW868" i="1"/>
  <c r="AX868" i="1"/>
  <c r="AW869" i="1"/>
  <c r="AX869" i="1"/>
  <c r="AW870" i="1"/>
  <c r="AX870" i="1"/>
  <c r="AW871" i="1"/>
  <c r="AX871" i="1"/>
  <c r="AW872" i="1"/>
  <c r="AX872" i="1"/>
  <c r="AW873" i="1"/>
  <c r="AX873" i="1"/>
  <c r="AW874" i="1"/>
  <c r="AX874" i="1"/>
  <c r="AW875" i="1"/>
  <c r="AX875" i="1"/>
  <c r="AW876" i="1"/>
  <c r="AX876" i="1"/>
  <c r="AW877" i="1"/>
  <c r="AX877" i="1"/>
  <c r="AW878" i="1"/>
  <c r="AX878" i="1"/>
  <c r="AW879" i="1"/>
  <c r="AX879" i="1"/>
  <c r="AW880" i="1"/>
  <c r="AX880" i="1"/>
  <c r="AW881" i="1"/>
  <c r="AX881" i="1"/>
  <c r="AW882" i="1"/>
  <c r="AX882" i="1"/>
  <c r="AW883" i="1"/>
  <c r="AX883" i="1"/>
  <c r="AW884" i="1"/>
  <c r="AX884" i="1"/>
  <c r="AW885" i="1"/>
  <c r="AX885" i="1"/>
  <c r="AW886" i="1"/>
  <c r="AX886" i="1"/>
  <c r="AW887" i="1"/>
  <c r="AX887" i="1"/>
  <c r="AW888" i="1"/>
  <c r="AX888" i="1"/>
  <c r="AW889" i="1"/>
  <c r="AX889" i="1"/>
  <c r="AW890" i="1"/>
  <c r="AX890" i="1"/>
  <c r="AW891" i="1"/>
  <c r="AX891" i="1"/>
  <c r="AW892" i="1"/>
  <c r="AX892" i="1"/>
  <c r="AW893" i="1"/>
  <c r="AX893" i="1"/>
  <c r="AW894" i="1"/>
  <c r="AX894" i="1"/>
  <c r="AW895" i="1"/>
  <c r="AX895" i="1"/>
  <c r="AW896" i="1"/>
  <c r="AX896" i="1"/>
  <c r="AW897" i="1"/>
  <c r="AX897" i="1"/>
  <c r="AW898" i="1"/>
  <c r="AX898" i="1"/>
  <c r="AW899" i="1"/>
  <c r="AX899" i="1"/>
  <c r="AW900" i="1"/>
  <c r="AX900" i="1"/>
  <c r="AW901" i="1"/>
  <c r="AX901" i="1"/>
  <c r="AW902" i="1"/>
  <c r="AX902" i="1"/>
  <c r="AW903" i="1"/>
  <c r="AX903" i="1"/>
  <c r="AW904" i="1"/>
  <c r="AX904" i="1"/>
  <c r="AW905" i="1"/>
  <c r="AX905" i="1"/>
  <c r="AW906" i="1"/>
  <c r="AX906" i="1"/>
  <c r="AW907" i="1"/>
  <c r="AX907" i="1"/>
  <c r="AW908" i="1"/>
  <c r="AX908" i="1"/>
  <c r="AW909" i="1"/>
  <c r="AX909" i="1"/>
  <c r="AW910" i="1"/>
  <c r="AX910" i="1"/>
  <c r="AW911" i="1"/>
  <c r="AX911" i="1"/>
  <c r="AW912" i="1"/>
  <c r="AX912" i="1"/>
  <c r="AW913" i="1"/>
  <c r="AX913" i="1"/>
  <c r="AW914" i="1"/>
  <c r="AX914" i="1"/>
  <c r="AW915" i="1"/>
  <c r="AX915" i="1"/>
  <c r="AW916" i="1"/>
  <c r="AX916" i="1"/>
  <c r="AW917" i="1"/>
  <c r="AX917" i="1"/>
  <c r="AW918" i="1"/>
  <c r="AX918" i="1"/>
  <c r="AW919" i="1"/>
  <c r="AX919" i="1"/>
  <c r="AW920" i="1"/>
  <c r="AX920" i="1"/>
  <c r="AW921" i="1"/>
  <c r="AX921" i="1"/>
  <c r="AW922" i="1"/>
  <c r="AX922" i="1"/>
  <c r="AW923" i="1"/>
  <c r="AX923" i="1"/>
  <c r="AW924" i="1"/>
  <c r="AX924" i="1"/>
  <c r="AW925" i="1"/>
  <c r="AX925" i="1"/>
  <c r="AW926" i="1"/>
  <c r="AX926" i="1"/>
  <c r="AW927" i="1"/>
  <c r="AX927" i="1"/>
  <c r="AW928" i="1"/>
  <c r="AX928" i="1"/>
  <c r="AW929" i="1"/>
  <c r="AX929" i="1"/>
  <c r="AW930" i="1"/>
  <c r="AX930" i="1"/>
  <c r="AW931" i="1"/>
  <c r="AX931" i="1"/>
  <c r="AW932" i="1"/>
  <c r="AX932" i="1"/>
  <c r="AW933" i="1"/>
  <c r="AX933" i="1"/>
  <c r="AW934" i="1"/>
  <c r="AX934" i="1"/>
  <c r="AW935" i="1"/>
  <c r="AX935" i="1"/>
  <c r="AW936" i="1"/>
  <c r="AX936" i="1"/>
  <c r="AW937" i="1"/>
  <c r="AX937" i="1"/>
  <c r="AW938" i="1"/>
  <c r="AX938" i="1"/>
  <c r="AW939" i="1"/>
  <c r="AX939" i="1"/>
  <c r="AW940" i="1"/>
  <c r="AX940" i="1"/>
  <c r="AW941" i="1"/>
  <c r="AX941" i="1"/>
  <c r="AW942" i="1"/>
  <c r="AX942" i="1"/>
  <c r="AW943" i="1"/>
  <c r="AX943" i="1"/>
  <c r="AW944" i="1"/>
  <c r="AX944" i="1"/>
  <c r="AW945" i="1"/>
  <c r="AX945" i="1"/>
  <c r="AW946" i="1"/>
  <c r="AX946" i="1"/>
  <c r="AW947" i="1"/>
  <c r="AX947" i="1"/>
  <c r="AW948" i="1"/>
  <c r="AX948" i="1"/>
  <c r="AW949" i="1"/>
  <c r="AX949" i="1"/>
  <c r="AW950" i="1"/>
  <c r="AX950" i="1"/>
  <c r="AW951" i="1"/>
  <c r="AX951" i="1"/>
  <c r="AW952" i="1"/>
  <c r="AX952" i="1"/>
  <c r="AW953" i="1"/>
  <c r="AX953" i="1"/>
  <c r="AW954" i="1"/>
  <c r="AX954" i="1"/>
  <c r="AW955" i="1"/>
  <c r="AX955" i="1"/>
  <c r="AW956" i="1"/>
  <c r="AX956" i="1"/>
  <c r="AW957" i="1"/>
  <c r="AX957" i="1"/>
  <c r="AW958" i="1"/>
  <c r="AX958" i="1"/>
  <c r="AW959" i="1"/>
  <c r="AX959" i="1"/>
  <c r="AW960" i="1"/>
  <c r="AX960" i="1"/>
  <c r="AW961" i="1"/>
  <c r="AX961" i="1"/>
  <c r="AW962" i="1"/>
  <c r="AX962" i="1"/>
  <c r="AW969" i="1"/>
  <c r="AW970" i="1"/>
  <c r="AX970" i="1"/>
  <c r="AW971" i="1"/>
  <c r="AX971" i="1"/>
  <c r="AW972" i="1"/>
  <c r="AX972" i="1"/>
  <c r="AW973" i="1"/>
  <c r="AX973" i="1"/>
  <c r="AW974" i="1"/>
  <c r="AX974" i="1"/>
  <c r="AW975" i="1"/>
  <c r="AX975" i="1"/>
  <c r="AW976" i="1"/>
  <c r="AX976" i="1"/>
  <c r="AW977" i="1"/>
  <c r="AX977" i="1"/>
  <c r="AW978" i="1"/>
  <c r="AX978" i="1"/>
  <c r="AW979" i="1"/>
  <c r="AX979" i="1"/>
  <c r="AW980" i="1"/>
  <c r="AX980" i="1"/>
  <c r="AW981" i="1"/>
  <c r="AX981" i="1"/>
  <c r="AW982" i="1"/>
  <c r="AX982" i="1"/>
  <c r="AW983" i="1"/>
  <c r="AX983" i="1"/>
  <c r="AW984" i="1"/>
  <c r="AX984" i="1"/>
  <c r="AW985" i="1"/>
  <c r="AX985" i="1"/>
  <c r="AW986" i="1"/>
  <c r="AX986" i="1"/>
  <c r="AW987" i="1"/>
  <c r="AX987" i="1"/>
  <c r="AW988" i="1"/>
  <c r="AX988" i="1"/>
  <c r="AW989" i="1"/>
  <c r="AX989" i="1"/>
  <c r="AW990" i="1"/>
  <c r="AX990" i="1"/>
  <c r="AW991" i="1"/>
  <c r="AX991" i="1"/>
  <c r="AW992" i="1"/>
  <c r="AX992" i="1"/>
  <c r="AW993" i="1"/>
  <c r="AX993" i="1"/>
  <c r="AW994" i="1"/>
  <c r="AX994" i="1"/>
  <c r="AW995" i="1"/>
  <c r="AX995" i="1"/>
  <c r="AW996" i="1"/>
  <c r="AX996" i="1"/>
  <c r="AW997" i="1"/>
  <c r="AX997" i="1"/>
  <c r="AW998" i="1"/>
  <c r="AX998" i="1"/>
  <c r="AW999" i="1"/>
  <c r="AX999" i="1"/>
  <c r="AW1000" i="1"/>
  <c r="AX1000" i="1"/>
  <c r="AW1001" i="1"/>
  <c r="AX1001" i="1"/>
  <c r="AW1002" i="1"/>
  <c r="AX1002" i="1"/>
  <c r="AW1003" i="1"/>
  <c r="AX1003" i="1"/>
  <c r="AW1004" i="1"/>
  <c r="AX1004" i="1"/>
  <c r="AW1005" i="1"/>
  <c r="AX1005" i="1"/>
  <c r="AW1006" i="1"/>
  <c r="AX1006" i="1"/>
  <c r="AW1007" i="1"/>
  <c r="AX1007" i="1"/>
  <c r="AW1008" i="1"/>
  <c r="AX1008" i="1"/>
  <c r="AW1009" i="1"/>
  <c r="AX1009" i="1"/>
  <c r="AW1010" i="1"/>
  <c r="AX1010" i="1"/>
  <c r="AW1011" i="1"/>
  <c r="AX1011" i="1"/>
  <c r="AW1012" i="1"/>
  <c r="AX1012" i="1"/>
  <c r="AW1013" i="1"/>
  <c r="AX1013" i="1"/>
  <c r="AW1014" i="1"/>
  <c r="AX1014" i="1"/>
  <c r="AW1015" i="1"/>
  <c r="AX1015" i="1"/>
  <c r="AW1016" i="1"/>
  <c r="AX1016" i="1"/>
  <c r="AW1017" i="1"/>
  <c r="AX1017" i="1"/>
  <c r="AW1018" i="1"/>
  <c r="AX1018" i="1"/>
  <c r="AW1019" i="1"/>
  <c r="AX1019" i="1"/>
  <c r="AW1020" i="1"/>
  <c r="AX1020" i="1"/>
  <c r="AW1021" i="1"/>
  <c r="AX1021" i="1"/>
  <c r="AW1022" i="1"/>
  <c r="AX1022" i="1"/>
  <c r="AW1023" i="1"/>
  <c r="AX1023" i="1"/>
  <c r="AW1024" i="1"/>
  <c r="AX1024" i="1"/>
  <c r="AW1025" i="1"/>
  <c r="AX1025" i="1"/>
  <c r="AW1026" i="1"/>
  <c r="AX1026" i="1"/>
  <c r="AW1027" i="1"/>
  <c r="AX1027" i="1"/>
  <c r="AW1028" i="1"/>
  <c r="AX1028" i="1"/>
  <c r="AW1029" i="1"/>
  <c r="AX1029" i="1"/>
  <c r="AW1030" i="1"/>
  <c r="AX1030" i="1"/>
  <c r="AW1031" i="1"/>
  <c r="AX1031" i="1"/>
  <c r="AW1032" i="1"/>
  <c r="AX1032" i="1"/>
  <c r="AW1033" i="1"/>
  <c r="AX1033" i="1"/>
  <c r="AW1034" i="1"/>
  <c r="AX1034" i="1"/>
  <c r="AW1035" i="1"/>
  <c r="AX1035" i="1"/>
  <c r="AW1036" i="1"/>
  <c r="AX1036" i="1"/>
  <c r="AW1037" i="1"/>
  <c r="AX1037" i="1"/>
  <c r="AW1038" i="1"/>
  <c r="AX1038" i="1"/>
  <c r="AW1039" i="1"/>
  <c r="AX1039" i="1"/>
  <c r="AW1040" i="1"/>
  <c r="AX1040" i="1"/>
  <c r="AW1041" i="1"/>
  <c r="AX1041" i="1"/>
  <c r="AW1042" i="1"/>
  <c r="AX1042" i="1"/>
  <c r="AW1043" i="1"/>
  <c r="AX1043" i="1"/>
  <c r="AW1044" i="1"/>
  <c r="AX1044" i="1"/>
  <c r="AW1045" i="1"/>
  <c r="AX1045" i="1"/>
  <c r="AW1046" i="1"/>
  <c r="AX1046" i="1"/>
  <c r="AW1047" i="1"/>
  <c r="AX1047" i="1"/>
  <c r="AW1048" i="1"/>
  <c r="AX1048" i="1"/>
  <c r="AW1049" i="1"/>
  <c r="AX1049" i="1"/>
  <c r="AW1050" i="1"/>
  <c r="AX1050" i="1"/>
  <c r="AW1051" i="1"/>
  <c r="AX1051" i="1"/>
  <c r="AW1052" i="1"/>
  <c r="AX1052" i="1"/>
  <c r="AW1053" i="1"/>
  <c r="AX1053" i="1"/>
  <c r="AW1054" i="1"/>
  <c r="AX1054" i="1"/>
  <c r="AW1055" i="1"/>
  <c r="AX1055" i="1"/>
  <c r="AW1056" i="1"/>
  <c r="AX1056" i="1"/>
  <c r="AW1057" i="1"/>
  <c r="AX1057" i="1"/>
  <c r="AW1058" i="1"/>
  <c r="AX1058" i="1"/>
  <c r="AW1059" i="1"/>
  <c r="AX1059" i="1"/>
  <c r="AW1060" i="1"/>
  <c r="AX1060" i="1"/>
  <c r="AW1061" i="1"/>
  <c r="AX1061" i="1"/>
  <c r="AW1062" i="1"/>
  <c r="AX1062" i="1"/>
  <c r="AW1063" i="1"/>
  <c r="AX1063" i="1"/>
  <c r="AW1064" i="1"/>
  <c r="AX1064" i="1"/>
  <c r="AW1065" i="1"/>
  <c r="AX1065" i="1"/>
  <c r="AW1066" i="1"/>
  <c r="AX1066" i="1"/>
  <c r="AW1067" i="1"/>
  <c r="AX1067" i="1"/>
  <c r="AW1068" i="1"/>
  <c r="AX1068" i="1"/>
  <c r="AW1069" i="1"/>
  <c r="AX1069" i="1"/>
  <c r="AW1070" i="1"/>
  <c r="AX1070" i="1"/>
  <c r="AW1071" i="1"/>
  <c r="AX1071" i="1"/>
  <c r="AW1072" i="1"/>
  <c r="AX1072" i="1"/>
  <c r="AW1073" i="1"/>
  <c r="AX1073" i="1"/>
  <c r="AW1074" i="1"/>
  <c r="AX1074" i="1"/>
  <c r="AW1075" i="1"/>
  <c r="AX1075" i="1"/>
  <c r="AW1076" i="1"/>
  <c r="AX1076" i="1"/>
  <c r="AW1077" i="1"/>
  <c r="AX1077" i="1"/>
  <c r="AW1078" i="1"/>
  <c r="AX1078" i="1"/>
  <c r="AW1079" i="1"/>
  <c r="AX1079" i="1"/>
  <c r="AW1080" i="1"/>
  <c r="AX1080" i="1"/>
  <c r="AW1081" i="1"/>
  <c r="AX1081" i="1"/>
  <c r="AW1082" i="1"/>
  <c r="AX1082" i="1"/>
  <c r="AW1083" i="1"/>
  <c r="AX1083" i="1"/>
  <c r="AW1084" i="1"/>
  <c r="AX1084" i="1"/>
  <c r="AW1085" i="1"/>
  <c r="AX1085" i="1"/>
  <c r="AW1086" i="1"/>
  <c r="AX1086" i="1"/>
  <c r="AW1087" i="1"/>
  <c r="AX1087" i="1"/>
  <c r="AW1088" i="1"/>
  <c r="AX1088" i="1"/>
  <c r="AW1089" i="1"/>
  <c r="AX1089" i="1"/>
  <c r="AW1090" i="1"/>
  <c r="AX1090" i="1"/>
  <c r="AW1091" i="1"/>
  <c r="AX1091" i="1"/>
  <c r="AW1092" i="1"/>
  <c r="AX1092" i="1"/>
  <c r="AW1093" i="1"/>
  <c r="AX1093" i="1"/>
  <c r="AW1094" i="1"/>
  <c r="AX1094" i="1"/>
  <c r="AW1095" i="1"/>
  <c r="AX1095" i="1"/>
  <c r="AW1096" i="1"/>
  <c r="AX1096" i="1"/>
  <c r="AW1097" i="1"/>
  <c r="AX1097" i="1"/>
  <c r="AW1098" i="1"/>
  <c r="AX1098" i="1"/>
  <c r="AW1099" i="1"/>
  <c r="AX1099" i="1"/>
  <c r="AW1100" i="1"/>
  <c r="AX1100" i="1"/>
  <c r="AW1101" i="1"/>
  <c r="AX1101" i="1"/>
  <c r="AW1102" i="1"/>
  <c r="AX1102" i="1"/>
  <c r="AW1103" i="1"/>
  <c r="AX1103" i="1"/>
  <c r="AW1104" i="1"/>
  <c r="AX1104" i="1"/>
  <c r="AW1105" i="1"/>
  <c r="AX1105" i="1"/>
  <c r="AW1106" i="1"/>
  <c r="AX1106" i="1"/>
  <c r="AW1107" i="1"/>
  <c r="AX1107" i="1"/>
  <c r="AW1108" i="1"/>
  <c r="AX1108" i="1"/>
  <c r="AW1109" i="1"/>
  <c r="AX1109" i="1"/>
  <c r="AW1110" i="1"/>
  <c r="AX1110" i="1"/>
  <c r="AW1111" i="1"/>
  <c r="AX1111" i="1"/>
  <c r="AW1112" i="1"/>
  <c r="AX1112" i="1"/>
  <c r="AW1113" i="1"/>
  <c r="AX1113" i="1"/>
  <c r="AW1114" i="1"/>
  <c r="AX1114" i="1"/>
  <c r="AW1115" i="1"/>
  <c r="AX1115" i="1"/>
  <c r="AW1116" i="1"/>
  <c r="AX1116" i="1"/>
  <c r="AW1117" i="1"/>
  <c r="AX1117" i="1"/>
  <c r="AW1118" i="1"/>
  <c r="AX1118" i="1"/>
  <c r="AW1119" i="1"/>
  <c r="AX1119" i="1"/>
  <c r="AW1120" i="1"/>
  <c r="AX1120" i="1"/>
  <c r="AW1121" i="1"/>
  <c r="AX1121" i="1"/>
  <c r="AW1122" i="1"/>
  <c r="AX1122" i="1"/>
  <c r="AW1123" i="1"/>
  <c r="AX1123" i="1"/>
  <c r="AW1124" i="1"/>
  <c r="AX1124" i="1"/>
  <c r="AW1125" i="1"/>
  <c r="AX1125" i="1"/>
  <c r="AW1126" i="1"/>
  <c r="AX1126" i="1"/>
  <c r="AW1127" i="1"/>
  <c r="AX1127" i="1"/>
  <c r="AW1128" i="1"/>
  <c r="AX1128" i="1"/>
  <c r="AW1129" i="1"/>
  <c r="AX1129" i="1"/>
  <c r="AW1130" i="1"/>
  <c r="AX1130" i="1"/>
  <c r="AW1131" i="1"/>
  <c r="AX1131" i="1"/>
  <c r="AW1132" i="1"/>
  <c r="AX1132" i="1"/>
  <c r="AW1133" i="1"/>
  <c r="AX1133" i="1"/>
  <c r="AW1134" i="1"/>
  <c r="AX1134" i="1"/>
  <c r="AW1135" i="1"/>
  <c r="AX1135" i="1"/>
  <c r="AW1136" i="1"/>
  <c r="AX1136" i="1"/>
  <c r="AW1137" i="1"/>
  <c r="AX1137" i="1"/>
  <c r="AW1138" i="1"/>
  <c r="AX1138" i="1"/>
  <c r="AW1139" i="1"/>
  <c r="AX1139" i="1"/>
  <c r="AW1140" i="1"/>
  <c r="AX1140" i="1"/>
  <c r="AW1141" i="1"/>
  <c r="AX1141" i="1"/>
  <c r="AW1142" i="1"/>
  <c r="AX1142" i="1"/>
  <c r="AW1143" i="1"/>
  <c r="AX1143" i="1"/>
  <c r="AW1144" i="1"/>
  <c r="AX1144" i="1"/>
  <c r="AW1145" i="1"/>
  <c r="AX1145" i="1"/>
  <c r="AW1146" i="1"/>
  <c r="AX1146" i="1"/>
  <c r="AW1147" i="1"/>
  <c r="AX1147" i="1"/>
  <c r="AW1148" i="1"/>
  <c r="AX1148" i="1"/>
  <c r="AW1149" i="1"/>
  <c r="AX1149" i="1"/>
  <c r="AW1150" i="1"/>
  <c r="AX1150" i="1"/>
  <c r="AW1151" i="1"/>
  <c r="AX1151" i="1"/>
  <c r="AW1152" i="1"/>
  <c r="AX1152" i="1"/>
  <c r="AW1153" i="1"/>
  <c r="AX1153" i="1"/>
  <c r="AW1154" i="1"/>
  <c r="AX1154" i="1"/>
  <c r="AW1155" i="1"/>
  <c r="AX1155" i="1"/>
  <c r="AW1156" i="1"/>
  <c r="AX1156" i="1"/>
  <c r="AW1157" i="1"/>
  <c r="AX1157" i="1"/>
  <c r="AW1158" i="1"/>
  <c r="AX1158" i="1"/>
  <c r="AW1159" i="1"/>
  <c r="AX1159" i="1"/>
  <c r="AW1160" i="1"/>
  <c r="AX1160" i="1"/>
  <c r="AW1161" i="1"/>
  <c r="AX1161" i="1"/>
  <c r="AW1162" i="1"/>
  <c r="AX1162" i="1"/>
  <c r="AW1163" i="1"/>
  <c r="AX1163" i="1"/>
  <c r="AW1164" i="1"/>
  <c r="AX1164" i="1"/>
  <c r="AW1165" i="1"/>
  <c r="AX1165" i="1"/>
  <c r="AW1166" i="1"/>
  <c r="AX1166" i="1"/>
  <c r="AW1167" i="1"/>
  <c r="AX1167" i="1"/>
  <c r="AW1168" i="1"/>
  <c r="AX1168" i="1"/>
  <c r="AW1169" i="1"/>
  <c r="AX1169" i="1"/>
  <c r="AW1170" i="1"/>
  <c r="AX1170" i="1"/>
  <c r="AW1171" i="1"/>
  <c r="AX1171" i="1"/>
  <c r="AW1172" i="1"/>
  <c r="AX1172" i="1"/>
  <c r="AW1173" i="1"/>
  <c r="AX1173" i="1"/>
  <c r="AW1174" i="1"/>
  <c r="AX1174" i="1"/>
  <c r="AW1175" i="1"/>
  <c r="AX1175" i="1"/>
  <c r="AW1176" i="1"/>
  <c r="AX1176" i="1"/>
  <c r="AW1177" i="1"/>
  <c r="AX1177" i="1"/>
  <c r="AW1178" i="1"/>
  <c r="AX1178" i="1"/>
  <c r="AW1179" i="1"/>
  <c r="AX1179" i="1"/>
  <c r="AW1180" i="1"/>
  <c r="AX1180" i="1"/>
  <c r="AW1181" i="1"/>
  <c r="AX1181" i="1"/>
  <c r="AW1182" i="1"/>
  <c r="AX1182" i="1"/>
  <c r="AW1183" i="1"/>
  <c r="AX1183" i="1"/>
  <c r="AW1184" i="1"/>
  <c r="AX1184" i="1"/>
  <c r="AW1185" i="1"/>
  <c r="AX1185" i="1"/>
  <c r="AW1186" i="1"/>
  <c r="AX1186" i="1"/>
  <c r="AW1187" i="1"/>
  <c r="AX1187" i="1"/>
  <c r="AW1188" i="1"/>
  <c r="AX1188" i="1"/>
  <c r="AW1189" i="1"/>
  <c r="AX1189" i="1"/>
  <c r="AW1190" i="1"/>
  <c r="AX1190" i="1"/>
  <c r="AW1191" i="1"/>
  <c r="AX1191" i="1"/>
  <c r="AW1192" i="1"/>
  <c r="AX1192" i="1"/>
  <c r="AW1193" i="1"/>
  <c r="AX1193" i="1"/>
  <c r="AW1194" i="1"/>
  <c r="AX1194" i="1"/>
  <c r="AW1195" i="1"/>
  <c r="AX1195" i="1"/>
  <c r="AW1196" i="1"/>
  <c r="AX1196" i="1"/>
  <c r="AW1197" i="1"/>
  <c r="AX1197" i="1"/>
  <c r="AW1198" i="1"/>
  <c r="AX1198" i="1"/>
  <c r="AW1199" i="1"/>
  <c r="AX1199" i="1"/>
  <c r="AW1200" i="1"/>
  <c r="AX1200" i="1"/>
  <c r="AW1201" i="1"/>
  <c r="AX1201" i="1"/>
  <c r="AW1202" i="1"/>
  <c r="AX1202" i="1"/>
  <c r="AW1203" i="1"/>
  <c r="AX1203" i="1"/>
  <c r="AW1204" i="1"/>
  <c r="AX1204" i="1"/>
  <c r="AW1205" i="1"/>
  <c r="AX1205" i="1"/>
  <c r="AW1206" i="1"/>
  <c r="AX1206" i="1"/>
  <c r="AW1207" i="1"/>
  <c r="AX1207" i="1"/>
  <c r="AW1208" i="1"/>
  <c r="AX1208" i="1"/>
  <c r="AW1209" i="1"/>
  <c r="AX1209" i="1"/>
  <c r="AW1210" i="1"/>
  <c r="AX1210" i="1"/>
  <c r="AW1211" i="1"/>
  <c r="AX1211" i="1"/>
  <c r="AW1212" i="1"/>
  <c r="AX1212" i="1"/>
  <c r="AW1213" i="1"/>
  <c r="AX1213" i="1"/>
  <c r="AW1214" i="1"/>
  <c r="AX1214" i="1"/>
  <c r="AW1215" i="1"/>
  <c r="AX1215" i="1"/>
  <c r="AW1216" i="1"/>
  <c r="AX1216" i="1"/>
  <c r="AW1217" i="1"/>
  <c r="AX1217" i="1"/>
  <c r="AW1218" i="1"/>
  <c r="AX1218" i="1"/>
  <c r="AW1219" i="1"/>
  <c r="AX1219" i="1"/>
  <c r="AW1220" i="1"/>
  <c r="AX1220" i="1"/>
  <c r="AW1221" i="1"/>
  <c r="AX1221" i="1"/>
  <c r="AW1222" i="1"/>
  <c r="AX1222" i="1"/>
  <c r="AW1223" i="1"/>
  <c r="AX1223" i="1"/>
  <c r="AW1224" i="1"/>
  <c r="AX1224" i="1"/>
  <c r="AW1225" i="1"/>
  <c r="AX1225" i="1"/>
  <c r="AW1226" i="1"/>
  <c r="AX1226" i="1"/>
  <c r="AW1227" i="1"/>
  <c r="AX1227" i="1"/>
  <c r="AW1228" i="1"/>
  <c r="AX1228" i="1"/>
  <c r="AW1229" i="1"/>
  <c r="AX1229" i="1"/>
  <c r="AW1230" i="1"/>
  <c r="AX1230" i="1"/>
  <c r="AW1231" i="1"/>
  <c r="AX1231" i="1"/>
  <c r="AW1232" i="1"/>
  <c r="AX1232" i="1"/>
  <c r="AW1233" i="1"/>
  <c r="AX1233" i="1"/>
  <c r="AW1234" i="1"/>
  <c r="AX1234" i="1"/>
  <c r="AW1235" i="1"/>
  <c r="AX1235" i="1"/>
  <c r="AW1236" i="1"/>
  <c r="AX1236" i="1"/>
  <c r="AW1237" i="1"/>
  <c r="AX1237" i="1"/>
  <c r="AW1238" i="1"/>
  <c r="AX1238" i="1"/>
  <c r="AW1239" i="1"/>
  <c r="AX1239" i="1"/>
  <c r="AW1240" i="1"/>
  <c r="AX1240" i="1"/>
  <c r="AW1241" i="1"/>
  <c r="AX1241" i="1"/>
  <c r="AW1242" i="1"/>
  <c r="AX1242" i="1"/>
  <c r="AW1243" i="1"/>
  <c r="AX1243" i="1"/>
  <c r="AW1244" i="1"/>
  <c r="AX1244" i="1"/>
  <c r="AW1245" i="1"/>
  <c r="AX1245" i="1"/>
  <c r="AW1246" i="1"/>
  <c r="AX1246" i="1"/>
  <c r="AW1247" i="1"/>
  <c r="AX1247" i="1"/>
  <c r="AW1248" i="1"/>
  <c r="AX1248" i="1"/>
  <c r="AW1249" i="1"/>
  <c r="AX1249" i="1"/>
  <c r="AW1250" i="1"/>
  <c r="AX1250" i="1"/>
  <c r="AW1251" i="1"/>
  <c r="AX1251" i="1"/>
  <c r="AW1252" i="1"/>
  <c r="AX1252" i="1"/>
  <c r="AW1253" i="1"/>
  <c r="AX1253" i="1"/>
  <c r="AW1254" i="1"/>
  <c r="AX1254" i="1"/>
  <c r="AW1255" i="1"/>
  <c r="AX1255" i="1"/>
  <c r="AW1256" i="1"/>
  <c r="AX1256" i="1"/>
  <c r="AW1257" i="1"/>
  <c r="AX1257" i="1"/>
  <c r="AW1258" i="1"/>
  <c r="AX1258" i="1"/>
  <c r="AW1259" i="1"/>
  <c r="AX1259" i="1"/>
  <c r="AW1260" i="1"/>
  <c r="AX1260" i="1"/>
  <c r="AW1261" i="1"/>
  <c r="AX1261" i="1"/>
  <c r="AW1262" i="1"/>
  <c r="AX1262" i="1"/>
  <c r="AW1263" i="1"/>
  <c r="AX1263" i="1"/>
  <c r="AW1264" i="1"/>
  <c r="AX1264" i="1"/>
  <c r="AW1265" i="1"/>
  <c r="AX1265" i="1"/>
  <c r="AW1266" i="1"/>
  <c r="AX1266" i="1"/>
  <c r="AW1267" i="1"/>
  <c r="AX1267" i="1"/>
  <c r="AW1268" i="1"/>
  <c r="AX1268" i="1"/>
  <c r="AW1269" i="1"/>
  <c r="AX1269" i="1"/>
  <c r="AW1270" i="1"/>
  <c r="AX1270" i="1"/>
  <c r="AW1271" i="1"/>
  <c r="AX1271" i="1"/>
  <c r="AW1272" i="1"/>
  <c r="AX1272" i="1"/>
  <c r="AW1273" i="1"/>
  <c r="AX1273" i="1"/>
  <c r="AW1274" i="1"/>
  <c r="AX1274" i="1"/>
  <c r="AW1275" i="1"/>
  <c r="AX1275" i="1"/>
  <c r="AW1276" i="1"/>
  <c r="AX1276" i="1"/>
  <c r="AW1277" i="1"/>
  <c r="AX1277" i="1"/>
  <c r="AW1278" i="1"/>
  <c r="AX1278" i="1"/>
  <c r="AW1279" i="1"/>
  <c r="AX1279" i="1"/>
  <c r="AW1280" i="1"/>
  <c r="AX1280" i="1"/>
  <c r="AW1281" i="1"/>
  <c r="AX1281" i="1"/>
  <c r="AW1282" i="1"/>
  <c r="AX1282" i="1"/>
  <c r="AW1283" i="1"/>
  <c r="AX1283" i="1"/>
  <c r="AW1284" i="1"/>
  <c r="AX1284" i="1"/>
  <c r="AW1285" i="1"/>
  <c r="AX1285" i="1"/>
  <c r="AW1286" i="1"/>
  <c r="AX1286" i="1"/>
  <c r="AW1287" i="1"/>
  <c r="AX1287" i="1"/>
  <c r="AW1288" i="1"/>
  <c r="AX1288" i="1"/>
  <c r="AW1289" i="1"/>
  <c r="AX1289" i="1"/>
  <c r="AW1290" i="1"/>
  <c r="AX1290" i="1"/>
  <c r="AW1291" i="1"/>
  <c r="AX1291" i="1"/>
  <c r="AW1292" i="1"/>
  <c r="AX1292" i="1"/>
  <c r="AW1293" i="1"/>
  <c r="AX1293" i="1"/>
  <c r="AW1294" i="1"/>
  <c r="AX1294" i="1"/>
  <c r="AW1295" i="1"/>
  <c r="AX1295" i="1"/>
  <c r="AW1296" i="1"/>
  <c r="AX1296" i="1"/>
  <c r="AW1297" i="1"/>
  <c r="AX1297" i="1"/>
  <c r="AW1298" i="1"/>
  <c r="AX1298" i="1"/>
  <c r="AW1299" i="1"/>
  <c r="AX1299" i="1"/>
  <c r="AW1300" i="1"/>
  <c r="AX1300" i="1"/>
  <c r="AW1301" i="1"/>
  <c r="AX1301" i="1"/>
  <c r="AW1302" i="1"/>
  <c r="AX1302" i="1"/>
  <c r="AW1303" i="1"/>
  <c r="AX1303" i="1"/>
  <c r="AW1304" i="1"/>
  <c r="AX1304" i="1"/>
  <c r="AW1305" i="1"/>
  <c r="AX1305" i="1"/>
  <c r="AW1306" i="1"/>
  <c r="AX1306" i="1"/>
  <c r="AW1307" i="1"/>
  <c r="AX1307" i="1"/>
  <c r="AW1308" i="1"/>
  <c r="AX1308" i="1"/>
  <c r="AW1309" i="1"/>
  <c r="AX1309" i="1"/>
  <c r="AW1310" i="1"/>
  <c r="AX1310" i="1"/>
  <c r="AW1311" i="1"/>
  <c r="AX1311" i="1"/>
  <c r="AW1312" i="1"/>
  <c r="AX1312" i="1"/>
  <c r="AW1313" i="1"/>
  <c r="AX1313" i="1"/>
  <c r="AW1314" i="1"/>
  <c r="AX1314" i="1"/>
  <c r="AW1315" i="1"/>
  <c r="AX1315" i="1"/>
  <c r="AW1316" i="1"/>
  <c r="AX1316" i="1"/>
  <c r="AW1317" i="1"/>
  <c r="AX1317" i="1"/>
  <c r="AW1318" i="1"/>
  <c r="AX1318" i="1"/>
  <c r="AW1319" i="1"/>
  <c r="AX1319" i="1"/>
  <c r="AW1320" i="1"/>
  <c r="AX1320" i="1"/>
  <c r="AW1321" i="1"/>
  <c r="AX1321" i="1"/>
  <c r="AW1322" i="1"/>
  <c r="AX1322" i="1"/>
  <c r="AW1323" i="1"/>
  <c r="AX1323" i="1"/>
  <c r="AW1324" i="1"/>
  <c r="AX1324" i="1"/>
  <c r="AW1325" i="1"/>
  <c r="AX1325" i="1"/>
  <c r="AW1326" i="1"/>
  <c r="AX1326" i="1"/>
  <c r="AW1327" i="1"/>
  <c r="AX1327" i="1"/>
  <c r="AW1328" i="1"/>
  <c r="AX1328" i="1"/>
  <c r="AW1329" i="1"/>
  <c r="AX1329" i="1"/>
  <c r="AW1330" i="1"/>
  <c r="AX1330" i="1"/>
  <c r="AW1331" i="1"/>
  <c r="AX1331" i="1"/>
  <c r="AW1332" i="1"/>
  <c r="AX1332" i="1"/>
  <c r="AW1333" i="1"/>
  <c r="AX1333" i="1"/>
  <c r="AW1334" i="1"/>
  <c r="AX1334" i="1"/>
  <c r="AW1335" i="1"/>
  <c r="AX1335" i="1"/>
  <c r="AW1336" i="1"/>
  <c r="AX1336" i="1"/>
  <c r="AW1337" i="1"/>
  <c r="AX1337" i="1"/>
  <c r="AW1338" i="1"/>
  <c r="AX1338" i="1"/>
  <c r="AW1339" i="1"/>
  <c r="AX1339" i="1"/>
  <c r="AW1340" i="1"/>
  <c r="AX1340" i="1"/>
  <c r="AW1341" i="1"/>
  <c r="AX1341" i="1"/>
  <c r="AW1342" i="1"/>
  <c r="AX1342" i="1"/>
  <c r="AW1343" i="1"/>
  <c r="AX1343" i="1"/>
  <c r="AW1344" i="1"/>
  <c r="AX1344" i="1"/>
  <c r="AW1345" i="1"/>
  <c r="AX1345" i="1"/>
  <c r="AW1346" i="1"/>
  <c r="AX1346" i="1"/>
  <c r="AW1347" i="1"/>
  <c r="AX1347" i="1"/>
  <c r="AW1348" i="1"/>
  <c r="AX1348" i="1"/>
  <c r="AW1349" i="1"/>
  <c r="AX1349" i="1"/>
  <c r="AW1350" i="1"/>
  <c r="AX1350" i="1"/>
  <c r="AW1351" i="1"/>
  <c r="AX1351" i="1"/>
  <c r="AW1352" i="1"/>
  <c r="AX1352" i="1"/>
  <c r="AW1353" i="1"/>
  <c r="AX1353" i="1"/>
  <c r="AW1354" i="1"/>
  <c r="AX1354" i="1"/>
  <c r="AW1355" i="1"/>
  <c r="AX1355" i="1"/>
  <c r="AW1356" i="1"/>
  <c r="AX1356" i="1"/>
  <c r="AW1357" i="1"/>
  <c r="AX1357" i="1"/>
  <c r="AW1358" i="1"/>
  <c r="AX1358" i="1"/>
  <c r="AW1359" i="1"/>
  <c r="AX1359" i="1"/>
  <c r="AW1360" i="1"/>
  <c r="AX1360" i="1"/>
  <c r="AW1361" i="1"/>
  <c r="AX1361" i="1"/>
  <c r="AW1362" i="1"/>
  <c r="AX1362" i="1"/>
  <c r="AW1363" i="1"/>
  <c r="AX1363" i="1"/>
  <c r="AW1364" i="1"/>
  <c r="AX1364" i="1"/>
  <c r="AW1365" i="1"/>
  <c r="AX1365" i="1"/>
  <c r="AW1366" i="1"/>
  <c r="AX1366" i="1"/>
  <c r="AW1367" i="1"/>
  <c r="AX1367" i="1"/>
  <c r="AW1368" i="1"/>
  <c r="AX1368" i="1"/>
  <c r="AW1369" i="1"/>
  <c r="AX1369" i="1"/>
  <c r="AW1370" i="1"/>
  <c r="AX1370" i="1"/>
  <c r="AW1371" i="1"/>
  <c r="AX1371" i="1"/>
  <c r="AW1372" i="1"/>
  <c r="AX1372" i="1"/>
  <c r="AW1373" i="1"/>
  <c r="AX1373" i="1"/>
  <c r="AW1374" i="1"/>
  <c r="AX1374" i="1"/>
  <c r="AW1375" i="1"/>
  <c r="AX1375" i="1"/>
  <c r="AW1376" i="1"/>
  <c r="AX1376" i="1"/>
  <c r="AW1377" i="1"/>
  <c r="AX1377" i="1"/>
  <c r="AW1378" i="1"/>
  <c r="AX1378" i="1"/>
  <c r="AW1379" i="1"/>
  <c r="AX1379" i="1"/>
  <c r="AW1380" i="1"/>
  <c r="AX1380" i="1"/>
  <c r="AW1381" i="1"/>
  <c r="AX1381" i="1"/>
  <c r="AW1382" i="1"/>
  <c r="AX1382" i="1"/>
  <c r="AW1383" i="1"/>
  <c r="AX1383" i="1"/>
  <c r="AW1384" i="1"/>
  <c r="AX1384" i="1"/>
  <c r="AW1385" i="1"/>
  <c r="AX1385" i="1"/>
  <c r="AW1386" i="1"/>
  <c r="AX1386" i="1"/>
  <c r="AW1387" i="1"/>
  <c r="AX1387" i="1"/>
  <c r="AW1388" i="1"/>
  <c r="AX1388" i="1"/>
  <c r="AW1389" i="1"/>
  <c r="AX1389" i="1"/>
  <c r="AW1390" i="1"/>
  <c r="AX1390" i="1"/>
  <c r="AW1391" i="1"/>
  <c r="AX1391" i="1"/>
  <c r="AW1392" i="1"/>
  <c r="AX1392" i="1"/>
  <c r="AW1393" i="1"/>
  <c r="AX1393" i="1"/>
  <c r="AW1394" i="1"/>
  <c r="AX1394" i="1"/>
  <c r="AW1395" i="1"/>
  <c r="AX1395" i="1"/>
  <c r="AW1396" i="1"/>
  <c r="AX1396" i="1"/>
  <c r="AW1397" i="1"/>
  <c r="AX1397" i="1"/>
  <c r="AW1398" i="1"/>
  <c r="AW1399" i="1"/>
  <c r="AW1400" i="1"/>
  <c r="AW1401" i="1"/>
  <c r="AW1402" i="1"/>
  <c r="AW1403" i="1"/>
  <c r="AW1404" i="1"/>
  <c r="AW1405" i="1"/>
  <c r="AX2" i="1"/>
  <c r="AW2" i="1"/>
  <c r="D28" i="53" l="1"/>
  <c r="G28" i="53" s="1"/>
  <c r="G37" i="53"/>
  <c r="G52" i="53"/>
  <c r="G51" i="53"/>
  <c r="G50" i="53"/>
  <c r="G49" i="53"/>
  <c r="G48" i="53"/>
  <c r="G47" i="53"/>
  <c r="G46" i="53"/>
  <c r="G45" i="53"/>
  <c r="G44" i="53"/>
  <c r="G43" i="53"/>
  <c r="G42" i="53"/>
  <c r="G41" i="53"/>
  <c r="G40" i="53"/>
  <c r="G39" i="53"/>
  <c r="G38" i="53"/>
  <c r="G36" i="53"/>
  <c r="D22" i="126" l="1"/>
  <c r="D21" i="126"/>
  <c r="D20" i="126"/>
  <c r="D19" i="126"/>
  <c r="D18" i="126"/>
  <c r="D17" i="126"/>
  <c r="D16" i="126"/>
  <c r="D15" i="126"/>
  <c r="D14" i="126"/>
  <c r="D13" i="126"/>
  <c r="D12" i="126"/>
  <c r="D23" i="126" l="1"/>
  <c r="Q568" i="24"/>
  <c r="Q569" i="24"/>
  <c r="Q570" i="24"/>
  <c r="Q571" i="24"/>
  <c r="Q572" i="24"/>
  <c r="Q573" i="24"/>
  <c r="P568" i="24"/>
  <c r="P569" i="24"/>
  <c r="P570" i="24"/>
  <c r="P571" i="24"/>
  <c r="P572" i="24"/>
  <c r="P573" i="24"/>
  <c r="M569" i="24"/>
  <c r="R569" i="24" s="1"/>
  <c r="M570" i="24"/>
  <c r="R570" i="24" s="1"/>
  <c r="M571" i="24"/>
  <c r="M572" i="24"/>
  <c r="L572" i="24" s="1"/>
  <c r="AQ1368" i="1" s="1"/>
  <c r="M573" i="24"/>
  <c r="R573" i="24" s="1"/>
  <c r="Q544" i="24"/>
  <c r="Q545" i="24"/>
  <c r="Q546" i="24"/>
  <c r="Q547" i="24"/>
  <c r="Q548" i="24"/>
  <c r="P544" i="24"/>
  <c r="P545" i="24"/>
  <c r="P546" i="24"/>
  <c r="P547" i="24"/>
  <c r="P548" i="24"/>
  <c r="M542" i="24"/>
  <c r="M543" i="24"/>
  <c r="M544" i="24"/>
  <c r="R544" i="24" s="1"/>
  <c r="M545" i="24"/>
  <c r="R545" i="24" s="1"/>
  <c r="M546" i="24"/>
  <c r="R546" i="24" s="1"/>
  <c r="M547" i="24"/>
  <c r="R547" i="24" s="1"/>
  <c r="M548" i="24"/>
  <c r="R548" i="24" s="1"/>
  <c r="N2" i="58"/>
  <c r="O2" i="58" s="1"/>
  <c r="AU1382" i="1"/>
  <c r="AS1382" i="1"/>
  <c r="AR1382" i="1"/>
  <c r="AO1382" i="1"/>
  <c r="AS1352" i="1"/>
  <c r="AS1353" i="1"/>
  <c r="AS1354" i="1"/>
  <c r="AS1355" i="1"/>
  <c r="AS1356" i="1"/>
  <c r="AS1357" i="1"/>
  <c r="AS1358" i="1"/>
  <c r="AS1359" i="1"/>
  <c r="AS1360" i="1"/>
  <c r="AS1361" i="1"/>
  <c r="AS1362" i="1"/>
  <c r="AS1363" i="1"/>
  <c r="AS1364" i="1"/>
  <c r="AS1365" i="1"/>
  <c r="AS1366" i="1"/>
  <c r="AS1367" i="1"/>
  <c r="AS1368" i="1"/>
  <c r="AS1369" i="1"/>
  <c r="AS1370" i="1"/>
  <c r="AS1371" i="1"/>
  <c r="AS1372" i="1"/>
  <c r="AS1373" i="1"/>
  <c r="AS1374" i="1"/>
  <c r="AR1352" i="1"/>
  <c r="AR1353" i="1"/>
  <c r="AR1354" i="1"/>
  <c r="AR1355" i="1"/>
  <c r="AR1356" i="1"/>
  <c r="AR1357" i="1"/>
  <c r="AR1358" i="1"/>
  <c r="AR1359" i="1"/>
  <c r="AR1360" i="1"/>
  <c r="AR1361" i="1"/>
  <c r="AR1362" i="1"/>
  <c r="AR1363" i="1"/>
  <c r="AR1364" i="1"/>
  <c r="AR1365" i="1"/>
  <c r="AR1366" i="1"/>
  <c r="AR1367" i="1"/>
  <c r="AR1368" i="1"/>
  <c r="AR1369" i="1"/>
  <c r="AR1370" i="1"/>
  <c r="AR1371" i="1"/>
  <c r="AR1372" i="1"/>
  <c r="AR1373" i="1"/>
  <c r="AR1374" i="1"/>
  <c r="AU1283" i="1"/>
  <c r="AM1382" i="1"/>
  <c r="AU1377" i="1"/>
  <c r="R1212" i="1"/>
  <c r="R1213" i="1"/>
  <c r="R1214" i="1"/>
  <c r="R1215" i="1"/>
  <c r="R1216" i="1"/>
  <c r="S1216" i="1" s="1"/>
  <c r="R1217" i="1"/>
  <c r="R1218" i="1"/>
  <c r="R1219" i="1"/>
  <c r="R1220" i="1"/>
  <c r="R1221" i="1"/>
  <c r="R1222" i="1"/>
  <c r="R1223" i="1"/>
  <c r="R1224" i="1"/>
  <c r="R1225" i="1"/>
  <c r="R1226" i="1"/>
  <c r="R1227" i="1"/>
  <c r="R1228" i="1"/>
  <c r="S1228" i="1" s="1"/>
  <c r="R1229" i="1"/>
  <c r="S1229" i="1" s="1"/>
  <c r="R1230" i="1"/>
  <c r="S1230" i="1" s="1"/>
  <c r="R1231" i="1"/>
  <c r="S1231" i="1" s="1"/>
  <c r="R1232" i="1"/>
  <c r="R1233" i="1"/>
  <c r="S1233" i="1" s="1"/>
  <c r="R1234" i="1"/>
  <c r="S1234" i="1" s="1"/>
  <c r="R1235" i="1"/>
  <c r="R1236" i="1"/>
  <c r="R1237" i="1"/>
  <c r="R1238" i="1"/>
  <c r="R1239" i="1"/>
  <c r="R1240" i="1"/>
  <c r="R1241" i="1"/>
  <c r="R1242" i="1"/>
  <c r="R1243" i="1"/>
  <c r="R1244" i="1"/>
  <c r="R1245" i="1"/>
  <c r="R1246" i="1"/>
  <c r="R1247" i="1"/>
  <c r="R1248" i="1"/>
  <c r="R1249" i="1"/>
  <c r="R1250" i="1"/>
  <c r="S1250" i="1" s="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S1280" i="1" s="1"/>
  <c r="R1281" i="1"/>
  <c r="S1281" i="1" s="1"/>
  <c r="R1282" i="1"/>
  <c r="S1282" i="1" s="1"/>
  <c r="R1283" i="1"/>
  <c r="S1283" i="1" s="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S1318" i="1" s="1"/>
  <c r="R1319" i="1"/>
  <c r="S1319" i="1" s="1"/>
  <c r="R1320" i="1"/>
  <c r="R1321" i="1"/>
  <c r="S1321" i="1" s="1"/>
  <c r="R1322" i="1"/>
  <c r="S1322" i="1" s="1"/>
  <c r="R1323" i="1"/>
  <c r="S1323" i="1" s="1"/>
  <c r="R1324" i="1"/>
  <c r="S1324" i="1" s="1"/>
  <c r="R1325" i="1"/>
  <c r="S1325" i="1" s="1"/>
  <c r="R1326" i="1"/>
  <c r="S1326" i="1" s="1"/>
  <c r="R1327" i="1"/>
  <c r="S1327" i="1" s="1"/>
  <c r="R1328" i="1"/>
  <c r="R1329" i="1"/>
  <c r="S1329" i="1" s="1"/>
  <c r="R1330" i="1"/>
  <c r="S1330" i="1" s="1"/>
  <c r="R1331" i="1"/>
  <c r="S1331" i="1" s="1"/>
  <c r="AV1331" i="1" s="1"/>
  <c r="R1332" i="1"/>
  <c r="S1332" i="1" s="1"/>
  <c r="R1333" i="1"/>
  <c r="S1333" i="1" s="1"/>
  <c r="R1334" i="1"/>
  <c r="S1334" i="1" s="1"/>
  <c r="R1335" i="1"/>
  <c r="S1335" i="1" s="1"/>
  <c r="R1336" i="1"/>
  <c r="R1337" i="1"/>
  <c r="S1337" i="1" s="1"/>
  <c r="R1338" i="1"/>
  <c r="S1338" i="1" s="1"/>
  <c r="AV1338" i="1" s="1"/>
  <c r="R1339" i="1"/>
  <c r="R1340" i="1"/>
  <c r="S1340" i="1" s="1"/>
  <c r="R1341" i="1"/>
  <c r="S1341" i="1" s="1"/>
  <c r="R1342" i="1"/>
  <c r="S1342" i="1" s="1"/>
  <c r="R1343" i="1"/>
  <c r="S1343" i="1" s="1"/>
  <c r="R1344" i="1"/>
  <c r="S1344" i="1" s="1"/>
  <c r="R1345" i="1"/>
  <c r="S1345" i="1" s="1"/>
  <c r="R1346" i="1"/>
  <c r="S1346" i="1" s="1"/>
  <c r="R1347" i="1"/>
  <c r="S1347" i="1" s="1"/>
  <c r="R1348" i="1"/>
  <c r="S1348" i="1" s="1"/>
  <c r="R1349" i="1"/>
  <c r="S1349" i="1" s="1"/>
  <c r="R1350" i="1"/>
  <c r="S1350" i="1" s="1"/>
  <c r="AV1350" i="1" s="1"/>
  <c r="R1351" i="1"/>
  <c r="S1351" i="1" s="1"/>
  <c r="R1352" i="1"/>
  <c r="S1352" i="1" s="1"/>
  <c r="R1353" i="1"/>
  <c r="S1353" i="1" s="1"/>
  <c r="AV1353" i="1" s="1"/>
  <c r="R1354" i="1"/>
  <c r="S1354" i="1" s="1"/>
  <c r="AV1354" i="1" s="1"/>
  <c r="R1355" i="1"/>
  <c r="S1355" i="1" s="1"/>
  <c r="AV1355" i="1" s="1"/>
  <c r="R1356" i="1"/>
  <c r="S1356" i="1" s="1"/>
  <c r="AV1356" i="1" s="1"/>
  <c r="R1357" i="1"/>
  <c r="S1357" i="1" s="1"/>
  <c r="AV1357" i="1" s="1"/>
  <c r="R1358" i="1"/>
  <c r="S1358" i="1" s="1"/>
  <c r="AV1358" i="1" s="1"/>
  <c r="R1359" i="1"/>
  <c r="S1359" i="1" s="1"/>
  <c r="AV1359" i="1" s="1"/>
  <c r="R1360" i="1"/>
  <c r="S1360" i="1" s="1"/>
  <c r="AV1360" i="1" s="1"/>
  <c r="R1361" i="1"/>
  <c r="S1361" i="1" s="1"/>
  <c r="AV1361" i="1" s="1"/>
  <c r="R1362" i="1"/>
  <c r="S1362" i="1" s="1"/>
  <c r="AV1362" i="1" s="1"/>
  <c r="R1363" i="1"/>
  <c r="S1363" i="1" s="1"/>
  <c r="AV1363" i="1" s="1"/>
  <c r="R1364" i="1"/>
  <c r="S1364" i="1" s="1"/>
  <c r="AV1364" i="1" s="1"/>
  <c r="R1365" i="1"/>
  <c r="S1365" i="1" s="1"/>
  <c r="AV1365" i="1" s="1"/>
  <c r="R1366" i="1"/>
  <c r="S1366" i="1" s="1"/>
  <c r="AV1366" i="1" s="1"/>
  <c r="R1367" i="1"/>
  <c r="S1367" i="1" s="1"/>
  <c r="AV1367" i="1" s="1"/>
  <c r="R1368" i="1"/>
  <c r="S1368" i="1" s="1"/>
  <c r="AV1368" i="1" s="1"/>
  <c r="R1369" i="1"/>
  <c r="S1369" i="1" s="1"/>
  <c r="AV1369" i="1" s="1"/>
  <c r="R1370" i="1"/>
  <c r="S1370" i="1" s="1"/>
  <c r="AV1370" i="1" s="1"/>
  <c r="R1371" i="1"/>
  <c r="S1371" i="1" s="1"/>
  <c r="AV1371" i="1" s="1"/>
  <c r="R1372" i="1"/>
  <c r="S1372" i="1" s="1"/>
  <c r="AV1372" i="1" s="1"/>
  <c r="R1373" i="1"/>
  <c r="S1373" i="1" s="1"/>
  <c r="AV1373" i="1" s="1"/>
  <c r="R1374" i="1"/>
  <c r="S1374" i="1" s="1"/>
  <c r="AV1374" i="1" s="1"/>
  <c r="R1375" i="1"/>
  <c r="S1375" i="1" s="1"/>
  <c r="R1376" i="1"/>
  <c r="R1377" i="1"/>
  <c r="S1377" i="1" s="1"/>
  <c r="R1378" i="1"/>
  <c r="S1378" i="1" s="1"/>
  <c r="R1379" i="1"/>
  <c r="S1379" i="1" s="1"/>
  <c r="R1380" i="1"/>
  <c r="S1380" i="1" s="1"/>
  <c r="R1381" i="1"/>
  <c r="S1381" i="1" s="1"/>
  <c r="R1382" i="1"/>
  <c r="S1382" i="1" s="1"/>
  <c r="AV1382" i="1" s="1"/>
  <c r="R1383" i="1"/>
  <c r="S1383" i="1" s="1"/>
  <c r="R1384" i="1"/>
  <c r="R1385" i="1"/>
  <c r="S1385" i="1" s="1"/>
  <c r="R1386" i="1"/>
  <c r="S1386" i="1" s="1"/>
  <c r="R1388" i="1"/>
  <c r="R1389" i="1"/>
  <c r="S1389" i="1" s="1"/>
  <c r="R1390" i="1"/>
  <c r="R1391" i="1"/>
  <c r="S1391" i="1" s="1"/>
  <c r="R1392" i="1"/>
  <c r="R1393" i="1"/>
  <c r="R1394" i="1"/>
  <c r="S1394" i="1" s="1"/>
  <c r="R1395" i="1"/>
  <c r="S1395" i="1" s="1"/>
  <c r="R1396" i="1"/>
  <c r="S1396" i="1" s="1"/>
  <c r="R1397" i="1"/>
  <c r="S1397" i="1" s="1"/>
  <c r="R1398" i="1"/>
  <c r="S1398" i="1" s="1"/>
  <c r="R1399" i="1"/>
  <c r="S1399" i="1" s="1"/>
  <c r="R1400" i="1"/>
  <c r="S1400" i="1" s="1"/>
  <c r="R1401" i="1"/>
  <c r="R1402" i="1"/>
  <c r="S1402" i="1" s="1"/>
  <c r="R1403" i="1"/>
  <c r="S1403" i="1" s="1"/>
  <c r="R1404" i="1"/>
  <c r="S1404" i="1" s="1"/>
  <c r="R1405" i="1"/>
  <c r="S1405" i="1" s="1"/>
  <c r="R1109" i="1"/>
  <c r="R1110" i="1"/>
  <c r="R1111" i="1"/>
  <c r="R1112" i="1"/>
  <c r="R1113" i="1"/>
  <c r="R1114" i="1"/>
  <c r="R1115" i="1"/>
  <c r="R1116" i="1"/>
  <c r="R1117" i="1"/>
  <c r="R1118" i="1"/>
  <c r="R1119" i="1"/>
  <c r="R1120" i="1"/>
  <c r="R1121" i="1"/>
  <c r="J1382" i="1"/>
  <c r="K1382" i="1"/>
  <c r="L1382" i="1"/>
  <c r="O1375" i="1"/>
  <c r="O1376" i="1"/>
  <c r="O1377" i="1"/>
  <c r="P1377" i="1" s="1"/>
  <c r="O1378" i="1"/>
  <c r="P1378" i="1" s="1"/>
  <c r="O1379" i="1"/>
  <c r="P1379" i="1" s="1"/>
  <c r="O1380" i="1"/>
  <c r="P1380" i="1" s="1"/>
  <c r="O1381" i="1"/>
  <c r="O1382" i="1"/>
  <c r="O1383" i="1"/>
  <c r="O1384" i="1"/>
  <c r="O1385" i="1"/>
  <c r="O1386" i="1"/>
  <c r="P1375" i="1"/>
  <c r="P1376" i="1"/>
  <c r="P1381" i="1"/>
  <c r="P1382" i="1"/>
  <c r="P1383" i="1"/>
  <c r="P1384" i="1"/>
  <c r="Q1377" i="1"/>
  <c r="Q1378" i="1"/>
  <c r="Q1379" i="1"/>
  <c r="Q1380" i="1"/>
  <c r="Q1381" i="1"/>
  <c r="Q1382" i="1"/>
  <c r="Q1383" i="1"/>
  <c r="AU1375" i="1"/>
  <c r="AS1375" i="1"/>
  <c r="AR1375" i="1"/>
  <c r="AO1375" i="1"/>
  <c r="AM1375" i="1"/>
  <c r="AC1375" i="1"/>
  <c r="T1375" i="1"/>
  <c r="AV1375" i="1" s="1"/>
  <c r="Q1375" i="1"/>
  <c r="L1375" i="1"/>
  <c r="K1375" i="1"/>
  <c r="J1375" i="1"/>
  <c r="AU1282" i="1"/>
  <c r="AS1282" i="1"/>
  <c r="AR1282" i="1"/>
  <c r="AO1282" i="1"/>
  <c r="AN1282" i="1"/>
  <c r="AM1282" i="1"/>
  <c r="Q1282" i="1"/>
  <c r="P1282" i="1"/>
  <c r="O1282" i="1"/>
  <c r="L1282" i="1"/>
  <c r="K1282" i="1"/>
  <c r="J1282" i="1"/>
  <c r="AU1281" i="1"/>
  <c r="AS1281" i="1"/>
  <c r="AR1281" i="1"/>
  <c r="AO1281" i="1"/>
  <c r="AN1281" i="1"/>
  <c r="AM1281" i="1"/>
  <c r="Q1281" i="1"/>
  <c r="O1281" i="1"/>
  <c r="P1281" i="1" s="1"/>
  <c r="L1281" i="1"/>
  <c r="K1281" i="1"/>
  <c r="J1281" i="1"/>
  <c r="AU1280" i="1"/>
  <c r="AS1280" i="1"/>
  <c r="AR1280" i="1"/>
  <c r="AO1280" i="1"/>
  <c r="AN1280" i="1"/>
  <c r="AM1280" i="1"/>
  <c r="Q1280" i="1"/>
  <c r="O1280" i="1"/>
  <c r="P1280" i="1" s="1"/>
  <c r="L1280" i="1"/>
  <c r="K1280" i="1"/>
  <c r="J1280" i="1"/>
  <c r="AU578" i="1"/>
  <c r="AS578" i="1"/>
  <c r="AR578" i="1"/>
  <c r="AO578" i="1"/>
  <c r="AM578" i="1"/>
  <c r="T578" i="1"/>
  <c r="AV578" i="1" s="1"/>
  <c r="R578" i="1"/>
  <c r="S578" i="1" s="1"/>
  <c r="Q578" i="1"/>
  <c r="P578" i="1"/>
  <c r="O578" i="1"/>
  <c r="L578" i="1"/>
  <c r="K578" i="1"/>
  <c r="J578" i="1"/>
  <c r="AU3" i="1"/>
  <c r="AU4" i="1"/>
  <c r="AU5" i="1"/>
  <c r="AU6" i="1"/>
  <c r="AU7" i="1"/>
  <c r="AU8" i="1"/>
  <c r="AU9" i="1"/>
  <c r="AU10" i="1"/>
  <c r="AU11" i="1"/>
  <c r="AU12" i="1"/>
  <c r="AU13" i="1"/>
  <c r="AU14" i="1"/>
  <c r="AU15" i="1"/>
  <c r="AU16" i="1"/>
  <c r="AU17" i="1"/>
  <c r="AU18" i="1"/>
  <c r="AU19" i="1"/>
  <c r="AU20" i="1"/>
  <c r="AU21" i="1"/>
  <c r="AU22" i="1"/>
  <c r="AU23" i="1"/>
  <c r="AU24" i="1"/>
  <c r="AU25" i="1"/>
  <c r="AU26" i="1"/>
  <c r="AU27" i="1"/>
  <c r="AU28" i="1"/>
  <c r="AU29" i="1"/>
  <c r="AU30" i="1"/>
  <c r="AU31" i="1"/>
  <c r="AU32" i="1"/>
  <c r="AU33" i="1"/>
  <c r="AU34" i="1"/>
  <c r="AU35" i="1"/>
  <c r="AU36" i="1"/>
  <c r="AU37" i="1"/>
  <c r="AU38" i="1"/>
  <c r="AU39" i="1"/>
  <c r="AU40" i="1"/>
  <c r="AU41" i="1"/>
  <c r="AU42" i="1"/>
  <c r="AU43" i="1"/>
  <c r="AU44" i="1"/>
  <c r="AU45" i="1"/>
  <c r="AU46" i="1"/>
  <c r="AU47" i="1"/>
  <c r="AU48" i="1"/>
  <c r="AU49" i="1"/>
  <c r="AU50" i="1"/>
  <c r="AU51" i="1"/>
  <c r="AU52" i="1"/>
  <c r="AU53" i="1"/>
  <c r="AU54" i="1"/>
  <c r="AU55" i="1"/>
  <c r="AU56" i="1"/>
  <c r="AU57" i="1"/>
  <c r="AU58" i="1"/>
  <c r="AU59" i="1"/>
  <c r="AU60" i="1"/>
  <c r="AU61" i="1"/>
  <c r="AU62" i="1"/>
  <c r="AU63" i="1"/>
  <c r="AU64" i="1"/>
  <c r="AU65" i="1"/>
  <c r="AU66" i="1"/>
  <c r="AU67" i="1"/>
  <c r="AU68" i="1"/>
  <c r="AU69" i="1"/>
  <c r="AU70" i="1"/>
  <c r="AU71" i="1"/>
  <c r="AU72" i="1"/>
  <c r="AU73" i="1"/>
  <c r="AU74" i="1"/>
  <c r="AU75" i="1"/>
  <c r="AU76" i="1"/>
  <c r="AU77" i="1"/>
  <c r="AU78" i="1"/>
  <c r="AU79" i="1"/>
  <c r="AU80" i="1"/>
  <c r="AU81" i="1"/>
  <c r="AU82" i="1"/>
  <c r="AU83" i="1"/>
  <c r="AU84" i="1"/>
  <c r="AU85" i="1"/>
  <c r="AU86" i="1"/>
  <c r="AU87" i="1"/>
  <c r="AU88" i="1"/>
  <c r="AU89" i="1"/>
  <c r="AU90" i="1"/>
  <c r="AU91" i="1"/>
  <c r="AU92" i="1"/>
  <c r="AU93" i="1"/>
  <c r="AU94" i="1"/>
  <c r="AU95" i="1"/>
  <c r="AU96" i="1"/>
  <c r="AU97" i="1"/>
  <c r="AU98" i="1"/>
  <c r="AU99" i="1"/>
  <c r="AU100" i="1"/>
  <c r="AU101" i="1"/>
  <c r="AU102" i="1"/>
  <c r="AU103" i="1"/>
  <c r="AU104" i="1"/>
  <c r="AU105" i="1"/>
  <c r="AU107" i="1"/>
  <c r="AU108" i="1"/>
  <c r="AU109" i="1"/>
  <c r="AU110" i="1"/>
  <c r="AU111" i="1"/>
  <c r="AU112" i="1"/>
  <c r="AU113" i="1"/>
  <c r="AU114" i="1"/>
  <c r="AU115" i="1"/>
  <c r="AU116" i="1"/>
  <c r="AU117" i="1"/>
  <c r="AU118" i="1"/>
  <c r="AU119" i="1"/>
  <c r="AU120" i="1"/>
  <c r="AU121" i="1"/>
  <c r="AU122" i="1"/>
  <c r="AU123" i="1"/>
  <c r="AU124" i="1"/>
  <c r="AU125" i="1"/>
  <c r="AU126" i="1"/>
  <c r="AU127" i="1"/>
  <c r="AU128" i="1"/>
  <c r="AU129" i="1"/>
  <c r="AU130" i="1"/>
  <c r="AU131" i="1"/>
  <c r="AU132" i="1"/>
  <c r="AU133" i="1"/>
  <c r="AU134" i="1"/>
  <c r="AU135" i="1"/>
  <c r="AU136" i="1"/>
  <c r="AU137" i="1"/>
  <c r="AU138" i="1"/>
  <c r="AU139" i="1"/>
  <c r="AU140" i="1"/>
  <c r="AU141" i="1"/>
  <c r="AU142" i="1"/>
  <c r="AU143" i="1"/>
  <c r="AU144" i="1"/>
  <c r="AU145" i="1"/>
  <c r="AU146" i="1"/>
  <c r="AU147" i="1"/>
  <c r="AU148" i="1"/>
  <c r="AU149" i="1"/>
  <c r="AU150" i="1"/>
  <c r="AU151" i="1"/>
  <c r="AU152" i="1"/>
  <c r="AU153" i="1"/>
  <c r="AU154" i="1"/>
  <c r="AU155" i="1"/>
  <c r="AU156" i="1"/>
  <c r="AU157" i="1"/>
  <c r="AU158" i="1"/>
  <c r="AU159" i="1"/>
  <c r="AU160" i="1"/>
  <c r="AU161" i="1"/>
  <c r="AU162" i="1"/>
  <c r="AU163" i="1"/>
  <c r="AU164" i="1"/>
  <c r="AU165" i="1"/>
  <c r="AU166" i="1"/>
  <c r="AU167" i="1"/>
  <c r="AU168" i="1"/>
  <c r="AU169" i="1"/>
  <c r="AU170" i="1"/>
  <c r="AU171" i="1"/>
  <c r="AU172" i="1"/>
  <c r="AU173" i="1"/>
  <c r="AU174" i="1"/>
  <c r="AU175" i="1"/>
  <c r="AU176" i="1"/>
  <c r="AU177" i="1"/>
  <c r="AU178" i="1"/>
  <c r="AU179" i="1"/>
  <c r="AU180" i="1"/>
  <c r="AU181" i="1"/>
  <c r="AU182" i="1"/>
  <c r="AU183" i="1"/>
  <c r="AU184" i="1"/>
  <c r="AU185" i="1"/>
  <c r="AU186" i="1"/>
  <c r="AU187" i="1"/>
  <c r="AU188" i="1"/>
  <c r="AU189" i="1"/>
  <c r="AU190" i="1"/>
  <c r="AU191" i="1"/>
  <c r="AU192" i="1"/>
  <c r="AU193" i="1"/>
  <c r="AU194" i="1"/>
  <c r="AU195" i="1"/>
  <c r="AU196" i="1"/>
  <c r="AU197" i="1"/>
  <c r="AU198" i="1"/>
  <c r="AU199" i="1"/>
  <c r="AU200" i="1"/>
  <c r="AU201" i="1"/>
  <c r="AU202" i="1"/>
  <c r="AU203" i="1"/>
  <c r="AU204" i="1"/>
  <c r="AU205" i="1"/>
  <c r="AU206" i="1"/>
  <c r="AU207" i="1"/>
  <c r="AU208" i="1"/>
  <c r="AU209" i="1"/>
  <c r="AU210" i="1"/>
  <c r="AU211" i="1"/>
  <c r="AU212" i="1"/>
  <c r="AU213" i="1"/>
  <c r="AU214" i="1"/>
  <c r="AU215" i="1"/>
  <c r="AU216" i="1"/>
  <c r="AU217" i="1"/>
  <c r="AU218" i="1"/>
  <c r="AU219" i="1"/>
  <c r="AU220" i="1"/>
  <c r="AU221" i="1"/>
  <c r="AU222" i="1"/>
  <c r="AU223" i="1"/>
  <c r="AU224" i="1"/>
  <c r="AU225" i="1"/>
  <c r="AU226" i="1"/>
  <c r="AU227" i="1"/>
  <c r="AU228" i="1"/>
  <c r="AU229" i="1"/>
  <c r="AU230" i="1"/>
  <c r="AU231" i="1"/>
  <c r="AU232" i="1"/>
  <c r="AU233" i="1"/>
  <c r="AU234" i="1"/>
  <c r="AU235" i="1"/>
  <c r="AU236" i="1"/>
  <c r="AU237" i="1"/>
  <c r="AU238" i="1"/>
  <c r="AU239" i="1"/>
  <c r="AU240" i="1"/>
  <c r="AU241" i="1"/>
  <c r="AU242" i="1"/>
  <c r="AU243" i="1"/>
  <c r="AU244" i="1"/>
  <c r="AU245" i="1"/>
  <c r="AU246" i="1"/>
  <c r="AU247" i="1"/>
  <c r="AU248" i="1"/>
  <c r="AU249" i="1"/>
  <c r="AU250" i="1"/>
  <c r="AU251" i="1"/>
  <c r="AU252" i="1"/>
  <c r="AU253" i="1"/>
  <c r="AU254" i="1"/>
  <c r="AU255" i="1"/>
  <c r="AU256" i="1"/>
  <c r="AU257" i="1"/>
  <c r="AU258" i="1"/>
  <c r="AU259" i="1"/>
  <c r="AU260" i="1"/>
  <c r="AU261" i="1"/>
  <c r="AU262" i="1"/>
  <c r="AU263" i="1"/>
  <c r="AU264" i="1"/>
  <c r="AU265" i="1"/>
  <c r="AU266" i="1"/>
  <c r="AU267" i="1"/>
  <c r="AU268" i="1"/>
  <c r="AU269" i="1"/>
  <c r="AU270" i="1"/>
  <c r="AU271" i="1"/>
  <c r="AU272" i="1"/>
  <c r="AU273" i="1"/>
  <c r="AU274" i="1"/>
  <c r="AU275" i="1"/>
  <c r="AU276" i="1"/>
  <c r="AU277" i="1"/>
  <c r="AU278" i="1"/>
  <c r="AU279" i="1"/>
  <c r="AU280" i="1"/>
  <c r="AU281" i="1"/>
  <c r="AU282" i="1"/>
  <c r="AU283" i="1"/>
  <c r="AU284" i="1"/>
  <c r="AU285" i="1"/>
  <c r="AU286" i="1"/>
  <c r="AU287" i="1"/>
  <c r="AU288" i="1"/>
  <c r="AU289" i="1"/>
  <c r="AU290" i="1"/>
  <c r="AU291" i="1"/>
  <c r="AU292" i="1"/>
  <c r="AU293" i="1"/>
  <c r="AU294" i="1"/>
  <c r="AU295" i="1"/>
  <c r="AU296" i="1"/>
  <c r="AU297" i="1"/>
  <c r="AU298" i="1"/>
  <c r="AU299" i="1"/>
  <c r="AU300" i="1"/>
  <c r="AU301" i="1"/>
  <c r="AU302" i="1"/>
  <c r="AU303" i="1"/>
  <c r="AU304" i="1"/>
  <c r="AU305" i="1"/>
  <c r="AU306" i="1"/>
  <c r="AU307" i="1"/>
  <c r="AU308" i="1"/>
  <c r="AU309" i="1"/>
  <c r="AU310" i="1"/>
  <c r="AU311" i="1"/>
  <c r="AU312" i="1"/>
  <c r="AU313" i="1"/>
  <c r="AU314" i="1"/>
  <c r="AU315" i="1"/>
  <c r="AU316" i="1"/>
  <c r="AU317" i="1"/>
  <c r="AU318" i="1"/>
  <c r="AU319" i="1"/>
  <c r="AU320" i="1"/>
  <c r="AU321" i="1"/>
  <c r="AU322" i="1"/>
  <c r="AU323" i="1"/>
  <c r="AU324" i="1"/>
  <c r="AU325" i="1"/>
  <c r="AU326" i="1"/>
  <c r="AU327" i="1"/>
  <c r="AU328" i="1"/>
  <c r="AU329" i="1"/>
  <c r="AU330" i="1"/>
  <c r="AU331" i="1"/>
  <c r="AU332" i="1"/>
  <c r="AU333" i="1"/>
  <c r="AU334" i="1"/>
  <c r="AU335" i="1"/>
  <c r="AU336" i="1"/>
  <c r="AU337" i="1"/>
  <c r="AU338" i="1"/>
  <c r="AU339" i="1"/>
  <c r="AU340" i="1"/>
  <c r="AU341" i="1"/>
  <c r="AU342" i="1"/>
  <c r="AU343" i="1"/>
  <c r="AU344" i="1"/>
  <c r="AU345" i="1"/>
  <c r="AU346" i="1"/>
  <c r="AU347" i="1"/>
  <c r="AU348" i="1"/>
  <c r="AU349" i="1"/>
  <c r="AU350" i="1"/>
  <c r="AU351" i="1"/>
  <c r="AU352" i="1"/>
  <c r="AU353" i="1"/>
  <c r="AU354" i="1"/>
  <c r="AU355" i="1"/>
  <c r="AU356" i="1"/>
  <c r="AU357" i="1"/>
  <c r="AU358" i="1"/>
  <c r="AU359" i="1"/>
  <c r="AU360" i="1"/>
  <c r="AU366" i="1"/>
  <c r="AU367" i="1"/>
  <c r="AU368" i="1"/>
  <c r="AU369" i="1"/>
  <c r="AU370" i="1"/>
  <c r="AU371" i="1"/>
  <c r="AU372" i="1"/>
  <c r="AU373" i="1"/>
  <c r="AU374" i="1"/>
  <c r="AU375" i="1"/>
  <c r="AU376" i="1"/>
  <c r="AU377" i="1"/>
  <c r="AU378" i="1"/>
  <c r="AU379" i="1"/>
  <c r="AU380" i="1"/>
  <c r="AU381" i="1"/>
  <c r="AU382" i="1"/>
  <c r="AU383" i="1"/>
  <c r="AU384" i="1"/>
  <c r="AU385" i="1"/>
  <c r="AU386" i="1"/>
  <c r="AU387" i="1"/>
  <c r="AU388" i="1"/>
  <c r="AU389" i="1"/>
  <c r="AU390" i="1"/>
  <c r="AU391" i="1"/>
  <c r="AU392" i="1"/>
  <c r="AU393" i="1"/>
  <c r="AU394" i="1"/>
  <c r="AU395" i="1"/>
  <c r="AU396" i="1"/>
  <c r="AU397" i="1"/>
  <c r="AU398" i="1"/>
  <c r="AU399" i="1"/>
  <c r="AU400" i="1"/>
  <c r="AU401" i="1"/>
  <c r="AU402" i="1"/>
  <c r="AU403" i="1"/>
  <c r="AU404" i="1"/>
  <c r="AU405" i="1"/>
  <c r="AU406" i="1"/>
  <c r="AU407" i="1"/>
  <c r="AU408" i="1"/>
  <c r="AU409" i="1"/>
  <c r="AU410" i="1"/>
  <c r="AU411" i="1"/>
  <c r="AU412" i="1"/>
  <c r="AU413" i="1"/>
  <c r="AU414" i="1"/>
  <c r="AU415" i="1"/>
  <c r="AU416" i="1"/>
  <c r="AU417" i="1"/>
  <c r="AU418" i="1"/>
  <c r="AU419" i="1"/>
  <c r="AU420" i="1"/>
  <c r="AU421" i="1"/>
  <c r="AU422" i="1"/>
  <c r="AU423" i="1"/>
  <c r="AU424" i="1"/>
  <c r="AU425" i="1"/>
  <c r="AU426" i="1"/>
  <c r="AU427" i="1"/>
  <c r="AU428" i="1"/>
  <c r="AU429" i="1"/>
  <c r="AU430" i="1"/>
  <c r="AU431" i="1"/>
  <c r="AU432" i="1"/>
  <c r="AU433" i="1"/>
  <c r="AU434" i="1"/>
  <c r="AU435" i="1"/>
  <c r="AU436" i="1"/>
  <c r="AU437" i="1"/>
  <c r="AU438" i="1"/>
  <c r="AU439" i="1"/>
  <c r="AU440" i="1"/>
  <c r="AU441" i="1"/>
  <c r="AU442" i="1"/>
  <c r="AU443" i="1"/>
  <c r="AU444" i="1"/>
  <c r="AU445" i="1"/>
  <c r="AU446" i="1"/>
  <c r="AU447" i="1"/>
  <c r="AU448" i="1"/>
  <c r="AU449" i="1"/>
  <c r="AU450" i="1"/>
  <c r="AU451" i="1"/>
  <c r="AU452" i="1"/>
  <c r="AU453" i="1"/>
  <c r="AU454" i="1"/>
  <c r="AU455" i="1"/>
  <c r="AU456" i="1"/>
  <c r="AU457" i="1"/>
  <c r="AU458" i="1"/>
  <c r="AU459" i="1"/>
  <c r="AU460" i="1"/>
  <c r="AU461" i="1"/>
  <c r="AU462" i="1"/>
  <c r="AU463" i="1"/>
  <c r="AU464" i="1"/>
  <c r="AU465" i="1"/>
  <c r="AU466" i="1"/>
  <c r="AU467" i="1"/>
  <c r="AU468" i="1"/>
  <c r="AU469" i="1"/>
  <c r="AU470" i="1"/>
  <c r="AU471" i="1"/>
  <c r="AU472" i="1"/>
  <c r="AU473" i="1"/>
  <c r="AU474" i="1"/>
  <c r="AU475" i="1"/>
  <c r="AU476" i="1"/>
  <c r="AU477" i="1"/>
  <c r="AU478" i="1"/>
  <c r="AU479" i="1"/>
  <c r="AU480" i="1"/>
  <c r="AU481" i="1"/>
  <c r="AU482" i="1"/>
  <c r="AU483" i="1"/>
  <c r="AU484" i="1"/>
  <c r="AU485" i="1"/>
  <c r="AU486" i="1"/>
  <c r="AU487" i="1"/>
  <c r="AU488" i="1"/>
  <c r="AU489" i="1"/>
  <c r="AU490" i="1"/>
  <c r="AU491" i="1"/>
  <c r="AU492" i="1"/>
  <c r="AU493" i="1"/>
  <c r="AU494" i="1"/>
  <c r="AU495" i="1"/>
  <c r="AU496" i="1"/>
  <c r="AU497" i="1"/>
  <c r="AU498" i="1"/>
  <c r="AU499" i="1"/>
  <c r="AU500" i="1"/>
  <c r="AU501" i="1"/>
  <c r="AU502" i="1"/>
  <c r="AU503" i="1"/>
  <c r="AU504" i="1"/>
  <c r="AU505" i="1"/>
  <c r="AU506" i="1"/>
  <c r="AU507" i="1"/>
  <c r="AU508" i="1"/>
  <c r="AU509" i="1"/>
  <c r="AU510" i="1"/>
  <c r="AU511" i="1"/>
  <c r="AU512" i="1"/>
  <c r="AU513" i="1"/>
  <c r="AU514" i="1"/>
  <c r="AU515" i="1"/>
  <c r="AU516" i="1"/>
  <c r="AU517" i="1"/>
  <c r="AU518" i="1"/>
  <c r="AU519" i="1"/>
  <c r="AU520" i="1"/>
  <c r="AU521" i="1"/>
  <c r="AU522" i="1"/>
  <c r="AU523" i="1"/>
  <c r="AU524" i="1"/>
  <c r="AU525" i="1"/>
  <c r="AU526" i="1"/>
  <c r="AU527" i="1"/>
  <c r="AU528" i="1"/>
  <c r="AU529" i="1"/>
  <c r="AU530" i="1"/>
  <c r="AU531" i="1"/>
  <c r="AU532" i="1"/>
  <c r="AU533" i="1"/>
  <c r="AU534" i="1"/>
  <c r="AU535" i="1"/>
  <c r="AU536" i="1"/>
  <c r="AU537" i="1"/>
  <c r="AU538" i="1"/>
  <c r="AU539" i="1"/>
  <c r="AU540" i="1"/>
  <c r="AU541" i="1"/>
  <c r="AU542" i="1"/>
  <c r="AU543" i="1"/>
  <c r="AU544" i="1"/>
  <c r="AU545" i="1"/>
  <c r="AU546" i="1"/>
  <c r="AU547" i="1"/>
  <c r="AU548" i="1"/>
  <c r="AU549" i="1"/>
  <c r="AU550" i="1"/>
  <c r="AU551" i="1"/>
  <c r="AU552" i="1"/>
  <c r="AU553" i="1"/>
  <c r="AU554" i="1"/>
  <c r="AU555" i="1"/>
  <c r="AU556" i="1"/>
  <c r="AU557" i="1"/>
  <c r="AU558" i="1"/>
  <c r="AU559" i="1"/>
  <c r="AU560" i="1"/>
  <c r="AU561" i="1"/>
  <c r="AU562" i="1"/>
  <c r="AU563" i="1"/>
  <c r="AU564" i="1"/>
  <c r="AU565" i="1"/>
  <c r="AU566" i="1"/>
  <c r="AU567" i="1"/>
  <c r="AU568" i="1"/>
  <c r="AU569" i="1"/>
  <c r="AU570" i="1"/>
  <c r="AU571" i="1"/>
  <c r="AU572" i="1"/>
  <c r="AU573" i="1"/>
  <c r="AU574" i="1"/>
  <c r="AU575" i="1"/>
  <c r="AU576" i="1"/>
  <c r="AU577" i="1"/>
  <c r="AU579" i="1"/>
  <c r="AU580" i="1"/>
  <c r="AU581" i="1"/>
  <c r="AU582" i="1"/>
  <c r="AU583" i="1"/>
  <c r="AU584" i="1"/>
  <c r="AU585" i="1"/>
  <c r="AU586" i="1"/>
  <c r="AU587" i="1"/>
  <c r="AU588" i="1"/>
  <c r="AU589" i="1"/>
  <c r="AU590" i="1"/>
  <c r="AU591" i="1"/>
  <c r="AU592" i="1"/>
  <c r="AU593" i="1"/>
  <c r="AU594" i="1"/>
  <c r="AU597" i="1"/>
  <c r="AU598" i="1"/>
  <c r="AU599" i="1"/>
  <c r="AU600" i="1"/>
  <c r="AU602" i="1"/>
  <c r="AU603" i="1"/>
  <c r="AU604" i="1"/>
  <c r="AU605" i="1"/>
  <c r="AU606" i="1"/>
  <c r="AU607" i="1"/>
  <c r="AU608" i="1"/>
  <c r="AU609" i="1"/>
  <c r="AU610" i="1"/>
  <c r="AU611" i="1"/>
  <c r="AU612" i="1"/>
  <c r="AU613" i="1"/>
  <c r="AU614" i="1"/>
  <c r="AU615" i="1"/>
  <c r="AU616" i="1"/>
  <c r="AU601" i="1"/>
  <c r="AU617" i="1"/>
  <c r="AU618" i="1"/>
  <c r="AU619" i="1"/>
  <c r="AU620" i="1"/>
  <c r="AU621" i="1"/>
  <c r="AU622" i="1"/>
  <c r="AU623" i="1"/>
  <c r="AU624" i="1"/>
  <c r="AU625" i="1"/>
  <c r="AU626" i="1"/>
  <c r="AU627" i="1"/>
  <c r="AU628" i="1"/>
  <c r="AU629" i="1"/>
  <c r="AU630" i="1"/>
  <c r="AU631" i="1"/>
  <c r="AU632" i="1"/>
  <c r="AU633" i="1"/>
  <c r="AU634" i="1"/>
  <c r="AU635" i="1"/>
  <c r="AU636" i="1"/>
  <c r="AU637" i="1"/>
  <c r="AU638" i="1"/>
  <c r="AU639" i="1"/>
  <c r="AU640" i="1"/>
  <c r="AU641" i="1"/>
  <c r="AU642" i="1"/>
  <c r="AU643" i="1"/>
  <c r="AU644" i="1"/>
  <c r="AU645" i="1"/>
  <c r="AU646" i="1"/>
  <c r="AU647" i="1"/>
  <c r="AU648" i="1"/>
  <c r="AU649" i="1"/>
  <c r="AU650" i="1"/>
  <c r="AU651" i="1"/>
  <c r="AU652" i="1"/>
  <c r="AU653" i="1"/>
  <c r="AU654" i="1"/>
  <c r="AU655" i="1"/>
  <c r="AU656" i="1"/>
  <c r="AU657" i="1"/>
  <c r="AU658" i="1"/>
  <c r="AU659" i="1"/>
  <c r="AU660" i="1"/>
  <c r="AU661" i="1"/>
  <c r="AU662" i="1"/>
  <c r="AU663" i="1"/>
  <c r="AU664" i="1"/>
  <c r="AU665" i="1"/>
  <c r="AU666" i="1"/>
  <c r="AU667" i="1"/>
  <c r="AU668" i="1"/>
  <c r="AU669" i="1"/>
  <c r="AU670" i="1"/>
  <c r="AU671" i="1"/>
  <c r="AU672" i="1"/>
  <c r="AU673" i="1"/>
  <c r="AU674" i="1"/>
  <c r="AU675" i="1"/>
  <c r="AU676" i="1"/>
  <c r="AU677" i="1"/>
  <c r="AU678" i="1"/>
  <c r="AU679" i="1"/>
  <c r="AU680" i="1"/>
  <c r="AU681" i="1"/>
  <c r="AU682" i="1"/>
  <c r="AU683" i="1"/>
  <c r="AU684" i="1"/>
  <c r="AU685" i="1"/>
  <c r="AU686" i="1"/>
  <c r="AU687" i="1"/>
  <c r="AU688" i="1"/>
  <c r="AU689" i="1"/>
  <c r="AU690" i="1"/>
  <c r="AU691" i="1"/>
  <c r="AU692" i="1"/>
  <c r="AU693" i="1"/>
  <c r="AU694" i="1"/>
  <c r="AU695" i="1"/>
  <c r="AU696" i="1"/>
  <c r="AU697" i="1"/>
  <c r="AU698" i="1"/>
  <c r="AU699" i="1"/>
  <c r="AU700" i="1"/>
  <c r="AU701" i="1"/>
  <c r="AU702" i="1"/>
  <c r="AU703" i="1"/>
  <c r="AU704" i="1"/>
  <c r="AU705" i="1"/>
  <c r="AU706" i="1"/>
  <c r="AU707" i="1"/>
  <c r="AU708" i="1"/>
  <c r="AU709" i="1"/>
  <c r="AU710" i="1"/>
  <c r="AU711" i="1"/>
  <c r="AU712" i="1"/>
  <c r="AU713" i="1"/>
  <c r="AU714" i="1"/>
  <c r="AU715" i="1"/>
  <c r="AU716" i="1"/>
  <c r="AU717" i="1"/>
  <c r="AU718" i="1"/>
  <c r="AU719" i="1"/>
  <c r="AU720" i="1"/>
  <c r="AU721" i="1"/>
  <c r="AU722" i="1"/>
  <c r="AU723" i="1"/>
  <c r="AU724" i="1"/>
  <c r="AU725" i="1"/>
  <c r="AU726" i="1"/>
  <c r="AU727" i="1"/>
  <c r="AU728" i="1"/>
  <c r="AU729" i="1"/>
  <c r="AU730" i="1"/>
  <c r="AU731" i="1"/>
  <c r="AU732" i="1"/>
  <c r="AU733" i="1"/>
  <c r="AU734" i="1"/>
  <c r="AU735" i="1"/>
  <c r="AU736" i="1"/>
  <c r="AU737" i="1"/>
  <c r="AU738" i="1"/>
  <c r="AU739" i="1"/>
  <c r="AU740" i="1"/>
  <c r="AU741" i="1"/>
  <c r="AU742" i="1"/>
  <c r="AU743" i="1"/>
  <c r="AU744" i="1"/>
  <c r="AU745" i="1"/>
  <c r="AU746" i="1"/>
  <c r="AU747" i="1"/>
  <c r="AU748" i="1"/>
  <c r="AU749" i="1"/>
  <c r="AU750" i="1"/>
  <c r="AU751" i="1"/>
  <c r="AU752" i="1"/>
  <c r="AU753" i="1"/>
  <c r="AU754" i="1"/>
  <c r="AU755" i="1"/>
  <c r="AU756" i="1"/>
  <c r="AU757" i="1"/>
  <c r="AU758" i="1"/>
  <c r="AU759" i="1"/>
  <c r="AU760" i="1"/>
  <c r="AU761" i="1"/>
  <c r="AU762" i="1"/>
  <c r="AU763" i="1"/>
  <c r="AU764" i="1"/>
  <c r="AU765" i="1"/>
  <c r="AU766" i="1"/>
  <c r="AU767" i="1"/>
  <c r="AU768" i="1"/>
  <c r="AU769" i="1"/>
  <c r="AU770" i="1"/>
  <c r="AU771" i="1"/>
  <c r="AU772" i="1"/>
  <c r="AU773" i="1"/>
  <c r="AU774" i="1"/>
  <c r="AU775" i="1"/>
  <c r="AU776" i="1"/>
  <c r="AU777" i="1"/>
  <c r="AU778" i="1"/>
  <c r="AU779" i="1"/>
  <c r="AU780" i="1"/>
  <c r="AU781" i="1"/>
  <c r="AU782" i="1"/>
  <c r="AU783" i="1"/>
  <c r="AU784" i="1"/>
  <c r="AU785" i="1"/>
  <c r="AU786" i="1"/>
  <c r="AU787" i="1"/>
  <c r="AU788" i="1"/>
  <c r="AU789" i="1"/>
  <c r="AU790" i="1"/>
  <c r="AU791" i="1"/>
  <c r="AU792" i="1"/>
  <c r="AU793" i="1"/>
  <c r="AU794" i="1"/>
  <c r="AU795" i="1"/>
  <c r="AU796" i="1"/>
  <c r="AU797" i="1"/>
  <c r="AU798" i="1"/>
  <c r="AU799" i="1"/>
  <c r="AU800" i="1"/>
  <c r="AU801" i="1"/>
  <c r="AU802" i="1"/>
  <c r="AU803" i="1"/>
  <c r="AU804" i="1"/>
  <c r="AU805" i="1"/>
  <c r="AU806" i="1"/>
  <c r="AU807" i="1"/>
  <c r="AU808" i="1"/>
  <c r="AU809" i="1"/>
  <c r="AU810" i="1"/>
  <c r="AU811" i="1"/>
  <c r="AU812" i="1"/>
  <c r="AU813" i="1"/>
  <c r="AU814" i="1"/>
  <c r="AU815" i="1"/>
  <c r="AU816" i="1"/>
  <c r="AU817" i="1"/>
  <c r="AU818" i="1"/>
  <c r="AU819" i="1"/>
  <c r="AU820" i="1"/>
  <c r="AU821" i="1"/>
  <c r="AU822" i="1"/>
  <c r="AU823" i="1"/>
  <c r="AU824" i="1"/>
  <c r="AU825" i="1"/>
  <c r="AU826" i="1"/>
  <c r="AU827" i="1"/>
  <c r="AU828" i="1"/>
  <c r="AU829" i="1"/>
  <c r="AU830" i="1"/>
  <c r="AU831" i="1"/>
  <c r="AU832" i="1"/>
  <c r="AU833" i="1"/>
  <c r="AU834" i="1"/>
  <c r="AU835" i="1"/>
  <c r="AU836" i="1"/>
  <c r="AU837" i="1"/>
  <c r="AU838" i="1"/>
  <c r="AU839" i="1"/>
  <c r="AU840" i="1"/>
  <c r="AU841" i="1"/>
  <c r="AU842" i="1"/>
  <c r="AU843" i="1"/>
  <c r="AU844" i="1"/>
  <c r="AU845" i="1"/>
  <c r="AU846" i="1"/>
  <c r="AU847" i="1"/>
  <c r="AU848" i="1"/>
  <c r="AU849" i="1"/>
  <c r="AU850" i="1"/>
  <c r="AU851" i="1"/>
  <c r="AU852" i="1"/>
  <c r="AU853" i="1"/>
  <c r="AU854" i="1"/>
  <c r="AU855" i="1"/>
  <c r="AU856" i="1"/>
  <c r="AU857" i="1"/>
  <c r="AU858" i="1"/>
  <c r="AU859" i="1"/>
  <c r="AU860" i="1"/>
  <c r="AU861" i="1"/>
  <c r="AU862" i="1"/>
  <c r="AU863" i="1"/>
  <c r="AU864" i="1"/>
  <c r="AU865" i="1"/>
  <c r="AU866" i="1"/>
  <c r="AU867" i="1"/>
  <c r="AU868" i="1"/>
  <c r="AU869" i="1"/>
  <c r="AU870" i="1"/>
  <c r="AU871" i="1"/>
  <c r="AU872" i="1"/>
  <c r="AU873" i="1"/>
  <c r="AU874" i="1"/>
  <c r="AU875" i="1"/>
  <c r="AU876" i="1"/>
  <c r="AU877" i="1"/>
  <c r="AU878" i="1"/>
  <c r="AU879" i="1"/>
  <c r="AU880" i="1"/>
  <c r="AU881" i="1"/>
  <c r="AU882" i="1"/>
  <c r="AU883" i="1"/>
  <c r="AU884" i="1"/>
  <c r="AU885" i="1"/>
  <c r="AU886" i="1"/>
  <c r="AU887" i="1"/>
  <c r="AU888" i="1"/>
  <c r="AU889" i="1"/>
  <c r="AU890" i="1"/>
  <c r="AU891" i="1"/>
  <c r="AU892" i="1"/>
  <c r="AU893" i="1"/>
  <c r="AU894" i="1"/>
  <c r="AU895" i="1"/>
  <c r="AU896" i="1"/>
  <c r="AU897" i="1"/>
  <c r="AU898" i="1"/>
  <c r="AU899" i="1"/>
  <c r="AU900" i="1"/>
  <c r="AU901" i="1"/>
  <c r="AU902" i="1"/>
  <c r="AU903" i="1"/>
  <c r="AU904" i="1"/>
  <c r="AU905" i="1"/>
  <c r="AU906" i="1"/>
  <c r="AU907" i="1"/>
  <c r="AU908" i="1"/>
  <c r="AU909" i="1"/>
  <c r="AU910" i="1"/>
  <c r="AU911" i="1"/>
  <c r="AU912" i="1"/>
  <c r="AU913" i="1"/>
  <c r="AU914" i="1"/>
  <c r="AU915" i="1"/>
  <c r="AU916" i="1"/>
  <c r="AU917" i="1"/>
  <c r="AU918" i="1"/>
  <c r="AU919" i="1"/>
  <c r="AU920" i="1"/>
  <c r="AU921" i="1"/>
  <c r="AU922" i="1"/>
  <c r="AU923" i="1"/>
  <c r="AU924" i="1"/>
  <c r="AU925" i="1"/>
  <c r="AU926" i="1"/>
  <c r="AU927" i="1"/>
  <c r="AU928" i="1"/>
  <c r="AU929" i="1"/>
  <c r="AU930" i="1"/>
  <c r="AU931" i="1"/>
  <c r="AU932" i="1"/>
  <c r="AU933" i="1"/>
  <c r="AU934" i="1"/>
  <c r="AU935" i="1"/>
  <c r="AU936" i="1"/>
  <c r="AU937" i="1"/>
  <c r="AU938" i="1"/>
  <c r="AU939" i="1"/>
  <c r="AU940" i="1"/>
  <c r="AU941" i="1"/>
  <c r="AU942" i="1"/>
  <c r="AU943" i="1"/>
  <c r="AU944" i="1"/>
  <c r="AU945" i="1"/>
  <c r="AU946" i="1"/>
  <c r="AU947" i="1"/>
  <c r="AU948" i="1"/>
  <c r="AU949" i="1"/>
  <c r="AU950" i="1"/>
  <c r="AU951" i="1"/>
  <c r="AU952" i="1"/>
  <c r="AU953" i="1"/>
  <c r="AU954" i="1"/>
  <c r="AU955" i="1"/>
  <c r="AU956" i="1"/>
  <c r="AU957" i="1"/>
  <c r="AU958" i="1"/>
  <c r="AU959" i="1"/>
  <c r="AU960" i="1"/>
  <c r="AU961" i="1"/>
  <c r="AU962" i="1"/>
  <c r="AU968" i="1"/>
  <c r="AU969" i="1"/>
  <c r="AU970" i="1"/>
  <c r="AU971" i="1"/>
  <c r="AU972" i="1"/>
  <c r="AU973" i="1"/>
  <c r="AU974" i="1"/>
  <c r="AU975" i="1"/>
  <c r="AU976" i="1"/>
  <c r="AU977" i="1"/>
  <c r="AU978" i="1"/>
  <c r="AU979" i="1"/>
  <c r="AU980" i="1"/>
  <c r="AU981" i="1"/>
  <c r="AU982" i="1"/>
  <c r="AU983" i="1"/>
  <c r="AU984" i="1"/>
  <c r="AU985" i="1"/>
  <c r="AU986" i="1"/>
  <c r="AU987" i="1"/>
  <c r="AU988" i="1"/>
  <c r="AU989" i="1"/>
  <c r="AU990" i="1"/>
  <c r="AU991" i="1"/>
  <c r="AU992" i="1"/>
  <c r="AU993" i="1"/>
  <c r="AU994" i="1"/>
  <c r="AU995" i="1"/>
  <c r="AU996" i="1"/>
  <c r="AU997" i="1"/>
  <c r="AU998" i="1"/>
  <c r="AU999" i="1"/>
  <c r="AU1000" i="1"/>
  <c r="AU1001" i="1"/>
  <c r="AU1002" i="1"/>
  <c r="AU1003" i="1"/>
  <c r="AU1004" i="1"/>
  <c r="AU1005" i="1"/>
  <c r="AU1006" i="1"/>
  <c r="AU1007" i="1"/>
  <c r="AU1008" i="1"/>
  <c r="AU1009" i="1"/>
  <c r="AU1010" i="1"/>
  <c r="AU1011" i="1"/>
  <c r="AU1012" i="1"/>
  <c r="AU1013" i="1"/>
  <c r="AU1014" i="1"/>
  <c r="AU1015" i="1"/>
  <c r="AU1016" i="1"/>
  <c r="AU1017" i="1"/>
  <c r="AU1018" i="1"/>
  <c r="AU1019" i="1"/>
  <c r="AU1020" i="1"/>
  <c r="AU1021" i="1"/>
  <c r="AU1022" i="1"/>
  <c r="AU1023" i="1"/>
  <c r="AU1024" i="1"/>
  <c r="AU1025" i="1"/>
  <c r="AU1026" i="1"/>
  <c r="AU1027" i="1"/>
  <c r="AU1028" i="1"/>
  <c r="AU1029" i="1"/>
  <c r="AU1030" i="1"/>
  <c r="AU1031" i="1"/>
  <c r="AU1032" i="1"/>
  <c r="AU1033" i="1"/>
  <c r="AU1034" i="1"/>
  <c r="AU1035" i="1"/>
  <c r="AU1036" i="1"/>
  <c r="AU1037" i="1"/>
  <c r="AU1038" i="1"/>
  <c r="AU1039" i="1"/>
  <c r="AU1040" i="1"/>
  <c r="AU1041" i="1"/>
  <c r="AU1042" i="1"/>
  <c r="AU1043" i="1"/>
  <c r="AU1044" i="1"/>
  <c r="AU1045" i="1"/>
  <c r="AU1046" i="1"/>
  <c r="AU1047" i="1"/>
  <c r="AU1048" i="1"/>
  <c r="AU1049" i="1"/>
  <c r="AU1050" i="1"/>
  <c r="AU1051" i="1"/>
  <c r="AU1052" i="1"/>
  <c r="AU1053" i="1"/>
  <c r="AU1054" i="1"/>
  <c r="AU1055" i="1"/>
  <c r="AU1056" i="1"/>
  <c r="AU1057" i="1"/>
  <c r="AU1058" i="1"/>
  <c r="AU1059" i="1"/>
  <c r="AU1060" i="1"/>
  <c r="AU1061" i="1"/>
  <c r="AU1062" i="1"/>
  <c r="AU1063" i="1"/>
  <c r="AU1064" i="1"/>
  <c r="AU1065" i="1"/>
  <c r="AU1066" i="1"/>
  <c r="AU1067" i="1"/>
  <c r="AU1068" i="1"/>
  <c r="AU1069" i="1"/>
  <c r="AU1070" i="1"/>
  <c r="AU1071" i="1"/>
  <c r="AU1072" i="1"/>
  <c r="AU1073" i="1"/>
  <c r="AU1074" i="1"/>
  <c r="AU1075" i="1"/>
  <c r="AU1078" i="1"/>
  <c r="AU1079" i="1"/>
  <c r="AU1080" i="1"/>
  <c r="AU1081" i="1"/>
  <c r="AU1082" i="1"/>
  <c r="AU1083" i="1"/>
  <c r="AU1084" i="1"/>
  <c r="AU1085" i="1"/>
  <c r="AU1086" i="1"/>
  <c r="AU1087" i="1"/>
  <c r="AU1088" i="1"/>
  <c r="AU1089" i="1"/>
  <c r="AU1090" i="1"/>
  <c r="AU1091" i="1"/>
  <c r="AU1092" i="1"/>
  <c r="AU1093" i="1"/>
  <c r="AU1094" i="1"/>
  <c r="AU1095" i="1"/>
  <c r="AU1096" i="1"/>
  <c r="AU1097" i="1"/>
  <c r="AU1098" i="1"/>
  <c r="AU1099" i="1"/>
  <c r="AU1100" i="1"/>
  <c r="AU1101" i="1"/>
  <c r="AU1102" i="1"/>
  <c r="AU1103" i="1"/>
  <c r="AU1104" i="1"/>
  <c r="AU1105" i="1"/>
  <c r="AU1106" i="1"/>
  <c r="AU1107" i="1"/>
  <c r="AU1108" i="1"/>
  <c r="AU1109" i="1"/>
  <c r="AU1110" i="1"/>
  <c r="AU1111" i="1"/>
  <c r="AU1112" i="1"/>
  <c r="AU1113" i="1"/>
  <c r="AU1114" i="1"/>
  <c r="AU1115" i="1"/>
  <c r="AU1116" i="1"/>
  <c r="AU1117" i="1"/>
  <c r="AU1118" i="1"/>
  <c r="AU1119" i="1"/>
  <c r="AU1120" i="1"/>
  <c r="AU1121" i="1"/>
  <c r="AU1122" i="1"/>
  <c r="AU1123" i="1"/>
  <c r="AU1124" i="1"/>
  <c r="AU1125" i="1"/>
  <c r="AU1126" i="1"/>
  <c r="AU1127" i="1"/>
  <c r="AU1128" i="1"/>
  <c r="AU1129" i="1"/>
  <c r="AU1130" i="1"/>
  <c r="AU1131" i="1"/>
  <c r="AU1132" i="1"/>
  <c r="AU1133" i="1"/>
  <c r="AU1134" i="1"/>
  <c r="AU1135" i="1"/>
  <c r="AU1136" i="1"/>
  <c r="AU1137" i="1"/>
  <c r="AU1138" i="1"/>
  <c r="AU1139" i="1"/>
  <c r="AU1140" i="1"/>
  <c r="AU1141" i="1"/>
  <c r="AU1142" i="1"/>
  <c r="AU1143" i="1"/>
  <c r="AU1144" i="1"/>
  <c r="AU1145" i="1"/>
  <c r="AU1146" i="1"/>
  <c r="AU1147" i="1"/>
  <c r="AU1148" i="1"/>
  <c r="AU1149" i="1"/>
  <c r="AU1150" i="1"/>
  <c r="AU1151" i="1"/>
  <c r="AU1152" i="1"/>
  <c r="AU1153" i="1"/>
  <c r="AU1154" i="1"/>
  <c r="AU1155" i="1"/>
  <c r="AU1156" i="1"/>
  <c r="AU1157" i="1"/>
  <c r="AU1158" i="1"/>
  <c r="AU1159" i="1"/>
  <c r="AU1160" i="1"/>
  <c r="AU1161" i="1"/>
  <c r="AU1162" i="1"/>
  <c r="AU1163" i="1"/>
  <c r="AU1164" i="1"/>
  <c r="AU1165" i="1"/>
  <c r="AU1166" i="1"/>
  <c r="AU1167" i="1"/>
  <c r="AU1168" i="1"/>
  <c r="AU1169" i="1"/>
  <c r="AU1170" i="1"/>
  <c r="AU1171" i="1"/>
  <c r="AU1172" i="1"/>
  <c r="AU1173" i="1"/>
  <c r="AU1174" i="1"/>
  <c r="AU1175" i="1"/>
  <c r="AU1176" i="1"/>
  <c r="AU1177" i="1"/>
  <c r="AU1178" i="1"/>
  <c r="AU1179" i="1"/>
  <c r="AU1180" i="1"/>
  <c r="AU1181" i="1"/>
  <c r="AU1182" i="1"/>
  <c r="AU1183" i="1"/>
  <c r="AU1184" i="1"/>
  <c r="AU1185" i="1"/>
  <c r="AU1186" i="1"/>
  <c r="AU1187" i="1"/>
  <c r="AU1188" i="1"/>
  <c r="AU1189" i="1"/>
  <c r="AU1190" i="1"/>
  <c r="AU1191" i="1"/>
  <c r="AU1192" i="1"/>
  <c r="AU1193" i="1"/>
  <c r="AU1194" i="1"/>
  <c r="AU1195" i="1"/>
  <c r="AU1196" i="1"/>
  <c r="AU1197" i="1"/>
  <c r="AU1198" i="1"/>
  <c r="AU1199" i="1"/>
  <c r="AU1200" i="1"/>
  <c r="AU1201" i="1"/>
  <c r="AU1202" i="1"/>
  <c r="AU1203" i="1"/>
  <c r="AU1204" i="1"/>
  <c r="AU1205" i="1"/>
  <c r="AU1206" i="1"/>
  <c r="AU1207" i="1"/>
  <c r="AU1208" i="1"/>
  <c r="AU1209" i="1"/>
  <c r="AU1210" i="1"/>
  <c r="AU1211" i="1"/>
  <c r="AU1212" i="1"/>
  <c r="AU1213" i="1"/>
  <c r="AU1214" i="1"/>
  <c r="AU1215" i="1"/>
  <c r="AU1216" i="1"/>
  <c r="AU1218" i="1"/>
  <c r="AU1219" i="1"/>
  <c r="AU1220" i="1"/>
  <c r="AU1221" i="1"/>
  <c r="AU1222" i="1"/>
  <c r="AU1223" i="1"/>
  <c r="AU1224" i="1"/>
  <c r="AU1225" i="1"/>
  <c r="AU1226" i="1"/>
  <c r="AU1227" i="1"/>
  <c r="AU1228" i="1"/>
  <c r="AU1229" i="1"/>
  <c r="AU1230" i="1"/>
  <c r="AU1231" i="1"/>
  <c r="AU1232" i="1"/>
  <c r="AU1233" i="1"/>
  <c r="AU1234" i="1"/>
  <c r="AU1236" i="1"/>
  <c r="AU1237" i="1"/>
  <c r="AU1238" i="1"/>
  <c r="AU1239" i="1"/>
  <c r="AU1240" i="1"/>
  <c r="AU1241" i="1"/>
  <c r="AU1242" i="1"/>
  <c r="AU1243" i="1"/>
  <c r="AU1244" i="1"/>
  <c r="AU1245" i="1"/>
  <c r="AU1246" i="1"/>
  <c r="AU1247" i="1"/>
  <c r="AU1248" i="1"/>
  <c r="AU1249" i="1"/>
  <c r="AU1250" i="1"/>
  <c r="AU1251" i="1"/>
  <c r="AU1252" i="1"/>
  <c r="AU1253" i="1"/>
  <c r="AU1254" i="1"/>
  <c r="AU1255" i="1"/>
  <c r="AU1256" i="1"/>
  <c r="AU1257" i="1"/>
  <c r="AU1258" i="1"/>
  <c r="AU1259" i="1"/>
  <c r="AU1260" i="1"/>
  <c r="AU1261" i="1"/>
  <c r="AU1262" i="1"/>
  <c r="AU1263" i="1"/>
  <c r="AU1264" i="1"/>
  <c r="AU1265" i="1"/>
  <c r="AU1266" i="1"/>
  <c r="AU1267" i="1"/>
  <c r="AU1268" i="1"/>
  <c r="AU1269" i="1"/>
  <c r="AU1270" i="1"/>
  <c r="AU1271" i="1"/>
  <c r="AU1272" i="1"/>
  <c r="AU1273" i="1"/>
  <c r="AU1274" i="1"/>
  <c r="AU1275" i="1"/>
  <c r="AU1276" i="1"/>
  <c r="AU1277" i="1"/>
  <c r="AU1278" i="1"/>
  <c r="AU1279" i="1"/>
  <c r="AU1284" i="1"/>
  <c r="AU1285" i="1"/>
  <c r="AU1286" i="1"/>
  <c r="AU1287" i="1"/>
  <c r="AU1288" i="1"/>
  <c r="AU1289" i="1"/>
  <c r="AU1290" i="1"/>
  <c r="AU1291" i="1"/>
  <c r="AU1292" i="1"/>
  <c r="AU1293" i="1"/>
  <c r="AU1294" i="1"/>
  <c r="AU1295" i="1"/>
  <c r="AU1296" i="1"/>
  <c r="AU1297" i="1"/>
  <c r="AU1298" i="1"/>
  <c r="AU1299" i="1"/>
  <c r="AU1300" i="1"/>
  <c r="AU1301" i="1"/>
  <c r="AU1302" i="1"/>
  <c r="AU1303" i="1"/>
  <c r="AU1304" i="1"/>
  <c r="AU1305" i="1"/>
  <c r="AU1306" i="1"/>
  <c r="AU1307" i="1"/>
  <c r="AU1308" i="1"/>
  <c r="AU1309" i="1"/>
  <c r="AU1310" i="1"/>
  <c r="AU1311" i="1"/>
  <c r="AU1312" i="1"/>
  <c r="AU1313" i="1"/>
  <c r="AU1314" i="1"/>
  <c r="AU1315" i="1"/>
  <c r="AU1316" i="1"/>
  <c r="AU1317" i="1"/>
  <c r="AU1318" i="1"/>
  <c r="AU1319" i="1"/>
  <c r="AU1320" i="1"/>
  <c r="AU1321" i="1"/>
  <c r="AU1322" i="1"/>
  <c r="AU1323" i="1"/>
  <c r="AU1324" i="1"/>
  <c r="AU1325" i="1"/>
  <c r="AU1326" i="1"/>
  <c r="AU1327" i="1"/>
  <c r="AU1328" i="1"/>
  <c r="AU1329" i="1"/>
  <c r="AU1330" i="1"/>
  <c r="AU1331" i="1"/>
  <c r="AU1332" i="1"/>
  <c r="AU1333" i="1"/>
  <c r="AU1334" i="1"/>
  <c r="AU1335" i="1"/>
  <c r="AU1336" i="1"/>
  <c r="AU1337" i="1"/>
  <c r="AU1338" i="1"/>
  <c r="AU1339" i="1"/>
  <c r="AU1340" i="1"/>
  <c r="AU1341" i="1"/>
  <c r="AU1342" i="1"/>
  <c r="AU1343" i="1"/>
  <c r="AU1344" i="1"/>
  <c r="AU1345" i="1"/>
  <c r="AU1346" i="1"/>
  <c r="AU1347" i="1"/>
  <c r="AU1348" i="1"/>
  <c r="AU1349" i="1"/>
  <c r="AU1350" i="1"/>
  <c r="AU1351" i="1"/>
  <c r="AU1352" i="1"/>
  <c r="AU1353" i="1"/>
  <c r="AU1354" i="1"/>
  <c r="AU1355" i="1"/>
  <c r="AU1356" i="1"/>
  <c r="AU1357" i="1"/>
  <c r="AU1358" i="1"/>
  <c r="AU1359" i="1"/>
  <c r="AU1360" i="1"/>
  <c r="AU1361" i="1"/>
  <c r="AU1362" i="1"/>
  <c r="AU1363" i="1"/>
  <c r="AU1364" i="1"/>
  <c r="AU1365" i="1"/>
  <c r="AU1366" i="1"/>
  <c r="AU1367" i="1"/>
  <c r="AU1368" i="1"/>
  <c r="AU1369" i="1"/>
  <c r="AU1370" i="1"/>
  <c r="AU1371" i="1"/>
  <c r="AU1372" i="1"/>
  <c r="AU1373" i="1"/>
  <c r="AU1374" i="1"/>
  <c r="AU1376" i="1"/>
  <c r="AU1378" i="1"/>
  <c r="AU1379" i="1"/>
  <c r="AU1380" i="1"/>
  <c r="AU1381" i="1"/>
  <c r="AU1383" i="1"/>
  <c r="AU1384" i="1"/>
  <c r="AU1385" i="1"/>
  <c r="AU1386" i="1"/>
  <c r="AU1387" i="1"/>
  <c r="AU1388" i="1"/>
  <c r="AU1389" i="1"/>
  <c r="AU1390" i="1"/>
  <c r="AU1391" i="1"/>
  <c r="AU1392" i="1"/>
  <c r="AU1393" i="1"/>
  <c r="AU1394" i="1"/>
  <c r="AU1395" i="1"/>
  <c r="AU1396" i="1"/>
  <c r="AU1397" i="1"/>
  <c r="AU1398" i="1"/>
  <c r="AU1399" i="1"/>
  <c r="AU1400" i="1"/>
  <c r="AU1401" i="1"/>
  <c r="AU1402" i="1"/>
  <c r="AU1403" i="1"/>
  <c r="AU1404" i="1"/>
  <c r="AU1405" i="1"/>
  <c r="AS1234" i="1"/>
  <c r="AR1234" i="1"/>
  <c r="AO1234" i="1"/>
  <c r="AN1234" i="1"/>
  <c r="AM1234" i="1"/>
  <c r="AC1234" i="1"/>
  <c r="Q1234" i="1"/>
  <c r="P1234" i="1"/>
  <c r="O1234" i="1"/>
  <c r="L1234" i="1"/>
  <c r="K1234" i="1"/>
  <c r="J1234" i="1"/>
  <c r="AS1233" i="1"/>
  <c r="AR1233" i="1"/>
  <c r="AO1233" i="1"/>
  <c r="AN1233" i="1"/>
  <c r="AM1233" i="1"/>
  <c r="AC1233" i="1"/>
  <c r="O1233" i="1"/>
  <c r="P1233" i="1" s="1"/>
  <c r="L1233" i="1"/>
  <c r="K1233" i="1"/>
  <c r="J1233" i="1"/>
  <c r="AS1232" i="1"/>
  <c r="AR1232" i="1"/>
  <c r="AO1232" i="1"/>
  <c r="AM1232" i="1"/>
  <c r="AC1232" i="1"/>
  <c r="S1232" i="1"/>
  <c r="O1232" i="1"/>
  <c r="L1232" i="1"/>
  <c r="K1232" i="1"/>
  <c r="J1232" i="1"/>
  <c r="AS1231" i="1"/>
  <c r="AR1231" i="1"/>
  <c r="AO1231" i="1"/>
  <c r="AN1231" i="1"/>
  <c r="AM1231" i="1"/>
  <c r="AC1231" i="1"/>
  <c r="O1231" i="1"/>
  <c r="L1231" i="1"/>
  <c r="K1231" i="1"/>
  <c r="J1231" i="1"/>
  <c r="AS1230" i="1"/>
  <c r="AR1230" i="1"/>
  <c r="AO1230" i="1"/>
  <c r="AM1230" i="1"/>
  <c r="AC1230" i="1"/>
  <c r="O1230" i="1"/>
  <c r="P1230" i="1" s="1"/>
  <c r="L1230" i="1"/>
  <c r="K1230" i="1"/>
  <c r="J1230" i="1"/>
  <c r="AS1229" i="1"/>
  <c r="AR1229" i="1"/>
  <c r="AO1229" i="1"/>
  <c r="AN1229" i="1"/>
  <c r="AM1229" i="1"/>
  <c r="AC1229" i="1"/>
  <c r="O1229" i="1"/>
  <c r="P1229" i="1" s="1"/>
  <c r="L1229" i="1"/>
  <c r="K1229" i="1"/>
  <c r="J1229" i="1"/>
  <c r="AS1228" i="1"/>
  <c r="AR1228" i="1"/>
  <c r="AO1228" i="1"/>
  <c r="AN1228" i="1"/>
  <c r="AM1228" i="1"/>
  <c r="AC1228" i="1"/>
  <c r="O1228" i="1"/>
  <c r="L1228" i="1"/>
  <c r="K1228" i="1"/>
  <c r="J1228" i="1"/>
  <c r="AS1216" i="1"/>
  <c r="AR1216" i="1"/>
  <c r="AO1216" i="1"/>
  <c r="AM1216" i="1"/>
  <c r="AC1216" i="1"/>
  <c r="AV1216" i="1"/>
  <c r="Q1216" i="1"/>
  <c r="P1216" i="1"/>
  <c r="O1216" i="1"/>
  <c r="L1216" i="1"/>
  <c r="K1216" i="1"/>
  <c r="J1216" i="1"/>
  <c r="AS1351" i="1"/>
  <c r="AR1351" i="1"/>
  <c r="AO1351" i="1"/>
  <c r="AM1351" i="1"/>
  <c r="AC1351" i="1"/>
  <c r="AV1351" i="1"/>
  <c r="Q1351" i="1"/>
  <c r="P1351" i="1"/>
  <c r="O1351" i="1"/>
  <c r="L1351" i="1"/>
  <c r="K1351" i="1"/>
  <c r="J1351" i="1"/>
  <c r="AS1070" i="1"/>
  <c r="AR1070" i="1"/>
  <c r="AO1070" i="1"/>
  <c r="AM1070" i="1"/>
  <c r="AC1070" i="1"/>
  <c r="AV1070" i="1"/>
  <c r="R1070" i="1"/>
  <c r="S1070" i="1" s="1"/>
  <c r="Q1070" i="1"/>
  <c r="P1070" i="1"/>
  <c r="O1070" i="1"/>
  <c r="L1070" i="1"/>
  <c r="K1070" i="1"/>
  <c r="J1070" i="1"/>
  <c r="AS1069" i="1"/>
  <c r="AR1069" i="1"/>
  <c r="AO1069" i="1"/>
  <c r="AM1069" i="1"/>
  <c r="AC1069" i="1"/>
  <c r="AV1069" i="1"/>
  <c r="R1069" i="1"/>
  <c r="S1069" i="1" s="1"/>
  <c r="Q1069" i="1"/>
  <c r="P1069" i="1"/>
  <c r="O1069" i="1"/>
  <c r="L1069" i="1"/>
  <c r="K1069" i="1"/>
  <c r="J1069" i="1"/>
  <c r="AS1068" i="1"/>
  <c r="AR1068" i="1"/>
  <c r="AO1068" i="1"/>
  <c r="AM1068" i="1"/>
  <c r="AC1068" i="1"/>
  <c r="AV1068" i="1"/>
  <c r="Q1068" i="1"/>
  <c r="P1068" i="1"/>
  <c r="O1068" i="1"/>
  <c r="L1068" i="1"/>
  <c r="K1068" i="1"/>
  <c r="J1068" i="1"/>
  <c r="AS1067" i="1"/>
  <c r="AR1067" i="1"/>
  <c r="AO1067" i="1"/>
  <c r="AM1067" i="1"/>
  <c r="AC1067" i="1"/>
  <c r="AV1067" i="1"/>
  <c r="Q1067" i="1"/>
  <c r="P1067" i="1"/>
  <c r="O1067" i="1"/>
  <c r="L1067" i="1"/>
  <c r="K1067" i="1"/>
  <c r="J1067" i="1"/>
  <c r="AS1066" i="1"/>
  <c r="AR1066" i="1"/>
  <c r="AO1066" i="1"/>
  <c r="AM1066" i="1"/>
  <c r="AC1066" i="1"/>
  <c r="AV1066" i="1"/>
  <c r="Q1066" i="1"/>
  <c r="P1066" i="1"/>
  <c r="O1066" i="1"/>
  <c r="L1066" i="1"/>
  <c r="K1066" i="1"/>
  <c r="J1066" i="1"/>
  <c r="H1065" i="1"/>
  <c r="R1065" i="1" s="1"/>
  <c r="S1065" i="1" s="1"/>
  <c r="H1064" i="1"/>
  <c r="AS1065" i="1"/>
  <c r="AR1065" i="1"/>
  <c r="AO1065" i="1"/>
  <c r="AM1065" i="1"/>
  <c r="AC1065" i="1"/>
  <c r="AV1065" i="1"/>
  <c r="Q1065" i="1"/>
  <c r="P1065" i="1"/>
  <c r="O1065" i="1"/>
  <c r="L1065" i="1"/>
  <c r="K1065" i="1"/>
  <c r="J1065" i="1"/>
  <c r="AS1064" i="1"/>
  <c r="AR1064" i="1"/>
  <c r="AO1064" i="1"/>
  <c r="AM1064" i="1"/>
  <c r="AC1064" i="1"/>
  <c r="AV1064" i="1"/>
  <c r="Q1064" i="1"/>
  <c r="P1064" i="1"/>
  <c r="O1064" i="1"/>
  <c r="L1064" i="1"/>
  <c r="K1064" i="1"/>
  <c r="J1064" i="1"/>
  <c r="H1062" i="1"/>
  <c r="R1062" i="1" s="1"/>
  <c r="S1062" i="1" s="1"/>
  <c r="AO1352" i="1"/>
  <c r="AO1353" i="1"/>
  <c r="AO1354" i="1"/>
  <c r="AO1355" i="1"/>
  <c r="AO1356" i="1"/>
  <c r="AO1357" i="1"/>
  <c r="AO1358" i="1"/>
  <c r="AO1359" i="1"/>
  <c r="AO1360" i="1"/>
  <c r="AO1361" i="1"/>
  <c r="AO1362" i="1"/>
  <c r="AO1363" i="1"/>
  <c r="AO1364" i="1"/>
  <c r="AO1365" i="1"/>
  <c r="AO1366" i="1"/>
  <c r="AO1367" i="1"/>
  <c r="AO1368" i="1"/>
  <c r="AO1369" i="1"/>
  <c r="AO1370" i="1"/>
  <c r="AO1371" i="1"/>
  <c r="AO1372" i="1"/>
  <c r="AO1373" i="1"/>
  <c r="AO1374" i="1"/>
  <c r="AN1353" i="1"/>
  <c r="AN1354" i="1"/>
  <c r="AN1355" i="1"/>
  <c r="AN1356" i="1"/>
  <c r="AN1357" i="1"/>
  <c r="AN1358" i="1"/>
  <c r="AN1359" i="1"/>
  <c r="AN1360" i="1"/>
  <c r="AN1361" i="1"/>
  <c r="AN1362" i="1"/>
  <c r="AN1363" i="1"/>
  <c r="AN1364" i="1"/>
  <c r="AN1365" i="1"/>
  <c r="AN1366" i="1"/>
  <c r="AN1367" i="1"/>
  <c r="AN1368" i="1"/>
  <c r="AN1369" i="1"/>
  <c r="AN1370" i="1"/>
  <c r="AN1371" i="1"/>
  <c r="AN1372" i="1"/>
  <c r="AN1373" i="1"/>
  <c r="AM1352" i="1"/>
  <c r="AM1353" i="1"/>
  <c r="AM1354" i="1"/>
  <c r="AM1355" i="1"/>
  <c r="AM1356" i="1"/>
  <c r="AM1357" i="1"/>
  <c r="AM1358" i="1"/>
  <c r="AM1359" i="1"/>
  <c r="AM1360" i="1"/>
  <c r="AM1361" i="1"/>
  <c r="AM1362" i="1"/>
  <c r="AM1363" i="1"/>
  <c r="AM1364" i="1"/>
  <c r="AM1365" i="1"/>
  <c r="AM1366" i="1"/>
  <c r="AM1367" i="1"/>
  <c r="AM1368" i="1"/>
  <c r="AM1369" i="1"/>
  <c r="AM1370" i="1"/>
  <c r="AM1371" i="1"/>
  <c r="AM1372" i="1"/>
  <c r="AM1373" i="1"/>
  <c r="AM1374" i="1"/>
  <c r="AJ1353" i="1"/>
  <c r="AJ1354" i="1"/>
  <c r="AJ1355" i="1"/>
  <c r="AJ1368" i="1"/>
  <c r="AJ1369" i="1"/>
  <c r="Q1352" i="1"/>
  <c r="Q1353" i="1"/>
  <c r="Q1354" i="1"/>
  <c r="Q1355" i="1"/>
  <c r="Q1356" i="1"/>
  <c r="Q1357" i="1"/>
  <c r="Q1358" i="1"/>
  <c r="Q1359" i="1"/>
  <c r="Q1360" i="1"/>
  <c r="Q1361" i="1"/>
  <c r="Q1362" i="1"/>
  <c r="Q1363" i="1"/>
  <c r="Q1364" i="1"/>
  <c r="Q1365" i="1"/>
  <c r="Q1366" i="1"/>
  <c r="Q1367" i="1"/>
  <c r="Q1368" i="1"/>
  <c r="Q1369" i="1"/>
  <c r="Q1370" i="1"/>
  <c r="Q1371" i="1"/>
  <c r="Q1372" i="1"/>
  <c r="Q1373" i="1"/>
  <c r="Q1374" i="1"/>
  <c r="P1352" i="1"/>
  <c r="P1367" i="1"/>
  <c r="P1368" i="1"/>
  <c r="P1371" i="1"/>
  <c r="P1372" i="1"/>
  <c r="P1373" i="1"/>
  <c r="P1374" i="1"/>
  <c r="O1352" i="1"/>
  <c r="O1353" i="1"/>
  <c r="P1353" i="1" s="1"/>
  <c r="O1354" i="1"/>
  <c r="P1354" i="1" s="1"/>
  <c r="O1355" i="1"/>
  <c r="P1355" i="1" s="1"/>
  <c r="O1356" i="1"/>
  <c r="P1356" i="1" s="1"/>
  <c r="O1357" i="1"/>
  <c r="P1357" i="1" s="1"/>
  <c r="O1358" i="1"/>
  <c r="P1358" i="1" s="1"/>
  <c r="O1359" i="1"/>
  <c r="P1359" i="1" s="1"/>
  <c r="O1360" i="1"/>
  <c r="P1360" i="1" s="1"/>
  <c r="O1361" i="1"/>
  <c r="P1361" i="1" s="1"/>
  <c r="O1362" i="1"/>
  <c r="P1362" i="1" s="1"/>
  <c r="O1363" i="1"/>
  <c r="P1363" i="1" s="1"/>
  <c r="O1364" i="1"/>
  <c r="P1364" i="1" s="1"/>
  <c r="O1365" i="1"/>
  <c r="P1365" i="1" s="1"/>
  <c r="O1366" i="1"/>
  <c r="P1366" i="1" s="1"/>
  <c r="O1367" i="1"/>
  <c r="O1368" i="1"/>
  <c r="O1369" i="1"/>
  <c r="P1369" i="1" s="1"/>
  <c r="O1370" i="1"/>
  <c r="P1370" i="1" s="1"/>
  <c r="O1371" i="1"/>
  <c r="O1372" i="1"/>
  <c r="O1373" i="1"/>
  <c r="O1374"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AS1283" i="1"/>
  <c r="AR1283" i="1"/>
  <c r="AO1283" i="1"/>
  <c r="AM1283" i="1"/>
  <c r="AC1283" i="1"/>
  <c r="AV1283" i="1"/>
  <c r="Q1283" i="1"/>
  <c r="P1283" i="1"/>
  <c r="O1283" i="1"/>
  <c r="L1283" i="1"/>
  <c r="K1283" i="1"/>
  <c r="J1283" i="1"/>
  <c r="D25" i="56"/>
  <c r="D19" i="56"/>
  <c r="D12" i="56"/>
  <c r="D24" i="56"/>
  <c r="D21" i="56"/>
  <c r="D20" i="56"/>
  <c r="D18" i="56"/>
  <c r="D16" i="56"/>
  <c r="D14" i="56"/>
  <c r="D13" i="56"/>
  <c r="Q14" i="121"/>
  <c r="Q16" i="121"/>
  <c r="Q17" i="121"/>
  <c r="Q18" i="121"/>
  <c r="Q19" i="121"/>
  <c r="Q21" i="121"/>
  <c r="Q22" i="121"/>
  <c r="Q23" i="121"/>
  <c r="Q27" i="121"/>
  <c r="Q28" i="121"/>
  <c r="Q29" i="121"/>
  <c r="Q32" i="121"/>
  <c r="Q33" i="121"/>
  <c r="Q34" i="121"/>
  <c r="Q35" i="121"/>
  <c r="Q36" i="121"/>
  <c r="Q37" i="121"/>
  <c r="Q38" i="121"/>
  <c r="Q39" i="121"/>
  <c r="Q40" i="121"/>
  <c r="Q41" i="121"/>
  <c r="Q42" i="121"/>
  <c r="Q43" i="121"/>
  <c r="Q44" i="121"/>
  <c r="Q47" i="121"/>
  <c r="Q48" i="121"/>
  <c r="Q51" i="121"/>
  <c r="Q52" i="121"/>
  <c r="Q53" i="121"/>
  <c r="Q13" i="121"/>
  <c r="P13" i="121"/>
  <c r="S14" i="111"/>
  <c r="S15" i="111"/>
  <c r="S17" i="111"/>
  <c r="S18" i="111"/>
  <c r="S19" i="111"/>
  <c r="S20" i="111"/>
  <c r="S21" i="111"/>
  <c r="S24" i="111"/>
  <c r="S27" i="111"/>
  <c r="S30" i="111"/>
  <c r="S31" i="111"/>
  <c r="S32" i="111"/>
  <c r="S33" i="111"/>
  <c r="S37" i="111"/>
  <c r="S38" i="111"/>
  <c r="S39" i="111"/>
  <c r="S40" i="111"/>
  <c r="S41" i="111"/>
  <c r="S42" i="111"/>
  <c r="S43" i="111"/>
  <c r="S46" i="111"/>
  <c r="S47" i="111"/>
  <c r="S49" i="111"/>
  <c r="S50" i="111"/>
  <c r="S51" i="111"/>
  <c r="S52" i="111"/>
  <c r="S13" i="111"/>
  <c r="Q14" i="111"/>
  <c r="Q16" i="111"/>
  <c r="Q17" i="111"/>
  <c r="Q18" i="111"/>
  <c r="Q19" i="111"/>
  <c r="Q21" i="111"/>
  <c r="Q22" i="111"/>
  <c r="Q23" i="111"/>
  <c r="Q27" i="111"/>
  <c r="Q28" i="111"/>
  <c r="Q29" i="111"/>
  <c r="Q32" i="111"/>
  <c r="Q33" i="111"/>
  <c r="Q34" i="111"/>
  <c r="Q35" i="111"/>
  <c r="Q36" i="111"/>
  <c r="Q37" i="111"/>
  <c r="Q38" i="111"/>
  <c r="Q39" i="111"/>
  <c r="Q40" i="111"/>
  <c r="Q41" i="111"/>
  <c r="Q42" i="111"/>
  <c r="Q43" i="111"/>
  <c r="Q44" i="111"/>
  <c r="Q47" i="111"/>
  <c r="Q48" i="111"/>
  <c r="Q51" i="111"/>
  <c r="Q52" i="111"/>
  <c r="Q53" i="111"/>
  <c r="Q13" i="111"/>
  <c r="E14" i="105"/>
  <c r="E13" i="140" s="1"/>
  <c r="AS390" i="1"/>
  <c r="AR390" i="1"/>
  <c r="AO390" i="1"/>
  <c r="AN390" i="1"/>
  <c r="AM390" i="1"/>
  <c r="T390" i="1"/>
  <c r="AV390" i="1" s="1"/>
  <c r="R390" i="1"/>
  <c r="S390" i="1" s="1"/>
  <c r="Q390" i="1"/>
  <c r="O390" i="1"/>
  <c r="P390" i="1" s="1"/>
  <c r="L390" i="1"/>
  <c r="K390" i="1"/>
  <c r="J390" i="1"/>
  <c r="P13" i="111"/>
  <c r="J3" i="1"/>
  <c r="K3" i="1"/>
  <c r="L3" i="1"/>
  <c r="J4" i="1"/>
  <c r="K4" i="1"/>
  <c r="L4" i="1"/>
  <c r="J5" i="1"/>
  <c r="K5" i="1"/>
  <c r="L5" i="1"/>
  <c r="J6" i="1"/>
  <c r="K6" i="1"/>
  <c r="L6" i="1"/>
  <c r="J7" i="1"/>
  <c r="K7" i="1"/>
  <c r="L7" i="1"/>
  <c r="J8" i="1"/>
  <c r="K8" i="1"/>
  <c r="L8" i="1"/>
  <c r="J9" i="1"/>
  <c r="K9" i="1"/>
  <c r="L9" i="1"/>
  <c r="J10" i="1"/>
  <c r="K10" i="1"/>
  <c r="L10" i="1"/>
  <c r="J11" i="1"/>
  <c r="K11" i="1"/>
  <c r="L11" i="1"/>
  <c r="J12" i="1"/>
  <c r="K12" i="1"/>
  <c r="L12" i="1"/>
  <c r="J13" i="1"/>
  <c r="K13" i="1"/>
  <c r="L13" i="1"/>
  <c r="J14" i="1"/>
  <c r="K14" i="1"/>
  <c r="L14" i="1"/>
  <c r="J15" i="1"/>
  <c r="K15" i="1"/>
  <c r="L15" i="1"/>
  <c r="J16" i="1"/>
  <c r="K16" i="1"/>
  <c r="L16" i="1"/>
  <c r="J17" i="1"/>
  <c r="K17" i="1"/>
  <c r="L17" i="1"/>
  <c r="J18" i="1"/>
  <c r="K18" i="1"/>
  <c r="L18" i="1"/>
  <c r="J19" i="1"/>
  <c r="K19" i="1"/>
  <c r="L19" i="1"/>
  <c r="J20" i="1"/>
  <c r="K20" i="1"/>
  <c r="L20" i="1"/>
  <c r="J21" i="1"/>
  <c r="K21" i="1"/>
  <c r="L21" i="1"/>
  <c r="J22" i="1"/>
  <c r="K22" i="1"/>
  <c r="L22" i="1"/>
  <c r="J23" i="1"/>
  <c r="K23" i="1"/>
  <c r="L23" i="1"/>
  <c r="J24" i="1"/>
  <c r="K24" i="1"/>
  <c r="L24" i="1"/>
  <c r="J25" i="1"/>
  <c r="K25" i="1"/>
  <c r="L25" i="1"/>
  <c r="J26" i="1"/>
  <c r="K26" i="1"/>
  <c r="L26" i="1"/>
  <c r="J27" i="1"/>
  <c r="K27" i="1"/>
  <c r="L27" i="1"/>
  <c r="J28" i="1"/>
  <c r="K28" i="1"/>
  <c r="L28" i="1"/>
  <c r="J29" i="1"/>
  <c r="K29" i="1"/>
  <c r="L29" i="1"/>
  <c r="J30" i="1"/>
  <c r="K30" i="1"/>
  <c r="L30" i="1"/>
  <c r="J31" i="1"/>
  <c r="K31" i="1"/>
  <c r="L31" i="1"/>
  <c r="J32" i="1"/>
  <c r="K32" i="1"/>
  <c r="L32" i="1"/>
  <c r="J33" i="1"/>
  <c r="K33" i="1"/>
  <c r="L33" i="1"/>
  <c r="J34" i="1"/>
  <c r="K34" i="1"/>
  <c r="L34" i="1"/>
  <c r="J35" i="1"/>
  <c r="K35" i="1"/>
  <c r="L35" i="1"/>
  <c r="J36" i="1"/>
  <c r="K36" i="1"/>
  <c r="L36" i="1"/>
  <c r="J37" i="1"/>
  <c r="K37" i="1"/>
  <c r="L37" i="1"/>
  <c r="J38" i="1"/>
  <c r="K38" i="1"/>
  <c r="L38" i="1"/>
  <c r="J39" i="1"/>
  <c r="K39" i="1"/>
  <c r="L39" i="1"/>
  <c r="J40" i="1"/>
  <c r="K40" i="1"/>
  <c r="L40" i="1"/>
  <c r="J41" i="1"/>
  <c r="K41" i="1"/>
  <c r="L41" i="1"/>
  <c r="J42" i="1"/>
  <c r="K42" i="1"/>
  <c r="L42" i="1"/>
  <c r="J43" i="1"/>
  <c r="K43" i="1"/>
  <c r="L43" i="1"/>
  <c r="J44" i="1"/>
  <c r="K44" i="1"/>
  <c r="L44" i="1"/>
  <c r="J45" i="1"/>
  <c r="K45" i="1"/>
  <c r="L45" i="1"/>
  <c r="J46" i="1"/>
  <c r="K46" i="1"/>
  <c r="L46" i="1"/>
  <c r="J47" i="1"/>
  <c r="K47" i="1"/>
  <c r="L47" i="1"/>
  <c r="J48" i="1"/>
  <c r="K48" i="1"/>
  <c r="L48" i="1"/>
  <c r="J49" i="1"/>
  <c r="K49" i="1"/>
  <c r="L49" i="1"/>
  <c r="J50" i="1"/>
  <c r="K50" i="1"/>
  <c r="L50" i="1"/>
  <c r="J51" i="1"/>
  <c r="K51" i="1"/>
  <c r="L51" i="1"/>
  <c r="J52" i="1"/>
  <c r="K52" i="1"/>
  <c r="L52" i="1"/>
  <c r="J53" i="1"/>
  <c r="K53" i="1"/>
  <c r="L53" i="1"/>
  <c r="J54" i="1"/>
  <c r="K54" i="1"/>
  <c r="L54" i="1"/>
  <c r="J55" i="1"/>
  <c r="K55" i="1"/>
  <c r="L55" i="1"/>
  <c r="J56" i="1"/>
  <c r="K56" i="1"/>
  <c r="L56" i="1"/>
  <c r="J57" i="1"/>
  <c r="K57" i="1"/>
  <c r="L57" i="1"/>
  <c r="J58" i="1"/>
  <c r="K58" i="1"/>
  <c r="L58" i="1"/>
  <c r="J59" i="1"/>
  <c r="K59" i="1"/>
  <c r="L59" i="1"/>
  <c r="J60" i="1"/>
  <c r="K60" i="1"/>
  <c r="L60" i="1"/>
  <c r="J61" i="1"/>
  <c r="K61" i="1"/>
  <c r="L61" i="1"/>
  <c r="J62" i="1"/>
  <c r="K62" i="1"/>
  <c r="L62" i="1"/>
  <c r="J63" i="1"/>
  <c r="K63" i="1"/>
  <c r="L63" i="1"/>
  <c r="J64" i="1"/>
  <c r="K64" i="1"/>
  <c r="L64" i="1"/>
  <c r="J65" i="1"/>
  <c r="K65" i="1"/>
  <c r="L65" i="1"/>
  <c r="J66" i="1"/>
  <c r="K66" i="1"/>
  <c r="L66" i="1"/>
  <c r="J67" i="1"/>
  <c r="K67" i="1"/>
  <c r="L67" i="1"/>
  <c r="J68" i="1"/>
  <c r="K68" i="1"/>
  <c r="L68" i="1"/>
  <c r="J69" i="1"/>
  <c r="K69" i="1"/>
  <c r="L69" i="1"/>
  <c r="J70" i="1"/>
  <c r="K70" i="1"/>
  <c r="L70" i="1"/>
  <c r="J71" i="1"/>
  <c r="K71" i="1"/>
  <c r="L71" i="1"/>
  <c r="J72" i="1"/>
  <c r="K72" i="1"/>
  <c r="L72" i="1"/>
  <c r="J73" i="1"/>
  <c r="K73" i="1"/>
  <c r="L73" i="1"/>
  <c r="J74" i="1"/>
  <c r="K74" i="1"/>
  <c r="L74" i="1"/>
  <c r="J75" i="1"/>
  <c r="K75" i="1"/>
  <c r="L75" i="1"/>
  <c r="J76" i="1"/>
  <c r="K76" i="1"/>
  <c r="L76" i="1"/>
  <c r="J77" i="1"/>
  <c r="K77" i="1"/>
  <c r="L77" i="1"/>
  <c r="J78" i="1"/>
  <c r="K78" i="1"/>
  <c r="L78" i="1"/>
  <c r="J79" i="1"/>
  <c r="Q15" i="121" s="1"/>
  <c r="K79" i="1"/>
  <c r="L79" i="1"/>
  <c r="J80" i="1"/>
  <c r="K80" i="1"/>
  <c r="L80" i="1"/>
  <c r="J81" i="1"/>
  <c r="K81" i="1"/>
  <c r="L81" i="1"/>
  <c r="J82" i="1"/>
  <c r="K82" i="1"/>
  <c r="L82" i="1"/>
  <c r="J83" i="1"/>
  <c r="K83" i="1"/>
  <c r="L83" i="1"/>
  <c r="J84" i="1"/>
  <c r="K84" i="1"/>
  <c r="L84" i="1"/>
  <c r="J85" i="1"/>
  <c r="K85" i="1"/>
  <c r="L85" i="1"/>
  <c r="J86" i="1"/>
  <c r="K86" i="1"/>
  <c r="L86" i="1"/>
  <c r="J87" i="1"/>
  <c r="K87" i="1"/>
  <c r="L87" i="1"/>
  <c r="J88" i="1"/>
  <c r="K88" i="1"/>
  <c r="L88" i="1"/>
  <c r="J89" i="1"/>
  <c r="K89" i="1"/>
  <c r="L89" i="1"/>
  <c r="J90" i="1"/>
  <c r="K90" i="1"/>
  <c r="L90" i="1"/>
  <c r="J91" i="1"/>
  <c r="K91" i="1"/>
  <c r="L91" i="1"/>
  <c r="J92" i="1"/>
  <c r="K92" i="1"/>
  <c r="L92" i="1"/>
  <c r="J93" i="1"/>
  <c r="K93" i="1"/>
  <c r="L93" i="1"/>
  <c r="J94" i="1"/>
  <c r="K94" i="1"/>
  <c r="L94" i="1"/>
  <c r="J95" i="1"/>
  <c r="K95" i="1"/>
  <c r="L95" i="1"/>
  <c r="J96" i="1"/>
  <c r="K96" i="1"/>
  <c r="L96" i="1"/>
  <c r="J97" i="1"/>
  <c r="K97" i="1"/>
  <c r="L97" i="1"/>
  <c r="J98" i="1"/>
  <c r="K98" i="1"/>
  <c r="L98" i="1"/>
  <c r="J99" i="1"/>
  <c r="K99" i="1"/>
  <c r="L99" i="1"/>
  <c r="J100" i="1"/>
  <c r="K100" i="1"/>
  <c r="L100" i="1"/>
  <c r="J101" i="1"/>
  <c r="K101" i="1"/>
  <c r="L101" i="1"/>
  <c r="J102" i="1"/>
  <c r="K102" i="1"/>
  <c r="L102" i="1"/>
  <c r="J103" i="1"/>
  <c r="K103" i="1"/>
  <c r="L103" i="1"/>
  <c r="J104" i="1"/>
  <c r="K104" i="1"/>
  <c r="L104" i="1"/>
  <c r="J105" i="1"/>
  <c r="K105" i="1"/>
  <c r="L105" i="1"/>
  <c r="J107" i="1"/>
  <c r="K107" i="1"/>
  <c r="L107" i="1"/>
  <c r="J108" i="1"/>
  <c r="K108" i="1"/>
  <c r="L108" i="1"/>
  <c r="J109" i="1"/>
  <c r="K109" i="1"/>
  <c r="L109" i="1"/>
  <c r="J110" i="1"/>
  <c r="K110" i="1"/>
  <c r="L110" i="1"/>
  <c r="J111" i="1"/>
  <c r="K111" i="1"/>
  <c r="L111" i="1"/>
  <c r="J112" i="1"/>
  <c r="K112" i="1"/>
  <c r="L112" i="1"/>
  <c r="J113" i="1"/>
  <c r="K113" i="1"/>
  <c r="L113" i="1"/>
  <c r="J114" i="1"/>
  <c r="K114" i="1"/>
  <c r="L114" i="1"/>
  <c r="J115" i="1"/>
  <c r="K115" i="1"/>
  <c r="L115" i="1"/>
  <c r="J116" i="1"/>
  <c r="K116" i="1"/>
  <c r="L116" i="1"/>
  <c r="J117" i="1"/>
  <c r="K117" i="1"/>
  <c r="L117" i="1"/>
  <c r="J118" i="1"/>
  <c r="K118" i="1"/>
  <c r="L118" i="1"/>
  <c r="J119" i="1"/>
  <c r="K119" i="1"/>
  <c r="L119" i="1"/>
  <c r="J120" i="1"/>
  <c r="K120" i="1"/>
  <c r="L120" i="1"/>
  <c r="J121" i="1"/>
  <c r="K121" i="1"/>
  <c r="L121" i="1"/>
  <c r="J122" i="1"/>
  <c r="K122" i="1"/>
  <c r="L122" i="1"/>
  <c r="J123" i="1"/>
  <c r="K123" i="1"/>
  <c r="L123" i="1"/>
  <c r="J124" i="1"/>
  <c r="K124" i="1"/>
  <c r="L124" i="1"/>
  <c r="J125" i="1"/>
  <c r="K125" i="1"/>
  <c r="L125" i="1"/>
  <c r="J126" i="1"/>
  <c r="K126" i="1"/>
  <c r="L126" i="1"/>
  <c r="J127" i="1"/>
  <c r="K127" i="1"/>
  <c r="L127" i="1"/>
  <c r="J128" i="1"/>
  <c r="K128" i="1"/>
  <c r="L128" i="1"/>
  <c r="J129" i="1"/>
  <c r="K129" i="1"/>
  <c r="L129" i="1"/>
  <c r="J130" i="1"/>
  <c r="K130" i="1"/>
  <c r="L130" i="1"/>
  <c r="J131" i="1"/>
  <c r="K131" i="1"/>
  <c r="L131" i="1"/>
  <c r="J132" i="1"/>
  <c r="K132" i="1"/>
  <c r="L132" i="1"/>
  <c r="J133" i="1"/>
  <c r="K133" i="1"/>
  <c r="L133" i="1"/>
  <c r="J134" i="1"/>
  <c r="K134" i="1"/>
  <c r="L134" i="1"/>
  <c r="J135" i="1"/>
  <c r="K135" i="1"/>
  <c r="L135" i="1"/>
  <c r="J136" i="1"/>
  <c r="K136" i="1"/>
  <c r="L136" i="1"/>
  <c r="J137" i="1"/>
  <c r="K137" i="1"/>
  <c r="L137" i="1"/>
  <c r="J138" i="1"/>
  <c r="K138" i="1"/>
  <c r="L138" i="1"/>
  <c r="J139" i="1"/>
  <c r="K139" i="1"/>
  <c r="L139" i="1"/>
  <c r="J140" i="1"/>
  <c r="K140" i="1"/>
  <c r="L140" i="1"/>
  <c r="J141" i="1"/>
  <c r="K141" i="1"/>
  <c r="L141" i="1"/>
  <c r="J142" i="1"/>
  <c r="K142" i="1"/>
  <c r="L142" i="1"/>
  <c r="J143" i="1"/>
  <c r="K143" i="1"/>
  <c r="L143" i="1"/>
  <c r="J144" i="1"/>
  <c r="K144" i="1"/>
  <c r="L144" i="1"/>
  <c r="J145" i="1"/>
  <c r="K145" i="1"/>
  <c r="L145" i="1"/>
  <c r="J146" i="1"/>
  <c r="K146" i="1"/>
  <c r="L146" i="1"/>
  <c r="J147" i="1"/>
  <c r="K147" i="1"/>
  <c r="L147" i="1"/>
  <c r="J148" i="1"/>
  <c r="K148" i="1"/>
  <c r="L148" i="1"/>
  <c r="J149" i="1"/>
  <c r="K149" i="1"/>
  <c r="L149" i="1"/>
  <c r="J150" i="1"/>
  <c r="K150" i="1"/>
  <c r="L150" i="1"/>
  <c r="J151" i="1"/>
  <c r="K151" i="1"/>
  <c r="L151" i="1"/>
  <c r="J152" i="1"/>
  <c r="K152" i="1"/>
  <c r="L152" i="1"/>
  <c r="J153" i="1"/>
  <c r="K153" i="1"/>
  <c r="L153" i="1"/>
  <c r="J154" i="1"/>
  <c r="K154" i="1"/>
  <c r="L154" i="1"/>
  <c r="J155" i="1"/>
  <c r="K155" i="1"/>
  <c r="L155" i="1"/>
  <c r="J156" i="1"/>
  <c r="K156" i="1"/>
  <c r="L156" i="1"/>
  <c r="J157" i="1"/>
  <c r="K157" i="1"/>
  <c r="L157" i="1"/>
  <c r="J158" i="1"/>
  <c r="K158" i="1"/>
  <c r="L158" i="1"/>
  <c r="J159" i="1"/>
  <c r="K159" i="1"/>
  <c r="L159" i="1"/>
  <c r="J160" i="1"/>
  <c r="K160" i="1"/>
  <c r="L160" i="1"/>
  <c r="J161" i="1"/>
  <c r="K161" i="1"/>
  <c r="L161" i="1"/>
  <c r="J162" i="1"/>
  <c r="K162" i="1"/>
  <c r="L162" i="1"/>
  <c r="J163" i="1"/>
  <c r="K163" i="1"/>
  <c r="L163" i="1"/>
  <c r="J164" i="1"/>
  <c r="K164" i="1"/>
  <c r="L164" i="1"/>
  <c r="J165" i="1"/>
  <c r="K165" i="1"/>
  <c r="L165" i="1"/>
  <c r="J166" i="1"/>
  <c r="K166" i="1"/>
  <c r="L166" i="1"/>
  <c r="J167" i="1"/>
  <c r="K167" i="1"/>
  <c r="L167" i="1"/>
  <c r="J168" i="1"/>
  <c r="K168" i="1"/>
  <c r="L168" i="1"/>
  <c r="J169" i="1"/>
  <c r="K169" i="1"/>
  <c r="L169" i="1"/>
  <c r="J170" i="1"/>
  <c r="K170" i="1"/>
  <c r="L170" i="1"/>
  <c r="J171" i="1"/>
  <c r="K171" i="1"/>
  <c r="L171" i="1"/>
  <c r="J172" i="1"/>
  <c r="K172" i="1"/>
  <c r="L172" i="1"/>
  <c r="J173" i="1"/>
  <c r="K173" i="1"/>
  <c r="L173" i="1"/>
  <c r="J174" i="1"/>
  <c r="K174" i="1"/>
  <c r="L174" i="1"/>
  <c r="J175" i="1"/>
  <c r="K175" i="1"/>
  <c r="L175" i="1"/>
  <c r="J176" i="1"/>
  <c r="K176" i="1"/>
  <c r="L176" i="1"/>
  <c r="J177" i="1"/>
  <c r="K177" i="1"/>
  <c r="L177" i="1"/>
  <c r="J178" i="1"/>
  <c r="K178" i="1"/>
  <c r="L178" i="1"/>
  <c r="J179" i="1"/>
  <c r="K179" i="1"/>
  <c r="L179" i="1"/>
  <c r="J180" i="1"/>
  <c r="K180" i="1"/>
  <c r="L180" i="1"/>
  <c r="J181" i="1"/>
  <c r="K181" i="1"/>
  <c r="L181" i="1"/>
  <c r="J182" i="1"/>
  <c r="K182" i="1"/>
  <c r="L182" i="1"/>
  <c r="J183" i="1"/>
  <c r="K183" i="1"/>
  <c r="L183" i="1"/>
  <c r="J184" i="1"/>
  <c r="K184" i="1"/>
  <c r="L184" i="1"/>
  <c r="J185" i="1"/>
  <c r="K185" i="1"/>
  <c r="L185" i="1"/>
  <c r="J186" i="1"/>
  <c r="K186" i="1"/>
  <c r="L186" i="1"/>
  <c r="J187" i="1"/>
  <c r="K187" i="1"/>
  <c r="L187" i="1"/>
  <c r="J188" i="1"/>
  <c r="K188" i="1"/>
  <c r="L188" i="1"/>
  <c r="J189" i="1"/>
  <c r="K189" i="1"/>
  <c r="L189" i="1"/>
  <c r="J190" i="1"/>
  <c r="K190" i="1"/>
  <c r="L190" i="1"/>
  <c r="J191" i="1"/>
  <c r="K191" i="1"/>
  <c r="L191" i="1"/>
  <c r="J192" i="1"/>
  <c r="K192" i="1"/>
  <c r="L192" i="1"/>
  <c r="J193" i="1"/>
  <c r="K193" i="1"/>
  <c r="L193" i="1"/>
  <c r="J194" i="1"/>
  <c r="K194" i="1"/>
  <c r="L194" i="1"/>
  <c r="J195" i="1"/>
  <c r="K195" i="1"/>
  <c r="L195" i="1"/>
  <c r="J196" i="1"/>
  <c r="Q20" i="121" s="1"/>
  <c r="K196" i="1"/>
  <c r="L196" i="1"/>
  <c r="J197" i="1"/>
  <c r="K197" i="1"/>
  <c r="L197" i="1"/>
  <c r="J198" i="1"/>
  <c r="K198" i="1"/>
  <c r="L198" i="1"/>
  <c r="J199" i="1"/>
  <c r="K199" i="1"/>
  <c r="L199" i="1"/>
  <c r="J200" i="1"/>
  <c r="K200" i="1"/>
  <c r="L200" i="1"/>
  <c r="J201" i="1"/>
  <c r="K201" i="1"/>
  <c r="L201" i="1"/>
  <c r="J202" i="1"/>
  <c r="K202" i="1"/>
  <c r="L202" i="1"/>
  <c r="J203" i="1"/>
  <c r="K203" i="1"/>
  <c r="L203" i="1"/>
  <c r="J204" i="1"/>
  <c r="K204" i="1"/>
  <c r="L204" i="1"/>
  <c r="J205" i="1"/>
  <c r="K205" i="1"/>
  <c r="L205" i="1"/>
  <c r="J206" i="1"/>
  <c r="K206" i="1"/>
  <c r="L206" i="1"/>
  <c r="J207" i="1"/>
  <c r="K207" i="1"/>
  <c r="L207" i="1"/>
  <c r="J208" i="1"/>
  <c r="K208" i="1"/>
  <c r="L208" i="1"/>
  <c r="J209" i="1"/>
  <c r="K209" i="1"/>
  <c r="L209" i="1"/>
  <c r="J210" i="1"/>
  <c r="K210" i="1"/>
  <c r="L210" i="1"/>
  <c r="J211" i="1"/>
  <c r="K211" i="1"/>
  <c r="L211" i="1"/>
  <c r="J212" i="1"/>
  <c r="K212" i="1"/>
  <c r="L212" i="1"/>
  <c r="J213" i="1"/>
  <c r="K213" i="1"/>
  <c r="L213" i="1"/>
  <c r="J214" i="1"/>
  <c r="K214" i="1"/>
  <c r="L214" i="1"/>
  <c r="J215" i="1"/>
  <c r="K215" i="1"/>
  <c r="L215" i="1"/>
  <c r="J216" i="1"/>
  <c r="K216" i="1"/>
  <c r="L216" i="1"/>
  <c r="J217" i="1"/>
  <c r="K217" i="1"/>
  <c r="L217" i="1"/>
  <c r="J218" i="1"/>
  <c r="K218" i="1"/>
  <c r="L218" i="1"/>
  <c r="J219" i="1"/>
  <c r="K219" i="1"/>
  <c r="L219" i="1"/>
  <c r="J220" i="1"/>
  <c r="K220" i="1"/>
  <c r="L220" i="1"/>
  <c r="J221" i="1"/>
  <c r="K221" i="1"/>
  <c r="L221" i="1"/>
  <c r="J222" i="1"/>
  <c r="K222" i="1"/>
  <c r="L222" i="1"/>
  <c r="J223" i="1"/>
  <c r="K223" i="1"/>
  <c r="L223" i="1"/>
  <c r="J224" i="1"/>
  <c r="K224" i="1"/>
  <c r="L224" i="1"/>
  <c r="J225" i="1"/>
  <c r="K225" i="1"/>
  <c r="L225" i="1"/>
  <c r="J226" i="1"/>
  <c r="K226" i="1"/>
  <c r="L226" i="1"/>
  <c r="J227" i="1"/>
  <c r="K227" i="1"/>
  <c r="L227" i="1"/>
  <c r="J228" i="1"/>
  <c r="K228" i="1"/>
  <c r="L228" i="1"/>
  <c r="J229" i="1"/>
  <c r="K229" i="1"/>
  <c r="L229" i="1"/>
  <c r="J230" i="1"/>
  <c r="K230" i="1"/>
  <c r="L230" i="1"/>
  <c r="J231" i="1"/>
  <c r="K231" i="1"/>
  <c r="L231" i="1"/>
  <c r="J232" i="1"/>
  <c r="K232" i="1"/>
  <c r="L232" i="1"/>
  <c r="J233" i="1"/>
  <c r="K233" i="1"/>
  <c r="L233" i="1"/>
  <c r="J234" i="1"/>
  <c r="K234" i="1"/>
  <c r="L234" i="1"/>
  <c r="J235" i="1"/>
  <c r="K235" i="1"/>
  <c r="L235" i="1"/>
  <c r="J236" i="1"/>
  <c r="K236" i="1"/>
  <c r="L236" i="1"/>
  <c r="J237" i="1"/>
  <c r="K237" i="1"/>
  <c r="L237" i="1"/>
  <c r="J238" i="1"/>
  <c r="K238" i="1"/>
  <c r="L238" i="1"/>
  <c r="J239" i="1"/>
  <c r="K239" i="1"/>
  <c r="L239" i="1"/>
  <c r="J240" i="1"/>
  <c r="K240" i="1"/>
  <c r="L240" i="1"/>
  <c r="J241" i="1"/>
  <c r="K241" i="1"/>
  <c r="L241" i="1"/>
  <c r="J242" i="1"/>
  <c r="K242" i="1"/>
  <c r="L242" i="1"/>
  <c r="J243" i="1"/>
  <c r="K243" i="1"/>
  <c r="L243" i="1"/>
  <c r="J244" i="1"/>
  <c r="K244" i="1"/>
  <c r="L244" i="1"/>
  <c r="J245" i="1"/>
  <c r="K245" i="1"/>
  <c r="L245" i="1"/>
  <c r="J246" i="1"/>
  <c r="K246" i="1"/>
  <c r="L246" i="1"/>
  <c r="J247" i="1"/>
  <c r="K247" i="1"/>
  <c r="L247" i="1"/>
  <c r="J248" i="1"/>
  <c r="K248" i="1"/>
  <c r="L248" i="1"/>
  <c r="J249" i="1"/>
  <c r="K249" i="1"/>
  <c r="L249" i="1"/>
  <c r="J250" i="1"/>
  <c r="K250" i="1"/>
  <c r="L250" i="1"/>
  <c r="J251" i="1"/>
  <c r="K251" i="1"/>
  <c r="L251" i="1"/>
  <c r="J252" i="1"/>
  <c r="K252" i="1"/>
  <c r="L252" i="1"/>
  <c r="J253" i="1"/>
  <c r="K253" i="1"/>
  <c r="L253" i="1"/>
  <c r="J254" i="1"/>
  <c r="K254" i="1"/>
  <c r="L254" i="1"/>
  <c r="J255" i="1"/>
  <c r="K255" i="1"/>
  <c r="L255" i="1"/>
  <c r="J256" i="1"/>
  <c r="K256" i="1"/>
  <c r="L256" i="1"/>
  <c r="J257" i="1"/>
  <c r="K257" i="1"/>
  <c r="L257" i="1"/>
  <c r="J258" i="1"/>
  <c r="K258" i="1"/>
  <c r="L258" i="1"/>
  <c r="J259" i="1"/>
  <c r="K259" i="1"/>
  <c r="L259" i="1"/>
  <c r="J260" i="1"/>
  <c r="K260" i="1"/>
  <c r="L260" i="1"/>
  <c r="J261" i="1"/>
  <c r="K261" i="1"/>
  <c r="L261" i="1"/>
  <c r="J262" i="1"/>
  <c r="K262" i="1"/>
  <c r="L262" i="1"/>
  <c r="J263" i="1"/>
  <c r="K263" i="1"/>
  <c r="L263" i="1"/>
  <c r="J264" i="1"/>
  <c r="K264" i="1"/>
  <c r="L264" i="1"/>
  <c r="J265" i="1"/>
  <c r="K265" i="1"/>
  <c r="L265" i="1"/>
  <c r="J266" i="1"/>
  <c r="K266" i="1"/>
  <c r="L266" i="1"/>
  <c r="J267" i="1"/>
  <c r="K267" i="1"/>
  <c r="L267" i="1"/>
  <c r="J268" i="1"/>
  <c r="K268" i="1"/>
  <c r="L268" i="1"/>
  <c r="J269" i="1"/>
  <c r="K269" i="1"/>
  <c r="L269" i="1"/>
  <c r="J270" i="1"/>
  <c r="K270" i="1"/>
  <c r="L270" i="1"/>
  <c r="J271" i="1"/>
  <c r="K271" i="1"/>
  <c r="L271" i="1"/>
  <c r="J272" i="1"/>
  <c r="K272" i="1"/>
  <c r="L272" i="1"/>
  <c r="J273" i="1"/>
  <c r="K273" i="1"/>
  <c r="L273" i="1"/>
  <c r="J274" i="1"/>
  <c r="K274" i="1"/>
  <c r="L274" i="1"/>
  <c r="J275" i="1"/>
  <c r="K275" i="1"/>
  <c r="L275" i="1"/>
  <c r="J276" i="1"/>
  <c r="K276" i="1"/>
  <c r="L276" i="1"/>
  <c r="J277" i="1"/>
  <c r="K277" i="1"/>
  <c r="L277" i="1"/>
  <c r="J278" i="1"/>
  <c r="K278" i="1"/>
  <c r="L278" i="1"/>
  <c r="J279" i="1"/>
  <c r="K279" i="1"/>
  <c r="L279" i="1"/>
  <c r="J280" i="1"/>
  <c r="K280" i="1"/>
  <c r="L280" i="1"/>
  <c r="J281" i="1"/>
  <c r="K281" i="1"/>
  <c r="L281" i="1"/>
  <c r="J282" i="1"/>
  <c r="K282" i="1"/>
  <c r="L282" i="1"/>
  <c r="J283" i="1"/>
  <c r="K283" i="1"/>
  <c r="L283" i="1"/>
  <c r="J284" i="1"/>
  <c r="K284" i="1"/>
  <c r="L284" i="1"/>
  <c r="J285" i="1"/>
  <c r="K285" i="1"/>
  <c r="L285" i="1"/>
  <c r="J286" i="1"/>
  <c r="K286" i="1"/>
  <c r="L286" i="1"/>
  <c r="J287" i="1"/>
  <c r="K287" i="1"/>
  <c r="L287" i="1"/>
  <c r="J288" i="1"/>
  <c r="K288" i="1"/>
  <c r="L288" i="1"/>
  <c r="J289" i="1"/>
  <c r="K289" i="1"/>
  <c r="L289" i="1"/>
  <c r="J290" i="1"/>
  <c r="K290" i="1"/>
  <c r="L290" i="1"/>
  <c r="J291" i="1"/>
  <c r="K291" i="1"/>
  <c r="L291" i="1"/>
  <c r="J292" i="1"/>
  <c r="K292" i="1"/>
  <c r="L292" i="1"/>
  <c r="J293" i="1"/>
  <c r="K293" i="1"/>
  <c r="L293" i="1"/>
  <c r="J294" i="1"/>
  <c r="K294" i="1"/>
  <c r="L294" i="1"/>
  <c r="J295" i="1"/>
  <c r="K295" i="1"/>
  <c r="L295" i="1"/>
  <c r="J296" i="1"/>
  <c r="K296" i="1"/>
  <c r="L296" i="1"/>
  <c r="J297" i="1"/>
  <c r="K297" i="1"/>
  <c r="L297" i="1"/>
  <c r="J298" i="1"/>
  <c r="K298" i="1"/>
  <c r="L298" i="1"/>
  <c r="J299" i="1"/>
  <c r="K299" i="1"/>
  <c r="L299" i="1"/>
  <c r="J300" i="1"/>
  <c r="K300" i="1"/>
  <c r="L300" i="1"/>
  <c r="J301" i="1"/>
  <c r="K301" i="1"/>
  <c r="L301" i="1"/>
  <c r="J302" i="1"/>
  <c r="K302" i="1"/>
  <c r="L302" i="1"/>
  <c r="J303" i="1"/>
  <c r="K303" i="1"/>
  <c r="L303" i="1"/>
  <c r="J304" i="1"/>
  <c r="K304" i="1"/>
  <c r="L304" i="1"/>
  <c r="J305" i="1"/>
  <c r="K305" i="1"/>
  <c r="L305" i="1"/>
  <c r="J306" i="1"/>
  <c r="K306" i="1"/>
  <c r="L306" i="1"/>
  <c r="J307" i="1"/>
  <c r="K307" i="1"/>
  <c r="L307" i="1"/>
  <c r="J308" i="1"/>
  <c r="K308" i="1"/>
  <c r="L308" i="1"/>
  <c r="J309" i="1"/>
  <c r="K309" i="1"/>
  <c r="L309" i="1"/>
  <c r="J310" i="1"/>
  <c r="Q24" i="121" s="1"/>
  <c r="K310" i="1"/>
  <c r="L310" i="1"/>
  <c r="J311" i="1"/>
  <c r="K311" i="1"/>
  <c r="L311" i="1"/>
  <c r="J312" i="1"/>
  <c r="K312" i="1"/>
  <c r="L312" i="1"/>
  <c r="J313" i="1"/>
  <c r="K313" i="1"/>
  <c r="L313" i="1"/>
  <c r="J314" i="1"/>
  <c r="K314" i="1"/>
  <c r="L314" i="1"/>
  <c r="J315" i="1"/>
  <c r="K315" i="1"/>
  <c r="L315" i="1"/>
  <c r="J316" i="1"/>
  <c r="K316" i="1"/>
  <c r="L316" i="1"/>
  <c r="J317" i="1"/>
  <c r="K317" i="1"/>
  <c r="L317" i="1"/>
  <c r="J318" i="1"/>
  <c r="K318" i="1"/>
  <c r="L318" i="1"/>
  <c r="J319" i="1"/>
  <c r="K319" i="1"/>
  <c r="L319" i="1"/>
  <c r="J320" i="1"/>
  <c r="K320" i="1"/>
  <c r="L320" i="1"/>
  <c r="J321" i="1"/>
  <c r="K321" i="1"/>
  <c r="L321" i="1"/>
  <c r="J322" i="1"/>
  <c r="K322" i="1"/>
  <c r="L322" i="1"/>
  <c r="J323" i="1"/>
  <c r="K323" i="1"/>
  <c r="L323" i="1"/>
  <c r="J324" i="1"/>
  <c r="K324" i="1"/>
  <c r="L324" i="1"/>
  <c r="J325" i="1"/>
  <c r="K325" i="1"/>
  <c r="L325" i="1"/>
  <c r="J326" i="1"/>
  <c r="K326" i="1"/>
  <c r="L326" i="1"/>
  <c r="J327" i="1"/>
  <c r="K327" i="1"/>
  <c r="L327" i="1"/>
  <c r="J328" i="1"/>
  <c r="K328" i="1"/>
  <c r="L328" i="1"/>
  <c r="J329" i="1"/>
  <c r="K329" i="1"/>
  <c r="L329" i="1"/>
  <c r="J330" i="1"/>
  <c r="K330" i="1"/>
  <c r="L330" i="1"/>
  <c r="J331" i="1"/>
  <c r="K331" i="1"/>
  <c r="L331" i="1"/>
  <c r="J332" i="1"/>
  <c r="K332" i="1"/>
  <c r="L332" i="1"/>
  <c r="J333" i="1"/>
  <c r="K333" i="1"/>
  <c r="L333" i="1"/>
  <c r="J334" i="1"/>
  <c r="K334" i="1"/>
  <c r="L334" i="1"/>
  <c r="J335" i="1"/>
  <c r="K335" i="1"/>
  <c r="L335" i="1"/>
  <c r="J336" i="1"/>
  <c r="K336" i="1"/>
  <c r="L336" i="1"/>
  <c r="J337" i="1"/>
  <c r="K337" i="1"/>
  <c r="L337" i="1"/>
  <c r="J338" i="1"/>
  <c r="K338" i="1"/>
  <c r="L338" i="1"/>
  <c r="J339" i="1"/>
  <c r="K339" i="1"/>
  <c r="L339" i="1"/>
  <c r="J340" i="1"/>
  <c r="K340" i="1"/>
  <c r="L340" i="1"/>
  <c r="J341" i="1"/>
  <c r="K341" i="1"/>
  <c r="L341" i="1"/>
  <c r="J342" i="1"/>
  <c r="K342" i="1"/>
  <c r="L342" i="1"/>
  <c r="J343" i="1"/>
  <c r="K343" i="1"/>
  <c r="L343" i="1"/>
  <c r="J344" i="1"/>
  <c r="K344" i="1"/>
  <c r="L344" i="1"/>
  <c r="J345" i="1"/>
  <c r="K345" i="1"/>
  <c r="L345" i="1"/>
  <c r="J346" i="1"/>
  <c r="K346" i="1"/>
  <c r="L346" i="1"/>
  <c r="J347" i="1"/>
  <c r="K347" i="1"/>
  <c r="L347" i="1"/>
  <c r="J348" i="1"/>
  <c r="K348" i="1"/>
  <c r="L348" i="1"/>
  <c r="J349" i="1"/>
  <c r="K349" i="1"/>
  <c r="L349" i="1"/>
  <c r="J350" i="1"/>
  <c r="K350" i="1"/>
  <c r="L350" i="1"/>
  <c r="J351" i="1"/>
  <c r="K351" i="1"/>
  <c r="L351" i="1"/>
  <c r="J352" i="1"/>
  <c r="K352" i="1"/>
  <c r="L352" i="1"/>
  <c r="J353" i="1"/>
  <c r="K353" i="1"/>
  <c r="L353" i="1"/>
  <c r="J354" i="1"/>
  <c r="K354" i="1"/>
  <c r="L354" i="1"/>
  <c r="J355" i="1"/>
  <c r="K355" i="1"/>
  <c r="L355" i="1"/>
  <c r="J356" i="1"/>
  <c r="K356" i="1"/>
  <c r="L356" i="1"/>
  <c r="J357" i="1"/>
  <c r="K357" i="1"/>
  <c r="L357" i="1"/>
  <c r="J358" i="1"/>
  <c r="K358" i="1"/>
  <c r="L358" i="1"/>
  <c r="J359" i="1"/>
  <c r="K359" i="1"/>
  <c r="L359" i="1"/>
  <c r="J360" i="1"/>
  <c r="K360" i="1"/>
  <c r="L360" i="1"/>
  <c r="J362" i="1"/>
  <c r="K362" i="1"/>
  <c r="L362" i="1"/>
  <c r="J363" i="1"/>
  <c r="K363" i="1"/>
  <c r="L363" i="1"/>
  <c r="J366" i="1"/>
  <c r="K366" i="1"/>
  <c r="L366" i="1"/>
  <c r="J367" i="1"/>
  <c r="K367" i="1"/>
  <c r="L367" i="1"/>
  <c r="J368" i="1"/>
  <c r="K368" i="1"/>
  <c r="L368" i="1"/>
  <c r="J369" i="1"/>
  <c r="K369" i="1"/>
  <c r="L369" i="1"/>
  <c r="J370" i="1"/>
  <c r="K370" i="1"/>
  <c r="L370" i="1"/>
  <c r="J371" i="1"/>
  <c r="K371" i="1"/>
  <c r="L371" i="1"/>
  <c r="J372" i="1"/>
  <c r="K372" i="1"/>
  <c r="L372" i="1"/>
  <c r="J373" i="1"/>
  <c r="K373" i="1"/>
  <c r="L373" i="1"/>
  <c r="J374" i="1"/>
  <c r="K374" i="1"/>
  <c r="L374" i="1"/>
  <c r="J375" i="1"/>
  <c r="K375" i="1"/>
  <c r="L375" i="1"/>
  <c r="J376" i="1"/>
  <c r="K376" i="1"/>
  <c r="L376" i="1"/>
  <c r="J377" i="1"/>
  <c r="K377" i="1"/>
  <c r="L377" i="1"/>
  <c r="J378" i="1"/>
  <c r="K378" i="1"/>
  <c r="L378" i="1"/>
  <c r="J379" i="1"/>
  <c r="K379" i="1"/>
  <c r="L379" i="1"/>
  <c r="J380" i="1"/>
  <c r="K380" i="1"/>
  <c r="L380" i="1"/>
  <c r="J381" i="1"/>
  <c r="K381" i="1"/>
  <c r="L381" i="1"/>
  <c r="J382" i="1"/>
  <c r="K382" i="1"/>
  <c r="L382" i="1"/>
  <c r="J383" i="1"/>
  <c r="K383" i="1"/>
  <c r="L383" i="1"/>
  <c r="J384" i="1"/>
  <c r="K384" i="1"/>
  <c r="L384" i="1"/>
  <c r="J385" i="1"/>
  <c r="K385" i="1"/>
  <c r="L385" i="1"/>
  <c r="J386" i="1"/>
  <c r="K386" i="1"/>
  <c r="L386" i="1"/>
  <c r="J387" i="1"/>
  <c r="K387" i="1"/>
  <c r="L387" i="1"/>
  <c r="J388" i="1"/>
  <c r="K388" i="1"/>
  <c r="L388" i="1"/>
  <c r="J389" i="1"/>
  <c r="K389" i="1"/>
  <c r="L389" i="1"/>
  <c r="J391" i="1"/>
  <c r="K391" i="1"/>
  <c r="L391" i="1"/>
  <c r="J392" i="1"/>
  <c r="K392" i="1"/>
  <c r="L392" i="1"/>
  <c r="J393" i="1"/>
  <c r="K393" i="1"/>
  <c r="L393" i="1"/>
  <c r="J394" i="1"/>
  <c r="K394" i="1"/>
  <c r="L394" i="1"/>
  <c r="J395" i="1"/>
  <c r="K395" i="1"/>
  <c r="L395" i="1"/>
  <c r="J396" i="1"/>
  <c r="K396" i="1"/>
  <c r="L396" i="1"/>
  <c r="J397" i="1"/>
  <c r="K397" i="1"/>
  <c r="L397" i="1"/>
  <c r="J398" i="1"/>
  <c r="K398" i="1"/>
  <c r="L398" i="1"/>
  <c r="J399" i="1"/>
  <c r="K399" i="1"/>
  <c r="L399" i="1"/>
  <c r="J400" i="1"/>
  <c r="K400" i="1"/>
  <c r="L400" i="1"/>
  <c r="J401" i="1"/>
  <c r="K401" i="1"/>
  <c r="L401" i="1"/>
  <c r="J402" i="1"/>
  <c r="K402" i="1"/>
  <c r="L402" i="1"/>
  <c r="J403" i="1"/>
  <c r="K403" i="1"/>
  <c r="L403" i="1"/>
  <c r="J404" i="1"/>
  <c r="K404" i="1"/>
  <c r="L404" i="1"/>
  <c r="J405" i="1"/>
  <c r="K405" i="1"/>
  <c r="L405" i="1"/>
  <c r="J406" i="1"/>
  <c r="K406" i="1"/>
  <c r="L406" i="1"/>
  <c r="J407" i="1"/>
  <c r="K407" i="1"/>
  <c r="L407" i="1"/>
  <c r="J408" i="1"/>
  <c r="K408" i="1"/>
  <c r="L408" i="1"/>
  <c r="J409" i="1"/>
  <c r="K409" i="1"/>
  <c r="L409" i="1"/>
  <c r="J410" i="1"/>
  <c r="K410" i="1"/>
  <c r="L410" i="1"/>
  <c r="J411" i="1"/>
  <c r="K411" i="1"/>
  <c r="L411" i="1"/>
  <c r="J412" i="1"/>
  <c r="K412" i="1"/>
  <c r="L412" i="1"/>
  <c r="J413" i="1"/>
  <c r="K413" i="1"/>
  <c r="L413" i="1"/>
  <c r="J414" i="1"/>
  <c r="K414" i="1"/>
  <c r="L414" i="1"/>
  <c r="J415" i="1"/>
  <c r="K415" i="1"/>
  <c r="L415" i="1"/>
  <c r="J416" i="1"/>
  <c r="K416" i="1"/>
  <c r="L416" i="1"/>
  <c r="J417" i="1"/>
  <c r="K417" i="1"/>
  <c r="L417" i="1"/>
  <c r="J418" i="1"/>
  <c r="K418" i="1"/>
  <c r="L418" i="1"/>
  <c r="J419" i="1"/>
  <c r="K419" i="1"/>
  <c r="L419" i="1"/>
  <c r="J420" i="1"/>
  <c r="K420" i="1"/>
  <c r="L420" i="1"/>
  <c r="J421" i="1"/>
  <c r="K421" i="1"/>
  <c r="L421" i="1"/>
  <c r="J422" i="1"/>
  <c r="K422" i="1"/>
  <c r="L422" i="1"/>
  <c r="J423" i="1"/>
  <c r="K423" i="1"/>
  <c r="L423" i="1"/>
  <c r="J424" i="1"/>
  <c r="K424" i="1"/>
  <c r="L424" i="1"/>
  <c r="J425" i="1"/>
  <c r="K425" i="1"/>
  <c r="L425" i="1"/>
  <c r="J426" i="1"/>
  <c r="K426" i="1"/>
  <c r="L426" i="1"/>
  <c r="J427" i="1"/>
  <c r="K427" i="1"/>
  <c r="L427" i="1"/>
  <c r="J428" i="1"/>
  <c r="K428" i="1"/>
  <c r="L428" i="1"/>
  <c r="J429" i="1"/>
  <c r="K429" i="1"/>
  <c r="L429" i="1"/>
  <c r="J430" i="1"/>
  <c r="K430" i="1"/>
  <c r="L430" i="1"/>
  <c r="J431" i="1"/>
  <c r="K431" i="1"/>
  <c r="L431" i="1"/>
  <c r="J432" i="1"/>
  <c r="K432" i="1"/>
  <c r="L432" i="1"/>
  <c r="J433" i="1"/>
  <c r="K433" i="1"/>
  <c r="L433" i="1"/>
  <c r="J434" i="1"/>
  <c r="K434" i="1"/>
  <c r="L434" i="1"/>
  <c r="J435" i="1"/>
  <c r="K435" i="1"/>
  <c r="L435" i="1"/>
  <c r="J436" i="1"/>
  <c r="K436" i="1"/>
  <c r="L436" i="1"/>
  <c r="J437" i="1"/>
  <c r="K437" i="1"/>
  <c r="L437" i="1"/>
  <c r="J438" i="1"/>
  <c r="K438" i="1"/>
  <c r="L438" i="1"/>
  <c r="J439" i="1"/>
  <c r="K439" i="1"/>
  <c r="L439" i="1"/>
  <c r="J440" i="1"/>
  <c r="K440" i="1"/>
  <c r="L440" i="1"/>
  <c r="J441" i="1"/>
  <c r="K441" i="1"/>
  <c r="L441" i="1"/>
  <c r="J442" i="1"/>
  <c r="K442" i="1"/>
  <c r="L442" i="1"/>
  <c r="J443" i="1"/>
  <c r="K443" i="1"/>
  <c r="L443" i="1"/>
  <c r="J444" i="1"/>
  <c r="K444" i="1"/>
  <c r="L444" i="1"/>
  <c r="J445" i="1"/>
  <c r="K445" i="1"/>
  <c r="L445" i="1"/>
  <c r="J446" i="1"/>
  <c r="K446" i="1"/>
  <c r="L446" i="1"/>
  <c r="J447" i="1"/>
  <c r="K447" i="1"/>
  <c r="L447" i="1"/>
  <c r="J448" i="1"/>
  <c r="K448" i="1"/>
  <c r="L448" i="1"/>
  <c r="J449" i="1"/>
  <c r="K449" i="1"/>
  <c r="L449" i="1"/>
  <c r="J450" i="1"/>
  <c r="K450" i="1"/>
  <c r="L450" i="1"/>
  <c r="J451" i="1"/>
  <c r="K451" i="1"/>
  <c r="L451" i="1"/>
  <c r="J452" i="1"/>
  <c r="K452" i="1"/>
  <c r="L452" i="1"/>
  <c r="J453" i="1"/>
  <c r="K453" i="1"/>
  <c r="L453" i="1"/>
  <c r="J454" i="1"/>
  <c r="K454" i="1"/>
  <c r="L454" i="1"/>
  <c r="J455" i="1"/>
  <c r="K455" i="1"/>
  <c r="L455" i="1"/>
  <c r="J456" i="1"/>
  <c r="K456" i="1"/>
  <c r="L456" i="1"/>
  <c r="J457" i="1"/>
  <c r="K457" i="1"/>
  <c r="L457" i="1"/>
  <c r="J458" i="1"/>
  <c r="K458" i="1"/>
  <c r="L458" i="1"/>
  <c r="J459" i="1"/>
  <c r="K459" i="1"/>
  <c r="L459" i="1"/>
  <c r="J460" i="1"/>
  <c r="K460" i="1"/>
  <c r="L460" i="1"/>
  <c r="J461" i="1"/>
  <c r="K461" i="1"/>
  <c r="L461" i="1"/>
  <c r="J462" i="1"/>
  <c r="K462" i="1"/>
  <c r="L462" i="1"/>
  <c r="J463" i="1"/>
  <c r="K463" i="1"/>
  <c r="L463" i="1"/>
  <c r="J464" i="1"/>
  <c r="K464" i="1"/>
  <c r="L464" i="1"/>
  <c r="J465" i="1"/>
  <c r="K465" i="1"/>
  <c r="L465" i="1"/>
  <c r="J466" i="1"/>
  <c r="K466" i="1"/>
  <c r="L466" i="1"/>
  <c r="J467" i="1"/>
  <c r="K467" i="1"/>
  <c r="L467" i="1"/>
  <c r="J468" i="1"/>
  <c r="K468" i="1"/>
  <c r="L468" i="1"/>
  <c r="J469" i="1"/>
  <c r="K469" i="1"/>
  <c r="L469" i="1"/>
  <c r="J470" i="1"/>
  <c r="K470" i="1"/>
  <c r="L470" i="1"/>
  <c r="J471" i="1"/>
  <c r="K471" i="1"/>
  <c r="L471" i="1"/>
  <c r="J472" i="1"/>
  <c r="K472" i="1"/>
  <c r="L472" i="1"/>
  <c r="J473" i="1"/>
  <c r="K473" i="1"/>
  <c r="L473" i="1"/>
  <c r="J474" i="1"/>
  <c r="K474" i="1"/>
  <c r="L474" i="1"/>
  <c r="J475" i="1"/>
  <c r="K475" i="1"/>
  <c r="L475" i="1"/>
  <c r="J476" i="1"/>
  <c r="K476" i="1"/>
  <c r="L476" i="1"/>
  <c r="J477" i="1"/>
  <c r="K477" i="1"/>
  <c r="L477" i="1"/>
  <c r="J478" i="1"/>
  <c r="K478" i="1"/>
  <c r="L478" i="1"/>
  <c r="J479" i="1"/>
  <c r="K479" i="1"/>
  <c r="L479" i="1"/>
  <c r="J480" i="1"/>
  <c r="K480" i="1"/>
  <c r="L480" i="1"/>
  <c r="J481" i="1"/>
  <c r="K481" i="1"/>
  <c r="L481" i="1"/>
  <c r="J482" i="1"/>
  <c r="K482" i="1"/>
  <c r="L482" i="1"/>
  <c r="J483" i="1"/>
  <c r="K483" i="1"/>
  <c r="L483" i="1"/>
  <c r="J484" i="1"/>
  <c r="K484" i="1"/>
  <c r="L484" i="1"/>
  <c r="J485" i="1"/>
  <c r="K485" i="1"/>
  <c r="L485" i="1"/>
  <c r="J486" i="1"/>
  <c r="K486" i="1"/>
  <c r="L486" i="1"/>
  <c r="J487" i="1"/>
  <c r="K487" i="1"/>
  <c r="L487" i="1"/>
  <c r="J488" i="1"/>
  <c r="K488" i="1"/>
  <c r="L488" i="1"/>
  <c r="J489" i="1"/>
  <c r="K489" i="1"/>
  <c r="L489" i="1"/>
  <c r="J490" i="1"/>
  <c r="K490" i="1"/>
  <c r="L490" i="1"/>
  <c r="J491" i="1"/>
  <c r="K491" i="1"/>
  <c r="L491" i="1"/>
  <c r="J492" i="1"/>
  <c r="K492" i="1"/>
  <c r="L492" i="1"/>
  <c r="J493" i="1"/>
  <c r="K493" i="1"/>
  <c r="L493" i="1"/>
  <c r="J494" i="1"/>
  <c r="K494" i="1"/>
  <c r="L494" i="1"/>
  <c r="J495" i="1"/>
  <c r="K495" i="1"/>
  <c r="L495" i="1"/>
  <c r="J496" i="1"/>
  <c r="K496" i="1"/>
  <c r="L496" i="1"/>
  <c r="J497" i="1"/>
  <c r="K497" i="1"/>
  <c r="L497" i="1"/>
  <c r="J498" i="1"/>
  <c r="K498" i="1"/>
  <c r="L498" i="1"/>
  <c r="J499" i="1"/>
  <c r="K499" i="1"/>
  <c r="L499" i="1"/>
  <c r="J500" i="1"/>
  <c r="K500" i="1"/>
  <c r="L500" i="1"/>
  <c r="J501" i="1"/>
  <c r="K501" i="1"/>
  <c r="L501" i="1"/>
  <c r="J502" i="1"/>
  <c r="K502" i="1"/>
  <c r="L502" i="1"/>
  <c r="J503" i="1"/>
  <c r="K503" i="1"/>
  <c r="L503" i="1"/>
  <c r="J504" i="1"/>
  <c r="K504" i="1"/>
  <c r="L504" i="1"/>
  <c r="J505" i="1"/>
  <c r="K505" i="1"/>
  <c r="L505" i="1"/>
  <c r="J506" i="1"/>
  <c r="K506" i="1"/>
  <c r="L506" i="1"/>
  <c r="J507" i="1"/>
  <c r="K507" i="1"/>
  <c r="L507" i="1"/>
  <c r="J508" i="1"/>
  <c r="K508" i="1"/>
  <c r="L508" i="1"/>
  <c r="J509" i="1"/>
  <c r="K509" i="1"/>
  <c r="L509" i="1"/>
  <c r="J510" i="1"/>
  <c r="K510" i="1"/>
  <c r="L510" i="1"/>
  <c r="J511" i="1"/>
  <c r="K511" i="1"/>
  <c r="L511" i="1"/>
  <c r="J512" i="1"/>
  <c r="K512" i="1"/>
  <c r="L512" i="1"/>
  <c r="J513" i="1"/>
  <c r="K513" i="1"/>
  <c r="L513" i="1"/>
  <c r="J514" i="1"/>
  <c r="K514" i="1"/>
  <c r="L514" i="1"/>
  <c r="J515" i="1"/>
  <c r="K515" i="1"/>
  <c r="L515" i="1"/>
  <c r="J516" i="1"/>
  <c r="K516" i="1"/>
  <c r="L516" i="1"/>
  <c r="J517" i="1"/>
  <c r="K517" i="1"/>
  <c r="L517" i="1"/>
  <c r="J518" i="1"/>
  <c r="K518" i="1"/>
  <c r="L518" i="1"/>
  <c r="J519" i="1"/>
  <c r="K519" i="1"/>
  <c r="L519" i="1"/>
  <c r="J520" i="1"/>
  <c r="K520" i="1"/>
  <c r="L520" i="1"/>
  <c r="J521" i="1"/>
  <c r="K521" i="1"/>
  <c r="L521" i="1"/>
  <c r="J522" i="1"/>
  <c r="K522" i="1"/>
  <c r="L522" i="1"/>
  <c r="J523" i="1"/>
  <c r="K523" i="1"/>
  <c r="L523" i="1"/>
  <c r="J524" i="1"/>
  <c r="K524" i="1"/>
  <c r="L524" i="1"/>
  <c r="J525" i="1"/>
  <c r="K525" i="1"/>
  <c r="L525" i="1"/>
  <c r="J526" i="1"/>
  <c r="K526" i="1"/>
  <c r="L526" i="1"/>
  <c r="J527" i="1"/>
  <c r="K527" i="1"/>
  <c r="L527" i="1"/>
  <c r="J528" i="1"/>
  <c r="K528" i="1"/>
  <c r="L528" i="1"/>
  <c r="J529" i="1"/>
  <c r="K529" i="1"/>
  <c r="L529" i="1"/>
  <c r="J530" i="1"/>
  <c r="K530" i="1"/>
  <c r="L530" i="1"/>
  <c r="J531" i="1"/>
  <c r="K531" i="1"/>
  <c r="L531" i="1"/>
  <c r="J532" i="1"/>
  <c r="K532" i="1"/>
  <c r="L532" i="1"/>
  <c r="J533" i="1"/>
  <c r="K533" i="1"/>
  <c r="L533" i="1"/>
  <c r="J534" i="1"/>
  <c r="K534" i="1"/>
  <c r="L534" i="1"/>
  <c r="J535" i="1"/>
  <c r="K535" i="1"/>
  <c r="L535" i="1"/>
  <c r="J536" i="1"/>
  <c r="K536" i="1"/>
  <c r="L536" i="1"/>
  <c r="J537" i="1"/>
  <c r="K537" i="1"/>
  <c r="L537" i="1"/>
  <c r="J538" i="1"/>
  <c r="K538" i="1"/>
  <c r="L538" i="1"/>
  <c r="J539" i="1"/>
  <c r="K539" i="1"/>
  <c r="L539" i="1"/>
  <c r="J540" i="1"/>
  <c r="K540" i="1"/>
  <c r="L540" i="1"/>
  <c r="J541" i="1"/>
  <c r="K541" i="1"/>
  <c r="L541" i="1"/>
  <c r="J542" i="1"/>
  <c r="K542" i="1"/>
  <c r="L542" i="1"/>
  <c r="J543" i="1"/>
  <c r="K543" i="1"/>
  <c r="L543" i="1"/>
  <c r="J544" i="1"/>
  <c r="K544" i="1"/>
  <c r="L544" i="1"/>
  <c r="J545" i="1"/>
  <c r="K545" i="1"/>
  <c r="L545" i="1"/>
  <c r="J546" i="1"/>
  <c r="K546" i="1"/>
  <c r="L546" i="1"/>
  <c r="J547" i="1"/>
  <c r="K547" i="1"/>
  <c r="L547" i="1"/>
  <c r="J548" i="1"/>
  <c r="K548" i="1"/>
  <c r="L548" i="1"/>
  <c r="J549" i="1"/>
  <c r="K549" i="1"/>
  <c r="L549" i="1"/>
  <c r="J550" i="1"/>
  <c r="K550" i="1"/>
  <c r="L550" i="1"/>
  <c r="J551" i="1"/>
  <c r="K551" i="1"/>
  <c r="L551" i="1"/>
  <c r="J552" i="1"/>
  <c r="K552" i="1"/>
  <c r="L552" i="1"/>
  <c r="J553" i="1"/>
  <c r="K553" i="1"/>
  <c r="L553" i="1"/>
  <c r="J554" i="1"/>
  <c r="K554" i="1"/>
  <c r="L554" i="1"/>
  <c r="J555" i="1"/>
  <c r="K555" i="1"/>
  <c r="L555" i="1"/>
  <c r="J556" i="1"/>
  <c r="K556" i="1"/>
  <c r="L556" i="1"/>
  <c r="J557" i="1"/>
  <c r="K557" i="1"/>
  <c r="L557" i="1"/>
  <c r="J558" i="1"/>
  <c r="K558" i="1"/>
  <c r="L558" i="1"/>
  <c r="J559" i="1"/>
  <c r="K559" i="1"/>
  <c r="L559" i="1"/>
  <c r="J560" i="1"/>
  <c r="K560" i="1"/>
  <c r="L560" i="1"/>
  <c r="J561" i="1"/>
  <c r="K561" i="1"/>
  <c r="L561" i="1"/>
  <c r="J562" i="1"/>
  <c r="K562" i="1"/>
  <c r="L562" i="1"/>
  <c r="J563" i="1"/>
  <c r="K563" i="1"/>
  <c r="L563" i="1"/>
  <c r="J564" i="1"/>
  <c r="K564" i="1"/>
  <c r="L564" i="1"/>
  <c r="J565" i="1"/>
  <c r="K565" i="1"/>
  <c r="L565" i="1"/>
  <c r="J566" i="1"/>
  <c r="K566" i="1"/>
  <c r="L566" i="1"/>
  <c r="J567" i="1"/>
  <c r="K567" i="1"/>
  <c r="L567" i="1"/>
  <c r="J568" i="1"/>
  <c r="K568" i="1"/>
  <c r="L568" i="1"/>
  <c r="J569" i="1"/>
  <c r="K569" i="1"/>
  <c r="L569" i="1"/>
  <c r="J570" i="1"/>
  <c r="K570" i="1"/>
  <c r="L570" i="1"/>
  <c r="J571" i="1"/>
  <c r="K571" i="1"/>
  <c r="L571" i="1"/>
  <c r="J572" i="1"/>
  <c r="K572" i="1"/>
  <c r="L572" i="1"/>
  <c r="J573" i="1"/>
  <c r="K573" i="1"/>
  <c r="L573" i="1"/>
  <c r="J574" i="1"/>
  <c r="K574" i="1"/>
  <c r="L574" i="1"/>
  <c r="J575" i="1"/>
  <c r="K575" i="1"/>
  <c r="L575" i="1"/>
  <c r="J576" i="1"/>
  <c r="K576" i="1"/>
  <c r="L576" i="1"/>
  <c r="J577" i="1"/>
  <c r="K577" i="1"/>
  <c r="L577" i="1"/>
  <c r="J579" i="1"/>
  <c r="K579" i="1"/>
  <c r="L579" i="1"/>
  <c r="J580" i="1"/>
  <c r="K580" i="1"/>
  <c r="L580" i="1"/>
  <c r="J581" i="1"/>
  <c r="K581" i="1"/>
  <c r="L581" i="1"/>
  <c r="J582" i="1"/>
  <c r="K582" i="1"/>
  <c r="L582" i="1"/>
  <c r="J583" i="1"/>
  <c r="K583" i="1"/>
  <c r="L583" i="1"/>
  <c r="J584" i="1"/>
  <c r="K584" i="1"/>
  <c r="L584" i="1"/>
  <c r="J585" i="1"/>
  <c r="K585" i="1"/>
  <c r="L585" i="1"/>
  <c r="J586" i="1"/>
  <c r="K586" i="1"/>
  <c r="L586" i="1"/>
  <c r="J587" i="1"/>
  <c r="K587" i="1"/>
  <c r="L587" i="1"/>
  <c r="J588" i="1"/>
  <c r="K588" i="1"/>
  <c r="L588" i="1"/>
  <c r="J589" i="1"/>
  <c r="K589" i="1"/>
  <c r="L589" i="1"/>
  <c r="J590" i="1"/>
  <c r="K590" i="1"/>
  <c r="L590" i="1"/>
  <c r="J591" i="1"/>
  <c r="K591" i="1"/>
  <c r="L591" i="1"/>
  <c r="J592" i="1"/>
  <c r="K592" i="1"/>
  <c r="L592" i="1"/>
  <c r="J593" i="1"/>
  <c r="K593" i="1"/>
  <c r="L593" i="1"/>
  <c r="J594" i="1"/>
  <c r="K594" i="1"/>
  <c r="L594" i="1"/>
  <c r="J597" i="1"/>
  <c r="K597" i="1"/>
  <c r="L597" i="1"/>
  <c r="J598" i="1"/>
  <c r="K598" i="1"/>
  <c r="L598" i="1"/>
  <c r="J599" i="1"/>
  <c r="K599" i="1"/>
  <c r="L599" i="1"/>
  <c r="J600" i="1"/>
  <c r="K600" i="1"/>
  <c r="L600" i="1"/>
  <c r="Q31" i="121"/>
  <c r="J602" i="1"/>
  <c r="K602" i="1"/>
  <c r="L602" i="1"/>
  <c r="J603" i="1"/>
  <c r="K603" i="1"/>
  <c r="L603" i="1"/>
  <c r="J604" i="1"/>
  <c r="K604" i="1"/>
  <c r="L604" i="1"/>
  <c r="J605" i="1"/>
  <c r="K605" i="1"/>
  <c r="L605" i="1"/>
  <c r="J606" i="1"/>
  <c r="K606" i="1"/>
  <c r="L606" i="1"/>
  <c r="J607" i="1"/>
  <c r="K607" i="1"/>
  <c r="L607" i="1"/>
  <c r="J608" i="1"/>
  <c r="K608" i="1"/>
  <c r="L608" i="1"/>
  <c r="J609" i="1"/>
  <c r="K609" i="1"/>
  <c r="L609" i="1"/>
  <c r="J610" i="1"/>
  <c r="K610" i="1"/>
  <c r="L610" i="1"/>
  <c r="J611" i="1"/>
  <c r="K611" i="1"/>
  <c r="L611" i="1"/>
  <c r="J612" i="1"/>
  <c r="K612" i="1"/>
  <c r="L612" i="1"/>
  <c r="J613" i="1"/>
  <c r="K613" i="1"/>
  <c r="L613" i="1"/>
  <c r="J614" i="1"/>
  <c r="K614" i="1"/>
  <c r="L614" i="1"/>
  <c r="J615" i="1"/>
  <c r="K615" i="1"/>
  <c r="L615" i="1"/>
  <c r="J616" i="1"/>
  <c r="K616" i="1"/>
  <c r="L616" i="1"/>
  <c r="J601" i="1"/>
  <c r="K601" i="1"/>
  <c r="L601" i="1"/>
  <c r="J617" i="1"/>
  <c r="K617" i="1"/>
  <c r="L617" i="1"/>
  <c r="J618" i="1"/>
  <c r="K618" i="1"/>
  <c r="L618" i="1"/>
  <c r="J619" i="1"/>
  <c r="K619" i="1"/>
  <c r="L619" i="1"/>
  <c r="J620" i="1"/>
  <c r="K620" i="1"/>
  <c r="L620" i="1"/>
  <c r="J621" i="1"/>
  <c r="K621" i="1"/>
  <c r="L621" i="1"/>
  <c r="J622" i="1"/>
  <c r="K622" i="1"/>
  <c r="L622" i="1"/>
  <c r="J623" i="1"/>
  <c r="K623" i="1"/>
  <c r="L623" i="1"/>
  <c r="J624" i="1"/>
  <c r="K624" i="1"/>
  <c r="L624" i="1"/>
  <c r="J625" i="1"/>
  <c r="K625" i="1"/>
  <c r="L625" i="1"/>
  <c r="J626" i="1"/>
  <c r="K626" i="1"/>
  <c r="L626" i="1"/>
  <c r="J627" i="1"/>
  <c r="K627" i="1"/>
  <c r="L627" i="1"/>
  <c r="J628" i="1"/>
  <c r="K628" i="1"/>
  <c r="L628" i="1"/>
  <c r="J629" i="1"/>
  <c r="K629" i="1"/>
  <c r="L629" i="1"/>
  <c r="J630" i="1"/>
  <c r="K630" i="1"/>
  <c r="L630" i="1"/>
  <c r="J631" i="1"/>
  <c r="K631" i="1"/>
  <c r="L631" i="1"/>
  <c r="J632" i="1"/>
  <c r="K632" i="1"/>
  <c r="L632" i="1"/>
  <c r="J633" i="1"/>
  <c r="K633" i="1"/>
  <c r="L633" i="1"/>
  <c r="J634" i="1"/>
  <c r="K634" i="1"/>
  <c r="L634" i="1"/>
  <c r="J635" i="1"/>
  <c r="K635" i="1"/>
  <c r="L635" i="1"/>
  <c r="J636" i="1"/>
  <c r="K636" i="1"/>
  <c r="L636" i="1"/>
  <c r="J637" i="1"/>
  <c r="K637" i="1"/>
  <c r="L637" i="1"/>
  <c r="J638" i="1"/>
  <c r="K638" i="1"/>
  <c r="L638" i="1"/>
  <c r="J639" i="1"/>
  <c r="K639" i="1"/>
  <c r="L639" i="1"/>
  <c r="J640" i="1"/>
  <c r="K640" i="1"/>
  <c r="L640" i="1"/>
  <c r="J641" i="1"/>
  <c r="K641" i="1"/>
  <c r="L641" i="1"/>
  <c r="J642" i="1"/>
  <c r="K642" i="1"/>
  <c r="L642" i="1"/>
  <c r="J643" i="1"/>
  <c r="K643" i="1"/>
  <c r="L643" i="1"/>
  <c r="J644" i="1"/>
  <c r="K644" i="1"/>
  <c r="L644" i="1"/>
  <c r="J645" i="1"/>
  <c r="K645" i="1"/>
  <c r="L645" i="1"/>
  <c r="J646" i="1"/>
  <c r="K646" i="1"/>
  <c r="L646" i="1"/>
  <c r="J647" i="1"/>
  <c r="K647" i="1"/>
  <c r="L647" i="1"/>
  <c r="J648" i="1"/>
  <c r="K648" i="1"/>
  <c r="L648" i="1"/>
  <c r="J649" i="1"/>
  <c r="K649" i="1"/>
  <c r="L649" i="1"/>
  <c r="J650" i="1"/>
  <c r="K650" i="1"/>
  <c r="L650" i="1"/>
  <c r="J651" i="1"/>
  <c r="K651" i="1"/>
  <c r="L651" i="1"/>
  <c r="J652" i="1"/>
  <c r="K652" i="1"/>
  <c r="L652" i="1"/>
  <c r="J653" i="1"/>
  <c r="K653" i="1"/>
  <c r="L653" i="1"/>
  <c r="J654" i="1"/>
  <c r="K654" i="1"/>
  <c r="L654" i="1"/>
  <c r="J655" i="1"/>
  <c r="K655" i="1"/>
  <c r="L655" i="1"/>
  <c r="J656" i="1"/>
  <c r="K656" i="1"/>
  <c r="L656" i="1"/>
  <c r="J657" i="1"/>
  <c r="K657" i="1"/>
  <c r="L657" i="1"/>
  <c r="J658" i="1"/>
  <c r="K658" i="1"/>
  <c r="L658" i="1"/>
  <c r="J659" i="1"/>
  <c r="K659" i="1"/>
  <c r="L659" i="1"/>
  <c r="J660" i="1"/>
  <c r="K660" i="1"/>
  <c r="L660" i="1"/>
  <c r="J661" i="1"/>
  <c r="K661" i="1"/>
  <c r="L661" i="1"/>
  <c r="J662" i="1"/>
  <c r="K662" i="1"/>
  <c r="L662" i="1"/>
  <c r="J663" i="1"/>
  <c r="K663" i="1"/>
  <c r="L663" i="1"/>
  <c r="J664" i="1"/>
  <c r="K664" i="1"/>
  <c r="L664" i="1"/>
  <c r="J665" i="1"/>
  <c r="K665" i="1"/>
  <c r="L665" i="1"/>
  <c r="J666" i="1"/>
  <c r="K666" i="1"/>
  <c r="L666" i="1"/>
  <c r="J667" i="1"/>
  <c r="K667" i="1"/>
  <c r="L667" i="1"/>
  <c r="J668" i="1"/>
  <c r="K668" i="1"/>
  <c r="L668" i="1"/>
  <c r="J669" i="1"/>
  <c r="K669" i="1"/>
  <c r="L669" i="1"/>
  <c r="J670" i="1"/>
  <c r="K670" i="1"/>
  <c r="L670" i="1"/>
  <c r="J671" i="1"/>
  <c r="K671" i="1"/>
  <c r="L671" i="1"/>
  <c r="J672" i="1"/>
  <c r="K672" i="1"/>
  <c r="L672" i="1"/>
  <c r="J673" i="1"/>
  <c r="K673" i="1"/>
  <c r="L673" i="1"/>
  <c r="J674" i="1"/>
  <c r="K674" i="1"/>
  <c r="L674" i="1"/>
  <c r="J675" i="1"/>
  <c r="K675" i="1"/>
  <c r="L675" i="1"/>
  <c r="J676" i="1"/>
  <c r="K676" i="1"/>
  <c r="L676" i="1"/>
  <c r="J677" i="1"/>
  <c r="K677" i="1"/>
  <c r="L677" i="1"/>
  <c r="J678" i="1"/>
  <c r="K678" i="1"/>
  <c r="L678" i="1"/>
  <c r="J679" i="1"/>
  <c r="K679" i="1"/>
  <c r="L679" i="1"/>
  <c r="J680" i="1"/>
  <c r="K680" i="1"/>
  <c r="L680" i="1"/>
  <c r="J681" i="1"/>
  <c r="K681" i="1"/>
  <c r="L681" i="1"/>
  <c r="J682" i="1"/>
  <c r="K682" i="1"/>
  <c r="L682" i="1"/>
  <c r="J683" i="1"/>
  <c r="K683" i="1"/>
  <c r="L683" i="1"/>
  <c r="J684" i="1"/>
  <c r="K684" i="1"/>
  <c r="L684" i="1"/>
  <c r="J685" i="1"/>
  <c r="K685" i="1"/>
  <c r="L685" i="1"/>
  <c r="J686" i="1"/>
  <c r="K686" i="1"/>
  <c r="L686" i="1"/>
  <c r="J687" i="1"/>
  <c r="K687" i="1"/>
  <c r="L687" i="1"/>
  <c r="J688" i="1"/>
  <c r="K688" i="1"/>
  <c r="L688" i="1"/>
  <c r="J689" i="1"/>
  <c r="K689" i="1"/>
  <c r="L689" i="1"/>
  <c r="J690" i="1"/>
  <c r="K690" i="1"/>
  <c r="L690" i="1"/>
  <c r="J691" i="1"/>
  <c r="K691" i="1"/>
  <c r="L691" i="1"/>
  <c r="J692" i="1"/>
  <c r="K692" i="1"/>
  <c r="L692" i="1"/>
  <c r="J693" i="1"/>
  <c r="K693" i="1"/>
  <c r="L693" i="1"/>
  <c r="J694" i="1"/>
  <c r="K694" i="1"/>
  <c r="L694" i="1"/>
  <c r="J695" i="1"/>
  <c r="K695" i="1"/>
  <c r="L695" i="1"/>
  <c r="J696" i="1"/>
  <c r="K696" i="1"/>
  <c r="L696" i="1"/>
  <c r="J697" i="1"/>
  <c r="K697" i="1"/>
  <c r="L697" i="1"/>
  <c r="J698" i="1"/>
  <c r="K698" i="1"/>
  <c r="L698" i="1"/>
  <c r="J699" i="1"/>
  <c r="K699" i="1"/>
  <c r="L699" i="1"/>
  <c r="J700" i="1"/>
  <c r="K700" i="1"/>
  <c r="L700" i="1"/>
  <c r="J701" i="1"/>
  <c r="K701" i="1"/>
  <c r="L701" i="1"/>
  <c r="J702" i="1"/>
  <c r="K702" i="1"/>
  <c r="L702" i="1"/>
  <c r="J703" i="1"/>
  <c r="K703" i="1"/>
  <c r="L703" i="1"/>
  <c r="J704" i="1"/>
  <c r="K704" i="1"/>
  <c r="L704" i="1"/>
  <c r="J705" i="1"/>
  <c r="K705" i="1"/>
  <c r="L705" i="1"/>
  <c r="J706" i="1"/>
  <c r="K706" i="1"/>
  <c r="L706" i="1"/>
  <c r="J707" i="1"/>
  <c r="K707" i="1"/>
  <c r="L707" i="1"/>
  <c r="J708" i="1"/>
  <c r="K708" i="1"/>
  <c r="L708" i="1"/>
  <c r="J709" i="1"/>
  <c r="K709" i="1"/>
  <c r="L709" i="1"/>
  <c r="J710" i="1"/>
  <c r="K710" i="1"/>
  <c r="L710" i="1"/>
  <c r="J711" i="1"/>
  <c r="K711" i="1"/>
  <c r="L711" i="1"/>
  <c r="J712" i="1"/>
  <c r="K712" i="1"/>
  <c r="L712" i="1"/>
  <c r="J713" i="1"/>
  <c r="K713" i="1"/>
  <c r="L713" i="1"/>
  <c r="J714" i="1"/>
  <c r="K714" i="1"/>
  <c r="L714" i="1"/>
  <c r="J715" i="1"/>
  <c r="K715" i="1"/>
  <c r="L715" i="1"/>
  <c r="J716" i="1"/>
  <c r="K716" i="1"/>
  <c r="L716" i="1"/>
  <c r="J717" i="1"/>
  <c r="K717" i="1"/>
  <c r="L717" i="1"/>
  <c r="J718" i="1"/>
  <c r="K718" i="1"/>
  <c r="L718" i="1"/>
  <c r="J719" i="1"/>
  <c r="K719" i="1"/>
  <c r="L719" i="1"/>
  <c r="J720" i="1"/>
  <c r="K720" i="1"/>
  <c r="L720" i="1"/>
  <c r="J721" i="1"/>
  <c r="K721" i="1"/>
  <c r="L721" i="1"/>
  <c r="J722" i="1"/>
  <c r="K722" i="1"/>
  <c r="L722" i="1"/>
  <c r="J723" i="1"/>
  <c r="K723" i="1"/>
  <c r="L723" i="1"/>
  <c r="J724" i="1"/>
  <c r="K724" i="1"/>
  <c r="L724" i="1"/>
  <c r="J725" i="1"/>
  <c r="K725" i="1"/>
  <c r="L725" i="1"/>
  <c r="J726" i="1"/>
  <c r="K726" i="1"/>
  <c r="L726" i="1"/>
  <c r="J727" i="1"/>
  <c r="K727" i="1"/>
  <c r="L727" i="1"/>
  <c r="J728" i="1"/>
  <c r="K728" i="1"/>
  <c r="L728" i="1"/>
  <c r="J729" i="1"/>
  <c r="K729" i="1"/>
  <c r="L729" i="1"/>
  <c r="J730" i="1"/>
  <c r="K730" i="1"/>
  <c r="L730" i="1"/>
  <c r="J731" i="1"/>
  <c r="K731" i="1"/>
  <c r="L731" i="1"/>
  <c r="J732" i="1"/>
  <c r="K732" i="1"/>
  <c r="L732" i="1"/>
  <c r="J733" i="1"/>
  <c r="K733" i="1"/>
  <c r="L733" i="1"/>
  <c r="J734" i="1"/>
  <c r="K734" i="1"/>
  <c r="L734" i="1"/>
  <c r="J735" i="1"/>
  <c r="K735" i="1"/>
  <c r="L735" i="1"/>
  <c r="J736" i="1"/>
  <c r="K736" i="1"/>
  <c r="L736" i="1"/>
  <c r="J737" i="1"/>
  <c r="K737" i="1"/>
  <c r="L737" i="1"/>
  <c r="J738" i="1"/>
  <c r="K738" i="1"/>
  <c r="L738" i="1"/>
  <c r="J739" i="1"/>
  <c r="K739" i="1"/>
  <c r="L739" i="1"/>
  <c r="J740" i="1"/>
  <c r="K740" i="1"/>
  <c r="L740" i="1"/>
  <c r="J741" i="1"/>
  <c r="K741" i="1"/>
  <c r="L741" i="1"/>
  <c r="J742" i="1"/>
  <c r="K742" i="1"/>
  <c r="L742" i="1"/>
  <c r="J743" i="1"/>
  <c r="K743" i="1"/>
  <c r="L743" i="1"/>
  <c r="J744" i="1"/>
  <c r="K744" i="1"/>
  <c r="L744" i="1"/>
  <c r="J745" i="1"/>
  <c r="K745" i="1"/>
  <c r="L745" i="1"/>
  <c r="J746" i="1"/>
  <c r="K746" i="1"/>
  <c r="L746" i="1"/>
  <c r="J747" i="1"/>
  <c r="K747" i="1"/>
  <c r="L747" i="1"/>
  <c r="J748" i="1"/>
  <c r="K748" i="1"/>
  <c r="L748" i="1"/>
  <c r="J749" i="1"/>
  <c r="K749" i="1"/>
  <c r="L749" i="1"/>
  <c r="J750" i="1"/>
  <c r="K750" i="1"/>
  <c r="L750" i="1"/>
  <c r="J751" i="1"/>
  <c r="K751" i="1"/>
  <c r="L751" i="1"/>
  <c r="J752" i="1"/>
  <c r="K752" i="1"/>
  <c r="L752" i="1"/>
  <c r="J753" i="1"/>
  <c r="K753" i="1"/>
  <c r="L753" i="1"/>
  <c r="J754" i="1"/>
  <c r="K754" i="1"/>
  <c r="L754" i="1"/>
  <c r="J755" i="1"/>
  <c r="K755" i="1"/>
  <c r="L755" i="1"/>
  <c r="J756" i="1"/>
  <c r="K756" i="1"/>
  <c r="L756" i="1"/>
  <c r="J757" i="1"/>
  <c r="K757" i="1"/>
  <c r="L757" i="1"/>
  <c r="J758" i="1"/>
  <c r="K758" i="1"/>
  <c r="L758" i="1"/>
  <c r="J759" i="1"/>
  <c r="K759" i="1"/>
  <c r="L759" i="1"/>
  <c r="J760" i="1"/>
  <c r="K760" i="1"/>
  <c r="L760" i="1"/>
  <c r="J761" i="1"/>
  <c r="K761" i="1"/>
  <c r="L761" i="1"/>
  <c r="J762" i="1"/>
  <c r="K762" i="1"/>
  <c r="L762" i="1"/>
  <c r="J763" i="1"/>
  <c r="K763" i="1"/>
  <c r="L763" i="1"/>
  <c r="J764" i="1"/>
  <c r="K764" i="1"/>
  <c r="L764" i="1"/>
  <c r="J765" i="1"/>
  <c r="K765" i="1"/>
  <c r="L765" i="1"/>
  <c r="J766" i="1"/>
  <c r="K766" i="1"/>
  <c r="L766" i="1"/>
  <c r="J767" i="1"/>
  <c r="K767" i="1"/>
  <c r="L767" i="1"/>
  <c r="J768" i="1"/>
  <c r="K768" i="1"/>
  <c r="L768" i="1"/>
  <c r="J769" i="1"/>
  <c r="K769" i="1"/>
  <c r="L769" i="1"/>
  <c r="J770" i="1"/>
  <c r="K770" i="1"/>
  <c r="L770" i="1"/>
  <c r="J771" i="1"/>
  <c r="K771" i="1"/>
  <c r="L771" i="1"/>
  <c r="J772" i="1"/>
  <c r="K772" i="1"/>
  <c r="L772" i="1"/>
  <c r="J773" i="1"/>
  <c r="K773" i="1"/>
  <c r="L773" i="1"/>
  <c r="J774" i="1"/>
  <c r="K774" i="1"/>
  <c r="L774" i="1"/>
  <c r="J775" i="1"/>
  <c r="K775" i="1"/>
  <c r="L775" i="1"/>
  <c r="J776" i="1"/>
  <c r="K776" i="1"/>
  <c r="L776" i="1"/>
  <c r="J777" i="1"/>
  <c r="K777" i="1"/>
  <c r="L777" i="1"/>
  <c r="J778" i="1"/>
  <c r="K778" i="1"/>
  <c r="L778" i="1"/>
  <c r="J779" i="1"/>
  <c r="K779" i="1"/>
  <c r="L779" i="1"/>
  <c r="J780" i="1"/>
  <c r="K780" i="1"/>
  <c r="L780" i="1"/>
  <c r="J781" i="1"/>
  <c r="K781" i="1"/>
  <c r="L781" i="1"/>
  <c r="J782" i="1"/>
  <c r="K782" i="1"/>
  <c r="L782" i="1"/>
  <c r="J783" i="1"/>
  <c r="K783" i="1"/>
  <c r="L783" i="1"/>
  <c r="J784" i="1"/>
  <c r="K784" i="1"/>
  <c r="L784" i="1"/>
  <c r="J785" i="1"/>
  <c r="K785" i="1"/>
  <c r="L785" i="1"/>
  <c r="J786" i="1"/>
  <c r="K786" i="1"/>
  <c r="L786" i="1"/>
  <c r="J787" i="1"/>
  <c r="K787" i="1"/>
  <c r="L787" i="1"/>
  <c r="J788" i="1"/>
  <c r="K788" i="1"/>
  <c r="L788" i="1"/>
  <c r="J789" i="1"/>
  <c r="K789" i="1"/>
  <c r="L789" i="1"/>
  <c r="J790" i="1"/>
  <c r="K790" i="1"/>
  <c r="L790" i="1"/>
  <c r="J791" i="1"/>
  <c r="K791" i="1"/>
  <c r="L791" i="1"/>
  <c r="J792" i="1"/>
  <c r="K792" i="1"/>
  <c r="L792" i="1"/>
  <c r="J793" i="1"/>
  <c r="K793" i="1"/>
  <c r="L793" i="1"/>
  <c r="J794" i="1"/>
  <c r="K794" i="1"/>
  <c r="L794" i="1"/>
  <c r="J795" i="1"/>
  <c r="K795" i="1"/>
  <c r="L795" i="1"/>
  <c r="J796" i="1"/>
  <c r="K796" i="1"/>
  <c r="L796" i="1"/>
  <c r="J797" i="1"/>
  <c r="K797" i="1"/>
  <c r="L797" i="1"/>
  <c r="J798" i="1"/>
  <c r="K798" i="1"/>
  <c r="L798" i="1"/>
  <c r="J799" i="1"/>
  <c r="K799" i="1"/>
  <c r="L799" i="1"/>
  <c r="J800" i="1"/>
  <c r="K800" i="1"/>
  <c r="L800" i="1"/>
  <c r="J801" i="1"/>
  <c r="K801" i="1"/>
  <c r="L801" i="1"/>
  <c r="J802" i="1"/>
  <c r="K802" i="1"/>
  <c r="L802" i="1"/>
  <c r="J803" i="1"/>
  <c r="K803" i="1"/>
  <c r="L803" i="1"/>
  <c r="J804" i="1"/>
  <c r="K804" i="1"/>
  <c r="L804" i="1"/>
  <c r="J805" i="1"/>
  <c r="K805" i="1"/>
  <c r="L805" i="1"/>
  <c r="J806" i="1"/>
  <c r="K806" i="1"/>
  <c r="L806" i="1"/>
  <c r="J807" i="1"/>
  <c r="K807" i="1"/>
  <c r="L807" i="1"/>
  <c r="J808" i="1"/>
  <c r="K808" i="1"/>
  <c r="L808" i="1"/>
  <c r="J809" i="1"/>
  <c r="K809" i="1"/>
  <c r="L809" i="1"/>
  <c r="J810" i="1"/>
  <c r="K810" i="1"/>
  <c r="L810" i="1"/>
  <c r="J811" i="1"/>
  <c r="K811" i="1"/>
  <c r="L811" i="1"/>
  <c r="J812" i="1"/>
  <c r="K812" i="1"/>
  <c r="L812" i="1"/>
  <c r="J813" i="1"/>
  <c r="K813" i="1"/>
  <c r="L813" i="1"/>
  <c r="J814" i="1"/>
  <c r="K814" i="1"/>
  <c r="L814" i="1"/>
  <c r="J815" i="1"/>
  <c r="K815" i="1"/>
  <c r="L815" i="1"/>
  <c r="J816" i="1"/>
  <c r="K816" i="1"/>
  <c r="L816" i="1"/>
  <c r="J817" i="1"/>
  <c r="K817" i="1"/>
  <c r="L817" i="1"/>
  <c r="J818" i="1"/>
  <c r="K818" i="1"/>
  <c r="L818" i="1"/>
  <c r="J819" i="1"/>
  <c r="K819" i="1"/>
  <c r="L819" i="1"/>
  <c r="J820" i="1"/>
  <c r="K820" i="1"/>
  <c r="L820" i="1"/>
  <c r="J821" i="1"/>
  <c r="K821" i="1"/>
  <c r="L821" i="1"/>
  <c r="J822" i="1"/>
  <c r="K822" i="1"/>
  <c r="L822" i="1"/>
  <c r="J823" i="1"/>
  <c r="K823" i="1"/>
  <c r="L823" i="1"/>
  <c r="J824" i="1"/>
  <c r="K824" i="1"/>
  <c r="L824" i="1"/>
  <c r="J825" i="1"/>
  <c r="K825" i="1"/>
  <c r="L825" i="1"/>
  <c r="J826" i="1"/>
  <c r="K826" i="1"/>
  <c r="L826" i="1"/>
  <c r="J827" i="1"/>
  <c r="K827" i="1"/>
  <c r="L827" i="1"/>
  <c r="J828" i="1"/>
  <c r="K828" i="1"/>
  <c r="L828" i="1"/>
  <c r="J829" i="1"/>
  <c r="K829" i="1"/>
  <c r="L829" i="1"/>
  <c r="J830" i="1"/>
  <c r="K830" i="1"/>
  <c r="L830" i="1"/>
  <c r="J831" i="1"/>
  <c r="K831" i="1"/>
  <c r="L831" i="1"/>
  <c r="J832" i="1"/>
  <c r="K832" i="1"/>
  <c r="L832" i="1"/>
  <c r="J833" i="1"/>
  <c r="K833" i="1"/>
  <c r="L833" i="1"/>
  <c r="J834" i="1"/>
  <c r="K834" i="1"/>
  <c r="L834" i="1"/>
  <c r="J835" i="1"/>
  <c r="K835" i="1"/>
  <c r="L835" i="1"/>
  <c r="J836" i="1"/>
  <c r="K836" i="1"/>
  <c r="L836" i="1"/>
  <c r="J837" i="1"/>
  <c r="K837" i="1"/>
  <c r="L837" i="1"/>
  <c r="J838" i="1"/>
  <c r="K838" i="1"/>
  <c r="L838" i="1"/>
  <c r="J839" i="1"/>
  <c r="K839" i="1"/>
  <c r="L839" i="1"/>
  <c r="J840" i="1"/>
  <c r="K840" i="1"/>
  <c r="L840" i="1"/>
  <c r="J841" i="1"/>
  <c r="K841" i="1"/>
  <c r="L841" i="1"/>
  <c r="J842" i="1"/>
  <c r="K842" i="1"/>
  <c r="L842" i="1"/>
  <c r="J843" i="1"/>
  <c r="K843" i="1"/>
  <c r="L843" i="1"/>
  <c r="J844" i="1"/>
  <c r="K844" i="1"/>
  <c r="L844" i="1"/>
  <c r="J845" i="1"/>
  <c r="K845" i="1"/>
  <c r="L845" i="1"/>
  <c r="J846" i="1"/>
  <c r="K846" i="1"/>
  <c r="L846" i="1"/>
  <c r="J847" i="1"/>
  <c r="K847" i="1"/>
  <c r="L847" i="1"/>
  <c r="J848" i="1"/>
  <c r="K848" i="1"/>
  <c r="L848" i="1"/>
  <c r="J849" i="1"/>
  <c r="K849" i="1"/>
  <c r="L849" i="1"/>
  <c r="J850" i="1"/>
  <c r="K850" i="1"/>
  <c r="L850" i="1"/>
  <c r="J851" i="1"/>
  <c r="K851" i="1"/>
  <c r="L851" i="1"/>
  <c r="J852" i="1"/>
  <c r="K852" i="1"/>
  <c r="L852" i="1"/>
  <c r="J853" i="1"/>
  <c r="K853" i="1"/>
  <c r="L853" i="1"/>
  <c r="J854" i="1"/>
  <c r="K854" i="1"/>
  <c r="L854" i="1"/>
  <c r="J855" i="1"/>
  <c r="K855" i="1"/>
  <c r="L855" i="1"/>
  <c r="J856" i="1"/>
  <c r="K856" i="1"/>
  <c r="L856" i="1"/>
  <c r="J857" i="1"/>
  <c r="K857" i="1"/>
  <c r="L857" i="1"/>
  <c r="J858" i="1"/>
  <c r="K858" i="1"/>
  <c r="L858" i="1"/>
  <c r="J859" i="1"/>
  <c r="K859" i="1"/>
  <c r="L859" i="1"/>
  <c r="J860" i="1"/>
  <c r="K860" i="1"/>
  <c r="L860" i="1"/>
  <c r="J861" i="1"/>
  <c r="K861" i="1"/>
  <c r="L861" i="1"/>
  <c r="J862" i="1"/>
  <c r="K862" i="1"/>
  <c r="L862" i="1"/>
  <c r="J863" i="1"/>
  <c r="K863" i="1"/>
  <c r="L863" i="1"/>
  <c r="J864" i="1"/>
  <c r="K864" i="1"/>
  <c r="L864" i="1"/>
  <c r="J865" i="1"/>
  <c r="K865" i="1"/>
  <c r="L865" i="1"/>
  <c r="J866" i="1"/>
  <c r="K866" i="1"/>
  <c r="L866" i="1"/>
  <c r="J867" i="1"/>
  <c r="K867" i="1"/>
  <c r="L867" i="1"/>
  <c r="J868" i="1"/>
  <c r="K868" i="1"/>
  <c r="L868" i="1"/>
  <c r="J869" i="1"/>
  <c r="K869" i="1"/>
  <c r="L869" i="1"/>
  <c r="J870" i="1"/>
  <c r="K870" i="1"/>
  <c r="L870" i="1"/>
  <c r="J871" i="1"/>
  <c r="K871" i="1"/>
  <c r="L871" i="1"/>
  <c r="J872" i="1"/>
  <c r="K872" i="1"/>
  <c r="L872" i="1"/>
  <c r="J873" i="1"/>
  <c r="K873" i="1"/>
  <c r="L873" i="1"/>
  <c r="J874" i="1"/>
  <c r="K874" i="1"/>
  <c r="L874" i="1"/>
  <c r="J875" i="1"/>
  <c r="K875" i="1"/>
  <c r="L875" i="1"/>
  <c r="J876" i="1"/>
  <c r="K876" i="1"/>
  <c r="L876" i="1"/>
  <c r="J877" i="1"/>
  <c r="K877" i="1"/>
  <c r="L877" i="1"/>
  <c r="J878" i="1"/>
  <c r="K878" i="1"/>
  <c r="L878" i="1"/>
  <c r="J879" i="1"/>
  <c r="K879" i="1"/>
  <c r="L879" i="1"/>
  <c r="J880" i="1"/>
  <c r="K880" i="1"/>
  <c r="L880" i="1"/>
  <c r="J881" i="1"/>
  <c r="K881" i="1"/>
  <c r="L881" i="1"/>
  <c r="J882" i="1"/>
  <c r="K882" i="1"/>
  <c r="L882" i="1"/>
  <c r="J883" i="1"/>
  <c r="K883" i="1"/>
  <c r="L883" i="1"/>
  <c r="J884" i="1"/>
  <c r="K884" i="1"/>
  <c r="L884" i="1"/>
  <c r="J885" i="1"/>
  <c r="K885" i="1"/>
  <c r="L885" i="1"/>
  <c r="J886" i="1"/>
  <c r="K886" i="1"/>
  <c r="L886" i="1"/>
  <c r="J887" i="1"/>
  <c r="K887" i="1"/>
  <c r="L887" i="1"/>
  <c r="J888" i="1"/>
  <c r="K888" i="1"/>
  <c r="L888" i="1"/>
  <c r="J889" i="1"/>
  <c r="K889" i="1"/>
  <c r="L889" i="1"/>
  <c r="J890" i="1"/>
  <c r="K890" i="1"/>
  <c r="L890" i="1"/>
  <c r="J891" i="1"/>
  <c r="K891" i="1"/>
  <c r="L891" i="1"/>
  <c r="J892" i="1"/>
  <c r="K892" i="1"/>
  <c r="L892" i="1"/>
  <c r="J893" i="1"/>
  <c r="K893" i="1"/>
  <c r="L893" i="1"/>
  <c r="J894" i="1"/>
  <c r="K894" i="1"/>
  <c r="L894" i="1"/>
  <c r="J895" i="1"/>
  <c r="K895" i="1"/>
  <c r="L895" i="1"/>
  <c r="J896" i="1"/>
  <c r="K896" i="1"/>
  <c r="L896" i="1"/>
  <c r="J897" i="1"/>
  <c r="K897" i="1"/>
  <c r="L897" i="1"/>
  <c r="J898" i="1"/>
  <c r="K898" i="1"/>
  <c r="L898" i="1"/>
  <c r="J899" i="1"/>
  <c r="K899" i="1"/>
  <c r="L899" i="1"/>
  <c r="J900" i="1"/>
  <c r="K900" i="1"/>
  <c r="L900" i="1"/>
  <c r="J901" i="1"/>
  <c r="K901" i="1"/>
  <c r="L901" i="1"/>
  <c r="J902" i="1"/>
  <c r="K902" i="1"/>
  <c r="L902" i="1"/>
  <c r="J903" i="1"/>
  <c r="K903" i="1"/>
  <c r="L903" i="1"/>
  <c r="J904" i="1"/>
  <c r="K904" i="1"/>
  <c r="L904" i="1"/>
  <c r="J905" i="1"/>
  <c r="K905" i="1"/>
  <c r="L905" i="1"/>
  <c r="J906" i="1"/>
  <c r="K906" i="1"/>
  <c r="L906" i="1"/>
  <c r="J907" i="1"/>
  <c r="K907" i="1"/>
  <c r="L907" i="1"/>
  <c r="J908" i="1"/>
  <c r="K908" i="1"/>
  <c r="L908" i="1"/>
  <c r="J909" i="1"/>
  <c r="K909" i="1"/>
  <c r="L909" i="1"/>
  <c r="J910" i="1"/>
  <c r="K910" i="1"/>
  <c r="L910" i="1"/>
  <c r="J911" i="1"/>
  <c r="K911" i="1"/>
  <c r="L911" i="1"/>
  <c r="J912" i="1"/>
  <c r="K912" i="1"/>
  <c r="L912" i="1"/>
  <c r="J913" i="1"/>
  <c r="K913" i="1"/>
  <c r="L913" i="1"/>
  <c r="J914" i="1"/>
  <c r="K914" i="1"/>
  <c r="L914" i="1"/>
  <c r="J915" i="1"/>
  <c r="K915" i="1"/>
  <c r="L915" i="1"/>
  <c r="J916" i="1"/>
  <c r="K916" i="1"/>
  <c r="L916" i="1"/>
  <c r="J917" i="1"/>
  <c r="K917" i="1"/>
  <c r="L917" i="1"/>
  <c r="J918" i="1"/>
  <c r="K918" i="1"/>
  <c r="L918" i="1"/>
  <c r="J919" i="1"/>
  <c r="K919" i="1"/>
  <c r="L919" i="1"/>
  <c r="J920" i="1"/>
  <c r="K920" i="1"/>
  <c r="L920" i="1"/>
  <c r="J921" i="1"/>
  <c r="K921" i="1"/>
  <c r="L921" i="1"/>
  <c r="J922" i="1"/>
  <c r="K922" i="1"/>
  <c r="L922" i="1"/>
  <c r="J923" i="1"/>
  <c r="K923" i="1"/>
  <c r="L923" i="1"/>
  <c r="J924" i="1"/>
  <c r="K924" i="1"/>
  <c r="L924" i="1"/>
  <c r="J925" i="1"/>
  <c r="K925" i="1"/>
  <c r="L925" i="1"/>
  <c r="J926" i="1"/>
  <c r="K926" i="1"/>
  <c r="L926" i="1"/>
  <c r="J927" i="1"/>
  <c r="K927" i="1"/>
  <c r="L927" i="1"/>
  <c r="J928" i="1"/>
  <c r="K928" i="1"/>
  <c r="L928" i="1"/>
  <c r="J929" i="1"/>
  <c r="K929" i="1"/>
  <c r="L929" i="1"/>
  <c r="J930" i="1"/>
  <c r="K930" i="1"/>
  <c r="L930" i="1"/>
  <c r="J931" i="1"/>
  <c r="K931" i="1"/>
  <c r="L931" i="1"/>
  <c r="J932" i="1"/>
  <c r="Q45" i="121" s="1"/>
  <c r="K932" i="1"/>
  <c r="L932" i="1"/>
  <c r="J933" i="1"/>
  <c r="K933" i="1"/>
  <c r="L933" i="1"/>
  <c r="J934" i="1"/>
  <c r="K934" i="1"/>
  <c r="L934" i="1"/>
  <c r="J935" i="1"/>
  <c r="K935" i="1"/>
  <c r="L935" i="1"/>
  <c r="J936" i="1"/>
  <c r="K936" i="1"/>
  <c r="L936" i="1"/>
  <c r="J937" i="1"/>
  <c r="K937" i="1"/>
  <c r="L937" i="1"/>
  <c r="J938" i="1"/>
  <c r="K938" i="1"/>
  <c r="L938" i="1"/>
  <c r="J939" i="1"/>
  <c r="K939" i="1"/>
  <c r="L939" i="1"/>
  <c r="J940" i="1"/>
  <c r="K940" i="1"/>
  <c r="L940" i="1"/>
  <c r="J941" i="1"/>
  <c r="K941" i="1"/>
  <c r="L941" i="1"/>
  <c r="J942" i="1"/>
  <c r="K942" i="1"/>
  <c r="L942" i="1"/>
  <c r="J943" i="1"/>
  <c r="K943" i="1"/>
  <c r="L943" i="1"/>
  <c r="J944" i="1"/>
  <c r="K944" i="1"/>
  <c r="L944" i="1"/>
  <c r="J945" i="1"/>
  <c r="K945" i="1"/>
  <c r="L945" i="1"/>
  <c r="J946" i="1"/>
  <c r="K946" i="1"/>
  <c r="L946" i="1"/>
  <c r="J947" i="1"/>
  <c r="K947" i="1"/>
  <c r="L947" i="1"/>
  <c r="J948" i="1"/>
  <c r="K948" i="1"/>
  <c r="L948" i="1"/>
  <c r="J949" i="1"/>
  <c r="K949" i="1"/>
  <c r="L949" i="1"/>
  <c r="J950" i="1"/>
  <c r="K950" i="1"/>
  <c r="L950" i="1"/>
  <c r="J951" i="1"/>
  <c r="K951" i="1"/>
  <c r="L951" i="1"/>
  <c r="J952" i="1"/>
  <c r="K952" i="1"/>
  <c r="L952" i="1"/>
  <c r="J953" i="1"/>
  <c r="K953" i="1"/>
  <c r="L953" i="1"/>
  <c r="J954" i="1"/>
  <c r="K954" i="1"/>
  <c r="L954" i="1"/>
  <c r="J955" i="1"/>
  <c r="K955" i="1"/>
  <c r="L955" i="1"/>
  <c r="J956" i="1"/>
  <c r="K956" i="1"/>
  <c r="L956" i="1"/>
  <c r="J957" i="1"/>
  <c r="K957" i="1"/>
  <c r="L957" i="1"/>
  <c r="J958" i="1"/>
  <c r="K958" i="1"/>
  <c r="L958" i="1"/>
  <c r="J959" i="1"/>
  <c r="K959" i="1"/>
  <c r="L959" i="1"/>
  <c r="J960" i="1"/>
  <c r="K960" i="1"/>
  <c r="L960" i="1"/>
  <c r="J961" i="1"/>
  <c r="K961" i="1"/>
  <c r="L961" i="1"/>
  <c r="J962" i="1"/>
  <c r="K962" i="1"/>
  <c r="L962" i="1"/>
  <c r="J963" i="1"/>
  <c r="K963" i="1"/>
  <c r="L963" i="1"/>
  <c r="J968" i="1"/>
  <c r="K968" i="1"/>
  <c r="L968" i="1"/>
  <c r="J969" i="1"/>
  <c r="K969" i="1"/>
  <c r="L969" i="1"/>
  <c r="J970" i="1"/>
  <c r="K970" i="1"/>
  <c r="L970" i="1"/>
  <c r="J971" i="1"/>
  <c r="K971" i="1"/>
  <c r="L971" i="1"/>
  <c r="J972" i="1"/>
  <c r="K972" i="1"/>
  <c r="L972" i="1"/>
  <c r="J973" i="1"/>
  <c r="K973" i="1"/>
  <c r="L973" i="1"/>
  <c r="J974" i="1"/>
  <c r="K974" i="1"/>
  <c r="L974" i="1"/>
  <c r="J975" i="1"/>
  <c r="K975" i="1"/>
  <c r="L975" i="1"/>
  <c r="J976" i="1"/>
  <c r="K976" i="1"/>
  <c r="L976" i="1"/>
  <c r="J977" i="1"/>
  <c r="K977" i="1"/>
  <c r="L977" i="1"/>
  <c r="J978" i="1"/>
  <c r="K978" i="1"/>
  <c r="L978" i="1"/>
  <c r="J979" i="1"/>
  <c r="K979" i="1"/>
  <c r="L979" i="1"/>
  <c r="J980" i="1"/>
  <c r="K980" i="1"/>
  <c r="L980" i="1"/>
  <c r="J981" i="1"/>
  <c r="K981" i="1"/>
  <c r="L981" i="1"/>
  <c r="J982" i="1"/>
  <c r="K982" i="1"/>
  <c r="L982" i="1"/>
  <c r="J983" i="1"/>
  <c r="K983" i="1"/>
  <c r="L983" i="1"/>
  <c r="J984" i="1"/>
  <c r="K984" i="1"/>
  <c r="L984" i="1"/>
  <c r="J985" i="1"/>
  <c r="K985" i="1"/>
  <c r="L985" i="1"/>
  <c r="J986" i="1"/>
  <c r="K986" i="1"/>
  <c r="L986" i="1"/>
  <c r="J987" i="1"/>
  <c r="K987" i="1"/>
  <c r="L987" i="1"/>
  <c r="J988" i="1"/>
  <c r="K988" i="1"/>
  <c r="L988" i="1"/>
  <c r="J989" i="1"/>
  <c r="K989" i="1"/>
  <c r="L989" i="1"/>
  <c r="J990" i="1"/>
  <c r="K990" i="1"/>
  <c r="L990" i="1"/>
  <c r="J991" i="1"/>
  <c r="K991" i="1"/>
  <c r="L991" i="1"/>
  <c r="J992" i="1"/>
  <c r="K992" i="1"/>
  <c r="L992" i="1"/>
  <c r="J993" i="1"/>
  <c r="K993" i="1"/>
  <c r="L993" i="1"/>
  <c r="J994" i="1"/>
  <c r="K994" i="1"/>
  <c r="L994" i="1"/>
  <c r="J995" i="1"/>
  <c r="K995" i="1"/>
  <c r="L995" i="1"/>
  <c r="J996" i="1"/>
  <c r="K996" i="1"/>
  <c r="L996" i="1"/>
  <c r="J997" i="1"/>
  <c r="K997" i="1"/>
  <c r="L997" i="1"/>
  <c r="J998" i="1"/>
  <c r="K998" i="1"/>
  <c r="L998" i="1"/>
  <c r="J999" i="1"/>
  <c r="K999" i="1"/>
  <c r="L999" i="1"/>
  <c r="J1000" i="1"/>
  <c r="K1000" i="1"/>
  <c r="L1000" i="1"/>
  <c r="J1001" i="1"/>
  <c r="K1001" i="1"/>
  <c r="L1001" i="1"/>
  <c r="J1002" i="1"/>
  <c r="K1002" i="1"/>
  <c r="L1002" i="1"/>
  <c r="J1003" i="1"/>
  <c r="K1003" i="1"/>
  <c r="L1003" i="1"/>
  <c r="J1004" i="1"/>
  <c r="K1004" i="1"/>
  <c r="L1004" i="1"/>
  <c r="J1005" i="1"/>
  <c r="K1005" i="1"/>
  <c r="L1005" i="1"/>
  <c r="J1006" i="1"/>
  <c r="K1006" i="1"/>
  <c r="L1006" i="1"/>
  <c r="J1007" i="1"/>
  <c r="K1007" i="1"/>
  <c r="L1007" i="1"/>
  <c r="J1008" i="1"/>
  <c r="K1008" i="1"/>
  <c r="L1008" i="1"/>
  <c r="J1009" i="1"/>
  <c r="K1009" i="1"/>
  <c r="L1009" i="1"/>
  <c r="J1010" i="1"/>
  <c r="K1010" i="1"/>
  <c r="L1010" i="1"/>
  <c r="J1011" i="1"/>
  <c r="K1011" i="1"/>
  <c r="L1011" i="1"/>
  <c r="J1012" i="1"/>
  <c r="K1012" i="1"/>
  <c r="L1012" i="1"/>
  <c r="J1013" i="1"/>
  <c r="K1013" i="1"/>
  <c r="L1013" i="1"/>
  <c r="J1014" i="1"/>
  <c r="K1014" i="1"/>
  <c r="L1014" i="1"/>
  <c r="J1015" i="1"/>
  <c r="K1015" i="1"/>
  <c r="L1015" i="1"/>
  <c r="J1016" i="1"/>
  <c r="K1016" i="1"/>
  <c r="L1016" i="1"/>
  <c r="J1017" i="1"/>
  <c r="K1017" i="1"/>
  <c r="L1017" i="1"/>
  <c r="J1018" i="1"/>
  <c r="K1018" i="1"/>
  <c r="L1018" i="1"/>
  <c r="J1019" i="1"/>
  <c r="K1019" i="1"/>
  <c r="L1019" i="1"/>
  <c r="J1020" i="1"/>
  <c r="K1020" i="1"/>
  <c r="L1020" i="1"/>
  <c r="J1021" i="1"/>
  <c r="K1021" i="1"/>
  <c r="L1021" i="1"/>
  <c r="J1022" i="1"/>
  <c r="K1022" i="1"/>
  <c r="L1022" i="1"/>
  <c r="J1023" i="1"/>
  <c r="K1023" i="1"/>
  <c r="L1023" i="1"/>
  <c r="J1024" i="1"/>
  <c r="K1024" i="1"/>
  <c r="L1024" i="1"/>
  <c r="J1025" i="1"/>
  <c r="K1025" i="1"/>
  <c r="L1025" i="1"/>
  <c r="J1026" i="1"/>
  <c r="K1026" i="1"/>
  <c r="L1026" i="1"/>
  <c r="J1027" i="1"/>
  <c r="K1027" i="1"/>
  <c r="L1027" i="1"/>
  <c r="J1028" i="1"/>
  <c r="K1028" i="1"/>
  <c r="L1028" i="1"/>
  <c r="J1029" i="1"/>
  <c r="K1029" i="1"/>
  <c r="L1029" i="1"/>
  <c r="J1030" i="1"/>
  <c r="K1030" i="1"/>
  <c r="L1030" i="1"/>
  <c r="J1031" i="1"/>
  <c r="K1031" i="1"/>
  <c r="L1031" i="1"/>
  <c r="J1032" i="1"/>
  <c r="K1032" i="1"/>
  <c r="L1032" i="1"/>
  <c r="J1033" i="1"/>
  <c r="K1033" i="1"/>
  <c r="L1033" i="1"/>
  <c r="J1034" i="1"/>
  <c r="K1034" i="1"/>
  <c r="L1034" i="1"/>
  <c r="J1035" i="1"/>
  <c r="K1035" i="1"/>
  <c r="L1035" i="1"/>
  <c r="J1036" i="1"/>
  <c r="K1036" i="1"/>
  <c r="L1036" i="1"/>
  <c r="J1037" i="1"/>
  <c r="K1037" i="1"/>
  <c r="L1037" i="1"/>
  <c r="J1038" i="1"/>
  <c r="K1038" i="1"/>
  <c r="L1038" i="1"/>
  <c r="J1039" i="1"/>
  <c r="K1039" i="1"/>
  <c r="L1039" i="1"/>
  <c r="J1040" i="1"/>
  <c r="K1040" i="1"/>
  <c r="L1040" i="1"/>
  <c r="J1041" i="1"/>
  <c r="K1041" i="1"/>
  <c r="L1041" i="1"/>
  <c r="J1042" i="1"/>
  <c r="K1042" i="1"/>
  <c r="L1042" i="1"/>
  <c r="J1043" i="1"/>
  <c r="K1043" i="1"/>
  <c r="L1043" i="1"/>
  <c r="J1044" i="1"/>
  <c r="K1044" i="1"/>
  <c r="L1044" i="1"/>
  <c r="J1045" i="1"/>
  <c r="K1045" i="1"/>
  <c r="L1045" i="1"/>
  <c r="J1046" i="1"/>
  <c r="K1046" i="1"/>
  <c r="L1046" i="1"/>
  <c r="J1047" i="1"/>
  <c r="K1047" i="1"/>
  <c r="L1047" i="1"/>
  <c r="J1048" i="1"/>
  <c r="K1048" i="1"/>
  <c r="L1048" i="1"/>
  <c r="J1049" i="1"/>
  <c r="K1049" i="1"/>
  <c r="L1049" i="1"/>
  <c r="J1050" i="1"/>
  <c r="K1050" i="1"/>
  <c r="L1050" i="1"/>
  <c r="J1051" i="1"/>
  <c r="K1051" i="1"/>
  <c r="L1051" i="1"/>
  <c r="J1052" i="1"/>
  <c r="K1052" i="1"/>
  <c r="L1052" i="1"/>
  <c r="J1053" i="1"/>
  <c r="K1053" i="1"/>
  <c r="L1053" i="1"/>
  <c r="J1054" i="1"/>
  <c r="K1054" i="1"/>
  <c r="L1054" i="1"/>
  <c r="J1055" i="1"/>
  <c r="K1055" i="1"/>
  <c r="L1055" i="1"/>
  <c r="J1056" i="1"/>
  <c r="K1056" i="1"/>
  <c r="L1056" i="1"/>
  <c r="J1057" i="1"/>
  <c r="K1057" i="1"/>
  <c r="L1057" i="1"/>
  <c r="J1058" i="1"/>
  <c r="K1058" i="1"/>
  <c r="L1058" i="1"/>
  <c r="J1059" i="1"/>
  <c r="K1059" i="1"/>
  <c r="L1059" i="1"/>
  <c r="J1060" i="1"/>
  <c r="K1060" i="1"/>
  <c r="L1060" i="1"/>
  <c r="J1061" i="1"/>
  <c r="K1061" i="1"/>
  <c r="L1061" i="1"/>
  <c r="J1062" i="1"/>
  <c r="K1062" i="1"/>
  <c r="L1062" i="1"/>
  <c r="J1063" i="1"/>
  <c r="K1063" i="1"/>
  <c r="L1063" i="1"/>
  <c r="J1071" i="1"/>
  <c r="K1071" i="1"/>
  <c r="L1071" i="1"/>
  <c r="J1072" i="1"/>
  <c r="K1072" i="1"/>
  <c r="L1072" i="1"/>
  <c r="J1073" i="1"/>
  <c r="K1073" i="1"/>
  <c r="L1073" i="1"/>
  <c r="J1074" i="1"/>
  <c r="K1074" i="1"/>
  <c r="L1074" i="1"/>
  <c r="J1075" i="1"/>
  <c r="K1075" i="1"/>
  <c r="L1075" i="1"/>
  <c r="J1076" i="1"/>
  <c r="K1076" i="1"/>
  <c r="L1076" i="1"/>
  <c r="J1077" i="1"/>
  <c r="K1077" i="1"/>
  <c r="L1077" i="1"/>
  <c r="J1078" i="1"/>
  <c r="K1078" i="1"/>
  <c r="L1078" i="1"/>
  <c r="J1079" i="1"/>
  <c r="K1079" i="1"/>
  <c r="L1079" i="1"/>
  <c r="J1080" i="1"/>
  <c r="K1080" i="1"/>
  <c r="L1080" i="1"/>
  <c r="J1081" i="1"/>
  <c r="K1081" i="1"/>
  <c r="L1081" i="1"/>
  <c r="J1082" i="1"/>
  <c r="K1082" i="1"/>
  <c r="L1082" i="1"/>
  <c r="J1083" i="1"/>
  <c r="K1083" i="1"/>
  <c r="L1083" i="1"/>
  <c r="J1084" i="1"/>
  <c r="K1084" i="1"/>
  <c r="L1084" i="1"/>
  <c r="J1085" i="1"/>
  <c r="K1085" i="1"/>
  <c r="L1085" i="1"/>
  <c r="J1086" i="1"/>
  <c r="K1086" i="1"/>
  <c r="L1086" i="1"/>
  <c r="J1087" i="1"/>
  <c r="K1087" i="1"/>
  <c r="L1087" i="1"/>
  <c r="J1088" i="1"/>
  <c r="K1088" i="1"/>
  <c r="L1088" i="1"/>
  <c r="J1089" i="1"/>
  <c r="K1089" i="1"/>
  <c r="L1089" i="1"/>
  <c r="J1090" i="1"/>
  <c r="K1090" i="1"/>
  <c r="L1090" i="1"/>
  <c r="J1091" i="1"/>
  <c r="K1091" i="1"/>
  <c r="L1091" i="1"/>
  <c r="J1092" i="1"/>
  <c r="K1092" i="1"/>
  <c r="L1092" i="1"/>
  <c r="J1093" i="1"/>
  <c r="K1093" i="1"/>
  <c r="L1093" i="1"/>
  <c r="J1094" i="1"/>
  <c r="K1094" i="1"/>
  <c r="L1094" i="1"/>
  <c r="J1095" i="1"/>
  <c r="K1095" i="1"/>
  <c r="L1095" i="1"/>
  <c r="J1096" i="1"/>
  <c r="K1096" i="1"/>
  <c r="L1096" i="1"/>
  <c r="J1097" i="1"/>
  <c r="K1097" i="1"/>
  <c r="L1097" i="1"/>
  <c r="J1098" i="1"/>
  <c r="K1098" i="1"/>
  <c r="L1098" i="1"/>
  <c r="J1099" i="1"/>
  <c r="K1099" i="1"/>
  <c r="L1099" i="1"/>
  <c r="J1100" i="1"/>
  <c r="K1100" i="1"/>
  <c r="L1100" i="1"/>
  <c r="J1101" i="1"/>
  <c r="K1101" i="1"/>
  <c r="L1101" i="1"/>
  <c r="J1102" i="1"/>
  <c r="K1102" i="1"/>
  <c r="L1102" i="1"/>
  <c r="J1103" i="1"/>
  <c r="K1103" i="1"/>
  <c r="L1103" i="1"/>
  <c r="J1104" i="1"/>
  <c r="K1104" i="1"/>
  <c r="L1104" i="1"/>
  <c r="J1105" i="1"/>
  <c r="K1105" i="1"/>
  <c r="L1105" i="1"/>
  <c r="J1106" i="1"/>
  <c r="K1106" i="1"/>
  <c r="L1106" i="1"/>
  <c r="J1107" i="1"/>
  <c r="K1107" i="1"/>
  <c r="L1107" i="1"/>
  <c r="J1108" i="1"/>
  <c r="K1108" i="1"/>
  <c r="L1108" i="1"/>
  <c r="J1109" i="1"/>
  <c r="K1109" i="1"/>
  <c r="L1109" i="1"/>
  <c r="J1110" i="1"/>
  <c r="K1110" i="1"/>
  <c r="L1110" i="1"/>
  <c r="J1111" i="1"/>
  <c r="K1111" i="1"/>
  <c r="L1111" i="1"/>
  <c r="J1112" i="1"/>
  <c r="K1112" i="1"/>
  <c r="L1112" i="1"/>
  <c r="J1113" i="1"/>
  <c r="K1113" i="1"/>
  <c r="L1113" i="1"/>
  <c r="J1114" i="1"/>
  <c r="K1114" i="1"/>
  <c r="L1114" i="1"/>
  <c r="J1115" i="1"/>
  <c r="K1115" i="1"/>
  <c r="L1115" i="1"/>
  <c r="J1116" i="1"/>
  <c r="K1116" i="1"/>
  <c r="L1116" i="1"/>
  <c r="J1117" i="1"/>
  <c r="K1117" i="1"/>
  <c r="L1117" i="1"/>
  <c r="J1118" i="1"/>
  <c r="K1118" i="1"/>
  <c r="L1118" i="1"/>
  <c r="J1119" i="1"/>
  <c r="K1119" i="1"/>
  <c r="L1119" i="1"/>
  <c r="J1120" i="1"/>
  <c r="K1120" i="1"/>
  <c r="L1120" i="1"/>
  <c r="J1121" i="1"/>
  <c r="K1121" i="1"/>
  <c r="L1121" i="1"/>
  <c r="J1122" i="1"/>
  <c r="K1122" i="1"/>
  <c r="L1122" i="1"/>
  <c r="J1123" i="1"/>
  <c r="K1123" i="1"/>
  <c r="L1123" i="1"/>
  <c r="J1124" i="1"/>
  <c r="K1124" i="1"/>
  <c r="L1124" i="1"/>
  <c r="J1125" i="1"/>
  <c r="K1125" i="1"/>
  <c r="L1125" i="1"/>
  <c r="J1126" i="1"/>
  <c r="K1126" i="1"/>
  <c r="L1126" i="1"/>
  <c r="J1127" i="1"/>
  <c r="K1127" i="1"/>
  <c r="L1127" i="1"/>
  <c r="J1128" i="1"/>
  <c r="K1128" i="1"/>
  <c r="L1128" i="1"/>
  <c r="J1129" i="1"/>
  <c r="K1129" i="1"/>
  <c r="L1129" i="1"/>
  <c r="J1130" i="1"/>
  <c r="K1130" i="1"/>
  <c r="L1130" i="1"/>
  <c r="J1131" i="1"/>
  <c r="K1131" i="1"/>
  <c r="L1131" i="1"/>
  <c r="J1132" i="1"/>
  <c r="K1132" i="1"/>
  <c r="L1132" i="1"/>
  <c r="J1133" i="1"/>
  <c r="K1133" i="1"/>
  <c r="L1133" i="1"/>
  <c r="J1134" i="1"/>
  <c r="K1134" i="1"/>
  <c r="L1134" i="1"/>
  <c r="J1135" i="1"/>
  <c r="K1135" i="1"/>
  <c r="L1135" i="1"/>
  <c r="J1136" i="1"/>
  <c r="K1136" i="1"/>
  <c r="L1136" i="1"/>
  <c r="J1137" i="1"/>
  <c r="K1137" i="1"/>
  <c r="L1137" i="1"/>
  <c r="J1138" i="1"/>
  <c r="K1138" i="1"/>
  <c r="L1138" i="1"/>
  <c r="J1139" i="1"/>
  <c r="K1139" i="1"/>
  <c r="L1139" i="1"/>
  <c r="J1140" i="1"/>
  <c r="K1140" i="1"/>
  <c r="L1140" i="1"/>
  <c r="J1141" i="1"/>
  <c r="K1141" i="1"/>
  <c r="L1141" i="1"/>
  <c r="J1142" i="1"/>
  <c r="K1142" i="1"/>
  <c r="L1142" i="1"/>
  <c r="J1143" i="1"/>
  <c r="K1143" i="1"/>
  <c r="L1143" i="1"/>
  <c r="J1144" i="1"/>
  <c r="K1144" i="1"/>
  <c r="L1144" i="1"/>
  <c r="J1145" i="1"/>
  <c r="K1145" i="1"/>
  <c r="L1145" i="1"/>
  <c r="J1146" i="1"/>
  <c r="K1146" i="1"/>
  <c r="L1146" i="1"/>
  <c r="J1147" i="1"/>
  <c r="K1147" i="1"/>
  <c r="L1147" i="1"/>
  <c r="J1148" i="1"/>
  <c r="K1148" i="1"/>
  <c r="L1148" i="1"/>
  <c r="J1149" i="1"/>
  <c r="K1149" i="1"/>
  <c r="L1149" i="1"/>
  <c r="J1150" i="1"/>
  <c r="K1150" i="1"/>
  <c r="L1150" i="1"/>
  <c r="J1151" i="1"/>
  <c r="K1151" i="1"/>
  <c r="L1151" i="1"/>
  <c r="J1152" i="1"/>
  <c r="K1152" i="1"/>
  <c r="L1152" i="1"/>
  <c r="J1153" i="1"/>
  <c r="K1153" i="1"/>
  <c r="L1153" i="1"/>
  <c r="J1154" i="1"/>
  <c r="K1154" i="1"/>
  <c r="L1154" i="1"/>
  <c r="J1155" i="1"/>
  <c r="K1155" i="1"/>
  <c r="L1155" i="1"/>
  <c r="J1156" i="1"/>
  <c r="K1156" i="1"/>
  <c r="L1156" i="1"/>
  <c r="J1157" i="1"/>
  <c r="K1157" i="1"/>
  <c r="L1157" i="1"/>
  <c r="J1158" i="1"/>
  <c r="K1158" i="1"/>
  <c r="L1158" i="1"/>
  <c r="J1159" i="1"/>
  <c r="K1159" i="1"/>
  <c r="L1159" i="1"/>
  <c r="J1160" i="1"/>
  <c r="K1160" i="1"/>
  <c r="L1160" i="1"/>
  <c r="J1161" i="1"/>
  <c r="K1161" i="1"/>
  <c r="L1161" i="1"/>
  <c r="J1162" i="1"/>
  <c r="K1162" i="1"/>
  <c r="L1162" i="1"/>
  <c r="J1163" i="1"/>
  <c r="K1163" i="1"/>
  <c r="L1163" i="1"/>
  <c r="J1164" i="1"/>
  <c r="K1164" i="1"/>
  <c r="L1164" i="1"/>
  <c r="J1165" i="1"/>
  <c r="K1165" i="1"/>
  <c r="L1165" i="1"/>
  <c r="J1166" i="1"/>
  <c r="K1166" i="1"/>
  <c r="L1166" i="1"/>
  <c r="J1167" i="1"/>
  <c r="K1167" i="1"/>
  <c r="L1167" i="1"/>
  <c r="J1168" i="1"/>
  <c r="K1168" i="1"/>
  <c r="L1168" i="1"/>
  <c r="J1169" i="1"/>
  <c r="K1169" i="1"/>
  <c r="L1169" i="1"/>
  <c r="J1170" i="1"/>
  <c r="K1170" i="1"/>
  <c r="L1170" i="1"/>
  <c r="J1171" i="1"/>
  <c r="K1171" i="1"/>
  <c r="L1171" i="1"/>
  <c r="J1172" i="1"/>
  <c r="K1172" i="1"/>
  <c r="L1172" i="1"/>
  <c r="J1173" i="1"/>
  <c r="K1173" i="1"/>
  <c r="L1173" i="1"/>
  <c r="J1174" i="1"/>
  <c r="K1174" i="1"/>
  <c r="L1174" i="1"/>
  <c r="J1175" i="1"/>
  <c r="K1175" i="1"/>
  <c r="L1175" i="1"/>
  <c r="J1176" i="1"/>
  <c r="K1176" i="1"/>
  <c r="L1176" i="1"/>
  <c r="J1177" i="1"/>
  <c r="K1177" i="1"/>
  <c r="L1177" i="1"/>
  <c r="J1178" i="1"/>
  <c r="K1178" i="1"/>
  <c r="L1178" i="1"/>
  <c r="J1179" i="1"/>
  <c r="K1179" i="1"/>
  <c r="L1179" i="1"/>
  <c r="J1180" i="1"/>
  <c r="K1180" i="1"/>
  <c r="L1180" i="1"/>
  <c r="J1181" i="1"/>
  <c r="K1181" i="1"/>
  <c r="L1181" i="1"/>
  <c r="J1182" i="1"/>
  <c r="K1182" i="1"/>
  <c r="L1182" i="1"/>
  <c r="J1183" i="1"/>
  <c r="K1183" i="1"/>
  <c r="L1183" i="1"/>
  <c r="J1184" i="1"/>
  <c r="K1184" i="1"/>
  <c r="L1184" i="1"/>
  <c r="J1185" i="1"/>
  <c r="K1185" i="1"/>
  <c r="L1185" i="1"/>
  <c r="J1186" i="1"/>
  <c r="K1186" i="1"/>
  <c r="L1186" i="1"/>
  <c r="J1187" i="1"/>
  <c r="K1187" i="1"/>
  <c r="L1187" i="1"/>
  <c r="J1188" i="1"/>
  <c r="K1188" i="1"/>
  <c r="L1188" i="1"/>
  <c r="J1189" i="1"/>
  <c r="K1189" i="1"/>
  <c r="L1189" i="1"/>
  <c r="J1190" i="1"/>
  <c r="K1190" i="1"/>
  <c r="L1190" i="1"/>
  <c r="J1191" i="1"/>
  <c r="K1191" i="1"/>
  <c r="L1191" i="1"/>
  <c r="J1192" i="1"/>
  <c r="K1192" i="1"/>
  <c r="L1192" i="1"/>
  <c r="J1193" i="1"/>
  <c r="K1193" i="1"/>
  <c r="L1193" i="1"/>
  <c r="J1194" i="1"/>
  <c r="K1194" i="1"/>
  <c r="L1194" i="1"/>
  <c r="J1195" i="1"/>
  <c r="K1195" i="1"/>
  <c r="L1195" i="1"/>
  <c r="J1196" i="1"/>
  <c r="K1196" i="1"/>
  <c r="L1196" i="1"/>
  <c r="J1197" i="1"/>
  <c r="K1197" i="1"/>
  <c r="L1197" i="1"/>
  <c r="J1198" i="1"/>
  <c r="K1198" i="1"/>
  <c r="L1198" i="1"/>
  <c r="J1199" i="1"/>
  <c r="K1199" i="1"/>
  <c r="L1199" i="1"/>
  <c r="J1200" i="1"/>
  <c r="K1200" i="1"/>
  <c r="L1200" i="1"/>
  <c r="J1201" i="1"/>
  <c r="K1201" i="1"/>
  <c r="L1201" i="1"/>
  <c r="J1202" i="1"/>
  <c r="K1202" i="1"/>
  <c r="L1202" i="1"/>
  <c r="J1203" i="1"/>
  <c r="K1203" i="1"/>
  <c r="L1203" i="1"/>
  <c r="J1204" i="1"/>
  <c r="K1204" i="1"/>
  <c r="L1204" i="1"/>
  <c r="J1205" i="1"/>
  <c r="K1205" i="1"/>
  <c r="L1205" i="1"/>
  <c r="J1206" i="1"/>
  <c r="K1206" i="1"/>
  <c r="L1206" i="1"/>
  <c r="J1207" i="1"/>
  <c r="K1207" i="1"/>
  <c r="L1207" i="1"/>
  <c r="J1208" i="1"/>
  <c r="K1208" i="1"/>
  <c r="L1208" i="1"/>
  <c r="J1209" i="1"/>
  <c r="K1209" i="1"/>
  <c r="L1209" i="1"/>
  <c r="J1210" i="1"/>
  <c r="K1210" i="1"/>
  <c r="L1210" i="1"/>
  <c r="J1211" i="1"/>
  <c r="K1211" i="1"/>
  <c r="L1211" i="1"/>
  <c r="J1212" i="1"/>
  <c r="K1212" i="1"/>
  <c r="L1212" i="1"/>
  <c r="J1213" i="1"/>
  <c r="K1213" i="1"/>
  <c r="L1213" i="1"/>
  <c r="J1214" i="1"/>
  <c r="K1214" i="1"/>
  <c r="L1214" i="1"/>
  <c r="J1215" i="1"/>
  <c r="K1215" i="1"/>
  <c r="L1215" i="1"/>
  <c r="J1217" i="1"/>
  <c r="K1217" i="1"/>
  <c r="L1217" i="1"/>
  <c r="J1218" i="1"/>
  <c r="K1218" i="1"/>
  <c r="L1218" i="1"/>
  <c r="J1219" i="1"/>
  <c r="K1219" i="1"/>
  <c r="L1219" i="1"/>
  <c r="J1220" i="1"/>
  <c r="K1220" i="1"/>
  <c r="L1220" i="1"/>
  <c r="J1221" i="1"/>
  <c r="K1221" i="1"/>
  <c r="L1221" i="1"/>
  <c r="J1222" i="1"/>
  <c r="K1222" i="1"/>
  <c r="L1222" i="1"/>
  <c r="J1223" i="1"/>
  <c r="K1223" i="1"/>
  <c r="L1223" i="1"/>
  <c r="J1224" i="1"/>
  <c r="K1224" i="1"/>
  <c r="L1224" i="1"/>
  <c r="J1225" i="1"/>
  <c r="K1225" i="1"/>
  <c r="L1225" i="1"/>
  <c r="J1226" i="1"/>
  <c r="K1226" i="1"/>
  <c r="L1226" i="1"/>
  <c r="J1227" i="1"/>
  <c r="K1227" i="1"/>
  <c r="L1227" i="1"/>
  <c r="J1235" i="1"/>
  <c r="K1235" i="1"/>
  <c r="L1235" i="1"/>
  <c r="J1236" i="1"/>
  <c r="K1236" i="1"/>
  <c r="L1236" i="1"/>
  <c r="J1237" i="1"/>
  <c r="K1237" i="1"/>
  <c r="L1237" i="1"/>
  <c r="J1238" i="1"/>
  <c r="K1238" i="1"/>
  <c r="L1238" i="1"/>
  <c r="J1239" i="1"/>
  <c r="K1239" i="1"/>
  <c r="L1239" i="1"/>
  <c r="J1240" i="1"/>
  <c r="K1240" i="1"/>
  <c r="L1240" i="1"/>
  <c r="J1241" i="1"/>
  <c r="K1241" i="1"/>
  <c r="L1241" i="1"/>
  <c r="J1242" i="1"/>
  <c r="K1242" i="1"/>
  <c r="L1242" i="1"/>
  <c r="J1243" i="1"/>
  <c r="K1243" i="1"/>
  <c r="L1243" i="1"/>
  <c r="J1244" i="1"/>
  <c r="K1244" i="1"/>
  <c r="L1244" i="1"/>
  <c r="J1245" i="1"/>
  <c r="K1245" i="1"/>
  <c r="L1245" i="1"/>
  <c r="J1246" i="1"/>
  <c r="K1246" i="1"/>
  <c r="L1246" i="1"/>
  <c r="J1247" i="1"/>
  <c r="K1247" i="1"/>
  <c r="L1247" i="1"/>
  <c r="J1248" i="1"/>
  <c r="K1248" i="1"/>
  <c r="L1248" i="1"/>
  <c r="J1249" i="1"/>
  <c r="K1249" i="1"/>
  <c r="L1249" i="1"/>
  <c r="J1250" i="1"/>
  <c r="K1250" i="1"/>
  <c r="L1250" i="1"/>
  <c r="J1251" i="1"/>
  <c r="K1251" i="1"/>
  <c r="L1251" i="1"/>
  <c r="J1252" i="1"/>
  <c r="K1252" i="1"/>
  <c r="L1252" i="1"/>
  <c r="J1253" i="1"/>
  <c r="K1253" i="1"/>
  <c r="L1253" i="1"/>
  <c r="J1254" i="1"/>
  <c r="K1254" i="1"/>
  <c r="L1254" i="1"/>
  <c r="J1255" i="1"/>
  <c r="K1255" i="1"/>
  <c r="L1255" i="1"/>
  <c r="J1256" i="1"/>
  <c r="K1256" i="1"/>
  <c r="L1256" i="1"/>
  <c r="J1257" i="1"/>
  <c r="K1257" i="1"/>
  <c r="L1257" i="1"/>
  <c r="J1258" i="1"/>
  <c r="K1258" i="1"/>
  <c r="L1258" i="1"/>
  <c r="J1259" i="1"/>
  <c r="K1259" i="1"/>
  <c r="L1259" i="1"/>
  <c r="J1260" i="1"/>
  <c r="K1260" i="1"/>
  <c r="L1260" i="1"/>
  <c r="J1261" i="1"/>
  <c r="K1261" i="1"/>
  <c r="L1261" i="1"/>
  <c r="J1262" i="1"/>
  <c r="K1262" i="1"/>
  <c r="L1262" i="1"/>
  <c r="J1263" i="1"/>
  <c r="K1263" i="1"/>
  <c r="L1263" i="1"/>
  <c r="J1264" i="1"/>
  <c r="K1264" i="1"/>
  <c r="L1264" i="1"/>
  <c r="J1265" i="1"/>
  <c r="K1265" i="1"/>
  <c r="L1265" i="1"/>
  <c r="J1266" i="1"/>
  <c r="K1266" i="1"/>
  <c r="L1266" i="1"/>
  <c r="J1267" i="1"/>
  <c r="K1267" i="1"/>
  <c r="L1267" i="1"/>
  <c r="J1268" i="1"/>
  <c r="K1268" i="1"/>
  <c r="L1268" i="1"/>
  <c r="J1269" i="1"/>
  <c r="K1269" i="1"/>
  <c r="L1269" i="1"/>
  <c r="J1270" i="1"/>
  <c r="K1270" i="1"/>
  <c r="L1270" i="1"/>
  <c r="J1271" i="1"/>
  <c r="K1271" i="1"/>
  <c r="L1271" i="1"/>
  <c r="J1272" i="1"/>
  <c r="K1272" i="1"/>
  <c r="L1272" i="1"/>
  <c r="J1273" i="1"/>
  <c r="K1273" i="1"/>
  <c r="L1273" i="1"/>
  <c r="J1274" i="1"/>
  <c r="K1274" i="1"/>
  <c r="L1274" i="1"/>
  <c r="J1275" i="1"/>
  <c r="K1275" i="1"/>
  <c r="L1275" i="1"/>
  <c r="J1276" i="1"/>
  <c r="K1276" i="1"/>
  <c r="L1276" i="1"/>
  <c r="J1277" i="1"/>
  <c r="K1277" i="1"/>
  <c r="L1277" i="1"/>
  <c r="J1278" i="1"/>
  <c r="K1278" i="1"/>
  <c r="L1278" i="1"/>
  <c r="J1279" i="1"/>
  <c r="K1279" i="1"/>
  <c r="L1279" i="1"/>
  <c r="J1284" i="1"/>
  <c r="K1284" i="1"/>
  <c r="L1284" i="1"/>
  <c r="J1285" i="1"/>
  <c r="K1285" i="1"/>
  <c r="L1285" i="1"/>
  <c r="J1286" i="1"/>
  <c r="K1286" i="1"/>
  <c r="L1286" i="1"/>
  <c r="J1287" i="1"/>
  <c r="K1287" i="1"/>
  <c r="L1287" i="1"/>
  <c r="J1288" i="1"/>
  <c r="K1288" i="1"/>
  <c r="L1288" i="1"/>
  <c r="J1289" i="1"/>
  <c r="K1289" i="1"/>
  <c r="L1289" i="1"/>
  <c r="J1290" i="1"/>
  <c r="K1290" i="1"/>
  <c r="L1290" i="1"/>
  <c r="J1291" i="1"/>
  <c r="K1291" i="1"/>
  <c r="L1291" i="1"/>
  <c r="J1292" i="1"/>
  <c r="K1292" i="1"/>
  <c r="L1292" i="1"/>
  <c r="J1293" i="1"/>
  <c r="K1293" i="1"/>
  <c r="L1293" i="1"/>
  <c r="J1294" i="1"/>
  <c r="K1294" i="1"/>
  <c r="L1294" i="1"/>
  <c r="J1295" i="1"/>
  <c r="K1295" i="1"/>
  <c r="L1295" i="1"/>
  <c r="J1296" i="1"/>
  <c r="K1296" i="1"/>
  <c r="L1296" i="1"/>
  <c r="J1297" i="1"/>
  <c r="K1297" i="1"/>
  <c r="L1297" i="1"/>
  <c r="J1298" i="1"/>
  <c r="K1298" i="1"/>
  <c r="L1298" i="1"/>
  <c r="J1299" i="1"/>
  <c r="K1299" i="1"/>
  <c r="L1299" i="1"/>
  <c r="J1300" i="1"/>
  <c r="K1300" i="1"/>
  <c r="L1300" i="1"/>
  <c r="J1301" i="1"/>
  <c r="K1301" i="1"/>
  <c r="L1301" i="1"/>
  <c r="J1302" i="1"/>
  <c r="K1302" i="1"/>
  <c r="L1302" i="1"/>
  <c r="J1303" i="1"/>
  <c r="K1303" i="1"/>
  <c r="L1303" i="1"/>
  <c r="J1304" i="1"/>
  <c r="K1304" i="1"/>
  <c r="L1304" i="1"/>
  <c r="J1305" i="1"/>
  <c r="K1305" i="1"/>
  <c r="L1305" i="1"/>
  <c r="J1306" i="1"/>
  <c r="K1306" i="1"/>
  <c r="L1306" i="1"/>
  <c r="J1307" i="1"/>
  <c r="K1307" i="1"/>
  <c r="L1307" i="1"/>
  <c r="J1308" i="1"/>
  <c r="K1308" i="1"/>
  <c r="L1308" i="1"/>
  <c r="J1309" i="1"/>
  <c r="K1309" i="1"/>
  <c r="L1309" i="1"/>
  <c r="J1310" i="1"/>
  <c r="K1310" i="1"/>
  <c r="L1310" i="1"/>
  <c r="J1311" i="1"/>
  <c r="K1311" i="1"/>
  <c r="L1311" i="1"/>
  <c r="J1312" i="1"/>
  <c r="K1312" i="1"/>
  <c r="L1312" i="1"/>
  <c r="J1313" i="1"/>
  <c r="K1313" i="1"/>
  <c r="L1313" i="1"/>
  <c r="J1314" i="1"/>
  <c r="K1314" i="1"/>
  <c r="L1314" i="1"/>
  <c r="J1315" i="1"/>
  <c r="K1315" i="1"/>
  <c r="L1315" i="1"/>
  <c r="J1316" i="1"/>
  <c r="K1316" i="1"/>
  <c r="L1316" i="1"/>
  <c r="J1317" i="1"/>
  <c r="K1317" i="1"/>
  <c r="L1317" i="1"/>
  <c r="J1318" i="1"/>
  <c r="K1318" i="1"/>
  <c r="L1318" i="1"/>
  <c r="J1319" i="1"/>
  <c r="K1319" i="1"/>
  <c r="L1319" i="1"/>
  <c r="J1320" i="1"/>
  <c r="K1320" i="1"/>
  <c r="L1320" i="1"/>
  <c r="J1321" i="1"/>
  <c r="K1321" i="1"/>
  <c r="L1321" i="1"/>
  <c r="J1322" i="1"/>
  <c r="K1322" i="1"/>
  <c r="L1322" i="1"/>
  <c r="J1323" i="1"/>
  <c r="K1323" i="1"/>
  <c r="L1323" i="1"/>
  <c r="J1324" i="1"/>
  <c r="K1324" i="1"/>
  <c r="L1324" i="1"/>
  <c r="J1325" i="1"/>
  <c r="K1325" i="1"/>
  <c r="L1325" i="1"/>
  <c r="J1326" i="1"/>
  <c r="K1326" i="1"/>
  <c r="L1326" i="1"/>
  <c r="J1327" i="1"/>
  <c r="K1327" i="1"/>
  <c r="L1327" i="1"/>
  <c r="J1328" i="1"/>
  <c r="K1328" i="1"/>
  <c r="L1328" i="1"/>
  <c r="J1329" i="1"/>
  <c r="K1329" i="1"/>
  <c r="L1329" i="1"/>
  <c r="J1330" i="1"/>
  <c r="K1330" i="1"/>
  <c r="L1330" i="1"/>
  <c r="J1331" i="1"/>
  <c r="K1331" i="1"/>
  <c r="L1331" i="1"/>
  <c r="J1332" i="1"/>
  <c r="K1332" i="1"/>
  <c r="L1332" i="1"/>
  <c r="J1333" i="1"/>
  <c r="K1333" i="1"/>
  <c r="L1333" i="1"/>
  <c r="J1334" i="1"/>
  <c r="K1334" i="1"/>
  <c r="L1334" i="1"/>
  <c r="J1335" i="1"/>
  <c r="K1335" i="1"/>
  <c r="L1335" i="1"/>
  <c r="J1336" i="1"/>
  <c r="K1336" i="1"/>
  <c r="L1336" i="1"/>
  <c r="J1337" i="1"/>
  <c r="K1337" i="1"/>
  <c r="L1337" i="1"/>
  <c r="J1338" i="1"/>
  <c r="K1338" i="1"/>
  <c r="L1338" i="1"/>
  <c r="J1339" i="1"/>
  <c r="K1339" i="1"/>
  <c r="L1339" i="1"/>
  <c r="J1340" i="1"/>
  <c r="K1340" i="1"/>
  <c r="L1340" i="1"/>
  <c r="J1341" i="1"/>
  <c r="K1341" i="1"/>
  <c r="L1341" i="1"/>
  <c r="J1342" i="1"/>
  <c r="K1342" i="1"/>
  <c r="L1342" i="1"/>
  <c r="J1343" i="1"/>
  <c r="K1343" i="1"/>
  <c r="L1343" i="1"/>
  <c r="J1344" i="1"/>
  <c r="K1344" i="1"/>
  <c r="L1344" i="1"/>
  <c r="J1345" i="1"/>
  <c r="K1345" i="1"/>
  <c r="L1345" i="1"/>
  <c r="J1346" i="1"/>
  <c r="K1346" i="1"/>
  <c r="L1346" i="1"/>
  <c r="J1347" i="1"/>
  <c r="K1347" i="1"/>
  <c r="L1347" i="1"/>
  <c r="J1348" i="1"/>
  <c r="K1348" i="1"/>
  <c r="L1348" i="1"/>
  <c r="J1349" i="1"/>
  <c r="K1349" i="1"/>
  <c r="L1349" i="1"/>
  <c r="J1350" i="1"/>
  <c r="K1350" i="1"/>
  <c r="L1350" i="1"/>
  <c r="J1376" i="1"/>
  <c r="K1376" i="1"/>
  <c r="L1376" i="1"/>
  <c r="J1377" i="1"/>
  <c r="K1377" i="1"/>
  <c r="L1377" i="1"/>
  <c r="J1378" i="1"/>
  <c r="K1378" i="1"/>
  <c r="L1378" i="1"/>
  <c r="J1379" i="1"/>
  <c r="K1379" i="1"/>
  <c r="L1379" i="1"/>
  <c r="J1380" i="1"/>
  <c r="K1380" i="1"/>
  <c r="L1380" i="1"/>
  <c r="J1381" i="1"/>
  <c r="K1381" i="1"/>
  <c r="L1381" i="1"/>
  <c r="J1383" i="1"/>
  <c r="K1383" i="1"/>
  <c r="L1383" i="1"/>
  <c r="J1384" i="1"/>
  <c r="K1384" i="1"/>
  <c r="L1384" i="1"/>
  <c r="J1385" i="1"/>
  <c r="K1385" i="1"/>
  <c r="L1385" i="1"/>
  <c r="J1386" i="1"/>
  <c r="K1386" i="1"/>
  <c r="L1386" i="1"/>
  <c r="J1387" i="1"/>
  <c r="K1387" i="1"/>
  <c r="L1387" i="1"/>
  <c r="J1388" i="1"/>
  <c r="K1388" i="1"/>
  <c r="L1388" i="1"/>
  <c r="J1389" i="1"/>
  <c r="K1389" i="1"/>
  <c r="L1389" i="1"/>
  <c r="J1390" i="1"/>
  <c r="K1390" i="1"/>
  <c r="L1390" i="1"/>
  <c r="J1391" i="1"/>
  <c r="K1391" i="1"/>
  <c r="L1391" i="1"/>
  <c r="J1392" i="1"/>
  <c r="K1392" i="1"/>
  <c r="L1392" i="1"/>
  <c r="J1393" i="1"/>
  <c r="K1393" i="1"/>
  <c r="L1393" i="1"/>
  <c r="J1394" i="1"/>
  <c r="K1394" i="1"/>
  <c r="L1394" i="1"/>
  <c r="J1395" i="1"/>
  <c r="K1395" i="1"/>
  <c r="L1395" i="1"/>
  <c r="J1396" i="1"/>
  <c r="K1396" i="1"/>
  <c r="L1396" i="1"/>
  <c r="J1397" i="1"/>
  <c r="K1397" i="1"/>
  <c r="L1397" i="1"/>
  <c r="J1398" i="1"/>
  <c r="K1398" i="1"/>
  <c r="L1398" i="1"/>
  <c r="J1399" i="1"/>
  <c r="K1399" i="1"/>
  <c r="L1399" i="1"/>
  <c r="J1400" i="1"/>
  <c r="K1400" i="1"/>
  <c r="L1400" i="1"/>
  <c r="J1401" i="1"/>
  <c r="K1401" i="1"/>
  <c r="L1401" i="1"/>
  <c r="J1402" i="1"/>
  <c r="K1402" i="1"/>
  <c r="L1402" i="1"/>
  <c r="J1403" i="1"/>
  <c r="K1403" i="1"/>
  <c r="L1403" i="1"/>
  <c r="J1404" i="1"/>
  <c r="K1404" i="1"/>
  <c r="L1404" i="1"/>
  <c r="J1405" i="1"/>
  <c r="K1405" i="1"/>
  <c r="L1405" i="1"/>
  <c r="O1388" i="1"/>
  <c r="P1388" i="1"/>
  <c r="S1388" i="1"/>
  <c r="T1388" i="1"/>
  <c r="AV1388" i="1" s="1"/>
  <c r="O1389" i="1"/>
  <c r="P1389" i="1"/>
  <c r="T1389" i="1"/>
  <c r="AV1389" i="1" s="1"/>
  <c r="O1390" i="1"/>
  <c r="P1390" i="1"/>
  <c r="S1390" i="1"/>
  <c r="T1390" i="1"/>
  <c r="AV1390" i="1" s="1"/>
  <c r="O1391" i="1"/>
  <c r="P1391" i="1"/>
  <c r="Q1391" i="1"/>
  <c r="T1391" i="1"/>
  <c r="AV1391" i="1" s="1"/>
  <c r="O1392" i="1"/>
  <c r="P1392" i="1"/>
  <c r="Q1392" i="1"/>
  <c r="S1392" i="1"/>
  <c r="M23" i="109" s="1"/>
  <c r="T1392" i="1"/>
  <c r="AV1392" i="1" s="1"/>
  <c r="O1393" i="1"/>
  <c r="P1393" i="1"/>
  <c r="Q1393" i="1"/>
  <c r="S1393" i="1"/>
  <c r="T1393" i="1"/>
  <c r="AV1393" i="1" s="1"/>
  <c r="O1394" i="1"/>
  <c r="P1394" i="1"/>
  <c r="T1394" i="1"/>
  <c r="AV1394" i="1" s="1"/>
  <c r="O1395" i="1"/>
  <c r="P1395" i="1"/>
  <c r="T1395" i="1"/>
  <c r="AV1395" i="1" s="1"/>
  <c r="O1396" i="1"/>
  <c r="P1396" i="1"/>
  <c r="T1396" i="1"/>
  <c r="AV1396" i="1" s="1"/>
  <c r="O1397" i="1"/>
  <c r="P1397" i="1"/>
  <c r="T1397" i="1"/>
  <c r="AV1397" i="1" s="1"/>
  <c r="O1398" i="1"/>
  <c r="P1398" i="1"/>
  <c r="Q1398" i="1"/>
  <c r="T1398" i="1"/>
  <c r="AV1398" i="1" s="1"/>
  <c r="O1399" i="1"/>
  <c r="P1399" i="1"/>
  <c r="Q1399" i="1"/>
  <c r="T1399" i="1"/>
  <c r="AV1399" i="1" s="1"/>
  <c r="O1400" i="1"/>
  <c r="P1400" i="1"/>
  <c r="Q1400" i="1"/>
  <c r="T1400" i="1"/>
  <c r="AV1400" i="1" s="1"/>
  <c r="O1401" i="1"/>
  <c r="P1401" i="1"/>
  <c r="Q1401" i="1"/>
  <c r="S1401" i="1"/>
  <c r="T1401" i="1"/>
  <c r="AV1401" i="1" s="1"/>
  <c r="O1402" i="1"/>
  <c r="P1402" i="1"/>
  <c r="Q1402" i="1"/>
  <c r="T1402" i="1"/>
  <c r="AV1402" i="1" s="1"/>
  <c r="O1403" i="1"/>
  <c r="P1403" i="1"/>
  <c r="Q1403" i="1"/>
  <c r="T1403" i="1"/>
  <c r="AV1403" i="1" s="1"/>
  <c r="O1404" i="1"/>
  <c r="P1404" i="1"/>
  <c r="Q1404" i="1"/>
  <c r="T1404" i="1"/>
  <c r="AV1404" i="1" s="1"/>
  <c r="O1405" i="1"/>
  <c r="P1405" i="1"/>
  <c r="Q1405" i="1"/>
  <c r="T1405" i="1"/>
  <c r="AV1405" i="1" s="1"/>
  <c r="O1318" i="1"/>
  <c r="Q1318" i="1" s="1"/>
  <c r="P1318" i="1"/>
  <c r="O1319" i="1"/>
  <c r="O1320" i="1"/>
  <c r="P1320" i="1"/>
  <c r="Q1320" i="1"/>
  <c r="S1320" i="1"/>
  <c r="O1321" i="1"/>
  <c r="P1321" i="1" s="1"/>
  <c r="O1322" i="1"/>
  <c r="P1322" i="1" s="1"/>
  <c r="O1323" i="1"/>
  <c r="Q1323" i="1" s="1"/>
  <c r="P1323" i="1"/>
  <c r="O1324" i="1"/>
  <c r="P1324" i="1" s="1"/>
  <c r="Q1324" i="1"/>
  <c r="O1325" i="1"/>
  <c r="P1325" i="1" s="1"/>
  <c r="O1326" i="1"/>
  <c r="P1326" i="1" s="1"/>
  <c r="O1327" i="1"/>
  <c r="Q1327" i="1" s="1"/>
  <c r="P1327" i="1"/>
  <c r="O1328" i="1"/>
  <c r="P1328" i="1" s="1"/>
  <c r="Q1328" i="1"/>
  <c r="S1328" i="1"/>
  <c r="O1329" i="1"/>
  <c r="Q1329" i="1" s="1"/>
  <c r="P1329" i="1"/>
  <c r="O1330" i="1"/>
  <c r="P1330" i="1" s="1"/>
  <c r="O1331" i="1"/>
  <c r="Q1331" i="1" s="1"/>
  <c r="P1331" i="1"/>
  <c r="O1332" i="1"/>
  <c r="P1332" i="1" s="1"/>
  <c r="Q1332" i="1"/>
  <c r="O1333" i="1"/>
  <c r="P1333" i="1" s="1"/>
  <c r="O1334" i="1"/>
  <c r="Q1334" i="1" s="1"/>
  <c r="P1334" i="1"/>
  <c r="O1335" i="1"/>
  <c r="O1336" i="1"/>
  <c r="P1336" i="1" s="1"/>
  <c r="Q1336" i="1"/>
  <c r="S1336" i="1"/>
  <c r="O1337" i="1"/>
  <c r="P1337" i="1" s="1"/>
  <c r="O1338" i="1"/>
  <c r="P1338" i="1" s="1"/>
  <c r="O1339" i="1"/>
  <c r="S1339" i="1"/>
  <c r="O1340" i="1"/>
  <c r="P1340" i="1" s="1"/>
  <c r="Q1340" i="1"/>
  <c r="O1341" i="1"/>
  <c r="P1341" i="1" s="1"/>
  <c r="O1342" i="1"/>
  <c r="P1342" i="1" s="1"/>
  <c r="O1343" i="1"/>
  <c r="Q1343" i="1" s="1"/>
  <c r="P1343" i="1"/>
  <c r="O1344" i="1"/>
  <c r="P1344" i="1"/>
  <c r="Q1344" i="1"/>
  <c r="O1345" i="1"/>
  <c r="P1345" i="1" s="1"/>
  <c r="O1346" i="1"/>
  <c r="Q1346" i="1" s="1"/>
  <c r="P1346" i="1"/>
  <c r="O1347" i="1"/>
  <c r="Q1347" i="1" s="1"/>
  <c r="P1347" i="1"/>
  <c r="O1348" i="1"/>
  <c r="P1348" i="1"/>
  <c r="Q1348" i="1"/>
  <c r="O1349" i="1"/>
  <c r="Q1349" i="1" s="1"/>
  <c r="P1349" i="1"/>
  <c r="O1350" i="1"/>
  <c r="Q1350" i="1" s="1"/>
  <c r="P1350" i="1"/>
  <c r="Q1376" i="1"/>
  <c r="S1376" i="1"/>
  <c r="T1376" i="1"/>
  <c r="AV1376" i="1" s="1"/>
  <c r="T1377" i="1"/>
  <c r="T1378" i="1"/>
  <c r="T1379" i="1"/>
  <c r="T1380" i="1"/>
  <c r="T1381" i="1"/>
  <c r="T1383" i="1"/>
  <c r="AV1383" i="1" s="1"/>
  <c r="Q1384" i="1"/>
  <c r="S1384" i="1"/>
  <c r="T1384" i="1"/>
  <c r="AV1384" i="1" s="1"/>
  <c r="P1385" i="1"/>
  <c r="Q1385" i="1"/>
  <c r="T1385" i="1"/>
  <c r="AV1385" i="1" s="1"/>
  <c r="P1386" i="1"/>
  <c r="Q1386" i="1"/>
  <c r="T1386" i="1"/>
  <c r="AV1386" i="1" s="1"/>
  <c r="O3" i="1"/>
  <c r="P3" i="1" s="1"/>
  <c r="Q3" i="1"/>
  <c r="R3" i="1"/>
  <c r="S3" i="1" s="1"/>
  <c r="T3" i="1"/>
  <c r="AV3" i="1" s="1"/>
  <c r="O4" i="1"/>
  <c r="P4" i="1"/>
  <c r="Q4" i="1"/>
  <c r="R4" i="1"/>
  <c r="S4" i="1" s="1"/>
  <c r="T4" i="1"/>
  <c r="AV4" i="1" s="1"/>
  <c r="O5" i="1"/>
  <c r="P5" i="1"/>
  <c r="Q5" i="1"/>
  <c r="R5" i="1"/>
  <c r="S5" i="1" s="1"/>
  <c r="T5" i="1"/>
  <c r="AV5" i="1" s="1"/>
  <c r="O6" i="1"/>
  <c r="P6" i="1"/>
  <c r="Q6" i="1"/>
  <c r="R6" i="1"/>
  <c r="S6" i="1" s="1"/>
  <c r="T6" i="1"/>
  <c r="AV6" i="1" s="1"/>
  <c r="O7" i="1"/>
  <c r="P7" i="1"/>
  <c r="Q7" i="1"/>
  <c r="R7" i="1"/>
  <c r="S7" i="1" s="1"/>
  <c r="T7" i="1"/>
  <c r="AV7" i="1" s="1"/>
  <c r="O8" i="1"/>
  <c r="P8" i="1"/>
  <c r="Q8" i="1"/>
  <c r="R8" i="1"/>
  <c r="S8" i="1" s="1"/>
  <c r="T8" i="1"/>
  <c r="AV8" i="1" s="1"/>
  <c r="O9" i="1"/>
  <c r="P9" i="1"/>
  <c r="Q9" i="1"/>
  <c r="R9" i="1"/>
  <c r="S9" i="1" s="1"/>
  <c r="T9" i="1"/>
  <c r="O10" i="1"/>
  <c r="P10" i="1"/>
  <c r="Q10" i="1"/>
  <c r="R10" i="1"/>
  <c r="S10" i="1" s="1"/>
  <c r="T10" i="1"/>
  <c r="O11" i="1"/>
  <c r="P11" i="1"/>
  <c r="Q11" i="1"/>
  <c r="R11" i="1"/>
  <c r="S11" i="1" s="1"/>
  <c r="T11" i="1"/>
  <c r="O12" i="1"/>
  <c r="P12" i="1"/>
  <c r="Q12" i="1"/>
  <c r="R12" i="1"/>
  <c r="S12" i="1" s="1"/>
  <c r="T12" i="1"/>
  <c r="O13" i="1"/>
  <c r="P13" i="1" s="1"/>
  <c r="R13" i="1"/>
  <c r="S13" i="1" s="1"/>
  <c r="O14" i="1"/>
  <c r="P14" i="1"/>
  <c r="Q14" i="1"/>
  <c r="R14" i="1"/>
  <c r="S14" i="1" s="1"/>
  <c r="T14" i="1" s="1"/>
  <c r="AV14" i="1" s="1"/>
  <c r="O15" i="1"/>
  <c r="P15" i="1"/>
  <c r="Q15" i="1"/>
  <c r="R15" i="1"/>
  <c r="S15" i="1" s="1"/>
  <c r="T15" i="1"/>
  <c r="O16" i="1"/>
  <c r="R16" i="1"/>
  <c r="S16" i="1" s="1"/>
  <c r="O17" i="1"/>
  <c r="P17" i="1"/>
  <c r="Q17" i="1"/>
  <c r="R17" i="1"/>
  <c r="S17" i="1" s="1"/>
  <c r="T17" i="1"/>
  <c r="O18" i="1"/>
  <c r="P18" i="1" s="1"/>
  <c r="R18" i="1"/>
  <c r="S18" i="1" s="1"/>
  <c r="O19" i="1"/>
  <c r="P19" i="1" s="1"/>
  <c r="R19" i="1"/>
  <c r="S19" i="1" s="1"/>
  <c r="T19" i="1"/>
  <c r="O20" i="1"/>
  <c r="R20" i="1"/>
  <c r="S20" i="1" s="1"/>
  <c r="O21" i="1"/>
  <c r="P21" i="1" s="1"/>
  <c r="R21" i="1"/>
  <c r="S21" i="1" s="1"/>
  <c r="T21" i="1"/>
  <c r="O22" i="1"/>
  <c r="P22" i="1"/>
  <c r="Q22" i="1"/>
  <c r="R22" i="1"/>
  <c r="S22" i="1" s="1"/>
  <c r="T22" i="1"/>
  <c r="O23" i="1"/>
  <c r="P23" i="1"/>
  <c r="Q23" i="1"/>
  <c r="R23" i="1"/>
  <c r="S23" i="1" s="1"/>
  <c r="T23" i="1"/>
  <c r="O24" i="1"/>
  <c r="P24" i="1"/>
  <c r="Q24" i="1"/>
  <c r="R24" i="1"/>
  <c r="S24" i="1" s="1"/>
  <c r="T24" i="1"/>
  <c r="AV24" i="1" s="1"/>
  <c r="O25" i="1"/>
  <c r="P25" i="1"/>
  <c r="Q25" i="1"/>
  <c r="R25" i="1"/>
  <c r="S25" i="1" s="1"/>
  <c r="T25" i="1"/>
  <c r="AV25" i="1" s="1"/>
  <c r="O26" i="1"/>
  <c r="P26" i="1" s="1"/>
  <c r="Q26" i="1"/>
  <c r="R26" i="1"/>
  <c r="S26" i="1" s="1"/>
  <c r="T26" i="1"/>
  <c r="O27" i="1"/>
  <c r="P27" i="1" s="1"/>
  <c r="Q27" i="1"/>
  <c r="T27" i="1"/>
  <c r="AV27" i="1" s="1"/>
  <c r="O28" i="1"/>
  <c r="P28" i="1" s="1"/>
  <c r="Q28" i="1"/>
  <c r="R28" i="1"/>
  <c r="S28" i="1" s="1"/>
  <c r="T28" i="1"/>
  <c r="O29" i="1"/>
  <c r="P29" i="1" s="1"/>
  <c r="Q29" i="1"/>
  <c r="R29" i="1"/>
  <c r="S29" i="1" s="1"/>
  <c r="T29" i="1"/>
  <c r="O30" i="1"/>
  <c r="P30" i="1" s="1"/>
  <c r="Q30" i="1"/>
  <c r="R30" i="1"/>
  <c r="S30" i="1" s="1"/>
  <c r="T30" i="1"/>
  <c r="O31" i="1"/>
  <c r="P31" i="1" s="1"/>
  <c r="Q31" i="1"/>
  <c r="R31" i="1"/>
  <c r="S31" i="1" s="1"/>
  <c r="T31" i="1"/>
  <c r="O32" i="1"/>
  <c r="P32" i="1" s="1"/>
  <c r="Q32" i="1"/>
  <c r="R32" i="1"/>
  <c r="S32" i="1" s="1"/>
  <c r="T32" i="1"/>
  <c r="O33" i="1"/>
  <c r="P33" i="1" s="1"/>
  <c r="Q33" i="1"/>
  <c r="R33" i="1"/>
  <c r="S33" i="1" s="1"/>
  <c r="T33" i="1"/>
  <c r="O34" i="1"/>
  <c r="P34" i="1" s="1"/>
  <c r="Q34" i="1"/>
  <c r="R34" i="1"/>
  <c r="S34" i="1" s="1"/>
  <c r="T34" i="1"/>
  <c r="O35" i="1"/>
  <c r="P35" i="1" s="1"/>
  <c r="R35" i="1" s="1"/>
  <c r="S35" i="1" s="1"/>
  <c r="Q35" i="1"/>
  <c r="T35" i="1"/>
  <c r="AV35" i="1" s="1"/>
  <c r="O36" i="1"/>
  <c r="P36" i="1"/>
  <c r="Q36" i="1"/>
  <c r="R36" i="1"/>
  <c r="S36" i="1" s="1"/>
  <c r="T36" i="1"/>
  <c r="AV36" i="1" s="1"/>
  <c r="O37" i="1"/>
  <c r="P37" i="1" s="1"/>
  <c r="Q37" i="1"/>
  <c r="T37" i="1"/>
  <c r="AV37" i="1" s="1"/>
  <c r="O38" i="1"/>
  <c r="P38" i="1" s="1"/>
  <c r="Q38" i="1"/>
  <c r="R38" i="1"/>
  <c r="S38" i="1" s="1"/>
  <c r="T38" i="1"/>
  <c r="O39" i="1"/>
  <c r="P39" i="1" s="1"/>
  <c r="Q39" i="1"/>
  <c r="R39" i="1"/>
  <c r="S39" i="1" s="1"/>
  <c r="T39" i="1"/>
  <c r="O40" i="1"/>
  <c r="P40" i="1"/>
  <c r="Q40" i="1"/>
  <c r="R40" i="1"/>
  <c r="S40" i="1" s="1"/>
  <c r="E20" i="53" s="1"/>
  <c r="T40" i="1"/>
  <c r="AV40" i="1" s="1"/>
  <c r="O41" i="1"/>
  <c r="P41" i="1"/>
  <c r="Q41" i="1"/>
  <c r="T41" i="1"/>
  <c r="AV41" i="1" s="1"/>
  <c r="O42" i="1"/>
  <c r="P42" i="1"/>
  <c r="Q42" i="1"/>
  <c r="R42" i="1"/>
  <c r="S42" i="1" s="1"/>
  <c r="T42" i="1"/>
  <c r="AV42" i="1" s="1"/>
  <c r="O43" i="1"/>
  <c r="P43" i="1" s="1"/>
  <c r="Q43" i="1"/>
  <c r="T43" i="1"/>
  <c r="AV43" i="1" s="1"/>
  <c r="O44" i="1"/>
  <c r="P44" i="1" s="1"/>
  <c r="Q44" i="1"/>
  <c r="R44" i="1"/>
  <c r="S44" i="1" s="1"/>
  <c r="T44" i="1"/>
  <c r="O45" i="1"/>
  <c r="P45" i="1"/>
  <c r="Q45" i="1"/>
  <c r="T45" i="1"/>
  <c r="AV45" i="1" s="1"/>
  <c r="O46" i="1"/>
  <c r="P46" i="1"/>
  <c r="Q46" i="1"/>
  <c r="R46" i="1"/>
  <c r="S46" i="1" s="1"/>
  <c r="T46" i="1"/>
  <c r="AV46" i="1" s="1"/>
  <c r="O47" i="1"/>
  <c r="P47" i="1" s="1"/>
  <c r="O48" i="1"/>
  <c r="R48" i="1"/>
  <c r="S48" i="1" s="1"/>
  <c r="T48" i="1"/>
  <c r="O49" i="1"/>
  <c r="R49" i="1"/>
  <c r="S49" i="1" s="1"/>
  <c r="T49" i="1"/>
  <c r="O50" i="1"/>
  <c r="P50" i="1" s="1"/>
  <c r="R50" i="1"/>
  <c r="S50" i="1" s="1"/>
  <c r="T50" i="1"/>
  <c r="O51" i="1"/>
  <c r="P51" i="1"/>
  <c r="Q51" i="1"/>
  <c r="R51" i="1"/>
  <c r="S51" i="1" s="1"/>
  <c r="T51" i="1"/>
  <c r="AV51" i="1" s="1"/>
  <c r="O52" i="1"/>
  <c r="P52" i="1"/>
  <c r="Q52" i="1"/>
  <c r="R52" i="1"/>
  <c r="S52" i="1" s="1"/>
  <c r="T52" i="1"/>
  <c r="AV52" i="1" s="1"/>
  <c r="O53" i="1"/>
  <c r="P53" i="1" s="1"/>
  <c r="Q53" i="1"/>
  <c r="R53" i="1"/>
  <c r="S53" i="1" s="1"/>
  <c r="T53" i="1"/>
  <c r="AV53" i="1" s="1"/>
  <c r="O54" i="1"/>
  <c r="P54" i="1" s="1"/>
  <c r="Q54" i="1"/>
  <c r="R54" i="1"/>
  <c r="S54" i="1" s="1"/>
  <c r="T54" i="1"/>
  <c r="O55" i="1"/>
  <c r="P55" i="1" s="1"/>
  <c r="Q55" i="1"/>
  <c r="R55" i="1"/>
  <c r="S55" i="1" s="1"/>
  <c r="T55" i="1"/>
  <c r="O56" i="1"/>
  <c r="P56" i="1"/>
  <c r="Q56" i="1"/>
  <c r="R56" i="1"/>
  <c r="S56" i="1" s="1"/>
  <c r="T56" i="1"/>
  <c r="AV56" i="1" s="1"/>
  <c r="O57" i="1"/>
  <c r="P57" i="1"/>
  <c r="Q57" i="1"/>
  <c r="R57" i="1"/>
  <c r="S57" i="1" s="1"/>
  <c r="T57" i="1"/>
  <c r="AV57" i="1" s="1"/>
  <c r="O58" i="1"/>
  <c r="P58" i="1"/>
  <c r="Q58" i="1"/>
  <c r="R58" i="1"/>
  <c r="S58" i="1" s="1"/>
  <c r="T58" i="1"/>
  <c r="AV58" i="1" s="1"/>
  <c r="O59" i="1"/>
  <c r="P59" i="1"/>
  <c r="Q59" i="1"/>
  <c r="R59" i="1"/>
  <c r="S59" i="1" s="1"/>
  <c r="T59" i="1"/>
  <c r="AV59" i="1" s="1"/>
  <c r="O60" i="1"/>
  <c r="R60" i="1"/>
  <c r="S60" i="1" s="1"/>
  <c r="O61" i="1"/>
  <c r="R61" i="1"/>
  <c r="S61" i="1" s="1"/>
  <c r="T61" i="1"/>
  <c r="O62" i="1"/>
  <c r="P62" i="1" s="1"/>
  <c r="R62" i="1"/>
  <c r="S62" i="1" s="1"/>
  <c r="T62" i="1"/>
  <c r="O63" i="1"/>
  <c r="P63" i="1" s="1"/>
  <c r="R63" i="1"/>
  <c r="S63" i="1" s="1"/>
  <c r="T63" i="1"/>
  <c r="O64" i="1"/>
  <c r="P64" i="1"/>
  <c r="Q64" i="1"/>
  <c r="R64" i="1"/>
  <c r="S64" i="1" s="1"/>
  <c r="T64" i="1"/>
  <c r="O65" i="1"/>
  <c r="P65" i="1"/>
  <c r="Q65" i="1"/>
  <c r="R65" i="1"/>
  <c r="S65" i="1" s="1"/>
  <c r="P66" i="1"/>
  <c r="Q66" i="1"/>
  <c r="R66" i="1"/>
  <c r="S66" i="1" s="1"/>
  <c r="T66" i="1"/>
  <c r="O67" i="1"/>
  <c r="P67" i="1"/>
  <c r="Q67" i="1"/>
  <c r="R67" i="1"/>
  <c r="S67" i="1" s="1"/>
  <c r="T67" i="1"/>
  <c r="O68" i="1"/>
  <c r="P68" i="1"/>
  <c r="Q68" i="1"/>
  <c r="R68" i="1"/>
  <c r="S68" i="1" s="1"/>
  <c r="T68" i="1"/>
  <c r="O69" i="1"/>
  <c r="P69" i="1"/>
  <c r="Q69" i="1"/>
  <c r="R69" i="1"/>
  <c r="S69" i="1" s="1"/>
  <c r="O70" i="1"/>
  <c r="P70" i="1"/>
  <c r="Q70" i="1"/>
  <c r="R70" i="1"/>
  <c r="S70" i="1" s="1"/>
  <c r="T70" i="1"/>
  <c r="P71" i="1"/>
  <c r="Q71" i="1"/>
  <c r="R71" i="1"/>
  <c r="S71" i="1" s="1"/>
  <c r="T71" i="1"/>
  <c r="O72" i="1"/>
  <c r="P72" i="1"/>
  <c r="Q72" i="1"/>
  <c r="R72" i="1"/>
  <c r="S72" i="1" s="1"/>
  <c r="T72" i="1"/>
  <c r="O73" i="1"/>
  <c r="P73" i="1"/>
  <c r="Q73" i="1"/>
  <c r="R73" i="1"/>
  <c r="S73" i="1" s="1"/>
  <c r="T73" i="1"/>
  <c r="O74" i="1"/>
  <c r="P74" i="1"/>
  <c r="Q74" i="1"/>
  <c r="R74" i="1"/>
  <c r="S74" i="1" s="1"/>
  <c r="T74" i="1"/>
  <c r="O75" i="1"/>
  <c r="P75" i="1"/>
  <c r="Q75" i="1"/>
  <c r="R75" i="1"/>
  <c r="S75" i="1" s="1"/>
  <c r="T75" i="1"/>
  <c r="O76" i="1"/>
  <c r="P76" i="1"/>
  <c r="Q76" i="1"/>
  <c r="R76" i="1"/>
  <c r="S76" i="1" s="1"/>
  <c r="T76" i="1"/>
  <c r="O77" i="1"/>
  <c r="P77" i="1" s="1"/>
  <c r="O78" i="1"/>
  <c r="P78" i="1" s="1"/>
  <c r="Q78" i="1"/>
  <c r="R78" i="1"/>
  <c r="S78" i="1" s="1"/>
  <c r="T78" i="1"/>
  <c r="O79" i="1"/>
  <c r="P79" i="1"/>
  <c r="Q79" i="1"/>
  <c r="O80" i="1"/>
  <c r="P80" i="1"/>
  <c r="Q80" i="1"/>
  <c r="R80" i="1"/>
  <c r="S80" i="1" s="1"/>
  <c r="T80" i="1"/>
  <c r="AV80" i="1" s="1"/>
  <c r="O81" i="1"/>
  <c r="P81" i="1"/>
  <c r="R81" i="1" s="1"/>
  <c r="S81" i="1" s="1"/>
  <c r="Q81" i="1"/>
  <c r="T81" i="1"/>
  <c r="AV81" i="1" s="1"/>
  <c r="O82" i="1"/>
  <c r="P82" i="1"/>
  <c r="Q82" i="1"/>
  <c r="R82" i="1"/>
  <c r="S82" i="1" s="1"/>
  <c r="T82" i="1"/>
  <c r="AV82" i="1" s="1"/>
  <c r="O83" i="1"/>
  <c r="P83" i="1"/>
  <c r="R83" i="1" s="1"/>
  <c r="S83" i="1" s="1"/>
  <c r="Q83" i="1"/>
  <c r="T83" i="1"/>
  <c r="AV83" i="1" s="1"/>
  <c r="O84" i="1"/>
  <c r="R84" i="1"/>
  <c r="S84" i="1" s="1"/>
  <c r="O85" i="1"/>
  <c r="P85" i="1" s="1"/>
  <c r="R85" i="1"/>
  <c r="S85" i="1" s="1"/>
  <c r="T85" i="1"/>
  <c r="O86" i="1"/>
  <c r="P86" i="1" s="1"/>
  <c r="R86" i="1"/>
  <c r="S86" i="1" s="1"/>
  <c r="T86" i="1"/>
  <c r="R87" i="1"/>
  <c r="S87" i="1" s="1"/>
  <c r="T87" i="1"/>
  <c r="O88" i="1"/>
  <c r="R88" i="1"/>
  <c r="S88" i="1" s="1"/>
  <c r="T88" i="1"/>
  <c r="O89" i="1"/>
  <c r="P89" i="1"/>
  <c r="R89" i="1" s="1"/>
  <c r="S89" i="1" s="1"/>
  <c r="Q89" i="1"/>
  <c r="T89" i="1"/>
  <c r="AV89" i="1" s="1"/>
  <c r="O90" i="1"/>
  <c r="P90" i="1"/>
  <c r="Q90" i="1"/>
  <c r="R90" i="1"/>
  <c r="S90" i="1" s="1"/>
  <c r="T90" i="1"/>
  <c r="AV90" i="1" s="1"/>
  <c r="O91" i="1"/>
  <c r="P91" i="1"/>
  <c r="Q91" i="1"/>
  <c r="R91" i="1"/>
  <c r="S91" i="1" s="1"/>
  <c r="T91" i="1"/>
  <c r="AV91" i="1" s="1"/>
  <c r="O92" i="1"/>
  <c r="P92" i="1"/>
  <c r="Q92" i="1"/>
  <c r="R92" i="1"/>
  <c r="S92" i="1" s="1"/>
  <c r="T92" i="1"/>
  <c r="AV92" i="1" s="1"/>
  <c r="O93" i="1"/>
  <c r="P93" i="1"/>
  <c r="Q93" i="1"/>
  <c r="R93" i="1"/>
  <c r="S93" i="1" s="1"/>
  <c r="T93" i="1"/>
  <c r="AV93" i="1" s="1"/>
  <c r="O94" i="1"/>
  <c r="P94" i="1"/>
  <c r="Q94" i="1"/>
  <c r="R94" i="1"/>
  <c r="S94" i="1" s="1"/>
  <c r="T94" i="1"/>
  <c r="AV94" i="1" s="1"/>
  <c r="O95" i="1"/>
  <c r="P95" i="1"/>
  <c r="Q95" i="1"/>
  <c r="R95" i="1"/>
  <c r="S95" i="1" s="1"/>
  <c r="T95" i="1"/>
  <c r="AV95" i="1" s="1"/>
  <c r="O96" i="1"/>
  <c r="P96" i="1"/>
  <c r="Q96" i="1"/>
  <c r="R96" i="1"/>
  <c r="S96" i="1" s="1"/>
  <c r="T96" i="1"/>
  <c r="AV96" i="1" s="1"/>
  <c r="O97" i="1"/>
  <c r="P97" i="1"/>
  <c r="Q97" i="1"/>
  <c r="R97" i="1"/>
  <c r="S97" i="1" s="1"/>
  <c r="T97" i="1"/>
  <c r="AV97" i="1" s="1"/>
  <c r="O98" i="1"/>
  <c r="P98" i="1"/>
  <c r="Q98" i="1"/>
  <c r="R98" i="1"/>
  <c r="S98" i="1" s="1"/>
  <c r="T98" i="1"/>
  <c r="AV98" i="1" s="1"/>
  <c r="O99" i="1"/>
  <c r="P99" i="1"/>
  <c r="Q99" i="1"/>
  <c r="R99" i="1"/>
  <c r="S99" i="1" s="1"/>
  <c r="T99" i="1"/>
  <c r="AV99" i="1" s="1"/>
  <c r="O100" i="1"/>
  <c r="P100" i="1"/>
  <c r="Q100" i="1"/>
  <c r="R100" i="1"/>
  <c r="S100" i="1" s="1"/>
  <c r="T100" i="1"/>
  <c r="AV100" i="1" s="1"/>
  <c r="O101" i="1"/>
  <c r="P101" i="1"/>
  <c r="Q101" i="1"/>
  <c r="R101" i="1"/>
  <c r="S101" i="1" s="1"/>
  <c r="T101" i="1"/>
  <c r="AV101" i="1" s="1"/>
  <c r="O102" i="1"/>
  <c r="P102" i="1"/>
  <c r="Q102" i="1"/>
  <c r="R102" i="1"/>
  <c r="S102" i="1" s="1"/>
  <c r="T102" i="1"/>
  <c r="AV102" i="1" s="1"/>
  <c r="O103" i="1"/>
  <c r="P103" i="1"/>
  <c r="Q103" i="1"/>
  <c r="R103" i="1"/>
  <c r="S103" i="1" s="1"/>
  <c r="T103" i="1"/>
  <c r="AV103" i="1" s="1"/>
  <c r="O104" i="1"/>
  <c r="P104" i="1"/>
  <c r="Q104" i="1"/>
  <c r="R104" i="1"/>
  <c r="S104" i="1" s="1"/>
  <c r="T104" i="1"/>
  <c r="AV104" i="1" s="1"/>
  <c r="O105" i="1"/>
  <c r="P105" i="1"/>
  <c r="Q105" i="1"/>
  <c r="R105" i="1"/>
  <c r="S105" i="1" s="1"/>
  <c r="T105" i="1"/>
  <c r="AV105" i="1" s="1"/>
  <c r="O107" i="1"/>
  <c r="P107" i="1"/>
  <c r="Q107" i="1"/>
  <c r="R107" i="1"/>
  <c r="S107" i="1" s="1"/>
  <c r="O108" i="1"/>
  <c r="P108" i="1"/>
  <c r="Q108" i="1"/>
  <c r="R108" i="1"/>
  <c r="S108" i="1" s="1"/>
  <c r="T108" i="1" s="1"/>
  <c r="AV108" i="1" s="1"/>
  <c r="O109" i="1"/>
  <c r="O110" i="1"/>
  <c r="R110" i="1"/>
  <c r="S110" i="1" s="1"/>
  <c r="T110" i="1"/>
  <c r="R111" i="1"/>
  <c r="S111" i="1" s="1"/>
  <c r="T111" i="1"/>
  <c r="O112" i="1"/>
  <c r="P112" i="1" s="1"/>
  <c r="R112" i="1"/>
  <c r="S112" i="1" s="1"/>
  <c r="T112" i="1"/>
  <c r="O113" i="1"/>
  <c r="P113" i="1"/>
  <c r="Q113" i="1"/>
  <c r="R113" i="1"/>
  <c r="S113" i="1" s="1"/>
  <c r="T113" i="1" s="1"/>
  <c r="AV113" i="1" s="1"/>
  <c r="O114" i="1"/>
  <c r="P114" i="1"/>
  <c r="Q114" i="1"/>
  <c r="R114" i="1"/>
  <c r="S114" i="1" s="1"/>
  <c r="T114" i="1"/>
  <c r="O115" i="1"/>
  <c r="P115" i="1"/>
  <c r="Q115" i="1"/>
  <c r="R115" i="1"/>
  <c r="S115" i="1" s="1"/>
  <c r="T115" i="1"/>
  <c r="O116" i="1"/>
  <c r="P116" i="1"/>
  <c r="Q116" i="1"/>
  <c r="R116" i="1"/>
  <c r="S116" i="1" s="1"/>
  <c r="T116" i="1"/>
  <c r="O117" i="1"/>
  <c r="O118" i="1"/>
  <c r="R118" i="1"/>
  <c r="S118" i="1" s="1"/>
  <c r="T118" i="1"/>
  <c r="O119" i="1"/>
  <c r="P119" i="1"/>
  <c r="Q119" i="1"/>
  <c r="R119" i="1"/>
  <c r="S119" i="1" s="1"/>
  <c r="T119" i="1" s="1"/>
  <c r="AV119" i="1" s="1"/>
  <c r="O120" i="1"/>
  <c r="P120" i="1"/>
  <c r="Q120" i="1"/>
  <c r="R120" i="1"/>
  <c r="S120" i="1" s="1"/>
  <c r="T120" i="1" s="1"/>
  <c r="AV120" i="1" s="1"/>
  <c r="O121" i="1"/>
  <c r="P121" i="1"/>
  <c r="Q121" i="1"/>
  <c r="R121" i="1"/>
  <c r="S121" i="1" s="1"/>
  <c r="T121" i="1"/>
  <c r="O122" i="1"/>
  <c r="P122" i="1" s="1"/>
  <c r="P123" i="1"/>
  <c r="Q123" i="1"/>
  <c r="R123" i="1"/>
  <c r="S123" i="1" s="1"/>
  <c r="T123" i="1"/>
  <c r="O124" i="1"/>
  <c r="P124" i="1" s="1"/>
  <c r="R124" i="1"/>
  <c r="S124" i="1" s="1"/>
  <c r="O125" i="1"/>
  <c r="P125" i="1" s="1"/>
  <c r="R125" i="1"/>
  <c r="S125" i="1" s="1"/>
  <c r="T125" i="1"/>
  <c r="O126" i="1"/>
  <c r="P126" i="1" s="1"/>
  <c r="Q126" i="1"/>
  <c r="R126" i="1"/>
  <c r="S126" i="1" s="1"/>
  <c r="T126" i="1"/>
  <c r="O127" i="1"/>
  <c r="P127" i="1" s="1"/>
  <c r="R127" i="1"/>
  <c r="S127" i="1" s="1"/>
  <c r="O128" i="1"/>
  <c r="P128" i="1"/>
  <c r="Q128" i="1"/>
  <c r="R128" i="1"/>
  <c r="S128" i="1" s="1"/>
  <c r="T128" i="1"/>
  <c r="O129" i="1"/>
  <c r="P129" i="1"/>
  <c r="Q129" i="1"/>
  <c r="R129" i="1"/>
  <c r="S129" i="1" s="1"/>
  <c r="T129" i="1"/>
  <c r="O130" i="1"/>
  <c r="P130" i="1"/>
  <c r="Q130" i="1"/>
  <c r="R130" i="1"/>
  <c r="S130" i="1" s="1"/>
  <c r="T130" i="1"/>
  <c r="O131" i="1"/>
  <c r="P131" i="1" s="1"/>
  <c r="O132" i="1"/>
  <c r="R132" i="1"/>
  <c r="S132" i="1" s="1"/>
  <c r="T132" i="1"/>
  <c r="O133" i="1"/>
  <c r="P133" i="1"/>
  <c r="Q133" i="1"/>
  <c r="R133" i="1"/>
  <c r="S133" i="1" s="1"/>
  <c r="T133" i="1"/>
  <c r="AV133" i="1" s="1"/>
  <c r="O134" i="1"/>
  <c r="P134" i="1"/>
  <c r="Q134" i="1"/>
  <c r="R134" i="1"/>
  <c r="S134" i="1" s="1"/>
  <c r="T134" i="1"/>
  <c r="Q135" i="1"/>
  <c r="R135" i="1"/>
  <c r="S135" i="1" s="1"/>
  <c r="T135" i="1"/>
  <c r="O136" i="1"/>
  <c r="P136" i="1" s="1"/>
  <c r="Q136" i="1"/>
  <c r="R136" i="1"/>
  <c r="S136" i="1" s="1"/>
  <c r="T136" i="1"/>
  <c r="AV136" i="1" s="1"/>
  <c r="O137" i="1"/>
  <c r="P137" i="1"/>
  <c r="Q137" i="1"/>
  <c r="R137" i="1"/>
  <c r="S137" i="1" s="1"/>
  <c r="T137" i="1"/>
  <c r="O138" i="1"/>
  <c r="P138" i="1"/>
  <c r="Q138" i="1"/>
  <c r="R138" i="1"/>
  <c r="S138" i="1" s="1"/>
  <c r="T138" i="1"/>
  <c r="AV138" i="1" s="1"/>
  <c r="O139" i="1"/>
  <c r="P139" i="1"/>
  <c r="Q139" i="1"/>
  <c r="R139" i="1"/>
  <c r="S139" i="1" s="1"/>
  <c r="T139" i="1"/>
  <c r="AV139" i="1" s="1"/>
  <c r="O140" i="1"/>
  <c r="P140" i="1"/>
  <c r="Q140" i="1"/>
  <c r="R140" i="1"/>
  <c r="S140" i="1" s="1"/>
  <c r="T140" i="1"/>
  <c r="AV140" i="1" s="1"/>
  <c r="O141" i="1"/>
  <c r="P141" i="1"/>
  <c r="Q141" i="1"/>
  <c r="R141" i="1"/>
  <c r="S141" i="1" s="1"/>
  <c r="T141" i="1"/>
  <c r="AV141" i="1" s="1"/>
  <c r="O142" i="1"/>
  <c r="P142" i="1"/>
  <c r="Q142" i="1"/>
  <c r="R142" i="1"/>
  <c r="S142" i="1" s="1"/>
  <c r="T142" i="1"/>
  <c r="AV142" i="1" s="1"/>
  <c r="O143" i="1"/>
  <c r="P143" i="1"/>
  <c r="Q143" i="1"/>
  <c r="R143" i="1"/>
  <c r="S143" i="1" s="1"/>
  <c r="T143" i="1"/>
  <c r="AV143" i="1" s="1"/>
  <c r="O144" i="1"/>
  <c r="P144" i="1"/>
  <c r="Q144" i="1"/>
  <c r="R144" i="1"/>
  <c r="S144" i="1" s="1"/>
  <c r="T144" i="1"/>
  <c r="AV144" i="1" s="1"/>
  <c r="O145" i="1"/>
  <c r="P145" i="1"/>
  <c r="Q145" i="1"/>
  <c r="R145" i="1"/>
  <c r="S145" i="1" s="1"/>
  <c r="T145" i="1"/>
  <c r="AV145" i="1" s="1"/>
  <c r="O146" i="1"/>
  <c r="P146" i="1"/>
  <c r="Q146" i="1"/>
  <c r="R146" i="1"/>
  <c r="S146" i="1" s="1"/>
  <c r="T146" i="1"/>
  <c r="AV146" i="1" s="1"/>
  <c r="O147" i="1"/>
  <c r="P147" i="1" s="1"/>
  <c r="Q147" i="1"/>
  <c r="R147" i="1"/>
  <c r="S147" i="1" s="1"/>
  <c r="T147" i="1"/>
  <c r="AV147" i="1" s="1"/>
  <c r="O148" i="1"/>
  <c r="P148" i="1" s="1"/>
  <c r="Q148" i="1"/>
  <c r="R148" i="1"/>
  <c r="S148" i="1" s="1"/>
  <c r="T148" i="1"/>
  <c r="O149" i="1"/>
  <c r="P149" i="1" s="1"/>
  <c r="Q149" i="1"/>
  <c r="R149" i="1"/>
  <c r="S149" i="1" s="1"/>
  <c r="T149" i="1"/>
  <c r="O150" i="1"/>
  <c r="P150" i="1" s="1"/>
  <c r="Q150" i="1"/>
  <c r="R150" i="1"/>
  <c r="S150" i="1" s="1"/>
  <c r="T150" i="1"/>
  <c r="O151" i="1"/>
  <c r="P151" i="1" s="1"/>
  <c r="Q151" i="1"/>
  <c r="R151" i="1"/>
  <c r="S151" i="1" s="1"/>
  <c r="T151" i="1"/>
  <c r="O152" i="1"/>
  <c r="P152" i="1"/>
  <c r="Q152" i="1"/>
  <c r="R152" i="1"/>
  <c r="S152" i="1" s="1"/>
  <c r="T152" i="1"/>
  <c r="AV152" i="1" s="1"/>
  <c r="O153" i="1"/>
  <c r="P153" i="1"/>
  <c r="Q153" i="1"/>
  <c r="R153" i="1"/>
  <c r="S153" i="1" s="1"/>
  <c r="T153" i="1"/>
  <c r="AV153" i="1" s="1"/>
  <c r="O154" i="1"/>
  <c r="P154" i="1"/>
  <c r="Q154" i="1"/>
  <c r="R154" i="1"/>
  <c r="S154" i="1" s="1"/>
  <c r="T154" i="1"/>
  <c r="AV154" i="1" s="1"/>
  <c r="O155" i="1"/>
  <c r="P155" i="1"/>
  <c r="Q155" i="1"/>
  <c r="R155" i="1"/>
  <c r="S155" i="1" s="1"/>
  <c r="T155" i="1" s="1"/>
  <c r="AV155" i="1" s="1"/>
  <c r="O156" i="1"/>
  <c r="P156" i="1" s="1"/>
  <c r="R156" i="1"/>
  <c r="S156" i="1" s="1"/>
  <c r="O157" i="1"/>
  <c r="P157" i="1" s="1"/>
  <c r="R157" i="1"/>
  <c r="S157" i="1" s="1"/>
  <c r="T157" i="1"/>
  <c r="O158" i="1"/>
  <c r="R158" i="1"/>
  <c r="S158" i="1" s="1"/>
  <c r="T158" i="1"/>
  <c r="O159" i="1"/>
  <c r="P159" i="1" s="1"/>
  <c r="R159" i="1"/>
  <c r="S159" i="1" s="1"/>
  <c r="T159" i="1"/>
  <c r="O160" i="1"/>
  <c r="P160" i="1" s="1"/>
  <c r="R160" i="1"/>
  <c r="S160" i="1" s="1"/>
  <c r="T160" i="1"/>
  <c r="O161" i="1"/>
  <c r="R161" i="1"/>
  <c r="S161" i="1" s="1"/>
  <c r="T161" i="1"/>
  <c r="O162" i="1"/>
  <c r="P162" i="1" s="1"/>
  <c r="R162" i="1"/>
  <c r="S162" i="1" s="1"/>
  <c r="T162" i="1"/>
  <c r="O163" i="1"/>
  <c r="P163" i="1" s="1"/>
  <c r="R163" i="1"/>
  <c r="S163" i="1" s="1"/>
  <c r="T163" i="1"/>
  <c r="O164" i="1"/>
  <c r="P164" i="1" s="1"/>
  <c r="R164" i="1"/>
  <c r="S164" i="1" s="1"/>
  <c r="T164" i="1"/>
  <c r="O165" i="1"/>
  <c r="R165" i="1"/>
  <c r="S165" i="1" s="1"/>
  <c r="T165" i="1"/>
  <c r="O166" i="1"/>
  <c r="P166" i="1" s="1"/>
  <c r="R166" i="1"/>
  <c r="S166" i="1" s="1"/>
  <c r="T166" i="1"/>
  <c r="O167" i="1"/>
  <c r="P167" i="1" s="1"/>
  <c r="R167" i="1"/>
  <c r="S167" i="1" s="1"/>
  <c r="T167" i="1"/>
  <c r="O168" i="1"/>
  <c r="Q168" i="1" s="1"/>
  <c r="R168" i="1"/>
  <c r="S168" i="1" s="1"/>
  <c r="O169" i="1"/>
  <c r="P169" i="1" s="1"/>
  <c r="R169" i="1"/>
  <c r="S169" i="1" s="1"/>
  <c r="T169" i="1"/>
  <c r="O170" i="1"/>
  <c r="P170" i="1" s="1"/>
  <c r="R170" i="1"/>
  <c r="S170" i="1" s="1"/>
  <c r="T170" i="1"/>
  <c r="O171" i="1"/>
  <c r="P171" i="1" s="1"/>
  <c r="R171" i="1"/>
  <c r="S171" i="1" s="1"/>
  <c r="T171" i="1"/>
  <c r="O172" i="1"/>
  <c r="R172" i="1"/>
  <c r="S172" i="1" s="1"/>
  <c r="T172" i="1"/>
  <c r="O173" i="1"/>
  <c r="P173" i="1" s="1"/>
  <c r="R173" i="1"/>
  <c r="S173" i="1" s="1"/>
  <c r="T173" i="1"/>
  <c r="O174" i="1"/>
  <c r="P174" i="1"/>
  <c r="Q174" i="1"/>
  <c r="R174" i="1"/>
  <c r="S174" i="1" s="1"/>
  <c r="T174" i="1" s="1"/>
  <c r="AV174" i="1" s="1"/>
  <c r="O175" i="1"/>
  <c r="P175" i="1"/>
  <c r="Q175" i="1"/>
  <c r="R175" i="1"/>
  <c r="S175" i="1" s="1"/>
  <c r="T175" i="1" s="1"/>
  <c r="AV175" i="1" s="1"/>
  <c r="O176" i="1"/>
  <c r="P176" i="1"/>
  <c r="Q176" i="1"/>
  <c r="R176" i="1"/>
  <c r="S176" i="1" s="1"/>
  <c r="T176" i="1" s="1"/>
  <c r="AV176" i="1" s="1"/>
  <c r="O177" i="1"/>
  <c r="P177" i="1" s="1"/>
  <c r="R177" i="1" s="1"/>
  <c r="S177" i="1" s="1"/>
  <c r="O178" i="1"/>
  <c r="P178" i="1"/>
  <c r="Q178" i="1"/>
  <c r="R178" i="1"/>
  <c r="S178" i="1" s="1"/>
  <c r="T178" i="1" s="1"/>
  <c r="AV178" i="1" s="1"/>
  <c r="O179" i="1"/>
  <c r="P179" i="1"/>
  <c r="Q179" i="1"/>
  <c r="R179" i="1"/>
  <c r="S179" i="1" s="1"/>
  <c r="T179" i="1" s="1"/>
  <c r="AV179" i="1" s="1"/>
  <c r="O180" i="1"/>
  <c r="P180" i="1" s="1"/>
  <c r="R180" i="1"/>
  <c r="S180" i="1" s="1"/>
  <c r="O181" i="1"/>
  <c r="P181" i="1"/>
  <c r="R181" i="1" s="1"/>
  <c r="S181" i="1" s="1"/>
  <c r="Q181" i="1"/>
  <c r="T181" i="1"/>
  <c r="AV181" i="1" s="1"/>
  <c r="O182" i="1"/>
  <c r="P182" i="1" s="1"/>
  <c r="R182" i="1"/>
  <c r="S182" i="1" s="1"/>
  <c r="O183" i="1"/>
  <c r="P183" i="1"/>
  <c r="R183" i="1" s="1"/>
  <c r="S183" i="1" s="1"/>
  <c r="Q183" i="1"/>
  <c r="T183" i="1"/>
  <c r="AV183" i="1" s="1"/>
  <c r="O184" i="1"/>
  <c r="Q184" i="1" s="1"/>
  <c r="O185" i="1"/>
  <c r="P185" i="1" s="1"/>
  <c r="R185" i="1"/>
  <c r="S185" i="1" s="1"/>
  <c r="T185" i="1"/>
  <c r="O186" i="1"/>
  <c r="P186" i="1"/>
  <c r="Q186" i="1"/>
  <c r="R186" i="1"/>
  <c r="S186" i="1" s="1"/>
  <c r="T186" i="1" s="1"/>
  <c r="AV186" i="1" s="1"/>
  <c r="O187" i="1"/>
  <c r="O188" i="1"/>
  <c r="R188" i="1"/>
  <c r="S188" i="1" s="1"/>
  <c r="T188" i="1"/>
  <c r="O189" i="1"/>
  <c r="O190" i="1"/>
  <c r="P190" i="1"/>
  <c r="Q190" i="1"/>
  <c r="R190" i="1"/>
  <c r="S190" i="1" s="1"/>
  <c r="T190" i="1" s="1"/>
  <c r="AV190" i="1" s="1"/>
  <c r="O191" i="1"/>
  <c r="P191" i="1"/>
  <c r="Q191" i="1"/>
  <c r="R191" i="1"/>
  <c r="S191" i="1" s="1"/>
  <c r="T191" i="1" s="1"/>
  <c r="AV191" i="1" s="1"/>
  <c r="O192" i="1"/>
  <c r="P192" i="1"/>
  <c r="Q192" i="1"/>
  <c r="R192" i="1"/>
  <c r="S192" i="1" s="1"/>
  <c r="T192" i="1"/>
  <c r="AV192" i="1" s="1"/>
  <c r="O193" i="1"/>
  <c r="P193" i="1"/>
  <c r="Q193" i="1"/>
  <c r="R193" i="1"/>
  <c r="S193" i="1" s="1"/>
  <c r="T193" i="1"/>
  <c r="AV193" i="1" s="1"/>
  <c r="O194" i="1"/>
  <c r="P194" i="1" s="1"/>
  <c r="Q194" i="1"/>
  <c r="R194" i="1"/>
  <c r="S194" i="1" s="1"/>
  <c r="T194" i="1"/>
  <c r="AV194" i="1" s="1"/>
  <c r="O195" i="1"/>
  <c r="P195" i="1"/>
  <c r="Q195" i="1"/>
  <c r="R195" i="1"/>
  <c r="S195" i="1" s="1"/>
  <c r="T195" i="1"/>
  <c r="AV195" i="1" s="1"/>
  <c r="O196" i="1"/>
  <c r="P196" i="1"/>
  <c r="R196" i="1" s="1"/>
  <c r="S196" i="1" s="1"/>
  <c r="Q196" i="1"/>
  <c r="T196" i="1"/>
  <c r="AV196" i="1" s="1"/>
  <c r="O197" i="1"/>
  <c r="P197" i="1"/>
  <c r="Q197" i="1"/>
  <c r="R197" i="1"/>
  <c r="S197" i="1" s="1"/>
  <c r="T197" i="1"/>
  <c r="AV197" i="1" s="1"/>
  <c r="O198" i="1"/>
  <c r="P198" i="1"/>
  <c r="Q198" i="1"/>
  <c r="R198" i="1"/>
  <c r="S198" i="1" s="1"/>
  <c r="T198" i="1"/>
  <c r="AV198" i="1" s="1"/>
  <c r="O199" i="1"/>
  <c r="P199" i="1"/>
  <c r="Q199" i="1"/>
  <c r="R199" i="1"/>
  <c r="S199" i="1" s="1"/>
  <c r="D34" i="53" s="1"/>
  <c r="G34" i="53" s="1"/>
  <c r="T199" i="1"/>
  <c r="AV199" i="1" s="1"/>
  <c r="O200" i="1"/>
  <c r="P200" i="1"/>
  <c r="Q200" i="1"/>
  <c r="R200" i="1"/>
  <c r="S200" i="1" s="1"/>
  <c r="T200" i="1"/>
  <c r="AV200" i="1" s="1"/>
  <c r="O201" i="1"/>
  <c r="P201" i="1"/>
  <c r="Q201" i="1"/>
  <c r="R201" i="1"/>
  <c r="S201" i="1" s="1"/>
  <c r="T201" i="1"/>
  <c r="AV201" i="1" s="1"/>
  <c r="O202" i="1"/>
  <c r="P202" i="1"/>
  <c r="Q202" i="1"/>
  <c r="R202" i="1"/>
  <c r="S202" i="1" s="1"/>
  <c r="T202" i="1"/>
  <c r="AV202" i="1" s="1"/>
  <c r="O203" i="1"/>
  <c r="P203" i="1" s="1"/>
  <c r="R203" i="1" s="1"/>
  <c r="S203" i="1" s="1"/>
  <c r="Q203" i="1"/>
  <c r="T203" i="1"/>
  <c r="AV203" i="1" s="1"/>
  <c r="O204" i="1"/>
  <c r="P204" i="1" s="1"/>
  <c r="R204" i="1"/>
  <c r="S204" i="1" s="1"/>
  <c r="T204" i="1" s="1"/>
  <c r="AV204" i="1" s="1"/>
  <c r="O205" i="1"/>
  <c r="P205" i="1" s="1"/>
  <c r="R205" i="1"/>
  <c r="S205" i="1" s="1"/>
  <c r="T205" i="1"/>
  <c r="O206" i="1"/>
  <c r="P206" i="1"/>
  <c r="Q206" i="1"/>
  <c r="R206" i="1"/>
  <c r="S206" i="1" s="1"/>
  <c r="T206" i="1"/>
  <c r="AV206" i="1" s="1"/>
  <c r="O207" i="1"/>
  <c r="P207" i="1"/>
  <c r="Q207" i="1"/>
  <c r="R207" i="1"/>
  <c r="S207" i="1" s="1"/>
  <c r="T207" i="1"/>
  <c r="AV207" i="1" s="1"/>
  <c r="O208" i="1"/>
  <c r="P208" i="1"/>
  <c r="Q208" i="1"/>
  <c r="R208" i="1"/>
  <c r="S208" i="1" s="1"/>
  <c r="T208" i="1"/>
  <c r="AV208" i="1" s="1"/>
  <c r="O209" i="1"/>
  <c r="P209" i="1"/>
  <c r="Q209" i="1"/>
  <c r="R209" i="1"/>
  <c r="S209" i="1" s="1"/>
  <c r="T209" i="1"/>
  <c r="AV209" i="1" s="1"/>
  <c r="O210" i="1"/>
  <c r="P210" i="1"/>
  <c r="Q210" i="1"/>
  <c r="R210" i="1"/>
  <c r="S210" i="1" s="1"/>
  <c r="T210" i="1"/>
  <c r="AV210" i="1" s="1"/>
  <c r="O211" i="1"/>
  <c r="P211" i="1"/>
  <c r="Q211" i="1"/>
  <c r="R211" i="1"/>
  <c r="S211" i="1" s="1"/>
  <c r="T211" i="1"/>
  <c r="AV211" i="1" s="1"/>
  <c r="O212" i="1"/>
  <c r="P212" i="1"/>
  <c r="Q212" i="1"/>
  <c r="R212" i="1"/>
  <c r="S212" i="1" s="1"/>
  <c r="T212" i="1"/>
  <c r="AV212" i="1" s="1"/>
  <c r="O213" i="1"/>
  <c r="P213" i="1"/>
  <c r="Q213" i="1"/>
  <c r="R213" i="1"/>
  <c r="S213" i="1" s="1"/>
  <c r="T213" i="1"/>
  <c r="AV213" i="1" s="1"/>
  <c r="O214" i="1"/>
  <c r="P214" i="1"/>
  <c r="Q214" i="1"/>
  <c r="R214" i="1"/>
  <c r="S214" i="1" s="1"/>
  <c r="T214" i="1"/>
  <c r="AV214" i="1" s="1"/>
  <c r="O215" i="1"/>
  <c r="P215" i="1" s="1"/>
  <c r="R215" i="1"/>
  <c r="S215" i="1" s="1"/>
  <c r="O216" i="1"/>
  <c r="R216" i="1"/>
  <c r="S216" i="1" s="1"/>
  <c r="T216" i="1"/>
  <c r="O217" i="1"/>
  <c r="P217" i="1" s="1"/>
  <c r="R217" i="1"/>
  <c r="S217" i="1" s="1"/>
  <c r="T217" i="1"/>
  <c r="O218" i="1"/>
  <c r="R218" i="1"/>
  <c r="S218" i="1" s="1"/>
  <c r="T218" i="1"/>
  <c r="O219" i="1"/>
  <c r="P219" i="1" s="1"/>
  <c r="R219" i="1"/>
  <c r="S219" i="1" s="1"/>
  <c r="T219" i="1"/>
  <c r="O220" i="1"/>
  <c r="P220" i="1" s="1"/>
  <c r="Q220" i="1"/>
  <c r="R220" i="1"/>
  <c r="S220" i="1" s="1"/>
  <c r="T220" i="1"/>
  <c r="O221" i="1"/>
  <c r="P221" i="1"/>
  <c r="Q221" i="1"/>
  <c r="R221" i="1"/>
  <c r="S221" i="1" s="1"/>
  <c r="T221" i="1"/>
  <c r="O222" i="1"/>
  <c r="P222" i="1"/>
  <c r="Q222" i="1"/>
  <c r="R222" i="1"/>
  <c r="S222" i="1" s="1"/>
  <c r="T222" i="1"/>
  <c r="O223" i="1"/>
  <c r="P223" i="1"/>
  <c r="Q223" i="1"/>
  <c r="R223" i="1"/>
  <c r="S223" i="1" s="1"/>
  <c r="T223" i="1"/>
  <c r="O224" i="1"/>
  <c r="P224" i="1" s="1"/>
  <c r="R224" i="1"/>
  <c r="S224" i="1" s="1"/>
  <c r="O225" i="1"/>
  <c r="P225" i="1"/>
  <c r="Q225" i="1"/>
  <c r="R225" i="1"/>
  <c r="S225" i="1" s="1"/>
  <c r="T225" i="1"/>
  <c r="O226" i="1"/>
  <c r="P226" i="1"/>
  <c r="Q226" i="1"/>
  <c r="R226" i="1"/>
  <c r="S226" i="1" s="1"/>
  <c r="T226" i="1"/>
  <c r="O227" i="1"/>
  <c r="P227" i="1" s="1"/>
  <c r="Q227" i="1"/>
  <c r="R227" i="1"/>
  <c r="S227" i="1" s="1"/>
  <c r="T227" i="1"/>
  <c r="AV227" i="1" s="1"/>
  <c r="O228" i="1"/>
  <c r="P228" i="1"/>
  <c r="Q228" i="1"/>
  <c r="R228" i="1"/>
  <c r="S228" i="1" s="1"/>
  <c r="T228" i="1"/>
  <c r="AV228" i="1" s="1"/>
  <c r="O229" i="1"/>
  <c r="P229" i="1"/>
  <c r="Q229" i="1"/>
  <c r="R229" i="1"/>
  <c r="S229" i="1" s="1"/>
  <c r="T229" i="1"/>
  <c r="AV229" i="1" s="1"/>
  <c r="O230" i="1"/>
  <c r="P230" i="1"/>
  <c r="Q230" i="1"/>
  <c r="R230" i="1"/>
  <c r="S230" i="1" s="1"/>
  <c r="T230" i="1"/>
  <c r="AV230" i="1" s="1"/>
  <c r="O231" i="1"/>
  <c r="P231" i="1"/>
  <c r="Q231" i="1"/>
  <c r="R231" i="1"/>
  <c r="S231" i="1" s="1"/>
  <c r="T231" i="1"/>
  <c r="AV231" i="1" s="1"/>
  <c r="O232" i="1"/>
  <c r="P232" i="1"/>
  <c r="Q232" i="1"/>
  <c r="R232" i="1"/>
  <c r="S232" i="1" s="1"/>
  <c r="T232" i="1"/>
  <c r="AV232" i="1" s="1"/>
  <c r="O233" i="1"/>
  <c r="P233" i="1" s="1"/>
  <c r="R233" i="1"/>
  <c r="S233" i="1" s="1"/>
  <c r="O234" i="1"/>
  <c r="P234" i="1"/>
  <c r="R234" i="1"/>
  <c r="S234" i="1" s="1"/>
  <c r="T234" i="1"/>
  <c r="O235" i="1"/>
  <c r="P235" i="1"/>
  <c r="R235" i="1"/>
  <c r="S235" i="1" s="1"/>
  <c r="T235" i="1"/>
  <c r="O236" i="1"/>
  <c r="P236" i="1"/>
  <c r="R236" i="1"/>
  <c r="S236" i="1" s="1"/>
  <c r="T236" i="1"/>
  <c r="O237" i="1"/>
  <c r="P237" i="1"/>
  <c r="R237" i="1"/>
  <c r="S237" i="1" s="1"/>
  <c r="T237" i="1"/>
  <c r="O238" i="1"/>
  <c r="P238" i="1"/>
  <c r="R238" i="1"/>
  <c r="S238" i="1" s="1"/>
  <c r="T238" i="1"/>
  <c r="O239" i="1"/>
  <c r="P239" i="1"/>
  <c r="R239" i="1"/>
  <c r="S239" i="1" s="1"/>
  <c r="T239" i="1"/>
  <c r="O240" i="1"/>
  <c r="P240" i="1"/>
  <c r="R240" i="1"/>
  <c r="S240" i="1" s="1"/>
  <c r="T240" i="1"/>
  <c r="O241" i="1"/>
  <c r="P241" i="1"/>
  <c r="R241" i="1"/>
  <c r="S241" i="1" s="1"/>
  <c r="T241" i="1"/>
  <c r="O242" i="1"/>
  <c r="P242" i="1"/>
  <c r="R242" i="1"/>
  <c r="S242" i="1" s="1"/>
  <c r="T242" i="1"/>
  <c r="O243" i="1"/>
  <c r="P243" i="1"/>
  <c r="R243" i="1"/>
  <c r="S243" i="1" s="1"/>
  <c r="T243" i="1"/>
  <c r="O244" i="1"/>
  <c r="P244" i="1"/>
  <c r="R244" i="1"/>
  <c r="S244" i="1" s="1"/>
  <c r="T244" i="1"/>
  <c r="O245" i="1"/>
  <c r="P245" i="1"/>
  <c r="R245" i="1"/>
  <c r="S245" i="1" s="1"/>
  <c r="T245" i="1"/>
  <c r="O246" i="1"/>
  <c r="P246" i="1"/>
  <c r="R246" i="1"/>
  <c r="S246" i="1" s="1"/>
  <c r="T246" i="1"/>
  <c r="O247" i="1"/>
  <c r="P247" i="1"/>
  <c r="R247" i="1"/>
  <c r="S247" i="1" s="1"/>
  <c r="T247" i="1"/>
  <c r="O248" i="1"/>
  <c r="P248" i="1"/>
  <c r="R248" i="1"/>
  <c r="S248" i="1" s="1"/>
  <c r="T248" i="1"/>
  <c r="O249" i="1"/>
  <c r="P249" i="1"/>
  <c r="R249" i="1"/>
  <c r="S249" i="1" s="1"/>
  <c r="T249" i="1"/>
  <c r="O250" i="1"/>
  <c r="P250" i="1"/>
  <c r="R250" i="1"/>
  <c r="S250" i="1" s="1"/>
  <c r="T250" i="1"/>
  <c r="O251" i="1"/>
  <c r="P251" i="1"/>
  <c r="R251" i="1"/>
  <c r="S251" i="1" s="1"/>
  <c r="T251" i="1"/>
  <c r="O252" i="1"/>
  <c r="P252" i="1" s="1"/>
  <c r="R252" i="1"/>
  <c r="S252" i="1" s="1"/>
  <c r="T252" i="1"/>
  <c r="O253" i="1"/>
  <c r="P253" i="1"/>
  <c r="R253" i="1"/>
  <c r="S253" i="1" s="1"/>
  <c r="T253" i="1" s="1"/>
  <c r="AV253" i="1" s="1"/>
  <c r="R254" i="1"/>
  <c r="S254" i="1" s="1"/>
  <c r="R255" i="1"/>
  <c r="S255" i="1" s="1"/>
  <c r="O256" i="1"/>
  <c r="P256" i="1"/>
  <c r="Q256" i="1"/>
  <c r="R256" i="1"/>
  <c r="S256" i="1" s="1"/>
  <c r="T256" i="1"/>
  <c r="O257" i="1"/>
  <c r="P257" i="1"/>
  <c r="Q257" i="1"/>
  <c r="R257" i="1"/>
  <c r="S257" i="1" s="1"/>
  <c r="T257" i="1" s="1"/>
  <c r="AV257" i="1" s="1"/>
  <c r="O258" i="1"/>
  <c r="P258" i="1"/>
  <c r="Q258" i="1"/>
  <c r="R258" i="1"/>
  <c r="S258" i="1" s="1"/>
  <c r="T258" i="1"/>
  <c r="O259" i="1"/>
  <c r="P259" i="1"/>
  <c r="Q259" i="1"/>
  <c r="R259" i="1"/>
  <c r="S259" i="1" s="1"/>
  <c r="T259" i="1" s="1"/>
  <c r="AV259" i="1" s="1"/>
  <c r="O260" i="1"/>
  <c r="P260" i="1"/>
  <c r="Q260" i="1"/>
  <c r="R260" i="1"/>
  <c r="S260" i="1" s="1"/>
  <c r="T260" i="1"/>
  <c r="P261" i="1"/>
  <c r="Q261" i="1"/>
  <c r="R261" i="1"/>
  <c r="S261" i="1" s="1"/>
  <c r="T261" i="1"/>
  <c r="O262" i="1"/>
  <c r="P262" i="1"/>
  <c r="Q262" i="1"/>
  <c r="R262" i="1"/>
  <c r="S262" i="1" s="1"/>
  <c r="T262" i="1"/>
  <c r="R263" i="1"/>
  <c r="S263" i="1" s="1"/>
  <c r="O264" i="1"/>
  <c r="P264" i="1"/>
  <c r="Q264" i="1"/>
  <c r="T264" i="1"/>
  <c r="AV264" i="1" s="1"/>
  <c r="P265" i="1"/>
  <c r="Q265" i="1"/>
  <c r="R265" i="1"/>
  <c r="S265" i="1" s="1"/>
  <c r="T265" i="1"/>
  <c r="O266" i="1"/>
  <c r="P266" i="1"/>
  <c r="Q266" i="1"/>
  <c r="R266" i="1"/>
  <c r="S266" i="1" s="1"/>
  <c r="T266" i="1"/>
  <c r="O267" i="1"/>
  <c r="P267" i="1"/>
  <c r="Q267" i="1"/>
  <c r="R267" i="1"/>
  <c r="S267" i="1" s="1"/>
  <c r="T267" i="1"/>
  <c r="O268" i="1"/>
  <c r="P268" i="1"/>
  <c r="Q268" i="1"/>
  <c r="R268" i="1"/>
  <c r="S268" i="1" s="1"/>
  <c r="T268" i="1"/>
  <c r="O269" i="1"/>
  <c r="P269" i="1"/>
  <c r="Q269" i="1"/>
  <c r="R269" i="1"/>
  <c r="S269" i="1" s="1"/>
  <c r="T269" i="1"/>
  <c r="AV269" i="1" s="1"/>
  <c r="O270" i="1"/>
  <c r="P270" i="1"/>
  <c r="Q270" i="1"/>
  <c r="R270" i="1"/>
  <c r="S270" i="1" s="1"/>
  <c r="T270" i="1"/>
  <c r="AV270" i="1" s="1"/>
  <c r="R271" i="1"/>
  <c r="S271" i="1" s="1"/>
  <c r="T271" i="1"/>
  <c r="O272" i="1"/>
  <c r="P272" i="1" s="1"/>
  <c r="Q272" i="1"/>
  <c r="R272" i="1"/>
  <c r="S272" i="1" s="1"/>
  <c r="T272" i="1"/>
  <c r="R273" i="1"/>
  <c r="S273" i="1" s="1"/>
  <c r="T273" i="1"/>
  <c r="O274" i="1"/>
  <c r="Q274" i="1" s="1"/>
  <c r="P274" i="1"/>
  <c r="R274" i="1"/>
  <c r="S274" i="1" s="1"/>
  <c r="T274" i="1"/>
  <c r="O275" i="1"/>
  <c r="P275" i="1"/>
  <c r="Q275" i="1"/>
  <c r="R275" i="1"/>
  <c r="S275" i="1" s="1"/>
  <c r="T275" i="1"/>
  <c r="AV275" i="1" s="1"/>
  <c r="O276" i="1"/>
  <c r="P276" i="1"/>
  <c r="Q276" i="1"/>
  <c r="T276" i="1"/>
  <c r="AV276" i="1" s="1"/>
  <c r="O277" i="1"/>
  <c r="P277" i="1" s="1"/>
  <c r="Q277" i="1"/>
  <c r="T277" i="1"/>
  <c r="AV277" i="1" s="1"/>
  <c r="O278" i="1"/>
  <c r="P278" i="1" s="1"/>
  <c r="Q278" i="1"/>
  <c r="R278" i="1"/>
  <c r="S278" i="1" s="1"/>
  <c r="T278" i="1"/>
  <c r="O279" i="1"/>
  <c r="P279" i="1" s="1"/>
  <c r="Q279" i="1"/>
  <c r="R279" i="1"/>
  <c r="S279" i="1" s="1"/>
  <c r="T279" i="1"/>
  <c r="O280" i="1"/>
  <c r="P280" i="1"/>
  <c r="Q280" i="1"/>
  <c r="T280" i="1"/>
  <c r="AV280" i="1" s="1"/>
  <c r="O281" i="1"/>
  <c r="P281" i="1" s="1"/>
  <c r="R281" i="1" s="1"/>
  <c r="S281" i="1" s="1"/>
  <c r="Q281" i="1"/>
  <c r="T281" i="1"/>
  <c r="AV281" i="1" s="1"/>
  <c r="O282" i="1"/>
  <c r="P282" i="1" s="1"/>
  <c r="R282" i="1" s="1"/>
  <c r="S282" i="1" s="1"/>
  <c r="Q282" i="1"/>
  <c r="T282" i="1"/>
  <c r="AV282" i="1" s="1"/>
  <c r="O283" i="1"/>
  <c r="P283" i="1" s="1"/>
  <c r="R283" i="1" s="1"/>
  <c r="S283" i="1" s="1"/>
  <c r="Q283" i="1"/>
  <c r="T283" i="1"/>
  <c r="AV283" i="1" s="1"/>
  <c r="O284" i="1"/>
  <c r="P284" i="1" s="1"/>
  <c r="R284" i="1" s="1"/>
  <c r="S284" i="1" s="1"/>
  <c r="Q284" i="1"/>
  <c r="T284" i="1"/>
  <c r="AV284" i="1" s="1"/>
  <c r="O285" i="1"/>
  <c r="P285" i="1"/>
  <c r="Q285" i="1"/>
  <c r="T285" i="1"/>
  <c r="AV285" i="1" s="1"/>
  <c r="O286" i="1"/>
  <c r="P286" i="1"/>
  <c r="Q286" i="1"/>
  <c r="T286" i="1"/>
  <c r="AV286" i="1" s="1"/>
  <c r="O287" i="1"/>
  <c r="P287" i="1" s="1"/>
  <c r="R287" i="1" s="1"/>
  <c r="S287" i="1" s="1"/>
  <c r="Q287" i="1"/>
  <c r="T287" i="1"/>
  <c r="AV287" i="1" s="1"/>
  <c r="O288" i="1"/>
  <c r="P288" i="1" s="1"/>
  <c r="R288" i="1" s="1"/>
  <c r="S288" i="1" s="1"/>
  <c r="Q288" i="1"/>
  <c r="T288" i="1"/>
  <c r="AV288" i="1" s="1"/>
  <c r="O289" i="1"/>
  <c r="P289" i="1" s="1"/>
  <c r="R289" i="1" s="1"/>
  <c r="S289" i="1" s="1"/>
  <c r="Q289" i="1"/>
  <c r="T289" i="1"/>
  <c r="AV289" i="1" s="1"/>
  <c r="O290" i="1"/>
  <c r="P290" i="1"/>
  <c r="Q290" i="1"/>
  <c r="T290" i="1"/>
  <c r="AV290" i="1" s="1"/>
  <c r="O291" i="1"/>
  <c r="P291" i="1"/>
  <c r="Q291" i="1"/>
  <c r="T291" i="1"/>
  <c r="AV291" i="1" s="1"/>
  <c r="O292" i="1"/>
  <c r="P292" i="1"/>
  <c r="Q292" i="1"/>
  <c r="R292" i="1"/>
  <c r="S292" i="1" s="1"/>
  <c r="T292" i="1"/>
  <c r="AV292" i="1" s="1"/>
  <c r="O293" i="1"/>
  <c r="P293" i="1"/>
  <c r="Q293" i="1"/>
  <c r="T293" i="1"/>
  <c r="AV293" i="1" s="1"/>
  <c r="O294" i="1"/>
  <c r="P294" i="1"/>
  <c r="Q294" i="1"/>
  <c r="R294" i="1"/>
  <c r="S294" i="1" s="1"/>
  <c r="T294" i="1"/>
  <c r="O295" i="1"/>
  <c r="P295" i="1"/>
  <c r="Q295" i="1"/>
  <c r="R295" i="1"/>
  <c r="S295" i="1" s="1"/>
  <c r="T295" i="1"/>
  <c r="AV295" i="1" s="1"/>
  <c r="O296" i="1"/>
  <c r="Q296" i="1" s="1"/>
  <c r="R296" i="1"/>
  <c r="S296" i="1" s="1"/>
  <c r="O297" i="1"/>
  <c r="P297" i="1" s="1"/>
  <c r="R297" i="1"/>
  <c r="S297" i="1" s="1"/>
  <c r="T297" i="1"/>
  <c r="O298" i="1"/>
  <c r="R298" i="1"/>
  <c r="S298" i="1" s="1"/>
  <c r="T298" i="1"/>
  <c r="O299" i="1"/>
  <c r="R299" i="1"/>
  <c r="S299" i="1" s="1"/>
  <c r="T299" i="1"/>
  <c r="O300" i="1"/>
  <c r="R300" i="1"/>
  <c r="S300" i="1" s="1"/>
  <c r="T300" i="1"/>
  <c r="O301" i="1"/>
  <c r="Q301" i="1" s="1"/>
  <c r="R301" i="1"/>
  <c r="S301" i="1" s="1"/>
  <c r="T301" i="1"/>
  <c r="O302" i="1"/>
  <c r="R302" i="1"/>
  <c r="S302" i="1" s="1"/>
  <c r="T302" i="1"/>
  <c r="O303" i="1"/>
  <c r="P303" i="1"/>
  <c r="R303" i="1" s="1"/>
  <c r="S303" i="1" s="1"/>
  <c r="Q303" i="1"/>
  <c r="T303" i="1"/>
  <c r="AV303" i="1" s="1"/>
  <c r="O304" i="1"/>
  <c r="P304" i="1"/>
  <c r="Q304" i="1"/>
  <c r="R304" i="1"/>
  <c r="S304" i="1" s="1"/>
  <c r="T304" i="1" s="1"/>
  <c r="AV304" i="1" s="1"/>
  <c r="O305" i="1"/>
  <c r="P305" i="1"/>
  <c r="Q305" i="1"/>
  <c r="R305" i="1"/>
  <c r="S305" i="1" s="1"/>
  <c r="T305" i="1" s="1"/>
  <c r="AV305" i="1" s="1"/>
  <c r="O306" i="1"/>
  <c r="P306" i="1"/>
  <c r="R306" i="1" s="1"/>
  <c r="S306" i="1" s="1"/>
  <c r="Q306" i="1"/>
  <c r="T306" i="1"/>
  <c r="AV306" i="1" s="1"/>
  <c r="O307" i="1"/>
  <c r="P307" i="1"/>
  <c r="Q307" i="1"/>
  <c r="R307" i="1"/>
  <c r="S307" i="1" s="1"/>
  <c r="T307" i="1"/>
  <c r="AV307" i="1" s="1"/>
  <c r="O308" i="1"/>
  <c r="P308" i="1"/>
  <c r="Q308" i="1"/>
  <c r="R308" i="1"/>
  <c r="S308" i="1" s="1"/>
  <c r="T308" i="1" s="1"/>
  <c r="AV308" i="1" s="1"/>
  <c r="O309" i="1"/>
  <c r="P309" i="1"/>
  <c r="Q309" i="1"/>
  <c r="R309" i="1"/>
  <c r="S309" i="1" s="1"/>
  <c r="T309" i="1" s="1"/>
  <c r="AV309" i="1" s="1"/>
  <c r="O310" i="1"/>
  <c r="P310" i="1"/>
  <c r="R310" i="1" s="1"/>
  <c r="S310" i="1" s="1"/>
  <c r="Q310" i="1"/>
  <c r="T310" i="1"/>
  <c r="AV310" i="1" s="1"/>
  <c r="O311" i="1"/>
  <c r="P311" i="1"/>
  <c r="Q311" i="1"/>
  <c r="R311" i="1"/>
  <c r="S311" i="1" s="1"/>
  <c r="T311" i="1"/>
  <c r="AV311" i="1" s="1"/>
  <c r="O312" i="1"/>
  <c r="P312" i="1"/>
  <c r="Q312" i="1"/>
  <c r="R312" i="1"/>
  <c r="S312" i="1" s="1"/>
  <c r="T312" i="1"/>
  <c r="AV312" i="1" s="1"/>
  <c r="O313" i="1"/>
  <c r="P313" i="1" s="1"/>
  <c r="Q313" i="1"/>
  <c r="R313" i="1"/>
  <c r="S313" i="1" s="1"/>
  <c r="T313" i="1"/>
  <c r="AV313" i="1" s="1"/>
  <c r="O314" i="1"/>
  <c r="P314" i="1" s="1"/>
  <c r="Q314" i="1"/>
  <c r="R314" i="1"/>
  <c r="S314" i="1" s="1"/>
  <c r="T314" i="1"/>
  <c r="O315" i="1"/>
  <c r="P315" i="1" s="1"/>
  <c r="Q315" i="1"/>
  <c r="R315" i="1"/>
  <c r="S315" i="1" s="1"/>
  <c r="T315" i="1"/>
  <c r="O316" i="1"/>
  <c r="P316" i="1" s="1"/>
  <c r="Q316" i="1"/>
  <c r="R316" i="1"/>
  <c r="S316" i="1" s="1"/>
  <c r="T316" i="1"/>
  <c r="O317" i="1"/>
  <c r="P317" i="1" s="1"/>
  <c r="Q317" i="1"/>
  <c r="R317" i="1"/>
  <c r="S317" i="1" s="1"/>
  <c r="T317" i="1"/>
  <c r="O318" i="1"/>
  <c r="P318" i="1" s="1"/>
  <c r="Q318" i="1"/>
  <c r="R318" i="1"/>
  <c r="S318" i="1" s="1"/>
  <c r="T318" i="1"/>
  <c r="O319" i="1"/>
  <c r="P319" i="1"/>
  <c r="Q319" i="1"/>
  <c r="R319" i="1"/>
  <c r="S319" i="1" s="1"/>
  <c r="T319" i="1"/>
  <c r="AV319" i="1" s="1"/>
  <c r="O320" i="1"/>
  <c r="P320" i="1" s="1"/>
  <c r="Q320" i="1"/>
  <c r="T320" i="1"/>
  <c r="AV320" i="1" s="1"/>
  <c r="O321" i="1"/>
  <c r="P321" i="1" s="1"/>
  <c r="Q321" i="1"/>
  <c r="R321" i="1"/>
  <c r="S321" i="1" s="1"/>
  <c r="T321" i="1"/>
  <c r="O322" i="1"/>
  <c r="P322" i="1" s="1"/>
  <c r="Q322" i="1"/>
  <c r="R322" i="1"/>
  <c r="S322" i="1" s="1"/>
  <c r="T322" i="1"/>
  <c r="O323" i="1"/>
  <c r="P323" i="1" s="1"/>
  <c r="Q323" i="1"/>
  <c r="R323" i="1"/>
  <c r="S323" i="1" s="1"/>
  <c r="T323" i="1"/>
  <c r="O324" i="1"/>
  <c r="P324" i="1" s="1"/>
  <c r="Q324" i="1"/>
  <c r="R324" i="1"/>
  <c r="S324" i="1" s="1"/>
  <c r="T324" i="1"/>
  <c r="O325" i="1"/>
  <c r="P325" i="1" s="1"/>
  <c r="T325" i="1"/>
  <c r="AV325" i="1" s="1"/>
  <c r="O326" i="1"/>
  <c r="R326" i="1"/>
  <c r="S326" i="1" s="1"/>
  <c r="T326" i="1"/>
  <c r="O327" i="1"/>
  <c r="R327" i="1"/>
  <c r="S327" i="1" s="1"/>
  <c r="T327" i="1"/>
  <c r="O328" i="1"/>
  <c r="P328" i="1"/>
  <c r="Q328" i="1"/>
  <c r="R328" i="1"/>
  <c r="S328" i="1" s="1"/>
  <c r="T328" i="1"/>
  <c r="O329" i="1"/>
  <c r="P329" i="1"/>
  <c r="Q329" i="1"/>
  <c r="R329" i="1"/>
  <c r="S329" i="1" s="1"/>
  <c r="T329" i="1"/>
  <c r="O330" i="1"/>
  <c r="P330" i="1" s="1"/>
  <c r="R330" i="1" s="1"/>
  <c r="S330" i="1" s="1"/>
  <c r="Q330" i="1"/>
  <c r="T330" i="1"/>
  <c r="AV330" i="1" s="1"/>
  <c r="O331" i="1"/>
  <c r="P331" i="1" s="1"/>
  <c r="T331" i="1"/>
  <c r="AV331" i="1" s="1"/>
  <c r="O332" i="1"/>
  <c r="P332" i="1" s="1"/>
  <c r="R332" i="1"/>
  <c r="S332" i="1" s="1"/>
  <c r="T332" i="1"/>
  <c r="O333" i="1"/>
  <c r="P333" i="1" s="1"/>
  <c r="R333" i="1"/>
  <c r="S333" i="1" s="1"/>
  <c r="T333" i="1"/>
  <c r="O334" i="1"/>
  <c r="P334" i="1" s="1"/>
  <c r="R334" i="1"/>
  <c r="S334" i="1" s="1"/>
  <c r="T334" i="1"/>
  <c r="R335" i="1"/>
  <c r="S335" i="1" s="1"/>
  <c r="T335" i="1"/>
  <c r="R336" i="1"/>
  <c r="S336" i="1" s="1"/>
  <c r="T336" i="1"/>
  <c r="O337" i="1"/>
  <c r="R337" i="1"/>
  <c r="S337" i="1" s="1"/>
  <c r="T337" i="1"/>
  <c r="O338" i="1"/>
  <c r="P338" i="1"/>
  <c r="R338" i="1" s="1"/>
  <c r="S338" i="1" s="1"/>
  <c r="Q338" i="1"/>
  <c r="T338" i="1"/>
  <c r="AV338" i="1" s="1"/>
  <c r="O339" i="1"/>
  <c r="P339" i="1" s="1"/>
  <c r="R339" i="1" s="1"/>
  <c r="S339" i="1" s="1"/>
  <c r="Q339" i="1"/>
  <c r="T339" i="1"/>
  <c r="AV339" i="1" s="1"/>
  <c r="O340" i="1"/>
  <c r="P340" i="1" s="1"/>
  <c r="R340" i="1" s="1"/>
  <c r="S340" i="1" s="1"/>
  <c r="Q340" i="1"/>
  <c r="T340" i="1"/>
  <c r="AV340" i="1" s="1"/>
  <c r="O341" i="1"/>
  <c r="P341" i="1"/>
  <c r="R341" i="1" s="1"/>
  <c r="S341" i="1" s="1"/>
  <c r="Q341" i="1"/>
  <c r="T341" i="1"/>
  <c r="AV341" i="1" s="1"/>
  <c r="O342" i="1"/>
  <c r="P342" i="1"/>
  <c r="R342" i="1" s="1"/>
  <c r="S342" i="1" s="1"/>
  <c r="Q342" i="1"/>
  <c r="T342" i="1"/>
  <c r="AV342" i="1" s="1"/>
  <c r="O343" i="1"/>
  <c r="P343" i="1" s="1"/>
  <c r="R343" i="1" s="1"/>
  <c r="S343" i="1" s="1"/>
  <c r="Q343" i="1"/>
  <c r="T343" i="1"/>
  <c r="AV343" i="1" s="1"/>
  <c r="O344" i="1"/>
  <c r="P344" i="1" s="1"/>
  <c r="R344" i="1"/>
  <c r="S344" i="1" s="1"/>
  <c r="AV344" i="1" s="1"/>
  <c r="O345" i="1"/>
  <c r="P345" i="1"/>
  <c r="Q345" i="1"/>
  <c r="R345" i="1"/>
  <c r="S345" i="1" s="1"/>
  <c r="T345" i="1"/>
  <c r="O346" i="1"/>
  <c r="P346" i="1" s="1"/>
  <c r="R346" i="1"/>
  <c r="S346" i="1" s="1"/>
  <c r="T346" i="1"/>
  <c r="O347" i="1"/>
  <c r="R347" i="1"/>
  <c r="S347" i="1" s="1"/>
  <c r="T347" i="1"/>
  <c r="O348" i="1"/>
  <c r="P348" i="1"/>
  <c r="Q348" i="1"/>
  <c r="R348" i="1"/>
  <c r="S348" i="1" s="1"/>
  <c r="T348" i="1"/>
  <c r="O349" i="1"/>
  <c r="Q349" i="1" s="1"/>
  <c r="R349" i="1"/>
  <c r="S349" i="1" s="1"/>
  <c r="T349" i="1"/>
  <c r="O350" i="1"/>
  <c r="P350" i="1"/>
  <c r="Q350" i="1"/>
  <c r="R350" i="1"/>
  <c r="S350" i="1" s="1"/>
  <c r="T350" i="1"/>
  <c r="O351" i="1"/>
  <c r="P351" i="1"/>
  <c r="Q351" i="1"/>
  <c r="R351" i="1"/>
  <c r="S351" i="1" s="1"/>
  <c r="T351" i="1"/>
  <c r="O352" i="1"/>
  <c r="Q352" i="1" s="1"/>
  <c r="R352" i="1"/>
  <c r="S352" i="1" s="1"/>
  <c r="T352" i="1"/>
  <c r="O353" i="1"/>
  <c r="Q353" i="1" s="1"/>
  <c r="R353" i="1"/>
  <c r="S353" i="1" s="1"/>
  <c r="T353" i="1"/>
  <c r="O354" i="1"/>
  <c r="R354" i="1"/>
  <c r="S354" i="1" s="1"/>
  <c r="T354" i="1"/>
  <c r="O355" i="1"/>
  <c r="Q355" i="1" s="1"/>
  <c r="R355" i="1"/>
  <c r="S355" i="1" s="1"/>
  <c r="T355" i="1"/>
  <c r="O356" i="1"/>
  <c r="P356" i="1"/>
  <c r="Q356" i="1"/>
  <c r="T356" i="1"/>
  <c r="AV356" i="1" s="1"/>
  <c r="O357" i="1"/>
  <c r="P357" i="1" s="1"/>
  <c r="R357" i="1"/>
  <c r="S357" i="1" s="1"/>
  <c r="T357" i="1"/>
  <c r="O358" i="1"/>
  <c r="P358" i="1" s="1"/>
  <c r="Q358" i="1"/>
  <c r="R358" i="1"/>
  <c r="S358" i="1" s="1"/>
  <c r="T358" i="1"/>
  <c r="AV358" i="1" s="1"/>
  <c r="O359" i="1"/>
  <c r="P359" i="1"/>
  <c r="Q359" i="1"/>
  <c r="R359" i="1"/>
  <c r="S359" i="1" s="1"/>
  <c r="T359" i="1"/>
  <c r="AV359" i="1" s="1"/>
  <c r="O360" i="1"/>
  <c r="P360" i="1"/>
  <c r="Q360" i="1"/>
  <c r="T360" i="1"/>
  <c r="AV360" i="1" s="1"/>
  <c r="O362" i="1"/>
  <c r="P362" i="1"/>
  <c r="Q362" i="1"/>
  <c r="R362" i="1"/>
  <c r="S362" i="1" s="1"/>
  <c r="T362" i="1"/>
  <c r="AV362" i="1" s="1"/>
  <c r="O363" i="1"/>
  <c r="Q363" i="1"/>
  <c r="R363" i="1"/>
  <c r="S363" i="1" s="1"/>
  <c r="T363" i="1" s="1"/>
  <c r="AV363" i="1" s="1"/>
  <c r="O366" i="1"/>
  <c r="P366" i="1" s="1"/>
  <c r="R366" i="1"/>
  <c r="S366" i="1" s="1"/>
  <c r="O367" i="1"/>
  <c r="O368" i="1"/>
  <c r="P368" i="1"/>
  <c r="R368" i="1" s="1"/>
  <c r="S368" i="1" s="1"/>
  <c r="Q368" i="1"/>
  <c r="T368" i="1"/>
  <c r="AV368" i="1" s="1"/>
  <c r="O369" i="1"/>
  <c r="P369" i="1"/>
  <c r="R369" i="1" s="1"/>
  <c r="S369" i="1" s="1"/>
  <c r="Q369" i="1"/>
  <c r="T369" i="1"/>
  <c r="AV369" i="1" s="1"/>
  <c r="O370" i="1"/>
  <c r="Q370" i="1" s="1"/>
  <c r="O371" i="1"/>
  <c r="P371" i="1"/>
  <c r="Q371" i="1"/>
  <c r="R371" i="1"/>
  <c r="S371" i="1" s="1"/>
  <c r="T371" i="1"/>
  <c r="O372" i="1"/>
  <c r="P372" i="1" s="1"/>
  <c r="R372" i="1"/>
  <c r="S372" i="1" s="1"/>
  <c r="T372" i="1"/>
  <c r="O373" i="1"/>
  <c r="P373" i="1"/>
  <c r="Q373" i="1"/>
  <c r="R373" i="1"/>
  <c r="S373" i="1" s="1"/>
  <c r="T373" i="1"/>
  <c r="AV373" i="1" s="1"/>
  <c r="O374" i="1"/>
  <c r="O375" i="1"/>
  <c r="P375" i="1" s="1"/>
  <c r="R375" i="1"/>
  <c r="S375" i="1" s="1"/>
  <c r="T375" i="1"/>
  <c r="O376" i="1"/>
  <c r="P376" i="1" s="1"/>
  <c r="R376" i="1"/>
  <c r="S376" i="1" s="1"/>
  <c r="T376" i="1"/>
  <c r="O377" i="1"/>
  <c r="P377" i="1"/>
  <c r="Q377" i="1"/>
  <c r="R377" i="1"/>
  <c r="S377" i="1" s="1"/>
  <c r="T377" i="1"/>
  <c r="O378" i="1"/>
  <c r="P378" i="1"/>
  <c r="Q378" i="1"/>
  <c r="R378" i="1"/>
  <c r="S378" i="1" s="1"/>
  <c r="T378" i="1"/>
  <c r="AV378" i="1" s="1"/>
  <c r="O379" i="1"/>
  <c r="P379" i="1"/>
  <c r="R379" i="1" s="1"/>
  <c r="S379" i="1" s="1"/>
  <c r="Q379" i="1"/>
  <c r="T379" i="1"/>
  <c r="AV379" i="1" s="1"/>
  <c r="O380" i="1"/>
  <c r="P380" i="1"/>
  <c r="Q380" i="1"/>
  <c r="R380" i="1"/>
  <c r="S380" i="1" s="1"/>
  <c r="T380" i="1"/>
  <c r="AV380" i="1" s="1"/>
  <c r="O381" i="1"/>
  <c r="P381" i="1"/>
  <c r="Q381" i="1"/>
  <c r="R381" i="1"/>
  <c r="S381" i="1" s="1"/>
  <c r="T381" i="1"/>
  <c r="AV381" i="1" s="1"/>
  <c r="O382" i="1"/>
  <c r="P382" i="1"/>
  <c r="Q382" i="1"/>
  <c r="R382" i="1"/>
  <c r="S382" i="1" s="1"/>
  <c r="T382" i="1"/>
  <c r="AV382" i="1" s="1"/>
  <c r="O383" i="1"/>
  <c r="P383" i="1"/>
  <c r="Q383" i="1"/>
  <c r="R383" i="1"/>
  <c r="S383" i="1" s="1"/>
  <c r="T383" i="1"/>
  <c r="AV383" i="1" s="1"/>
  <c r="O384" i="1"/>
  <c r="P384" i="1"/>
  <c r="Q384" i="1"/>
  <c r="R384" i="1"/>
  <c r="S384" i="1" s="1"/>
  <c r="T384" i="1"/>
  <c r="AV384" i="1" s="1"/>
  <c r="O385" i="1"/>
  <c r="P385" i="1"/>
  <c r="Q385" i="1"/>
  <c r="R385" i="1"/>
  <c r="S385" i="1" s="1"/>
  <c r="T385" i="1"/>
  <c r="AV385" i="1" s="1"/>
  <c r="O386" i="1"/>
  <c r="P386" i="1"/>
  <c r="Q386" i="1"/>
  <c r="R386" i="1"/>
  <c r="S386" i="1" s="1"/>
  <c r="T386" i="1"/>
  <c r="AV386" i="1" s="1"/>
  <c r="O387" i="1"/>
  <c r="P387" i="1"/>
  <c r="Q387" i="1"/>
  <c r="R387" i="1"/>
  <c r="S387" i="1" s="1"/>
  <c r="T387" i="1"/>
  <c r="AV387" i="1" s="1"/>
  <c r="O388" i="1"/>
  <c r="P388" i="1"/>
  <c r="Q388" i="1"/>
  <c r="R388" i="1"/>
  <c r="S388" i="1" s="1"/>
  <c r="T388" i="1"/>
  <c r="AV388" i="1" s="1"/>
  <c r="O389" i="1"/>
  <c r="P389" i="1"/>
  <c r="Q389" i="1"/>
  <c r="R389" i="1"/>
  <c r="S389" i="1" s="1"/>
  <c r="T389" i="1"/>
  <c r="AV389" i="1" s="1"/>
  <c r="O391" i="1"/>
  <c r="P391" i="1"/>
  <c r="Q391" i="1"/>
  <c r="R391" i="1"/>
  <c r="S391" i="1" s="1"/>
  <c r="O392" i="1"/>
  <c r="P392" i="1" s="1"/>
  <c r="R392" i="1"/>
  <c r="S392" i="1" s="1"/>
  <c r="T392" i="1"/>
  <c r="O393" i="1"/>
  <c r="P393" i="1" s="1"/>
  <c r="R393" i="1"/>
  <c r="S393" i="1" s="1"/>
  <c r="T393" i="1"/>
  <c r="O394" i="1"/>
  <c r="Q394" i="1" s="1"/>
  <c r="R394" i="1"/>
  <c r="S394" i="1" s="1"/>
  <c r="T394" i="1"/>
  <c r="O395" i="1"/>
  <c r="R395" i="1"/>
  <c r="S395" i="1" s="1"/>
  <c r="T395" i="1"/>
  <c r="O396" i="1"/>
  <c r="R396" i="1"/>
  <c r="S396" i="1" s="1"/>
  <c r="T396" i="1"/>
  <c r="O397" i="1"/>
  <c r="R397" i="1"/>
  <c r="S397" i="1" s="1"/>
  <c r="T397" i="1"/>
  <c r="O398" i="1"/>
  <c r="R398" i="1"/>
  <c r="S398" i="1" s="1"/>
  <c r="T398" i="1"/>
  <c r="O399" i="1"/>
  <c r="R399" i="1"/>
  <c r="S399" i="1" s="1"/>
  <c r="T399" i="1"/>
  <c r="O400" i="1"/>
  <c r="R400" i="1"/>
  <c r="S400" i="1" s="1"/>
  <c r="T400" i="1"/>
  <c r="O401" i="1"/>
  <c r="R401" i="1"/>
  <c r="S401" i="1" s="1"/>
  <c r="T401" i="1"/>
  <c r="O402" i="1"/>
  <c r="P402" i="1"/>
  <c r="Q402" i="1"/>
  <c r="R402" i="1"/>
  <c r="S402" i="1" s="1"/>
  <c r="T402" i="1"/>
  <c r="O403" i="1"/>
  <c r="R403" i="1"/>
  <c r="S403" i="1" s="1"/>
  <c r="T403" i="1"/>
  <c r="O404" i="1"/>
  <c r="R404" i="1"/>
  <c r="S404" i="1" s="1"/>
  <c r="T404" i="1"/>
  <c r="R405" i="1"/>
  <c r="S405" i="1" s="1"/>
  <c r="T405" i="1"/>
  <c r="O406" i="1"/>
  <c r="R406" i="1"/>
  <c r="S406" i="1" s="1"/>
  <c r="T406" i="1"/>
  <c r="O407" i="1"/>
  <c r="P407" i="1" s="1"/>
  <c r="R407" i="1"/>
  <c r="S407" i="1" s="1"/>
  <c r="T407" i="1"/>
  <c r="O408" i="1"/>
  <c r="P408" i="1" s="1"/>
  <c r="R408" i="1"/>
  <c r="S408" i="1" s="1"/>
  <c r="T408" i="1"/>
  <c r="O409" i="1"/>
  <c r="R409" i="1"/>
  <c r="S409" i="1" s="1"/>
  <c r="T409" i="1"/>
  <c r="O410" i="1"/>
  <c r="R410" i="1"/>
  <c r="S410" i="1" s="1"/>
  <c r="T410" i="1"/>
  <c r="O411" i="1"/>
  <c r="R411" i="1"/>
  <c r="S411" i="1" s="1"/>
  <c r="T411" i="1"/>
  <c r="R412" i="1"/>
  <c r="S412" i="1" s="1"/>
  <c r="T412" i="1"/>
  <c r="O413" i="1"/>
  <c r="P413" i="1"/>
  <c r="Q413" i="1"/>
  <c r="R413" i="1"/>
  <c r="S413" i="1" s="1"/>
  <c r="T413" i="1"/>
  <c r="O414" i="1"/>
  <c r="P414" i="1" s="1"/>
  <c r="R414" i="1"/>
  <c r="S414" i="1" s="1"/>
  <c r="T414" i="1"/>
  <c r="O415" i="1"/>
  <c r="R415" i="1"/>
  <c r="S415" i="1" s="1"/>
  <c r="T415" i="1"/>
  <c r="O416" i="1"/>
  <c r="P416" i="1" s="1"/>
  <c r="R416" i="1"/>
  <c r="S416" i="1" s="1"/>
  <c r="T416" i="1"/>
  <c r="O417" i="1"/>
  <c r="R417" i="1"/>
  <c r="S417" i="1" s="1"/>
  <c r="T417" i="1"/>
  <c r="O418" i="1"/>
  <c r="R418" i="1"/>
  <c r="S418" i="1" s="1"/>
  <c r="T418" i="1"/>
  <c r="O419" i="1"/>
  <c r="P419" i="1"/>
  <c r="Q419" i="1"/>
  <c r="R419" i="1"/>
  <c r="S419" i="1" s="1"/>
  <c r="T419" i="1"/>
  <c r="O420" i="1"/>
  <c r="R420" i="1"/>
  <c r="S420" i="1" s="1"/>
  <c r="T420" i="1"/>
  <c r="O421" i="1"/>
  <c r="Q421" i="1" s="1"/>
  <c r="R421" i="1"/>
  <c r="S421" i="1" s="1"/>
  <c r="T421" i="1"/>
  <c r="O422" i="1"/>
  <c r="R422" i="1"/>
  <c r="S422" i="1" s="1"/>
  <c r="T422" i="1"/>
  <c r="O423" i="1"/>
  <c r="R423" i="1"/>
  <c r="S423" i="1" s="1"/>
  <c r="T423" i="1"/>
  <c r="O424" i="1"/>
  <c r="R424" i="1"/>
  <c r="S424" i="1" s="1"/>
  <c r="T424" i="1"/>
  <c r="O425" i="1"/>
  <c r="P425" i="1" s="1"/>
  <c r="R425" i="1"/>
  <c r="S425" i="1" s="1"/>
  <c r="T425" i="1"/>
  <c r="R426" i="1"/>
  <c r="S426" i="1" s="1"/>
  <c r="T426" i="1"/>
  <c r="O427" i="1"/>
  <c r="R427" i="1"/>
  <c r="S427" i="1" s="1"/>
  <c r="T427" i="1"/>
  <c r="O428" i="1"/>
  <c r="P428" i="1" s="1"/>
  <c r="R428" i="1"/>
  <c r="S428" i="1" s="1"/>
  <c r="T428" i="1"/>
  <c r="O429" i="1"/>
  <c r="R429" i="1"/>
  <c r="S429" i="1" s="1"/>
  <c r="T429" i="1"/>
  <c r="R430" i="1"/>
  <c r="S430" i="1" s="1"/>
  <c r="T430" i="1"/>
  <c r="R431" i="1"/>
  <c r="S431" i="1" s="1"/>
  <c r="T431" i="1"/>
  <c r="O432" i="1"/>
  <c r="R432" i="1"/>
  <c r="S432" i="1" s="1"/>
  <c r="T432" i="1"/>
  <c r="O433" i="1"/>
  <c r="P433" i="1"/>
  <c r="Q433" i="1"/>
  <c r="R433" i="1"/>
  <c r="S433" i="1" s="1"/>
  <c r="T433" i="1"/>
  <c r="O434" i="1"/>
  <c r="R434" i="1"/>
  <c r="S434" i="1" s="1"/>
  <c r="T434" i="1"/>
  <c r="O435" i="1"/>
  <c r="P435" i="1" s="1"/>
  <c r="R435" i="1"/>
  <c r="S435" i="1" s="1"/>
  <c r="T435" i="1"/>
  <c r="O436" i="1"/>
  <c r="P436" i="1" s="1"/>
  <c r="R436" i="1"/>
  <c r="S436" i="1" s="1"/>
  <c r="T436" i="1"/>
  <c r="O437" i="1"/>
  <c r="P437" i="1" s="1"/>
  <c r="R437" i="1"/>
  <c r="S437" i="1" s="1"/>
  <c r="T437" i="1"/>
  <c r="O438" i="1"/>
  <c r="P438" i="1" s="1"/>
  <c r="R438" i="1"/>
  <c r="S438" i="1" s="1"/>
  <c r="T438" i="1"/>
  <c r="O439" i="1"/>
  <c r="R439" i="1"/>
  <c r="S439" i="1" s="1"/>
  <c r="T439" i="1"/>
  <c r="O440" i="1"/>
  <c r="R440" i="1"/>
  <c r="S440" i="1" s="1"/>
  <c r="T440" i="1"/>
  <c r="O441" i="1"/>
  <c r="P441" i="1" s="1"/>
  <c r="R441" i="1"/>
  <c r="S441" i="1" s="1"/>
  <c r="T441" i="1"/>
  <c r="O442" i="1"/>
  <c r="R442" i="1"/>
  <c r="S442" i="1" s="1"/>
  <c r="T442" i="1"/>
  <c r="O443" i="1"/>
  <c r="P443" i="1" s="1"/>
  <c r="R443" i="1"/>
  <c r="S443" i="1" s="1"/>
  <c r="T443" i="1"/>
  <c r="O444" i="1"/>
  <c r="R444" i="1"/>
  <c r="S444" i="1" s="1"/>
  <c r="T444" i="1"/>
  <c r="O445" i="1"/>
  <c r="R445" i="1"/>
  <c r="S445" i="1" s="1"/>
  <c r="T445" i="1"/>
  <c r="O446" i="1"/>
  <c r="R446" i="1"/>
  <c r="S446" i="1" s="1"/>
  <c r="T446" i="1"/>
  <c r="O447" i="1"/>
  <c r="Q447" i="1" s="1"/>
  <c r="R447" i="1"/>
  <c r="S447" i="1" s="1"/>
  <c r="T447" i="1"/>
  <c r="O448" i="1"/>
  <c r="R448" i="1"/>
  <c r="S448" i="1" s="1"/>
  <c r="T448" i="1"/>
  <c r="O449" i="1"/>
  <c r="P449" i="1"/>
  <c r="Q449" i="1"/>
  <c r="R449" i="1"/>
  <c r="S449" i="1" s="1"/>
  <c r="T449" i="1"/>
  <c r="O450" i="1"/>
  <c r="R450" i="1"/>
  <c r="S450" i="1" s="1"/>
  <c r="T450" i="1"/>
  <c r="O451" i="1"/>
  <c r="R451" i="1"/>
  <c r="S451" i="1" s="1"/>
  <c r="T451" i="1"/>
  <c r="O452" i="1"/>
  <c r="R452" i="1"/>
  <c r="S452" i="1" s="1"/>
  <c r="T452" i="1"/>
  <c r="O453" i="1"/>
  <c r="R453" i="1"/>
  <c r="S453" i="1" s="1"/>
  <c r="T453" i="1"/>
  <c r="O454" i="1"/>
  <c r="P454" i="1"/>
  <c r="Q454" i="1"/>
  <c r="R454" i="1"/>
  <c r="S454" i="1" s="1"/>
  <c r="T454" i="1" s="1"/>
  <c r="AV454" i="1" s="1"/>
  <c r="O455" i="1"/>
  <c r="R455" i="1"/>
  <c r="S455" i="1" s="1"/>
  <c r="T455" i="1"/>
  <c r="O456" i="1"/>
  <c r="P456" i="1" s="1"/>
  <c r="R456" i="1"/>
  <c r="S456" i="1" s="1"/>
  <c r="T456" i="1"/>
  <c r="O457" i="1"/>
  <c r="Q457" i="1" s="1"/>
  <c r="R457" i="1"/>
  <c r="S457" i="1" s="1"/>
  <c r="T457" i="1"/>
  <c r="O458" i="1"/>
  <c r="P458" i="1" s="1"/>
  <c r="R458" i="1"/>
  <c r="S458" i="1" s="1"/>
  <c r="T458" i="1"/>
  <c r="O459" i="1"/>
  <c r="P459" i="1" s="1"/>
  <c r="R459" i="1"/>
  <c r="S459" i="1" s="1"/>
  <c r="T459" i="1"/>
  <c r="O460" i="1"/>
  <c r="P460" i="1" s="1"/>
  <c r="R460" i="1"/>
  <c r="S460" i="1" s="1"/>
  <c r="T460" i="1"/>
  <c r="O461" i="1"/>
  <c r="R461" i="1"/>
  <c r="S461" i="1" s="1"/>
  <c r="T461" i="1"/>
  <c r="O462" i="1"/>
  <c r="P462" i="1"/>
  <c r="Q462" i="1"/>
  <c r="R462" i="1"/>
  <c r="S462" i="1" s="1"/>
  <c r="O463" i="1"/>
  <c r="P463" i="1"/>
  <c r="Q463" i="1"/>
  <c r="R463" i="1"/>
  <c r="S463" i="1" s="1"/>
  <c r="T463" i="1"/>
  <c r="O464" i="1"/>
  <c r="R464" i="1"/>
  <c r="S464" i="1" s="1"/>
  <c r="T464" i="1"/>
  <c r="R465" i="1"/>
  <c r="S465" i="1" s="1"/>
  <c r="T465" i="1"/>
  <c r="R466" i="1"/>
  <c r="S466" i="1" s="1"/>
  <c r="T466" i="1"/>
  <c r="O467" i="1"/>
  <c r="R467" i="1"/>
  <c r="S467" i="1" s="1"/>
  <c r="T467" i="1"/>
  <c r="O468" i="1"/>
  <c r="R468" i="1"/>
  <c r="S468" i="1" s="1"/>
  <c r="T468" i="1"/>
  <c r="O469" i="1"/>
  <c r="P469" i="1" s="1"/>
  <c r="R469" i="1"/>
  <c r="S469" i="1" s="1"/>
  <c r="T469" i="1"/>
  <c r="O470" i="1"/>
  <c r="R470" i="1"/>
  <c r="S470" i="1" s="1"/>
  <c r="T470" i="1"/>
  <c r="O471" i="1"/>
  <c r="Q471" i="1" s="1"/>
  <c r="R471" i="1"/>
  <c r="S471" i="1" s="1"/>
  <c r="T471" i="1"/>
  <c r="O472" i="1"/>
  <c r="R472" i="1"/>
  <c r="S472" i="1" s="1"/>
  <c r="T472" i="1"/>
  <c r="O473" i="1"/>
  <c r="R473" i="1"/>
  <c r="S473" i="1" s="1"/>
  <c r="T473" i="1"/>
  <c r="O474" i="1"/>
  <c r="P474" i="1" s="1"/>
  <c r="R474" i="1"/>
  <c r="S474" i="1" s="1"/>
  <c r="T474" i="1"/>
  <c r="O475" i="1"/>
  <c r="Q475" i="1" s="1"/>
  <c r="R475" i="1"/>
  <c r="S475" i="1" s="1"/>
  <c r="T475" i="1"/>
  <c r="O476" i="1"/>
  <c r="P476" i="1" s="1"/>
  <c r="R476" i="1"/>
  <c r="S476" i="1" s="1"/>
  <c r="T476" i="1"/>
  <c r="O477" i="1"/>
  <c r="R477" i="1"/>
  <c r="S477" i="1" s="1"/>
  <c r="T477" i="1"/>
  <c r="O478" i="1"/>
  <c r="Q478" i="1" s="1"/>
  <c r="R478" i="1"/>
  <c r="S478" i="1" s="1"/>
  <c r="T478" i="1"/>
  <c r="O479" i="1"/>
  <c r="P479" i="1" s="1"/>
  <c r="R479" i="1"/>
  <c r="S479" i="1" s="1"/>
  <c r="T479" i="1"/>
  <c r="O480" i="1"/>
  <c r="Q480" i="1" s="1"/>
  <c r="R480" i="1"/>
  <c r="S480" i="1" s="1"/>
  <c r="T480" i="1"/>
  <c r="O481" i="1"/>
  <c r="R481" i="1"/>
  <c r="S481" i="1" s="1"/>
  <c r="T481" i="1"/>
  <c r="O482" i="1"/>
  <c r="Q482" i="1" s="1"/>
  <c r="R482" i="1"/>
  <c r="S482" i="1" s="1"/>
  <c r="T482" i="1"/>
  <c r="O483" i="1"/>
  <c r="Q483" i="1" s="1"/>
  <c r="R483" i="1"/>
  <c r="S483" i="1" s="1"/>
  <c r="T483" i="1"/>
  <c r="O484" i="1"/>
  <c r="R484" i="1"/>
  <c r="S484" i="1" s="1"/>
  <c r="T484" i="1"/>
  <c r="O485" i="1"/>
  <c r="R485" i="1"/>
  <c r="S485" i="1" s="1"/>
  <c r="T485" i="1"/>
  <c r="O486" i="1"/>
  <c r="R486" i="1"/>
  <c r="S486" i="1" s="1"/>
  <c r="T486" i="1"/>
  <c r="O487" i="1"/>
  <c r="R487" i="1"/>
  <c r="S487" i="1" s="1"/>
  <c r="T487" i="1"/>
  <c r="O488" i="1"/>
  <c r="P488" i="1"/>
  <c r="Q488" i="1"/>
  <c r="R488" i="1"/>
  <c r="S488" i="1" s="1"/>
  <c r="T488" i="1"/>
  <c r="O489" i="1"/>
  <c r="R489" i="1"/>
  <c r="S489" i="1" s="1"/>
  <c r="T489" i="1"/>
  <c r="O490" i="1"/>
  <c r="Q490" i="1" s="1"/>
  <c r="R490" i="1"/>
  <c r="S490" i="1" s="1"/>
  <c r="T490" i="1"/>
  <c r="O491" i="1"/>
  <c r="R491" i="1"/>
  <c r="S491" i="1" s="1"/>
  <c r="T491" i="1"/>
  <c r="O492" i="1"/>
  <c r="P492" i="1" s="1"/>
  <c r="R492" i="1"/>
  <c r="S492" i="1" s="1"/>
  <c r="T492" i="1"/>
  <c r="O493" i="1"/>
  <c r="R493" i="1"/>
  <c r="S493" i="1" s="1"/>
  <c r="T493" i="1"/>
  <c r="O494" i="1"/>
  <c r="P494" i="1" s="1"/>
  <c r="R494" i="1"/>
  <c r="S494" i="1" s="1"/>
  <c r="T494" i="1"/>
  <c r="O495" i="1"/>
  <c r="Q495" i="1" s="1"/>
  <c r="R495" i="1"/>
  <c r="S495" i="1" s="1"/>
  <c r="T495" i="1"/>
  <c r="O496" i="1"/>
  <c r="Q496" i="1" s="1"/>
  <c r="R496" i="1"/>
  <c r="S496" i="1" s="1"/>
  <c r="T496" i="1"/>
  <c r="O497" i="1"/>
  <c r="P497" i="1" s="1"/>
  <c r="R497" i="1"/>
  <c r="S497" i="1" s="1"/>
  <c r="T497" i="1"/>
  <c r="O498" i="1"/>
  <c r="P498" i="1" s="1"/>
  <c r="R498" i="1"/>
  <c r="S498" i="1" s="1"/>
  <c r="T498" i="1"/>
  <c r="O499" i="1"/>
  <c r="P499" i="1" s="1"/>
  <c r="R499" i="1"/>
  <c r="S499" i="1" s="1"/>
  <c r="T499" i="1"/>
  <c r="O500" i="1"/>
  <c r="P500" i="1"/>
  <c r="Q500" i="1"/>
  <c r="R500" i="1"/>
  <c r="S500" i="1" s="1"/>
  <c r="T500" i="1"/>
  <c r="O501" i="1"/>
  <c r="P501" i="1"/>
  <c r="Q501" i="1"/>
  <c r="R501" i="1"/>
  <c r="S501" i="1" s="1"/>
  <c r="T501" i="1"/>
  <c r="O502" i="1"/>
  <c r="R502" i="1"/>
  <c r="S502" i="1" s="1"/>
  <c r="T502" i="1"/>
  <c r="O503" i="1"/>
  <c r="P503" i="1" s="1"/>
  <c r="R503" i="1"/>
  <c r="S503" i="1" s="1"/>
  <c r="T503" i="1"/>
  <c r="O504" i="1"/>
  <c r="Q504" i="1" s="1"/>
  <c r="R504" i="1"/>
  <c r="S504" i="1" s="1"/>
  <c r="T504" i="1"/>
  <c r="R505" i="1"/>
  <c r="S505" i="1" s="1"/>
  <c r="T505" i="1"/>
  <c r="O506" i="1"/>
  <c r="P506" i="1"/>
  <c r="Q506" i="1"/>
  <c r="R506" i="1"/>
  <c r="S506" i="1" s="1"/>
  <c r="T506" i="1"/>
  <c r="O507" i="1"/>
  <c r="R507" i="1"/>
  <c r="S507" i="1" s="1"/>
  <c r="T507" i="1"/>
  <c r="O508" i="1"/>
  <c r="P508" i="1" s="1"/>
  <c r="R508" i="1"/>
  <c r="S508" i="1" s="1"/>
  <c r="T508" i="1"/>
  <c r="R509" i="1"/>
  <c r="S509" i="1" s="1"/>
  <c r="T509" i="1"/>
  <c r="O510" i="1"/>
  <c r="P510" i="1" s="1"/>
  <c r="R510" i="1"/>
  <c r="S510" i="1" s="1"/>
  <c r="T510" i="1"/>
  <c r="O511" i="1"/>
  <c r="P511" i="1" s="1"/>
  <c r="R511" i="1"/>
  <c r="S511" i="1" s="1"/>
  <c r="T511" i="1"/>
  <c r="O512" i="1"/>
  <c r="P512" i="1" s="1"/>
  <c r="R512" i="1"/>
  <c r="S512" i="1" s="1"/>
  <c r="T512" i="1"/>
  <c r="O513" i="1"/>
  <c r="R513" i="1"/>
  <c r="S513" i="1" s="1"/>
  <c r="T513" i="1"/>
  <c r="O514" i="1"/>
  <c r="P514" i="1"/>
  <c r="Q514" i="1"/>
  <c r="R514" i="1"/>
  <c r="S514" i="1" s="1"/>
  <c r="T514" i="1"/>
  <c r="O515" i="1"/>
  <c r="R515" i="1"/>
  <c r="S515" i="1" s="1"/>
  <c r="T515" i="1"/>
  <c r="O516" i="1"/>
  <c r="P516" i="1"/>
  <c r="R516" i="1" s="1"/>
  <c r="S516" i="1" s="1"/>
  <c r="Q516" i="1"/>
  <c r="T516" i="1"/>
  <c r="AV516" i="1" s="1"/>
  <c r="O517" i="1"/>
  <c r="T517" i="1"/>
  <c r="AV517" i="1" s="1"/>
  <c r="O518" i="1"/>
  <c r="P518" i="1"/>
  <c r="Q518" i="1"/>
  <c r="R518" i="1"/>
  <c r="S518" i="1" s="1"/>
  <c r="T518" i="1"/>
  <c r="O519" i="1"/>
  <c r="T519" i="1"/>
  <c r="AV519" i="1" s="1"/>
  <c r="O520" i="1"/>
  <c r="P520" i="1"/>
  <c r="Q520" i="1"/>
  <c r="R520" i="1"/>
  <c r="S520" i="1" s="1"/>
  <c r="T520" i="1"/>
  <c r="O521" i="1"/>
  <c r="P521" i="1"/>
  <c r="R521" i="1" s="1"/>
  <c r="S521" i="1" s="1"/>
  <c r="Q521" i="1"/>
  <c r="T521" i="1"/>
  <c r="AV521" i="1" s="1"/>
  <c r="O522" i="1"/>
  <c r="P522" i="1"/>
  <c r="Q522" i="1"/>
  <c r="R522" i="1"/>
  <c r="S522" i="1" s="1"/>
  <c r="T522" i="1"/>
  <c r="AV522" i="1" s="1"/>
  <c r="O523" i="1"/>
  <c r="P523" i="1"/>
  <c r="Q523" i="1"/>
  <c r="R523" i="1"/>
  <c r="S523" i="1" s="1"/>
  <c r="T523" i="1"/>
  <c r="AV523" i="1" s="1"/>
  <c r="O524" i="1"/>
  <c r="P524" i="1"/>
  <c r="Q524" i="1"/>
  <c r="R524" i="1"/>
  <c r="S524" i="1" s="1"/>
  <c r="T524" i="1"/>
  <c r="AV524" i="1" s="1"/>
  <c r="O525" i="1"/>
  <c r="P525" i="1"/>
  <c r="R525" i="1" s="1"/>
  <c r="S525" i="1" s="1"/>
  <c r="Q525" i="1"/>
  <c r="T525" i="1"/>
  <c r="AV525" i="1" s="1"/>
  <c r="O526" i="1"/>
  <c r="P526" i="1"/>
  <c r="R526" i="1" s="1"/>
  <c r="S526" i="1" s="1"/>
  <c r="Q526" i="1"/>
  <c r="T526" i="1"/>
  <c r="AV526" i="1" s="1"/>
  <c r="O527" i="1"/>
  <c r="P527" i="1"/>
  <c r="R527" i="1" s="1"/>
  <c r="S527" i="1" s="1"/>
  <c r="Q527" i="1"/>
  <c r="T527" i="1"/>
  <c r="AV527" i="1" s="1"/>
  <c r="O528" i="1"/>
  <c r="P528" i="1"/>
  <c r="R528" i="1" s="1"/>
  <c r="S528" i="1" s="1"/>
  <c r="Q528" i="1"/>
  <c r="T528" i="1"/>
  <c r="AV528" i="1" s="1"/>
  <c r="O529" i="1"/>
  <c r="P529" i="1" s="1"/>
  <c r="O530" i="1"/>
  <c r="Q530" i="1" s="1"/>
  <c r="R530" i="1"/>
  <c r="S530" i="1" s="1"/>
  <c r="T530" i="1"/>
  <c r="O531" i="1"/>
  <c r="Q531" i="1" s="1"/>
  <c r="R531" i="1"/>
  <c r="S531" i="1" s="1"/>
  <c r="T531" i="1"/>
  <c r="O532" i="1"/>
  <c r="P532" i="1" s="1"/>
  <c r="O533" i="1"/>
  <c r="P533" i="1" s="1"/>
  <c r="R533" i="1"/>
  <c r="S533" i="1" s="1"/>
  <c r="T533" i="1"/>
  <c r="O534" i="1"/>
  <c r="R534" i="1"/>
  <c r="S534" i="1" s="1"/>
  <c r="T534" i="1"/>
  <c r="O535" i="1"/>
  <c r="R535" i="1"/>
  <c r="S535" i="1" s="1"/>
  <c r="T535" i="1"/>
  <c r="O536" i="1"/>
  <c r="R536" i="1"/>
  <c r="S536" i="1" s="1"/>
  <c r="T536" i="1"/>
  <c r="O537" i="1"/>
  <c r="Q537" i="1" s="1"/>
  <c r="R537" i="1"/>
  <c r="S537" i="1" s="1"/>
  <c r="T537" i="1"/>
  <c r="O538" i="1"/>
  <c r="R538" i="1"/>
  <c r="S538" i="1" s="1"/>
  <c r="T538" i="1"/>
  <c r="O539" i="1"/>
  <c r="Q539" i="1" s="1"/>
  <c r="T539" i="1" s="1"/>
  <c r="O540" i="1"/>
  <c r="P540" i="1" s="1"/>
  <c r="Q540" i="1"/>
  <c r="T540" i="1"/>
  <c r="AV540" i="1" s="1"/>
  <c r="O541" i="1"/>
  <c r="P541" i="1" s="1"/>
  <c r="Q541" i="1"/>
  <c r="R541" i="1"/>
  <c r="S541" i="1" s="1"/>
  <c r="T541" i="1"/>
  <c r="O542" i="1"/>
  <c r="P542" i="1" s="1"/>
  <c r="Q542" i="1"/>
  <c r="R542" i="1"/>
  <c r="S542" i="1" s="1"/>
  <c r="T542" i="1"/>
  <c r="O543" i="1"/>
  <c r="P543" i="1" s="1"/>
  <c r="Q543" i="1"/>
  <c r="T543" i="1"/>
  <c r="AV543" i="1" s="1"/>
  <c r="O544" i="1"/>
  <c r="P544" i="1" s="1"/>
  <c r="Q544" i="1"/>
  <c r="R544" i="1"/>
  <c r="S544" i="1" s="1"/>
  <c r="T544" i="1"/>
  <c r="O545" i="1"/>
  <c r="P545" i="1" s="1"/>
  <c r="Q545" i="1"/>
  <c r="R545" i="1"/>
  <c r="S545" i="1" s="1"/>
  <c r="T545" i="1"/>
  <c r="O546" i="1"/>
  <c r="P546" i="1" s="1"/>
  <c r="Q546" i="1"/>
  <c r="R546" i="1"/>
  <c r="S546" i="1" s="1"/>
  <c r="T546" i="1"/>
  <c r="O547" i="1"/>
  <c r="P547" i="1"/>
  <c r="R547" i="1" s="1"/>
  <c r="S547" i="1" s="1"/>
  <c r="Q547" i="1"/>
  <c r="T547" i="1"/>
  <c r="AV547" i="1" s="1"/>
  <c r="O548" i="1"/>
  <c r="P548" i="1"/>
  <c r="Q548" i="1"/>
  <c r="R548" i="1"/>
  <c r="S548" i="1" s="1"/>
  <c r="T548" i="1"/>
  <c r="AV548" i="1" s="1"/>
  <c r="O549" i="1"/>
  <c r="Q549" i="1"/>
  <c r="T549" i="1"/>
  <c r="AV549" i="1" s="1"/>
  <c r="O550" i="1"/>
  <c r="P550" i="1"/>
  <c r="Q550" i="1"/>
  <c r="R550" i="1"/>
  <c r="S550" i="1" s="1"/>
  <c r="T550" i="1"/>
  <c r="AV550" i="1" s="1"/>
  <c r="O551" i="1"/>
  <c r="P551" i="1" s="1"/>
  <c r="Q551" i="1"/>
  <c r="R551" i="1"/>
  <c r="S551" i="1" s="1"/>
  <c r="T551" i="1"/>
  <c r="AV551" i="1" s="1"/>
  <c r="O552" i="1"/>
  <c r="P552" i="1" s="1"/>
  <c r="Q552" i="1"/>
  <c r="R552" i="1"/>
  <c r="S552" i="1" s="1"/>
  <c r="T552" i="1"/>
  <c r="O553" i="1"/>
  <c r="P553" i="1"/>
  <c r="Q553" i="1"/>
  <c r="R553" i="1"/>
  <c r="S553" i="1" s="1"/>
  <c r="T553" i="1"/>
  <c r="O554" i="1"/>
  <c r="P554" i="1" s="1"/>
  <c r="Q554" i="1"/>
  <c r="R554" i="1"/>
  <c r="S554" i="1" s="1"/>
  <c r="T554" i="1"/>
  <c r="AV554" i="1" s="1"/>
  <c r="O555" i="1"/>
  <c r="P555" i="1"/>
  <c r="R555" i="1" s="1"/>
  <c r="S555" i="1" s="1"/>
  <c r="Q555" i="1"/>
  <c r="T555" i="1"/>
  <c r="AV555" i="1" s="1"/>
  <c r="O556" i="1"/>
  <c r="P556" i="1" s="1"/>
  <c r="R556" i="1" s="1"/>
  <c r="S556" i="1" s="1"/>
  <c r="Q556" i="1"/>
  <c r="T556" i="1"/>
  <c r="AV556" i="1" s="1"/>
  <c r="O557" i="1"/>
  <c r="P557" i="1" s="1"/>
  <c r="R557" i="1" s="1"/>
  <c r="S557" i="1" s="1"/>
  <c r="Q557" i="1"/>
  <c r="T557" i="1"/>
  <c r="AV557" i="1" s="1"/>
  <c r="O558" i="1"/>
  <c r="P558" i="1"/>
  <c r="Q558" i="1"/>
  <c r="R558" i="1"/>
  <c r="S558" i="1" s="1"/>
  <c r="T558" i="1"/>
  <c r="AV558" i="1" s="1"/>
  <c r="O559" i="1"/>
  <c r="P559" i="1" s="1"/>
  <c r="R559" i="1" s="1"/>
  <c r="S559" i="1" s="1"/>
  <c r="Q559" i="1"/>
  <c r="T559" i="1"/>
  <c r="AV559" i="1" s="1"/>
  <c r="O560" i="1"/>
  <c r="P560" i="1" s="1"/>
  <c r="Q560" i="1"/>
  <c r="T560" i="1"/>
  <c r="AV560" i="1" s="1"/>
  <c r="O561" i="1"/>
  <c r="P561" i="1" s="1"/>
  <c r="Q561" i="1"/>
  <c r="R561" i="1"/>
  <c r="S561" i="1" s="1"/>
  <c r="T561" i="1"/>
  <c r="O562" i="1"/>
  <c r="P562" i="1" s="1"/>
  <c r="Q562" i="1"/>
  <c r="R562" i="1"/>
  <c r="S562" i="1" s="1"/>
  <c r="T562" i="1"/>
  <c r="O563" i="1"/>
  <c r="P563" i="1" s="1"/>
  <c r="R563" i="1" s="1"/>
  <c r="S563" i="1" s="1"/>
  <c r="Q563" i="1"/>
  <c r="T563" i="1"/>
  <c r="AV563" i="1" s="1"/>
  <c r="O564" i="1"/>
  <c r="P564" i="1"/>
  <c r="R564" i="1" s="1"/>
  <c r="S564" i="1" s="1"/>
  <c r="Q564" i="1"/>
  <c r="T564" i="1"/>
  <c r="AV564" i="1" s="1"/>
  <c r="O565" i="1"/>
  <c r="P565" i="1"/>
  <c r="R565" i="1" s="1"/>
  <c r="S565" i="1" s="1"/>
  <c r="Q565" i="1"/>
  <c r="T565" i="1"/>
  <c r="AV565" i="1" s="1"/>
  <c r="O566" i="1"/>
  <c r="P566" i="1"/>
  <c r="Q566" i="1"/>
  <c r="R566" i="1"/>
  <c r="S566" i="1" s="1"/>
  <c r="T566" i="1"/>
  <c r="AV566" i="1" s="1"/>
  <c r="O567" i="1"/>
  <c r="P567" i="1"/>
  <c r="Q567" i="1"/>
  <c r="R567" i="1"/>
  <c r="S567" i="1" s="1"/>
  <c r="T567" i="1"/>
  <c r="AV567" i="1" s="1"/>
  <c r="O568" i="1"/>
  <c r="P568" i="1" s="1"/>
  <c r="Q568" i="1"/>
  <c r="R568" i="1"/>
  <c r="S568" i="1" s="1"/>
  <c r="T568" i="1"/>
  <c r="AV568" i="1" s="1"/>
  <c r="O569" i="1"/>
  <c r="P569" i="1"/>
  <c r="Q569" i="1"/>
  <c r="R569" i="1"/>
  <c r="S569" i="1" s="1"/>
  <c r="T569" i="1"/>
  <c r="AV569" i="1" s="1"/>
  <c r="O570" i="1"/>
  <c r="P570" i="1" s="1"/>
  <c r="R570" i="1" s="1"/>
  <c r="S570" i="1" s="1"/>
  <c r="Q570" i="1"/>
  <c r="T570" i="1"/>
  <c r="AV570" i="1" s="1"/>
  <c r="O571" i="1"/>
  <c r="P571" i="1" s="1"/>
  <c r="Q571" i="1"/>
  <c r="T571" i="1"/>
  <c r="AV571" i="1" s="1"/>
  <c r="O572" i="1"/>
  <c r="P572" i="1" s="1"/>
  <c r="Q572" i="1"/>
  <c r="R572" i="1"/>
  <c r="S572" i="1" s="1"/>
  <c r="T572" i="1"/>
  <c r="O573" i="1"/>
  <c r="P573" i="1" s="1"/>
  <c r="Q573" i="1"/>
  <c r="R573" i="1"/>
  <c r="S573" i="1" s="1"/>
  <c r="T573" i="1"/>
  <c r="O574" i="1"/>
  <c r="P574" i="1" s="1"/>
  <c r="Q574" i="1"/>
  <c r="R574" i="1"/>
  <c r="S574" i="1" s="1"/>
  <c r="T574" i="1"/>
  <c r="O575" i="1"/>
  <c r="P575" i="1" s="1"/>
  <c r="Q575" i="1"/>
  <c r="R575" i="1"/>
  <c r="S575" i="1" s="1"/>
  <c r="T575" i="1"/>
  <c r="O576" i="1"/>
  <c r="P576" i="1" s="1"/>
  <c r="R576" i="1" s="1"/>
  <c r="S576" i="1" s="1"/>
  <c r="Q576" i="1"/>
  <c r="T576" i="1"/>
  <c r="AV576" i="1" s="1"/>
  <c r="O577" i="1"/>
  <c r="P577" i="1"/>
  <c r="Q577" i="1"/>
  <c r="R577" i="1"/>
  <c r="S577" i="1" s="1"/>
  <c r="T577" i="1"/>
  <c r="AV577" i="1" s="1"/>
  <c r="O579" i="1"/>
  <c r="P579" i="1"/>
  <c r="R579" i="1" s="1"/>
  <c r="S579" i="1" s="1"/>
  <c r="Q579" i="1"/>
  <c r="T579" i="1"/>
  <c r="AV579" i="1" s="1"/>
  <c r="O580" i="1"/>
  <c r="P580" i="1"/>
  <c r="Q580" i="1"/>
  <c r="R580" i="1"/>
  <c r="S580" i="1" s="1"/>
  <c r="T580" i="1" s="1"/>
  <c r="AV580" i="1" s="1"/>
  <c r="O581" i="1"/>
  <c r="P581" i="1"/>
  <c r="R581" i="1" s="1"/>
  <c r="S581" i="1" s="1"/>
  <c r="Q581" i="1"/>
  <c r="T581" i="1"/>
  <c r="AV581" i="1" s="1"/>
  <c r="O582" i="1"/>
  <c r="P582" i="1"/>
  <c r="Q582" i="1"/>
  <c r="T582" i="1"/>
  <c r="AV582" i="1" s="1"/>
  <c r="O583" i="1"/>
  <c r="P583" i="1"/>
  <c r="Q583" i="1"/>
  <c r="R583" i="1"/>
  <c r="S583" i="1" s="1"/>
  <c r="T583" i="1"/>
  <c r="O584" i="1"/>
  <c r="P584" i="1"/>
  <c r="Q584" i="1"/>
  <c r="R584" i="1"/>
  <c r="S584" i="1" s="1"/>
  <c r="T584" i="1"/>
  <c r="O585" i="1"/>
  <c r="P585" i="1"/>
  <c r="Q585" i="1"/>
  <c r="R585" i="1"/>
  <c r="S585" i="1" s="1"/>
  <c r="T585" i="1"/>
  <c r="O586" i="1"/>
  <c r="P586" i="1"/>
  <c r="R586" i="1" s="1"/>
  <c r="S586" i="1" s="1"/>
  <c r="Q586" i="1"/>
  <c r="T586" i="1"/>
  <c r="AV586" i="1" s="1"/>
  <c r="O587" i="1"/>
  <c r="T587" i="1"/>
  <c r="AV587" i="1" s="1"/>
  <c r="O588" i="1"/>
  <c r="P588" i="1" s="1"/>
  <c r="Q588" i="1"/>
  <c r="T588" i="1"/>
  <c r="AV588" i="1" s="1"/>
  <c r="O589" i="1"/>
  <c r="P589" i="1" s="1"/>
  <c r="Q589" i="1"/>
  <c r="R589" i="1"/>
  <c r="S589" i="1" s="1"/>
  <c r="T589" i="1"/>
  <c r="O590" i="1"/>
  <c r="P590" i="1" s="1"/>
  <c r="Q590" i="1"/>
  <c r="R590" i="1"/>
  <c r="S590" i="1" s="1"/>
  <c r="T590" i="1"/>
  <c r="O591" i="1"/>
  <c r="P591" i="1" s="1"/>
  <c r="Q591" i="1"/>
  <c r="R591" i="1"/>
  <c r="S591" i="1" s="1"/>
  <c r="T591" i="1"/>
  <c r="O592" i="1"/>
  <c r="P592" i="1" s="1"/>
  <c r="R592" i="1" s="1"/>
  <c r="S592" i="1" s="1"/>
  <c r="Q592" i="1"/>
  <c r="T592" i="1"/>
  <c r="AV592" i="1" s="1"/>
  <c r="O593" i="1"/>
  <c r="P593" i="1"/>
  <c r="Q593" i="1"/>
  <c r="R593" i="1"/>
  <c r="S593" i="1" s="1"/>
  <c r="T593" i="1"/>
  <c r="AV593" i="1" s="1"/>
  <c r="O594" i="1"/>
  <c r="P594" i="1"/>
  <c r="Q594" i="1"/>
  <c r="R594" i="1"/>
  <c r="S594" i="1" s="1"/>
  <c r="C23" i="53" s="1"/>
  <c r="T594" i="1"/>
  <c r="AV594" i="1" s="1"/>
  <c r="O597" i="1"/>
  <c r="P597" i="1"/>
  <c r="Q597" i="1"/>
  <c r="R597" i="1"/>
  <c r="S597" i="1" s="1"/>
  <c r="T597" i="1"/>
  <c r="AV597" i="1" s="1"/>
  <c r="O598" i="1"/>
  <c r="P598" i="1"/>
  <c r="Q598" i="1"/>
  <c r="R598" i="1"/>
  <c r="S598" i="1" s="1"/>
  <c r="T598" i="1"/>
  <c r="AV598" i="1" s="1"/>
  <c r="O599" i="1"/>
  <c r="P599" i="1"/>
  <c r="Q599" i="1"/>
  <c r="R599" i="1"/>
  <c r="S599" i="1" s="1"/>
  <c r="T599" i="1"/>
  <c r="O600" i="1"/>
  <c r="P600" i="1"/>
  <c r="Q600" i="1"/>
  <c r="R600" i="1"/>
  <c r="S600" i="1" s="1"/>
  <c r="T600" i="1"/>
  <c r="AV600" i="1" s="1"/>
  <c r="O602" i="1"/>
  <c r="P602" i="1"/>
  <c r="Q602" i="1"/>
  <c r="O603" i="1"/>
  <c r="P603" i="1"/>
  <c r="Q603" i="1"/>
  <c r="R603" i="1"/>
  <c r="S603" i="1" s="1"/>
  <c r="T603" i="1"/>
  <c r="O604" i="1"/>
  <c r="P604" i="1"/>
  <c r="Q604" i="1"/>
  <c r="R604" i="1"/>
  <c r="S604" i="1" s="1"/>
  <c r="T604" i="1"/>
  <c r="O605" i="1"/>
  <c r="Q605" i="1" s="1"/>
  <c r="R605" i="1"/>
  <c r="S605" i="1" s="1"/>
  <c r="T605" i="1"/>
  <c r="P606" i="1"/>
  <c r="Q606" i="1"/>
  <c r="R606" i="1"/>
  <c r="S606" i="1" s="1"/>
  <c r="T606" i="1"/>
  <c r="O607" i="1"/>
  <c r="P607" i="1"/>
  <c r="Q607" i="1"/>
  <c r="R607" i="1"/>
  <c r="S607" i="1" s="1"/>
  <c r="T607" i="1"/>
  <c r="O608" i="1"/>
  <c r="P608" i="1"/>
  <c r="Q608" i="1"/>
  <c r="R608" i="1"/>
  <c r="S608" i="1" s="1"/>
  <c r="T608" i="1"/>
  <c r="O609" i="1"/>
  <c r="P609" i="1"/>
  <c r="Q609" i="1"/>
  <c r="R609" i="1"/>
  <c r="S609" i="1" s="1"/>
  <c r="T609" i="1"/>
  <c r="O610" i="1"/>
  <c r="P610" i="1"/>
  <c r="Q610" i="1"/>
  <c r="T610" i="1"/>
  <c r="AV610" i="1" s="1"/>
  <c r="O611" i="1"/>
  <c r="P611" i="1"/>
  <c r="Q611" i="1"/>
  <c r="R611" i="1"/>
  <c r="S611" i="1" s="1"/>
  <c r="T611" i="1"/>
  <c r="O612" i="1"/>
  <c r="P612" i="1" s="1"/>
  <c r="R612" i="1"/>
  <c r="S612" i="1" s="1"/>
  <c r="T612" i="1"/>
  <c r="O613" i="1"/>
  <c r="P613" i="1" s="1"/>
  <c r="R613" i="1" s="1"/>
  <c r="S613" i="1" s="1"/>
  <c r="Q613" i="1"/>
  <c r="T613" i="1"/>
  <c r="AV613" i="1" s="1"/>
  <c r="O614" i="1"/>
  <c r="P614" i="1"/>
  <c r="Q614" i="1"/>
  <c r="R614" i="1"/>
  <c r="S614" i="1" s="1"/>
  <c r="T614" i="1"/>
  <c r="AV614" i="1" s="1"/>
  <c r="O615" i="1"/>
  <c r="P615" i="1"/>
  <c r="Q615" i="1"/>
  <c r="R615" i="1"/>
  <c r="S615" i="1" s="1"/>
  <c r="T615" i="1"/>
  <c r="AV615" i="1" s="1"/>
  <c r="O616" i="1"/>
  <c r="P616" i="1"/>
  <c r="Q616" i="1"/>
  <c r="R616" i="1"/>
  <c r="S616" i="1" s="1"/>
  <c r="T616" i="1"/>
  <c r="AV616" i="1" s="1"/>
  <c r="O601" i="1"/>
  <c r="P601" i="1"/>
  <c r="Q601" i="1"/>
  <c r="R601" i="1"/>
  <c r="S601" i="1" s="1"/>
  <c r="T601" i="1"/>
  <c r="AV601" i="1" s="1"/>
  <c r="O617" i="1"/>
  <c r="P617" i="1"/>
  <c r="Q617" i="1"/>
  <c r="T617" i="1"/>
  <c r="AV617" i="1" s="1"/>
  <c r="O618" i="1"/>
  <c r="R618" i="1"/>
  <c r="S618" i="1" s="1"/>
  <c r="T618" i="1"/>
  <c r="AV618" i="1" s="1"/>
  <c r="O619" i="1"/>
  <c r="R619" i="1"/>
  <c r="S619" i="1" s="1"/>
  <c r="T619" i="1"/>
  <c r="O620" i="1"/>
  <c r="P620" i="1"/>
  <c r="Q620" i="1"/>
  <c r="R620" i="1"/>
  <c r="S620" i="1" s="1"/>
  <c r="T620" i="1"/>
  <c r="AV620" i="1" s="1"/>
  <c r="O621" i="1"/>
  <c r="P621" i="1"/>
  <c r="Q621" i="1"/>
  <c r="R621" i="1"/>
  <c r="S621" i="1" s="1"/>
  <c r="T621" i="1"/>
  <c r="AV621" i="1" s="1"/>
  <c r="O622" i="1"/>
  <c r="P622" i="1"/>
  <c r="Q622" i="1"/>
  <c r="R622" i="1"/>
  <c r="S622" i="1" s="1"/>
  <c r="T622" i="1"/>
  <c r="AV622" i="1" s="1"/>
  <c r="O623" i="1"/>
  <c r="P623" i="1"/>
  <c r="Q623" i="1"/>
  <c r="R623" i="1"/>
  <c r="S623" i="1" s="1"/>
  <c r="T623" i="1"/>
  <c r="AV623" i="1" s="1"/>
  <c r="O624" i="1"/>
  <c r="P624" i="1"/>
  <c r="Q624" i="1"/>
  <c r="R624" i="1"/>
  <c r="S624" i="1" s="1"/>
  <c r="T624" i="1"/>
  <c r="AV624" i="1" s="1"/>
  <c r="P625" i="1"/>
  <c r="Q625" i="1"/>
  <c r="R625" i="1"/>
  <c r="S625" i="1" s="1"/>
  <c r="T625" i="1" s="1"/>
  <c r="AV625" i="1" s="1"/>
  <c r="P626" i="1"/>
  <c r="Q626" i="1"/>
  <c r="R626" i="1"/>
  <c r="S626" i="1" s="1"/>
  <c r="T626" i="1"/>
  <c r="P627" i="1"/>
  <c r="Q627" i="1"/>
  <c r="R627" i="1"/>
  <c r="S627" i="1" s="1"/>
  <c r="T627" i="1"/>
  <c r="P628" i="1"/>
  <c r="Q628" i="1"/>
  <c r="R628" i="1"/>
  <c r="S628" i="1" s="1"/>
  <c r="T628" i="1"/>
  <c r="O629" i="1"/>
  <c r="P629" i="1"/>
  <c r="Q629" i="1"/>
  <c r="R629" i="1"/>
  <c r="S629" i="1" s="1"/>
  <c r="T629" i="1"/>
  <c r="O630" i="1"/>
  <c r="P630" i="1"/>
  <c r="Q630" i="1"/>
  <c r="R630" i="1"/>
  <c r="S630" i="1" s="1"/>
  <c r="T630" i="1"/>
  <c r="O631" i="1"/>
  <c r="P631" i="1"/>
  <c r="Q631" i="1"/>
  <c r="R631" i="1"/>
  <c r="S631" i="1" s="1"/>
  <c r="T631" i="1" s="1"/>
  <c r="AV631" i="1" s="1"/>
  <c r="O632" i="1"/>
  <c r="Q632" i="1" s="1"/>
  <c r="O633" i="1"/>
  <c r="Q633" i="1" s="1"/>
  <c r="R633" i="1"/>
  <c r="S633" i="1" s="1"/>
  <c r="T633" i="1"/>
  <c r="O634" i="1"/>
  <c r="P634" i="1" s="1"/>
  <c r="R634" i="1" s="1"/>
  <c r="S634" i="1" s="1"/>
  <c r="O635" i="1"/>
  <c r="P635" i="1"/>
  <c r="Q635" i="1"/>
  <c r="R635" i="1"/>
  <c r="S635" i="1" s="1"/>
  <c r="T635" i="1"/>
  <c r="AV635" i="1" s="1"/>
  <c r="O636" i="1"/>
  <c r="P636" i="1"/>
  <c r="Q636" i="1"/>
  <c r="R636" i="1"/>
  <c r="S636" i="1" s="1"/>
  <c r="C31" i="53" s="1"/>
  <c r="T636" i="1"/>
  <c r="AV636" i="1" s="1"/>
  <c r="O637" i="1"/>
  <c r="P637" i="1"/>
  <c r="Q637" i="1"/>
  <c r="R637" i="1"/>
  <c r="S637" i="1" s="1"/>
  <c r="T637" i="1" s="1"/>
  <c r="AV637" i="1" s="1"/>
  <c r="O638" i="1"/>
  <c r="P638" i="1"/>
  <c r="Q638" i="1"/>
  <c r="R638" i="1"/>
  <c r="S638" i="1" s="1"/>
  <c r="T638" i="1" s="1"/>
  <c r="AV638" i="1" s="1"/>
  <c r="O639" i="1"/>
  <c r="P639" i="1"/>
  <c r="Q639" i="1"/>
  <c r="R639" i="1"/>
  <c r="S639" i="1" s="1"/>
  <c r="T639" i="1"/>
  <c r="P640" i="1"/>
  <c r="Q640" i="1"/>
  <c r="R640" i="1"/>
  <c r="S640" i="1" s="1"/>
  <c r="T640" i="1" s="1"/>
  <c r="AV640" i="1" s="1"/>
  <c r="O641" i="1"/>
  <c r="Q641" i="1" s="1"/>
  <c r="R641" i="1"/>
  <c r="S641" i="1" s="1"/>
  <c r="O642" i="1"/>
  <c r="P642" i="1" s="1"/>
  <c r="R642" i="1"/>
  <c r="S642" i="1" s="1"/>
  <c r="T642" i="1"/>
  <c r="O643" i="1"/>
  <c r="P643" i="1" s="1"/>
  <c r="R643" i="1"/>
  <c r="S643" i="1" s="1"/>
  <c r="T643" i="1"/>
  <c r="O644" i="1"/>
  <c r="P644" i="1"/>
  <c r="Q644" i="1"/>
  <c r="R644" i="1"/>
  <c r="S644" i="1" s="1"/>
  <c r="T644" i="1" s="1"/>
  <c r="AV644" i="1" s="1"/>
  <c r="O645" i="1"/>
  <c r="P645" i="1"/>
  <c r="Q645" i="1"/>
  <c r="R645" i="1"/>
  <c r="S645" i="1" s="1"/>
  <c r="T645" i="1"/>
  <c r="O646" i="1"/>
  <c r="P646" i="1"/>
  <c r="Q646" i="1"/>
  <c r="R646" i="1"/>
  <c r="S646" i="1" s="1"/>
  <c r="T646" i="1"/>
  <c r="O647" i="1"/>
  <c r="P647" i="1" s="1"/>
  <c r="O648" i="1"/>
  <c r="P648" i="1"/>
  <c r="Q648" i="1"/>
  <c r="R648" i="1"/>
  <c r="S648" i="1" s="1"/>
  <c r="T648" i="1"/>
  <c r="O649" i="1"/>
  <c r="Q649" i="1" s="1"/>
  <c r="O650" i="1"/>
  <c r="P650" i="1"/>
  <c r="Q650" i="1"/>
  <c r="R650" i="1"/>
  <c r="S650" i="1" s="1"/>
  <c r="T650" i="1"/>
  <c r="O651" i="1"/>
  <c r="P651" i="1"/>
  <c r="Q651" i="1"/>
  <c r="O652" i="1"/>
  <c r="P652" i="1"/>
  <c r="Q652" i="1"/>
  <c r="R652" i="1"/>
  <c r="S652" i="1" s="1"/>
  <c r="T652" i="1"/>
  <c r="O653" i="1"/>
  <c r="P653" i="1"/>
  <c r="R653" i="1" s="1"/>
  <c r="S653" i="1" s="1"/>
  <c r="Q653" i="1"/>
  <c r="T653" i="1"/>
  <c r="AV653" i="1" s="1"/>
  <c r="O655" i="1"/>
  <c r="P655" i="1" s="1"/>
  <c r="R655" i="1"/>
  <c r="S655" i="1" s="1"/>
  <c r="T655" i="1"/>
  <c r="R656" i="1"/>
  <c r="S656" i="1" s="1"/>
  <c r="T656" i="1"/>
  <c r="R657" i="1"/>
  <c r="S657" i="1" s="1"/>
  <c r="T657" i="1"/>
  <c r="O658" i="1"/>
  <c r="P658" i="1"/>
  <c r="Q658" i="1"/>
  <c r="R658" i="1"/>
  <c r="S658" i="1" s="1"/>
  <c r="T658" i="1"/>
  <c r="O659" i="1"/>
  <c r="P659" i="1"/>
  <c r="Q659" i="1"/>
  <c r="R659" i="1"/>
  <c r="S659" i="1" s="1"/>
  <c r="T659" i="1"/>
  <c r="O660" i="1"/>
  <c r="P660" i="1"/>
  <c r="R660" i="1" s="1"/>
  <c r="S660" i="1" s="1"/>
  <c r="Q660" i="1"/>
  <c r="T660" i="1"/>
  <c r="AV660" i="1" s="1"/>
  <c r="O661" i="1"/>
  <c r="P661" i="1"/>
  <c r="Q661" i="1"/>
  <c r="O662" i="1"/>
  <c r="P662" i="1"/>
  <c r="R662" i="1" s="1"/>
  <c r="S662" i="1" s="1"/>
  <c r="Q662" i="1"/>
  <c r="T662" i="1"/>
  <c r="AV662" i="1" s="1"/>
  <c r="O663" i="1"/>
  <c r="P663" i="1"/>
  <c r="Q663" i="1"/>
  <c r="O664" i="1"/>
  <c r="P664" i="1"/>
  <c r="Q664" i="1"/>
  <c r="R664" i="1"/>
  <c r="S664" i="1" s="1"/>
  <c r="T664" i="1"/>
  <c r="AV664" i="1" s="1"/>
  <c r="O665" i="1"/>
  <c r="P665" i="1"/>
  <c r="Q665" i="1"/>
  <c r="R665" i="1"/>
  <c r="S665" i="1" s="1"/>
  <c r="T665" i="1"/>
  <c r="AV665" i="1" s="1"/>
  <c r="O666" i="1"/>
  <c r="P666" i="1"/>
  <c r="Q666" i="1"/>
  <c r="R666" i="1"/>
  <c r="S666" i="1" s="1"/>
  <c r="T666" i="1"/>
  <c r="AV666" i="1" s="1"/>
  <c r="O667" i="1"/>
  <c r="P667" i="1"/>
  <c r="Q667" i="1"/>
  <c r="R667" i="1"/>
  <c r="S667" i="1" s="1"/>
  <c r="T667" i="1"/>
  <c r="AV667" i="1" s="1"/>
  <c r="O668" i="1"/>
  <c r="P668" i="1"/>
  <c r="Q668" i="1"/>
  <c r="R668" i="1"/>
  <c r="S668" i="1" s="1"/>
  <c r="T668" i="1"/>
  <c r="AV668" i="1" s="1"/>
  <c r="O669" i="1"/>
  <c r="P669" i="1"/>
  <c r="Q669" i="1"/>
  <c r="R669" i="1"/>
  <c r="S669" i="1" s="1"/>
  <c r="T669" i="1"/>
  <c r="AV669" i="1" s="1"/>
  <c r="O670" i="1"/>
  <c r="P670" i="1"/>
  <c r="Q670" i="1"/>
  <c r="R670" i="1"/>
  <c r="S670" i="1" s="1"/>
  <c r="T670" i="1"/>
  <c r="AV670" i="1" s="1"/>
  <c r="O671" i="1"/>
  <c r="P671" i="1"/>
  <c r="Q671" i="1"/>
  <c r="R671" i="1"/>
  <c r="S671" i="1" s="1"/>
  <c r="T671" i="1"/>
  <c r="AV671" i="1" s="1"/>
  <c r="O672" i="1"/>
  <c r="P672" i="1"/>
  <c r="Q672" i="1"/>
  <c r="R672" i="1"/>
  <c r="S672" i="1" s="1"/>
  <c r="T672" i="1"/>
  <c r="AV672" i="1" s="1"/>
  <c r="O673" i="1"/>
  <c r="Q673" i="1" s="1"/>
  <c r="R673" i="1"/>
  <c r="S673" i="1" s="1"/>
  <c r="O674" i="1"/>
  <c r="P674" i="1" s="1"/>
  <c r="R674" i="1"/>
  <c r="S674" i="1" s="1"/>
  <c r="T674" i="1"/>
  <c r="O675" i="1"/>
  <c r="P675" i="1" s="1"/>
  <c r="R675" i="1"/>
  <c r="S675" i="1" s="1"/>
  <c r="T675" i="1"/>
  <c r="O676" i="1"/>
  <c r="P676" i="1" s="1"/>
  <c r="R676" i="1"/>
  <c r="S676" i="1" s="1"/>
  <c r="T676" i="1"/>
  <c r="O677" i="1"/>
  <c r="Q677" i="1" s="1"/>
  <c r="R677" i="1"/>
  <c r="S677" i="1" s="1"/>
  <c r="T677" i="1"/>
  <c r="O678" i="1"/>
  <c r="P678" i="1" s="1"/>
  <c r="R678" i="1"/>
  <c r="S678" i="1" s="1"/>
  <c r="T678" i="1"/>
  <c r="O679" i="1"/>
  <c r="P679" i="1" s="1"/>
  <c r="R679" i="1"/>
  <c r="S679" i="1" s="1"/>
  <c r="T679" i="1"/>
  <c r="O680" i="1"/>
  <c r="P680" i="1" s="1"/>
  <c r="R680" i="1"/>
  <c r="S680" i="1" s="1"/>
  <c r="T680" i="1"/>
  <c r="O681" i="1"/>
  <c r="Q681" i="1" s="1"/>
  <c r="R681" i="1"/>
  <c r="S681" i="1" s="1"/>
  <c r="T681" i="1"/>
  <c r="O682" i="1"/>
  <c r="P682" i="1" s="1"/>
  <c r="R682" i="1"/>
  <c r="S682" i="1" s="1"/>
  <c r="T682" i="1"/>
  <c r="O683" i="1"/>
  <c r="R683" i="1"/>
  <c r="S683" i="1" s="1"/>
  <c r="T683" i="1"/>
  <c r="O684" i="1"/>
  <c r="R684" i="1"/>
  <c r="S684" i="1" s="1"/>
  <c r="T684" i="1"/>
  <c r="O685" i="1"/>
  <c r="Q685" i="1" s="1"/>
  <c r="R685" i="1"/>
  <c r="S685" i="1" s="1"/>
  <c r="T685" i="1"/>
  <c r="O686" i="1"/>
  <c r="P686" i="1" s="1"/>
  <c r="R686" i="1"/>
  <c r="S686" i="1" s="1"/>
  <c r="T686" i="1"/>
  <c r="O687" i="1"/>
  <c r="P687" i="1" s="1"/>
  <c r="R687" i="1"/>
  <c r="S687" i="1" s="1"/>
  <c r="T687" i="1"/>
  <c r="R688" i="1"/>
  <c r="S688" i="1" s="1"/>
  <c r="T688" i="1"/>
  <c r="O689" i="1"/>
  <c r="Q689" i="1" s="1"/>
  <c r="R689" i="1"/>
  <c r="S689" i="1" s="1"/>
  <c r="T689" i="1"/>
  <c r="O690" i="1"/>
  <c r="P690" i="1" s="1"/>
  <c r="R690" i="1"/>
  <c r="S690" i="1" s="1"/>
  <c r="T690" i="1"/>
  <c r="O691" i="1"/>
  <c r="R691" i="1"/>
  <c r="S691" i="1" s="1"/>
  <c r="T691" i="1"/>
  <c r="O692" i="1"/>
  <c r="P692" i="1" s="1"/>
  <c r="R692" i="1"/>
  <c r="S692" i="1" s="1"/>
  <c r="T692" i="1"/>
  <c r="O693" i="1"/>
  <c r="R693" i="1"/>
  <c r="S693" i="1" s="1"/>
  <c r="T693" i="1"/>
  <c r="O694" i="1"/>
  <c r="P694" i="1" s="1"/>
  <c r="R694" i="1" s="1"/>
  <c r="S694" i="1" s="1"/>
  <c r="O695" i="1"/>
  <c r="P695" i="1"/>
  <c r="Q695" i="1"/>
  <c r="O696" i="1"/>
  <c r="P696" i="1"/>
  <c r="Q696" i="1"/>
  <c r="O697" i="1"/>
  <c r="P697" i="1"/>
  <c r="Q697" i="1"/>
  <c r="R697" i="1"/>
  <c r="S697" i="1" s="1"/>
  <c r="T697" i="1"/>
  <c r="AV697" i="1" s="1"/>
  <c r="O698" i="1"/>
  <c r="P698" i="1" s="1"/>
  <c r="R698" i="1" s="1"/>
  <c r="S698" i="1" s="1"/>
  <c r="Q698" i="1"/>
  <c r="T698" i="1"/>
  <c r="AV698" i="1" s="1"/>
  <c r="O699" i="1"/>
  <c r="P699" i="1"/>
  <c r="Q699" i="1"/>
  <c r="R699" i="1"/>
  <c r="S699" i="1" s="1"/>
  <c r="T699" i="1"/>
  <c r="AV699" i="1" s="1"/>
  <c r="O700" i="1"/>
  <c r="P700" i="1"/>
  <c r="Q700" i="1"/>
  <c r="R700" i="1"/>
  <c r="S700" i="1" s="1"/>
  <c r="T700" i="1"/>
  <c r="AV700" i="1" s="1"/>
  <c r="O701" i="1"/>
  <c r="P701" i="1"/>
  <c r="Q701" i="1"/>
  <c r="R701" i="1"/>
  <c r="S701" i="1" s="1"/>
  <c r="T701" i="1"/>
  <c r="AV701" i="1" s="1"/>
  <c r="O702" i="1"/>
  <c r="R702" i="1"/>
  <c r="S702" i="1" s="1"/>
  <c r="O703" i="1"/>
  <c r="R703" i="1"/>
  <c r="S703" i="1" s="1"/>
  <c r="T703" i="1"/>
  <c r="O704" i="1"/>
  <c r="R704" i="1"/>
  <c r="S704" i="1" s="1"/>
  <c r="T704" i="1"/>
  <c r="O705" i="1"/>
  <c r="Q705" i="1" s="1"/>
  <c r="R705" i="1"/>
  <c r="S705" i="1" s="1"/>
  <c r="T705" i="1"/>
  <c r="O706" i="1"/>
  <c r="P706" i="1" s="1"/>
  <c r="R706" i="1"/>
  <c r="S706" i="1" s="1"/>
  <c r="T706" i="1"/>
  <c r="O707" i="1"/>
  <c r="P707" i="1" s="1"/>
  <c r="R707" i="1"/>
  <c r="S707" i="1" s="1"/>
  <c r="T707" i="1"/>
  <c r="O708" i="1"/>
  <c r="R708" i="1"/>
  <c r="S708" i="1" s="1"/>
  <c r="T708" i="1"/>
  <c r="O709" i="1"/>
  <c r="R709" i="1"/>
  <c r="S709" i="1" s="1"/>
  <c r="T709" i="1"/>
  <c r="O710" i="1"/>
  <c r="P710" i="1" s="1"/>
  <c r="R710" i="1"/>
  <c r="S710" i="1" s="1"/>
  <c r="T710" i="1"/>
  <c r="O711" i="1"/>
  <c r="P711" i="1" s="1"/>
  <c r="R711" i="1"/>
  <c r="S711" i="1" s="1"/>
  <c r="T711" i="1"/>
  <c r="O712" i="1"/>
  <c r="R712" i="1"/>
  <c r="S712" i="1" s="1"/>
  <c r="T712" i="1"/>
  <c r="O713" i="1"/>
  <c r="R713" i="1"/>
  <c r="S713" i="1" s="1"/>
  <c r="T713" i="1"/>
  <c r="O714" i="1"/>
  <c r="R714" i="1"/>
  <c r="S714" i="1" s="1"/>
  <c r="T714" i="1"/>
  <c r="O715" i="1"/>
  <c r="P715" i="1"/>
  <c r="Q715" i="1"/>
  <c r="R715" i="1"/>
  <c r="S715" i="1" s="1"/>
  <c r="T715" i="1"/>
  <c r="O716" i="1"/>
  <c r="P716" i="1"/>
  <c r="Q716" i="1"/>
  <c r="R716" i="1"/>
  <c r="S716" i="1" s="1"/>
  <c r="T716" i="1"/>
  <c r="O717" i="1"/>
  <c r="P717" i="1"/>
  <c r="Q717" i="1"/>
  <c r="R717" i="1"/>
  <c r="S717" i="1" s="1"/>
  <c r="T717" i="1"/>
  <c r="O718" i="1"/>
  <c r="P718" i="1" s="1"/>
  <c r="O719" i="1"/>
  <c r="P719" i="1"/>
  <c r="Q719" i="1"/>
  <c r="R719" i="1"/>
  <c r="S719" i="1" s="1"/>
  <c r="T719" i="1"/>
  <c r="O720" i="1"/>
  <c r="P720" i="1"/>
  <c r="R720" i="1" s="1"/>
  <c r="S720" i="1" s="1"/>
  <c r="Q720" i="1"/>
  <c r="T720" i="1"/>
  <c r="AV720" i="1" s="1"/>
  <c r="O721" i="1"/>
  <c r="Q721" i="1" s="1"/>
  <c r="T721" i="1" s="1"/>
  <c r="O722" i="1"/>
  <c r="P722" i="1"/>
  <c r="Q722" i="1"/>
  <c r="O723" i="1"/>
  <c r="P723" i="1"/>
  <c r="Q723" i="1"/>
  <c r="R723" i="1"/>
  <c r="S723" i="1" s="1"/>
  <c r="T723" i="1" s="1"/>
  <c r="AV723" i="1" s="1"/>
  <c r="Q724" i="1"/>
  <c r="R724" i="1"/>
  <c r="S724" i="1" s="1"/>
  <c r="T724" i="1"/>
  <c r="AV724" i="1" s="1"/>
  <c r="O725" i="1"/>
  <c r="P725" i="1"/>
  <c r="Q725" i="1"/>
  <c r="O726" i="1"/>
  <c r="P726" i="1"/>
  <c r="Q726" i="1"/>
  <c r="R726" i="1"/>
  <c r="S726" i="1" s="1"/>
  <c r="T726" i="1"/>
  <c r="AV726" i="1" s="1"/>
  <c r="O727" i="1"/>
  <c r="P727" i="1"/>
  <c r="Q727" i="1"/>
  <c r="R727" i="1"/>
  <c r="S727" i="1" s="1"/>
  <c r="T727" i="1"/>
  <c r="AV727" i="1" s="1"/>
  <c r="O728" i="1"/>
  <c r="P728" i="1" s="1"/>
  <c r="Q728" i="1"/>
  <c r="T728" i="1"/>
  <c r="AV728" i="1" s="1"/>
  <c r="O729" i="1"/>
  <c r="P729" i="1" s="1"/>
  <c r="Q729" i="1"/>
  <c r="R729" i="1"/>
  <c r="S729" i="1" s="1"/>
  <c r="T729" i="1"/>
  <c r="O730" i="1"/>
  <c r="P730" i="1" s="1"/>
  <c r="Q730" i="1"/>
  <c r="R730" i="1"/>
  <c r="S730" i="1" s="1"/>
  <c r="T730" i="1"/>
  <c r="O731" i="1"/>
  <c r="P731" i="1" s="1"/>
  <c r="R731" i="1" s="1"/>
  <c r="S731" i="1" s="1"/>
  <c r="Q731" i="1"/>
  <c r="T731" i="1"/>
  <c r="AV731" i="1" s="1"/>
  <c r="O732" i="1"/>
  <c r="P732" i="1"/>
  <c r="Q732" i="1"/>
  <c r="R732" i="1"/>
  <c r="S732" i="1" s="1"/>
  <c r="T732" i="1"/>
  <c r="AV732" i="1" s="1"/>
  <c r="O733" i="1"/>
  <c r="P733" i="1"/>
  <c r="Q733" i="1"/>
  <c r="R733" i="1"/>
  <c r="S733" i="1" s="1"/>
  <c r="T733" i="1"/>
  <c r="AV733" i="1" s="1"/>
  <c r="O734" i="1"/>
  <c r="P734" i="1"/>
  <c r="Q734" i="1"/>
  <c r="R734" i="1"/>
  <c r="S734" i="1" s="1"/>
  <c r="T734" i="1"/>
  <c r="AV734" i="1" s="1"/>
  <c r="O735" i="1"/>
  <c r="P735" i="1"/>
  <c r="Q735" i="1"/>
  <c r="R735" i="1"/>
  <c r="S735" i="1" s="1"/>
  <c r="E22" i="53" s="1"/>
  <c r="T735" i="1"/>
  <c r="AV735" i="1" s="1"/>
  <c r="O736" i="1"/>
  <c r="P736" i="1"/>
  <c r="Q736" i="1"/>
  <c r="R736" i="1"/>
  <c r="S736" i="1" s="1"/>
  <c r="C22" i="53" s="1"/>
  <c r="T736" i="1"/>
  <c r="AV736" i="1" s="1"/>
  <c r="O737" i="1"/>
  <c r="P737" i="1"/>
  <c r="Q737" i="1"/>
  <c r="T737" i="1"/>
  <c r="AV737" i="1" s="1"/>
  <c r="O738" i="1"/>
  <c r="P738" i="1" s="1"/>
  <c r="O739" i="1"/>
  <c r="R739" i="1"/>
  <c r="S739" i="1" s="1"/>
  <c r="T739" i="1"/>
  <c r="O740" i="1"/>
  <c r="P740" i="1" s="1"/>
  <c r="R740" i="1"/>
  <c r="S740" i="1" s="1"/>
  <c r="T740" i="1"/>
  <c r="O741" i="1"/>
  <c r="P741" i="1"/>
  <c r="Q741" i="1"/>
  <c r="R741" i="1"/>
  <c r="S741" i="1" s="1"/>
  <c r="T741" i="1"/>
  <c r="AV741" i="1" s="1"/>
  <c r="O742" i="1"/>
  <c r="P742" i="1"/>
  <c r="Q742" i="1"/>
  <c r="R742" i="1"/>
  <c r="S742" i="1" s="1"/>
  <c r="T742" i="1"/>
  <c r="AV742" i="1" s="1"/>
  <c r="O743" i="1"/>
  <c r="P743" i="1"/>
  <c r="Q743" i="1"/>
  <c r="R743" i="1"/>
  <c r="S743" i="1" s="1"/>
  <c r="T743" i="1"/>
  <c r="AV743" i="1" s="1"/>
  <c r="O744" i="1"/>
  <c r="P744" i="1" s="1"/>
  <c r="Q744" i="1"/>
  <c r="T744" i="1"/>
  <c r="AV744" i="1" s="1"/>
  <c r="O745" i="1"/>
  <c r="P745" i="1"/>
  <c r="Q745" i="1"/>
  <c r="R745" i="1"/>
  <c r="S745" i="1" s="1"/>
  <c r="T745" i="1"/>
  <c r="O746" i="1"/>
  <c r="P746" i="1"/>
  <c r="Q746" i="1"/>
  <c r="R746" i="1"/>
  <c r="S746" i="1" s="1"/>
  <c r="T746" i="1"/>
  <c r="AV746" i="1" s="1"/>
  <c r="O747" i="1"/>
  <c r="P747" i="1"/>
  <c r="R747" i="1" s="1"/>
  <c r="S747" i="1" s="1"/>
  <c r="Q747" i="1"/>
  <c r="T747" i="1"/>
  <c r="AV747" i="1" s="1"/>
  <c r="O748" i="1"/>
  <c r="P748" i="1"/>
  <c r="Q748" i="1"/>
  <c r="R748" i="1"/>
  <c r="S748" i="1" s="1"/>
  <c r="T748" i="1"/>
  <c r="AV748" i="1" s="1"/>
  <c r="O749" i="1"/>
  <c r="P749" i="1"/>
  <c r="Q749" i="1"/>
  <c r="R749" i="1"/>
  <c r="S749" i="1" s="1"/>
  <c r="T749" i="1"/>
  <c r="AV749" i="1" s="1"/>
  <c r="O750" i="1"/>
  <c r="P750" i="1"/>
  <c r="Q750" i="1"/>
  <c r="R750" i="1"/>
  <c r="S750" i="1" s="1"/>
  <c r="T750" i="1"/>
  <c r="AV750" i="1" s="1"/>
  <c r="O751" i="1"/>
  <c r="P751" i="1" s="1"/>
  <c r="R751" i="1" s="1"/>
  <c r="S751" i="1" s="1"/>
  <c r="O752" i="1"/>
  <c r="Q752" i="1" s="1"/>
  <c r="T752" i="1" s="1"/>
  <c r="O753" i="1"/>
  <c r="P753" i="1"/>
  <c r="Q753" i="1"/>
  <c r="O754" i="1"/>
  <c r="R754" i="1"/>
  <c r="S754" i="1" s="1"/>
  <c r="T754" i="1"/>
  <c r="O755" i="1"/>
  <c r="O756" i="1"/>
  <c r="P756" i="1" s="1"/>
  <c r="R756" i="1"/>
  <c r="S756" i="1" s="1"/>
  <c r="T756" i="1"/>
  <c r="O757" i="1"/>
  <c r="Q757" i="1" s="1"/>
  <c r="R757" i="1"/>
  <c r="S757" i="1" s="1"/>
  <c r="T757" i="1"/>
  <c r="O758" i="1"/>
  <c r="R758" i="1"/>
  <c r="S758" i="1" s="1"/>
  <c r="T758" i="1"/>
  <c r="O759" i="1"/>
  <c r="P759" i="1" s="1"/>
  <c r="R759" i="1"/>
  <c r="S759" i="1" s="1"/>
  <c r="T759" i="1"/>
  <c r="O760" i="1"/>
  <c r="R760" i="1"/>
  <c r="S760" i="1" s="1"/>
  <c r="T760" i="1"/>
  <c r="O761" i="1"/>
  <c r="P761" i="1"/>
  <c r="Q761" i="1"/>
  <c r="R761" i="1"/>
  <c r="S761" i="1" s="1"/>
  <c r="T761" i="1"/>
  <c r="O762" i="1"/>
  <c r="P762" i="1"/>
  <c r="Q762" i="1"/>
  <c r="R762" i="1"/>
  <c r="S762" i="1" s="1"/>
  <c r="T762" i="1"/>
  <c r="AV762" i="1" s="1"/>
  <c r="O763" i="1"/>
  <c r="P763" i="1" s="1"/>
  <c r="O764" i="1"/>
  <c r="P764" i="1"/>
  <c r="Q764" i="1"/>
  <c r="R764" i="1"/>
  <c r="S764" i="1" s="1"/>
  <c r="T764" i="1"/>
  <c r="O765" i="1"/>
  <c r="P765" i="1"/>
  <c r="Q765" i="1"/>
  <c r="R765" i="1"/>
  <c r="S765" i="1" s="1"/>
  <c r="T765" i="1"/>
  <c r="O766" i="1"/>
  <c r="P766" i="1" s="1"/>
  <c r="R766" i="1"/>
  <c r="S766" i="1" s="1"/>
  <c r="T766" i="1"/>
  <c r="O767" i="1"/>
  <c r="P767" i="1" s="1"/>
  <c r="R767" i="1"/>
  <c r="S767" i="1" s="1"/>
  <c r="T767" i="1"/>
  <c r="O768" i="1"/>
  <c r="P768" i="1" s="1"/>
  <c r="R768" i="1" s="1"/>
  <c r="S768" i="1" s="1"/>
  <c r="Q768" i="1"/>
  <c r="T768" i="1"/>
  <c r="AV768" i="1" s="1"/>
  <c r="O769" i="1"/>
  <c r="P769" i="1" s="1"/>
  <c r="R769" i="1" s="1"/>
  <c r="S769" i="1" s="1"/>
  <c r="O770" i="1"/>
  <c r="P770" i="1"/>
  <c r="R770" i="1" s="1"/>
  <c r="S770" i="1" s="1"/>
  <c r="Q770" i="1"/>
  <c r="T770" i="1"/>
  <c r="AV770" i="1" s="1"/>
  <c r="O771" i="1"/>
  <c r="P771" i="1" s="1"/>
  <c r="Q771" i="1"/>
  <c r="T771" i="1"/>
  <c r="AV771" i="1" s="1"/>
  <c r="O772" i="1"/>
  <c r="P772" i="1"/>
  <c r="Q772" i="1"/>
  <c r="R772" i="1"/>
  <c r="S772" i="1" s="1"/>
  <c r="T772" i="1"/>
  <c r="O773" i="1"/>
  <c r="P773" i="1"/>
  <c r="Q773" i="1"/>
  <c r="R773" i="1"/>
  <c r="S773" i="1" s="1"/>
  <c r="T773" i="1"/>
  <c r="O774" i="1"/>
  <c r="P774" i="1"/>
  <c r="Q774" i="1"/>
  <c r="R774" i="1"/>
  <c r="S774" i="1" s="1"/>
  <c r="T774" i="1"/>
  <c r="O775" i="1"/>
  <c r="P775" i="1" s="1"/>
  <c r="Q775" i="1"/>
  <c r="R775" i="1"/>
  <c r="S775" i="1" s="1"/>
  <c r="T775" i="1"/>
  <c r="AV775" i="1" s="1"/>
  <c r="O776" i="1"/>
  <c r="P776" i="1"/>
  <c r="Q776" i="1"/>
  <c r="R776" i="1"/>
  <c r="S776" i="1" s="1"/>
  <c r="T776" i="1"/>
  <c r="AV776" i="1" s="1"/>
  <c r="O777" i="1"/>
  <c r="P777" i="1"/>
  <c r="Q777" i="1"/>
  <c r="R777" i="1"/>
  <c r="S777" i="1" s="1"/>
  <c r="T777" i="1"/>
  <c r="AV777" i="1" s="1"/>
  <c r="O778" i="1"/>
  <c r="P778" i="1"/>
  <c r="Q778" i="1"/>
  <c r="R778" i="1"/>
  <c r="S778" i="1" s="1"/>
  <c r="T778" i="1"/>
  <c r="AV778" i="1" s="1"/>
  <c r="O779" i="1"/>
  <c r="P779" i="1"/>
  <c r="Q779" i="1"/>
  <c r="R779" i="1"/>
  <c r="S779" i="1" s="1"/>
  <c r="T779" i="1"/>
  <c r="O780" i="1"/>
  <c r="P780" i="1"/>
  <c r="Q780" i="1"/>
  <c r="R780" i="1"/>
  <c r="S780" i="1" s="1"/>
  <c r="T780" i="1"/>
  <c r="AV780" i="1" s="1"/>
  <c r="O781" i="1"/>
  <c r="P781" i="1"/>
  <c r="Q781" i="1"/>
  <c r="R781" i="1"/>
  <c r="S781" i="1" s="1"/>
  <c r="T781" i="1"/>
  <c r="AV781" i="1" s="1"/>
  <c r="O782" i="1"/>
  <c r="P782" i="1"/>
  <c r="R782" i="1" s="1"/>
  <c r="S782" i="1" s="1"/>
  <c r="Q782" i="1"/>
  <c r="T782" i="1"/>
  <c r="AV782" i="1" s="1"/>
  <c r="O783" i="1"/>
  <c r="P783" i="1"/>
  <c r="Q783" i="1"/>
  <c r="R783" i="1"/>
  <c r="S783" i="1" s="1"/>
  <c r="T783" i="1"/>
  <c r="AV783" i="1" s="1"/>
  <c r="O784" i="1"/>
  <c r="P784" i="1"/>
  <c r="Q784" i="1"/>
  <c r="R784" i="1"/>
  <c r="S784" i="1" s="1"/>
  <c r="T784" i="1"/>
  <c r="AV784" i="1" s="1"/>
  <c r="O785" i="1"/>
  <c r="P785" i="1"/>
  <c r="Q785" i="1"/>
  <c r="R785" i="1"/>
  <c r="S785" i="1" s="1"/>
  <c r="T785" i="1"/>
  <c r="AV785" i="1" s="1"/>
  <c r="O786" i="1"/>
  <c r="P786" i="1"/>
  <c r="Q786" i="1"/>
  <c r="R786" i="1"/>
  <c r="S786" i="1" s="1"/>
  <c r="T786" i="1"/>
  <c r="AV786" i="1" s="1"/>
  <c r="O787" i="1"/>
  <c r="P787" i="1"/>
  <c r="Q787" i="1"/>
  <c r="R787" i="1"/>
  <c r="S787" i="1" s="1"/>
  <c r="T787" i="1"/>
  <c r="AV787" i="1" s="1"/>
  <c r="O788" i="1"/>
  <c r="P788" i="1"/>
  <c r="Q788" i="1"/>
  <c r="R788" i="1"/>
  <c r="S788" i="1" s="1"/>
  <c r="T788" i="1"/>
  <c r="AV788" i="1" s="1"/>
  <c r="O789" i="1"/>
  <c r="P789" i="1" s="1"/>
  <c r="R789" i="1" s="1"/>
  <c r="S789" i="1" s="1"/>
  <c r="Q789" i="1"/>
  <c r="T789" i="1"/>
  <c r="AV789" i="1" s="1"/>
  <c r="O790" i="1"/>
  <c r="P790" i="1"/>
  <c r="Q790" i="1"/>
  <c r="R790" i="1"/>
  <c r="S790" i="1" s="1"/>
  <c r="T790" i="1"/>
  <c r="AV790" i="1" s="1"/>
  <c r="O791" i="1"/>
  <c r="P791" i="1" s="1"/>
  <c r="R791" i="1" s="1"/>
  <c r="S791" i="1" s="1"/>
  <c r="Q791" i="1"/>
  <c r="T791" i="1"/>
  <c r="AV791" i="1" s="1"/>
  <c r="O792" i="1"/>
  <c r="P792" i="1"/>
  <c r="Q792" i="1"/>
  <c r="T792" i="1"/>
  <c r="AV792" i="1" s="1"/>
  <c r="O793" i="1"/>
  <c r="Q793" i="1"/>
  <c r="T793" i="1"/>
  <c r="AV793" i="1" s="1"/>
  <c r="O794" i="1"/>
  <c r="P794" i="1"/>
  <c r="R794" i="1" s="1"/>
  <c r="S794" i="1" s="1"/>
  <c r="Q794" i="1"/>
  <c r="T794" i="1"/>
  <c r="AV794" i="1" s="1"/>
  <c r="O795" i="1"/>
  <c r="P795" i="1"/>
  <c r="Q795" i="1"/>
  <c r="R795" i="1"/>
  <c r="S795" i="1" s="1"/>
  <c r="O796" i="1"/>
  <c r="P796" i="1"/>
  <c r="Q796" i="1"/>
  <c r="R796" i="1"/>
  <c r="S796" i="1" s="1"/>
  <c r="T796" i="1"/>
  <c r="O797" i="1"/>
  <c r="P797" i="1" s="1"/>
  <c r="R797" i="1"/>
  <c r="S797" i="1" s="1"/>
  <c r="T797" i="1"/>
  <c r="O798" i="1"/>
  <c r="P798" i="1"/>
  <c r="Q798" i="1"/>
  <c r="R798" i="1"/>
  <c r="S798" i="1" s="1"/>
  <c r="T798" i="1"/>
  <c r="O799" i="1"/>
  <c r="P799" i="1" s="1"/>
  <c r="R799" i="1"/>
  <c r="S799" i="1" s="1"/>
  <c r="T799" i="1"/>
  <c r="O800" i="1"/>
  <c r="R800" i="1"/>
  <c r="S800" i="1" s="1"/>
  <c r="T800" i="1"/>
  <c r="O801" i="1"/>
  <c r="P801" i="1"/>
  <c r="Q801" i="1"/>
  <c r="R801" i="1"/>
  <c r="S801" i="1" s="1"/>
  <c r="T801" i="1"/>
  <c r="O802" i="1"/>
  <c r="P802" i="1" s="1"/>
  <c r="R802" i="1"/>
  <c r="S802" i="1" s="1"/>
  <c r="T802" i="1"/>
  <c r="O803" i="1"/>
  <c r="R803" i="1"/>
  <c r="S803" i="1" s="1"/>
  <c r="T803" i="1"/>
  <c r="O804" i="1"/>
  <c r="P804" i="1" s="1"/>
  <c r="R804" i="1"/>
  <c r="S804" i="1" s="1"/>
  <c r="T804" i="1"/>
  <c r="O805" i="1"/>
  <c r="P805" i="1"/>
  <c r="Q805" i="1"/>
  <c r="R805" i="1"/>
  <c r="S805" i="1" s="1"/>
  <c r="T805" i="1"/>
  <c r="O806" i="1"/>
  <c r="R806" i="1"/>
  <c r="S806" i="1" s="1"/>
  <c r="T806" i="1"/>
  <c r="O807" i="1"/>
  <c r="P807" i="1" s="1"/>
  <c r="R807" i="1"/>
  <c r="S807" i="1" s="1"/>
  <c r="T807" i="1"/>
  <c r="O808" i="1"/>
  <c r="Q808" i="1" s="1"/>
  <c r="T808" i="1" s="1"/>
  <c r="O809" i="1"/>
  <c r="Q809" i="1" s="1"/>
  <c r="T809" i="1" s="1"/>
  <c r="O810" i="1"/>
  <c r="P810" i="1"/>
  <c r="Q810" i="1"/>
  <c r="R810" i="1"/>
  <c r="S810" i="1" s="1"/>
  <c r="F17" i="53" s="1"/>
  <c r="T810" i="1"/>
  <c r="AV810" i="1" s="1"/>
  <c r="O811" i="1"/>
  <c r="P811" i="1"/>
  <c r="Q811" i="1"/>
  <c r="R811" i="1"/>
  <c r="S811" i="1" s="1"/>
  <c r="D17" i="53" s="1"/>
  <c r="T811" i="1"/>
  <c r="AV811" i="1" s="1"/>
  <c r="O812" i="1"/>
  <c r="P812" i="1"/>
  <c r="Q812" i="1"/>
  <c r="R812" i="1"/>
  <c r="S812" i="1" s="1"/>
  <c r="T812" i="1"/>
  <c r="AV812" i="1" s="1"/>
  <c r="O813" i="1"/>
  <c r="P813" i="1"/>
  <c r="Q813" i="1"/>
  <c r="R813" i="1"/>
  <c r="S813" i="1" s="1"/>
  <c r="T813" i="1"/>
  <c r="AV813" i="1" s="1"/>
  <c r="O814" i="1"/>
  <c r="P814" i="1"/>
  <c r="Q814" i="1"/>
  <c r="T814" i="1"/>
  <c r="AV814" i="1" s="1"/>
  <c r="P815" i="1"/>
  <c r="Q815" i="1"/>
  <c r="P816" i="1"/>
  <c r="Q816" i="1"/>
  <c r="O817" i="1"/>
  <c r="P817" i="1"/>
  <c r="Q817" i="1"/>
  <c r="R817" i="1"/>
  <c r="S817" i="1" s="1"/>
  <c r="T817" i="1"/>
  <c r="AV817" i="1" s="1"/>
  <c r="Q818" i="1"/>
  <c r="T818" i="1"/>
  <c r="AV818" i="1" s="1"/>
  <c r="O819" i="1"/>
  <c r="P819" i="1"/>
  <c r="Q819" i="1"/>
  <c r="T819" i="1"/>
  <c r="AV819" i="1" s="1"/>
  <c r="O820" i="1"/>
  <c r="P820" i="1"/>
  <c r="Q820" i="1"/>
  <c r="R820" i="1"/>
  <c r="S820" i="1" s="1"/>
  <c r="T820" i="1"/>
  <c r="O821" i="1"/>
  <c r="P821" i="1"/>
  <c r="Q821" i="1"/>
  <c r="R821" i="1"/>
  <c r="S821" i="1" s="1"/>
  <c r="T821" i="1"/>
  <c r="O822" i="1"/>
  <c r="P822" i="1"/>
  <c r="Q822" i="1"/>
  <c r="R822" i="1"/>
  <c r="S822" i="1" s="1"/>
  <c r="T822" i="1"/>
  <c r="O823" i="1"/>
  <c r="P823" i="1"/>
  <c r="Q823" i="1"/>
  <c r="R823" i="1"/>
  <c r="S823" i="1" s="1"/>
  <c r="T823" i="1"/>
  <c r="O824" i="1"/>
  <c r="P824" i="1"/>
  <c r="Q824" i="1"/>
  <c r="R824" i="1"/>
  <c r="S824" i="1" s="1"/>
  <c r="T824" i="1"/>
  <c r="O825" i="1"/>
  <c r="P825" i="1"/>
  <c r="Q825" i="1"/>
  <c r="R825" i="1"/>
  <c r="S825" i="1" s="1"/>
  <c r="T825" i="1"/>
  <c r="O826" i="1"/>
  <c r="P826" i="1"/>
  <c r="R826" i="1" s="1"/>
  <c r="S826" i="1" s="1"/>
  <c r="Q826" i="1"/>
  <c r="T826" i="1"/>
  <c r="AV826" i="1" s="1"/>
  <c r="Q827" i="1"/>
  <c r="T827" i="1"/>
  <c r="AV827" i="1" s="1"/>
  <c r="O828" i="1"/>
  <c r="Q828" i="1" s="1"/>
  <c r="T828" i="1"/>
  <c r="AV828" i="1" s="1"/>
  <c r="O829" i="1"/>
  <c r="P829" i="1" s="1"/>
  <c r="Q829" i="1"/>
  <c r="R829" i="1"/>
  <c r="S829" i="1" s="1"/>
  <c r="T829" i="1"/>
  <c r="O830" i="1"/>
  <c r="P830" i="1"/>
  <c r="R830" i="1" s="1"/>
  <c r="S830" i="1" s="1"/>
  <c r="Q830" i="1"/>
  <c r="T830" i="1"/>
  <c r="AV830" i="1" s="1"/>
  <c r="O831" i="1"/>
  <c r="P831" i="1"/>
  <c r="Q831" i="1"/>
  <c r="R831" i="1"/>
  <c r="S831" i="1" s="1"/>
  <c r="D26" i="53" s="1"/>
  <c r="G26" i="53" s="1"/>
  <c r="T831" i="1"/>
  <c r="AV831" i="1" s="1"/>
  <c r="O832" i="1"/>
  <c r="P832" i="1"/>
  <c r="Q832" i="1"/>
  <c r="R832" i="1"/>
  <c r="S832" i="1" s="1"/>
  <c r="T832" i="1"/>
  <c r="AV832" i="1" s="1"/>
  <c r="O833" i="1"/>
  <c r="P833" i="1"/>
  <c r="Q833" i="1"/>
  <c r="R833" i="1"/>
  <c r="S833" i="1" s="1"/>
  <c r="T833" i="1"/>
  <c r="AV833" i="1" s="1"/>
  <c r="O834" i="1"/>
  <c r="P834" i="1"/>
  <c r="Q834" i="1"/>
  <c r="R834" i="1"/>
  <c r="S834" i="1" s="1"/>
  <c r="T834" i="1"/>
  <c r="AV834" i="1" s="1"/>
  <c r="O835" i="1"/>
  <c r="P835" i="1"/>
  <c r="Q835" i="1"/>
  <c r="R835" i="1"/>
  <c r="S835" i="1" s="1"/>
  <c r="T835" i="1"/>
  <c r="AV835" i="1" s="1"/>
  <c r="O836" i="1"/>
  <c r="P836" i="1"/>
  <c r="Q836" i="1"/>
  <c r="R836" i="1"/>
  <c r="S836" i="1" s="1"/>
  <c r="T836" i="1"/>
  <c r="AV836" i="1" s="1"/>
  <c r="O837" i="1"/>
  <c r="P837" i="1"/>
  <c r="Q837" i="1"/>
  <c r="R837" i="1"/>
  <c r="S837" i="1" s="1"/>
  <c r="T837" i="1"/>
  <c r="AV837" i="1" s="1"/>
  <c r="O838" i="1"/>
  <c r="P838" i="1"/>
  <c r="Q838" i="1"/>
  <c r="R838" i="1"/>
  <c r="S838" i="1" s="1"/>
  <c r="T838" i="1"/>
  <c r="AV838" i="1" s="1"/>
  <c r="O839" i="1"/>
  <c r="P839" i="1"/>
  <c r="Q839" i="1"/>
  <c r="R839" i="1"/>
  <c r="S839" i="1" s="1"/>
  <c r="T839" i="1"/>
  <c r="O840" i="1"/>
  <c r="P840" i="1"/>
  <c r="Q840" i="1"/>
  <c r="R840" i="1"/>
  <c r="S840" i="1" s="1"/>
  <c r="T840" i="1"/>
  <c r="O841" i="1"/>
  <c r="P841" i="1"/>
  <c r="Q841" i="1"/>
  <c r="R841" i="1"/>
  <c r="S841" i="1" s="1"/>
  <c r="T841" i="1"/>
  <c r="O842" i="1"/>
  <c r="P842" i="1"/>
  <c r="Q842" i="1"/>
  <c r="R842" i="1"/>
  <c r="S842" i="1" s="1"/>
  <c r="T842" i="1"/>
  <c r="AV842" i="1" s="1"/>
  <c r="O843" i="1"/>
  <c r="P843" i="1" s="1"/>
  <c r="Q843" i="1"/>
  <c r="T843" i="1"/>
  <c r="AV843" i="1" s="1"/>
  <c r="O844" i="1"/>
  <c r="P844" i="1" s="1"/>
  <c r="Q844" i="1"/>
  <c r="R844" i="1"/>
  <c r="S844" i="1" s="1"/>
  <c r="T844" i="1"/>
  <c r="O845" i="1"/>
  <c r="P845" i="1" s="1"/>
  <c r="Q845" i="1"/>
  <c r="R845" i="1"/>
  <c r="S845" i="1" s="1"/>
  <c r="T845" i="1"/>
  <c r="O846" i="1"/>
  <c r="P846" i="1" s="1"/>
  <c r="Q846" i="1"/>
  <c r="R846" i="1"/>
  <c r="S846" i="1" s="1"/>
  <c r="T846" i="1"/>
  <c r="O847" i="1"/>
  <c r="P847" i="1"/>
  <c r="Q847" i="1"/>
  <c r="R847" i="1"/>
  <c r="S847" i="1" s="1"/>
  <c r="T847" i="1"/>
  <c r="AV847" i="1" s="1"/>
  <c r="O848" i="1"/>
  <c r="P848" i="1" s="1"/>
  <c r="R848" i="1" s="1"/>
  <c r="S848" i="1" s="1"/>
  <c r="Q848" i="1"/>
  <c r="T848" i="1"/>
  <c r="AV848" i="1" s="1"/>
  <c r="O849" i="1"/>
  <c r="P849" i="1" s="1"/>
  <c r="Q849" i="1"/>
  <c r="R849" i="1"/>
  <c r="S849" i="1" s="1"/>
  <c r="T849" i="1"/>
  <c r="AV849" i="1" s="1"/>
  <c r="O850" i="1"/>
  <c r="P850" i="1"/>
  <c r="Q850" i="1"/>
  <c r="R850" i="1"/>
  <c r="S850" i="1" s="1"/>
  <c r="T850" i="1"/>
  <c r="AV850" i="1" s="1"/>
  <c r="O851" i="1"/>
  <c r="P851" i="1"/>
  <c r="R851" i="1" s="1"/>
  <c r="S851" i="1" s="1"/>
  <c r="Q851" i="1"/>
  <c r="T851" i="1"/>
  <c r="AV851" i="1" s="1"/>
  <c r="O852" i="1"/>
  <c r="P852" i="1"/>
  <c r="Q852" i="1"/>
  <c r="R852" i="1"/>
  <c r="S852" i="1" s="1"/>
  <c r="T852" i="1"/>
  <c r="AV852" i="1" s="1"/>
  <c r="O853" i="1"/>
  <c r="P853" i="1" s="1"/>
  <c r="Q853" i="1"/>
  <c r="R853" i="1"/>
  <c r="S853" i="1" s="1"/>
  <c r="T853" i="1"/>
  <c r="AV853" i="1" s="1"/>
  <c r="P854" i="1"/>
  <c r="Q854" i="1"/>
  <c r="R854" i="1"/>
  <c r="S854" i="1" s="1"/>
  <c r="T854" i="1"/>
  <c r="O855" i="1"/>
  <c r="P855" i="1"/>
  <c r="Q855" i="1"/>
  <c r="R855" i="1"/>
  <c r="S855" i="1" s="1"/>
  <c r="T855" i="1"/>
  <c r="O856" i="1"/>
  <c r="P856" i="1"/>
  <c r="Q856" i="1"/>
  <c r="R856" i="1"/>
  <c r="S856" i="1" s="1"/>
  <c r="T856" i="1"/>
  <c r="O857" i="1"/>
  <c r="P857" i="1" s="1"/>
  <c r="Q857" i="1"/>
  <c r="R857" i="1"/>
  <c r="S857" i="1" s="1"/>
  <c r="T857" i="1"/>
  <c r="AV857" i="1" s="1"/>
  <c r="O858" i="1"/>
  <c r="P858" i="1" s="1"/>
  <c r="R858" i="1"/>
  <c r="S858" i="1" s="1"/>
  <c r="O859" i="1"/>
  <c r="P859" i="1" s="1"/>
  <c r="R859" i="1"/>
  <c r="S859" i="1" s="1"/>
  <c r="T859" i="1"/>
  <c r="O860" i="1"/>
  <c r="P860" i="1"/>
  <c r="Q860" i="1"/>
  <c r="R860" i="1"/>
  <c r="S860" i="1" s="1"/>
  <c r="T860" i="1"/>
  <c r="AV860" i="1" s="1"/>
  <c r="O861" i="1"/>
  <c r="P861" i="1"/>
  <c r="Q861" i="1"/>
  <c r="R861" i="1"/>
  <c r="S861" i="1" s="1"/>
  <c r="T861" i="1"/>
  <c r="AV861" i="1" s="1"/>
  <c r="O862" i="1"/>
  <c r="P862" i="1"/>
  <c r="R862" i="1" s="1"/>
  <c r="S862" i="1" s="1"/>
  <c r="Q862" i="1"/>
  <c r="T862" i="1"/>
  <c r="AV862" i="1" s="1"/>
  <c r="O863" i="1"/>
  <c r="R863" i="1"/>
  <c r="S863" i="1" s="1"/>
  <c r="O864" i="1"/>
  <c r="Q864" i="1" s="1"/>
  <c r="O865" i="1"/>
  <c r="R865" i="1"/>
  <c r="S865" i="1" s="1"/>
  <c r="T865" i="1"/>
  <c r="O866" i="1"/>
  <c r="P866" i="1" s="1"/>
  <c r="R866" i="1"/>
  <c r="S866" i="1" s="1"/>
  <c r="T866" i="1"/>
  <c r="O867" i="1"/>
  <c r="P867" i="1" s="1"/>
  <c r="R867" i="1" s="1"/>
  <c r="S867" i="1" s="1"/>
  <c r="P868" i="1"/>
  <c r="Q868" i="1"/>
  <c r="R868" i="1"/>
  <c r="S868" i="1" s="1"/>
  <c r="T868" i="1"/>
  <c r="AV868" i="1" s="1"/>
  <c r="O869" i="1"/>
  <c r="P869" i="1"/>
  <c r="Q869" i="1"/>
  <c r="R869" i="1"/>
  <c r="S869" i="1" s="1"/>
  <c r="T869" i="1"/>
  <c r="O870" i="1"/>
  <c r="P870" i="1"/>
  <c r="Q870" i="1"/>
  <c r="R870" i="1"/>
  <c r="S870" i="1" s="1"/>
  <c r="T870" i="1"/>
  <c r="O871" i="1"/>
  <c r="P871" i="1"/>
  <c r="Q871" i="1"/>
  <c r="R871" i="1"/>
  <c r="S871" i="1" s="1"/>
  <c r="T871" i="1"/>
  <c r="O872" i="1"/>
  <c r="P872" i="1"/>
  <c r="Q872" i="1"/>
  <c r="R872" i="1"/>
  <c r="S872" i="1" s="1"/>
  <c r="T872" i="1"/>
  <c r="O873" i="1"/>
  <c r="P873" i="1" s="1"/>
  <c r="Q873" i="1"/>
  <c r="R873" i="1"/>
  <c r="S873" i="1" s="1"/>
  <c r="T873" i="1"/>
  <c r="AV873" i="1" s="1"/>
  <c r="O874" i="1"/>
  <c r="P874" i="1" s="1"/>
  <c r="Q874" i="1"/>
  <c r="R874" i="1"/>
  <c r="S874" i="1" s="1"/>
  <c r="T874" i="1"/>
  <c r="O875" i="1"/>
  <c r="P875" i="1" s="1"/>
  <c r="Q875" i="1"/>
  <c r="R875" i="1"/>
  <c r="S875" i="1" s="1"/>
  <c r="T875" i="1"/>
  <c r="O876" i="1"/>
  <c r="P876" i="1" s="1"/>
  <c r="Q876" i="1"/>
  <c r="R876" i="1"/>
  <c r="S876" i="1" s="1"/>
  <c r="T876" i="1"/>
  <c r="O877" i="1"/>
  <c r="P877" i="1" s="1"/>
  <c r="Q877" i="1"/>
  <c r="R877" i="1"/>
  <c r="S877" i="1" s="1"/>
  <c r="T877" i="1"/>
  <c r="O878" i="1"/>
  <c r="P878" i="1" s="1"/>
  <c r="Q878" i="1"/>
  <c r="R878" i="1"/>
  <c r="S878" i="1" s="1"/>
  <c r="T878" i="1"/>
  <c r="O879" i="1"/>
  <c r="P879" i="1"/>
  <c r="Q879" i="1"/>
  <c r="R879" i="1"/>
  <c r="S879" i="1" s="1"/>
  <c r="D35" i="53" s="1"/>
  <c r="G35" i="53" s="1"/>
  <c r="T879" i="1"/>
  <c r="AV879" i="1" s="1"/>
  <c r="O880" i="1"/>
  <c r="P880" i="1"/>
  <c r="R880" i="1" s="1"/>
  <c r="S880" i="1" s="1"/>
  <c r="Q880" i="1"/>
  <c r="T880" i="1"/>
  <c r="AV880" i="1" s="1"/>
  <c r="O881" i="1"/>
  <c r="P881" i="1"/>
  <c r="Q881" i="1"/>
  <c r="R881" i="1"/>
  <c r="S881" i="1" s="1"/>
  <c r="T881" i="1"/>
  <c r="AV881" i="1" s="1"/>
  <c r="O882" i="1"/>
  <c r="P882" i="1" s="1"/>
  <c r="Q882" i="1"/>
  <c r="R882" i="1"/>
  <c r="S882" i="1" s="1"/>
  <c r="T882" i="1"/>
  <c r="AV882" i="1" s="1"/>
  <c r="O883" i="1"/>
  <c r="P883" i="1" s="1"/>
  <c r="Q883" i="1"/>
  <c r="R883" i="1"/>
  <c r="S883" i="1" s="1"/>
  <c r="T883" i="1"/>
  <c r="O884" i="1"/>
  <c r="P884" i="1" s="1"/>
  <c r="Q884" i="1"/>
  <c r="R884" i="1"/>
  <c r="S884" i="1" s="1"/>
  <c r="T884" i="1"/>
  <c r="O885" i="1"/>
  <c r="P885" i="1"/>
  <c r="Q885" i="1"/>
  <c r="R885" i="1"/>
  <c r="S885" i="1" s="1"/>
  <c r="T885" i="1"/>
  <c r="O886" i="1"/>
  <c r="P886" i="1"/>
  <c r="Q886" i="1"/>
  <c r="R886" i="1"/>
  <c r="S886" i="1" s="1"/>
  <c r="T886" i="1"/>
  <c r="O887" i="1"/>
  <c r="P887" i="1"/>
  <c r="Q887" i="1"/>
  <c r="R887" i="1"/>
  <c r="S887" i="1" s="1"/>
  <c r="T887" i="1"/>
  <c r="O888" i="1"/>
  <c r="P888" i="1"/>
  <c r="Q888" i="1"/>
  <c r="R888" i="1"/>
  <c r="S888" i="1" s="1"/>
  <c r="T888" i="1"/>
  <c r="AV888" i="1" s="1"/>
  <c r="O889" i="1"/>
  <c r="P889" i="1"/>
  <c r="Q889" i="1"/>
  <c r="R889" i="1"/>
  <c r="S889" i="1" s="1"/>
  <c r="T889" i="1"/>
  <c r="AV889" i="1" s="1"/>
  <c r="O890" i="1"/>
  <c r="P890" i="1" s="1"/>
  <c r="R890" i="1"/>
  <c r="S890" i="1" s="1"/>
  <c r="T890" i="1" s="1"/>
  <c r="AV890" i="1" s="1"/>
  <c r="O891" i="1"/>
  <c r="P891" i="1"/>
  <c r="Q891" i="1"/>
  <c r="O892" i="1"/>
  <c r="P892" i="1"/>
  <c r="Q892" i="1"/>
  <c r="R892" i="1"/>
  <c r="S892" i="1" s="1"/>
  <c r="O893" i="1"/>
  <c r="P893" i="1"/>
  <c r="Q893" i="1"/>
  <c r="R893" i="1"/>
  <c r="S893" i="1" s="1"/>
  <c r="T893" i="1"/>
  <c r="O894" i="1"/>
  <c r="P894" i="1" s="1"/>
  <c r="R894" i="1" s="1"/>
  <c r="S894" i="1" s="1"/>
  <c r="O895" i="1"/>
  <c r="P895" i="1"/>
  <c r="R895" i="1" s="1"/>
  <c r="S895" i="1" s="1"/>
  <c r="Q895" i="1"/>
  <c r="T895" i="1"/>
  <c r="AV895" i="1" s="1"/>
  <c r="O897" i="1"/>
  <c r="P897" i="1"/>
  <c r="Q897" i="1"/>
  <c r="R897" i="1"/>
  <c r="S897" i="1" s="1"/>
  <c r="T897" i="1"/>
  <c r="AV897" i="1" s="1"/>
  <c r="O898" i="1"/>
  <c r="P898" i="1" s="1"/>
  <c r="Q898" i="1"/>
  <c r="T898" i="1"/>
  <c r="AV898" i="1" s="1"/>
  <c r="O899" i="1"/>
  <c r="P899" i="1" s="1"/>
  <c r="Q899" i="1"/>
  <c r="R899" i="1"/>
  <c r="S899" i="1" s="1"/>
  <c r="T899" i="1"/>
  <c r="O900" i="1"/>
  <c r="P900" i="1"/>
  <c r="Q900" i="1"/>
  <c r="R900" i="1"/>
  <c r="S900" i="1" s="1"/>
  <c r="T900" i="1"/>
  <c r="AV900" i="1" s="1"/>
  <c r="O901" i="1"/>
  <c r="P901" i="1" s="1"/>
  <c r="Q901" i="1"/>
  <c r="R901" i="1"/>
  <c r="S901" i="1" s="1"/>
  <c r="T901" i="1"/>
  <c r="AV901" i="1" s="1"/>
  <c r="O902" i="1"/>
  <c r="P902" i="1" s="1"/>
  <c r="R902" i="1" s="1"/>
  <c r="S902" i="1" s="1"/>
  <c r="Q902" i="1"/>
  <c r="T902" i="1"/>
  <c r="AV902" i="1" s="1"/>
  <c r="O903" i="1"/>
  <c r="P903" i="1"/>
  <c r="Q903" i="1"/>
  <c r="R903" i="1"/>
  <c r="S903" i="1" s="1"/>
  <c r="T903" i="1"/>
  <c r="AV903" i="1" s="1"/>
  <c r="O904" i="1"/>
  <c r="P904" i="1" s="1"/>
  <c r="O905" i="1"/>
  <c r="Q905" i="1" s="1"/>
  <c r="R905" i="1"/>
  <c r="S905" i="1" s="1"/>
  <c r="T905" i="1"/>
  <c r="O906" i="1"/>
  <c r="P906" i="1"/>
  <c r="Q906" i="1"/>
  <c r="R906" i="1"/>
  <c r="S906" i="1" s="1"/>
  <c r="T906" i="1"/>
  <c r="O907" i="1"/>
  <c r="P907" i="1"/>
  <c r="R907" i="1" s="1"/>
  <c r="S907" i="1" s="1"/>
  <c r="Q907" i="1"/>
  <c r="T907" i="1"/>
  <c r="AV907" i="1" s="1"/>
  <c r="O908" i="1"/>
  <c r="P908" i="1" s="1"/>
  <c r="R908" i="1" s="1"/>
  <c r="S908" i="1" s="1"/>
  <c r="O909" i="1"/>
  <c r="O910" i="1"/>
  <c r="Q910" i="1" s="1"/>
  <c r="R910" i="1"/>
  <c r="S910" i="1" s="1"/>
  <c r="T910" i="1"/>
  <c r="O911" i="1"/>
  <c r="Q911" i="1" s="1"/>
  <c r="R911" i="1"/>
  <c r="S911" i="1" s="1"/>
  <c r="T911" i="1"/>
  <c r="O912" i="1"/>
  <c r="P912" i="1"/>
  <c r="R912" i="1" s="1"/>
  <c r="S912" i="1" s="1"/>
  <c r="Q912" i="1"/>
  <c r="T912" i="1"/>
  <c r="AV912" i="1" s="1"/>
  <c r="O913" i="1"/>
  <c r="P913" i="1" s="1"/>
  <c r="R913" i="1" s="1"/>
  <c r="S913" i="1" s="1"/>
  <c r="Q913" i="1"/>
  <c r="T913" i="1"/>
  <c r="AV913" i="1" s="1"/>
  <c r="O914" i="1"/>
  <c r="Q914" i="1" s="1"/>
  <c r="O915" i="1"/>
  <c r="P915" i="1"/>
  <c r="Q915" i="1"/>
  <c r="R915" i="1"/>
  <c r="S915" i="1" s="1"/>
  <c r="T915" i="1"/>
  <c r="Q916" i="1"/>
  <c r="R916" i="1"/>
  <c r="S916" i="1" s="1"/>
  <c r="T916" i="1"/>
  <c r="R917" i="1"/>
  <c r="S917" i="1" s="1"/>
  <c r="T917" i="1"/>
  <c r="O918" i="1"/>
  <c r="P918" i="1"/>
  <c r="Q918" i="1"/>
  <c r="R918" i="1"/>
  <c r="S918" i="1" s="1"/>
  <c r="T918" i="1"/>
  <c r="O920" i="1"/>
  <c r="Q920" i="1" s="1"/>
  <c r="R920" i="1"/>
  <c r="S920" i="1" s="1"/>
  <c r="T920" i="1"/>
  <c r="O921" i="1"/>
  <c r="Q921" i="1" s="1"/>
  <c r="R921" i="1"/>
  <c r="S921" i="1" s="1"/>
  <c r="T921" i="1"/>
  <c r="O922" i="1"/>
  <c r="Q922" i="1" s="1"/>
  <c r="R922" i="1"/>
  <c r="S922" i="1" s="1"/>
  <c r="T922" i="1"/>
  <c r="O923" i="1"/>
  <c r="Q923" i="1" s="1"/>
  <c r="R923" i="1"/>
  <c r="S923" i="1" s="1"/>
  <c r="T923" i="1"/>
  <c r="O924" i="1"/>
  <c r="O925" i="1"/>
  <c r="P925" i="1"/>
  <c r="Q925" i="1"/>
  <c r="R925" i="1"/>
  <c r="S925" i="1" s="1"/>
  <c r="T925" i="1"/>
  <c r="O926" i="1"/>
  <c r="P926" i="1"/>
  <c r="Q926" i="1"/>
  <c r="R926" i="1"/>
  <c r="S926" i="1" s="1"/>
  <c r="T926" i="1"/>
  <c r="O927" i="1"/>
  <c r="Q927" i="1" s="1"/>
  <c r="O928" i="1"/>
  <c r="P928" i="1" s="1"/>
  <c r="Q928" i="1"/>
  <c r="R928" i="1"/>
  <c r="S928" i="1" s="1"/>
  <c r="T928" i="1"/>
  <c r="O929" i="1"/>
  <c r="P929" i="1"/>
  <c r="Q929" i="1"/>
  <c r="R929" i="1"/>
  <c r="S929" i="1" s="1"/>
  <c r="T929" i="1"/>
  <c r="O930" i="1"/>
  <c r="P930" i="1"/>
  <c r="Q930" i="1"/>
  <c r="R930" i="1"/>
  <c r="S930" i="1" s="1"/>
  <c r="O931" i="1"/>
  <c r="P931" i="1"/>
  <c r="Q931" i="1"/>
  <c r="R931" i="1"/>
  <c r="S931" i="1" s="1"/>
  <c r="O932" i="1"/>
  <c r="P932" i="1"/>
  <c r="Q932" i="1"/>
  <c r="R932" i="1"/>
  <c r="S932" i="1" s="1"/>
  <c r="T932" i="1" s="1"/>
  <c r="AV932" i="1" s="1"/>
  <c r="O933" i="1"/>
  <c r="P933" i="1"/>
  <c r="R933" i="1" s="1"/>
  <c r="S933" i="1" s="1"/>
  <c r="Q933" i="1"/>
  <c r="T933" i="1"/>
  <c r="AV933" i="1" s="1"/>
  <c r="O934" i="1"/>
  <c r="P934" i="1"/>
  <c r="Q934" i="1"/>
  <c r="R934" i="1"/>
  <c r="S934" i="1" s="1"/>
  <c r="T934" i="1"/>
  <c r="AV934" i="1" s="1"/>
  <c r="O935" i="1"/>
  <c r="P935" i="1"/>
  <c r="Q935" i="1"/>
  <c r="R935" i="1"/>
  <c r="S935" i="1" s="1"/>
  <c r="T935" i="1"/>
  <c r="AV935" i="1" s="1"/>
  <c r="O936" i="1"/>
  <c r="P936" i="1"/>
  <c r="Q936" i="1"/>
  <c r="R936" i="1"/>
  <c r="S936" i="1" s="1"/>
  <c r="T936" i="1"/>
  <c r="AV936" i="1" s="1"/>
  <c r="O937" i="1"/>
  <c r="P937" i="1" s="1"/>
  <c r="R937" i="1" s="1"/>
  <c r="S937" i="1" s="1"/>
  <c r="Q937" i="1"/>
  <c r="T937" i="1"/>
  <c r="AV937" i="1" s="1"/>
  <c r="O938" i="1"/>
  <c r="P938" i="1"/>
  <c r="Q938" i="1"/>
  <c r="R938" i="1"/>
  <c r="S938" i="1" s="1"/>
  <c r="T938" i="1"/>
  <c r="AV938" i="1" s="1"/>
  <c r="O939" i="1"/>
  <c r="P939" i="1" s="1"/>
  <c r="R939" i="1"/>
  <c r="S939" i="1" s="1"/>
  <c r="O940" i="1"/>
  <c r="Q940" i="1" s="1"/>
  <c r="R940" i="1"/>
  <c r="S940" i="1" s="1"/>
  <c r="T940" i="1"/>
  <c r="O941" i="1"/>
  <c r="Q941" i="1" s="1"/>
  <c r="R941" i="1"/>
  <c r="S941" i="1" s="1"/>
  <c r="T941" i="1"/>
  <c r="O942" i="1"/>
  <c r="Q942" i="1" s="1"/>
  <c r="R942" i="1"/>
  <c r="S942" i="1" s="1"/>
  <c r="T942" i="1"/>
  <c r="O943" i="1"/>
  <c r="P943" i="1"/>
  <c r="Q943" i="1"/>
  <c r="R943" i="1"/>
  <c r="S943" i="1" s="1"/>
  <c r="T943" i="1"/>
  <c r="AV943" i="1" s="1"/>
  <c r="O944" i="1"/>
  <c r="O945" i="1"/>
  <c r="P945" i="1" s="1"/>
  <c r="Q945" i="1"/>
  <c r="R945" i="1"/>
  <c r="S945" i="1" s="1"/>
  <c r="T945" i="1"/>
  <c r="AV945" i="1" s="1"/>
  <c r="O946" i="1"/>
  <c r="P946" i="1" s="1"/>
  <c r="Q946" i="1"/>
  <c r="R946" i="1"/>
  <c r="S946" i="1" s="1"/>
  <c r="T946" i="1"/>
  <c r="O947" i="1"/>
  <c r="P947" i="1"/>
  <c r="Q947" i="1"/>
  <c r="R947" i="1"/>
  <c r="S947" i="1" s="1"/>
  <c r="T947" i="1"/>
  <c r="O948" i="1"/>
  <c r="P948" i="1"/>
  <c r="Q948" i="1"/>
  <c r="R948" i="1"/>
  <c r="S948" i="1" s="1"/>
  <c r="T948" i="1"/>
  <c r="AV948" i="1" s="1"/>
  <c r="O949" i="1"/>
  <c r="P949" i="1"/>
  <c r="Q949" i="1"/>
  <c r="R949" i="1"/>
  <c r="S949" i="1" s="1"/>
  <c r="T949" i="1"/>
  <c r="AV949" i="1" s="1"/>
  <c r="O950" i="1"/>
  <c r="P950" i="1"/>
  <c r="Q950" i="1"/>
  <c r="R950" i="1"/>
  <c r="S950" i="1" s="1"/>
  <c r="T950" i="1"/>
  <c r="AV950" i="1" s="1"/>
  <c r="O951" i="1"/>
  <c r="P951" i="1"/>
  <c r="Q951" i="1"/>
  <c r="R951" i="1"/>
  <c r="S951" i="1" s="1"/>
  <c r="T951" i="1"/>
  <c r="AV951" i="1" s="1"/>
  <c r="O952" i="1"/>
  <c r="P952" i="1"/>
  <c r="Q952" i="1"/>
  <c r="R952" i="1"/>
  <c r="S952" i="1" s="1"/>
  <c r="T952" i="1" s="1"/>
  <c r="AV952" i="1" s="1"/>
  <c r="O953" i="1"/>
  <c r="P953" i="1"/>
  <c r="R953" i="1" s="1"/>
  <c r="S953" i="1" s="1"/>
  <c r="Q953" i="1"/>
  <c r="T953" i="1"/>
  <c r="AV953" i="1" s="1"/>
  <c r="O954" i="1"/>
  <c r="P954" i="1"/>
  <c r="Q954" i="1"/>
  <c r="R954" i="1"/>
  <c r="S954" i="1" s="1"/>
  <c r="T954" i="1"/>
  <c r="AV954" i="1" s="1"/>
  <c r="O955" i="1"/>
  <c r="P955" i="1"/>
  <c r="Q955" i="1"/>
  <c r="R955" i="1"/>
  <c r="S955" i="1" s="1"/>
  <c r="T955" i="1"/>
  <c r="AV955" i="1" s="1"/>
  <c r="O956" i="1"/>
  <c r="P956" i="1"/>
  <c r="Q956" i="1"/>
  <c r="R956" i="1"/>
  <c r="S956" i="1" s="1"/>
  <c r="T956" i="1"/>
  <c r="AV956" i="1" s="1"/>
  <c r="O957" i="1"/>
  <c r="P957" i="1"/>
  <c r="Q957" i="1"/>
  <c r="R957" i="1"/>
  <c r="S957" i="1" s="1"/>
  <c r="T957" i="1"/>
  <c r="AV957" i="1" s="1"/>
  <c r="O958" i="1"/>
  <c r="P958" i="1"/>
  <c r="Q958" i="1"/>
  <c r="R958" i="1"/>
  <c r="S958" i="1" s="1"/>
  <c r="T958" i="1"/>
  <c r="AV958" i="1" s="1"/>
  <c r="O959" i="1"/>
  <c r="P959" i="1" s="1"/>
  <c r="Q959" i="1"/>
  <c r="R959" i="1"/>
  <c r="S959" i="1" s="1"/>
  <c r="AV959" i="1" s="1"/>
  <c r="O960" i="1"/>
  <c r="P960" i="1" s="1"/>
  <c r="Q960" i="1"/>
  <c r="R960" i="1"/>
  <c r="S960" i="1" s="1"/>
  <c r="T960" i="1"/>
  <c r="O961" i="1"/>
  <c r="P961" i="1" s="1"/>
  <c r="Q961" i="1"/>
  <c r="R961" i="1"/>
  <c r="S961" i="1" s="1"/>
  <c r="O962" i="1"/>
  <c r="P962" i="1" s="1"/>
  <c r="Q962" i="1"/>
  <c r="R962" i="1"/>
  <c r="S962" i="1" s="1"/>
  <c r="O963" i="1"/>
  <c r="P963" i="1" s="1"/>
  <c r="Q963" i="1"/>
  <c r="R963" i="1"/>
  <c r="S963" i="1" s="1"/>
  <c r="AV963" i="1" s="1"/>
  <c r="O968" i="1"/>
  <c r="P968" i="1" s="1"/>
  <c r="O969" i="1"/>
  <c r="Q969" i="1" s="1"/>
  <c r="T969" i="1" s="1"/>
  <c r="O970" i="1"/>
  <c r="P970" i="1" s="1"/>
  <c r="Q970" i="1"/>
  <c r="AV970" i="1"/>
  <c r="O971" i="1"/>
  <c r="P971" i="1" s="1"/>
  <c r="Q971" i="1"/>
  <c r="R971" i="1"/>
  <c r="S971" i="1" s="1"/>
  <c r="O972" i="1"/>
  <c r="P972" i="1" s="1"/>
  <c r="Q972" i="1"/>
  <c r="R972" i="1"/>
  <c r="S972" i="1" s="1"/>
  <c r="O973" i="1"/>
  <c r="P973" i="1" s="1"/>
  <c r="Q973" i="1"/>
  <c r="R973" i="1"/>
  <c r="S973" i="1" s="1"/>
  <c r="O974" i="1"/>
  <c r="P974" i="1" s="1"/>
  <c r="Q974" i="1"/>
  <c r="R974" i="1"/>
  <c r="S974" i="1" s="1"/>
  <c r="O975" i="1"/>
  <c r="P975" i="1"/>
  <c r="R975" i="1" s="1"/>
  <c r="S975" i="1" s="1"/>
  <c r="Q975" i="1"/>
  <c r="AV975" i="1"/>
  <c r="O976" i="1"/>
  <c r="P976" i="1"/>
  <c r="R976" i="1" s="1"/>
  <c r="S976" i="1" s="1"/>
  <c r="Q976" i="1"/>
  <c r="AV976" i="1"/>
  <c r="O977" i="1"/>
  <c r="P977" i="1"/>
  <c r="Q977" i="1"/>
  <c r="R977" i="1"/>
  <c r="S977" i="1" s="1"/>
  <c r="AV977" i="1"/>
  <c r="O978" i="1"/>
  <c r="P978" i="1"/>
  <c r="Q978" i="1"/>
  <c r="R978" i="1"/>
  <c r="S978" i="1" s="1"/>
  <c r="AV978" i="1"/>
  <c r="O979" i="1"/>
  <c r="P979" i="1"/>
  <c r="Q979" i="1"/>
  <c r="R979" i="1"/>
  <c r="S979" i="1" s="1"/>
  <c r="AV979" i="1"/>
  <c r="O980" i="1"/>
  <c r="P980" i="1"/>
  <c r="Q980" i="1"/>
  <c r="R980" i="1"/>
  <c r="S980" i="1" s="1"/>
  <c r="AV980" i="1"/>
  <c r="O981" i="1"/>
  <c r="P981" i="1"/>
  <c r="Q981" i="1"/>
  <c r="R981" i="1"/>
  <c r="S981" i="1" s="1"/>
  <c r="AV981" i="1"/>
  <c r="O982" i="1"/>
  <c r="P982" i="1"/>
  <c r="Q982" i="1"/>
  <c r="R982" i="1"/>
  <c r="S982" i="1" s="1"/>
  <c r="AV982" i="1"/>
  <c r="O983" i="1"/>
  <c r="P983" i="1"/>
  <c r="Q983" i="1"/>
  <c r="R983" i="1"/>
  <c r="S983" i="1" s="1"/>
  <c r="AV983" i="1"/>
  <c r="O984" i="1"/>
  <c r="P984" i="1"/>
  <c r="Q984" i="1"/>
  <c r="R984" i="1"/>
  <c r="S984" i="1" s="1"/>
  <c r="AV984" i="1"/>
  <c r="O985" i="1"/>
  <c r="P985" i="1"/>
  <c r="Q985" i="1"/>
  <c r="R985" i="1"/>
  <c r="S985" i="1" s="1"/>
  <c r="AV985" i="1"/>
  <c r="O986" i="1"/>
  <c r="P986" i="1"/>
  <c r="Q986" i="1"/>
  <c r="R986" i="1"/>
  <c r="S986" i="1" s="1"/>
  <c r="AV986" i="1"/>
  <c r="O987" i="1"/>
  <c r="P987" i="1"/>
  <c r="Q987" i="1"/>
  <c r="R987" i="1"/>
  <c r="S987" i="1" s="1"/>
  <c r="AV987" i="1"/>
  <c r="O988" i="1"/>
  <c r="P988" i="1"/>
  <c r="Q988" i="1"/>
  <c r="R988" i="1"/>
  <c r="S988" i="1" s="1"/>
  <c r="AV988" i="1"/>
  <c r="O989" i="1"/>
  <c r="Q989" i="1"/>
  <c r="R989" i="1"/>
  <c r="S989" i="1" s="1"/>
  <c r="AV989" i="1"/>
  <c r="O990" i="1"/>
  <c r="P990" i="1"/>
  <c r="Q990" i="1"/>
  <c r="R990" i="1"/>
  <c r="S990" i="1" s="1"/>
  <c r="AV990" i="1"/>
  <c r="O991" i="1"/>
  <c r="P991" i="1"/>
  <c r="Q991" i="1"/>
  <c r="R991" i="1"/>
  <c r="S991" i="1" s="1"/>
  <c r="AV991" i="1"/>
  <c r="O992" i="1"/>
  <c r="Q992" i="1" s="1"/>
  <c r="O993" i="1"/>
  <c r="P993" i="1"/>
  <c r="Q993" i="1"/>
  <c r="R993" i="1"/>
  <c r="S993" i="1" s="1"/>
  <c r="AV993" i="1"/>
  <c r="O994" i="1"/>
  <c r="Q994" i="1" s="1"/>
  <c r="T994" i="1" s="1"/>
  <c r="O995" i="1"/>
  <c r="P995" i="1" s="1"/>
  <c r="R995" i="1" s="1"/>
  <c r="S995" i="1" s="1"/>
  <c r="O996" i="1"/>
  <c r="P996" i="1"/>
  <c r="R996" i="1" s="1"/>
  <c r="S996" i="1" s="1"/>
  <c r="Q996" i="1"/>
  <c r="AV996" i="1"/>
  <c r="O997" i="1"/>
  <c r="P997" i="1" s="1"/>
  <c r="R997" i="1" s="1"/>
  <c r="S997" i="1" s="1"/>
  <c r="Q997" i="1"/>
  <c r="AV997" i="1"/>
  <c r="O998" i="1"/>
  <c r="P998" i="1" s="1"/>
  <c r="O999" i="1"/>
  <c r="P999" i="1"/>
  <c r="R999" i="1"/>
  <c r="S999" i="1" s="1"/>
  <c r="O1000" i="1"/>
  <c r="Q1000" i="1" s="1"/>
  <c r="R1000" i="1"/>
  <c r="S1000" i="1" s="1"/>
  <c r="T1000" i="1" s="1"/>
  <c r="O1001" i="1"/>
  <c r="Q1001" i="1" s="1"/>
  <c r="P1001" i="1"/>
  <c r="R1001" i="1"/>
  <c r="S1001" i="1" s="1"/>
  <c r="O1002" i="1"/>
  <c r="P1002" i="1"/>
  <c r="Q1002" i="1"/>
  <c r="R1002" i="1"/>
  <c r="S1002" i="1" s="1"/>
  <c r="O1003" i="1"/>
  <c r="P1003" i="1"/>
  <c r="Q1003" i="1"/>
  <c r="R1003" i="1"/>
  <c r="S1003" i="1" s="1"/>
  <c r="O1004" i="1"/>
  <c r="P1004" i="1" s="1"/>
  <c r="R1004" i="1"/>
  <c r="S1004" i="1" s="1"/>
  <c r="O1005" i="1"/>
  <c r="Q1005" i="1" s="1"/>
  <c r="R1005" i="1"/>
  <c r="S1005" i="1" s="1"/>
  <c r="O1006" i="1"/>
  <c r="Q1006" i="1" s="1"/>
  <c r="R1006" i="1"/>
  <c r="S1006" i="1" s="1"/>
  <c r="O1007" i="1"/>
  <c r="P1007" i="1" s="1"/>
  <c r="O1008" i="1"/>
  <c r="P1008" i="1"/>
  <c r="Q1008" i="1"/>
  <c r="R1008" i="1"/>
  <c r="S1008" i="1" s="1"/>
  <c r="R1009" i="1"/>
  <c r="S1009" i="1" s="1"/>
  <c r="R1010" i="1"/>
  <c r="S1010" i="1" s="1"/>
  <c r="O1011" i="1"/>
  <c r="P1011" i="1" s="1"/>
  <c r="R1011" i="1" s="1"/>
  <c r="S1011" i="1" s="1"/>
  <c r="O1012" i="1"/>
  <c r="P1012" i="1"/>
  <c r="Q1012" i="1"/>
  <c r="R1012" i="1"/>
  <c r="S1012" i="1" s="1"/>
  <c r="O1013" i="1"/>
  <c r="P1013" i="1"/>
  <c r="Q1013" i="1"/>
  <c r="R1013" i="1"/>
  <c r="S1013" i="1" s="1"/>
  <c r="O1014" i="1"/>
  <c r="Q1014" i="1" s="1"/>
  <c r="R1014" i="1"/>
  <c r="S1014" i="1" s="1"/>
  <c r="O1015" i="1"/>
  <c r="P1015" i="1" s="1"/>
  <c r="R1015" i="1"/>
  <c r="S1015" i="1" s="1"/>
  <c r="O1016" i="1"/>
  <c r="P1016" i="1"/>
  <c r="Q1016" i="1"/>
  <c r="R1016" i="1"/>
  <c r="S1016" i="1" s="1"/>
  <c r="O1017" i="1"/>
  <c r="Q1017" i="1" s="1"/>
  <c r="R1017" i="1"/>
  <c r="S1017" i="1" s="1"/>
  <c r="O1018" i="1"/>
  <c r="P1018" i="1" s="1"/>
  <c r="R1018" i="1"/>
  <c r="S1018" i="1" s="1"/>
  <c r="O1019" i="1"/>
  <c r="P1019" i="1"/>
  <c r="Q1019" i="1"/>
  <c r="R1019" i="1"/>
  <c r="S1019" i="1" s="1"/>
  <c r="O1020" i="1"/>
  <c r="R1020" i="1"/>
  <c r="S1020" i="1" s="1"/>
  <c r="O1021" i="1"/>
  <c r="Q1021" i="1" s="1"/>
  <c r="R1021" i="1"/>
  <c r="S1021" i="1" s="1"/>
  <c r="AV1021" i="1"/>
  <c r="O1022" i="1"/>
  <c r="P1022" i="1" s="1"/>
  <c r="R1022" i="1"/>
  <c r="S1022" i="1" s="1"/>
  <c r="O1023" i="1"/>
  <c r="P1023" i="1" s="1"/>
  <c r="R1023" i="1"/>
  <c r="S1023" i="1" s="1"/>
  <c r="O1024" i="1"/>
  <c r="P1024" i="1" s="1"/>
  <c r="Q1024" i="1"/>
  <c r="R1024" i="1"/>
  <c r="S1024" i="1" s="1"/>
  <c r="Q1025" i="1"/>
  <c r="R1025" i="1"/>
  <c r="S1025" i="1" s="1"/>
  <c r="O1026" i="1"/>
  <c r="P1026" i="1" s="1"/>
  <c r="Q1026" i="1"/>
  <c r="R1026" i="1"/>
  <c r="S1026" i="1" s="1"/>
  <c r="O1027" i="1"/>
  <c r="P1027" i="1"/>
  <c r="Q1027" i="1"/>
  <c r="R1027" i="1"/>
  <c r="S1027" i="1" s="1"/>
  <c r="O1028" i="1"/>
  <c r="P1028" i="1" s="1"/>
  <c r="Q1028" i="1"/>
  <c r="R1028" i="1"/>
  <c r="S1028" i="1" s="1"/>
  <c r="O1029" i="1"/>
  <c r="P1029" i="1" s="1"/>
  <c r="Q1029" i="1"/>
  <c r="R1029" i="1"/>
  <c r="S1029" i="1" s="1"/>
  <c r="O1030" i="1"/>
  <c r="P1030" i="1" s="1"/>
  <c r="Q1030" i="1"/>
  <c r="R1030" i="1"/>
  <c r="S1030" i="1" s="1"/>
  <c r="O1031" i="1"/>
  <c r="P1031" i="1" s="1"/>
  <c r="R1031" i="1" s="1"/>
  <c r="S1031" i="1" s="1"/>
  <c r="Q1031" i="1"/>
  <c r="AV1031" i="1"/>
  <c r="O1032" i="1"/>
  <c r="P1032" i="1"/>
  <c r="Q1032" i="1"/>
  <c r="AV1032" i="1"/>
  <c r="O1033" i="1"/>
  <c r="P1033" i="1" s="1"/>
  <c r="Q1033" i="1"/>
  <c r="R1033" i="1"/>
  <c r="S1033" i="1" s="1"/>
  <c r="Q1034" i="1"/>
  <c r="R1034" i="1"/>
  <c r="S1034" i="1" s="1"/>
  <c r="O1035" i="1"/>
  <c r="P1035" i="1" s="1"/>
  <c r="Q1035" i="1"/>
  <c r="R1035" i="1"/>
  <c r="S1035" i="1" s="1"/>
  <c r="O1036" i="1"/>
  <c r="P1036" i="1"/>
  <c r="Q1036" i="1"/>
  <c r="R1036" i="1"/>
  <c r="S1036" i="1" s="1"/>
  <c r="AV1036" i="1"/>
  <c r="O1037" i="1"/>
  <c r="Q1037" i="1" s="1"/>
  <c r="AV1037" i="1"/>
  <c r="O1038" i="1"/>
  <c r="P1038" i="1" s="1"/>
  <c r="Q1038" i="1"/>
  <c r="R1038" i="1"/>
  <c r="S1038" i="1" s="1"/>
  <c r="AV1038" i="1"/>
  <c r="O1039" i="1"/>
  <c r="P1039" i="1" s="1"/>
  <c r="AV1039" i="1"/>
  <c r="O1040" i="1"/>
  <c r="Q1040" i="1" s="1"/>
  <c r="R1040" i="1"/>
  <c r="S1040" i="1" s="1"/>
  <c r="O1041" i="1"/>
  <c r="P1041" i="1" s="1"/>
  <c r="Q1041" i="1"/>
  <c r="AV1041" i="1"/>
  <c r="O1042" i="1"/>
  <c r="P1042" i="1" s="1"/>
  <c r="Q1042" i="1"/>
  <c r="R1042" i="1"/>
  <c r="S1042" i="1" s="1"/>
  <c r="O1043" i="1"/>
  <c r="P1043" i="1" s="1"/>
  <c r="Q1043" i="1"/>
  <c r="R1043" i="1"/>
  <c r="S1043" i="1" s="1"/>
  <c r="O1044" i="1"/>
  <c r="P1044" i="1"/>
  <c r="Q1044" i="1"/>
  <c r="R1044" i="1"/>
  <c r="S1044" i="1" s="1"/>
  <c r="O1045" i="1"/>
  <c r="P1045" i="1"/>
  <c r="Q1045" i="1"/>
  <c r="R1045" i="1"/>
  <c r="S1045" i="1" s="1"/>
  <c r="O1046" i="1"/>
  <c r="P1046" i="1"/>
  <c r="Q1046" i="1"/>
  <c r="R1046" i="1"/>
  <c r="S1046" i="1" s="1"/>
  <c r="O1047" i="1"/>
  <c r="P1047" i="1" s="1"/>
  <c r="Q1047" i="1"/>
  <c r="R1047" i="1"/>
  <c r="S1047" i="1" s="1"/>
  <c r="P1048" i="1"/>
  <c r="Q1048" i="1"/>
  <c r="R1048" i="1"/>
  <c r="S1048" i="1" s="1"/>
  <c r="P1049" i="1"/>
  <c r="Q1049" i="1"/>
  <c r="R1049" i="1"/>
  <c r="S1049" i="1" s="1"/>
  <c r="O1050" i="1"/>
  <c r="P1050" i="1" s="1"/>
  <c r="Q1050" i="1"/>
  <c r="R1050" i="1"/>
  <c r="S1050" i="1" s="1"/>
  <c r="O1051" i="1"/>
  <c r="P1051" i="1"/>
  <c r="Q1051" i="1"/>
  <c r="R1051" i="1"/>
  <c r="S1051" i="1" s="1"/>
  <c r="AV1051" i="1"/>
  <c r="O1052" i="1"/>
  <c r="P1052" i="1"/>
  <c r="Q1052" i="1"/>
  <c r="R1052" i="1"/>
  <c r="S1052" i="1" s="1"/>
  <c r="C14" i="53" s="1"/>
  <c r="AV1052" i="1"/>
  <c r="O1053" i="1"/>
  <c r="P1053" i="1"/>
  <c r="Q1053" i="1"/>
  <c r="R1053" i="1"/>
  <c r="S1053" i="1" s="1"/>
  <c r="AV1053" i="1"/>
  <c r="O1054" i="1"/>
  <c r="P1054" i="1"/>
  <c r="Q1054" i="1"/>
  <c r="R1054" i="1"/>
  <c r="S1054" i="1" s="1"/>
  <c r="AV1054" i="1"/>
  <c r="O1055" i="1"/>
  <c r="P1055" i="1"/>
  <c r="Q1055" i="1"/>
  <c r="R1055" i="1"/>
  <c r="S1055" i="1" s="1"/>
  <c r="AV1055" i="1"/>
  <c r="O1056" i="1"/>
  <c r="P1056" i="1"/>
  <c r="Q1056" i="1"/>
  <c r="R1056" i="1"/>
  <c r="S1056" i="1" s="1"/>
  <c r="AV1056" i="1"/>
  <c r="O1057" i="1"/>
  <c r="P1057" i="1"/>
  <c r="Q1057" i="1"/>
  <c r="R1057" i="1"/>
  <c r="S1057" i="1" s="1"/>
  <c r="AV1057" i="1"/>
  <c r="O1058" i="1"/>
  <c r="P1058" i="1"/>
  <c r="Q1058" i="1"/>
  <c r="R1058" i="1"/>
  <c r="S1058" i="1" s="1"/>
  <c r="AV1058" i="1"/>
  <c r="O1059" i="1"/>
  <c r="P1059" i="1"/>
  <c r="Q1059" i="1"/>
  <c r="R1059" i="1"/>
  <c r="S1059" i="1" s="1"/>
  <c r="AV1059" i="1"/>
  <c r="AM3" i="1"/>
  <c r="AN3" i="1"/>
  <c r="AO3" i="1"/>
  <c r="AR3" i="1"/>
  <c r="AS3" i="1"/>
  <c r="AM4" i="1"/>
  <c r="AO4" i="1"/>
  <c r="AR4" i="1"/>
  <c r="AS4" i="1"/>
  <c r="AM5" i="1"/>
  <c r="AO5" i="1"/>
  <c r="AR5" i="1"/>
  <c r="AS5" i="1"/>
  <c r="AM6" i="1"/>
  <c r="AO6" i="1"/>
  <c r="AR6" i="1"/>
  <c r="AS6" i="1"/>
  <c r="AM7" i="1"/>
  <c r="AO7" i="1"/>
  <c r="AR7" i="1"/>
  <c r="AS7" i="1"/>
  <c r="AM8" i="1"/>
  <c r="AO8" i="1"/>
  <c r="AR8" i="1"/>
  <c r="AS8" i="1"/>
  <c r="AM9" i="1"/>
  <c r="AO9" i="1"/>
  <c r="AR9" i="1"/>
  <c r="AS9" i="1"/>
  <c r="AM10" i="1"/>
  <c r="AO10" i="1"/>
  <c r="AR10" i="1"/>
  <c r="AS10" i="1"/>
  <c r="AM11" i="1"/>
  <c r="AN11" i="1"/>
  <c r="AO11" i="1"/>
  <c r="AR11" i="1"/>
  <c r="AS11" i="1"/>
  <c r="AM12" i="1"/>
  <c r="AO12" i="1"/>
  <c r="AR12" i="1"/>
  <c r="AS12" i="1"/>
  <c r="AM13" i="1"/>
  <c r="AN13" i="1"/>
  <c r="AO13" i="1"/>
  <c r="AR13" i="1"/>
  <c r="AS13" i="1"/>
  <c r="AM14" i="1"/>
  <c r="AN14" i="1"/>
  <c r="AO14" i="1"/>
  <c r="AR14" i="1"/>
  <c r="AS14" i="1"/>
  <c r="AM15" i="1"/>
  <c r="AN15" i="1"/>
  <c r="AO15" i="1"/>
  <c r="AR15" i="1"/>
  <c r="AS15" i="1"/>
  <c r="AM16" i="1"/>
  <c r="AN16" i="1"/>
  <c r="AO16" i="1"/>
  <c r="AR16" i="1"/>
  <c r="AS16" i="1"/>
  <c r="AM17" i="1"/>
  <c r="AN17" i="1"/>
  <c r="AO17" i="1"/>
  <c r="AR17" i="1"/>
  <c r="AS17" i="1"/>
  <c r="AM18" i="1"/>
  <c r="AN18" i="1"/>
  <c r="AO18" i="1"/>
  <c r="AR18" i="1"/>
  <c r="AS18" i="1"/>
  <c r="AM19" i="1"/>
  <c r="AN19" i="1"/>
  <c r="AO19" i="1"/>
  <c r="AR19" i="1"/>
  <c r="AS19" i="1"/>
  <c r="AM20" i="1"/>
  <c r="AN20" i="1"/>
  <c r="AO20" i="1"/>
  <c r="AR20" i="1"/>
  <c r="AS20" i="1"/>
  <c r="AM21" i="1"/>
  <c r="AN21" i="1"/>
  <c r="AO21" i="1"/>
  <c r="AR21" i="1"/>
  <c r="AS21" i="1"/>
  <c r="AM22" i="1"/>
  <c r="AN22" i="1"/>
  <c r="AO22" i="1"/>
  <c r="AR22" i="1"/>
  <c r="AS22" i="1"/>
  <c r="AM23" i="1"/>
  <c r="AO23" i="1"/>
  <c r="AR23" i="1"/>
  <c r="AS23" i="1"/>
  <c r="AM24" i="1"/>
  <c r="AO24" i="1"/>
  <c r="AR24" i="1"/>
  <c r="AS24" i="1"/>
  <c r="AM25" i="1"/>
  <c r="AO25" i="1"/>
  <c r="AR25" i="1"/>
  <c r="AS25" i="1"/>
  <c r="AM26" i="1"/>
  <c r="AN26" i="1"/>
  <c r="AO26" i="1"/>
  <c r="AR26" i="1"/>
  <c r="AS26" i="1"/>
  <c r="AM27" i="1"/>
  <c r="AN27" i="1"/>
  <c r="AO27" i="1"/>
  <c r="AR27" i="1"/>
  <c r="AS27" i="1"/>
  <c r="AM28" i="1"/>
  <c r="AN28" i="1"/>
  <c r="AO28" i="1"/>
  <c r="AR28" i="1"/>
  <c r="AS28" i="1"/>
  <c r="AM29" i="1"/>
  <c r="AN29" i="1"/>
  <c r="AO29" i="1"/>
  <c r="AR29" i="1"/>
  <c r="AS29" i="1"/>
  <c r="AM30" i="1"/>
  <c r="AN30" i="1"/>
  <c r="AO30" i="1"/>
  <c r="AR30" i="1"/>
  <c r="AS30" i="1"/>
  <c r="AM31" i="1"/>
  <c r="AN31" i="1"/>
  <c r="AO31" i="1"/>
  <c r="AR31" i="1"/>
  <c r="AS31" i="1"/>
  <c r="AM32" i="1"/>
  <c r="AN32" i="1"/>
  <c r="AO32" i="1"/>
  <c r="AR32" i="1"/>
  <c r="AS32" i="1"/>
  <c r="AM33" i="1"/>
  <c r="AN33" i="1"/>
  <c r="AO33" i="1"/>
  <c r="AR33" i="1"/>
  <c r="AS33" i="1"/>
  <c r="AM34" i="1"/>
  <c r="AN34" i="1"/>
  <c r="AO34" i="1"/>
  <c r="AR34" i="1"/>
  <c r="AS34" i="1"/>
  <c r="AM35" i="1"/>
  <c r="AN35" i="1"/>
  <c r="AO35" i="1"/>
  <c r="AR35" i="1"/>
  <c r="AS35" i="1"/>
  <c r="AM36" i="1"/>
  <c r="AO36" i="1"/>
  <c r="AR36" i="1"/>
  <c r="AS36" i="1"/>
  <c r="AM37" i="1"/>
  <c r="AN37" i="1"/>
  <c r="AO37" i="1"/>
  <c r="AR37" i="1"/>
  <c r="AS37" i="1"/>
  <c r="AM38" i="1"/>
  <c r="AN38" i="1"/>
  <c r="AO38" i="1"/>
  <c r="AR38" i="1"/>
  <c r="AS38" i="1"/>
  <c r="AM39" i="1"/>
  <c r="AN39" i="1"/>
  <c r="AO39" i="1"/>
  <c r="AR39" i="1"/>
  <c r="AS39" i="1"/>
  <c r="AM40" i="1"/>
  <c r="AO40" i="1"/>
  <c r="AR40" i="1"/>
  <c r="AS40" i="1"/>
  <c r="AM41" i="1"/>
  <c r="AO41" i="1"/>
  <c r="AR41" i="1"/>
  <c r="AS41" i="1"/>
  <c r="AM42" i="1"/>
  <c r="AO42" i="1"/>
  <c r="AR42" i="1"/>
  <c r="AS42" i="1"/>
  <c r="AM43" i="1"/>
  <c r="AN43" i="1"/>
  <c r="AO43" i="1"/>
  <c r="AR43" i="1"/>
  <c r="AS43" i="1"/>
  <c r="AM44" i="1"/>
  <c r="AN44" i="1"/>
  <c r="AO44" i="1"/>
  <c r="AR44" i="1"/>
  <c r="AS44" i="1"/>
  <c r="AM45" i="1"/>
  <c r="AO45" i="1"/>
  <c r="AR45" i="1"/>
  <c r="AS45" i="1"/>
  <c r="AM46" i="1"/>
  <c r="AO46" i="1"/>
  <c r="AR46" i="1"/>
  <c r="AS46" i="1"/>
  <c r="AM47" i="1"/>
  <c r="AN47" i="1"/>
  <c r="AO47" i="1"/>
  <c r="AR47" i="1"/>
  <c r="AS47" i="1"/>
  <c r="AM48" i="1"/>
  <c r="AN48" i="1"/>
  <c r="AO48" i="1"/>
  <c r="AR48" i="1"/>
  <c r="AS48" i="1"/>
  <c r="AM49" i="1"/>
  <c r="AN49" i="1"/>
  <c r="AO49" i="1"/>
  <c r="AR49" i="1"/>
  <c r="AS49" i="1"/>
  <c r="AM50" i="1"/>
  <c r="AN50" i="1"/>
  <c r="AO50" i="1"/>
  <c r="AR50" i="1"/>
  <c r="AS50" i="1"/>
  <c r="AM51" i="1"/>
  <c r="AO51" i="1"/>
  <c r="AR51" i="1"/>
  <c r="AS51" i="1"/>
  <c r="AM52" i="1"/>
  <c r="AO52" i="1"/>
  <c r="AR52" i="1"/>
  <c r="AS52" i="1"/>
  <c r="AM53" i="1"/>
  <c r="AN53" i="1"/>
  <c r="AO53" i="1"/>
  <c r="AR53" i="1"/>
  <c r="AS53" i="1"/>
  <c r="AM54" i="1"/>
  <c r="AO54" i="1"/>
  <c r="AR54" i="1"/>
  <c r="AS54" i="1"/>
  <c r="AM55" i="1"/>
  <c r="AN55" i="1"/>
  <c r="AO55" i="1"/>
  <c r="AR55" i="1"/>
  <c r="AS55" i="1"/>
  <c r="AM56" i="1"/>
  <c r="AO56" i="1"/>
  <c r="AR56" i="1"/>
  <c r="AS56" i="1"/>
  <c r="AM57" i="1"/>
  <c r="AO57" i="1"/>
  <c r="AR57" i="1"/>
  <c r="AS57" i="1"/>
  <c r="AM58" i="1"/>
  <c r="AO58" i="1"/>
  <c r="AR58" i="1"/>
  <c r="AS58" i="1"/>
  <c r="AM59" i="1"/>
  <c r="AO59" i="1"/>
  <c r="AR59" i="1"/>
  <c r="AS59" i="1"/>
  <c r="AM60" i="1"/>
  <c r="AN60" i="1"/>
  <c r="AO60" i="1"/>
  <c r="AR60" i="1"/>
  <c r="AS60" i="1"/>
  <c r="AM61" i="1"/>
  <c r="AN61" i="1"/>
  <c r="AO61" i="1"/>
  <c r="AR61" i="1"/>
  <c r="AS61" i="1"/>
  <c r="AM62" i="1"/>
  <c r="AN62" i="1"/>
  <c r="AO62" i="1"/>
  <c r="AR62" i="1"/>
  <c r="AS62" i="1"/>
  <c r="AM63" i="1"/>
  <c r="AN63" i="1"/>
  <c r="AO63" i="1"/>
  <c r="AR63" i="1"/>
  <c r="AS63" i="1"/>
  <c r="AM64" i="1"/>
  <c r="AO64" i="1"/>
  <c r="AR64" i="1"/>
  <c r="AS64" i="1"/>
  <c r="AM65" i="1"/>
  <c r="AN65" i="1"/>
  <c r="AO65" i="1"/>
  <c r="AR65" i="1"/>
  <c r="AS65" i="1"/>
  <c r="AM66" i="1"/>
  <c r="AN66" i="1"/>
  <c r="AO66" i="1"/>
  <c r="AR66" i="1"/>
  <c r="AS66" i="1"/>
  <c r="AM67" i="1"/>
  <c r="AN67" i="1"/>
  <c r="AO67" i="1"/>
  <c r="AR67" i="1"/>
  <c r="AS67" i="1"/>
  <c r="AM68" i="1"/>
  <c r="AO68" i="1"/>
  <c r="AR68" i="1"/>
  <c r="AS68" i="1"/>
  <c r="AM69" i="1"/>
  <c r="AN69" i="1"/>
  <c r="AO69" i="1"/>
  <c r="AR69" i="1"/>
  <c r="AS69" i="1"/>
  <c r="AM70" i="1"/>
  <c r="AN70" i="1"/>
  <c r="AO70" i="1"/>
  <c r="AR70" i="1"/>
  <c r="AS70" i="1"/>
  <c r="AM71" i="1"/>
  <c r="AN71" i="1"/>
  <c r="AO71" i="1"/>
  <c r="AR71" i="1"/>
  <c r="AS71" i="1"/>
  <c r="AM72" i="1"/>
  <c r="AN72" i="1"/>
  <c r="AO72" i="1"/>
  <c r="AR72" i="1"/>
  <c r="AS72" i="1"/>
  <c r="AM73" i="1"/>
  <c r="AO73" i="1"/>
  <c r="AR73" i="1"/>
  <c r="AS73" i="1"/>
  <c r="AM74" i="1"/>
  <c r="AN74" i="1"/>
  <c r="AO74" i="1"/>
  <c r="AR74" i="1"/>
  <c r="AS74" i="1"/>
  <c r="AM75" i="1"/>
  <c r="AN75" i="1"/>
  <c r="AO75" i="1"/>
  <c r="AR75" i="1"/>
  <c r="AS75" i="1"/>
  <c r="AM76" i="1"/>
  <c r="AN76" i="1"/>
  <c r="AO76" i="1"/>
  <c r="AR76" i="1"/>
  <c r="AS76" i="1"/>
  <c r="AJ77" i="1"/>
  <c r="AM77" i="1"/>
  <c r="AN77" i="1"/>
  <c r="AO77" i="1"/>
  <c r="AR77" i="1"/>
  <c r="AS77" i="1"/>
  <c r="AJ78" i="1"/>
  <c r="AK78" i="1" s="1"/>
  <c r="AM78" i="1"/>
  <c r="AN78" i="1"/>
  <c r="AO78" i="1"/>
  <c r="AR78" i="1"/>
  <c r="AS78" i="1"/>
  <c r="AM79" i="1"/>
  <c r="AO79" i="1"/>
  <c r="AR79" i="1"/>
  <c r="AS79" i="1"/>
  <c r="AM80" i="1"/>
  <c r="AO80" i="1"/>
  <c r="AR80" i="1"/>
  <c r="AS80" i="1"/>
  <c r="AM81" i="1"/>
  <c r="AO81" i="1"/>
  <c r="AR81" i="1"/>
  <c r="AS81" i="1"/>
  <c r="AM82" i="1"/>
  <c r="AO82" i="1"/>
  <c r="AR82" i="1"/>
  <c r="AS82" i="1"/>
  <c r="AM83" i="1"/>
  <c r="AO83" i="1"/>
  <c r="AR83" i="1"/>
  <c r="AS83" i="1"/>
  <c r="AM84" i="1"/>
  <c r="AN84" i="1"/>
  <c r="AO84" i="1"/>
  <c r="AR84" i="1"/>
  <c r="AS84" i="1"/>
  <c r="AM85" i="1"/>
  <c r="AN85" i="1"/>
  <c r="AO85" i="1"/>
  <c r="AR85" i="1"/>
  <c r="AS85" i="1"/>
  <c r="AM86" i="1"/>
  <c r="AN86" i="1"/>
  <c r="AO86" i="1"/>
  <c r="AR86" i="1"/>
  <c r="AS86" i="1"/>
  <c r="AM87" i="1"/>
  <c r="AN87" i="1"/>
  <c r="AO87" i="1"/>
  <c r="AR87" i="1"/>
  <c r="AS87" i="1"/>
  <c r="AJ88" i="1"/>
  <c r="AM88" i="1"/>
  <c r="AN88" i="1"/>
  <c r="AO88" i="1"/>
  <c r="AR88" i="1"/>
  <c r="AS88" i="1"/>
  <c r="AM89" i="1"/>
  <c r="AO89" i="1"/>
  <c r="AR89" i="1"/>
  <c r="AS89" i="1"/>
  <c r="AM90" i="1"/>
  <c r="AO90" i="1"/>
  <c r="AR90" i="1"/>
  <c r="AS90" i="1"/>
  <c r="AM91" i="1"/>
  <c r="AO91" i="1"/>
  <c r="AR91" i="1"/>
  <c r="AS91" i="1"/>
  <c r="AM92" i="1"/>
  <c r="AO92" i="1"/>
  <c r="AR92" i="1"/>
  <c r="AS92" i="1"/>
  <c r="AM93" i="1"/>
  <c r="AO93" i="1"/>
  <c r="AR93" i="1"/>
  <c r="AS93" i="1"/>
  <c r="AM94" i="1"/>
  <c r="AO94" i="1"/>
  <c r="AR94" i="1"/>
  <c r="AS94" i="1"/>
  <c r="AM95" i="1"/>
  <c r="AO95" i="1"/>
  <c r="AR95" i="1"/>
  <c r="AS95" i="1"/>
  <c r="AM96" i="1"/>
  <c r="AO96" i="1"/>
  <c r="AR96" i="1"/>
  <c r="AS96" i="1"/>
  <c r="AM97" i="1"/>
  <c r="AO97" i="1"/>
  <c r="AR97" i="1"/>
  <c r="AS97" i="1"/>
  <c r="AM98" i="1"/>
  <c r="AO98" i="1"/>
  <c r="AR98" i="1"/>
  <c r="AS98" i="1"/>
  <c r="AM99" i="1"/>
  <c r="AO99" i="1"/>
  <c r="AR99" i="1"/>
  <c r="AS99" i="1"/>
  <c r="AM100" i="1"/>
  <c r="AO100" i="1"/>
  <c r="AR100" i="1"/>
  <c r="AS100" i="1"/>
  <c r="AM101" i="1"/>
  <c r="AO101" i="1"/>
  <c r="AR101" i="1"/>
  <c r="AS101" i="1"/>
  <c r="AM102" i="1"/>
  <c r="AO102" i="1"/>
  <c r="AR102" i="1"/>
  <c r="AS102" i="1"/>
  <c r="AM103" i="1"/>
  <c r="AO103" i="1"/>
  <c r="AR103" i="1"/>
  <c r="AS103" i="1"/>
  <c r="AM104" i="1"/>
  <c r="AO104" i="1"/>
  <c r="AR104" i="1"/>
  <c r="AS104" i="1"/>
  <c r="AM105" i="1"/>
  <c r="AO105" i="1"/>
  <c r="AR105" i="1"/>
  <c r="AS105" i="1"/>
  <c r="AM107" i="1"/>
  <c r="AO107" i="1"/>
  <c r="AR107" i="1"/>
  <c r="AS107" i="1"/>
  <c r="AM108" i="1"/>
  <c r="AO108" i="1"/>
  <c r="AR108" i="1"/>
  <c r="AS108" i="1"/>
  <c r="AM109" i="1"/>
  <c r="AN109" i="1"/>
  <c r="AO109" i="1"/>
  <c r="AR109" i="1"/>
  <c r="AS109" i="1"/>
  <c r="AM110" i="1"/>
  <c r="AN110" i="1"/>
  <c r="AO110" i="1"/>
  <c r="AR110" i="1"/>
  <c r="AS110" i="1"/>
  <c r="AM111" i="1"/>
  <c r="AN111" i="1"/>
  <c r="AO111" i="1"/>
  <c r="AR111" i="1"/>
  <c r="AS111" i="1"/>
  <c r="AM112" i="1"/>
  <c r="AN112" i="1"/>
  <c r="AO112" i="1"/>
  <c r="AR112" i="1"/>
  <c r="AS112" i="1"/>
  <c r="AM113" i="1"/>
  <c r="AN113" i="1"/>
  <c r="AO113" i="1"/>
  <c r="AR113" i="1"/>
  <c r="AS113" i="1"/>
  <c r="AM114" i="1"/>
  <c r="AN114" i="1"/>
  <c r="AO114" i="1"/>
  <c r="AR114" i="1"/>
  <c r="AS114" i="1"/>
  <c r="AM115" i="1"/>
  <c r="AN115" i="1"/>
  <c r="AO115" i="1"/>
  <c r="AR115" i="1"/>
  <c r="AS115" i="1"/>
  <c r="AM116" i="1"/>
  <c r="AN116" i="1"/>
  <c r="AO116" i="1"/>
  <c r="AR116" i="1"/>
  <c r="AS116" i="1"/>
  <c r="AM117" i="1"/>
  <c r="AN117" i="1"/>
  <c r="AO117" i="1"/>
  <c r="AR117" i="1"/>
  <c r="AS117" i="1"/>
  <c r="AM118" i="1"/>
  <c r="AN118" i="1"/>
  <c r="AO118" i="1"/>
  <c r="AR118" i="1"/>
  <c r="AS118" i="1"/>
  <c r="AM119" i="1"/>
  <c r="AO119" i="1"/>
  <c r="AR119" i="1"/>
  <c r="AS119" i="1"/>
  <c r="AM120" i="1"/>
  <c r="AO120" i="1"/>
  <c r="AR120" i="1"/>
  <c r="AS120" i="1"/>
  <c r="AM121" i="1"/>
  <c r="AN121" i="1"/>
  <c r="AO121" i="1"/>
  <c r="AR121" i="1"/>
  <c r="AS121" i="1"/>
  <c r="AM122" i="1"/>
  <c r="AN122" i="1"/>
  <c r="AO122" i="1"/>
  <c r="AR122" i="1"/>
  <c r="AS122" i="1"/>
  <c r="AM123" i="1"/>
  <c r="AN123" i="1"/>
  <c r="AO123" i="1"/>
  <c r="AR123" i="1"/>
  <c r="AS123" i="1"/>
  <c r="AM124" i="1"/>
  <c r="AN124" i="1"/>
  <c r="AO124" i="1"/>
  <c r="AR124" i="1"/>
  <c r="AS124" i="1"/>
  <c r="AM125" i="1"/>
  <c r="AN125" i="1"/>
  <c r="AO125" i="1"/>
  <c r="AR125" i="1"/>
  <c r="AS125" i="1"/>
  <c r="AM126" i="1"/>
  <c r="AN126" i="1"/>
  <c r="AO126" i="1"/>
  <c r="AR126" i="1"/>
  <c r="AS126" i="1"/>
  <c r="AM127" i="1"/>
  <c r="AN127" i="1"/>
  <c r="AO127" i="1"/>
  <c r="AR127" i="1"/>
  <c r="AS127" i="1"/>
  <c r="AM128" i="1"/>
  <c r="AO128" i="1"/>
  <c r="AR128" i="1"/>
  <c r="AS128" i="1"/>
  <c r="AM129" i="1"/>
  <c r="AO129" i="1"/>
  <c r="AR129" i="1"/>
  <c r="AS129" i="1"/>
  <c r="AM130" i="1"/>
  <c r="AN130" i="1"/>
  <c r="AO130" i="1"/>
  <c r="AR130" i="1"/>
  <c r="AS130" i="1"/>
  <c r="AM131" i="1"/>
  <c r="AN131" i="1"/>
  <c r="AO131" i="1"/>
  <c r="AR131" i="1"/>
  <c r="AS131" i="1"/>
  <c r="AM132" i="1"/>
  <c r="AN132" i="1"/>
  <c r="AO132" i="1"/>
  <c r="AR132" i="1"/>
  <c r="AS132" i="1"/>
  <c r="AM133" i="1"/>
  <c r="AN133" i="1"/>
  <c r="AO133" i="1"/>
  <c r="AR133" i="1"/>
  <c r="AS133" i="1"/>
  <c r="AM134" i="1"/>
  <c r="AN134" i="1"/>
  <c r="AO134" i="1"/>
  <c r="AR134" i="1"/>
  <c r="AS134" i="1"/>
  <c r="AM135" i="1"/>
  <c r="AN135" i="1"/>
  <c r="AO135" i="1"/>
  <c r="AR135" i="1"/>
  <c r="AS135" i="1"/>
  <c r="AM136" i="1"/>
  <c r="AN136" i="1"/>
  <c r="AO136" i="1"/>
  <c r="AR136" i="1"/>
  <c r="AS136" i="1"/>
  <c r="AM137" i="1"/>
  <c r="AN137" i="1"/>
  <c r="AO137" i="1"/>
  <c r="AR137" i="1"/>
  <c r="AS137" i="1"/>
  <c r="AM138" i="1"/>
  <c r="AO138" i="1"/>
  <c r="AR138" i="1"/>
  <c r="AS138" i="1"/>
  <c r="AM139" i="1"/>
  <c r="AO139" i="1"/>
  <c r="AR139" i="1"/>
  <c r="AS139" i="1"/>
  <c r="AM140" i="1"/>
  <c r="AO140" i="1"/>
  <c r="AR140" i="1"/>
  <c r="AS140" i="1"/>
  <c r="AM141" i="1"/>
  <c r="AO141" i="1"/>
  <c r="AR141" i="1"/>
  <c r="AS141" i="1"/>
  <c r="AM142" i="1"/>
  <c r="AO142" i="1"/>
  <c r="AR142" i="1"/>
  <c r="AS142" i="1"/>
  <c r="AM143" i="1"/>
  <c r="AO143" i="1"/>
  <c r="AR143" i="1"/>
  <c r="AS143" i="1"/>
  <c r="AM144" i="1"/>
  <c r="AO144" i="1"/>
  <c r="AR144" i="1"/>
  <c r="AS144" i="1"/>
  <c r="AM145" i="1"/>
  <c r="AO145" i="1"/>
  <c r="AR145" i="1"/>
  <c r="AS145" i="1"/>
  <c r="AM146" i="1"/>
  <c r="AN146" i="1"/>
  <c r="AO146" i="1"/>
  <c r="AR146" i="1"/>
  <c r="AS146" i="1"/>
  <c r="AM147" i="1"/>
  <c r="AN147" i="1"/>
  <c r="AO147" i="1"/>
  <c r="AR147" i="1"/>
  <c r="AS147" i="1"/>
  <c r="AM148" i="1"/>
  <c r="AN148" i="1"/>
  <c r="AO148" i="1"/>
  <c r="AR148" i="1"/>
  <c r="AS148" i="1"/>
  <c r="AM149" i="1"/>
  <c r="AN149" i="1"/>
  <c r="AO149" i="1"/>
  <c r="AR149" i="1"/>
  <c r="AS149" i="1"/>
  <c r="AM150" i="1"/>
  <c r="AN150" i="1"/>
  <c r="AO150" i="1"/>
  <c r="AR150" i="1"/>
  <c r="AS150" i="1"/>
  <c r="AM151" i="1"/>
  <c r="AN151" i="1"/>
  <c r="AO151" i="1"/>
  <c r="AR151" i="1"/>
  <c r="AS151" i="1"/>
  <c r="AM152" i="1"/>
  <c r="AO152" i="1"/>
  <c r="AR152" i="1"/>
  <c r="AS152" i="1"/>
  <c r="AM153" i="1"/>
  <c r="AN153" i="1"/>
  <c r="AO153" i="1"/>
  <c r="AR153" i="1"/>
  <c r="AS153" i="1"/>
  <c r="AM154" i="1"/>
  <c r="AO154" i="1"/>
  <c r="AR154" i="1"/>
  <c r="AS154" i="1"/>
  <c r="AM155" i="1"/>
  <c r="AO155" i="1"/>
  <c r="AR155" i="1"/>
  <c r="AS155" i="1"/>
  <c r="AM156" i="1"/>
  <c r="AN156" i="1"/>
  <c r="AO156" i="1"/>
  <c r="AR156" i="1"/>
  <c r="AS156" i="1"/>
  <c r="AM157" i="1"/>
  <c r="AN157" i="1"/>
  <c r="AO157" i="1"/>
  <c r="AR157" i="1"/>
  <c r="AS157" i="1"/>
  <c r="AM158" i="1"/>
  <c r="AN158" i="1"/>
  <c r="AO158" i="1"/>
  <c r="AR158" i="1"/>
  <c r="AS158" i="1"/>
  <c r="AM159" i="1"/>
  <c r="AN159" i="1"/>
  <c r="AO159" i="1"/>
  <c r="AR159" i="1"/>
  <c r="AS159" i="1"/>
  <c r="AM160" i="1"/>
  <c r="AN160" i="1"/>
  <c r="AO160" i="1"/>
  <c r="AR160" i="1"/>
  <c r="AS160" i="1"/>
  <c r="AM161" i="1"/>
  <c r="AN161" i="1"/>
  <c r="AO161" i="1"/>
  <c r="AR161" i="1"/>
  <c r="AS161" i="1"/>
  <c r="AM162" i="1"/>
  <c r="AN162" i="1"/>
  <c r="AO162" i="1"/>
  <c r="AR162" i="1"/>
  <c r="AS162" i="1"/>
  <c r="AM163" i="1"/>
  <c r="AN163" i="1"/>
  <c r="AO163" i="1"/>
  <c r="AR163" i="1"/>
  <c r="AS163" i="1"/>
  <c r="AM164" i="1"/>
  <c r="AN164" i="1"/>
  <c r="AO164" i="1"/>
  <c r="AR164" i="1"/>
  <c r="AS164" i="1"/>
  <c r="AM165" i="1"/>
  <c r="AN165" i="1"/>
  <c r="AO165" i="1"/>
  <c r="AR165" i="1"/>
  <c r="AS165" i="1"/>
  <c r="AM166" i="1"/>
  <c r="AN166" i="1"/>
  <c r="AO166" i="1"/>
  <c r="AR166" i="1"/>
  <c r="AS166" i="1"/>
  <c r="AM167" i="1"/>
  <c r="AN167" i="1"/>
  <c r="AO167" i="1"/>
  <c r="AR167" i="1"/>
  <c r="AS167" i="1"/>
  <c r="AM168" i="1"/>
  <c r="AN168" i="1"/>
  <c r="AO168" i="1"/>
  <c r="AR168" i="1"/>
  <c r="AS168" i="1"/>
  <c r="AM169" i="1"/>
  <c r="AN169" i="1"/>
  <c r="AO169" i="1"/>
  <c r="AR169" i="1"/>
  <c r="AS169" i="1"/>
  <c r="AM170" i="1"/>
  <c r="AN170" i="1"/>
  <c r="AO170" i="1"/>
  <c r="AR170" i="1"/>
  <c r="AS170" i="1"/>
  <c r="AM171" i="1"/>
  <c r="AN171" i="1"/>
  <c r="AO171" i="1"/>
  <c r="AR171" i="1"/>
  <c r="AS171" i="1"/>
  <c r="AM172" i="1"/>
  <c r="AN172" i="1"/>
  <c r="AO172" i="1"/>
  <c r="AR172" i="1"/>
  <c r="AS172" i="1"/>
  <c r="AM173" i="1"/>
  <c r="AN173" i="1"/>
  <c r="AO173" i="1"/>
  <c r="AR173" i="1"/>
  <c r="AS173" i="1"/>
  <c r="AM174" i="1"/>
  <c r="AO174" i="1"/>
  <c r="AR174" i="1"/>
  <c r="AS174" i="1"/>
  <c r="AM175" i="1"/>
  <c r="AO175" i="1"/>
  <c r="AR175" i="1"/>
  <c r="AS175" i="1"/>
  <c r="AM176" i="1"/>
  <c r="AO176" i="1"/>
  <c r="AR176" i="1"/>
  <c r="AS176" i="1"/>
  <c r="AM177" i="1"/>
  <c r="AN177" i="1"/>
  <c r="AO177" i="1"/>
  <c r="AR177" i="1"/>
  <c r="AS177" i="1"/>
  <c r="AM178" i="1"/>
  <c r="AO178" i="1"/>
  <c r="AR178" i="1"/>
  <c r="AS178" i="1"/>
  <c r="AM179" i="1"/>
  <c r="AO179" i="1"/>
  <c r="AR179" i="1"/>
  <c r="AS179" i="1"/>
  <c r="AM180" i="1"/>
  <c r="AN180" i="1"/>
  <c r="AO180" i="1"/>
  <c r="AR180" i="1"/>
  <c r="AS180" i="1"/>
  <c r="AM181" i="1"/>
  <c r="AO181" i="1"/>
  <c r="AR181" i="1"/>
  <c r="AS181" i="1"/>
  <c r="AM182" i="1"/>
  <c r="AN182" i="1"/>
  <c r="AO182" i="1"/>
  <c r="AR182" i="1"/>
  <c r="AS182" i="1"/>
  <c r="AM183" i="1"/>
  <c r="AO183" i="1"/>
  <c r="AR183" i="1"/>
  <c r="AS183" i="1"/>
  <c r="AM184" i="1"/>
  <c r="AN184" i="1"/>
  <c r="AO184" i="1"/>
  <c r="AR184" i="1"/>
  <c r="AS184" i="1"/>
  <c r="AM185" i="1"/>
  <c r="AN185" i="1"/>
  <c r="AO185" i="1"/>
  <c r="AR185" i="1"/>
  <c r="AS185" i="1"/>
  <c r="AM186" i="1"/>
  <c r="AO186" i="1"/>
  <c r="AR186" i="1"/>
  <c r="AS186" i="1"/>
  <c r="AM187" i="1"/>
  <c r="AN187" i="1"/>
  <c r="AO187" i="1"/>
  <c r="AR187" i="1"/>
  <c r="AS187" i="1"/>
  <c r="AM188" i="1"/>
  <c r="AN188" i="1"/>
  <c r="AO188" i="1"/>
  <c r="AR188" i="1"/>
  <c r="AS188" i="1"/>
  <c r="AM189" i="1"/>
  <c r="AN189" i="1"/>
  <c r="AO189" i="1"/>
  <c r="AR189" i="1"/>
  <c r="AS189" i="1"/>
  <c r="AM190" i="1"/>
  <c r="AO190" i="1"/>
  <c r="AR190" i="1"/>
  <c r="AS190" i="1"/>
  <c r="AM191" i="1"/>
  <c r="AO191" i="1"/>
  <c r="AR191" i="1"/>
  <c r="AS191" i="1"/>
  <c r="AM192" i="1"/>
  <c r="AO192" i="1"/>
  <c r="AR192" i="1"/>
  <c r="AS192" i="1"/>
  <c r="AM193" i="1"/>
  <c r="AO193" i="1"/>
  <c r="AR193" i="1"/>
  <c r="AS193" i="1"/>
  <c r="AM194" i="1"/>
  <c r="AN194" i="1"/>
  <c r="AO194" i="1"/>
  <c r="AR194" i="1"/>
  <c r="AS194" i="1"/>
  <c r="AM195" i="1"/>
  <c r="AO195" i="1"/>
  <c r="AR195" i="1"/>
  <c r="AS195" i="1"/>
  <c r="AJ196" i="1"/>
  <c r="AM196" i="1"/>
  <c r="AN196" i="1"/>
  <c r="AO196" i="1"/>
  <c r="AR196" i="1"/>
  <c r="AS196" i="1"/>
  <c r="AM197" i="1"/>
  <c r="AO197" i="1"/>
  <c r="AR197" i="1"/>
  <c r="AS197" i="1"/>
  <c r="AM198" i="1"/>
  <c r="AO198" i="1"/>
  <c r="AR198" i="1"/>
  <c r="AS198" i="1"/>
  <c r="AM199" i="1"/>
  <c r="AO199" i="1"/>
  <c r="AR199" i="1"/>
  <c r="AS199" i="1"/>
  <c r="AM200" i="1"/>
  <c r="AO200" i="1"/>
  <c r="AR200" i="1"/>
  <c r="AS200" i="1"/>
  <c r="AM201" i="1"/>
  <c r="AO201" i="1"/>
  <c r="AR201" i="1"/>
  <c r="AS201" i="1"/>
  <c r="AM202" i="1"/>
  <c r="AO202" i="1"/>
  <c r="AR202" i="1"/>
  <c r="AS202" i="1"/>
  <c r="AM203" i="1"/>
  <c r="AN203" i="1"/>
  <c r="AO203" i="1"/>
  <c r="AR203" i="1"/>
  <c r="AS203" i="1"/>
  <c r="AM204" i="1"/>
  <c r="AN204" i="1"/>
  <c r="AO204" i="1"/>
  <c r="AR204" i="1"/>
  <c r="AS204" i="1"/>
  <c r="AM205" i="1"/>
  <c r="AN205" i="1"/>
  <c r="AO205" i="1"/>
  <c r="AR205" i="1"/>
  <c r="AS205" i="1"/>
  <c r="AM206" i="1"/>
  <c r="AO206" i="1"/>
  <c r="AR206" i="1"/>
  <c r="AS206" i="1"/>
  <c r="AM207" i="1"/>
  <c r="AO207" i="1"/>
  <c r="AR207" i="1"/>
  <c r="AS207" i="1"/>
  <c r="AM208" i="1"/>
  <c r="AO208" i="1"/>
  <c r="AR208" i="1"/>
  <c r="AS208" i="1"/>
  <c r="AM209" i="1"/>
  <c r="AO209" i="1"/>
  <c r="AR209" i="1"/>
  <c r="AS209" i="1"/>
  <c r="AM210" i="1"/>
  <c r="AO210" i="1"/>
  <c r="AR210" i="1"/>
  <c r="AS210" i="1"/>
  <c r="AM211" i="1"/>
  <c r="AO211" i="1"/>
  <c r="AR211" i="1"/>
  <c r="AS211" i="1"/>
  <c r="AM212" i="1"/>
  <c r="AO212" i="1"/>
  <c r="AR212" i="1"/>
  <c r="AS212" i="1"/>
  <c r="AM213" i="1"/>
  <c r="AO213" i="1"/>
  <c r="AR213" i="1"/>
  <c r="AS213" i="1"/>
  <c r="AM214" i="1"/>
  <c r="AO214" i="1"/>
  <c r="AR214" i="1"/>
  <c r="AS214" i="1"/>
  <c r="AM215" i="1"/>
  <c r="AN215" i="1"/>
  <c r="AO215" i="1"/>
  <c r="AR215" i="1"/>
  <c r="AS215" i="1"/>
  <c r="AM216" i="1"/>
  <c r="AN216" i="1"/>
  <c r="AO216" i="1"/>
  <c r="AR216" i="1"/>
  <c r="AS216" i="1"/>
  <c r="AM217" i="1"/>
  <c r="AN217" i="1"/>
  <c r="AO217" i="1"/>
  <c r="AR217" i="1"/>
  <c r="AS217" i="1"/>
  <c r="AM218" i="1"/>
  <c r="AN218" i="1"/>
  <c r="AO218" i="1"/>
  <c r="AR218" i="1"/>
  <c r="AS218" i="1"/>
  <c r="AM219" i="1"/>
  <c r="AN219" i="1"/>
  <c r="AO219" i="1"/>
  <c r="AR219" i="1"/>
  <c r="AS219" i="1"/>
  <c r="AM220" i="1"/>
  <c r="AN220" i="1"/>
  <c r="AO220" i="1"/>
  <c r="AR220" i="1"/>
  <c r="AS220" i="1"/>
  <c r="AM221" i="1"/>
  <c r="AN221" i="1"/>
  <c r="AO221" i="1"/>
  <c r="AR221" i="1"/>
  <c r="AS221" i="1"/>
  <c r="AM222" i="1"/>
  <c r="AN222" i="1"/>
  <c r="AO222" i="1"/>
  <c r="AR222" i="1"/>
  <c r="AS222" i="1"/>
  <c r="AM223" i="1"/>
  <c r="AN223" i="1"/>
  <c r="AO223" i="1"/>
  <c r="AR223" i="1"/>
  <c r="AS223" i="1"/>
  <c r="AM224" i="1"/>
  <c r="AN224" i="1"/>
  <c r="AO224" i="1"/>
  <c r="AR224" i="1"/>
  <c r="AS224" i="1"/>
  <c r="AM225" i="1"/>
  <c r="AN225" i="1"/>
  <c r="AO225" i="1"/>
  <c r="AR225" i="1"/>
  <c r="AS225" i="1"/>
  <c r="AM226" i="1"/>
  <c r="AN226" i="1"/>
  <c r="AO226" i="1"/>
  <c r="AR226" i="1"/>
  <c r="AS226" i="1"/>
  <c r="AM227" i="1"/>
  <c r="AN227" i="1"/>
  <c r="AO227" i="1"/>
  <c r="AR227" i="1"/>
  <c r="AS227" i="1"/>
  <c r="AM228" i="1"/>
  <c r="AO228" i="1"/>
  <c r="AR228" i="1"/>
  <c r="AS228" i="1"/>
  <c r="AM229" i="1"/>
  <c r="AO229" i="1"/>
  <c r="AR229" i="1"/>
  <c r="AS229" i="1"/>
  <c r="AM230" i="1"/>
  <c r="AO230" i="1"/>
  <c r="AR230" i="1"/>
  <c r="AS230" i="1"/>
  <c r="AM231" i="1"/>
  <c r="AO231" i="1"/>
  <c r="AR231" i="1"/>
  <c r="AS231" i="1"/>
  <c r="AM232" i="1"/>
  <c r="AO232" i="1"/>
  <c r="AR232" i="1"/>
  <c r="AS232" i="1"/>
  <c r="AM233" i="1"/>
  <c r="AN233" i="1"/>
  <c r="AO233" i="1"/>
  <c r="AR233" i="1"/>
  <c r="AS233" i="1"/>
  <c r="AM234" i="1"/>
  <c r="AN234" i="1"/>
  <c r="AO234" i="1"/>
  <c r="AR234" i="1"/>
  <c r="AS234" i="1"/>
  <c r="AM235" i="1"/>
  <c r="AN235" i="1"/>
  <c r="AO235" i="1"/>
  <c r="AR235" i="1"/>
  <c r="AS235" i="1"/>
  <c r="AM236" i="1"/>
  <c r="AN236" i="1"/>
  <c r="AO236" i="1"/>
  <c r="AR236" i="1"/>
  <c r="AS236" i="1"/>
  <c r="AM237" i="1"/>
  <c r="AN237" i="1"/>
  <c r="AO237" i="1"/>
  <c r="AR237" i="1"/>
  <c r="AS237" i="1"/>
  <c r="AM238" i="1"/>
  <c r="AN238" i="1"/>
  <c r="AO238" i="1"/>
  <c r="AR238" i="1"/>
  <c r="AS238" i="1"/>
  <c r="AM239" i="1"/>
  <c r="AN239" i="1"/>
  <c r="AO239" i="1"/>
  <c r="AR239" i="1"/>
  <c r="AS239" i="1"/>
  <c r="AM240" i="1"/>
  <c r="AN240" i="1"/>
  <c r="AO240" i="1"/>
  <c r="AR240" i="1"/>
  <c r="AS240" i="1"/>
  <c r="AM241" i="1"/>
  <c r="AN241" i="1"/>
  <c r="AO241" i="1"/>
  <c r="AR241" i="1"/>
  <c r="AS241" i="1"/>
  <c r="AM242" i="1"/>
  <c r="AN242" i="1"/>
  <c r="AO242" i="1"/>
  <c r="AR242" i="1"/>
  <c r="AS242" i="1"/>
  <c r="AM243" i="1"/>
  <c r="AO243" i="1"/>
  <c r="AR243" i="1"/>
  <c r="AS243" i="1"/>
  <c r="AM244" i="1"/>
  <c r="AN244" i="1"/>
  <c r="AO244" i="1"/>
  <c r="AR244" i="1"/>
  <c r="AS244" i="1"/>
  <c r="AM245" i="1"/>
  <c r="AN245" i="1"/>
  <c r="AO245" i="1"/>
  <c r="AR245" i="1"/>
  <c r="AS245" i="1"/>
  <c r="AM246" i="1"/>
  <c r="AN246" i="1"/>
  <c r="AO246" i="1"/>
  <c r="AR246" i="1"/>
  <c r="AS246" i="1"/>
  <c r="AM247" i="1"/>
  <c r="AO247" i="1"/>
  <c r="AR247" i="1"/>
  <c r="AS247" i="1"/>
  <c r="AM248" i="1"/>
  <c r="AN248" i="1"/>
  <c r="AO248" i="1"/>
  <c r="AR248" i="1"/>
  <c r="AS248" i="1"/>
  <c r="AM249" i="1"/>
  <c r="AN249" i="1"/>
  <c r="AO249" i="1"/>
  <c r="AR249" i="1"/>
  <c r="AS249" i="1"/>
  <c r="AM250" i="1"/>
  <c r="AN250" i="1"/>
  <c r="AO250" i="1"/>
  <c r="AR250" i="1"/>
  <c r="AS250" i="1"/>
  <c r="AM251" i="1"/>
  <c r="AN251" i="1"/>
  <c r="AO251" i="1"/>
  <c r="AR251" i="1"/>
  <c r="AS251" i="1"/>
  <c r="AM252" i="1"/>
  <c r="AN252" i="1"/>
  <c r="AO252" i="1"/>
  <c r="AR252" i="1"/>
  <c r="AS252" i="1"/>
  <c r="AM253" i="1"/>
  <c r="AN253" i="1"/>
  <c r="AO253" i="1"/>
  <c r="AR253" i="1"/>
  <c r="AS253" i="1"/>
  <c r="AM254" i="1"/>
  <c r="AN254" i="1"/>
  <c r="AO254" i="1"/>
  <c r="AR254" i="1"/>
  <c r="AS254" i="1"/>
  <c r="AM255" i="1"/>
  <c r="AN255" i="1"/>
  <c r="AO255" i="1"/>
  <c r="AR255" i="1"/>
  <c r="AS255" i="1"/>
  <c r="AM256" i="1"/>
  <c r="AO256" i="1"/>
  <c r="AR256" i="1"/>
  <c r="AS256" i="1"/>
  <c r="AM257" i="1"/>
  <c r="AO257" i="1"/>
  <c r="AR257" i="1"/>
  <c r="AS257" i="1"/>
  <c r="AM258" i="1"/>
  <c r="AN258" i="1"/>
  <c r="AO258" i="1"/>
  <c r="AR258" i="1"/>
  <c r="AS258" i="1"/>
  <c r="AM259" i="1"/>
  <c r="AN259" i="1"/>
  <c r="AO259" i="1"/>
  <c r="AR259" i="1"/>
  <c r="AS259" i="1"/>
  <c r="AM260" i="1"/>
  <c r="AN260" i="1"/>
  <c r="AO260" i="1"/>
  <c r="AR260" i="1"/>
  <c r="AS260" i="1"/>
  <c r="AM261" i="1"/>
  <c r="AN261" i="1"/>
  <c r="AO261" i="1"/>
  <c r="AR261" i="1"/>
  <c r="AS261" i="1"/>
  <c r="AM262" i="1"/>
  <c r="AN262" i="1"/>
  <c r="AO262" i="1"/>
  <c r="AR262" i="1"/>
  <c r="AS262" i="1"/>
  <c r="AM263" i="1"/>
  <c r="AN263" i="1"/>
  <c r="AO263" i="1"/>
  <c r="AR263" i="1"/>
  <c r="AS263" i="1"/>
  <c r="AM264" i="1"/>
  <c r="AN264" i="1"/>
  <c r="AO264" i="1"/>
  <c r="AR264" i="1"/>
  <c r="AS264" i="1"/>
  <c r="AM265" i="1"/>
  <c r="AN265" i="1"/>
  <c r="AO265" i="1"/>
  <c r="AR265" i="1"/>
  <c r="AS265" i="1"/>
  <c r="AM266" i="1"/>
  <c r="AN266" i="1"/>
  <c r="AO266" i="1"/>
  <c r="AR266" i="1"/>
  <c r="AS266" i="1"/>
  <c r="AJ267" i="1"/>
  <c r="AM267" i="1"/>
  <c r="AN267" i="1"/>
  <c r="AO267" i="1"/>
  <c r="AR267" i="1"/>
  <c r="AS267" i="1"/>
  <c r="AM268" i="1"/>
  <c r="AN268" i="1"/>
  <c r="AO268" i="1"/>
  <c r="AR268" i="1"/>
  <c r="AS268" i="1"/>
  <c r="AM269" i="1"/>
  <c r="AO269" i="1"/>
  <c r="AR269" i="1"/>
  <c r="AS269" i="1"/>
  <c r="S22" i="111" s="1"/>
  <c r="AM270" i="1"/>
  <c r="AO270" i="1"/>
  <c r="AR270" i="1"/>
  <c r="AS270" i="1"/>
  <c r="AM271" i="1"/>
  <c r="AN271" i="1"/>
  <c r="AO271" i="1"/>
  <c r="AR271" i="1"/>
  <c r="AS271" i="1"/>
  <c r="AM272" i="1"/>
  <c r="AO272" i="1"/>
  <c r="AR272" i="1"/>
  <c r="AS272" i="1"/>
  <c r="AM273" i="1"/>
  <c r="AN273" i="1"/>
  <c r="AO273" i="1"/>
  <c r="AR273" i="1"/>
  <c r="AS273" i="1"/>
  <c r="AM274" i="1"/>
  <c r="AN274" i="1"/>
  <c r="AO274" i="1"/>
  <c r="AR274" i="1"/>
  <c r="AS274" i="1"/>
  <c r="AM275" i="1"/>
  <c r="AO275" i="1"/>
  <c r="AR275" i="1"/>
  <c r="AS275" i="1"/>
  <c r="AM276" i="1"/>
  <c r="AO276" i="1"/>
  <c r="AR276" i="1"/>
  <c r="AS276" i="1"/>
  <c r="AM277" i="1"/>
  <c r="AN277" i="1"/>
  <c r="AO277" i="1"/>
  <c r="AR277" i="1"/>
  <c r="AS277" i="1"/>
  <c r="AM278" i="1"/>
  <c r="AN278" i="1"/>
  <c r="AO278" i="1"/>
  <c r="AR278" i="1"/>
  <c r="AS278" i="1"/>
  <c r="AM279" i="1"/>
  <c r="AN279" i="1"/>
  <c r="AO279" i="1"/>
  <c r="AR279" i="1"/>
  <c r="AS279" i="1"/>
  <c r="AM280" i="1"/>
  <c r="AO280" i="1"/>
  <c r="AR280" i="1"/>
  <c r="AS280" i="1"/>
  <c r="AM281" i="1"/>
  <c r="AN281" i="1"/>
  <c r="AO281" i="1"/>
  <c r="AR281" i="1"/>
  <c r="AS281" i="1"/>
  <c r="AM282" i="1"/>
  <c r="AN282" i="1"/>
  <c r="AO282" i="1"/>
  <c r="AR282" i="1"/>
  <c r="AS282" i="1"/>
  <c r="AM283" i="1"/>
  <c r="AN283" i="1"/>
  <c r="AO283" i="1"/>
  <c r="AR283" i="1"/>
  <c r="AS283" i="1"/>
  <c r="AM284" i="1"/>
  <c r="AN284" i="1"/>
  <c r="AO284" i="1"/>
  <c r="AR284" i="1"/>
  <c r="AS284" i="1"/>
  <c r="AM285" i="1"/>
  <c r="AO285" i="1"/>
  <c r="AR285" i="1"/>
  <c r="AS285" i="1"/>
  <c r="AM286" i="1"/>
  <c r="AO286" i="1"/>
  <c r="AR286" i="1"/>
  <c r="AS286" i="1"/>
  <c r="AM287" i="1"/>
  <c r="AN287" i="1"/>
  <c r="AO287" i="1"/>
  <c r="AR287" i="1"/>
  <c r="AS287" i="1"/>
  <c r="AM288" i="1"/>
  <c r="AN288" i="1"/>
  <c r="AO288" i="1"/>
  <c r="AR288" i="1"/>
  <c r="AS288" i="1"/>
  <c r="AM289" i="1"/>
  <c r="AN289" i="1"/>
  <c r="AO289" i="1"/>
  <c r="AR289" i="1"/>
  <c r="AS289" i="1"/>
  <c r="AM290" i="1"/>
  <c r="AO290" i="1"/>
  <c r="AR290" i="1"/>
  <c r="AS290" i="1"/>
  <c r="AM291" i="1"/>
  <c r="AO291" i="1"/>
  <c r="AR291" i="1"/>
  <c r="AS291" i="1"/>
  <c r="AM292" i="1"/>
  <c r="AO292" i="1"/>
  <c r="AR292" i="1"/>
  <c r="AS292" i="1"/>
  <c r="AM293" i="1"/>
  <c r="AN293" i="1"/>
  <c r="AO293" i="1"/>
  <c r="AR293" i="1"/>
  <c r="AS293" i="1"/>
  <c r="AM294" i="1"/>
  <c r="AO294" i="1"/>
  <c r="AR294" i="1"/>
  <c r="AS294" i="1"/>
  <c r="AM295" i="1"/>
  <c r="AO295" i="1"/>
  <c r="AR295" i="1"/>
  <c r="AS295" i="1"/>
  <c r="AM296" i="1"/>
  <c r="AN296" i="1"/>
  <c r="AO296" i="1"/>
  <c r="AR296" i="1"/>
  <c r="AS296" i="1"/>
  <c r="AM297" i="1"/>
  <c r="AN297" i="1"/>
  <c r="AO297" i="1"/>
  <c r="AR297" i="1"/>
  <c r="AS297" i="1"/>
  <c r="AM298" i="1"/>
  <c r="AN298" i="1"/>
  <c r="AO298" i="1"/>
  <c r="AR298" i="1"/>
  <c r="AS298" i="1"/>
  <c r="AM299" i="1"/>
  <c r="AN299" i="1"/>
  <c r="AO299" i="1"/>
  <c r="AR299" i="1"/>
  <c r="AS299" i="1"/>
  <c r="AM300" i="1"/>
  <c r="AN300" i="1"/>
  <c r="AO300" i="1"/>
  <c r="AR300" i="1"/>
  <c r="AS300" i="1"/>
  <c r="AM301" i="1"/>
  <c r="AN301" i="1"/>
  <c r="AO301" i="1"/>
  <c r="AR301" i="1"/>
  <c r="AS301" i="1"/>
  <c r="AM302" i="1"/>
  <c r="AN302" i="1"/>
  <c r="AO302" i="1"/>
  <c r="AR302" i="1"/>
  <c r="AS302" i="1"/>
  <c r="AM303" i="1"/>
  <c r="AO303" i="1"/>
  <c r="AR303" i="1"/>
  <c r="AS303" i="1"/>
  <c r="AM304" i="1"/>
  <c r="AO304" i="1"/>
  <c r="AR304" i="1"/>
  <c r="AS304" i="1"/>
  <c r="AM305" i="1"/>
  <c r="AO305" i="1"/>
  <c r="AR305" i="1"/>
  <c r="AS305" i="1"/>
  <c r="AM306" i="1"/>
  <c r="AO306" i="1"/>
  <c r="AR306" i="1"/>
  <c r="AS306" i="1"/>
  <c r="AM307" i="1"/>
  <c r="AO307" i="1"/>
  <c r="AR307" i="1"/>
  <c r="AS307" i="1"/>
  <c r="AM308" i="1"/>
  <c r="AO308" i="1"/>
  <c r="AR308" i="1"/>
  <c r="AS308" i="1"/>
  <c r="AM309" i="1"/>
  <c r="AO309" i="1"/>
  <c r="AR309" i="1"/>
  <c r="AS309" i="1"/>
  <c r="AM310" i="1"/>
  <c r="AO310" i="1"/>
  <c r="AR310" i="1"/>
  <c r="AS310" i="1"/>
  <c r="AM311" i="1"/>
  <c r="AO311" i="1"/>
  <c r="AR311" i="1"/>
  <c r="AS311" i="1"/>
  <c r="AM312" i="1"/>
  <c r="AO312" i="1"/>
  <c r="AR312" i="1"/>
  <c r="AS312" i="1"/>
  <c r="AM313" i="1"/>
  <c r="AN313" i="1"/>
  <c r="AO313" i="1"/>
  <c r="AR313" i="1"/>
  <c r="AS313" i="1"/>
  <c r="AM314" i="1"/>
  <c r="AN314" i="1"/>
  <c r="AO314" i="1"/>
  <c r="AR314" i="1"/>
  <c r="AS314" i="1"/>
  <c r="AM315" i="1"/>
  <c r="AN315" i="1"/>
  <c r="AO315" i="1"/>
  <c r="AR315" i="1"/>
  <c r="AS315" i="1"/>
  <c r="AM316" i="1"/>
  <c r="AN316" i="1"/>
  <c r="AO316" i="1"/>
  <c r="AR316" i="1"/>
  <c r="AS316" i="1"/>
  <c r="AM317" i="1"/>
  <c r="AN317" i="1"/>
  <c r="AO317" i="1"/>
  <c r="AR317" i="1"/>
  <c r="AS317" i="1"/>
  <c r="AM318" i="1"/>
  <c r="AN318" i="1"/>
  <c r="AO318" i="1"/>
  <c r="AR318" i="1"/>
  <c r="AS318" i="1"/>
  <c r="AM319" i="1"/>
  <c r="AO319" i="1"/>
  <c r="AR319" i="1"/>
  <c r="AS319" i="1"/>
  <c r="AM320" i="1"/>
  <c r="AN320" i="1"/>
  <c r="AO320" i="1"/>
  <c r="AR320" i="1"/>
  <c r="AS320" i="1"/>
  <c r="AM321" i="1"/>
  <c r="AN321" i="1"/>
  <c r="AO321" i="1"/>
  <c r="AR321" i="1"/>
  <c r="AS321" i="1"/>
  <c r="AM322" i="1"/>
  <c r="AN322" i="1"/>
  <c r="AO322" i="1"/>
  <c r="AR322" i="1"/>
  <c r="AS322" i="1"/>
  <c r="AM323" i="1"/>
  <c r="AO323" i="1"/>
  <c r="AR323" i="1"/>
  <c r="AS323" i="1"/>
  <c r="AM324" i="1"/>
  <c r="AN324" i="1"/>
  <c r="AO324" i="1"/>
  <c r="AR324" i="1"/>
  <c r="AS324" i="1"/>
  <c r="AM325" i="1"/>
  <c r="AN325" i="1"/>
  <c r="AO325" i="1"/>
  <c r="AR325" i="1"/>
  <c r="AS325" i="1"/>
  <c r="AM326" i="1"/>
  <c r="AN326" i="1"/>
  <c r="AO326" i="1"/>
  <c r="AR326" i="1"/>
  <c r="AS326" i="1"/>
  <c r="AM327" i="1"/>
  <c r="AN327" i="1"/>
  <c r="AO327" i="1"/>
  <c r="AR327" i="1"/>
  <c r="AS327" i="1"/>
  <c r="AM328" i="1"/>
  <c r="AN328" i="1"/>
  <c r="AO328" i="1"/>
  <c r="AR328" i="1"/>
  <c r="AS328" i="1"/>
  <c r="AM329" i="1"/>
  <c r="AO329" i="1"/>
  <c r="AR329" i="1"/>
  <c r="AS329" i="1"/>
  <c r="AM330" i="1"/>
  <c r="AN330" i="1"/>
  <c r="AO330" i="1"/>
  <c r="AR330" i="1"/>
  <c r="AS330" i="1"/>
  <c r="AM331" i="1"/>
  <c r="AN331" i="1"/>
  <c r="AO331" i="1"/>
  <c r="AR331" i="1"/>
  <c r="AS331" i="1"/>
  <c r="AM332" i="1"/>
  <c r="AN332" i="1"/>
  <c r="AO332" i="1"/>
  <c r="AR332" i="1"/>
  <c r="AS332" i="1"/>
  <c r="AM333" i="1"/>
  <c r="AN333" i="1"/>
  <c r="AO333" i="1"/>
  <c r="AR333" i="1"/>
  <c r="AS333" i="1"/>
  <c r="AM334" i="1"/>
  <c r="AN334" i="1"/>
  <c r="AO334" i="1"/>
  <c r="AR334" i="1"/>
  <c r="AS334" i="1"/>
  <c r="AM335" i="1"/>
  <c r="AN335" i="1"/>
  <c r="AO335" i="1"/>
  <c r="AR335" i="1"/>
  <c r="AS335" i="1"/>
  <c r="AM336" i="1"/>
  <c r="AN336" i="1"/>
  <c r="AO336" i="1"/>
  <c r="AR336" i="1"/>
  <c r="AS336" i="1"/>
  <c r="AM337" i="1"/>
  <c r="AN337" i="1"/>
  <c r="AO337" i="1"/>
  <c r="AR337" i="1"/>
  <c r="AS337" i="1"/>
  <c r="AM338" i="1"/>
  <c r="AO338" i="1"/>
  <c r="AR338" i="1"/>
  <c r="AS338" i="1"/>
  <c r="AM339" i="1"/>
  <c r="AN339" i="1"/>
  <c r="AO339" i="1"/>
  <c r="AR339" i="1"/>
  <c r="AS339" i="1"/>
  <c r="AM340" i="1"/>
  <c r="AN340" i="1"/>
  <c r="AO340" i="1"/>
  <c r="AR340" i="1"/>
  <c r="AS340" i="1"/>
  <c r="AM341" i="1"/>
  <c r="AO341" i="1"/>
  <c r="AR341" i="1"/>
  <c r="AS341" i="1"/>
  <c r="AM342" i="1"/>
  <c r="AO342" i="1"/>
  <c r="AR342" i="1"/>
  <c r="AS342" i="1"/>
  <c r="AM343" i="1"/>
  <c r="AO343" i="1"/>
  <c r="AR343" i="1"/>
  <c r="AS343" i="1"/>
  <c r="AM344" i="1"/>
  <c r="AN344" i="1"/>
  <c r="AO344" i="1"/>
  <c r="AR344" i="1"/>
  <c r="AS344" i="1"/>
  <c r="AM345" i="1"/>
  <c r="AN345" i="1"/>
  <c r="AO345" i="1"/>
  <c r="AR345" i="1"/>
  <c r="AS345" i="1"/>
  <c r="AM346" i="1"/>
  <c r="AN346" i="1"/>
  <c r="AO346" i="1"/>
  <c r="AR346" i="1"/>
  <c r="AS346" i="1"/>
  <c r="AM347" i="1"/>
  <c r="AN347" i="1"/>
  <c r="AO347" i="1"/>
  <c r="AR347" i="1"/>
  <c r="AS347" i="1"/>
  <c r="AM348" i="1"/>
  <c r="AN348" i="1"/>
  <c r="AO348" i="1"/>
  <c r="AR348" i="1"/>
  <c r="AS348" i="1"/>
  <c r="AM349" i="1"/>
  <c r="AN349" i="1"/>
  <c r="AO349" i="1"/>
  <c r="AR349" i="1"/>
  <c r="AS349" i="1"/>
  <c r="AM350" i="1"/>
  <c r="AN350" i="1"/>
  <c r="AO350" i="1"/>
  <c r="AR350" i="1"/>
  <c r="AS350" i="1"/>
  <c r="AM351" i="1"/>
  <c r="AN351" i="1"/>
  <c r="AO351" i="1"/>
  <c r="AR351" i="1"/>
  <c r="AS351" i="1"/>
  <c r="AM352" i="1"/>
  <c r="AN352" i="1"/>
  <c r="AO352" i="1"/>
  <c r="AR352" i="1"/>
  <c r="AS352" i="1"/>
  <c r="AM353" i="1"/>
  <c r="AN353" i="1"/>
  <c r="AO353" i="1"/>
  <c r="AR353" i="1"/>
  <c r="AS353" i="1"/>
  <c r="AM354" i="1"/>
  <c r="AN354" i="1"/>
  <c r="AO354" i="1"/>
  <c r="AR354" i="1"/>
  <c r="AS354" i="1"/>
  <c r="AM355" i="1"/>
  <c r="AN355" i="1"/>
  <c r="AO355" i="1"/>
  <c r="AR355" i="1"/>
  <c r="AS355" i="1"/>
  <c r="AM356" i="1"/>
  <c r="AO356" i="1"/>
  <c r="AR356" i="1"/>
  <c r="AS356" i="1"/>
  <c r="AM357" i="1"/>
  <c r="AN357" i="1"/>
  <c r="AO357" i="1"/>
  <c r="AR357" i="1"/>
  <c r="AS357" i="1"/>
  <c r="AM358" i="1"/>
  <c r="AN358" i="1"/>
  <c r="AO358" i="1"/>
  <c r="AR358" i="1"/>
  <c r="AS358" i="1"/>
  <c r="AM359" i="1"/>
  <c r="AO359" i="1"/>
  <c r="AR359" i="1"/>
  <c r="AS359" i="1"/>
  <c r="AM360" i="1"/>
  <c r="AO360" i="1"/>
  <c r="AR360" i="1"/>
  <c r="AS360" i="1"/>
  <c r="S25" i="111" s="1"/>
  <c r="AM362" i="1"/>
  <c r="AO362" i="1"/>
  <c r="AR362" i="1"/>
  <c r="AS362" i="1"/>
  <c r="AM363" i="1"/>
  <c r="AO363" i="1"/>
  <c r="AR363" i="1"/>
  <c r="AS363" i="1"/>
  <c r="AM366" i="1"/>
  <c r="AN366" i="1"/>
  <c r="AO366" i="1"/>
  <c r="AR366" i="1"/>
  <c r="AS366" i="1"/>
  <c r="AM367" i="1"/>
  <c r="AN367" i="1"/>
  <c r="AO367" i="1"/>
  <c r="AR367" i="1"/>
  <c r="AS367" i="1"/>
  <c r="AM368" i="1"/>
  <c r="AO368" i="1"/>
  <c r="AR368" i="1"/>
  <c r="AS368" i="1"/>
  <c r="AM369" i="1"/>
  <c r="AO369" i="1"/>
  <c r="AR369" i="1"/>
  <c r="AS369" i="1"/>
  <c r="AM370" i="1"/>
  <c r="AN370" i="1"/>
  <c r="AO370" i="1"/>
  <c r="AR370" i="1"/>
  <c r="AS370" i="1"/>
  <c r="AM371" i="1"/>
  <c r="AN371" i="1"/>
  <c r="AO371" i="1"/>
  <c r="AR371" i="1"/>
  <c r="AS371" i="1"/>
  <c r="AM372" i="1"/>
  <c r="AN372" i="1"/>
  <c r="AO372" i="1"/>
  <c r="AR372" i="1"/>
  <c r="AS372" i="1"/>
  <c r="AM373" i="1"/>
  <c r="AO373" i="1"/>
  <c r="AR373" i="1"/>
  <c r="AS373" i="1"/>
  <c r="AM374" i="1"/>
  <c r="AN374" i="1"/>
  <c r="AO374" i="1"/>
  <c r="AR374" i="1"/>
  <c r="AS374" i="1"/>
  <c r="AM375" i="1"/>
  <c r="AN375" i="1"/>
  <c r="AO375" i="1"/>
  <c r="AR375" i="1"/>
  <c r="AS375" i="1"/>
  <c r="AM376" i="1"/>
  <c r="AN376" i="1"/>
  <c r="AO376" i="1"/>
  <c r="AR376" i="1"/>
  <c r="AS376" i="1"/>
  <c r="AM377" i="1"/>
  <c r="AN377" i="1"/>
  <c r="AO377" i="1"/>
  <c r="AR377" i="1"/>
  <c r="AS377" i="1"/>
  <c r="AM378" i="1"/>
  <c r="AO378" i="1"/>
  <c r="AR378" i="1"/>
  <c r="AS378" i="1"/>
  <c r="AJ379" i="1"/>
  <c r="AK379" i="1" s="1"/>
  <c r="AM379" i="1"/>
  <c r="AN379" i="1"/>
  <c r="AO379" i="1"/>
  <c r="AR379" i="1"/>
  <c r="AS379" i="1"/>
  <c r="AM380" i="1"/>
  <c r="AO380" i="1"/>
  <c r="AR380" i="1"/>
  <c r="AS380" i="1"/>
  <c r="AM381" i="1"/>
  <c r="AO381" i="1"/>
  <c r="AR381" i="1"/>
  <c r="AS381" i="1"/>
  <c r="AM382" i="1"/>
  <c r="AO382" i="1"/>
  <c r="AR382" i="1"/>
  <c r="AS382" i="1"/>
  <c r="AM383" i="1"/>
  <c r="AO383" i="1"/>
  <c r="AR383" i="1"/>
  <c r="AS383" i="1"/>
  <c r="AM384" i="1"/>
  <c r="AO384" i="1"/>
  <c r="AR384" i="1"/>
  <c r="AS384" i="1"/>
  <c r="AM385" i="1"/>
  <c r="AO385" i="1"/>
  <c r="AR385" i="1"/>
  <c r="AS385" i="1"/>
  <c r="AM386" i="1"/>
  <c r="AO386" i="1"/>
  <c r="AR386" i="1"/>
  <c r="AS386" i="1"/>
  <c r="AM387" i="1"/>
  <c r="AO387" i="1"/>
  <c r="AR387" i="1"/>
  <c r="AS387" i="1"/>
  <c r="AM388" i="1"/>
  <c r="AO388" i="1"/>
  <c r="AR388" i="1"/>
  <c r="AS388" i="1"/>
  <c r="AM389" i="1"/>
  <c r="AO389" i="1"/>
  <c r="AR389" i="1"/>
  <c r="AS389" i="1"/>
  <c r="AM391" i="1"/>
  <c r="AO391" i="1"/>
  <c r="AR391" i="1"/>
  <c r="AS391" i="1"/>
  <c r="AM392" i="1"/>
  <c r="AN392" i="1"/>
  <c r="AO392" i="1"/>
  <c r="AR392" i="1"/>
  <c r="AS392" i="1"/>
  <c r="AM393" i="1"/>
  <c r="AN393" i="1"/>
  <c r="AO393" i="1"/>
  <c r="AR393" i="1"/>
  <c r="AS393" i="1"/>
  <c r="AM394" i="1"/>
  <c r="AN394" i="1"/>
  <c r="AO394" i="1"/>
  <c r="AR394" i="1"/>
  <c r="AS394" i="1"/>
  <c r="AM395" i="1"/>
  <c r="AN395" i="1"/>
  <c r="AO395" i="1"/>
  <c r="AR395" i="1"/>
  <c r="AS395" i="1"/>
  <c r="AM396" i="1"/>
  <c r="AN396" i="1"/>
  <c r="AO396" i="1"/>
  <c r="AR396" i="1"/>
  <c r="AS396" i="1"/>
  <c r="AM397" i="1"/>
  <c r="AN397" i="1"/>
  <c r="AO397" i="1"/>
  <c r="AR397" i="1"/>
  <c r="AS397" i="1"/>
  <c r="AM398" i="1"/>
  <c r="AN398" i="1"/>
  <c r="AO398" i="1"/>
  <c r="AR398" i="1"/>
  <c r="AS398" i="1"/>
  <c r="AM399" i="1"/>
  <c r="AN399" i="1"/>
  <c r="AO399" i="1"/>
  <c r="AR399" i="1"/>
  <c r="AS399" i="1"/>
  <c r="AM400" i="1"/>
  <c r="AO400" i="1"/>
  <c r="AR400" i="1"/>
  <c r="AS400" i="1"/>
  <c r="AM401" i="1"/>
  <c r="AN401" i="1"/>
  <c r="AO401" i="1"/>
  <c r="AR401" i="1"/>
  <c r="AS401" i="1"/>
  <c r="AM402" i="1"/>
  <c r="AN402" i="1"/>
  <c r="AO402" i="1"/>
  <c r="AR402" i="1"/>
  <c r="AS402" i="1"/>
  <c r="AM403" i="1"/>
  <c r="AN403" i="1"/>
  <c r="AO403" i="1"/>
  <c r="AR403" i="1"/>
  <c r="AS403" i="1"/>
  <c r="AM404" i="1"/>
  <c r="AN404" i="1"/>
  <c r="AO404" i="1"/>
  <c r="AR404" i="1"/>
  <c r="AS404" i="1"/>
  <c r="AM405" i="1"/>
  <c r="AN405" i="1"/>
  <c r="AO405" i="1"/>
  <c r="AR405" i="1"/>
  <c r="AS405" i="1"/>
  <c r="AM406" i="1"/>
  <c r="AN406" i="1"/>
  <c r="AO406" i="1"/>
  <c r="AR406" i="1"/>
  <c r="AS406" i="1"/>
  <c r="AM407" i="1"/>
  <c r="AN407" i="1"/>
  <c r="AO407" i="1"/>
  <c r="AR407" i="1"/>
  <c r="AS407" i="1"/>
  <c r="AM408" i="1"/>
  <c r="AN408" i="1"/>
  <c r="AO408" i="1"/>
  <c r="AR408" i="1"/>
  <c r="AS408" i="1"/>
  <c r="AM409" i="1"/>
  <c r="AN409" i="1"/>
  <c r="AO409" i="1"/>
  <c r="AR409" i="1"/>
  <c r="AS409" i="1"/>
  <c r="AM410" i="1"/>
  <c r="AN410" i="1"/>
  <c r="AO410" i="1"/>
  <c r="AR410" i="1"/>
  <c r="AS410" i="1"/>
  <c r="AM411" i="1"/>
  <c r="AN411" i="1"/>
  <c r="AO411" i="1"/>
  <c r="AR411" i="1"/>
  <c r="AS411" i="1"/>
  <c r="AM412" i="1"/>
  <c r="AN412" i="1"/>
  <c r="AO412" i="1"/>
  <c r="AR412" i="1"/>
  <c r="AS412" i="1"/>
  <c r="AM413" i="1"/>
  <c r="AN413" i="1"/>
  <c r="AO413" i="1"/>
  <c r="AR413" i="1"/>
  <c r="AS413" i="1"/>
  <c r="AM414" i="1"/>
  <c r="AN414" i="1"/>
  <c r="AO414" i="1"/>
  <c r="AR414" i="1"/>
  <c r="AS414" i="1"/>
  <c r="AM415" i="1"/>
  <c r="AN415" i="1"/>
  <c r="AO415" i="1"/>
  <c r="AR415" i="1"/>
  <c r="AS415" i="1"/>
  <c r="AM416" i="1"/>
  <c r="AN416" i="1"/>
  <c r="AO416" i="1"/>
  <c r="AR416" i="1"/>
  <c r="AS416" i="1"/>
  <c r="AM417" i="1"/>
  <c r="AO417" i="1"/>
  <c r="AR417" i="1"/>
  <c r="AS417" i="1"/>
  <c r="AM418" i="1"/>
  <c r="AN418" i="1"/>
  <c r="AO418" i="1"/>
  <c r="AR418" i="1"/>
  <c r="AS418" i="1"/>
  <c r="AM419" i="1"/>
  <c r="AN419" i="1"/>
  <c r="AO419" i="1"/>
  <c r="AR419" i="1"/>
  <c r="AS419" i="1"/>
  <c r="AM420" i="1"/>
  <c r="AN420" i="1"/>
  <c r="AO420" i="1"/>
  <c r="AR420" i="1"/>
  <c r="AS420" i="1"/>
  <c r="AM421" i="1"/>
  <c r="AN421" i="1"/>
  <c r="AO421" i="1"/>
  <c r="AR421" i="1"/>
  <c r="AS421" i="1"/>
  <c r="AM422" i="1"/>
  <c r="AN422" i="1"/>
  <c r="AO422" i="1"/>
  <c r="AR422" i="1"/>
  <c r="AS422" i="1"/>
  <c r="AM423" i="1"/>
  <c r="AN423" i="1"/>
  <c r="AO423" i="1"/>
  <c r="AR423" i="1"/>
  <c r="AS423" i="1"/>
  <c r="AM424" i="1"/>
  <c r="AN424" i="1"/>
  <c r="AO424" i="1"/>
  <c r="AR424" i="1"/>
  <c r="AS424" i="1"/>
  <c r="AM425" i="1"/>
  <c r="AN425" i="1"/>
  <c r="AO425" i="1"/>
  <c r="AR425" i="1"/>
  <c r="AS425" i="1"/>
  <c r="AM426" i="1"/>
  <c r="AN426" i="1"/>
  <c r="AO426" i="1"/>
  <c r="AR426" i="1"/>
  <c r="AS426" i="1"/>
  <c r="AM427" i="1"/>
  <c r="AN427" i="1"/>
  <c r="AO427" i="1"/>
  <c r="AR427" i="1"/>
  <c r="AS427" i="1"/>
  <c r="AM428" i="1"/>
  <c r="AN428" i="1"/>
  <c r="AO428" i="1"/>
  <c r="AR428" i="1"/>
  <c r="AS428" i="1"/>
  <c r="AM429" i="1"/>
  <c r="AO429" i="1"/>
  <c r="AR429" i="1"/>
  <c r="AS429" i="1"/>
  <c r="AM430" i="1"/>
  <c r="AN430" i="1"/>
  <c r="AO430" i="1"/>
  <c r="AR430" i="1"/>
  <c r="AS430" i="1"/>
  <c r="AM431" i="1"/>
  <c r="AN431" i="1"/>
  <c r="AO431" i="1"/>
  <c r="AR431" i="1"/>
  <c r="AS431" i="1"/>
  <c r="AM432" i="1"/>
  <c r="AN432" i="1"/>
  <c r="AO432" i="1"/>
  <c r="AR432" i="1"/>
  <c r="AS432" i="1"/>
  <c r="AM433" i="1"/>
  <c r="AN433" i="1"/>
  <c r="AO433" i="1"/>
  <c r="AR433" i="1"/>
  <c r="AS433" i="1"/>
  <c r="AM434" i="1"/>
  <c r="AN434" i="1"/>
  <c r="AO434" i="1"/>
  <c r="AR434" i="1"/>
  <c r="AS434" i="1"/>
  <c r="AM435" i="1"/>
  <c r="AN435" i="1"/>
  <c r="AO435" i="1"/>
  <c r="AR435" i="1"/>
  <c r="AS435" i="1"/>
  <c r="AM436" i="1"/>
  <c r="AN436" i="1"/>
  <c r="AO436" i="1"/>
  <c r="AR436" i="1"/>
  <c r="AS436" i="1"/>
  <c r="AM437" i="1"/>
  <c r="AN437" i="1"/>
  <c r="AO437" i="1"/>
  <c r="AR437" i="1"/>
  <c r="AS437" i="1"/>
  <c r="AM438" i="1"/>
  <c r="AO438" i="1"/>
  <c r="AR438" i="1"/>
  <c r="AS438" i="1"/>
  <c r="AM439" i="1"/>
  <c r="AN439" i="1"/>
  <c r="AO439" i="1"/>
  <c r="AR439" i="1"/>
  <c r="AS439" i="1"/>
  <c r="AM440" i="1"/>
  <c r="AN440" i="1"/>
  <c r="AO440" i="1"/>
  <c r="AR440" i="1"/>
  <c r="AS440" i="1"/>
  <c r="AM441" i="1"/>
  <c r="AO441" i="1"/>
  <c r="AR441" i="1"/>
  <c r="AS441" i="1"/>
  <c r="AM442" i="1"/>
  <c r="AO442" i="1"/>
  <c r="AR442" i="1"/>
  <c r="AS442" i="1"/>
  <c r="AM443" i="1"/>
  <c r="AN443" i="1"/>
  <c r="AO443" i="1"/>
  <c r="AR443" i="1"/>
  <c r="AS443" i="1"/>
  <c r="AM444" i="1"/>
  <c r="AN444" i="1"/>
  <c r="AO444" i="1"/>
  <c r="AR444" i="1"/>
  <c r="AS444" i="1"/>
  <c r="AM445" i="1"/>
  <c r="AN445" i="1"/>
  <c r="AO445" i="1"/>
  <c r="AR445" i="1"/>
  <c r="AS445" i="1"/>
  <c r="AM446" i="1"/>
  <c r="AN446" i="1"/>
  <c r="AO446" i="1"/>
  <c r="AR446" i="1"/>
  <c r="AS446" i="1"/>
  <c r="AJ447" i="1"/>
  <c r="AM447" i="1"/>
  <c r="AN447" i="1"/>
  <c r="AO447" i="1"/>
  <c r="AR447" i="1"/>
  <c r="AS447" i="1"/>
  <c r="AJ448" i="1"/>
  <c r="AM448" i="1"/>
  <c r="AN448" i="1"/>
  <c r="AO448" i="1"/>
  <c r="AR448" i="1"/>
  <c r="AS448" i="1"/>
  <c r="AJ449" i="1"/>
  <c r="AM449" i="1"/>
  <c r="AN449" i="1"/>
  <c r="AO449" i="1"/>
  <c r="AR449" i="1"/>
  <c r="AS449" i="1"/>
  <c r="AJ450" i="1"/>
  <c r="AK450" i="1" s="1"/>
  <c r="AM450" i="1"/>
  <c r="AN450" i="1"/>
  <c r="AO450" i="1"/>
  <c r="AR450" i="1"/>
  <c r="AS450" i="1"/>
  <c r="AJ451" i="1"/>
  <c r="AK451" i="1" s="1"/>
  <c r="AM451" i="1"/>
  <c r="AN451" i="1"/>
  <c r="AO451" i="1"/>
  <c r="AR451" i="1"/>
  <c r="AS451" i="1"/>
  <c r="AJ452" i="1"/>
  <c r="AK452" i="1" s="1"/>
  <c r="AM452" i="1"/>
  <c r="AN452" i="1"/>
  <c r="AO452" i="1"/>
  <c r="AR452" i="1"/>
  <c r="AS452" i="1"/>
  <c r="AM453" i="1"/>
  <c r="AN453" i="1"/>
  <c r="AO453" i="1"/>
  <c r="AR453" i="1"/>
  <c r="AS453" i="1"/>
  <c r="AM454" i="1"/>
  <c r="AO454" i="1"/>
  <c r="AR454" i="1"/>
  <c r="AS454" i="1"/>
  <c r="AM455" i="1"/>
  <c r="AN455" i="1"/>
  <c r="AO455" i="1"/>
  <c r="AR455" i="1"/>
  <c r="AS455" i="1"/>
  <c r="AM456" i="1"/>
  <c r="AN456" i="1"/>
  <c r="AO456" i="1"/>
  <c r="AR456" i="1"/>
  <c r="AS456" i="1"/>
  <c r="AJ457" i="1"/>
  <c r="AK457" i="1" s="1"/>
  <c r="AM457" i="1"/>
  <c r="AN457" i="1"/>
  <c r="AO457" i="1"/>
  <c r="AR457" i="1"/>
  <c r="AS457" i="1"/>
  <c r="AM458" i="1"/>
  <c r="AN458" i="1"/>
  <c r="AO458" i="1"/>
  <c r="AR458" i="1"/>
  <c r="AS458" i="1"/>
  <c r="AM459" i="1"/>
  <c r="AN459" i="1"/>
  <c r="AO459" i="1"/>
  <c r="AR459" i="1"/>
  <c r="AS459" i="1"/>
  <c r="AM460" i="1"/>
  <c r="AN460" i="1"/>
  <c r="AO460" i="1"/>
  <c r="AR460" i="1"/>
  <c r="AS460" i="1"/>
  <c r="AM461" i="1"/>
  <c r="AN461" i="1"/>
  <c r="AO461" i="1"/>
  <c r="AR461" i="1"/>
  <c r="AS461" i="1"/>
  <c r="AM462" i="1"/>
  <c r="AN462" i="1"/>
  <c r="AO462" i="1"/>
  <c r="AR462" i="1"/>
  <c r="AS462" i="1"/>
  <c r="AM463" i="1"/>
  <c r="AN463" i="1"/>
  <c r="AO463" i="1"/>
  <c r="AR463" i="1"/>
  <c r="AS463" i="1"/>
  <c r="AM464" i="1"/>
  <c r="AN464" i="1"/>
  <c r="AO464" i="1"/>
  <c r="AR464" i="1"/>
  <c r="AS464" i="1"/>
  <c r="AM465" i="1"/>
  <c r="AN465" i="1"/>
  <c r="AO465" i="1"/>
  <c r="AR465" i="1"/>
  <c r="AS465" i="1"/>
  <c r="AM466" i="1"/>
  <c r="AN466" i="1"/>
  <c r="AO466" i="1"/>
  <c r="AR466" i="1"/>
  <c r="AS466" i="1"/>
  <c r="AM467" i="1"/>
  <c r="AN467" i="1"/>
  <c r="AO467" i="1"/>
  <c r="AR467" i="1"/>
  <c r="AS467" i="1"/>
  <c r="AM468" i="1"/>
  <c r="AN468" i="1"/>
  <c r="AO468" i="1"/>
  <c r="AR468" i="1"/>
  <c r="AS468" i="1"/>
  <c r="AM469" i="1"/>
  <c r="AN469" i="1"/>
  <c r="AO469" i="1"/>
  <c r="AR469" i="1"/>
  <c r="AS469" i="1"/>
  <c r="AM470" i="1"/>
  <c r="AN470" i="1"/>
  <c r="AO470" i="1"/>
  <c r="AR470" i="1"/>
  <c r="AS470" i="1"/>
  <c r="AM471" i="1"/>
  <c r="AN471" i="1"/>
  <c r="AO471" i="1"/>
  <c r="AR471" i="1"/>
  <c r="AS471" i="1"/>
  <c r="AM472" i="1"/>
  <c r="AN472" i="1"/>
  <c r="AO472" i="1"/>
  <c r="AR472" i="1"/>
  <c r="AS472" i="1"/>
  <c r="AM473" i="1"/>
  <c r="AN473" i="1"/>
  <c r="AO473" i="1"/>
  <c r="AR473" i="1"/>
  <c r="AS473" i="1"/>
  <c r="AM474" i="1"/>
  <c r="AN474" i="1"/>
  <c r="AO474" i="1"/>
  <c r="AR474" i="1"/>
  <c r="AS474" i="1"/>
  <c r="AM475" i="1"/>
  <c r="AN475" i="1"/>
  <c r="AO475" i="1"/>
  <c r="AR475" i="1"/>
  <c r="AS475" i="1"/>
  <c r="AM476" i="1"/>
  <c r="AN476" i="1"/>
  <c r="AO476" i="1"/>
  <c r="AR476" i="1"/>
  <c r="AS476" i="1"/>
  <c r="AM477" i="1"/>
  <c r="AN477" i="1"/>
  <c r="AO477" i="1"/>
  <c r="AR477" i="1"/>
  <c r="AS477" i="1"/>
  <c r="AJ478" i="1"/>
  <c r="AM478" i="1"/>
  <c r="AN478" i="1"/>
  <c r="AO478" i="1"/>
  <c r="AR478" i="1"/>
  <c r="AS478" i="1"/>
  <c r="AM479" i="1"/>
  <c r="AN479" i="1"/>
  <c r="AO479" i="1"/>
  <c r="AR479" i="1"/>
  <c r="AS479" i="1"/>
  <c r="AM480" i="1"/>
  <c r="AN480" i="1"/>
  <c r="AO480" i="1"/>
  <c r="AR480" i="1"/>
  <c r="AS480" i="1"/>
  <c r="AJ481" i="1"/>
  <c r="AK481" i="1" s="1"/>
  <c r="AM481" i="1"/>
  <c r="AN481" i="1"/>
  <c r="AO481" i="1"/>
  <c r="AR481" i="1"/>
  <c r="AS481" i="1"/>
  <c r="AM482" i="1"/>
  <c r="AN482" i="1"/>
  <c r="AO482" i="1"/>
  <c r="AR482" i="1"/>
  <c r="AS482" i="1"/>
  <c r="AM483" i="1"/>
  <c r="AN483" i="1"/>
  <c r="AO483" i="1"/>
  <c r="AR483" i="1"/>
  <c r="AS483" i="1"/>
  <c r="AM484" i="1"/>
  <c r="AN484" i="1"/>
  <c r="AO484" i="1"/>
  <c r="AR484" i="1"/>
  <c r="AS484" i="1"/>
  <c r="AM485" i="1"/>
  <c r="AN485" i="1"/>
  <c r="AO485" i="1"/>
  <c r="AR485" i="1"/>
  <c r="AS485" i="1"/>
  <c r="AM486" i="1"/>
  <c r="AN486" i="1"/>
  <c r="AO486" i="1"/>
  <c r="AR486" i="1"/>
  <c r="AS486" i="1"/>
  <c r="AM487" i="1"/>
  <c r="AN487" i="1"/>
  <c r="AO487" i="1"/>
  <c r="AR487" i="1"/>
  <c r="AS487" i="1"/>
  <c r="AM488" i="1"/>
  <c r="AN488" i="1"/>
  <c r="AO488" i="1"/>
  <c r="AR488" i="1"/>
  <c r="AS488" i="1"/>
  <c r="AM489" i="1"/>
  <c r="AN489" i="1"/>
  <c r="AO489" i="1"/>
  <c r="AR489" i="1"/>
  <c r="AS489" i="1"/>
  <c r="AM490" i="1"/>
  <c r="AN490" i="1"/>
  <c r="AO490" i="1"/>
  <c r="AR490" i="1"/>
  <c r="AS490" i="1"/>
  <c r="AM491" i="1"/>
  <c r="AN491" i="1"/>
  <c r="AO491" i="1"/>
  <c r="AR491" i="1"/>
  <c r="AS491" i="1"/>
  <c r="AM492" i="1"/>
  <c r="AN492" i="1"/>
  <c r="AO492" i="1"/>
  <c r="AR492" i="1"/>
  <c r="AS492" i="1"/>
  <c r="AM493" i="1"/>
  <c r="AN493" i="1"/>
  <c r="AO493" i="1"/>
  <c r="AR493" i="1"/>
  <c r="AS493" i="1"/>
  <c r="AJ494" i="1"/>
  <c r="AK494" i="1" s="1"/>
  <c r="AM494" i="1"/>
  <c r="AN494" i="1"/>
  <c r="AO494" i="1"/>
  <c r="AR494" i="1"/>
  <c r="AS494" i="1"/>
  <c r="AM495" i="1"/>
  <c r="AN495" i="1"/>
  <c r="AO495" i="1"/>
  <c r="AR495" i="1"/>
  <c r="AS495" i="1"/>
  <c r="AM496" i="1"/>
  <c r="AN496" i="1"/>
  <c r="AO496" i="1"/>
  <c r="AR496" i="1"/>
  <c r="AS496" i="1"/>
  <c r="AM497" i="1"/>
  <c r="AN497" i="1"/>
  <c r="AO497" i="1"/>
  <c r="AR497" i="1"/>
  <c r="AS497" i="1"/>
  <c r="AM498" i="1"/>
  <c r="AN498" i="1"/>
  <c r="AO498" i="1"/>
  <c r="AR498" i="1"/>
  <c r="AS498" i="1"/>
  <c r="AM499" i="1"/>
  <c r="AN499" i="1"/>
  <c r="AO499" i="1"/>
  <c r="AR499" i="1"/>
  <c r="AS499" i="1"/>
  <c r="AM500" i="1"/>
  <c r="AN500" i="1"/>
  <c r="AO500" i="1"/>
  <c r="AR500" i="1"/>
  <c r="AS500" i="1"/>
  <c r="AM501" i="1"/>
  <c r="AN501" i="1"/>
  <c r="AO501" i="1"/>
  <c r="AR501" i="1"/>
  <c r="AS501" i="1"/>
  <c r="AM502" i="1"/>
  <c r="AN502" i="1"/>
  <c r="AO502" i="1"/>
  <c r="AR502" i="1"/>
  <c r="AS502" i="1"/>
  <c r="AM503" i="1"/>
  <c r="AN503" i="1"/>
  <c r="AO503" i="1"/>
  <c r="AR503" i="1"/>
  <c r="AS503" i="1"/>
  <c r="AM504" i="1"/>
  <c r="AN504" i="1"/>
  <c r="AO504" i="1"/>
  <c r="AR504" i="1"/>
  <c r="AS504" i="1"/>
  <c r="AM505" i="1"/>
  <c r="AN505" i="1"/>
  <c r="AO505" i="1"/>
  <c r="AR505" i="1"/>
  <c r="AS505" i="1"/>
  <c r="AM506" i="1"/>
  <c r="AN506" i="1"/>
  <c r="AO506" i="1"/>
  <c r="AR506" i="1"/>
  <c r="AS506" i="1"/>
  <c r="AJ507" i="1"/>
  <c r="AK507" i="1" s="1"/>
  <c r="AM507" i="1"/>
  <c r="AN507" i="1"/>
  <c r="AO507" i="1"/>
  <c r="AR507" i="1"/>
  <c r="AS507" i="1"/>
  <c r="AM508" i="1"/>
  <c r="AN508" i="1"/>
  <c r="AO508" i="1"/>
  <c r="AR508" i="1"/>
  <c r="AS508" i="1"/>
  <c r="AM509" i="1"/>
  <c r="AN509" i="1"/>
  <c r="AO509" i="1"/>
  <c r="AR509" i="1"/>
  <c r="AS509" i="1"/>
  <c r="AJ510" i="1"/>
  <c r="AK510" i="1" s="1"/>
  <c r="AM510" i="1"/>
  <c r="AN510" i="1"/>
  <c r="AO510" i="1"/>
  <c r="AR510" i="1"/>
  <c r="AS510" i="1"/>
  <c r="AJ511" i="1"/>
  <c r="AK511" i="1" s="1"/>
  <c r="AM511" i="1"/>
  <c r="AN511" i="1"/>
  <c r="AO511" i="1"/>
  <c r="AR511" i="1"/>
  <c r="AS511" i="1"/>
  <c r="AM512" i="1"/>
  <c r="AN512" i="1"/>
  <c r="AO512" i="1"/>
  <c r="AR512" i="1"/>
  <c r="AS512" i="1"/>
  <c r="AM513" i="1"/>
  <c r="AN513" i="1"/>
  <c r="AO513" i="1"/>
  <c r="AR513" i="1"/>
  <c r="AS513" i="1"/>
  <c r="AM514" i="1"/>
  <c r="AN514" i="1"/>
  <c r="AO514" i="1"/>
  <c r="AR514" i="1"/>
  <c r="AS514" i="1"/>
  <c r="AM515" i="1"/>
  <c r="AN515" i="1"/>
  <c r="AO515" i="1"/>
  <c r="AR515" i="1"/>
  <c r="AS515" i="1"/>
  <c r="AM516" i="1"/>
  <c r="AO516" i="1"/>
  <c r="AR516" i="1"/>
  <c r="AS516" i="1"/>
  <c r="AJ517" i="1"/>
  <c r="AK517" i="1" s="1"/>
  <c r="AM517" i="1"/>
  <c r="AN517" i="1"/>
  <c r="AO517" i="1"/>
  <c r="AR517" i="1"/>
  <c r="AS517" i="1"/>
  <c r="AJ518" i="1"/>
  <c r="AK518" i="1" s="1"/>
  <c r="AM518" i="1"/>
  <c r="AN518" i="1"/>
  <c r="AO518" i="1"/>
  <c r="AR518" i="1"/>
  <c r="AS518" i="1"/>
  <c r="AJ519" i="1"/>
  <c r="AK519" i="1" s="1"/>
  <c r="AM519" i="1"/>
  <c r="AN519" i="1"/>
  <c r="AO519" i="1"/>
  <c r="AR519" i="1"/>
  <c r="AS519" i="1"/>
  <c r="AJ520" i="1"/>
  <c r="AK520" i="1" s="1"/>
  <c r="AM520" i="1"/>
  <c r="AN520" i="1"/>
  <c r="AO520" i="1"/>
  <c r="AR520" i="1"/>
  <c r="AS520" i="1"/>
  <c r="AM521" i="1"/>
  <c r="AO521" i="1"/>
  <c r="AR521" i="1"/>
  <c r="AS521" i="1"/>
  <c r="AM522" i="1"/>
  <c r="AO522" i="1"/>
  <c r="AR522" i="1"/>
  <c r="AS522" i="1"/>
  <c r="AM523" i="1"/>
  <c r="AO523" i="1"/>
  <c r="AR523" i="1"/>
  <c r="AS523" i="1"/>
  <c r="AM524" i="1"/>
  <c r="AO524" i="1"/>
  <c r="AR524" i="1"/>
  <c r="AS524" i="1"/>
  <c r="AM525" i="1"/>
  <c r="AO525" i="1"/>
  <c r="AR525" i="1"/>
  <c r="AS525" i="1"/>
  <c r="AM526" i="1"/>
  <c r="AO526" i="1"/>
  <c r="AR526" i="1"/>
  <c r="AS526" i="1"/>
  <c r="AM527" i="1"/>
  <c r="AO527" i="1"/>
  <c r="AR527" i="1"/>
  <c r="AS527" i="1"/>
  <c r="AM528" i="1"/>
  <c r="AO528" i="1"/>
  <c r="AR528" i="1"/>
  <c r="AS528" i="1"/>
  <c r="AM529" i="1"/>
  <c r="AN529" i="1"/>
  <c r="AO529" i="1"/>
  <c r="AR529" i="1"/>
  <c r="AS529" i="1"/>
  <c r="AM530" i="1"/>
  <c r="AN530" i="1"/>
  <c r="AO530" i="1"/>
  <c r="AR530" i="1"/>
  <c r="AS530" i="1"/>
  <c r="AM531" i="1"/>
  <c r="AN531" i="1"/>
  <c r="AO531" i="1"/>
  <c r="AR531" i="1"/>
  <c r="AS531" i="1"/>
  <c r="AM532" i="1"/>
  <c r="AN532" i="1"/>
  <c r="AO532" i="1"/>
  <c r="AR532" i="1"/>
  <c r="AS532" i="1"/>
  <c r="AM533" i="1"/>
  <c r="AN533" i="1"/>
  <c r="AO533" i="1"/>
  <c r="AR533" i="1"/>
  <c r="AS533" i="1"/>
  <c r="AM534" i="1"/>
  <c r="AN534" i="1"/>
  <c r="AO534" i="1"/>
  <c r="AR534" i="1"/>
  <c r="AS534" i="1"/>
  <c r="AM535" i="1"/>
  <c r="AN535" i="1"/>
  <c r="AO535" i="1"/>
  <c r="AR535" i="1"/>
  <c r="AS535" i="1"/>
  <c r="AM536" i="1"/>
  <c r="AN536" i="1"/>
  <c r="AO536" i="1"/>
  <c r="AR536" i="1"/>
  <c r="AS536" i="1"/>
  <c r="AM537" i="1"/>
  <c r="AN537" i="1"/>
  <c r="AO537" i="1"/>
  <c r="AR537" i="1"/>
  <c r="AS537" i="1"/>
  <c r="AM538" i="1"/>
  <c r="AN538" i="1"/>
  <c r="AO538" i="1"/>
  <c r="AR538" i="1"/>
  <c r="AS538" i="1"/>
  <c r="AM539" i="1"/>
  <c r="AN539" i="1"/>
  <c r="AO539" i="1"/>
  <c r="AR539" i="1"/>
  <c r="AS539" i="1"/>
  <c r="AM540" i="1"/>
  <c r="AN540" i="1"/>
  <c r="AO540" i="1"/>
  <c r="AR540" i="1"/>
  <c r="AS540" i="1"/>
  <c r="AM541" i="1"/>
  <c r="AN541" i="1"/>
  <c r="AO541" i="1"/>
  <c r="AR541" i="1"/>
  <c r="AS541" i="1"/>
  <c r="AM542" i="1"/>
  <c r="AN542" i="1"/>
  <c r="AO542" i="1"/>
  <c r="AR542" i="1"/>
  <c r="AS542" i="1"/>
  <c r="AM543" i="1"/>
  <c r="AN543" i="1"/>
  <c r="AO543" i="1"/>
  <c r="AR543" i="1"/>
  <c r="AS543" i="1"/>
  <c r="AM544" i="1"/>
  <c r="AN544" i="1"/>
  <c r="AO544" i="1"/>
  <c r="AR544" i="1"/>
  <c r="AS544" i="1"/>
  <c r="AM545" i="1"/>
  <c r="AN545" i="1"/>
  <c r="AO545" i="1"/>
  <c r="AR545" i="1"/>
  <c r="AS545" i="1"/>
  <c r="AM546" i="1"/>
  <c r="AO546" i="1"/>
  <c r="AR546" i="1"/>
  <c r="AS546" i="1"/>
  <c r="AM547" i="1"/>
  <c r="AO547" i="1"/>
  <c r="AR547" i="1"/>
  <c r="AS547" i="1"/>
  <c r="AM548" i="1"/>
  <c r="AO548" i="1"/>
  <c r="AR548" i="1"/>
  <c r="AS548" i="1"/>
  <c r="AM549" i="1"/>
  <c r="AN549" i="1"/>
  <c r="AO549" i="1"/>
  <c r="AR549" i="1"/>
  <c r="AS549" i="1"/>
  <c r="S28" i="111" s="1"/>
  <c r="AM550" i="1"/>
  <c r="AO550" i="1"/>
  <c r="AR550" i="1"/>
  <c r="AS550" i="1"/>
  <c r="AM551" i="1"/>
  <c r="AN551" i="1"/>
  <c r="AO551" i="1"/>
  <c r="AR551" i="1"/>
  <c r="AS551" i="1"/>
  <c r="AM552" i="1"/>
  <c r="AO552" i="1"/>
  <c r="AR552" i="1"/>
  <c r="AS552" i="1"/>
  <c r="AM553" i="1"/>
  <c r="AN553" i="1"/>
  <c r="AO553" i="1"/>
  <c r="AR553" i="1"/>
  <c r="AS553" i="1"/>
  <c r="AM554" i="1"/>
  <c r="AO554" i="1"/>
  <c r="AR554" i="1"/>
  <c r="AS554" i="1"/>
  <c r="AM555" i="1"/>
  <c r="AO555" i="1"/>
  <c r="AR555" i="1"/>
  <c r="AS555" i="1"/>
  <c r="AM556" i="1"/>
  <c r="AN556" i="1"/>
  <c r="AO556" i="1"/>
  <c r="AR556" i="1"/>
  <c r="AS556" i="1"/>
  <c r="S53" i="111" s="1"/>
  <c r="AM557" i="1"/>
  <c r="AN557" i="1"/>
  <c r="AO557" i="1"/>
  <c r="AR557" i="1"/>
  <c r="AS557" i="1"/>
  <c r="AM558" i="1"/>
  <c r="AO558" i="1"/>
  <c r="AR558" i="1"/>
  <c r="AS558" i="1"/>
  <c r="AM559" i="1"/>
  <c r="AO559" i="1"/>
  <c r="AR559" i="1"/>
  <c r="AS559" i="1"/>
  <c r="AM560" i="1"/>
  <c r="AN560" i="1"/>
  <c r="AO560" i="1"/>
  <c r="AR560" i="1"/>
  <c r="AS560" i="1"/>
  <c r="AM561" i="1"/>
  <c r="AN561" i="1"/>
  <c r="AO561" i="1"/>
  <c r="AR561" i="1"/>
  <c r="AS561" i="1"/>
  <c r="AM562" i="1"/>
  <c r="AN562" i="1"/>
  <c r="AO562" i="1"/>
  <c r="AR562" i="1"/>
  <c r="AS562" i="1"/>
  <c r="AM563" i="1"/>
  <c r="AN563" i="1"/>
  <c r="AO563" i="1"/>
  <c r="AR563" i="1"/>
  <c r="AS563" i="1"/>
  <c r="S29" i="111" s="1"/>
  <c r="AM564" i="1"/>
  <c r="AO564" i="1"/>
  <c r="AR564" i="1"/>
  <c r="AS564" i="1"/>
  <c r="AM565" i="1"/>
  <c r="AO565" i="1"/>
  <c r="AR565" i="1"/>
  <c r="AS565" i="1"/>
  <c r="AM566" i="1"/>
  <c r="AO566" i="1"/>
  <c r="AR566" i="1"/>
  <c r="AS566" i="1"/>
  <c r="AM567" i="1"/>
  <c r="AO567" i="1"/>
  <c r="AR567" i="1"/>
  <c r="AS567" i="1"/>
  <c r="AM568" i="1"/>
  <c r="AN568" i="1"/>
  <c r="AO568" i="1"/>
  <c r="AR568" i="1"/>
  <c r="AS568" i="1"/>
  <c r="AM569" i="1"/>
  <c r="AO569" i="1"/>
  <c r="AR569" i="1"/>
  <c r="AS569" i="1"/>
  <c r="AM570" i="1"/>
  <c r="AN570" i="1"/>
  <c r="AO570" i="1"/>
  <c r="AR570" i="1"/>
  <c r="AS570" i="1"/>
  <c r="AM571" i="1"/>
  <c r="AN571" i="1"/>
  <c r="AO571" i="1"/>
  <c r="AR571" i="1"/>
  <c r="AS571" i="1"/>
  <c r="AM572" i="1"/>
  <c r="AN572" i="1"/>
  <c r="AO572" i="1"/>
  <c r="AR572" i="1"/>
  <c r="AS572" i="1"/>
  <c r="AM573" i="1"/>
  <c r="AN573" i="1"/>
  <c r="AO573" i="1"/>
  <c r="AR573" i="1"/>
  <c r="AS573" i="1"/>
  <c r="AM574" i="1"/>
  <c r="AN574" i="1"/>
  <c r="AO574" i="1"/>
  <c r="AR574" i="1"/>
  <c r="AS574" i="1"/>
  <c r="AM575" i="1"/>
  <c r="AN575" i="1"/>
  <c r="AO575" i="1"/>
  <c r="AR575" i="1"/>
  <c r="AS575" i="1"/>
  <c r="AM576" i="1"/>
  <c r="AN576" i="1"/>
  <c r="AO576" i="1"/>
  <c r="AR576" i="1"/>
  <c r="AS576" i="1"/>
  <c r="AM577" i="1"/>
  <c r="AO577" i="1"/>
  <c r="AR577" i="1"/>
  <c r="AS577" i="1"/>
  <c r="AM579" i="1"/>
  <c r="AO579" i="1"/>
  <c r="AR579" i="1"/>
  <c r="AS579" i="1"/>
  <c r="AM580" i="1"/>
  <c r="AO580" i="1"/>
  <c r="AR580" i="1"/>
  <c r="AS580" i="1"/>
  <c r="AM581" i="1"/>
  <c r="AO581" i="1"/>
  <c r="AR581" i="1"/>
  <c r="AS581" i="1"/>
  <c r="AM582" i="1"/>
  <c r="AN582" i="1"/>
  <c r="AO582" i="1"/>
  <c r="AR582" i="1"/>
  <c r="AS582" i="1"/>
  <c r="AM583" i="1"/>
  <c r="AN583" i="1"/>
  <c r="AO583" i="1"/>
  <c r="AR583" i="1"/>
  <c r="AS583" i="1"/>
  <c r="AM584" i="1"/>
  <c r="AN584" i="1"/>
  <c r="AO584" i="1"/>
  <c r="AR584" i="1"/>
  <c r="AS584" i="1"/>
  <c r="AM585" i="1"/>
  <c r="AN585" i="1"/>
  <c r="AO585" i="1"/>
  <c r="AR585" i="1"/>
  <c r="AS585" i="1"/>
  <c r="AM586" i="1"/>
  <c r="AO586" i="1"/>
  <c r="AR586" i="1"/>
  <c r="AS586" i="1"/>
  <c r="AM587" i="1"/>
  <c r="AO587" i="1"/>
  <c r="AR587" i="1"/>
  <c r="AS587" i="1"/>
  <c r="AM588" i="1"/>
  <c r="AN588" i="1"/>
  <c r="AO588" i="1"/>
  <c r="AR588" i="1"/>
  <c r="AS588" i="1"/>
  <c r="AM589" i="1"/>
  <c r="AN589" i="1"/>
  <c r="AO589" i="1"/>
  <c r="AR589" i="1"/>
  <c r="AS589" i="1"/>
  <c r="AM590" i="1"/>
  <c r="AN590" i="1"/>
  <c r="AO590" i="1"/>
  <c r="AR590" i="1"/>
  <c r="AS590" i="1"/>
  <c r="AM591" i="1"/>
  <c r="AN591" i="1"/>
  <c r="AO591" i="1"/>
  <c r="AR591" i="1"/>
  <c r="AS591" i="1"/>
  <c r="AJ592" i="1"/>
  <c r="AK592" i="1" s="1"/>
  <c r="AM592" i="1"/>
  <c r="AN592" i="1"/>
  <c r="AO592" i="1"/>
  <c r="AR592" i="1"/>
  <c r="AS592" i="1"/>
  <c r="AM593" i="1"/>
  <c r="AO593" i="1"/>
  <c r="AR593" i="1"/>
  <c r="AS593" i="1"/>
  <c r="AM594" i="1"/>
  <c r="AO594" i="1"/>
  <c r="AR594" i="1"/>
  <c r="AS594" i="1"/>
  <c r="AM597" i="1"/>
  <c r="AO597" i="1"/>
  <c r="AR597" i="1"/>
  <c r="AS597" i="1"/>
  <c r="AM598" i="1"/>
  <c r="AO598" i="1"/>
  <c r="AR598" i="1"/>
  <c r="AS598" i="1"/>
  <c r="AM599" i="1"/>
  <c r="AN599" i="1"/>
  <c r="AO599" i="1"/>
  <c r="AR599" i="1"/>
  <c r="AS599" i="1"/>
  <c r="AM600" i="1"/>
  <c r="AO600" i="1"/>
  <c r="AR600" i="1"/>
  <c r="AS600" i="1"/>
  <c r="Q31" i="111"/>
  <c r="AM602" i="1"/>
  <c r="AN602" i="1"/>
  <c r="AO602" i="1"/>
  <c r="AR602" i="1"/>
  <c r="AS602" i="1"/>
  <c r="AM603" i="1"/>
  <c r="AN603" i="1"/>
  <c r="AO603" i="1"/>
  <c r="AR603" i="1"/>
  <c r="AS603" i="1"/>
  <c r="AM604" i="1"/>
  <c r="AN604" i="1"/>
  <c r="AO604" i="1"/>
  <c r="AR604" i="1"/>
  <c r="AS604" i="1"/>
  <c r="AM605" i="1"/>
  <c r="AN605" i="1"/>
  <c r="AO605" i="1"/>
  <c r="AR605" i="1"/>
  <c r="AS605" i="1"/>
  <c r="AM606" i="1"/>
  <c r="AN606" i="1"/>
  <c r="AO606" i="1"/>
  <c r="AR606" i="1"/>
  <c r="AS606" i="1"/>
  <c r="AM607" i="1"/>
  <c r="AO607" i="1"/>
  <c r="AR607" i="1"/>
  <c r="AS607" i="1"/>
  <c r="AM608" i="1"/>
  <c r="AN608" i="1"/>
  <c r="AO608" i="1"/>
  <c r="AR608" i="1"/>
  <c r="AS608" i="1"/>
  <c r="AM609" i="1"/>
  <c r="AN609" i="1"/>
  <c r="AO609" i="1"/>
  <c r="AR609" i="1"/>
  <c r="AS609" i="1"/>
  <c r="AM610" i="1"/>
  <c r="AN610" i="1"/>
  <c r="AO610" i="1"/>
  <c r="AR610" i="1"/>
  <c r="AS610" i="1"/>
  <c r="AM611" i="1"/>
  <c r="AO611" i="1"/>
  <c r="AR611" i="1"/>
  <c r="AS611" i="1"/>
  <c r="AM612" i="1"/>
  <c r="AN612" i="1"/>
  <c r="AO612" i="1"/>
  <c r="AR612" i="1"/>
  <c r="AS612" i="1"/>
  <c r="AM613" i="1"/>
  <c r="AN613" i="1"/>
  <c r="AO613" i="1"/>
  <c r="AR613" i="1"/>
  <c r="AS613" i="1"/>
  <c r="AM614" i="1"/>
  <c r="AO614" i="1"/>
  <c r="AR614" i="1"/>
  <c r="AS614" i="1"/>
  <c r="AM615" i="1"/>
  <c r="AO615" i="1"/>
  <c r="AR615" i="1"/>
  <c r="AS615" i="1"/>
  <c r="AM616" i="1"/>
  <c r="AO616" i="1"/>
  <c r="AR616" i="1"/>
  <c r="AS616" i="1"/>
  <c r="AM601" i="1"/>
  <c r="AO601" i="1"/>
  <c r="AR601" i="1"/>
  <c r="AS601" i="1"/>
  <c r="AM617" i="1"/>
  <c r="AO617" i="1"/>
  <c r="AR617" i="1"/>
  <c r="AS617" i="1"/>
  <c r="AM618" i="1"/>
  <c r="AN618" i="1"/>
  <c r="AO618" i="1"/>
  <c r="AR618" i="1"/>
  <c r="AS618" i="1"/>
  <c r="AM619" i="1"/>
  <c r="AN619" i="1"/>
  <c r="AO619" i="1"/>
  <c r="AR619" i="1"/>
  <c r="AS619" i="1"/>
  <c r="AM620" i="1"/>
  <c r="AO620" i="1"/>
  <c r="AR620" i="1"/>
  <c r="AS620" i="1"/>
  <c r="AM621" i="1"/>
  <c r="AO621" i="1"/>
  <c r="AR621" i="1"/>
  <c r="AS621" i="1"/>
  <c r="AM622" i="1"/>
  <c r="AO622" i="1"/>
  <c r="AR622" i="1"/>
  <c r="AS622" i="1"/>
  <c r="AM623" i="1"/>
  <c r="AO623" i="1"/>
  <c r="AR623" i="1"/>
  <c r="AS623" i="1"/>
  <c r="AM624" i="1"/>
  <c r="AN624" i="1"/>
  <c r="AO624" i="1"/>
  <c r="AR624" i="1"/>
  <c r="AS624" i="1"/>
  <c r="AM625" i="1"/>
  <c r="AN625" i="1"/>
  <c r="AO625" i="1"/>
  <c r="AR625" i="1"/>
  <c r="AS625" i="1"/>
  <c r="AM626" i="1"/>
  <c r="AN626" i="1"/>
  <c r="AO626" i="1"/>
  <c r="AR626" i="1"/>
  <c r="AS626" i="1"/>
  <c r="AM627" i="1"/>
  <c r="AN627" i="1"/>
  <c r="AO627" i="1"/>
  <c r="AR627" i="1"/>
  <c r="AS627" i="1"/>
  <c r="AM628" i="1"/>
  <c r="AN628" i="1"/>
  <c r="AO628" i="1"/>
  <c r="AR628" i="1"/>
  <c r="AS628" i="1"/>
  <c r="AM629" i="1"/>
  <c r="AO629" i="1"/>
  <c r="AR629" i="1"/>
  <c r="AS629" i="1"/>
  <c r="AM630" i="1"/>
  <c r="AO630" i="1"/>
  <c r="AR630" i="1"/>
  <c r="AS630" i="1"/>
  <c r="AM631" i="1"/>
  <c r="AO631" i="1"/>
  <c r="AR631" i="1"/>
  <c r="AS631" i="1"/>
  <c r="AM632" i="1"/>
  <c r="AN632" i="1"/>
  <c r="AO632" i="1"/>
  <c r="AR632" i="1"/>
  <c r="AS632" i="1"/>
  <c r="AM633" i="1"/>
  <c r="AN633" i="1"/>
  <c r="AO633" i="1"/>
  <c r="AR633" i="1"/>
  <c r="AS633" i="1"/>
  <c r="AM634" i="1"/>
  <c r="AN634" i="1"/>
  <c r="AO634" i="1"/>
  <c r="AR634" i="1"/>
  <c r="AS634" i="1"/>
  <c r="AM635" i="1"/>
  <c r="AO635" i="1"/>
  <c r="AR635" i="1"/>
  <c r="AS635" i="1"/>
  <c r="AM636" i="1"/>
  <c r="AO636" i="1"/>
  <c r="AR636" i="1"/>
  <c r="AS636" i="1"/>
  <c r="AM637" i="1"/>
  <c r="AN637" i="1"/>
  <c r="AO637" i="1"/>
  <c r="AR637" i="1"/>
  <c r="AS637" i="1"/>
  <c r="AM638" i="1"/>
  <c r="AN638" i="1"/>
  <c r="AO638" i="1"/>
  <c r="AR638" i="1"/>
  <c r="AS638" i="1"/>
  <c r="AM639" i="1"/>
  <c r="AN639" i="1"/>
  <c r="AO639" i="1"/>
  <c r="AR639" i="1"/>
  <c r="AS639" i="1"/>
  <c r="AM640" i="1"/>
  <c r="AN640" i="1"/>
  <c r="AO640" i="1"/>
  <c r="AR640" i="1"/>
  <c r="AS640" i="1"/>
  <c r="AM641" i="1"/>
  <c r="AN641" i="1"/>
  <c r="AO641" i="1"/>
  <c r="AR641" i="1"/>
  <c r="AS641" i="1"/>
  <c r="AM642" i="1"/>
  <c r="AN642" i="1"/>
  <c r="AO642" i="1"/>
  <c r="AR642" i="1"/>
  <c r="AS642" i="1"/>
  <c r="AM643" i="1"/>
  <c r="AN643" i="1"/>
  <c r="AO643" i="1"/>
  <c r="AR643" i="1"/>
  <c r="AS643" i="1"/>
  <c r="AM644" i="1"/>
  <c r="AN644" i="1"/>
  <c r="AO644" i="1"/>
  <c r="AR644" i="1"/>
  <c r="AS644" i="1"/>
  <c r="AM645" i="1"/>
  <c r="AN645" i="1"/>
  <c r="AO645" i="1"/>
  <c r="AR645" i="1"/>
  <c r="AS645" i="1"/>
  <c r="AM646" i="1"/>
  <c r="AN646" i="1"/>
  <c r="AO646" i="1"/>
  <c r="AR646" i="1"/>
  <c r="AS646" i="1"/>
  <c r="AM647" i="1"/>
  <c r="AN647" i="1"/>
  <c r="AO647" i="1"/>
  <c r="AR647" i="1"/>
  <c r="AS647" i="1"/>
  <c r="AM648" i="1"/>
  <c r="AN648" i="1"/>
  <c r="AO648" i="1"/>
  <c r="AR648" i="1"/>
  <c r="AS648" i="1"/>
  <c r="AM649" i="1"/>
  <c r="AN649" i="1"/>
  <c r="AO649" i="1"/>
  <c r="AR649" i="1"/>
  <c r="AS649" i="1"/>
  <c r="AM650" i="1"/>
  <c r="AO650" i="1"/>
  <c r="AR650" i="1"/>
  <c r="AS650" i="1"/>
  <c r="AM651" i="1"/>
  <c r="AN651" i="1"/>
  <c r="AO651" i="1"/>
  <c r="AR651" i="1"/>
  <c r="AS651" i="1"/>
  <c r="AM652" i="1"/>
  <c r="AN652" i="1"/>
  <c r="AO652" i="1"/>
  <c r="AR652" i="1"/>
  <c r="AS652" i="1"/>
  <c r="AM653" i="1"/>
  <c r="AO653" i="1"/>
  <c r="AR653" i="1"/>
  <c r="AS653" i="1"/>
  <c r="AM654" i="1"/>
  <c r="AN654" i="1"/>
  <c r="AO654" i="1"/>
  <c r="AR654" i="1"/>
  <c r="AS654" i="1"/>
  <c r="AM655" i="1"/>
  <c r="AN655" i="1"/>
  <c r="AO655" i="1"/>
  <c r="AR655" i="1"/>
  <c r="AS655" i="1"/>
  <c r="AM656" i="1"/>
  <c r="AN656" i="1"/>
  <c r="AO656" i="1"/>
  <c r="AR656" i="1"/>
  <c r="AS656" i="1"/>
  <c r="AM657" i="1"/>
  <c r="AN657" i="1"/>
  <c r="AO657" i="1"/>
  <c r="AR657" i="1"/>
  <c r="AS657" i="1"/>
  <c r="AM658" i="1"/>
  <c r="AN658" i="1"/>
  <c r="AO658" i="1"/>
  <c r="AR658" i="1"/>
  <c r="AS658" i="1"/>
  <c r="AM659" i="1"/>
  <c r="AN659" i="1"/>
  <c r="AO659" i="1"/>
  <c r="AR659" i="1"/>
  <c r="AS659" i="1"/>
  <c r="AM660" i="1"/>
  <c r="AN660" i="1"/>
  <c r="AO660" i="1"/>
  <c r="AR660" i="1"/>
  <c r="AS660" i="1"/>
  <c r="AM661" i="1"/>
  <c r="AO661" i="1"/>
  <c r="AR661" i="1"/>
  <c r="AS661" i="1"/>
  <c r="AM662" i="1"/>
  <c r="AN662" i="1"/>
  <c r="AO662" i="1"/>
  <c r="AR662" i="1"/>
  <c r="AS662" i="1"/>
  <c r="AM663" i="1"/>
  <c r="AO663" i="1"/>
  <c r="AR663" i="1"/>
  <c r="AS663" i="1"/>
  <c r="AM664" i="1"/>
  <c r="AO664" i="1"/>
  <c r="AR664" i="1"/>
  <c r="AS664" i="1"/>
  <c r="AM665" i="1"/>
  <c r="AO665" i="1"/>
  <c r="AR665" i="1"/>
  <c r="AS665" i="1"/>
  <c r="AM666" i="1"/>
  <c r="AO666" i="1"/>
  <c r="AR666" i="1"/>
  <c r="AS666" i="1"/>
  <c r="AM667" i="1"/>
  <c r="AO667" i="1"/>
  <c r="AR667" i="1"/>
  <c r="AS667" i="1"/>
  <c r="AM668" i="1"/>
  <c r="AO668" i="1"/>
  <c r="AR668" i="1"/>
  <c r="AS668" i="1"/>
  <c r="AM669" i="1"/>
  <c r="AO669" i="1"/>
  <c r="AR669" i="1"/>
  <c r="AS669" i="1"/>
  <c r="AM670" i="1"/>
  <c r="AO670" i="1"/>
  <c r="AR670" i="1"/>
  <c r="AS670" i="1"/>
  <c r="AM671" i="1"/>
  <c r="AO671" i="1"/>
  <c r="AR671" i="1"/>
  <c r="AS671" i="1"/>
  <c r="AM672" i="1"/>
  <c r="AO672" i="1"/>
  <c r="AR672" i="1"/>
  <c r="AS672" i="1"/>
  <c r="AM673" i="1"/>
  <c r="AN673" i="1"/>
  <c r="AO673" i="1"/>
  <c r="AR673" i="1"/>
  <c r="AS673" i="1"/>
  <c r="AM674" i="1"/>
  <c r="AN674" i="1"/>
  <c r="AO674" i="1"/>
  <c r="AR674" i="1"/>
  <c r="AS674" i="1"/>
  <c r="AM675" i="1"/>
  <c r="AN675" i="1"/>
  <c r="AO675" i="1"/>
  <c r="AR675" i="1"/>
  <c r="AS675" i="1"/>
  <c r="AM676" i="1"/>
  <c r="AN676" i="1"/>
  <c r="AO676" i="1"/>
  <c r="AR676" i="1"/>
  <c r="AS676" i="1"/>
  <c r="AM677" i="1"/>
  <c r="AN677" i="1"/>
  <c r="AO677" i="1"/>
  <c r="AR677" i="1"/>
  <c r="AS677" i="1"/>
  <c r="AM678" i="1"/>
  <c r="AN678" i="1"/>
  <c r="AO678" i="1"/>
  <c r="AR678" i="1"/>
  <c r="AS678" i="1"/>
  <c r="AM679" i="1"/>
  <c r="AN679" i="1"/>
  <c r="AO679" i="1"/>
  <c r="AR679" i="1"/>
  <c r="AS679" i="1"/>
  <c r="AJ680" i="1"/>
  <c r="AK680" i="1" s="1"/>
  <c r="AM680" i="1"/>
  <c r="AN680" i="1"/>
  <c r="AO680" i="1"/>
  <c r="AR680" i="1"/>
  <c r="AS680" i="1"/>
  <c r="AM681" i="1"/>
  <c r="AO681" i="1"/>
  <c r="AR681" i="1"/>
  <c r="AS681" i="1"/>
  <c r="AM682" i="1"/>
  <c r="AN682" i="1"/>
  <c r="AO682" i="1"/>
  <c r="AR682" i="1"/>
  <c r="AS682" i="1"/>
  <c r="AM683" i="1"/>
  <c r="AN683" i="1"/>
  <c r="AO683" i="1"/>
  <c r="AR683" i="1"/>
  <c r="AS683" i="1"/>
  <c r="AM684" i="1"/>
  <c r="AN684" i="1"/>
  <c r="AO684" i="1"/>
  <c r="AR684" i="1"/>
  <c r="AS684" i="1"/>
  <c r="AM685" i="1"/>
  <c r="AN685" i="1"/>
  <c r="AO685" i="1"/>
  <c r="AR685" i="1"/>
  <c r="AS685" i="1"/>
  <c r="AJ686" i="1"/>
  <c r="AM686" i="1"/>
  <c r="AN686" i="1"/>
  <c r="AO686" i="1"/>
  <c r="AR686" i="1"/>
  <c r="AS686" i="1"/>
  <c r="AM687" i="1"/>
  <c r="AN687" i="1"/>
  <c r="AO687" i="1"/>
  <c r="AR687" i="1"/>
  <c r="AS687" i="1"/>
  <c r="AM688" i="1"/>
  <c r="AN688" i="1"/>
  <c r="AO688" i="1"/>
  <c r="AR688" i="1"/>
  <c r="AS688" i="1"/>
  <c r="AM689" i="1"/>
  <c r="AO689" i="1"/>
  <c r="AR689" i="1"/>
  <c r="AS689" i="1"/>
  <c r="AM690" i="1"/>
  <c r="AN690" i="1"/>
  <c r="AO690" i="1"/>
  <c r="AR690" i="1"/>
  <c r="AS690" i="1"/>
  <c r="AJ691" i="1"/>
  <c r="AK691" i="1" s="1"/>
  <c r="AM691" i="1"/>
  <c r="AN691" i="1"/>
  <c r="AO691" i="1"/>
  <c r="AR691" i="1"/>
  <c r="AS691" i="1"/>
  <c r="AJ692" i="1"/>
  <c r="AK692" i="1" s="1"/>
  <c r="AM692" i="1"/>
  <c r="AN692" i="1"/>
  <c r="AO692" i="1"/>
  <c r="AR692" i="1"/>
  <c r="AS692" i="1"/>
  <c r="AM693" i="1"/>
  <c r="AN693" i="1"/>
  <c r="AO693" i="1"/>
  <c r="AR693" i="1"/>
  <c r="AS693" i="1"/>
  <c r="AM694" i="1"/>
  <c r="AN694" i="1"/>
  <c r="AO694" i="1"/>
  <c r="AR694" i="1"/>
  <c r="AS694" i="1"/>
  <c r="AM695" i="1"/>
  <c r="AO695" i="1"/>
  <c r="AR695" i="1"/>
  <c r="AS695" i="1"/>
  <c r="AM696" i="1"/>
  <c r="AO696" i="1"/>
  <c r="AR696" i="1"/>
  <c r="AS696" i="1"/>
  <c r="AM697" i="1"/>
  <c r="AO697" i="1"/>
  <c r="AR697" i="1"/>
  <c r="AS697" i="1"/>
  <c r="S34" i="111" s="1"/>
  <c r="AM698" i="1"/>
  <c r="AO698" i="1"/>
  <c r="AR698" i="1"/>
  <c r="AS698" i="1"/>
  <c r="AM699" i="1"/>
  <c r="AO699" i="1"/>
  <c r="AR699" i="1"/>
  <c r="AS699" i="1"/>
  <c r="AM700" i="1"/>
  <c r="AO700" i="1"/>
  <c r="AR700" i="1"/>
  <c r="AS700" i="1"/>
  <c r="AM701" i="1"/>
  <c r="AO701" i="1"/>
  <c r="AR701" i="1"/>
  <c r="AS701" i="1"/>
  <c r="S35" i="111" s="1"/>
  <c r="AM702" i="1"/>
  <c r="AN702" i="1"/>
  <c r="AO702" i="1"/>
  <c r="AR702" i="1"/>
  <c r="AS702" i="1"/>
  <c r="AM703" i="1"/>
  <c r="AN703" i="1"/>
  <c r="AO703" i="1"/>
  <c r="AR703" i="1"/>
  <c r="AS703" i="1"/>
  <c r="AM704" i="1"/>
  <c r="AN704" i="1"/>
  <c r="AO704" i="1"/>
  <c r="AR704" i="1"/>
  <c r="AS704" i="1"/>
  <c r="AM705" i="1"/>
  <c r="AO705" i="1"/>
  <c r="AR705" i="1"/>
  <c r="AS705" i="1"/>
  <c r="AM706" i="1"/>
  <c r="AN706" i="1"/>
  <c r="AO706" i="1"/>
  <c r="AR706" i="1"/>
  <c r="AS706" i="1"/>
  <c r="AM707" i="1"/>
  <c r="AN707" i="1"/>
  <c r="AO707" i="1"/>
  <c r="AR707" i="1"/>
  <c r="AS707" i="1"/>
  <c r="AM708" i="1"/>
  <c r="AN708" i="1"/>
  <c r="AO708" i="1"/>
  <c r="AR708" i="1"/>
  <c r="AS708" i="1"/>
  <c r="AM709" i="1"/>
  <c r="AN709" i="1"/>
  <c r="AO709" i="1"/>
  <c r="AR709" i="1"/>
  <c r="AS709" i="1"/>
  <c r="AM710" i="1"/>
  <c r="AN710" i="1"/>
  <c r="AO710" i="1"/>
  <c r="AR710" i="1"/>
  <c r="AS710" i="1"/>
  <c r="AM711" i="1"/>
  <c r="AN711" i="1"/>
  <c r="AO711" i="1"/>
  <c r="AR711" i="1"/>
  <c r="AS711" i="1"/>
  <c r="AM712" i="1"/>
  <c r="AN712" i="1"/>
  <c r="AO712" i="1"/>
  <c r="AR712" i="1"/>
  <c r="AS712" i="1"/>
  <c r="AM713" i="1"/>
  <c r="AN713" i="1"/>
  <c r="AO713" i="1"/>
  <c r="AR713" i="1"/>
  <c r="AS713" i="1"/>
  <c r="AM714" i="1"/>
  <c r="AN714" i="1"/>
  <c r="AO714" i="1"/>
  <c r="AR714" i="1"/>
  <c r="AS714" i="1"/>
  <c r="AM715" i="1"/>
  <c r="AO715" i="1"/>
  <c r="AR715" i="1"/>
  <c r="AS715" i="1"/>
  <c r="AM716" i="1"/>
  <c r="AN716" i="1"/>
  <c r="AO716" i="1"/>
  <c r="AR716" i="1"/>
  <c r="AS716" i="1"/>
  <c r="AM717" i="1"/>
  <c r="AN717" i="1"/>
  <c r="AO717" i="1"/>
  <c r="AR717" i="1"/>
  <c r="AS717" i="1"/>
  <c r="AM718" i="1"/>
  <c r="AN718" i="1"/>
  <c r="AO718" i="1"/>
  <c r="AR718" i="1"/>
  <c r="AS718" i="1"/>
  <c r="AM719" i="1"/>
  <c r="AN719" i="1"/>
  <c r="AO719" i="1"/>
  <c r="AR719" i="1"/>
  <c r="AS719" i="1"/>
  <c r="AM720" i="1"/>
  <c r="AN720" i="1"/>
  <c r="AO720" i="1"/>
  <c r="AR720" i="1"/>
  <c r="AS720" i="1"/>
  <c r="AM721" i="1"/>
  <c r="AN721" i="1"/>
  <c r="AO721" i="1"/>
  <c r="AR721" i="1"/>
  <c r="AS721" i="1"/>
  <c r="AM722" i="1"/>
  <c r="AO722" i="1"/>
  <c r="AR722" i="1"/>
  <c r="AS722" i="1"/>
  <c r="AM723" i="1"/>
  <c r="AO723" i="1"/>
  <c r="AR723" i="1"/>
  <c r="AS723" i="1"/>
  <c r="AM724" i="1"/>
  <c r="AN724" i="1"/>
  <c r="AO724" i="1"/>
  <c r="AR724" i="1"/>
  <c r="AS724" i="1"/>
  <c r="AM725" i="1"/>
  <c r="AO725" i="1"/>
  <c r="AR725" i="1"/>
  <c r="AS725" i="1"/>
  <c r="AM726" i="1"/>
  <c r="AO726" i="1"/>
  <c r="AR726" i="1"/>
  <c r="AS726" i="1"/>
  <c r="AM727" i="1"/>
  <c r="AO727" i="1"/>
  <c r="AR727" i="1"/>
  <c r="AS727" i="1"/>
  <c r="AM728" i="1"/>
  <c r="AN728" i="1"/>
  <c r="AO728" i="1"/>
  <c r="AR728" i="1"/>
  <c r="AS728" i="1"/>
  <c r="AM729" i="1"/>
  <c r="AN729" i="1"/>
  <c r="AO729" i="1"/>
  <c r="AR729" i="1"/>
  <c r="AS729" i="1"/>
  <c r="AM730" i="1"/>
  <c r="AN730" i="1"/>
  <c r="AO730" i="1"/>
  <c r="AR730" i="1"/>
  <c r="AS730" i="1"/>
  <c r="AM731" i="1"/>
  <c r="AN731" i="1"/>
  <c r="AO731" i="1"/>
  <c r="AR731" i="1"/>
  <c r="AS731" i="1"/>
  <c r="AM732" i="1"/>
  <c r="AN732" i="1"/>
  <c r="AO732" i="1"/>
  <c r="AR732" i="1"/>
  <c r="AS732" i="1"/>
  <c r="AM733" i="1"/>
  <c r="AO733" i="1"/>
  <c r="AR733" i="1"/>
  <c r="AS733" i="1"/>
  <c r="AM734" i="1"/>
  <c r="AO734" i="1"/>
  <c r="AR734" i="1"/>
  <c r="AS734" i="1"/>
  <c r="AM735" i="1"/>
  <c r="AO735" i="1"/>
  <c r="AR735" i="1"/>
  <c r="AS735" i="1"/>
  <c r="AM736" i="1"/>
  <c r="AO736" i="1"/>
  <c r="AR736" i="1"/>
  <c r="AS736" i="1"/>
  <c r="AM737" i="1"/>
  <c r="AO737" i="1"/>
  <c r="AR737" i="1"/>
  <c r="AS737" i="1"/>
  <c r="AM738" i="1"/>
  <c r="AN738" i="1"/>
  <c r="AO738" i="1"/>
  <c r="AR738" i="1"/>
  <c r="AS738" i="1"/>
  <c r="AM739" i="1"/>
  <c r="AN739" i="1"/>
  <c r="AO739" i="1"/>
  <c r="AR739" i="1"/>
  <c r="AS739" i="1"/>
  <c r="AM740" i="1"/>
  <c r="AN740" i="1"/>
  <c r="AO740" i="1"/>
  <c r="AR740" i="1"/>
  <c r="AS740" i="1"/>
  <c r="AM741" i="1"/>
  <c r="AO741" i="1"/>
  <c r="AR741" i="1"/>
  <c r="AS741" i="1"/>
  <c r="AM742" i="1"/>
  <c r="AO742" i="1"/>
  <c r="AR742" i="1"/>
  <c r="AS742" i="1"/>
  <c r="AM743" i="1"/>
  <c r="AO743" i="1"/>
  <c r="AR743" i="1"/>
  <c r="AS743" i="1"/>
  <c r="AM744" i="1"/>
  <c r="AO744" i="1"/>
  <c r="AR744" i="1"/>
  <c r="AS744" i="1"/>
  <c r="AM745" i="1"/>
  <c r="AN745" i="1"/>
  <c r="AO745" i="1"/>
  <c r="AR745" i="1"/>
  <c r="AS745" i="1"/>
  <c r="AM746" i="1"/>
  <c r="AO746" i="1"/>
  <c r="AR746" i="1"/>
  <c r="AS746" i="1"/>
  <c r="AM747" i="1"/>
  <c r="AO747" i="1"/>
  <c r="AR747" i="1"/>
  <c r="AS747" i="1"/>
  <c r="AM748" i="1"/>
  <c r="AO748" i="1"/>
  <c r="AR748" i="1"/>
  <c r="AS748" i="1"/>
  <c r="AM749" i="1"/>
  <c r="AO749" i="1"/>
  <c r="AR749" i="1"/>
  <c r="AS749" i="1"/>
  <c r="AM750" i="1"/>
  <c r="AO750" i="1"/>
  <c r="AR750" i="1"/>
  <c r="AS750" i="1"/>
  <c r="AM751" i="1"/>
  <c r="AN751" i="1"/>
  <c r="AO751" i="1"/>
  <c r="AR751" i="1"/>
  <c r="AS751" i="1"/>
  <c r="AM752" i="1"/>
  <c r="AN752" i="1"/>
  <c r="AO752" i="1"/>
  <c r="AR752" i="1"/>
  <c r="AS752" i="1"/>
  <c r="AM753" i="1"/>
  <c r="AN753" i="1"/>
  <c r="AO753" i="1"/>
  <c r="AR753" i="1"/>
  <c r="AS753" i="1"/>
  <c r="AM754" i="1"/>
  <c r="AN754" i="1"/>
  <c r="AO754" i="1"/>
  <c r="AR754" i="1"/>
  <c r="AS754" i="1"/>
  <c r="AM755" i="1"/>
  <c r="AN755" i="1"/>
  <c r="AO755" i="1"/>
  <c r="AR755" i="1"/>
  <c r="AS755" i="1"/>
  <c r="AM756" i="1"/>
  <c r="AN756" i="1"/>
  <c r="AO756" i="1"/>
  <c r="AR756" i="1"/>
  <c r="AS756" i="1"/>
  <c r="AM757" i="1"/>
  <c r="AN757" i="1"/>
  <c r="AO757" i="1"/>
  <c r="AR757" i="1"/>
  <c r="AS757" i="1"/>
  <c r="AM758" i="1"/>
  <c r="AN758" i="1"/>
  <c r="AO758" i="1"/>
  <c r="AR758" i="1"/>
  <c r="AS758" i="1"/>
  <c r="AM759" i="1"/>
  <c r="AN759" i="1"/>
  <c r="AO759" i="1"/>
  <c r="AR759" i="1"/>
  <c r="AS759" i="1"/>
  <c r="AM760" i="1"/>
  <c r="AN760" i="1"/>
  <c r="AO760" i="1"/>
  <c r="AR760" i="1"/>
  <c r="AS760" i="1"/>
  <c r="AM761" i="1"/>
  <c r="AO761" i="1"/>
  <c r="AR761" i="1"/>
  <c r="AS761" i="1"/>
  <c r="AM762" i="1"/>
  <c r="AO762" i="1"/>
  <c r="AR762" i="1"/>
  <c r="AS762" i="1"/>
  <c r="AM763" i="1"/>
  <c r="AN763" i="1"/>
  <c r="AO763" i="1"/>
  <c r="AR763" i="1"/>
  <c r="AS763" i="1"/>
  <c r="AM764" i="1"/>
  <c r="AO764" i="1"/>
  <c r="AR764" i="1"/>
  <c r="AS764" i="1"/>
  <c r="AM765" i="1"/>
  <c r="AO765" i="1"/>
  <c r="AR765" i="1"/>
  <c r="AS765" i="1"/>
  <c r="AM766" i="1"/>
  <c r="AN766" i="1"/>
  <c r="AO766" i="1"/>
  <c r="AR766" i="1"/>
  <c r="AS766" i="1"/>
  <c r="AM767" i="1"/>
  <c r="AN767" i="1"/>
  <c r="AO767" i="1"/>
  <c r="AR767" i="1"/>
  <c r="AS767" i="1"/>
  <c r="AM768" i="1"/>
  <c r="AN768" i="1"/>
  <c r="AO768" i="1"/>
  <c r="AR768" i="1"/>
  <c r="AS768" i="1"/>
  <c r="AM769" i="1"/>
  <c r="AN769" i="1"/>
  <c r="AO769" i="1"/>
  <c r="AR769" i="1"/>
  <c r="AS769" i="1"/>
  <c r="AM770" i="1"/>
  <c r="AN770" i="1"/>
  <c r="AO770" i="1"/>
  <c r="AR770" i="1"/>
  <c r="AS770" i="1"/>
  <c r="AM771" i="1"/>
  <c r="AN771" i="1"/>
  <c r="AO771" i="1"/>
  <c r="AR771" i="1"/>
  <c r="AS771" i="1"/>
  <c r="AM772" i="1"/>
  <c r="AN772" i="1"/>
  <c r="AO772" i="1"/>
  <c r="AR772" i="1"/>
  <c r="AS772" i="1"/>
  <c r="AM773" i="1"/>
  <c r="AN773" i="1"/>
  <c r="AO773" i="1"/>
  <c r="AR773" i="1"/>
  <c r="AS773" i="1"/>
  <c r="AM774" i="1"/>
  <c r="AN774" i="1"/>
  <c r="AO774" i="1"/>
  <c r="AR774" i="1"/>
  <c r="AS774" i="1"/>
  <c r="AM775" i="1"/>
  <c r="AN775" i="1"/>
  <c r="AO775" i="1"/>
  <c r="AR775" i="1"/>
  <c r="AS775" i="1"/>
  <c r="AM776" i="1"/>
  <c r="AO776" i="1"/>
  <c r="AR776" i="1"/>
  <c r="AS776" i="1"/>
  <c r="AM777" i="1"/>
  <c r="AO777" i="1"/>
  <c r="AR777" i="1"/>
  <c r="AS777" i="1"/>
  <c r="AM778" i="1"/>
  <c r="AN778" i="1"/>
  <c r="AO778" i="1"/>
  <c r="AR778" i="1"/>
  <c r="AS778" i="1"/>
  <c r="AJ779" i="1"/>
  <c r="AK779" i="1" s="1"/>
  <c r="AM779" i="1"/>
  <c r="AN779" i="1"/>
  <c r="AO779" i="1"/>
  <c r="AR779" i="1"/>
  <c r="AS779" i="1"/>
  <c r="AM780" i="1"/>
  <c r="AO780" i="1"/>
  <c r="AR780" i="1"/>
  <c r="AS780" i="1"/>
  <c r="AM781" i="1"/>
  <c r="AO781" i="1"/>
  <c r="AR781" i="1"/>
  <c r="AS781" i="1"/>
  <c r="AM782" i="1"/>
  <c r="AO782" i="1"/>
  <c r="AR782" i="1"/>
  <c r="AS782" i="1"/>
  <c r="AM783" i="1"/>
  <c r="AO783" i="1"/>
  <c r="AR783" i="1"/>
  <c r="AS783" i="1"/>
  <c r="AM784" i="1"/>
  <c r="AO784" i="1"/>
  <c r="AR784" i="1"/>
  <c r="AS784" i="1"/>
  <c r="AM785" i="1"/>
  <c r="AO785" i="1"/>
  <c r="AR785" i="1"/>
  <c r="AS785" i="1"/>
  <c r="AM786" i="1"/>
  <c r="AO786" i="1"/>
  <c r="AR786" i="1"/>
  <c r="AS786" i="1"/>
  <c r="AM787" i="1"/>
  <c r="AO787" i="1"/>
  <c r="AR787" i="1"/>
  <c r="AS787" i="1"/>
  <c r="AM788" i="1"/>
  <c r="AO788" i="1"/>
  <c r="AR788" i="1"/>
  <c r="AS788" i="1"/>
  <c r="AM789" i="1"/>
  <c r="AN789" i="1"/>
  <c r="AO789" i="1"/>
  <c r="AR789" i="1"/>
  <c r="AS789" i="1"/>
  <c r="AM790" i="1"/>
  <c r="AO790" i="1"/>
  <c r="AR790" i="1"/>
  <c r="AS790" i="1"/>
  <c r="AM791" i="1"/>
  <c r="AN791" i="1"/>
  <c r="AO791" i="1"/>
  <c r="AR791" i="1"/>
  <c r="AS791" i="1"/>
  <c r="AM792" i="1"/>
  <c r="AO792" i="1"/>
  <c r="AR792" i="1"/>
  <c r="AS792" i="1"/>
  <c r="AM793" i="1"/>
  <c r="AN793" i="1"/>
  <c r="AO793" i="1"/>
  <c r="AR793" i="1"/>
  <c r="AS793" i="1"/>
  <c r="AM794" i="1"/>
  <c r="AO794" i="1"/>
  <c r="AR794" i="1"/>
  <c r="AS794" i="1"/>
  <c r="AM795" i="1"/>
  <c r="AN795" i="1"/>
  <c r="AO795" i="1"/>
  <c r="AR795" i="1"/>
  <c r="AS795" i="1"/>
  <c r="AM796" i="1"/>
  <c r="AN796" i="1"/>
  <c r="AO796" i="1"/>
  <c r="AR796" i="1"/>
  <c r="AS796" i="1"/>
  <c r="AM797" i="1"/>
  <c r="AN797" i="1"/>
  <c r="AO797" i="1"/>
  <c r="AR797" i="1"/>
  <c r="AS797" i="1"/>
  <c r="AM798" i="1"/>
  <c r="AN798" i="1"/>
  <c r="AO798" i="1"/>
  <c r="AR798" i="1"/>
  <c r="AS798" i="1"/>
  <c r="AM799" i="1"/>
  <c r="AN799" i="1"/>
  <c r="AO799" i="1"/>
  <c r="AR799" i="1"/>
  <c r="AS799" i="1"/>
  <c r="AM800" i="1"/>
  <c r="AN800" i="1"/>
  <c r="AO800" i="1"/>
  <c r="AR800" i="1"/>
  <c r="AS800" i="1"/>
  <c r="AM801" i="1"/>
  <c r="AN801" i="1"/>
  <c r="AO801" i="1"/>
  <c r="AR801" i="1"/>
  <c r="AS801" i="1"/>
  <c r="AM802" i="1"/>
  <c r="AN802" i="1"/>
  <c r="AO802" i="1"/>
  <c r="AR802" i="1"/>
  <c r="AS802" i="1"/>
  <c r="AM803" i="1"/>
  <c r="AN803" i="1"/>
  <c r="AO803" i="1"/>
  <c r="AR803" i="1"/>
  <c r="AS803" i="1"/>
  <c r="AM804" i="1"/>
  <c r="AN804" i="1"/>
  <c r="AO804" i="1"/>
  <c r="AR804" i="1"/>
  <c r="AS804" i="1"/>
  <c r="AM805" i="1"/>
  <c r="AN805" i="1"/>
  <c r="AO805" i="1"/>
  <c r="AR805" i="1"/>
  <c r="AS805" i="1"/>
  <c r="AM806" i="1"/>
  <c r="AN806" i="1"/>
  <c r="AO806" i="1"/>
  <c r="AR806" i="1"/>
  <c r="AS806" i="1"/>
  <c r="AM807" i="1"/>
  <c r="AN807" i="1"/>
  <c r="AO807" i="1"/>
  <c r="AR807" i="1"/>
  <c r="AS807" i="1"/>
  <c r="AM808" i="1"/>
  <c r="AN808" i="1"/>
  <c r="AO808" i="1"/>
  <c r="AR808" i="1"/>
  <c r="AS808" i="1"/>
  <c r="AM809" i="1"/>
  <c r="AN809" i="1"/>
  <c r="AO809" i="1"/>
  <c r="AR809" i="1"/>
  <c r="AS809" i="1"/>
  <c r="AM810" i="1"/>
  <c r="AO810" i="1"/>
  <c r="AR810" i="1"/>
  <c r="AS810" i="1"/>
  <c r="AM811" i="1"/>
  <c r="AO811" i="1"/>
  <c r="AR811" i="1"/>
  <c r="AS811" i="1"/>
  <c r="AM812" i="1"/>
  <c r="AO812" i="1"/>
  <c r="AR812" i="1"/>
  <c r="AS812" i="1"/>
  <c r="AM813" i="1"/>
  <c r="AO813" i="1"/>
  <c r="AR813" i="1"/>
  <c r="AS813" i="1"/>
  <c r="AM814" i="1"/>
  <c r="AN814" i="1"/>
  <c r="AO814" i="1"/>
  <c r="AR814" i="1"/>
  <c r="AS814" i="1"/>
  <c r="AM815" i="1"/>
  <c r="AN815" i="1"/>
  <c r="AO815" i="1"/>
  <c r="AR815" i="1"/>
  <c r="AS815" i="1"/>
  <c r="AJ816" i="1"/>
  <c r="AM816" i="1"/>
  <c r="AN816" i="1"/>
  <c r="AO816" i="1"/>
  <c r="AR816" i="1"/>
  <c r="AS816" i="1"/>
  <c r="AM817" i="1"/>
  <c r="AO817" i="1"/>
  <c r="AR817" i="1"/>
  <c r="AS817" i="1"/>
  <c r="AM818" i="1"/>
  <c r="AN818" i="1"/>
  <c r="AO818" i="1"/>
  <c r="AR818" i="1"/>
  <c r="AS818" i="1"/>
  <c r="AM819" i="1"/>
  <c r="AN819" i="1"/>
  <c r="AO819" i="1"/>
  <c r="AR819" i="1"/>
  <c r="AS819" i="1"/>
  <c r="AM820" i="1"/>
  <c r="AN820" i="1"/>
  <c r="AO820" i="1"/>
  <c r="AR820" i="1"/>
  <c r="AS820" i="1"/>
  <c r="AM821" i="1"/>
  <c r="AN821" i="1"/>
  <c r="AO821" i="1"/>
  <c r="AR821" i="1"/>
  <c r="AS821" i="1"/>
  <c r="AM822" i="1"/>
  <c r="AN822" i="1"/>
  <c r="AO822" i="1"/>
  <c r="AR822" i="1"/>
  <c r="AS822" i="1"/>
  <c r="AM823" i="1"/>
  <c r="AN823" i="1"/>
  <c r="AO823" i="1"/>
  <c r="AR823" i="1"/>
  <c r="AS823" i="1"/>
  <c r="AM824" i="1"/>
  <c r="AN824" i="1"/>
  <c r="AO824" i="1"/>
  <c r="AR824" i="1"/>
  <c r="AS824" i="1"/>
  <c r="AM825" i="1"/>
  <c r="AN825" i="1"/>
  <c r="AO825" i="1"/>
  <c r="AR825" i="1"/>
  <c r="AS825" i="1"/>
  <c r="AM826" i="1"/>
  <c r="AO826" i="1"/>
  <c r="AR826" i="1"/>
  <c r="AS826" i="1"/>
  <c r="AM827" i="1"/>
  <c r="AN827" i="1"/>
  <c r="AO827" i="1"/>
  <c r="AR827" i="1"/>
  <c r="AS827" i="1"/>
  <c r="AM828" i="1"/>
  <c r="AN828" i="1"/>
  <c r="AO828" i="1"/>
  <c r="AR828" i="1"/>
  <c r="AS828" i="1"/>
  <c r="AM829" i="1"/>
  <c r="AN829" i="1"/>
  <c r="AO829" i="1"/>
  <c r="AR829" i="1"/>
  <c r="AS829" i="1"/>
  <c r="AM830" i="1"/>
  <c r="AO830" i="1"/>
  <c r="AR830" i="1"/>
  <c r="AS830" i="1"/>
  <c r="AM831" i="1"/>
  <c r="AO831" i="1"/>
  <c r="AR831" i="1"/>
  <c r="AS831" i="1"/>
  <c r="AM832" i="1"/>
  <c r="AO832" i="1"/>
  <c r="AR832" i="1"/>
  <c r="AS832" i="1"/>
  <c r="AM833" i="1"/>
  <c r="AO833" i="1"/>
  <c r="AR833" i="1"/>
  <c r="AS833" i="1"/>
  <c r="AM834" i="1"/>
  <c r="AO834" i="1"/>
  <c r="AR834" i="1"/>
  <c r="AS834" i="1"/>
  <c r="AM835" i="1"/>
  <c r="AO835" i="1"/>
  <c r="AR835" i="1"/>
  <c r="AS835" i="1"/>
  <c r="AM836" i="1"/>
  <c r="AO836" i="1"/>
  <c r="AR836" i="1"/>
  <c r="AS836" i="1"/>
  <c r="AM837" i="1"/>
  <c r="AO837" i="1"/>
  <c r="AR837" i="1"/>
  <c r="AS837" i="1"/>
  <c r="AM838" i="1"/>
  <c r="AN838" i="1"/>
  <c r="AO838" i="1"/>
  <c r="AR838" i="1"/>
  <c r="AS838" i="1"/>
  <c r="AM839" i="1"/>
  <c r="AN839" i="1"/>
  <c r="AO839" i="1"/>
  <c r="AR839" i="1"/>
  <c r="AS839" i="1"/>
  <c r="AM840" i="1"/>
  <c r="AO840" i="1"/>
  <c r="AR840" i="1"/>
  <c r="AS840" i="1"/>
  <c r="AM841" i="1"/>
  <c r="AO841" i="1"/>
  <c r="AR841" i="1"/>
  <c r="AS841" i="1"/>
  <c r="AM842" i="1"/>
  <c r="AO842" i="1"/>
  <c r="AR842" i="1"/>
  <c r="AS842" i="1"/>
  <c r="AM843" i="1"/>
  <c r="AN843" i="1"/>
  <c r="AO843" i="1"/>
  <c r="AR843" i="1"/>
  <c r="AS843" i="1"/>
  <c r="AM844" i="1"/>
  <c r="AO844" i="1"/>
  <c r="AR844" i="1"/>
  <c r="AS844" i="1"/>
  <c r="AM845" i="1"/>
  <c r="AN845" i="1"/>
  <c r="AO845" i="1"/>
  <c r="AR845" i="1"/>
  <c r="AS845" i="1"/>
  <c r="AM846" i="1"/>
  <c r="AN846" i="1"/>
  <c r="AO846" i="1"/>
  <c r="AR846" i="1"/>
  <c r="AS846" i="1"/>
  <c r="AM847" i="1"/>
  <c r="AO847" i="1"/>
  <c r="AR847" i="1"/>
  <c r="AS847" i="1"/>
  <c r="AM848" i="1"/>
  <c r="AN848" i="1"/>
  <c r="AO848" i="1"/>
  <c r="AR848" i="1"/>
  <c r="AS848" i="1"/>
  <c r="AM849" i="1"/>
  <c r="AN849" i="1"/>
  <c r="AO849" i="1"/>
  <c r="AR849" i="1"/>
  <c r="AS849" i="1"/>
  <c r="AM850" i="1"/>
  <c r="AN850" i="1"/>
  <c r="AO850" i="1"/>
  <c r="AR850" i="1"/>
  <c r="AS850" i="1"/>
  <c r="AM851" i="1"/>
  <c r="AO851" i="1"/>
  <c r="AR851" i="1"/>
  <c r="AS851" i="1"/>
  <c r="AM852" i="1"/>
  <c r="AO852" i="1"/>
  <c r="AR852" i="1"/>
  <c r="AS852" i="1"/>
  <c r="AM853" i="1"/>
  <c r="AN853" i="1"/>
  <c r="AO853" i="1"/>
  <c r="AR853" i="1"/>
  <c r="AS853" i="1"/>
  <c r="AM854" i="1"/>
  <c r="AN854" i="1"/>
  <c r="AO854" i="1"/>
  <c r="AR854" i="1"/>
  <c r="AS854" i="1"/>
  <c r="AJ855" i="1"/>
  <c r="AM855" i="1"/>
  <c r="AN855" i="1"/>
  <c r="AO855" i="1"/>
  <c r="AR855" i="1"/>
  <c r="AS855" i="1"/>
  <c r="AM856" i="1"/>
  <c r="AN856" i="1"/>
  <c r="AO856" i="1"/>
  <c r="AR856" i="1"/>
  <c r="AS856" i="1"/>
  <c r="AM857" i="1"/>
  <c r="AN857" i="1"/>
  <c r="AO857" i="1"/>
  <c r="AR857" i="1"/>
  <c r="AS857" i="1"/>
  <c r="AM858" i="1"/>
  <c r="AN858" i="1"/>
  <c r="AO858" i="1"/>
  <c r="AR858" i="1"/>
  <c r="AS858" i="1"/>
  <c r="AM859" i="1"/>
  <c r="AN859" i="1"/>
  <c r="AO859" i="1"/>
  <c r="AR859" i="1"/>
  <c r="AS859" i="1"/>
  <c r="AM860" i="1"/>
  <c r="AO860" i="1"/>
  <c r="AR860" i="1"/>
  <c r="AS860" i="1"/>
  <c r="AM861" i="1"/>
  <c r="AO861" i="1"/>
  <c r="AR861" i="1"/>
  <c r="AS861" i="1"/>
  <c r="AM862" i="1"/>
  <c r="AO862" i="1"/>
  <c r="AR862" i="1"/>
  <c r="AS862" i="1"/>
  <c r="AM863" i="1"/>
  <c r="AN863" i="1"/>
  <c r="AO863" i="1"/>
  <c r="AR863" i="1"/>
  <c r="AS863" i="1"/>
  <c r="AM864" i="1"/>
  <c r="AN864" i="1"/>
  <c r="AO864" i="1"/>
  <c r="AR864" i="1"/>
  <c r="AS864" i="1"/>
  <c r="AM865" i="1"/>
  <c r="AN865" i="1"/>
  <c r="AO865" i="1"/>
  <c r="AR865" i="1"/>
  <c r="AS865" i="1"/>
  <c r="AM866" i="1"/>
  <c r="AN866" i="1"/>
  <c r="AO866" i="1"/>
  <c r="AR866" i="1"/>
  <c r="AS866" i="1"/>
  <c r="AM867" i="1"/>
  <c r="AN867" i="1"/>
  <c r="AO867" i="1"/>
  <c r="AR867" i="1"/>
  <c r="AS867" i="1"/>
  <c r="AM868" i="1"/>
  <c r="AN868" i="1"/>
  <c r="AO868" i="1"/>
  <c r="AR868" i="1"/>
  <c r="AS868" i="1"/>
  <c r="AM869" i="1"/>
  <c r="AN869" i="1"/>
  <c r="AO869" i="1"/>
  <c r="AR869" i="1"/>
  <c r="AS869" i="1"/>
  <c r="AJ870" i="1"/>
  <c r="AK870" i="1" s="1"/>
  <c r="AM870" i="1"/>
  <c r="AN870" i="1"/>
  <c r="AO870" i="1"/>
  <c r="AR870" i="1"/>
  <c r="AS870" i="1"/>
  <c r="AM871" i="1"/>
  <c r="AO871" i="1"/>
  <c r="AR871" i="1"/>
  <c r="AS871" i="1"/>
  <c r="AJ872" i="1"/>
  <c r="AM872" i="1"/>
  <c r="AN872" i="1"/>
  <c r="AO872" i="1"/>
  <c r="AR872" i="1"/>
  <c r="AS872" i="1"/>
  <c r="AM873" i="1"/>
  <c r="AO873" i="1"/>
  <c r="AR873" i="1"/>
  <c r="AS873" i="1"/>
  <c r="AM874" i="1"/>
  <c r="AN874" i="1"/>
  <c r="AO874" i="1"/>
  <c r="AR874" i="1"/>
  <c r="AS874" i="1"/>
  <c r="AM875" i="1"/>
  <c r="AN875" i="1"/>
  <c r="AO875" i="1"/>
  <c r="AR875" i="1"/>
  <c r="AS875" i="1"/>
  <c r="AM876" i="1"/>
  <c r="AN876" i="1"/>
  <c r="AO876" i="1"/>
  <c r="AR876" i="1"/>
  <c r="AS876" i="1"/>
  <c r="AM877" i="1"/>
  <c r="AN877" i="1"/>
  <c r="AO877" i="1"/>
  <c r="AR877" i="1"/>
  <c r="AS877" i="1"/>
  <c r="AM878" i="1"/>
  <c r="AN878" i="1"/>
  <c r="AO878" i="1"/>
  <c r="AR878" i="1"/>
  <c r="AS878" i="1"/>
  <c r="AM879" i="1"/>
  <c r="AO879" i="1"/>
  <c r="AR879" i="1"/>
  <c r="AS879" i="1"/>
  <c r="AM880" i="1"/>
  <c r="AO880" i="1"/>
  <c r="AR880" i="1"/>
  <c r="AS880" i="1"/>
  <c r="AM881" i="1"/>
  <c r="AO881" i="1"/>
  <c r="AR881" i="1"/>
  <c r="AS881" i="1"/>
  <c r="AM882" i="1"/>
  <c r="AN882" i="1"/>
  <c r="AO882" i="1"/>
  <c r="AR882" i="1"/>
  <c r="AS882" i="1"/>
  <c r="AM883" i="1"/>
  <c r="AN883" i="1"/>
  <c r="AO883" i="1"/>
  <c r="AR883" i="1"/>
  <c r="AS883" i="1"/>
  <c r="AM884" i="1"/>
  <c r="AN884" i="1"/>
  <c r="AO884" i="1"/>
  <c r="AR884" i="1"/>
  <c r="AS884" i="1"/>
  <c r="AM885" i="1"/>
  <c r="AN885" i="1"/>
  <c r="AO885" i="1"/>
  <c r="AR885" i="1"/>
  <c r="AS885" i="1"/>
  <c r="AM886" i="1"/>
  <c r="AN886" i="1"/>
  <c r="AO886" i="1"/>
  <c r="AR886" i="1"/>
  <c r="AS886" i="1"/>
  <c r="AM887" i="1"/>
  <c r="AN887" i="1"/>
  <c r="AO887" i="1"/>
  <c r="AR887" i="1"/>
  <c r="AS887" i="1"/>
  <c r="AM888" i="1"/>
  <c r="AO888" i="1"/>
  <c r="AR888" i="1"/>
  <c r="AS888" i="1"/>
  <c r="AM889" i="1"/>
  <c r="AO889" i="1"/>
  <c r="AR889" i="1"/>
  <c r="AS889" i="1"/>
  <c r="AM890" i="1"/>
  <c r="AN890" i="1"/>
  <c r="AO890" i="1"/>
  <c r="AR890" i="1"/>
  <c r="AS890" i="1"/>
  <c r="AM891" i="1"/>
  <c r="AO891" i="1"/>
  <c r="AR891" i="1"/>
  <c r="AS891" i="1"/>
  <c r="AM892" i="1"/>
  <c r="AN892" i="1"/>
  <c r="AO892" i="1"/>
  <c r="AR892" i="1"/>
  <c r="AS892" i="1"/>
  <c r="AM893" i="1"/>
  <c r="AN893" i="1"/>
  <c r="AO893" i="1"/>
  <c r="AR893" i="1"/>
  <c r="AS893" i="1"/>
  <c r="AM894" i="1"/>
  <c r="AN894" i="1"/>
  <c r="AO894" i="1"/>
  <c r="AR894" i="1"/>
  <c r="AS894" i="1"/>
  <c r="AM895" i="1"/>
  <c r="AN895" i="1"/>
  <c r="AO895" i="1"/>
  <c r="AR895" i="1"/>
  <c r="AS895" i="1"/>
  <c r="AM896" i="1"/>
  <c r="AN896" i="1"/>
  <c r="AO896" i="1"/>
  <c r="AR896" i="1"/>
  <c r="AS896" i="1"/>
  <c r="AM897" i="1"/>
  <c r="AO897" i="1"/>
  <c r="AR897" i="1"/>
  <c r="AS897" i="1"/>
  <c r="AM898" i="1"/>
  <c r="AN898" i="1"/>
  <c r="AO898" i="1"/>
  <c r="AR898" i="1"/>
  <c r="AS898" i="1"/>
  <c r="AM899" i="1"/>
  <c r="AN899" i="1"/>
  <c r="AO899" i="1"/>
  <c r="AR899" i="1"/>
  <c r="AS899" i="1"/>
  <c r="AM900" i="1"/>
  <c r="AO900" i="1"/>
  <c r="AR900" i="1"/>
  <c r="AS900" i="1"/>
  <c r="AM901" i="1"/>
  <c r="AN901" i="1"/>
  <c r="AO901" i="1"/>
  <c r="AR901" i="1"/>
  <c r="AS901" i="1"/>
  <c r="S45" i="111" s="1"/>
  <c r="AM902" i="1"/>
  <c r="AN902" i="1"/>
  <c r="AO902" i="1"/>
  <c r="AR902" i="1"/>
  <c r="AS902" i="1"/>
  <c r="AM903" i="1"/>
  <c r="AO903" i="1"/>
  <c r="AR903" i="1"/>
  <c r="AS903" i="1"/>
  <c r="AM904" i="1"/>
  <c r="AN904" i="1"/>
  <c r="AO904" i="1"/>
  <c r="AR904" i="1"/>
  <c r="AS904" i="1"/>
  <c r="AM905" i="1"/>
  <c r="AN905" i="1"/>
  <c r="AO905" i="1"/>
  <c r="AR905" i="1"/>
  <c r="AS905" i="1"/>
  <c r="AM906" i="1"/>
  <c r="AN906" i="1"/>
  <c r="AO906" i="1"/>
  <c r="AR906" i="1"/>
  <c r="AS906" i="1"/>
  <c r="AM907" i="1"/>
  <c r="AO907" i="1"/>
  <c r="AR907" i="1"/>
  <c r="AS907" i="1"/>
  <c r="AM908" i="1"/>
  <c r="AN908" i="1"/>
  <c r="AO908" i="1"/>
  <c r="AR908" i="1"/>
  <c r="AS908" i="1"/>
  <c r="AM909" i="1"/>
  <c r="AN909" i="1"/>
  <c r="AO909" i="1"/>
  <c r="AR909" i="1"/>
  <c r="AS909" i="1"/>
  <c r="AM910" i="1"/>
  <c r="AN910" i="1"/>
  <c r="AO910" i="1"/>
  <c r="AR910" i="1"/>
  <c r="AS910" i="1"/>
  <c r="AM911" i="1"/>
  <c r="AO911" i="1"/>
  <c r="AR911" i="1"/>
  <c r="AS911" i="1"/>
  <c r="AM912" i="1"/>
  <c r="AN912" i="1"/>
  <c r="AO912" i="1"/>
  <c r="AR912" i="1"/>
  <c r="AS912" i="1"/>
  <c r="AM913" i="1"/>
  <c r="AN913" i="1"/>
  <c r="AO913" i="1"/>
  <c r="AR913" i="1"/>
  <c r="AS913" i="1"/>
  <c r="AM914" i="1"/>
  <c r="AN914" i="1"/>
  <c r="AO914" i="1"/>
  <c r="AR914" i="1"/>
  <c r="AS914" i="1"/>
  <c r="AM915" i="1"/>
  <c r="AN915" i="1"/>
  <c r="AO915" i="1"/>
  <c r="AR915" i="1"/>
  <c r="AS915" i="1"/>
  <c r="AM916" i="1"/>
  <c r="AN916" i="1"/>
  <c r="AO916" i="1"/>
  <c r="AR916" i="1"/>
  <c r="AS916" i="1"/>
  <c r="AM917" i="1"/>
  <c r="AN917" i="1"/>
  <c r="AO917" i="1"/>
  <c r="AR917" i="1"/>
  <c r="AS917" i="1"/>
  <c r="AM918" i="1"/>
  <c r="AN918" i="1"/>
  <c r="AO918" i="1"/>
  <c r="AR918" i="1"/>
  <c r="AS918" i="1"/>
  <c r="AM919" i="1"/>
  <c r="AN919" i="1"/>
  <c r="AO919" i="1"/>
  <c r="AR919" i="1"/>
  <c r="AS919" i="1"/>
  <c r="AM920" i="1"/>
  <c r="AN920" i="1"/>
  <c r="AO920" i="1"/>
  <c r="AR920" i="1"/>
  <c r="AS920" i="1"/>
  <c r="AM921" i="1"/>
  <c r="AN921" i="1"/>
  <c r="AO921" i="1"/>
  <c r="AR921" i="1"/>
  <c r="AS921" i="1"/>
  <c r="AM922" i="1"/>
  <c r="AN922" i="1"/>
  <c r="AO922" i="1"/>
  <c r="AR922" i="1"/>
  <c r="AS922" i="1"/>
  <c r="AM923" i="1"/>
  <c r="AN923" i="1"/>
  <c r="AO923" i="1"/>
  <c r="AR923" i="1"/>
  <c r="AS923" i="1"/>
  <c r="AM924" i="1"/>
  <c r="AN924" i="1"/>
  <c r="AO924" i="1"/>
  <c r="AR924" i="1"/>
  <c r="AS924" i="1"/>
  <c r="AM925" i="1"/>
  <c r="AN925" i="1"/>
  <c r="AO925" i="1"/>
  <c r="AR925" i="1"/>
  <c r="AS925" i="1"/>
  <c r="AM926" i="1"/>
  <c r="AN926" i="1"/>
  <c r="AO926" i="1"/>
  <c r="AR926" i="1"/>
  <c r="AS926" i="1"/>
  <c r="AM927" i="1"/>
  <c r="AN927" i="1"/>
  <c r="AO927" i="1"/>
  <c r="AR927" i="1"/>
  <c r="AS927" i="1"/>
  <c r="AM928" i="1"/>
  <c r="AN928" i="1"/>
  <c r="AO928" i="1"/>
  <c r="AR928" i="1"/>
  <c r="AS928" i="1"/>
  <c r="AM929" i="1"/>
  <c r="AN929" i="1"/>
  <c r="AO929" i="1"/>
  <c r="AR929" i="1"/>
  <c r="AS929" i="1"/>
  <c r="AM930" i="1"/>
  <c r="AO930" i="1"/>
  <c r="AR930" i="1"/>
  <c r="AS930" i="1"/>
  <c r="AM931" i="1"/>
  <c r="AO931" i="1"/>
  <c r="AR931" i="1"/>
  <c r="AS931" i="1"/>
  <c r="AM932" i="1"/>
  <c r="AO932" i="1"/>
  <c r="AR932" i="1"/>
  <c r="AS932" i="1"/>
  <c r="Q45" i="111" s="1"/>
  <c r="AM933" i="1"/>
  <c r="AO933" i="1"/>
  <c r="AR933" i="1"/>
  <c r="AS933" i="1"/>
  <c r="AM934" i="1"/>
  <c r="AO934" i="1"/>
  <c r="AR934" i="1"/>
  <c r="AS934" i="1"/>
  <c r="AM935" i="1"/>
  <c r="AO935" i="1"/>
  <c r="AR935" i="1"/>
  <c r="AS935" i="1"/>
  <c r="AM936" i="1"/>
  <c r="AO936" i="1"/>
  <c r="AR936" i="1"/>
  <c r="AS936" i="1"/>
  <c r="AM937" i="1"/>
  <c r="AN937" i="1"/>
  <c r="AO937" i="1"/>
  <c r="AR937" i="1"/>
  <c r="AS937" i="1"/>
  <c r="AM938" i="1"/>
  <c r="AO938" i="1"/>
  <c r="AR938" i="1"/>
  <c r="AS938" i="1"/>
  <c r="AM939" i="1"/>
  <c r="AN939" i="1"/>
  <c r="AO939" i="1"/>
  <c r="AR939" i="1"/>
  <c r="AS939" i="1"/>
  <c r="AM940" i="1"/>
  <c r="AN940" i="1"/>
  <c r="AO940" i="1"/>
  <c r="AR940" i="1"/>
  <c r="AS940" i="1"/>
  <c r="AM941" i="1"/>
  <c r="AN941" i="1"/>
  <c r="AO941" i="1"/>
  <c r="AR941" i="1"/>
  <c r="AS941" i="1"/>
  <c r="AM942" i="1"/>
  <c r="AN942" i="1"/>
  <c r="AO942" i="1"/>
  <c r="AR942" i="1"/>
  <c r="AS942" i="1"/>
  <c r="AM943" i="1"/>
  <c r="AO943" i="1"/>
  <c r="AR943" i="1"/>
  <c r="AS943" i="1"/>
  <c r="AM944" i="1"/>
  <c r="AN944" i="1"/>
  <c r="AO944" i="1"/>
  <c r="AR944" i="1"/>
  <c r="AS944" i="1"/>
  <c r="AM945" i="1"/>
  <c r="AN945" i="1"/>
  <c r="AO945" i="1"/>
  <c r="AR945" i="1"/>
  <c r="AS945" i="1"/>
  <c r="AM946" i="1"/>
  <c r="AO946" i="1"/>
  <c r="AR946" i="1"/>
  <c r="AS946" i="1"/>
  <c r="AM947" i="1"/>
  <c r="AN947" i="1"/>
  <c r="AO947" i="1"/>
  <c r="AR947" i="1"/>
  <c r="AS947" i="1"/>
  <c r="AM948" i="1"/>
  <c r="AO948" i="1"/>
  <c r="AR948" i="1"/>
  <c r="AS948" i="1"/>
  <c r="AM949" i="1"/>
  <c r="AO949" i="1"/>
  <c r="AR949" i="1"/>
  <c r="AS949" i="1"/>
  <c r="AM950" i="1"/>
  <c r="AO950" i="1"/>
  <c r="AR950" i="1"/>
  <c r="AS950" i="1"/>
  <c r="AM951" i="1"/>
  <c r="AN951" i="1"/>
  <c r="AO951" i="1"/>
  <c r="AR951" i="1"/>
  <c r="AS951" i="1"/>
  <c r="AM952" i="1"/>
  <c r="AO952" i="1"/>
  <c r="AR952" i="1"/>
  <c r="AS952" i="1"/>
  <c r="AJ953" i="1"/>
  <c r="AK953" i="1" s="1"/>
  <c r="AM953" i="1"/>
  <c r="AN953" i="1"/>
  <c r="AO953" i="1"/>
  <c r="AR953" i="1"/>
  <c r="AS953" i="1"/>
  <c r="AM954" i="1"/>
  <c r="AO954" i="1"/>
  <c r="AR954" i="1"/>
  <c r="AS954" i="1"/>
  <c r="AM955" i="1"/>
  <c r="AO955" i="1"/>
  <c r="AR955" i="1"/>
  <c r="AS955" i="1"/>
  <c r="AM956" i="1"/>
  <c r="AO956" i="1"/>
  <c r="AR956" i="1"/>
  <c r="AS956" i="1"/>
  <c r="AM957" i="1"/>
  <c r="AO957" i="1"/>
  <c r="AR957" i="1"/>
  <c r="AS957" i="1"/>
  <c r="AM958" i="1"/>
  <c r="AO958" i="1"/>
  <c r="AR958" i="1"/>
  <c r="AS958" i="1"/>
  <c r="AM959" i="1"/>
  <c r="AN959" i="1"/>
  <c r="AO959" i="1"/>
  <c r="AR959" i="1"/>
  <c r="AS959" i="1"/>
  <c r="AM960" i="1"/>
  <c r="AN960" i="1"/>
  <c r="AO960" i="1"/>
  <c r="AR960" i="1"/>
  <c r="AS960" i="1"/>
  <c r="AM961" i="1"/>
  <c r="AN961" i="1"/>
  <c r="AO961" i="1"/>
  <c r="AR961" i="1"/>
  <c r="AS961" i="1"/>
  <c r="AM962" i="1"/>
  <c r="AN962" i="1"/>
  <c r="AO962" i="1"/>
  <c r="AR962" i="1"/>
  <c r="AS962" i="1"/>
  <c r="AO963" i="1"/>
  <c r="AR963" i="1"/>
  <c r="AS963" i="1"/>
  <c r="AR964" i="1"/>
  <c r="AN968" i="1"/>
  <c r="AN969" i="1"/>
  <c r="AN970" i="1"/>
  <c r="AO970" i="1"/>
  <c r="AR970" i="1"/>
  <c r="AS970" i="1"/>
  <c r="AM971" i="1"/>
  <c r="AN971" i="1"/>
  <c r="AO971" i="1"/>
  <c r="AR971" i="1"/>
  <c r="AS971" i="1"/>
  <c r="AM972" i="1"/>
  <c r="AN972" i="1"/>
  <c r="AO972" i="1"/>
  <c r="AR972" i="1"/>
  <c r="AS972" i="1"/>
  <c r="AM973" i="1"/>
  <c r="AN973" i="1"/>
  <c r="AO973" i="1"/>
  <c r="AR973" i="1"/>
  <c r="AS973" i="1"/>
  <c r="AM974" i="1"/>
  <c r="AN974" i="1"/>
  <c r="AO974" i="1"/>
  <c r="AR974" i="1"/>
  <c r="AS974" i="1"/>
  <c r="AM975" i="1"/>
  <c r="AO975" i="1"/>
  <c r="AR975" i="1"/>
  <c r="AS975" i="1"/>
  <c r="AM976" i="1"/>
  <c r="AO976" i="1"/>
  <c r="AR976" i="1"/>
  <c r="AS976" i="1"/>
  <c r="S48" i="111" s="1"/>
  <c r="AM977" i="1"/>
  <c r="AO977" i="1"/>
  <c r="AR977" i="1"/>
  <c r="AS977" i="1"/>
  <c r="AM978" i="1"/>
  <c r="AO978" i="1"/>
  <c r="AR978" i="1"/>
  <c r="AS978" i="1"/>
  <c r="AM979" i="1"/>
  <c r="AO979" i="1"/>
  <c r="AR979" i="1"/>
  <c r="AS979" i="1"/>
  <c r="AM980" i="1"/>
  <c r="AO980" i="1"/>
  <c r="AR980" i="1"/>
  <c r="AS980" i="1"/>
  <c r="AM981" i="1"/>
  <c r="AO981" i="1"/>
  <c r="AR981" i="1"/>
  <c r="AS981" i="1"/>
  <c r="AM982" i="1"/>
  <c r="AO982" i="1"/>
  <c r="AR982" i="1"/>
  <c r="AS982" i="1"/>
  <c r="AM983" i="1"/>
  <c r="AO983" i="1"/>
  <c r="AR983" i="1"/>
  <c r="AS983" i="1"/>
  <c r="AM984" i="1"/>
  <c r="AO984" i="1"/>
  <c r="AR984" i="1"/>
  <c r="AS984" i="1"/>
  <c r="AM985" i="1"/>
  <c r="AO985" i="1"/>
  <c r="AR985" i="1"/>
  <c r="AS985" i="1"/>
  <c r="AM986" i="1"/>
  <c r="AO986" i="1"/>
  <c r="AR986" i="1"/>
  <c r="AS986" i="1"/>
  <c r="AM987" i="1"/>
  <c r="AO987" i="1"/>
  <c r="AR987" i="1"/>
  <c r="AS987" i="1"/>
  <c r="AM988" i="1"/>
  <c r="AO988" i="1"/>
  <c r="AR988" i="1"/>
  <c r="AS988" i="1"/>
  <c r="AM989" i="1"/>
  <c r="AN989" i="1"/>
  <c r="AO989" i="1"/>
  <c r="AR989" i="1"/>
  <c r="AS989" i="1"/>
  <c r="AM990" i="1"/>
  <c r="AO990" i="1"/>
  <c r="AR990" i="1"/>
  <c r="AS990" i="1"/>
  <c r="AM991" i="1"/>
  <c r="AO991" i="1"/>
  <c r="AR991" i="1"/>
  <c r="AS991" i="1"/>
  <c r="AM992" i="1"/>
  <c r="AN992" i="1"/>
  <c r="AO992" i="1"/>
  <c r="AR992" i="1"/>
  <c r="AS992" i="1"/>
  <c r="AM993" i="1"/>
  <c r="AO993" i="1"/>
  <c r="AR993" i="1"/>
  <c r="AS993" i="1"/>
  <c r="AM994" i="1"/>
  <c r="AN994" i="1"/>
  <c r="AO994" i="1"/>
  <c r="AR994" i="1"/>
  <c r="AS994" i="1"/>
  <c r="AM995" i="1"/>
  <c r="AN995" i="1"/>
  <c r="AO995" i="1"/>
  <c r="AR995" i="1"/>
  <c r="AS995" i="1"/>
  <c r="AM996" i="1"/>
  <c r="AN996" i="1"/>
  <c r="AO996" i="1"/>
  <c r="AR996" i="1"/>
  <c r="AS996" i="1"/>
  <c r="AM997" i="1"/>
  <c r="AN997" i="1"/>
  <c r="AO997" i="1"/>
  <c r="AR997" i="1"/>
  <c r="AS997" i="1"/>
  <c r="AM998" i="1"/>
  <c r="AN998" i="1"/>
  <c r="AO998" i="1"/>
  <c r="AR998" i="1"/>
  <c r="AS998" i="1"/>
  <c r="AM999" i="1"/>
  <c r="AN999" i="1"/>
  <c r="AO999" i="1"/>
  <c r="AR999" i="1"/>
  <c r="AS999" i="1"/>
  <c r="AM1000" i="1"/>
  <c r="AN1000" i="1"/>
  <c r="AO1000" i="1"/>
  <c r="AR1000" i="1"/>
  <c r="AS1000" i="1"/>
  <c r="AM1001" i="1"/>
  <c r="AN1001" i="1"/>
  <c r="AO1001" i="1"/>
  <c r="AR1001" i="1"/>
  <c r="AS1001" i="1"/>
  <c r="AM1002" i="1"/>
  <c r="AN1002" i="1"/>
  <c r="AO1002" i="1"/>
  <c r="AR1002" i="1"/>
  <c r="AS1002" i="1"/>
  <c r="AM1003" i="1"/>
  <c r="AN1003" i="1"/>
  <c r="AO1003" i="1"/>
  <c r="AR1003" i="1"/>
  <c r="AS1003" i="1"/>
  <c r="AM1004" i="1"/>
  <c r="AN1004" i="1"/>
  <c r="AO1004" i="1"/>
  <c r="AR1004" i="1"/>
  <c r="AS1004" i="1"/>
  <c r="AM1005" i="1"/>
  <c r="AN1005" i="1"/>
  <c r="AO1005" i="1"/>
  <c r="AR1005" i="1"/>
  <c r="AS1005" i="1"/>
  <c r="AM1006" i="1"/>
  <c r="AN1006" i="1"/>
  <c r="AO1006" i="1"/>
  <c r="AR1006" i="1"/>
  <c r="AS1006" i="1"/>
  <c r="AM1007" i="1"/>
  <c r="AN1007" i="1"/>
  <c r="AO1007" i="1"/>
  <c r="AR1007" i="1"/>
  <c r="AS1007" i="1"/>
  <c r="AM1008" i="1"/>
  <c r="AN1008" i="1"/>
  <c r="AO1008" i="1"/>
  <c r="AR1008" i="1"/>
  <c r="AS1008" i="1"/>
  <c r="AM1009" i="1"/>
  <c r="AN1009" i="1"/>
  <c r="AO1009" i="1"/>
  <c r="AR1009" i="1"/>
  <c r="AS1009" i="1"/>
  <c r="AM1010" i="1"/>
  <c r="AN1010" i="1"/>
  <c r="AO1010" i="1"/>
  <c r="AR1010" i="1"/>
  <c r="AS1010" i="1"/>
  <c r="AM1011" i="1"/>
  <c r="AN1011" i="1"/>
  <c r="AO1011" i="1"/>
  <c r="AR1011" i="1"/>
  <c r="AS1011" i="1"/>
  <c r="AM1012" i="1"/>
  <c r="AO1012" i="1"/>
  <c r="AR1012" i="1"/>
  <c r="AS1012" i="1"/>
  <c r="AM1013" i="1"/>
  <c r="AN1013" i="1"/>
  <c r="AO1013" i="1"/>
  <c r="AR1013" i="1"/>
  <c r="AS1013" i="1"/>
  <c r="AM1014" i="1"/>
  <c r="AN1014" i="1"/>
  <c r="AO1014" i="1"/>
  <c r="AR1014" i="1"/>
  <c r="AS1014" i="1"/>
  <c r="AM1015" i="1"/>
  <c r="AN1015" i="1"/>
  <c r="AO1015" i="1"/>
  <c r="AR1015" i="1"/>
  <c r="AS1015" i="1"/>
  <c r="AM1016" i="1"/>
  <c r="AO1016" i="1"/>
  <c r="AR1016" i="1"/>
  <c r="AS1016" i="1"/>
  <c r="AM1017" i="1"/>
  <c r="AN1017" i="1"/>
  <c r="AO1017" i="1"/>
  <c r="AR1017" i="1"/>
  <c r="AS1017" i="1"/>
  <c r="AM1018" i="1"/>
  <c r="AN1018" i="1"/>
  <c r="AO1018" i="1"/>
  <c r="AR1018" i="1"/>
  <c r="AS1018" i="1"/>
  <c r="AM1019" i="1"/>
  <c r="AN1019" i="1"/>
  <c r="AO1019" i="1"/>
  <c r="AR1019" i="1"/>
  <c r="AS1019" i="1"/>
  <c r="AM1020" i="1"/>
  <c r="AN1020" i="1"/>
  <c r="AO1020" i="1"/>
  <c r="AR1020" i="1"/>
  <c r="AS1020" i="1"/>
  <c r="AM1021" i="1"/>
  <c r="AN1021" i="1"/>
  <c r="AO1021" i="1"/>
  <c r="AR1021" i="1"/>
  <c r="AS1021" i="1"/>
  <c r="AM1022" i="1"/>
  <c r="AN1022" i="1"/>
  <c r="AO1022" i="1"/>
  <c r="AR1022" i="1"/>
  <c r="AS1022" i="1"/>
  <c r="AM1023" i="1"/>
  <c r="AN1023" i="1"/>
  <c r="AO1023" i="1"/>
  <c r="AR1023" i="1"/>
  <c r="AS1023" i="1"/>
  <c r="AM1024" i="1"/>
  <c r="AN1024" i="1"/>
  <c r="AO1024" i="1"/>
  <c r="AR1024" i="1"/>
  <c r="AS1024" i="1"/>
  <c r="AM1025" i="1"/>
  <c r="AN1025" i="1"/>
  <c r="AO1025" i="1"/>
  <c r="AR1025" i="1"/>
  <c r="AS1025" i="1"/>
  <c r="AM1026" i="1"/>
  <c r="AN1026" i="1"/>
  <c r="AO1026" i="1"/>
  <c r="AR1026" i="1"/>
  <c r="AS1026" i="1"/>
  <c r="AM1027" i="1"/>
  <c r="AN1027" i="1"/>
  <c r="AO1027" i="1"/>
  <c r="AR1027" i="1"/>
  <c r="AS1027" i="1"/>
  <c r="AM1028" i="1"/>
  <c r="AN1028" i="1"/>
  <c r="AO1028" i="1"/>
  <c r="AR1028" i="1"/>
  <c r="AS1028" i="1"/>
  <c r="AM1029" i="1"/>
  <c r="AN1029" i="1"/>
  <c r="AO1029" i="1"/>
  <c r="AR1029" i="1"/>
  <c r="AS1029" i="1"/>
  <c r="AM1030" i="1"/>
  <c r="AN1030" i="1"/>
  <c r="AO1030" i="1"/>
  <c r="AR1030" i="1"/>
  <c r="AS1030" i="1"/>
  <c r="AM1031" i="1"/>
  <c r="AN1031" i="1"/>
  <c r="AO1031" i="1"/>
  <c r="AR1031" i="1"/>
  <c r="AS1031" i="1"/>
  <c r="AM1032" i="1"/>
  <c r="AN1032" i="1"/>
  <c r="AO1032" i="1"/>
  <c r="AR1032" i="1"/>
  <c r="AS1032" i="1"/>
  <c r="AM1033" i="1"/>
  <c r="AN1033" i="1"/>
  <c r="AO1033" i="1"/>
  <c r="AR1033" i="1"/>
  <c r="AS1033" i="1"/>
  <c r="AM1034" i="1"/>
  <c r="AN1034" i="1"/>
  <c r="AO1034" i="1"/>
  <c r="AR1034" i="1"/>
  <c r="AS1034" i="1"/>
  <c r="AM1035" i="1"/>
  <c r="AN1035" i="1"/>
  <c r="AO1035" i="1"/>
  <c r="AR1035" i="1"/>
  <c r="AS1035" i="1"/>
  <c r="AM1036" i="1"/>
  <c r="AO1036" i="1"/>
  <c r="AR1036" i="1"/>
  <c r="AS1036" i="1"/>
  <c r="AM1037" i="1"/>
  <c r="AN1037" i="1"/>
  <c r="AO1037" i="1"/>
  <c r="AR1037" i="1"/>
  <c r="AS1037" i="1"/>
  <c r="AM1038" i="1"/>
  <c r="AN1038" i="1"/>
  <c r="AO1038" i="1"/>
  <c r="AR1038" i="1"/>
  <c r="AS1038" i="1"/>
  <c r="AM1039" i="1"/>
  <c r="AN1039" i="1"/>
  <c r="AO1039" i="1"/>
  <c r="AR1039" i="1"/>
  <c r="AS1039" i="1"/>
  <c r="AJ1040" i="1"/>
  <c r="AM1040" i="1"/>
  <c r="AN1040" i="1"/>
  <c r="AO1040" i="1"/>
  <c r="AR1040" i="1"/>
  <c r="AS1040" i="1"/>
  <c r="AM1041" i="1"/>
  <c r="AN1041" i="1"/>
  <c r="AO1041" i="1"/>
  <c r="AR1041" i="1"/>
  <c r="AS1041" i="1"/>
  <c r="AM1042" i="1"/>
  <c r="AN1042" i="1"/>
  <c r="AO1042" i="1"/>
  <c r="AR1042" i="1"/>
  <c r="AS1042" i="1"/>
  <c r="AM1043" i="1"/>
  <c r="AN1043" i="1"/>
  <c r="AO1043" i="1"/>
  <c r="AR1043" i="1"/>
  <c r="AS1043" i="1"/>
  <c r="AM1044" i="1"/>
  <c r="AN1044" i="1"/>
  <c r="AO1044" i="1"/>
  <c r="AR1044" i="1"/>
  <c r="AS1044" i="1"/>
  <c r="AM1045" i="1"/>
  <c r="AN1045" i="1"/>
  <c r="AO1045" i="1"/>
  <c r="AR1045" i="1"/>
  <c r="AS1045" i="1"/>
  <c r="AM1046" i="1"/>
  <c r="AN1046" i="1"/>
  <c r="AO1046" i="1"/>
  <c r="AR1046" i="1"/>
  <c r="AS1046" i="1"/>
  <c r="AM1047" i="1"/>
  <c r="AN1047" i="1"/>
  <c r="AO1047" i="1"/>
  <c r="AR1047" i="1"/>
  <c r="AS1047" i="1"/>
  <c r="AM1048" i="1"/>
  <c r="AN1048" i="1"/>
  <c r="AO1048" i="1"/>
  <c r="AR1048" i="1"/>
  <c r="AS1048" i="1"/>
  <c r="AM1049" i="1"/>
  <c r="AN1049" i="1"/>
  <c r="AO1049" i="1"/>
  <c r="AR1049" i="1"/>
  <c r="AS1049" i="1"/>
  <c r="AM1050" i="1"/>
  <c r="AN1050" i="1"/>
  <c r="AO1050" i="1"/>
  <c r="AR1050" i="1"/>
  <c r="AS1050" i="1"/>
  <c r="AM1051" i="1"/>
  <c r="AO1051" i="1"/>
  <c r="AR1051" i="1"/>
  <c r="AS1051" i="1"/>
  <c r="AM1052" i="1"/>
  <c r="AO1052" i="1"/>
  <c r="AR1052" i="1"/>
  <c r="AS1052" i="1"/>
  <c r="AM1053" i="1"/>
  <c r="AO1053" i="1"/>
  <c r="AR1053" i="1"/>
  <c r="AS1053" i="1"/>
  <c r="AM1054" i="1"/>
  <c r="AO1054" i="1"/>
  <c r="AR1054" i="1"/>
  <c r="AS1054" i="1"/>
  <c r="AM1055" i="1"/>
  <c r="AO1055" i="1"/>
  <c r="AR1055" i="1"/>
  <c r="AS1055" i="1"/>
  <c r="AM1056" i="1"/>
  <c r="AO1056" i="1"/>
  <c r="AR1056" i="1"/>
  <c r="AS1056" i="1"/>
  <c r="AM1057" i="1"/>
  <c r="AO1057" i="1"/>
  <c r="AR1057" i="1"/>
  <c r="AS1057" i="1"/>
  <c r="AM1058" i="1"/>
  <c r="AO1058" i="1"/>
  <c r="AR1058" i="1"/>
  <c r="AS1058" i="1"/>
  <c r="AM1059" i="1"/>
  <c r="AO1059" i="1"/>
  <c r="AR1059" i="1"/>
  <c r="AS1059" i="1"/>
  <c r="AM1060" i="1"/>
  <c r="AO1060" i="1"/>
  <c r="AR1060" i="1"/>
  <c r="AS1060" i="1"/>
  <c r="AM1061" i="1"/>
  <c r="AO1061" i="1"/>
  <c r="AR1061" i="1"/>
  <c r="AS1061" i="1"/>
  <c r="AM1062" i="1"/>
  <c r="AO1062" i="1"/>
  <c r="AR1062" i="1"/>
  <c r="AS1062" i="1"/>
  <c r="AM1063" i="1"/>
  <c r="AO1063" i="1"/>
  <c r="AR1063" i="1"/>
  <c r="AS1063" i="1"/>
  <c r="AM1071" i="1"/>
  <c r="AO1071" i="1"/>
  <c r="AR1071" i="1"/>
  <c r="AS1071" i="1"/>
  <c r="AM1072" i="1"/>
  <c r="AO1072" i="1"/>
  <c r="AR1072" i="1"/>
  <c r="AS1072" i="1"/>
  <c r="AM1073" i="1"/>
  <c r="AO1073" i="1"/>
  <c r="AR1073" i="1"/>
  <c r="AS1073" i="1"/>
  <c r="AM1074" i="1"/>
  <c r="AO1074" i="1"/>
  <c r="AR1074" i="1"/>
  <c r="AS1074" i="1"/>
  <c r="AM1075" i="1"/>
  <c r="AN1075" i="1"/>
  <c r="AO1075" i="1"/>
  <c r="AR1075" i="1"/>
  <c r="AS1075" i="1"/>
  <c r="AM1076" i="1"/>
  <c r="AN1076" i="1"/>
  <c r="AO1076" i="1"/>
  <c r="AR1076" i="1"/>
  <c r="AS1076" i="1"/>
  <c r="AM1077" i="1"/>
  <c r="AN1077" i="1"/>
  <c r="AO1077" i="1"/>
  <c r="AR1077" i="1"/>
  <c r="AS1077" i="1"/>
  <c r="AM1078" i="1"/>
  <c r="AN1078" i="1"/>
  <c r="AO1078" i="1"/>
  <c r="AR1078" i="1"/>
  <c r="AS1078" i="1"/>
  <c r="AM1079" i="1"/>
  <c r="AN1079" i="1"/>
  <c r="AO1079" i="1"/>
  <c r="AR1079" i="1"/>
  <c r="AS1079" i="1"/>
  <c r="AM1080" i="1"/>
  <c r="AN1080" i="1"/>
  <c r="AO1080" i="1"/>
  <c r="AR1080" i="1"/>
  <c r="AS1080" i="1"/>
  <c r="AM1081" i="1"/>
  <c r="AN1081" i="1"/>
  <c r="AO1081" i="1"/>
  <c r="AR1081" i="1"/>
  <c r="AS1081" i="1"/>
  <c r="AM1082" i="1"/>
  <c r="AN1082" i="1"/>
  <c r="AO1082" i="1"/>
  <c r="AR1082" i="1"/>
  <c r="AS1082" i="1"/>
  <c r="AM1083" i="1"/>
  <c r="AN1083" i="1"/>
  <c r="AO1083" i="1"/>
  <c r="AR1083" i="1"/>
  <c r="AS1083" i="1"/>
  <c r="AM1084" i="1"/>
  <c r="AN1084" i="1"/>
  <c r="AO1084" i="1"/>
  <c r="AR1084" i="1"/>
  <c r="AS1084" i="1"/>
  <c r="AM1085" i="1"/>
  <c r="AN1085" i="1"/>
  <c r="AO1085" i="1"/>
  <c r="AR1085" i="1"/>
  <c r="AS1085" i="1"/>
  <c r="AM1086" i="1"/>
  <c r="AN1086" i="1"/>
  <c r="AO1086" i="1"/>
  <c r="AR1086" i="1"/>
  <c r="AS1086" i="1"/>
  <c r="AM1087" i="1"/>
  <c r="AN1087" i="1"/>
  <c r="AO1087" i="1"/>
  <c r="AR1087" i="1"/>
  <c r="AS1087" i="1"/>
  <c r="AM1088" i="1"/>
  <c r="AN1088" i="1"/>
  <c r="AO1088" i="1"/>
  <c r="AR1088" i="1"/>
  <c r="AS1088" i="1"/>
  <c r="AM1089" i="1"/>
  <c r="AN1089" i="1"/>
  <c r="AO1089" i="1"/>
  <c r="AR1089" i="1"/>
  <c r="AS1089" i="1"/>
  <c r="AM1090" i="1"/>
  <c r="AN1090" i="1"/>
  <c r="AO1090" i="1"/>
  <c r="AR1090" i="1"/>
  <c r="AS1090" i="1"/>
  <c r="AM1091" i="1"/>
  <c r="AN1091" i="1"/>
  <c r="AO1091" i="1"/>
  <c r="AR1091" i="1"/>
  <c r="AS1091" i="1"/>
  <c r="AM1092" i="1"/>
  <c r="AN1092" i="1"/>
  <c r="AO1092" i="1"/>
  <c r="AR1092" i="1"/>
  <c r="AS1092" i="1"/>
  <c r="AM1093" i="1"/>
  <c r="AN1093" i="1"/>
  <c r="AO1093" i="1"/>
  <c r="AR1093" i="1"/>
  <c r="AS1093" i="1"/>
  <c r="AM1094" i="1"/>
  <c r="AN1094" i="1"/>
  <c r="AO1094" i="1"/>
  <c r="AR1094" i="1"/>
  <c r="AS1094" i="1"/>
  <c r="AM1095" i="1"/>
  <c r="AN1095" i="1"/>
  <c r="AO1095" i="1"/>
  <c r="AR1095" i="1"/>
  <c r="AS1095" i="1"/>
  <c r="AM1096" i="1"/>
  <c r="AN1096" i="1"/>
  <c r="AO1096" i="1"/>
  <c r="AR1096" i="1"/>
  <c r="AS1096" i="1"/>
  <c r="AM1097" i="1"/>
  <c r="AN1097" i="1"/>
  <c r="AO1097" i="1"/>
  <c r="AR1097" i="1"/>
  <c r="AS1097" i="1"/>
  <c r="AM1098" i="1"/>
  <c r="AN1098" i="1"/>
  <c r="AO1098" i="1"/>
  <c r="AR1098" i="1"/>
  <c r="AS1098" i="1"/>
  <c r="AM1099" i="1"/>
  <c r="AN1099" i="1"/>
  <c r="AO1099" i="1"/>
  <c r="AR1099" i="1"/>
  <c r="AS1099" i="1"/>
  <c r="AM1100" i="1"/>
  <c r="AO1100" i="1"/>
  <c r="AR1100" i="1"/>
  <c r="AS1100" i="1"/>
  <c r="AM1101" i="1"/>
  <c r="AO1101" i="1"/>
  <c r="AR1101" i="1"/>
  <c r="AS1101" i="1"/>
  <c r="AM1102" i="1"/>
  <c r="AN1102" i="1"/>
  <c r="AO1102" i="1"/>
  <c r="AR1102" i="1"/>
  <c r="AS1102" i="1"/>
  <c r="AM1103" i="1"/>
  <c r="AN1103" i="1"/>
  <c r="AO1103" i="1"/>
  <c r="AR1103" i="1"/>
  <c r="AS1103" i="1"/>
  <c r="AM1104" i="1"/>
  <c r="AN1104" i="1"/>
  <c r="AO1104" i="1"/>
  <c r="AR1104" i="1"/>
  <c r="AS1104" i="1"/>
  <c r="AM1105" i="1"/>
  <c r="AN1105" i="1"/>
  <c r="AO1105" i="1"/>
  <c r="AR1105" i="1"/>
  <c r="AS1105" i="1"/>
  <c r="AM1106" i="1"/>
  <c r="AN1106" i="1"/>
  <c r="AO1106" i="1"/>
  <c r="AR1106" i="1"/>
  <c r="AS1106" i="1"/>
  <c r="AM1107" i="1"/>
  <c r="AN1107" i="1"/>
  <c r="AO1107" i="1"/>
  <c r="AR1107" i="1"/>
  <c r="AS1107" i="1"/>
  <c r="AM1108" i="1"/>
  <c r="AN1108" i="1"/>
  <c r="AO1108" i="1"/>
  <c r="AR1108" i="1"/>
  <c r="AS1108" i="1"/>
  <c r="AM1109" i="1"/>
  <c r="AN1109" i="1"/>
  <c r="AO1109" i="1"/>
  <c r="AR1109" i="1"/>
  <c r="AS1109" i="1"/>
  <c r="AM1110" i="1"/>
  <c r="AN1110" i="1"/>
  <c r="AO1110" i="1"/>
  <c r="AR1110" i="1"/>
  <c r="AS1110" i="1"/>
  <c r="AM1111" i="1"/>
  <c r="AO1111" i="1"/>
  <c r="AR1111" i="1"/>
  <c r="AS1111" i="1"/>
  <c r="AM1112" i="1"/>
  <c r="AN1112" i="1"/>
  <c r="AO1112" i="1"/>
  <c r="AR1112" i="1"/>
  <c r="AS1112" i="1"/>
  <c r="AM1113" i="1"/>
  <c r="AN1113" i="1"/>
  <c r="AO1113" i="1"/>
  <c r="AR1113" i="1"/>
  <c r="AS1113" i="1"/>
  <c r="AM1114" i="1"/>
  <c r="AO1114" i="1"/>
  <c r="AR1114" i="1"/>
  <c r="AS1114" i="1"/>
  <c r="AM1115" i="1"/>
  <c r="AO1115" i="1"/>
  <c r="AR1115" i="1"/>
  <c r="AS1115" i="1"/>
  <c r="AM1116" i="1"/>
  <c r="AO1116" i="1"/>
  <c r="AR1116" i="1"/>
  <c r="AS1116" i="1"/>
  <c r="AM1117" i="1"/>
  <c r="AN1117" i="1"/>
  <c r="AO1117" i="1"/>
  <c r="AR1117" i="1"/>
  <c r="AS1117" i="1"/>
  <c r="AM1118" i="1"/>
  <c r="AN1118" i="1"/>
  <c r="AO1118" i="1"/>
  <c r="AR1118" i="1"/>
  <c r="AS1118" i="1"/>
  <c r="AM1119" i="1"/>
  <c r="AN1119" i="1"/>
  <c r="AO1119" i="1"/>
  <c r="AR1119" i="1"/>
  <c r="AS1119" i="1"/>
  <c r="AM1120" i="1"/>
  <c r="AO1120" i="1"/>
  <c r="AR1120" i="1"/>
  <c r="AS1120" i="1"/>
  <c r="AM1121" i="1"/>
  <c r="AO1121" i="1"/>
  <c r="AR1121" i="1"/>
  <c r="AS1121" i="1"/>
  <c r="AM1122" i="1"/>
  <c r="AN1122" i="1"/>
  <c r="AO1122" i="1"/>
  <c r="AR1122" i="1"/>
  <c r="AS1122" i="1"/>
  <c r="AM1123" i="1"/>
  <c r="AN1123" i="1"/>
  <c r="AO1123" i="1"/>
  <c r="AR1123" i="1"/>
  <c r="AS1123" i="1"/>
  <c r="AM1124" i="1"/>
  <c r="AN1124" i="1"/>
  <c r="AO1124" i="1"/>
  <c r="AR1124" i="1"/>
  <c r="AS1124" i="1"/>
  <c r="AM1125" i="1"/>
  <c r="AN1125" i="1"/>
  <c r="AO1125" i="1"/>
  <c r="AR1125" i="1"/>
  <c r="AS1125" i="1"/>
  <c r="AM1126" i="1"/>
  <c r="AN1126" i="1"/>
  <c r="AO1126" i="1"/>
  <c r="AR1126" i="1"/>
  <c r="AS1126" i="1"/>
  <c r="AM1127" i="1"/>
  <c r="AN1127" i="1"/>
  <c r="AO1127" i="1"/>
  <c r="AR1127" i="1"/>
  <c r="AS1127" i="1"/>
  <c r="AM1128" i="1"/>
  <c r="AN1128" i="1"/>
  <c r="AO1128" i="1"/>
  <c r="AR1128" i="1"/>
  <c r="AS1128" i="1"/>
  <c r="AM1129" i="1"/>
  <c r="AN1129" i="1"/>
  <c r="AO1129" i="1"/>
  <c r="AR1129" i="1"/>
  <c r="AS1129" i="1"/>
  <c r="AM1130" i="1"/>
  <c r="AN1130" i="1"/>
  <c r="AO1130" i="1"/>
  <c r="AR1130" i="1"/>
  <c r="AS1130" i="1"/>
  <c r="AM1131" i="1"/>
  <c r="AN1131" i="1"/>
  <c r="AO1131" i="1"/>
  <c r="AR1131" i="1"/>
  <c r="AS1131" i="1"/>
  <c r="AM1132" i="1"/>
  <c r="AO1132" i="1"/>
  <c r="AR1132" i="1"/>
  <c r="AS1132" i="1"/>
  <c r="AM1133" i="1"/>
  <c r="AN1133" i="1"/>
  <c r="AO1133" i="1"/>
  <c r="AR1133" i="1"/>
  <c r="AS1133" i="1"/>
  <c r="AM1134" i="1"/>
  <c r="AN1134" i="1"/>
  <c r="AO1134" i="1"/>
  <c r="AR1134" i="1"/>
  <c r="AS1134" i="1"/>
  <c r="AM1135" i="1"/>
  <c r="AN1135" i="1"/>
  <c r="AO1135" i="1"/>
  <c r="AR1135" i="1"/>
  <c r="AS1135" i="1"/>
  <c r="AM1136" i="1"/>
  <c r="AN1136" i="1"/>
  <c r="AO1136" i="1"/>
  <c r="AR1136" i="1"/>
  <c r="AS1136" i="1"/>
  <c r="AM1137" i="1"/>
  <c r="AN1137" i="1"/>
  <c r="AO1137" i="1"/>
  <c r="AR1137" i="1"/>
  <c r="AS1137" i="1"/>
  <c r="AM1138" i="1"/>
  <c r="AO1138" i="1"/>
  <c r="AR1138" i="1"/>
  <c r="AS1138" i="1"/>
  <c r="AM1139" i="1"/>
  <c r="AN1139" i="1"/>
  <c r="AO1139" i="1"/>
  <c r="AR1139" i="1"/>
  <c r="AS1139" i="1"/>
  <c r="AM1140" i="1"/>
  <c r="AN1140" i="1"/>
  <c r="AO1140" i="1"/>
  <c r="AR1140" i="1"/>
  <c r="AS1140" i="1"/>
  <c r="AM1141" i="1"/>
  <c r="AN1141" i="1"/>
  <c r="AO1141" i="1"/>
  <c r="AR1141" i="1"/>
  <c r="AS1141" i="1"/>
  <c r="AM1142" i="1"/>
  <c r="AN1142" i="1"/>
  <c r="AO1142" i="1"/>
  <c r="AR1142" i="1"/>
  <c r="AS1142" i="1"/>
  <c r="AM1143" i="1"/>
  <c r="AN1143" i="1"/>
  <c r="AO1143" i="1"/>
  <c r="AR1143" i="1"/>
  <c r="AS1143" i="1"/>
  <c r="AM1144" i="1"/>
  <c r="AN1144" i="1"/>
  <c r="AO1144" i="1"/>
  <c r="AR1144" i="1"/>
  <c r="AS1144" i="1"/>
  <c r="AM1145" i="1"/>
  <c r="AO1145" i="1"/>
  <c r="AR1145" i="1"/>
  <c r="AS1145" i="1"/>
  <c r="AM1146" i="1"/>
  <c r="AN1146" i="1"/>
  <c r="AO1146" i="1"/>
  <c r="AR1146" i="1"/>
  <c r="AS1146" i="1"/>
  <c r="AM1147" i="1"/>
  <c r="AN1147" i="1"/>
  <c r="AO1147" i="1"/>
  <c r="AR1147" i="1"/>
  <c r="AS1147" i="1"/>
  <c r="AM1148" i="1"/>
  <c r="AN1148" i="1"/>
  <c r="AO1148" i="1"/>
  <c r="AR1148" i="1"/>
  <c r="AS1148" i="1"/>
  <c r="AM1149" i="1"/>
  <c r="AN1149" i="1"/>
  <c r="AO1149" i="1"/>
  <c r="AR1149" i="1"/>
  <c r="AS1149" i="1"/>
  <c r="AM1150" i="1"/>
  <c r="AN1150" i="1"/>
  <c r="AO1150" i="1"/>
  <c r="AR1150" i="1"/>
  <c r="AS1150" i="1"/>
  <c r="AM1151" i="1"/>
  <c r="AN1151" i="1"/>
  <c r="AO1151" i="1"/>
  <c r="AR1151" i="1"/>
  <c r="AS1151" i="1"/>
  <c r="AM1152" i="1"/>
  <c r="AO1152" i="1"/>
  <c r="AR1152" i="1"/>
  <c r="AS1152" i="1"/>
  <c r="AM1153" i="1"/>
  <c r="AO1153" i="1"/>
  <c r="AR1153" i="1"/>
  <c r="AS1153" i="1"/>
  <c r="AM1154" i="1"/>
  <c r="AN1154" i="1"/>
  <c r="AO1154" i="1"/>
  <c r="AR1154" i="1"/>
  <c r="AS1154" i="1"/>
  <c r="AM1155" i="1"/>
  <c r="AN1155" i="1"/>
  <c r="AO1155" i="1"/>
  <c r="AR1155" i="1"/>
  <c r="AS1155" i="1"/>
  <c r="AM1156" i="1"/>
  <c r="AN1156" i="1"/>
  <c r="AO1156" i="1"/>
  <c r="AR1156" i="1"/>
  <c r="AS1156" i="1"/>
  <c r="AM1157" i="1"/>
  <c r="AN1157" i="1"/>
  <c r="AO1157" i="1"/>
  <c r="AR1157" i="1"/>
  <c r="AS1157" i="1"/>
  <c r="AM1158" i="1"/>
  <c r="AN1158" i="1"/>
  <c r="AO1158" i="1"/>
  <c r="AR1158" i="1"/>
  <c r="AS1158" i="1"/>
  <c r="AM1159" i="1"/>
  <c r="AO1159" i="1"/>
  <c r="AR1159" i="1"/>
  <c r="AS1159" i="1"/>
  <c r="AM1160" i="1"/>
  <c r="AN1160" i="1"/>
  <c r="AO1160" i="1"/>
  <c r="AR1160" i="1"/>
  <c r="AS1160" i="1"/>
  <c r="AM1161" i="1"/>
  <c r="AN1161" i="1"/>
  <c r="AO1161" i="1"/>
  <c r="AR1161" i="1"/>
  <c r="AS1161" i="1"/>
  <c r="AM1162" i="1"/>
  <c r="AN1162" i="1"/>
  <c r="AO1162" i="1"/>
  <c r="AR1162" i="1"/>
  <c r="AS1162" i="1"/>
  <c r="AM1163" i="1"/>
  <c r="AN1163" i="1"/>
  <c r="AO1163" i="1"/>
  <c r="AR1163" i="1"/>
  <c r="AS1163" i="1"/>
  <c r="AM1164" i="1"/>
  <c r="AO1164" i="1"/>
  <c r="AR1164" i="1"/>
  <c r="AS1164" i="1"/>
  <c r="AM1165" i="1"/>
  <c r="AN1165" i="1"/>
  <c r="AO1165" i="1"/>
  <c r="AR1165" i="1"/>
  <c r="AS1165" i="1"/>
  <c r="AM1166" i="1"/>
  <c r="AN1166" i="1"/>
  <c r="AO1166" i="1"/>
  <c r="AR1166" i="1"/>
  <c r="AS1166" i="1"/>
  <c r="AM1167" i="1"/>
  <c r="AN1167" i="1"/>
  <c r="AO1167" i="1"/>
  <c r="AR1167" i="1"/>
  <c r="AS1167" i="1"/>
  <c r="AM1168" i="1"/>
  <c r="AN1168" i="1"/>
  <c r="AO1168" i="1"/>
  <c r="AR1168" i="1"/>
  <c r="AS1168" i="1"/>
  <c r="AM1169" i="1"/>
  <c r="AN1169" i="1"/>
  <c r="AO1169" i="1"/>
  <c r="AR1169" i="1"/>
  <c r="AS1169" i="1"/>
  <c r="AM1170" i="1"/>
  <c r="AN1170" i="1"/>
  <c r="AO1170" i="1"/>
  <c r="AR1170" i="1"/>
  <c r="AS1170" i="1"/>
  <c r="AM1171" i="1"/>
  <c r="AN1171" i="1"/>
  <c r="AO1171" i="1"/>
  <c r="AR1171" i="1"/>
  <c r="AS1171" i="1"/>
  <c r="AM1172" i="1"/>
  <c r="AN1172" i="1"/>
  <c r="AO1172" i="1"/>
  <c r="AR1172" i="1"/>
  <c r="AS1172" i="1"/>
  <c r="AM1173" i="1"/>
  <c r="AN1173" i="1"/>
  <c r="AO1173" i="1"/>
  <c r="AR1173" i="1"/>
  <c r="AS1173" i="1"/>
  <c r="AM1174" i="1"/>
  <c r="AN1174" i="1"/>
  <c r="AO1174" i="1"/>
  <c r="AR1174" i="1"/>
  <c r="AS1174" i="1"/>
  <c r="AM1175" i="1"/>
  <c r="AN1175" i="1"/>
  <c r="AO1175" i="1"/>
  <c r="AR1175" i="1"/>
  <c r="AS1175" i="1"/>
  <c r="AM1176" i="1"/>
  <c r="AN1176" i="1"/>
  <c r="AO1176" i="1"/>
  <c r="AR1176" i="1"/>
  <c r="AS1176" i="1"/>
  <c r="AM1177" i="1"/>
  <c r="AN1177" i="1"/>
  <c r="AO1177" i="1"/>
  <c r="AR1177" i="1"/>
  <c r="AS1177" i="1"/>
  <c r="AM1178" i="1"/>
  <c r="AN1178" i="1"/>
  <c r="AO1178" i="1"/>
  <c r="AR1178" i="1"/>
  <c r="AS1178" i="1"/>
  <c r="AM1179" i="1"/>
  <c r="AN1179" i="1"/>
  <c r="AO1179" i="1"/>
  <c r="AR1179" i="1"/>
  <c r="AS1179" i="1"/>
  <c r="AM1180" i="1"/>
  <c r="AN1180" i="1"/>
  <c r="AO1180" i="1"/>
  <c r="AR1180" i="1"/>
  <c r="AS1180" i="1"/>
  <c r="AM1181" i="1"/>
  <c r="AN1181" i="1"/>
  <c r="AO1181" i="1"/>
  <c r="AR1181" i="1"/>
  <c r="AS1181" i="1"/>
  <c r="AM1182" i="1"/>
  <c r="AN1182" i="1"/>
  <c r="AO1182" i="1"/>
  <c r="AR1182" i="1"/>
  <c r="AS1182" i="1"/>
  <c r="AM1183" i="1"/>
  <c r="AN1183" i="1"/>
  <c r="AO1183" i="1"/>
  <c r="AR1183" i="1"/>
  <c r="AS1183" i="1"/>
  <c r="AM1184" i="1"/>
  <c r="AN1184" i="1"/>
  <c r="AO1184" i="1"/>
  <c r="AR1184" i="1"/>
  <c r="AS1184" i="1"/>
  <c r="AM1185" i="1"/>
  <c r="AO1185" i="1"/>
  <c r="AR1185" i="1"/>
  <c r="AS1185" i="1"/>
  <c r="AM1186" i="1"/>
  <c r="AN1186" i="1"/>
  <c r="AO1186" i="1"/>
  <c r="AR1186" i="1"/>
  <c r="AS1186" i="1"/>
  <c r="AM1187" i="1"/>
  <c r="AN1187" i="1"/>
  <c r="AO1187" i="1"/>
  <c r="AR1187" i="1"/>
  <c r="AS1187" i="1"/>
  <c r="AM1188" i="1"/>
  <c r="AN1188" i="1"/>
  <c r="AO1188" i="1"/>
  <c r="AR1188" i="1"/>
  <c r="AS1188" i="1"/>
  <c r="AM1189" i="1"/>
  <c r="AN1189" i="1"/>
  <c r="AO1189" i="1"/>
  <c r="AR1189" i="1"/>
  <c r="AS1189" i="1"/>
  <c r="AM1190" i="1"/>
  <c r="AN1190" i="1"/>
  <c r="AO1190" i="1"/>
  <c r="AR1190" i="1"/>
  <c r="AS1190" i="1"/>
  <c r="AM1191" i="1"/>
  <c r="AN1191" i="1"/>
  <c r="AO1191" i="1"/>
  <c r="AR1191" i="1"/>
  <c r="AS1191" i="1"/>
  <c r="AM1192" i="1"/>
  <c r="AN1192" i="1"/>
  <c r="AO1192" i="1"/>
  <c r="AR1192" i="1"/>
  <c r="AS1192" i="1"/>
  <c r="AM1193" i="1"/>
  <c r="AN1193" i="1"/>
  <c r="AO1193" i="1"/>
  <c r="AR1193" i="1"/>
  <c r="AS1193" i="1"/>
  <c r="AM1194" i="1"/>
  <c r="AN1194" i="1"/>
  <c r="AO1194" i="1"/>
  <c r="AR1194" i="1"/>
  <c r="AS1194" i="1"/>
  <c r="AM1195" i="1"/>
  <c r="AN1195" i="1"/>
  <c r="AO1195" i="1"/>
  <c r="AR1195" i="1"/>
  <c r="AS1195" i="1"/>
  <c r="AM1196" i="1"/>
  <c r="AN1196" i="1"/>
  <c r="AO1196" i="1"/>
  <c r="AR1196" i="1"/>
  <c r="AS1196" i="1"/>
  <c r="AM1197" i="1"/>
  <c r="AN1197" i="1"/>
  <c r="AO1197" i="1"/>
  <c r="AR1197" i="1"/>
  <c r="AS1197" i="1"/>
  <c r="AM1198" i="1"/>
  <c r="AN1198" i="1"/>
  <c r="AO1198" i="1"/>
  <c r="AR1198" i="1"/>
  <c r="AS1198" i="1"/>
  <c r="AM1199" i="1"/>
  <c r="AN1199" i="1"/>
  <c r="AO1199" i="1"/>
  <c r="AR1199" i="1"/>
  <c r="AS1199" i="1"/>
  <c r="AM1200" i="1"/>
  <c r="AN1200" i="1"/>
  <c r="AO1200" i="1"/>
  <c r="AR1200" i="1"/>
  <c r="AS1200" i="1"/>
  <c r="AM1201" i="1"/>
  <c r="AN1201" i="1"/>
  <c r="AO1201" i="1"/>
  <c r="AR1201" i="1"/>
  <c r="AS1201" i="1"/>
  <c r="AM1202" i="1"/>
  <c r="AN1202" i="1"/>
  <c r="AO1202" i="1"/>
  <c r="AR1202" i="1"/>
  <c r="AS1202" i="1"/>
  <c r="AM1203" i="1"/>
  <c r="AN1203" i="1"/>
  <c r="AO1203" i="1"/>
  <c r="AR1203" i="1"/>
  <c r="AS1203" i="1"/>
  <c r="AM1204" i="1"/>
  <c r="AN1204" i="1"/>
  <c r="AO1204" i="1"/>
  <c r="AR1204" i="1"/>
  <c r="AS1204" i="1"/>
  <c r="AM1205" i="1"/>
  <c r="AN1205" i="1"/>
  <c r="AO1205" i="1"/>
  <c r="AR1205" i="1"/>
  <c r="AS1205" i="1"/>
  <c r="AM1206" i="1"/>
  <c r="AN1206" i="1"/>
  <c r="AO1206" i="1"/>
  <c r="AR1206" i="1"/>
  <c r="AS1206" i="1"/>
  <c r="AM1207" i="1"/>
  <c r="AO1207" i="1"/>
  <c r="AR1207" i="1"/>
  <c r="AS1207" i="1"/>
  <c r="AM1208" i="1"/>
  <c r="AN1208" i="1"/>
  <c r="AO1208" i="1"/>
  <c r="AR1208" i="1"/>
  <c r="AS1208" i="1"/>
  <c r="AM1209" i="1"/>
  <c r="AN1209" i="1"/>
  <c r="AO1209" i="1"/>
  <c r="AR1209" i="1"/>
  <c r="AS1209" i="1"/>
  <c r="AM1210" i="1"/>
  <c r="AN1210" i="1"/>
  <c r="AO1210" i="1"/>
  <c r="AR1210" i="1"/>
  <c r="AS1210" i="1"/>
  <c r="AM1211" i="1"/>
  <c r="AN1211" i="1"/>
  <c r="AO1211" i="1"/>
  <c r="AR1211" i="1"/>
  <c r="AS1211" i="1"/>
  <c r="AM1212" i="1"/>
  <c r="AN1212" i="1"/>
  <c r="AO1212" i="1"/>
  <c r="AR1212" i="1"/>
  <c r="AS1212" i="1"/>
  <c r="AM1213" i="1"/>
  <c r="AN1213" i="1"/>
  <c r="AO1213" i="1"/>
  <c r="AR1213" i="1"/>
  <c r="AS1213" i="1"/>
  <c r="AM1214" i="1"/>
  <c r="AN1214" i="1"/>
  <c r="AO1214" i="1"/>
  <c r="AR1214" i="1"/>
  <c r="AS1214" i="1"/>
  <c r="AM1215" i="1"/>
  <c r="AN1215" i="1"/>
  <c r="AO1215" i="1"/>
  <c r="AR1215" i="1"/>
  <c r="AS1215" i="1"/>
  <c r="AM1217" i="1"/>
  <c r="AN1217" i="1"/>
  <c r="AO1217" i="1"/>
  <c r="AR1217" i="1"/>
  <c r="AS1217" i="1"/>
  <c r="AM1218" i="1"/>
  <c r="AN1218" i="1"/>
  <c r="AO1218" i="1"/>
  <c r="AR1218" i="1"/>
  <c r="AS1218" i="1"/>
  <c r="AM1219" i="1"/>
  <c r="AN1219" i="1"/>
  <c r="AO1219" i="1"/>
  <c r="AR1219" i="1"/>
  <c r="AS1219" i="1"/>
  <c r="AM1220" i="1"/>
  <c r="AN1220" i="1"/>
  <c r="AO1220" i="1"/>
  <c r="AR1220" i="1"/>
  <c r="AS1220" i="1"/>
  <c r="AM1221" i="1"/>
  <c r="AN1221" i="1"/>
  <c r="AO1221" i="1"/>
  <c r="AR1221" i="1"/>
  <c r="AS1221" i="1"/>
  <c r="AM1222" i="1"/>
  <c r="AN1222" i="1"/>
  <c r="AO1222" i="1"/>
  <c r="AR1222" i="1"/>
  <c r="AS1222" i="1"/>
  <c r="AM1223" i="1"/>
  <c r="AN1223" i="1"/>
  <c r="AO1223" i="1"/>
  <c r="AR1223" i="1"/>
  <c r="AS1223" i="1"/>
  <c r="AM1224" i="1"/>
  <c r="AN1224" i="1"/>
  <c r="AO1224" i="1"/>
  <c r="AR1224" i="1"/>
  <c r="AS1224" i="1"/>
  <c r="AM1225" i="1"/>
  <c r="AO1225" i="1"/>
  <c r="AR1225" i="1"/>
  <c r="AS1225" i="1"/>
  <c r="AM1226" i="1"/>
  <c r="AN1226" i="1"/>
  <c r="AO1226" i="1"/>
  <c r="AR1226" i="1"/>
  <c r="AS1226" i="1"/>
  <c r="AM1227" i="1"/>
  <c r="AN1227" i="1"/>
  <c r="AO1227" i="1"/>
  <c r="AR1227" i="1"/>
  <c r="AS1227" i="1"/>
  <c r="AM1235" i="1"/>
  <c r="AN1235" i="1"/>
  <c r="AO1235" i="1"/>
  <c r="AR1235" i="1"/>
  <c r="AS1235" i="1"/>
  <c r="AM1236" i="1"/>
  <c r="AN1236" i="1"/>
  <c r="AO1236" i="1"/>
  <c r="AR1236" i="1"/>
  <c r="AS1236" i="1"/>
  <c r="AM1237" i="1"/>
  <c r="AN1237" i="1"/>
  <c r="AO1237" i="1"/>
  <c r="AR1237" i="1"/>
  <c r="AS1237" i="1"/>
  <c r="AM1238" i="1"/>
  <c r="AN1238" i="1"/>
  <c r="AO1238" i="1"/>
  <c r="AR1238" i="1"/>
  <c r="AS1238" i="1"/>
  <c r="AM1239" i="1"/>
  <c r="AN1239" i="1"/>
  <c r="AO1239" i="1"/>
  <c r="AR1239" i="1"/>
  <c r="AS1239" i="1"/>
  <c r="AM1240" i="1"/>
  <c r="AO1240" i="1"/>
  <c r="AR1240" i="1"/>
  <c r="AS1240" i="1"/>
  <c r="AM1241" i="1"/>
  <c r="AN1241" i="1"/>
  <c r="AO1241" i="1"/>
  <c r="AR1241" i="1"/>
  <c r="AS1241" i="1"/>
  <c r="AM1242" i="1"/>
  <c r="AN1242" i="1"/>
  <c r="AO1242" i="1"/>
  <c r="AR1242" i="1"/>
  <c r="AS1242" i="1"/>
  <c r="AM1243" i="1"/>
  <c r="AN1243" i="1"/>
  <c r="AO1243" i="1"/>
  <c r="AR1243" i="1"/>
  <c r="AS1243" i="1"/>
  <c r="AM1244" i="1"/>
  <c r="AO1244" i="1"/>
  <c r="AR1244" i="1"/>
  <c r="AS1244" i="1"/>
  <c r="AM1245" i="1"/>
  <c r="AN1245" i="1"/>
  <c r="AO1245" i="1"/>
  <c r="AR1245" i="1"/>
  <c r="AS1245" i="1"/>
  <c r="AM1246" i="1"/>
  <c r="AO1246" i="1"/>
  <c r="AR1246" i="1"/>
  <c r="AS1246" i="1"/>
  <c r="AM1247" i="1"/>
  <c r="AO1247" i="1"/>
  <c r="AR1247" i="1"/>
  <c r="AS1247" i="1"/>
  <c r="AM1248" i="1"/>
  <c r="AO1248" i="1"/>
  <c r="AR1248" i="1"/>
  <c r="AS1248" i="1"/>
  <c r="AM1249" i="1"/>
  <c r="AO1249" i="1"/>
  <c r="AR1249" i="1"/>
  <c r="AS1249" i="1"/>
  <c r="AM1250" i="1"/>
  <c r="AN1250" i="1"/>
  <c r="AO1250" i="1"/>
  <c r="AR1250" i="1"/>
  <c r="AS1250" i="1"/>
  <c r="AM1251" i="1"/>
  <c r="AO1251" i="1"/>
  <c r="AR1251" i="1"/>
  <c r="AS1251" i="1"/>
  <c r="AM1252" i="1"/>
  <c r="AN1252" i="1"/>
  <c r="AO1252" i="1"/>
  <c r="AR1252" i="1"/>
  <c r="AS1252" i="1"/>
  <c r="AM1253" i="1"/>
  <c r="AN1253" i="1"/>
  <c r="AO1253" i="1"/>
  <c r="AR1253" i="1"/>
  <c r="AS1253" i="1"/>
  <c r="AM1254" i="1"/>
  <c r="AN1254" i="1"/>
  <c r="AO1254" i="1"/>
  <c r="AR1254" i="1"/>
  <c r="AS1254" i="1"/>
  <c r="AM1255" i="1"/>
  <c r="AN1255" i="1"/>
  <c r="AO1255" i="1"/>
  <c r="AR1255" i="1"/>
  <c r="AS1255" i="1"/>
  <c r="AM1256" i="1"/>
  <c r="AN1256" i="1"/>
  <c r="AO1256" i="1"/>
  <c r="AR1256" i="1"/>
  <c r="AS1256" i="1"/>
  <c r="AM1257" i="1"/>
  <c r="AN1257" i="1"/>
  <c r="AO1257" i="1"/>
  <c r="AR1257" i="1"/>
  <c r="AS1257" i="1"/>
  <c r="AM1258" i="1"/>
  <c r="AN1258" i="1"/>
  <c r="AO1258" i="1"/>
  <c r="AR1258" i="1"/>
  <c r="AS1258" i="1"/>
  <c r="AM1259" i="1"/>
  <c r="AN1259" i="1"/>
  <c r="AO1259" i="1"/>
  <c r="AR1259" i="1"/>
  <c r="AS1259" i="1"/>
  <c r="AM1260" i="1"/>
  <c r="AN1260" i="1"/>
  <c r="AO1260" i="1"/>
  <c r="AR1260" i="1"/>
  <c r="AS1260" i="1"/>
  <c r="AM1261" i="1"/>
  <c r="AN1261" i="1"/>
  <c r="AO1261" i="1"/>
  <c r="AR1261" i="1"/>
  <c r="AS1261" i="1"/>
  <c r="AM1262" i="1"/>
  <c r="AN1262" i="1"/>
  <c r="AO1262" i="1"/>
  <c r="AR1262" i="1"/>
  <c r="AS1262" i="1"/>
  <c r="AM1263" i="1"/>
  <c r="AN1263" i="1"/>
  <c r="AO1263" i="1"/>
  <c r="AR1263" i="1"/>
  <c r="AS1263" i="1"/>
  <c r="AM1264" i="1"/>
  <c r="AN1264" i="1"/>
  <c r="AO1264" i="1"/>
  <c r="AR1264" i="1"/>
  <c r="AS1264" i="1"/>
  <c r="AM1265" i="1"/>
  <c r="AN1265" i="1"/>
  <c r="AO1265" i="1"/>
  <c r="AR1265" i="1"/>
  <c r="AS1265" i="1"/>
  <c r="AM1266" i="1"/>
  <c r="AN1266" i="1"/>
  <c r="AO1266" i="1"/>
  <c r="AR1266" i="1"/>
  <c r="AS1266" i="1"/>
  <c r="AM1267" i="1"/>
  <c r="AN1267" i="1"/>
  <c r="AO1267" i="1"/>
  <c r="AR1267" i="1"/>
  <c r="AS1267" i="1"/>
  <c r="AM1268" i="1"/>
  <c r="AN1268" i="1"/>
  <c r="AO1268" i="1"/>
  <c r="AR1268" i="1"/>
  <c r="AS1268" i="1"/>
  <c r="AM1269" i="1"/>
  <c r="AN1269" i="1"/>
  <c r="AO1269" i="1"/>
  <c r="AR1269" i="1"/>
  <c r="AS1269" i="1"/>
  <c r="AM1270" i="1"/>
  <c r="AN1270" i="1"/>
  <c r="AO1270" i="1"/>
  <c r="AR1270" i="1"/>
  <c r="AS1270" i="1"/>
  <c r="AM1271" i="1"/>
  <c r="AN1271" i="1"/>
  <c r="AO1271" i="1"/>
  <c r="AR1271" i="1"/>
  <c r="AS1271" i="1"/>
  <c r="AM1272" i="1"/>
  <c r="AO1272" i="1"/>
  <c r="AR1272" i="1"/>
  <c r="AS1272" i="1"/>
  <c r="AM1273" i="1"/>
  <c r="AN1273" i="1"/>
  <c r="AO1273" i="1"/>
  <c r="AR1273" i="1"/>
  <c r="AS1273" i="1"/>
  <c r="AM1274" i="1"/>
  <c r="AN1274" i="1"/>
  <c r="AO1274" i="1"/>
  <c r="AR1274" i="1"/>
  <c r="AS1274" i="1"/>
  <c r="AM1275" i="1"/>
  <c r="AN1275" i="1"/>
  <c r="AO1275" i="1"/>
  <c r="AR1275" i="1"/>
  <c r="AS1275" i="1"/>
  <c r="AM1276" i="1"/>
  <c r="AN1276" i="1"/>
  <c r="AO1276" i="1"/>
  <c r="AR1276" i="1"/>
  <c r="AS1276" i="1"/>
  <c r="AM1277" i="1"/>
  <c r="AN1277" i="1"/>
  <c r="AO1277" i="1"/>
  <c r="AR1277" i="1"/>
  <c r="AS1277" i="1"/>
  <c r="AM1278" i="1"/>
  <c r="AN1278" i="1"/>
  <c r="AO1278" i="1"/>
  <c r="AR1278" i="1"/>
  <c r="AS1278" i="1"/>
  <c r="AM1279" i="1"/>
  <c r="AN1279" i="1"/>
  <c r="AO1279" i="1"/>
  <c r="AR1279" i="1"/>
  <c r="AS1279" i="1"/>
  <c r="AM1284" i="1"/>
  <c r="AN1284" i="1"/>
  <c r="AO1284" i="1"/>
  <c r="AR1284" i="1"/>
  <c r="AS1284" i="1"/>
  <c r="AM1285" i="1"/>
  <c r="AN1285" i="1"/>
  <c r="AO1285" i="1"/>
  <c r="AR1285" i="1"/>
  <c r="AS1285" i="1"/>
  <c r="AM1286" i="1"/>
  <c r="AN1286" i="1"/>
  <c r="AO1286" i="1"/>
  <c r="AR1286" i="1"/>
  <c r="AS1286" i="1"/>
  <c r="AM1287" i="1"/>
  <c r="AN1287" i="1"/>
  <c r="AO1287" i="1"/>
  <c r="AR1287" i="1"/>
  <c r="AS1287" i="1"/>
  <c r="AM1288" i="1"/>
  <c r="AN1288" i="1"/>
  <c r="AO1288" i="1"/>
  <c r="AR1288" i="1"/>
  <c r="AS1288" i="1"/>
  <c r="AM1289" i="1"/>
  <c r="AN1289" i="1"/>
  <c r="AO1289" i="1"/>
  <c r="AR1289" i="1"/>
  <c r="AS1289" i="1"/>
  <c r="AM1290" i="1"/>
  <c r="AN1290" i="1"/>
  <c r="AO1290" i="1"/>
  <c r="AR1290" i="1"/>
  <c r="AS1290" i="1"/>
  <c r="AM1291" i="1"/>
  <c r="AN1291" i="1"/>
  <c r="AO1291" i="1"/>
  <c r="AR1291" i="1"/>
  <c r="AS1291" i="1"/>
  <c r="AM1292" i="1"/>
  <c r="AN1292" i="1"/>
  <c r="AO1292" i="1"/>
  <c r="AR1292" i="1"/>
  <c r="AS1292" i="1"/>
  <c r="AM1293" i="1"/>
  <c r="AN1293" i="1"/>
  <c r="AO1293" i="1"/>
  <c r="AR1293" i="1"/>
  <c r="AS1293" i="1"/>
  <c r="AM1294" i="1"/>
  <c r="AN1294" i="1"/>
  <c r="AO1294" i="1"/>
  <c r="AR1294" i="1"/>
  <c r="AS1294" i="1"/>
  <c r="AM1295" i="1"/>
  <c r="AN1295" i="1"/>
  <c r="AO1295" i="1"/>
  <c r="AR1295" i="1"/>
  <c r="AS1295" i="1"/>
  <c r="AM1296" i="1"/>
  <c r="AN1296" i="1"/>
  <c r="AO1296" i="1"/>
  <c r="AR1296" i="1"/>
  <c r="AS1296" i="1"/>
  <c r="AM1297" i="1"/>
  <c r="AN1297" i="1"/>
  <c r="AO1297" i="1"/>
  <c r="AR1297" i="1"/>
  <c r="AS1297" i="1"/>
  <c r="AM1298" i="1"/>
  <c r="AN1298" i="1"/>
  <c r="AO1298" i="1"/>
  <c r="AR1298" i="1"/>
  <c r="AS1298" i="1"/>
  <c r="AM1299" i="1"/>
  <c r="AN1299" i="1"/>
  <c r="AO1299" i="1"/>
  <c r="AR1299" i="1"/>
  <c r="AS1299" i="1"/>
  <c r="AM1300" i="1"/>
  <c r="AN1300" i="1"/>
  <c r="AO1300" i="1"/>
  <c r="AR1300" i="1"/>
  <c r="AS1300" i="1"/>
  <c r="AM1301" i="1"/>
  <c r="AN1301" i="1"/>
  <c r="AO1301" i="1"/>
  <c r="AR1301" i="1"/>
  <c r="AS1301" i="1"/>
  <c r="AM1302" i="1"/>
  <c r="AN1302" i="1"/>
  <c r="AO1302" i="1"/>
  <c r="AR1302" i="1"/>
  <c r="AS1302" i="1"/>
  <c r="AM1303" i="1"/>
  <c r="AN1303" i="1"/>
  <c r="AO1303" i="1"/>
  <c r="AR1303" i="1"/>
  <c r="AS1303" i="1"/>
  <c r="AM1304" i="1"/>
  <c r="AN1304" i="1"/>
  <c r="AO1304" i="1"/>
  <c r="AR1304" i="1"/>
  <c r="AS1304" i="1"/>
  <c r="AM1305" i="1"/>
  <c r="AN1305" i="1"/>
  <c r="AO1305" i="1"/>
  <c r="AR1305" i="1"/>
  <c r="AS1305" i="1"/>
  <c r="AM1306" i="1"/>
  <c r="AN1306" i="1"/>
  <c r="AO1306" i="1"/>
  <c r="AR1306" i="1"/>
  <c r="AS1306" i="1"/>
  <c r="AM1307" i="1"/>
  <c r="AN1307" i="1"/>
  <c r="AO1307" i="1"/>
  <c r="AR1307" i="1"/>
  <c r="AS1307" i="1"/>
  <c r="AM1308" i="1"/>
  <c r="AN1308" i="1"/>
  <c r="AO1308" i="1"/>
  <c r="AR1308" i="1"/>
  <c r="AS1308" i="1"/>
  <c r="AM1309" i="1"/>
  <c r="AN1309" i="1"/>
  <c r="AO1309" i="1"/>
  <c r="AR1309" i="1"/>
  <c r="AS1309" i="1"/>
  <c r="AM1310" i="1"/>
  <c r="AN1310" i="1"/>
  <c r="AO1310" i="1"/>
  <c r="AR1310" i="1"/>
  <c r="AS1310" i="1"/>
  <c r="AM1311" i="1"/>
  <c r="AN1311" i="1"/>
  <c r="AO1311" i="1"/>
  <c r="AR1311" i="1"/>
  <c r="AS1311" i="1"/>
  <c r="AM1312" i="1"/>
  <c r="AN1312" i="1"/>
  <c r="AO1312" i="1"/>
  <c r="AR1312" i="1"/>
  <c r="AS1312" i="1"/>
  <c r="AM1313" i="1"/>
  <c r="AN1313" i="1"/>
  <c r="AO1313" i="1"/>
  <c r="AR1313" i="1"/>
  <c r="AS1313" i="1"/>
  <c r="AM1314" i="1"/>
  <c r="AN1314" i="1"/>
  <c r="AO1314" i="1"/>
  <c r="AR1314" i="1"/>
  <c r="AS1314" i="1"/>
  <c r="AM1315" i="1"/>
  <c r="AN1315" i="1"/>
  <c r="AO1315" i="1"/>
  <c r="AR1315" i="1"/>
  <c r="AS1315" i="1"/>
  <c r="AM1316" i="1"/>
  <c r="AN1316" i="1"/>
  <c r="AO1316" i="1"/>
  <c r="AR1316" i="1"/>
  <c r="AS1316" i="1"/>
  <c r="AM1317" i="1"/>
  <c r="AN1317" i="1"/>
  <c r="AO1317" i="1"/>
  <c r="AR1317" i="1"/>
  <c r="AS1317" i="1"/>
  <c r="AM1318" i="1"/>
  <c r="AN1318" i="1"/>
  <c r="AO1318" i="1"/>
  <c r="AR1318" i="1"/>
  <c r="AS1318" i="1"/>
  <c r="AM1319" i="1"/>
  <c r="AN1319" i="1"/>
  <c r="AO1319" i="1"/>
  <c r="AR1319" i="1"/>
  <c r="AS1319" i="1"/>
  <c r="AM1320" i="1"/>
  <c r="AN1320" i="1"/>
  <c r="AO1320" i="1"/>
  <c r="AR1320" i="1"/>
  <c r="AS1320" i="1"/>
  <c r="AM1321" i="1"/>
  <c r="AN1321" i="1"/>
  <c r="AO1321" i="1"/>
  <c r="AR1321" i="1"/>
  <c r="AS1321" i="1"/>
  <c r="AM1322" i="1"/>
  <c r="AN1322" i="1"/>
  <c r="AO1322" i="1"/>
  <c r="AR1322" i="1"/>
  <c r="AS1322" i="1"/>
  <c r="AM1323" i="1"/>
  <c r="AN1323" i="1"/>
  <c r="AO1323" i="1"/>
  <c r="AR1323" i="1"/>
  <c r="AS1323" i="1"/>
  <c r="AM1324" i="1"/>
  <c r="AN1324" i="1"/>
  <c r="AO1324" i="1"/>
  <c r="AR1324" i="1"/>
  <c r="AS1324" i="1"/>
  <c r="AM1325" i="1"/>
  <c r="AN1325" i="1"/>
  <c r="AO1325" i="1"/>
  <c r="AR1325" i="1"/>
  <c r="AS1325" i="1"/>
  <c r="AM1326" i="1"/>
  <c r="AN1326" i="1"/>
  <c r="AO1326" i="1"/>
  <c r="AR1326" i="1"/>
  <c r="AS1326" i="1"/>
  <c r="AM1327" i="1"/>
  <c r="AO1327" i="1"/>
  <c r="AR1327" i="1"/>
  <c r="AS1327" i="1"/>
  <c r="AM1328" i="1"/>
  <c r="AN1328" i="1"/>
  <c r="AO1328" i="1"/>
  <c r="AR1328" i="1"/>
  <c r="AS1328" i="1"/>
  <c r="AM1329" i="1"/>
  <c r="AN1329" i="1"/>
  <c r="AO1329" i="1"/>
  <c r="AR1329" i="1"/>
  <c r="AS1329" i="1"/>
  <c r="AM1330" i="1"/>
  <c r="AN1330" i="1"/>
  <c r="AO1330" i="1"/>
  <c r="AR1330" i="1"/>
  <c r="AS1330" i="1"/>
  <c r="AM1331" i="1"/>
  <c r="AN1331" i="1"/>
  <c r="AO1331" i="1"/>
  <c r="AR1331" i="1"/>
  <c r="AS1331" i="1"/>
  <c r="AM1332" i="1"/>
  <c r="AN1332" i="1"/>
  <c r="AO1332" i="1"/>
  <c r="AR1332" i="1"/>
  <c r="AS1332" i="1"/>
  <c r="AJ1333" i="1"/>
  <c r="AM1333" i="1"/>
  <c r="AN1333" i="1"/>
  <c r="AO1333" i="1"/>
  <c r="AR1333" i="1"/>
  <c r="AS1333" i="1"/>
  <c r="AJ1334" i="1"/>
  <c r="AM1334" i="1"/>
  <c r="AN1334" i="1"/>
  <c r="AO1334" i="1"/>
  <c r="AR1334" i="1"/>
  <c r="AS1334" i="1"/>
  <c r="AM1335" i="1"/>
  <c r="AN1335" i="1"/>
  <c r="AO1335" i="1"/>
  <c r="AR1335" i="1"/>
  <c r="AS1335" i="1"/>
  <c r="AM1336" i="1"/>
  <c r="AO1336" i="1"/>
  <c r="AR1336" i="1"/>
  <c r="AS1336" i="1"/>
  <c r="AM1337" i="1"/>
  <c r="AN1337" i="1"/>
  <c r="AO1337" i="1"/>
  <c r="AR1337" i="1"/>
  <c r="AS1337" i="1"/>
  <c r="AJ1338" i="1"/>
  <c r="AK1338" i="1" s="1"/>
  <c r="AM1338" i="1"/>
  <c r="AN1338" i="1"/>
  <c r="AO1338" i="1"/>
  <c r="AR1338" i="1"/>
  <c r="AS1338" i="1"/>
  <c r="AM1339" i="1"/>
  <c r="AN1339" i="1"/>
  <c r="AO1339" i="1"/>
  <c r="AR1339" i="1"/>
  <c r="AS1339" i="1"/>
  <c r="AM1340" i="1"/>
  <c r="AN1340" i="1"/>
  <c r="AO1340" i="1"/>
  <c r="AR1340" i="1"/>
  <c r="AS1340" i="1"/>
  <c r="AM1341" i="1"/>
  <c r="AN1341" i="1"/>
  <c r="AO1341" i="1"/>
  <c r="AR1341" i="1"/>
  <c r="AS1341" i="1"/>
  <c r="AM1342" i="1"/>
  <c r="AN1342" i="1"/>
  <c r="AO1342" i="1"/>
  <c r="AR1342" i="1"/>
  <c r="AS1342" i="1"/>
  <c r="AM1343" i="1"/>
  <c r="AN1343" i="1"/>
  <c r="AO1343" i="1"/>
  <c r="AR1343" i="1"/>
  <c r="AS1343" i="1"/>
  <c r="AM1344" i="1"/>
  <c r="AN1344" i="1"/>
  <c r="AO1344" i="1"/>
  <c r="AR1344" i="1"/>
  <c r="AS1344" i="1"/>
  <c r="AM1345" i="1"/>
  <c r="AN1345" i="1"/>
  <c r="AO1345" i="1"/>
  <c r="AR1345" i="1"/>
  <c r="AS1345" i="1"/>
  <c r="AM1346" i="1"/>
  <c r="AN1346" i="1"/>
  <c r="AO1346" i="1"/>
  <c r="AR1346" i="1"/>
  <c r="AS1346" i="1"/>
  <c r="AM1347" i="1"/>
  <c r="AN1347" i="1"/>
  <c r="AO1347" i="1"/>
  <c r="AR1347" i="1"/>
  <c r="AS1347" i="1"/>
  <c r="AM1348" i="1"/>
  <c r="AN1348" i="1"/>
  <c r="AO1348" i="1"/>
  <c r="AR1348" i="1"/>
  <c r="AS1348" i="1"/>
  <c r="AM1349" i="1"/>
  <c r="AN1349" i="1"/>
  <c r="AO1349" i="1"/>
  <c r="AR1349" i="1"/>
  <c r="AS1349" i="1"/>
  <c r="AM1350" i="1"/>
  <c r="AO1350" i="1"/>
  <c r="AR1350" i="1"/>
  <c r="AS1350" i="1"/>
  <c r="AM1376" i="1"/>
  <c r="AO1376" i="1"/>
  <c r="AR1376" i="1"/>
  <c r="AS1376" i="1"/>
  <c r="AM1377" i="1"/>
  <c r="AN1377" i="1"/>
  <c r="AO1377" i="1"/>
  <c r="AR1377" i="1"/>
  <c r="AS1377" i="1"/>
  <c r="AM1378" i="1"/>
  <c r="AN1378" i="1"/>
  <c r="AO1378" i="1"/>
  <c r="AR1378" i="1"/>
  <c r="AS1378" i="1"/>
  <c r="AM1379" i="1"/>
  <c r="AN1379" i="1"/>
  <c r="AO1379" i="1"/>
  <c r="AR1379" i="1"/>
  <c r="AS1379" i="1"/>
  <c r="AM1380" i="1"/>
  <c r="AN1380" i="1"/>
  <c r="AO1380" i="1"/>
  <c r="AR1380" i="1"/>
  <c r="AS1380" i="1"/>
  <c r="AM1381" i="1"/>
  <c r="AO1381" i="1"/>
  <c r="AR1381" i="1"/>
  <c r="AS1381" i="1"/>
  <c r="AM1383" i="1"/>
  <c r="AO1383" i="1"/>
  <c r="AR1383" i="1"/>
  <c r="AS1383" i="1"/>
  <c r="AM1384" i="1"/>
  <c r="AO1384" i="1"/>
  <c r="AR1384" i="1"/>
  <c r="AS1384" i="1"/>
  <c r="AM1385" i="1"/>
  <c r="AO1385" i="1"/>
  <c r="AR1385" i="1"/>
  <c r="AS1385" i="1"/>
  <c r="AM1386" i="1"/>
  <c r="AO1386" i="1"/>
  <c r="AR1386" i="1"/>
  <c r="AS1386" i="1"/>
  <c r="AM1387" i="1"/>
  <c r="AO1387" i="1"/>
  <c r="AR1387" i="1"/>
  <c r="AS1387" i="1"/>
  <c r="S23" i="111" s="1"/>
  <c r="AM1388" i="1"/>
  <c r="AO1388" i="1"/>
  <c r="AR1388" i="1"/>
  <c r="AS1388" i="1"/>
  <c r="AM1389" i="1"/>
  <c r="AO1389" i="1"/>
  <c r="AR1389" i="1"/>
  <c r="AS1389" i="1"/>
  <c r="AM1390" i="1"/>
  <c r="AO1390" i="1"/>
  <c r="AR1390" i="1"/>
  <c r="AS1390" i="1"/>
  <c r="AM1391" i="1"/>
  <c r="AO1391" i="1"/>
  <c r="AR1391" i="1"/>
  <c r="AS1391" i="1"/>
  <c r="AM1392" i="1"/>
  <c r="AO1392" i="1"/>
  <c r="AR1392" i="1"/>
  <c r="AS1392" i="1"/>
  <c r="AM1393" i="1"/>
  <c r="AO1393" i="1"/>
  <c r="AR1393" i="1"/>
  <c r="AS1393" i="1"/>
  <c r="AM1394" i="1"/>
  <c r="AO1394" i="1"/>
  <c r="AR1394" i="1"/>
  <c r="AS1394" i="1"/>
  <c r="AM1395" i="1"/>
  <c r="AO1395" i="1"/>
  <c r="AR1395" i="1"/>
  <c r="AS1395" i="1"/>
  <c r="AM1396" i="1"/>
  <c r="AO1396" i="1"/>
  <c r="AR1396" i="1"/>
  <c r="AS1396" i="1"/>
  <c r="AM1397" i="1"/>
  <c r="AO1397" i="1"/>
  <c r="AR1397" i="1"/>
  <c r="AS1397" i="1"/>
  <c r="AM1398" i="1"/>
  <c r="AO1398" i="1"/>
  <c r="AR1398" i="1"/>
  <c r="AS1398" i="1"/>
  <c r="AM1399" i="1"/>
  <c r="AO1399" i="1"/>
  <c r="AR1399" i="1"/>
  <c r="AS1399" i="1"/>
  <c r="AM1400" i="1"/>
  <c r="AO1400" i="1"/>
  <c r="AR1400" i="1"/>
  <c r="AS1400" i="1"/>
  <c r="AM1401" i="1"/>
  <c r="AO1401" i="1"/>
  <c r="AR1401" i="1"/>
  <c r="AS1401" i="1"/>
  <c r="AM1402" i="1"/>
  <c r="AO1402" i="1"/>
  <c r="AR1402" i="1"/>
  <c r="AS1402" i="1"/>
  <c r="AM1403" i="1"/>
  <c r="AO1403" i="1"/>
  <c r="AR1403" i="1"/>
  <c r="AS1403" i="1"/>
  <c r="AM1404" i="1"/>
  <c r="AO1404" i="1"/>
  <c r="AR1404" i="1"/>
  <c r="AS1404" i="1"/>
  <c r="AM1405" i="1"/>
  <c r="AO1405" i="1"/>
  <c r="AR1405" i="1"/>
  <c r="AS1405" i="1"/>
  <c r="H360" i="1"/>
  <c r="H891" i="1"/>
  <c r="AC696" i="1"/>
  <c r="Q517" i="24"/>
  <c r="P517" i="24"/>
  <c r="M517" i="24"/>
  <c r="L517" i="24"/>
  <c r="AQ88" i="1" s="1"/>
  <c r="Q562" i="24"/>
  <c r="Q563" i="24"/>
  <c r="Q564" i="24"/>
  <c r="Q565" i="24"/>
  <c r="Q566" i="24"/>
  <c r="Q567" i="24"/>
  <c r="P562" i="24"/>
  <c r="P563" i="24"/>
  <c r="P564" i="24"/>
  <c r="P565" i="24"/>
  <c r="P566" i="24"/>
  <c r="P567" i="24"/>
  <c r="M562" i="24"/>
  <c r="M563" i="24"/>
  <c r="M564" i="24"/>
  <c r="M565" i="24"/>
  <c r="M566" i="24"/>
  <c r="M567" i="24"/>
  <c r="M568" i="24"/>
  <c r="S1073" i="1"/>
  <c r="S1112" i="1"/>
  <c r="S1122" i="1"/>
  <c r="R1060" i="1"/>
  <c r="S1060" i="1" s="1"/>
  <c r="R1061" i="1"/>
  <c r="S1061" i="1" s="1"/>
  <c r="R1063" i="1"/>
  <c r="S1063" i="1" s="1"/>
  <c r="R1071" i="1"/>
  <c r="S1071" i="1" s="1"/>
  <c r="M549" i="1"/>
  <c r="L23" i="109"/>
  <c r="R13" i="109"/>
  <c r="AC3" i="1"/>
  <c r="AC4" i="1"/>
  <c r="AC6" i="1"/>
  <c r="AC7" i="1"/>
  <c r="AC8" i="1"/>
  <c r="AC9" i="1"/>
  <c r="AC10" i="1"/>
  <c r="AC11" i="1"/>
  <c r="AC12" i="1"/>
  <c r="AC13" i="1"/>
  <c r="AC14" i="1"/>
  <c r="AC15" i="1"/>
  <c r="AC16" i="1"/>
  <c r="AC17" i="1"/>
  <c r="AC18" i="1"/>
  <c r="AC19" i="1"/>
  <c r="AC20" i="1"/>
  <c r="AC21" i="1"/>
  <c r="AC22" i="1"/>
  <c r="AC23" i="1"/>
  <c r="AC24" i="1"/>
  <c r="AC26" i="1"/>
  <c r="AC27" i="1"/>
  <c r="AC28" i="1"/>
  <c r="AC29" i="1"/>
  <c r="AC30" i="1"/>
  <c r="AC31" i="1"/>
  <c r="AC32" i="1"/>
  <c r="AC33" i="1"/>
  <c r="AC34" i="1"/>
  <c r="AC35" i="1"/>
  <c r="AC36" i="1"/>
  <c r="AC37" i="1"/>
  <c r="AC38" i="1"/>
  <c r="AC39" i="1"/>
  <c r="AC40" i="1"/>
  <c r="AC41" i="1"/>
  <c r="AC42" i="1"/>
  <c r="AC43" i="1"/>
  <c r="AC44" i="1"/>
  <c r="AC45" i="1"/>
  <c r="AC46" i="1"/>
  <c r="AC47" i="1"/>
  <c r="AC48" i="1"/>
  <c r="AC49" i="1"/>
  <c r="AC50" i="1"/>
  <c r="AC51" i="1"/>
  <c r="AC52" i="1"/>
  <c r="AC53" i="1"/>
  <c r="AC54" i="1"/>
  <c r="AC55" i="1"/>
  <c r="AC56" i="1"/>
  <c r="AC57" i="1"/>
  <c r="AC58" i="1"/>
  <c r="AC59" i="1"/>
  <c r="AC60" i="1"/>
  <c r="AC61" i="1"/>
  <c r="AC62" i="1"/>
  <c r="AC63" i="1"/>
  <c r="AC64" i="1"/>
  <c r="AC65" i="1"/>
  <c r="AC66" i="1"/>
  <c r="AC67" i="1"/>
  <c r="AC68" i="1"/>
  <c r="AC69" i="1"/>
  <c r="AC70" i="1"/>
  <c r="AC71" i="1"/>
  <c r="AC72" i="1"/>
  <c r="AC73" i="1"/>
  <c r="AC74" i="1"/>
  <c r="AC75" i="1"/>
  <c r="AC76" i="1"/>
  <c r="AC77" i="1"/>
  <c r="AC78" i="1"/>
  <c r="AC79" i="1"/>
  <c r="AC80" i="1"/>
  <c r="AC81" i="1"/>
  <c r="AC82" i="1"/>
  <c r="AC83" i="1"/>
  <c r="AC84" i="1"/>
  <c r="AC85" i="1"/>
  <c r="AC89" i="1"/>
  <c r="AC90" i="1"/>
  <c r="AC91" i="1"/>
  <c r="AC92" i="1"/>
  <c r="AC93" i="1"/>
  <c r="AC94" i="1"/>
  <c r="AC95" i="1"/>
  <c r="AC96" i="1"/>
  <c r="AC97" i="1"/>
  <c r="AC98" i="1"/>
  <c r="AC99" i="1"/>
  <c r="AC100" i="1"/>
  <c r="AC101" i="1"/>
  <c r="AC102" i="1"/>
  <c r="AC103" i="1"/>
  <c r="AC104" i="1"/>
  <c r="AC105" i="1"/>
  <c r="AC107" i="1"/>
  <c r="AC108" i="1"/>
  <c r="AC109" i="1"/>
  <c r="AC110" i="1"/>
  <c r="AC111" i="1"/>
  <c r="AC112" i="1"/>
  <c r="AC113" i="1"/>
  <c r="AC114" i="1"/>
  <c r="AC115" i="1"/>
  <c r="AC116" i="1"/>
  <c r="AC117" i="1"/>
  <c r="AC118" i="1"/>
  <c r="AC119" i="1"/>
  <c r="AC120" i="1"/>
  <c r="AC121" i="1"/>
  <c r="AC122" i="1"/>
  <c r="AC123" i="1"/>
  <c r="AC124" i="1"/>
  <c r="AC125" i="1"/>
  <c r="AC126" i="1"/>
  <c r="AC127" i="1"/>
  <c r="AC128" i="1"/>
  <c r="AC129" i="1"/>
  <c r="AC130" i="1"/>
  <c r="AC131" i="1"/>
  <c r="AC132" i="1"/>
  <c r="AC133" i="1"/>
  <c r="AC134" i="1"/>
  <c r="AC135" i="1"/>
  <c r="AC136" i="1"/>
  <c r="AC137" i="1"/>
  <c r="AC138" i="1"/>
  <c r="AC139" i="1"/>
  <c r="AC140" i="1"/>
  <c r="AC141" i="1"/>
  <c r="AC142" i="1"/>
  <c r="AC143" i="1"/>
  <c r="AC144" i="1"/>
  <c r="AC145"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90" i="1"/>
  <c r="AC191" i="1"/>
  <c r="AC192" i="1"/>
  <c r="AC193" i="1"/>
  <c r="AC194" i="1"/>
  <c r="AC195" i="1"/>
  <c r="AC196" i="1"/>
  <c r="AC197" i="1"/>
  <c r="AC198" i="1"/>
  <c r="AC199" i="1"/>
  <c r="AC200" i="1"/>
  <c r="AC201" i="1"/>
  <c r="AC202" i="1"/>
  <c r="AC203" i="1"/>
  <c r="AC204" i="1"/>
  <c r="AC205" i="1"/>
  <c r="AC206" i="1"/>
  <c r="AC207" i="1"/>
  <c r="AC208" i="1"/>
  <c r="AC209" i="1"/>
  <c r="AC210" i="1"/>
  <c r="AC211" i="1"/>
  <c r="AC212" i="1"/>
  <c r="AC213" i="1"/>
  <c r="AC214" i="1"/>
  <c r="AC215" i="1"/>
  <c r="AC216" i="1"/>
  <c r="AC217" i="1"/>
  <c r="AC218" i="1"/>
  <c r="AC219" i="1"/>
  <c r="AC220" i="1"/>
  <c r="AC221" i="1"/>
  <c r="AC222" i="1"/>
  <c r="AC223" i="1"/>
  <c r="AC224" i="1"/>
  <c r="AC225" i="1"/>
  <c r="AC226" i="1"/>
  <c r="AC227" i="1"/>
  <c r="AC228" i="1"/>
  <c r="AC231" i="1"/>
  <c r="AC232" i="1"/>
  <c r="AC233" i="1"/>
  <c r="AC234" i="1"/>
  <c r="AC235" i="1"/>
  <c r="AC236" i="1"/>
  <c r="AC237" i="1"/>
  <c r="AC238" i="1"/>
  <c r="AC239" i="1"/>
  <c r="AC240" i="1"/>
  <c r="AC241" i="1"/>
  <c r="AC242" i="1"/>
  <c r="AC243" i="1"/>
  <c r="AC244" i="1"/>
  <c r="AC245" i="1"/>
  <c r="AC246" i="1"/>
  <c r="AC247" i="1"/>
  <c r="AC248" i="1"/>
  <c r="AC249" i="1"/>
  <c r="AC250" i="1"/>
  <c r="AC251" i="1"/>
  <c r="AC252" i="1"/>
  <c r="AC253" i="1"/>
  <c r="AC254" i="1"/>
  <c r="AC255" i="1"/>
  <c r="AC256" i="1"/>
  <c r="AC257" i="1"/>
  <c r="AC258" i="1"/>
  <c r="AC259" i="1"/>
  <c r="AC260" i="1"/>
  <c r="AC261" i="1"/>
  <c r="AC262" i="1"/>
  <c r="AC263" i="1"/>
  <c r="AC264" i="1"/>
  <c r="AC265" i="1"/>
  <c r="AC266" i="1"/>
  <c r="AC267" i="1"/>
  <c r="AC268" i="1"/>
  <c r="AC269" i="1"/>
  <c r="AC270" i="1"/>
  <c r="AC271" i="1"/>
  <c r="AC272" i="1"/>
  <c r="AC273" i="1"/>
  <c r="AC274" i="1"/>
  <c r="AC275" i="1"/>
  <c r="AC276" i="1"/>
  <c r="AC277" i="1"/>
  <c r="AC278" i="1"/>
  <c r="AC279" i="1"/>
  <c r="AC280" i="1"/>
  <c r="AC281" i="1"/>
  <c r="AC282" i="1"/>
  <c r="AC283" i="1"/>
  <c r="AC284" i="1"/>
  <c r="AC285" i="1"/>
  <c r="AC286" i="1"/>
  <c r="AC287" i="1"/>
  <c r="AC288" i="1"/>
  <c r="AC289" i="1"/>
  <c r="AC290" i="1"/>
  <c r="AC291" i="1"/>
  <c r="AC292" i="1"/>
  <c r="AC293" i="1"/>
  <c r="AC294" i="1"/>
  <c r="AC295" i="1"/>
  <c r="AC296" i="1"/>
  <c r="AC297" i="1"/>
  <c r="AC298" i="1"/>
  <c r="AC299" i="1"/>
  <c r="AC300" i="1"/>
  <c r="AC301" i="1"/>
  <c r="AC302" i="1"/>
  <c r="AC303" i="1"/>
  <c r="AC304" i="1"/>
  <c r="AC305" i="1"/>
  <c r="AC306" i="1"/>
  <c r="AC307" i="1"/>
  <c r="AC308" i="1"/>
  <c r="AC309" i="1"/>
  <c r="AC311" i="1"/>
  <c r="AC312" i="1"/>
  <c r="AC313" i="1"/>
  <c r="AC314" i="1"/>
  <c r="AC315" i="1"/>
  <c r="AC316" i="1"/>
  <c r="AC317" i="1"/>
  <c r="AC318" i="1"/>
  <c r="AC319" i="1"/>
  <c r="AC320" i="1"/>
  <c r="AC321" i="1"/>
  <c r="AC322" i="1"/>
  <c r="AC323" i="1"/>
  <c r="AC324" i="1"/>
  <c r="AC325" i="1"/>
  <c r="AC326" i="1"/>
  <c r="AC327" i="1"/>
  <c r="AC328" i="1"/>
  <c r="AC329" i="1"/>
  <c r="AC330" i="1"/>
  <c r="AC331" i="1"/>
  <c r="AC332" i="1"/>
  <c r="AC333" i="1"/>
  <c r="AC334" i="1"/>
  <c r="AC335" i="1"/>
  <c r="AC336" i="1"/>
  <c r="AC337" i="1"/>
  <c r="AC338" i="1"/>
  <c r="AC339" i="1"/>
  <c r="AC340" i="1"/>
  <c r="AC341" i="1"/>
  <c r="AC342" i="1"/>
  <c r="AC343" i="1"/>
  <c r="AC344" i="1"/>
  <c r="AC346" i="1"/>
  <c r="AC347" i="1"/>
  <c r="AC348" i="1"/>
  <c r="AC349" i="1"/>
  <c r="AC350" i="1"/>
  <c r="AC351" i="1"/>
  <c r="AC352" i="1"/>
  <c r="AC353" i="1"/>
  <c r="AC354" i="1"/>
  <c r="AC355" i="1"/>
  <c r="AC356" i="1"/>
  <c r="AC359" i="1"/>
  <c r="AC360" i="1"/>
  <c r="AC362" i="1"/>
  <c r="AC366" i="1"/>
  <c r="AC367" i="1"/>
  <c r="AC368" i="1"/>
  <c r="AC369" i="1"/>
  <c r="AC370" i="1"/>
  <c r="AC371" i="1"/>
  <c r="AC372" i="1"/>
  <c r="AC373" i="1"/>
  <c r="AC374" i="1"/>
  <c r="AC375" i="1"/>
  <c r="AC376" i="1"/>
  <c r="AC377" i="1"/>
  <c r="AC378" i="1"/>
  <c r="AC379" i="1"/>
  <c r="AC380" i="1"/>
  <c r="AC381" i="1"/>
  <c r="AC382" i="1"/>
  <c r="AC383" i="1"/>
  <c r="AC384" i="1"/>
  <c r="AC385" i="1"/>
  <c r="AC386" i="1"/>
  <c r="AC387" i="1"/>
  <c r="AC388" i="1"/>
  <c r="AC389" i="1"/>
  <c r="AC391" i="1"/>
  <c r="AC392" i="1"/>
  <c r="AC393" i="1"/>
  <c r="AC394" i="1"/>
  <c r="AC395" i="1"/>
  <c r="AC396" i="1"/>
  <c r="AC397" i="1"/>
  <c r="AC398" i="1"/>
  <c r="AC399" i="1"/>
  <c r="AC400" i="1"/>
  <c r="AC401" i="1"/>
  <c r="AC402" i="1"/>
  <c r="AC403" i="1"/>
  <c r="AC404" i="1"/>
  <c r="AC405" i="1"/>
  <c r="AC406" i="1"/>
  <c r="AC407" i="1"/>
  <c r="AC408" i="1"/>
  <c r="AC409" i="1"/>
  <c r="AC410" i="1"/>
  <c r="AC411" i="1"/>
  <c r="AC412" i="1"/>
  <c r="AC413" i="1"/>
  <c r="AC414" i="1"/>
  <c r="AC415" i="1"/>
  <c r="AC416" i="1"/>
  <c r="AC417" i="1"/>
  <c r="AC418" i="1"/>
  <c r="AC419" i="1"/>
  <c r="AC420" i="1"/>
  <c r="AC421" i="1"/>
  <c r="AC422" i="1"/>
  <c r="AC423" i="1"/>
  <c r="AC424" i="1"/>
  <c r="AC425" i="1"/>
  <c r="AC426" i="1"/>
  <c r="AC427" i="1"/>
  <c r="AC428" i="1"/>
  <c r="AC429" i="1"/>
  <c r="AC430" i="1"/>
  <c r="AC431" i="1"/>
  <c r="AC432" i="1"/>
  <c r="AC433" i="1"/>
  <c r="AC434" i="1"/>
  <c r="AC435" i="1"/>
  <c r="AC436" i="1"/>
  <c r="AC437" i="1"/>
  <c r="AC438" i="1"/>
  <c r="AC439" i="1"/>
  <c r="AC440" i="1"/>
  <c r="AC441" i="1"/>
  <c r="AC442" i="1"/>
  <c r="AC443" i="1"/>
  <c r="AC444" i="1"/>
  <c r="AC445" i="1"/>
  <c r="AC446" i="1"/>
  <c r="AC447" i="1"/>
  <c r="AC448" i="1"/>
  <c r="AC449" i="1"/>
  <c r="AC450" i="1"/>
  <c r="AC451" i="1"/>
  <c r="AC452" i="1"/>
  <c r="AC453" i="1"/>
  <c r="AC454" i="1"/>
  <c r="AC455" i="1"/>
  <c r="AC456" i="1"/>
  <c r="AC457" i="1"/>
  <c r="AC458" i="1"/>
  <c r="AC459" i="1"/>
  <c r="AC460" i="1"/>
  <c r="AC461" i="1"/>
  <c r="AC462" i="1"/>
  <c r="AC463" i="1"/>
  <c r="AC464" i="1"/>
  <c r="AC465" i="1"/>
  <c r="AC466" i="1"/>
  <c r="AC467" i="1"/>
  <c r="AC468" i="1"/>
  <c r="AC469" i="1"/>
  <c r="AC470" i="1"/>
  <c r="AC471" i="1"/>
  <c r="AC472" i="1"/>
  <c r="AC473" i="1"/>
  <c r="AC474" i="1"/>
  <c r="AC475" i="1"/>
  <c r="AC476" i="1"/>
  <c r="AC477" i="1"/>
  <c r="AC478" i="1"/>
  <c r="AC479" i="1"/>
  <c r="AC480" i="1"/>
  <c r="AC481" i="1"/>
  <c r="AC482" i="1"/>
  <c r="AC483" i="1"/>
  <c r="AC484" i="1"/>
  <c r="AC485" i="1"/>
  <c r="AC486" i="1"/>
  <c r="AC487" i="1"/>
  <c r="AC488" i="1"/>
  <c r="AC489" i="1"/>
  <c r="AC490" i="1"/>
  <c r="AC491" i="1"/>
  <c r="AC492" i="1"/>
  <c r="AC493" i="1"/>
  <c r="AC494" i="1"/>
  <c r="AC495" i="1"/>
  <c r="AC496" i="1"/>
  <c r="AC497" i="1"/>
  <c r="AC498" i="1"/>
  <c r="AC499" i="1"/>
  <c r="AC500" i="1"/>
  <c r="AC501" i="1"/>
  <c r="AC502" i="1"/>
  <c r="AC503" i="1"/>
  <c r="AC504" i="1"/>
  <c r="AC505" i="1"/>
  <c r="AC506" i="1"/>
  <c r="AC507" i="1"/>
  <c r="AC508" i="1"/>
  <c r="AC509" i="1"/>
  <c r="AC510" i="1"/>
  <c r="AC511" i="1"/>
  <c r="AC512" i="1"/>
  <c r="AC513" i="1"/>
  <c r="AC514" i="1"/>
  <c r="AC515" i="1"/>
  <c r="AC516" i="1"/>
  <c r="AC517" i="1"/>
  <c r="AC518" i="1"/>
  <c r="AC519" i="1"/>
  <c r="AC520" i="1"/>
  <c r="AC521" i="1"/>
  <c r="AC522" i="1"/>
  <c r="AC523" i="1"/>
  <c r="AC524" i="1"/>
  <c r="AC525" i="1"/>
  <c r="AC526" i="1"/>
  <c r="AC527" i="1"/>
  <c r="AC528" i="1"/>
  <c r="AC529" i="1"/>
  <c r="AC530" i="1"/>
  <c r="AC531" i="1"/>
  <c r="AC532" i="1"/>
  <c r="AC533" i="1"/>
  <c r="AC534" i="1"/>
  <c r="AC535" i="1"/>
  <c r="AC536" i="1"/>
  <c r="AC537" i="1"/>
  <c r="AC538" i="1"/>
  <c r="AC539" i="1"/>
  <c r="AC540" i="1"/>
  <c r="AC541" i="1"/>
  <c r="AC542" i="1"/>
  <c r="AC543" i="1"/>
  <c r="AC544" i="1"/>
  <c r="AC545" i="1"/>
  <c r="AC546" i="1"/>
  <c r="AC547" i="1"/>
  <c r="AC548" i="1"/>
  <c r="AC549" i="1"/>
  <c r="AC550" i="1"/>
  <c r="AC551" i="1"/>
  <c r="AC552" i="1"/>
  <c r="AC553" i="1"/>
  <c r="AC554" i="1"/>
  <c r="AC555" i="1"/>
  <c r="AC556" i="1"/>
  <c r="AC557" i="1"/>
  <c r="AC558" i="1"/>
  <c r="AC559" i="1"/>
  <c r="AC560" i="1"/>
  <c r="AC561" i="1"/>
  <c r="AC562" i="1"/>
  <c r="AC563" i="1"/>
  <c r="AC564" i="1"/>
  <c r="AC565" i="1"/>
  <c r="AC566" i="1"/>
  <c r="AC567" i="1"/>
  <c r="AC568" i="1"/>
  <c r="AC569" i="1"/>
  <c r="AC570" i="1"/>
  <c r="AC571" i="1"/>
  <c r="AC572" i="1"/>
  <c r="AC573" i="1"/>
  <c r="AC574" i="1"/>
  <c r="AC575" i="1"/>
  <c r="AC576" i="1"/>
  <c r="AC577" i="1"/>
  <c r="AC579" i="1"/>
  <c r="AC580" i="1"/>
  <c r="AC581" i="1"/>
  <c r="AC582" i="1"/>
  <c r="AC583" i="1"/>
  <c r="AC584" i="1"/>
  <c r="AC585" i="1"/>
  <c r="AC586" i="1"/>
  <c r="AC587" i="1"/>
  <c r="AC588" i="1"/>
  <c r="AC589" i="1"/>
  <c r="AC590" i="1"/>
  <c r="AC591" i="1"/>
  <c r="AC592" i="1"/>
  <c r="AC593" i="1"/>
  <c r="AC594" i="1"/>
  <c r="AC597" i="1"/>
  <c r="AC598" i="1"/>
  <c r="AC599" i="1"/>
  <c r="AC600" i="1"/>
  <c r="AC602" i="1"/>
  <c r="AC603" i="1"/>
  <c r="AC604" i="1"/>
  <c r="AC605" i="1"/>
  <c r="AC606" i="1"/>
  <c r="AC607" i="1"/>
  <c r="AC608" i="1"/>
  <c r="AC609" i="1"/>
  <c r="AC610" i="1"/>
  <c r="AC611" i="1"/>
  <c r="AC612" i="1"/>
  <c r="AC613" i="1"/>
  <c r="AC614" i="1"/>
  <c r="AC615" i="1"/>
  <c r="AC616" i="1"/>
  <c r="AC601" i="1"/>
  <c r="AC617" i="1"/>
  <c r="AC618" i="1"/>
  <c r="AC619" i="1"/>
  <c r="AC620" i="1"/>
  <c r="AC621" i="1"/>
  <c r="AC622" i="1"/>
  <c r="AC623" i="1"/>
  <c r="AC624" i="1"/>
  <c r="AC625" i="1"/>
  <c r="AC626" i="1"/>
  <c r="AC627" i="1"/>
  <c r="AC628" i="1"/>
  <c r="AC629" i="1"/>
  <c r="AC630" i="1"/>
  <c r="AC631" i="1"/>
  <c r="AC632" i="1"/>
  <c r="AC633" i="1"/>
  <c r="AC634" i="1"/>
  <c r="AC635" i="1"/>
  <c r="AC636" i="1"/>
  <c r="AC637" i="1"/>
  <c r="AC638" i="1"/>
  <c r="AC639" i="1"/>
  <c r="AC640" i="1"/>
  <c r="AC641" i="1"/>
  <c r="AC642" i="1"/>
  <c r="AC643" i="1"/>
  <c r="AC644" i="1"/>
  <c r="AC645" i="1"/>
  <c r="AC646" i="1"/>
  <c r="AC647" i="1"/>
  <c r="AC648" i="1"/>
  <c r="AC649" i="1"/>
  <c r="AC650" i="1"/>
  <c r="AC651" i="1"/>
  <c r="AC652" i="1"/>
  <c r="AC653" i="1"/>
  <c r="AC654" i="1"/>
  <c r="AC655" i="1"/>
  <c r="AC656" i="1"/>
  <c r="AC657" i="1"/>
  <c r="AC658" i="1"/>
  <c r="AC659" i="1"/>
  <c r="AC660" i="1"/>
  <c r="AC661" i="1"/>
  <c r="AC662" i="1"/>
  <c r="AC663" i="1"/>
  <c r="AC664" i="1"/>
  <c r="AC665" i="1"/>
  <c r="AC666" i="1"/>
  <c r="AC667" i="1"/>
  <c r="AC668" i="1"/>
  <c r="AC669" i="1"/>
  <c r="AC670" i="1"/>
  <c r="AC671" i="1"/>
  <c r="AC672" i="1"/>
  <c r="AC673" i="1"/>
  <c r="AC674" i="1"/>
  <c r="AC675" i="1"/>
  <c r="AC676" i="1"/>
  <c r="AC677" i="1"/>
  <c r="AC678" i="1"/>
  <c r="AC679" i="1"/>
  <c r="AC680" i="1"/>
  <c r="AC681" i="1"/>
  <c r="AC682" i="1"/>
  <c r="AC683" i="1"/>
  <c r="AC684" i="1"/>
  <c r="AC685" i="1"/>
  <c r="AC686" i="1"/>
  <c r="AC687" i="1"/>
  <c r="AC688" i="1"/>
  <c r="AC689" i="1"/>
  <c r="AC690" i="1"/>
  <c r="AC691" i="1"/>
  <c r="AC692" i="1"/>
  <c r="AC693" i="1"/>
  <c r="AC694" i="1"/>
  <c r="AC695" i="1"/>
  <c r="AC697" i="1"/>
  <c r="AC698" i="1"/>
  <c r="AC699" i="1"/>
  <c r="AC700" i="1"/>
  <c r="AC701" i="1"/>
  <c r="AC702" i="1"/>
  <c r="AC703" i="1"/>
  <c r="AC704" i="1"/>
  <c r="AC705" i="1"/>
  <c r="AC706" i="1"/>
  <c r="AC707" i="1"/>
  <c r="AC708" i="1"/>
  <c r="AC709" i="1"/>
  <c r="AC710" i="1"/>
  <c r="AC711" i="1"/>
  <c r="AC712" i="1"/>
  <c r="AC713" i="1"/>
  <c r="AC714" i="1"/>
  <c r="AC715" i="1"/>
  <c r="AC716" i="1"/>
  <c r="AC717" i="1"/>
  <c r="AC718" i="1"/>
  <c r="AC719" i="1"/>
  <c r="AC720" i="1"/>
  <c r="AC721" i="1"/>
  <c r="AC722" i="1"/>
  <c r="AC723" i="1"/>
  <c r="AC724" i="1"/>
  <c r="AC725" i="1"/>
  <c r="AC726" i="1"/>
  <c r="AC727" i="1"/>
  <c r="AC728" i="1"/>
  <c r="AC729" i="1"/>
  <c r="AC730" i="1"/>
  <c r="AC731" i="1"/>
  <c r="AC732" i="1"/>
  <c r="AC733" i="1"/>
  <c r="AC734" i="1"/>
  <c r="AC735" i="1"/>
  <c r="AC736" i="1"/>
  <c r="AC737" i="1"/>
  <c r="AC738" i="1"/>
  <c r="AC739" i="1"/>
  <c r="AC740" i="1"/>
  <c r="AC741" i="1"/>
  <c r="AC742" i="1"/>
  <c r="AC743" i="1"/>
  <c r="AC744" i="1"/>
  <c r="AC745" i="1"/>
  <c r="AC746" i="1"/>
  <c r="AC747" i="1"/>
  <c r="AC748" i="1"/>
  <c r="AC749" i="1"/>
  <c r="AC750" i="1"/>
  <c r="AC751" i="1"/>
  <c r="AC752" i="1"/>
  <c r="AC753" i="1"/>
  <c r="AC754" i="1"/>
  <c r="AC755" i="1"/>
  <c r="AC756" i="1"/>
  <c r="AC757" i="1"/>
  <c r="AC758" i="1"/>
  <c r="AC759" i="1"/>
  <c r="AC760" i="1"/>
  <c r="AC761" i="1"/>
  <c r="AC762" i="1"/>
  <c r="AC763" i="1"/>
  <c r="AC764" i="1"/>
  <c r="AC765" i="1"/>
  <c r="AC766" i="1"/>
  <c r="AC767" i="1"/>
  <c r="AC768" i="1"/>
  <c r="AC769" i="1"/>
  <c r="AC770" i="1"/>
  <c r="AC771" i="1"/>
  <c r="AC772" i="1"/>
  <c r="AC773" i="1"/>
  <c r="AC774" i="1"/>
  <c r="AC775" i="1"/>
  <c r="AC776" i="1"/>
  <c r="AC777" i="1"/>
  <c r="AC778" i="1"/>
  <c r="AC779" i="1"/>
  <c r="AC780" i="1"/>
  <c r="AC781" i="1"/>
  <c r="AC782" i="1"/>
  <c r="AC783" i="1"/>
  <c r="AC784" i="1"/>
  <c r="AC785" i="1"/>
  <c r="AC786" i="1"/>
  <c r="AC787" i="1"/>
  <c r="AC788" i="1"/>
  <c r="AC789" i="1"/>
  <c r="AC790" i="1"/>
  <c r="AC791" i="1"/>
  <c r="AC792" i="1"/>
  <c r="AC793" i="1"/>
  <c r="AC794" i="1"/>
  <c r="AC795" i="1"/>
  <c r="AC796" i="1"/>
  <c r="AC797" i="1"/>
  <c r="AC798" i="1"/>
  <c r="AC799" i="1"/>
  <c r="AC800" i="1"/>
  <c r="AC801" i="1"/>
  <c r="AC802" i="1"/>
  <c r="AC803" i="1"/>
  <c r="AC804" i="1"/>
  <c r="AC805" i="1"/>
  <c r="AC806" i="1"/>
  <c r="AC807" i="1"/>
  <c r="AC808" i="1"/>
  <c r="AC809" i="1"/>
  <c r="AC810" i="1"/>
  <c r="AC811" i="1"/>
  <c r="AC812" i="1"/>
  <c r="AC813" i="1"/>
  <c r="AC814" i="1"/>
  <c r="AC815" i="1"/>
  <c r="AC816" i="1"/>
  <c r="AC818" i="1"/>
  <c r="AC819" i="1"/>
  <c r="AC820" i="1"/>
  <c r="AC821" i="1"/>
  <c r="AC822" i="1"/>
  <c r="AC823" i="1"/>
  <c r="AC824" i="1"/>
  <c r="AC825" i="1"/>
  <c r="AC826" i="1"/>
  <c r="AC827" i="1"/>
  <c r="AC828" i="1"/>
  <c r="AC829" i="1"/>
  <c r="AC830" i="1"/>
  <c r="AC831" i="1"/>
  <c r="AC832" i="1"/>
  <c r="AC833" i="1"/>
  <c r="AC834" i="1"/>
  <c r="AC835" i="1"/>
  <c r="AC836" i="1"/>
  <c r="AC837" i="1"/>
  <c r="AC838" i="1"/>
  <c r="AC839" i="1"/>
  <c r="AC840" i="1"/>
  <c r="AC841" i="1"/>
  <c r="AC842" i="1"/>
  <c r="AC843" i="1"/>
  <c r="AC844" i="1"/>
  <c r="AC845" i="1"/>
  <c r="AC846" i="1"/>
  <c r="AC847" i="1"/>
  <c r="AC848" i="1"/>
  <c r="AC849" i="1"/>
  <c r="AC850" i="1"/>
  <c r="AC851" i="1"/>
  <c r="AC852" i="1"/>
  <c r="AC853" i="1"/>
  <c r="AC854" i="1"/>
  <c r="AC855" i="1"/>
  <c r="AC856" i="1"/>
  <c r="AC857" i="1"/>
  <c r="AC858" i="1"/>
  <c r="AC859" i="1"/>
  <c r="AC860" i="1"/>
  <c r="AC861" i="1"/>
  <c r="AC862" i="1"/>
  <c r="AC863" i="1"/>
  <c r="AC864" i="1"/>
  <c r="AC865" i="1"/>
  <c r="AC866" i="1"/>
  <c r="AC867" i="1"/>
  <c r="AC868" i="1"/>
  <c r="AC869" i="1"/>
  <c r="AC870" i="1"/>
  <c r="AC871" i="1"/>
  <c r="AC872" i="1"/>
  <c r="AC873" i="1"/>
  <c r="AC874" i="1"/>
  <c r="AC875" i="1"/>
  <c r="AC876" i="1"/>
  <c r="AC877" i="1"/>
  <c r="AC878" i="1"/>
  <c r="AC879" i="1"/>
  <c r="AC880" i="1"/>
  <c r="AC881" i="1"/>
  <c r="AC882" i="1"/>
  <c r="AC883" i="1"/>
  <c r="AC884" i="1"/>
  <c r="AC885" i="1"/>
  <c r="AC886" i="1"/>
  <c r="AC887" i="1"/>
  <c r="AC892" i="1"/>
  <c r="AC893" i="1"/>
  <c r="AC894" i="1"/>
  <c r="AC895" i="1"/>
  <c r="AC896" i="1"/>
  <c r="AC897" i="1"/>
  <c r="AC898" i="1"/>
  <c r="AC899" i="1"/>
  <c r="AC900" i="1"/>
  <c r="AC901" i="1"/>
  <c r="AC902" i="1"/>
  <c r="AC903" i="1"/>
  <c r="AC904" i="1"/>
  <c r="AC905" i="1"/>
  <c r="AC906" i="1"/>
  <c r="AC907" i="1"/>
  <c r="AC908" i="1"/>
  <c r="AC909" i="1"/>
  <c r="AC910" i="1"/>
  <c r="AC911" i="1"/>
  <c r="AC912" i="1"/>
  <c r="AC913" i="1"/>
  <c r="AC914" i="1"/>
  <c r="AC915" i="1"/>
  <c r="AC916" i="1"/>
  <c r="AC917" i="1"/>
  <c r="AC918" i="1"/>
  <c r="AC919" i="1"/>
  <c r="AC920" i="1"/>
  <c r="AC921" i="1"/>
  <c r="AC922" i="1"/>
  <c r="AC923" i="1"/>
  <c r="AC924" i="1"/>
  <c r="AC925" i="1"/>
  <c r="AC926" i="1"/>
  <c r="AC927" i="1"/>
  <c r="AC928" i="1"/>
  <c r="AC929" i="1"/>
  <c r="AC930" i="1"/>
  <c r="AC931" i="1"/>
  <c r="AC932" i="1"/>
  <c r="AC933" i="1"/>
  <c r="AC934" i="1"/>
  <c r="AC935" i="1"/>
  <c r="AC936" i="1"/>
  <c r="AC937" i="1"/>
  <c r="AC938" i="1"/>
  <c r="AC939" i="1"/>
  <c r="AC940" i="1"/>
  <c r="AC941" i="1"/>
  <c r="AC942" i="1"/>
  <c r="AC943" i="1"/>
  <c r="AC944" i="1"/>
  <c r="AC945" i="1"/>
  <c r="AC946" i="1"/>
  <c r="AC947" i="1"/>
  <c r="AC948" i="1"/>
  <c r="AC949" i="1"/>
  <c r="AC950" i="1"/>
  <c r="AC951" i="1"/>
  <c r="AC952" i="1"/>
  <c r="AC954" i="1"/>
  <c r="AC955" i="1"/>
  <c r="AC956" i="1"/>
  <c r="AC957" i="1"/>
  <c r="AC958" i="1"/>
  <c r="AC959" i="1"/>
  <c r="AC960" i="1"/>
  <c r="AC961" i="1"/>
  <c r="AC962" i="1"/>
  <c r="AC963" i="1"/>
  <c r="AC964" i="1"/>
  <c r="AC968" i="1"/>
  <c r="AC969" i="1"/>
  <c r="AC970" i="1"/>
  <c r="AC971" i="1"/>
  <c r="AC972" i="1"/>
  <c r="AC973" i="1"/>
  <c r="AC974" i="1"/>
  <c r="AC975" i="1"/>
  <c r="AC976" i="1"/>
  <c r="AC977" i="1"/>
  <c r="AC978" i="1"/>
  <c r="AC979" i="1"/>
  <c r="AC980" i="1"/>
  <c r="AC981" i="1"/>
  <c r="AC982" i="1"/>
  <c r="AC983" i="1"/>
  <c r="AC984" i="1"/>
  <c r="AC985" i="1"/>
  <c r="AC986" i="1"/>
  <c r="AC987" i="1"/>
  <c r="AC988" i="1"/>
  <c r="AC989" i="1"/>
  <c r="AC990" i="1"/>
  <c r="AC991" i="1"/>
  <c r="AC992" i="1"/>
  <c r="AC993" i="1"/>
  <c r="AC994" i="1"/>
  <c r="AC995" i="1"/>
  <c r="AC996" i="1"/>
  <c r="AC997" i="1"/>
  <c r="AC998" i="1"/>
  <c r="AC999" i="1"/>
  <c r="AC1000" i="1"/>
  <c r="AC1001" i="1"/>
  <c r="AC1002" i="1"/>
  <c r="AC1003" i="1"/>
  <c r="AC1004" i="1"/>
  <c r="AC1005" i="1"/>
  <c r="AC1006" i="1"/>
  <c r="AC1007" i="1"/>
  <c r="AC1008" i="1"/>
  <c r="AC1009" i="1"/>
  <c r="AC1010" i="1"/>
  <c r="AC1011" i="1"/>
  <c r="AC1012" i="1"/>
  <c r="AC1013" i="1"/>
  <c r="AC1014" i="1"/>
  <c r="AC1015" i="1"/>
  <c r="AC1016" i="1"/>
  <c r="AC1017" i="1"/>
  <c r="AC1018" i="1"/>
  <c r="AC1019" i="1"/>
  <c r="AC1020" i="1"/>
  <c r="AC1021" i="1"/>
  <c r="AC1022" i="1"/>
  <c r="AC1023" i="1"/>
  <c r="AC1024" i="1"/>
  <c r="AC1025" i="1"/>
  <c r="AC1026" i="1"/>
  <c r="AC1027" i="1"/>
  <c r="AC1028" i="1"/>
  <c r="AC1029" i="1"/>
  <c r="AC1030" i="1"/>
  <c r="AC1031" i="1"/>
  <c r="AC1032" i="1"/>
  <c r="AC1033" i="1"/>
  <c r="AC1034" i="1"/>
  <c r="AC1035" i="1"/>
  <c r="AC1036" i="1"/>
  <c r="AC1037" i="1"/>
  <c r="AC1038" i="1"/>
  <c r="AC1039" i="1"/>
  <c r="AC1040" i="1"/>
  <c r="AC1041" i="1"/>
  <c r="AC1042" i="1"/>
  <c r="AC1043" i="1"/>
  <c r="AC1044" i="1"/>
  <c r="AC1045" i="1"/>
  <c r="AC1046" i="1"/>
  <c r="AC1047" i="1"/>
  <c r="AC1048" i="1"/>
  <c r="AC1049" i="1"/>
  <c r="AC1050" i="1"/>
  <c r="AC1051" i="1"/>
  <c r="AC1052" i="1"/>
  <c r="AC1053" i="1"/>
  <c r="AC1054" i="1"/>
  <c r="AC1055" i="1"/>
  <c r="AC1056" i="1"/>
  <c r="AC1057" i="1"/>
  <c r="AC1058" i="1"/>
  <c r="AC1059" i="1"/>
  <c r="AC1060" i="1"/>
  <c r="AC1061" i="1"/>
  <c r="AC1062" i="1"/>
  <c r="AC1063" i="1"/>
  <c r="AC1071" i="1"/>
  <c r="AC1072" i="1"/>
  <c r="AC1073" i="1"/>
  <c r="H558" i="24"/>
  <c r="F558" i="24"/>
  <c r="AJ508" i="1" s="1"/>
  <c r="AK508" i="1" s="1"/>
  <c r="H555" i="24"/>
  <c r="F555" i="24"/>
  <c r="AJ453" i="1" s="1"/>
  <c r="AK453" i="1" s="1"/>
  <c r="H57" i="24"/>
  <c r="AV1060" i="1"/>
  <c r="AV1061" i="1"/>
  <c r="AV1062" i="1"/>
  <c r="AV1063" i="1"/>
  <c r="AV1071" i="1"/>
  <c r="AZ64" i="1" l="1"/>
  <c r="AY64" i="1"/>
  <c r="AV1381" i="1"/>
  <c r="AV1377" i="1"/>
  <c r="P1017" i="1"/>
  <c r="P1014" i="1"/>
  <c r="Q182" i="1"/>
  <c r="AY1376" i="1"/>
  <c r="P1228" i="1"/>
  <c r="Q1228" i="1"/>
  <c r="P1231" i="1"/>
  <c r="Q1231" i="1"/>
  <c r="P1232" i="1"/>
  <c r="Q1232" i="1"/>
  <c r="AY857" i="1"/>
  <c r="AY194" i="1"/>
  <c r="Q1230" i="1"/>
  <c r="Q1233" i="1"/>
  <c r="C16" i="126"/>
  <c r="AV33" i="1"/>
  <c r="AV19" i="1"/>
  <c r="AV874" i="1"/>
  <c r="AV872" i="1"/>
  <c r="P471" i="1"/>
  <c r="Q1229" i="1"/>
  <c r="Q180" i="1"/>
  <c r="Q77" i="1"/>
  <c r="F27" i="105"/>
  <c r="F26" i="140" s="1"/>
  <c r="G36" i="131"/>
  <c r="G37" i="131"/>
  <c r="G38" i="131"/>
  <c r="G23" i="131"/>
  <c r="F16" i="105"/>
  <c r="F15" i="140" s="1"/>
  <c r="F32" i="105"/>
  <c r="F32" i="140" s="1"/>
  <c r="F43" i="105"/>
  <c r="F42" i="140" s="1"/>
  <c r="F50" i="105"/>
  <c r="F48" i="140" s="1"/>
  <c r="F18" i="105"/>
  <c r="F16" i="140" s="1"/>
  <c r="F53" i="105"/>
  <c r="F52" i="140" s="1"/>
  <c r="F49" i="105"/>
  <c r="F47" i="140" s="1"/>
  <c r="F45" i="105"/>
  <c r="F43" i="140" s="1"/>
  <c r="F42" i="105"/>
  <c r="F50" i="140" s="1"/>
  <c r="F35" i="105"/>
  <c r="F35" i="140" s="1"/>
  <c r="F54" i="105"/>
  <c r="F53" i="140" s="1"/>
  <c r="F51" i="105"/>
  <c r="F49" i="140" s="1"/>
  <c r="E42" i="131"/>
  <c r="E43" i="131"/>
  <c r="E44" i="131"/>
  <c r="F24" i="105"/>
  <c r="F23" i="140" s="1"/>
  <c r="F12" i="131"/>
  <c r="F13" i="131"/>
  <c r="F14" i="131"/>
  <c r="F22" i="105"/>
  <c r="F21" i="140" s="1"/>
  <c r="F19" i="105"/>
  <c r="F17" i="140" s="1"/>
  <c r="F29" i="105"/>
  <c r="F28" i="140" s="1"/>
  <c r="F33" i="105"/>
  <c r="F33" i="140" s="1"/>
  <c r="F28" i="105"/>
  <c r="F27" i="140" s="1"/>
  <c r="F39" i="105"/>
  <c r="F40" i="140" s="1"/>
  <c r="F42" i="131"/>
  <c r="F43" i="131"/>
  <c r="F44" i="131"/>
  <c r="F24" i="131"/>
  <c r="F25" i="131"/>
  <c r="F26" i="131"/>
  <c r="F39" i="131"/>
  <c r="F40" i="131"/>
  <c r="F41" i="131"/>
  <c r="F30" i="131"/>
  <c r="F31" i="131"/>
  <c r="F32" i="131"/>
  <c r="F30" i="105"/>
  <c r="F29" i="140" s="1"/>
  <c r="F37" i="105"/>
  <c r="F36" i="140" s="1"/>
  <c r="F23" i="105"/>
  <c r="F22" i="140" s="1"/>
  <c r="F33" i="131"/>
  <c r="F34" i="131"/>
  <c r="F35" i="131"/>
  <c r="F48" i="105"/>
  <c r="F46" i="140" s="1"/>
  <c r="F47" i="105"/>
  <c r="F45" i="140" s="1"/>
  <c r="F52" i="105"/>
  <c r="F51" i="140" s="1"/>
  <c r="F26" i="105"/>
  <c r="F25" i="140" s="1"/>
  <c r="F44" i="105"/>
  <c r="F41" i="140" s="1"/>
  <c r="F20" i="105"/>
  <c r="F19" i="140" s="1"/>
  <c r="F25" i="105"/>
  <c r="F24" i="140" s="1"/>
  <c r="F15" i="105"/>
  <c r="F14" i="140" s="1"/>
  <c r="D36" i="131"/>
  <c r="D37" i="131"/>
  <c r="D38" i="131"/>
  <c r="F41" i="105"/>
  <c r="F39" i="140" s="1"/>
  <c r="F34" i="105"/>
  <c r="F34" i="140" s="1"/>
  <c r="F38" i="105"/>
  <c r="F37" i="140" s="1"/>
  <c r="F46" i="105"/>
  <c r="F44" i="140" s="1"/>
  <c r="E39" i="131"/>
  <c r="E40" i="131"/>
  <c r="E41" i="131"/>
  <c r="E33" i="131"/>
  <c r="E34" i="131"/>
  <c r="E35" i="131"/>
  <c r="E15" i="131"/>
  <c r="E16" i="131"/>
  <c r="E17" i="131"/>
  <c r="E36" i="131"/>
  <c r="E37" i="131"/>
  <c r="E38" i="131"/>
  <c r="E30" i="131"/>
  <c r="E31" i="131"/>
  <c r="E32" i="131"/>
  <c r="E27" i="131"/>
  <c r="E28" i="131"/>
  <c r="E29" i="131"/>
  <c r="E24" i="131"/>
  <c r="E25" i="131"/>
  <c r="E26" i="131"/>
  <c r="E21" i="131"/>
  <c r="E22" i="131"/>
  <c r="E23" i="131"/>
  <c r="E18" i="131"/>
  <c r="E19" i="131"/>
  <c r="E20" i="131"/>
  <c r="F21" i="105"/>
  <c r="F20" i="140" s="1"/>
  <c r="E12" i="131"/>
  <c r="E13" i="131"/>
  <c r="E14" i="131"/>
  <c r="F40" i="105"/>
  <c r="F38" i="140" s="1"/>
  <c r="H30" i="131"/>
  <c r="H31" i="131"/>
  <c r="H32" i="131"/>
  <c r="D30" i="131"/>
  <c r="D31" i="131"/>
  <c r="D32" i="131"/>
  <c r="D27" i="131"/>
  <c r="D28" i="131"/>
  <c r="D29" i="131"/>
  <c r="D18" i="131"/>
  <c r="D19" i="131"/>
  <c r="D20" i="131"/>
  <c r="F36" i="105"/>
  <c r="F31" i="140" s="1"/>
  <c r="D15" i="131"/>
  <c r="D16" i="131"/>
  <c r="D17" i="131"/>
  <c r="H42" i="131"/>
  <c r="H43" i="131"/>
  <c r="H44" i="131"/>
  <c r="D42" i="131"/>
  <c r="D43" i="131"/>
  <c r="D44" i="131"/>
  <c r="H39" i="131"/>
  <c r="H40" i="131"/>
  <c r="H41" i="131"/>
  <c r="D39" i="131"/>
  <c r="D40" i="131"/>
  <c r="D41" i="131"/>
  <c r="H33" i="131"/>
  <c r="H34" i="131"/>
  <c r="H35" i="131"/>
  <c r="D33" i="131"/>
  <c r="D34" i="131"/>
  <c r="D35" i="131"/>
  <c r="D21" i="131"/>
  <c r="D22" i="131"/>
  <c r="D23" i="131"/>
  <c r="H24" i="131"/>
  <c r="H25" i="131"/>
  <c r="H26" i="131"/>
  <c r="D24" i="131"/>
  <c r="D25" i="131"/>
  <c r="D26" i="131"/>
  <c r="F31" i="105"/>
  <c r="F30" i="140" s="1"/>
  <c r="H12" i="131"/>
  <c r="H13" i="131"/>
  <c r="H14" i="131"/>
  <c r="G12" i="131"/>
  <c r="G13" i="131"/>
  <c r="G14" i="131"/>
  <c r="D12" i="131"/>
  <c r="D13" i="131"/>
  <c r="D14" i="131"/>
  <c r="H27" i="131"/>
  <c r="H28" i="131"/>
  <c r="H29" i="131"/>
  <c r="F27" i="131"/>
  <c r="F28" i="131"/>
  <c r="F29" i="131"/>
  <c r="H21" i="131"/>
  <c r="H22" i="131"/>
  <c r="H23" i="131"/>
  <c r="G21" i="131"/>
  <c r="G22" i="131"/>
  <c r="F21" i="131"/>
  <c r="F22" i="131"/>
  <c r="F23" i="131"/>
  <c r="H18" i="131"/>
  <c r="H19" i="131"/>
  <c r="H20" i="131"/>
  <c r="G18" i="131"/>
  <c r="G19" i="131"/>
  <c r="G20" i="131"/>
  <c r="F18" i="131"/>
  <c r="F19" i="131"/>
  <c r="F20" i="131"/>
  <c r="H36" i="131"/>
  <c r="H37" i="131"/>
  <c r="H38" i="131"/>
  <c r="F36" i="131"/>
  <c r="F37" i="131"/>
  <c r="F38" i="131"/>
  <c r="E57" i="140"/>
  <c r="E58" i="140" s="1"/>
  <c r="E56" i="140"/>
  <c r="G24" i="131"/>
  <c r="G25" i="131"/>
  <c r="G26" i="131"/>
  <c r="G27" i="131"/>
  <c r="G28" i="131"/>
  <c r="G29" i="131"/>
  <c r="G30" i="131"/>
  <c r="G31" i="131"/>
  <c r="G32" i="131"/>
  <c r="G33" i="131"/>
  <c r="G34" i="131"/>
  <c r="G35" i="131"/>
  <c r="G42" i="131"/>
  <c r="G43" i="131"/>
  <c r="G44" i="131"/>
  <c r="G39" i="131"/>
  <c r="G40" i="131"/>
  <c r="G41" i="131"/>
  <c r="AV446" i="1"/>
  <c r="AV1002" i="1"/>
  <c r="AV483" i="1"/>
  <c r="G17" i="53"/>
  <c r="AV685" i="1"/>
  <c r="Q357" i="1"/>
  <c r="AY227" i="1"/>
  <c r="AV575" i="1"/>
  <c r="AV573" i="1"/>
  <c r="R814" i="1"/>
  <c r="S814" i="1" s="1"/>
  <c r="R968" i="1"/>
  <c r="S968" i="1" s="1"/>
  <c r="C12" i="126"/>
  <c r="C15" i="126"/>
  <c r="C14" i="126"/>
  <c r="C19" i="126"/>
  <c r="C19" i="117"/>
  <c r="C20" i="126"/>
  <c r="C20" i="117"/>
  <c r="C17" i="126"/>
  <c r="C17" i="117"/>
  <c r="C16" i="117"/>
  <c r="C15" i="117"/>
  <c r="C14" i="117"/>
  <c r="C12" i="117"/>
  <c r="C21" i="126"/>
  <c r="C21" i="117"/>
  <c r="C22" i="126"/>
  <c r="C22" i="117"/>
  <c r="C13" i="126"/>
  <c r="C13" i="117"/>
  <c r="D16" i="117"/>
  <c r="AZ945" i="1"/>
  <c r="AZ868" i="1"/>
  <c r="AZ858" i="1"/>
  <c r="AZ857" i="1"/>
  <c r="AZ838" i="1"/>
  <c r="AZ778" i="1"/>
  <c r="AZ775" i="1"/>
  <c r="AZ644" i="1"/>
  <c r="AZ625" i="1"/>
  <c r="AZ366" i="1"/>
  <c r="AZ257" i="1"/>
  <c r="AZ233" i="1"/>
  <c r="AZ227" i="1"/>
  <c r="AZ224" i="1"/>
  <c r="AZ194" i="1"/>
  <c r="AZ182" i="1"/>
  <c r="AZ180" i="1"/>
  <c r="AZ136" i="1"/>
  <c r="AZ127" i="1"/>
  <c r="AZ124" i="1"/>
  <c r="AZ113" i="1"/>
  <c r="AZ69" i="1"/>
  <c r="AZ65" i="1"/>
  <c r="AZ25" i="1"/>
  <c r="AZ18" i="1"/>
  <c r="AZ14" i="1"/>
  <c r="AZ13" i="1"/>
  <c r="AZ8" i="1"/>
  <c r="AZ1351" i="1"/>
  <c r="AZ1376" i="1"/>
  <c r="P549" i="1"/>
  <c r="R549" i="1" s="1"/>
  <c r="S549" i="1" s="1"/>
  <c r="AZ891" i="1"/>
  <c r="AY891" i="1"/>
  <c r="R360" i="1"/>
  <c r="S360" i="1" s="1"/>
  <c r="AZ360" i="1"/>
  <c r="AY360" i="1"/>
  <c r="AY1038" i="1"/>
  <c r="AZ1038" i="1"/>
  <c r="AY1036" i="1"/>
  <c r="AZ1036" i="1"/>
  <c r="AY952" i="1"/>
  <c r="AZ952" i="1"/>
  <c r="AY951" i="1"/>
  <c r="AZ951" i="1"/>
  <c r="AY950" i="1"/>
  <c r="AZ950" i="1"/>
  <c r="AY949" i="1"/>
  <c r="AZ949" i="1"/>
  <c r="AY948" i="1"/>
  <c r="AZ948" i="1"/>
  <c r="AY943" i="1"/>
  <c r="AZ943" i="1"/>
  <c r="AY892" i="1"/>
  <c r="AZ892" i="1"/>
  <c r="AY861" i="1"/>
  <c r="AZ861" i="1"/>
  <c r="AY860" i="1"/>
  <c r="AZ860" i="1"/>
  <c r="AY850" i="1"/>
  <c r="AZ850" i="1"/>
  <c r="AY842" i="1"/>
  <c r="AZ842" i="1"/>
  <c r="AY837" i="1"/>
  <c r="AZ837" i="1"/>
  <c r="AY777" i="1"/>
  <c r="AZ777" i="1"/>
  <c r="AY776" i="1"/>
  <c r="AZ776" i="1"/>
  <c r="AY762" i="1"/>
  <c r="AZ762" i="1"/>
  <c r="AY748" i="1"/>
  <c r="AZ748" i="1"/>
  <c r="AY746" i="1"/>
  <c r="AZ746" i="1"/>
  <c r="AY743" i="1"/>
  <c r="AZ743" i="1"/>
  <c r="AY742" i="1"/>
  <c r="AZ742" i="1"/>
  <c r="AY741" i="1"/>
  <c r="AZ741" i="1"/>
  <c r="AY723" i="1"/>
  <c r="AZ723" i="1"/>
  <c r="AY640" i="1"/>
  <c r="AZ640" i="1"/>
  <c r="AY638" i="1"/>
  <c r="AZ638" i="1"/>
  <c r="AY637" i="1"/>
  <c r="AZ637" i="1"/>
  <c r="AY631" i="1"/>
  <c r="AZ631" i="1"/>
  <c r="AY592" i="1"/>
  <c r="AZ592" i="1"/>
  <c r="AY580" i="1"/>
  <c r="AZ580" i="1"/>
  <c r="AY378" i="1"/>
  <c r="AZ378" i="1"/>
  <c r="AY373" i="1"/>
  <c r="AZ373" i="1"/>
  <c r="AY309" i="1"/>
  <c r="AZ309" i="1"/>
  <c r="AY308" i="1"/>
  <c r="AZ308" i="1"/>
  <c r="AY307" i="1"/>
  <c r="AZ307" i="1"/>
  <c r="AY305" i="1"/>
  <c r="AZ305" i="1"/>
  <c r="AY304" i="1"/>
  <c r="AZ304" i="1"/>
  <c r="AY259" i="1"/>
  <c r="AZ259" i="1"/>
  <c r="AY253" i="1"/>
  <c r="AZ253" i="1"/>
  <c r="AY230" i="1"/>
  <c r="AZ230" i="1"/>
  <c r="AY229" i="1"/>
  <c r="AZ229" i="1"/>
  <c r="AY228" i="1"/>
  <c r="AZ228" i="1"/>
  <c r="AY195" i="1"/>
  <c r="AZ195" i="1"/>
  <c r="AY193" i="1"/>
  <c r="AZ193" i="1"/>
  <c r="AY192" i="1"/>
  <c r="AZ192" i="1"/>
  <c r="AY191" i="1"/>
  <c r="AZ191" i="1"/>
  <c r="AY190" i="1"/>
  <c r="AZ190" i="1"/>
  <c r="AY186" i="1"/>
  <c r="AZ186" i="1"/>
  <c r="AY179" i="1"/>
  <c r="AZ179" i="1"/>
  <c r="AY178" i="1"/>
  <c r="AZ178" i="1"/>
  <c r="AY176" i="1"/>
  <c r="AZ176" i="1"/>
  <c r="AY175" i="1"/>
  <c r="AZ175" i="1"/>
  <c r="AY174" i="1"/>
  <c r="AZ174" i="1"/>
  <c r="AY155" i="1"/>
  <c r="AZ155" i="1"/>
  <c r="AY146" i="1"/>
  <c r="AZ146" i="1"/>
  <c r="AY145" i="1"/>
  <c r="AZ145" i="1"/>
  <c r="AY138" i="1"/>
  <c r="AZ138" i="1"/>
  <c r="AY120" i="1"/>
  <c r="AZ120" i="1"/>
  <c r="AY119" i="1"/>
  <c r="AZ119" i="1"/>
  <c r="AY108" i="1"/>
  <c r="AZ108" i="1"/>
  <c r="AY107" i="1"/>
  <c r="AZ107" i="1"/>
  <c r="AY90" i="1"/>
  <c r="AZ90" i="1"/>
  <c r="AY24" i="1"/>
  <c r="AZ24" i="1"/>
  <c r="AY7" i="1"/>
  <c r="AZ7" i="1"/>
  <c r="AY6" i="1"/>
  <c r="AZ6" i="1"/>
  <c r="AY1403" i="1"/>
  <c r="AZ1403" i="1"/>
  <c r="AY1402" i="1"/>
  <c r="AZ1402" i="1"/>
  <c r="AY1401" i="1"/>
  <c r="AZ1401" i="1"/>
  <c r="AY1400" i="1"/>
  <c r="AZ1400" i="1"/>
  <c r="AY1399" i="1"/>
  <c r="AZ1399" i="1"/>
  <c r="AY1398" i="1"/>
  <c r="AZ1398" i="1"/>
  <c r="R1064" i="1"/>
  <c r="S1064" i="1" s="1"/>
  <c r="AZ1062" i="1"/>
  <c r="AY1062" i="1"/>
  <c r="AZ1064" i="1"/>
  <c r="AY1064" i="1"/>
  <c r="AZ1065" i="1"/>
  <c r="AY1065" i="1"/>
  <c r="AY1382" i="1"/>
  <c r="AZ1382" i="1"/>
  <c r="AY1375" i="1"/>
  <c r="AZ1375" i="1"/>
  <c r="AV1250" i="1"/>
  <c r="AY945" i="1"/>
  <c r="Q904" i="1"/>
  <c r="T904" i="1" s="1"/>
  <c r="AV859" i="1"/>
  <c r="AY778" i="1"/>
  <c r="AY625" i="1"/>
  <c r="AV545" i="1"/>
  <c r="AV478" i="1"/>
  <c r="AV272" i="1"/>
  <c r="AV268" i="1"/>
  <c r="D33" i="53"/>
  <c r="G33" i="53" s="1"/>
  <c r="AV686" i="1"/>
  <c r="P483" i="1"/>
  <c r="AV414" i="1"/>
  <c r="AV137" i="1"/>
  <c r="AY136" i="1"/>
  <c r="AV125" i="1"/>
  <c r="AY69" i="1"/>
  <c r="T65" i="1"/>
  <c r="AV65" i="1" s="1"/>
  <c r="AY1351" i="1"/>
  <c r="P1006" i="1"/>
  <c r="AY838" i="1"/>
  <c r="AV715" i="1"/>
  <c r="AY644" i="1"/>
  <c r="Q492" i="1"/>
  <c r="P457" i="1"/>
  <c r="AV348" i="1"/>
  <c r="AV346" i="1"/>
  <c r="AY257" i="1"/>
  <c r="AY14" i="1"/>
  <c r="T107" i="1"/>
  <c r="AV107" i="1" s="1"/>
  <c r="AY65" i="1"/>
  <c r="Q21" i="1"/>
  <c r="AY868" i="1"/>
  <c r="P864" i="1"/>
  <c r="AY775" i="1"/>
  <c r="P482" i="1"/>
  <c r="AY113" i="1"/>
  <c r="AV536" i="1"/>
  <c r="AV515" i="1"/>
  <c r="AV513" i="1"/>
  <c r="AV425" i="1"/>
  <c r="AV397" i="1"/>
  <c r="AV171" i="1"/>
  <c r="AV160" i="1"/>
  <c r="AV134" i="1"/>
  <c r="AV128" i="1"/>
  <c r="AY8" i="1"/>
  <c r="T69" i="1"/>
  <c r="AV69" i="1" s="1"/>
  <c r="AY25" i="1"/>
  <c r="AV1000" i="1"/>
  <c r="T939" i="1"/>
  <c r="AV939" i="1" s="1"/>
  <c r="T863" i="1"/>
  <c r="AV863" i="1" s="1"/>
  <c r="T858" i="1"/>
  <c r="AV858" i="1" s="1"/>
  <c r="AY858" i="1"/>
  <c r="T795" i="1"/>
  <c r="AV795" i="1" s="1"/>
  <c r="T673" i="1"/>
  <c r="AV673" i="1" s="1"/>
  <c r="T462" i="1"/>
  <c r="AV462" i="1" s="1"/>
  <c r="T366" i="1"/>
  <c r="AV366" i="1" s="1"/>
  <c r="AY366" i="1"/>
  <c r="T296" i="1"/>
  <c r="AV296" i="1" s="1"/>
  <c r="T263" i="1"/>
  <c r="AV263" i="1" s="1"/>
  <c r="T255" i="1"/>
  <c r="AV255" i="1" s="1"/>
  <c r="T254" i="1"/>
  <c r="AV254" i="1" s="1"/>
  <c r="T233" i="1"/>
  <c r="AV233" i="1" s="1"/>
  <c r="AY233" i="1"/>
  <c r="T224" i="1"/>
  <c r="AV224" i="1" s="1"/>
  <c r="AY224" i="1"/>
  <c r="T215" i="1"/>
  <c r="AV215" i="1" s="1"/>
  <c r="T182" i="1"/>
  <c r="AV182" i="1" s="1"/>
  <c r="AY182" i="1"/>
  <c r="T180" i="1"/>
  <c r="AV180" i="1" s="1"/>
  <c r="AY180" i="1"/>
  <c r="T168" i="1"/>
  <c r="AV168" i="1" s="1"/>
  <c r="T156" i="1"/>
  <c r="AV156" i="1" s="1"/>
  <c r="T127" i="1"/>
  <c r="AV127" i="1" s="1"/>
  <c r="AY127" i="1"/>
  <c r="T124" i="1"/>
  <c r="AV124" i="1" s="1"/>
  <c r="AY124" i="1"/>
  <c r="T84" i="1"/>
  <c r="AV84" i="1" s="1"/>
  <c r="T60" i="1"/>
  <c r="AV60" i="1" s="1"/>
  <c r="T18" i="1"/>
  <c r="AV18" i="1" s="1"/>
  <c r="AY18" i="1"/>
  <c r="T16" i="1"/>
  <c r="AV16" i="1" s="1"/>
  <c r="T13" i="1"/>
  <c r="AV13" i="1" s="1"/>
  <c r="AY13" i="1"/>
  <c r="E14" i="53"/>
  <c r="D14" i="53"/>
  <c r="D32" i="53"/>
  <c r="G32" i="53" s="1"/>
  <c r="E24" i="53"/>
  <c r="D24" i="53"/>
  <c r="T931" i="1"/>
  <c r="AV931" i="1" s="1"/>
  <c r="E25" i="53"/>
  <c r="D25" i="53"/>
  <c r="D19" i="53"/>
  <c r="G19" i="53" s="1"/>
  <c r="D30" i="53"/>
  <c r="G30" i="53" s="1"/>
  <c r="D31" i="53"/>
  <c r="G31" i="53" s="1"/>
  <c r="C21" i="53"/>
  <c r="G21" i="53" s="1"/>
  <c r="D23" i="53"/>
  <c r="G23" i="53" s="1"/>
  <c r="C16" i="53"/>
  <c r="D16" i="53"/>
  <c r="C18" i="53"/>
  <c r="G18" i="53" s="1"/>
  <c r="D27" i="53"/>
  <c r="G27" i="53" s="1"/>
  <c r="D29" i="53"/>
  <c r="G29" i="53" s="1"/>
  <c r="D15" i="53"/>
  <c r="C15" i="53"/>
  <c r="D20" i="53"/>
  <c r="G20" i="53" s="1"/>
  <c r="L546" i="24"/>
  <c r="AV1045" i="1"/>
  <c r="AV1024" i="1"/>
  <c r="P920" i="1"/>
  <c r="AV865" i="1"/>
  <c r="AV690" i="1"/>
  <c r="AV659" i="1"/>
  <c r="AV538" i="1"/>
  <c r="AV267" i="1"/>
  <c r="AV169" i="1"/>
  <c r="AV1015" i="1"/>
  <c r="AV961" i="1"/>
  <c r="P941" i="1"/>
  <c r="AV767" i="1"/>
  <c r="Q533" i="1"/>
  <c r="AV507" i="1"/>
  <c r="AV505" i="1"/>
  <c r="Q503" i="1"/>
  <c r="Q458" i="1"/>
  <c r="P447" i="1"/>
  <c r="AV150" i="1"/>
  <c r="AV148" i="1"/>
  <c r="AV829" i="1"/>
  <c r="AV805" i="1"/>
  <c r="AV676" i="1"/>
  <c r="Q634" i="1"/>
  <c r="T634" i="1" s="1"/>
  <c r="AV634" i="1" s="1"/>
  <c r="AV562" i="1"/>
  <c r="AV514" i="1"/>
  <c r="AV512" i="1"/>
  <c r="Q510" i="1"/>
  <c r="P480" i="1"/>
  <c r="P475" i="1"/>
  <c r="AV432" i="1"/>
  <c r="AV395" i="1"/>
  <c r="AV299" i="1"/>
  <c r="AV265" i="1"/>
  <c r="AV261" i="1"/>
  <c r="AV250" i="1"/>
  <c r="AV248" i="1"/>
  <c r="AV246" i="1"/>
  <c r="AV244" i="1"/>
  <c r="AV242" i="1"/>
  <c r="AV240" i="1"/>
  <c r="AV238" i="1"/>
  <c r="AV236" i="1"/>
  <c r="AV234" i="1"/>
  <c r="AV34" i="1"/>
  <c r="AV32" i="1"/>
  <c r="AV822" i="1"/>
  <c r="AV802" i="1"/>
  <c r="AV800" i="1"/>
  <c r="AV764" i="1"/>
  <c r="AV760" i="1"/>
  <c r="AV754" i="1"/>
  <c r="Q686" i="1"/>
  <c r="AV683" i="1"/>
  <c r="P504" i="1"/>
  <c r="AV481" i="1"/>
  <c r="AV461" i="1"/>
  <c r="AV440" i="1"/>
  <c r="Q438" i="1"/>
  <c r="AV431" i="1"/>
  <c r="AV354" i="1"/>
  <c r="P352" i="1"/>
  <c r="Q331" i="1"/>
  <c r="P301" i="1"/>
  <c r="AV167" i="1"/>
  <c r="AV468" i="1"/>
  <c r="AV1023" i="1"/>
  <c r="P1005" i="1"/>
  <c r="AV926" i="1"/>
  <c r="Q908" i="1"/>
  <c r="T908" i="1" s="1"/>
  <c r="AV908" i="1" s="1"/>
  <c r="AV886" i="1"/>
  <c r="AV642" i="1"/>
  <c r="AV639" i="1"/>
  <c r="AV609" i="1"/>
  <c r="AV606" i="1"/>
  <c r="AV589" i="1"/>
  <c r="P530" i="1"/>
  <c r="AV510" i="1"/>
  <c r="Q508" i="1"/>
  <c r="AV465" i="1"/>
  <c r="AV442" i="1"/>
  <c r="AV437" i="1"/>
  <c r="Q436" i="1"/>
  <c r="AV426" i="1"/>
  <c r="P421" i="1"/>
  <c r="AV416" i="1"/>
  <c r="Q414" i="1"/>
  <c r="P370" i="1"/>
  <c r="R370" i="1" s="1"/>
  <c r="S370" i="1" s="1"/>
  <c r="P355" i="1"/>
  <c r="P349" i="1"/>
  <c r="AV301" i="1"/>
  <c r="AV151" i="1"/>
  <c r="AV149" i="1"/>
  <c r="AV1348" i="1"/>
  <c r="AV1344" i="1"/>
  <c r="AV1335" i="1"/>
  <c r="AV1040" i="1"/>
  <c r="AV1035" i="1"/>
  <c r="AV1025" i="1"/>
  <c r="AV1020" i="1"/>
  <c r="AV1016" i="1"/>
  <c r="AV1014" i="1"/>
  <c r="AV1009" i="1"/>
  <c r="AV1006" i="1"/>
  <c r="AV1001" i="1"/>
  <c r="AV972" i="1"/>
  <c r="AV940" i="1"/>
  <c r="AV807" i="1"/>
  <c r="Q682" i="1"/>
  <c r="Q680" i="1"/>
  <c r="AV677" i="1"/>
  <c r="AV627" i="1"/>
  <c r="AV499" i="1"/>
  <c r="AV470" i="1"/>
  <c r="AV411" i="1"/>
  <c r="AV396" i="1"/>
  <c r="AV335" i="1"/>
  <c r="Q333" i="1"/>
  <c r="AV256" i="1"/>
  <c r="Q224" i="1"/>
  <c r="AV218" i="1"/>
  <c r="AV73" i="1"/>
  <c r="AV17" i="1"/>
  <c r="AV11" i="1"/>
  <c r="Q437" i="1"/>
  <c r="AV435" i="1"/>
  <c r="Q1018" i="1"/>
  <c r="AV893" i="1"/>
  <c r="AV887" i="1"/>
  <c r="AV845" i="1"/>
  <c r="P828" i="1"/>
  <c r="R828" i="1" s="1"/>
  <c r="S828" i="1" s="1"/>
  <c r="AV757" i="1"/>
  <c r="AV745" i="1"/>
  <c r="AV645" i="1"/>
  <c r="AV485" i="1"/>
  <c r="Q428" i="1"/>
  <c r="AV371" i="1"/>
  <c r="AV323" i="1"/>
  <c r="AV321" i="1"/>
  <c r="Q112" i="1"/>
  <c r="Q1004" i="1"/>
  <c r="Q995" i="1"/>
  <c r="Q494" i="1"/>
  <c r="AV489" i="1"/>
  <c r="AV302" i="1"/>
  <c r="O548" i="24"/>
  <c r="AV1034" i="1"/>
  <c r="AV1026" i="1"/>
  <c r="AV1017" i="1"/>
  <c r="AV1013" i="1"/>
  <c r="AV973" i="1"/>
  <c r="AV971" i="1"/>
  <c r="P910" i="1"/>
  <c r="AV885" i="1"/>
  <c r="AV869" i="1"/>
  <c r="AV854" i="1"/>
  <c r="AV707" i="1"/>
  <c r="P681" i="1"/>
  <c r="AV626" i="1"/>
  <c r="P496" i="1"/>
  <c r="Q408" i="1"/>
  <c r="AV405" i="1"/>
  <c r="AV402" i="1"/>
  <c r="AV400" i="1"/>
  <c r="AV345" i="1"/>
  <c r="Q334" i="1"/>
  <c r="AV329" i="1"/>
  <c r="AV262" i="1"/>
  <c r="O547" i="24"/>
  <c r="Q1020" i="1"/>
  <c r="P1020" i="1"/>
  <c r="AV929" i="1"/>
  <c r="P923" i="1"/>
  <c r="AV766" i="1"/>
  <c r="AV717" i="1"/>
  <c r="AV711" i="1"/>
  <c r="AV687" i="1"/>
  <c r="P632" i="1"/>
  <c r="AV628" i="1"/>
  <c r="AV511" i="1"/>
  <c r="AV490" i="1"/>
  <c r="P478" i="1"/>
  <c r="AV466" i="1"/>
  <c r="AV450" i="1"/>
  <c r="AV408" i="1"/>
  <c r="AV333" i="1"/>
  <c r="AV327" i="1"/>
  <c r="Q50" i="121"/>
  <c r="AV1122" i="1"/>
  <c r="Q538" i="1"/>
  <c r="P538" i="1"/>
  <c r="Q446" i="1"/>
  <c r="P446" i="1"/>
  <c r="P367" i="1"/>
  <c r="R367" i="1" s="1"/>
  <c r="S367" i="1" s="1"/>
  <c r="Q367" i="1"/>
  <c r="T367" i="1" s="1"/>
  <c r="P302" i="1"/>
  <c r="Q302" i="1"/>
  <c r="P450" i="1"/>
  <c r="Q450" i="1"/>
  <c r="AL691" i="1"/>
  <c r="Q797" i="1"/>
  <c r="AV423" i="1"/>
  <c r="P395" i="1"/>
  <c r="Q395" i="1"/>
  <c r="Q366" i="1"/>
  <c r="AV1048" i="1"/>
  <c r="AV1046" i="1"/>
  <c r="AV1029" i="1"/>
  <c r="AV999" i="1"/>
  <c r="P922" i="1"/>
  <c r="AV824" i="1"/>
  <c r="AV798" i="1"/>
  <c r="AV765" i="1"/>
  <c r="AV761" i="1"/>
  <c r="AV759" i="1"/>
  <c r="AV710" i="1"/>
  <c r="AV705" i="1"/>
  <c r="AV681" i="1"/>
  <c r="AV679" i="1"/>
  <c r="P677" i="1"/>
  <c r="AV674" i="1"/>
  <c r="AV655" i="1"/>
  <c r="AV652" i="1"/>
  <c r="Q642" i="1"/>
  <c r="AV604" i="1"/>
  <c r="P537" i="1"/>
  <c r="AV534" i="1"/>
  <c r="Q529" i="1"/>
  <c r="T529" i="1" s="1"/>
  <c r="Q452" i="1"/>
  <c r="P452" i="1"/>
  <c r="AV433" i="1"/>
  <c r="AV428" i="1"/>
  <c r="AV412" i="1"/>
  <c r="AV394" i="1"/>
  <c r="Q392" i="1"/>
  <c r="Q376" i="1"/>
  <c r="P296" i="1"/>
  <c r="AV126" i="1"/>
  <c r="Q124" i="1"/>
  <c r="AV87" i="1"/>
  <c r="AV31" i="1"/>
  <c r="P992" i="1"/>
  <c r="R992" i="1" s="1"/>
  <c r="S992" i="1" s="1"/>
  <c r="AV992" i="1" s="1"/>
  <c r="AV960" i="1"/>
  <c r="Q924" i="1"/>
  <c r="T924" i="1" s="1"/>
  <c r="P924" i="1"/>
  <c r="R924" i="1" s="1"/>
  <c r="S924" i="1" s="1"/>
  <c r="Q470" i="1"/>
  <c r="P470" i="1"/>
  <c r="Q397" i="1"/>
  <c r="P397" i="1"/>
  <c r="P944" i="1"/>
  <c r="R944" i="1" s="1"/>
  <c r="S944" i="1" s="1"/>
  <c r="Q944" i="1"/>
  <c r="T944" i="1" s="1"/>
  <c r="P489" i="1"/>
  <c r="Q489" i="1"/>
  <c r="P404" i="1"/>
  <c r="Q404" i="1"/>
  <c r="AV941" i="1"/>
  <c r="AV915" i="1"/>
  <c r="P911" i="1"/>
  <c r="P752" i="1"/>
  <c r="R752" i="1" s="1"/>
  <c r="S752" i="1" s="1"/>
  <c r="AV752" i="1" s="1"/>
  <c r="AV709" i="1"/>
  <c r="AV693" i="1"/>
  <c r="P618" i="1"/>
  <c r="Q618" i="1"/>
  <c r="AV541" i="1"/>
  <c r="Q499" i="1"/>
  <c r="Q497" i="1"/>
  <c r="P495" i="1"/>
  <c r="AV488" i="1"/>
  <c r="Q476" i="1"/>
  <c r="Q474" i="1"/>
  <c r="AV463" i="1"/>
  <c r="P409" i="1"/>
  <c r="Q409" i="1"/>
  <c r="AV403" i="1"/>
  <c r="AV393" i="1"/>
  <c r="AV372" i="1"/>
  <c r="AV355" i="1"/>
  <c r="AV349" i="1"/>
  <c r="Q325" i="1"/>
  <c r="P218" i="1"/>
  <c r="Q218" i="1"/>
  <c r="Q205" i="1"/>
  <c r="P184" i="1"/>
  <c r="R184" i="1" s="1"/>
  <c r="S184" i="1" s="1"/>
  <c r="AV26" i="1"/>
  <c r="O546" i="24"/>
  <c r="O573" i="24"/>
  <c r="AV1049" i="1"/>
  <c r="AV1047" i="1"/>
  <c r="AV1028" i="1"/>
  <c r="AV1022" i="1"/>
  <c r="AV942" i="1"/>
  <c r="AV870" i="1"/>
  <c r="AV820" i="1"/>
  <c r="AV816" i="1"/>
  <c r="AV806" i="1"/>
  <c r="Q740" i="1"/>
  <c r="AV713" i="1"/>
  <c r="AV657" i="1"/>
  <c r="AV646" i="1"/>
  <c r="P605" i="1"/>
  <c r="R602" i="1" s="1"/>
  <c r="S602" i="1" s="1"/>
  <c r="AV590" i="1"/>
  <c r="AV584" i="1"/>
  <c r="AV546" i="1"/>
  <c r="AV533" i="1"/>
  <c r="AV518" i="1"/>
  <c r="Q512" i="1"/>
  <c r="AV497" i="1"/>
  <c r="AV495" i="1"/>
  <c r="AV491" i="1"/>
  <c r="AV487" i="1"/>
  <c r="AV472" i="1"/>
  <c r="AV448" i="1"/>
  <c r="Q372" i="1"/>
  <c r="T370" i="1" s="1"/>
  <c r="AV351" i="1"/>
  <c r="Q346" i="1"/>
  <c r="AV322" i="1"/>
  <c r="AV252" i="1"/>
  <c r="AV220" i="1"/>
  <c r="AV205" i="1"/>
  <c r="AV173" i="1"/>
  <c r="P168" i="1"/>
  <c r="AV165" i="1"/>
  <c r="AV130" i="1"/>
  <c r="Q127" i="1"/>
  <c r="Q122" i="1"/>
  <c r="T122" i="1" s="1"/>
  <c r="AV112" i="1"/>
  <c r="AV62" i="1"/>
  <c r="AV49" i="1"/>
  <c r="AV29" i="1"/>
  <c r="AV1380" i="1"/>
  <c r="O545" i="24"/>
  <c r="O572" i="24"/>
  <c r="AV928" i="1"/>
  <c r="AV917" i="1"/>
  <c r="AV905" i="1"/>
  <c r="AV877" i="1"/>
  <c r="AV855" i="1"/>
  <c r="AV846" i="1"/>
  <c r="AV844" i="1"/>
  <c r="AV839" i="1"/>
  <c r="AV823" i="1"/>
  <c r="AV799" i="1"/>
  <c r="AV797" i="1"/>
  <c r="AV773" i="1"/>
  <c r="AV692" i="1"/>
  <c r="AV599" i="1"/>
  <c r="AV553" i="1"/>
  <c r="AV544" i="1"/>
  <c r="AV542" i="1"/>
  <c r="AV520" i="1"/>
  <c r="AV509" i="1"/>
  <c r="AV504" i="1"/>
  <c r="AV476" i="1"/>
  <c r="AV474" i="1"/>
  <c r="AV456" i="1"/>
  <c r="AV443" i="1"/>
  <c r="AV424" i="1"/>
  <c r="AV399" i="1"/>
  <c r="AV392" i="1"/>
  <c r="AV376" i="1"/>
  <c r="AV357" i="1"/>
  <c r="AV353" i="1"/>
  <c r="AV328" i="1"/>
  <c r="AV326" i="1"/>
  <c r="AV316" i="1"/>
  <c r="AV314" i="1"/>
  <c r="AV297" i="1"/>
  <c r="AV278" i="1"/>
  <c r="AV274" i="1"/>
  <c r="AV266" i="1"/>
  <c r="AV162" i="1"/>
  <c r="AV157" i="1"/>
  <c r="AV67" i="1"/>
  <c r="AV44" i="1"/>
  <c r="AV23" i="1"/>
  <c r="AV9" i="1"/>
  <c r="AV1379" i="1"/>
  <c r="AV1332" i="1"/>
  <c r="AV1330" i="1"/>
  <c r="AV1321" i="1"/>
  <c r="AV1319" i="1"/>
  <c r="O571" i="24"/>
  <c r="AV1050" i="1"/>
  <c r="AV1043" i="1"/>
  <c r="P1040" i="1"/>
  <c r="R1039" i="1" s="1"/>
  <c r="S1039" i="1" s="1"/>
  <c r="AV1033" i="1"/>
  <c r="P1021" i="1"/>
  <c r="AV1008" i="1"/>
  <c r="P994" i="1"/>
  <c r="R994" i="1" s="1"/>
  <c r="S994" i="1" s="1"/>
  <c r="AV974" i="1"/>
  <c r="P969" i="1"/>
  <c r="R969" i="1" s="1"/>
  <c r="S969" i="1" s="1"/>
  <c r="AV969" i="1" s="1"/>
  <c r="AV962" i="1"/>
  <c r="P940" i="1"/>
  <c r="P927" i="1"/>
  <c r="R927" i="1" s="1"/>
  <c r="S927" i="1" s="1"/>
  <c r="AV921" i="1"/>
  <c r="AV918" i="1"/>
  <c r="P914" i="1"/>
  <c r="Q807" i="1"/>
  <c r="AV739" i="1"/>
  <c r="AV729" i="1"/>
  <c r="AV648" i="1"/>
  <c r="Q487" i="1"/>
  <c r="P487" i="1"/>
  <c r="P461" i="1"/>
  <c r="Q461" i="1"/>
  <c r="AV458" i="1"/>
  <c r="P400" i="1"/>
  <c r="Q400" i="1"/>
  <c r="Q374" i="1"/>
  <c r="P374" i="1"/>
  <c r="R374" i="1" s="1"/>
  <c r="S374" i="1" s="1"/>
  <c r="P189" i="1"/>
  <c r="R189" i="1" s="1"/>
  <c r="S189" i="1" s="1"/>
  <c r="Q189" i="1"/>
  <c r="T189" i="1" s="1"/>
  <c r="Q132" i="1"/>
  <c r="P132" i="1"/>
  <c r="R131" i="1" s="1"/>
  <c r="S131" i="1" s="1"/>
  <c r="T930" i="1"/>
  <c r="AV930" i="1" s="1"/>
  <c r="P863" i="1"/>
  <c r="Q863" i="1"/>
  <c r="P754" i="1"/>
  <c r="R753" i="1" s="1"/>
  <c r="S753" i="1" s="1"/>
  <c r="Q754" i="1"/>
  <c r="T753" i="1" s="1"/>
  <c r="P708" i="1"/>
  <c r="Q708" i="1"/>
  <c r="P493" i="1"/>
  <c r="Q493" i="1"/>
  <c r="Q411" i="1"/>
  <c r="P411" i="1"/>
  <c r="R568" i="24"/>
  <c r="O568" i="24"/>
  <c r="P1037" i="1"/>
  <c r="R1037" i="1" s="1"/>
  <c r="S1037" i="1" s="1"/>
  <c r="P739" i="1"/>
  <c r="R738" i="1" s="1"/>
  <c r="S738" i="1" s="1"/>
  <c r="Q739" i="1"/>
  <c r="P684" i="1"/>
  <c r="Q684" i="1"/>
  <c r="P418" i="1"/>
  <c r="Q418" i="1"/>
  <c r="Q216" i="1"/>
  <c r="P216" i="1"/>
  <c r="AV1044" i="1"/>
  <c r="AV1027" i="1"/>
  <c r="Q1022" i="1"/>
  <c r="AV1005" i="1"/>
  <c r="P1000" i="1"/>
  <c r="Q939" i="1"/>
  <c r="Q909" i="1"/>
  <c r="T909" i="1" s="1"/>
  <c r="P909" i="1"/>
  <c r="P905" i="1"/>
  <c r="R904" i="1" s="1"/>
  <c r="S904" i="1" s="1"/>
  <c r="AV899" i="1"/>
  <c r="Q890" i="1"/>
  <c r="AV871" i="1"/>
  <c r="Q800" i="1"/>
  <c r="P800" i="1"/>
  <c r="P712" i="1"/>
  <c r="Q712" i="1"/>
  <c r="P464" i="1"/>
  <c r="Q464" i="1"/>
  <c r="P337" i="1"/>
  <c r="Q337" i="1"/>
  <c r="Q332" i="1"/>
  <c r="AV1073" i="1"/>
  <c r="AV1042" i="1"/>
  <c r="AV1030" i="1"/>
  <c r="AV1018" i="1"/>
  <c r="AV1010" i="1"/>
  <c r="AV1003" i="1"/>
  <c r="AV906" i="1"/>
  <c r="AV883" i="1"/>
  <c r="AV878" i="1"/>
  <c r="AV876" i="1"/>
  <c r="Q859" i="1"/>
  <c r="AV856" i="1"/>
  <c r="AV840" i="1"/>
  <c r="P806" i="1"/>
  <c r="Q806" i="1"/>
  <c r="Q804" i="1"/>
  <c r="AV801" i="1"/>
  <c r="AV758" i="1"/>
  <c r="Q756" i="1"/>
  <c r="P691" i="1"/>
  <c r="Q691" i="1"/>
  <c r="Q517" i="1"/>
  <c r="P517" i="1"/>
  <c r="Q26" i="121" s="1"/>
  <c r="Q469" i="1"/>
  <c r="P467" i="1"/>
  <c r="Q467" i="1"/>
  <c r="Q429" i="1"/>
  <c r="P429" i="1"/>
  <c r="P188" i="1"/>
  <c r="Q188" i="1"/>
  <c r="P704" i="1"/>
  <c r="Q704" i="1"/>
  <c r="P519" i="1"/>
  <c r="R519" i="1" s="1"/>
  <c r="S519" i="1" s="1"/>
  <c r="Q519" i="1"/>
  <c r="AV815" i="1"/>
  <c r="P758" i="1"/>
  <c r="Q758" i="1"/>
  <c r="P473" i="1"/>
  <c r="Q473" i="1"/>
  <c r="P398" i="1"/>
  <c r="Q398" i="1"/>
  <c r="Q299" i="1"/>
  <c r="P299" i="1"/>
  <c r="AV1019" i="1"/>
  <c r="AV1004" i="1"/>
  <c r="AV947" i="1"/>
  <c r="P942" i="1"/>
  <c r="AV925" i="1"/>
  <c r="AV923" i="1"/>
  <c r="AV916" i="1"/>
  <c r="AV910" i="1"/>
  <c r="AV884" i="1"/>
  <c r="AV866" i="1"/>
  <c r="AV774" i="1"/>
  <c r="AV675" i="1"/>
  <c r="P481" i="1"/>
  <c r="Q481" i="1"/>
  <c r="Q479" i="1"/>
  <c r="AV825" i="1"/>
  <c r="AV803" i="1"/>
  <c r="AV772" i="1"/>
  <c r="AV740" i="1"/>
  <c r="AV719" i="1"/>
  <c r="AV714" i="1"/>
  <c r="AV703" i="1"/>
  <c r="AV688" i="1"/>
  <c r="AV650" i="1"/>
  <c r="T632" i="1"/>
  <c r="AV630" i="1"/>
  <c r="AV611" i="1"/>
  <c r="AV608" i="1"/>
  <c r="AV603" i="1"/>
  <c r="AV583" i="1"/>
  <c r="AV561" i="1"/>
  <c r="AV552" i="1"/>
  <c r="AV503" i="1"/>
  <c r="AV501" i="1"/>
  <c r="AV498" i="1"/>
  <c r="AV496" i="1"/>
  <c r="AV494" i="1"/>
  <c r="AV492" i="1"/>
  <c r="AV486" i="1"/>
  <c r="AV480" i="1"/>
  <c r="AV460" i="1"/>
  <c r="AV452" i="1"/>
  <c r="AV444" i="1"/>
  <c r="Q427" i="1"/>
  <c r="P427" i="1"/>
  <c r="AV421" i="1"/>
  <c r="AV419" i="1"/>
  <c r="AV417" i="1"/>
  <c r="AV410" i="1"/>
  <c r="AV406" i="1"/>
  <c r="AV336" i="1"/>
  <c r="AV318" i="1"/>
  <c r="AV226" i="1"/>
  <c r="AV219" i="1"/>
  <c r="AV217" i="1"/>
  <c r="P187" i="1"/>
  <c r="Q187" i="1"/>
  <c r="AV135" i="1"/>
  <c r="AV118" i="1"/>
  <c r="AV114" i="1"/>
  <c r="AV55" i="1"/>
  <c r="AV39" i="1"/>
  <c r="AV22" i="1"/>
  <c r="AV15" i="1"/>
  <c r="AV1340" i="1"/>
  <c r="AV1333" i="1"/>
  <c r="AV1324" i="1"/>
  <c r="AV1322" i="1"/>
  <c r="AV222" i="1"/>
  <c r="Q219" i="1"/>
  <c r="Q217" i="1"/>
  <c r="AV172" i="1"/>
  <c r="AV164" i="1"/>
  <c r="AV159" i="1"/>
  <c r="P110" i="1"/>
  <c r="Q110" i="1"/>
  <c r="AV1352" i="1"/>
  <c r="Q50" i="111"/>
  <c r="AV779" i="1"/>
  <c r="R718" i="1"/>
  <c r="S718" i="1" s="1"/>
  <c r="Q534" i="1"/>
  <c r="P534" i="1"/>
  <c r="Q300" i="1"/>
  <c r="P300" i="1"/>
  <c r="P118" i="1"/>
  <c r="Q118" i="1"/>
  <c r="AV946" i="1"/>
  <c r="AV922" i="1"/>
  <c r="AV920" i="1"/>
  <c r="AV911" i="1"/>
  <c r="AV875" i="1"/>
  <c r="AV841" i="1"/>
  <c r="AV821" i="1"/>
  <c r="P809" i="1"/>
  <c r="R809" i="1" s="1"/>
  <c r="S809" i="1" s="1"/>
  <c r="AV809" i="1" s="1"/>
  <c r="AV804" i="1"/>
  <c r="AV796" i="1"/>
  <c r="Q767" i="1"/>
  <c r="Q759" i="1"/>
  <c r="AV716" i="1"/>
  <c r="Q707" i="1"/>
  <c r="AV704" i="1"/>
  <c r="T702" i="1"/>
  <c r="AV702" i="1" s="1"/>
  <c r="Q692" i="1"/>
  <c r="AV678" i="1"/>
  <c r="AV619" i="1"/>
  <c r="AV506" i="1"/>
  <c r="AV502" i="1"/>
  <c r="Q448" i="1"/>
  <c r="P448" i="1"/>
  <c r="Q441" i="1"/>
  <c r="AV216" i="1"/>
  <c r="AV166" i="1"/>
  <c r="AV161" i="1"/>
  <c r="AV88" i="1"/>
  <c r="Q86" i="1"/>
  <c r="AV78" i="1"/>
  <c r="AV68" i="1"/>
  <c r="AV61" i="1"/>
  <c r="AV756" i="1"/>
  <c r="AV730" i="1"/>
  <c r="Q718" i="1"/>
  <c r="T718" i="1" s="1"/>
  <c r="Q711" i="1"/>
  <c r="AV689" i="1"/>
  <c r="Q687" i="1"/>
  <c r="AV682" i="1"/>
  <c r="AV680" i="1"/>
  <c r="Q676" i="1"/>
  <c r="Q674" i="1"/>
  <c r="AV656" i="1"/>
  <c r="P649" i="1"/>
  <c r="R649" i="1" s="1"/>
  <c r="S649" i="1" s="1"/>
  <c r="Q647" i="1"/>
  <c r="AV629" i="1"/>
  <c r="AV612" i="1"/>
  <c r="AV607" i="1"/>
  <c r="AV591" i="1"/>
  <c r="AV574" i="1"/>
  <c r="AV530" i="1"/>
  <c r="Q511" i="1"/>
  <c r="AV508" i="1"/>
  <c r="AV500" i="1"/>
  <c r="AV493" i="1"/>
  <c r="AV453" i="1"/>
  <c r="AV449" i="1"/>
  <c r="AV447" i="1"/>
  <c r="AV445" i="1"/>
  <c r="Q443" i="1"/>
  <c r="AV438" i="1"/>
  <c r="AV430" i="1"/>
  <c r="AV407" i="1"/>
  <c r="AV404" i="1"/>
  <c r="AV377" i="1"/>
  <c r="P353" i="1"/>
  <c r="AV315" i="1"/>
  <c r="Q252" i="1"/>
  <c r="AV185" i="1"/>
  <c r="AV116" i="1"/>
  <c r="AV111" i="1"/>
  <c r="AV74" i="1"/>
  <c r="AV63" i="1"/>
  <c r="P49" i="1"/>
  <c r="Q49" i="1"/>
  <c r="AV1349" i="1"/>
  <c r="AV1341" i="1"/>
  <c r="AV1336" i="1"/>
  <c r="AV1325" i="1"/>
  <c r="AV712" i="1"/>
  <c r="AV708" i="1"/>
  <c r="AV706" i="1"/>
  <c r="AV691" i="1"/>
  <c r="AV684" i="1"/>
  <c r="AV658" i="1"/>
  <c r="AV643" i="1"/>
  <c r="AV633" i="1"/>
  <c r="AV605" i="1"/>
  <c r="AV585" i="1"/>
  <c r="AV572" i="1"/>
  <c r="AV537" i="1"/>
  <c r="AV535" i="1"/>
  <c r="AV484" i="1"/>
  <c r="AV482" i="1"/>
  <c r="AV477" i="1"/>
  <c r="AV467" i="1"/>
  <c r="AV464" i="1"/>
  <c r="AV436" i="1"/>
  <c r="AV375" i="1"/>
  <c r="AV324" i="1"/>
  <c r="AV294" i="1"/>
  <c r="AV85" i="1"/>
  <c r="AV71" i="1"/>
  <c r="AV66" i="1"/>
  <c r="AV10" i="1"/>
  <c r="AV1347" i="1"/>
  <c r="AV1345" i="1"/>
  <c r="AV1343" i="1"/>
  <c r="AV1329" i="1"/>
  <c r="AV1327" i="1"/>
  <c r="AV1320" i="1"/>
  <c r="AV1318" i="1"/>
  <c r="AV110" i="1"/>
  <c r="P61" i="1"/>
  <c r="Q61" i="1"/>
  <c r="AV434" i="1"/>
  <c r="AV429" i="1"/>
  <c r="AV427" i="1"/>
  <c r="AV422" i="1"/>
  <c r="AV420" i="1"/>
  <c r="AV418" i="1"/>
  <c r="AV401" i="1"/>
  <c r="AV352" i="1"/>
  <c r="AV347" i="1"/>
  <c r="AV337" i="1"/>
  <c r="AV334" i="1"/>
  <c r="R320" i="1"/>
  <c r="S320" i="1" s="1"/>
  <c r="AV300" i="1"/>
  <c r="AV298" i="1"/>
  <c r="AV271" i="1"/>
  <c r="AV260" i="1"/>
  <c r="AV225" i="1"/>
  <c r="AV223" i="1"/>
  <c r="AV163" i="1"/>
  <c r="AV158" i="1"/>
  <c r="AV132" i="1"/>
  <c r="AV121" i="1"/>
  <c r="AV115" i="1"/>
  <c r="AV86" i="1"/>
  <c r="AV75" i="1"/>
  <c r="AV72" i="1"/>
  <c r="AV64" i="1"/>
  <c r="AV54" i="1"/>
  <c r="AV38" i="1"/>
  <c r="Q13" i="1"/>
  <c r="AV1346" i="1"/>
  <c r="AV1342" i="1"/>
  <c r="AV1337" i="1"/>
  <c r="AV1328" i="1"/>
  <c r="AV1326" i="1"/>
  <c r="O544" i="24"/>
  <c r="O570" i="24"/>
  <c r="R572" i="24"/>
  <c r="O569" i="24"/>
  <c r="R571" i="24"/>
  <c r="AV531" i="1"/>
  <c r="AV479" i="1"/>
  <c r="AV475" i="1"/>
  <c r="AV473" i="1"/>
  <c r="AV471" i="1"/>
  <c r="AV469" i="1"/>
  <c r="AV459" i="1"/>
  <c r="AV457" i="1"/>
  <c r="AV455" i="1"/>
  <c r="AV451" i="1"/>
  <c r="AV441" i="1"/>
  <c r="AV439" i="1"/>
  <c r="AV415" i="1"/>
  <c r="AV413" i="1"/>
  <c r="AV409" i="1"/>
  <c r="AV398" i="1"/>
  <c r="AV350" i="1"/>
  <c r="AV332" i="1"/>
  <c r="AV317" i="1"/>
  <c r="AV279" i="1"/>
  <c r="AV273" i="1"/>
  <c r="AV258" i="1"/>
  <c r="AV251" i="1"/>
  <c r="AV249" i="1"/>
  <c r="AV247" i="1"/>
  <c r="AV245" i="1"/>
  <c r="AV243" i="1"/>
  <c r="AV241" i="1"/>
  <c r="AV239" i="1"/>
  <c r="AV237" i="1"/>
  <c r="AV235" i="1"/>
  <c r="AV221" i="1"/>
  <c r="AV188" i="1"/>
  <c r="AV170" i="1"/>
  <c r="AV129" i="1"/>
  <c r="AV123" i="1"/>
  <c r="AV76" i="1"/>
  <c r="AV70" i="1"/>
  <c r="AV50" i="1"/>
  <c r="AV48" i="1"/>
  <c r="AV30" i="1"/>
  <c r="AV28" i="1"/>
  <c r="AV21" i="1"/>
  <c r="AV12" i="1"/>
  <c r="AV1378" i="1"/>
  <c r="AV1339" i="1"/>
  <c r="AV1334" i="1"/>
  <c r="AV1323" i="1"/>
  <c r="AV1280" i="1"/>
  <c r="AV1281" i="1"/>
  <c r="AV1282" i="1"/>
  <c r="AV1228" i="1"/>
  <c r="AV1229" i="1"/>
  <c r="AV1230" i="1"/>
  <c r="AV1231" i="1"/>
  <c r="AV1232" i="1"/>
  <c r="AV1233" i="1"/>
  <c r="H1066" i="1"/>
  <c r="AL1369" i="1"/>
  <c r="AK1369" i="1"/>
  <c r="AL1368" i="1"/>
  <c r="AK1368" i="1"/>
  <c r="AL1355" i="1"/>
  <c r="AK1355" i="1"/>
  <c r="AL1354" i="1"/>
  <c r="AK1354" i="1"/>
  <c r="AL1353" i="1"/>
  <c r="AK1353" i="1"/>
  <c r="Q46" i="111"/>
  <c r="S36" i="111"/>
  <c r="Q30" i="111"/>
  <c r="Q25" i="111"/>
  <c r="Q24" i="111"/>
  <c r="Q20" i="111"/>
  <c r="Q49" i="121"/>
  <c r="Q46" i="121"/>
  <c r="Q30" i="121"/>
  <c r="Q25" i="121"/>
  <c r="T892" i="1"/>
  <c r="AV892" i="1" s="1"/>
  <c r="S44" i="111"/>
  <c r="S26" i="111"/>
  <c r="S16" i="111"/>
  <c r="R891" i="1"/>
  <c r="S891" i="1" s="1"/>
  <c r="T891" i="1" s="1"/>
  <c r="AV891" i="1" s="1"/>
  <c r="R998" i="1"/>
  <c r="S998" i="1" s="1"/>
  <c r="T927" i="1"/>
  <c r="R898" i="1"/>
  <c r="S898" i="1" s="1"/>
  <c r="R843" i="1"/>
  <c r="S843" i="1" s="1"/>
  <c r="R819" i="1"/>
  <c r="S819" i="1" s="1"/>
  <c r="R744" i="1"/>
  <c r="S744" i="1" s="1"/>
  <c r="T649" i="1"/>
  <c r="T602" i="1"/>
  <c r="R588" i="1"/>
  <c r="S588" i="1" s="1"/>
  <c r="R582" i="1"/>
  <c r="S582" i="1" s="1"/>
  <c r="R571" i="1"/>
  <c r="S571" i="1" s="1"/>
  <c r="R543" i="1"/>
  <c r="S543" i="1" s="1"/>
  <c r="R540" i="1"/>
  <c r="S540" i="1" s="1"/>
  <c r="R293" i="1"/>
  <c r="S293" i="1" s="1"/>
  <c r="R277" i="1"/>
  <c r="S277" i="1" s="1"/>
  <c r="R122" i="1"/>
  <c r="S122" i="1" s="1"/>
  <c r="Q1339" i="1"/>
  <c r="P1339" i="1"/>
  <c r="Q1335" i="1"/>
  <c r="P1335" i="1"/>
  <c r="Q1319" i="1"/>
  <c r="P1319" i="1"/>
  <c r="Q1345" i="1"/>
  <c r="Q1341" i="1"/>
  <c r="Q1337" i="1"/>
  <c r="Q1333" i="1"/>
  <c r="Q1325" i="1"/>
  <c r="Q1321" i="1"/>
  <c r="Q1342" i="1"/>
  <c r="Q1338" i="1"/>
  <c r="Q1330" i="1"/>
  <c r="Q1326" i="1"/>
  <c r="Q1322" i="1"/>
  <c r="R1041" i="1"/>
  <c r="S1041" i="1" s="1"/>
  <c r="Q49" i="111" s="1"/>
  <c r="R970" i="1"/>
  <c r="S970" i="1" s="1"/>
  <c r="P683" i="1"/>
  <c r="Q683" i="1"/>
  <c r="Q507" i="1"/>
  <c r="P507" i="1"/>
  <c r="P502" i="1"/>
  <c r="Q502" i="1"/>
  <c r="Q60" i="1"/>
  <c r="P60" i="1"/>
  <c r="Q48" i="1"/>
  <c r="P48" i="1"/>
  <c r="R37" i="1"/>
  <c r="S37" i="1" s="1"/>
  <c r="P921" i="1"/>
  <c r="Q867" i="1"/>
  <c r="T867" i="1" s="1"/>
  <c r="AV867" i="1" s="1"/>
  <c r="P808" i="1"/>
  <c r="R808" i="1" s="1"/>
  <c r="S808" i="1" s="1"/>
  <c r="AV808" i="1" s="1"/>
  <c r="Q751" i="1"/>
  <c r="T751" i="1" s="1"/>
  <c r="AV751" i="1" s="1"/>
  <c r="Q456" i="1"/>
  <c r="Q435" i="1"/>
  <c r="Q760" i="1"/>
  <c r="P760" i="1"/>
  <c r="P714" i="1"/>
  <c r="Q714" i="1"/>
  <c r="P703" i="1"/>
  <c r="Q703" i="1"/>
  <c r="Q442" i="1"/>
  <c r="P442" i="1"/>
  <c r="P865" i="1"/>
  <c r="Q865" i="1"/>
  <c r="P803" i="1"/>
  <c r="Q803" i="1"/>
  <c r="Q709" i="1"/>
  <c r="P709" i="1"/>
  <c r="Q894" i="1"/>
  <c r="T894" i="1" s="1"/>
  <c r="AV894" i="1" s="1"/>
  <c r="Q858" i="1"/>
  <c r="Q706" i="1"/>
  <c r="P702" i="1"/>
  <c r="Q702" i="1"/>
  <c r="Q693" i="1"/>
  <c r="P693" i="1"/>
  <c r="P587" i="1"/>
  <c r="R587" i="1" s="1"/>
  <c r="S587" i="1" s="1"/>
  <c r="Q587" i="1"/>
  <c r="P468" i="1"/>
  <c r="Q468" i="1"/>
  <c r="Q1039" i="1"/>
  <c r="Q1023" i="1"/>
  <c r="Q1015" i="1"/>
  <c r="Q1011" i="1"/>
  <c r="Q1007" i="1"/>
  <c r="Q866" i="1"/>
  <c r="Q799" i="1"/>
  <c r="Q643" i="1"/>
  <c r="P641" i="1"/>
  <c r="Q536" i="1"/>
  <c r="P536" i="1"/>
  <c r="Q802" i="1"/>
  <c r="P755" i="1"/>
  <c r="Q755" i="1"/>
  <c r="Q713" i="1"/>
  <c r="P713" i="1"/>
  <c r="P539" i="1"/>
  <c r="R539" i="1" s="1"/>
  <c r="S539" i="1" s="1"/>
  <c r="P477" i="1"/>
  <c r="Q477" i="1"/>
  <c r="Q486" i="1"/>
  <c r="P486" i="1"/>
  <c r="Q472" i="1"/>
  <c r="P472" i="1"/>
  <c r="P432" i="1"/>
  <c r="Q432" i="1"/>
  <c r="P399" i="1"/>
  <c r="Q399" i="1"/>
  <c r="Q694" i="1"/>
  <c r="T694" i="1" s="1"/>
  <c r="AV694" i="1" s="1"/>
  <c r="P689" i="1"/>
  <c r="Q679" i="1"/>
  <c r="Q612" i="1"/>
  <c r="P531" i="1"/>
  <c r="P490" i="1"/>
  <c r="P485" i="1"/>
  <c r="Q485" i="1"/>
  <c r="Q459" i="1"/>
  <c r="P444" i="1"/>
  <c r="Q444" i="1"/>
  <c r="Q535" i="1"/>
  <c r="P535" i="1"/>
  <c r="P423" i="1"/>
  <c r="Q423" i="1"/>
  <c r="P347" i="1"/>
  <c r="Q347" i="1"/>
  <c r="R771" i="1"/>
  <c r="S771" i="1" s="1"/>
  <c r="R728" i="1"/>
  <c r="S728" i="1" s="1"/>
  <c r="R560" i="1"/>
  <c r="S560" i="1" s="1"/>
  <c r="Q769" i="1"/>
  <c r="T769" i="1" s="1"/>
  <c r="AV769" i="1" s="1"/>
  <c r="Q766" i="1"/>
  <c r="Q763" i="1"/>
  <c r="P757" i="1"/>
  <c r="Q710" i="1"/>
  <c r="P705" i="1"/>
  <c r="Q690" i="1"/>
  <c r="P685" i="1"/>
  <c r="Q675" i="1"/>
  <c r="P673" i="1"/>
  <c r="R610" i="1"/>
  <c r="S610" i="1" s="1"/>
  <c r="Q515" i="1"/>
  <c r="P515" i="1"/>
  <c r="P513" i="1"/>
  <c r="Q513" i="1"/>
  <c r="Q498" i="1"/>
  <c r="Q460" i="1"/>
  <c r="Q455" i="1"/>
  <c r="P455" i="1"/>
  <c r="P434" i="1"/>
  <c r="Q434" i="1"/>
  <c r="R763" i="1"/>
  <c r="S763" i="1" s="1"/>
  <c r="Q738" i="1"/>
  <c r="P721" i="1"/>
  <c r="R721" i="1" s="1"/>
  <c r="S721" i="1" s="1"/>
  <c r="AV721" i="1" s="1"/>
  <c r="Q678" i="1"/>
  <c r="Q655" i="1"/>
  <c r="Q619" i="1"/>
  <c r="P619" i="1"/>
  <c r="Q532" i="1"/>
  <c r="P491" i="1"/>
  <c r="Q491" i="1"/>
  <c r="P484" i="1"/>
  <c r="Q484" i="1"/>
  <c r="P453" i="1"/>
  <c r="Q453" i="1"/>
  <c r="P439" i="1"/>
  <c r="Q439" i="1"/>
  <c r="P401" i="1"/>
  <c r="Q401" i="1"/>
  <c r="P158" i="1"/>
  <c r="P440" i="1"/>
  <c r="Q440" i="1"/>
  <c r="P417" i="1"/>
  <c r="Q417" i="1"/>
  <c r="Q415" i="1"/>
  <c r="P415" i="1"/>
  <c r="Q407" i="1"/>
  <c r="R356" i="1"/>
  <c r="S356" i="1" s="1"/>
  <c r="Q451" i="1"/>
  <c r="P451" i="1"/>
  <c r="P445" i="1"/>
  <c r="Q445" i="1"/>
  <c r="P424" i="1"/>
  <c r="Q424" i="1"/>
  <c r="P422" i="1"/>
  <c r="Q422" i="1"/>
  <c r="Q420" i="1"/>
  <c r="P420" i="1"/>
  <c r="P410" i="1"/>
  <c r="Q410" i="1"/>
  <c r="Q327" i="1"/>
  <c r="P327" i="1"/>
  <c r="P403" i="1"/>
  <c r="Q403" i="1"/>
  <c r="P633" i="1"/>
  <c r="Q425" i="1"/>
  <c r="Q416" i="1"/>
  <c r="P394" i="1"/>
  <c r="P406" i="1"/>
  <c r="Q406" i="1"/>
  <c r="Q297" i="1"/>
  <c r="R264" i="1"/>
  <c r="S264" i="1" s="1"/>
  <c r="P326" i="1"/>
  <c r="Q326" i="1"/>
  <c r="P165" i="1"/>
  <c r="P161" i="1"/>
  <c r="P396" i="1"/>
  <c r="Q396" i="1"/>
  <c r="Q393" i="1"/>
  <c r="Q375" i="1"/>
  <c r="Q344" i="1"/>
  <c r="P298" i="1"/>
  <c r="Q298" i="1"/>
  <c r="P172" i="1"/>
  <c r="P354" i="1"/>
  <c r="Q354" i="1"/>
  <c r="Q88" i="1"/>
  <c r="P88" i="1"/>
  <c r="R27" i="1"/>
  <c r="S27" i="1" s="1"/>
  <c r="Q84" i="1"/>
  <c r="P84" i="1"/>
  <c r="Q117" i="1"/>
  <c r="P117" i="1"/>
  <c r="Q109" i="1"/>
  <c r="P109" i="1"/>
  <c r="R43" i="1"/>
  <c r="S43" i="1" s="1"/>
  <c r="Q204" i="1"/>
  <c r="Q185" i="1"/>
  <c r="T184" i="1" s="1"/>
  <c r="Q177" i="1"/>
  <c r="T177" i="1" s="1"/>
  <c r="AV177" i="1" s="1"/>
  <c r="R77" i="1"/>
  <c r="S77" i="1" s="1"/>
  <c r="Q20" i="1"/>
  <c r="P20" i="1"/>
  <c r="Q16" i="1"/>
  <c r="P16" i="1"/>
  <c r="Q215" i="1"/>
  <c r="Q85" i="1"/>
  <c r="Q131" i="1"/>
  <c r="Q125" i="1"/>
  <c r="Q62" i="1"/>
  <c r="Q50" i="1"/>
  <c r="Q18" i="1"/>
  <c r="Q63" i="1"/>
  <c r="Q47" i="1"/>
  <c r="Q19" i="1"/>
  <c r="AL379" i="1"/>
  <c r="AK1333" i="1"/>
  <c r="AL1333" i="1"/>
  <c r="O567" i="24"/>
  <c r="L567" i="24" s="1"/>
  <c r="AQ1050" i="1" s="1"/>
  <c r="R567" i="24"/>
  <c r="L566" i="24"/>
  <c r="AQ1049" i="1" s="1"/>
  <c r="R566" i="24"/>
  <c r="O517" i="24"/>
  <c r="R517" i="24"/>
  <c r="L565" i="24"/>
  <c r="AQ1048" i="1" s="1"/>
  <c r="R565" i="24"/>
  <c r="O564" i="24"/>
  <c r="L564" i="24" s="1"/>
  <c r="AQ1047" i="1" s="1"/>
  <c r="R564" i="24"/>
  <c r="O563" i="24"/>
  <c r="R563" i="24"/>
  <c r="O562" i="24"/>
  <c r="R562" i="24"/>
  <c r="AL453" i="1"/>
  <c r="AL1338" i="1"/>
  <c r="AL511" i="1"/>
  <c r="AL518" i="1"/>
  <c r="AL457" i="1"/>
  <c r="AL452" i="1"/>
  <c r="AL592" i="1"/>
  <c r="AL517" i="1"/>
  <c r="AL507" i="1"/>
  <c r="AL451" i="1"/>
  <c r="AL870" i="1"/>
  <c r="AL519" i="1"/>
  <c r="AL450" i="1"/>
  <c r="AL510" i="1"/>
  <c r="AK1334" i="1"/>
  <c r="AL1334" i="1"/>
  <c r="AK855" i="1"/>
  <c r="AL855" i="1"/>
  <c r="AK872" i="1"/>
  <c r="AL872" i="1"/>
  <c r="AK478" i="1"/>
  <c r="AL478" i="1"/>
  <c r="AK448" i="1"/>
  <c r="AL448" i="1"/>
  <c r="AK686" i="1"/>
  <c r="AL686" i="1"/>
  <c r="AK816" i="1"/>
  <c r="AL816" i="1"/>
  <c r="AK449" i="1"/>
  <c r="AL449" i="1"/>
  <c r="AL680" i="1"/>
  <c r="AL481" i="1"/>
  <c r="AL692" i="1"/>
  <c r="AL494" i="1"/>
  <c r="AL78" i="1"/>
  <c r="AK77" i="1"/>
  <c r="AL77" i="1"/>
  <c r="AL1040" i="1"/>
  <c r="AK1040" i="1"/>
  <c r="AL953" i="1"/>
  <c r="AK447" i="1"/>
  <c r="AL447" i="1"/>
  <c r="AL779" i="1"/>
  <c r="AL520" i="1"/>
  <c r="AK267" i="1"/>
  <c r="AL267" i="1"/>
  <c r="AL508" i="1"/>
  <c r="AL196" i="1"/>
  <c r="AK196" i="1"/>
  <c r="AK88" i="1"/>
  <c r="AL88" i="1"/>
  <c r="L568" i="24"/>
  <c r="AQ953" i="1" s="1"/>
  <c r="F567" i="24"/>
  <c r="AJ1050" i="1" s="1"/>
  <c r="G566" i="24"/>
  <c r="F566" i="24"/>
  <c r="AJ1049" i="1" s="1"/>
  <c r="G565" i="24"/>
  <c r="F565" i="24"/>
  <c r="AJ1048" i="1" s="1"/>
  <c r="F564" i="24"/>
  <c r="AJ1047" i="1" s="1"/>
  <c r="F563" i="24"/>
  <c r="AJ1042" i="1" s="1"/>
  <c r="F562" i="24"/>
  <c r="AJ1041" i="1" s="1"/>
  <c r="AV994" i="1" l="1"/>
  <c r="R529" i="1"/>
  <c r="S529" i="1" s="1"/>
  <c r="T20" i="1"/>
  <c r="AV20" i="1" s="1"/>
  <c r="T1012" i="1"/>
  <c r="T995" i="1"/>
  <c r="D48" i="131"/>
  <c r="T1011" i="1"/>
  <c r="AV1011" i="1" s="1"/>
  <c r="D47" i="131"/>
  <c r="E46" i="131"/>
  <c r="D46" i="131"/>
  <c r="E47" i="131"/>
  <c r="E48" i="131"/>
  <c r="R864" i="1"/>
  <c r="S864" i="1" s="1"/>
  <c r="T187" i="1"/>
  <c r="R47" i="1"/>
  <c r="S47" i="1" s="1"/>
  <c r="G15" i="53"/>
  <c r="G14" i="53"/>
  <c r="G25" i="53"/>
  <c r="R632" i="1"/>
  <c r="S632" i="1" s="1"/>
  <c r="AV632" i="1" s="1"/>
  <c r="D12" i="117"/>
  <c r="T374" i="1"/>
  <c r="AV374" i="1" s="1"/>
  <c r="D20" i="117"/>
  <c r="D22" i="117"/>
  <c r="AV539" i="1"/>
  <c r="AY156" i="1"/>
  <c r="AZ156" i="1"/>
  <c r="AY939" i="1"/>
  <c r="AZ939" i="1"/>
  <c r="AY795" i="1"/>
  <c r="AZ795" i="1"/>
  <c r="R517" i="1"/>
  <c r="S517" i="1" s="1"/>
  <c r="Q26" i="111" s="1"/>
  <c r="R187" i="1"/>
  <c r="S187" i="1" s="1"/>
  <c r="AY215" i="1"/>
  <c r="AZ215" i="1"/>
  <c r="AY1012" i="1"/>
  <c r="AZ1012" i="1"/>
  <c r="AY16" i="1"/>
  <c r="AZ16" i="1"/>
  <c r="AY20" i="1"/>
  <c r="AZ20" i="1"/>
  <c r="AY641" i="1"/>
  <c r="AZ641" i="1"/>
  <c r="AY702" i="1"/>
  <c r="AZ702" i="1"/>
  <c r="AY60" i="1"/>
  <c r="AZ60" i="1"/>
  <c r="AZ1066" i="1"/>
  <c r="AY1066" i="1"/>
  <c r="AY1000" i="1"/>
  <c r="AZ1000" i="1"/>
  <c r="AY863" i="1"/>
  <c r="AZ863" i="1"/>
  <c r="AY168" i="1"/>
  <c r="AZ168" i="1"/>
  <c r="AY296" i="1"/>
  <c r="AZ296" i="1"/>
  <c r="T738" i="1"/>
  <c r="AV738" i="1" s="1"/>
  <c r="T77" i="1"/>
  <c r="AV77" i="1" s="1"/>
  <c r="G24" i="53"/>
  <c r="AV1012" i="1"/>
  <c r="T641" i="1"/>
  <c r="AV641" i="1" s="1"/>
  <c r="G16" i="53"/>
  <c r="T117" i="1"/>
  <c r="R909" i="1"/>
  <c r="S909" i="1" s="1"/>
  <c r="AV909" i="1" s="1"/>
  <c r="R117" i="1"/>
  <c r="S117" i="1" s="1"/>
  <c r="AV718" i="1"/>
  <c r="T131" i="1"/>
  <c r="AV131" i="1" s="1"/>
  <c r="R532" i="1"/>
  <c r="S532" i="1" s="1"/>
  <c r="AV184" i="1"/>
  <c r="AQ1334" i="1"/>
  <c r="AQ518" i="1"/>
  <c r="AV122" i="1"/>
  <c r="T532" i="1"/>
  <c r="AV189" i="1"/>
  <c r="R325" i="1"/>
  <c r="S325" i="1" s="1"/>
  <c r="AV649" i="1"/>
  <c r="Q54" i="121"/>
  <c r="AV753" i="1"/>
  <c r="AV529" i="1"/>
  <c r="AV944" i="1"/>
  <c r="AV367" i="1"/>
  <c r="T763" i="1"/>
  <c r="AV763" i="1" s="1"/>
  <c r="T755" i="1"/>
  <c r="T47" i="1"/>
  <c r="AV924" i="1"/>
  <c r="AV370" i="1"/>
  <c r="AV602" i="1"/>
  <c r="AV904" i="1"/>
  <c r="AV927" i="1"/>
  <c r="H1067" i="1"/>
  <c r="R1066" i="1"/>
  <c r="S1066" i="1" s="1"/>
  <c r="AK1041" i="1"/>
  <c r="AL1041" i="1"/>
  <c r="AL1042" i="1"/>
  <c r="AK1042" i="1"/>
  <c r="AK1047" i="1"/>
  <c r="AL1047" i="1"/>
  <c r="AK1048" i="1"/>
  <c r="AL1048" i="1"/>
  <c r="O565" i="24"/>
  <c r="O1048" i="1"/>
  <c r="AK1049" i="1"/>
  <c r="AL1049" i="1"/>
  <c r="O566" i="24"/>
  <c r="O1049" i="1"/>
  <c r="AL1050" i="1"/>
  <c r="AK1050" i="1"/>
  <c r="T864" i="1"/>
  <c r="AV864" i="1" s="1"/>
  <c r="R755" i="1"/>
  <c r="S755" i="1" s="1"/>
  <c r="Q557" i="24"/>
  <c r="Q558" i="24"/>
  <c r="Q559" i="24"/>
  <c r="Q560" i="24"/>
  <c r="Q561" i="24"/>
  <c r="P557" i="24"/>
  <c r="P558" i="24"/>
  <c r="P559" i="24"/>
  <c r="P560" i="24"/>
  <c r="P561" i="24"/>
  <c r="M557" i="24"/>
  <c r="M558" i="24"/>
  <c r="M559" i="24"/>
  <c r="M560" i="24"/>
  <c r="M561" i="24"/>
  <c r="Q556" i="24"/>
  <c r="P556" i="24"/>
  <c r="M556" i="24"/>
  <c r="R556" i="24" s="1"/>
  <c r="Q555" i="24"/>
  <c r="P555" i="24"/>
  <c r="M555" i="24"/>
  <c r="Q554" i="24"/>
  <c r="P554" i="24"/>
  <c r="M554" i="24"/>
  <c r="Q553" i="24"/>
  <c r="P553" i="24"/>
  <c r="M553" i="24"/>
  <c r="Q552" i="24"/>
  <c r="P552" i="24"/>
  <c r="M552" i="24"/>
  <c r="Q551" i="24"/>
  <c r="P551" i="24"/>
  <c r="M551" i="24"/>
  <c r="Q550" i="24"/>
  <c r="P550" i="24"/>
  <c r="M550" i="24"/>
  <c r="Q549" i="24"/>
  <c r="P549" i="24"/>
  <c r="M549" i="24"/>
  <c r="R549" i="24" s="1"/>
  <c r="O28" i="121"/>
  <c r="S1284" i="1"/>
  <c r="AV1284" i="1" s="1"/>
  <c r="S1285" i="1"/>
  <c r="AV1285" i="1" s="1"/>
  <c r="S1286" i="1"/>
  <c r="AV1286" i="1" s="1"/>
  <c r="S1287" i="1"/>
  <c r="AV1287" i="1" s="1"/>
  <c r="S1288" i="1"/>
  <c r="AV1288" i="1" s="1"/>
  <c r="S1289" i="1"/>
  <c r="AV1289" i="1" s="1"/>
  <c r="S1290" i="1"/>
  <c r="AV1290" i="1" s="1"/>
  <c r="S1291" i="1"/>
  <c r="AV1291" i="1" s="1"/>
  <c r="S1292" i="1"/>
  <c r="AV1292" i="1" s="1"/>
  <c r="S1293" i="1"/>
  <c r="AV1293" i="1" s="1"/>
  <c r="S1294" i="1"/>
  <c r="AV1294" i="1" s="1"/>
  <c r="S1295" i="1"/>
  <c r="AV1295" i="1" s="1"/>
  <c r="S1296" i="1"/>
  <c r="AV1296" i="1" s="1"/>
  <c r="S1297" i="1"/>
  <c r="AV1297" i="1" s="1"/>
  <c r="S1298" i="1"/>
  <c r="AV1298" i="1" s="1"/>
  <c r="S1299" i="1"/>
  <c r="AV1299" i="1" s="1"/>
  <c r="S1300" i="1"/>
  <c r="AV1300" i="1" s="1"/>
  <c r="S1301" i="1"/>
  <c r="AV1301" i="1" s="1"/>
  <c r="S1302" i="1"/>
  <c r="AV1302" i="1" s="1"/>
  <c r="S1303" i="1"/>
  <c r="AV1303" i="1" s="1"/>
  <c r="S1304" i="1"/>
  <c r="AV1304" i="1" s="1"/>
  <c r="S1305" i="1"/>
  <c r="AV1305" i="1" s="1"/>
  <c r="S1306" i="1"/>
  <c r="AV1306" i="1" s="1"/>
  <c r="S1307" i="1"/>
  <c r="AV1307" i="1" s="1"/>
  <c r="S1308" i="1"/>
  <c r="AV1308" i="1" s="1"/>
  <c r="S1309" i="1"/>
  <c r="AV1309" i="1" s="1"/>
  <c r="S1310" i="1"/>
  <c r="AV1310" i="1" s="1"/>
  <c r="S1311" i="1"/>
  <c r="AV1311" i="1" s="1"/>
  <c r="S1312" i="1"/>
  <c r="AV1312" i="1" s="1"/>
  <c r="S1313" i="1"/>
  <c r="AV1313" i="1" s="1"/>
  <c r="S1314" i="1"/>
  <c r="AV1314" i="1" s="1"/>
  <c r="S1315" i="1"/>
  <c r="AV1315" i="1" s="1"/>
  <c r="S1316" i="1"/>
  <c r="AV1316" i="1" s="1"/>
  <c r="S1317" i="1"/>
  <c r="AV1317" i="1" s="1"/>
  <c r="H547" i="24"/>
  <c r="F547" i="24"/>
  <c r="AJ1339" i="1" s="1"/>
  <c r="H617" i="1"/>
  <c r="Q529" i="24"/>
  <c r="Q530" i="24"/>
  <c r="Q531" i="24"/>
  <c r="Q532" i="24"/>
  <c r="Q533" i="24"/>
  <c r="L534" i="24"/>
  <c r="AQ816" i="1" s="1"/>
  <c r="Q534" i="24"/>
  <c r="Q535" i="24"/>
  <c r="Q536" i="24"/>
  <c r="L537" i="24"/>
  <c r="AQ855" i="1" s="1"/>
  <c r="Q537" i="24"/>
  <c r="Q538" i="24"/>
  <c r="Q539" i="24"/>
  <c r="Q540" i="24"/>
  <c r="Q541" i="24"/>
  <c r="Q542" i="24"/>
  <c r="Q543" i="24"/>
  <c r="P14" i="109"/>
  <c r="P16" i="109"/>
  <c r="P17" i="109"/>
  <c r="P18" i="109"/>
  <c r="P19" i="109"/>
  <c r="P21" i="109"/>
  <c r="P22" i="109"/>
  <c r="P23" i="109"/>
  <c r="P24" i="109"/>
  <c r="P27" i="109"/>
  <c r="P28" i="109"/>
  <c r="P29" i="109"/>
  <c r="P31" i="109"/>
  <c r="P32" i="109"/>
  <c r="P33" i="109"/>
  <c r="P34" i="109"/>
  <c r="P35" i="109"/>
  <c r="P36" i="109"/>
  <c r="P37" i="109"/>
  <c r="P38" i="109"/>
  <c r="P39" i="109"/>
  <c r="P40" i="109"/>
  <c r="P41" i="109"/>
  <c r="P42" i="109"/>
  <c r="P43" i="109"/>
  <c r="P44" i="109"/>
  <c r="P46" i="109"/>
  <c r="P47" i="109"/>
  <c r="P48" i="109"/>
  <c r="P49" i="109"/>
  <c r="P50" i="109"/>
  <c r="P51" i="109"/>
  <c r="P52" i="109"/>
  <c r="P53" i="109"/>
  <c r="P13" i="109"/>
  <c r="Q1061" i="1"/>
  <c r="Q1062" i="1"/>
  <c r="Q1063" i="1"/>
  <c r="Q1071" i="1"/>
  <c r="P1061" i="1"/>
  <c r="P1062" i="1"/>
  <c r="P1063" i="1"/>
  <c r="P1071" i="1"/>
  <c r="O1061" i="1"/>
  <c r="O1062" i="1"/>
  <c r="O1063" i="1"/>
  <c r="O1071" i="1"/>
  <c r="P25" i="109"/>
  <c r="P21" i="121"/>
  <c r="J31" i="121"/>
  <c r="P31" i="121"/>
  <c r="O32" i="121"/>
  <c r="P35" i="121"/>
  <c r="O38" i="121"/>
  <c r="P41" i="121"/>
  <c r="P44" i="121"/>
  <c r="P23" i="121"/>
  <c r="P20" i="109"/>
  <c r="P16" i="121"/>
  <c r="AC1393" i="1"/>
  <c r="Q528" i="24"/>
  <c r="T48" i="92"/>
  <c r="S48" i="92"/>
  <c r="R48" i="92"/>
  <c r="Q48" i="92"/>
  <c r="O48" i="92"/>
  <c r="N48" i="92"/>
  <c r="M48" i="92"/>
  <c r="K48" i="92"/>
  <c r="J48" i="92"/>
  <c r="I48" i="92"/>
  <c r="H48" i="92"/>
  <c r="G48" i="92"/>
  <c r="T47" i="92"/>
  <c r="S47" i="92"/>
  <c r="R47" i="92"/>
  <c r="Q47" i="92"/>
  <c r="O47" i="92"/>
  <c r="N47" i="92"/>
  <c r="M47" i="92"/>
  <c r="K47" i="92"/>
  <c r="J47" i="92"/>
  <c r="I47" i="92"/>
  <c r="H47" i="92"/>
  <c r="G47" i="92"/>
  <c r="T46" i="92"/>
  <c r="S46" i="92"/>
  <c r="R46" i="92"/>
  <c r="Q46" i="92"/>
  <c r="O46" i="92"/>
  <c r="N46" i="92"/>
  <c r="M46" i="92"/>
  <c r="K46" i="92"/>
  <c r="J46" i="92"/>
  <c r="I46" i="92"/>
  <c r="H46" i="92"/>
  <c r="G46" i="92"/>
  <c r="T45" i="92"/>
  <c r="S45" i="92"/>
  <c r="R45" i="92"/>
  <c r="Q45" i="92"/>
  <c r="O45" i="92"/>
  <c r="N45" i="92"/>
  <c r="M45" i="92"/>
  <c r="K45" i="92"/>
  <c r="J45" i="92"/>
  <c r="I45" i="92"/>
  <c r="H45" i="92"/>
  <c r="G45" i="92"/>
  <c r="T44" i="92"/>
  <c r="S44" i="92"/>
  <c r="R44" i="92"/>
  <c r="Q44" i="92"/>
  <c r="O44" i="92"/>
  <c r="N44" i="92"/>
  <c r="M44" i="92"/>
  <c r="K44" i="92"/>
  <c r="J44" i="92"/>
  <c r="I44" i="92"/>
  <c r="H44" i="92"/>
  <c r="G44" i="92"/>
  <c r="T43" i="92"/>
  <c r="S43" i="92"/>
  <c r="R43" i="92"/>
  <c r="Q43" i="92"/>
  <c r="O43" i="92"/>
  <c r="N43" i="92"/>
  <c r="M43" i="92"/>
  <c r="J43" i="92"/>
  <c r="I43" i="92"/>
  <c r="H43" i="92"/>
  <c r="G43" i="92"/>
  <c r="T42" i="92"/>
  <c r="S42" i="92"/>
  <c r="R42" i="92"/>
  <c r="Q42" i="92"/>
  <c r="O42" i="92"/>
  <c r="N42" i="92"/>
  <c r="M42" i="92"/>
  <c r="K42" i="92"/>
  <c r="J42" i="92"/>
  <c r="I42" i="92"/>
  <c r="H42" i="92"/>
  <c r="G42" i="92"/>
  <c r="T41" i="92"/>
  <c r="S41" i="92"/>
  <c r="R41" i="92"/>
  <c r="Q41" i="92"/>
  <c r="O41" i="92"/>
  <c r="N41" i="92"/>
  <c r="M41" i="92"/>
  <c r="K41" i="92"/>
  <c r="J41" i="92"/>
  <c r="I41" i="92"/>
  <c r="H41" i="92"/>
  <c r="G41" i="92"/>
  <c r="T40" i="92"/>
  <c r="S40" i="92"/>
  <c r="R40" i="92"/>
  <c r="Q40" i="92"/>
  <c r="O40" i="92"/>
  <c r="N40" i="92"/>
  <c r="M40" i="92"/>
  <c r="K40" i="92"/>
  <c r="J40" i="92"/>
  <c r="I40" i="92"/>
  <c r="H40" i="92"/>
  <c r="G40" i="92"/>
  <c r="T39" i="92"/>
  <c r="S39" i="92"/>
  <c r="R39" i="92"/>
  <c r="Q39" i="92"/>
  <c r="O39" i="92"/>
  <c r="N39" i="92"/>
  <c r="M39" i="92"/>
  <c r="K39" i="92"/>
  <c r="J39" i="92"/>
  <c r="I39" i="92"/>
  <c r="H39" i="92"/>
  <c r="G39" i="92"/>
  <c r="T38" i="92"/>
  <c r="S38" i="92"/>
  <c r="R38" i="92"/>
  <c r="Q38" i="92"/>
  <c r="O38" i="92"/>
  <c r="N38" i="92"/>
  <c r="M38" i="92"/>
  <c r="K38" i="92"/>
  <c r="J38" i="92"/>
  <c r="I38" i="92"/>
  <c r="H38" i="92"/>
  <c r="G38" i="92"/>
  <c r="T37" i="92"/>
  <c r="S37" i="92"/>
  <c r="R37" i="92"/>
  <c r="Q37" i="92"/>
  <c r="O37" i="92"/>
  <c r="N37" i="92"/>
  <c r="M37" i="92"/>
  <c r="K37" i="92"/>
  <c r="J37" i="92"/>
  <c r="I37" i="92"/>
  <c r="H37" i="92"/>
  <c r="G37" i="92"/>
  <c r="T36" i="92"/>
  <c r="S36" i="92"/>
  <c r="R36" i="92"/>
  <c r="O36" i="92"/>
  <c r="N36" i="92"/>
  <c r="M36" i="92"/>
  <c r="K36" i="92"/>
  <c r="J36" i="92"/>
  <c r="I36" i="92"/>
  <c r="H36" i="92"/>
  <c r="G36" i="92"/>
  <c r="T35" i="92"/>
  <c r="S35" i="92"/>
  <c r="R35" i="92"/>
  <c r="Q35" i="92"/>
  <c r="O35" i="92"/>
  <c r="N35" i="92"/>
  <c r="M35" i="92"/>
  <c r="K35" i="92"/>
  <c r="J35" i="92"/>
  <c r="I35" i="92"/>
  <c r="H35" i="92"/>
  <c r="G35" i="92"/>
  <c r="T34" i="92"/>
  <c r="S34" i="92"/>
  <c r="R34" i="92"/>
  <c r="Q34" i="92"/>
  <c r="O34" i="92"/>
  <c r="N34" i="92"/>
  <c r="M34" i="92"/>
  <c r="K34" i="92"/>
  <c r="J34" i="92"/>
  <c r="I34" i="92"/>
  <c r="H34" i="92"/>
  <c r="G34" i="92"/>
  <c r="T33" i="92"/>
  <c r="S33" i="92"/>
  <c r="R33" i="92"/>
  <c r="Q33" i="92"/>
  <c r="O33" i="92"/>
  <c r="N33" i="92"/>
  <c r="M33" i="92"/>
  <c r="K33" i="92"/>
  <c r="J33" i="92"/>
  <c r="I33" i="92"/>
  <c r="H33" i="92"/>
  <c r="G33" i="92"/>
  <c r="T32" i="92"/>
  <c r="S32" i="92"/>
  <c r="R32" i="92"/>
  <c r="Q32" i="92"/>
  <c r="O32" i="92"/>
  <c r="N32" i="92"/>
  <c r="M32" i="92"/>
  <c r="K32" i="92"/>
  <c r="J32" i="92"/>
  <c r="I32" i="92"/>
  <c r="H32" i="92"/>
  <c r="G32" i="92"/>
  <c r="T31" i="92"/>
  <c r="S31" i="92"/>
  <c r="R31" i="92"/>
  <c r="Q31" i="92"/>
  <c r="O31" i="92"/>
  <c r="M31" i="92"/>
  <c r="K31" i="92"/>
  <c r="J31" i="92"/>
  <c r="I31" i="92"/>
  <c r="H31" i="92"/>
  <c r="G31" i="92"/>
  <c r="T30" i="92"/>
  <c r="S30" i="92"/>
  <c r="R30" i="92"/>
  <c r="Q30" i="92"/>
  <c r="O30" i="92"/>
  <c r="N30" i="92"/>
  <c r="K30" i="92"/>
  <c r="J30" i="92"/>
  <c r="I30" i="92"/>
  <c r="H30" i="92"/>
  <c r="G30" i="92"/>
  <c r="T29" i="92"/>
  <c r="S29" i="92"/>
  <c r="R29" i="92"/>
  <c r="Q29" i="92"/>
  <c r="O29" i="92"/>
  <c r="N29" i="92"/>
  <c r="G19" i="141" s="1"/>
  <c r="M29" i="92"/>
  <c r="G16" i="141" s="1"/>
  <c r="K29" i="92"/>
  <c r="J29" i="92"/>
  <c r="I29" i="92"/>
  <c r="H29" i="92"/>
  <c r="G29" i="92"/>
  <c r="T28" i="92"/>
  <c r="S28" i="92"/>
  <c r="R28" i="92"/>
  <c r="Q28" i="92"/>
  <c r="O28" i="92"/>
  <c r="N28" i="92"/>
  <c r="M28" i="92"/>
  <c r="K28" i="92"/>
  <c r="J28" i="92"/>
  <c r="I28" i="92"/>
  <c r="H28" i="92"/>
  <c r="G28" i="92"/>
  <c r="T27" i="92"/>
  <c r="S27" i="92"/>
  <c r="R27" i="92"/>
  <c r="Q27" i="92"/>
  <c r="O27" i="92"/>
  <c r="N27" i="92"/>
  <c r="M27" i="92"/>
  <c r="K27" i="92"/>
  <c r="J27" i="92"/>
  <c r="I27" i="92"/>
  <c r="H27" i="92"/>
  <c r="G27" i="92"/>
  <c r="T26" i="92"/>
  <c r="S26" i="92"/>
  <c r="R26" i="92"/>
  <c r="Q26" i="92"/>
  <c r="O26" i="92"/>
  <c r="M26" i="92"/>
  <c r="K26" i="92"/>
  <c r="J26" i="92"/>
  <c r="I26" i="92"/>
  <c r="H26" i="92"/>
  <c r="G26" i="92"/>
  <c r="T25" i="92"/>
  <c r="S25" i="92"/>
  <c r="R25" i="92"/>
  <c r="Q25" i="92"/>
  <c r="O25" i="92"/>
  <c r="N25" i="92"/>
  <c r="D19" i="141" s="1"/>
  <c r="M25" i="92"/>
  <c r="D16" i="141" s="1"/>
  <c r="K25" i="92"/>
  <c r="J25" i="92"/>
  <c r="I25" i="92"/>
  <c r="H25" i="92"/>
  <c r="G25" i="92"/>
  <c r="D13" i="141" s="1"/>
  <c r="T24" i="92"/>
  <c r="S24" i="92"/>
  <c r="R24" i="92"/>
  <c r="Q24" i="92"/>
  <c r="O24" i="92"/>
  <c r="N24" i="92"/>
  <c r="M24" i="92"/>
  <c r="K24" i="92"/>
  <c r="J24" i="92"/>
  <c r="I24" i="92"/>
  <c r="H24" i="92"/>
  <c r="G24" i="92"/>
  <c r="T23" i="92"/>
  <c r="S23" i="92"/>
  <c r="R23" i="92"/>
  <c r="Q23" i="92"/>
  <c r="O23" i="92"/>
  <c r="N23" i="92"/>
  <c r="K18" i="141" s="1"/>
  <c r="M23" i="92"/>
  <c r="K15" i="141" s="1"/>
  <c r="K23" i="92"/>
  <c r="J23" i="92"/>
  <c r="I23" i="92"/>
  <c r="H23" i="92"/>
  <c r="G23" i="92"/>
  <c r="K12" i="141" s="1"/>
  <c r="T22" i="92"/>
  <c r="S22" i="92"/>
  <c r="R22" i="92"/>
  <c r="Q22" i="92"/>
  <c r="O22" i="92"/>
  <c r="N22" i="92"/>
  <c r="E19" i="141" s="1"/>
  <c r="K22" i="92"/>
  <c r="J22" i="92"/>
  <c r="I22" i="92"/>
  <c r="H22" i="92"/>
  <c r="G22" i="92"/>
  <c r="E13" i="141" s="1"/>
  <c r="T21" i="92"/>
  <c r="S21" i="92"/>
  <c r="R21" i="92"/>
  <c r="Q21" i="92"/>
  <c r="O21" i="92"/>
  <c r="N21" i="92"/>
  <c r="M21" i="92"/>
  <c r="K21" i="92"/>
  <c r="J21" i="92"/>
  <c r="I21" i="92"/>
  <c r="H21" i="92"/>
  <c r="G21" i="92"/>
  <c r="T20" i="92"/>
  <c r="S20" i="92"/>
  <c r="R20" i="92"/>
  <c r="Q20" i="92"/>
  <c r="O20" i="92"/>
  <c r="N20" i="92"/>
  <c r="M20" i="92"/>
  <c r="K20" i="92"/>
  <c r="J20" i="92"/>
  <c r="I20" i="92"/>
  <c r="H20" i="92"/>
  <c r="G20" i="92"/>
  <c r="T19" i="92"/>
  <c r="R19" i="92"/>
  <c r="Q19" i="92"/>
  <c r="O19" i="92"/>
  <c r="N19" i="92"/>
  <c r="M19" i="92"/>
  <c r="K19" i="92"/>
  <c r="J19" i="92"/>
  <c r="I19" i="92"/>
  <c r="H19" i="92"/>
  <c r="G19" i="92"/>
  <c r="T18" i="92"/>
  <c r="S18" i="92"/>
  <c r="R18" i="92"/>
  <c r="Q18" i="92"/>
  <c r="O18" i="92"/>
  <c r="N18" i="92"/>
  <c r="K18" i="92"/>
  <c r="J18" i="92"/>
  <c r="I18" i="92"/>
  <c r="H18" i="92"/>
  <c r="G18" i="92"/>
  <c r="T17" i="92"/>
  <c r="S17" i="92"/>
  <c r="R17" i="92"/>
  <c r="Q17" i="92"/>
  <c r="O17" i="92"/>
  <c r="N17" i="92"/>
  <c r="M17" i="92"/>
  <c r="K17" i="92"/>
  <c r="J17" i="92"/>
  <c r="I17" i="92"/>
  <c r="H17" i="92"/>
  <c r="G17" i="92"/>
  <c r="T16" i="92"/>
  <c r="S16" i="92"/>
  <c r="R16" i="92"/>
  <c r="Q16" i="92"/>
  <c r="O16" i="92"/>
  <c r="N16" i="92"/>
  <c r="M16" i="92"/>
  <c r="K16" i="92"/>
  <c r="J16" i="92"/>
  <c r="I16" i="92"/>
  <c r="H16" i="92"/>
  <c r="G16" i="92"/>
  <c r="T15" i="92"/>
  <c r="S15" i="92"/>
  <c r="Q15" i="92"/>
  <c r="O15" i="92"/>
  <c r="N15" i="92"/>
  <c r="K15" i="92"/>
  <c r="J15" i="92"/>
  <c r="I15" i="92"/>
  <c r="H15" i="92"/>
  <c r="G15" i="92"/>
  <c r="F13" i="141" s="1"/>
  <c r="T14" i="92"/>
  <c r="S14" i="92"/>
  <c r="R14" i="92"/>
  <c r="Q14" i="92"/>
  <c r="O14" i="92"/>
  <c r="N14" i="92"/>
  <c r="M14" i="92"/>
  <c r="K14" i="92"/>
  <c r="J14" i="92"/>
  <c r="I14" i="92"/>
  <c r="H14" i="92"/>
  <c r="G14" i="92"/>
  <c r="T13" i="92"/>
  <c r="S13" i="92"/>
  <c r="R13" i="92"/>
  <c r="Q13" i="92"/>
  <c r="O13" i="92"/>
  <c r="N13" i="92"/>
  <c r="L18" i="141" s="1"/>
  <c r="M13" i="92"/>
  <c r="L15" i="141" s="1"/>
  <c r="K13" i="92"/>
  <c r="J13" i="92"/>
  <c r="I13" i="92"/>
  <c r="H13" i="92"/>
  <c r="G13" i="92"/>
  <c r="L12" i="141" s="1"/>
  <c r="T12" i="92"/>
  <c r="S12" i="92"/>
  <c r="R12" i="92"/>
  <c r="Q12" i="92"/>
  <c r="O12" i="92"/>
  <c r="N12" i="92"/>
  <c r="J18" i="141" s="1"/>
  <c r="M12" i="92"/>
  <c r="J15" i="141" s="1"/>
  <c r="K12" i="92"/>
  <c r="J12" i="92"/>
  <c r="I12" i="92"/>
  <c r="H12" i="92"/>
  <c r="G12" i="92"/>
  <c r="J12" i="141" s="1"/>
  <c r="P53" i="121"/>
  <c r="O53" i="121"/>
  <c r="N53" i="121"/>
  <c r="L53" i="121"/>
  <c r="K53" i="121"/>
  <c r="J53" i="121"/>
  <c r="I53" i="121"/>
  <c r="H53" i="121"/>
  <c r="G53" i="121"/>
  <c r="F53" i="121"/>
  <c r="E53" i="121"/>
  <c r="P52" i="121"/>
  <c r="O52" i="121"/>
  <c r="M52" i="121"/>
  <c r="L52" i="121"/>
  <c r="K52" i="121"/>
  <c r="I52" i="121"/>
  <c r="G52" i="121"/>
  <c r="F52" i="121"/>
  <c r="E52" i="121"/>
  <c r="P51" i="121"/>
  <c r="O51" i="121"/>
  <c r="N51" i="121"/>
  <c r="M51" i="121"/>
  <c r="L51" i="121"/>
  <c r="K51" i="121"/>
  <c r="J51" i="121"/>
  <c r="I51" i="121"/>
  <c r="H51" i="121"/>
  <c r="F51" i="121"/>
  <c r="E51" i="121"/>
  <c r="E50" i="121"/>
  <c r="P49" i="121"/>
  <c r="E49" i="121"/>
  <c r="P48" i="121"/>
  <c r="O48" i="121"/>
  <c r="N48" i="121"/>
  <c r="M48" i="121"/>
  <c r="K48" i="121"/>
  <c r="J48" i="121"/>
  <c r="I48" i="121"/>
  <c r="H48" i="121"/>
  <c r="E48" i="121"/>
  <c r="P47" i="121"/>
  <c r="N47" i="121"/>
  <c r="M47" i="121"/>
  <c r="K47" i="121"/>
  <c r="J47" i="121"/>
  <c r="I47" i="121"/>
  <c r="H47" i="121"/>
  <c r="F47" i="121"/>
  <c r="E47" i="121"/>
  <c r="P46" i="121"/>
  <c r="N46" i="121"/>
  <c r="E46" i="121"/>
  <c r="P45" i="121"/>
  <c r="M45" i="121"/>
  <c r="I45" i="121"/>
  <c r="E45" i="121"/>
  <c r="O44" i="121"/>
  <c r="N44" i="121"/>
  <c r="L44" i="121"/>
  <c r="I44" i="121"/>
  <c r="E44" i="121"/>
  <c r="O43" i="121"/>
  <c r="N43" i="121"/>
  <c r="M43" i="121"/>
  <c r="K43" i="121"/>
  <c r="I43" i="121"/>
  <c r="E43" i="121"/>
  <c r="P42" i="121"/>
  <c r="O42" i="121"/>
  <c r="N42" i="121"/>
  <c r="M42" i="121"/>
  <c r="L42" i="121"/>
  <c r="K42" i="121"/>
  <c r="J42" i="121"/>
  <c r="E42" i="121"/>
  <c r="O41" i="121"/>
  <c r="N41" i="121"/>
  <c r="M41" i="121"/>
  <c r="L41" i="121"/>
  <c r="K41" i="121"/>
  <c r="E41" i="121"/>
  <c r="O40" i="121"/>
  <c r="M40" i="121"/>
  <c r="L40" i="121"/>
  <c r="K40" i="121"/>
  <c r="J40" i="121"/>
  <c r="E40" i="121"/>
  <c r="P39" i="121"/>
  <c r="N39" i="121"/>
  <c r="M39" i="121"/>
  <c r="E39" i="121"/>
  <c r="E38" i="121"/>
  <c r="P37" i="121"/>
  <c r="N37" i="121"/>
  <c r="M37" i="121"/>
  <c r="L37" i="121"/>
  <c r="E37" i="121"/>
  <c r="M36" i="121"/>
  <c r="K36" i="121"/>
  <c r="E36" i="121"/>
  <c r="O35" i="121"/>
  <c r="N35" i="121"/>
  <c r="M35" i="121"/>
  <c r="L35" i="121"/>
  <c r="K35" i="121"/>
  <c r="J35" i="121"/>
  <c r="I35" i="121"/>
  <c r="H35" i="121"/>
  <c r="F35" i="121"/>
  <c r="E35" i="121"/>
  <c r="P34" i="121"/>
  <c r="O34" i="121"/>
  <c r="M34" i="121"/>
  <c r="L34" i="121"/>
  <c r="K34" i="121"/>
  <c r="J34" i="121"/>
  <c r="H34" i="121"/>
  <c r="E34" i="121"/>
  <c r="P33" i="121"/>
  <c r="L33" i="121"/>
  <c r="J33" i="121"/>
  <c r="E33" i="121"/>
  <c r="P32" i="121"/>
  <c r="N32" i="121"/>
  <c r="M32" i="121"/>
  <c r="J32" i="121"/>
  <c r="F32" i="121"/>
  <c r="E32" i="121"/>
  <c r="O31" i="121"/>
  <c r="N31" i="121"/>
  <c r="K31" i="121"/>
  <c r="F31" i="121"/>
  <c r="E31" i="121"/>
  <c r="P30" i="121"/>
  <c r="O30" i="121"/>
  <c r="M30" i="121"/>
  <c r="J30" i="121"/>
  <c r="E30" i="121"/>
  <c r="P29" i="121"/>
  <c r="O29" i="121"/>
  <c r="N29" i="121"/>
  <c r="M29" i="121"/>
  <c r="L29" i="121"/>
  <c r="K29" i="121"/>
  <c r="E29" i="121"/>
  <c r="P28" i="121"/>
  <c r="N28" i="121"/>
  <c r="M28" i="121"/>
  <c r="L28" i="121"/>
  <c r="K28" i="121"/>
  <c r="J28" i="121"/>
  <c r="H28" i="121"/>
  <c r="E28" i="121"/>
  <c r="P27" i="121"/>
  <c r="O27" i="121"/>
  <c r="N27" i="121"/>
  <c r="L27" i="121"/>
  <c r="K27" i="121"/>
  <c r="J27" i="121"/>
  <c r="E27" i="121"/>
  <c r="G26" i="121"/>
  <c r="F26" i="121"/>
  <c r="E26" i="121"/>
  <c r="L25" i="121"/>
  <c r="E25" i="121"/>
  <c r="E24" i="121"/>
  <c r="M23" i="121"/>
  <c r="L23" i="121"/>
  <c r="K23" i="121"/>
  <c r="E23" i="121"/>
  <c r="O22" i="121"/>
  <c r="K22" i="121"/>
  <c r="G22" i="121"/>
  <c r="E22" i="121"/>
  <c r="O21" i="121"/>
  <c r="K21" i="121"/>
  <c r="J21" i="121"/>
  <c r="F21" i="121"/>
  <c r="E21" i="121"/>
  <c r="P20" i="121"/>
  <c r="M20" i="121"/>
  <c r="L20" i="121"/>
  <c r="K20" i="121"/>
  <c r="E20" i="121"/>
  <c r="O19" i="121"/>
  <c r="N19" i="121"/>
  <c r="M19" i="121"/>
  <c r="L19" i="121"/>
  <c r="K19" i="121"/>
  <c r="I19" i="121"/>
  <c r="H19" i="121"/>
  <c r="F19" i="121"/>
  <c r="E19" i="121"/>
  <c r="P18" i="121"/>
  <c r="O18" i="121"/>
  <c r="N18" i="121"/>
  <c r="M18" i="121"/>
  <c r="L18" i="121"/>
  <c r="K18" i="121"/>
  <c r="G18" i="121"/>
  <c r="E18" i="121"/>
  <c r="P17" i="121"/>
  <c r="O16" i="121"/>
  <c r="N16" i="121"/>
  <c r="M16" i="121"/>
  <c r="L16" i="121"/>
  <c r="K16" i="121"/>
  <c r="J16" i="121"/>
  <c r="G16" i="121"/>
  <c r="E16" i="121"/>
  <c r="N15" i="121"/>
  <c r="J15" i="121"/>
  <c r="E15" i="121"/>
  <c r="N14" i="121"/>
  <c r="L14" i="121"/>
  <c r="K14" i="121"/>
  <c r="H14" i="121"/>
  <c r="E14" i="121"/>
  <c r="O13" i="121"/>
  <c r="M13" i="121"/>
  <c r="L13" i="121"/>
  <c r="J13" i="121"/>
  <c r="F13" i="121"/>
  <c r="E13" i="121"/>
  <c r="AV47" i="1" l="1"/>
  <c r="AV995" i="1"/>
  <c r="AV187" i="1"/>
  <c r="AV532" i="1"/>
  <c r="AV117" i="1"/>
  <c r="R617" i="1"/>
  <c r="S617" i="1" s="1"/>
  <c r="AZ617" i="1"/>
  <c r="AY617" i="1"/>
  <c r="H1068" i="1"/>
  <c r="R1068" i="1" s="1"/>
  <c r="S1068" i="1" s="1"/>
  <c r="D19" i="117" s="1"/>
  <c r="AZ1067" i="1"/>
  <c r="AY1067" i="1"/>
  <c r="AV755" i="1"/>
  <c r="R1067" i="1"/>
  <c r="S1067" i="1" s="1"/>
  <c r="AK1339" i="1"/>
  <c r="AL1339" i="1"/>
  <c r="O549" i="24"/>
  <c r="L549" i="24" s="1"/>
  <c r="AQ447" i="1" s="1"/>
  <c r="O561" i="24"/>
  <c r="R561" i="24"/>
  <c r="O552" i="24"/>
  <c r="L552" i="24" s="1"/>
  <c r="AQ450" i="1" s="1"/>
  <c r="R552" i="24"/>
  <c r="O560" i="24"/>
  <c r="R560" i="24"/>
  <c r="O555" i="24"/>
  <c r="R555" i="24"/>
  <c r="O559" i="24"/>
  <c r="L559" i="24" s="1"/>
  <c r="AQ510" i="1" s="1"/>
  <c r="R559" i="24"/>
  <c r="O550" i="24"/>
  <c r="L550" i="24" s="1"/>
  <c r="AQ448" i="1" s="1"/>
  <c r="R550" i="24"/>
  <c r="O558" i="24"/>
  <c r="R558" i="24"/>
  <c r="O553" i="24"/>
  <c r="R553" i="24"/>
  <c r="O557" i="24"/>
  <c r="L557" i="24" s="1"/>
  <c r="AQ478" i="1" s="1"/>
  <c r="R557" i="24"/>
  <c r="O551" i="24"/>
  <c r="R551" i="24"/>
  <c r="O554" i="24"/>
  <c r="L554" i="24" s="1"/>
  <c r="AQ452" i="1" s="1"/>
  <c r="R554" i="24"/>
  <c r="J39" i="121"/>
  <c r="P38" i="121"/>
  <c r="P36" i="121"/>
  <c r="P22" i="121"/>
  <c r="P25" i="121"/>
  <c r="P19" i="121"/>
  <c r="P40" i="121"/>
  <c r="P24" i="121"/>
  <c r="P43" i="121"/>
  <c r="L551" i="24"/>
  <c r="AQ449" i="1" s="1"/>
  <c r="L561" i="24"/>
  <c r="AQ520" i="1" s="1"/>
  <c r="O556" i="24"/>
  <c r="P45" i="109"/>
  <c r="P30" i="109"/>
  <c r="P22" i="111"/>
  <c r="P14" i="121"/>
  <c r="P15" i="121"/>
  <c r="D26" i="56"/>
  <c r="D29" i="56"/>
  <c r="D28" i="56"/>
  <c r="D22" i="56"/>
  <c r="D27" i="56"/>
  <c r="D17" i="56"/>
  <c r="D23" i="56"/>
  <c r="E13" i="120"/>
  <c r="E14" i="120"/>
  <c r="E15" i="120"/>
  <c r="E16" i="120"/>
  <c r="E17" i="120"/>
  <c r="E18" i="120"/>
  <c r="E19" i="120"/>
  <c r="E20" i="120"/>
  <c r="E21" i="120"/>
  <c r="E22" i="120"/>
  <c r="E23" i="120"/>
  <c r="E24" i="120"/>
  <c r="E25" i="120"/>
  <c r="E26" i="120"/>
  <c r="E27" i="120"/>
  <c r="E28" i="120"/>
  <c r="E29" i="120"/>
  <c r="E30" i="120"/>
  <c r="E31" i="120"/>
  <c r="E32" i="120"/>
  <c r="E33" i="120"/>
  <c r="E34" i="120"/>
  <c r="E35" i="120"/>
  <c r="E36" i="120"/>
  <c r="E37" i="120"/>
  <c r="E38" i="120"/>
  <c r="E39" i="120"/>
  <c r="E40" i="120"/>
  <c r="E41" i="120"/>
  <c r="E42" i="120"/>
  <c r="E43" i="120"/>
  <c r="E44" i="120"/>
  <c r="E45" i="120"/>
  <c r="E46" i="120"/>
  <c r="E47" i="120"/>
  <c r="E48" i="120"/>
  <c r="E49" i="120"/>
  <c r="E50" i="120"/>
  <c r="E51" i="120"/>
  <c r="E52" i="120"/>
  <c r="E53" i="120"/>
  <c r="E12" i="120"/>
  <c r="F12" i="53"/>
  <c r="E12" i="53"/>
  <c r="F13" i="53"/>
  <c r="N7" i="58"/>
  <c r="J7" i="58"/>
  <c r="N6" i="58"/>
  <c r="J6" i="58"/>
  <c r="N5" i="58"/>
  <c r="O5" i="58" s="1"/>
  <c r="J5" i="58"/>
  <c r="N4" i="58"/>
  <c r="O4" i="58" s="1"/>
  <c r="J4" i="58"/>
  <c r="N3" i="58"/>
  <c r="O3" i="58" s="1"/>
  <c r="J3" i="58"/>
  <c r="S3" i="5"/>
  <c r="H14" i="111"/>
  <c r="K14" i="111"/>
  <c r="L14" i="111"/>
  <c r="N14" i="111"/>
  <c r="P14" i="111"/>
  <c r="J15" i="111"/>
  <c r="N15" i="111"/>
  <c r="G16" i="111"/>
  <c r="J16" i="111"/>
  <c r="K16" i="111"/>
  <c r="L16" i="111"/>
  <c r="M16" i="111"/>
  <c r="N16" i="111"/>
  <c r="O16" i="111"/>
  <c r="P16" i="111"/>
  <c r="P17" i="111"/>
  <c r="G18" i="111"/>
  <c r="K18" i="111"/>
  <c r="L18" i="111"/>
  <c r="M18" i="111"/>
  <c r="N18" i="111"/>
  <c r="O18" i="111"/>
  <c r="P18" i="111"/>
  <c r="F19" i="111"/>
  <c r="H19" i="111"/>
  <c r="I19" i="111"/>
  <c r="K19" i="111"/>
  <c r="L19" i="111"/>
  <c r="M19" i="111"/>
  <c r="N19" i="111"/>
  <c r="O19" i="111"/>
  <c r="P19" i="111"/>
  <c r="K20" i="111"/>
  <c r="L20" i="111"/>
  <c r="M20" i="111"/>
  <c r="P20" i="111"/>
  <c r="F21" i="111"/>
  <c r="J21" i="111"/>
  <c r="K21" i="111"/>
  <c r="O21" i="111"/>
  <c r="P21" i="111"/>
  <c r="K22" i="111"/>
  <c r="O22" i="111"/>
  <c r="K23" i="111"/>
  <c r="L23" i="111"/>
  <c r="M23" i="111"/>
  <c r="P23" i="111"/>
  <c r="P24" i="111"/>
  <c r="L25" i="111"/>
  <c r="P25" i="111"/>
  <c r="F26" i="111"/>
  <c r="G26" i="111"/>
  <c r="K26" i="111"/>
  <c r="L26" i="111"/>
  <c r="P26" i="111"/>
  <c r="J27" i="111"/>
  <c r="K27" i="111"/>
  <c r="L27" i="111"/>
  <c r="N27" i="111"/>
  <c r="O27" i="111"/>
  <c r="P27" i="111"/>
  <c r="H28" i="111"/>
  <c r="J28" i="111"/>
  <c r="K28" i="111"/>
  <c r="L28" i="111"/>
  <c r="M28" i="111"/>
  <c r="N28" i="111"/>
  <c r="O28" i="111"/>
  <c r="P28" i="111"/>
  <c r="K29" i="111"/>
  <c r="L29" i="111"/>
  <c r="M29" i="111"/>
  <c r="N29" i="111"/>
  <c r="O29" i="111"/>
  <c r="P29" i="111"/>
  <c r="J30" i="111"/>
  <c r="M30" i="111"/>
  <c r="O30" i="111"/>
  <c r="P30" i="111"/>
  <c r="F31" i="111"/>
  <c r="J31" i="111"/>
  <c r="K31" i="111"/>
  <c r="N31" i="111"/>
  <c r="O31" i="111"/>
  <c r="P31" i="111"/>
  <c r="F32" i="111"/>
  <c r="J32" i="111"/>
  <c r="M32" i="111"/>
  <c r="N32" i="111"/>
  <c r="O32" i="111"/>
  <c r="P32" i="111"/>
  <c r="J33" i="111"/>
  <c r="L33" i="111"/>
  <c r="P33" i="111"/>
  <c r="H34" i="111"/>
  <c r="J34" i="111"/>
  <c r="K34" i="111"/>
  <c r="L34" i="111"/>
  <c r="M34" i="111"/>
  <c r="P34" i="111"/>
  <c r="F35" i="111"/>
  <c r="H35" i="111"/>
  <c r="I35" i="111"/>
  <c r="J35" i="111"/>
  <c r="K35" i="111"/>
  <c r="L35" i="111"/>
  <c r="M35" i="111"/>
  <c r="N35" i="111"/>
  <c r="O35" i="111"/>
  <c r="P35" i="111"/>
  <c r="M36" i="111"/>
  <c r="L37" i="111"/>
  <c r="M37" i="111"/>
  <c r="N37" i="111"/>
  <c r="P37" i="111"/>
  <c r="O38" i="111"/>
  <c r="P38" i="111"/>
  <c r="J39" i="111"/>
  <c r="M39" i="111"/>
  <c r="N39" i="111"/>
  <c r="P39" i="111"/>
  <c r="J40" i="111"/>
  <c r="K40" i="111"/>
  <c r="L40" i="111"/>
  <c r="M40" i="111"/>
  <c r="O40" i="111"/>
  <c r="P40" i="111"/>
  <c r="K41" i="111"/>
  <c r="L41" i="111"/>
  <c r="M41" i="111"/>
  <c r="N41" i="111"/>
  <c r="O41" i="111"/>
  <c r="P41" i="111"/>
  <c r="J42" i="111"/>
  <c r="K42" i="111"/>
  <c r="L42" i="111"/>
  <c r="M42" i="111"/>
  <c r="N42" i="111"/>
  <c r="O42" i="111"/>
  <c r="P42" i="111"/>
  <c r="I43" i="111"/>
  <c r="K43" i="111"/>
  <c r="M43" i="111"/>
  <c r="N43" i="111"/>
  <c r="O43" i="111"/>
  <c r="P43" i="111"/>
  <c r="I44" i="111"/>
  <c r="L44" i="111"/>
  <c r="N44" i="111"/>
  <c r="O44" i="111"/>
  <c r="P44" i="111"/>
  <c r="I45" i="111"/>
  <c r="M45" i="111"/>
  <c r="P45" i="111"/>
  <c r="N46" i="111"/>
  <c r="P46" i="111"/>
  <c r="F47" i="111"/>
  <c r="H47" i="111"/>
  <c r="I47" i="111"/>
  <c r="J47" i="111"/>
  <c r="K47" i="111"/>
  <c r="M47" i="111"/>
  <c r="N47" i="111"/>
  <c r="P47" i="111"/>
  <c r="H48" i="111"/>
  <c r="I48" i="111"/>
  <c r="J48" i="111"/>
  <c r="K48" i="111"/>
  <c r="M48" i="111"/>
  <c r="N48" i="111"/>
  <c r="O48" i="111"/>
  <c r="P48" i="111"/>
  <c r="P49" i="111"/>
  <c r="F51" i="111"/>
  <c r="H51" i="111"/>
  <c r="I51" i="111"/>
  <c r="J51" i="111"/>
  <c r="K51" i="111"/>
  <c r="L51" i="111"/>
  <c r="M51" i="111"/>
  <c r="N51" i="111"/>
  <c r="O51" i="111"/>
  <c r="P51" i="111"/>
  <c r="F52" i="111"/>
  <c r="G52" i="111"/>
  <c r="I52" i="111"/>
  <c r="K52" i="111"/>
  <c r="L52" i="111"/>
  <c r="M52" i="111"/>
  <c r="O52" i="111"/>
  <c r="P52" i="111"/>
  <c r="F53" i="111"/>
  <c r="G53" i="111"/>
  <c r="H53" i="111"/>
  <c r="I53" i="111"/>
  <c r="J53" i="111"/>
  <c r="K53" i="111"/>
  <c r="L53" i="111"/>
  <c r="N53" i="111"/>
  <c r="O53" i="111"/>
  <c r="P53" i="111"/>
  <c r="O13" i="111"/>
  <c r="M13" i="111"/>
  <c r="L13" i="111"/>
  <c r="J13" i="111"/>
  <c r="F13" i="111"/>
  <c r="E13" i="111"/>
  <c r="E14" i="111"/>
  <c r="E15" i="111"/>
  <c r="E16"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O53" i="109"/>
  <c r="N53" i="109"/>
  <c r="M53" i="109"/>
  <c r="K53" i="109"/>
  <c r="J53" i="109"/>
  <c r="I53" i="109"/>
  <c r="H53" i="109"/>
  <c r="G53" i="109"/>
  <c r="F53" i="109"/>
  <c r="E53" i="109"/>
  <c r="D53" i="109"/>
  <c r="R52" i="109"/>
  <c r="O52" i="109"/>
  <c r="N52" i="109"/>
  <c r="L52" i="109"/>
  <c r="K52" i="109"/>
  <c r="J52" i="109"/>
  <c r="H52" i="109"/>
  <c r="F52" i="109"/>
  <c r="E52" i="109"/>
  <c r="D52" i="109"/>
  <c r="R51" i="109"/>
  <c r="O51" i="109"/>
  <c r="N51" i="109"/>
  <c r="M51" i="109"/>
  <c r="L51" i="109"/>
  <c r="K51" i="109"/>
  <c r="J51" i="109"/>
  <c r="I51" i="109"/>
  <c r="H51" i="109"/>
  <c r="G51" i="109"/>
  <c r="E51" i="109"/>
  <c r="D51" i="109"/>
  <c r="R50" i="109"/>
  <c r="D50" i="109"/>
  <c r="O49" i="109"/>
  <c r="D49" i="109"/>
  <c r="O48" i="109"/>
  <c r="N48" i="109"/>
  <c r="M48" i="109"/>
  <c r="L48" i="109"/>
  <c r="J48" i="109"/>
  <c r="I48" i="109"/>
  <c r="H48" i="109"/>
  <c r="G48" i="109"/>
  <c r="D48" i="109"/>
  <c r="R47" i="109"/>
  <c r="O47" i="109"/>
  <c r="M47" i="109"/>
  <c r="L47" i="109"/>
  <c r="J47" i="109"/>
  <c r="I47" i="109"/>
  <c r="H47" i="109"/>
  <c r="G47" i="109"/>
  <c r="E47" i="109"/>
  <c r="D47" i="109"/>
  <c r="R46" i="109"/>
  <c r="O46" i="109"/>
  <c r="M46" i="109"/>
  <c r="D46" i="109"/>
  <c r="O45" i="109"/>
  <c r="L45" i="109"/>
  <c r="H45" i="109"/>
  <c r="D45" i="109"/>
  <c r="O44" i="109"/>
  <c r="N44" i="109"/>
  <c r="M44" i="109"/>
  <c r="K44" i="109"/>
  <c r="H44" i="109"/>
  <c r="D44" i="109"/>
  <c r="R43" i="109"/>
  <c r="O43" i="109"/>
  <c r="N43" i="109"/>
  <c r="M43" i="109"/>
  <c r="L43" i="109"/>
  <c r="J43" i="109"/>
  <c r="H43" i="109"/>
  <c r="D43" i="109"/>
  <c r="R42" i="109"/>
  <c r="O42" i="109"/>
  <c r="N42" i="109"/>
  <c r="M42" i="109"/>
  <c r="L42" i="109"/>
  <c r="K42" i="109"/>
  <c r="J42" i="109"/>
  <c r="I42" i="109"/>
  <c r="D42" i="109"/>
  <c r="R41" i="109"/>
  <c r="O41" i="109"/>
  <c r="N41" i="109"/>
  <c r="M41" i="109"/>
  <c r="L41" i="109"/>
  <c r="K41" i="109"/>
  <c r="J41" i="109"/>
  <c r="D41" i="109"/>
  <c r="R40" i="109"/>
  <c r="O40" i="109"/>
  <c r="N40" i="109"/>
  <c r="L40" i="109"/>
  <c r="K40" i="109"/>
  <c r="J40" i="109"/>
  <c r="I40" i="109"/>
  <c r="D40" i="109"/>
  <c r="O39" i="109"/>
  <c r="L39" i="109"/>
  <c r="I39" i="109"/>
  <c r="D39" i="109"/>
  <c r="R38" i="109"/>
  <c r="O38" i="109"/>
  <c r="N38" i="109"/>
  <c r="D38" i="109"/>
  <c r="R37" i="109"/>
  <c r="O37" i="109"/>
  <c r="M37" i="109"/>
  <c r="L37" i="109"/>
  <c r="K37" i="109"/>
  <c r="D37" i="109"/>
  <c r="L36" i="109"/>
  <c r="D36" i="109"/>
  <c r="R35" i="109"/>
  <c r="O35" i="109"/>
  <c r="N35" i="109"/>
  <c r="M35" i="109"/>
  <c r="L35" i="109"/>
  <c r="K35" i="109"/>
  <c r="J35" i="109"/>
  <c r="I35" i="109"/>
  <c r="H35" i="109"/>
  <c r="G35" i="109"/>
  <c r="E35" i="109"/>
  <c r="D35" i="109"/>
  <c r="O34" i="109"/>
  <c r="L34" i="109"/>
  <c r="K34" i="109"/>
  <c r="J34" i="109"/>
  <c r="I34" i="109"/>
  <c r="G34" i="109"/>
  <c r="D34" i="109"/>
  <c r="R33" i="109"/>
  <c r="K33" i="109"/>
  <c r="I33" i="109"/>
  <c r="D33" i="109"/>
  <c r="R32" i="109"/>
  <c r="O32" i="109"/>
  <c r="N32" i="109"/>
  <c r="M32" i="109"/>
  <c r="L32" i="109"/>
  <c r="I32" i="109"/>
  <c r="E32" i="109"/>
  <c r="D32" i="109"/>
  <c r="R31" i="109"/>
  <c r="O31" i="109"/>
  <c r="N31" i="109"/>
  <c r="M31" i="109"/>
  <c r="J31" i="109"/>
  <c r="I31" i="109"/>
  <c r="E31" i="109"/>
  <c r="D31" i="109"/>
  <c r="R30" i="109"/>
  <c r="O30" i="109"/>
  <c r="N30" i="109"/>
  <c r="L30" i="109"/>
  <c r="I30" i="109"/>
  <c r="D30" i="109"/>
  <c r="O29" i="109"/>
  <c r="N29" i="109"/>
  <c r="M29" i="109"/>
  <c r="L29" i="109"/>
  <c r="K29" i="109"/>
  <c r="J29" i="109"/>
  <c r="D29" i="109"/>
  <c r="O28" i="109"/>
  <c r="N28" i="109"/>
  <c r="M28" i="109"/>
  <c r="L28" i="109"/>
  <c r="K28" i="109"/>
  <c r="J28" i="109"/>
  <c r="I28" i="109"/>
  <c r="G28" i="109"/>
  <c r="D28" i="109"/>
  <c r="R27" i="109"/>
  <c r="O27" i="109"/>
  <c r="N27" i="109"/>
  <c r="M27" i="109"/>
  <c r="K27" i="109"/>
  <c r="J27" i="109"/>
  <c r="I27" i="109"/>
  <c r="D27" i="109"/>
  <c r="O26" i="109"/>
  <c r="K26" i="109"/>
  <c r="J26" i="109"/>
  <c r="F26" i="109"/>
  <c r="E26" i="109"/>
  <c r="D26" i="109"/>
  <c r="R25" i="109"/>
  <c r="O25" i="109"/>
  <c r="K25" i="109"/>
  <c r="D25" i="109"/>
  <c r="R24" i="109"/>
  <c r="O24" i="109"/>
  <c r="D24" i="109"/>
  <c r="O23" i="109"/>
  <c r="K23" i="109"/>
  <c r="J23" i="109"/>
  <c r="D23" i="109"/>
  <c r="N22" i="109"/>
  <c r="J22" i="109"/>
  <c r="F22" i="109"/>
  <c r="D22" i="109"/>
  <c r="R21" i="109"/>
  <c r="O21" i="109"/>
  <c r="N21" i="109"/>
  <c r="J21" i="109"/>
  <c r="I21" i="109"/>
  <c r="E21" i="109"/>
  <c r="D21" i="109"/>
  <c r="O20" i="109"/>
  <c r="L20" i="109"/>
  <c r="K20" i="109"/>
  <c r="J20" i="109"/>
  <c r="D20" i="109"/>
  <c r="R19" i="109"/>
  <c r="O19" i="109"/>
  <c r="N19" i="109"/>
  <c r="M19" i="109"/>
  <c r="L19" i="109"/>
  <c r="K19" i="109"/>
  <c r="J19" i="109"/>
  <c r="H19" i="109"/>
  <c r="G19" i="109"/>
  <c r="E19" i="109"/>
  <c r="D19" i="109"/>
  <c r="R18" i="109"/>
  <c r="O18" i="109"/>
  <c r="N18" i="109"/>
  <c r="M18" i="109"/>
  <c r="L18" i="109"/>
  <c r="K18" i="109"/>
  <c r="J18" i="109"/>
  <c r="F18" i="109"/>
  <c r="D18" i="109"/>
  <c r="R17" i="109"/>
  <c r="O17" i="109"/>
  <c r="R16" i="109"/>
  <c r="O16" i="109"/>
  <c r="N16" i="109"/>
  <c r="M16" i="109"/>
  <c r="L16" i="109"/>
  <c r="K16" i="109"/>
  <c r="J16" i="109"/>
  <c r="I16" i="109"/>
  <c r="F16" i="109"/>
  <c r="D16" i="109"/>
  <c r="R15" i="109"/>
  <c r="M15" i="109"/>
  <c r="I15" i="109"/>
  <c r="D15" i="109"/>
  <c r="R14" i="109"/>
  <c r="O14" i="109"/>
  <c r="M14" i="109"/>
  <c r="K14" i="109"/>
  <c r="J14" i="109"/>
  <c r="G14" i="109"/>
  <c r="D14" i="109"/>
  <c r="O13" i="109"/>
  <c r="N13" i="109"/>
  <c r="L13" i="109"/>
  <c r="K13" i="109"/>
  <c r="I13" i="109"/>
  <c r="E13" i="109"/>
  <c r="D13" i="109"/>
  <c r="O7" i="58"/>
  <c r="Q7" i="58" s="1"/>
  <c r="R7" i="58" s="1"/>
  <c r="Q5" i="58"/>
  <c r="R5" i="58" s="1"/>
  <c r="Q4" i="58"/>
  <c r="R4" i="58" s="1"/>
  <c r="Q3" i="58"/>
  <c r="R3" i="58" s="1"/>
  <c r="Q2" i="58"/>
  <c r="R2" i="58" s="1"/>
  <c r="R24" i="5"/>
  <c r="R23" i="5"/>
  <c r="S23" i="5" s="1"/>
  <c r="R22" i="5"/>
  <c r="S22" i="5" s="1"/>
  <c r="R21" i="5"/>
  <c r="S21" i="5" s="1"/>
  <c r="R20" i="5"/>
  <c r="S20" i="5" s="1"/>
  <c r="R19" i="5"/>
  <c r="S19" i="5" s="1"/>
  <c r="R18" i="5"/>
  <c r="R17" i="5"/>
  <c r="R16" i="5"/>
  <c r="R15" i="5"/>
  <c r="R14" i="5"/>
  <c r="R13" i="5"/>
  <c r="S13" i="5" s="1"/>
  <c r="R12" i="5"/>
  <c r="R11" i="5"/>
  <c r="R10" i="5"/>
  <c r="S10" i="5" s="1"/>
  <c r="R9" i="5"/>
  <c r="S9" i="5" s="1"/>
  <c r="R8" i="5"/>
  <c r="S8" i="5" s="1"/>
  <c r="R7" i="5"/>
  <c r="S7" i="5" s="1"/>
  <c r="R6" i="5"/>
  <c r="S6" i="5" s="1"/>
  <c r="R5" i="5"/>
  <c r="S5" i="5" s="1"/>
  <c r="R4" i="5"/>
  <c r="S4" i="5" s="1"/>
  <c r="R2" i="5"/>
  <c r="S2" i="5" s="1"/>
  <c r="F54" i="53" l="1"/>
  <c r="AZ1068" i="1"/>
  <c r="AY1068" i="1"/>
  <c r="F22" i="128"/>
  <c r="O6" i="58"/>
  <c r="Q6" i="58" s="1"/>
  <c r="R6" i="58" s="1"/>
  <c r="M39" i="109"/>
  <c r="O22" i="109"/>
  <c r="H647" i="1"/>
  <c r="H648" i="1"/>
  <c r="H652" i="1"/>
  <c r="H651" i="1"/>
  <c r="AZ651" i="1" s="1"/>
  <c r="P26" i="109"/>
  <c r="P26" i="121"/>
  <c r="L26" i="121"/>
  <c r="Q527" i="24"/>
  <c r="L527" i="24"/>
  <c r="AQ507" i="1" s="1"/>
  <c r="J14" i="111"/>
  <c r="I14" i="111"/>
  <c r="H15" i="111"/>
  <c r="I15" i="111"/>
  <c r="K15" i="111"/>
  <c r="O15" i="111"/>
  <c r="F16" i="111"/>
  <c r="K17" i="111"/>
  <c r="L17" i="111"/>
  <c r="M17" i="111"/>
  <c r="H18" i="111"/>
  <c r="I18" i="111"/>
  <c r="J18" i="111"/>
  <c r="J19" i="111"/>
  <c r="M21" i="111"/>
  <c r="G22" i="111"/>
  <c r="J22" i="111"/>
  <c r="K24" i="111"/>
  <c r="L24" i="111"/>
  <c r="K25" i="111"/>
  <c r="M26" i="111"/>
  <c r="O26" i="111"/>
  <c r="F27" i="111"/>
  <c r="M53" i="111"/>
  <c r="R53" i="111" s="1"/>
  <c r="F29" i="111"/>
  <c r="H29" i="111"/>
  <c r="I29" i="111"/>
  <c r="J29" i="111"/>
  <c r="L30" i="111"/>
  <c r="M31" i="111"/>
  <c r="I32" i="111"/>
  <c r="O33" i="111"/>
  <c r="I34" i="111"/>
  <c r="G35" i="111"/>
  <c r="R35" i="111" s="1"/>
  <c r="N36" i="111"/>
  <c r="J37" i="111"/>
  <c r="K37" i="111"/>
  <c r="I39" i="111"/>
  <c r="L39" i="111"/>
  <c r="O39" i="111"/>
  <c r="G39" i="111"/>
  <c r="G40" i="111"/>
  <c r="F41" i="111"/>
  <c r="G42" i="111"/>
  <c r="I42" i="111"/>
  <c r="G44" i="111"/>
  <c r="F45" i="111"/>
  <c r="M46" i="111"/>
  <c r="K46" i="111"/>
  <c r="G47" i="111"/>
  <c r="O47" i="111"/>
  <c r="G48" i="111"/>
  <c r="N52" i="111"/>
  <c r="K49" i="111"/>
  <c r="M49" i="111"/>
  <c r="G23" i="111"/>
  <c r="J23" i="111"/>
  <c r="N23" i="111"/>
  <c r="F23" i="111"/>
  <c r="O23" i="111"/>
  <c r="AS2" i="1"/>
  <c r="D58" i="105"/>
  <c r="D59" i="105" s="1"/>
  <c r="C58" i="105"/>
  <c r="C59" i="105" s="1"/>
  <c r="D57" i="105"/>
  <c r="C57" i="105"/>
  <c r="F19" i="128" l="1"/>
  <c r="AY652" i="1"/>
  <c r="AZ652" i="1"/>
  <c r="AY648" i="1"/>
  <c r="AZ648" i="1"/>
  <c r="R651" i="1"/>
  <c r="S651" i="1" s="1"/>
  <c r="AY651" i="1"/>
  <c r="R647" i="1"/>
  <c r="S647" i="1" s="1"/>
  <c r="AY647" i="1" s="1"/>
  <c r="I46" i="111"/>
  <c r="F33" i="111"/>
  <c r="J41" i="111"/>
  <c r="G51" i="111"/>
  <c r="R51" i="111" s="1"/>
  <c r="G21" i="111"/>
  <c r="G19" i="111"/>
  <c r="R19" i="111" s="1"/>
  <c r="F28" i="111"/>
  <c r="I16" i="111"/>
  <c r="I23" i="111"/>
  <c r="H52" i="111"/>
  <c r="I38" i="111"/>
  <c r="G29" i="111"/>
  <c r="R29" i="111" s="1"/>
  <c r="I26" i="111"/>
  <c r="H24" i="111"/>
  <c r="G25" i="111"/>
  <c r="M14" i="111"/>
  <c r="J52" i="111"/>
  <c r="M25" i="111"/>
  <c r="L47" i="111"/>
  <c r="R47" i="111" s="1"/>
  <c r="H44" i="111"/>
  <c r="F44" i="111"/>
  <c r="G32" i="111"/>
  <c r="G24" i="111"/>
  <c r="J20" i="111"/>
  <c r="F14" i="111"/>
  <c r="H23" i="111"/>
  <c r="H46" i="111"/>
  <c r="G30" i="111"/>
  <c r="F37" i="111"/>
  <c r="F12" i="128" s="1"/>
  <c r="L36" i="111"/>
  <c r="I31" i="111"/>
  <c r="G28" i="111"/>
  <c r="H27" i="111"/>
  <c r="O14" i="111"/>
  <c r="I36" i="111"/>
  <c r="I28" i="111"/>
  <c r="F25" i="111"/>
  <c r="M22" i="111"/>
  <c r="L25" i="109"/>
  <c r="R35" i="15"/>
  <c r="R51" i="15"/>
  <c r="R19" i="15"/>
  <c r="R52" i="15"/>
  <c r="R28" i="15"/>
  <c r="R47" i="15"/>
  <c r="R23" i="15"/>
  <c r="R53" i="15"/>
  <c r="R29" i="15"/>
  <c r="E58" i="105"/>
  <c r="E59" i="105" s="1"/>
  <c r="E57" i="105"/>
  <c r="F26" i="39"/>
  <c r="F38" i="39"/>
  <c r="F29" i="39"/>
  <c r="F13" i="39"/>
  <c r="F17" i="39"/>
  <c r="F35" i="39"/>
  <c r="F20" i="39"/>
  <c r="F40" i="39"/>
  <c r="F21" i="39"/>
  <c r="F23" i="39"/>
  <c r="F18" i="39"/>
  <c r="F32" i="39"/>
  <c r="F34" i="39"/>
  <c r="F31" i="39"/>
  <c r="F24" i="39"/>
  <c r="F30" i="39"/>
  <c r="F27" i="39"/>
  <c r="F15" i="39"/>
  <c r="F37" i="39"/>
  <c r="F28" i="39"/>
  <c r="F39" i="39"/>
  <c r="F33" i="39"/>
  <c r="F41" i="39"/>
  <c r="F19" i="39"/>
  <c r="F43" i="39"/>
  <c r="F44" i="39"/>
  <c r="F22" i="39"/>
  <c r="F16" i="39"/>
  <c r="F46" i="39"/>
  <c r="F25" i="39"/>
  <c r="F42" i="39"/>
  <c r="F48" i="39"/>
  <c r="F49" i="39"/>
  <c r="F45" i="39"/>
  <c r="F12" i="39"/>
  <c r="F36" i="39"/>
  <c r="F50" i="39"/>
  <c r="F47" i="39"/>
  <c r="F51" i="39"/>
  <c r="F14" i="39"/>
  <c r="CE27" i="92"/>
  <c r="CF27" i="92"/>
  <c r="CG27" i="92"/>
  <c r="CH27" i="92"/>
  <c r="CE46" i="92"/>
  <c r="CF46" i="92"/>
  <c r="CG46" i="92"/>
  <c r="CH46" i="92"/>
  <c r="CE47" i="92"/>
  <c r="CF47" i="92"/>
  <c r="CG47" i="92"/>
  <c r="CH47" i="92"/>
  <c r="CE48" i="92"/>
  <c r="CF48" i="92"/>
  <c r="CG48" i="92"/>
  <c r="CH48" i="92"/>
  <c r="BZ27" i="92"/>
  <c r="CA27" i="92"/>
  <c r="CB27" i="92"/>
  <c r="CC27" i="92"/>
  <c r="BZ46" i="92"/>
  <c r="CA46" i="92"/>
  <c r="CB46" i="92"/>
  <c r="CC46" i="92"/>
  <c r="BZ47" i="92"/>
  <c r="CA47" i="92"/>
  <c r="CB47" i="92"/>
  <c r="CC47" i="92"/>
  <c r="BZ48" i="92"/>
  <c r="CA48" i="92"/>
  <c r="CB48" i="92"/>
  <c r="CC48" i="92"/>
  <c r="AZ647" i="1" l="1"/>
  <c r="T647" i="1"/>
  <c r="AV647" i="1" s="1"/>
  <c r="T651" i="1"/>
  <c r="AV651" i="1" s="1"/>
  <c r="R23" i="111"/>
  <c r="F16" i="128"/>
  <c r="R52" i="111"/>
  <c r="R28" i="111"/>
  <c r="Q1072" i="1"/>
  <c r="P1072" i="1"/>
  <c r="O1072" i="1"/>
  <c r="G154" i="24"/>
  <c r="L21" i="111"/>
  <c r="L388" i="24"/>
  <c r="AQ559" i="1" s="1"/>
  <c r="L389" i="24"/>
  <c r="AQ761" i="1" s="1"/>
  <c r="L398" i="24"/>
  <c r="AQ546" i="1" s="1"/>
  <c r="L400" i="24"/>
  <c r="L401" i="24"/>
  <c r="AQ844" i="1" s="1"/>
  <c r="L402" i="24"/>
  <c r="L405" i="24"/>
  <c r="AQ54" i="1" s="1"/>
  <c r="L406" i="24"/>
  <c r="L407" i="24"/>
  <c r="L412" i="24"/>
  <c r="AQ343" i="1" s="1"/>
  <c r="L413" i="24"/>
  <c r="AQ551" i="1" s="1"/>
  <c r="L414" i="24"/>
  <c r="AQ203" i="1" s="1"/>
  <c r="L415" i="24"/>
  <c r="L416" i="24"/>
  <c r="L417" i="24"/>
  <c r="L418" i="24"/>
  <c r="L419" i="24"/>
  <c r="L420" i="24"/>
  <c r="AQ618" i="1" s="1"/>
  <c r="L421" i="24"/>
  <c r="AQ553" i="1" s="1"/>
  <c r="L422" i="24"/>
  <c r="L423" i="24"/>
  <c r="AQ324" i="1" s="1"/>
  <c r="L424" i="24"/>
  <c r="L425" i="24"/>
  <c r="L426" i="24"/>
  <c r="L427" i="24"/>
  <c r="AQ544" i="1" s="1"/>
  <c r="L428" i="24"/>
  <c r="L429" i="24"/>
  <c r="L430" i="24"/>
  <c r="AQ885" i="1" s="1"/>
  <c r="L431" i="24"/>
  <c r="AQ883" i="1" s="1"/>
  <c r="L432" i="24"/>
  <c r="AQ884" i="1" s="1"/>
  <c r="L433" i="24"/>
  <c r="AQ3" i="1" s="1"/>
  <c r="L435" i="24"/>
  <c r="AQ316" i="1" s="1"/>
  <c r="L436" i="24"/>
  <c r="AQ545" i="1" s="1"/>
  <c r="L437" i="24"/>
  <c r="L438" i="24"/>
  <c r="AQ729" i="1" s="1"/>
  <c r="L439" i="24"/>
  <c r="L440" i="24"/>
  <c r="AQ882" i="1" s="1"/>
  <c r="L441" i="24"/>
  <c r="AQ899" i="1" s="1"/>
  <c r="L442" i="24"/>
  <c r="AQ278" i="1" s="1"/>
  <c r="L443" i="24"/>
  <c r="L444" i="24"/>
  <c r="AQ875" i="1" s="1"/>
  <c r="L445" i="24"/>
  <c r="L446" i="24"/>
  <c r="AQ760" i="1" s="1"/>
  <c r="L447" i="24"/>
  <c r="AQ619" i="1" s="1"/>
  <c r="L448" i="24"/>
  <c r="AQ340" i="1" s="1"/>
  <c r="L449" i="24"/>
  <c r="AQ887" i="1" s="1"/>
  <c r="L450" i="24"/>
  <c r="L451" i="24"/>
  <c r="L452" i="24"/>
  <c r="AQ845" i="1" s="1"/>
  <c r="L453" i="24"/>
  <c r="AQ150" i="1" s="1"/>
  <c r="L454" i="24"/>
  <c r="AQ876" i="1" s="1"/>
  <c r="L455" i="24"/>
  <c r="AQ877" i="1" s="1"/>
  <c r="L456" i="24"/>
  <c r="AQ205" i="1" s="1"/>
  <c r="L457" i="24"/>
  <c r="AQ560" i="1" s="1"/>
  <c r="L458" i="24"/>
  <c r="L459" i="24"/>
  <c r="AQ843" i="1" s="1"/>
  <c r="L460" i="24"/>
  <c r="L461" i="24"/>
  <c r="L462" i="24"/>
  <c r="AQ149" i="1" s="1"/>
  <c r="L463" i="24"/>
  <c r="AQ34" i="1" s="1"/>
  <c r="L464" i="24"/>
  <c r="L465" i="24"/>
  <c r="AQ540" i="1" s="1"/>
  <c r="L466" i="24"/>
  <c r="AQ501" i="1" s="1"/>
  <c r="L467" i="24"/>
  <c r="L468" i="24"/>
  <c r="L469" i="24"/>
  <c r="L470" i="24"/>
  <c r="AQ204" i="1" s="1"/>
  <c r="L471" i="24"/>
  <c r="AQ55" i="1" s="1"/>
  <c r="L475" i="24"/>
  <c r="AQ937" i="1" s="1"/>
  <c r="L476" i="24"/>
  <c r="AQ916" i="1" s="1"/>
  <c r="L479" i="24"/>
  <c r="AQ654" i="1" s="1"/>
  <c r="L480" i="24"/>
  <c r="AQ68" i="1" s="1"/>
  <c r="L481" i="24"/>
  <c r="L482" i="24"/>
  <c r="AQ346" i="1" s="1"/>
  <c r="L483" i="24"/>
  <c r="AQ347" i="1" s="1"/>
  <c r="L484" i="24"/>
  <c r="AQ959" i="1" s="1"/>
  <c r="L485" i="24"/>
  <c r="AQ961" i="1" s="1"/>
  <c r="L486" i="24"/>
  <c r="AQ962" i="1" s="1"/>
  <c r="L487" i="24"/>
  <c r="AQ963" i="1" s="1"/>
  <c r="L496" i="24"/>
  <c r="AQ39" i="1" s="1"/>
  <c r="L497" i="24"/>
  <c r="L498" i="24"/>
  <c r="L499" i="24"/>
  <c r="AQ353" i="1" s="1"/>
  <c r="L500" i="24"/>
  <c r="AQ350" i="1" s="1"/>
  <c r="L501" i="24"/>
  <c r="AQ351" i="1" s="1"/>
  <c r="L502" i="24"/>
  <c r="L503" i="24"/>
  <c r="AQ274" i="1" s="1"/>
  <c r="L504" i="24"/>
  <c r="AQ599" i="1" s="1"/>
  <c r="L505" i="24"/>
  <c r="AQ355" i="1" s="1"/>
  <c r="L506" i="24"/>
  <c r="AQ334" i="1" s="1"/>
  <c r="L507" i="24"/>
  <c r="AQ335" i="1" s="1"/>
  <c r="L508" i="24"/>
  <c r="AQ336" i="1" s="1"/>
  <c r="L509" i="24"/>
  <c r="AQ818" i="1" s="1"/>
  <c r="L514" i="24"/>
  <c r="AQ473" i="1" s="1"/>
  <c r="L515" i="24"/>
  <c r="AQ471" i="1" s="1"/>
  <c r="L516" i="24"/>
  <c r="AQ472" i="1" s="1"/>
  <c r="L518" i="24"/>
  <c r="AQ514" i="1" s="1"/>
  <c r="L520" i="24"/>
  <c r="AQ506" i="1" s="1"/>
  <c r="L521" i="24"/>
  <c r="L522" i="24"/>
  <c r="AQ498" i="1" s="1"/>
  <c r="L523" i="24"/>
  <c r="AQ500" i="1" s="1"/>
  <c r="L524" i="24"/>
  <c r="AQ418" i="1" s="1"/>
  <c r="L525" i="24"/>
  <c r="AQ511" i="1" s="1"/>
  <c r="L526" i="24"/>
  <c r="AQ390" i="1" s="1"/>
  <c r="Q13" i="24"/>
  <c r="Q14" i="24"/>
  <c r="Q15" i="24"/>
  <c r="Q16" i="24"/>
  <c r="Q17" i="24"/>
  <c r="Q18" i="24"/>
  <c r="Q19" i="24"/>
  <c r="Q20" i="24"/>
  <c r="Q21" i="24"/>
  <c r="Q22" i="24"/>
  <c r="Q23" i="24"/>
  <c r="Q24" i="24"/>
  <c r="Q25" i="24"/>
  <c r="Q26" i="24"/>
  <c r="Q27" i="24"/>
  <c r="Q28" i="24"/>
  <c r="Q29" i="24"/>
  <c r="Q30" i="24"/>
  <c r="Q31" i="24"/>
  <c r="Q32" i="24"/>
  <c r="Q33" i="24"/>
  <c r="Q34" i="24"/>
  <c r="Q35" i="24"/>
  <c r="Q36" i="24"/>
  <c r="Q37" i="24"/>
  <c r="Q38" i="24"/>
  <c r="Q39" i="24"/>
  <c r="Q40" i="24"/>
  <c r="Q41" i="24"/>
  <c r="Q152" i="24"/>
  <c r="Q153" i="24"/>
  <c r="Q154" i="24"/>
  <c r="Q155" i="24"/>
  <c r="Q156" i="24"/>
  <c r="Q157" i="24"/>
  <c r="Q42" i="24"/>
  <c r="Q43" i="24"/>
  <c r="Q158" i="24"/>
  <c r="Q159" i="24"/>
  <c r="Q160" i="24"/>
  <c r="Q161" i="24"/>
  <c r="Q162" i="24"/>
  <c r="Q163" i="24"/>
  <c r="Q164" i="24"/>
  <c r="Q44" i="24"/>
  <c r="Q165" i="24"/>
  <c r="Q166" i="24"/>
  <c r="Q167" i="24"/>
  <c r="Q45" i="24"/>
  <c r="Q168" i="24"/>
  <c r="Q169" i="24"/>
  <c r="Q170" i="24"/>
  <c r="Q46" i="24"/>
  <c r="Q47" i="24"/>
  <c r="Q171" i="24"/>
  <c r="Q172" i="24"/>
  <c r="Q173" i="24"/>
  <c r="Q174" i="24"/>
  <c r="Q175" i="24"/>
  <c r="Q176" i="24"/>
  <c r="Q177" i="24"/>
  <c r="Q178" i="24"/>
  <c r="Q48" i="24"/>
  <c r="Q49" i="24"/>
  <c r="Q50" i="24"/>
  <c r="Q179" i="24"/>
  <c r="Q180" i="24"/>
  <c r="Q181" i="24"/>
  <c r="Q182" i="24"/>
  <c r="Q51" i="24"/>
  <c r="Q183" i="24"/>
  <c r="Q184" i="24"/>
  <c r="Q185" i="24"/>
  <c r="Q186" i="24"/>
  <c r="Q187" i="24"/>
  <c r="Q52" i="24"/>
  <c r="Q188" i="24"/>
  <c r="Q189" i="24"/>
  <c r="Q190" i="24"/>
  <c r="Q191" i="24"/>
  <c r="Q192" i="24"/>
  <c r="Q53" i="24"/>
  <c r="Q193" i="24"/>
  <c r="Q194" i="24"/>
  <c r="Q195" i="24"/>
  <c r="Q196" i="24"/>
  <c r="Q197" i="24"/>
  <c r="Q198" i="24"/>
  <c r="Q199" i="24"/>
  <c r="Q54" i="24"/>
  <c r="Q200" i="24"/>
  <c r="Q201" i="24"/>
  <c r="Q202" i="24"/>
  <c r="Q203" i="24"/>
  <c r="Q204" i="24"/>
  <c r="Q205" i="24"/>
  <c r="Q206" i="24"/>
  <c r="Q207" i="24"/>
  <c r="Q208" i="24"/>
  <c r="Q209" i="24"/>
  <c r="Q210" i="24"/>
  <c r="Q211" i="24"/>
  <c r="Q212" i="24"/>
  <c r="Q213" i="24"/>
  <c r="Q214" i="24"/>
  <c r="Q215" i="24"/>
  <c r="Q216" i="24"/>
  <c r="Q217" i="24"/>
  <c r="Q55" i="24"/>
  <c r="Q218" i="24"/>
  <c r="Q219" i="24"/>
  <c r="Q220" i="24"/>
  <c r="Q221" i="24"/>
  <c r="Q222" i="24"/>
  <c r="Q223" i="24"/>
  <c r="Q224" i="24"/>
  <c r="Q225" i="24"/>
  <c r="Q226" i="24"/>
  <c r="Q227" i="24"/>
  <c r="Q228" i="24"/>
  <c r="Q229" i="24"/>
  <c r="Q230" i="24"/>
  <c r="Q231" i="24"/>
  <c r="Q232" i="24"/>
  <c r="Q233" i="24"/>
  <c r="Q234" i="24"/>
  <c r="Q235" i="24"/>
  <c r="Q236" i="24"/>
  <c r="Q237" i="24"/>
  <c r="Q238" i="24"/>
  <c r="Q239" i="24"/>
  <c r="Q240" i="24"/>
  <c r="Q241" i="24"/>
  <c r="Q242" i="24"/>
  <c r="Q243" i="24"/>
  <c r="Q244" i="24"/>
  <c r="Q245" i="24"/>
  <c r="Q246" i="24"/>
  <c r="Q247" i="24"/>
  <c r="Q248" i="24"/>
  <c r="Q249" i="24"/>
  <c r="Q250" i="24"/>
  <c r="Q251" i="24"/>
  <c r="Q252" i="24"/>
  <c r="Q253" i="24"/>
  <c r="Q254" i="24"/>
  <c r="Q255" i="24"/>
  <c r="Q256" i="24"/>
  <c r="Q257" i="24"/>
  <c r="Q258" i="24"/>
  <c r="Q259" i="24"/>
  <c r="Q260" i="24"/>
  <c r="Q261" i="24"/>
  <c r="Q262" i="24"/>
  <c r="Q263" i="24"/>
  <c r="Q264" i="24"/>
  <c r="Q265" i="24"/>
  <c r="Q266" i="24"/>
  <c r="Q267" i="24"/>
  <c r="Q268" i="24"/>
  <c r="Q269" i="24"/>
  <c r="Q270" i="24"/>
  <c r="Q271" i="24"/>
  <c r="Q272" i="24"/>
  <c r="Q273" i="24"/>
  <c r="Q274" i="24"/>
  <c r="Q275" i="24"/>
  <c r="Q276" i="24"/>
  <c r="Q277" i="24"/>
  <c r="Q278" i="24"/>
  <c r="Q279" i="24"/>
  <c r="Q280" i="24"/>
  <c r="Q281" i="24"/>
  <c r="Q282" i="24"/>
  <c r="Q283" i="24"/>
  <c r="Q284" i="24"/>
  <c r="Q285" i="24"/>
  <c r="Q286" i="24"/>
  <c r="Q287" i="24"/>
  <c r="Q288" i="24"/>
  <c r="Q289" i="24"/>
  <c r="Q290" i="24"/>
  <c r="Q291" i="24"/>
  <c r="Q292" i="24"/>
  <c r="Q293" i="24"/>
  <c r="Q294" i="24"/>
  <c r="Q295" i="24"/>
  <c r="Q296" i="24"/>
  <c r="Q56" i="24"/>
  <c r="Q297" i="24"/>
  <c r="Q298" i="24"/>
  <c r="Q57" i="24"/>
  <c r="Q299" i="24"/>
  <c r="Q300" i="24"/>
  <c r="Q301" i="24"/>
  <c r="Q302" i="24"/>
  <c r="Q58" i="24"/>
  <c r="Q303" i="24"/>
  <c r="Q304" i="24"/>
  <c r="Q305" i="24"/>
  <c r="Q306" i="24"/>
  <c r="Q307" i="24"/>
  <c r="Q308" i="24"/>
  <c r="Q309" i="24"/>
  <c r="Q59" i="24"/>
  <c r="Q310" i="24"/>
  <c r="Q311" i="24"/>
  <c r="Q312" i="24"/>
  <c r="Q313" i="24"/>
  <c r="Q314" i="24"/>
  <c r="Q315" i="24"/>
  <c r="Q316" i="24"/>
  <c r="Q317" i="24"/>
  <c r="Q318" i="24"/>
  <c r="Q60" i="24"/>
  <c r="Q319" i="24"/>
  <c r="Q320" i="24"/>
  <c r="Q321" i="24"/>
  <c r="Q322" i="24"/>
  <c r="Q323" i="24"/>
  <c r="Q61" i="24"/>
  <c r="Q324" i="24"/>
  <c r="Q325" i="24"/>
  <c r="Q326" i="24"/>
  <c r="Q327" i="24"/>
  <c r="Q328" i="24"/>
  <c r="Q329" i="24"/>
  <c r="Q62" i="24"/>
  <c r="Q63" i="24"/>
  <c r="Q64" i="24"/>
  <c r="Q65" i="24"/>
  <c r="Q66" i="24"/>
  <c r="Q67" i="24"/>
  <c r="Q68" i="24"/>
  <c r="Q69" i="24"/>
  <c r="Q70" i="24"/>
  <c r="Q71" i="24"/>
  <c r="Q72" i="24"/>
  <c r="Q73" i="24"/>
  <c r="Q74" i="24"/>
  <c r="Q75" i="24"/>
  <c r="Q330" i="24"/>
  <c r="Q76" i="24"/>
  <c r="Q77" i="24"/>
  <c r="Q78" i="24"/>
  <c r="Q79" i="24"/>
  <c r="Q331" i="24"/>
  <c r="Q80" i="24"/>
  <c r="Q340" i="24"/>
  <c r="Q341" i="24"/>
  <c r="Q342" i="24"/>
  <c r="Q81" i="24"/>
  <c r="Q82" i="24"/>
  <c r="Q83" i="24"/>
  <c r="Q343" i="24"/>
  <c r="Q84" i="24"/>
  <c r="Q344" i="24"/>
  <c r="Q332" i="24"/>
  <c r="Q85" i="24"/>
  <c r="Q86" i="24"/>
  <c r="Q345" i="24"/>
  <c r="Q346" i="24"/>
  <c r="Q347" i="24"/>
  <c r="Q333" i="24"/>
  <c r="Q348" i="24"/>
  <c r="Q87" i="24"/>
  <c r="Q88" i="24"/>
  <c r="Q89" i="24"/>
  <c r="Q90" i="24"/>
  <c r="Q91" i="24"/>
  <c r="Q92" i="24"/>
  <c r="Q93" i="24"/>
  <c r="Q94" i="24"/>
  <c r="Q95" i="24"/>
  <c r="Q349" i="24"/>
  <c r="Q350" i="24"/>
  <c r="Q351" i="24"/>
  <c r="Q96" i="24"/>
  <c r="Q97" i="24"/>
  <c r="Q98" i="24"/>
  <c r="Q99" i="24"/>
  <c r="Q352" i="24"/>
  <c r="Q100" i="24"/>
  <c r="Q353" i="24"/>
  <c r="Q354" i="24"/>
  <c r="Q355" i="24"/>
  <c r="Q334" i="24"/>
  <c r="Q101" i="24"/>
  <c r="Q356" i="24"/>
  <c r="Q102" i="24"/>
  <c r="Q357" i="24"/>
  <c r="Q103" i="24"/>
  <c r="Q358" i="24"/>
  <c r="Q335" i="24"/>
  <c r="Q104" i="24"/>
  <c r="Q359" i="24"/>
  <c r="Q105" i="24"/>
  <c r="Q360" i="24"/>
  <c r="Q106" i="24"/>
  <c r="Q361" i="24"/>
  <c r="Q362" i="24"/>
  <c r="Q363" i="24"/>
  <c r="Q107" i="24"/>
  <c r="Q108" i="24"/>
  <c r="Q109" i="24"/>
  <c r="Q364" i="24"/>
  <c r="Q110" i="24"/>
  <c r="Q365" i="24"/>
  <c r="Q366" i="24"/>
  <c r="Q367" i="24"/>
  <c r="Q111" i="24"/>
  <c r="Q368" i="24"/>
  <c r="Q369" i="24"/>
  <c r="Q112" i="24"/>
  <c r="Q370" i="24"/>
  <c r="Q113" i="24"/>
  <c r="Q371" i="24"/>
  <c r="Q372" i="24"/>
  <c r="Q373" i="24"/>
  <c r="Q374" i="24"/>
  <c r="Q375" i="24"/>
  <c r="Q376" i="24"/>
  <c r="Q114" i="24"/>
  <c r="Q377" i="24"/>
  <c r="Q336" i="24"/>
  <c r="Q378" i="24"/>
  <c r="Q379" i="24"/>
  <c r="Q380" i="24"/>
  <c r="Q337" i="24"/>
  <c r="Q115" i="24"/>
  <c r="Q381" i="24"/>
  <c r="Q382" i="24"/>
  <c r="Q383" i="24"/>
  <c r="Q384" i="24"/>
  <c r="Q116" i="24"/>
  <c r="Q117" i="24"/>
  <c r="Q385" i="24"/>
  <c r="Q118" i="24"/>
  <c r="Q386" i="24"/>
  <c r="Q338" i="24"/>
  <c r="Q339" i="24"/>
  <c r="Q119" i="24"/>
  <c r="Q120" i="24"/>
  <c r="Q121" i="24"/>
  <c r="Q387" i="24"/>
  <c r="Q122" i="24"/>
  <c r="Q123" i="24"/>
  <c r="Q388" i="24"/>
  <c r="Q124" i="24"/>
  <c r="Q389" i="24"/>
  <c r="Q390" i="24"/>
  <c r="Q391" i="24"/>
  <c r="Q392" i="24"/>
  <c r="Q393" i="24"/>
  <c r="Q394" i="24"/>
  <c r="Q395" i="24"/>
  <c r="Q125" i="24"/>
  <c r="Q126" i="24"/>
  <c r="Q127" i="24"/>
  <c r="Q396" i="24"/>
  <c r="Q397" i="24"/>
  <c r="Q398" i="24"/>
  <c r="Q399" i="24"/>
  <c r="Q400" i="24"/>
  <c r="Q128" i="24"/>
  <c r="Q401" i="24"/>
  <c r="Q402" i="24"/>
  <c r="Q129" i="24"/>
  <c r="Q403" i="24"/>
  <c r="Q404" i="24"/>
  <c r="Q405" i="24"/>
  <c r="Q406" i="24"/>
  <c r="Q130" i="24"/>
  <c r="Q131" i="24"/>
  <c r="Q132" i="24"/>
  <c r="Q407" i="24"/>
  <c r="Q133" i="24"/>
  <c r="Q134" i="24"/>
  <c r="Q135" i="24"/>
  <c r="Q408" i="24"/>
  <c r="Q409" i="24"/>
  <c r="Q136" i="24"/>
  <c r="Q410" i="24"/>
  <c r="Q411" i="24"/>
  <c r="Q412" i="24"/>
  <c r="Q413" i="24"/>
  <c r="Q414" i="24"/>
  <c r="Q415" i="24"/>
  <c r="Q416" i="24"/>
  <c r="Q417" i="24"/>
  <c r="Q418" i="24"/>
  <c r="Q419" i="24"/>
  <c r="Q420" i="24"/>
  <c r="Q421" i="24"/>
  <c r="Q422" i="24"/>
  <c r="Q423" i="24"/>
  <c r="Q424" i="24"/>
  <c r="Q425" i="24"/>
  <c r="Q426" i="24"/>
  <c r="Q427" i="24"/>
  <c r="Q428" i="24"/>
  <c r="Q429" i="24"/>
  <c r="Q430" i="24"/>
  <c r="Q431" i="24"/>
  <c r="Q432" i="24"/>
  <c r="Q433" i="24"/>
  <c r="Q434" i="24"/>
  <c r="Q435" i="24"/>
  <c r="Q436" i="24"/>
  <c r="Q437" i="24"/>
  <c r="Q438" i="24"/>
  <c r="Q439" i="24"/>
  <c r="Q440" i="24"/>
  <c r="Q441" i="24"/>
  <c r="Q442" i="24"/>
  <c r="Q443" i="24"/>
  <c r="Q444" i="24"/>
  <c r="Q445" i="24"/>
  <c r="Q446" i="24"/>
  <c r="Q447" i="24"/>
  <c r="Q448" i="24"/>
  <c r="Q449" i="24"/>
  <c r="Q450" i="24"/>
  <c r="Q451" i="24"/>
  <c r="Q452" i="24"/>
  <c r="Q453" i="24"/>
  <c r="Q454" i="24"/>
  <c r="Q455" i="24"/>
  <c r="Q456" i="24"/>
  <c r="Q457" i="24"/>
  <c r="Q458" i="24"/>
  <c r="Q459" i="24"/>
  <c r="Q460" i="24"/>
  <c r="Q461" i="24"/>
  <c r="Q462" i="24"/>
  <c r="Q463" i="24"/>
  <c r="Q464" i="24"/>
  <c r="Q465" i="24"/>
  <c r="Q466" i="24"/>
  <c r="Q467" i="24"/>
  <c r="Q468" i="24"/>
  <c r="Q469" i="24"/>
  <c r="Q470" i="24"/>
  <c r="Q471" i="24"/>
  <c r="Q472" i="24"/>
  <c r="Q473" i="24"/>
  <c r="Q474" i="24"/>
  <c r="Q475" i="24"/>
  <c r="Q476" i="24"/>
  <c r="Q477" i="24"/>
  <c r="Q478" i="24"/>
  <c r="Q137" i="24"/>
  <c r="Q479" i="24"/>
  <c r="Q480" i="24"/>
  <c r="Q481" i="24"/>
  <c r="Q482" i="24"/>
  <c r="Q483" i="24"/>
  <c r="Q484" i="24"/>
  <c r="Q485" i="24"/>
  <c r="Q486" i="24"/>
  <c r="Q487" i="24"/>
  <c r="Q488" i="24"/>
  <c r="Q489" i="24"/>
  <c r="Q490" i="24"/>
  <c r="Q138" i="24"/>
  <c r="Q139" i="24"/>
  <c r="Q491" i="24"/>
  <c r="Q492" i="24"/>
  <c r="Q493" i="24"/>
  <c r="Q494" i="24"/>
  <c r="Q140" i="24"/>
  <c r="Q141" i="24"/>
  <c r="Q142" i="24"/>
  <c r="Q495" i="24"/>
  <c r="Q496" i="24"/>
  <c r="Q497" i="24"/>
  <c r="Q498" i="24"/>
  <c r="Q499" i="24"/>
  <c r="Q500" i="24"/>
  <c r="Q501" i="24"/>
  <c r="Q502" i="24"/>
  <c r="Q143" i="24"/>
  <c r="Q503" i="24"/>
  <c r="Q504" i="24"/>
  <c r="Q505" i="24"/>
  <c r="Q506" i="24"/>
  <c r="Q507" i="24"/>
  <c r="Q508" i="24"/>
  <c r="Q144" i="24"/>
  <c r="Q509" i="24"/>
  <c r="Q145" i="24"/>
  <c r="Q510" i="24"/>
  <c r="Q511" i="24"/>
  <c r="Q512" i="24"/>
  <c r="Q513" i="24"/>
  <c r="Q514" i="24"/>
  <c r="Q515" i="24"/>
  <c r="Q516" i="24"/>
  <c r="Q518" i="24"/>
  <c r="Q146" i="24"/>
  <c r="Q519" i="24"/>
  <c r="Q520" i="24"/>
  <c r="Q147" i="24"/>
  <c r="Q521" i="24"/>
  <c r="Q148" i="24"/>
  <c r="Q522" i="24"/>
  <c r="Q149" i="24"/>
  <c r="Q523" i="24"/>
  <c r="Q150" i="24"/>
  <c r="Q151" i="24"/>
  <c r="Q524" i="24"/>
  <c r="Q525" i="24"/>
  <c r="Q526" i="24"/>
  <c r="Q12" i="24"/>
  <c r="AC1397" i="1"/>
  <c r="N23" i="109"/>
  <c r="N1397" i="1"/>
  <c r="Q1397" i="1" s="1"/>
  <c r="O23" i="121"/>
  <c r="F327" i="24"/>
  <c r="AJ420" i="1" s="1"/>
  <c r="F326" i="24"/>
  <c r="N24" i="111"/>
  <c r="AS27" i="92"/>
  <c r="AT27" i="92"/>
  <c r="AU27" i="92"/>
  <c r="AV27" i="92"/>
  <c r="AS46" i="92"/>
  <c r="AT46" i="92"/>
  <c r="AU46" i="92"/>
  <c r="AV46" i="92"/>
  <c r="AS47" i="92"/>
  <c r="AT47" i="92"/>
  <c r="AU47" i="92"/>
  <c r="AV47" i="92"/>
  <c r="AS48" i="92"/>
  <c r="AT48" i="92"/>
  <c r="AU48" i="92"/>
  <c r="AV48" i="92"/>
  <c r="AE27" i="92"/>
  <c r="AF27" i="92"/>
  <c r="AG27" i="92"/>
  <c r="AH27" i="92"/>
  <c r="AE46" i="92"/>
  <c r="AF46" i="92"/>
  <c r="AG46" i="92"/>
  <c r="AH46" i="92"/>
  <c r="AE47" i="92"/>
  <c r="AF47" i="92"/>
  <c r="AG47" i="92"/>
  <c r="AH47" i="92"/>
  <c r="AE48" i="92"/>
  <c r="AF48" i="92"/>
  <c r="AG48" i="92"/>
  <c r="AH48" i="92"/>
  <c r="AU2" i="1"/>
  <c r="F62" i="24"/>
  <c r="AJ413" i="1" s="1"/>
  <c r="G329" i="24"/>
  <c r="G319" i="24"/>
  <c r="O135" i="1" s="1"/>
  <c r="P135" i="1" s="1"/>
  <c r="F504" i="24"/>
  <c r="AJ599" i="1" s="1"/>
  <c r="F505" i="24"/>
  <c r="AJ355" i="1" s="1"/>
  <c r="F312" i="24"/>
  <c r="AJ896" i="1" s="1"/>
  <c r="F313" i="24"/>
  <c r="AJ194" i="1" s="1"/>
  <c r="F506" i="24"/>
  <c r="AJ334" i="1" s="1"/>
  <c r="F507" i="24"/>
  <c r="AJ335" i="1" s="1"/>
  <c r="F508" i="24"/>
  <c r="AJ336" i="1" s="1"/>
  <c r="F314" i="24"/>
  <c r="AJ375" i="1" s="1"/>
  <c r="F144" i="24"/>
  <c r="AJ377" i="1" s="1"/>
  <c r="F509" i="24"/>
  <c r="AJ818" i="1" s="1"/>
  <c r="F386" i="24"/>
  <c r="AJ657" i="1" s="1"/>
  <c r="F41" i="24"/>
  <c r="AJ660" i="1" s="1"/>
  <c r="F315" i="24"/>
  <c r="AJ724" i="1" s="1"/>
  <c r="F316" i="24"/>
  <c r="F338" i="24"/>
  <c r="AJ919" i="1" s="1"/>
  <c r="F145" i="24"/>
  <c r="AJ925" i="1" s="1"/>
  <c r="F317" i="24"/>
  <c r="AJ928" i="1" s="1"/>
  <c r="F339" i="24"/>
  <c r="AJ1009" i="1" s="1"/>
  <c r="F318" i="24"/>
  <c r="AJ1010" i="1" s="1"/>
  <c r="F510" i="24"/>
  <c r="AJ1037" i="1" s="1"/>
  <c r="F60" i="24"/>
  <c r="AJ1032" i="1" s="1"/>
  <c r="F511" i="24"/>
  <c r="AJ1033" i="1" s="1"/>
  <c r="F319" i="24"/>
  <c r="AJ135" i="1" s="1"/>
  <c r="F512" i="24"/>
  <c r="AJ1038" i="1" s="1"/>
  <c r="F320" i="24"/>
  <c r="AJ1306" i="1" s="1"/>
  <c r="F119" i="24"/>
  <c r="AJ1305" i="1" s="1"/>
  <c r="F513" i="24"/>
  <c r="AJ1304" i="1" s="1"/>
  <c r="F321" i="24"/>
  <c r="AJ1363" i="1" s="1"/>
  <c r="F322" i="24"/>
  <c r="AJ479" i="1" s="1"/>
  <c r="F514" i="24"/>
  <c r="AJ473" i="1" s="1"/>
  <c r="F515" i="24"/>
  <c r="AJ471" i="1" s="1"/>
  <c r="F516" i="24"/>
  <c r="AJ472" i="1" s="1"/>
  <c r="F323" i="24"/>
  <c r="AJ445" i="1" s="1"/>
  <c r="F518" i="24"/>
  <c r="AJ514" i="1" s="1"/>
  <c r="F146" i="24"/>
  <c r="AJ402" i="1" s="1"/>
  <c r="F519" i="24"/>
  <c r="AJ403" i="1" s="1"/>
  <c r="F520" i="24"/>
  <c r="AJ506" i="1" s="1"/>
  <c r="F147" i="24"/>
  <c r="AJ419" i="1" s="1"/>
  <c r="F521" i="24"/>
  <c r="F148" i="24"/>
  <c r="AJ495" i="1" s="1"/>
  <c r="F522" i="24"/>
  <c r="AJ498" i="1" s="1"/>
  <c r="F149" i="24"/>
  <c r="AJ493" i="1" s="1"/>
  <c r="F523" i="24"/>
  <c r="AJ500" i="1" s="1"/>
  <c r="F150" i="24"/>
  <c r="AJ485" i="1" s="1"/>
  <c r="F151" i="24"/>
  <c r="AJ463" i="1" s="1"/>
  <c r="F61" i="24"/>
  <c r="AJ401" i="1" s="1"/>
  <c r="F524" i="24"/>
  <c r="AJ418" i="1" s="1"/>
  <c r="F120" i="24"/>
  <c r="AJ432" i="1" s="1"/>
  <c r="F121" i="24"/>
  <c r="AJ433" i="1" s="1"/>
  <c r="F324" i="24"/>
  <c r="AJ408" i="1" s="1"/>
  <c r="F325" i="24"/>
  <c r="AJ513" i="1" s="1"/>
  <c r="F387" i="24"/>
  <c r="AJ424" i="1" s="1"/>
  <c r="F122" i="24"/>
  <c r="AJ918" i="1" s="1"/>
  <c r="F328" i="24"/>
  <c r="AJ372" i="1" s="1"/>
  <c r="F526" i="24"/>
  <c r="F329" i="24"/>
  <c r="G508" i="24"/>
  <c r="O336" i="1" s="1"/>
  <c r="G507" i="24"/>
  <c r="O335" i="1" s="1"/>
  <c r="G312" i="24"/>
  <c r="O896" i="1" s="1"/>
  <c r="G502" i="24"/>
  <c r="G479" i="24"/>
  <c r="O654" i="1" s="1"/>
  <c r="G201" i="24"/>
  <c r="O827" i="1" s="1"/>
  <c r="P827" i="1" s="1"/>
  <c r="R827" i="1" s="1"/>
  <c r="S827" i="1" s="1"/>
  <c r="G174" i="24"/>
  <c r="G157" i="24"/>
  <c r="O412" i="1" s="1"/>
  <c r="G152" i="24"/>
  <c r="J14" i="121"/>
  <c r="I14" i="121"/>
  <c r="H15" i="121"/>
  <c r="I15" i="121"/>
  <c r="K15" i="121"/>
  <c r="O15" i="121"/>
  <c r="F16" i="121"/>
  <c r="K17" i="121"/>
  <c r="L17" i="121"/>
  <c r="M17" i="121"/>
  <c r="H18" i="121"/>
  <c r="I18" i="121"/>
  <c r="J18" i="121"/>
  <c r="J19" i="121"/>
  <c r="M21" i="121"/>
  <c r="H22" i="121"/>
  <c r="F22" i="121"/>
  <c r="J22" i="121"/>
  <c r="K24" i="121"/>
  <c r="L24" i="121"/>
  <c r="I24" i="121"/>
  <c r="J24" i="121"/>
  <c r="O24" i="121"/>
  <c r="K25" i="121"/>
  <c r="N25" i="121"/>
  <c r="O26" i="121"/>
  <c r="F27" i="121"/>
  <c r="M53" i="121"/>
  <c r="R53" i="121" s="1"/>
  <c r="C51" i="164" s="1"/>
  <c r="F29" i="121"/>
  <c r="H29" i="121"/>
  <c r="I29" i="121"/>
  <c r="J29" i="121"/>
  <c r="K30" i="121"/>
  <c r="N30" i="121"/>
  <c r="L30" i="121"/>
  <c r="M31" i="121"/>
  <c r="K32" i="121"/>
  <c r="I32" i="121"/>
  <c r="O33" i="121"/>
  <c r="N34" i="121"/>
  <c r="I34" i="121"/>
  <c r="G35" i="121"/>
  <c r="R35" i="121" s="1"/>
  <c r="C52" i="164" s="1"/>
  <c r="N36" i="121"/>
  <c r="J37" i="121"/>
  <c r="K37" i="121"/>
  <c r="O37" i="121"/>
  <c r="F38" i="121"/>
  <c r="G38" i="121"/>
  <c r="L38" i="121"/>
  <c r="I39" i="121"/>
  <c r="L39" i="121"/>
  <c r="O39" i="121"/>
  <c r="G39" i="121"/>
  <c r="G40" i="121"/>
  <c r="N40" i="121"/>
  <c r="F41" i="121"/>
  <c r="G41" i="121"/>
  <c r="I41" i="121"/>
  <c r="G42" i="121"/>
  <c r="I42" i="121"/>
  <c r="G43" i="121"/>
  <c r="G44" i="121"/>
  <c r="K44" i="121"/>
  <c r="F45" i="121"/>
  <c r="M46" i="121"/>
  <c r="K46" i="121"/>
  <c r="G47" i="121"/>
  <c r="O47" i="121"/>
  <c r="G48" i="121"/>
  <c r="N52" i="121"/>
  <c r="K49" i="121"/>
  <c r="M49" i="121"/>
  <c r="G23" i="121"/>
  <c r="J23" i="121"/>
  <c r="N23" i="121"/>
  <c r="F23" i="121"/>
  <c r="L2" i="1"/>
  <c r="AC1405" i="1"/>
  <c r="AC1404" i="1"/>
  <c r="AC1403" i="1"/>
  <c r="AC1402" i="1"/>
  <c r="AC1401" i="1"/>
  <c r="AC1400" i="1"/>
  <c r="AC1399" i="1"/>
  <c r="AC1398" i="1"/>
  <c r="AC1396" i="1"/>
  <c r="AC1395" i="1"/>
  <c r="AC1394" i="1"/>
  <c r="AC1392" i="1"/>
  <c r="AC1391" i="1"/>
  <c r="AC1390" i="1"/>
  <c r="AC1389" i="1"/>
  <c r="AC1388" i="1"/>
  <c r="AC1387" i="1"/>
  <c r="AC1376" i="1"/>
  <c r="AC1317" i="1"/>
  <c r="AC1316" i="1"/>
  <c r="AC1315" i="1"/>
  <c r="AC1314" i="1"/>
  <c r="AC1313" i="1"/>
  <c r="AC1312" i="1"/>
  <c r="AC1311" i="1"/>
  <c r="AC1310" i="1"/>
  <c r="AC1309" i="1"/>
  <c r="AC1308" i="1"/>
  <c r="AC1307" i="1"/>
  <c r="AC1306" i="1"/>
  <c r="AC1305" i="1"/>
  <c r="AC1304" i="1"/>
  <c r="AC1303" i="1"/>
  <c r="AC1302" i="1"/>
  <c r="AC1301" i="1"/>
  <c r="AC1300" i="1"/>
  <c r="AC1299" i="1"/>
  <c r="AC1298" i="1"/>
  <c r="AC1297" i="1"/>
  <c r="AC1296" i="1"/>
  <c r="AC1295" i="1"/>
  <c r="AC1294" i="1"/>
  <c r="AC1293" i="1"/>
  <c r="AC1292" i="1"/>
  <c r="AC1291" i="1"/>
  <c r="AC1290" i="1"/>
  <c r="AC1289" i="1"/>
  <c r="AC1288" i="1"/>
  <c r="AC1287" i="1"/>
  <c r="AC1286" i="1"/>
  <c r="AC1285" i="1"/>
  <c r="AC1284" i="1"/>
  <c r="AC1249" i="1"/>
  <c r="AC1248" i="1"/>
  <c r="AC1247" i="1"/>
  <c r="AC1246" i="1"/>
  <c r="AC1245" i="1"/>
  <c r="AC1244" i="1"/>
  <c r="AC1243" i="1"/>
  <c r="AC1242" i="1"/>
  <c r="AC1241" i="1"/>
  <c r="AC1240" i="1"/>
  <c r="AC1239" i="1"/>
  <c r="AC1238" i="1"/>
  <c r="AC1237" i="1"/>
  <c r="AC1236" i="1"/>
  <c r="AC1235" i="1"/>
  <c r="AC1227" i="1"/>
  <c r="AC1226" i="1"/>
  <c r="AC1225" i="1"/>
  <c r="AC1224" i="1"/>
  <c r="AC1223" i="1"/>
  <c r="AC1222" i="1"/>
  <c r="AC1221" i="1"/>
  <c r="AC1220" i="1"/>
  <c r="AC1219" i="1"/>
  <c r="AC1218" i="1"/>
  <c r="AC1217" i="1"/>
  <c r="E23" i="109"/>
  <c r="I23" i="109"/>
  <c r="F23" i="109"/>
  <c r="T1387" i="1"/>
  <c r="AV1387" i="1" s="1"/>
  <c r="S1249" i="1"/>
  <c r="AV1249" i="1" s="1"/>
  <c r="S1248" i="1"/>
  <c r="AV1248" i="1" s="1"/>
  <c r="S1247" i="1"/>
  <c r="AV1247" i="1" s="1"/>
  <c r="S1246" i="1"/>
  <c r="AV1246" i="1" s="1"/>
  <c r="S1245" i="1"/>
  <c r="AV1245" i="1" s="1"/>
  <c r="S1244" i="1"/>
  <c r="AV1244" i="1" s="1"/>
  <c r="S1243" i="1"/>
  <c r="AV1243" i="1" s="1"/>
  <c r="S1242" i="1"/>
  <c r="AV1242" i="1" s="1"/>
  <c r="S1241" i="1"/>
  <c r="AV1241" i="1" s="1"/>
  <c r="S1240" i="1"/>
  <c r="AV1240" i="1" s="1"/>
  <c r="S1239" i="1"/>
  <c r="AV1239" i="1" s="1"/>
  <c r="S1238" i="1"/>
  <c r="AV1238" i="1" s="1"/>
  <c r="S1237" i="1"/>
  <c r="AV1237" i="1" s="1"/>
  <c r="S1236" i="1"/>
  <c r="AV1236" i="1" s="1"/>
  <c r="S1235" i="1"/>
  <c r="S1227" i="1"/>
  <c r="AV1227" i="1" s="1"/>
  <c r="S1226" i="1"/>
  <c r="AV1226" i="1" s="1"/>
  <c r="S1225" i="1"/>
  <c r="AV1225" i="1" s="1"/>
  <c r="S1224" i="1"/>
  <c r="AV1224" i="1" s="1"/>
  <c r="S1223" i="1"/>
  <c r="AV1223" i="1" s="1"/>
  <c r="S1222" i="1"/>
  <c r="AV1222" i="1" s="1"/>
  <c r="S1221" i="1"/>
  <c r="AV1221" i="1" s="1"/>
  <c r="S1220" i="1"/>
  <c r="AV1220" i="1" s="1"/>
  <c r="S1219" i="1"/>
  <c r="AV1219" i="1" s="1"/>
  <c r="S1218" i="1"/>
  <c r="AV1218" i="1" s="1"/>
  <c r="S1217" i="1"/>
  <c r="AV1217" i="1" s="1"/>
  <c r="L49" i="109"/>
  <c r="M52" i="109"/>
  <c r="N47" i="109"/>
  <c r="F47" i="109"/>
  <c r="O46" i="111"/>
  <c r="J46" i="109"/>
  <c r="E45" i="109"/>
  <c r="F42" i="111"/>
  <c r="H42" i="109"/>
  <c r="F42" i="109"/>
  <c r="E41" i="109"/>
  <c r="F40" i="109"/>
  <c r="H39" i="109"/>
  <c r="I37" i="109"/>
  <c r="H37" i="111"/>
  <c r="M36" i="109"/>
  <c r="G36" i="111"/>
  <c r="F35" i="109"/>
  <c r="Q35" i="109" s="1"/>
  <c r="H34" i="109"/>
  <c r="H33" i="111"/>
  <c r="K32" i="111"/>
  <c r="L31" i="109"/>
  <c r="F30" i="111"/>
  <c r="I29" i="109"/>
  <c r="H29" i="109"/>
  <c r="G29" i="109"/>
  <c r="E29" i="109"/>
  <c r="N26" i="109"/>
  <c r="O24" i="111"/>
  <c r="J24" i="111"/>
  <c r="I22" i="109"/>
  <c r="F22" i="111"/>
  <c r="N21" i="111"/>
  <c r="O20" i="111"/>
  <c r="I19" i="109"/>
  <c r="F18" i="111"/>
  <c r="R18" i="111" s="1"/>
  <c r="I18" i="109"/>
  <c r="H18" i="109"/>
  <c r="G18" i="109"/>
  <c r="O17" i="111"/>
  <c r="L17" i="109"/>
  <c r="G15" i="111"/>
  <c r="H15" i="109"/>
  <c r="H792" i="1"/>
  <c r="M793" i="1"/>
  <c r="G190" i="24"/>
  <c r="O509" i="1" s="1"/>
  <c r="F190" i="24"/>
  <c r="AJ509" i="1" s="1"/>
  <c r="H184" i="24"/>
  <c r="F184" i="24"/>
  <c r="H306" i="24"/>
  <c r="F306" i="24"/>
  <c r="AJ409" i="1" s="1"/>
  <c r="H307" i="24"/>
  <c r="F307" i="24"/>
  <c r="J410" i="24"/>
  <c r="AN438" i="1" s="1"/>
  <c r="H410" i="24"/>
  <c r="F410" i="24"/>
  <c r="AJ438" i="1" s="1"/>
  <c r="F155" i="24"/>
  <c r="AJ444" i="1" s="1"/>
  <c r="J409" i="24"/>
  <c r="AN441" i="1" s="1"/>
  <c r="H409" i="24"/>
  <c r="F409" i="24"/>
  <c r="AJ441" i="1" s="1"/>
  <c r="H341" i="24"/>
  <c r="F341" i="24"/>
  <c r="AJ422" i="1" s="1"/>
  <c r="F153" i="24"/>
  <c r="AJ399" i="1" s="1"/>
  <c r="F391" i="24"/>
  <c r="J394" i="24"/>
  <c r="AN400" i="1" s="1"/>
  <c r="H394" i="24"/>
  <c r="F394" i="24"/>
  <c r="AJ400" i="1" s="1"/>
  <c r="H506" i="24"/>
  <c r="H229" i="24"/>
  <c r="F229" i="24"/>
  <c r="AJ411" i="1" s="1"/>
  <c r="H89" i="24"/>
  <c r="F89" i="24"/>
  <c r="G369" i="24"/>
  <c r="O505" i="1" s="1"/>
  <c r="F369" i="24"/>
  <c r="AJ505" i="1" s="1"/>
  <c r="H349" i="24"/>
  <c r="F349" i="24"/>
  <c r="AJ464" i="1" s="1"/>
  <c r="J393" i="24"/>
  <c r="AN429" i="1" s="1"/>
  <c r="H393" i="24"/>
  <c r="F393" i="24"/>
  <c r="AJ429" i="1" s="1"/>
  <c r="H284" i="24"/>
  <c r="F284" i="24"/>
  <c r="AJ474" i="1" s="1"/>
  <c r="H287" i="24"/>
  <c r="F287" i="24"/>
  <c r="AJ482" i="1" s="1"/>
  <c r="H518" i="24"/>
  <c r="H146" i="24"/>
  <c r="H520" i="24"/>
  <c r="H147" i="24"/>
  <c r="H148" i="24"/>
  <c r="H522" i="24"/>
  <c r="H149" i="24"/>
  <c r="H523" i="24"/>
  <c r="H150" i="24"/>
  <c r="H151" i="24"/>
  <c r="H323" i="24"/>
  <c r="H466" i="24"/>
  <c r="F466" i="24"/>
  <c r="AJ501" i="1" s="1"/>
  <c r="H331" i="24"/>
  <c r="F331" i="24"/>
  <c r="AJ512" i="1" s="1"/>
  <c r="H372" i="24"/>
  <c r="F372" i="24"/>
  <c r="AJ404" i="1" s="1"/>
  <c r="H286" i="24"/>
  <c r="F286" i="24"/>
  <c r="H265" i="24"/>
  <c r="F265" i="24"/>
  <c r="AJ492" i="1" s="1"/>
  <c r="H367" i="24"/>
  <c r="F367" i="24"/>
  <c r="AJ496" i="1" s="1"/>
  <c r="P654" i="1" l="1"/>
  <c r="Q654" i="1"/>
  <c r="AL1363" i="1"/>
  <c r="AK1363" i="1"/>
  <c r="AY133" i="1"/>
  <c r="AZ133" i="1"/>
  <c r="R792" i="1"/>
  <c r="S792" i="1" s="1"/>
  <c r="D14" i="117" s="1"/>
  <c r="AZ792" i="1"/>
  <c r="AY792" i="1"/>
  <c r="AK496" i="1"/>
  <c r="AL496" i="1"/>
  <c r="AK492" i="1"/>
  <c r="AL492" i="1"/>
  <c r="AJ489" i="1"/>
  <c r="AJ490" i="1"/>
  <c r="AK404" i="1"/>
  <c r="AL404" i="1"/>
  <c r="AK512" i="1"/>
  <c r="AL512" i="1"/>
  <c r="AK501" i="1"/>
  <c r="AL501" i="1"/>
  <c r="AK482" i="1"/>
  <c r="AL482" i="1"/>
  <c r="AK474" i="1"/>
  <c r="AL474" i="1"/>
  <c r="AK429" i="1"/>
  <c r="AL429" i="1"/>
  <c r="AK464" i="1"/>
  <c r="AL464" i="1"/>
  <c r="AK505" i="1"/>
  <c r="AL505" i="1"/>
  <c r="P505" i="1"/>
  <c r="Q505" i="1"/>
  <c r="AJ440" i="1"/>
  <c r="AJ608" i="1"/>
  <c r="AK411" i="1"/>
  <c r="AL411" i="1"/>
  <c r="AK400" i="1"/>
  <c r="AL400" i="1"/>
  <c r="AJ455" i="1"/>
  <c r="AJ624" i="1"/>
  <c r="AJ690" i="1"/>
  <c r="AJ814" i="1"/>
  <c r="AJ1328" i="1"/>
  <c r="AJ1332" i="1"/>
  <c r="AK399" i="1"/>
  <c r="AL399" i="1"/>
  <c r="AK422" i="1"/>
  <c r="AL422" i="1"/>
  <c r="AK441" i="1"/>
  <c r="AL441" i="1"/>
  <c r="AK444" i="1"/>
  <c r="AL444" i="1"/>
  <c r="AL438" i="1"/>
  <c r="AK438" i="1"/>
  <c r="AJ456" i="1"/>
  <c r="AJ459" i="1"/>
  <c r="AK409" i="1"/>
  <c r="AL409" i="1"/>
  <c r="AJ427" i="1"/>
  <c r="AJ428" i="1"/>
  <c r="AK509" i="1"/>
  <c r="AL509" i="1"/>
  <c r="P509" i="1"/>
  <c r="Q509" i="1"/>
  <c r="O640" i="1"/>
  <c r="O656" i="1"/>
  <c r="O254" i="1"/>
  <c r="O255" i="1"/>
  <c r="O263" i="1"/>
  <c r="O405" i="1"/>
  <c r="O271" i="1"/>
  <c r="O273" i="1"/>
  <c r="P896" i="1"/>
  <c r="R896" i="1" s="1"/>
  <c r="S896" i="1" s="1"/>
  <c r="Q896" i="1"/>
  <c r="T896" i="1" s="1"/>
  <c r="P335" i="1"/>
  <c r="Q335" i="1"/>
  <c r="P336" i="1"/>
  <c r="Q336" i="1"/>
  <c r="AJ66" i="1"/>
  <c r="AJ71" i="1"/>
  <c r="AJ87" i="1"/>
  <c r="AJ261" i="1"/>
  <c r="AJ265" i="1"/>
  <c r="AJ606" i="1"/>
  <c r="AJ854" i="1"/>
  <c r="AJ868" i="1"/>
  <c r="AJ917" i="1"/>
  <c r="AJ390" i="1"/>
  <c r="AJ791" i="1"/>
  <c r="AJ793" i="1"/>
  <c r="AL793" i="1" s="1"/>
  <c r="AK372" i="1"/>
  <c r="AL372" i="1"/>
  <c r="AK918" i="1"/>
  <c r="AL918" i="1"/>
  <c r="AK424" i="1"/>
  <c r="AL424" i="1"/>
  <c r="AK513" i="1"/>
  <c r="AL513" i="1"/>
  <c r="AK408" i="1"/>
  <c r="AL408" i="1"/>
  <c r="AK433" i="1"/>
  <c r="AL433" i="1"/>
  <c r="AK432" i="1"/>
  <c r="AL432" i="1"/>
  <c r="AK418" i="1"/>
  <c r="AL418" i="1"/>
  <c r="AK401" i="1"/>
  <c r="AL401" i="1"/>
  <c r="AK463" i="1"/>
  <c r="AL463" i="1"/>
  <c r="AK485" i="1"/>
  <c r="AL485" i="1"/>
  <c r="AK500" i="1"/>
  <c r="AL500" i="1"/>
  <c r="AK493" i="1"/>
  <c r="AL493" i="1"/>
  <c r="AK498" i="1"/>
  <c r="AL498" i="1"/>
  <c r="AK495" i="1"/>
  <c r="AL495" i="1"/>
  <c r="AJ423" i="1"/>
  <c r="AJ683" i="1"/>
  <c r="AJ815" i="1"/>
  <c r="AL419" i="1"/>
  <c r="AK419" i="1"/>
  <c r="AK506" i="1"/>
  <c r="AL506" i="1"/>
  <c r="AK403" i="1"/>
  <c r="AL403" i="1"/>
  <c r="AK402" i="1"/>
  <c r="AL402" i="1"/>
  <c r="AK514" i="1"/>
  <c r="AL514" i="1"/>
  <c r="AK445" i="1"/>
  <c r="AL445" i="1"/>
  <c r="AK472" i="1"/>
  <c r="AL472" i="1"/>
  <c r="AK471" i="1"/>
  <c r="AL471" i="1"/>
  <c r="AK473" i="1"/>
  <c r="AL473" i="1"/>
  <c r="AK479" i="1"/>
  <c r="AL479" i="1"/>
  <c r="AJ1292" i="1"/>
  <c r="AJ1300" i="1"/>
  <c r="AK1304" i="1"/>
  <c r="AL1304" i="1"/>
  <c r="AK1305" i="1"/>
  <c r="AL1305" i="1"/>
  <c r="AK1306" i="1"/>
  <c r="AL1306" i="1"/>
  <c r="AK1038" i="1"/>
  <c r="AL1038" i="1"/>
  <c r="AK135" i="1"/>
  <c r="AL135" i="1"/>
  <c r="AK1033" i="1"/>
  <c r="AL1033" i="1"/>
  <c r="AK1032" i="1"/>
  <c r="AL1032" i="1"/>
  <c r="AK1037" i="1"/>
  <c r="AL1037" i="1"/>
  <c r="AK1010" i="1"/>
  <c r="AL1010" i="1"/>
  <c r="AK1009" i="1"/>
  <c r="AL1009" i="1"/>
  <c r="AK928" i="1"/>
  <c r="AL928" i="1"/>
  <c r="AK925" i="1"/>
  <c r="AL925" i="1"/>
  <c r="AK919" i="1"/>
  <c r="AL919" i="1"/>
  <c r="AJ924" i="1"/>
  <c r="AJ927" i="1"/>
  <c r="AK724" i="1"/>
  <c r="AL724" i="1"/>
  <c r="AK660" i="1"/>
  <c r="AL660" i="1"/>
  <c r="AK657" i="1"/>
  <c r="AL657" i="1"/>
  <c r="AK818" i="1"/>
  <c r="AL818" i="1"/>
  <c r="AK377" i="1"/>
  <c r="AL377" i="1"/>
  <c r="AK375" i="1"/>
  <c r="AL375" i="1"/>
  <c r="AK336" i="1"/>
  <c r="AL336" i="1"/>
  <c r="AK335" i="1"/>
  <c r="AL335" i="1"/>
  <c r="AK334" i="1"/>
  <c r="AL334" i="1"/>
  <c r="AL194" i="1"/>
  <c r="AK194" i="1"/>
  <c r="AK896" i="1"/>
  <c r="AL896" i="1"/>
  <c r="AL355" i="1"/>
  <c r="AK355" i="1"/>
  <c r="AK599" i="1"/>
  <c r="AL599" i="1"/>
  <c r="O66" i="1"/>
  <c r="O71" i="1"/>
  <c r="O87" i="1"/>
  <c r="O261" i="1"/>
  <c r="O265" i="1"/>
  <c r="O606" i="1"/>
  <c r="O854" i="1"/>
  <c r="O868" i="1"/>
  <c r="O917" i="1"/>
  <c r="AK413" i="1"/>
  <c r="AL413" i="1"/>
  <c r="AJ146" i="1"/>
  <c r="AJ421" i="1"/>
  <c r="AK420" i="1"/>
  <c r="AL420" i="1"/>
  <c r="O426" i="1"/>
  <c r="O688" i="1"/>
  <c r="P50" i="111"/>
  <c r="O50" i="109"/>
  <c r="P412" i="1"/>
  <c r="Q412" i="1"/>
  <c r="P793" i="1"/>
  <c r="R793" i="1" s="1"/>
  <c r="S793" i="1" s="1"/>
  <c r="AQ423" i="1"/>
  <c r="AQ683" i="1"/>
  <c r="AQ815" i="1"/>
  <c r="AQ30" i="1"/>
  <c r="AQ561" i="1"/>
  <c r="AQ337" i="1"/>
  <c r="AQ856" i="1"/>
  <c r="AQ354" i="1"/>
  <c r="AQ970" i="1"/>
  <c r="AQ33" i="1"/>
  <c r="AQ317" i="1"/>
  <c r="AQ874" i="1"/>
  <c r="AQ461" i="1"/>
  <c r="AQ573" i="1"/>
  <c r="AQ759" i="1"/>
  <c r="AQ682" i="1"/>
  <c r="AQ313" i="1"/>
  <c r="AQ971" i="1"/>
  <c r="AQ543" i="1"/>
  <c r="AQ268" i="1"/>
  <c r="AQ37" i="1"/>
  <c r="AQ282" i="1"/>
  <c r="AQ35" i="1"/>
  <c r="AQ43" i="1"/>
  <c r="AQ284" i="1"/>
  <c r="AQ287" i="1"/>
  <c r="AQ320" i="1"/>
  <c r="AQ333" i="1"/>
  <c r="AQ288" i="1"/>
  <c r="AQ563" i="1"/>
  <c r="AQ289" i="1"/>
  <c r="AQ339" i="1"/>
  <c r="AQ574" i="1"/>
  <c r="AQ568" i="1"/>
  <c r="AQ731" i="1"/>
  <c r="AQ848" i="1"/>
  <c r="AQ283" i="1"/>
  <c r="AQ75" i="1"/>
  <c r="AQ393" i="1"/>
  <c r="AQ890" i="1"/>
  <c r="AQ328" i="1"/>
  <c r="AQ345" i="1"/>
  <c r="AQ277" i="1"/>
  <c r="AQ575" i="1"/>
  <c r="AQ32" i="1"/>
  <c r="AQ153" i="1"/>
  <c r="AQ151" i="1"/>
  <c r="AQ357" i="1"/>
  <c r="AQ358" i="1"/>
  <c r="AQ293" i="1"/>
  <c r="AQ349" i="1"/>
  <c r="AQ853" i="1"/>
  <c r="AQ989" i="1"/>
  <c r="AQ929" i="1"/>
  <c r="AQ604" i="1"/>
  <c r="AQ29" i="1"/>
  <c r="AQ502" i="1"/>
  <c r="AQ279" i="1"/>
  <c r="AQ571" i="1"/>
  <c r="AQ974" i="1"/>
  <c r="AQ549" i="1"/>
  <c r="AQ570" i="1"/>
  <c r="AQ326" i="1"/>
  <c r="AQ322" i="1"/>
  <c r="AQ329" i="1"/>
  <c r="AQ698" i="1"/>
  <c r="AQ147" i="1"/>
  <c r="AQ542" i="1"/>
  <c r="AQ789" i="1"/>
  <c r="AQ31" i="1"/>
  <c r="AQ53" i="1"/>
  <c r="AQ728" i="1"/>
  <c r="AQ27" i="1"/>
  <c r="AQ846" i="1"/>
  <c r="AQ314" i="1"/>
  <c r="AQ972" i="1"/>
  <c r="AQ973" i="1"/>
  <c r="AQ572" i="1"/>
  <c r="AQ148" i="1"/>
  <c r="AQ330" i="1"/>
  <c r="AQ556" i="1"/>
  <c r="AQ318" i="1"/>
  <c r="AQ557" i="1"/>
  <c r="AQ960" i="1"/>
  <c r="AQ902" i="1"/>
  <c r="AQ923" i="1"/>
  <c r="AQ901" i="1"/>
  <c r="AQ331" i="1"/>
  <c r="AQ180" i="1"/>
  <c r="AQ321" i="1"/>
  <c r="AQ325" i="1"/>
  <c r="AQ281" i="1"/>
  <c r="AQ332" i="1"/>
  <c r="AQ554" i="1"/>
  <c r="AQ272" i="1"/>
  <c r="AQ552" i="1"/>
  <c r="AQ898" i="1"/>
  <c r="AQ497" i="1"/>
  <c r="AQ12" i="1"/>
  <c r="AQ256" i="1"/>
  <c r="AQ607" i="1"/>
  <c r="AQ793" i="1"/>
  <c r="AQ791" i="1"/>
  <c r="AQ730" i="1"/>
  <c r="AQ878" i="1"/>
  <c r="AQ541" i="1"/>
  <c r="AQ732" i="1"/>
  <c r="AQ28" i="1"/>
  <c r="AQ562" i="1"/>
  <c r="AQ38" i="1"/>
  <c r="AQ44" i="1"/>
  <c r="AQ344" i="1"/>
  <c r="AQ576" i="1"/>
  <c r="AQ992" i="1"/>
  <c r="AQ908" i="1"/>
  <c r="AQ921" i="1"/>
  <c r="AQ273" i="1"/>
  <c r="AQ271" i="1"/>
  <c r="AQ76" i="1"/>
  <c r="AQ352" i="1"/>
  <c r="E15" i="109"/>
  <c r="H79" i="1"/>
  <c r="G25" i="121"/>
  <c r="K39" i="109"/>
  <c r="I23" i="121"/>
  <c r="H23" i="121"/>
  <c r="G50" i="121"/>
  <c r="F50" i="121"/>
  <c r="G49" i="121"/>
  <c r="F49" i="121"/>
  <c r="J52" i="121"/>
  <c r="H52" i="121"/>
  <c r="F48" i="121"/>
  <c r="L47" i="121"/>
  <c r="R47" i="121" s="1"/>
  <c r="C45" i="164" s="1"/>
  <c r="L46" i="121"/>
  <c r="G46" i="121"/>
  <c r="F46" i="121"/>
  <c r="N24" i="121"/>
  <c r="M24" i="121"/>
  <c r="H24" i="121"/>
  <c r="G24" i="121"/>
  <c r="F24" i="121"/>
  <c r="M22" i="121"/>
  <c r="N22" i="121"/>
  <c r="L22" i="121"/>
  <c r="N21" i="121"/>
  <c r="G21" i="121"/>
  <c r="J20" i="121"/>
  <c r="N20" i="121"/>
  <c r="I20" i="121"/>
  <c r="G20" i="121"/>
  <c r="F20" i="121"/>
  <c r="G19" i="121"/>
  <c r="R19" i="121" s="1"/>
  <c r="C49" i="164" s="1"/>
  <c r="F18" i="121"/>
  <c r="R18" i="121" s="1"/>
  <c r="C39" i="164" s="1"/>
  <c r="G51" i="121"/>
  <c r="R51" i="121" s="1"/>
  <c r="C50" i="164" s="1"/>
  <c r="O17" i="121"/>
  <c r="G17" i="121"/>
  <c r="E17" i="121"/>
  <c r="N17" i="121"/>
  <c r="I17" i="121"/>
  <c r="F17" i="121"/>
  <c r="I16" i="121"/>
  <c r="H16" i="121"/>
  <c r="M15" i="121"/>
  <c r="L15" i="121"/>
  <c r="F15" i="121"/>
  <c r="G15" i="121"/>
  <c r="G14" i="121"/>
  <c r="O14" i="121"/>
  <c r="M14" i="121"/>
  <c r="F14" i="121"/>
  <c r="I26" i="121"/>
  <c r="O25" i="121"/>
  <c r="H26" i="121"/>
  <c r="F25" i="121"/>
  <c r="M25" i="121"/>
  <c r="I25" i="121"/>
  <c r="G23" i="109"/>
  <c r="I46" i="121"/>
  <c r="H46" i="121"/>
  <c r="J45" i="121"/>
  <c r="H45" i="121"/>
  <c r="G45" i="121"/>
  <c r="H44" i="121"/>
  <c r="F44" i="121"/>
  <c r="J43" i="121"/>
  <c r="F43" i="121"/>
  <c r="H42" i="121"/>
  <c r="F42" i="121"/>
  <c r="J41" i="121"/>
  <c r="H41" i="121"/>
  <c r="H40" i="121"/>
  <c r="F40" i="121"/>
  <c r="F39" i="121"/>
  <c r="I38" i="121"/>
  <c r="M38" i="121"/>
  <c r="F37" i="121"/>
  <c r="I37" i="121"/>
  <c r="H37" i="121"/>
  <c r="G37" i="121"/>
  <c r="I36" i="121"/>
  <c r="L36" i="121"/>
  <c r="G36" i="121"/>
  <c r="F36" i="121"/>
  <c r="G34" i="121"/>
  <c r="F34" i="121"/>
  <c r="F33" i="121"/>
  <c r="G33" i="121"/>
  <c r="H32" i="121"/>
  <c r="G32" i="121"/>
  <c r="G31" i="121"/>
  <c r="L31" i="121"/>
  <c r="I31" i="121"/>
  <c r="H31" i="121"/>
  <c r="H30" i="121"/>
  <c r="G30" i="121"/>
  <c r="F30" i="121"/>
  <c r="G29" i="121"/>
  <c r="R29" i="121" s="1"/>
  <c r="C46" i="164" s="1"/>
  <c r="I28" i="121"/>
  <c r="G28" i="121"/>
  <c r="F28" i="121"/>
  <c r="I27" i="121"/>
  <c r="H27" i="121"/>
  <c r="G27" i="121"/>
  <c r="O46" i="121"/>
  <c r="BI46" i="92"/>
  <c r="BW46" i="92"/>
  <c r="BW27" i="92"/>
  <c r="BI27" i="92"/>
  <c r="BW48" i="92"/>
  <c r="BI48" i="92"/>
  <c r="BW47" i="92"/>
  <c r="BI47" i="92"/>
  <c r="C18" i="56"/>
  <c r="C24" i="56"/>
  <c r="C23" i="56"/>
  <c r="D13" i="53"/>
  <c r="C12" i="53"/>
  <c r="C28" i="56"/>
  <c r="C19" i="56"/>
  <c r="L26" i="109"/>
  <c r="C25" i="56"/>
  <c r="C27" i="56"/>
  <c r="D12" i="53"/>
  <c r="C13" i="53"/>
  <c r="J49" i="109"/>
  <c r="C26" i="56"/>
  <c r="C17" i="56"/>
  <c r="E13" i="53"/>
  <c r="E54" i="53" s="1"/>
  <c r="E18" i="109"/>
  <c r="Q18" i="109" s="1"/>
  <c r="F46" i="111"/>
  <c r="H23" i="109"/>
  <c r="I22" i="111"/>
  <c r="F34" i="111"/>
  <c r="F36" i="111"/>
  <c r="L22" i="111"/>
  <c r="H32" i="111"/>
  <c r="H21" i="111"/>
  <c r="G33" i="111"/>
  <c r="F20" i="111"/>
  <c r="F43" i="111"/>
  <c r="L22" i="109"/>
  <c r="L21" i="109"/>
  <c r="E17" i="111"/>
  <c r="G13" i="111"/>
  <c r="G15" i="109"/>
  <c r="J17" i="109"/>
  <c r="H46" i="109"/>
  <c r="K17" i="109"/>
  <c r="L15" i="111"/>
  <c r="H14" i="109"/>
  <c r="J15" i="109"/>
  <c r="K13" i="111"/>
  <c r="F17" i="128" s="1"/>
  <c r="M15" i="111"/>
  <c r="K21" i="109"/>
  <c r="M21" i="109"/>
  <c r="N37" i="109"/>
  <c r="O37" i="111"/>
  <c r="F21" i="128" s="1"/>
  <c r="H13" i="111"/>
  <c r="M24" i="111"/>
  <c r="E25" i="109"/>
  <c r="E37" i="109"/>
  <c r="H43" i="111"/>
  <c r="R49" i="109"/>
  <c r="E33" i="109"/>
  <c r="J49" i="111"/>
  <c r="O50" i="111"/>
  <c r="G21" i="128" s="1"/>
  <c r="D17" i="109"/>
  <c r="F24" i="111"/>
  <c r="H31" i="109"/>
  <c r="F41" i="109"/>
  <c r="G41" i="111"/>
  <c r="K46" i="109"/>
  <c r="L46" i="111"/>
  <c r="I17" i="111"/>
  <c r="M20" i="109"/>
  <c r="N20" i="111"/>
  <c r="I21" i="111"/>
  <c r="E30" i="109"/>
  <c r="N36" i="109"/>
  <c r="O36" i="111"/>
  <c r="H41" i="111"/>
  <c r="H41" i="109"/>
  <c r="I41" i="111"/>
  <c r="F43" i="109"/>
  <c r="G43" i="111"/>
  <c r="G22" i="109"/>
  <c r="H22" i="111"/>
  <c r="M25" i="109"/>
  <c r="N25" i="111"/>
  <c r="M38" i="109"/>
  <c r="N38" i="111"/>
  <c r="J46" i="111"/>
  <c r="I26" i="109"/>
  <c r="J26" i="111"/>
  <c r="N50" i="111"/>
  <c r="G20" i="128" s="1"/>
  <c r="R22" i="109"/>
  <c r="R39" i="109"/>
  <c r="I13" i="111"/>
  <c r="N17" i="111"/>
  <c r="H33" i="109"/>
  <c r="I33" i="111"/>
  <c r="R34" i="109"/>
  <c r="R45" i="109"/>
  <c r="N22" i="111"/>
  <c r="F51" i="109"/>
  <c r="Q51" i="109" s="1"/>
  <c r="H17" i="109"/>
  <c r="H21" i="109"/>
  <c r="L24" i="109"/>
  <c r="G13" i="109"/>
  <c r="R20" i="109"/>
  <c r="K22" i="109"/>
  <c r="E24" i="109"/>
  <c r="H28" i="109"/>
  <c r="G32" i="109"/>
  <c r="H32" i="109"/>
  <c r="I49" i="109"/>
  <c r="N50" i="109"/>
  <c r="M22" i="109"/>
  <c r="J13" i="109"/>
  <c r="K15" i="109"/>
  <c r="L15" i="109"/>
  <c r="N15" i="109"/>
  <c r="E20" i="109"/>
  <c r="F21" i="109"/>
  <c r="G21" i="109"/>
  <c r="N24" i="109"/>
  <c r="R26" i="109"/>
  <c r="F32" i="109"/>
  <c r="F33" i="109"/>
  <c r="N46" i="109"/>
  <c r="I52" i="109"/>
  <c r="F15" i="109"/>
  <c r="J32" i="109"/>
  <c r="G41" i="109"/>
  <c r="R44" i="109"/>
  <c r="E46" i="109"/>
  <c r="N17" i="109"/>
  <c r="K30" i="109"/>
  <c r="F39" i="109"/>
  <c r="I41" i="109"/>
  <c r="G44" i="109"/>
  <c r="H22" i="109"/>
  <c r="H26" i="109"/>
  <c r="G33" i="109"/>
  <c r="E34" i="109"/>
  <c r="E36" i="109"/>
  <c r="G37" i="109"/>
  <c r="H38" i="109"/>
  <c r="E43" i="109"/>
  <c r="E44" i="109"/>
  <c r="G52" i="109"/>
  <c r="M50" i="109"/>
  <c r="H13" i="109"/>
  <c r="M17" i="109"/>
  <c r="F19" i="109"/>
  <c r="Q19" i="109" s="1"/>
  <c r="N20" i="109"/>
  <c r="E22" i="109"/>
  <c r="I24" i="109"/>
  <c r="I46" i="109"/>
  <c r="K47" i="109"/>
  <c r="Q47" i="109" s="1"/>
  <c r="R41" i="15"/>
  <c r="R22" i="15"/>
  <c r="R21" i="15"/>
  <c r="R18" i="15"/>
  <c r="H48" i="105"/>
  <c r="H46" i="105"/>
  <c r="F14" i="105"/>
  <c r="F13" i="140" s="1"/>
  <c r="H34" i="105"/>
  <c r="H29" i="105"/>
  <c r="CC36" i="92"/>
  <c r="BZ43" i="92"/>
  <c r="CA43" i="92"/>
  <c r="CB43" i="92"/>
  <c r="CC43" i="92"/>
  <c r="CH41" i="92"/>
  <c r="BZ41" i="92"/>
  <c r="CA41" i="92"/>
  <c r="CB41" i="92"/>
  <c r="CC41" i="92"/>
  <c r="BZ36" i="92"/>
  <c r="CA36" i="92"/>
  <c r="CB36" i="92"/>
  <c r="BZ35" i="92"/>
  <c r="CA35" i="92"/>
  <c r="CB35" i="92"/>
  <c r="CC35" i="92"/>
  <c r="BZ25" i="92"/>
  <c r="CA25" i="92"/>
  <c r="CB25" i="92"/>
  <c r="CC25" i="92"/>
  <c r="CG43" i="92"/>
  <c r="CH43" i="92"/>
  <c r="CE43" i="92"/>
  <c r="CF43" i="92"/>
  <c r="CE41" i="92"/>
  <c r="CF41" i="92"/>
  <c r="CG41" i="92"/>
  <c r="CE36" i="92"/>
  <c r="CF36" i="92"/>
  <c r="CG36" i="92"/>
  <c r="CH36" i="92"/>
  <c r="CE35" i="92"/>
  <c r="CF35" i="92"/>
  <c r="CG35" i="92"/>
  <c r="CH35" i="92"/>
  <c r="CG29" i="92"/>
  <c r="CE16" i="92"/>
  <c r="CA16" i="92"/>
  <c r="CB16" i="92"/>
  <c r="CC16" i="92"/>
  <c r="CE45" i="92"/>
  <c r="CF45" i="92"/>
  <c r="CG45" i="92"/>
  <c r="CH45" i="92"/>
  <c r="CE38" i="92"/>
  <c r="CF38" i="92"/>
  <c r="CG38" i="92"/>
  <c r="CH38" i="92"/>
  <c r="CE25" i="92"/>
  <c r="CF25" i="92"/>
  <c r="CG25" i="92"/>
  <c r="CH25" i="92"/>
  <c r="CG44" i="92"/>
  <c r="CE40" i="92"/>
  <c r="CF40" i="92"/>
  <c r="CG40" i="92"/>
  <c r="CH40" i="92"/>
  <c r="CG19" i="92"/>
  <c r="CG37" i="92"/>
  <c r="CE24" i="92"/>
  <c r="BZ24" i="92"/>
  <c r="CA24" i="92"/>
  <c r="CB24" i="92"/>
  <c r="CC24" i="92"/>
  <c r="CG21" i="92"/>
  <c r="CB44" i="92"/>
  <c r="CH44" i="92"/>
  <c r="CC44" i="92"/>
  <c r="BZ44" i="92"/>
  <c r="CF44" i="92"/>
  <c r="CA44" i="92"/>
  <c r="CE44" i="92"/>
  <c r="BZ16" i="92"/>
  <c r="CF16" i="92"/>
  <c r="CG16" i="92"/>
  <c r="CH16" i="92"/>
  <c r="CE18" i="92"/>
  <c r="BZ18" i="92"/>
  <c r="CA18" i="92"/>
  <c r="CB18" i="92"/>
  <c r="CC18" i="92"/>
  <c r="CF18" i="92"/>
  <c r="CG18" i="92"/>
  <c r="CH18" i="92"/>
  <c r="CG15" i="92"/>
  <c r="CF14" i="92"/>
  <c r="CG14" i="92"/>
  <c r="CH14" i="92"/>
  <c r="CE28" i="92"/>
  <c r="BZ28" i="92"/>
  <c r="CF28" i="92"/>
  <c r="CA28" i="92"/>
  <c r="CG28" i="92"/>
  <c r="CB28" i="92"/>
  <c r="CH28" i="92"/>
  <c r="CC28" i="92"/>
  <c r="CB37" i="92"/>
  <c r="CH37" i="92"/>
  <c r="CC37" i="92"/>
  <c r="CF37" i="92"/>
  <c r="CA37" i="92"/>
  <c r="BZ37" i="92"/>
  <c r="CE37" i="92"/>
  <c r="CF24" i="92"/>
  <c r="CG24" i="92"/>
  <c r="CH24" i="92"/>
  <c r="CG23" i="92"/>
  <c r="CB23" i="92"/>
  <c r="CH23" i="92"/>
  <c r="CC23" i="92"/>
  <c r="CA23" i="92"/>
  <c r="BZ23" i="92"/>
  <c r="CF23" i="92"/>
  <c r="CE23" i="92"/>
  <c r="CE26" i="92"/>
  <c r="BZ26" i="92"/>
  <c r="CF26" i="92"/>
  <c r="CA26" i="92"/>
  <c r="CG26" i="92"/>
  <c r="CB26" i="92"/>
  <c r="CH26" i="92"/>
  <c r="CC26" i="92"/>
  <c r="BZ38" i="92"/>
  <c r="CA38" i="92"/>
  <c r="CB38" i="92"/>
  <c r="CC38" i="92"/>
  <c r="CB15" i="92"/>
  <c r="BZ15" i="92"/>
  <c r="CH15" i="92"/>
  <c r="CC15" i="92"/>
  <c r="CF15" i="92"/>
  <c r="CA15" i="92"/>
  <c r="CE15" i="92"/>
  <c r="CG31" i="92"/>
  <c r="CB31" i="92"/>
  <c r="CH31" i="92"/>
  <c r="CC31" i="92"/>
  <c r="BZ31" i="92"/>
  <c r="CE31" i="92"/>
  <c r="CF31" i="92"/>
  <c r="CA31" i="92"/>
  <c r="CF12" i="92"/>
  <c r="CA12" i="92"/>
  <c r="CG12" i="92"/>
  <c r="CB12" i="92"/>
  <c r="CH12" i="92"/>
  <c r="CC12" i="92"/>
  <c r="CE12" i="92"/>
  <c r="BZ12" i="92"/>
  <c r="CB13" i="92"/>
  <c r="CA13" i="92"/>
  <c r="CC13" i="92"/>
  <c r="CE13" i="92"/>
  <c r="BZ13" i="92"/>
  <c r="CF13" i="92"/>
  <c r="CB29" i="92"/>
  <c r="CE29" i="92"/>
  <c r="BZ29" i="92"/>
  <c r="CH29" i="92"/>
  <c r="CC29" i="92"/>
  <c r="CF29" i="92"/>
  <c r="CA29" i="92"/>
  <c r="CE34" i="92"/>
  <c r="BZ34" i="92"/>
  <c r="CF34" i="92"/>
  <c r="CA34" i="92"/>
  <c r="CG34" i="92"/>
  <c r="CB34" i="92"/>
  <c r="CH34" i="92"/>
  <c r="CC34" i="92"/>
  <c r="CF22" i="92"/>
  <c r="CG22" i="92"/>
  <c r="CH22" i="92"/>
  <c r="CG42" i="92"/>
  <c r="CB42" i="92"/>
  <c r="CH42" i="92"/>
  <c r="CC42" i="92"/>
  <c r="BZ42" i="92"/>
  <c r="CF42" i="92"/>
  <c r="CA42" i="92"/>
  <c r="CE42" i="92"/>
  <c r="CE32" i="92"/>
  <c r="BZ32" i="92"/>
  <c r="CF32" i="92"/>
  <c r="CA32" i="92"/>
  <c r="CG32" i="92"/>
  <c r="CB32" i="92"/>
  <c r="CH32" i="92"/>
  <c r="CC32" i="92"/>
  <c r="BZ40" i="92"/>
  <c r="CA40" i="92"/>
  <c r="CB40" i="92"/>
  <c r="CC40" i="92"/>
  <c r="CG13" i="92"/>
  <c r="CH13" i="92"/>
  <c r="CG33" i="92"/>
  <c r="CB33" i="92"/>
  <c r="CF33" i="92"/>
  <c r="CH33" i="92"/>
  <c r="CC33" i="92"/>
  <c r="CA33" i="92"/>
  <c r="CE33" i="92"/>
  <c r="BZ33" i="92"/>
  <c r="CB21" i="92"/>
  <c r="CH21" i="92"/>
  <c r="CC21" i="92"/>
  <c r="CF21" i="92"/>
  <c r="CE21" i="92"/>
  <c r="CA21" i="92"/>
  <c r="BZ21" i="92"/>
  <c r="CE22" i="92"/>
  <c r="BZ22" i="92"/>
  <c r="CA22" i="92"/>
  <c r="CB22" i="92"/>
  <c r="CC22" i="92"/>
  <c r="CF20" i="92"/>
  <c r="CG20" i="92"/>
  <c r="CH20" i="92"/>
  <c r="CE14" i="92"/>
  <c r="BZ14" i="92"/>
  <c r="CA14" i="92"/>
  <c r="CB14" i="92"/>
  <c r="CC14" i="92"/>
  <c r="CB19" i="92"/>
  <c r="CE19" i="92"/>
  <c r="CH19" i="92"/>
  <c r="CC19" i="92"/>
  <c r="BZ19" i="92"/>
  <c r="CF19" i="92"/>
  <c r="CA19" i="92"/>
  <c r="CE20" i="92"/>
  <c r="BZ20" i="92"/>
  <c r="CA20" i="92"/>
  <c r="CB20" i="92"/>
  <c r="CC20" i="92"/>
  <c r="BZ45" i="92"/>
  <c r="CA45" i="92"/>
  <c r="CB45" i="92"/>
  <c r="CC45" i="92"/>
  <c r="CG39" i="92"/>
  <c r="CB39" i="92"/>
  <c r="CE39" i="92"/>
  <c r="BZ39" i="92"/>
  <c r="CA39" i="92"/>
  <c r="CH39" i="92"/>
  <c r="CC39" i="92"/>
  <c r="CF39" i="92"/>
  <c r="CE30" i="92"/>
  <c r="BZ30" i="92"/>
  <c r="CF30" i="92"/>
  <c r="CA30" i="92"/>
  <c r="CG30" i="92"/>
  <c r="CB30" i="92"/>
  <c r="CH30" i="92"/>
  <c r="CC30" i="92"/>
  <c r="AS12" i="92"/>
  <c r="AT12" i="92"/>
  <c r="AU12" i="92"/>
  <c r="AV12" i="92"/>
  <c r="AS13" i="92"/>
  <c r="AT13" i="92"/>
  <c r="AU13" i="92"/>
  <c r="AV13" i="92"/>
  <c r="AS23" i="92"/>
  <c r="AT23" i="92"/>
  <c r="AU23" i="92"/>
  <c r="AV23" i="92"/>
  <c r="AS24" i="92"/>
  <c r="AT24" i="92"/>
  <c r="AU24" i="92"/>
  <c r="AV24" i="92"/>
  <c r="AS21" i="92"/>
  <c r="AT21" i="92"/>
  <c r="AU21" i="92"/>
  <c r="AV21" i="92"/>
  <c r="AS43" i="92"/>
  <c r="AT43" i="92"/>
  <c r="AU43" i="92"/>
  <c r="AV43" i="92"/>
  <c r="AS36" i="92"/>
  <c r="AT36" i="92"/>
  <c r="AU36" i="92"/>
  <c r="AV36" i="92"/>
  <c r="AS29" i="92"/>
  <c r="AT29" i="92"/>
  <c r="AU29" i="92"/>
  <c r="AV29" i="92"/>
  <c r="AS16" i="92"/>
  <c r="AT16" i="92"/>
  <c r="AU16" i="92"/>
  <c r="AV16" i="92"/>
  <c r="AS34" i="92"/>
  <c r="AT34" i="92"/>
  <c r="AU34" i="92"/>
  <c r="AV34" i="92"/>
  <c r="AS22" i="92"/>
  <c r="AT22" i="92"/>
  <c r="AU22" i="92"/>
  <c r="AV22" i="92"/>
  <c r="AS26" i="92"/>
  <c r="AT26" i="92"/>
  <c r="AU26" i="92"/>
  <c r="AV26" i="92"/>
  <c r="AS33" i="92"/>
  <c r="AT33" i="92"/>
  <c r="AU33" i="92"/>
  <c r="AV33" i="92"/>
  <c r="AS20" i="92"/>
  <c r="AT20" i="92"/>
  <c r="AU20" i="92"/>
  <c r="AV20" i="92"/>
  <c r="AS45" i="92"/>
  <c r="AT45" i="92"/>
  <c r="AU45" i="92"/>
  <c r="AV45" i="92"/>
  <c r="AS39" i="92"/>
  <c r="AT39" i="92"/>
  <c r="AU39" i="92"/>
  <c r="AV39" i="92"/>
  <c r="AS41" i="92"/>
  <c r="BU41" i="92" s="1"/>
  <c r="AT41" i="92"/>
  <c r="BV41" i="92" s="1"/>
  <c r="AU41" i="92"/>
  <c r="BW41" i="92" s="1"/>
  <c r="AV41" i="92"/>
  <c r="BX41" i="92" s="1"/>
  <c r="AS18" i="92"/>
  <c r="AT18" i="92"/>
  <c r="AU18" i="92"/>
  <c r="AV18" i="92"/>
  <c r="AS38" i="92"/>
  <c r="AT38" i="92"/>
  <c r="AU38" i="92"/>
  <c r="AV38" i="92"/>
  <c r="AS35" i="92"/>
  <c r="AT35" i="92"/>
  <c r="AU35" i="92"/>
  <c r="AV35" i="92"/>
  <c r="AS25" i="92"/>
  <c r="AT25" i="92"/>
  <c r="AU25" i="92"/>
  <c r="AV25" i="92"/>
  <c r="AS15" i="92"/>
  <c r="AT15" i="92"/>
  <c r="AU15" i="92"/>
  <c r="AV15" i="92"/>
  <c r="AS14" i="92"/>
  <c r="AT14" i="92"/>
  <c r="AU14" i="92"/>
  <c r="AV14" i="92"/>
  <c r="AS28" i="92"/>
  <c r="AT28" i="92"/>
  <c r="AU28" i="92"/>
  <c r="AV28" i="92"/>
  <c r="AS42" i="92"/>
  <c r="AT42" i="92"/>
  <c r="AU42" i="92"/>
  <c r="AV42" i="92"/>
  <c r="AS30" i="92"/>
  <c r="AT30" i="92"/>
  <c r="AU30" i="92"/>
  <c r="AV30" i="92"/>
  <c r="AS31" i="92"/>
  <c r="AT31" i="92"/>
  <c r="AU31" i="92"/>
  <c r="AV31" i="92"/>
  <c r="AS44" i="92"/>
  <c r="AT44" i="92"/>
  <c r="AU44" i="92"/>
  <c r="AV44" i="92"/>
  <c r="AS40" i="92"/>
  <c r="AT40" i="92"/>
  <c r="AU40" i="92"/>
  <c r="AV40" i="92"/>
  <c r="AS19" i="92"/>
  <c r="AT19" i="92"/>
  <c r="AU19" i="92"/>
  <c r="AV19" i="92"/>
  <c r="AS37" i="92"/>
  <c r="AT37" i="92"/>
  <c r="AU37" i="92"/>
  <c r="AV37" i="92"/>
  <c r="AS32" i="92"/>
  <c r="AT32" i="92"/>
  <c r="AU32" i="92"/>
  <c r="AV32" i="92"/>
  <c r="AF12" i="92"/>
  <c r="AG12" i="92"/>
  <c r="AH12" i="92"/>
  <c r="AE12" i="92"/>
  <c r="AE13" i="92"/>
  <c r="AF13" i="92"/>
  <c r="AG13" i="92"/>
  <c r="AH13" i="92"/>
  <c r="AE23" i="92"/>
  <c r="AF23" i="92"/>
  <c r="AG23" i="92"/>
  <c r="AH23" i="92"/>
  <c r="AE24" i="92"/>
  <c r="AF24" i="92"/>
  <c r="AG24" i="92"/>
  <c r="AH24" i="92"/>
  <c r="AE21" i="92"/>
  <c r="AF21" i="92"/>
  <c r="AG21" i="92"/>
  <c r="AH21" i="92"/>
  <c r="AE43" i="92"/>
  <c r="AF43" i="92"/>
  <c r="AG43" i="92"/>
  <c r="AH43" i="92"/>
  <c r="AE36" i="92"/>
  <c r="AF36" i="92"/>
  <c r="AG36" i="92"/>
  <c r="AH36" i="92"/>
  <c r="AE29" i="92"/>
  <c r="AF29" i="92"/>
  <c r="AG29" i="92"/>
  <c r="AH29" i="92"/>
  <c r="AE16" i="92"/>
  <c r="AF16" i="92"/>
  <c r="AG16" i="92"/>
  <c r="AH16" i="92"/>
  <c r="AE34" i="92"/>
  <c r="AF34" i="92"/>
  <c r="AG34" i="92"/>
  <c r="AH34" i="92"/>
  <c r="AE22" i="92"/>
  <c r="AF22" i="92"/>
  <c r="AG22" i="92"/>
  <c r="AH22" i="92"/>
  <c r="AE26" i="92"/>
  <c r="AF26" i="92"/>
  <c r="AG26" i="92"/>
  <c r="AH26" i="92"/>
  <c r="AE33" i="92"/>
  <c r="AF33" i="92"/>
  <c r="AG33" i="92"/>
  <c r="AH33" i="92"/>
  <c r="AE20" i="92"/>
  <c r="AF20" i="92"/>
  <c r="AG20" i="92"/>
  <c r="AH20" i="92"/>
  <c r="AE45" i="92"/>
  <c r="AF45" i="92"/>
  <c r="AG45" i="92"/>
  <c r="AH45" i="92"/>
  <c r="AE39" i="92"/>
  <c r="AF39" i="92"/>
  <c r="AG39" i="92"/>
  <c r="AH39" i="92"/>
  <c r="AE41" i="92"/>
  <c r="BG41" i="92" s="1"/>
  <c r="AF41" i="92"/>
  <c r="BH41" i="92" s="1"/>
  <c r="AG41" i="92"/>
  <c r="BI41" i="92" s="1"/>
  <c r="AH41" i="92"/>
  <c r="BJ41" i="92" s="1"/>
  <c r="AE18" i="92"/>
  <c r="AF18" i="92"/>
  <c r="AG18" i="92"/>
  <c r="AH18" i="92"/>
  <c r="AE38" i="92"/>
  <c r="AF38" i="92"/>
  <c r="AG38" i="92"/>
  <c r="AH38" i="92"/>
  <c r="AE35" i="92"/>
  <c r="AF35" i="92"/>
  <c r="AG35" i="92"/>
  <c r="AH35" i="92"/>
  <c r="AE25" i="92"/>
  <c r="AF25" i="92"/>
  <c r="AG25" i="92"/>
  <c r="AH25" i="92"/>
  <c r="AE15" i="92"/>
  <c r="AF15" i="92"/>
  <c r="AG15" i="92"/>
  <c r="AH15" i="92"/>
  <c r="AE14" i="92"/>
  <c r="AF14" i="92"/>
  <c r="AG14" i="92"/>
  <c r="AH14" i="92"/>
  <c r="AE28" i="92"/>
  <c r="AF28" i="92"/>
  <c r="AG28" i="92"/>
  <c r="AH28" i="92"/>
  <c r="AE42" i="92"/>
  <c r="AF42" i="92"/>
  <c r="AG42" i="92"/>
  <c r="AH42" i="92"/>
  <c r="AE30" i="92"/>
  <c r="AF30" i="92"/>
  <c r="AG30" i="92"/>
  <c r="AH30" i="92"/>
  <c r="AE31" i="92"/>
  <c r="AF31" i="92"/>
  <c r="AG31" i="92"/>
  <c r="AH31" i="92"/>
  <c r="AE44" i="92"/>
  <c r="AF44" i="92"/>
  <c r="AG44" i="92"/>
  <c r="AH44" i="92"/>
  <c r="AE40" i="92"/>
  <c r="AF40" i="92"/>
  <c r="AG40" i="92"/>
  <c r="AH40" i="92"/>
  <c r="AE19" i="92"/>
  <c r="AF19" i="92"/>
  <c r="AH19" i="92"/>
  <c r="AE37" i="92"/>
  <c r="AF37" i="92"/>
  <c r="AG37" i="92"/>
  <c r="AH37" i="92"/>
  <c r="AE32" i="92"/>
  <c r="AF32" i="92"/>
  <c r="AG32" i="92"/>
  <c r="AH32" i="92"/>
  <c r="Z12" i="92"/>
  <c r="Y12" i="92"/>
  <c r="X12" i="92"/>
  <c r="W12" i="92"/>
  <c r="V12" i="92"/>
  <c r="H369" i="24"/>
  <c r="H190" i="24"/>
  <c r="T2" i="1"/>
  <c r="AV2" i="1" s="1"/>
  <c r="O1252" i="1"/>
  <c r="O1253" i="1"/>
  <c r="O1284" i="1"/>
  <c r="P1284" i="1" s="1"/>
  <c r="O1285" i="1"/>
  <c r="P1285" i="1" s="1"/>
  <c r="O1286" i="1"/>
  <c r="P1286" i="1" s="1"/>
  <c r="O1287" i="1"/>
  <c r="O1288" i="1"/>
  <c r="O1289" i="1"/>
  <c r="O1290" i="1"/>
  <c r="P1290" i="1" s="1"/>
  <c r="O1291" i="1"/>
  <c r="P1291" i="1" s="1"/>
  <c r="O1292" i="1"/>
  <c r="P1292" i="1" s="1"/>
  <c r="O1293" i="1"/>
  <c r="P1293" i="1" s="1"/>
  <c r="O1294" i="1"/>
  <c r="O1295" i="1"/>
  <c r="P1295" i="1" s="1"/>
  <c r="O1296" i="1"/>
  <c r="P1296" i="1" s="1"/>
  <c r="O1297" i="1"/>
  <c r="O1298" i="1"/>
  <c r="O1299" i="1"/>
  <c r="P1299" i="1" s="1"/>
  <c r="O1300" i="1"/>
  <c r="P1300" i="1" s="1"/>
  <c r="O1301" i="1"/>
  <c r="P1301" i="1" s="1"/>
  <c r="O1302" i="1"/>
  <c r="P1302" i="1" s="1"/>
  <c r="O1303" i="1"/>
  <c r="P1303" i="1" s="1"/>
  <c r="O1304" i="1"/>
  <c r="P1304" i="1" s="1"/>
  <c r="O1305" i="1"/>
  <c r="O1306" i="1"/>
  <c r="P1306" i="1" s="1"/>
  <c r="O1307" i="1"/>
  <c r="O1308" i="1"/>
  <c r="O1309" i="1"/>
  <c r="P1309" i="1" s="1"/>
  <c r="O1310" i="1"/>
  <c r="P1310" i="1" s="1"/>
  <c r="O1311" i="1"/>
  <c r="P1311" i="1" s="1"/>
  <c r="O1312" i="1"/>
  <c r="P1312" i="1" s="1"/>
  <c r="O1314" i="1"/>
  <c r="P1314" i="1" s="1"/>
  <c r="O1315" i="1"/>
  <c r="O1316" i="1"/>
  <c r="O1317" i="1"/>
  <c r="O1217" i="1"/>
  <c r="O1218" i="1"/>
  <c r="O1219" i="1"/>
  <c r="O1220" i="1"/>
  <c r="O1221" i="1"/>
  <c r="O1222" i="1"/>
  <c r="O1223" i="1"/>
  <c r="O1224" i="1"/>
  <c r="O1225" i="1"/>
  <c r="O1226" i="1"/>
  <c r="O1227" i="1"/>
  <c r="O1250" i="1"/>
  <c r="P1250" i="1" s="1"/>
  <c r="O1251" i="1"/>
  <c r="P1251" i="1" s="1"/>
  <c r="Q1317" i="1"/>
  <c r="P1317" i="1"/>
  <c r="Q1316" i="1"/>
  <c r="P1316" i="1"/>
  <c r="Q1315" i="1"/>
  <c r="P1315" i="1"/>
  <c r="Q1314" i="1"/>
  <c r="Q1313" i="1"/>
  <c r="Q1312" i="1"/>
  <c r="Q1311" i="1"/>
  <c r="Q1310" i="1"/>
  <c r="Q1309" i="1"/>
  <c r="Q1308" i="1"/>
  <c r="P1308" i="1"/>
  <c r="Q1307" i="1"/>
  <c r="P1307" i="1"/>
  <c r="Q1306" i="1"/>
  <c r="Q1305" i="1"/>
  <c r="P1305" i="1"/>
  <c r="Q1304" i="1"/>
  <c r="Q1303" i="1"/>
  <c r="Q1302" i="1"/>
  <c r="Q1301" i="1"/>
  <c r="Q1300" i="1"/>
  <c r="Q1299" i="1"/>
  <c r="Q1298" i="1"/>
  <c r="P1298" i="1"/>
  <c r="Q1297" i="1"/>
  <c r="P1297" i="1"/>
  <c r="Q1296" i="1"/>
  <c r="Q1295" i="1"/>
  <c r="Q1294" i="1"/>
  <c r="P1294" i="1"/>
  <c r="Q1293" i="1"/>
  <c r="Q1292" i="1"/>
  <c r="Q1291" i="1"/>
  <c r="Q1290" i="1"/>
  <c r="Q1289" i="1"/>
  <c r="P1289" i="1"/>
  <c r="Q1288" i="1"/>
  <c r="P1288" i="1"/>
  <c r="Q1287" i="1"/>
  <c r="P1287" i="1"/>
  <c r="Q1286" i="1"/>
  <c r="Q1285" i="1"/>
  <c r="Q1284" i="1"/>
  <c r="AC1253" i="1"/>
  <c r="S1253" i="1"/>
  <c r="AV1253" i="1" s="1"/>
  <c r="Q1253" i="1"/>
  <c r="P1253" i="1"/>
  <c r="AC1252" i="1"/>
  <c r="S1252" i="1"/>
  <c r="AV1252" i="1" s="1"/>
  <c r="Q1252" i="1"/>
  <c r="P1252" i="1"/>
  <c r="AC1251" i="1"/>
  <c r="S1251" i="1"/>
  <c r="AV1251" i="1" s="1"/>
  <c r="Q1251" i="1"/>
  <c r="AC1250" i="1"/>
  <c r="Q1250" i="1"/>
  <c r="Q1227" i="1"/>
  <c r="Q1226" i="1"/>
  <c r="P1226" i="1"/>
  <c r="Q1225" i="1"/>
  <c r="P1225" i="1"/>
  <c r="Q1224" i="1"/>
  <c r="P1224" i="1"/>
  <c r="Q1223" i="1"/>
  <c r="P1223" i="1"/>
  <c r="Q1222" i="1"/>
  <c r="P1222" i="1"/>
  <c r="Q1221" i="1"/>
  <c r="P1221" i="1"/>
  <c r="Q1220" i="1"/>
  <c r="P1220" i="1"/>
  <c r="Q1219" i="1"/>
  <c r="P1219" i="1"/>
  <c r="Q1218" i="1"/>
  <c r="P1218" i="1"/>
  <c r="Q1217" i="1"/>
  <c r="P1217" i="1"/>
  <c r="R52" i="121" l="1"/>
  <c r="C47" i="164" s="1"/>
  <c r="R42" i="121"/>
  <c r="C43" i="164" s="1"/>
  <c r="R16" i="121"/>
  <c r="C36" i="164" s="1"/>
  <c r="R23" i="121"/>
  <c r="R14" i="121"/>
  <c r="C41" i="164" s="1"/>
  <c r="R34" i="121"/>
  <c r="C33" i="164" s="1"/>
  <c r="R41" i="121"/>
  <c r="C42" i="164" s="1"/>
  <c r="R28" i="121"/>
  <c r="C48" i="164" s="1"/>
  <c r="R37" i="121"/>
  <c r="C40" i="164" s="1"/>
  <c r="R31" i="121"/>
  <c r="C44" i="164" s="1"/>
  <c r="R15" i="121"/>
  <c r="C38" i="164" s="1"/>
  <c r="R24" i="121"/>
  <c r="C37" i="164" s="1"/>
  <c r="P263" i="1"/>
  <c r="AY263" i="1" s="1"/>
  <c r="Q263" i="1"/>
  <c r="C54" i="53"/>
  <c r="C27" i="104"/>
  <c r="H28" i="140"/>
  <c r="C33" i="104"/>
  <c r="H34" i="140"/>
  <c r="C43" i="104"/>
  <c r="H44" i="140"/>
  <c r="C45" i="104"/>
  <c r="H46" i="140"/>
  <c r="AY1216" i="1"/>
  <c r="AZ1216" i="1"/>
  <c r="R79" i="1"/>
  <c r="S79" i="1" s="1"/>
  <c r="AY79" i="1"/>
  <c r="C29" i="56"/>
  <c r="C21" i="56"/>
  <c r="G22" i="128"/>
  <c r="D22" i="128"/>
  <c r="E54" i="121"/>
  <c r="AK793" i="1"/>
  <c r="AV896" i="1"/>
  <c r="R331" i="1"/>
  <c r="S331" i="1" s="1"/>
  <c r="D15" i="117" s="1"/>
  <c r="P688" i="1"/>
  <c r="Q688" i="1"/>
  <c r="P426" i="1"/>
  <c r="Q426" i="1"/>
  <c r="AK421" i="1"/>
  <c r="AL421" i="1"/>
  <c r="AK146" i="1"/>
  <c r="AL146" i="1"/>
  <c r="Q917" i="1"/>
  <c r="T914" i="1" s="1"/>
  <c r="P917" i="1"/>
  <c r="P87" i="1"/>
  <c r="Q87" i="1"/>
  <c r="AK927" i="1"/>
  <c r="AL927" i="1"/>
  <c r="AK924" i="1"/>
  <c r="AL924" i="1"/>
  <c r="AK1300" i="1"/>
  <c r="AL1300" i="1"/>
  <c r="AK1292" i="1"/>
  <c r="AL1292" i="1"/>
  <c r="AK815" i="1"/>
  <c r="AL815" i="1"/>
  <c r="AK683" i="1"/>
  <c r="AL683" i="1"/>
  <c r="AL423" i="1"/>
  <c r="AK423" i="1"/>
  <c r="AK791" i="1"/>
  <c r="AL791" i="1"/>
  <c r="AL390" i="1"/>
  <c r="AK390" i="1"/>
  <c r="AK917" i="1"/>
  <c r="AL917" i="1"/>
  <c r="AK868" i="1"/>
  <c r="AL868" i="1"/>
  <c r="AK854" i="1"/>
  <c r="AL854" i="1"/>
  <c r="AK606" i="1"/>
  <c r="AL606" i="1"/>
  <c r="AK265" i="1"/>
  <c r="AL265" i="1"/>
  <c r="AK261" i="1"/>
  <c r="AL261" i="1"/>
  <c r="AK87" i="1"/>
  <c r="AL87" i="1"/>
  <c r="AK71" i="1"/>
  <c r="AL71" i="1"/>
  <c r="AK66" i="1"/>
  <c r="AL66" i="1"/>
  <c r="P273" i="1"/>
  <c r="Q273" i="1"/>
  <c r="P271" i="1"/>
  <c r="Q271" i="1"/>
  <c r="P405" i="1"/>
  <c r="Q405" i="1"/>
  <c r="P255" i="1"/>
  <c r="Q255" i="1"/>
  <c r="P254" i="1"/>
  <c r="Q254" i="1"/>
  <c r="P656" i="1"/>
  <c r="Q656" i="1"/>
  <c r="AK428" i="1"/>
  <c r="AL428" i="1"/>
  <c r="AK427" i="1"/>
  <c r="AL427" i="1"/>
  <c r="AK459" i="1"/>
  <c r="AL459" i="1"/>
  <c r="AK456" i="1"/>
  <c r="AL456" i="1"/>
  <c r="AK1332" i="1"/>
  <c r="AL1332" i="1"/>
  <c r="AK1328" i="1"/>
  <c r="AL1328" i="1"/>
  <c r="AK814" i="1"/>
  <c r="AL814" i="1"/>
  <c r="AK690" i="1"/>
  <c r="AL690" i="1"/>
  <c r="AK624" i="1"/>
  <c r="AL624" i="1"/>
  <c r="AK455" i="1"/>
  <c r="AL455" i="1"/>
  <c r="AK608" i="1"/>
  <c r="AL608" i="1"/>
  <c r="AL440" i="1"/>
  <c r="AK440" i="1"/>
  <c r="AK490" i="1"/>
  <c r="AL490" i="1"/>
  <c r="AK489" i="1"/>
  <c r="AL489" i="1"/>
  <c r="R22" i="111"/>
  <c r="R41" i="111"/>
  <c r="R21" i="111"/>
  <c r="E54" i="111"/>
  <c r="F15" i="111"/>
  <c r="Q52" i="109"/>
  <c r="Q41" i="109"/>
  <c r="Q23" i="109"/>
  <c r="Q22" i="109"/>
  <c r="Q21" i="109"/>
  <c r="D54" i="109"/>
  <c r="P15" i="111"/>
  <c r="O15" i="109"/>
  <c r="O50" i="121"/>
  <c r="N39" i="109"/>
  <c r="N50" i="121"/>
  <c r="C13" i="56"/>
  <c r="F54" i="121"/>
  <c r="BI21" i="92"/>
  <c r="BW14" i="92"/>
  <c r="BI40" i="92"/>
  <c r="M37" i="95" s="1"/>
  <c r="BI34" i="92"/>
  <c r="M27" i="95" s="1"/>
  <c r="BW44" i="92"/>
  <c r="BI29" i="92"/>
  <c r="M43" i="95" s="1"/>
  <c r="BI30" i="92"/>
  <c r="M20" i="95" s="1"/>
  <c r="BW21" i="92"/>
  <c r="BW40" i="92"/>
  <c r="BI23" i="92"/>
  <c r="M33" i="95" s="1"/>
  <c r="BW34" i="92"/>
  <c r="BW29" i="92"/>
  <c r="BH15" i="92"/>
  <c r="BV15" i="92"/>
  <c r="BW30" i="92"/>
  <c r="BI45" i="92"/>
  <c r="M42" i="95" s="1"/>
  <c r="BI22" i="92"/>
  <c r="M15" i="95" s="1"/>
  <c r="BW23" i="92"/>
  <c r="BI16" i="92"/>
  <c r="BI28" i="92"/>
  <c r="M39" i="95" s="1"/>
  <c r="BW43" i="92"/>
  <c r="BW45" i="92"/>
  <c r="BW31" i="92"/>
  <c r="BI18" i="92"/>
  <c r="M19" i="95" s="1"/>
  <c r="BW22" i="92"/>
  <c r="BW36" i="92"/>
  <c r="BW16" i="92"/>
  <c r="BI42" i="92"/>
  <c r="BW28" i="92"/>
  <c r="BI37" i="92"/>
  <c r="M36" i="95" s="1"/>
  <c r="BI43" i="92"/>
  <c r="M17" i="95" s="1"/>
  <c r="BI38" i="92"/>
  <c r="M41" i="95" s="1"/>
  <c r="BI31" i="92"/>
  <c r="M12" i="95" s="1"/>
  <c r="BI36" i="92"/>
  <c r="M28" i="95" s="1"/>
  <c r="BI33" i="92"/>
  <c r="BW42" i="92"/>
  <c r="BI35" i="92"/>
  <c r="M40" i="95" s="1"/>
  <c r="BW37" i="92"/>
  <c r="BW38" i="92"/>
  <c r="BI13" i="92"/>
  <c r="BW18" i="92"/>
  <c r="BI32" i="92"/>
  <c r="BI15" i="92"/>
  <c r="M16" i="95" s="1"/>
  <c r="BW33" i="92"/>
  <c r="BI24" i="92"/>
  <c r="M44" i="95" s="1"/>
  <c r="BW35" i="92"/>
  <c r="BI19" i="92"/>
  <c r="M26" i="95" s="1"/>
  <c r="BI20" i="92"/>
  <c r="M22" i="95" s="1"/>
  <c r="BW13" i="92"/>
  <c r="BI39" i="92"/>
  <c r="M30" i="95" s="1"/>
  <c r="BW32" i="92"/>
  <c r="BW24" i="92"/>
  <c r="BW19" i="92"/>
  <c r="BG36" i="92"/>
  <c r="BU36" i="92"/>
  <c r="BW20" i="92"/>
  <c r="BW39" i="92"/>
  <c r="BI14" i="92"/>
  <c r="M18" i="95" s="1"/>
  <c r="BW15" i="92"/>
  <c r="BI44" i="92"/>
  <c r="M35" i="95"/>
  <c r="C16" i="56"/>
  <c r="C15" i="56"/>
  <c r="C14" i="56"/>
  <c r="N25" i="109"/>
  <c r="O25" i="111"/>
  <c r="H27" i="105"/>
  <c r="H14" i="105"/>
  <c r="H43" i="105"/>
  <c r="H23" i="105"/>
  <c r="H47" i="105"/>
  <c r="AV52" i="92"/>
  <c r="AU52" i="92"/>
  <c r="AT52" i="92"/>
  <c r="AS52" i="92"/>
  <c r="AV51" i="92"/>
  <c r="AU51" i="92"/>
  <c r="AT51" i="92"/>
  <c r="AS51" i="92"/>
  <c r="AH52" i="92"/>
  <c r="AG52" i="92"/>
  <c r="AF52" i="92"/>
  <c r="AE52" i="92"/>
  <c r="AE51" i="92"/>
  <c r="AH51" i="92"/>
  <c r="AG51" i="92"/>
  <c r="AF51" i="92"/>
  <c r="G509" i="24"/>
  <c r="O818" i="1" s="1"/>
  <c r="P818" i="1" s="1"/>
  <c r="R818" i="1" s="1"/>
  <c r="S818" i="1" s="1"/>
  <c r="AR2" i="1"/>
  <c r="F17" i="105" s="1"/>
  <c r="F18" i="140" s="1"/>
  <c r="F57" i="140" s="1"/>
  <c r="F58" i="140" s="1"/>
  <c r="P15" i="109" l="1"/>
  <c r="P54" i="109" s="1"/>
  <c r="AZ79" i="1"/>
  <c r="AZ263" i="1"/>
  <c r="R15" i="15"/>
  <c r="Q15" i="111"/>
  <c r="Q54" i="111" s="1"/>
  <c r="T79" i="1"/>
  <c r="AV79" i="1" s="1"/>
  <c r="F56" i="140"/>
  <c r="C44" i="104"/>
  <c r="H45" i="140"/>
  <c r="C21" i="104"/>
  <c r="H22" i="140"/>
  <c r="C41" i="104"/>
  <c r="H42" i="140"/>
  <c r="C12" i="104"/>
  <c r="H13" i="140"/>
  <c r="C25" i="104"/>
  <c r="H26" i="140"/>
  <c r="AY673" i="1"/>
  <c r="AZ673" i="1"/>
  <c r="AY84" i="1"/>
  <c r="AZ84" i="1"/>
  <c r="AY254" i="1"/>
  <c r="AZ254" i="1"/>
  <c r="AY255" i="1"/>
  <c r="AZ255" i="1"/>
  <c r="H22" i="128"/>
  <c r="R15" i="111"/>
  <c r="Q15" i="109"/>
  <c r="M29" i="95"/>
  <c r="M14" i="95"/>
  <c r="M38" i="95"/>
  <c r="M23" i="95"/>
  <c r="M34" i="95"/>
  <c r="M31" i="95"/>
  <c r="L16" i="95"/>
  <c r="K28" i="95"/>
  <c r="F58" i="105"/>
  <c r="F59" i="105" s="1"/>
  <c r="F57" i="105"/>
  <c r="L21" i="121" l="1"/>
  <c r="F479" i="24" l="1"/>
  <c r="AJ654" i="1" s="1"/>
  <c r="F152" i="24"/>
  <c r="G318" i="24"/>
  <c r="O1010" i="1" s="1"/>
  <c r="G338" i="24"/>
  <c r="O919" i="1" s="1"/>
  <c r="G315" i="24"/>
  <c r="O724" i="1" s="1"/>
  <c r="P724" i="1" s="1"/>
  <c r="G386" i="24"/>
  <c r="O657" i="1" s="1"/>
  <c r="AY724" i="1" l="1"/>
  <c r="AZ724" i="1"/>
  <c r="Q657" i="1"/>
  <c r="T654" i="1" s="1"/>
  <c r="P657" i="1"/>
  <c r="R654" i="1" s="1"/>
  <c r="S654" i="1" s="1"/>
  <c r="P919" i="1"/>
  <c r="R919" i="1" s="1"/>
  <c r="S919" i="1" s="1"/>
  <c r="Q919" i="1"/>
  <c r="T919" i="1" s="1"/>
  <c r="P1010" i="1"/>
  <c r="Q1010" i="1"/>
  <c r="AJ640" i="1"/>
  <c r="AJ656" i="1"/>
  <c r="AK654" i="1"/>
  <c r="AL654" i="1"/>
  <c r="H386" i="24"/>
  <c r="O36" i="121"/>
  <c r="H338" i="24"/>
  <c r="G339" i="24"/>
  <c r="O1009" i="1" s="1"/>
  <c r="H661" i="1" l="1"/>
  <c r="AZ661" i="1" s="1"/>
  <c r="AV919" i="1"/>
  <c r="AV654" i="1"/>
  <c r="Q1009" i="1"/>
  <c r="T1007" i="1" s="1"/>
  <c r="P1009" i="1"/>
  <c r="R1007" i="1" s="1"/>
  <c r="S1007" i="1" s="1"/>
  <c r="AK656" i="1"/>
  <c r="AL656" i="1"/>
  <c r="AK640" i="1"/>
  <c r="AL640" i="1"/>
  <c r="M989" i="1"/>
  <c r="L45" i="121"/>
  <c r="O20" i="121"/>
  <c r="H21" i="121"/>
  <c r="G32" i="105" l="1"/>
  <c r="G32" i="140" s="1"/>
  <c r="N158" i="24"/>
  <c r="N460" i="24"/>
  <c r="N419" i="24"/>
  <c r="N363" i="24"/>
  <c r="N299" i="24"/>
  <c r="N235" i="24"/>
  <c r="N516" i="24"/>
  <c r="N478" i="24"/>
  <c r="N378" i="24"/>
  <c r="N314" i="24"/>
  <c r="N250" i="24"/>
  <c r="N163" i="24"/>
  <c r="N467" i="24"/>
  <c r="N435" i="24"/>
  <c r="N385" i="24"/>
  <c r="N321" i="24"/>
  <c r="N257" i="24"/>
  <c r="N178" i="24"/>
  <c r="N491" i="24"/>
  <c r="N390" i="24"/>
  <c r="N328" i="24"/>
  <c r="N264" i="24"/>
  <c r="N191" i="24"/>
  <c r="N466" i="24"/>
  <c r="N434" i="24"/>
  <c r="N375" i="24"/>
  <c r="N311" i="24"/>
  <c r="N247" i="24"/>
  <c r="G51" i="105"/>
  <c r="G21" i="105"/>
  <c r="G37" i="105"/>
  <c r="G35" i="105"/>
  <c r="G41" i="105"/>
  <c r="N560" i="24"/>
  <c r="N559" i="24"/>
  <c r="N484" i="24"/>
  <c r="N374" i="24"/>
  <c r="N310" i="24"/>
  <c r="N246" i="24"/>
  <c r="N155" i="24"/>
  <c r="N453" i="24"/>
  <c r="N412" i="24"/>
  <c r="N349" i="24"/>
  <c r="N285" i="24"/>
  <c r="N221" i="24"/>
  <c r="N507" i="24"/>
  <c r="N432" i="24"/>
  <c r="N348" i="24"/>
  <c r="N284" i="24"/>
  <c r="N220" i="24"/>
  <c r="N567" i="24"/>
  <c r="N12" i="24"/>
  <c r="N456" i="24"/>
  <c r="N415" i="24"/>
  <c r="N355" i="24"/>
  <c r="N291" i="24"/>
  <c r="N227" i="24"/>
  <c r="N511" i="24"/>
  <c r="N472" i="24"/>
  <c r="N370" i="24"/>
  <c r="N306" i="24"/>
  <c r="N242" i="24"/>
  <c r="N142" i="24"/>
  <c r="N463" i="24"/>
  <c r="N422" i="24"/>
  <c r="N377" i="24"/>
  <c r="N313" i="24"/>
  <c r="N249" i="24"/>
  <c r="N162" i="24"/>
  <c r="N485" i="24"/>
  <c r="N384" i="24"/>
  <c r="N320" i="24"/>
  <c r="N256" i="24"/>
  <c r="N175" i="24"/>
  <c r="N462" i="24"/>
  <c r="N421" i="24"/>
  <c r="N367" i="24"/>
  <c r="N303" i="24"/>
  <c r="N239" i="24"/>
  <c r="G38" i="105"/>
  <c r="G37" i="140" s="1"/>
  <c r="N545" i="24"/>
  <c r="G52" i="105"/>
  <c r="G24" i="105"/>
  <c r="N570" i="24"/>
  <c r="N549" i="24"/>
  <c r="G17" i="105"/>
  <c r="G18" i="140" s="1"/>
  <c r="N480" i="24"/>
  <c r="N366" i="24"/>
  <c r="N302" i="24"/>
  <c r="N238" i="24"/>
  <c r="N523" i="24"/>
  <c r="N449" i="24"/>
  <c r="N406" i="24"/>
  <c r="N341" i="24"/>
  <c r="N277" i="24"/>
  <c r="N213" i="24"/>
  <c r="N503" i="24"/>
  <c r="N428" i="24"/>
  <c r="N340" i="24"/>
  <c r="N276" i="24"/>
  <c r="N212" i="24"/>
  <c r="N568" i="24"/>
  <c r="N522" i="24"/>
  <c r="N452" i="24"/>
  <c r="N411" i="24"/>
  <c r="N347" i="24"/>
  <c r="N283" i="24"/>
  <c r="N219" i="24"/>
  <c r="N506" i="24"/>
  <c r="N431" i="24"/>
  <c r="N362" i="24"/>
  <c r="N298" i="24"/>
  <c r="N234" i="24"/>
  <c r="N525" i="24"/>
  <c r="N459" i="24"/>
  <c r="N418" i="24"/>
  <c r="N369" i="24"/>
  <c r="N305" i="24"/>
  <c r="N241" i="24"/>
  <c r="N138" i="24"/>
  <c r="N481" i="24"/>
  <c r="N376" i="24"/>
  <c r="N312" i="24"/>
  <c r="N248" i="24"/>
  <c r="N159" i="24"/>
  <c r="N458" i="24"/>
  <c r="N417" i="24"/>
  <c r="N359" i="24"/>
  <c r="N295" i="24"/>
  <c r="N231" i="24"/>
  <c r="N544" i="24"/>
  <c r="G22" i="105"/>
  <c r="G25" i="105"/>
  <c r="G26" i="105"/>
  <c r="G49" i="105"/>
  <c r="N561" i="24"/>
  <c r="N514" i="24"/>
  <c r="N475" i="24"/>
  <c r="N358" i="24"/>
  <c r="N294" i="24"/>
  <c r="N230" i="24"/>
  <c r="N519" i="24"/>
  <c r="N445" i="24"/>
  <c r="N395" i="24"/>
  <c r="N333" i="24"/>
  <c r="N269" i="24"/>
  <c r="N202" i="24"/>
  <c r="N499" i="24"/>
  <c r="N400" i="24"/>
  <c r="N332" i="24"/>
  <c r="N268" i="24"/>
  <c r="N199" i="24"/>
  <c r="N547" i="24"/>
  <c r="N562" i="24"/>
  <c r="N512" i="24"/>
  <c r="N448" i="24"/>
  <c r="N405" i="24"/>
  <c r="N339" i="24"/>
  <c r="N275" i="24"/>
  <c r="N211" i="24"/>
  <c r="N502" i="24"/>
  <c r="N427" i="24"/>
  <c r="N354" i="24"/>
  <c r="N290" i="24"/>
  <c r="N226" i="24"/>
  <c r="N521" i="24"/>
  <c r="N455" i="24"/>
  <c r="N414" i="24"/>
  <c r="N361" i="24"/>
  <c r="N297" i="24"/>
  <c r="N233" i="24"/>
  <c r="N515" i="24"/>
  <c r="N476" i="24"/>
  <c r="N368" i="24"/>
  <c r="N304" i="24"/>
  <c r="N240" i="24"/>
  <c r="N129" i="24"/>
  <c r="N454" i="24"/>
  <c r="N413" i="24"/>
  <c r="N351" i="24"/>
  <c r="N287" i="24"/>
  <c r="N223" i="24"/>
  <c r="N572" i="24"/>
  <c r="N546" i="24"/>
  <c r="N573" i="24"/>
  <c r="G36" i="105"/>
  <c r="G31" i="140" s="1"/>
  <c r="G54" i="105"/>
  <c r="N550" i="24"/>
  <c r="N508" i="24"/>
  <c r="N433" i="24"/>
  <c r="N350" i="24"/>
  <c r="N286" i="24"/>
  <c r="N222" i="24"/>
  <c r="N488" i="24"/>
  <c r="N441" i="24"/>
  <c r="N388" i="24"/>
  <c r="N325" i="24"/>
  <c r="N261" i="24"/>
  <c r="N186" i="24"/>
  <c r="N495" i="24"/>
  <c r="N394" i="24"/>
  <c r="N324" i="24"/>
  <c r="N260" i="24"/>
  <c r="N183" i="24"/>
  <c r="N548" i="24"/>
  <c r="N563" i="24"/>
  <c r="N494" i="24"/>
  <c r="N444" i="24"/>
  <c r="N393" i="24"/>
  <c r="N331" i="24"/>
  <c r="N267" i="24"/>
  <c r="N198" i="24"/>
  <c r="N498" i="24"/>
  <c r="N410" i="24"/>
  <c r="N346" i="24"/>
  <c r="N282" i="24"/>
  <c r="N218" i="24"/>
  <c r="N510" i="24"/>
  <c r="N451" i="24"/>
  <c r="N409" i="24"/>
  <c r="N353" i="24"/>
  <c r="N289" i="24"/>
  <c r="N225" i="24"/>
  <c r="N509" i="24"/>
  <c r="N430" i="24"/>
  <c r="N360" i="24"/>
  <c r="N296" i="24"/>
  <c r="N232" i="24"/>
  <c r="N524" i="24"/>
  <c r="N450" i="24"/>
  <c r="N407" i="24"/>
  <c r="N343" i="24"/>
  <c r="N279" i="24"/>
  <c r="N215" i="24"/>
  <c r="G50" i="105"/>
  <c r="G15" i="105"/>
  <c r="G16" i="105"/>
  <c r="G31" i="105"/>
  <c r="G30" i="140" s="1"/>
  <c r="G33" i="105"/>
  <c r="N553" i="24"/>
  <c r="N504" i="24"/>
  <c r="N429" i="24"/>
  <c r="N342" i="24"/>
  <c r="N278" i="24"/>
  <c r="N214" i="24"/>
  <c r="N469" i="24"/>
  <c r="N437" i="24"/>
  <c r="N381" i="24"/>
  <c r="N317" i="24"/>
  <c r="N253" i="24"/>
  <c r="N170" i="24"/>
  <c r="N487" i="24"/>
  <c r="N380" i="24"/>
  <c r="N316" i="24"/>
  <c r="N252" i="24"/>
  <c r="N167" i="24"/>
  <c r="N564" i="24"/>
  <c r="N473" i="24"/>
  <c r="N440" i="24"/>
  <c r="N387" i="24"/>
  <c r="N323" i="24"/>
  <c r="N259" i="24"/>
  <c r="N182" i="24"/>
  <c r="N493" i="24"/>
  <c r="N399" i="24"/>
  <c r="N338" i="24"/>
  <c r="N274" i="24"/>
  <c r="N210" i="24"/>
  <c r="N492" i="24"/>
  <c r="N447" i="24"/>
  <c r="N404" i="24"/>
  <c r="N345" i="24"/>
  <c r="N281" i="24"/>
  <c r="N217" i="24"/>
  <c r="N505" i="24"/>
  <c r="N426" i="24"/>
  <c r="N352" i="24"/>
  <c r="N288" i="24"/>
  <c r="N224" i="24"/>
  <c r="N520" i="24"/>
  <c r="N446" i="24"/>
  <c r="N397" i="24"/>
  <c r="N335" i="24"/>
  <c r="N271" i="24"/>
  <c r="N206" i="24"/>
  <c r="G45" i="105"/>
  <c r="G18" i="105"/>
  <c r="G19" i="105"/>
  <c r="N543" i="24"/>
  <c r="G44" i="105"/>
  <c r="N557" i="24"/>
  <c r="N500" i="24"/>
  <c r="N401" i="24"/>
  <c r="N334" i="24"/>
  <c r="N270" i="24"/>
  <c r="N203" i="24"/>
  <c r="N465" i="24"/>
  <c r="N424" i="24"/>
  <c r="N373" i="24"/>
  <c r="N309" i="24"/>
  <c r="N245" i="24"/>
  <c r="N154" i="24"/>
  <c r="N483" i="24"/>
  <c r="N372" i="24"/>
  <c r="N308" i="24"/>
  <c r="N244" i="24"/>
  <c r="N150" i="24"/>
  <c r="N517" i="24"/>
  <c r="N565" i="24"/>
  <c r="N468" i="24"/>
  <c r="N436" i="24"/>
  <c r="N379" i="24"/>
  <c r="N315" i="24"/>
  <c r="N251" i="24"/>
  <c r="N166" i="24"/>
  <c r="N486" i="24"/>
  <c r="N392" i="24"/>
  <c r="N330" i="24"/>
  <c r="N266" i="24"/>
  <c r="N195" i="24"/>
  <c r="N477" i="24"/>
  <c r="N443" i="24"/>
  <c r="N398" i="24"/>
  <c r="N337" i="24"/>
  <c r="N273" i="24"/>
  <c r="N208" i="24"/>
  <c r="N501" i="24"/>
  <c r="N408" i="24"/>
  <c r="N344" i="24"/>
  <c r="N280" i="24"/>
  <c r="N216" i="24"/>
  <c r="N490" i="24"/>
  <c r="N442" i="24"/>
  <c r="N389" i="24"/>
  <c r="N327" i="24"/>
  <c r="N263" i="24"/>
  <c r="N190" i="24"/>
  <c r="G28" i="105"/>
  <c r="G42" i="105"/>
  <c r="N542" i="24"/>
  <c r="N569" i="24"/>
  <c r="G40" i="105"/>
  <c r="G38" i="140" s="1"/>
  <c r="N558" i="24"/>
  <c r="N496" i="24"/>
  <c r="N396" i="24"/>
  <c r="N326" i="24"/>
  <c r="N262" i="24"/>
  <c r="N187" i="24"/>
  <c r="N461" i="24"/>
  <c r="N420" i="24"/>
  <c r="N365" i="24"/>
  <c r="N301" i="24"/>
  <c r="N237" i="24"/>
  <c r="N518" i="24"/>
  <c r="N479" i="24"/>
  <c r="N364" i="24"/>
  <c r="N300" i="24"/>
  <c r="N236" i="24"/>
  <c r="N464" i="24"/>
  <c r="N423" i="24"/>
  <c r="N371" i="24"/>
  <c r="N307" i="24"/>
  <c r="N243" i="24"/>
  <c r="N146" i="24"/>
  <c r="N482" i="24"/>
  <c r="N386" i="24"/>
  <c r="N322" i="24"/>
  <c r="N258" i="24"/>
  <c r="N179" i="24"/>
  <c r="N471" i="24"/>
  <c r="N439" i="24"/>
  <c r="N391" i="24"/>
  <c r="N329" i="24"/>
  <c r="N265" i="24"/>
  <c r="N194" i="24"/>
  <c r="N497" i="24"/>
  <c r="N403" i="24"/>
  <c r="N336" i="24"/>
  <c r="N272" i="24"/>
  <c r="N207" i="24"/>
  <c r="N470" i="24"/>
  <c r="N438" i="24"/>
  <c r="N383" i="24"/>
  <c r="N319" i="24"/>
  <c r="N255" i="24"/>
  <c r="N174" i="24"/>
  <c r="G20" i="105"/>
  <c r="G39" i="105"/>
  <c r="G53" i="105"/>
  <c r="G30" i="105"/>
  <c r="N571" i="24"/>
  <c r="N551" i="24"/>
  <c r="N489" i="24"/>
  <c r="N382" i="24"/>
  <c r="N318" i="24"/>
  <c r="N254" i="24"/>
  <c r="N171" i="24"/>
  <c r="N457" i="24"/>
  <c r="N416" i="24"/>
  <c r="N357" i="24"/>
  <c r="N293" i="24"/>
  <c r="N229" i="24"/>
  <c r="N513" i="24"/>
  <c r="N474" i="24"/>
  <c r="N356" i="24"/>
  <c r="N292" i="24"/>
  <c r="N228" i="24"/>
  <c r="N566" i="24"/>
  <c r="AY661" i="1"/>
  <c r="R661" i="1"/>
  <c r="S661" i="1" s="1"/>
  <c r="AV1007" i="1"/>
  <c r="N552" i="24"/>
  <c r="P989" i="1"/>
  <c r="H32" i="105"/>
  <c r="N556" i="24"/>
  <c r="N555" i="24"/>
  <c r="N554" i="24"/>
  <c r="N49" i="121"/>
  <c r="N45" i="121"/>
  <c r="N13" i="121"/>
  <c r="O45" i="121"/>
  <c r="K31" i="109"/>
  <c r="L31" i="111"/>
  <c r="F18" i="128" s="1"/>
  <c r="K38" i="109"/>
  <c r="L38" i="111"/>
  <c r="H24" i="109"/>
  <c r="I24" i="111"/>
  <c r="R24" i="111" s="1"/>
  <c r="R24" i="15"/>
  <c r="Q1060" i="1"/>
  <c r="Q1073" i="1"/>
  <c r="Q1074" i="1"/>
  <c r="Q1111" i="1"/>
  <c r="Q1114" i="1"/>
  <c r="Q1115" i="1"/>
  <c r="Q1116" i="1"/>
  <c r="Q1120" i="1"/>
  <c r="Q1121" i="1"/>
  <c r="Q1123" i="1"/>
  <c r="Q1132" i="1"/>
  <c r="Q1136" i="1"/>
  <c r="Q1138" i="1"/>
  <c r="Q1145" i="1"/>
  <c r="Q1146" i="1"/>
  <c r="Q1148" i="1"/>
  <c r="Q1151" i="1"/>
  <c r="Q1153" i="1"/>
  <c r="Q1155" i="1"/>
  <c r="Q1159" i="1"/>
  <c r="Q1160" i="1"/>
  <c r="Q1162" i="1"/>
  <c r="Q1166" i="1"/>
  <c r="Q1170" i="1"/>
  <c r="Q1171" i="1"/>
  <c r="Q1172" i="1"/>
  <c r="Q1173" i="1"/>
  <c r="Q1178" i="1"/>
  <c r="Q1183" i="1"/>
  <c r="Q1184" i="1"/>
  <c r="Q1185" i="1"/>
  <c r="Q1186" i="1"/>
  <c r="Q1187" i="1"/>
  <c r="Q1188" i="1"/>
  <c r="Q1189" i="1"/>
  <c r="Q1190" i="1"/>
  <c r="Q1193" i="1"/>
  <c r="Q1198" i="1"/>
  <c r="Q1200" i="1"/>
  <c r="Q1201" i="1"/>
  <c r="Q1202" i="1"/>
  <c r="Q1208" i="1"/>
  <c r="Q1209" i="1"/>
  <c r="Q1210" i="1"/>
  <c r="Q1211" i="1"/>
  <c r="Q1213" i="1"/>
  <c r="Q1214" i="1"/>
  <c r="Q1215" i="1"/>
  <c r="Q1235" i="1"/>
  <c r="Q1237" i="1"/>
  <c r="Q1238" i="1"/>
  <c r="Q1239" i="1"/>
  <c r="Q1240" i="1"/>
  <c r="Q1241" i="1"/>
  <c r="Q1242" i="1"/>
  <c r="Q1243" i="1"/>
  <c r="Q1244" i="1"/>
  <c r="Q1245" i="1"/>
  <c r="Q1246" i="1"/>
  <c r="Q1247" i="1"/>
  <c r="Q1248" i="1"/>
  <c r="Q1249" i="1"/>
  <c r="Q1255" i="1"/>
  <c r="Q1256" i="1"/>
  <c r="Q1257" i="1"/>
  <c r="Q1259" i="1"/>
  <c r="Q1260" i="1"/>
  <c r="Q1261" i="1"/>
  <c r="Q1262" i="1"/>
  <c r="Q1263" i="1"/>
  <c r="Q1264" i="1"/>
  <c r="Q1265" i="1"/>
  <c r="Q1266" i="1"/>
  <c r="Q1267" i="1"/>
  <c r="Q1268" i="1"/>
  <c r="Q1269" i="1"/>
  <c r="Q1270" i="1"/>
  <c r="Q1271" i="1"/>
  <c r="Q1272" i="1"/>
  <c r="Q1273" i="1"/>
  <c r="Q1274" i="1"/>
  <c r="Q1275" i="1"/>
  <c r="Q1276" i="1"/>
  <c r="Q1277" i="1"/>
  <c r="Q1278" i="1"/>
  <c r="Q1279" i="1"/>
  <c r="Q1387" i="1"/>
  <c r="E16" i="109"/>
  <c r="I22" i="121"/>
  <c r="R22" i="121" s="1"/>
  <c r="C35" i="164" s="1"/>
  <c r="I25" i="111"/>
  <c r="H33" i="121"/>
  <c r="P1060" i="1"/>
  <c r="P1073" i="1"/>
  <c r="P1074" i="1"/>
  <c r="P1099" i="1"/>
  <c r="P1100" i="1"/>
  <c r="P1101" i="1"/>
  <c r="P1106" i="1"/>
  <c r="P1107" i="1"/>
  <c r="P1111" i="1"/>
  <c r="P1114" i="1"/>
  <c r="P1115" i="1"/>
  <c r="P1116" i="1"/>
  <c r="P1120" i="1"/>
  <c r="P1121" i="1"/>
  <c r="P1123" i="1"/>
  <c r="P1132" i="1"/>
  <c r="P1136" i="1"/>
  <c r="P1138" i="1"/>
  <c r="P1145" i="1"/>
  <c r="P1146" i="1"/>
  <c r="P1148" i="1"/>
  <c r="P1151" i="1"/>
  <c r="P1153" i="1"/>
  <c r="P1155" i="1"/>
  <c r="P1159" i="1"/>
  <c r="P1160" i="1"/>
  <c r="P1162" i="1"/>
  <c r="P1166" i="1"/>
  <c r="P1170" i="1"/>
  <c r="P1171" i="1"/>
  <c r="P1172" i="1"/>
  <c r="P1173" i="1"/>
  <c r="P1178" i="1"/>
  <c r="P1183" i="1"/>
  <c r="P1184" i="1"/>
  <c r="P1185" i="1"/>
  <c r="P1186" i="1"/>
  <c r="P1187" i="1"/>
  <c r="P1188" i="1"/>
  <c r="P1189" i="1"/>
  <c r="P1190" i="1"/>
  <c r="P1193" i="1"/>
  <c r="P1198" i="1"/>
  <c r="P1200" i="1"/>
  <c r="P1201" i="1"/>
  <c r="P1202" i="1"/>
  <c r="P1208" i="1"/>
  <c r="P1209" i="1"/>
  <c r="P1210" i="1"/>
  <c r="P1211" i="1"/>
  <c r="P1213" i="1"/>
  <c r="P1214" i="1"/>
  <c r="P1215" i="1"/>
  <c r="P1235" i="1"/>
  <c r="P1237" i="1"/>
  <c r="P1238" i="1"/>
  <c r="P1239" i="1"/>
  <c r="P1240" i="1"/>
  <c r="P1241" i="1"/>
  <c r="P1242" i="1"/>
  <c r="P1243" i="1"/>
  <c r="P1244" i="1"/>
  <c r="P1245" i="1"/>
  <c r="P1246" i="1"/>
  <c r="P1247" i="1"/>
  <c r="P1248" i="1"/>
  <c r="P1249" i="1"/>
  <c r="P1259" i="1"/>
  <c r="P1263" i="1"/>
  <c r="P1264" i="1"/>
  <c r="P1265" i="1"/>
  <c r="P1266" i="1"/>
  <c r="P1268" i="1"/>
  <c r="P1275" i="1"/>
  <c r="P1276" i="1"/>
  <c r="P1277" i="1"/>
  <c r="P1278" i="1"/>
  <c r="P1279" i="1"/>
  <c r="P1387" i="1"/>
  <c r="J17" i="121"/>
  <c r="I20" i="109"/>
  <c r="J25" i="109"/>
  <c r="N38" i="121"/>
  <c r="O1060" i="1"/>
  <c r="O1073" i="1"/>
  <c r="O1074" i="1"/>
  <c r="O1075" i="1"/>
  <c r="P1075" i="1" s="1"/>
  <c r="O1076" i="1"/>
  <c r="P1076" i="1" s="1"/>
  <c r="O1077" i="1"/>
  <c r="P1077" i="1" s="1"/>
  <c r="O1078" i="1"/>
  <c r="P1078" i="1" s="1"/>
  <c r="O1079" i="1"/>
  <c r="O1081" i="1"/>
  <c r="P1081" i="1" s="1"/>
  <c r="O1082" i="1"/>
  <c r="P1082" i="1" s="1"/>
  <c r="O1083" i="1"/>
  <c r="P1083" i="1" s="1"/>
  <c r="O1084" i="1"/>
  <c r="P1084" i="1" s="1"/>
  <c r="O1085" i="1"/>
  <c r="P1085" i="1" s="1"/>
  <c r="O1086" i="1"/>
  <c r="P1086" i="1" s="1"/>
  <c r="O1087" i="1"/>
  <c r="P1087" i="1" s="1"/>
  <c r="O1088" i="1"/>
  <c r="P1088" i="1" s="1"/>
  <c r="O1089" i="1"/>
  <c r="O1090" i="1"/>
  <c r="O1091" i="1"/>
  <c r="P1091" i="1" s="1"/>
  <c r="O1092" i="1"/>
  <c r="O1093" i="1"/>
  <c r="O1094" i="1"/>
  <c r="O1095" i="1"/>
  <c r="P1095" i="1" s="1"/>
  <c r="O1096" i="1"/>
  <c r="O1097" i="1"/>
  <c r="O1098" i="1"/>
  <c r="O1099" i="1"/>
  <c r="O1100" i="1"/>
  <c r="O1101" i="1"/>
  <c r="O1102" i="1"/>
  <c r="P1102" i="1" s="1"/>
  <c r="O1103" i="1"/>
  <c r="P1103" i="1" s="1"/>
  <c r="O1104" i="1"/>
  <c r="P1104" i="1" s="1"/>
  <c r="O1105" i="1"/>
  <c r="P1105" i="1" s="1"/>
  <c r="O1106" i="1"/>
  <c r="O1107" i="1"/>
  <c r="O1108" i="1"/>
  <c r="O1109" i="1"/>
  <c r="O1110" i="1"/>
  <c r="P1110" i="1" s="1"/>
  <c r="O1111" i="1"/>
  <c r="O1112" i="1"/>
  <c r="O1113" i="1"/>
  <c r="P1113" i="1" s="1"/>
  <c r="O1114" i="1"/>
  <c r="O1115" i="1"/>
  <c r="O1116" i="1"/>
  <c r="O1117" i="1"/>
  <c r="O1118" i="1"/>
  <c r="O1119" i="1"/>
  <c r="O1120" i="1"/>
  <c r="O1121" i="1"/>
  <c r="O1122" i="1"/>
  <c r="Q1122" i="1" s="1"/>
  <c r="O1123" i="1"/>
  <c r="O1124" i="1"/>
  <c r="O1125" i="1"/>
  <c r="P1125" i="1" s="1"/>
  <c r="O1126" i="1"/>
  <c r="P1126" i="1" s="1"/>
  <c r="O1127" i="1"/>
  <c r="P1127" i="1" s="1"/>
  <c r="O1128" i="1"/>
  <c r="P1128" i="1" s="1"/>
  <c r="O1129" i="1"/>
  <c r="P1129" i="1" s="1"/>
  <c r="O1130" i="1"/>
  <c r="P1130" i="1" s="1"/>
  <c r="O1131" i="1"/>
  <c r="P1131" i="1" s="1"/>
  <c r="O1132" i="1"/>
  <c r="O1133" i="1"/>
  <c r="P1133" i="1" s="1"/>
  <c r="O1134" i="1"/>
  <c r="P1134" i="1" s="1"/>
  <c r="O1135" i="1"/>
  <c r="P1135" i="1" s="1"/>
  <c r="O1136" i="1"/>
  <c r="O1137" i="1"/>
  <c r="P1137" i="1" s="1"/>
  <c r="O1138" i="1"/>
  <c r="O1139" i="1"/>
  <c r="O1140" i="1"/>
  <c r="P1140" i="1" s="1"/>
  <c r="O1141" i="1"/>
  <c r="P1141" i="1" s="1"/>
  <c r="O1143" i="1"/>
  <c r="P1143" i="1" s="1"/>
  <c r="O1144" i="1"/>
  <c r="P1144" i="1" s="1"/>
  <c r="O1145" i="1"/>
  <c r="O1146" i="1"/>
  <c r="O1147" i="1"/>
  <c r="O1148" i="1"/>
  <c r="O1149" i="1"/>
  <c r="P1149" i="1" s="1"/>
  <c r="O1150" i="1"/>
  <c r="P1150" i="1" s="1"/>
  <c r="O1151" i="1"/>
  <c r="O1152" i="1"/>
  <c r="P1152" i="1" s="1"/>
  <c r="O1153" i="1"/>
  <c r="O1154" i="1"/>
  <c r="O1155" i="1"/>
  <c r="O1156" i="1"/>
  <c r="P1156" i="1" s="1"/>
  <c r="O1157" i="1"/>
  <c r="P1157" i="1" s="1"/>
  <c r="O1158" i="1"/>
  <c r="P1158" i="1" s="1"/>
  <c r="O1159" i="1"/>
  <c r="O1160" i="1"/>
  <c r="O1161" i="1"/>
  <c r="P1161" i="1" s="1"/>
  <c r="O1162" i="1"/>
  <c r="O1163" i="1"/>
  <c r="P1163" i="1" s="1"/>
  <c r="O1164" i="1"/>
  <c r="P1164" i="1" s="1"/>
  <c r="O1165" i="1"/>
  <c r="P1165" i="1" s="1"/>
  <c r="O1166" i="1"/>
  <c r="O1167" i="1"/>
  <c r="P1167" i="1" s="1"/>
  <c r="O1168" i="1"/>
  <c r="P1168" i="1" s="1"/>
  <c r="O1169" i="1"/>
  <c r="P1169" i="1" s="1"/>
  <c r="O1170" i="1"/>
  <c r="O1171" i="1"/>
  <c r="O1172" i="1"/>
  <c r="O1173" i="1"/>
  <c r="O1174" i="1"/>
  <c r="P1174" i="1" s="1"/>
  <c r="O1175" i="1"/>
  <c r="P1175" i="1" s="1"/>
  <c r="O1176" i="1"/>
  <c r="P1176" i="1" s="1"/>
  <c r="O1177" i="1"/>
  <c r="P1177" i="1" s="1"/>
  <c r="O1178" i="1"/>
  <c r="O1179" i="1"/>
  <c r="P1179" i="1" s="1"/>
  <c r="O1180" i="1"/>
  <c r="P1180" i="1" s="1"/>
  <c r="O1181" i="1"/>
  <c r="P1181" i="1" s="1"/>
  <c r="O1182" i="1"/>
  <c r="P1182" i="1" s="1"/>
  <c r="O1183" i="1"/>
  <c r="O1184" i="1"/>
  <c r="O1185" i="1"/>
  <c r="O1186" i="1"/>
  <c r="O1187" i="1"/>
  <c r="O1188" i="1"/>
  <c r="O1189" i="1"/>
  <c r="O1190" i="1"/>
  <c r="O1191" i="1"/>
  <c r="P1191" i="1" s="1"/>
  <c r="O1192" i="1"/>
  <c r="P1192" i="1" s="1"/>
  <c r="O1193" i="1"/>
  <c r="O1194" i="1"/>
  <c r="P1194" i="1" s="1"/>
  <c r="O1195" i="1"/>
  <c r="P1195" i="1" s="1"/>
  <c r="O1196" i="1"/>
  <c r="P1196" i="1" s="1"/>
  <c r="O1197" i="1"/>
  <c r="P1197" i="1" s="1"/>
  <c r="O1198" i="1"/>
  <c r="O1199" i="1"/>
  <c r="P1199" i="1" s="1"/>
  <c r="O1200" i="1"/>
  <c r="O1201" i="1"/>
  <c r="O1202" i="1"/>
  <c r="O1203" i="1"/>
  <c r="P1203" i="1" s="1"/>
  <c r="O1204" i="1"/>
  <c r="P1204" i="1" s="1"/>
  <c r="O1206" i="1"/>
  <c r="P1206" i="1" s="1"/>
  <c r="O1207" i="1"/>
  <c r="P1207" i="1" s="1"/>
  <c r="O1208" i="1"/>
  <c r="O1209" i="1"/>
  <c r="O1210" i="1"/>
  <c r="O1211" i="1"/>
  <c r="O1212" i="1"/>
  <c r="P1212" i="1" s="1"/>
  <c r="O1213" i="1"/>
  <c r="O1214" i="1"/>
  <c r="O1215" i="1"/>
  <c r="O1235" i="1"/>
  <c r="O1236" i="1"/>
  <c r="O1237" i="1"/>
  <c r="O1238" i="1"/>
  <c r="O1239" i="1"/>
  <c r="O1240" i="1"/>
  <c r="O1241" i="1"/>
  <c r="O1242" i="1"/>
  <c r="O1243" i="1"/>
  <c r="O1244" i="1"/>
  <c r="O1245" i="1"/>
  <c r="O1246" i="1"/>
  <c r="O1247" i="1"/>
  <c r="O1248" i="1"/>
  <c r="O1249" i="1"/>
  <c r="O1254" i="1"/>
  <c r="P1254" i="1" s="1"/>
  <c r="O1255" i="1"/>
  <c r="P1255" i="1" s="1"/>
  <c r="O1256" i="1"/>
  <c r="P1256" i="1" s="1"/>
  <c r="O1257" i="1"/>
  <c r="P1257" i="1" s="1"/>
  <c r="O1258" i="1"/>
  <c r="P1258" i="1" s="1"/>
  <c r="O1259" i="1"/>
  <c r="O1260" i="1"/>
  <c r="P1260" i="1" s="1"/>
  <c r="O1261" i="1"/>
  <c r="P1261" i="1" s="1"/>
  <c r="O1263" i="1"/>
  <c r="O1264" i="1"/>
  <c r="O1265" i="1"/>
  <c r="O1266" i="1"/>
  <c r="O1267" i="1"/>
  <c r="P1267" i="1" s="1"/>
  <c r="O1268" i="1"/>
  <c r="O1269" i="1"/>
  <c r="P1269" i="1" s="1"/>
  <c r="O1270" i="1"/>
  <c r="P1270" i="1" s="1"/>
  <c r="O1271" i="1"/>
  <c r="P1271" i="1" s="1"/>
  <c r="O1272" i="1"/>
  <c r="P1272" i="1" s="1"/>
  <c r="O1273" i="1"/>
  <c r="P1273" i="1" s="1"/>
  <c r="O1274" i="1"/>
  <c r="P1274" i="1" s="1"/>
  <c r="O1275" i="1"/>
  <c r="O1276" i="1"/>
  <c r="O1277" i="1"/>
  <c r="O1278" i="1"/>
  <c r="O1279" i="1"/>
  <c r="O1387" i="1"/>
  <c r="G16" i="140" l="1"/>
  <c r="H18" i="105"/>
  <c r="G33" i="140"/>
  <c r="H33" i="105"/>
  <c r="G47" i="140"/>
  <c r="H49" i="105"/>
  <c r="G36" i="140"/>
  <c r="H37" i="105"/>
  <c r="G29" i="140"/>
  <c r="H30" i="105"/>
  <c r="G43" i="140"/>
  <c r="H45" i="105"/>
  <c r="G25" i="140"/>
  <c r="H26" i="105"/>
  <c r="G20" i="140"/>
  <c r="H21" i="105"/>
  <c r="G52" i="140"/>
  <c r="H53" i="105"/>
  <c r="G15" i="140"/>
  <c r="H16" i="105"/>
  <c r="G24" i="140"/>
  <c r="H25" i="105"/>
  <c r="G49" i="140"/>
  <c r="H51" i="105"/>
  <c r="G40" i="140"/>
  <c r="H39" i="105"/>
  <c r="G14" i="140"/>
  <c r="H15" i="105"/>
  <c r="G21" i="140"/>
  <c r="H22" i="105"/>
  <c r="G19" i="140"/>
  <c r="H20" i="105"/>
  <c r="G50" i="140"/>
  <c r="H42" i="105"/>
  <c r="G48" i="140"/>
  <c r="H50" i="105"/>
  <c r="G53" i="140"/>
  <c r="H54" i="105"/>
  <c r="G23" i="140"/>
  <c r="H24" i="105"/>
  <c r="G27" i="140"/>
  <c r="H28" i="105"/>
  <c r="G41" i="140"/>
  <c r="H44" i="105"/>
  <c r="G51" i="140"/>
  <c r="H52" i="105"/>
  <c r="G39" i="140"/>
  <c r="H41" i="105"/>
  <c r="G17" i="140"/>
  <c r="H19" i="105"/>
  <c r="G35" i="140"/>
  <c r="H35" i="105"/>
  <c r="Q1192" i="1"/>
  <c r="Q1179" i="1"/>
  <c r="Q1163" i="1"/>
  <c r="Q1133" i="1"/>
  <c r="Q1125" i="1"/>
  <c r="Q1195" i="1"/>
  <c r="Q1168" i="1"/>
  <c r="Q1203" i="1"/>
  <c r="Q1176" i="1"/>
  <c r="Q1128" i="1"/>
  <c r="Q1194" i="1"/>
  <c r="Q1144" i="1"/>
  <c r="Q1135" i="1"/>
  <c r="Q1127" i="1"/>
  <c r="Q1177" i="1"/>
  <c r="Q1169" i="1"/>
  <c r="Q1161" i="1"/>
  <c r="Q1152" i="1"/>
  <c r="Q1143" i="1"/>
  <c r="Q1134" i="1"/>
  <c r="Q1126" i="1"/>
  <c r="Q1113" i="1"/>
  <c r="Q1207" i="1"/>
  <c r="Q1199" i="1"/>
  <c r="Q1191" i="1"/>
  <c r="Q1175" i="1"/>
  <c r="Q1167" i="1"/>
  <c r="Q1150" i="1"/>
  <c r="Q1141" i="1"/>
  <c r="Q1110" i="1"/>
  <c r="Q1206" i="1"/>
  <c r="Q1182" i="1"/>
  <c r="Q1174" i="1"/>
  <c r="Q1158" i="1"/>
  <c r="Q1149" i="1"/>
  <c r="Q1140" i="1"/>
  <c r="Q1131" i="1"/>
  <c r="Q1091" i="1"/>
  <c r="Q1197" i="1"/>
  <c r="Q1181" i="1"/>
  <c r="Q1165" i="1"/>
  <c r="Q1157" i="1"/>
  <c r="Q1130" i="1"/>
  <c r="Q1088" i="1"/>
  <c r="Q1212" i="1"/>
  <c r="Q1204" i="1"/>
  <c r="Q1196" i="1"/>
  <c r="Q1180" i="1"/>
  <c r="Q1164" i="1"/>
  <c r="Q1156" i="1"/>
  <c r="Q1137" i="1"/>
  <c r="Q1129" i="1"/>
  <c r="C31" i="104"/>
  <c r="H32" i="140"/>
  <c r="T661" i="1"/>
  <c r="AV661" i="1" s="1"/>
  <c r="R1387" i="1"/>
  <c r="S1387" i="1" s="1"/>
  <c r="M13" i="109"/>
  <c r="N539" i="24"/>
  <c r="N540" i="24"/>
  <c r="N541" i="24"/>
  <c r="N537" i="24"/>
  <c r="N538" i="24"/>
  <c r="N534" i="24"/>
  <c r="N535" i="24"/>
  <c r="N536" i="24"/>
  <c r="N529" i="24"/>
  <c r="N530" i="24"/>
  <c r="N531" i="24"/>
  <c r="N532" i="24"/>
  <c r="N533" i="24"/>
  <c r="N402" i="24"/>
  <c r="J46" i="121"/>
  <c r="R46" i="121" s="1"/>
  <c r="C34" i="164" s="1"/>
  <c r="H43" i="121"/>
  <c r="N526" i="24"/>
  <c r="R13" i="15"/>
  <c r="F36" i="109"/>
  <c r="F30" i="109"/>
  <c r="L50" i="121"/>
  <c r="F28" i="109"/>
  <c r="F48" i="111"/>
  <c r="L46" i="109"/>
  <c r="H36" i="109"/>
  <c r="L53" i="109"/>
  <c r="Q53" i="109" s="1"/>
  <c r="F48" i="109"/>
  <c r="G46" i="109"/>
  <c r="F44" i="109"/>
  <c r="G43" i="109"/>
  <c r="H42" i="111"/>
  <c r="R42" i="111" s="1"/>
  <c r="H38" i="121"/>
  <c r="J37" i="109"/>
  <c r="H30" i="111"/>
  <c r="E27" i="109"/>
  <c r="G40" i="109"/>
  <c r="G34" i="111"/>
  <c r="L49" i="121"/>
  <c r="N13" i="111"/>
  <c r="N33" i="121"/>
  <c r="K39" i="121"/>
  <c r="M50" i="121"/>
  <c r="I30" i="121"/>
  <c r="R30" i="121" s="1"/>
  <c r="C17" i="164" s="1"/>
  <c r="J36" i="121"/>
  <c r="J45" i="109"/>
  <c r="K45" i="121"/>
  <c r="R45" i="121" s="1"/>
  <c r="C30" i="164" s="1"/>
  <c r="K33" i="121"/>
  <c r="M33" i="121"/>
  <c r="O49" i="121"/>
  <c r="G27" i="109"/>
  <c r="M24" i="109"/>
  <c r="L14" i="109"/>
  <c r="I14" i="109"/>
  <c r="H16" i="109"/>
  <c r="R48" i="109"/>
  <c r="R53" i="109"/>
  <c r="J44" i="109"/>
  <c r="K44" i="111"/>
  <c r="R29" i="109"/>
  <c r="G24" i="109"/>
  <c r="M30" i="109"/>
  <c r="N30" i="111"/>
  <c r="K49" i="109"/>
  <c r="L49" i="111"/>
  <c r="I45" i="109"/>
  <c r="J45" i="111"/>
  <c r="J36" i="111"/>
  <c r="J30" i="109"/>
  <c r="K30" i="111"/>
  <c r="M26" i="109"/>
  <c r="N26" i="111"/>
  <c r="F31" i="109"/>
  <c r="G31" i="111"/>
  <c r="J39" i="109"/>
  <c r="K39" i="111"/>
  <c r="E39" i="109"/>
  <c r="F39" i="111"/>
  <c r="G31" i="109"/>
  <c r="H31" i="111"/>
  <c r="F14" i="128" s="1"/>
  <c r="N45" i="109"/>
  <c r="O45" i="111"/>
  <c r="F34" i="109"/>
  <c r="I36" i="109"/>
  <c r="N527" i="24"/>
  <c r="N528" i="24"/>
  <c r="N133" i="24"/>
  <c r="N124" i="24"/>
  <c r="N134" i="24"/>
  <c r="N130" i="24"/>
  <c r="N139" i="24"/>
  <c r="N143" i="24"/>
  <c r="N147" i="24"/>
  <c r="N151" i="24"/>
  <c r="N135" i="24"/>
  <c r="N131" i="24"/>
  <c r="N140" i="24"/>
  <c r="N144" i="24"/>
  <c r="N148" i="24"/>
  <c r="N152" i="24"/>
  <c r="N156" i="24"/>
  <c r="N160" i="24"/>
  <c r="N164" i="24"/>
  <c r="N168" i="24"/>
  <c r="N172" i="24"/>
  <c r="N176" i="24"/>
  <c r="N180" i="24"/>
  <c r="N184" i="24"/>
  <c r="N188" i="24"/>
  <c r="N192" i="24"/>
  <c r="N196" i="24"/>
  <c r="N200" i="24"/>
  <c r="N204" i="24"/>
  <c r="N127" i="24"/>
  <c r="N122" i="24"/>
  <c r="N137" i="24"/>
  <c r="N141" i="24"/>
  <c r="N145" i="24"/>
  <c r="N149" i="24"/>
  <c r="N153" i="24"/>
  <c r="N157" i="24"/>
  <c r="N161" i="24"/>
  <c r="N165" i="24"/>
  <c r="N169" i="24"/>
  <c r="N173" i="24"/>
  <c r="N177" i="24"/>
  <c r="N181" i="24"/>
  <c r="N185" i="24"/>
  <c r="N189" i="24"/>
  <c r="N193" i="24"/>
  <c r="N197" i="24"/>
  <c r="N201" i="24"/>
  <c r="N205" i="24"/>
  <c r="N209" i="24"/>
  <c r="R31" i="15"/>
  <c r="N86" i="24"/>
  <c r="N117" i="24"/>
  <c r="N113" i="24"/>
  <c r="N125" i="24"/>
  <c r="N58" i="24"/>
  <c r="N114" i="24"/>
  <c r="N118" i="24"/>
  <c r="N128" i="24"/>
  <c r="N132" i="24"/>
  <c r="N136" i="24"/>
  <c r="N44" i="24"/>
  <c r="N97" i="24"/>
  <c r="N103" i="24"/>
  <c r="N115" i="24"/>
  <c r="N119" i="24"/>
  <c r="N112" i="24"/>
  <c r="N116" i="24"/>
  <c r="N102" i="24"/>
  <c r="N108" i="24"/>
  <c r="N66" i="24"/>
  <c r="N91" i="24"/>
  <c r="N81" i="24"/>
  <c r="N87" i="24"/>
  <c r="N99" i="24"/>
  <c r="N110" i="24"/>
  <c r="N69" i="24"/>
  <c r="N94" i="24"/>
  <c r="N77" i="24"/>
  <c r="N100" i="24"/>
  <c r="N50" i="24"/>
  <c r="N84" i="24"/>
  <c r="N54" i="24"/>
  <c r="N62" i="24"/>
  <c r="N70" i="24"/>
  <c r="N74" i="24"/>
  <c r="N88" i="24"/>
  <c r="N104" i="24"/>
  <c r="N107" i="24"/>
  <c r="N120" i="24"/>
  <c r="N123" i="24"/>
  <c r="N126" i="24"/>
  <c r="N29" i="24"/>
  <c r="N78" i="24"/>
  <c r="N85" i="24"/>
  <c r="N98" i="24"/>
  <c r="N101" i="24"/>
  <c r="N82" i="24"/>
  <c r="N89" i="24"/>
  <c r="N92" i="24"/>
  <c r="N95" i="24"/>
  <c r="N105" i="24"/>
  <c r="N111" i="24"/>
  <c r="N121" i="24"/>
  <c r="N26" i="24"/>
  <c r="N52" i="24"/>
  <c r="N60" i="24"/>
  <c r="N68" i="24"/>
  <c r="N72" i="24"/>
  <c r="N93" i="24"/>
  <c r="N96" i="24"/>
  <c r="N37" i="24"/>
  <c r="N76" i="24"/>
  <c r="N80" i="24"/>
  <c r="N90" i="24"/>
  <c r="N106" i="24"/>
  <c r="N109" i="24"/>
  <c r="N27" i="24"/>
  <c r="N30" i="24"/>
  <c r="N38" i="24"/>
  <c r="N47" i="24"/>
  <c r="N55" i="24"/>
  <c r="N63" i="24"/>
  <c r="N71" i="24"/>
  <c r="N79" i="24"/>
  <c r="N33" i="24"/>
  <c r="N41" i="24"/>
  <c r="N25" i="24"/>
  <c r="N28" i="24"/>
  <c r="N36" i="24"/>
  <c r="N53" i="24"/>
  <c r="N61" i="24"/>
  <c r="N31" i="24"/>
  <c r="N39" i="24"/>
  <c r="N45" i="24"/>
  <c r="N48" i="24"/>
  <c r="N56" i="24"/>
  <c r="N64" i="24"/>
  <c r="N23" i="24"/>
  <c r="N34" i="24"/>
  <c r="N42" i="24"/>
  <c r="N51" i="24"/>
  <c r="N59" i="24"/>
  <c r="N67" i="24"/>
  <c r="N75" i="24"/>
  <c r="N83" i="24"/>
  <c r="N32" i="24"/>
  <c r="N40" i="24"/>
  <c r="N43" i="24"/>
  <c r="N46" i="24"/>
  <c r="N49" i="24"/>
  <c r="N57" i="24"/>
  <c r="N65" i="24"/>
  <c r="N73" i="24"/>
  <c r="N24" i="24"/>
  <c r="N35" i="24"/>
  <c r="N21" i="24"/>
  <c r="N22" i="24"/>
  <c r="N18" i="24"/>
  <c r="N19" i="24"/>
  <c r="N20" i="24"/>
  <c r="N13" i="24"/>
  <c r="N14" i="24"/>
  <c r="N15" i="24"/>
  <c r="N16" i="24"/>
  <c r="N17" i="24"/>
  <c r="N425" i="24"/>
  <c r="Q1254" i="1"/>
  <c r="Q1258" i="1"/>
  <c r="P1122" i="1"/>
  <c r="E42" i="109"/>
  <c r="E28" i="109"/>
  <c r="Q28" i="109" s="1"/>
  <c r="H25" i="109"/>
  <c r="F29" i="109"/>
  <c r="Q29" i="109" s="1"/>
  <c r="F25" i="109"/>
  <c r="Q1236" i="1"/>
  <c r="AV1235" i="1" s="1"/>
  <c r="P1236" i="1"/>
  <c r="Q1154" i="1"/>
  <c r="P1154" i="1"/>
  <c r="Q1147" i="1"/>
  <c r="P1147" i="1"/>
  <c r="Q1139" i="1"/>
  <c r="P1139" i="1"/>
  <c r="Q1124" i="1"/>
  <c r="P1124" i="1"/>
  <c r="Q1119" i="1"/>
  <c r="P1119" i="1"/>
  <c r="Q1118" i="1"/>
  <c r="P1118" i="1"/>
  <c r="Q1117" i="1"/>
  <c r="P1117" i="1"/>
  <c r="I50" i="121" s="1"/>
  <c r="Q1112" i="1"/>
  <c r="P1112" i="1"/>
  <c r="Q1109" i="1"/>
  <c r="P1109" i="1"/>
  <c r="Q1108" i="1"/>
  <c r="P1108" i="1"/>
  <c r="Q1098" i="1"/>
  <c r="P1098" i="1"/>
  <c r="Q1097" i="1"/>
  <c r="P1097" i="1"/>
  <c r="Q1096" i="1"/>
  <c r="P1096" i="1"/>
  <c r="Q1094" i="1"/>
  <c r="P1094" i="1"/>
  <c r="Q1093" i="1"/>
  <c r="P1093" i="1"/>
  <c r="Q1092" i="1"/>
  <c r="P1092" i="1"/>
  <c r="Q1090" i="1"/>
  <c r="P1090" i="1"/>
  <c r="Q1089" i="1"/>
  <c r="P1089" i="1"/>
  <c r="Q1079" i="1"/>
  <c r="P1079" i="1"/>
  <c r="J49" i="121"/>
  <c r="I33" i="121"/>
  <c r="I21" i="121"/>
  <c r="R21" i="121" s="1"/>
  <c r="C25" i="164" s="1"/>
  <c r="H419" i="24"/>
  <c r="H68" i="24"/>
  <c r="F68" i="24"/>
  <c r="AJ1223" i="1" s="1"/>
  <c r="C38" i="104" l="1"/>
  <c r="H39" i="140"/>
  <c r="C22" i="104"/>
  <c r="H23" i="140"/>
  <c r="C18" i="104"/>
  <c r="H19" i="140"/>
  <c r="C48" i="104"/>
  <c r="H49" i="140"/>
  <c r="H20" i="140"/>
  <c r="C19" i="104"/>
  <c r="C35" i="104"/>
  <c r="H36" i="140"/>
  <c r="C50" i="104"/>
  <c r="H51" i="140"/>
  <c r="C52" i="104"/>
  <c r="H53" i="140"/>
  <c r="C20" i="104"/>
  <c r="H21" i="140"/>
  <c r="C23" i="104"/>
  <c r="H24" i="140"/>
  <c r="H25" i="140"/>
  <c r="C24" i="104"/>
  <c r="H47" i="140"/>
  <c r="C46" i="104"/>
  <c r="C34" i="104"/>
  <c r="H35" i="140"/>
  <c r="C40" i="104"/>
  <c r="H41" i="140"/>
  <c r="H48" i="140"/>
  <c r="C47" i="104"/>
  <c r="C13" i="104"/>
  <c r="H14" i="140"/>
  <c r="H15" i="140"/>
  <c r="C14" i="104"/>
  <c r="H43" i="140"/>
  <c r="C42" i="104"/>
  <c r="H33" i="140"/>
  <c r="C32" i="104"/>
  <c r="G57" i="140"/>
  <c r="G58" i="140" s="1"/>
  <c r="G56" i="140"/>
  <c r="C16" i="104"/>
  <c r="H17" i="140"/>
  <c r="H27" i="140"/>
  <c r="C26" i="104"/>
  <c r="C49" i="104"/>
  <c r="H50" i="140"/>
  <c r="C39" i="104"/>
  <c r="H40" i="140"/>
  <c r="H52" i="140"/>
  <c r="C51" i="104"/>
  <c r="H29" i="140"/>
  <c r="C28" i="104"/>
  <c r="H16" i="140"/>
  <c r="C15" i="104"/>
  <c r="R33" i="121"/>
  <c r="C27" i="164" s="1"/>
  <c r="O54" i="121"/>
  <c r="R13" i="111"/>
  <c r="F20" i="128"/>
  <c r="AV1234" i="1"/>
  <c r="AL1223" i="1"/>
  <c r="AK1223" i="1"/>
  <c r="R31" i="111"/>
  <c r="R23" i="109"/>
  <c r="Q31" i="109"/>
  <c r="L43" i="121"/>
  <c r="R43" i="121" s="1"/>
  <c r="C20" i="164" s="1"/>
  <c r="M44" i="121"/>
  <c r="K43" i="109"/>
  <c r="L43" i="111"/>
  <c r="L44" i="109"/>
  <c r="M44" i="111"/>
  <c r="E48" i="109"/>
  <c r="H722" i="1"/>
  <c r="AZ722" i="1" s="1"/>
  <c r="R42" i="15"/>
  <c r="G30" i="109"/>
  <c r="K50" i="121"/>
  <c r="G42" i="109"/>
  <c r="Q42" i="109" s="1"/>
  <c r="G38" i="109"/>
  <c r="K45" i="111"/>
  <c r="K13" i="121"/>
  <c r="H50" i="121"/>
  <c r="H20" i="121"/>
  <c r="R20" i="121" s="1"/>
  <c r="J38" i="121"/>
  <c r="H39" i="121"/>
  <c r="R39" i="121" s="1"/>
  <c r="C15" i="164" s="1"/>
  <c r="J38" i="109"/>
  <c r="K38" i="121"/>
  <c r="J44" i="121"/>
  <c r="L48" i="111"/>
  <c r="L48" i="121"/>
  <c r="G25" i="109"/>
  <c r="H25" i="121"/>
  <c r="H49" i="121"/>
  <c r="J50" i="121"/>
  <c r="I25" i="109"/>
  <c r="J25" i="121"/>
  <c r="L32" i="121"/>
  <c r="R32" i="121" s="1"/>
  <c r="C31" i="164" s="1"/>
  <c r="I40" i="121"/>
  <c r="R40" i="121" s="1"/>
  <c r="C32" i="164" s="1"/>
  <c r="H49" i="109"/>
  <c r="I49" i="121"/>
  <c r="G17" i="109"/>
  <c r="H17" i="121"/>
  <c r="R17" i="121" s="1"/>
  <c r="C19" i="164" s="1"/>
  <c r="M27" i="111"/>
  <c r="M27" i="121"/>
  <c r="R27" i="121" s="1"/>
  <c r="C28" i="164" s="1"/>
  <c r="H36" i="121"/>
  <c r="R36" i="121" s="1"/>
  <c r="C23" i="164" s="1"/>
  <c r="F20" i="109"/>
  <c r="G20" i="111"/>
  <c r="M33" i="109"/>
  <c r="N33" i="111"/>
  <c r="L38" i="109"/>
  <c r="M38" i="111"/>
  <c r="N49" i="109"/>
  <c r="O49" i="111"/>
  <c r="D21" i="128" s="1"/>
  <c r="H21" i="128" s="1"/>
  <c r="F46" i="109"/>
  <c r="Q46" i="109" s="1"/>
  <c r="G46" i="111"/>
  <c r="R46" i="111" s="1"/>
  <c r="E38" i="109"/>
  <c r="F38" i="111"/>
  <c r="K38" i="111"/>
  <c r="I44" i="109"/>
  <c r="J44" i="111"/>
  <c r="R44" i="111" s="1"/>
  <c r="M40" i="109"/>
  <c r="N40" i="111"/>
  <c r="F38" i="109"/>
  <c r="G38" i="111"/>
  <c r="H40" i="109"/>
  <c r="I40" i="111"/>
  <c r="E49" i="109"/>
  <c r="F49" i="111"/>
  <c r="M45" i="109"/>
  <c r="N45" i="111"/>
  <c r="I49" i="111"/>
  <c r="G36" i="109"/>
  <c r="H36" i="111"/>
  <c r="H39" i="111"/>
  <c r="R39" i="111" s="1"/>
  <c r="L27" i="109"/>
  <c r="H27" i="109"/>
  <c r="I27" i="111"/>
  <c r="I30" i="111"/>
  <c r="R30" i="111" s="1"/>
  <c r="G49" i="109"/>
  <c r="H49" i="111"/>
  <c r="R28" i="109"/>
  <c r="H37" i="109"/>
  <c r="I37" i="111"/>
  <c r="F15" i="128" s="1"/>
  <c r="I17" i="109"/>
  <c r="J17" i="111"/>
  <c r="H20" i="109"/>
  <c r="I20" i="111"/>
  <c r="H25" i="111"/>
  <c r="G49" i="111"/>
  <c r="E40" i="109"/>
  <c r="F40" i="111"/>
  <c r="H40" i="111"/>
  <c r="F49" i="109"/>
  <c r="G39" i="109"/>
  <c r="Q39" i="109" s="1"/>
  <c r="K48" i="109"/>
  <c r="H41" i="1"/>
  <c r="AZ41" i="1" s="1"/>
  <c r="E14" i="109"/>
  <c r="H30" i="109"/>
  <c r="R40" i="15"/>
  <c r="R48" i="15"/>
  <c r="R46" i="15"/>
  <c r="R39" i="15"/>
  <c r="R44" i="15"/>
  <c r="R30" i="15"/>
  <c r="H40" i="105"/>
  <c r="H36" i="105"/>
  <c r="H38" i="105"/>
  <c r="H31" i="105"/>
  <c r="H20" i="111"/>
  <c r="R44" i="121" l="1"/>
  <c r="C26" i="164" s="1"/>
  <c r="R38" i="121"/>
  <c r="C24" i="164" s="1"/>
  <c r="R25" i="121"/>
  <c r="C18" i="164" s="1"/>
  <c r="C22" i="164"/>
  <c r="R48" i="121"/>
  <c r="C29" i="164" s="1"/>
  <c r="R49" i="121"/>
  <c r="C16" i="164" s="1"/>
  <c r="C29" i="104"/>
  <c r="H30" i="140"/>
  <c r="C36" i="104"/>
  <c r="H37" i="140"/>
  <c r="C30" i="104"/>
  <c r="H31" i="140"/>
  <c r="C37" i="104"/>
  <c r="H38" i="140"/>
  <c r="E15" i="128"/>
  <c r="R41" i="1"/>
  <c r="S41" i="1" s="1"/>
  <c r="H45" i="1" s="1"/>
  <c r="AZ45" i="1" s="1"/>
  <c r="AY41" i="1"/>
  <c r="R722" i="1"/>
  <c r="S722" i="1" s="1"/>
  <c r="H725" i="1" s="1"/>
  <c r="AY722" i="1"/>
  <c r="R48" i="111"/>
  <c r="R40" i="111"/>
  <c r="R20" i="111"/>
  <c r="Q44" i="109"/>
  <c r="Q40" i="109"/>
  <c r="Q25" i="109"/>
  <c r="Q30" i="109"/>
  <c r="Q48" i="109"/>
  <c r="R25" i="15"/>
  <c r="J25" i="111"/>
  <c r="R25" i="111" s="1"/>
  <c r="H17" i="111"/>
  <c r="L54" i="121"/>
  <c r="F27" i="109"/>
  <c r="Q27" i="109" s="1"/>
  <c r="G27" i="111"/>
  <c r="R27" i="111" s="1"/>
  <c r="G16" i="109"/>
  <c r="Q16" i="109" s="1"/>
  <c r="H16" i="111"/>
  <c r="K32" i="109"/>
  <c r="Q32" i="109" s="1"/>
  <c r="L32" i="111"/>
  <c r="F14" i="109"/>
  <c r="G14" i="111"/>
  <c r="F45" i="109"/>
  <c r="G45" i="111"/>
  <c r="I43" i="109"/>
  <c r="Q43" i="109" s="1"/>
  <c r="J43" i="111"/>
  <c r="R43" i="111" s="1"/>
  <c r="H38" i="111"/>
  <c r="G45" i="109"/>
  <c r="H45" i="111"/>
  <c r="I38" i="109"/>
  <c r="Q38" i="109" s="1"/>
  <c r="J38" i="111"/>
  <c r="F37" i="109"/>
  <c r="Q37" i="109" s="1"/>
  <c r="G37" i="111"/>
  <c r="F17" i="109"/>
  <c r="G17" i="111"/>
  <c r="G20" i="109"/>
  <c r="Q20" i="109" s="1"/>
  <c r="R38" i="15"/>
  <c r="R37" i="15"/>
  <c r="R20" i="15"/>
  <c r="R27" i="15"/>
  <c r="R32" i="15"/>
  <c r="R14" i="15"/>
  <c r="R16" i="15"/>
  <c r="R43" i="15"/>
  <c r="H17" i="105"/>
  <c r="H18" i="140" s="1"/>
  <c r="G58" i="105"/>
  <c r="G59" i="105" s="1"/>
  <c r="G57" i="105"/>
  <c r="K36" i="111" l="1"/>
  <c r="H57" i="140"/>
  <c r="H58" i="140" s="1"/>
  <c r="H56" i="140"/>
  <c r="AY725" i="1"/>
  <c r="AZ725" i="1"/>
  <c r="T722" i="1"/>
  <c r="AV722" i="1" s="1"/>
  <c r="R45" i="1"/>
  <c r="S45" i="1" s="1"/>
  <c r="D21" i="117" s="1"/>
  <c r="AY45" i="1"/>
  <c r="R16" i="111"/>
  <c r="R37" i="111"/>
  <c r="F13" i="128"/>
  <c r="F23" i="128" s="1"/>
  <c r="R32" i="111"/>
  <c r="R14" i="111"/>
  <c r="E13" i="128"/>
  <c r="R38" i="111"/>
  <c r="J36" i="109"/>
  <c r="R725" i="1"/>
  <c r="S725" i="1" s="1"/>
  <c r="T725" i="1" s="1"/>
  <c r="AV725" i="1" s="1"/>
  <c r="R36" i="109"/>
  <c r="R54" i="109" s="1"/>
  <c r="S54" i="111"/>
  <c r="N14" i="109"/>
  <c r="Q14" i="109" s="1"/>
  <c r="H58" i="105"/>
  <c r="H59" i="105" s="1"/>
  <c r="C17" i="104"/>
  <c r="C54" i="104" s="1"/>
  <c r="H57" i="105"/>
  <c r="AQ1" i="1"/>
  <c r="AC27" i="92" l="1"/>
  <c r="F181" i="24"/>
  <c r="AJ767" i="1" s="1"/>
  <c r="AK767" i="1" l="1"/>
  <c r="AL767" i="1"/>
  <c r="H13" i="121"/>
  <c r="AC14" i="92"/>
  <c r="AC19" i="92"/>
  <c r="AC23" i="92"/>
  <c r="AC16" i="92"/>
  <c r="AC13" i="92"/>
  <c r="AC24" i="92"/>
  <c r="AC21" i="92"/>
  <c r="AC22" i="92"/>
  <c r="AC26" i="92"/>
  <c r="AC20" i="92"/>
  <c r="AC18" i="92"/>
  <c r="AC25" i="92"/>
  <c r="AC15" i="92"/>
  <c r="AC28" i="92"/>
  <c r="AC29" i="92"/>
  <c r="AC31" i="92"/>
  <c r="AC37" i="92"/>
  <c r="AC39" i="92"/>
  <c r="AC40" i="92"/>
  <c r="AC44" i="92"/>
  <c r="AC46" i="92"/>
  <c r="AC47" i="92"/>
  <c r="AC48" i="92"/>
  <c r="F137" i="24"/>
  <c r="AJ773" i="1" s="1"/>
  <c r="F297" i="24"/>
  <c r="F480" i="24"/>
  <c r="AJ68" i="1" s="1"/>
  <c r="F32" i="24"/>
  <c r="F33" i="24"/>
  <c r="AJ70" i="1" s="1"/>
  <c r="F34" i="24"/>
  <c r="AJ74" i="1" s="1"/>
  <c r="F481" i="24"/>
  <c r="F482" i="24"/>
  <c r="AJ346" i="1" s="1"/>
  <c r="F483" i="24"/>
  <c r="AJ347" i="1" s="1"/>
  <c r="F484" i="24"/>
  <c r="AJ959" i="1" s="1"/>
  <c r="F485" i="24"/>
  <c r="AJ961" i="1" s="1"/>
  <c r="F486" i="24"/>
  <c r="AJ962" i="1" s="1"/>
  <c r="F487" i="24"/>
  <c r="AJ963" i="1" s="1"/>
  <c r="F298" i="24"/>
  <c r="AJ969" i="1" s="1"/>
  <c r="AL969" i="1" s="1"/>
  <c r="F488" i="24"/>
  <c r="F489" i="24"/>
  <c r="AJ1366" i="1" s="1"/>
  <c r="F57" i="24"/>
  <c r="F490" i="24"/>
  <c r="F35" i="24"/>
  <c r="F36" i="24"/>
  <c r="AJ1171" i="1" s="1"/>
  <c r="F138" i="24"/>
  <c r="F299" i="24"/>
  <c r="AJ1364" i="1" s="1"/>
  <c r="F300" i="24"/>
  <c r="AJ1365" i="1" s="1"/>
  <c r="F301" i="24"/>
  <c r="AJ1176" i="1" s="1"/>
  <c r="F302" i="24"/>
  <c r="AJ1357" i="1" s="1"/>
  <c r="F58" i="24"/>
  <c r="F303" i="24"/>
  <c r="AJ1180" i="1" s="1"/>
  <c r="F304" i="24"/>
  <c r="AJ1181" i="1" s="1"/>
  <c r="F305" i="24"/>
  <c r="AJ1182" i="1" s="1"/>
  <c r="F37" i="24"/>
  <c r="F385" i="24"/>
  <c r="F139" i="24"/>
  <c r="F491" i="24"/>
  <c r="F308" i="24"/>
  <c r="F492" i="24"/>
  <c r="AJ1197" i="1" s="1"/>
  <c r="F118" i="24"/>
  <c r="AJ1371" i="1" s="1"/>
  <c r="F38" i="24"/>
  <c r="F493" i="24"/>
  <c r="F494" i="24"/>
  <c r="AJ1204" i="1" s="1"/>
  <c r="F309" i="24"/>
  <c r="F59" i="24"/>
  <c r="AJ1265" i="1" s="1"/>
  <c r="F140" i="24"/>
  <c r="AJ1282" i="1" s="1"/>
  <c r="F39" i="24"/>
  <c r="AJ1277" i="1" s="1"/>
  <c r="F141" i="24"/>
  <c r="AJ1278" i="1" s="1"/>
  <c r="F142" i="24"/>
  <c r="AJ1264" i="1" s="1"/>
  <c r="F495" i="24"/>
  <c r="AJ1273" i="1" s="1"/>
  <c r="F310" i="24"/>
  <c r="AJ1274" i="1" s="1"/>
  <c r="F496" i="24"/>
  <c r="AJ39" i="1" s="1"/>
  <c r="F497" i="24"/>
  <c r="F498" i="24"/>
  <c r="F499" i="24"/>
  <c r="AJ353" i="1" s="1"/>
  <c r="F500" i="24"/>
  <c r="AJ350" i="1" s="1"/>
  <c r="F501" i="24"/>
  <c r="AJ351" i="1" s="1"/>
  <c r="F502" i="24"/>
  <c r="F143" i="24"/>
  <c r="AJ257" i="1" s="1"/>
  <c r="F503" i="24"/>
  <c r="AJ274" i="1" s="1"/>
  <c r="F40" i="24"/>
  <c r="AJ1359" i="1" s="1"/>
  <c r="F311" i="24"/>
  <c r="AJ1362" i="1" s="1"/>
  <c r="AC1074" i="1"/>
  <c r="AC1075" i="1"/>
  <c r="AC1076" i="1"/>
  <c r="AC1077" i="1"/>
  <c r="AC1078" i="1"/>
  <c r="AC1079" i="1"/>
  <c r="AC1080" i="1"/>
  <c r="AC1081" i="1"/>
  <c r="AC1082" i="1"/>
  <c r="AC1083" i="1"/>
  <c r="AC1084" i="1"/>
  <c r="AC1085" i="1"/>
  <c r="AC1086" i="1"/>
  <c r="AC1087" i="1"/>
  <c r="AC1088" i="1"/>
  <c r="AC1089" i="1"/>
  <c r="AC1090" i="1"/>
  <c r="AC1091" i="1"/>
  <c r="AC1092" i="1"/>
  <c r="AC1093" i="1"/>
  <c r="AC1094" i="1"/>
  <c r="AC1095" i="1"/>
  <c r="AC1096" i="1"/>
  <c r="AC1097" i="1"/>
  <c r="AC1098" i="1"/>
  <c r="AC1099" i="1"/>
  <c r="AC1100" i="1"/>
  <c r="AC1101" i="1"/>
  <c r="AC1102" i="1"/>
  <c r="AC1103" i="1"/>
  <c r="AC1104" i="1"/>
  <c r="AC1105" i="1"/>
  <c r="AC1106" i="1"/>
  <c r="AC1107" i="1"/>
  <c r="AC1108" i="1"/>
  <c r="AC1109" i="1"/>
  <c r="AC1110" i="1"/>
  <c r="AC1111" i="1"/>
  <c r="AC1112" i="1"/>
  <c r="AC1113" i="1"/>
  <c r="AC1114" i="1"/>
  <c r="AC1115" i="1"/>
  <c r="AC1116" i="1"/>
  <c r="AC1117" i="1"/>
  <c r="AC1118" i="1"/>
  <c r="AC1119" i="1"/>
  <c r="AC1120" i="1"/>
  <c r="AC1121" i="1"/>
  <c r="AC1122" i="1"/>
  <c r="AC1123" i="1"/>
  <c r="AC1124" i="1"/>
  <c r="AC1125" i="1"/>
  <c r="AC1126" i="1"/>
  <c r="AC1127" i="1"/>
  <c r="AC1128" i="1"/>
  <c r="AC1129" i="1"/>
  <c r="AC1130" i="1"/>
  <c r="AC1131" i="1"/>
  <c r="AC1132" i="1"/>
  <c r="AC1133" i="1"/>
  <c r="AC1134" i="1"/>
  <c r="AC1135" i="1"/>
  <c r="AC1136" i="1"/>
  <c r="AC1137" i="1"/>
  <c r="AC1138" i="1"/>
  <c r="AC1139" i="1"/>
  <c r="AC1140" i="1"/>
  <c r="AC1141" i="1"/>
  <c r="AC1142" i="1"/>
  <c r="AC1143" i="1"/>
  <c r="AC1144" i="1"/>
  <c r="AC1145" i="1"/>
  <c r="AC1146" i="1"/>
  <c r="AC1147" i="1"/>
  <c r="AC1148" i="1"/>
  <c r="AC1149" i="1"/>
  <c r="AC1150" i="1"/>
  <c r="AC1151" i="1"/>
  <c r="AC1152" i="1"/>
  <c r="AC1153" i="1"/>
  <c r="AC1154" i="1"/>
  <c r="AC1155" i="1"/>
  <c r="AC1156" i="1"/>
  <c r="AC1157" i="1"/>
  <c r="AC1158" i="1"/>
  <c r="AC1159" i="1"/>
  <c r="AC1160" i="1"/>
  <c r="AC1161" i="1"/>
  <c r="AC1162" i="1"/>
  <c r="AC1163" i="1"/>
  <c r="AC1164" i="1"/>
  <c r="AC1165" i="1"/>
  <c r="AC1166" i="1"/>
  <c r="AC1167" i="1"/>
  <c r="AC1168" i="1"/>
  <c r="AC1169" i="1"/>
  <c r="AC1170" i="1"/>
  <c r="AC1171" i="1"/>
  <c r="AC1172" i="1"/>
  <c r="AC1173" i="1"/>
  <c r="AC1174" i="1"/>
  <c r="AC1175" i="1"/>
  <c r="AC1176" i="1"/>
  <c r="AC1177" i="1"/>
  <c r="AC1178" i="1"/>
  <c r="AC1179" i="1"/>
  <c r="AC1180" i="1"/>
  <c r="AC1181" i="1"/>
  <c r="AC1182" i="1"/>
  <c r="AC1183" i="1"/>
  <c r="AC1184" i="1"/>
  <c r="AC1185" i="1"/>
  <c r="AC1186" i="1"/>
  <c r="AC1187" i="1"/>
  <c r="AC1188" i="1"/>
  <c r="AC1189" i="1"/>
  <c r="AC1190" i="1"/>
  <c r="AC1191" i="1"/>
  <c r="AC1192" i="1"/>
  <c r="AC1193" i="1"/>
  <c r="AC1194" i="1"/>
  <c r="AC1195" i="1"/>
  <c r="AC1196" i="1"/>
  <c r="AC1197" i="1"/>
  <c r="AC1198" i="1"/>
  <c r="AC1199" i="1"/>
  <c r="AC1200" i="1"/>
  <c r="AC1201" i="1"/>
  <c r="AC1202" i="1"/>
  <c r="AC1203" i="1"/>
  <c r="AC1204" i="1"/>
  <c r="AC1205" i="1"/>
  <c r="AC1206" i="1"/>
  <c r="AC1207" i="1"/>
  <c r="AC1208" i="1"/>
  <c r="AC1209" i="1"/>
  <c r="AC1210" i="1"/>
  <c r="AC1211" i="1"/>
  <c r="AC1212" i="1"/>
  <c r="AC1213" i="1"/>
  <c r="AC1214" i="1"/>
  <c r="AC1215" i="1"/>
  <c r="AC1254" i="1"/>
  <c r="AC1255" i="1"/>
  <c r="AC1256" i="1"/>
  <c r="AC1257" i="1"/>
  <c r="AC1258" i="1"/>
  <c r="AC1259" i="1"/>
  <c r="AC1260" i="1"/>
  <c r="AC1261" i="1"/>
  <c r="AC1262" i="1"/>
  <c r="AC1263" i="1"/>
  <c r="AC1264" i="1"/>
  <c r="AC1265" i="1"/>
  <c r="AC1266" i="1"/>
  <c r="AC1267" i="1"/>
  <c r="AC1268" i="1"/>
  <c r="AC1269" i="1"/>
  <c r="AC1270" i="1"/>
  <c r="AC1271" i="1"/>
  <c r="AC1272" i="1"/>
  <c r="AC1273" i="1"/>
  <c r="AC1274" i="1"/>
  <c r="AC1275" i="1"/>
  <c r="AC1276" i="1"/>
  <c r="AC1277" i="1"/>
  <c r="AC1278" i="1"/>
  <c r="AC1279" i="1"/>
  <c r="G14" i="64" l="1"/>
  <c r="D22" i="156" s="1"/>
  <c r="AK1362" i="1"/>
  <c r="AL1362" i="1"/>
  <c r="AK1359" i="1"/>
  <c r="AL1359" i="1"/>
  <c r="AL1282" i="1"/>
  <c r="AK1282" i="1"/>
  <c r="AK1371" i="1"/>
  <c r="AL1371" i="1"/>
  <c r="AL1357" i="1"/>
  <c r="AK1357" i="1"/>
  <c r="AK1365" i="1"/>
  <c r="AL1365" i="1"/>
  <c r="AL1364" i="1"/>
  <c r="AK1364" i="1"/>
  <c r="AL1366" i="1"/>
  <c r="AK1366" i="1"/>
  <c r="H54" i="121"/>
  <c r="AJ1291" i="1"/>
  <c r="AJ1299" i="1"/>
  <c r="AJ1310" i="1"/>
  <c r="AJ1321" i="1"/>
  <c r="AJ1335" i="1"/>
  <c r="AJ1344" i="1"/>
  <c r="AK274" i="1"/>
  <c r="AL274" i="1"/>
  <c r="AK257" i="1"/>
  <c r="AL257" i="1"/>
  <c r="AJ271" i="1"/>
  <c r="AJ273" i="1"/>
  <c r="AL351" i="1"/>
  <c r="AK351" i="1"/>
  <c r="AK350" i="1"/>
  <c r="AL350" i="1"/>
  <c r="AK353" i="1"/>
  <c r="AL353" i="1"/>
  <c r="AJ76" i="1"/>
  <c r="AJ352" i="1"/>
  <c r="AJ75" i="1"/>
  <c r="AJ393" i="1"/>
  <c r="AJ890" i="1"/>
  <c r="AK39" i="1"/>
  <c r="AL39" i="1"/>
  <c r="AK1274" i="1"/>
  <c r="AL1274" i="1"/>
  <c r="AK1273" i="1"/>
  <c r="AL1273" i="1"/>
  <c r="AK1264" i="1"/>
  <c r="AL1264" i="1"/>
  <c r="AK1278" i="1"/>
  <c r="AL1278" i="1"/>
  <c r="AK1277" i="1"/>
  <c r="AL1277" i="1"/>
  <c r="AJ1276" i="1"/>
  <c r="AJ1349" i="1"/>
  <c r="AK1265" i="1"/>
  <c r="AL1265" i="1"/>
  <c r="AJ1205" i="1"/>
  <c r="AJ1262" i="1"/>
  <c r="AK1204" i="1"/>
  <c r="AL1204" i="1"/>
  <c r="AJ1212" i="1"/>
  <c r="AJ1296" i="1"/>
  <c r="AJ1303" i="1"/>
  <c r="AJ1314" i="1"/>
  <c r="AJ1326" i="1"/>
  <c r="AJ1201" i="1"/>
  <c r="AJ1215" i="1"/>
  <c r="AJ1279" i="1"/>
  <c r="AJ1198" i="1"/>
  <c r="AJ1345" i="1"/>
  <c r="AK1197" i="1"/>
  <c r="AL1197" i="1"/>
  <c r="AJ327" i="1"/>
  <c r="AJ443" i="1"/>
  <c r="AJ1206" i="1"/>
  <c r="AJ1271" i="1"/>
  <c r="AJ1342" i="1"/>
  <c r="AJ679" i="1"/>
  <c r="AJ1195" i="1"/>
  <c r="AJ1214" i="1"/>
  <c r="AJ1317" i="1"/>
  <c r="AJ1104" i="1"/>
  <c r="AK1104" i="1" s="1"/>
  <c r="AJ1188" i="1"/>
  <c r="AJ1243" i="1"/>
  <c r="AJ1315" i="1"/>
  <c r="AJ1183" i="1"/>
  <c r="AJ1209" i="1"/>
  <c r="AL1182" i="1"/>
  <c r="AK1182" i="1"/>
  <c r="AK1181" i="1"/>
  <c r="AL1181" i="1"/>
  <c r="AK1180" i="1"/>
  <c r="AL1180" i="1"/>
  <c r="AJ1178" i="1"/>
  <c r="AJ1193" i="1"/>
  <c r="AJ1294" i="1"/>
  <c r="AJ1323" i="1"/>
  <c r="AJ1343" i="1"/>
  <c r="AJ1177" i="1"/>
  <c r="AJ1286" i="1"/>
  <c r="AJ1340" i="1"/>
  <c r="AK1176" i="1"/>
  <c r="AL1176" i="1"/>
  <c r="AJ1175" i="1"/>
  <c r="AJ1192" i="1"/>
  <c r="AJ1203" i="1"/>
  <c r="AJ1174" i="1"/>
  <c r="AJ1191" i="1"/>
  <c r="AJ1172" i="1"/>
  <c r="AJ1297" i="1"/>
  <c r="AK1171" i="1"/>
  <c r="AL1171" i="1"/>
  <c r="AJ1169" i="1"/>
  <c r="AJ1199" i="1"/>
  <c r="AJ137" i="1"/>
  <c r="AJ1166" i="1"/>
  <c r="AJ1259" i="1"/>
  <c r="AJ1318" i="1"/>
  <c r="AJ1165" i="1"/>
  <c r="AJ1261" i="1"/>
  <c r="AJ1288" i="1"/>
  <c r="AJ1311" i="1"/>
  <c r="AJ1322" i="1"/>
  <c r="AJ1337" i="1"/>
  <c r="AJ1164" i="1"/>
  <c r="AJ1336" i="1"/>
  <c r="AK969" i="1"/>
  <c r="AK963" i="1"/>
  <c r="AL963" i="1"/>
  <c r="AK962" i="1"/>
  <c r="AL962" i="1"/>
  <c r="AK961" i="1"/>
  <c r="AL961" i="1"/>
  <c r="AK959" i="1"/>
  <c r="AL959" i="1"/>
  <c r="AK347" i="1"/>
  <c r="AL347" i="1"/>
  <c r="AK346" i="1"/>
  <c r="AL346" i="1"/>
  <c r="AJ328" i="1"/>
  <c r="AJ345" i="1"/>
  <c r="AK74" i="1"/>
  <c r="AL74" i="1"/>
  <c r="AK70" i="1"/>
  <c r="AL70" i="1"/>
  <c r="AJ69" i="1"/>
  <c r="AJ693" i="1"/>
  <c r="AJ1319" i="1"/>
  <c r="AK68" i="1"/>
  <c r="AL68" i="1"/>
  <c r="AJ67" i="1"/>
  <c r="AJ425" i="1"/>
  <c r="AK773" i="1"/>
  <c r="AL773" i="1"/>
  <c r="P36" i="111"/>
  <c r="O36" i="109"/>
  <c r="R36" i="15"/>
  <c r="I13" i="121"/>
  <c r="BE31" i="92"/>
  <c r="BE26" i="92"/>
  <c r="AQ12" i="92"/>
  <c r="H13" i="64" s="1"/>
  <c r="AC43" i="92"/>
  <c r="AC36" i="92"/>
  <c r="AC34" i="92"/>
  <c r="AC33" i="92"/>
  <c r="AC45" i="92"/>
  <c r="AC41" i="92"/>
  <c r="AC38" i="92"/>
  <c r="AC35" i="92"/>
  <c r="AC42" i="92"/>
  <c r="AC30" i="92"/>
  <c r="AC32" i="92"/>
  <c r="AC12" i="92"/>
  <c r="E21" i="156" s="1"/>
  <c r="D31" i="56"/>
  <c r="G309" i="24"/>
  <c r="H305" i="24"/>
  <c r="H36" i="24"/>
  <c r="H35" i="24"/>
  <c r="H56" i="24"/>
  <c r="H40" i="24"/>
  <c r="J143" i="24"/>
  <c r="AN257" i="1" s="1"/>
  <c r="H143" i="24"/>
  <c r="H485" i="24"/>
  <c r="H497" i="24"/>
  <c r="H59" i="24"/>
  <c r="S1279" i="1"/>
  <c r="AV1279" i="1" s="1"/>
  <c r="R1201" i="1"/>
  <c r="S1201" i="1" s="1"/>
  <c r="AV1201" i="1" s="1"/>
  <c r="H118" i="24"/>
  <c r="H308" i="24"/>
  <c r="S1214" i="1"/>
  <c r="AV1214" i="1" s="1"/>
  <c r="S1215" i="1"/>
  <c r="AV1215" i="1" s="1"/>
  <c r="H491" i="24"/>
  <c r="H303" i="24"/>
  <c r="H304" i="24"/>
  <c r="R1188" i="1"/>
  <c r="S1188" i="1" s="1"/>
  <c r="AV1188" i="1" s="1"/>
  <c r="R1187" i="1"/>
  <c r="S1187" i="1" s="1"/>
  <c r="AV1187" i="1" s="1"/>
  <c r="R1189" i="1"/>
  <c r="S1189" i="1" s="1"/>
  <c r="AV1189" i="1" s="1"/>
  <c r="H300" i="24"/>
  <c r="H299" i="24"/>
  <c r="H488" i="24"/>
  <c r="H32" i="24"/>
  <c r="J480" i="24"/>
  <c r="AN68" i="1" s="1"/>
  <c r="H480" i="24"/>
  <c r="H297" i="24"/>
  <c r="S1258" i="1"/>
  <c r="AV1258" i="1" s="1"/>
  <c r="S1259" i="1"/>
  <c r="AV1259" i="1" s="1"/>
  <c r="S1260" i="1"/>
  <c r="AV1260" i="1" s="1"/>
  <c r="S1261" i="1"/>
  <c r="AV1261" i="1" s="1"/>
  <c r="S1262" i="1"/>
  <c r="AV1262" i="1" s="1"/>
  <c r="S1263" i="1"/>
  <c r="AV1263" i="1" s="1"/>
  <c r="S1264" i="1"/>
  <c r="AV1264" i="1" s="1"/>
  <c r="S1265" i="1"/>
  <c r="AV1265" i="1" s="1"/>
  <c r="S1266" i="1"/>
  <c r="AV1266" i="1" s="1"/>
  <c r="S1267" i="1"/>
  <c r="AV1267" i="1" s="1"/>
  <c r="S1268" i="1"/>
  <c r="AV1268" i="1" s="1"/>
  <c r="S1269" i="1"/>
  <c r="AV1269" i="1" s="1"/>
  <c r="S1270" i="1"/>
  <c r="AV1270" i="1" s="1"/>
  <c r="S1271" i="1"/>
  <c r="AV1271" i="1" s="1"/>
  <c r="S1272" i="1"/>
  <c r="AV1272" i="1" s="1"/>
  <c r="S1273" i="1"/>
  <c r="AV1273" i="1" s="1"/>
  <c r="S1274" i="1"/>
  <c r="AV1274" i="1" s="1"/>
  <c r="S1275" i="1"/>
  <c r="AV1275" i="1" s="1"/>
  <c r="S1276" i="1"/>
  <c r="AV1276" i="1" s="1"/>
  <c r="S1277" i="1"/>
  <c r="AV1277" i="1" s="1"/>
  <c r="S1278" i="1"/>
  <c r="AV1278" i="1" s="1"/>
  <c r="R1162" i="1"/>
  <c r="S1162" i="1" s="1"/>
  <c r="AV1162" i="1" s="1"/>
  <c r="R1163" i="1"/>
  <c r="S1163" i="1" s="1"/>
  <c r="AV1163" i="1" s="1"/>
  <c r="R1164" i="1"/>
  <c r="S1164" i="1" s="1"/>
  <c r="AV1164" i="1" s="1"/>
  <c r="R1165" i="1"/>
  <c r="S1165" i="1" s="1"/>
  <c r="AV1165" i="1" s="1"/>
  <c r="R1166" i="1"/>
  <c r="S1166" i="1" s="1"/>
  <c r="AV1166" i="1" s="1"/>
  <c r="R1167" i="1"/>
  <c r="S1167" i="1" s="1"/>
  <c r="AV1167" i="1" s="1"/>
  <c r="R1168" i="1"/>
  <c r="S1168" i="1" s="1"/>
  <c r="AV1168" i="1" s="1"/>
  <c r="R1169" i="1"/>
  <c r="S1169" i="1" s="1"/>
  <c r="AV1169" i="1" s="1"/>
  <c r="R1170" i="1"/>
  <c r="S1170" i="1" s="1"/>
  <c r="AV1170" i="1" s="1"/>
  <c r="R1171" i="1"/>
  <c r="S1171" i="1" s="1"/>
  <c r="AV1171" i="1" s="1"/>
  <c r="R1172" i="1"/>
  <c r="S1172" i="1" s="1"/>
  <c r="AV1172" i="1" s="1"/>
  <c r="R1173" i="1"/>
  <c r="S1173" i="1" s="1"/>
  <c r="AV1173" i="1" s="1"/>
  <c r="R1174" i="1"/>
  <c r="S1174" i="1" s="1"/>
  <c r="AV1174" i="1" s="1"/>
  <c r="R1175" i="1"/>
  <c r="S1175" i="1" s="1"/>
  <c r="AV1175" i="1" s="1"/>
  <c r="R1176" i="1"/>
  <c r="S1176" i="1" s="1"/>
  <c r="AV1176" i="1" s="1"/>
  <c r="R1177" i="1"/>
  <c r="S1177" i="1" s="1"/>
  <c r="AV1177" i="1" s="1"/>
  <c r="R1178" i="1"/>
  <c r="S1178" i="1" s="1"/>
  <c r="AV1178" i="1" s="1"/>
  <c r="R1179" i="1"/>
  <c r="S1179" i="1" s="1"/>
  <c r="AV1179" i="1" s="1"/>
  <c r="R1180" i="1"/>
  <c r="S1180" i="1" s="1"/>
  <c r="AV1180" i="1" s="1"/>
  <c r="R1181" i="1"/>
  <c r="S1181" i="1" s="1"/>
  <c r="AV1181" i="1" s="1"/>
  <c r="R1182" i="1"/>
  <c r="S1182" i="1" s="1"/>
  <c r="AV1182" i="1" s="1"/>
  <c r="R1183" i="1"/>
  <c r="S1183" i="1" s="1"/>
  <c r="AV1183" i="1" s="1"/>
  <c r="R1184" i="1"/>
  <c r="S1184" i="1" s="1"/>
  <c r="AV1184" i="1" s="1"/>
  <c r="R1185" i="1"/>
  <c r="S1185" i="1" s="1"/>
  <c r="AV1185" i="1" s="1"/>
  <c r="R1186" i="1"/>
  <c r="S1186" i="1" s="1"/>
  <c r="AV1186" i="1" s="1"/>
  <c r="R1190" i="1"/>
  <c r="S1190" i="1" s="1"/>
  <c r="R1191" i="1"/>
  <c r="S1191" i="1" s="1"/>
  <c r="AV1191" i="1" s="1"/>
  <c r="R1192" i="1"/>
  <c r="S1192" i="1" s="1"/>
  <c r="AV1192" i="1" s="1"/>
  <c r="R1193" i="1"/>
  <c r="S1193" i="1" s="1"/>
  <c r="AV1193" i="1" s="1"/>
  <c r="R1194" i="1"/>
  <c r="S1194" i="1" s="1"/>
  <c r="AV1194" i="1" s="1"/>
  <c r="R1195" i="1"/>
  <c r="S1195" i="1" s="1"/>
  <c r="AV1195" i="1" s="1"/>
  <c r="R1196" i="1"/>
  <c r="S1196" i="1" s="1"/>
  <c r="AV1196" i="1" s="1"/>
  <c r="R1197" i="1"/>
  <c r="S1197" i="1" s="1"/>
  <c r="AV1197" i="1" s="1"/>
  <c r="R1198" i="1"/>
  <c r="S1198" i="1" s="1"/>
  <c r="AV1198" i="1" s="1"/>
  <c r="R1199" i="1"/>
  <c r="S1199" i="1" s="1"/>
  <c r="AV1199" i="1" s="1"/>
  <c r="R1200" i="1"/>
  <c r="S1200" i="1" s="1"/>
  <c r="AV1200" i="1" s="1"/>
  <c r="R1202" i="1"/>
  <c r="S1202" i="1" s="1"/>
  <c r="AV1202" i="1" s="1"/>
  <c r="R1203" i="1"/>
  <c r="S1203" i="1" s="1"/>
  <c r="AV1203" i="1" s="1"/>
  <c r="R1204" i="1"/>
  <c r="S1204" i="1" s="1"/>
  <c r="AV1204" i="1" s="1"/>
  <c r="R1205" i="1"/>
  <c r="S1205" i="1" s="1"/>
  <c r="AV1205" i="1" s="1"/>
  <c r="R1206" i="1"/>
  <c r="S1206" i="1" s="1"/>
  <c r="AV1206" i="1" s="1"/>
  <c r="R1207" i="1"/>
  <c r="S1207" i="1" s="1"/>
  <c r="AV1207" i="1" s="1"/>
  <c r="R1208" i="1"/>
  <c r="S1208" i="1" s="1"/>
  <c r="AV1208" i="1" s="1"/>
  <c r="R1209" i="1"/>
  <c r="S1209" i="1" s="1"/>
  <c r="AV1209" i="1" s="1"/>
  <c r="R1210" i="1"/>
  <c r="S1210" i="1" s="1"/>
  <c r="AV1210" i="1" s="1"/>
  <c r="R1211" i="1"/>
  <c r="S1211" i="1" s="1"/>
  <c r="AV1211" i="1" s="1"/>
  <c r="S1212" i="1"/>
  <c r="AV1212" i="1" s="1"/>
  <c r="S1213" i="1"/>
  <c r="AV1213" i="1" s="1"/>
  <c r="AR48" i="92"/>
  <c r="AQ48" i="92"/>
  <c r="H49" i="64" s="1"/>
  <c r="AP48" i="92"/>
  <c r="D49" i="64" s="1"/>
  <c r="AN48" i="92"/>
  <c r="AM48" i="92"/>
  <c r="AL48" i="92"/>
  <c r="AK48" i="92"/>
  <c r="AJ48" i="92"/>
  <c r="L49" i="64" s="1"/>
  <c r="AD48" i="92"/>
  <c r="AB48" i="92"/>
  <c r="Z48" i="92"/>
  <c r="Y48" i="92"/>
  <c r="X48" i="92"/>
  <c r="W48" i="92"/>
  <c r="V48" i="92"/>
  <c r="AR47" i="92"/>
  <c r="AQ47" i="92"/>
  <c r="H48" i="64" s="1"/>
  <c r="AP47" i="92"/>
  <c r="D48" i="64" s="1"/>
  <c r="AN47" i="92"/>
  <c r="AM47" i="92"/>
  <c r="AL47" i="92"/>
  <c r="AK47" i="92"/>
  <c r="AJ47" i="92"/>
  <c r="L48" i="64" s="1"/>
  <c r="AD47" i="92"/>
  <c r="AB47" i="92"/>
  <c r="Z47" i="92"/>
  <c r="Y47" i="92"/>
  <c r="X47" i="92"/>
  <c r="W47" i="92"/>
  <c r="V47" i="92"/>
  <c r="AR46" i="92"/>
  <c r="AQ46" i="92"/>
  <c r="H47" i="64" s="1"/>
  <c r="AP46" i="92"/>
  <c r="D47" i="64" s="1"/>
  <c r="AN46" i="92"/>
  <c r="AM46" i="92"/>
  <c r="AL46" i="92"/>
  <c r="AK46" i="92"/>
  <c r="AJ46" i="92"/>
  <c r="L47" i="64" s="1"/>
  <c r="AD46" i="92"/>
  <c r="AB46" i="92"/>
  <c r="Z46" i="92"/>
  <c r="Y46" i="92"/>
  <c r="X46" i="92"/>
  <c r="W46" i="92"/>
  <c r="V46" i="92"/>
  <c r="AR27" i="92"/>
  <c r="AQ27" i="92"/>
  <c r="H29" i="64" s="1"/>
  <c r="AP27" i="92"/>
  <c r="D31" i="64" s="1"/>
  <c r="AN27" i="92"/>
  <c r="AM27" i="92"/>
  <c r="AL27" i="92"/>
  <c r="AK27" i="92"/>
  <c r="AJ27" i="92"/>
  <c r="L30" i="64" s="1"/>
  <c r="AD27" i="92"/>
  <c r="AB27" i="92"/>
  <c r="Z27" i="92"/>
  <c r="Y27" i="92"/>
  <c r="X27" i="92"/>
  <c r="W27" i="92"/>
  <c r="V27" i="92"/>
  <c r="BE41" i="92" l="1"/>
  <c r="E19" i="117"/>
  <c r="AV1190" i="1"/>
  <c r="R36" i="111"/>
  <c r="E22" i="128"/>
  <c r="I54" i="121"/>
  <c r="AN1164" i="1"/>
  <c r="AN1336" i="1"/>
  <c r="AK425" i="1"/>
  <c r="AL425" i="1"/>
  <c r="AK67" i="1"/>
  <c r="AL67" i="1"/>
  <c r="AK1319" i="1"/>
  <c r="AL1319" i="1"/>
  <c r="AK693" i="1"/>
  <c r="AL693" i="1"/>
  <c r="AK69" i="1"/>
  <c r="AL69" i="1"/>
  <c r="AK345" i="1"/>
  <c r="AL345" i="1"/>
  <c r="AK328" i="1"/>
  <c r="AL328" i="1"/>
  <c r="AK1336" i="1"/>
  <c r="AL1336" i="1"/>
  <c r="AK1164" i="1"/>
  <c r="AL1164" i="1"/>
  <c r="AL1337" i="1"/>
  <c r="AK1337" i="1"/>
  <c r="AK1322" i="1"/>
  <c r="AL1322" i="1"/>
  <c r="AK1311" i="1"/>
  <c r="AL1311" i="1"/>
  <c r="AK1288" i="1"/>
  <c r="AL1288" i="1"/>
  <c r="AK1261" i="1"/>
  <c r="AL1261" i="1"/>
  <c r="AK1165" i="1"/>
  <c r="AL1165" i="1"/>
  <c r="AK1318" i="1"/>
  <c r="AL1318" i="1"/>
  <c r="AK1259" i="1"/>
  <c r="AL1259" i="1"/>
  <c r="AL1166" i="1"/>
  <c r="AK1166" i="1"/>
  <c r="AK137" i="1"/>
  <c r="AL137" i="1"/>
  <c r="AK1199" i="1"/>
  <c r="AL1199" i="1"/>
  <c r="AK1169" i="1"/>
  <c r="AL1169" i="1"/>
  <c r="AL1297" i="1"/>
  <c r="AK1297" i="1"/>
  <c r="AK1172" i="1"/>
  <c r="AL1172" i="1"/>
  <c r="AK1191" i="1"/>
  <c r="AL1191" i="1"/>
  <c r="AL1174" i="1"/>
  <c r="AK1174" i="1"/>
  <c r="AK1203" i="1"/>
  <c r="AL1203" i="1"/>
  <c r="AL1192" i="1"/>
  <c r="AK1192" i="1"/>
  <c r="AK1175" i="1"/>
  <c r="AL1175" i="1"/>
  <c r="AK1340" i="1"/>
  <c r="AL1340" i="1"/>
  <c r="AK1286" i="1"/>
  <c r="AL1286" i="1"/>
  <c r="AK1177" i="1"/>
  <c r="AL1177" i="1"/>
  <c r="AK1343" i="1"/>
  <c r="AL1343" i="1"/>
  <c r="AL1323" i="1"/>
  <c r="AK1323" i="1"/>
  <c r="AK1294" i="1"/>
  <c r="AL1294" i="1"/>
  <c r="AK1193" i="1"/>
  <c r="AL1193" i="1"/>
  <c r="AL1178" i="1"/>
  <c r="AK1178" i="1"/>
  <c r="AK1209" i="1"/>
  <c r="AL1209" i="1"/>
  <c r="AK1183" i="1"/>
  <c r="AL1183" i="1"/>
  <c r="AK1315" i="1"/>
  <c r="AL1315" i="1"/>
  <c r="AK1243" i="1"/>
  <c r="AL1243" i="1"/>
  <c r="AK1188" i="1"/>
  <c r="AL1188" i="1"/>
  <c r="AK1317" i="1"/>
  <c r="AL1317" i="1"/>
  <c r="AK1214" i="1"/>
  <c r="AL1214" i="1"/>
  <c r="AK1195" i="1"/>
  <c r="AL1195" i="1"/>
  <c r="AK679" i="1"/>
  <c r="AL679" i="1"/>
  <c r="AK1342" i="1"/>
  <c r="AL1342" i="1"/>
  <c r="AK1271" i="1"/>
  <c r="AL1271" i="1"/>
  <c r="AL1206" i="1"/>
  <c r="AK1206" i="1"/>
  <c r="AK443" i="1"/>
  <c r="AL443" i="1"/>
  <c r="AK327" i="1"/>
  <c r="AL327" i="1"/>
  <c r="AK1345" i="1"/>
  <c r="AL1345" i="1"/>
  <c r="AL1198" i="1"/>
  <c r="AK1198" i="1"/>
  <c r="AK1279" i="1"/>
  <c r="AL1279" i="1"/>
  <c r="AK1215" i="1"/>
  <c r="AL1215" i="1"/>
  <c r="AK1201" i="1"/>
  <c r="AL1201" i="1"/>
  <c r="AK1326" i="1"/>
  <c r="AL1326" i="1"/>
  <c r="AK1314" i="1"/>
  <c r="AL1314" i="1"/>
  <c r="AK1303" i="1"/>
  <c r="AL1303" i="1"/>
  <c r="AK1296" i="1"/>
  <c r="AL1296" i="1"/>
  <c r="AL1212" i="1"/>
  <c r="AK1212" i="1"/>
  <c r="AK1262" i="1"/>
  <c r="AL1262" i="1"/>
  <c r="AK1205" i="1"/>
  <c r="AL1205" i="1"/>
  <c r="AL1349" i="1"/>
  <c r="AK1349" i="1"/>
  <c r="AK1276" i="1"/>
  <c r="AL1276" i="1"/>
  <c r="AK890" i="1"/>
  <c r="AL890" i="1"/>
  <c r="AL393" i="1"/>
  <c r="AK393" i="1"/>
  <c r="AK75" i="1"/>
  <c r="AL75" i="1"/>
  <c r="AK352" i="1"/>
  <c r="AL352" i="1"/>
  <c r="AK76" i="1"/>
  <c r="AL76" i="1"/>
  <c r="AK273" i="1"/>
  <c r="AL273" i="1"/>
  <c r="AK271" i="1"/>
  <c r="AL271" i="1"/>
  <c r="AK1344" i="1"/>
  <c r="AL1344" i="1"/>
  <c r="AK1335" i="1"/>
  <c r="AL1335" i="1"/>
  <c r="AL1321" i="1"/>
  <c r="AK1321" i="1"/>
  <c r="AK1310" i="1"/>
  <c r="AL1310" i="1"/>
  <c r="AK1299" i="1"/>
  <c r="AL1299" i="1"/>
  <c r="AK1291" i="1"/>
  <c r="AL1291" i="1"/>
  <c r="P54" i="111"/>
  <c r="C22" i="128" s="1"/>
  <c r="J13" i="95"/>
  <c r="J12" i="95"/>
  <c r="BV22" i="92"/>
  <c r="BH22" i="92"/>
  <c r="BV29" i="92"/>
  <c r="BH29" i="92"/>
  <c r="BV14" i="92"/>
  <c r="BH14" i="92"/>
  <c r="BV18" i="92"/>
  <c r="BH18" i="92"/>
  <c r="BU22" i="92"/>
  <c r="BG22" i="92"/>
  <c r="BW25" i="92"/>
  <c r="BI25" i="92"/>
  <c r="BU29" i="92"/>
  <c r="BG29" i="92"/>
  <c r="BG33" i="92"/>
  <c r="BU33" i="92"/>
  <c r="BU37" i="92"/>
  <c r="BG37" i="92"/>
  <c r="BV40" i="92"/>
  <c r="BH40" i="92"/>
  <c r="BV42" i="92"/>
  <c r="BH42" i="92"/>
  <c r="BU46" i="92"/>
  <c r="BG46" i="92"/>
  <c r="BV46" i="92"/>
  <c r="BH46" i="92"/>
  <c r="BX15" i="92"/>
  <c r="BJ15" i="92"/>
  <c r="BV19" i="92"/>
  <c r="BH19" i="92"/>
  <c r="BU23" i="92"/>
  <c r="BG23" i="92"/>
  <c r="BV26" i="92"/>
  <c r="BH26" i="92"/>
  <c r="BU30" i="92"/>
  <c r="BG30" i="92"/>
  <c r="BU34" i="92"/>
  <c r="BG34" i="92"/>
  <c r="BG38" i="92"/>
  <c r="BU38" i="92"/>
  <c r="BV43" i="92"/>
  <c r="BH43" i="92"/>
  <c r="BU47" i="92"/>
  <c r="BG47" i="92"/>
  <c r="BU43" i="92"/>
  <c r="BG43" i="92"/>
  <c r="BU16" i="92"/>
  <c r="BG16" i="92"/>
  <c r="BX19" i="92"/>
  <c r="BJ19" i="92"/>
  <c r="BV23" i="92"/>
  <c r="BH23" i="92"/>
  <c r="BX26" i="92"/>
  <c r="BJ26" i="92"/>
  <c r="BV30" i="92"/>
  <c r="BH30" i="92"/>
  <c r="BV34" i="92"/>
  <c r="BH34" i="92"/>
  <c r="BV38" i="92"/>
  <c r="BH38" i="92"/>
  <c r="BU44" i="92"/>
  <c r="BG44" i="92"/>
  <c r="BV47" i="92"/>
  <c r="BH47" i="92"/>
  <c r="BU26" i="92"/>
  <c r="BG26" i="92"/>
  <c r="BU12" i="92"/>
  <c r="BG12" i="92"/>
  <c r="BV12" i="92"/>
  <c r="BH12" i="92"/>
  <c r="BV16" i="92"/>
  <c r="BH16" i="92"/>
  <c r="BU20" i="92"/>
  <c r="BG20" i="92"/>
  <c r="BU24" i="92"/>
  <c r="BG24" i="92"/>
  <c r="BU27" i="92"/>
  <c r="BG27" i="92"/>
  <c r="BU31" i="92"/>
  <c r="BG31" i="92"/>
  <c r="BX34" i="92"/>
  <c r="BJ34" i="92"/>
  <c r="BX38" i="92"/>
  <c r="BJ38" i="92"/>
  <c r="BV44" i="92"/>
  <c r="BH44" i="92"/>
  <c r="BU48" i="92"/>
  <c r="BG48" i="92"/>
  <c r="BU15" i="92"/>
  <c r="BG15" i="92"/>
  <c r="BV37" i="92"/>
  <c r="BH37" i="92"/>
  <c r="BU13" i="92"/>
  <c r="BG13" i="92"/>
  <c r="BV20" i="92"/>
  <c r="BH20" i="92"/>
  <c r="BV24" i="92"/>
  <c r="BH24" i="92"/>
  <c r="BV27" i="92"/>
  <c r="BH27" i="92"/>
  <c r="BV31" i="92"/>
  <c r="BH31" i="92"/>
  <c r="BU35" i="92"/>
  <c r="BG35" i="92"/>
  <c r="BU39" i="92"/>
  <c r="BG39" i="92"/>
  <c r="BX44" i="92"/>
  <c r="BJ44" i="92"/>
  <c r="BH48" i="92"/>
  <c r="BV48" i="92"/>
  <c r="BU19" i="92"/>
  <c r="BG19" i="92"/>
  <c r="BH33" i="92"/>
  <c r="BV33" i="92"/>
  <c r="BV13" i="92"/>
  <c r="BH13" i="92"/>
  <c r="BU21" i="92"/>
  <c r="BG21" i="92"/>
  <c r="BU25" i="92"/>
  <c r="BG25" i="92"/>
  <c r="BU28" i="92"/>
  <c r="BG28" i="92"/>
  <c r="BU32" i="92"/>
  <c r="BG32" i="92"/>
  <c r="BV35" i="92"/>
  <c r="BH35" i="92"/>
  <c r="BV39" i="92"/>
  <c r="BH39" i="92"/>
  <c r="BU45" i="92"/>
  <c r="BG45" i="92"/>
  <c r="BW26" i="92"/>
  <c r="BI26" i="92"/>
  <c r="BU14" i="92"/>
  <c r="BG14" i="92"/>
  <c r="BU18" i="92"/>
  <c r="BG18" i="92"/>
  <c r="BV21" i="92"/>
  <c r="BH21" i="92"/>
  <c r="BV25" i="92"/>
  <c r="BH25" i="92"/>
  <c r="BV28" i="92"/>
  <c r="BH28" i="92"/>
  <c r="BV32" i="92"/>
  <c r="BH32" i="92"/>
  <c r="BH36" i="92"/>
  <c r="BV36" i="92"/>
  <c r="BU40" i="92"/>
  <c r="BG40" i="92"/>
  <c r="BU42" i="92"/>
  <c r="BG42" i="92"/>
  <c r="BV45" i="92"/>
  <c r="BH45" i="92"/>
  <c r="M50" i="111"/>
  <c r="L50" i="109"/>
  <c r="Q52" i="92"/>
  <c r="Q51" i="92"/>
  <c r="R52" i="92"/>
  <c r="R51" i="92"/>
  <c r="S52" i="92"/>
  <c r="O1205" i="1"/>
  <c r="O1262" i="1"/>
  <c r="P1262" i="1" s="1"/>
  <c r="H309" i="24"/>
  <c r="H385" i="24"/>
  <c r="AA27" i="92"/>
  <c r="AA47" i="92"/>
  <c r="AO47" i="92"/>
  <c r="AO48" i="92"/>
  <c r="AO27" i="92"/>
  <c r="AA46" i="92"/>
  <c r="AO46" i="92"/>
  <c r="AA48" i="92"/>
  <c r="P1205" i="1" l="1"/>
  <c r="Q1205" i="1"/>
  <c r="G19" i="128"/>
  <c r="D19" i="128"/>
  <c r="K42" i="95"/>
  <c r="K33" i="95"/>
  <c r="BU52" i="92"/>
  <c r="BG52" i="92"/>
  <c r="BX28" i="92"/>
  <c r="BJ28" i="92"/>
  <c r="BJ31" i="92"/>
  <c r="BX31" i="92"/>
  <c r="BX12" i="92"/>
  <c r="BJ12" i="92"/>
  <c r="BX18" i="92"/>
  <c r="BJ18" i="92"/>
  <c r="BX21" i="92"/>
  <c r="BJ21" i="92"/>
  <c r="K31" i="95"/>
  <c r="N38" i="95"/>
  <c r="K40" i="95"/>
  <c r="N27" i="95"/>
  <c r="K13" i="95"/>
  <c r="K27" i="95"/>
  <c r="L31" i="95"/>
  <c r="K16" i="95"/>
  <c r="BW52" i="92"/>
  <c r="BI52" i="92"/>
  <c r="BX24" i="92"/>
  <c r="BJ24" i="92"/>
  <c r="BX43" i="92"/>
  <c r="BJ43" i="92"/>
  <c r="BJ46" i="92"/>
  <c r="BX46" i="92"/>
  <c r="BX13" i="92"/>
  <c r="BJ13" i="92"/>
  <c r="L29" i="95"/>
  <c r="L40" i="95"/>
  <c r="K26" i="95"/>
  <c r="L44" i="95"/>
  <c r="L24" i="95"/>
  <c r="L20" i="95"/>
  <c r="N26" i="95"/>
  <c r="BX14" i="92"/>
  <c r="BJ14" i="92"/>
  <c r="BV51" i="92"/>
  <c r="BH51" i="92"/>
  <c r="BX20" i="92"/>
  <c r="BJ20" i="92"/>
  <c r="BX37" i="92"/>
  <c r="BJ37" i="92"/>
  <c r="BX42" i="92"/>
  <c r="BJ42" i="92"/>
  <c r="BX48" i="92"/>
  <c r="BJ48" i="92"/>
  <c r="K37" i="95"/>
  <c r="K32" i="95"/>
  <c r="K23" i="95"/>
  <c r="K14" i="95"/>
  <c r="K12" i="95"/>
  <c r="K22" i="95"/>
  <c r="K20" i="95"/>
  <c r="L37" i="95"/>
  <c r="L43" i="95"/>
  <c r="BX45" i="92"/>
  <c r="BJ45" i="92"/>
  <c r="BX16" i="92"/>
  <c r="BJ16" i="92"/>
  <c r="BX33" i="92"/>
  <c r="BJ33" i="92"/>
  <c r="BX40" i="92"/>
  <c r="BJ40" i="92"/>
  <c r="BX30" i="92"/>
  <c r="BJ30" i="92"/>
  <c r="L39" i="95"/>
  <c r="L23" i="95"/>
  <c r="L14" i="95"/>
  <c r="L12" i="95"/>
  <c r="K24" i="95"/>
  <c r="L41" i="95"/>
  <c r="L26" i="95"/>
  <c r="K43" i="95"/>
  <c r="BX47" i="92"/>
  <c r="BJ47" i="92"/>
  <c r="BV52" i="92"/>
  <c r="BH52" i="92"/>
  <c r="BX29" i="92"/>
  <c r="BJ29" i="92"/>
  <c r="BX36" i="92"/>
  <c r="BJ36" i="92"/>
  <c r="BX23" i="92"/>
  <c r="BJ23" i="92"/>
  <c r="L42" i="95"/>
  <c r="K19" i="95"/>
  <c r="M13" i="95"/>
  <c r="K34" i="95"/>
  <c r="L22" i="95"/>
  <c r="N41" i="95"/>
  <c r="N13" i="95"/>
  <c r="L19" i="95"/>
  <c r="L15" i="95"/>
  <c r="BX27" i="92"/>
  <c r="BJ27" i="92"/>
  <c r="K44" i="95"/>
  <c r="BX39" i="92"/>
  <c r="BJ39" i="92"/>
  <c r="BU51" i="92"/>
  <c r="BG51" i="92"/>
  <c r="BX25" i="92"/>
  <c r="BJ25" i="92"/>
  <c r="BX32" i="92"/>
  <c r="BJ32" i="92"/>
  <c r="K29" i="95"/>
  <c r="K30" i="95"/>
  <c r="L36" i="95"/>
  <c r="K35" i="95"/>
  <c r="K38" i="95"/>
  <c r="K41" i="95"/>
  <c r="L13" i="95"/>
  <c r="K36" i="95"/>
  <c r="L34" i="95"/>
  <c r="K17" i="95"/>
  <c r="K15" i="95"/>
  <c r="BX35" i="92"/>
  <c r="BJ35" i="92"/>
  <c r="BX22" i="92"/>
  <c r="BJ22" i="92"/>
  <c r="L28" i="95"/>
  <c r="L32" i="95"/>
  <c r="K18" i="95"/>
  <c r="L30" i="95"/>
  <c r="K39" i="95"/>
  <c r="L35" i="95"/>
  <c r="L38" i="95"/>
  <c r="L27" i="95"/>
  <c r="L33" i="95"/>
  <c r="L17" i="95"/>
  <c r="N16" i="95"/>
  <c r="M32" i="95"/>
  <c r="L18" i="95"/>
  <c r="T51" i="92"/>
  <c r="T52" i="92"/>
  <c r="F56" i="24"/>
  <c r="AJ772" i="1" s="1"/>
  <c r="F296" i="24"/>
  <c r="AJ771" i="1" s="1"/>
  <c r="F478" i="24"/>
  <c r="AJ1030" i="1" s="1"/>
  <c r="F477" i="24"/>
  <c r="G476" i="24"/>
  <c r="O916" i="1" s="1"/>
  <c r="P916" i="1" s="1"/>
  <c r="R914" i="1" s="1"/>
  <c r="S914" i="1" s="1"/>
  <c r="F476" i="24"/>
  <c r="AJ916" i="1" s="1"/>
  <c r="F475" i="24"/>
  <c r="AJ937" i="1" s="1"/>
  <c r="H737" i="1"/>
  <c r="F295" i="24"/>
  <c r="AJ439" i="1" s="1"/>
  <c r="F384" i="24"/>
  <c r="AJ416" i="1" s="1"/>
  <c r="F474" i="24"/>
  <c r="AJ407" i="1" s="1"/>
  <c r="F116" i="24"/>
  <c r="AJ651" i="1" s="1"/>
  <c r="F117" i="24"/>
  <c r="AJ652" i="1" s="1"/>
  <c r="F472" i="24"/>
  <c r="AJ415" i="1" s="1"/>
  <c r="F473" i="24"/>
  <c r="AJ410" i="1" s="1"/>
  <c r="F294" i="24"/>
  <c r="AJ460" i="1" s="1"/>
  <c r="R737" i="1" l="1"/>
  <c r="S737" i="1" s="1"/>
  <c r="AZ737" i="1"/>
  <c r="AY737" i="1"/>
  <c r="AV914" i="1"/>
  <c r="D22" i="53"/>
  <c r="H19" i="128"/>
  <c r="AK460" i="1"/>
  <c r="AL460" i="1"/>
  <c r="AK410" i="1"/>
  <c r="AL410" i="1"/>
  <c r="AL415" i="1"/>
  <c r="AK415" i="1"/>
  <c r="AL652" i="1"/>
  <c r="AK652" i="1"/>
  <c r="AK651" i="1"/>
  <c r="AL651" i="1"/>
  <c r="AK407" i="1"/>
  <c r="AL407" i="1"/>
  <c r="AK416" i="1"/>
  <c r="AL416" i="1"/>
  <c r="AK439" i="1"/>
  <c r="AL439" i="1"/>
  <c r="AK937" i="1"/>
  <c r="AL937" i="1"/>
  <c r="AK916" i="1"/>
  <c r="AL916" i="1"/>
  <c r="AJ770" i="1"/>
  <c r="AJ1028" i="1"/>
  <c r="AK1030" i="1"/>
  <c r="AL1030" i="1"/>
  <c r="AK771" i="1"/>
  <c r="AL771" i="1"/>
  <c r="AK772" i="1"/>
  <c r="AL772" i="1"/>
  <c r="K25" i="95"/>
  <c r="N20" i="95"/>
  <c r="N18" i="95"/>
  <c r="N14" i="95"/>
  <c r="N40" i="95"/>
  <c r="N22" i="95"/>
  <c r="N44" i="95"/>
  <c r="N19" i="95"/>
  <c r="N12" i="95"/>
  <c r="BW12" i="92"/>
  <c r="BI12" i="92"/>
  <c r="BJ51" i="92"/>
  <c r="BX51" i="92"/>
  <c r="N34" i="95"/>
  <c r="N37" i="95"/>
  <c r="N23" i="95"/>
  <c r="N28" i="95"/>
  <c r="BX52" i="92"/>
  <c r="BJ52" i="92"/>
  <c r="N30" i="95"/>
  <c r="N43" i="95"/>
  <c r="N42" i="95"/>
  <c r="N31" i="95"/>
  <c r="N39" i="95"/>
  <c r="L25" i="95"/>
  <c r="M21" i="95"/>
  <c r="N24" i="95"/>
  <c r="N35" i="95"/>
  <c r="N32" i="95"/>
  <c r="N33" i="95"/>
  <c r="N15" i="95"/>
  <c r="L21" i="95"/>
  <c r="N36" i="95"/>
  <c r="N17" i="95"/>
  <c r="N29" i="95"/>
  <c r="K21" i="95"/>
  <c r="S51" i="92"/>
  <c r="C22" i="56"/>
  <c r="G22" i="53" l="1"/>
  <c r="D54" i="53"/>
  <c r="C18" i="126"/>
  <c r="C23" i="126" s="1"/>
  <c r="C18" i="117"/>
  <c r="C20" i="56"/>
  <c r="AK1028" i="1"/>
  <c r="AL1028" i="1"/>
  <c r="AK770" i="1"/>
  <c r="AL770" i="1"/>
  <c r="BW51" i="92"/>
  <c r="BI51" i="92"/>
  <c r="N25" i="95"/>
  <c r="M24" i="95"/>
  <c r="N21" i="95"/>
  <c r="K36" i="109"/>
  <c r="Q36" i="109" s="1"/>
  <c r="C23" i="117" l="1"/>
  <c r="M25" i="95"/>
  <c r="K45" i="109" l="1"/>
  <c r="Q45" i="109" s="1"/>
  <c r="R45" i="15"/>
  <c r="L45" i="111"/>
  <c r="F293" i="24"/>
  <c r="AJ435" i="1" s="1"/>
  <c r="F292" i="24"/>
  <c r="AJ475" i="1" s="1"/>
  <c r="R45" i="111" l="1"/>
  <c r="E18" i="128"/>
  <c r="AK475" i="1"/>
  <c r="AL475" i="1"/>
  <c r="AK435" i="1"/>
  <c r="AL435" i="1"/>
  <c r="H292" i="24"/>
  <c r="K2" i="1" l="1"/>
  <c r="G178" i="24"/>
  <c r="O465" i="1" l="1"/>
  <c r="O466" i="1"/>
  <c r="Q2" i="1"/>
  <c r="P2" i="1"/>
  <c r="G46" i="24"/>
  <c r="O627" i="1" s="1"/>
  <c r="G42" i="24"/>
  <c r="O626" i="1" s="1"/>
  <c r="G44" i="24"/>
  <c r="O625" i="1" s="1"/>
  <c r="F27" i="24"/>
  <c r="AJ628" i="1" s="1"/>
  <c r="F44" i="24"/>
  <c r="AJ625" i="1" s="1"/>
  <c r="F42" i="24"/>
  <c r="AJ626" i="1" s="1"/>
  <c r="F46" i="24"/>
  <c r="AJ627" i="1" s="1"/>
  <c r="G27" i="24"/>
  <c r="O628" i="1" s="1"/>
  <c r="AM2" i="1"/>
  <c r="AK627" i="1" l="1"/>
  <c r="AL627" i="1"/>
  <c r="AK626" i="1"/>
  <c r="AL626" i="1"/>
  <c r="AK625" i="1"/>
  <c r="AL625" i="1"/>
  <c r="AL628" i="1"/>
  <c r="AK628" i="1"/>
  <c r="Q466" i="1"/>
  <c r="P466" i="1"/>
  <c r="P465" i="1"/>
  <c r="Q465" i="1"/>
  <c r="N26" i="121"/>
  <c r="M26" i="121"/>
  <c r="O2" i="1"/>
  <c r="F212" i="24"/>
  <c r="AJ1156" i="1" s="1"/>
  <c r="F26" i="24"/>
  <c r="F196" i="24"/>
  <c r="AJ894" i="1" s="1"/>
  <c r="F412" i="24"/>
  <c r="AJ343" i="1" s="1"/>
  <c r="F25" i="24"/>
  <c r="AJ120" i="1" s="1"/>
  <c r="F179" i="24"/>
  <c r="AJ398" i="1" s="1"/>
  <c r="F411" i="24"/>
  <c r="F63" i="24"/>
  <c r="AJ462" i="1" s="1"/>
  <c r="F158" i="24"/>
  <c r="AJ1031" i="1" s="1"/>
  <c r="F136" i="24"/>
  <c r="AJ650" i="1" s="1"/>
  <c r="F189" i="24"/>
  <c r="AJ769" i="1" s="1"/>
  <c r="F192" i="24"/>
  <c r="F24" i="24"/>
  <c r="AJ23" i="1" s="1"/>
  <c r="F245" i="24"/>
  <c r="AJ431" i="1" s="1"/>
  <c r="F173" i="24"/>
  <c r="F65" i="24"/>
  <c r="F380" i="24"/>
  <c r="AJ50" i="1" s="1"/>
  <c r="F408" i="24"/>
  <c r="AJ705" i="1" s="1"/>
  <c r="F135" i="24"/>
  <c r="AJ1012" i="1" s="1"/>
  <c r="F84" i="24"/>
  <c r="AJ805" i="1" s="1"/>
  <c r="F102" i="24"/>
  <c r="AJ1224" i="1" s="1"/>
  <c r="F101" i="24"/>
  <c r="AJ1219" i="1" s="1"/>
  <c r="F422" i="24"/>
  <c r="F204" i="24"/>
  <c r="F134" i="24"/>
  <c r="AJ10" i="1" s="1"/>
  <c r="F133" i="24"/>
  <c r="AJ9" i="1" s="1"/>
  <c r="F223" i="24"/>
  <c r="AJ909" i="1" s="1"/>
  <c r="F425" i="24"/>
  <c r="F424" i="24"/>
  <c r="F423" i="24"/>
  <c r="AJ324" i="1" s="1"/>
  <c r="F262" i="24"/>
  <c r="F429" i="24"/>
  <c r="F407" i="24"/>
  <c r="F433" i="24"/>
  <c r="AJ3" i="1" s="1"/>
  <c r="F90" i="24"/>
  <c r="F414" i="24"/>
  <c r="AJ203" i="1" s="1"/>
  <c r="F29" i="24"/>
  <c r="F211" i="24"/>
  <c r="F210" i="24"/>
  <c r="AJ1360" i="1" s="1"/>
  <c r="F333" i="24"/>
  <c r="AJ1079" i="1" s="1"/>
  <c r="F132" i="24"/>
  <c r="F365" i="24"/>
  <c r="AJ173" i="1" s="1"/>
  <c r="AK173" i="1" s="1"/>
  <c r="F131" i="24"/>
  <c r="AJ8" i="1" s="1"/>
  <c r="F471" i="24"/>
  <c r="AJ55" i="1" s="1"/>
  <c r="F244" i="24"/>
  <c r="F447" i="24"/>
  <c r="AJ619" i="1" s="1"/>
  <c r="F363" i="24"/>
  <c r="AJ298" i="1" s="1"/>
  <c r="F343" i="24"/>
  <c r="AJ1011" i="1" s="1"/>
  <c r="F232" i="24"/>
  <c r="F221" i="24"/>
  <c r="F51" i="24"/>
  <c r="F342" i="24"/>
  <c r="AJ706" i="1" s="1"/>
  <c r="F23" i="24"/>
  <c r="AJ765" i="1" s="1"/>
  <c r="F22" i="24"/>
  <c r="F21" i="24"/>
  <c r="F361" i="24"/>
  <c r="F130" i="24"/>
  <c r="F115" i="24"/>
  <c r="AJ242" i="1" s="1"/>
  <c r="AK242" i="1" s="1"/>
  <c r="F20" i="24"/>
  <c r="AJ129" i="1" s="1"/>
  <c r="F446" i="24"/>
  <c r="AJ760" i="1" s="1"/>
  <c r="F443" i="24"/>
  <c r="F194" i="24"/>
  <c r="AJ217" i="1" s="1"/>
  <c r="F456" i="24"/>
  <c r="AJ205" i="1" s="1"/>
  <c r="F99" i="24"/>
  <c r="AJ238" i="1" s="1"/>
  <c r="AK238" i="1" s="1"/>
  <c r="F261" i="24"/>
  <c r="AJ301" i="1" s="1"/>
  <c r="F442" i="24"/>
  <c r="AJ278" i="1" s="1"/>
  <c r="F220" i="24"/>
  <c r="AJ168" i="1" s="1"/>
  <c r="F334" i="24"/>
  <c r="AJ1084" i="1" s="1"/>
  <c r="AK1084" i="1" s="1"/>
  <c r="F75" i="24"/>
  <c r="F406" i="24"/>
  <c r="F237" i="24"/>
  <c r="AJ904" i="1" s="1"/>
  <c r="F458" i="24"/>
  <c r="F156" i="24"/>
  <c r="AJ863" i="1" s="1"/>
  <c r="F288" i="24"/>
  <c r="AJ1085" i="1" s="1"/>
  <c r="AK1085" i="1" s="1"/>
  <c r="F379" i="24"/>
  <c r="AJ710" i="1" s="1"/>
  <c r="F94" i="24"/>
  <c r="F335" i="24"/>
  <c r="AJ803" i="1" s="1"/>
  <c r="F250" i="24"/>
  <c r="F253" i="24"/>
  <c r="AJ112" i="1" s="1"/>
  <c r="F209" i="24"/>
  <c r="AJ124" i="1" s="1"/>
  <c r="F176" i="24"/>
  <c r="AJ187" i="1" s="1"/>
  <c r="F263" i="24"/>
  <c r="AJ299" i="1" s="1"/>
  <c r="F336" i="24"/>
  <c r="F103" i="24"/>
  <c r="AJ892" i="1" s="1"/>
  <c r="F415" i="24"/>
  <c r="F405" i="24"/>
  <c r="AJ54" i="1" s="1"/>
  <c r="F417" i="24"/>
  <c r="F197" i="24"/>
  <c r="AJ126" i="1" s="1"/>
  <c r="F83" i="24"/>
  <c r="AJ240" i="1" s="1"/>
  <c r="AK240" i="1" s="1"/>
  <c r="F191" i="24"/>
  <c r="F404" i="24"/>
  <c r="AJ946" i="1" s="1"/>
  <c r="F362" i="24"/>
  <c r="AJ503" i="1" s="1"/>
  <c r="F403" i="24"/>
  <c r="F69" i="24"/>
  <c r="F47" i="24"/>
  <c r="AJ808" i="1" s="1"/>
  <c r="F376" i="24"/>
  <c r="F129" i="24"/>
  <c r="F402" i="24"/>
  <c r="F111" i="24"/>
  <c r="AJ824" i="1" s="1"/>
  <c r="F270" i="24"/>
  <c r="AJ1082" i="1" s="1"/>
  <c r="AK1082" i="1" s="1"/>
  <c r="F73" i="24"/>
  <c r="AJ795" i="1" s="1"/>
  <c r="F154" i="24"/>
  <c r="F217" i="24"/>
  <c r="AJ1280" i="1" s="1"/>
  <c r="F430" i="24"/>
  <c r="AJ885" i="1" s="1"/>
  <c r="F427" i="24"/>
  <c r="AJ544" i="1" s="1"/>
  <c r="F166" i="24"/>
  <c r="F239" i="24"/>
  <c r="F453" i="24"/>
  <c r="AJ150" i="1" s="1"/>
  <c r="F444" i="24"/>
  <c r="AJ875" i="1" s="1"/>
  <c r="F455" i="24"/>
  <c r="AJ877" i="1" s="1"/>
  <c r="F454" i="24"/>
  <c r="AJ876" i="1" s="1"/>
  <c r="F401" i="24"/>
  <c r="AJ844" i="1" s="1"/>
  <c r="F452" i="24"/>
  <c r="AJ845" i="1" s="1"/>
  <c r="F459" i="24"/>
  <c r="AJ843" i="1" s="1"/>
  <c r="F252" i="24"/>
  <c r="AJ499" i="1" s="1"/>
  <c r="F340" i="24"/>
  <c r="AJ643" i="1" s="1"/>
  <c r="F78" i="24"/>
  <c r="AJ1245" i="1" s="1"/>
  <c r="F234" i="24"/>
  <c r="F241" i="24"/>
  <c r="AJ1373" i="1" s="1"/>
  <c r="F162" i="24"/>
  <c r="F206" i="24"/>
  <c r="AJ1229" i="1" s="1"/>
  <c r="F128" i="24"/>
  <c r="F468" i="24"/>
  <c r="F186" i="24"/>
  <c r="F421" i="24"/>
  <c r="AJ553" i="1" s="1"/>
  <c r="F205" i="24"/>
  <c r="AJ1233" i="1" s="1"/>
  <c r="F198" i="24"/>
  <c r="AJ754" i="1" s="1"/>
  <c r="F49" i="24"/>
  <c r="AJ753" i="1" s="1"/>
  <c r="F359" i="24"/>
  <c r="AJ714" i="1" s="1"/>
  <c r="F276" i="24"/>
  <c r="F227" i="24"/>
  <c r="AJ998" i="1" s="1"/>
  <c r="AK998" i="1" s="1"/>
  <c r="F43" i="24"/>
  <c r="AJ236" i="1" s="1"/>
  <c r="AK236" i="1" s="1"/>
  <c r="F113" i="24"/>
  <c r="F208" i="24"/>
  <c r="F364" i="24"/>
  <c r="F218" i="24"/>
  <c r="AJ366" i="1" s="1"/>
  <c r="F170" i="24"/>
  <c r="AJ189" i="1" s="1"/>
  <c r="F199" i="24"/>
  <c r="F165" i="24"/>
  <c r="F350" i="24"/>
  <c r="AJ484" i="1" s="1"/>
  <c r="F354" i="24"/>
  <c r="AJ704" i="1" s="1"/>
  <c r="F400" i="24"/>
  <c r="F467" i="24"/>
  <c r="F19" i="24"/>
  <c r="F195" i="24"/>
  <c r="AJ1007" i="1" s="1"/>
  <c r="F28" i="24"/>
  <c r="F178" i="24"/>
  <c r="F168" i="24"/>
  <c r="AJ1228" i="1" s="1"/>
  <c r="F330" i="24"/>
  <c r="AJ252" i="1" s="1"/>
  <c r="F246" i="24"/>
  <c r="F203" i="24"/>
  <c r="F260" i="24"/>
  <c r="F66" i="24"/>
  <c r="AJ648" i="1" s="1"/>
  <c r="F272" i="24"/>
  <c r="AJ1081" i="1" s="1"/>
  <c r="AK1081" i="1" s="1"/>
  <c r="F54" i="24"/>
  <c r="F180" i="24"/>
  <c r="F105" i="24"/>
  <c r="AJ1372" i="1" s="1"/>
  <c r="F182" i="24"/>
  <c r="F193" i="24"/>
  <c r="AJ829" i="1" s="1"/>
  <c r="F18" i="24"/>
  <c r="AJ417" i="1" s="1"/>
  <c r="F213" i="24"/>
  <c r="AJ1356" i="1" s="1"/>
  <c r="F183" i="24"/>
  <c r="F80" i="24"/>
  <c r="AJ223" i="1" s="1"/>
  <c r="F71" i="24"/>
  <c r="AJ222" i="1" s="1"/>
  <c r="F399" i="24"/>
  <c r="F222" i="24"/>
  <c r="AJ1231" i="1" s="1"/>
  <c r="F243" i="24"/>
  <c r="F228" i="24"/>
  <c r="AJ1025" i="1" s="1"/>
  <c r="F463" i="24"/>
  <c r="AJ34" i="1" s="1"/>
  <c r="F461" i="24"/>
  <c r="F114" i="24"/>
  <c r="F464" i="24"/>
  <c r="F460" i="24"/>
  <c r="F377" i="24"/>
  <c r="AJ47" i="1" s="1"/>
  <c r="F465" i="24"/>
  <c r="AJ540" i="1" s="1"/>
  <c r="F462" i="24"/>
  <c r="AJ149" i="1" s="1"/>
  <c r="F64" i="24"/>
  <c r="AJ584" i="1" s="1"/>
  <c r="F88" i="24"/>
  <c r="AJ906" i="1" s="1"/>
  <c r="F259" i="24"/>
  <c r="F112" i="24"/>
  <c r="AJ245" i="1" s="1"/>
  <c r="AK245" i="1" s="1"/>
  <c r="F82" i="24"/>
  <c r="AJ1234" i="1" s="1"/>
  <c r="F242" i="24"/>
  <c r="F431" i="24"/>
  <c r="AJ883" i="1" s="1"/>
  <c r="F79" i="24"/>
  <c r="AJ675" i="1" s="1"/>
  <c r="F216" i="24"/>
  <c r="AJ1127" i="1" s="1"/>
  <c r="F226" i="24"/>
  <c r="F214" i="24"/>
  <c r="F201" i="24"/>
  <c r="AJ827" i="1" s="1"/>
  <c r="F157" i="24"/>
  <c r="AJ412" i="1" s="1"/>
  <c r="F440" i="24"/>
  <c r="AJ882" i="1" s="1"/>
  <c r="F398" i="24"/>
  <c r="AJ546" i="1" s="1"/>
  <c r="F285" i="24"/>
  <c r="AJ110" i="1" s="1"/>
  <c r="F397" i="24"/>
  <c r="AJ1232" i="1" s="1"/>
  <c r="F374" i="24"/>
  <c r="F337" i="24"/>
  <c r="AJ161" i="1" s="1"/>
  <c r="AK161" i="1" s="1"/>
  <c r="F375" i="24"/>
  <c r="AJ159" i="1" s="1"/>
  <c r="AK159" i="1" s="1"/>
  <c r="F383" i="24"/>
  <c r="AJ158" i="1" s="1"/>
  <c r="AK158" i="1" s="1"/>
  <c r="F290" i="24"/>
  <c r="AJ165" i="1" s="1"/>
  <c r="AK165" i="1" s="1"/>
  <c r="F378" i="24"/>
  <c r="AJ166" i="1" s="1"/>
  <c r="AK166" i="1" s="1"/>
  <c r="F289" i="24"/>
  <c r="AJ164" i="1" s="1"/>
  <c r="AK164" i="1" s="1"/>
  <c r="F202" i="24"/>
  <c r="F441" i="24"/>
  <c r="AJ899" i="1" s="1"/>
  <c r="F428" i="24"/>
  <c r="F413" i="24"/>
  <c r="AJ551" i="1" s="1"/>
  <c r="F167" i="24"/>
  <c r="F17" i="24"/>
  <c r="AJ128" i="1" s="1"/>
  <c r="F368" i="24"/>
  <c r="AJ48" i="1" s="1"/>
  <c r="F266" i="24"/>
  <c r="F86" i="24"/>
  <c r="AJ1013" i="1" s="1"/>
  <c r="F164" i="24"/>
  <c r="F52" i="24"/>
  <c r="F279" i="24"/>
  <c r="F396" i="24"/>
  <c r="AJ744" i="1" s="1"/>
  <c r="F72" i="24"/>
  <c r="F256" i="24"/>
  <c r="F269" i="24"/>
  <c r="F127" i="24"/>
  <c r="AJ1016" i="1" s="1"/>
  <c r="F469" i="24"/>
  <c r="F188" i="24"/>
  <c r="F450" i="24"/>
  <c r="F110" i="24"/>
  <c r="F100" i="24"/>
  <c r="AJ825" i="1" s="1"/>
  <c r="F126" i="24"/>
  <c r="AJ243" i="1" s="1"/>
  <c r="AK243" i="1" s="1"/>
  <c r="F353" i="24"/>
  <c r="AJ515" i="1" s="1"/>
  <c r="F360" i="24"/>
  <c r="AJ109" i="1" s="1"/>
  <c r="F281" i="24"/>
  <c r="F451" i="24"/>
  <c r="F251" i="24"/>
  <c r="F248" i="24"/>
  <c r="AJ169" i="1" s="1"/>
  <c r="AK169" i="1" s="1"/>
  <c r="F106" i="24"/>
  <c r="AJ798" i="1" s="1"/>
  <c r="F435" i="24"/>
  <c r="AJ316" i="1" s="1"/>
  <c r="F280" i="24"/>
  <c r="F419" i="24"/>
  <c r="F416" i="24"/>
  <c r="F366" i="24"/>
  <c r="AJ504" i="1" s="1"/>
  <c r="F283" i="24"/>
  <c r="F426" i="24"/>
  <c r="F174" i="24"/>
  <c r="F31" i="24"/>
  <c r="F125" i="24"/>
  <c r="AJ1374" i="1" s="1"/>
  <c r="F448" i="24"/>
  <c r="AJ340" i="1" s="1"/>
  <c r="F53" i="24"/>
  <c r="AJ582" i="1" s="1"/>
  <c r="F439" i="24"/>
  <c r="F371" i="24"/>
  <c r="AJ487" i="1" s="1"/>
  <c r="F16" i="24"/>
  <c r="AJ764" i="1" s="1"/>
  <c r="F395" i="24"/>
  <c r="AJ1230" i="1" s="1"/>
  <c r="F15" i="24"/>
  <c r="AJ1114" i="1" s="1"/>
  <c r="F357" i="24"/>
  <c r="F347" i="24"/>
  <c r="F470" i="24"/>
  <c r="AJ204" i="1" s="1"/>
  <c r="F392" i="24"/>
  <c r="AJ873" i="1" s="1"/>
  <c r="F107" i="24"/>
  <c r="AJ488" i="1" s="1"/>
  <c r="F432" i="24"/>
  <c r="AJ884" i="1" s="1"/>
  <c r="F109" i="24"/>
  <c r="F207" i="24"/>
  <c r="F236" i="24"/>
  <c r="F187" i="24"/>
  <c r="AJ188" i="1" s="1"/>
  <c r="F76" i="24"/>
  <c r="AJ235" i="1" s="1"/>
  <c r="AK235" i="1" s="1"/>
  <c r="F356" i="24"/>
  <c r="AJ171" i="1" s="1"/>
  <c r="AK171" i="1" s="1"/>
  <c r="F352" i="24"/>
  <c r="AJ170" i="1" s="1"/>
  <c r="AK170" i="1" s="1"/>
  <c r="F45" i="24"/>
  <c r="F390" i="24"/>
  <c r="AJ1152" i="1" s="1"/>
  <c r="F14" i="24"/>
  <c r="F282" i="24"/>
  <c r="F438" i="24"/>
  <c r="AJ729" i="1" s="1"/>
  <c r="F50" i="24"/>
  <c r="AJ1099" i="1" s="1"/>
  <c r="AK1099" i="1" s="1"/>
  <c r="F163" i="24"/>
  <c r="AJ1281" i="1" s="1"/>
  <c r="F389" i="24"/>
  <c r="AJ761" i="1" s="1"/>
  <c r="F124" i="24"/>
  <c r="F436" i="24"/>
  <c r="AJ545" i="1" s="1"/>
  <c r="F382" i="24"/>
  <c r="AJ300" i="1" s="1"/>
  <c r="F231" i="24"/>
  <c r="F370" i="24"/>
  <c r="AJ740" i="1" s="1"/>
  <c r="F172" i="24"/>
  <c r="F449" i="24"/>
  <c r="AJ887" i="1" s="1"/>
  <c r="F108" i="24"/>
  <c r="F215" i="24"/>
  <c r="AJ185" i="1" s="1"/>
  <c r="F185" i="24"/>
  <c r="F332" i="24"/>
  <c r="AJ483" i="1" s="1"/>
  <c r="F381" i="24"/>
  <c r="AJ172" i="1" s="1"/>
  <c r="AK172" i="1" s="1"/>
  <c r="F70" i="24"/>
  <c r="AJ1017" i="1" s="1"/>
  <c r="F200" i="24"/>
  <c r="F104" i="24"/>
  <c r="AJ1370" i="1" s="1"/>
  <c r="F388" i="24"/>
  <c r="AJ559" i="1" s="1"/>
  <c r="F445" i="24"/>
  <c r="F30" i="24"/>
  <c r="F457" i="24"/>
  <c r="AJ560" i="1" s="1"/>
  <c r="F437" i="24"/>
  <c r="F175" i="24"/>
  <c r="AJ968" i="1" s="1"/>
  <c r="AL968" i="1" s="1"/>
  <c r="F345" i="24"/>
  <c r="AJ708" i="1" s="1"/>
  <c r="F275" i="24"/>
  <c r="AJ49" i="1" s="1"/>
  <c r="F273" i="24"/>
  <c r="F81" i="24"/>
  <c r="AJ241" i="1" s="1"/>
  <c r="AK241" i="1" s="1"/>
  <c r="F373" i="24"/>
  <c r="AJ491" i="1" s="1"/>
  <c r="F264" i="24"/>
  <c r="F258" i="24"/>
  <c r="F161" i="24"/>
  <c r="AJ1124" i="1" s="1"/>
  <c r="F98" i="24"/>
  <c r="F177" i="24"/>
  <c r="AJ132" i="1" s="1"/>
  <c r="F230" i="24"/>
  <c r="AJ1358" i="1" s="1"/>
  <c r="F13" i="24"/>
  <c r="F233" i="24"/>
  <c r="F225" i="24"/>
  <c r="F48" i="24"/>
  <c r="AJ1008" i="1" s="1"/>
  <c r="F87" i="24"/>
  <c r="AJ639" i="1" s="1"/>
  <c r="F344" i="24"/>
  <c r="AJ395" i="1" s="1"/>
  <c r="F348" i="24"/>
  <c r="AJ394" i="1" s="1"/>
  <c r="F254" i="24"/>
  <c r="F224" i="24"/>
  <c r="F74" i="24"/>
  <c r="F434" i="24"/>
  <c r="AJ886" i="1" s="1"/>
  <c r="F171" i="24"/>
  <c r="F160" i="24"/>
  <c r="AJ1092" i="1" s="1"/>
  <c r="F277" i="24"/>
  <c r="AJ476" i="1" s="1"/>
  <c r="F95" i="24"/>
  <c r="AJ15" i="1" s="1"/>
  <c r="F55" i="24"/>
  <c r="AJ1367" i="1" s="1"/>
  <c r="F420" i="24"/>
  <c r="AJ618" i="1" s="1"/>
  <c r="F418" i="24"/>
  <c r="F271" i="24"/>
  <c r="F159" i="24"/>
  <c r="AJ1125" i="1" s="1"/>
  <c r="F219" i="24"/>
  <c r="AJ859" i="1" s="1"/>
  <c r="F169" i="24"/>
  <c r="F85" i="24"/>
  <c r="AJ947" i="1" s="1"/>
  <c r="F355" i="24"/>
  <c r="AJ392" i="1" s="1"/>
  <c r="F240" i="24"/>
  <c r="AJ709" i="1" s="1"/>
  <c r="F358" i="24"/>
  <c r="AJ156" i="1" s="1"/>
  <c r="AK156" i="1" s="1"/>
  <c r="F123" i="24"/>
  <c r="AJ1225" i="1" s="1"/>
  <c r="F255" i="24"/>
  <c r="AJ532" i="1" s="1"/>
  <c r="F268" i="24"/>
  <c r="AJ160" i="1" s="1"/>
  <c r="AK160" i="1" s="1"/>
  <c r="F291" i="24"/>
  <c r="AJ534" i="1" s="1"/>
  <c r="F247" i="24"/>
  <c r="AJ162" i="1" s="1"/>
  <c r="AK162" i="1" s="1"/>
  <c r="F351" i="24"/>
  <c r="AJ163" i="1" s="1"/>
  <c r="AK163" i="1" s="1"/>
  <c r="F267" i="24"/>
  <c r="AJ157" i="1" s="1"/>
  <c r="AK157" i="1" s="1"/>
  <c r="F238" i="24"/>
  <c r="AJ797" i="1" s="1"/>
  <c r="F278" i="24"/>
  <c r="AJ799" i="1" s="1"/>
  <c r="F249" i="24"/>
  <c r="AJ1361" i="1" s="1"/>
  <c r="F257" i="24"/>
  <c r="F93" i="24"/>
  <c r="F92" i="24"/>
  <c r="AJ1227" i="1" s="1"/>
  <c r="F91" i="24"/>
  <c r="AJ1217" i="1" s="1"/>
  <c r="F77" i="24"/>
  <c r="F97" i="24"/>
  <c r="AJ1221" i="1" s="1"/>
  <c r="F96" i="24"/>
  <c r="AJ1220" i="1" s="1"/>
  <c r="F346" i="24"/>
  <c r="AJ167" i="1" s="1"/>
  <c r="AK167" i="1" s="1"/>
  <c r="F274" i="24"/>
  <c r="F67" i="24"/>
  <c r="AJ583" i="1" s="1"/>
  <c r="F12" i="24"/>
  <c r="AJ364" i="1" l="1"/>
  <c r="AJ365" i="1"/>
  <c r="AJ361" i="1"/>
  <c r="AJ106" i="1"/>
  <c r="AJ964" i="1"/>
  <c r="AJ965" i="1"/>
  <c r="AJ966" i="1"/>
  <c r="AJ967" i="1"/>
  <c r="AJ1382" i="1"/>
  <c r="AJ1375" i="1"/>
  <c r="AJ578" i="1"/>
  <c r="AJ1216" i="1"/>
  <c r="AJ1351" i="1"/>
  <c r="AJ1070" i="1"/>
  <c r="AJ1069" i="1"/>
  <c r="AJ1068" i="1"/>
  <c r="AJ1067" i="1"/>
  <c r="AJ1066" i="1"/>
  <c r="AJ1065" i="1"/>
  <c r="AJ1064" i="1"/>
  <c r="AJ1352" i="1"/>
  <c r="AL1361" i="1"/>
  <c r="AK1361" i="1"/>
  <c r="AL1367" i="1"/>
  <c r="AK1367" i="1"/>
  <c r="AL1358" i="1"/>
  <c r="AK1358" i="1"/>
  <c r="AL1370" i="1"/>
  <c r="AK1370" i="1"/>
  <c r="AL1281" i="1"/>
  <c r="AK1281" i="1"/>
  <c r="AK1230" i="1"/>
  <c r="AL1230" i="1"/>
  <c r="AK1374" i="1"/>
  <c r="AL1374" i="1"/>
  <c r="AL1232" i="1"/>
  <c r="AK1232" i="1"/>
  <c r="AK1234" i="1"/>
  <c r="AL1234" i="1"/>
  <c r="AL1231" i="1"/>
  <c r="AK1231" i="1"/>
  <c r="AK1356" i="1"/>
  <c r="AL1356" i="1"/>
  <c r="AL1372" i="1"/>
  <c r="AK1372" i="1"/>
  <c r="AL1228" i="1"/>
  <c r="AK1228" i="1"/>
  <c r="AK1233" i="1"/>
  <c r="AL1233" i="1"/>
  <c r="AL1229" i="1"/>
  <c r="AK1229" i="1"/>
  <c r="AL1373" i="1"/>
  <c r="AK1373" i="1"/>
  <c r="AL1280" i="1"/>
  <c r="AK1280" i="1"/>
  <c r="AL1360" i="1"/>
  <c r="AK1360" i="1"/>
  <c r="AZ462" i="1"/>
  <c r="AZ454" i="1"/>
  <c r="J26" i="121"/>
  <c r="AY454" i="1"/>
  <c r="AY462" i="1"/>
  <c r="M54" i="121"/>
  <c r="N54" i="121"/>
  <c r="AJ1283" i="1"/>
  <c r="AJ4" i="1"/>
  <c r="AJ5" i="1"/>
  <c r="AJ6" i="1"/>
  <c r="AJ7" i="1"/>
  <c r="AJ24" i="1"/>
  <c r="AJ25" i="1"/>
  <c r="AJ36" i="1"/>
  <c r="AJ40" i="1"/>
  <c r="AJ41" i="1"/>
  <c r="AJ42" i="1"/>
  <c r="AJ45" i="1"/>
  <c r="AJ46" i="1"/>
  <c r="AJ51" i="1"/>
  <c r="AJ52" i="1"/>
  <c r="AJ56" i="1"/>
  <c r="AJ57" i="1"/>
  <c r="AJ58" i="1"/>
  <c r="AJ59" i="1"/>
  <c r="AJ64" i="1"/>
  <c r="AJ79" i="1"/>
  <c r="AJ80" i="1"/>
  <c r="AJ81" i="1"/>
  <c r="AJ82" i="1"/>
  <c r="AJ83" i="1"/>
  <c r="AJ89" i="1"/>
  <c r="AJ90" i="1"/>
  <c r="AJ91" i="1"/>
  <c r="AJ92" i="1"/>
  <c r="AJ93" i="1"/>
  <c r="AJ94" i="1"/>
  <c r="AJ95" i="1"/>
  <c r="AJ96" i="1"/>
  <c r="AJ97" i="1"/>
  <c r="AJ98" i="1"/>
  <c r="AJ99" i="1"/>
  <c r="AJ100" i="1"/>
  <c r="AJ101" i="1"/>
  <c r="AJ102" i="1"/>
  <c r="AJ103" i="1"/>
  <c r="AJ104" i="1"/>
  <c r="AJ105" i="1"/>
  <c r="AJ107" i="1"/>
  <c r="AJ108" i="1"/>
  <c r="AJ119" i="1"/>
  <c r="AJ138" i="1"/>
  <c r="AJ139" i="1"/>
  <c r="AJ140" i="1"/>
  <c r="AJ141" i="1"/>
  <c r="AJ142" i="1"/>
  <c r="AJ143" i="1"/>
  <c r="AJ144" i="1"/>
  <c r="AJ145" i="1"/>
  <c r="AJ152" i="1"/>
  <c r="AJ154" i="1"/>
  <c r="AJ155" i="1"/>
  <c r="AJ174" i="1"/>
  <c r="AJ175" i="1"/>
  <c r="AJ176" i="1"/>
  <c r="AJ178" i="1"/>
  <c r="AJ179" i="1"/>
  <c r="AJ181" i="1"/>
  <c r="AJ183" i="1"/>
  <c r="AJ186" i="1"/>
  <c r="AJ190" i="1"/>
  <c r="AJ191" i="1"/>
  <c r="AJ192" i="1"/>
  <c r="AJ193" i="1"/>
  <c r="AJ195" i="1"/>
  <c r="AJ197" i="1"/>
  <c r="AJ198" i="1"/>
  <c r="AJ199" i="1"/>
  <c r="AJ200" i="1"/>
  <c r="AJ201" i="1"/>
  <c r="AJ202" i="1"/>
  <c r="AJ206" i="1"/>
  <c r="AJ207" i="1"/>
  <c r="AJ208" i="1"/>
  <c r="AJ209" i="1"/>
  <c r="AJ210" i="1"/>
  <c r="AJ211" i="1"/>
  <c r="AJ212" i="1"/>
  <c r="AJ213" i="1"/>
  <c r="AJ214" i="1"/>
  <c r="AJ228" i="1"/>
  <c r="AJ229" i="1"/>
  <c r="AJ230" i="1"/>
  <c r="AJ231" i="1"/>
  <c r="AJ232" i="1"/>
  <c r="AJ269" i="1"/>
  <c r="AJ270" i="1"/>
  <c r="AJ275" i="1"/>
  <c r="AJ276" i="1"/>
  <c r="AJ280" i="1"/>
  <c r="AJ285" i="1"/>
  <c r="AJ286" i="1"/>
  <c r="AJ290" i="1"/>
  <c r="AJ291" i="1"/>
  <c r="AJ292" i="1"/>
  <c r="AJ295" i="1"/>
  <c r="AJ303" i="1"/>
  <c r="AJ304" i="1"/>
  <c r="AJ305" i="1"/>
  <c r="AJ306" i="1"/>
  <c r="AJ307" i="1"/>
  <c r="AJ308" i="1"/>
  <c r="AJ309" i="1"/>
  <c r="AJ310" i="1"/>
  <c r="AJ311" i="1"/>
  <c r="AJ312" i="1"/>
  <c r="AJ319" i="1"/>
  <c r="AJ338" i="1"/>
  <c r="AJ341" i="1"/>
  <c r="AJ342" i="1"/>
  <c r="AJ356" i="1"/>
  <c r="AJ359" i="1"/>
  <c r="AJ360" i="1"/>
  <c r="AJ362" i="1"/>
  <c r="AJ363" i="1"/>
  <c r="AJ368" i="1"/>
  <c r="AJ369" i="1"/>
  <c r="AJ373" i="1"/>
  <c r="AJ378" i="1"/>
  <c r="AJ380" i="1"/>
  <c r="AJ381" i="1"/>
  <c r="AJ382" i="1"/>
  <c r="AJ383" i="1"/>
  <c r="AJ384" i="1"/>
  <c r="AJ385" i="1"/>
  <c r="AJ386" i="1"/>
  <c r="AJ387" i="1"/>
  <c r="AJ388" i="1"/>
  <c r="AJ389" i="1"/>
  <c r="AJ391" i="1"/>
  <c r="AJ454" i="1"/>
  <c r="AJ516" i="1"/>
  <c r="AJ521" i="1"/>
  <c r="AJ522" i="1"/>
  <c r="AJ523" i="1"/>
  <c r="AJ524" i="1"/>
  <c r="AJ525" i="1"/>
  <c r="AJ526" i="1"/>
  <c r="AJ527" i="1"/>
  <c r="AJ528" i="1"/>
  <c r="AJ547" i="1"/>
  <c r="AJ548" i="1"/>
  <c r="AJ550" i="1"/>
  <c r="AJ555" i="1"/>
  <c r="AJ558" i="1"/>
  <c r="AJ564" i="1"/>
  <c r="AJ565" i="1"/>
  <c r="AJ566" i="1"/>
  <c r="AJ567" i="1"/>
  <c r="AJ569" i="1"/>
  <c r="AJ577" i="1"/>
  <c r="AJ579" i="1"/>
  <c r="AJ580" i="1"/>
  <c r="AJ581" i="1"/>
  <c r="AJ586" i="1"/>
  <c r="AJ587" i="1"/>
  <c r="AJ593" i="1"/>
  <c r="AJ594" i="1"/>
  <c r="AJ597" i="1"/>
  <c r="AJ598" i="1"/>
  <c r="AJ600" i="1"/>
  <c r="AJ614" i="1"/>
  <c r="AJ615" i="1"/>
  <c r="AJ616" i="1"/>
  <c r="AJ601" i="1"/>
  <c r="AJ617" i="1"/>
  <c r="AJ620" i="1"/>
  <c r="AJ621" i="1"/>
  <c r="AJ622" i="1"/>
  <c r="AJ623" i="1"/>
  <c r="AJ631" i="1"/>
  <c r="AJ635" i="1"/>
  <c r="AJ636" i="1"/>
  <c r="AJ653" i="1"/>
  <c r="AJ661" i="1"/>
  <c r="AJ663" i="1"/>
  <c r="AJ664" i="1"/>
  <c r="AJ665" i="1"/>
  <c r="AJ666" i="1"/>
  <c r="AJ667" i="1"/>
  <c r="AJ668" i="1"/>
  <c r="AJ669" i="1"/>
  <c r="AJ670" i="1"/>
  <c r="AJ671" i="1"/>
  <c r="AJ672" i="1"/>
  <c r="AJ695" i="1"/>
  <c r="AJ696" i="1"/>
  <c r="AJ697" i="1"/>
  <c r="AJ699" i="1"/>
  <c r="AJ700" i="1"/>
  <c r="AJ701" i="1"/>
  <c r="AJ715" i="1"/>
  <c r="AJ722" i="1"/>
  <c r="AJ723" i="1"/>
  <c r="AJ725" i="1"/>
  <c r="AJ726" i="1"/>
  <c r="AJ727" i="1"/>
  <c r="AJ733" i="1"/>
  <c r="AJ734" i="1"/>
  <c r="AJ735" i="1"/>
  <c r="AJ736" i="1"/>
  <c r="AJ737" i="1"/>
  <c r="AJ741" i="1"/>
  <c r="AJ742" i="1"/>
  <c r="AJ743" i="1"/>
  <c r="AJ746" i="1"/>
  <c r="AJ747" i="1"/>
  <c r="AJ748" i="1"/>
  <c r="AJ749" i="1"/>
  <c r="AJ750" i="1"/>
  <c r="AJ762" i="1"/>
  <c r="AJ776" i="1"/>
  <c r="AJ777" i="1"/>
  <c r="AJ780" i="1"/>
  <c r="AJ781" i="1"/>
  <c r="AJ782" i="1"/>
  <c r="AJ783" i="1"/>
  <c r="AJ784" i="1"/>
  <c r="AJ785" i="1"/>
  <c r="AJ786" i="1"/>
  <c r="AJ787" i="1"/>
  <c r="AJ788" i="1"/>
  <c r="AJ790" i="1"/>
  <c r="AJ792" i="1"/>
  <c r="AJ794" i="1"/>
  <c r="AJ810" i="1"/>
  <c r="AJ811" i="1"/>
  <c r="AJ812" i="1"/>
  <c r="AJ813" i="1"/>
  <c r="AJ817" i="1"/>
  <c r="AJ826" i="1"/>
  <c r="AJ830" i="1"/>
  <c r="AJ831" i="1"/>
  <c r="AJ832" i="1"/>
  <c r="AJ833" i="1"/>
  <c r="AJ834" i="1"/>
  <c r="AJ835" i="1"/>
  <c r="AJ836" i="1"/>
  <c r="AJ837" i="1"/>
  <c r="AJ842" i="1"/>
  <c r="AJ847" i="1"/>
  <c r="AJ851" i="1"/>
  <c r="AJ852" i="1"/>
  <c r="AJ860" i="1"/>
  <c r="AJ861" i="1"/>
  <c r="AJ862" i="1"/>
  <c r="AJ879" i="1"/>
  <c r="AJ880" i="1"/>
  <c r="AJ881" i="1"/>
  <c r="AJ888" i="1"/>
  <c r="AJ889" i="1"/>
  <c r="AJ891" i="1"/>
  <c r="AJ897" i="1"/>
  <c r="AJ900" i="1"/>
  <c r="AJ903" i="1"/>
  <c r="AJ907" i="1"/>
  <c r="AJ930" i="1"/>
  <c r="AJ931" i="1"/>
  <c r="AJ932" i="1"/>
  <c r="AJ933" i="1"/>
  <c r="AJ934" i="1"/>
  <c r="AJ935" i="1"/>
  <c r="AJ936" i="1"/>
  <c r="AJ938" i="1"/>
  <c r="AJ943" i="1"/>
  <c r="AJ948" i="1"/>
  <c r="AJ949" i="1"/>
  <c r="AJ950" i="1"/>
  <c r="AJ952" i="1"/>
  <c r="AJ954" i="1"/>
  <c r="AJ955" i="1"/>
  <c r="AJ956" i="1"/>
  <c r="AJ957" i="1"/>
  <c r="AJ958" i="1"/>
  <c r="AJ975" i="1"/>
  <c r="AJ976" i="1"/>
  <c r="AJ977" i="1"/>
  <c r="AJ978" i="1"/>
  <c r="AJ979" i="1"/>
  <c r="AJ980" i="1"/>
  <c r="AJ981" i="1"/>
  <c r="AJ982" i="1"/>
  <c r="AJ983" i="1"/>
  <c r="AJ984" i="1"/>
  <c r="AJ985" i="1"/>
  <c r="AJ986" i="1"/>
  <c r="AJ987" i="1"/>
  <c r="AJ988" i="1"/>
  <c r="AJ990" i="1"/>
  <c r="AJ991" i="1"/>
  <c r="AJ993" i="1"/>
  <c r="AJ1036" i="1"/>
  <c r="AJ1051" i="1"/>
  <c r="AJ1052" i="1"/>
  <c r="AJ1053" i="1"/>
  <c r="AJ1054" i="1"/>
  <c r="AJ1055" i="1"/>
  <c r="AJ1056" i="1"/>
  <c r="AJ1057" i="1"/>
  <c r="AJ1058" i="1"/>
  <c r="AJ1059" i="1"/>
  <c r="AJ1060" i="1"/>
  <c r="AJ1061" i="1"/>
  <c r="AJ1062" i="1"/>
  <c r="AJ1063" i="1"/>
  <c r="AJ1071" i="1"/>
  <c r="AJ1072" i="1"/>
  <c r="AJ1073" i="1"/>
  <c r="AJ1074" i="1"/>
  <c r="AJ1376" i="1"/>
  <c r="AJ1383" i="1"/>
  <c r="AJ1384" i="1"/>
  <c r="AJ1385" i="1"/>
  <c r="AJ1386" i="1"/>
  <c r="AJ1387" i="1"/>
  <c r="AJ1388" i="1"/>
  <c r="AK1388" i="1" s="1"/>
  <c r="AJ1389" i="1"/>
  <c r="AK1389" i="1" s="1"/>
  <c r="AJ1390" i="1"/>
  <c r="AK1390" i="1" s="1"/>
  <c r="AJ1391" i="1"/>
  <c r="AJ1392" i="1"/>
  <c r="AJ1393" i="1"/>
  <c r="AJ1394" i="1"/>
  <c r="AK1394" i="1" s="1"/>
  <c r="AJ1395" i="1"/>
  <c r="AK1395" i="1" s="1"/>
  <c r="AJ1396" i="1"/>
  <c r="AK1396" i="1" s="1"/>
  <c r="AJ1397" i="1"/>
  <c r="AJ1398" i="1"/>
  <c r="AJ1399" i="1"/>
  <c r="AJ1400" i="1"/>
  <c r="AJ1401" i="1"/>
  <c r="AJ1402" i="1"/>
  <c r="AJ1403" i="1"/>
  <c r="AJ1404" i="1"/>
  <c r="AJ1405" i="1"/>
  <c r="AK583" i="1"/>
  <c r="AL583" i="1"/>
  <c r="AJ585" i="1"/>
  <c r="AJ745" i="1"/>
  <c r="AJ1140" i="1"/>
  <c r="AJ1157" i="1"/>
  <c r="AK1220" i="1"/>
  <c r="AL1220" i="1"/>
  <c r="AK1221" i="1"/>
  <c r="AL1221" i="1"/>
  <c r="AJ1226" i="1"/>
  <c r="AJ1380" i="1"/>
  <c r="AK1217" i="1"/>
  <c r="AL1217" i="1"/>
  <c r="AK1227" i="1"/>
  <c r="AL1227" i="1"/>
  <c r="AJ1218" i="1"/>
  <c r="AJ1377" i="1"/>
  <c r="AJ800" i="1"/>
  <c r="AJ1378" i="1"/>
  <c r="AJ133" i="1"/>
  <c r="AJ434" i="1"/>
  <c r="AJ458" i="1"/>
  <c r="AJ662" i="1"/>
  <c r="AJ1090" i="1"/>
  <c r="AJ1112" i="1"/>
  <c r="AJ1129" i="1"/>
  <c r="AJ1134" i="1"/>
  <c r="AJ1150" i="1"/>
  <c r="AJ1161" i="1"/>
  <c r="AJ1163" i="1"/>
  <c r="AJ1255" i="1"/>
  <c r="AJ1260" i="1"/>
  <c r="AJ1290" i="1"/>
  <c r="AJ1309" i="1"/>
  <c r="AJ1330" i="1"/>
  <c r="AK799" i="1"/>
  <c r="AL799" i="1"/>
  <c r="AK797" i="1"/>
  <c r="AL797" i="1"/>
  <c r="AK534" i="1"/>
  <c r="AL534" i="1"/>
  <c r="AK532" i="1"/>
  <c r="AL532" i="1"/>
  <c r="AK1225" i="1"/>
  <c r="AL1225" i="1"/>
  <c r="AK709" i="1"/>
  <c r="AL709" i="1"/>
  <c r="AK392" i="1"/>
  <c r="AL392" i="1"/>
  <c r="AK947" i="1"/>
  <c r="AL947" i="1"/>
  <c r="AJ806" i="1"/>
  <c r="AJ809" i="1"/>
  <c r="AK859" i="1"/>
  <c r="AL859" i="1"/>
  <c r="AK1125" i="1"/>
  <c r="AL1125" i="1"/>
  <c r="AJ529" i="1"/>
  <c r="AJ535" i="1"/>
  <c r="AJ35" i="1"/>
  <c r="AJ37" i="1"/>
  <c r="AJ43" i="1"/>
  <c r="AJ282" i="1"/>
  <c r="AJ283" i="1"/>
  <c r="AJ284" i="1"/>
  <c r="AJ287" i="1"/>
  <c r="AJ288" i="1"/>
  <c r="AJ289" i="1"/>
  <c r="AJ320" i="1"/>
  <c r="AJ333" i="1"/>
  <c r="AJ339" i="1"/>
  <c r="AJ563" i="1"/>
  <c r="AJ568" i="1"/>
  <c r="AJ574" i="1"/>
  <c r="AJ731" i="1"/>
  <c r="AJ848" i="1"/>
  <c r="AK618" i="1"/>
  <c r="AL618" i="1"/>
  <c r="AJ1136" i="1"/>
  <c r="AJ1146" i="1"/>
  <c r="AJ1148" i="1"/>
  <c r="AJ1155" i="1"/>
  <c r="AJ1160" i="1"/>
  <c r="AJ1162" i="1"/>
  <c r="AJ1173" i="1"/>
  <c r="AJ1190" i="1"/>
  <c r="AJ1202" i="1"/>
  <c r="AJ1268" i="1"/>
  <c r="AJ1289" i="1"/>
  <c r="AJ1298" i="1"/>
  <c r="AJ1308" i="1"/>
  <c r="AJ1320" i="1"/>
  <c r="AJ1329" i="1"/>
  <c r="AK15" i="1"/>
  <c r="AL15" i="1"/>
  <c r="AK476" i="1"/>
  <c r="AL476" i="1"/>
  <c r="AK1092" i="1"/>
  <c r="AL1092" i="1"/>
  <c r="AJ707" i="1"/>
  <c r="AJ1091" i="1"/>
  <c r="AJ1113" i="1"/>
  <c r="AJ1119" i="1"/>
  <c r="AJ1256" i="1"/>
  <c r="AK886" i="1"/>
  <c r="AL886" i="1"/>
  <c r="AJ999" i="1"/>
  <c r="AK999" i="1" s="1"/>
  <c r="AJ1045" i="1"/>
  <c r="AJ1095" i="1"/>
  <c r="AK1095" i="1" s="1"/>
  <c r="AJ1196" i="1"/>
  <c r="AJ1301" i="1"/>
  <c r="AJ1128" i="1"/>
  <c r="AJ1158" i="1"/>
  <c r="AK394" i="1"/>
  <c r="AL394" i="1"/>
  <c r="AK395" i="1"/>
  <c r="AL395" i="1"/>
  <c r="AK639" i="1"/>
  <c r="AL639" i="1"/>
  <c r="AK1008" i="1"/>
  <c r="AL1008" i="1"/>
  <c r="AJ260" i="1"/>
  <c r="AJ858" i="1"/>
  <c r="AJ258" i="1"/>
  <c r="AJ644" i="1"/>
  <c r="AJ796" i="1"/>
  <c r="AJ1293" i="1"/>
  <c r="AJ687" i="1"/>
  <c r="AJ1097" i="1"/>
  <c r="AJ1179" i="1"/>
  <c r="AJ1194" i="1"/>
  <c r="AJ1239" i="1"/>
  <c r="AJ1269" i="1"/>
  <c r="AJ1295" i="1"/>
  <c r="AJ1302" i="1"/>
  <c r="AJ1312" i="1"/>
  <c r="AJ1324" i="1"/>
  <c r="AJ1331" i="1"/>
  <c r="AJ1341" i="1"/>
  <c r="AK132" i="1"/>
  <c r="AL132" i="1"/>
  <c r="AJ259" i="1"/>
  <c r="AJ1039" i="1"/>
  <c r="AJ1043" i="1"/>
  <c r="AK1124" i="1"/>
  <c r="AL1124" i="1"/>
  <c r="AJ1015" i="1"/>
  <c r="AJ1022" i="1"/>
  <c r="AJ1287" i="1"/>
  <c r="AJ941" i="1"/>
  <c r="AJ944" i="1"/>
  <c r="AJ945" i="1"/>
  <c r="AJ1078" i="1"/>
  <c r="AK1078" i="1" s="1"/>
  <c r="AJ1168" i="1"/>
  <c r="AK491" i="1"/>
  <c r="AL491" i="1"/>
  <c r="AJ85" i="1"/>
  <c r="AJ114" i="1"/>
  <c r="AJ177" i="1"/>
  <c r="AJ182" i="1"/>
  <c r="AJ218" i="1"/>
  <c r="AJ226" i="1"/>
  <c r="AJ246" i="1"/>
  <c r="AK246" i="1" s="1"/>
  <c r="AJ262" i="1"/>
  <c r="AJ264" i="1"/>
  <c r="AJ296" i="1"/>
  <c r="AJ602" i="1"/>
  <c r="AJ645" i="1"/>
  <c r="AJ676" i="1"/>
  <c r="AJ703" i="1"/>
  <c r="AJ738" i="1"/>
  <c r="AJ755" i="1"/>
  <c r="AJ819" i="1"/>
  <c r="AJ838" i="1"/>
  <c r="AJ869" i="1"/>
  <c r="AJ940" i="1"/>
  <c r="AJ1005" i="1"/>
  <c r="AJ1086" i="1"/>
  <c r="AK1086" i="1" s="1"/>
  <c r="AJ1102" i="1"/>
  <c r="AK1102" i="1" s="1"/>
  <c r="AK49" i="1"/>
  <c r="AL49" i="1"/>
  <c r="AK708" i="1"/>
  <c r="AL708" i="1"/>
  <c r="AK968" i="1"/>
  <c r="AJ572" i="1"/>
  <c r="AJ973" i="1"/>
  <c r="AK560" i="1"/>
  <c r="AL560" i="1"/>
  <c r="AJ314" i="1"/>
  <c r="AJ972" i="1"/>
  <c r="AK559" i="1"/>
  <c r="AL559" i="1"/>
  <c r="AJ1222" i="1"/>
  <c r="AJ1379" i="1"/>
  <c r="AJ539" i="1"/>
  <c r="AJ807" i="1"/>
  <c r="AJ867" i="1"/>
  <c r="AK1017" i="1"/>
  <c r="AL1017" i="1"/>
  <c r="AK483" i="1"/>
  <c r="AL483" i="1"/>
  <c r="AJ13" i="1"/>
  <c r="AJ19" i="1"/>
  <c r="AJ20" i="1"/>
  <c r="AJ26" i="1"/>
  <c r="AK185" i="1"/>
  <c r="AL185" i="1"/>
  <c r="AJ1106" i="1"/>
  <c r="AK1106" i="1" s="1"/>
  <c r="AJ1316" i="1"/>
  <c r="AK887" i="1"/>
  <c r="AL887" i="1"/>
  <c r="AJ367" i="1"/>
  <c r="AJ370" i="1"/>
  <c r="AJ374" i="1"/>
  <c r="AK740" i="1"/>
  <c r="AL740" i="1"/>
  <c r="AJ111" i="1"/>
  <c r="AJ123" i="1"/>
  <c r="AK300" i="1"/>
  <c r="AL300" i="1"/>
  <c r="AK545" i="1"/>
  <c r="AL545" i="1"/>
  <c r="AJ611" i="1"/>
  <c r="AJ1100" i="1"/>
  <c r="AK1100" i="1" s="1"/>
  <c r="AK761" i="1"/>
  <c r="AL761" i="1"/>
  <c r="AJ1144" i="1"/>
  <c r="AK729" i="1"/>
  <c r="AL729" i="1"/>
  <c r="AJ302" i="1"/>
  <c r="AJ757" i="1"/>
  <c r="AJ1246" i="1"/>
  <c r="AJ1381" i="1"/>
  <c r="AK1152" i="1"/>
  <c r="AL1152" i="1"/>
  <c r="AJ1208" i="1"/>
  <c r="AJ1238" i="1"/>
  <c r="AJ1275" i="1"/>
  <c r="AL188" i="1"/>
  <c r="AK188" i="1"/>
  <c r="AJ997" i="1"/>
  <c r="AJ1046" i="1"/>
  <c r="AJ857" i="1"/>
  <c r="AJ895" i="1"/>
  <c r="AJ1151" i="1"/>
  <c r="AJ1184" i="1"/>
  <c r="AJ1211" i="1"/>
  <c r="AJ1347" i="1"/>
  <c r="AK884" i="1"/>
  <c r="AL884" i="1"/>
  <c r="AK488" i="1"/>
  <c r="AL488" i="1"/>
  <c r="AK873" i="1"/>
  <c r="AL873" i="1"/>
  <c r="AK204" i="1"/>
  <c r="AL204" i="1"/>
  <c r="AJ248" i="1"/>
  <c r="AK248" i="1" s="1"/>
  <c r="AJ266" i="1"/>
  <c r="AJ612" i="1"/>
  <c r="AJ613" i="1"/>
  <c r="AJ659" i="1"/>
  <c r="AJ717" i="1"/>
  <c r="AJ121" i="1"/>
  <c r="AJ127" i="1"/>
  <c r="AJ131" i="1"/>
  <c r="AJ134" i="1"/>
  <c r="AK1114" i="1"/>
  <c r="AL1114" i="1"/>
  <c r="AK764" i="1"/>
  <c r="AL764" i="1"/>
  <c r="AK487" i="1"/>
  <c r="AL487" i="1"/>
  <c r="AJ313" i="1"/>
  <c r="AJ971" i="1"/>
  <c r="AK582" i="1"/>
  <c r="AL582" i="1"/>
  <c r="AK340" i="1"/>
  <c r="AL340" i="1"/>
  <c r="AJ1111" i="1"/>
  <c r="AJ1115" i="1"/>
  <c r="AJ1120" i="1"/>
  <c r="AJ1248" i="1"/>
  <c r="AJ1350" i="1"/>
  <c r="AJ254" i="1"/>
  <c r="AJ255" i="1"/>
  <c r="AJ263" i="1"/>
  <c r="AJ405" i="1"/>
  <c r="AJ277" i="1"/>
  <c r="AJ575" i="1"/>
  <c r="AJ11" i="1"/>
  <c r="AJ942" i="1"/>
  <c r="AK504" i="1"/>
  <c r="AL504" i="1"/>
  <c r="AJ180" i="1"/>
  <c r="AJ281" i="1"/>
  <c r="AJ321" i="1"/>
  <c r="AJ325" i="1"/>
  <c r="AJ332" i="1"/>
  <c r="AJ38" i="1"/>
  <c r="AJ44" i="1"/>
  <c r="AJ344" i="1"/>
  <c r="AJ576" i="1"/>
  <c r="AJ992" i="1"/>
  <c r="AJ65" i="1"/>
  <c r="AJ86" i="1"/>
  <c r="AJ406" i="1"/>
  <c r="AK316" i="1"/>
  <c r="AL316" i="1"/>
  <c r="AK798" i="1"/>
  <c r="AL798" i="1"/>
  <c r="AJ60" i="1"/>
  <c r="AJ62" i="1"/>
  <c r="AJ337" i="1"/>
  <c r="AJ354" i="1"/>
  <c r="AJ856" i="1"/>
  <c r="AJ970" i="1"/>
  <c r="AL970" i="1" s="1"/>
  <c r="AJ233" i="1"/>
  <c r="AK233" i="1" s="1"/>
  <c r="AJ605" i="1"/>
  <c r="AJ684" i="1"/>
  <c r="AK109" i="1"/>
  <c r="AL109" i="1"/>
  <c r="AK515" i="1"/>
  <c r="AL515" i="1"/>
  <c r="AK825" i="1"/>
  <c r="AL825" i="1"/>
  <c r="AJ115" i="1"/>
  <c r="AJ677" i="1"/>
  <c r="AJ279" i="1"/>
  <c r="AJ571" i="1"/>
  <c r="AJ974" i="1"/>
  <c r="AJ436" i="1"/>
  <c r="AJ437" i="1"/>
  <c r="AJ31" i="1"/>
  <c r="AJ53" i="1"/>
  <c r="AJ728" i="1"/>
  <c r="AK1016" i="1"/>
  <c r="AL1016" i="1"/>
  <c r="AJ694" i="1"/>
  <c r="AJ866" i="1"/>
  <c r="AJ1080" i="1"/>
  <c r="AK1080" i="1" s="1"/>
  <c r="AJ1142" i="1"/>
  <c r="AJ1313" i="1"/>
  <c r="AJ1044" i="1"/>
  <c r="AJ1123" i="1"/>
  <c r="AK744" i="1"/>
  <c r="AL744" i="1"/>
  <c r="AJ118" i="1"/>
  <c r="AJ237" i="1"/>
  <c r="AK237" i="1" s="1"/>
  <c r="AJ486" i="1"/>
  <c r="AJ822" i="1"/>
  <c r="AJ225" i="1"/>
  <c r="AJ720" i="1"/>
  <c r="AJ224" i="1"/>
  <c r="AJ1250" i="1"/>
  <c r="AK1013" i="1"/>
  <c r="AL1013" i="1"/>
  <c r="AJ72" i="1"/>
  <c r="AJ84" i="1"/>
  <c r="AJ113" i="1"/>
  <c r="AJ244" i="1"/>
  <c r="AK244" i="1" s="1"/>
  <c r="AJ297" i="1"/>
  <c r="AJ603" i="1"/>
  <c r="AJ646" i="1"/>
  <c r="AJ678" i="1"/>
  <c r="AJ702" i="1"/>
  <c r="AJ739" i="1"/>
  <c r="AJ756" i="1"/>
  <c r="AJ802" i="1"/>
  <c r="AJ820" i="1"/>
  <c r="AJ839" i="1"/>
  <c r="AJ893" i="1"/>
  <c r="AJ939" i="1"/>
  <c r="AJ1004" i="1"/>
  <c r="AJ1087" i="1"/>
  <c r="AK1087" i="1" s="1"/>
  <c r="AJ1103" i="1"/>
  <c r="AK1103" i="1" s="1"/>
  <c r="AK48" i="1"/>
  <c r="AL48" i="1"/>
  <c r="AK128" i="1"/>
  <c r="AL128" i="1"/>
  <c r="AJ1122" i="1"/>
  <c r="AJ1139" i="1"/>
  <c r="AJ1147" i="1"/>
  <c r="AJ1154" i="1"/>
  <c r="AJ1267" i="1"/>
  <c r="AJ1284" i="1"/>
  <c r="AK551" i="1"/>
  <c r="AL551" i="1"/>
  <c r="AJ497" i="1"/>
  <c r="AJ898" i="1"/>
  <c r="AK899" i="1"/>
  <c r="AL899" i="1"/>
  <c r="AJ915" i="1"/>
  <c r="AJ1285" i="1"/>
  <c r="AJ219" i="1"/>
  <c r="AJ315" i="1"/>
  <c r="AK110" i="1"/>
  <c r="AL110" i="1"/>
  <c r="AK546" i="1"/>
  <c r="AL546" i="1"/>
  <c r="AK882" i="1"/>
  <c r="AL882" i="1"/>
  <c r="AK412" i="1"/>
  <c r="AL412" i="1"/>
  <c r="AK827" i="1"/>
  <c r="AL827" i="1"/>
  <c r="AJ1076" i="1"/>
  <c r="AK1076" i="1" s="1"/>
  <c r="AJ1088" i="1"/>
  <c r="AJ1167" i="1"/>
  <c r="AJ234" i="1"/>
  <c r="AK234" i="1" s="1"/>
  <c r="AJ801" i="1"/>
  <c r="AJ1001" i="1"/>
  <c r="AJ1094" i="1"/>
  <c r="AJ1126" i="1"/>
  <c r="AK1127" i="1"/>
  <c r="AL1127" i="1"/>
  <c r="AK675" i="1"/>
  <c r="AL675" i="1"/>
  <c r="AK883" i="1"/>
  <c r="AL883" i="1"/>
  <c r="AJ251" i="1"/>
  <c r="AK251" i="1" s="1"/>
  <c r="AJ414" i="1"/>
  <c r="AJ1105" i="1"/>
  <c r="AK1105" i="1" s="1"/>
  <c r="AJ1189" i="1"/>
  <c r="AJ1235" i="1"/>
  <c r="AJ1266" i="1"/>
  <c r="AJ14" i="1"/>
  <c r="AJ1077" i="1"/>
  <c r="AK1077" i="1" s="1"/>
  <c r="AK906" i="1"/>
  <c r="AL906" i="1"/>
  <c r="AK584" i="1"/>
  <c r="AL584" i="1"/>
  <c r="AK149" i="1"/>
  <c r="AL149" i="1"/>
  <c r="AK540" i="1"/>
  <c r="AL540" i="1"/>
  <c r="AK47" i="1"/>
  <c r="AL47" i="1"/>
  <c r="AJ28" i="1"/>
  <c r="AJ562" i="1"/>
  <c r="AJ541" i="1"/>
  <c r="AJ732" i="1"/>
  <c r="AJ253" i="1"/>
  <c r="AK253" i="1" s="1"/>
  <c r="AJ850" i="1"/>
  <c r="AJ27" i="1"/>
  <c r="AJ846" i="1"/>
  <c r="AK34" i="1"/>
  <c r="AL34" i="1"/>
  <c r="AK1025" i="1"/>
  <c r="AL1025" i="1"/>
  <c r="AJ1002" i="1"/>
  <c r="AJ1024" i="1"/>
  <c r="AJ1029" i="1"/>
  <c r="AJ323" i="1"/>
  <c r="AJ911" i="1"/>
  <c r="AK222" i="1"/>
  <c r="AL222" i="1"/>
  <c r="AK223" i="1"/>
  <c r="AL223" i="1"/>
  <c r="AJ590" i="1"/>
  <c r="AJ634" i="1"/>
  <c r="AJ763" i="1"/>
  <c r="AJ1020" i="1"/>
  <c r="AJ18" i="1"/>
  <c r="AJ21" i="1"/>
  <c r="AJ220" i="1"/>
  <c r="AJ591" i="1"/>
  <c r="AJ641" i="1"/>
  <c r="AJ647" i="1"/>
  <c r="AJ649" i="1"/>
  <c r="AJ655" i="1"/>
  <c r="AJ828" i="1"/>
  <c r="AJ913" i="1"/>
  <c r="AJ1096" i="1"/>
  <c r="AK417" i="1"/>
  <c r="AL417" i="1"/>
  <c r="AK829" i="1"/>
  <c r="AL829" i="1"/>
  <c r="AJ1021" i="1"/>
  <c r="AJ1035" i="1"/>
  <c r="AJ1107" i="1"/>
  <c r="AK1107" i="1" s="1"/>
  <c r="AJ1170" i="1"/>
  <c r="AJ1210" i="1"/>
  <c r="AJ1346" i="1"/>
  <c r="AJ376" i="1"/>
  <c r="AJ588" i="1"/>
  <c r="AJ1018" i="1"/>
  <c r="AJ1026" i="1"/>
  <c r="AJ1019" i="1"/>
  <c r="AJ1027" i="1"/>
  <c r="AK648" i="1"/>
  <c r="AL648" i="1"/>
  <c r="AJ63" i="1"/>
  <c r="AJ117" i="1"/>
  <c r="AJ215" i="1"/>
  <c r="AJ751" i="1"/>
  <c r="AJ752" i="1"/>
  <c r="AJ778" i="1"/>
  <c r="AJ16" i="1"/>
  <c r="AJ122" i="1"/>
  <c r="AJ1089" i="1"/>
  <c r="AJ1108" i="1"/>
  <c r="AJ1117" i="1"/>
  <c r="AJ1133" i="1"/>
  <c r="AJ1083" i="1"/>
  <c r="AK1083" i="1" s="1"/>
  <c r="AJ1143" i="1"/>
  <c r="AK252" i="1"/>
  <c r="AL252" i="1"/>
  <c r="AJ465" i="1"/>
  <c r="AJ466" i="1"/>
  <c r="AK1007" i="1"/>
  <c r="AL1007" i="1"/>
  <c r="AJ840" i="1"/>
  <c r="AJ1101" i="1"/>
  <c r="AK1101" i="1" s="1"/>
  <c r="AJ1247" i="1"/>
  <c r="AJ30" i="1"/>
  <c r="AJ561" i="1"/>
  <c r="AJ12" i="1"/>
  <c r="AJ256" i="1"/>
  <c r="AJ607" i="1"/>
  <c r="AK704" i="1"/>
  <c r="AL704" i="1"/>
  <c r="AK484" i="1"/>
  <c r="AL484" i="1"/>
  <c r="AJ632" i="1"/>
  <c r="AJ864" i="1"/>
  <c r="AJ1098" i="1"/>
  <c r="AJ1130" i="1"/>
  <c r="AJ633" i="1"/>
  <c r="AJ865" i="1"/>
  <c r="AK189" i="1"/>
  <c r="AL189" i="1"/>
  <c r="AK366" i="1"/>
  <c r="AL366" i="1"/>
  <c r="AJ470" i="1"/>
  <c r="AJ609" i="1"/>
  <c r="AJ673" i="1"/>
  <c r="AJ642" i="1"/>
  <c r="AJ920" i="1"/>
  <c r="AJ221" i="1"/>
  <c r="AJ239" i="1"/>
  <c r="AK239" i="1" s="1"/>
  <c r="AJ531" i="1"/>
  <c r="AJ533" i="1"/>
  <c r="AK714" i="1"/>
  <c r="AL714" i="1"/>
  <c r="AK753" i="1"/>
  <c r="AL753" i="1"/>
  <c r="AK754" i="1"/>
  <c r="AL754" i="1"/>
  <c r="AK553" i="1"/>
  <c r="AL553" i="1"/>
  <c r="AJ184" i="1"/>
  <c r="AJ804" i="1"/>
  <c r="AJ730" i="1"/>
  <c r="AJ878" i="1"/>
  <c r="AJ630" i="1"/>
  <c r="AJ841" i="1"/>
  <c r="AJ136" i="1"/>
  <c r="AJ1254" i="1"/>
  <c r="AJ1258" i="1"/>
  <c r="AJ116" i="1"/>
  <c r="AJ249" i="1"/>
  <c r="AK249" i="1" s="1"/>
  <c r="AJ638" i="1"/>
  <c r="AJ685" i="1"/>
  <c r="AJ774" i="1"/>
  <c r="AJ821" i="1"/>
  <c r="AJ1006" i="1"/>
  <c r="AJ1014" i="1"/>
  <c r="AJ1186" i="1"/>
  <c r="AJ1200" i="1"/>
  <c r="AJ1213" i="1"/>
  <c r="AJ1241" i="1"/>
  <c r="AJ1253" i="1"/>
  <c r="AJ1348" i="1"/>
  <c r="AJ674" i="1"/>
  <c r="AJ994" i="1"/>
  <c r="AJ995" i="1"/>
  <c r="AJ1000" i="1"/>
  <c r="AJ1023" i="1"/>
  <c r="AK1245" i="1"/>
  <c r="AL1245" i="1"/>
  <c r="AK643" i="1"/>
  <c r="AL643" i="1"/>
  <c r="AK499" i="1"/>
  <c r="AL499" i="1"/>
  <c r="AK843" i="1"/>
  <c r="AL843" i="1"/>
  <c r="AK845" i="1"/>
  <c r="AL845" i="1"/>
  <c r="AK844" i="1"/>
  <c r="AL844" i="1"/>
  <c r="AK876" i="1"/>
  <c r="AL876" i="1"/>
  <c r="AK877" i="1"/>
  <c r="AL877" i="1"/>
  <c r="AK875" i="1"/>
  <c r="AL875" i="1"/>
  <c r="AK150" i="1"/>
  <c r="AL150" i="1"/>
  <c r="AJ477" i="1"/>
  <c r="AJ713" i="1"/>
  <c r="AJ467" i="1"/>
  <c r="AJ468" i="1"/>
  <c r="AJ469" i="1"/>
  <c r="AJ589" i="1"/>
  <c r="AJ718" i="1"/>
  <c r="AJ721" i="1"/>
  <c r="AK544" i="1"/>
  <c r="AL544" i="1"/>
  <c r="AK885" i="1"/>
  <c r="AL885" i="1"/>
  <c r="AJ1110" i="1"/>
  <c r="AJ1257" i="1"/>
  <c r="AJ426" i="1"/>
  <c r="AJ688" i="1"/>
  <c r="AK795" i="1"/>
  <c r="AL795" i="1"/>
  <c r="AK824" i="1"/>
  <c r="AL824" i="1"/>
  <c r="AJ32" i="1"/>
  <c r="AJ151" i="1"/>
  <c r="AJ153" i="1"/>
  <c r="AJ293" i="1"/>
  <c r="AJ349" i="1"/>
  <c r="AJ357" i="1"/>
  <c r="AJ358" i="1"/>
  <c r="AJ604" i="1"/>
  <c r="AJ853" i="1"/>
  <c r="AJ929" i="1"/>
  <c r="AJ989" i="1"/>
  <c r="AJ294" i="1"/>
  <c r="AJ629" i="1"/>
  <c r="AJ610" i="1"/>
  <c r="AJ758" i="1"/>
  <c r="AK808" i="1"/>
  <c r="AL808" i="1"/>
  <c r="AJ1237" i="1"/>
  <c r="AJ1263" i="1"/>
  <c r="AJ247" i="1"/>
  <c r="AK247" i="1" s="1"/>
  <c r="AJ1251" i="1"/>
  <c r="AK503" i="1"/>
  <c r="AL503" i="1"/>
  <c r="AK946" i="1"/>
  <c r="AL946" i="1"/>
  <c r="AJ430" i="1"/>
  <c r="AJ1034" i="1"/>
  <c r="AK126" i="1"/>
  <c r="AL126" i="1"/>
  <c r="AJ322" i="1"/>
  <c r="AJ326" i="1"/>
  <c r="AK54" i="1"/>
  <c r="AL54" i="1"/>
  <c r="AJ908" i="1"/>
  <c r="AJ921" i="1"/>
  <c r="AK892" i="1"/>
  <c r="AL892" i="1"/>
  <c r="AJ823" i="1"/>
  <c r="AJ905" i="1"/>
  <c r="AK299" i="1"/>
  <c r="AL299" i="1"/>
  <c r="AK187" i="1"/>
  <c r="AL187" i="1"/>
  <c r="AK124" i="1"/>
  <c r="AL124" i="1"/>
  <c r="AK112" i="1"/>
  <c r="AL112" i="1"/>
  <c r="AJ125" i="1"/>
  <c r="AJ371" i="1"/>
  <c r="AJ537" i="1"/>
  <c r="AJ766" i="1"/>
  <c r="AJ768" i="1"/>
  <c r="AJ914" i="1"/>
  <c r="AJ951" i="1"/>
  <c r="AK803" i="1"/>
  <c r="AL803" i="1"/>
  <c r="AJ17" i="1"/>
  <c r="AJ130" i="1"/>
  <c r="AK710" i="1"/>
  <c r="AL710" i="1"/>
  <c r="AK863" i="1"/>
  <c r="AL863" i="1"/>
  <c r="AJ29" i="1"/>
  <c r="AJ502" i="1"/>
  <c r="AK904" i="1"/>
  <c r="AL904" i="1"/>
  <c r="AJ272" i="1"/>
  <c r="AJ552" i="1"/>
  <c r="AJ554" i="1"/>
  <c r="AJ912" i="1"/>
  <c r="AJ926" i="1"/>
  <c r="AK168" i="1"/>
  <c r="AL168" i="1"/>
  <c r="AK278" i="1"/>
  <c r="AL278" i="1"/>
  <c r="AK301" i="1"/>
  <c r="AL301" i="1"/>
  <c r="AK205" i="1"/>
  <c r="AL205" i="1"/>
  <c r="AK217" i="1"/>
  <c r="AL217" i="1"/>
  <c r="AJ33" i="1"/>
  <c r="AJ317" i="1"/>
  <c r="AJ461" i="1"/>
  <c r="AJ573" i="1"/>
  <c r="AJ682" i="1"/>
  <c r="AJ759" i="1"/>
  <c r="AJ874" i="1"/>
  <c r="AK760" i="1"/>
  <c r="AL760" i="1"/>
  <c r="AK129" i="1"/>
  <c r="AL129" i="1"/>
  <c r="AJ871" i="1"/>
  <c r="AJ1240" i="1"/>
  <c r="AJ530" i="1"/>
  <c r="AJ538" i="1"/>
  <c r="AJ73" i="1"/>
  <c r="AJ1132" i="1"/>
  <c r="AJ1138" i="1"/>
  <c r="AJ1145" i="1"/>
  <c r="AJ1153" i="1"/>
  <c r="AJ1159" i="1"/>
  <c r="AJ1116" i="1"/>
  <c r="AJ1121" i="1"/>
  <c r="AJ1249" i="1"/>
  <c r="AJ1327" i="1"/>
  <c r="AK765" i="1"/>
  <c r="AL765" i="1"/>
  <c r="AK706" i="1"/>
  <c r="AL706" i="1"/>
  <c r="AJ996" i="1"/>
  <c r="AJ1003" i="1"/>
  <c r="AJ216" i="1"/>
  <c r="AJ480" i="1"/>
  <c r="AJ637" i="1"/>
  <c r="AJ711" i="1"/>
  <c r="AJ1075" i="1"/>
  <c r="AK1075" i="1" s="1"/>
  <c r="AJ536" i="1"/>
  <c r="AJ712" i="1"/>
  <c r="AJ1307" i="1"/>
  <c r="AK1011" i="1"/>
  <c r="AL1011" i="1"/>
  <c r="AK298" i="1"/>
  <c r="AL298" i="1"/>
  <c r="AK619" i="1"/>
  <c r="AL619" i="1"/>
  <c r="AJ1093" i="1"/>
  <c r="AJ1236" i="1"/>
  <c r="AK55" i="1"/>
  <c r="AL55" i="1"/>
  <c r="AK8" i="1"/>
  <c r="AL8" i="1"/>
  <c r="AJ681" i="1"/>
  <c r="AJ1185" i="1"/>
  <c r="AJ1244" i="1"/>
  <c r="AK1079" i="1"/>
  <c r="AL1079" i="1"/>
  <c r="AJ1131" i="1"/>
  <c r="AJ1137" i="1"/>
  <c r="AJ1149" i="1"/>
  <c r="AJ1270" i="1"/>
  <c r="AJ1325" i="1"/>
  <c r="AJ1109" i="1"/>
  <c r="AJ1118" i="1"/>
  <c r="AJ1135" i="1"/>
  <c r="AJ1141" i="1"/>
  <c r="AK203" i="1"/>
  <c r="AL203" i="1"/>
  <c r="AJ250" i="1"/>
  <c r="AK250" i="1" s="1"/>
  <c r="AJ658" i="1"/>
  <c r="AJ1187" i="1"/>
  <c r="AJ1242" i="1"/>
  <c r="AJ1252" i="1"/>
  <c r="AK3" i="1"/>
  <c r="AL3" i="1"/>
  <c r="AJ329" i="1"/>
  <c r="AJ698" i="1"/>
  <c r="AJ147" i="1"/>
  <c r="AJ542" i="1"/>
  <c r="AJ789" i="1"/>
  <c r="AJ61" i="1"/>
  <c r="AJ849" i="1"/>
  <c r="AK324" i="1"/>
  <c r="AL324" i="1"/>
  <c r="AJ148" i="1"/>
  <c r="AJ318" i="1"/>
  <c r="AJ330" i="1"/>
  <c r="AJ331" i="1"/>
  <c r="AJ556" i="1"/>
  <c r="AJ557" i="1"/>
  <c r="AJ901" i="1"/>
  <c r="AJ902" i="1"/>
  <c r="AJ923" i="1"/>
  <c r="AJ960" i="1"/>
  <c r="AJ549" i="1"/>
  <c r="AJ570" i="1"/>
  <c r="AK909" i="1"/>
  <c r="AL909" i="1"/>
  <c r="AK9" i="1"/>
  <c r="AL9" i="1"/>
  <c r="AK10" i="1"/>
  <c r="AL10" i="1"/>
  <c r="AJ910" i="1"/>
  <c r="AJ922" i="1"/>
  <c r="AJ268" i="1"/>
  <c r="AJ543" i="1"/>
  <c r="AK1219" i="1"/>
  <c r="AL1219" i="1"/>
  <c r="AK1224" i="1"/>
  <c r="AL1224" i="1"/>
  <c r="AK805" i="1"/>
  <c r="AL805" i="1"/>
  <c r="AK1012" i="1"/>
  <c r="AL1012" i="1"/>
  <c r="AK705" i="1"/>
  <c r="AL705" i="1"/>
  <c r="AK50" i="1"/>
  <c r="AL50" i="1"/>
  <c r="AJ716" i="1"/>
  <c r="AJ719" i="1"/>
  <c r="AJ227" i="1"/>
  <c r="AJ446" i="1"/>
  <c r="AJ775" i="1"/>
  <c r="AL431" i="1"/>
  <c r="AK431" i="1"/>
  <c r="AK23" i="1"/>
  <c r="AL23" i="1"/>
  <c r="AJ396" i="1"/>
  <c r="AJ397" i="1"/>
  <c r="AK769" i="1"/>
  <c r="AL769" i="1"/>
  <c r="AK650" i="1"/>
  <c r="AL650" i="1"/>
  <c r="AK1031" i="1"/>
  <c r="AL1031" i="1"/>
  <c r="AK462" i="1"/>
  <c r="AL462" i="1"/>
  <c r="AJ442" i="1"/>
  <c r="AJ689" i="1"/>
  <c r="AJ1207" i="1"/>
  <c r="AJ1272" i="1"/>
  <c r="AK398" i="1"/>
  <c r="AL398" i="1"/>
  <c r="AK120" i="1"/>
  <c r="AL120" i="1"/>
  <c r="AL343" i="1"/>
  <c r="AK343" i="1"/>
  <c r="AK894" i="1"/>
  <c r="AL894" i="1"/>
  <c r="AJ22" i="1"/>
  <c r="AJ348" i="1"/>
  <c r="AK1156" i="1"/>
  <c r="AL1156" i="1"/>
  <c r="K26" i="121"/>
  <c r="AJ2" i="1"/>
  <c r="AL2" i="1" s="1"/>
  <c r="J54" i="121" l="1"/>
  <c r="R26" i="121"/>
  <c r="AL106" i="1"/>
  <c r="AK106" i="1"/>
  <c r="AL361" i="1"/>
  <c r="AK361" i="1"/>
  <c r="AL365" i="1"/>
  <c r="AK365" i="1"/>
  <c r="AL364" i="1"/>
  <c r="AK364" i="1"/>
  <c r="AL363" i="1"/>
  <c r="AK363" i="1"/>
  <c r="AL1352" i="1"/>
  <c r="AK1352" i="1"/>
  <c r="AL1064" i="1"/>
  <c r="AK1064" i="1"/>
  <c r="AL1065" i="1"/>
  <c r="AK1065" i="1"/>
  <c r="AK1066" i="1"/>
  <c r="AL1066" i="1"/>
  <c r="AL1067" i="1"/>
  <c r="AK1067" i="1"/>
  <c r="AL1068" i="1"/>
  <c r="AK1068" i="1"/>
  <c r="AL1069" i="1"/>
  <c r="AK1069" i="1"/>
  <c r="AK1070" i="1"/>
  <c r="AL1070" i="1"/>
  <c r="AL1351" i="1"/>
  <c r="AK1351" i="1"/>
  <c r="AL1216" i="1"/>
  <c r="AK1216" i="1"/>
  <c r="AL578" i="1"/>
  <c r="AK578" i="1"/>
  <c r="AL1375" i="1"/>
  <c r="AK1375" i="1"/>
  <c r="AK1382" i="1"/>
  <c r="AL1382" i="1"/>
  <c r="AL967" i="1"/>
  <c r="AK967" i="1"/>
  <c r="AL966" i="1"/>
  <c r="AK966" i="1"/>
  <c r="AL965" i="1"/>
  <c r="AK965" i="1"/>
  <c r="AL964" i="1"/>
  <c r="AK964" i="1"/>
  <c r="K54" i="121"/>
  <c r="AK1397" i="1"/>
  <c r="AL1397" i="1"/>
  <c r="AL989" i="1"/>
  <c r="AK989" i="1"/>
  <c r="AK348" i="1"/>
  <c r="AL348" i="1"/>
  <c r="AK22" i="1"/>
  <c r="AL22" i="1"/>
  <c r="AL1272" i="1"/>
  <c r="AK1272" i="1"/>
  <c r="AK1207" i="1"/>
  <c r="AL1207" i="1"/>
  <c r="AK689" i="1"/>
  <c r="AL689" i="1"/>
  <c r="AK442" i="1"/>
  <c r="AL442" i="1"/>
  <c r="AL397" i="1"/>
  <c r="AK397" i="1"/>
  <c r="AK396" i="1"/>
  <c r="AL396" i="1"/>
  <c r="AK775" i="1"/>
  <c r="AL775" i="1"/>
  <c r="AK446" i="1"/>
  <c r="AL446" i="1"/>
  <c r="AK227" i="1"/>
  <c r="AL227" i="1"/>
  <c r="AK719" i="1"/>
  <c r="AL719" i="1"/>
  <c r="AL716" i="1"/>
  <c r="AK716" i="1"/>
  <c r="AK543" i="1"/>
  <c r="AL543" i="1"/>
  <c r="AK268" i="1"/>
  <c r="AL268" i="1"/>
  <c r="AK922" i="1"/>
  <c r="AL922" i="1"/>
  <c r="AK910" i="1"/>
  <c r="AL910" i="1"/>
  <c r="AK570" i="1"/>
  <c r="AL570" i="1"/>
  <c r="AK549" i="1"/>
  <c r="AL549" i="1"/>
  <c r="AK960" i="1"/>
  <c r="AL960" i="1"/>
  <c r="AK923" i="1"/>
  <c r="AL923" i="1"/>
  <c r="AK902" i="1"/>
  <c r="AL902" i="1"/>
  <c r="AK901" i="1"/>
  <c r="AL901" i="1"/>
  <c r="AK557" i="1"/>
  <c r="AL557" i="1"/>
  <c r="AK556" i="1"/>
  <c r="AL556" i="1"/>
  <c r="AK331" i="1"/>
  <c r="AL331" i="1"/>
  <c r="AK330" i="1"/>
  <c r="AL330" i="1"/>
  <c r="AK318" i="1"/>
  <c r="AL318" i="1"/>
  <c r="AK148" i="1"/>
  <c r="AL148" i="1"/>
  <c r="AK849" i="1"/>
  <c r="AL849" i="1"/>
  <c r="AK61" i="1"/>
  <c r="AL61" i="1"/>
  <c r="AK789" i="1"/>
  <c r="AL789" i="1"/>
  <c r="AK542" i="1"/>
  <c r="AL542" i="1"/>
  <c r="AK147" i="1"/>
  <c r="AL147" i="1"/>
  <c r="AK698" i="1"/>
  <c r="AL698" i="1"/>
  <c r="AL329" i="1"/>
  <c r="AK329" i="1"/>
  <c r="AL1252" i="1"/>
  <c r="AK1252" i="1"/>
  <c r="AK1242" i="1"/>
  <c r="AL1242" i="1"/>
  <c r="AK1187" i="1"/>
  <c r="AL1187" i="1"/>
  <c r="AK658" i="1"/>
  <c r="AL658" i="1"/>
  <c r="AK1141" i="1"/>
  <c r="AL1141" i="1"/>
  <c r="AK1135" i="1"/>
  <c r="AL1135" i="1"/>
  <c r="AL1118" i="1"/>
  <c r="AK1118" i="1"/>
  <c r="AK1109" i="1"/>
  <c r="AL1109" i="1"/>
  <c r="AK1325" i="1"/>
  <c r="AL1325" i="1"/>
  <c r="AK1270" i="1"/>
  <c r="AL1270" i="1"/>
  <c r="AK1149" i="1"/>
  <c r="AL1149" i="1"/>
  <c r="AK1137" i="1"/>
  <c r="AL1137" i="1"/>
  <c r="AK1131" i="1"/>
  <c r="AL1131" i="1"/>
  <c r="AK1244" i="1"/>
  <c r="AL1244" i="1"/>
  <c r="AK1185" i="1"/>
  <c r="AL1185" i="1"/>
  <c r="AK681" i="1"/>
  <c r="AL681" i="1"/>
  <c r="AL1236" i="1"/>
  <c r="AK1236" i="1"/>
  <c r="AK1093" i="1"/>
  <c r="AL1093" i="1"/>
  <c r="AK1307" i="1"/>
  <c r="AL1307" i="1"/>
  <c r="AL712" i="1"/>
  <c r="AK712" i="1"/>
  <c r="AK536" i="1"/>
  <c r="AL536" i="1"/>
  <c r="AK711" i="1"/>
  <c r="AL711" i="1"/>
  <c r="AK637" i="1"/>
  <c r="AL637" i="1"/>
  <c r="AK480" i="1"/>
  <c r="AL480" i="1"/>
  <c r="AK216" i="1"/>
  <c r="AL216" i="1"/>
  <c r="AK1003" i="1"/>
  <c r="AL1003" i="1"/>
  <c r="AK996" i="1"/>
  <c r="AL996" i="1"/>
  <c r="AL1327" i="1"/>
  <c r="AK1327" i="1"/>
  <c r="AK1249" i="1"/>
  <c r="AL1249" i="1"/>
  <c r="AK1121" i="1"/>
  <c r="AL1121" i="1"/>
  <c r="AK1116" i="1"/>
  <c r="AL1116" i="1"/>
  <c r="AK1159" i="1"/>
  <c r="AL1159" i="1"/>
  <c r="AK1153" i="1"/>
  <c r="AL1153" i="1"/>
  <c r="AK1145" i="1"/>
  <c r="AL1145" i="1"/>
  <c r="AK1138" i="1"/>
  <c r="AL1138" i="1"/>
  <c r="AK1132" i="1"/>
  <c r="AL1132" i="1"/>
  <c r="AK73" i="1"/>
  <c r="AL73" i="1"/>
  <c r="AK538" i="1"/>
  <c r="AL538" i="1"/>
  <c r="AK530" i="1"/>
  <c r="AL530" i="1"/>
  <c r="AL1240" i="1"/>
  <c r="AK1240" i="1"/>
  <c r="AK871" i="1"/>
  <c r="AL871" i="1"/>
  <c r="AK874" i="1"/>
  <c r="AL874" i="1"/>
  <c r="AK759" i="1"/>
  <c r="AL759" i="1"/>
  <c r="AK682" i="1"/>
  <c r="AL682" i="1"/>
  <c r="AK573" i="1"/>
  <c r="AL573" i="1"/>
  <c r="AK461" i="1"/>
  <c r="AL461" i="1"/>
  <c r="AK317" i="1"/>
  <c r="AL317" i="1"/>
  <c r="AK33" i="1"/>
  <c r="AL33" i="1"/>
  <c r="AK926" i="1"/>
  <c r="AL926" i="1"/>
  <c r="AK912" i="1"/>
  <c r="AL912" i="1"/>
  <c r="AK554" i="1"/>
  <c r="AL554" i="1"/>
  <c r="AK552" i="1"/>
  <c r="AL552" i="1"/>
  <c r="AK272" i="1"/>
  <c r="AL272" i="1"/>
  <c r="AK502" i="1"/>
  <c r="AL502" i="1"/>
  <c r="AK29" i="1"/>
  <c r="AL29" i="1"/>
  <c r="AK130" i="1"/>
  <c r="AL130" i="1"/>
  <c r="AK17" i="1"/>
  <c r="AL17" i="1"/>
  <c r="AK951" i="1"/>
  <c r="AL951" i="1"/>
  <c r="AK914" i="1"/>
  <c r="AL914" i="1"/>
  <c r="AK768" i="1"/>
  <c r="AL768" i="1"/>
  <c r="AK766" i="1"/>
  <c r="AL766" i="1"/>
  <c r="AK537" i="1"/>
  <c r="AL537" i="1"/>
  <c r="AK371" i="1"/>
  <c r="AL371" i="1"/>
  <c r="AK125" i="1"/>
  <c r="AL125" i="1"/>
  <c r="AK905" i="1"/>
  <c r="AL905" i="1"/>
  <c r="AK823" i="1"/>
  <c r="AL823" i="1"/>
  <c r="AK921" i="1"/>
  <c r="AL921" i="1"/>
  <c r="AK908" i="1"/>
  <c r="AL908" i="1"/>
  <c r="AK326" i="1"/>
  <c r="AL326" i="1"/>
  <c r="AK322" i="1"/>
  <c r="AL322" i="1"/>
  <c r="AK1034" i="1"/>
  <c r="AL1034" i="1"/>
  <c r="AK430" i="1"/>
  <c r="AL430" i="1"/>
  <c r="AK1251" i="1"/>
  <c r="AL1251" i="1"/>
  <c r="AK1263" i="1"/>
  <c r="AL1263" i="1"/>
  <c r="AK1237" i="1"/>
  <c r="AL1237" i="1"/>
  <c r="AK758" i="1"/>
  <c r="AL758" i="1"/>
  <c r="AK610" i="1"/>
  <c r="AL610" i="1"/>
  <c r="AK629" i="1"/>
  <c r="AL629" i="1"/>
  <c r="AK294" i="1"/>
  <c r="AL294" i="1"/>
  <c r="AK929" i="1"/>
  <c r="AL929" i="1"/>
  <c r="AK853" i="1"/>
  <c r="AL853" i="1"/>
  <c r="AK604" i="1"/>
  <c r="AL604" i="1"/>
  <c r="AK358" i="1"/>
  <c r="AL358" i="1"/>
  <c r="AK357" i="1"/>
  <c r="AL357" i="1"/>
  <c r="AL349" i="1"/>
  <c r="AK349" i="1"/>
  <c r="AK293" i="1"/>
  <c r="AL293" i="1"/>
  <c r="AK153" i="1"/>
  <c r="AL153" i="1"/>
  <c r="AK151" i="1"/>
  <c r="AL151" i="1"/>
  <c r="AK32" i="1"/>
  <c r="AL32" i="1"/>
  <c r="AK688" i="1"/>
  <c r="AL688" i="1"/>
  <c r="AK426" i="1"/>
  <c r="AL426" i="1"/>
  <c r="AK1257" i="1"/>
  <c r="AL1257" i="1"/>
  <c r="AL1110" i="1"/>
  <c r="AK1110" i="1"/>
  <c r="AK721" i="1"/>
  <c r="AL721" i="1"/>
  <c r="AL718" i="1"/>
  <c r="AK718" i="1"/>
  <c r="AK589" i="1"/>
  <c r="AL589" i="1"/>
  <c r="AK469" i="1"/>
  <c r="AL469" i="1"/>
  <c r="AK468" i="1"/>
  <c r="AL468" i="1"/>
  <c r="AK467" i="1"/>
  <c r="AL467" i="1"/>
  <c r="AK713" i="1"/>
  <c r="AL713" i="1"/>
  <c r="AK477" i="1"/>
  <c r="AL477" i="1"/>
  <c r="AK1023" i="1"/>
  <c r="AL1023" i="1"/>
  <c r="AK1000" i="1"/>
  <c r="AL1000" i="1"/>
  <c r="AK995" i="1"/>
  <c r="AL995" i="1"/>
  <c r="AK994" i="1"/>
  <c r="AL994" i="1"/>
  <c r="AK674" i="1"/>
  <c r="AL674" i="1"/>
  <c r="AK1348" i="1"/>
  <c r="AL1348" i="1"/>
  <c r="AK1253" i="1"/>
  <c r="AL1253" i="1"/>
  <c r="AK1241" i="1"/>
  <c r="AL1241" i="1"/>
  <c r="AK1213" i="1"/>
  <c r="AL1213" i="1"/>
  <c r="AL1200" i="1"/>
  <c r="AK1200" i="1"/>
  <c r="AK1186" i="1"/>
  <c r="AL1186" i="1"/>
  <c r="AK1014" i="1"/>
  <c r="AL1014" i="1"/>
  <c r="AK1006" i="1"/>
  <c r="AL1006" i="1"/>
  <c r="AK821" i="1"/>
  <c r="AL821" i="1"/>
  <c r="AK774" i="1"/>
  <c r="AL774" i="1"/>
  <c r="AK685" i="1"/>
  <c r="AL685" i="1"/>
  <c r="AL638" i="1"/>
  <c r="AK638" i="1"/>
  <c r="AK116" i="1"/>
  <c r="AL116" i="1"/>
  <c r="AK1258" i="1"/>
  <c r="AL1258" i="1"/>
  <c r="AK1254" i="1"/>
  <c r="AL1254" i="1"/>
  <c r="AK136" i="1"/>
  <c r="AL136" i="1"/>
  <c r="AK841" i="1"/>
  <c r="AL841" i="1"/>
  <c r="AK630" i="1"/>
  <c r="AL630" i="1"/>
  <c r="AK878" i="1"/>
  <c r="AL878" i="1"/>
  <c r="AL730" i="1"/>
  <c r="AK730" i="1"/>
  <c r="AK804" i="1"/>
  <c r="AL804" i="1"/>
  <c r="AL184" i="1"/>
  <c r="AK184" i="1"/>
  <c r="AK533" i="1"/>
  <c r="AL533" i="1"/>
  <c r="AK531" i="1"/>
  <c r="AL531" i="1"/>
  <c r="AK221" i="1"/>
  <c r="AL221" i="1"/>
  <c r="AK920" i="1"/>
  <c r="AL920" i="1"/>
  <c r="AK642" i="1"/>
  <c r="AL642" i="1"/>
  <c r="AK673" i="1"/>
  <c r="AL673" i="1"/>
  <c r="AK609" i="1"/>
  <c r="AL609" i="1"/>
  <c r="AK470" i="1"/>
  <c r="AL470" i="1"/>
  <c r="AK865" i="1"/>
  <c r="AL865" i="1"/>
  <c r="AK633" i="1"/>
  <c r="AL633" i="1"/>
  <c r="AK1130" i="1"/>
  <c r="AL1130" i="1"/>
  <c r="AK1098" i="1"/>
  <c r="AL1098" i="1"/>
  <c r="AK864" i="1"/>
  <c r="AL864" i="1"/>
  <c r="AK632" i="1"/>
  <c r="AL632" i="1"/>
  <c r="AL607" i="1"/>
  <c r="AK607" i="1"/>
  <c r="AK256" i="1"/>
  <c r="AL256" i="1"/>
  <c r="AK12" i="1"/>
  <c r="AL12" i="1"/>
  <c r="AK561" i="1"/>
  <c r="AL561" i="1"/>
  <c r="AK30" i="1"/>
  <c r="AL30" i="1"/>
  <c r="AK1247" i="1"/>
  <c r="AL1247" i="1"/>
  <c r="AK840" i="1"/>
  <c r="AL840" i="1"/>
  <c r="AK466" i="1"/>
  <c r="AL466" i="1"/>
  <c r="AK465" i="1"/>
  <c r="AL465" i="1"/>
  <c r="AK1143" i="1"/>
  <c r="AL1143" i="1"/>
  <c r="AK1133" i="1"/>
  <c r="AL1133" i="1"/>
  <c r="AK1117" i="1"/>
  <c r="AL1117" i="1"/>
  <c r="AK1108" i="1"/>
  <c r="AL1108" i="1"/>
  <c r="AK1089" i="1"/>
  <c r="AL1089" i="1"/>
  <c r="AK122" i="1"/>
  <c r="AL122" i="1"/>
  <c r="AK16" i="1"/>
  <c r="AL16" i="1"/>
  <c r="AK778" i="1"/>
  <c r="AL778" i="1"/>
  <c r="AK752" i="1"/>
  <c r="AL752" i="1"/>
  <c r="AK751" i="1"/>
  <c r="AL751" i="1"/>
  <c r="AK215" i="1"/>
  <c r="AL215" i="1"/>
  <c r="AK117" i="1"/>
  <c r="AL117" i="1"/>
  <c r="AK63" i="1"/>
  <c r="AL63" i="1"/>
  <c r="AK1027" i="1"/>
  <c r="AL1027" i="1"/>
  <c r="AK1019" i="1"/>
  <c r="AL1019" i="1"/>
  <c r="AK1026" i="1"/>
  <c r="AL1026" i="1"/>
  <c r="AK1018" i="1"/>
  <c r="AL1018" i="1"/>
  <c r="AK588" i="1"/>
  <c r="AL588" i="1"/>
  <c r="AK376" i="1"/>
  <c r="AL376" i="1"/>
  <c r="AK1346" i="1"/>
  <c r="AL1346" i="1"/>
  <c r="AK1210" i="1"/>
  <c r="AL1210" i="1"/>
  <c r="AK1170" i="1"/>
  <c r="AL1170" i="1"/>
  <c r="AK1035" i="1"/>
  <c r="AL1035" i="1"/>
  <c r="AK1021" i="1"/>
  <c r="AL1021" i="1"/>
  <c r="AK1096" i="1"/>
  <c r="AL1096" i="1"/>
  <c r="AK913" i="1"/>
  <c r="AL913" i="1"/>
  <c r="AK828" i="1"/>
  <c r="AL828" i="1"/>
  <c r="AK655" i="1"/>
  <c r="AL655" i="1"/>
  <c r="AK649" i="1"/>
  <c r="AL649" i="1"/>
  <c r="AK647" i="1"/>
  <c r="AL647" i="1"/>
  <c r="AK641" i="1"/>
  <c r="AL641" i="1"/>
  <c r="AK591" i="1"/>
  <c r="AL591" i="1"/>
  <c r="AK220" i="1"/>
  <c r="AL220" i="1"/>
  <c r="AK21" i="1"/>
  <c r="AL21" i="1"/>
  <c r="AK18" i="1"/>
  <c r="AL18" i="1"/>
  <c r="AK1020" i="1"/>
  <c r="AL1020" i="1"/>
  <c r="AK763" i="1"/>
  <c r="AL763" i="1"/>
  <c r="AK634" i="1"/>
  <c r="AL634" i="1"/>
  <c r="AK590" i="1"/>
  <c r="AL590" i="1"/>
  <c r="AK911" i="1"/>
  <c r="AL911" i="1"/>
  <c r="AK323" i="1"/>
  <c r="AL323" i="1"/>
  <c r="AK1029" i="1"/>
  <c r="AL1029" i="1"/>
  <c r="AK1024" i="1"/>
  <c r="AL1024" i="1"/>
  <c r="AK1002" i="1"/>
  <c r="AL1002" i="1"/>
  <c r="AK846" i="1"/>
  <c r="AL846" i="1"/>
  <c r="AK27" i="1"/>
  <c r="AL27" i="1"/>
  <c r="AK850" i="1"/>
  <c r="AL850" i="1"/>
  <c r="AK732" i="1"/>
  <c r="AL732" i="1"/>
  <c r="AK541" i="1"/>
  <c r="AL541" i="1"/>
  <c r="AK562" i="1"/>
  <c r="AL562" i="1"/>
  <c r="AK28" i="1"/>
  <c r="AL28" i="1"/>
  <c r="AK14" i="1"/>
  <c r="AL14" i="1"/>
  <c r="AK1266" i="1"/>
  <c r="AL1266" i="1"/>
  <c r="AK1235" i="1"/>
  <c r="AL1235" i="1"/>
  <c r="AK1189" i="1"/>
  <c r="AL1189" i="1"/>
  <c r="AK414" i="1"/>
  <c r="AL414" i="1"/>
  <c r="AL1126" i="1"/>
  <c r="AK1126" i="1"/>
  <c r="AL1094" i="1"/>
  <c r="AK1094" i="1"/>
  <c r="AK1001" i="1"/>
  <c r="AL1001" i="1"/>
  <c r="AK801" i="1"/>
  <c r="AL801" i="1"/>
  <c r="AK1167" i="1"/>
  <c r="AL1167" i="1"/>
  <c r="AK1088" i="1"/>
  <c r="AL1088" i="1"/>
  <c r="AK315" i="1"/>
  <c r="AL315" i="1"/>
  <c r="AK219" i="1"/>
  <c r="AL219" i="1"/>
  <c r="AL1285" i="1"/>
  <c r="AK1285" i="1"/>
  <c r="AK915" i="1"/>
  <c r="AL915" i="1"/>
  <c r="AK898" i="1"/>
  <c r="AL898" i="1"/>
  <c r="AK497" i="1"/>
  <c r="AL497" i="1"/>
  <c r="AK1284" i="1"/>
  <c r="AL1284" i="1"/>
  <c r="AK1267" i="1"/>
  <c r="AL1267" i="1"/>
  <c r="AK1154" i="1"/>
  <c r="AL1154" i="1"/>
  <c r="AK1147" i="1"/>
  <c r="AL1147" i="1"/>
  <c r="AK1139" i="1"/>
  <c r="AL1139" i="1"/>
  <c r="AL1122" i="1"/>
  <c r="AK1122" i="1"/>
  <c r="AK1004" i="1"/>
  <c r="AL1004" i="1"/>
  <c r="AK939" i="1"/>
  <c r="AL939" i="1"/>
  <c r="AK893" i="1"/>
  <c r="AL893" i="1"/>
  <c r="AK839" i="1"/>
  <c r="AL839" i="1"/>
  <c r="AK820" i="1"/>
  <c r="AL820" i="1"/>
  <c r="AK802" i="1"/>
  <c r="AL802" i="1"/>
  <c r="AK756" i="1"/>
  <c r="AL756" i="1"/>
  <c r="AK739" i="1"/>
  <c r="AL739" i="1"/>
  <c r="AK702" i="1"/>
  <c r="AL702" i="1"/>
  <c r="AK678" i="1"/>
  <c r="AL678" i="1"/>
  <c r="AK646" i="1"/>
  <c r="AL646" i="1"/>
  <c r="AL603" i="1"/>
  <c r="AK603" i="1"/>
  <c r="AK297" i="1"/>
  <c r="AL297" i="1"/>
  <c r="AK113" i="1"/>
  <c r="AL113" i="1"/>
  <c r="AK84" i="1"/>
  <c r="AL84" i="1"/>
  <c r="AK72" i="1"/>
  <c r="AL72" i="1"/>
  <c r="AK1250" i="1"/>
  <c r="AL1250" i="1"/>
  <c r="AK224" i="1"/>
  <c r="AL224" i="1"/>
  <c r="AL720" i="1"/>
  <c r="AK720" i="1"/>
  <c r="AK225" i="1"/>
  <c r="AL225" i="1"/>
  <c r="AK822" i="1"/>
  <c r="AL822" i="1"/>
  <c r="AK486" i="1"/>
  <c r="AL486" i="1"/>
  <c r="AK118" i="1"/>
  <c r="AL118" i="1"/>
  <c r="AK1123" i="1"/>
  <c r="AL1123" i="1"/>
  <c r="AK1044" i="1"/>
  <c r="AL1044" i="1"/>
  <c r="AL1313" i="1"/>
  <c r="AK1313" i="1"/>
  <c r="AL1142" i="1"/>
  <c r="AK1142" i="1"/>
  <c r="AK866" i="1"/>
  <c r="AL866" i="1"/>
  <c r="AK694" i="1"/>
  <c r="AL694" i="1"/>
  <c r="AK728" i="1"/>
  <c r="AL728" i="1"/>
  <c r="AK53" i="1"/>
  <c r="AL53" i="1"/>
  <c r="AK31" i="1"/>
  <c r="AL31" i="1"/>
  <c r="AK437" i="1"/>
  <c r="AL437" i="1"/>
  <c r="AK436" i="1"/>
  <c r="AL436" i="1"/>
  <c r="AK974" i="1"/>
  <c r="AL974" i="1"/>
  <c r="AK571" i="1"/>
  <c r="AL571" i="1"/>
  <c r="AK279" i="1"/>
  <c r="AL279" i="1"/>
  <c r="AK677" i="1"/>
  <c r="AL677" i="1"/>
  <c r="AK115" i="1"/>
  <c r="AL115" i="1"/>
  <c r="AL684" i="1"/>
  <c r="AK684" i="1"/>
  <c r="AK605" i="1"/>
  <c r="AL605" i="1"/>
  <c r="AK970" i="1"/>
  <c r="AK856" i="1"/>
  <c r="AL856" i="1"/>
  <c r="AK354" i="1"/>
  <c r="AL354" i="1"/>
  <c r="AK337" i="1"/>
  <c r="AL337" i="1"/>
  <c r="AK62" i="1"/>
  <c r="AL62" i="1"/>
  <c r="AK60" i="1"/>
  <c r="AL60" i="1"/>
  <c r="AK406" i="1"/>
  <c r="AL406" i="1"/>
  <c r="AK86" i="1"/>
  <c r="AL86" i="1"/>
  <c r="AK65" i="1"/>
  <c r="AL65" i="1"/>
  <c r="AK992" i="1"/>
  <c r="AL992" i="1"/>
  <c r="AK576" i="1"/>
  <c r="AL576" i="1"/>
  <c r="AK344" i="1"/>
  <c r="AL344" i="1"/>
  <c r="AK44" i="1"/>
  <c r="AL44" i="1"/>
  <c r="AK38" i="1"/>
  <c r="AL38" i="1"/>
  <c r="AK332" i="1"/>
  <c r="AL332" i="1"/>
  <c r="AK325" i="1"/>
  <c r="AL325" i="1"/>
  <c r="AL321" i="1"/>
  <c r="AK321" i="1"/>
  <c r="AK281" i="1"/>
  <c r="AL281" i="1"/>
  <c r="AL180" i="1"/>
  <c r="AK180" i="1"/>
  <c r="AK942" i="1"/>
  <c r="AL942" i="1"/>
  <c r="AK11" i="1"/>
  <c r="AL11" i="1"/>
  <c r="AK575" i="1"/>
  <c r="AL575" i="1"/>
  <c r="AK277" i="1"/>
  <c r="AL277" i="1"/>
  <c r="AK405" i="1"/>
  <c r="AL405" i="1"/>
  <c r="AK263" i="1"/>
  <c r="AL263" i="1"/>
  <c r="AK255" i="1"/>
  <c r="AL255" i="1"/>
  <c r="AK254" i="1"/>
  <c r="AL254" i="1"/>
  <c r="AK1350" i="1"/>
  <c r="AL1350" i="1"/>
  <c r="AK1248" i="1"/>
  <c r="AL1248" i="1"/>
  <c r="AK1120" i="1"/>
  <c r="AL1120" i="1"/>
  <c r="AK1115" i="1"/>
  <c r="AL1115" i="1"/>
  <c r="AK1111" i="1"/>
  <c r="AL1111" i="1"/>
  <c r="AK971" i="1"/>
  <c r="AL971" i="1"/>
  <c r="AK313" i="1"/>
  <c r="AL313" i="1"/>
  <c r="AK134" i="1"/>
  <c r="AL134" i="1"/>
  <c r="AK131" i="1"/>
  <c r="AL131" i="1"/>
  <c r="AK127" i="1"/>
  <c r="AL127" i="1"/>
  <c r="AK121" i="1"/>
  <c r="AL121" i="1"/>
  <c r="AK717" i="1"/>
  <c r="AL717" i="1"/>
  <c r="AK659" i="1"/>
  <c r="AL659" i="1"/>
  <c r="AL613" i="1"/>
  <c r="AK613" i="1"/>
  <c r="AK612" i="1"/>
  <c r="AL612" i="1"/>
  <c r="AK266" i="1"/>
  <c r="AL266" i="1"/>
  <c r="AK1347" i="1"/>
  <c r="AL1347" i="1"/>
  <c r="AK1211" i="1"/>
  <c r="AL1211" i="1"/>
  <c r="AL1184" i="1"/>
  <c r="AK1184" i="1"/>
  <c r="AK1151" i="1"/>
  <c r="AL1151" i="1"/>
  <c r="AK895" i="1"/>
  <c r="AL895" i="1"/>
  <c r="AK857" i="1"/>
  <c r="AL857" i="1"/>
  <c r="AK1046" i="1"/>
  <c r="AL1046" i="1"/>
  <c r="AK997" i="1"/>
  <c r="AL997" i="1"/>
  <c r="AK1275" i="1"/>
  <c r="AL1275" i="1"/>
  <c r="AK1238" i="1"/>
  <c r="AL1238" i="1"/>
  <c r="AK1208" i="1"/>
  <c r="AL1208" i="1"/>
  <c r="AL1381" i="1"/>
  <c r="AK1381" i="1"/>
  <c r="AL1246" i="1"/>
  <c r="AK1246" i="1"/>
  <c r="AK757" i="1"/>
  <c r="AL757" i="1"/>
  <c r="AK302" i="1"/>
  <c r="AL302" i="1"/>
  <c r="AK1144" i="1"/>
  <c r="AL1144" i="1"/>
  <c r="AL611" i="1"/>
  <c r="AK611" i="1"/>
  <c r="AK123" i="1"/>
  <c r="AL123" i="1"/>
  <c r="AK111" i="1"/>
  <c r="AL111" i="1"/>
  <c r="AK374" i="1"/>
  <c r="AL374" i="1"/>
  <c r="AK370" i="1"/>
  <c r="AL370" i="1"/>
  <c r="AK367" i="1"/>
  <c r="AL367" i="1"/>
  <c r="AK1316" i="1"/>
  <c r="AL1316" i="1"/>
  <c r="AK26" i="1"/>
  <c r="AL26" i="1"/>
  <c r="AK20" i="1"/>
  <c r="AL20" i="1"/>
  <c r="AK19" i="1"/>
  <c r="AL19" i="1"/>
  <c r="AK13" i="1"/>
  <c r="AL13" i="1"/>
  <c r="AK867" i="1"/>
  <c r="AL867" i="1"/>
  <c r="AK807" i="1"/>
  <c r="AL807" i="1"/>
  <c r="AK539" i="1"/>
  <c r="AL539" i="1"/>
  <c r="AK1379" i="1"/>
  <c r="AL1379" i="1"/>
  <c r="AK1222" i="1"/>
  <c r="AL1222" i="1"/>
  <c r="AK972" i="1"/>
  <c r="AL972" i="1"/>
  <c r="AK314" i="1"/>
  <c r="AL314" i="1"/>
  <c r="AK973" i="1"/>
  <c r="AL973" i="1"/>
  <c r="AK572" i="1"/>
  <c r="AL572" i="1"/>
  <c r="AK1005" i="1"/>
  <c r="AL1005" i="1"/>
  <c r="AK940" i="1"/>
  <c r="AL940" i="1"/>
  <c r="AK869" i="1"/>
  <c r="AL869" i="1"/>
  <c r="AK838" i="1"/>
  <c r="AL838" i="1"/>
  <c r="AK819" i="1"/>
  <c r="AL819" i="1"/>
  <c r="AK755" i="1"/>
  <c r="AL755" i="1"/>
  <c r="AK738" i="1"/>
  <c r="AL738" i="1"/>
  <c r="AK703" i="1"/>
  <c r="AL703" i="1"/>
  <c r="AK676" i="1"/>
  <c r="AL676" i="1"/>
  <c r="AK645" i="1"/>
  <c r="AL645" i="1"/>
  <c r="AK602" i="1"/>
  <c r="AL602" i="1"/>
  <c r="AK296" i="1"/>
  <c r="AL296" i="1"/>
  <c r="AK264" i="1"/>
  <c r="AL264" i="1"/>
  <c r="AK262" i="1"/>
  <c r="AL262" i="1"/>
  <c r="AK226" i="1"/>
  <c r="AL226" i="1"/>
  <c r="AK218" i="1"/>
  <c r="AL218" i="1"/>
  <c r="AL182" i="1"/>
  <c r="AK182" i="1"/>
  <c r="AK177" i="1"/>
  <c r="AL177" i="1"/>
  <c r="AK114" i="1"/>
  <c r="AL114" i="1"/>
  <c r="AK85" i="1"/>
  <c r="AL85" i="1"/>
  <c r="AK1168" i="1"/>
  <c r="AL1168" i="1"/>
  <c r="AK945" i="1"/>
  <c r="AL945" i="1"/>
  <c r="AK944" i="1"/>
  <c r="AL944" i="1"/>
  <c r="AK941" i="1"/>
  <c r="AL941" i="1"/>
  <c r="AK1287" i="1"/>
  <c r="AL1287" i="1"/>
  <c r="AK1022" i="1"/>
  <c r="AL1022" i="1"/>
  <c r="AK1015" i="1"/>
  <c r="AL1015" i="1"/>
  <c r="AK1043" i="1"/>
  <c r="AL1043" i="1"/>
  <c r="AK1039" i="1"/>
  <c r="AL1039" i="1"/>
  <c r="AK259" i="1"/>
  <c r="AL259" i="1"/>
  <c r="AK1341" i="1"/>
  <c r="AL1341" i="1"/>
  <c r="AK1331" i="1"/>
  <c r="AL1331" i="1"/>
  <c r="AK1324" i="1"/>
  <c r="AL1324" i="1"/>
  <c r="AK1312" i="1"/>
  <c r="AL1312" i="1"/>
  <c r="AK1302" i="1"/>
  <c r="AL1302" i="1"/>
  <c r="AK1295" i="1"/>
  <c r="AL1295" i="1"/>
  <c r="AK1269" i="1"/>
  <c r="AL1269" i="1"/>
  <c r="AK1239" i="1"/>
  <c r="AL1239" i="1"/>
  <c r="AK1194" i="1"/>
  <c r="AL1194" i="1"/>
  <c r="AK1179" i="1"/>
  <c r="AL1179" i="1"/>
  <c r="AK1097" i="1"/>
  <c r="AL1097" i="1"/>
  <c r="AK687" i="1"/>
  <c r="AL687" i="1"/>
  <c r="AK1293" i="1"/>
  <c r="AL1293" i="1"/>
  <c r="AK796" i="1"/>
  <c r="AL796" i="1"/>
  <c r="AK644" i="1"/>
  <c r="AL644" i="1"/>
  <c r="AK258" i="1"/>
  <c r="AL258" i="1"/>
  <c r="AK858" i="1"/>
  <c r="AL858" i="1"/>
  <c r="AK260" i="1"/>
  <c r="AL260" i="1"/>
  <c r="AL1158" i="1"/>
  <c r="AK1158" i="1"/>
  <c r="AL1128" i="1"/>
  <c r="AK1128" i="1"/>
  <c r="AK1301" i="1"/>
  <c r="AL1301" i="1"/>
  <c r="AK1196" i="1"/>
  <c r="AL1196" i="1"/>
  <c r="AK1045" i="1"/>
  <c r="AL1045" i="1"/>
  <c r="AK1256" i="1"/>
  <c r="AL1256" i="1"/>
  <c r="AK1119" i="1"/>
  <c r="AL1119" i="1"/>
  <c r="AK1113" i="1"/>
  <c r="AL1113" i="1"/>
  <c r="AK1091" i="1"/>
  <c r="AL1091" i="1"/>
  <c r="AK707" i="1"/>
  <c r="AL707" i="1"/>
  <c r="AK1329" i="1"/>
  <c r="AL1329" i="1"/>
  <c r="AK1320" i="1"/>
  <c r="AL1320" i="1"/>
  <c r="AK1308" i="1"/>
  <c r="AL1308" i="1"/>
  <c r="AK1298" i="1"/>
  <c r="AL1298" i="1"/>
  <c r="AK1289" i="1"/>
  <c r="AL1289" i="1"/>
  <c r="AL1268" i="1"/>
  <c r="AK1268" i="1"/>
  <c r="AK1202" i="1"/>
  <c r="AL1202" i="1"/>
  <c r="AL1190" i="1"/>
  <c r="AK1190" i="1"/>
  <c r="AK1173" i="1"/>
  <c r="AL1173" i="1"/>
  <c r="AK1162" i="1"/>
  <c r="AL1162" i="1"/>
  <c r="AK1160" i="1"/>
  <c r="AL1160" i="1"/>
  <c r="AK1155" i="1"/>
  <c r="AL1155" i="1"/>
  <c r="AK1148" i="1"/>
  <c r="AL1148" i="1"/>
  <c r="AK1146" i="1"/>
  <c r="AL1146" i="1"/>
  <c r="AK1136" i="1"/>
  <c r="AL1136" i="1"/>
  <c r="AK848" i="1"/>
  <c r="AL848" i="1"/>
  <c r="AK731" i="1"/>
  <c r="AL731" i="1"/>
  <c r="AK574" i="1"/>
  <c r="AL574" i="1"/>
  <c r="AK568" i="1"/>
  <c r="AL568" i="1"/>
  <c r="AK563" i="1"/>
  <c r="AL563" i="1"/>
  <c r="AL339" i="1"/>
  <c r="AK339" i="1"/>
  <c r="AL333" i="1"/>
  <c r="AK333" i="1"/>
  <c r="AK320" i="1"/>
  <c r="AL320" i="1"/>
  <c r="AK289" i="1"/>
  <c r="AL289" i="1"/>
  <c r="AK288" i="1"/>
  <c r="AL288" i="1"/>
  <c r="AK287" i="1"/>
  <c r="AL287" i="1"/>
  <c r="AK284" i="1"/>
  <c r="AL284" i="1"/>
  <c r="AK283" i="1"/>
  <c r="AL283" i="1"/>
  <c r="AK282" i="1"/>
  <c r="AL282" i="1"/>
  <c r="AK43" i="1"/>
  <c r="AL43" i="1"/>
  <c r="AK37" i="1"/>
  <c r="AL37" i="1"/>
  <c r="AK35" i="1"/>
  <c r="AL35" i="1"/>
  <c r="AK535" i="1"/>
  <c r="AL535" i="1"/>
  <c r="AK529" i="1"/>
  <c r="AL529" i="1"/>
  <c r="AK809" i="1"/>
  <c r="AL809" i="1"/>
  <c r="AK806" i="1"/>
  <c r="AL806" i="1"/>
  <c r="AK1330" i="1"/>
  <c r="AL1330" i="1"/>
  <c r="AK1309" i="1"/>
  <c r="AL1309" i="1"/>
  <c r="AK1290" i="1"/>
  <c r="AL1290" i="1"/>
  <c r="AK1260" i="1"/>
  <c r="AL1260" i="1"/>
  <c r="AK1255" i="1"/>
  <c r="AL1255" i="1"/>
  <c r="AK1163" i="1"/>
  <c r="AL1163" i="1"/>
  <c r="AK1161" i="1"/>
  <c r="AL1161" i="1"/>
  <c r="AL1150" i="1"/>
  <c r="AK1150" i="1"/>
  <c r="AL1134" i="1"/>
  <c r="AK1134" i="1"/>
  <c r="AK1129" i="1"/>
  <c r="AL1129" i="1"/>
  <c r="AK1112" i="1"/>
  <c r="AL1112" i="1"/>
  <c r="AK1090" i="1"/>
  <c r="AL1090" i="1"/>
  <c r="AK662" i="1"/>
  <c r="AL662" i="1"/>
  <c r="AK458" i="1"/>
  <c r="AL458" i="1"/>
  <c r="AK434" i="1"/>
  <c r="AL434" i="1"/>
  <c r="AK133" i="1"/>
  <c r="AL133" i="1"/>
  <c r="AK1378" i="1"/>
  <c r="AL1378" i="1"/>
  <c r="AK800" i="1"/>
  <c r="AL800" i="1"/>
  <c r="AL1377" i="1"/>
  <c r="AK1377" i="1"/>
  <c r="AK1218" i="1"/>
  <c r="AL1218" i="1"/>
  <c r="AK1380" i="1"/>
  <c r="AL1380" i="1"/>
  <c r="AK1226" i="1"/>
  <c r="AL1226" i="1"/>
  <c r="AK1157" i="1"/>
  <c r="AL1157" i="1"/>
  <c r="AK1140" i="1"/>
  <c r="AL1140" i="1"/>
  <c r="AK745" i="1"/>
  <c r="AL745" i="1"/>
  <c r="AK585" i="1"/>
  <c r="AL585" i="1"/>
  <c r="AK1405" i="1"/>
  <c r="AL1405" i="1"/>
  <c r="AK1404" i="1"/>
  <c r="AL1404" i="1"/>
  <c r="AK1403" i="1"/>
  <c r="AL1403" i="1"/>
  <c r="AK1402" i="1"/>
  <c r="AL1402" i="1"/>
  <c r="AK1401" i="1"/>
  <c r="AL1401" i="1"/>
  <c r="AL1400" i="1"/>
  <c r="AK1400" i="1"/>
  <c r="AK1399" i="1"/>
  <c r="AL1399" i="1"/>
  <c r="AK1398" i="1"/>
  <c r="AL1398" i="1"/>
  <c r="AK1393" i="1"/>
  <c r="AL1393" i="1"/>
  <c r="AK1392" i="1"/>
  <c r="AL1392" i="1"/>
  <c r="AK1391" i="1"/>
  <c r="AL1391" i="1"/>
  <c r="AK1387" i="1"/>
  <c r="AL1387" i="1"/>
  <c r="AK1386" i="1"/>
  <c r="AL1386" i="1"/>
  <c r="AL1385" i="1"/>
  <c r="AK1385" i="1"/>
  <c r="AK1384" i="1"/>
  <c r="AL1384" i="1"/>
  <c r="AK1383" i="1"/>
  <c r="AL1383" i="1"/>
  <c r="AK1376" i="1"/>
  <c r="AL1376" i="1"/>
  <c r="AK1074" i="1"/>
  <c r="AL1074" i="1"/>
  <c r="AK1073" i="1"/>
  <c r="AL1073" i="1"/>
  <c r="AK1072" i="1"/>
  <c r="AL1072" i="1"/>
  <c r="AK1071" i="1"/>
  <c r="AL1071" i="1"/>
  <c r="AK1063" i="1"/>
  <c r="AL1063" i="1"/>
  <c r="AK1062" i="1"/>
  <c r="AL1062" i="1"/>
  <c r="AK1061" i="1"/>
  <c r="AL1061" i="1"/>
  <c r="AL1060" i="1"/>
  <c r="AK1060" i="1"/>
  <c r="AK1059" i="1"/>
  <c r="AL1059" i="1"/>
  <c r="AL1058" i="1"/>
  <c r="AK1058" i="1"/>
  <c r="AK1057" i="1"/>
  <c r="AL1057" i="1"/>
  <c r="AL1056" i="1"/>
  <c r="AK1056" i="1"/>
  <c r="AK1055" i="1"/>
  <c r="AL1055" i="1"/>
  <c r="AL1054" i="1"/>
  <c r="AK1054" i="1"/>
  <c r="AK1053" i="1"/>
  <c r="AL1053" i="1"/>
  <c r="AK1052" i="1"/>
  <c r="AL1052" i="1"/>
  <c r="AK1051" i="1"/>
  <c r="AL1051" i="1"/>
  <c r="AK1036" i="1"/>
  <c r="AL1036" i="1"/>
  <c r="AK993" i="1"/>
  <c r="AL993" i="1"/>
  <c r="AK991" i="1"/>
  <c r="AL991" i="1"/>
  <c r="AK990" i="1"/>
  <c r="AL990" i="1"/>
  <c r="AK988" i="1"/>
  <c r="AL988" i="1"/>
  <c r="AK987" i="1"/>
  <c r="AL987" i="1"/>
  <c r="AK986" i="1"/>
  <c r="AL986" i="1"/>
  <c r="AK985" i="1"/>
  <c r="AL985" i="1"/>
  <c r="AK984" i="1"/>
  <c r="AL984" i="1"/>
  <c r="AK983" i="1"/>
  <c r="AL983" i="1"/>
  <c r="AK982" i="1"/>
  <c r="AL982" i="1"/>
  <c r="AK981" i="1"/>
  <c r="AL981" i="1"/>
  <c r="AK980" i="1"/>
  <c r="AL980" i="1"/>
  <c r="AK979" i="1"/>
  <c r="AL979" i="1"/>
  <c r="AK978" i="1"/>
  <c r="AL978" i="1"/>
  <c r="AK977" i="1"/>
  <c r="AL977" i="1"/>
  <c r="AK976" i="1"/>
  <c r="AL976" i="1"/>
  <c r="AK975" i="1"/>
  <c r="AL975" i="1"/>
  <c r="AK958" i="1"/>
  <c r="AL958" i="1"/>
  <c r="AK957" i="1"/>
  <c r="AL957" i="1"/>
  <c r="AK956" i="1"/>
  <c r="AL956" i="1"/>
  <c r="AK955" i="1"/>
  <c r="AL955" i="1"/>
  <c r="AK954" i="1"/>
  <c r="AL954" i="1"/>
  <c r="AK952" i="1"/>
  <c r="AL952" i="1"/>
  <c r="AK950" i="1"/>
  <c r="AL950" i="1"/>
  <c r="AK949" i="1"/>
  <c r="AL949" i="1"/>
  <c r="AK948" i="1"/>
  <c r="AL948" i="1"/>
  <c r="AK943" i="1"/>
  <c r="AL943" i="1"/>
  <c r="AK938" i="1"/>
  <c r="AL938" i="1"/>
  <c r="AK936" i="1"/>
  <c r="AL936" i="1"/>
  <c r="AK935" i="1"/>
  <c r="AL935" i="1"/>
  <c r="AK934" i="1"/>
  <c r="AL934" i="1"/>
  <c r="AK933" i="1"/>
  <c r="AL933" i="1"/>
  <c r="AK932" i="1"/>
  <c r="AL932" i="1"/>
  <c r="AK931" i="1"/>
  <c r="AL931" i="1"/>
  <c r="AK930" i="1"/>
  <c r="AL930" i="1"/>
  <c r="AK907" i="1"/>
  <c r="AL907" i="1"/>
  <c r="AK903" i="1"/>
  <c r="AL903" i="1"/>
  <c r="AK900" i="1"/>
  <c r="AL900" i="1"/>
  <c r="AK897" i="1"/>
  <c r="AL897" i="1"/>
  <c r="AK891" i="1"/>
  <c r="AL891" i="1"/>
  <c r="AK889" i="1"/>
  <c r="AL889" i="1"/>
  <c r="AK888" i="1"/>
  <c r="AL888" i="1"/>
  <c r="AK881" i="1"/>
  <c r="AL881" i="1"/>
  <c r="AK880" i="1"/>
  <c r="AL880" i="1"/>
  <c r="AK879" i="1"/>
  <c r="AL879" i="1"/>
  <c r="AK862" i="1"/>
  <c r="AL862" i="1"/>
  <c r="AK861" i="1"/>
  <c r="AL861" i="1"/>
  <c r="AK860" i="1"/>
  <c r="AL860" i="1"/>
  <c r="AK852" i="1"/>
  <c r="AL852" i="1"/>
  <c r="AK851" i="1"/>
  <c r="AL851" i="1"/>
  <c r="AK847" i="1"/>
  <c r="AL847" i="1"/>
  <c r="AK842" i="1"/>
  <c r="AL842" i="1"/>
  <c r="AK837" i="1"/>
  <c r="AL837" i="1"/>
  <c r="AK836" i="1"/>
  <c r="AL836" i="1"/>
  <c r="AK835" i="1"/>
  <c r="AL835" i="1"/>
  <c r="AK834" i="1"/>
  <c r="AL834" i="1"/>
  <c r="AK833" i="1"/>
  <c r="AL833" i="1"/>
  <c r="AK832" i="1"/>
  <c r="AL832" i="1"/>
  <c r="AK831" i="1"/>
  <c r="AL831" i="1"/>
  <c r="AK830" i="1"/>
  <c r="AL830" i="1"/>
  <c r="AK826" i="1"/>
  <c r="AL826" i="1"/>
  <c r="AK817" i="1"/>
  <c r="AL817" i="1"/>
  <c r="AK813" i="1"/>
  <c r="AL813" i="1"/>
  <c r="AK812" i="1"/>
  <c r="AL812" i="1"/>
  <c r="AK811" i="1"/>
  <c r="AL811" i="1"/>
  <c r="AK810" i="1"/>
  <c r="AL810" i="1"/>
  <c r="AK794" i="1"/>
  <c r="AL794" i="1"/>
  <c r="AK792" i="1"/>
  <c r="AL792" i="1"/>
  <c r="AK790" i="1"/>
  <c r="AL790" i="1"/>
  <c r="AK788" i="1"/>
  <c r="AL788" i="1"/>
  <c r="AK787" i="1"/>
  <c r="AL787" i="1"/>
  <c r="AK786" i="1"/>
  <c r="AL786" i="1"/>
  <c r="AK785" i="1"/>
  <c r="AL785" i="1"/>
  <c r="AK784" i="1"/>
  <c r="AL784" i="1"/>
  <c r="AK783" i="1"/>
  <c r="AL783" i="1"/>
  <c r="AK782" i="1"/>
  <c r="AL782" i="1"/>
  <c r="AK781" i="1"/>
  <c r="AL781" i="1"/>
  <c r="AK780" i="1"/>
  <c r="AL780" i="1"/>
  <c r="AK777" i="1"/>
  <c r="AL777" i="1"/>
  <c r="AK776" i="1"/>
  <c r="AL776" i="1"/>
  <c r="AK762" i="1"/>
  <c r="AL762" i="1"/>
  <c r="AK750" i="1"/>
  <c r="AL750" i="1"/>
  <c r="AK749" i="1"/>
  <c r="AL749" i="1"/>
  <c r="AK748" i="1"/>
  <c r="AL748" i="1"/>
  <c r="AK747" i="1"/>
  <c r="AL747" i="1"/>
  <c r="AK746" i="1"/>
  <c r="AL746" i="1"/>
  <c r="AK743" i="1"/>
  <c r="AL743" i="1"/>
  <c r="AK742" i="1"/>
  <c r="AL742" i="1"/>
  <c r="AK741" i="1"/>
  <c r="AL741" i="1"/>
  <c r="AK737" i="1"/>
  <c r="AL737" i="1"/>
  <c r="AL736" i="1"/>
  <c r="AK736" i="1"/>
  <c r="AK735" i="1"/>
  <c r="AL735" i="1"/>
  <c r="AL734" i="1"/>
  <c r="AK734" i="1"/>
  <c r="AK733" i="1"/>
  <c r="AL733" i="1"/>
  <c r="AK727" i="1"/>
  <c r="AL727" i="1"/>
  <c r="AK726" i="1"/>
  <c r="AL726" i="1"/>
  <c r="AK725" i="1"/>
  <c r="AL725" i="1"/>
  <c r="AK723" i="1"/>
  <c r="AL723" i="1"/>
  <c r="AK722" i="1"/>
  <c r="AL722" i="1"/>
  <c r="AK715" i="1"/>
  <c r="AL715" i="1"/>
  <c r="AK701" i="1"/>
  <c r="AL701" i="1"/>
  <c r="AK700" i="1"/>
  <c r="AL700" i="1"/>
  <c r="AK699" i="1"/>
  <c r="AL699" i="1"/>
  <c r="AK697" i="1"/>
  <c r="AL697" i="1"/>
  <c r="AK696" i="1"/>
  <c r="AL696" i="1"/>
  <c r="AK695" i="1"/>
  <c r="AL695" i="1"/>
  <c r="AK672" i="1"/>
  <c r="AL672" i="1"/>
  <c r="AK671" i="1"/>
  <c r="AL671" i="1"/>
  <c r="AK670" i="1"/>
  <c r="AL670" i="1"/>
  <c r="AK669" i="1"/>
  <c r="AL669" i="1"/>
  <c r="AK668" i="1"/>
  <c r="AL668" i="1"/>
  <c r="AK667" i="1"/>
  <c r="AL667" i="1"/>
  <c r="AK666" i="1"/>
  <c r="AL666" i="1"/>
  <c r="AK665" i="1"/>
  <c r="AL665" i="1"/>
  <c r="AK664" i="1"/>
  <c r="AL664" i="1"/>
  <c r="AK663" i="1"/>
  <c r="AL663" i="1"/>
  <c r="AK661" i="1"/>
  <c r="AL661" i="1"/>
  <c r="AK653" i="1"/>
  <c r="AL653" i="1"/>
  <c r="AK636" i="1"/>
  <c r="AL636" i="1"/>
  <c r="AK635" i="1"/>
  <c r="AL635" i="1"/>
  <c r="AK631" i="1"/>
  <c r="AL631" i="1"/>
  <c r="AK623" i="1"/>
  <c r="AL623" i="1"/>
  <c r="AL622" i="1"/>
  <c r="AK622" i="1"/>
  <c r="AK621" i="1"/>
  <c r="AL621" i="1"/>
  <c r="AK620" i="1"/>
  <c r="AL620" i="1"/>
  <c r="AK617" i="1"/>
  <c r="AL617" i="1"/>
  <c r="AK601" i="1"/>
  <c r="AL601" i="1"/>
  <c r="AK616" i="1"/>
  <c r="AL616" i="1"/>
  <c r="AK615" i="1"/>
  <c r="AL615" i="1"/>
  <c r="AK614" i="1"/>
  <c r="AL614" i="1"/>
  <c r="AK600" i="1"/>
  <c r="AL600" i="1"/>
  <c r="AK598" i="1"/>
  <c r="AL598" i="1"/>
  <c r="AK597" i="1"/>
  <c r="AL597" i="1"/>
  <c r="AK594" i="1"/>
  <c r="AL594" i="1"/>
  <c r="AK593" i="1"/>
  <c r="AL593" i="1"/>
  <c r="AK587" i="1"/>
  <c r="AL587" i="1"/>
  <c r="AK586" i="1"/>
  <c r="AL586" i="1"/>
  <c r="AK581" i="1"/>
  <c r="AL581" i="1"/>
  <c r="AK580" i="1"/>
  <c r="AL580" i="1"/>
  <c r="AK579" i="1"/>
  <c r="AL579" i="1"/>
  <c r="AK577" i="1"/>
  <c r="AL577" i="1"/>
  <c r="AK569" i="1"/>
  <c r="AL569" i="1"/>
  <c r="AK567" i="1"/>
  <c r="AL567" i="1"/>
  <c r="AK566" i="1"/>
  <c r="AL566" i="1"/>
  <c r="AK565" i="1"/>
  <c r="AL565" i="1"/>
  <c r="AK564" i="1"/>
  <c r="AL564" i="1"/>
  <c r="AK558" i="1"/>
  <c r="AL558" i="1"/>
  <c r="AK555" i="1"/>
  <c r="AL555" i="1"/>
  <c r="AK550" i="1"/>
  <c r="AL550" i="1"/>
  <c r="AK548" i="1"/>
  <c r="AL548" i="1"/>
  <c r="AK547" i="1"/>
  <c r="AL547" i="1"/>
  <c r="AK528" i="1"/>
  <c r="AL528" i="1"/>
  <c r="AK527" i="1"/>
  <c r="AL527" i="1"/>
  <c r="AK526" i="1"/>
  <c r="AL526" i="1"/>
  <c r="AK525" i="1"/>
  <c r="AL525" i="1"/>
  <c r="AK524" i="1"/>
  <c r="AL524" i="1"/>
  <c r="AK523" i="1"/>
  <c r="AL523" i="1"/>
  <c r="AK522" i="1"/>
  <c r="AL522" i="1"/>
  <c r="AK521" i="1"/>
  <c r="AL521" i="1"/>
  <c r="AK516" i="1"/>
  <c r="AL516" i="1"/>
  <c r="AK454" i="1"/>
  <c r="AL454" i="1"/>
  <c r="AL391" i="1"/>
  <c r="AK391" i="1"/>
  <c r="AL389" i="1"/>
  <c r="AK389" i="1"/>
  <c r="AK388" i="1"/>
  <c r="AL388" i="1"/>
  <c r="AK387" i="1"/>
  <c r="AL387" i="1"/>
  <c r="AK386" i="1"/>
  <c r="AL386" i="1"/>
  <c r="AK385" i="1"/>
  <c r="AL385" i="1"/>
  <c r="AK384" i="1"/>
  <c r="AL384" i="1"/>
  <c r="AK383" i="1"/>
  <c r="AL383" i="1"/>
  <c r="AK382" i="1"/>
  <c r="AL382" i="1"/>
  <c r="AK381" i="1"/>
  <c r="AL381" i="1"/>
  <c r="AK380" i="1"/>
  <c r="AL380" i="1"/>
  <c r="AK378" i="1"/>
  <c r="AL378" i="1"/>
  <c r="AK373" i="1"/>
  <c r="AL373" i="1"/>
  <c r="AK369" i="1"/>
  <c r="AL369" i="1"/>
  <c r="AL368" i="1"/>
  <c r="AK368" i="1"/>
  <c r="AK362" i="1"/>
  <c r="AL362" i="1"/>
  <c r="AK360" i="1"/>
  <c r="AL360" i="1"/>
  <c r="AK359" i="1"/>
  <c r="AL359" i="1"/>
  <c r="AK356" i="1"/>
  <c r="AL356" i="1"/>
  <c r="AK342" i="1"/>
  <c r="AL342" i="1"/>
  <c r="AK341" i="1"/>
  <c r="AL341" i="1"/>
  <c r="AK338" i="1"/>
  <c r="AL338" i="1"/>
  <c r="AK319" i="1"/>
  <c r="AL319" i="1"/>
  <c r="AK312" i="1"/>
  <c r="AL312" i="1"/>
  <c r="AK311" i="1"/>
  <c r="AL311" i="1"/>
  <c r="AK310" i="1"/>
  <c r="AL310" i="1"/>
  <c r="AK309" i="1"/>
  <c r="AL309" i="1"/>
  <c r="AK308" i="1"/>
  <c r="AL308" i="1"/>
  <c r="AK307" i="1"/>
  <c r="AL307" i="1"/>
  <c r="AK306" i="1"/>
  <c r="AL306" i="1"/>
  <c r="AK305" i="1"/>
  <c r="AL305" i="1"/>
  <c r="AK304" i="1"/>
  <c r="AL304" i="1"/>
  <c r="AK303" i="1"/>
  <c r="AL303" i="1"/>
  <c r="AK295" i="1"/>
  <c r="AL295" i="1"/>
  <c r="AK292" i="1"/>
  <c r="AL292" i="1"/>
  <c r="AK291" i="1"/>
  <c r="AL291" i="1"/>
  <c r="AK290" i="1"/>
  <c r="AL290" i="1"/>
  <c r="AK286" i="1"/>
  <c r="AL286" i="1"/>
  <c r="AK285" i="1"/>
  <c r="AL285" i="1"/>
  <c r="AK280" i="1"/>
  <c r="AL280" i="1"/>
  <c r="AK276" i="1"/>
  <c r="AL276" i="1"/>
  <c r="AK275" i="1"/>
  <c r="AL275" i="1"/>
  <c r="AK270" i="1"/>
  <c r="AL270" i="1"/>
  <c r="AK269" i="1"/>
  <c r="AL269" i="1"/>
  <c r="AK232" i="1"/>
  <c r="AL232" i="1"/>
  <c r="AK231" i="1"/>
  <c r="AL231" i="1"/>
  <c r="AK230" i="1"/>
  <c r="AL230" i="1"/>
  <c r="AK229" i="1"/>
  <c r="AL229" i="1"/>
  <c r="AK228" i="1"/>
  <c r="AL228" i="1"/>
  <c r="AK214" i="1"/>
  <c r="AL214" i="1"/>
  <c r="AK213" i="1"/>
  <c r="AL213" i="1"/>
  <c r="AK212" i="1"/>
  <c r="AL212" i="1"/>
  <c r="AK211" i="1"/>
  <c r="AL211" i="1"/>
  <c r="AK210" i="1"/>
  <c r="AL210" i="1"/>
  <c r="AK209" i="1"/>
  <c r="AL209" i="1"/>
  <c r="AK208" i="1"/>
  <c r="AL208" i="1"/>
  <c r="AK207" i="1"/>
  <c r="AL207" i="1"/>
  <c r="AK206" i="1"/>
  <c r="AL206" i="1"/>
  <c r="AL202" i="1"/>
  <c r="AK202" i="1"/>
  <c r="AK201" i="1"/>
  <c r="AL201" i="1"/>
  <c r="AL200" i="1"/>
  <c r="AK200" i="1"/>
  <c r="AK199" i="1"/>
  <c r="AL199" i="1"/>
  <c r="AL198" i="1"/>
  <c r="AK198" i="1"/>
  <c r="AK197" i="1"/>
  <c r="AL197" i="1"/>
  <c r="AK195" i="1"/>
  <c r="AL195" i="1"/>
  <c r="AK193" i="1"/>
  <c r="AL193" i="1"/>
  <c r="AL192" i="1"/>
  <c r="AK192" i="1"/>
  <c r="AK191" i="1"/>
  <c r="AL191" i="1"/>
  <c r="AL190" i="1"/>
  <c r="AK190" i="1"/>
  <c r="AL186" i="1"/>
  <c r="AK186" i="1"/>
  <c r="AK183" i="1"/>
  <c r="AL183" i="1"/>
  <c r="AK181" i="1"/>
  <c r="AL181" i="1"/>
  <c r="AK179" i="1"/>
  <c r="AL179" i="1"/>
  <c r="AL178" i="1"/>
  <c r="AK178" i="1"/>
  <c r="AL176" i="1"/>
  <c r="AK176" i="1"/>
  <c r="AK175" i="1"/>
  <c r="AL175" i="1"/>
  <c r="AL174" i="1"/>
  <c r="AK174" i="1"/>
  <c r="AK155" i="1"/>
  <c r="AL155" i="1"/>
  <c r="AK154" i="1"/>
  <c r="AL154" i="1"/>
  <c r="AK152" i="1"/>
  <c r="AL152" i="1"/>
  <c r="AK145" i="1"/>
  <c r="AL145" i="1"/>
  <c r="AK144" i="1"/>
  <c r="AL144" i="1"/>
  <c r="AK143" i="1"/>
  <c r="AL143" i="1"/>
  <c r="AK142" i="1"/>
  <c r="AL142" i="1"/>
  <c r="AK141" i="1"/>
  <c r="AL141" i="1"/>
  <c r="AK140" i="1"/>
  <c r="AL140" i="1"/>
  <c r="AK139" i="1"/>
  <c r="AL139" i="1"/>
  <c r="AK138" i="1"/>
  <c r="AL138" i="1"/>
  <c r="AK119" i="1"/>
  <c r="AL119" i="1"/>
  <c r="AK108" i="1"/>
  <c r="AL108" i="1"/>
  <c r="AK107" i="1"/>
  <c r="AL107" i="1"/>
  <c r="AK105" i="1"/>
  <c r="AL105" i="1"/>
  <c r="AK104" i="1"/>
  <c r="AL104" i="1"/>
  <c r="AK103" i="1"/>
  <c r="AL103" i="1"/>
  <c r="AK102" i="1"/>
  <c r="AL102" i="1"/>
  <c r="AK101" i="1"/>
  <c r="AL101" i="1"/>
  <c r="AK100" i="1"/>
  <c r="AL100" i="1"/>
  <c r="AK99" i="1"/>
  <c r="AL99" i="1"/>
  <c r="AK98" i="1"/>
  <c r="AL98" i="1"/>
  <c r="AK97" i="1"/>
  <c r="AL97" i="1"/>
  <c r="AK96" i="1"/>
  <c r="AL96" i="1"/>
  <c r="AK95" i="1"/>
  <c r="AL95" i="1"/>
  <c r="AK94" i="1"/>
  <c r="AL94" i="1"/>
  <c r="AK93" i="1"/>
  <c r="AL93" i="1"/>
  <c r="AK92" i="1"/>
  <c r="AL92" i="1"/>
  <c r="AK91" i="1"/>
  <c r="AL91" i="1"/>
  <c r="AK90" i="1"/>
  <c r="AL90" i="1"/>
  <c r="AK89" i="1"/>
  <c r="AL89" i="1"/>
  <c r="AK83" i="1"/>
  <c r="AL83" i="1"/>
  <c r="AK82" i="1"/>
  <c r="AL82" i="1"/>
  <c r="AK81" i="1"/>
  <c r="AL81" i="1"/>
  <c r="AK80" i="1"/>
  <c r="AL80" i="1"/>
  <c r="AK79" i="1"/>
  <c r="AL79" i="1"/>
  <c r="AK64" i="1"/>
  <c r="AL64" i="1"/>
  <c r="AK59" i="1"/>
  <c r="AL59" i="1"/>
  <c r="AK58" i="1"/>
  <c r="AL58" i="1"/>
  <c r="AK57" i="1"/>
  <c r="AL57" i="1"/>
  <c r="AK56" i="1"/>
  <c r="AL56" i="1"/>
  <c r="AK52" i="1"/>
  <c r="AL52" i="1"/>
  <c r="AK51" i="1"/>
  <c r="AL51" i="1"/>
  <c r="AK46" i="1"/>
  <c r="AL46" i="1"/>
  <c r="AK45" i="1"/>
  <c r="AL45" i="1"/>
  <c r="AK42" i="1"/>
  <c r="AL42" i="1"/>
  <c r="AK41" i="1"/>
  <c r="AL41" i="1"/>
  <c r="AK40" i="1"/>
  <c r="AL40" i="1"/>
  <c r="AK36" i="1"/>
  <c r="AL36" i="1"/>
  <c r="AK25" i="1"/>
  <c r="AL25" i="1"/>
  <c r="AK24" i="1"/>
  <c r="AL24" i="1"/>
  <c r="AK7" i="1"/>
  <c r="AL7" i="1"/>
  <c r="AK6" i="1"/>
  <c r="AL6" i="1"/>
  <c r="AK5" i="1"/>
  <c r="AL5" i="1"/>
  <c r="AK4" i="1"/>
  <c r="AL4" i="1"/>
  <c r="AL1283" i="1"/>
  <c r="AK1283" i="1"/>
  <c r="AK2" i="1"/>
  <c r="R2" i="1"/>
  <c r="F51" i="15"/>
  <c r="C49" i="36" s="1"/>
  <c r="H247" i="24"/>
  <c r="H92" i="24"/>
  <c r="C14" i="164" l="1"/>
  <c r="C13" i="164"/>
  <c r="S51" i="15"/>
  <c r="E29" i="48"/>
  <c r="AC2" i="1" l="1"/>
  <c r="R1074" i="1"/>
  <c r="S1074" i="1" s="1"/>
  <c r="AV1074" i="1" s="1"/>
  <c r="R1075" i="1"/>
  <c r="S1075" i="1" s="1"/>
  <c r="AV1075" i="1" s="1"/>
  <c r="R1076" i="1"/>
  <c r="S1076" i="1" s="1"/>
  <c r="AV1076" i="1" s="1"/>
  <c r="R1077" i="1"/>
  <c r="S1077" i="1" s="1"/>
  <c r="AV1077" i="1" s="1"/>
  <c r="R1078" i="1"/>
  <c r="S1078" i="1" s="1"/>
  <c r="AV1078" i="1" s="1"/>
  <c r="R1079" i="1"/>
  <c r="S1079" i="1" s="1"/>
  <c r="AV1079" i="1" s="1"/>
  <c r="R1080" i="1"/>
  <c r="S1080" i="1" s="1"/>
  <c r="AV1080" i="1" s="1"/>
  <c r="R1081" i="1"/>
  <c r="S1081" i="1" s="1"/>
  <c r="AV1081" i="1" s="1"/>
  <c r="R1082" i="1"/>
  <c r="S1082" i="1" s="1"/>
  <c r="AV1082" i="1" s="1"/>
  <c r="R1083" i="1"/>
  <c r="S1083" i="1" s="1"/>
  <c r="AV1083" i="1" s="1"/>
  <c r="R1084" i="1"/>
  <c r="S1084" i="1" s="1"/>
  <c r="AV1084" i="1" s="1"/>
  <c r="R1085" i="1"/>
  <c r="S1085" i="1" s="1"/>
  <c r="AV1085" i="1" s="1"/>
  <c r="R1086" i="1"/>
  <c r="S1086" i="1" s="1"/>
  <c r="AV1086" i="1" s="1"/>
  <c r="R1087" i="1"/>
  <c r="S1087" i="1" s="1"/>
  <c r="AV1087" i="1" s="1"/>
  <c r="R1088" i="1"/>
  <c r="S1088" i="1" s="1"/>
  <c r="R1089" i="1"/>
  <c r="S1089" i="1" s="1"/>
  <c r="AV1089" i="1" s="1"/>
  <c r="R1090" i="1"/>
  <c r="S1090" i="1" s="1"/>
  <c r="AV1090" i="1" s="1"/>
  <c r="R1091" i="1"/>
  <c r="S1091" i="1" s="1"/>
  <c r="AV1091" i="1" s="1"/>
  <c r="R1092" i="1"/>
  <c r="S1092" i="1" s="1"/>
  <c r="AV1092" i="1" s="1"/>
  <c r="R1093" i="1"/>
  <c r="S1093" i="1" s="1"/>
  <c r="AV1093" i="1" s="1"/>
  <c r="R1094" i="1"/>
  <c r="S1094" i="1" s="1"/>
  <c r="AV1094" i="1" s="1"/>
  <c r="R1095" i="1"/>
  <c r="S1095" i="1" s="1"/>
  <c r="AV1095" i="1" s="1"/>
  <c r="R1096" i="1"/>
  <c r="S1096" i="1" s="1"/>
  <c r="AV1096" i="1" s="1"/>
  <c r="R1097" i="1"/>
  <c r="S1097" i="1" s="1"/>
  <c r="AV1097" i="1" s="1"/>
  <c r="R1098" i="1"/>
  <c r="S1098" i="1" s="1"/>
  <c r="AV1098" i="1" s="1"/>
  <c r="R1099" i="1"/>
  <c r="S1099" i="1" s="1"/>
  <c r="AV1099" i="1" s="1"/>
  <c r="R1100" i="1"/>
  <c r="S1100" i="1" s="1"/>
  <c r="AV1100" i="1" s="1"/>
  <c r="R1101" i="1"/>
  <c r="S1101" i="1" s="1"/>
  <c r="AV1101" i="1" s="1"/>
  <c r="R1102" i="1"/>
  <c r="S1102" i="1" s="1"/>
  <c r="AV1102" i="1" s="1"/>
  <c r="R1103" i="1"/>
  <c r="S1103" i="1" s="1"/>
  <c r="AV1103" i="1" s="1"/>
  <c r="R1104" i="1"/>
  <c r="S1104" i="1" s="1"/>
  <c r="AV1104" i="1" s="1"/>
  <c r="R1105" i="1"/>
  <c r="S1105" i="1" s="1"/>
  <c r="AV1105" i="1" s="1"/>
  <c r="R1106" i="1"/>
  <c r="S1106" i="1" s="1"/>
  <c r="AV1106" i="1" s="1"/>
  <c r="R1107" i="1"/>
  <c r="S1107" i="1" s="1"/>
  <c r="AV1107" i="1" s="1"/>
  <c r="R1108" i="1"/>
  <c r="S1108" i="1" s="1"/>
  <c r="AV1108" i="1" s="1"/>
  <c r="S1109" i="1"/>
  <c r="AV1109" i="1" s="1"/>
  <c r="S1110" i="1"/>
  <c r="AV1110" i="1" s="1"/>
  <c r="S1111" i="1"/>
  <c r="AV1111" i="1" s="1"/>
  <c r="S1113" i="1"/>
  <c r="S1114" i="1"/>
  <c r="AV1114" i="1" s="1"/>
  <c r="S1115" i="1"/>
  <c r="AV1115" i="1" s="1"/>
  <c r="S1116" i="1"/>
  <c r="AV1116" i="1" s="1"/>
  <c r="S1117" i="1"/>
  <c r="AV1117" i="1" s="1"/>
  <c r="S1118" i="1"/>
  <c r="AV1118" i="1" s="1"/>
  <c r="S1119" i="1"/>
  <c r="AV1119" i="1" s="1"/>
  <c r="S1120" i="1"/>
  <c r="AV1120" i="1" s="1"/>
  <c r="S1121" i="1"/>
  <c r="AV1121" i="1" s="1"/>
  <c r="R1123" i="1"/>
  <c r="S1123" i="1" s="1"/>
  <c r="R1124" i="1"/>
  <c r="S1124" i="1" s="1"/>
  <c r="AV1124" i="1" s="1"/>
  <c r="R1125" i="1"/>
  <c r="S1125" i="1" s="1"/>
  <c r="AV1125" i="1" s="1"/>
  <c r="R1126" i="1"/>
  <c r="S1126" i="1" s="1"/>
  <c r="AV1126" i="1" s="1"/>
  <c r="R1127" i="1"/>
  <c r="S1127" i="1" s="1"/>
  <c r="AV1127" i="1" s="1"/>
  <c r="R1128" i="1"/>
  <c r="S1128" i="1" s="1"/>
  <c r="AV1128" i="1" s="1"/>
  <c r="R1129" i="1"/>
  <c r="S1129" i="1" s="1"/>
  <c r="AV1129" i="1" s="1"/>
  <c r="R1130" i="1"/>
  <c r="S1130" i="1" s="1"/>
  <c r="AV1130" i="1" s="1"/>
  <c r="R1131" i="1"/>
  <c r="S1131" i="1" s="1"/>
  <c r="AV1131" i="1" s="1"/>
  <c r="R1132" i="1"/>
  <c r="S1132" i="1" s="1"/>
  <c r="AV1132" i="1" s="1"/>
  <c r="R1133" i="1"/>
  <c r="S1133" i="1" s="1"/>
  <c r="AV1133" i="1" s="1"/>
  <c r="R1134" i="1"/>
  <c r="S1134" i="1" s="1"/>
  <c r="AV1134" i="1" s="1"/>
  <c r="R1135" i="1"/>
  <c r="S1135" i="1" s="1"/>
  <c r="AV1135" i="1" s="1"/>
  <c r="R1136" i="1"/>
  <c r="S1136" i="1" s="1"/>
  <c r="AV1136" i="1" s="1"/>
  <c r="R1137" i="1"/>
  <c r="S1137" i="1" s="1"/>
  <c r="AV1137" i="1" s="1"/>
  <c r="R1138" i="1"/>
  <c r="S1138" i="1" s="1"/>
  <c r="AV1138" i="1" s="1"/>
  <c r="R1139" i="1"/>
  <c r="S1139" i="1" s="1"/>
  <c r="AV1139" i="1" s="1"/>
  <c r="R1140" i="1"/>
  <c r="S1140" i="1" s="1"/>
  <c r="AV1140" i="1" s="1"/>
  <c r="R1141" i="1"/>
  <c r="S1141" i="1" s="1"/>
  <c r="AV1141" i="1" s="1"/>
  <c r="R1142" i="1"/>
  <c r="S1142" i="1" s="1"/>
  <c r="AV1142" i="1" s="1"/>
  <c r="R1143" i="1"/>
  <c r="S1143" i="1" s="1"/>
  <c r="AV1143" i="1" s="1"/>
  <c r="R1144" i="1"/>
  <c r="S1144" i="1" s="1"/>
  <c r="AV1144" i="1" s="1"/>
  <c r="R1145" i="1"/>
  <c r="S1145" i="1" s="1"/>
  <c r="AV1145" i="1" s="1"/>
  <c r="R1146" i="1"/>
  <c r="S1146" i="1" s="1"/>
  <c r="R1147" i="1"/>
  <c r="S1147" i="1" s="1"/>
  <c r="AV1147" i="1" s="1"/>
  <c r="R1148" i="1"/>
  <c r="S1148" i="1" s="1"/>
  <c r="AV1148" i="1" s="1"/>
  <c r="R1149" i="1"/>
  <c r="S1149" i="1" s="1"/>
  <c r="AV1149" i="1" s="1"/>
  <c r="R1150" i="1"/>
  <c r="S1150" i="1" s="1"/>
  <c r="AV1150" i="1" s="1"/>
  <c r="R1151" i="1"/>
  <c r="S1151" i="1" s="1"/>
  <c r="AV1151" i="1" s="1"/>
  <c r="R1152" i="1"/>
  <c r="S1152" i="1" s="1"/>
  <c r="AV1152" i="1" s="1"/>
  <c r="R1153" i="1"/>
  <c r="S1153" i="1" s="1"/>
  <c r="AV1153" i="1" s="1"/>
  <c r="R1154" i="1"/>
  <c r="S1154" i="1" s="1"/>
  <c r="AV1154" i="1" s="1"/>
  <c r="R1155" i="1"/>
  <c r="S1155" i="1" s="1"/>
  <c r="AV1155" i="1" s="1"/>
  <c r="R1156" i="1"/>
  <c r="S1156" i="1" s="1"/>
  <c r="AV1156" i="1" s="1"/>
  <c r="R1157" i="1"/>
  <c r="S1157" i="1" s="1"/>
  <c r="AV1157" i="1" s="1"/>
  <c r="R1158" i="1"/>
  <c r="S1158" i="1" s="1"/>
  <c r="AV1158" i="1" s="1"/>
  <c r="R1159" i="1"/>
  <c r="S1159" i="1" s="1"/>
  <c r="AV1159" i="1" s="1"/>
  <c r="R1160" i="1"/>
  <c r="S1160" i="1" s="1"/>
  <c r="R1161" i="1"/>
  <c r="S1161" i="1" s="1"/>
  <c r="AV1161" i="1" s="1"/>
  <c r="S1254" i="1"/>
  <c r="AV1254" i="1" s="1"/>
  <c r="S1255" i="1"/>
  <c r="AV1255" i="1" s="1"/>
  <c r="S1256" i="1"/>
  <c r="AV1256" i="1" s="1"/>
  <c r="S1257" i="1"/>
  <c r="AV1257" i="1" s="1"/>
  <c r="E17" i="117" l="1"/>
  <c r="E18" i="117"/>
  <c r="E16" i="117"/>
  <c r="E15" i="117"/>
  <c r="E14" i="117"/>
  <c r="AV1146" i="1"/>
  <c r="AV1113" i="1"/>
  <c r="AV1088" i="1"/>
  <c r="AV1160" i="1"/>
  <c r="AV1123" i="1"/>
  <c r="BE30" i="92"/>
  <c r="BE34" i="92"/>
  <c r="BT48" i="92"/>
  <c r="BF48" i="92"/>
  <c r="BN47" i="92"/>
  <c r="AZ47" i="92"/>
  <c r="BE47" i="92"/>
  <c r="BS47" i="92"/>
  <c r="BE37" i="92"/>
  <c r="BA12" i="92"/>
  <c r="BP48" i="92"/>
  <c r="BB48" i="92"/>
  <c r="BE42" i="92"/>
  <c r="BE19" i="92"/>
  <c r="BE44" i="92"/>
  <c r="BE14" i="92"/>
  <c r="BE18" i="92"/>
  <c r="BM48" i="92"/>
  <c r="AY48" i="92"/>
  <c r="BL48" i="92"/>
  <c r="AX48" i="92"/>
  <c r="BR46" i="92"/>
  <c r="BD46" i="92"/>
  <c r="BE15" i="92"/>
  <c r="BN46" i="92"/>
  <c r="AZ46" i="92"/>
  <c r="BS48" i="92"/>
  <c r="BE48" i="92"/>
  <c r="BO27" i="92"/>
  <c r="BA27" i="92"/>
  <c r="BM27" i="92"/>
  <c r="AY27" i="92"/>
  <c r="BE16" i="92"/>
  <c r="BT27" i="92"/>
  <c r="BF27" i="92"/>
  <c r="BP47" i="92"/>
  <c r="BB47" i="92"/>
  <c r="BO47" i="92"/>
  <c r="BA47" i="92"/>
  <c r="BE39" i="92"/>
  <c r="BE36" i="92"/>
  <c r="BM47" i="92"/>
  <c r="AY47" i="92"/>
  <c r="BO46" i="92"/>
  <c r="BA46" i="92"/>
  <c r="BE21" i="92"/>
  <c r="BE40" i="92"/>
  <c r="BR27" i="92"/>
  <c r="BD27" i="92"/>
  <c r="BE33" i="92"/>
  <c r="BN48" i="92"/>
  <c r="AZ48" i="92"/>
  <c r="BL27" i="92"/>
  <c r="AX27" i="92"/>
  <c r="BS46" i="92"/>
  <c r="BE46" i="92"/>
  <c r="BE24" i="92"/>
  <c r="BB46" i="92"/>
  <c r="BP46" i="92"/>
  <c r="BB12" i="92"/>
  <c r="BM46" i="92"/>
  <c r="AY46" i="92"/>
  <c r="BE35" i="92"/>
  <c r="BT46" i="92"/>
  <c r="BF46" i="92"/>
  <c r="BE25" i="92"/>
  <c r="BD47" i="92"/>
  <c r="BR47" i="92"/>
  <c r="BE45" i="92"/>
  <c r="BE23" i="92"/>
  <c r="BE29" i="92"/>
  <c r="BP27" i="92"/>
  <c r="BB27" i="92"/>
  <c r="BR48" i="92"/>
  <c r="BD48" i="92"/>
  <c r="BT47" i="92"/>
  <c r="BF47" i="92"/>
  <c r="BE38" i="92"/>
  <c r="BN27" i="92"/>
  <c r="AZ27" i="92"/>
  <c r="BL46" i="92"/>
  <c r="AX46" i="92"/>
  <c r="BE20" i="92"/>
  <c r="BE43" i="92"/>
  <c r="BE22" i="92"/>
  <c r="BE13" i="92"/>
  <c r="AZ12" i="92"/>
  <c r="BS12" i="92"/>
  <c r="BE12" i="92"/>
  <c r="BL47" i="92"/>
  <c r="AX47" i="92"/>
  <c r="BE28" i="92"/>
  <c r="BO48" i="92"/>
  <c r="BA48" i="92"/>
  <c r="BE32" i="92"/>
  <c r="BS27" i="92"/>
  <c r="BE27" i="92"/>
  <c r="AX12" i="92"/>
  <c r="AY12" i="92"/>
  <c r="E50" i="109"/>
  <c r="F50" i="111"/>
  <c r="G12" i="128" s="1"/>
  <c r="L15" i="92"/>
  <c r="G52" i="92"/>
  <c r="I13" i="141" s="1"/>
  <c r="Q13" i="141" s="1"/>
  <c r="M51" i="92"/>
  <c r="N15" i="141" s="1"/>
  <c r="Q15" i="141" s="1"/>
  <c r="J52" i="92"/>
  <c r="N52" i="92"/>
  <c r="I19" i="141" s="1"/>
  <c r="Q19" i="141" s="1"/>
  <c r="M52" i="92"/>
  <c r="I16" i="141" s="1"/>
  <c r="Q16" i="141" s="1"/>
  <c r="J51" i="92"/>
  <c r="K52" i="92"/>
  <c r="G51" i="92"/>
  <c r="I52" i="92"/>
  <c r="H52" i="92"/>
  <c r="N51" i="92"/>
  <c r="N18" i="141" s="1"/>
  <c r="Q18" i="141" s="1"/>
  <c r="O52" i="92"/>
  <c r="I51" i="92"/>
  <c r="H51" i="92"/>
  <c r="K51" i="92"/>
  <c r="L23" i="92"/>
  <c r="L16" i="92"/>
  <c r="L18" i="92"/>
  <c r="L21" i="92"/>
  <c r="L12" i="92"/>
  <c r="L44" i="92"/>
  <c r="L22" i="92"/>
  <c r="L36" i="92"/>
  <c r="L45" i="92"/>
  <c r="L26" i="92"/>
  <c r="L17" i="92"/>
  <c r="L38" i="92"/>
  <c r="L41" i="92"/>
  <c r="L20" i="92"/>
  <c r="L31" i="92"/>
  <c r="L28" i="92"/>
  <c r="L46" i="92"/>
  <c r="L24" i="92"/>
  <c r="L40" i="92"/>
  <c r="L32" i="92"/>
  <c r="L25" i="92"/>
  <c r="L29" i="92"/>
  <c r="L42" i="92"/>
  <c r="L30" i="92"/>
  <c r="L13" i="92"/>
  <c r="L43" i="92"/>
  <c r="L48" i="92"/>
  <c r="L39" i="92"/>
  <c r="L33" i="92"/>
  <c r="L47" i="92"/>
  <c r="L14" i="92"/>
  <c r="L37" i="92"/>
  <c r="L27" i="92"/>
  <c r="L34" i="92"/>
  <c r="L19" i="92"/>
  <c r="L35" i="92"/>
  <c r="S2" i="1"/>
  <c r="N12" i="141" l="1"/>
  <c r="Q12" i="141" s="1"/>
  <c r="E35" i="95"/>
  <c r="G35" i="95"/>
  <c r="J22" i="95"/>
  <c r="J33" i="95"/>
  <c r="J37" i="95"/>
  <c r="J28" i="95"/>
  <c r="J26" i="95"/>
  <c r="J24" i="95"/>
  <c r="J15" i="95"/>
  <c r="J20" i="95"/>
  <c r="J44" i="95"/>
  <c r="D35" i="95"/>
  <c r="H35" i="95"/>
  <c r="BQ47" i="92"/>
  <c r="BC47" i="92"/>
  <c r="J39" i="95"/>
  <c r="J29" i="95"/>
  <c r="J31" i="95"/>
  <c r="J27" i="95"/>
  <c r="J17" i="95"/>
  <c r="J36" i="95"/>
  <c r="J34" i="95"/>
  <c r="J43" i="95"/>
  <c r="J18" i="95"/>
  <c r="J40" i="95"/>
  <c r="J38" i="95"/>
  <c r="J23" i="95"/>
  <c r="O51" i="92"/>
  <c r="BQ46" i="92"/>
  <c r="BC46" i="92"/>
  <c r="I35" i="95"/>
  <c r="BQ48" i="92"/>
  <c r="BC48" i="92"/>
  <c r="BQ27" i="92"/>
  <c r="BC27" i="92"/>
  <c r="H24" i="95"/>
  <c r="J35" i="95"/>
  <c r="J41" i="95"/>
  <c r="J30" i="95"/>
  <c r="J14" i="95"/>
  <c r="J42" i="95"/>
  <c r="J32" i="95"/>
  <c r="J16" i="95"/>
  <c r="J19" i="95"/>
  <c r="F16" i="117"/>
  <c r="I50" i="111"/>
  <c r="D15" i="128" s="1"/>
  <c r="F15" i="117"/>
  <c r="F13" i="109"/>
  <c r="Q13" i="109" s="1"/>
  <c r="K50" i="109"/>
  <c r="L50" i="111"/>
  <c r="G50" i="109"/>
  <c r="H50" i="111"/>
  <c r="K50" i="111"/>
  <c r="I50" i="109"/>
  <c r="I54" i="109" s="1"/>
  <c r="J50" i="111"/>
  <c r="H50" i="109"/>
  <c r="H54" i="109" s="1"/>
  <c r="J50" i="109"/>
  <c r="D24" i="15"/>
  <c r="H695" i="1"/>
  <c r="AZ695" i="1" s="1"/>
  <c r="L52" i="92"/>
  <c r="L51" i="92"/>
  <c r="H53" i="15"/>
  <c r="H52" i="15"/>
  <c r="H51" i="15"/>
  <c r="H50" i="15"/>
  <c r="H49" i="15"/>
  <c r="H48" i="15"/>
  <c r="H47" i="15"/>
  <c r="H46" i="15"/>
  <c r="H45" i="15"/>
  <c r="H44" i="15"/>
  <c r="H43" i="15"/>
  <c r="H42" i="15"/>
  <c r="H41" i="15"/>
  <c r="H40" i="15"/>
  <c r="H39" i="15"/>
  <c r="H38" i="15"/>
  <c r="H37" i="15"/>
  <c r="H36" i="15"/>
  <c r="H35" i="15"/>
  <c r="H34" i="15"/>
  <c r="H33" i="15"/>
  <c r="H32" i="15"/>
  <c r="H31" i="15"/>
  <c r="H30" i="15"/>
  <c r="H29" i="15"/>
  <c r="H28" i="15"/>
  <c r="H27" i="15"/>
  <c r="H26" i="15"/>
  <c r="H25" i="15"/>
  <c r="H24" i="15"/>
  <c r="H23" i="15"/>
  <c r="H22" i="15"/>
  <c r="H21" i="15"/>
  <c r="H20" i="15"/>
  <c r="H19" i="15"/>
  <c r="H18" i="15"/>
  <c r="H17" i="15"/>
  <c r="O32" i="146" l="1"/>
  <c r="O33" i="146"/>
  <c r="F35" i="95"/>
  <c r="I18" i="150"/>
  <c r="I19" i="150"/>
  <c r="I15" i="150"/>
  <c r="I14" i="150"/>
  <c r="I13" i="150"/>
  <c r="I12" i="150"/>
  <c r="I17" i="150"/>
  <c r="I16" i="150"/>
  <c r="R695" i="1"/>
  <c r="S695" i="1" s="1"/>
  <c r="AY695" i="1"/>
  <c r="G14" i="128"/>
  <c r="D14" i="128"/>
  <c r="G16" i="128"/>
  <c r="D16" i="128"/>
  <c r="G17" i="128"/>
  <c r="D17" i="128"/>
  <c r="G18" i="128"/>
  <c r="D18" i="128"/>
  <c r="I54" i="111"/>
  <c r="C15" i="128" s="1"/>
  <c r="G15" i="128"/>
  <c r="H15" i="128" s="1"/>
  <c r="C35" i="95"/>
  <c r="J54" i="111"/>
  <c r="L54" i="111"/>
  <c r="C18" i="128" s="1"/>
  <c r="H16" i="15"/>
  <c r="H15" i="15"/>
  <c r="H14" i="15"/>
  <c r="H13" i="15"/>
  <c r="T695" i="1" l="1"/>
  <c r="AV695" i="1" s="1"/>
  <c r="H18" i="128"/>
  <c r="H14" i="128"/>
  <c r="C16" i="128"/>
  <c r="E16" i="128"/>
  <c r="H17" i="128"/>
  <c r="H16" i="128"/>
  <c r="N34" i="111"/>
  <c r="M34" i="109"/>
  <c r="H54" i="15"/>
  <c r="AO2" i="1"/>
  <c r="H15" i="131" l="1"/>
  <c r="H46" i="131" s="1"/>
  <c r="H16" i="131"/>
  <c r="H47" i="131" s="1"/>
  <c r="H17" i="131"/>
  <c r="H48" i="131" s="1"/>
  <c r="G15" i="131"/>
  <c r="G46" i="131" s="1"/>
  <c r="G16" i="131"/>
  <c r="G47" i="131" s="1"/>
  <c r="G17" i="131"/>
  <c r="G48" i="131" s="1"/>
  <c r="F15" i="131"/>
  <c r="F46" i="131" s="1"/>
  <c r="F16" i="131"/>
  <c r="F47" i="131" s="1"/>
  <c r="F17" i="131"/>
  <c r="F48" i="131" s="1"/>
  <c r="CA17" i="92"/>
  <c r="H696" i="1"/>
  <c r="CF17" i="92"/>
  <c r="CH17" i="92"/>
  <c r="CC17" i="92"/>
  <c r="CE17" i="92"/>
  <c r="CB17" i="92"/>
  <c r="BZ17" i="92"/>
  <c r="CG17" i="92"/>
  <c r="AS17" i="92"/>
  <c r="AT17" i="92"/>
  <c r="AU17" i="92"/>
  <c r="AV17" i="92"/>
  <c r="AE17" i="92"/>
  <c r="AF17" i="92"/>
  <c r="AG17" i="92"/>
  <c r="AH17" i="92"/>
  <c r="AC17" i="92"/>
  <c r="AJ29" i="92"/>
  <c r="L32" i="64" s="1"/>
  <c r="W29" i="92"/>
  <c r="AR29" i="92"/>
  <c r="V29" i="92"/>
  <c r="AQ29" i="92"/>
  <c r="H31" i="64" s="1"/>
  <c r="AD29" i="92"/>
  <c r="AP29" i="92"/>
  <c r="D33" i="64" s="1"/>
  <c r="AN29" i="92"/>
  <c r="AB29" i="92"/>
  <c r="AM29" i="92"/>
  <c r="Z29" i="92"/>
  <c r="AL29" i="92"/>
  <c r="AK29" i="92"/>
  <c r="Y29" i="92"/>
  <c r="X29" i="92"/>
  <c r="AJ37" i="92"/>
  <c r="L39" i="64" s="1"/>
  <c r="W37" i="92"/>
  <c r="AR37" i="92"/>
  <c r="V37" i="92"/>
  <c r="AQ37" i="92"/>
  <c r="H38" i="64" s="1"/>
  <c r="AD37" i="92"/>
  <c r="AP37" i="92"/>
  <c r="D39" i="64" s="1"/>
  <c r="AN37" i="92"/>
  <c r="AB37" i="92"/>
  <c r="AM37" i="92"/>
  <c r="Z37" i="92"/>
  <c r="X37" i="92"/>
  <c r="AL37" i="92"/>
  <c r="AK37" i="92"/>
  <c r="Y37" i="92"/>
  <c r="AL12" i="92"/>
  <c r="AK12" i="92"/>
  <c r="AD12" i="92"/>
  <c r="AR12" i="92"/>
  <c r="AB12" i="92"/>
  <c r="C13" i="64" s="1"/>
  <c r="D16" i="156" s="1"/>
  <c r="AP12" i="92"/>
  <c r="D13" i="64" s="1"/>
  <c r="E16" i="156" s="1"/>
  <c r="AM12" i="92"/>
  <c r="AJ12" i="92"/>
  <c r="L17" i="64" s="1"/>
  <c r="AN12" i="92"/>
  <c r="AJ21" i="92"/>
  <c r="L25" i="64" s="1"/>
  <c r="W21" i="92"/>
  <c r="AR21" i="92"/>
  <c r="V21" i="92"/>
  <c r="AQ21" i="92"/>
  <c r="H24" i="64" s="1"/>
  <c r="AD21" i="92"/>
  <c r="AP21" i="92"/>
  <c r="D27" i="64" s="1"/>
  <c r="AN21" i="92"/>
  <c r="AB21" i="92"/>
  <c r="AM21" i="92"/>
  <c r="Z21" i="92"/>
  <c r="AL21" i="92"/>
  <c r="AK21" i="92"/>
  <c r="Y21" i="92"/>
  <c r="X21" i="92"/>
  <c r="AQ34" i="92"/>
  <c r="H35" i="64" s="1"/>
  <c r="AD34" i="92"/>
  <c r="AP34" i="92"/>
  <c r="D24" i="64" s="1"/>
  <c r="AN34" i="92"/>
  <c r="AB34" i="92"/>
  <c r="AM34" i="92"/>
  <c r="Z34" i="92"/>
  <c r="AL34" i="92"/>
  <c r="Y34" i="92"/>
  <c r="AK34" i="92"/>
  <c r="X34" i="92"/>
  <c r="AR34" i="92"/>
  <c r="AJ34" i="92"/>
  <c r="L36" i="64" s="1"/>
  <c r="W34" i="92"/>
  <c r="V34" i="92"/>
  <c r="AQ14" i="92"/>
  <c r="H18" i="64" s="1"/>
  <c r="AD14" i="92"/>
  <c r="AP14" i="92"/>
  <c r="D19" i="64" s="1"/>
  <c r="AN14" i="92"/>
  <c r="AB14" i="92"/>
  <c r="AL14" i="92"/>
  <c r="Y14" i="92"/>
  <c r="Z14" i="92"/>
  <c r="X14" i="92"/>
  <c r="W14" i="92"/>
  <c r="AR14" i="92"/>
  <c r="V14" i="92"/>
  <c r="AM14" i="92"/>
  <c r="AK14" i="92"/>
  <c r="AJ14" i="92"/>
  <c r="L18" i="64" s="1"/>
  <c r="AL16" i="92"/>
  <c r="Y16" i="92"/>
  <c r="AK16" i="92"/>
  <c r="X16" i="92"/>
  <c r="AJ16" i="92"/>
  <c r="L20" i="64" s="1"/>
  <c r="W16" i="92"/>
  <c r="AQ16" i="92"/>
  <c r="H20" i="64" s="1"/>
  <c r="AD16" i="92"/>
  <c r="AR16" i="92"/>
  <c r="V16" i="92"/>
  <c r="AP16" i="92"/>
  <c r="D26" i="64" s="1"/>
  <c r="AN16" i="92"/>
  <c r="AM16" i="92"/>
  <c r="AB16" i="92"/>
  <c r="Z16" i="92"/>
  <c r="AN39" i="92"/>
  <c r="AB39" i="92"/>
  <c r="AM39" i="92"/>
  <c r="Z39" i="92"/>
  <c r="AL39" i="92"/>
  <c r="Y39" i="92"/>
  <c r="AK39" i="92"/>
  <c r="X39" i="92"/>
  <c r="AJ39" i="92"/>
  <c r="L41" i="64" s="1"/>
  <c r="W39" i="92"/>
  <c r="AR39" i="92"/>
  <c r="V39" i="92"/>
  <c r="AQ39" i="92"/>
  <c r="H40" i="64" s="1"/>
  <c r="AP39" i="92"/>
  <c r="D41" i="64" s="1"/>
  <c r="AD39" i="92"/>
  <c r="AN42" i="92"/>
  <c r="AB42" i="92"/>
  <c r="AM42" i="92"/>
  <c r="Z42" i="92"/>
  <c r="AL42" i="92"/>
  <c r="Y42" i="92"/>
  <c r="AK42" i="92"/>
  <c r="X42" i="92"/>
  <c r="AJ42" i="92"/>
  <c r="L44" i="64" s="1"/>
  <c r="W42" i="92"/>
  <c r="AR42" i="92"/>
  <c r="V42" i="92"/>
  <c r="AQ42" i="92"/>
  <c r="H43" i="64" s="1"/>
  <c r="AP42" i="92"/>
  <c r="D43" i="64" s="1"/>
  <c r="AD42" i="92"/>
  <c r="AN31" i="92"/>
  <c r="AB31" i="92"/>
  <c r="AM31" i="92"/>
  <c r="Z31" i="92"/>
  <c r="AL31" i="92"/>
  <c r="Y31" i="92"/>
  <c r="AK31" i="92"/>
  <c r="X31" i="92"/>
  <c r="AJ31" i="92"/>
  <c r="L14" i="64" s="1"/>
  <c r="W31" i="92"/>
  <c r="AR31" i="92"/>
  <c r="V31" i="92"/>
  <c r="E13" i="156" s="1"/>
  <c r="AP31" i="92"/>
  <c r="D34" i="64" s="1"/>
  <c r="AD31" i="92"/>
  <c r="AQ31" i="92"/>
  <c r="H14" i="64" s="1"/>
  <c r="E22" i="156" s="1"/>
  <c r="AQ22" i="92"/>
  <c r="H25" i="64" s="1"/>
  <c r="AD22" i="92"/>
  <c r="AP22" i="92"/>
  <c r="D15" i="64" s="1"/>
  <c r="E18" i="156" s="1"/>
  <c r="AN22" i="92"/>
  <c r="AB22" i="92"/>
  <c r="AM22" i="92"/>
  <c r="Z22" i="92"/>
  <c r="AL22" i="92"/>
  <c r="Y22" i="92"/>
  <c r="AK22" i="92"/>
  <c r="X22" i="92"/>
  <c r="W22" i="92"/>
  <c r="V22" i="92"/>
  <c r="AR22" i="92"/>
  <c r="AJ22" i="92"/>
  <c r="L13" i="64" s="1"/>
  <c r="AQ26" i="92"/>
  <c r="H17" i="64" s="1"/>
  <c r="E25" i="156" s="1"/>
  <c r="AD26" i="92"/>
  <c r="AP26" i="92"/>
  <c r="D18" i="64" s="1"/>
  <c r="AN26" i="92"/>
  <c r="AB26" i="92"/>
  <c r="AM26" i="92"/>
  <c r="Z26" i="92"/>
  <c r="AL26" i="92"/>
  <c r="Y26" i="92"/>
  <c r="AK26" i="92"/>
  <c r="X26" i="92"/>
  <c r="V26" i="92"/>
  <c r="AR26" i="92"/>
  <c r="AJ26" i="92"/>
  <c r="L29" i="64" s="1"/>
  <c r="W26" i="92"/>
  <c r="AN23" i="92"/>
  <c r="AB23" i="92"/>
  <c r="AM23" i="92"/>
  <c r="Z23" i="92"/>
  <c r="AL23" i="92"/>
  <c r="Y23" i="92"/>
  <c r="AK23" i="92"/>
  <c r="X23" i="92"/>
  <c r="AJ23" i="92"/>
  <c r="L26" i="64" s="1"/>
  <c r="W23" i="92"/>
  <c r="AR23" i="92"/>
  <c r="V23" i="92"/>
  <c r="AQ23" i="92"/>
  <c r="H26" i="64" s="1"/>
  <c r="AP23" i="92"/>
  <c r="D28" i="64" s="1"/>
  <c r="AD23" i="92"/>
  <c r="AL43" i="92"/>
  <c r="Y43" i="92"/>
  <c r="AK43" i="92"/>
  <c r="X43" i="92"/>
  <c r="AJ43" i="92"/>
  <c r="L15" i="64" s="1"/>
  <c r="W43" i="92"/>
  <c r="AR43" i="92"/>
  <c r="V43" i="92"/>
  <c r="E14" i="156" s="1"/>
  <c r="AQ43" i="92"/>
  <c r="H44" i="64" s="1"/>
  <c r="AD43" i="92"/>
  <c r="AP43" i="92"/>
  <c r="D44" i="64" s="1"/>
  <c r="AM43" i="92"/>
  <c r="AB43" i="92"/>
  <c r="Z43" i="92"/>
  <c r="AN43" i="92"/>
  <c r="AL20" i="92"/>
  <c r="Y20" i="92"/>
  <c r="AK20" i="92"/>
  <c r="X20" i="92"/>
  <c r="AJ20" i="92"/>
  <c r="L24" i="64" s="1"/>
  <c r="W20" i="92"/>
  <c r="AR20" i="92"/>
  <c r="AQ20" i="92"/>
  <c r="H23" i="64" s="1"/>
  <c r="AD20" i="92"/>
  <c r="AP20" i="92"/>
  <c r="D20" i="64" s="1"/>
  <c r="AM20" i="92"/>
  <c r="AB20" i="92"/>
  <c r="Z20" i="92"/>
  <c r="V20" i="92"/>
  <c r="AN20" i="92"/>
  <c r="AQ18" i="92"/>
  <c r="H19" i="64" s="1"/>
  <c r="AD18" i="92"/>
  <c r="AP18" i="92"/>
  <c r="D17" i="64" s="1"/>
  <c r="E20" i="156" s="1"/>
  <c r="AN18" i="92"/>
  <c r="AB18" i="92"/>
  <c r="AL18" i="92"/>
  <c r="Y18" i="92"/>
  <c r="AK18" i="92"/>
  <c r="X18" i="92"/>
  <c r="W18" i="92"/>
  <c r="V18" i="92"/>
  <c r="AR18" i="92"/>
  <c r="AM18" i="92"/>
  <c r="AJ18" i="92"/>
  <c r="L22" i="64" s="1"/>
  <c r="Z18" i="92"/>
  <c r="AJ25" i="92"/>
  <c r="L28" i="64" s="1"/>
  <c r="W25" i="92"/>
  <c r="AR25" i="92"/>
  <c r="V25" i="92"/>
  <c r="AQ25" i="92"/>
  <c r="H28" i="64" s="1"/>
  <c r="AD25" i="92"/>
  <c r="AP25" i="92"/>
  <c r="D30" i="64" s="1"/>
  <c r="AN25" i="92"/>
  <c r="AB25" i="92"/>
  <c r="AM25" i="92"/>
  <c r="Z25" i="92"/>
  <c r="AL25" i="92"/>
  <c r="AK25" i="92"/>
  <c r="Y25" i="92"/>
  <c r="X25" i="92"/>
  <c r="AL40" i="92"/>
  <c r="Y40" i="92"/>
  <c r="AK40" i="92"/>
  <c r="X40" i="92"/>
  <c r="AJ40" i="92"/>
  <c r="L42" i="64" s="1"/>
  <c r="W40" i="92"/>
  <c r="AR40" i="92"/>
  <c r="V40" i="92"/>
  <c r="AQ40" i="92"/>
  <c r="H41" i="64" s="1"/>
  <c r="AD40" i="92"/>
  <c r="AP40" i="92"/>
  <c r="D42" i="64" s="1"/>
  <c r="AM40" i="92"/>
  <c r="AB40" i="92"/>
  <c r="Z40" i="92"/>
  <c r="AN40" i="92"/>
  <c r="AN19" i="92"/>
  <c r="AB19" i="92"/>
  <c r="AM19" i="92"/>
  <c r="Z19" i="92"/>
  <c r="AL19" i="92"/>
  <c r="Y19" i="92"/>
  <c r="AJ19" i="92"/>
  <c r="L23" i="64" s="1"/>
  <c r="W19" i="92"/>
  <c r="AR19" i="92"/>
  <c r="V19" i="92"/>
  <c r="X19" i="92"/>
  <c r="AQ19" i="92"/>
  <c r="H22" i="64" s="1"/>
  <c r="AP19" i="92"/>
  <c r="D25" i="64" s="1"/>
  <c r="AK19" i="92"/>
  <c r="AD19" i="92"/>
  <c r="AL32" i="92"/>
  <c r="Y32" i="92"/>
  <c r="AK32" i="92"/>
  <c r="X32" i="92"/>
  <c r="AJ32" i="92"/>
  <c r="L34" i="64" s="1"/>
  <c r="W32" i="92"/>
  <c r="AR32" i="92"/>
  <c r="V32" i="92"/>
  <c r="AQ32" i="92"/>
  <c r="H33" i="64" s="1"/>
  <c r="AD32" i="92"/>
  <c r="AP32" i="92"/>
  <c r="D35" i="64" s="1"/>
  <c r="AN32" i="92"/>
  <c r="AM32" i="92"/>
  <c r="AB32" i="92"/>
  <c r="Z32" i="92"/>
  <c r="AN15" i="92"/>
  <c r="AB15" i="92"/>
  <c r="AM15" i="92"/>
  <c r="Z15" i="92"/>
  <c r="AL15" i="92"/>
  <c r="Y15" i="92"/>
  <c r="AJ15" i="92"/>
  <c r="L19" i="64" s="1"/>
  <c r="W15" i="92"/>
  <c r="X15" i="92"/>
  <c r="AR15" i="92"/>
  <c r="V15" i="92"/>
  <c r="AQ15" i="92"/>
  <c r="H16" i="64" s="1"/>
  <c r="E24" i="156" s="1"/>
  <c r="AP15" i="92"/>
  <c r="D16" i="64" s="1"/>
  <c r="E19" i="156" s="1"/>
  <c r="AK15" i="92"/>
  <c r="AD15" i="92"/>
  <c r="AQ30" i="92"/>
  <c r="H32" i="64" s="1"/>
  <c r="AD30" i="92"/>
  <c r="AP30" i="92"/>
  <c r="D23" i="64" s="1"/>
  <c r="AN30" i="92"/>
  <c r="AB30" i="92"/>
  <c r="AM30" i="92"/>
  <c r="Z30" i="92"/>
  <c r="AL30" i="92"/>
  <c r="Y30" i="92"/>
  <c r="AK30" i="92"/>
  <c r="X30" i="92"/>
  <c r="V30" i="92"/>
  <c r="AR30" i="92"/>
  <c r="AJ30" i="92"/>
  <c r="L33" i="64" s="1"/>
  <c r="W30" i="92"/>
  <c r="AL24" i="92"/>
  <c r="Y24" i="92"/>
  <c r="AK24" i="92"/>
  <c r="X24" i="92"/>
  <c r="AJ24" i="92"/>
  <c r="L27" i="64" s="1"/>
  <c r="W24" i="92"/>
  <c r="AR24" i="92"/>
  <c r="V24" i="92"/>
  <c r="AQ24" i="92"/>
  <c r="H27" i="64" s="1"/>
  <c r="AD24" i="92"/>
  <c r="AP24" i="92"/>
  <c r="D29" i="64" s="1"/>
  <c r="Z24" i="92"/>
  <c r="AN24" i="92"/>
  <c r="AM24" i="92"/>
  <c r="AB24" i="92"/>
  <c r="AQ45" i="92"/>
  <c r="H46" i="64" s="1"/>
  <c r="AD45" i="92"/>
  <c r="AP45" i="92"/>
  <c r="D46" i="64" s="1"/>
  <c r="AN45" i="92"/>
  <c r="AB45" i="92"/>
  <c r="AM45" i="92"/>
  <c r="Z45" i="92"/>
  <c r="AL45" i="92"/>
  <c r="Y45" i="92"/>
  <c r="AK45" i="92"/>
  <c r="X45" i="92"/>
  <c r="W45" i="92"/>
  <c r="V45" i="92"/>
  <c r="AR45" i="92"/>
  <c r="AJ45" i="92"/>
  <c r="L46" i="64" s="1"/>
  <c r="AQ41" i="92"/>
  <c r="AD41" i="92"/>
  <c r="BF41" i="92" s="1"/>
  <c r="AP41" i="92"/>
  <c r="AN41" i="92"/>
  <c r="BP41" i="92" s="1"/>
  <c r="AB41" i="92"/>
  <c r="BD41" i="92" s="1"/>
  <c r="AM41" i="92"/>
  <c r="BO41" i="92" s="1"/>
  <c r="Z41" i="92"/>
  <c r="BB41" i="92" s="1"/>
  <c r="AL41" i="92"/>
  <c r="BN41" i="92" s="1"/>
  <c r="Y41" i="92"/>
  <c r="BA41" i="92" s="1"/>
  <c r="AK41" i="92"/>
  <c r="BM41" i="92" s="1"/>
  <c r="X41" i="92"/>
  <c r="AZ41" i="92" s="1"/>
  <c r="AR41" i="92"/>
  <c r="BT41" i="92" s="1"/>
  <c r="AJ41" i="92"/>
  <c r="W41" i="92"/>
  <c r="AY41" i="92" s="1"/>
  <c r="V41" i="92"/>
  <c r="AN35" i="92"/>
  <c r="AB35" i="92"/>
  <c r="AM35" i="92"/>
  <c r="Z35" i="92"/>
  <c r="AL35" i="92"/>
  <c r="Y35" i="92"/>
  <c r="AK35" i="92"/>
  <c r="X35" i="92"/>
  <c r="AJ35" i="92"/>
  <c r="L37" i="64" s="1"/>
  <c r="W35" i="92"/>
  <c r="AR35" i="92"/>
  <c r="V35" i="92"/>
  <c r="AQ35" i="92"/>
  <c r="H36" i="64" s="1"/>
  <c r="AP35" i="92"/>
  <c r="D37" i="64" s="1"/>
  <c r="AD35" i="92"/>
  <c r="AJ17" i="92"/>
  <c r="L21" i="64" s="1"/>
  <c r="W17" i="92"/>
  <c r="AR17" i="92"/>
  <c r="V17" i="92"/>
  <c r="AQ17" i="92"/>
  <c r="H21" i="64" s="1"/>
  <c r="AD17" i="92"/>
  <c r="AN17" i="92"/>
  <c r="AB17" i="92"/>
  <c r="AM17" i="92"/>
  <c r="Z17" i="92"/>
  <c r="AP17" i="92"/>
  <c r="D21" i="64" s="1"/>
  <c r="AL17" i="92"/>
  <c r="AK17" i="92"/>
  <c r="Y17" i="92"/>
  <c r="X17" i="92"/>
  <c r="AJ13" i="92"/>
  <c r="L16" i="64" s="1"/>
  <c r="W13" i="92"/>
  <c r="AR13" i="92"/>
  <c r="V13" i="92"/>
  <c r="E15" i="156" s="1"/>
  <c r="AL13" i="92"/>
  <c r="AK13" i="92"/>
  <c r="AD13" i="92"/>
  <c r="AQ13" i="92"/>
  <c r="H15" i="64" s="1"/>
  <c r="E23" i="156" s="1"/>
  <c r="AB13" i="92"/>
  <c r="AP13" i="92"/>
  <c r="D14" i="64" s="1"/>
  <c r="E17" i="156" s="1"/>
  <c r="Z13" i="92"/>
  <c r="AN13" i="92"/>
  <c r="Y13" i="92"/>
  <c r="AM13" i="92"/>
  <c r="X13" i="92"/>
  <c r="AL36" i="92"/>
  <c r="Y36" i="92"/>
  <c r="AK36" i="92"/>
  <c r="X36" i="92"/>
  <c r="AJ36" i="92"/>
  <c r="L38" i="64" s="1"/>
  <c r="W36" i="92"/>
  <c r="AR36" i="92"/>
  <c r="V36" i="92"/>
  <c r="AQ36" i="92"/>
  <c r="H37" i="64" s="1"/>
  <c r="AD36" i="92"/>
  <c r="AP36" i="92"/>
  <c r="D38" i="64" s="1"/>
  <c r="AN36" i="92"/>
  <c r="AM36" i="92"/>
  <c r="AB36" i="92"/>
  <c r="Z36" i="92"/>
  <c r="AJ33" i="92"/>
  <c r="L35" i="64" s="1"/>
  <c r="W33" i="92"/>
  <c r="AR33" i="92"/>
  <c r="V33" i="92"/>
  <c r="AQ33" i="92"/>
  <c r="H34" i="64" s="1"/>
  <c r="AD33" i="92"/>
  <c r="AP33" i="92"/>
  <c r="D36" i="64" s="1"/>
  <c r="AN33" i="92"/>
  <c r="AB33" i="92"/>
  <c r="AM33" i="92"/>
  <c r="Z33" i="92"/>
  <c r="AK33" i="92"/>
  <c r="Y33" i="92"/>
  <c r="X33" i="92"/>
  <c r="AL33" i="92"/>
  <c r="AQ38" i="92"/>
  <c r="H39" i="64" s="1"/>
  <c r="AD38" i="92"/>
  <c r="AP38" i="92"/>
  <c r="D40" i="64" s="1"/>
  <c r="AN38" i="92"/>
  <c r="AB38" i="92"/>
  <c r="AM38" i="92"/>
  <c r="Z38" i="92"/>
  <c r="AL38" i="92"/>
  <c r="Y38" i="92"/>
  <c r="AK38" i="92"/>
  <c r="X38" i="92"/>
  <c r="AR38" i="92"/>
  <c r="AJ38" i="92"/>
  <c r="L40" i="64" s="1"/>
  <c r="W38" i="92"/>
  <c r="V38" i="92"/>
  <c r="AJ44" i="92"/>
  <c r="L45" i="64" s="1"/>
  <c r="W44" i="92"/>
  <c r="AR44" i="92"/>
  <c r="V44" i="92"/>
  <c r="AQ44" i="92"/>
  <c r="H45" i="64" s="1"/>
  <c r="AD44" i="92"/>
  <c r="AP44" i="92"/>
  <c r="D45" i="64" s="1"/>
  <c r="AN44" i="92"/>
  <c r="AB44" i="92"/>
  <c r="AM44" i="92"/>
  <c r="Z44" i="92"/>
  <c r="AL44" i="92"/>
  <c r="AK44" i="92"/>
  <c r="Y44" i="92"/>
  <c r="X44" i="92"/>
  <c r="BL41" i="92" l="1"/>
  <c r="L43" i="64"/>
  <c r="BS41" i="92"/>
  <c r="H42" i="64"/>
  <c r="AX41" i="92"/>
  <c r="G23" i="95" s="1"/>
  <c r="BR41" i="92"/>
  <c r="E23" i="95" s="1"/>
  <c r="D22" i="64"/>
  <c r="E12" i="156"/>
  <c r="K13" i="64"/>
  <c r="D12" i="156" s="1"/>
  <c r="D14" i="155"/>
  <c r="AY696" i="1"/>
  <c r="AZ696" i="1"/>
  <c r="R696" i="1"/>
  <c r="S696" i="1" s="1"/>
  <c r="AZ38" i="92"/>
  <c r="BR33" i="92"/>
  <c r="BN13" i="92"/>
  <c r="BN17" i="92"/>
  <c r="AX17" i="92"/>
  <c r="BT35" i="92"/>
  <c r="BO35" i="92"/>
  <c r="BA45" i="92"/>
  <c r="BS45" i="92"/>
  <c r="AX24" i="92"/>
  <c r="AY30" i="92"/>
  <c r="BB30" i="92"/>
  <c r="BM15" i="92"/>
  <c r="BA15" i="92"/>
  <c r="BO32" i="92"/>
  <c r="BL32" i="92"/>
  <c r="BS19" i="92"/>
  <c r="BB19" i="92"/>
  <c r="BR40" i="92"/>
  <c r="BM40" i="92"/>
  <c r="BO25" i="92"/>
  <c r="AY25" i="92"/>
  <c r="AZ18" i="92"/>
  <c r="BS18" i="92"/>
  <c r="BS20" i="92"/>
  <c r="BP43" i="92"/>
  <c r="BT43" i="92"/>
  <c r="BR23" i="92"/>
  <c r="BA23" i="92"/>
  <c r="BT26" i="92"/>
  <c r="BD26" i="92"/>
  <c r="AY22" i="92"/>
  <c r="BP22" i="92"/>
  <c r="BT31" i="92"/>
  <c r="BO31" i="92"/>
  <c r="AY42" i="92"/>
  <c r="BD42" i="92"/>
  <c r="BL39" i="92"/>
  <c r="BP39" i="92"/>
  <c r="BF16" i="92"/>
  <c r="BL14" i="92"/>
  <c r="BA14" i="92"/>
  <c r="AY34" i="92"/>
  <c r="BO34" i="92"/>
  <c r="BM21" i="92"/>
  <c r="BS21" i="92"/>
  <c r="BR12" i="92"/>
  <c r="BN37" i="92"/>
  <c r="BS37" i="92"/>
  <c r="BN29" i="92"/>
  <c r="AX29" i="92"/>
  <c r="BW17" i="92"/>
  <c r="BM44" i="92"/>
  <c r="BD44" i="92"/>
  <c r="BN38" i="92"/>
  <c r="BA13" i="92"/>
  <c r="AZ33" i="92"/>
  <c r="BF33" i="92"/>
  <c r="BO36" i="92"/>
  <c r="BL36" i="92"/>
  <c r="BP13" i="92"/>
  <c r="AX13" i="92"/>
  <c r="BR17" i="92"/>
  <c r="BT17" i="92"/>
  <c r="AY35" i="92"/>
  <c r="BD35" i="92"/>
  <c r="BN45" i="92"/>
  <c r="BD24" i="92"/>
  <c r="BT24" i="92"/>
  <c r="BL30" i="92"/>
  <c r="BO30" i="92"/>
  <c r="BR15" i="92"/>
  <c r="BN15" i="92"/>
  <c r="BP32" i="92"/>
  <c r="AZ32" i="92"/>
  <c r="AZ19" i="92"/>
  <c r="BO19" i="92"/>
  <c r="BF40" i="92"/>
  <c r="BA40" i="92"/>
  <c r="BD25" i="92"/>
  <c r="BL25" i="92"/>
  <c r="BM18" i="92"/>
  <c r="BP20" i="92"/>
  <c r="BT20" i="92"/>
  <c r="BB43" i="92"/>
  <c r="AY43" i="92"/>
  <c r="BS23" i="92"/>
  <c r="BN23" i="92"/>
  <c r="AX26" i="92"/>
  <c r="BP26" i="92"/>
  <c r="AZ22" i="92"/>
  <c r="BR22" i="92"/>
  <c r="AY31" i="92"/>
  <c r="BD31" i="92"/>
  <c r="BL42" i="92"/>
  <c r="BP42" i="92"/>
  <c r="AZ39" i="92"/>
  <c r="BB16" i="92"/>
  <c r="BS16" i="92"/>
  <c r="BM14" i="92"/>
  <c r="BN14" i="92"/>
  <c r="BL34" i="92"/>
  <c r="BD34" i="92"/>
  <c r="BN21" i="92"/>
  <c r="AX21" i="92"/>
  <c r="BD12" i="92"/>
  <c r="G24" i="95" s="1"/>
  <c r="AZ37" i="92"/>
  <c r="AX37" i="92"/>
  <c r="BB29" i="92"/>
  <c r="BT29" i="92"/>
  <c r="BV17" i="92"/>
  <c r="BN44" i="92"/>
  <c r="BL44" i="92"/>
  <c r="BD36" i="92"/>
  <c r="BP44" i="92"/>
  <c r="BB38" i="92"/>
  <c r="BR44" i="92"/>
  <c r="BS33" i="92"/>
  <c r="BP36" i="92"/>
  <c r="AZ36" i="92"/>
  <c r="BB13" i="92"/>
  <c r="BT13" i="92"/>
  <c r="BB17" i="92"/>
  <c r="AY17" i="92"/>
  <c r="BL35" i="92"/>
  <c r="BP35" i="92"/>
  <c r="BL45" i="92"/>
  <c r="BB45" i="92"/>
  <c r="BO24" i="92"/>
  <c r="AY24" i="92"/>
  <c r="BT30" i="92"/>
  <c r="BD30" i="92"/>
  <c r="BS15" i="92"/>
  <c r="BB15" i="92"/>
  <c r="BR32" i="92"/>
  <c r="BM32" i="92"/>
  <c r="AX19" i="92"/>
  <c r="BD19" i="92"/>
  <c r="BS40" i="92"/>
  <c r="BN40" i="92"/>
  <c r="BP25" i="92"/>
  <c r="BB18" i="92"/>
  <c r="BA18" i="92"/>
  <c r="AX20" i="92"/>
  <c r="AY20" i="92"/>
  <c r="BD43" i="92"/>
  <c r="BL43" i="92"/>
  <c r="AX23" i="92"/>
  <c r="BB23" i="92"/>
  <c r="AZ26" i="92"/>
  <c r="BR26" i="92"/>
  <c r="BM22" i="92"/>
  <c r="BF22" i="92"/>
  <c r="BL31" i="92"/>
  <c r="BP31" i="92"/>
  <c r="AZ42" i="92"/>
  <c r="BF39" i="92"/>
  <c r="BM39" i="92"/>
  <c r="BD16" i="92"/>
  <c r="AY16" i="92"/>
  <c r="BO14" i="92"/>
  <c r="BD14" i="92"/>
  <c r="BT34" i="92"/>
  <c r="BP34" i="92"/>
  <c r="BB21" i="92"/>
  <c r="BT21" i="92"/>
  <c r="BT12" i="92"/>
  <c r="BB37" i="92"/>
  <c r="BT37" i="92"/>
  <c r="BO29" i="92"/>
  <c r="AY29" i="92"/>
  <c r="BU17" i="92"/>
  <c r="BR38" i="92"/>
  <c r="BN33" i="92"/>
  <c r="AY36" i="92"/>
  <c r="AX38" i="92"/>
  <c r="AZ44" i="92"/>
  <c r="AY38" i="92"/>
  <c r="BO38" i="92"/>
  <c r="BA33" i="92"/>
  <c r="BA44" i="92"/>
  <c r="BF44" i="92"/>
  <c r="BL38" i="92"/>
  <c r="BD38" i="92"/>
  <c r="BM33" i="92"/>
  <c r="AX33" i="92"/>
  <c r="BR36" i="92"/>
  <c r="BM36" i="92"/>
  <c r="BR13" i="92"/>
  <c r="AY13" i="92"/>
  <c r="BO17" i="92"/>
  <c r="BL17" i="92"/>
  <c r="AZ35" i="92"/>
  <c r="BT45" i="92"/>
  <c r="BO45" i="92"/>
  <c r="BP24" i="92"/>
  <c r="BL24" i="92"/>
  <c r="AX30" i="92"/>
  <c r="G20" i="95" s="1"/>
  <c r="BP30" i="92"/>
  <c r="AX15" i="92"/>
  <c r="BO15" i="92"/>
  <c r="BF32" i="92"/>
  <c r="BA32" i="92"/>
  <c r="BT19" i="92"/>
  <c r="BP19" i="92"/>
  <c r="AX40" i="92"/>
  <c r="AZ25" i="92"/>
  <c r="BR25" i="92"/>
  <c r="BL18" i="92"/>
  <c r="BN18" i="92"/>
  <c r="BB20" i="92"/>
  <c r="BL20" i="92"/>
  <c r="BO43" i="92"/>
  <c r="AZ43" i="92"/>
  <c r="BT23" i="92"/>
  <c r="BO23" i="92"/>
  <c r="BM26" i="92"/>
  <c r="BF26" i="92"/>
  <c r="BA22" i="92"/>
  <c r="BS22" i="92"/>
  <c r="AZ31" i="92"/>
  <c r="BF42" i="92"/>
  <c r="BM42" i="92"/>
  <c r="BR39" i="92"/>
  <c r="BA39" i="92"/>
  <c r="BO16" i="92"/>
  <c r="BL16" i="92"/>
  <c r="AX14" i="92"/>
  <c r="G18" i="95" s="1"/>
  <c r="BP14" i="92"/>
  <c r="AZ34" i="92"/>
  <c r="BR34" i="92"/>
  <c r="BO21" i="92"/>
  <c r="AY21" i="92"/>
  <c r="BF12" i="92"/>
  <c r="BO37" i="92"/>
  <c r="AY37" i="92"/>
  <c r="BD29" i="92"/>
  <c r="BL29" i="92"/>
  <c r="BJ17" i="92"/>
  <c r="BS44" i="92"/>
  <c r="BT38" i="92"/>
  <c r="BP38" i="92"/>
  <c r="BB33" i="92"/>
  <c r="BT33" i="92"/>
  <c r="BF36" i="92"/>
  <c r="BA36" i="92"/>
  <c r="BD13" i="92"/>
  <c r="BL13" i="92"/>
  <c r="BD17" i="92"/>
  <c r="BF35" i="92"/>
  <c r="BM35" i="92"/>
  <c r="AX45" i="92"/>
  <c r="BD45" i="92"/>
  <c r="BB24" i="92"/>
  <c r="AZ24" i="92"/>
  <c r="AZ30" i="92"/>
  <c r="BR30" i="92"/>
  <c r="BT15" i="92"/>
  <c r="BD15" i="92"/>
  <c r="BS32" i="92"/>
  <c r="BN32" i="92"/>
  <c r="AY19" i="92"/>
  <c r="BP40" i="92"/>
  <c r="BT40" i="92"/>
  <c r="BA25" i="92"/>
  <c r="BF25" i="92"/>
  <c r="BO18" i="92"/>
  <c r="BD18" i="92"/>
  <c r="BD20" i="92"/>
  <c r="AZ20" i="92"/>
  <c r="BR43" i="92"/>
  <c r="BM43" i="92"/>
  <c r="AY23" i="92"/>
  <c r="BD23" i="92"/>
  <c r="BA26" i="92"/>
  <c r="BS26" i="92"/>
  <c r="BN22" i="92"/>
  <c r="BS31" i="92"/>
  <c r="BM31" i="92"/>
  <c r="BR42" i="92"/>
  <c r="BA42" i="92"/>
  <c r="BS39" i="92"/>
  <c r="BN39" i="92"/>
  <c r="BP16" i="92"/>
  <c r="AZ16" i="92"/>
  <c r="BT14" i="92"/>
  <c r="BR14" i="92"/>
  <c r="BM34" i="92"/>
  <c r="BF34" i="92"/>
  <c r="BD21" i="92"/>
  <c r="BL21" i="92"/>
  <c r="BM12" i="92"/>
  <c r="BD37" i="92"/>
  <c r="BL37" i="92"/>
  <c r="BP29" i="92"/>
  <c r="BI17" i="92"/>
  <c r="AX44" i="92"/>
  <c r="BS36" i="92"/>
  <c r="BN36" i="92"/>
  <c r="BS13" i="92"/>
  <c r="AZ17" i="92"/>
  <c r="BP17" i="92"/>
  <c r="BR35" i="92"/>
  <c r="BA35" i="92"/>
  <c r="AY45" i="92"/>
  <c r="BP45" i="92"/>
  <c r="BR24" i="92"/>
  <c r="BM24" i="92"/>
  <c r="BM30" i="92"/>
  <c r="BF30" i="92"/>
  <c r="AZ15" i="92"/>
  <c r="BP15" i="92"/>
  <c r="AX32" i="92"/>
  <c r="BF19" i="92"/>
  <c r="BL19" i="92"/>
  <c r="BB40" i="92"/>
  <c r="AY40" i="92"/>
  <c r="BM25" i="92"/>
  <c r="BS25" i="92"/>
  <c r="BT18" i="92"/>
  <c r="BP18" i="92"/>
  <c r="BO20" i="92"/>
  <c r="BM20" i="92"/>
  <c r="BF43" i="92"/>
  <c r="BA43" i="92"/>
  <c r="BL23" i="92"/>
  <c r="E33" i="95" s="1"/>
  <c r="BP23" i="92"/>
  <c r="BN26" i="92"/>
  <c r="BL22" i="92"/>
  <c r="E15" i="95" s="1"/>
  <c r="BB22" i="92"/>
  <c r="BF31" i="92"/>
  <c r="BA31" i="92"/>
  <c r="BS42" i="92"/>
  <c r="BN42" i="92"/>
  <c r="AX39" i="92"/>
  <c r="BB39" i="92"/>
  <c r="BR16" i="92"/>
  <c r="BM16" i="92"/>
  <c r="AY14" i="92"/>
  <c r="BF14" i="92"/>
  <c r="BA34" i="92"/>
  <c r="BS34" i="92"/>
  <c r="BP21" i="92"/>
  <c r="BP12" i="92"/>
  <c r="BN12" i="92"/>
  <c r="BP37" i="92"/>
  <c r="AZ29" i="92"/>
  <c r="BR29" i="92"/>
  <c r="BE17" i="92"/>
  <c r="BH17" i="92"/>
  <c r="AY33" i="92"/>
  <c r="BT44" i="92"/>
  <c r="BM38" i="92"/>
  <c r="BF38" i="92"/>
  <c r="BD33" i="92"/>
  <c r="BL33" i="92"/>
  <c r="AX36" i="92"/>
  <c r="G28" i="95" s="1"/>
  <c r="AZ13" i="92"/>
  <c r="BF13" i="92"/>
  <c r="BA17" i="92"/>
  <c r="BF17" i="92"/>
  <c r="BS35" i="92"/>
  <c r="BN35" i="92"/>
  <c r="AZ45" i="92"/>
  <c r="BR45" i="92"/>
  <c r="BF24" i="92"/>
  <c r="BA24" i="92"/>
  <c r="BA30" i="92"/>
  <c r="BS30" i="92"/>
  <c r="AY15" i="92"/>
  <c r="BB32" i="92"/>
  <c r="BT32" i="92"/>
  <c r="BM19" i="92"/>
  <c r="BA19" i="92"/>
  <c r="BD40" i="92"/>
  <c r="BL40" i="92"/>
  <c r="BN25" i="92"/>
  <c r="AX25" i="92"/>
  <c r="G32" i="95" s="1"/>
  <c r="AX18" i="92"/>
  <c r="BR18" i="92"/>
  <c r="BR20" i="92"/>
  <c r="BA20" i="92"/>
  <c r="BS43" i="92"/>
  <c r="BN43" i="92"/>
  <c r="AZ23" i="92"/>
  <c r="AY26" i="92"/>
  <c r="BB26" i="92"/>
  <c r="BT22" i="92"/>
  <c r="BO22" i="92"/>
  <c r="BR31" i="92"/>
  <c r="BN31" i="92"/>
  <c r="AX42" i="92"/>
  <c r="G31" i="95" s="1"/>
  <c r="BB42" i="92"/>
  <c r="BT39" i="92"/>
  <c r="BO39" i="92"/>
  <c r="AX16" i="92"/>
  <c r="BA16" i="92"/>
  <c r="AZ14" i="92"/>
  <c r="BS14" i="92"/>
  <c r="BN34" i="92"/>
  <c r="AZ21" i="92"/>
  <c r="BR21" i="92"/>
  <c r="BL12" i="92"/>
  <c r="E24" i="95" s="1"/>
  <c r="BA37" i="92"/>
  <c r="BR37" i="92"/>
  <c r="BA29" i="92"/>
  <c r="BF29" i="92"/>
  <c r="BG17" i="92"/>
  <c r="BO33" i="92"/>
  <c r="BB44" i="92"/>
  <c r="BO44" i="92"/>
  <c r="AY44" i="92"/>
  <c r="BA38" i="92"/>
  <c r="BS38" i="92"/>
  <c r="BP33" i="92"/>
  <c r="BB36" i="92"/>
  <c r="BT36" i="92"/>
  <c r="BO13" i="92"/>
  <c r="BM13" i="92"/>
  <c r="BM17" i="92"/>
  <c r="BS17" i="92"/>
  <c r="AX35" i="92"/>
  <c r="G40" i="95" s="1"/>
  <c r="BB35" i="92"/>
  <c r="BM45" i="92"/>
  <c r="BF45" i="92"/>
  <c r="BS24" i="92"/>
  <c r="BN24" i="92"/>
  <c r="BN30" i="92"/>
  <c r="BF15" i="92"/>
  <c r="BL15" i="92"/>
  <c r="E16" i="95" s="1"/>
  <c r="BD32" i="92"/>
  <c r="AY32" i="92"/>
  <c r="BR19" i="92"/>
  <c r="BN19" i="92"/>
  <c r="BO40" i="92"/>
  <c r="AZ40" i="92"/>
  <c r="BB25" i="92"/>
  <c r="BT25" i="92"/>
  <c r="AY18" i="92"/>
  <c r="BF18" i="92"/>
  <c r="BF20" i="92"/>
  <c r="BN20" i="92"/>
  <c r="AX43" i="92"/>
  <c r="G17" i="95" s="1"/>
  <c r="BF23" i="92"/>
  <c r="BM23" i="92"/>
  <c r="BL26" i="92"/>
  <c r="E13" i="95" s="1"/>
  <c r="BO26" i="92"/>
  <c r="AX22" i="92"/>
  <c r="BD22" i="92"/>
  <c r="AX31" i="92"/>
  <c r="G12" i="95" s="1"/>
  <c r="BB31" i="92"/>
  <c r="BT42" i="92"/>
  <c r="BO42" i="92"/>
  <c r="AY39" i="92"/>
  <c r="BD39" i="92"/>
  <c r="BT16" i="92"/>
  <c r="BN16" i="92"/>
  <c r="BB14" i="92"/>
  <c r="AX34" i="92"/>
  <c r="G27" i="95" s="1"/>
  <c r="BB34" i="92"/>
  <c r="BA21" i="92"/>
  <c r="BF21" i="92"/>
  <c r="BO12" i="92"/>
  <c r="BM37" i="92"/>
  <c r="BF37" i="92"/>
  <c r="BM29" i="92"/>
  <c r="BS29" i="92"/>
  <c r="BX17" i="92"/>
  <c r="W51" i="92"/>
  <c r="V51" i="92"/>
  <c r="Z51" i="92"/>
  <c r="AB51" i="92"/>
  <c r="AC51" i="92"/>
  <c r="X51" i="92"/>
  <c r="AD51" i="92"/>
  <c r="Y51" i="92"/>
  <c r="AN51" i="92"/>
  <c r="AJ51" i="92"/>
  <c r="AM51" i="92"/>
  <c r="AP51" i="92"/>
  <c r="AQ51" i="92"/>
  <c r="AR51" i="92"/>
  <c r="AK51" i="92"/>
  <c r="AL51" i="92"/>
  <c r="AA35" i="92"/>
  <c r="AO45" i="92"/>
  <c r="AA24" i="92"/>
  <c r="AA30" i="92"/>
  <c r="AO30" i="92"/>
  <c r="AA22" i="92"/>
  <c r="AA14" i="92"/>
  <c r="AA12" i="92"/>
  <c r="AA44" i="92"/>
  <c r="AO13" i="92"/>
  <c r="AA41" i="92"/>
  <c r="BC41" i="92" s="1"/>
  <c r="AA15" i="92"/>
  <c r="AO19" i="92"/>
  <c r="AA19" i="92"/>
  <c r="AA21" i="92"/>
  <c r="AA37" i="92"/>
  <c r="AO44" i="92"/>
  <c r="AA38" i="92"/>
  <c r="AA33" i="92"/>
  <c r="AA36" i="92"/>
  <c r="AA45" i="92"/>
  <c r="AO15" i="92"/>
  <c r="AO32" i="92"/>
  <c r="AO40" i="92"/>
  <c r="AA18" i="92"/>
  <c r="AA20" i="92"/>
  <c r="AO43" i="92"/>
  <c r="AO23" i="92"/>
  <c r="AO22" i="92"/>
  <c r="AO31" i="92"/>
  <c r="AA42" i="92"/>
  <c r="AO39" i="92"/>
  <c r="AO16" i="92"/>
  <c r="AA17" i="92"/>
  <c r="AO35" i="92"/>
  <c r="AO41" i="92"/>
  <c r="BQ41" i="92" s="1"/>
  <c r="AO24" i="92"/>
  <c r="AA26" i="92"/>
  <c r="AO14" i="92"/>
  <c r="AO21" i="92"/>
  <c r="AO29" i="92"/>
  <c r="AO38" i="92"/>
  <c r="AO17" i="92"/>
  <c r="AO18" i="92"/>
  <c r="AA16" i="92"/>
  <c r="AO34" i="92"/>
  <c r="AO12" i="92"/>
  <c r="AA29" i="92"/>
  <c r="AA13" i="92"/>
  <c r="AO25" i="92"/>
  <c r="AO33" i="92"/>
  <c r="AO36" i="92"/>
  <c r="AA32" i="92"/>
  <c r="AA40" i="92"/>
  <c r="AA25" i="92"/>
  <c r="AO20" i="92"/>
  <c r="AA43" i="92"/>
  <c r="AA23" i="92"/>
  <c r="AO26" i="92"/>
  <c r="AA31" i="92"/>
  <c r="AO42" i="92"/>
  <c r="AA39" i="92"/>
  <c r="AA34" i="92"/>
  <c r="AO37" i="92"/>
  <c r="J127" i="24"/>
  <c r="AN1016" i="1" s="1"/>
  <c r="G19" i="95" l="1"/>
  <c r="G38" i="95"/>
  <c r="G13" i="95"/>
  <c r="F13" i="95" s="1"/>
  <c r="E37" i="95"/>
  <c r="G42" i="95"/>
  <c r="G26" i="95"/>
  <c r="F23" i="95"/>
  <c r="G30" i="95"/>
  <c r="E14" i="95"/>
  <c r="E22" i="95"/>
  <c r="E19" i="95"/>
  <c r="G37" i="95"/>
  <c r="G16" i="95"/>
  <c r="F16" i="95" s="1"/>
  <c r="E44" i="95"/>
  <c r="G41" i="95"/>
  <c r="E40" i="95"/>
  <c r="F40" i="95" s="1"/>
  <c r="E38" i="95"/>
  <c r="F38" i="95" s="1"/>
  <c r="E31" i="95"/>
  <c r="F31" i="95" s="1"/>
  <c r="G14" i="95"/>
  <c r="E18" i="95"/>
  <c r="E30" i="95"/>
  <c r="G15" i="95"/>
  <c r="F15" i="95" s="1"/>
  <c r="G34" i="95"/>
  <c r="E43" i="95"/>
  <c r="E12" i="95"/>
  <c r="F12" i="95" s="1"/>
  <c r="G33" i="95"/>
  <c r="F33" i="95" s="1"/>
  <c r="E42" i="95"/>
  <c r="F42" i="95" s="1"/>
  <c r="F24" i="95"/>
  <c r="E20" i="95"/>
  <c r="F20" i="95" s="1"/>
  <c r="E34" i="95"/>
  <c r="G44" i="95"/>
  <c r="E26" i="95"/>
  <c r="F26" i="95" s="1"/>
  <c r="E36" i="95"/>
  <c r="E29" i="95"/>
  <c r="F18" i="95"/>
  <c r="E41" i="95"/>
  <c r="E17" i="95"/>
  <c r="F17" i="95" s="1"/>
  <c r="G22" i="95"/>
  <c r="G36" i="95"/>
  <c r="G29" i="95"/>
  <c r="E27" i="95"/>
  <c r="F27" i="95" s="1"/>
  <c r="E32" i="95"/>
  <c r="F32" i="95" s="1"/>
  <c r="E28" i="95"/>
  <c r="G43" i="95"/>
  <c r="O34" i="111"/>
  <c r="R34" i="111" s="1"/>
  <c r="E21" i="117"/>
  <c r="T696" i="1"/>
  <c r="AV696" i="1" s="1"/>
  <c r="N34" i="109"/>
  <c r="Q34" i="109" s="1"/>
  <c r="R34" i="15"/>
  <c r="BQ17" i="92"/>
  <c r="I19" i="95"/>
  <c r="D42" i="95"/>
  <c r="H42" i="95"/>
  <c r="D37" i="95"/>
  <c r="H37" i="95"/>
  <c r="H20" i="95"/>
  <c r="D20" i="95"/>
  <c r="I41" i="95"/>
  <c r="D41" i="95"/>
  <c r="H41" i="95"/>
  <c r="D26" i="95"/>
  <c r="H26" i="95"/>
  <c r="I28" i="95"/>
  <c r="I27" i="95"/>
  <c r="H44" i="95"/>
  <c r="D44" i="95"/>
  <c r="BQ33" i="92"/>
  <c r="C23" i="95"/>
  <c r="BB51" i="92"/>
  <c r="D31" i="95"/>
  <c r="H31" i="95"/>
  <c r="BL51" i="92"/>
  <c r="BC44" i="92"/>
  <c r="C38" i="95" s="1"/>
  <c r="I37" i="95"/>
  <c r="D34" i="95"/>
  <c r="H34" i="95"/>
  <c r="D24" i="95"/>
  <c r="I24" i="95"/>
  <c r="I12" i="95"/>
  <c r="I31" i="95"/>
  <c r="BQ35" i="92"/>
  <c r="BC43" i="92"/>
  <c r="BC18" i="92"/>
  <c r="BP51" i="92"/>
  <c r="AY51" i="92"/>
  <c r="I15" i="95"/>
  <c r="H19" i="95"/>
  <c r="D19" i="95"/>
  <c r="H28" i="95"/>
  <c r="D28" i="95"/>
  <c r="I16" i="95"/>
  <c r="I43" i="95"/>
  <c r="D33" i="95"/>
  <c r="H33" i="95"/>
  <c r="H22" i="95"/>
  <c r="D22" i="95"/>
  <c r="I20" i="95"/>
  <c r="BQ37" i="92"/>
  <c r="BQ20" i="92"/>
  <c r="BC29" i="92"/>
  <c r="C43" i="95" s="1"/>
  <c r="BQ21" i="92"/>
  <c r="BQ39" i="92"/>
  <c r="BQ40" i="92"/>
  <c r="BC37" i="92"/>
  <c r="C36" i="95" s="1"/>
  <c r="BC12" i="92"/>
  <c r="BN51" i="92"/>
  <c r="BA51" i="92"/>
  <c r="BQ26" i="92"/>
  <c r="BC33" i="92"/>
  <c r="BC24" i="92"/>
  <c r="BQ25" i="92"/>
  <c r="BC17" i="92"/>
  <c r="BQ13" i="92"/>
  <c r="D15" i="95"/>
  <c r="H15" i="95"/>
  <c r="H32" i="95"/>
  <c r="D32" i="95"/>
  <c r="H18" i="95"/>
  <c r="D18" i="95"/>
  <c r="H16" i="95"/>
  <c r="D16" i="95"/>
  <c r="H29" i="95"/>
  <c r="D29" i="95"/>
  <c r="D13" i="95"/>
  <c r="H13" i="95"/>
  <c r="BC13" i="92"/>
  <c r="BQ29" i="92"/>
  <c r="BQ44" i="92"/>
  <c r="BC25" i="92"/>
  <c r="BC42" i="92"/>
  <c r="BC14" i="92"/>
  <c r="BF51" i="92"/>
  <c r="H40" i="95"/>
  <c r="D40" i="95"/>
  <c r="I23" i="95"/>
  <c r="I29" i="95"/>
  <c r="I33" i="95"/>
  <c r="D23" i="95"/>
  <c r="H23" i="95"/>
  <c r="BC39" i="92"/>
  <c r="BC40" i="92"/>
  <c r="BQ34" i="92"/>
  <c r="BC26" i="92"/>
  <c r="BQ31" i="92"/>
  <c r="BQ15" i="92"/>
  <c r="BC19" i="92"/>
  <c r="BC22" i="92"/>
  <c r="BT51" i="92"/>
  <c r="AZ51" i="92"/>
  <c r="BQ43" i="92"/>
  <c r="BO51" i="92"/>
  <c r="D12" i="95"/>
  <c r="H12" i="95"/>
  <c r="BC23" i="92"/>
  <c r="BQ38" i="92"/>
  <c r="BC20" i="92"/>
  <c r="BC38" i="92"/>
  <c r="BQ45" i="92"/>
  <c r="BQ16" i="92"/>
  <c r="BC35" i="92"/>
  <c r="BC34" i="92"/>
  <c r="BQ12" i="92"/>
  <c r="BQ14" i="92"/>
  <c r="BQ32" i="92"/>
  <c r="BC21" i="92"/>
  <c r="BM51" i="92"/>
  <c r="BQ42" i="92"/>
  <c r="BC32" i="92"/>
  <c r="BC16" i="92"/>
  <c r="BQ24" i="92"/>
  <c r="BQ22" i="92"/>
  <c r="BC45" i="92"/>
  <c r="BQ19" i="92"/>
  <c r="BQ30" i="92"/>
  <c r="BS51" i="92"/>
  <c r="BE51" i="92"/>
  <c r="I30" i="95"/>
  <c r="H17" i="95"/>
  <c r="D17" i="95"/>
  <c r="D38" i="95"/>
  <c r="H38" i="95"/>
  <c r="I42" i="95"/>
  <c r="I14" i="95"/>
  <c r="I18" i="95"/>
  <c r="I17" i="95"/>
  <c r="I26" i="95"/>
  <c r="I32" i="95"/>
  <c r="I44" i="95"/>
  <c r="I40" i="95"/>
  <c r="H14" i="95"/>
  <c r="D14" i="95"/>
  <c r="I38" i="95"/>
  <c r="D43" i="95"/>
  <c r="H43" i="95"/>
  <c r="I13" i="95"/>
  <c r="AX51" i="92"/>
  <c r="H27" i="95"/>
  <c r="D27" i="95"/>
  <c r="I34" i="95"/>
  <c r="H30" i="95"/>
  <c r="D30" i="95"/>
  <c r="I36" i="95"/>
  <c r="I22" i="95"/>
  <c r="H36" i="95"/>
  <c r="D36" i="95"/>
  <c r="BC31" i="92"/>
  <c r="BQ36" i="92"/>
  <c r="BQ18" i="92"/>
  <c r="BQ23" i="92"/>
  <c r="BC36" i="92"/>
  <c r="BC15" i="92"/>
  <c r="BC30" i="92"/>
  <c r="BR51" i="92"/>
  <c r="BD51" i="92"/>
  <c r="AA51" i="92"/>
  <c r="AO51" i="92"/>
  <c r="J123" i="24"/>
  <c r="AN1225" i="1" s="1"/>
  <c r="J13" i="24"/>
  <c r="J388" i="24"/>
  <c r="AN559" i="1" s="1"/>
  <c r="J124" i="24"/>
  <c r="J389" i="24"/>
  <c r="AN761" i="1" s="1"/>
  <c r="J14" i="24"/>
  <c r="AN1152" i="1"/>
  <c r="J392" i="24"/>
  <c r="AN873" i="1" s="1"/>
  <c r="J15" i="24"/>
  <c r="AN1114" i="1" s="1"/>
  <c r="AN1230" i="1"/>
  <c r="J16" i="24"/>
  <c r="AN764" i="1" s="1"/>
  <c r="J125" i="24"/>
  <c r="AN1374" i="1" s="1"/>
  <c r="J126" i="24"/>
  <c r="AN243" i="1" s="1"/>
  <c r="J396" i="24"/>
  <c r="AN744" i="1" s="1"/>
  <c r="J17" i="24"/>
  <c r="AN128" i="1" s="1"/>
  <c r="AN1232" i="1"/>
  <c r="J398" i="24"/>
  <c r="AN546" i="1" s="1"/>
  <c r="J399" i="24"/>
  <c r="J18" i="24"/>
  <c r="AN417" i="1" s="1"/>
  <c r="J19" i="24"/>
  <c r="J400" i="24"/>
  <c r="J128" i="24"/>
  <c r="J401" i="24"/>
  <c r="AN844" i="1" s="1"/>
  <c r="J129" i="24"/>
  <c r="J404" i="24"/>
  <c r="AN946" i="1" s="1"/>
  <c r="J405" i="24"/>
  <c r="AN54" i="1" s="1"/>
  <c r="J406" i="24"/>
  <c r="J20" i="24"/>
  <c r="AN129" i="1" s="1"/>
  <c r="J130" i="24"/>
  <c r="J21" i="24"/>
  <c r="J22" i="24"/>
  <c r="J23" i="24"/>
  <c r="AN765" i="1" s="1"/>
  <c r="J131" i="24"/>
  <c r="AN8" i="1" s="1"/>
  <c r="J132" i="24"/>
  <c r="J407" i="24"/>
  <c r="J133" i="24"/>
  <c r="AN9" i="1" s="1"/>
  <c r="J134" i="24"/>
  <c r="AN10" i="1" s="1"/>
  <c r="J135" i="24"/>
  <c r="AN1012" i="1" s="1"/>
  <c r="J408" i="24"/>
  <c r="AN705" i="1" s="1"/>
  <c r="J24" i="24"/>
  <c r="AN23" i="1" s="1"/>
  <c r="J136" i="24"/>
  <c r="AN650" i="1" s="1"/>
  <c r="J25" i="24"/>
  <c r="AN120" i="1" s="1"/>
  <c r="J412" i="24"/>
  <c r="AN343" i="1" s="1"/>
  <c r="J12" i="24"/>
  <c r="H274" i="24"/>
  <c r="H346" i="24"/>
  <c r="H96" i="24"/>
  <c r="H97" i="24"/>
  <c r="H77" i="24"/>
  <c r="H91" i="24"/>
  <c r="H93" i="24"/>
  <c r="H257" i="24"/>
  <c r="H249" i="24"/>
  <c r="H278" i="24"/>
  <c r="H238" i="24"/>
  <c r="H267" i="24"/>
  <c r="H351" i="24"/>
  <c r="H291" i="24"/>
  <c r="H268" i="24"/>
  <c r="H255" i="24"/>
  <c r="H123" i="24"/>
  <c r="H358" i="24"/>
  <c r="H85" i="24"/>
  <c r="H169" i="24"/>
  <c r="H219" i="24"/>
  <c r="H159" i="24"/>
  <c r="H271" i="24"/>
  <c r="H418" i="24"/>
  <c r="H420" i="24"/>
  <c r="H55" i="24"/>
  <c r="H95" i="24"/>
  <c r="H160" i="24"/>
  <c r="H171" i="24"/>
  <c r="H434" i="24"/>
  <c r="H74" i="24"/>
  <c r="H224" i="24"/>
  <c r="H254" i="24"/>
  <c r="H87" i="24"/>
  <c r="H48" i="24"/>
  <c r="H225" i="24"/>
  <c r="H233" i="24"/>
  <c r="H13" i="24"/>
  <c r="H230" i="24"/>
  <c r="H177" i="24"/>
  <c r="H98" i="24"/>
  <c r="H258" i="24"/>
  <c r="H264" i="24"/>
  <c r="H373" i="24"/>
  <c r="H81" i="24"/>
  <c r="H273" i="24"/>
  <c r="H275" i="24"/>
  <c r="H345" i="24"/>
  <c r="H175" i="24"/>
  <c r="H437" i="24"/>
  <c r="H457" i="24"/>
  <c r="H30" i="24"/>
  <c r="H445" i="24"/>
  <c r="H388" i="24"/>
  <c r="H104" i="24"/>
  <c r="H200" i="24"/>
  <c r="H70" i="24"/>
  <c r="H381" i="24"/>
  <c r="H332" i="24"/>
  <c r="H185" i="24"/>
  <c r="H215" i="24"/>
  <c r="H108" i="24"/>
  <c r="H449" i="24"/>
  <c r="H172" i="24"/>
  <c r="H370" i="24"/>
  <c r="H382" i="24"/>
  <c r="H436" i="24"/>
  <c r="H124" i="24"/>
  <c r="H389" i="24"/>
  <c r="H163" i="24"/>
  <c r="H50" i="24"/>
  <c r="H438" i="24"/>
  <c r="H282" i="24"/>
  <c r="H14" i="24"/>
  <c r="H45" i="24"/>
  <c r="H352" i="24"/>
  <c r="H356" i="24"/>
  <c r="H76" i="24"/>
  <c r="H187" i="24"/>
  <c r="H236" i="24"/>
  <c r="H207" i="24"/>
  <c r="H109" i="24"/>
  <c r="H432" i="24"/>
  <c r="H107" i="24"/>
  <c r="H392" i="24"/>
  <c r="H470" i="24"/>
  <c r="H347" i="24"/>
  <c r="H357" i="24"/>
  <c r="H15" i="24"/>
  <c r="H395" i="24"/>
  <c r="H16" i="24"/>
  <c r="H371" i="24"/>
  <c r="H439" i="24"/>
  <c r="H53" i="24"/>
  <c r="H448" i="24"/>
  <c r="H125" i="24"/>
  <c r="H31" i="24"/>
  <c r="H426" i="24"/>
  <c r="H283" i="24"/>
  <c r="H366" i="24"/>
  <c r="H416" i="24"/>
  <c r="H435" i="24"/>
  <c r="H106" i="24"/>
  <c r="H251" i="24"/>
  <c r="H451" i="24"/>
  <c r="H281" i="24"/>
  <c r="H360" i="24"/>
  <c r="H126" i="24"/>
  <c r="H100" i="24"/>
  <c r="H110" i="24"/>
  <c r="H450" i="24"/>
  <c r="H188" i="24"/>
  <c r="H469" i="24"/>
  <c r="H127" i="24"/>
  <c r="H269" i="24"/>
  <c r="H72" i="24"/>
  <c r="H396" i="24"/>
  <c r="H279" i="24"/>
  <c r="H52" i="24"/>
  <c r="H164" i="24"/>
  <c r="H86" i="24"/>
  <c r="H266" i="24"/>
  <c r="H368" i="24"/>
  <c r="H17" i="24"/>
  <c r="H167" i="24"/>
  <c r="H413" i="24"/>
  <c r="H428" i="24"/>
  <c r="H441" i="24"/>
  <c r="H202" i="24"/>
  <c r="H289" i="24"/>
  <c r="H378" i="24"/>
  <c r="H290" i="24"/>
  <c r="H383" i="24"/>
  <c r="H375" i="24"/>
  <c r="H337" i="24"/>
  <c r="H374" i="24"/>
  <c r="H397" i="24"/>
  <c r="H285" i="24"/>
  <c r="H398" i="24"/>
  <c r="H440" i="24"/>
  <c r="H214" i="24"/>
  <c r="H226" i="24"/>
  <c r="H216" i="24"/>
  <c r="H79" i="24"/>
  <c r="H431" i="24"/>
  <c r="H242" i="24"/>
  <c r="H82" i="24"/>
  <c r="H112" i="24"/>
  <c r="H259" i="24"/>
  <c r="H88" i="24"/>
  <c r="H64" i="24"/>
  <c r="H462" i="24"/>
  <c r="H465" i="24"/>
  <c r="H377" i="24"/>
  <c r="H460" i="24"/>
  <c r="H464" i="24"/>
  <c r="H114" i="24"/>
  <c r="H461" i="24"/>
  <c r="H463" i="24"/>
  <c r="H243" i="24"/>
  <c r="H222" i="24"/>
  <c r="H399" i="24"/>
  <c r="H71" i="24"/>
  <c r="H80" i="24"/>
  <c r="H183" i="24"/>
  <c r="H213" i="24"/>
  <c r="H18" i="24"/>
  <c r="H193" i="24"/>
  <c r="H182" i="24"/>
  <c r="H105" i="24"/>
  <c r="H180" i="24"/>
  <c r="H54" i="24"/>
  <c r="H272" i="24"/>
  <c r="H66" i="24"/>
  <c r="H260" i="24"/>
  <c r="H203" i="24"/>
  <c r="H246" i="24"/>
  <c r="H330" i="24"/>
  <c r="H168" i="24"/>
  <c r="H28" i="24"/>
  <c r="H195" i="24"/>
  <c r="H19" i="24"/>
  <c r="H467" i="24"/>
  <c r="H400" i="24"/>
  <c r="H354" i="24"/>
  <c r="H350" i="24"/>
  <c r="H165" i="24"/>
  <c r="H199" i="24"/>
  <c r="H170" i="24"/>
  <c r="H218" i="24"/>
  <c r="H364" i="24"/>
  <c r="H208" i="24"/>
  <c r="H113" i="24"/>
  <c r="H43" i="24"/>
  <c r="H227" i="24"/>
  <c r="H276" i="24"/>
  <c r="H359" i="24"/>
  <c r="H49" i="24"/>
  <c r="H198" i="24"/>
  <c r="H205" i="24"/>
  <c r="H421" i="24"/>
  <c r="H186" i="24"/>
  <c r="H468" i="24"/>
  <c r="H128" i="24"/>
  <c r="H206" i="24"/>
  <c r="H162" i="24"/>
  <c r="H241" i="24"/>
  <c r="H234" i="24"/>
  <c r="H78" i="24"/>
  <c r="H340" i="24"/>
  <c r="H252" i="24"/>
  <c r="H452" i="24"/>
  <c r="H401" i="24"/>
  <c r="H454" i="24"/>
  <c r="H455" i="24"/>
  <c r="H444" i="24"/>
  <c r="H453" i="24"/>
  <c r="H239" i="24"/>
  <c r="H166" i="24"/>
  <c r="H427" i="24"/>
  <c r="H217" i="24"/>
  <c r="H73" i="24"/>
  <c r="H270" i="24"/>
  <c r="H111" i="24"/>
  <c r="H402" i="24"/>
  <c r="H129" i="24"/>
  <c r="H376" i="24"/>
  <c r="H47" i="24"/>
  <c r="H69" i="24"/>
  <c r="H403" i="24"/>
  <c r="H362" i="24"/>
  <c r="H404" i="24"/>
  <c r="H83" i="24"/>
  <c r="H197" i="24"/>
  <c r="H417" i="24"/>
  <c r="H405" i="24"/>
  <c r="H415" i="24"/>
  <c r="H103" i="24"/>
  <c r="H336" i="24"/>
  <c r="H263" i="24"/>
  <c r="H176" i="24"/>
  <c r="H209" i="24"/>
  <c r="H253" i="24"/>
  <c r="H250" i="24"/>
  <c r="H335" i="24"/>
  <c r="H94" i="24"/>
  <c r="H379" i="24"/>
  <c r="H288" i="24"/>
  <c r="H156" i="24"/>
  <c r="H458" i="24"/>
  <c r="H237" i="24"/>
  <c r="H406" i="24"/>
  <c r="H75" i="24"/>
  <c r="H334" i="24"/>
  <c r="H220" i="24"/>
  <c r="H442" i="24"/>
  <c r="H261" i="24"/>
  <c r="H99" i="24"/>
  <c r="H456" i="24"/>
  <c r="H194" i="24"/>
  <c r="H443" i="24"/>
  <c r="H446" i="24"/>
  <c r="H20" i="24"/>
  <c r="H115" i="24"/>
  <c r="H130" i="24"/>
  <c r="H361" i="24"/>
  <c r="H21" i="24"/>
  <c r="H22" i="24"/>
  <c r="H23" i="24"/>
  <c r="H342" i="24"/>
  <c r="H51" i="24"/>
  <c r="H221" i="24"/>
  <c r="H232" i="24"/>
  <c r="H343" i="24"/>
  <c r="H363" i="24"/>
  <c r="H447" i="24"/>
  <c r="H244" i="24"/>
  <c r="H471" i="24"/>
  <c r="H131" i="24"/>
  <c r="H365" i="24"/>
  <c r="H132" i="24"/>
  <c r="H333" i="24"/>
  <c r="H210" i="24"/>
  <c r="H211" i="24"/>
  <c r="H29" i="24"/>
  <c r="H414" i="24"/>
  <c r="H90" i="24"/>
  <c r="H433" i="24"/>
  <c r="H407" i="24"/>
  <c r="H429" i="24"/>
  <c r="H262" i="24"/>
  <c r="H423" i="24"/>
  <c r="H424" i="24"/>
  <c r="H425" i="24"/>
  <c r="H223" i="24"/>
  <c r="H133" i="24"/>
  <c r="H134" i="24"/>
  <c r="H204" i="24"/>
  <c r="H422" i="24"/>
  <c r="H101" i="24"/>
  <c r="H102" i="24"/>
  <c r="H84" i="24"/>
  <c r="H135" i="24"/>
  <c r="H408" i="24"/>
  <c r="H380" i="24"/>
  <c r="H65" i="24"/>
  <c r="H173" i="24"/>
  <c r="H24" i="24"/>
  <c r="H192" i="24"/>
  <c r="H189" i="24"/>
  <c r="H136" i="24"/>
  <c r="H63" i="24"/>
  <c r="H411" i="24"/>
  <c r="H179" i="24"/>
  <c r="H25" i="24"/>
  <c r="H67" i="24"/>
  <c r="F19" i="95" l="1"/>
  <c r="F44" i="95"/>
  <c r="F22" i="95"/>
  <c r="F37" i="95"/>
  <c r="F36" i="95"/>
  <c r="F43" i="95"/>
  <c r="F14" i="95"/>
  <c r="F29" i="95"/>
  <c r="G25" i="95"/>
  <c r="E25" i="95"/>
  <c r="F41" i="95"/>
  <c r="F34" i="95"/>
  <c r="F30" i="95"/>
  <c r="AN364" i="1"/>
  <c r="AN365" i="1"/>
  <c r="AN361" i="1"/>
  <c r="AN106" i="1"/>
  <c r="O54" i="111"/>
  <c r="C21" i="128" s="1"/>
  <c r="AN964" i="1"/>
  <c r="AN965" i="1"/>
  <c r="AN966" i="1"/>
  <c r="AN967" i="1"/>
  <c r="AN1382" i="1"/>
  <c r="AN1375" i="1"/>
  <c r="AN578" i="1"/>
  <c r="AN1216" i="1"/>
  <c r="AN1351" i="1"/>
  <c r="AN1070" i="1"/>
  <c r="AN1069" i="1"/>
  <c r="AN1068" i="1"/>
  <c r="AN1067" i="1"/>
  <c r="AN1066" i="1"/>
  <c r="AN1065" i="1"/>
  <c r="AN1064" i="1"/>
  <c r="AN1352" i="1"/>
  <c r="E21" i="128"/>
  <c r="AN1283" i="1"/>
  <c r="AN4" i="1"/>
  <c r="AN5" i="1"/>
  <c r="AN6" i="1"/>
  <c r="AN7" i="1"/>
  <c r="AN24" i="1"/>
  <c r="AN25" i="1"/>
  <c r="AN36" i="1"/>
  <c r="AN40" i="1"/>
  <c r="AN41" i="1"/>
  <c r="AN42" i="1"/>
  <c r="AN45" i="1"/>
  <c r="AN46" i="1"/>
  <c r="AN51" i="1"/>
  <c r="AN52" i="1"/>
  <c r="AN56" i="1"/>
  <c r="AN57" i="1"/>
  <c r="AN58" i="1"/>
  <c r="AN59" i="1"/>
  <c r="AN64" i="1"/>
  <c r="AN79" i="1"/>
  <c r="AN80" i="1"/>
  <c r="AN81" i="1"/>
  <c r="AN82" i="1"/>
  <c r="AN83" i="1"/>
  <c r="AN89" i="1"/>
  <c r="AN90" i="1"/>
  <c r="AN91" i="1"/>
  <c r="AN92" i="1"/>
  <c r="AN93" i="1"/>
  <c r="AN94" i="1"/>
  <c r="AN95" i="1"/>
  <c r="AN96" i="1"/>
  <c r="AN97" i="1"/>
  <c r="AN98" i="1"/>
  <c r="AN99" i="1"/>
  <c r="AN100" i="1"/>
  <c r="AN101" i="1"/>
  <c r="AN102" i="1"/>
  <c r="AN103" i="1"/>
  <c r="AN104" i="1"/>
  <c r="AN105" i="1"/>
  <c r="AN107" i="1"/>
  <c r="AN108" i="1"/>
  <c r="AN119" i="1"/>
  <c r="AN138" i="1"/>
  <c r="AN139" i="1"/>
  <c r="AN140" i="1"/>
  <c r="AN141" i="1"/>
  <c r="AN142" i="1"/>
  <c r="AN143" i="1"/>
  <c r="AN144" i="1"/>
  <c r="AN145" i="1"/>
  <c r="AN152" i="1"/>
  <c r="AN154" i="1"/>
  <c r="AN155" i="1"/>
  <c r="AN174" i="1"/>
  <c r="AN175" i="1"/>
  <c r="AN176" i="1"/>
  <c r="AN178" i="1"/>
  <c r="AN179" i="1"/>
  <c r="AN181" i="1"/>
  <c r="AN183" i="1"/>
  <c r="AN186" i="1"/>
  <c r="AN190" i="1"/>
  <c r="AN191" i="1"/>
  <c r="AN192" i="1"/>
  <c r="AN193" i="1"/>
  <c r="AN195" i="1"/>
  <c r="AN197" i="1"/>
  <c r="AN198" i="1"/>
  <c r="AN199" i="1"/>
  <c r="AN200" i="1"/>
  <c r="AN201" i="1"/>
  <c r="AN202" i="1"/>
  <c r="AN206" i="1"/>
  <c r="AN207" i="1"/>
  <c r="AN208" i="1"/>
  <c r="AN209" i="1"/>
  <c r="AN210" i="1"/>
  <c r="AN211" i="1"/>
  <c r="AN212" i="1"/>
  <c r="AN213" i="1"/>
  <c r="AN214" i="1"/>
  <c r="AN228" i="1"/>
  <c r="AN229" i="1"/>
  <c r="AN230" i="1"/>
  <c r="AN231" i="1"/>
  <c r="AN232" i="1"/>
  <c r="AN269" i="1"/>
  <c r="AN270" i="1"/>
  <c r="AN275" i="1"/>
  <c r="AN276" i="1"/>
  <c r="AN280" i="1"/>
  <c r="AN285" i="1"/>
  <c r="AN286" i="1"/>
  <c r="AN290" i="1"/>
  <c r="AN291" i="1"/>
  <c r="AN292" i="1"/>
  <c r="AN295" i="1"/>
  <c r="AN303" i="1"/>
  <c r="AN304" i="1"/>
  <c r="AN305" i="1"/>
  <c r="AN306" i="1"/>
  <c r="AN307" i="1"/>
  <c r="AN308" i="1"/>
  <c r="AN309" i="1"/>
  <c r="AN310" i="1"/>
  <c r="AN311" i="1"/>
  <c r="AN312" i="1"/>
  <c r="AN319" i="1"/>
  <c r="AN338" i="1"/>
  <c r="AN341" i="1"/>
  <c r="AN342" i="1"/>
  <c r="AN356" i="1"/>
  <c r="AN359" i="1"/>
  <c r="AN360" i="1"/>
  <c r="AN362" i="1"/>
  <c r="AN363" i="1"/>
  <c r="AN368" i="1"/>
  <c r="AN369" i="1"/>
  <c r="AN373" i="1"/>
  <c r="AN378" i="1"/>
  <c r="AN380" i="1"/>
  <c r="AN381" i="1"/>
  <c r="AN382" i="1"/>
  <c r="AN383" i="1"/>
  <c r="AN384" i="1"/>
  <c r="AN385" i="1"/>
  <c r="AN386" i="1"/>
  <c r="AN387" i="1"/>
  <c r="AN388" i="1"/>
  <c r="AN389" i="1"/>
  <c r="AN391" i="1"/>
  <c r="AN454" i="1"/>
  <c r="AN516" i="1"/>
  <c r="AN521" i="1"/>
  <c r="AN522" i="1"/>
  <c r="AN523" i="1"/>
  <c r="AN524" i="1"/>
  <c r="AN525" i="1"/>
  <c r="AN526" i="1"/>
  <c r="AN527" i="1"/>
  <c r="AN528" i="1"/>
  <c r="AN547" i="1"/>
  <c r="AN548" i="1"/>
  <c r="AN550" i="1"/>
  <c r="AN555" i="1"/>
  <c r="AN558" i="1"/>
  <c r="AN564" i="1"/>
  <c r="AN565" i="1"/>
  <c r="AN566" i="1"/>
  <c r="AN567" i="1"/>
  <c r="AN569" i="1"/>
  <c r="AN577" i="1"/>
  <c r="AN579" i="1"/>
  <c r="AN580" i="1"/>
  <c r="AN581" i="1"/>
  <c r="AN586" i="1"/>
  <c r="AN587" i="1"/>
  <c r="AN593" i="1"/>
  <c r="AN594" i="1"/>
  <c r="AN597" i="1"/>
  <c r="AN598" i="1"/>
  <c r="AN600" i="1"/>
  <c r="AN614" i="1"/>
  <c r="AN615" i="1"/>
  <c r="AN616" i="1"/>
  <c r="AN601" i="1"/>
  <c r="AN617" i="1"/>
  <c r="AN620" i="1"/>
  <c r="AN621" i="1"/>
  <c r="AN622" i="1"/>
  <c r="AN623" i="1"/>
  <c r="AN631" i="1"/>
  <c r="AN635" i="1"/>
  <c r="AN636" i="1"/>
  <c r="AN653" i="1"/>
  <c r="AN661" i="1"/>
  <c r="AN663" i="1"/>
  <c r="AN664" i="1"/>
  <c r="AN665" i="1"/>
  <c r="AN666" i="1"/>
  <c r="AN667" i="1"/>
  <c r="AN668" i="1"/>
  <c r="AN669" i="1"/>
  <c r="AN670" i="1"/>
  <c r="AN671" i="1"/>
  <c r="AN672" i="1"/>
  <c r="AN695" i="1"/>
  <c r="AN696" i="1"/>
  <c r="AN697" i="1"/>
  <c r="AN699" i="1"/>
  <c r="AN700" i="1"/>
  <c r="AN701" i="1"/>
  <c r="AN715" i="1"/>
  <c r="AN722" i="1"/>
  <c r="AN723" i="1"/>
  <c r="AN725" i="1"/>
  <c r="AN726" i="1"/>
  <c r="AN727" i="1"/>
  <c r="AN733" i="1"/>
  <c r="AN734" i="1"/>
  <c r="AN735" i="1"/>
  <c r="AN736" i="1"/>
  <c r="AN737" i="1"/>
  <c r="AN741" i="1"/>
  <c r="AN742" i="1"/>
  <c r="AN743" i="1"/>
  <c r="AN746" i="1"/>
  <c r="AN747" i="1"/>
  <c r="AN748" i="1"/>
  <c r="AN749" i="1"/>
  <c r="AN750" i="1"/>
  <c r="AN762" i="1"/>
  <c r="AN776" i="1"/>
  <c r="AN777" i="1"/>
  <c r="AN780" i="1"/>
  <c r="AN781" i="1"/>
  <c r="AN782" i="1"/>
  <c r="AN783" i="1"/>
  <c r="AN784" i="1"/>
  <c r="AN785" i="1"/>
  <c r="AN786" i="1"/>
  <c r="AN787" i="1"/>
  <c r="AN788" i="1"/>
  <c r="AN790" i="1"/>
  <c r="AN792" i="1"/>
  <c r="AN794" i="1"/>
  <c r="AN810" i="1"/>
  <c r="AN811" i="1"/>
  <c r="AN812" i="1"/>
  <c r="AN813" i="1"/>
  <c r="AN817" i="1"/>
  <c r="AN826" i="1"/>
  <c r="AN830" i="1"/>
  <c r="AN831" i="1"/>
  <c r="AN832" i="1"/>
  <c r="AN833" i="1"/>
  <c r="AN834" i="1"/>
  <c r="AN835" i="1"/>
  <c r="AN836" i="1"/>
  <c r="AN837" i="1"/>
  <c r="AN842" i="1"/>
  <c r="AN847" i="1"/>
  <c r="AN851" i="1"/>
  <c r="AN852" i="1"/>
  <c r="AN860" i="1"/>
  <c r="AN861" i="1"/>
  <c r="AN862" i="1"/>
  <c r="AN879" i="1"/>
  <c r="AN880" i="1"/>
  <c r="AN881" i="1"/>
  <c r="AN888" i="1"/>
  <c r="AN889" i="1"/>
  <c r="AN891" i="1"/>
  <c r="AN897" i="1"/>
  <c r="AN900" i="1"/>
  <c r="AN903" i="1"/>
  <c r="AN907" i="1"/>
  <c r="AN930" i="1"/>
  <c r="AN931" i="1"/>
  <c r="AN932" i="1"/>
  <c r="AN933" i="1"/>
  <c r="AN934" i="1"/>
  <c r="AN935" i="1"/>
  <c r="AN936" i="1"/>
  <c r="AN938" i="1"/>
  <c r="AN943" i="1"/>
  <c r="AN948" i="1"/>
  <c r="AN949" i="1"/>
  <c r="AN950" i="1"/>
  <c r="AN952" i="1"/>
  <c r="AN954" i="1"/>
  <c r="AN955" i="1"/>
  <c r="AN956" i="1"/>
  <c r="AN957" i="1"/>
  <c r="AN958" i="1"/>
  <c r="AN975" i="1"/>
  <c r="AN976" i="1"/>
  <c r="AN977" i="1"/>
  <c r="AN978" i="1"/>
  <c r="AN979" i="1"/>
  <c r="AN980" i="1"/>
  <c r="AN981" i="1"/>
  <c r="AN982" i="1"/>
  <c r="AN983" i="1"/>
  <c r="AN984" i="1"/>
  <c r="AN985" i="1"/>
  <c r="AN986" i="1"/>
  <c r="AN987" i="1"/>
  <c r="AN988" i="1"/>
  <c r="AN990" i="1"/>
  <c r="AN991" i="1"/>
  <c r="AN993" i="1"/>
  <c r="AN1036" i="1"/>
  <c r="AN1051" i="1"/>
  <c r="AN1052" i="1"/>
  <c r="AN1053" i="1"/>
  <c r="AN1054" i="1"/>
  <c r="AN1055" i="1"/>
  <c r="AN1056" i="1"/>
  <c r="AN1057" i="1"/>
  <c r="AN1058" i="1"/>
  <c r="AN1059" i="1"/>
  <c r="AN1060" i="1"/>
  <c r="AN1061" i="1"/>
  <c r="AN1062" i="1"/>
  <c r="AN1063" i="1"/>
  <c r="AN1071" i="1"/>
  <c r="AN1072" i="1"/>
  <c r="AN1073" i="1"/>
  <c r="AN1074" i="1"/>
  <c r="AN1376" i="1"/>
  <c r="AN1383" i="1"/>
  <c r="AN1384" i="1"/>
  <c r="AN1385" i="1"/>
  <c r="AN1386" i="1"/>
  <c r="AN1387" i="1"/>
  <c r="AN1388" i="1"/>
  <c r="AN1389" i="1"/>
  <c r="AN1390" i="1"/>
  <c r="AN1391" i="1"/>
  <c r="AN1392" i="1"/>
  <c r="AN1393" i="1"/>
  <c r="AN1394" i="1"/>
  <c r="AN1395" i="1"/>
  <c r="AN1396" i="1"/>
  <c r="AN1397" i="1"/>
  <c r="AN1398" i="1"/>
  <c r="AN1399" i="1"/>
  <c r="AN1400" i="1"/>
  <c r="AN1401" i="1"/>
  <c r="AN1402" i="1"/>
  <c r="AN1403" i="1"/>
  <c r="AN1404" i="1"/>
  <c r="AN1405" i="1"/>
  <c r="AN2" i="1"/>
  <c r="AN442" i="1"/>
  <c r="AN689" i="1"/>
  <c r="AN1207" i="1"/>
  <c r="AN1272" i="1"/>
  <c r="AN329" i="1"/>
  <c r="AN698" i="1"/>
  <c r="AN681" i="1"/>
  <c r="AN1185" i="1"/>
  <c r="AN1244" i="1"/>
  <c r="AN1116" i="1"/>
  <c r="AN1121" i="1"/>
  <c r="AN1249" i="1"/>
  <c r="AN1327" i="1"/>
  <c r="AN73" i="1"/>
  <c r="AN1132" i="1"/>
  <c r="AN1138" i="1"/>
  <c r="AN1145" i="1"/>
  <c r="AN1153" i="1"/>
  <c r="AN1159" i="1"/>
  <c r="AN871" i="1"/>
  <c r="AN1240" i="1"/>
  <c r="AN272" i="1"/>
  <c r="AN552" i="1"/>
  <c r="AN554" i="1"/>
  <c r="AN247" i="1"/>
  <c r="AN1251" i="1"/>
  <c r="AN294" i="1"/>
  <c r="AN629" i="1"/>
  <c r="AN630" i="1"/>
  <c r="AN841" i="1"/>
  <c r="AN12" i="1"/>
  <c r="AN256" i="1"/>
  <c r="AN607" i="1"/>
  <c r="AN840" i="1"/>
  <c r="AN1101" i="1"/>
  <c r="AN1247" i="1"/>
  <c r="AN323" i="1"/>
  <c r="AN911" i="1"/>
  <c r="AN1111" i="1"/>
  <c r="AN1115" i="1"/>
  <c r="AN1120" i="1"/>
  <c r="AN1248" i="1"/>
  <c r="AN1350" i="1"/>
  <c r="AN1246" i="1"/>
  <c r="AN1381" i="1"/>
  <c r="AN611" i="1"/>
  <c r="AN1100" i="1"/>
  <c r="C30" i="95"/>
  <c r="C27" i="95"/>
  <c r="C20" i="95"/>
  <c r="C12" i="95"/>
  <c r="F28" i="95"/>
  <c r="C17" i="95"/>
  <c r="C14" i="95"/>
  <c r="BQ51" i="92"/>
  <c r="J25" i="95"/>
  <c r="C13" i="95"/>
  <c r="C24" i="95"/>
  <c r="C28" i="95"/>
  <c r="C34" i="95"/>
  <c r="C44" i="95"/>
  <c r="C22" i="95"/>
  <c r="C41" i="95"/>
  <c r="H25" i="95"/>
  <c r="D25" i="95"/>
  <c r="C40" i="95"/>
  <c r="BC51" i="92"/>
  <c r="C18" i="95"/>
  <c r="C15" i="95"/>
  <c r="C31" i="95"/>
  <c r="C32" i="95"/>
  <c r="C29" i="95"/>
  <c r="C19" i="95"/>
  <c r="C26" i="95"/>
  <c r="C42" i="95"/>
  <c r="C16" i="95"/>
  <c r="C37" i="95"/>
  <c r="I25" i="95"/>
  <c r="C33" i="95"/>
  <c r="G231" i="24"/>
  <c r="G245" i="24"/>
  <c r="O431" i="1" s="1"/>
  <c r="G191" i="24"/>
  <c r="G256" i="24"/>
  <c r="G228" i="24"/>
  <c r="O1025" i="1" s="1"/>
  <c r="P1025" i="1" s="1"/>
  <c r="D56" i="43"/>
  <c r="D56" i="44"/>
  <c r="E56" i="44" s="1"/>
  <c r="I53" i="15"/>
  <c r="D29" i="42" s="1"/>
  <c r="D50" i="38" s="1"/>
  <c r="F53" i="15"/>
  <c r="C50" i="36" s="1"/>
  <c r="D53" i="15"/>
  <c r="D54" i="43"/>
  <c r="D55" i="43"/>
  <c r="D54" i="44"/>
  <c r="E54" i="44" s="1"/>
  <c r="D55" i="44"/>
  <c r="E55" i="44" s="1"/>
  <c r="I51" i="15"/>
  <c r="D18" i="42" s="1"/>
  <c r="D51" i="38" s="1"/>
  <c r="I52" i="15"/>
  <c r="D50" i="42" s="1"/>
  <c r="D47" i="38" s="1"/>
  <c r="F52" i="15"/>
  <c r="C46" i="36" s="1"/>
  <c r="D52" i="15"/>
  <c r="D51" i="15"/>
  <c r="F25" i="95" l="1"/>
  <c r="AY1021" i="1"/>
  <c r="AZ1021" i="1"/>
  <c r="S52" i="15"/>
  <c r="S53" i="15"/>
  <c r="O430" i="1"/>
  <c r="O1034" i="1"/>
  <c r="P1034" i="1" s="1"/>
  <c r="R1032" i="1" s="1"/>
  <c r="S1032" i="1" s="1"/>
  <c r="J32" i="146" s="1"/>
  <c r="P431" i="1"/>
  <c r="Q431" i="1"/>
  <c r="O111" i="1"/>
  <c r="O123" i="1"/>
  <c r="C25" i="95"/>
  <c r="O1313" i="1"/>
  <c r="P1313" i="1" s="1"/>
  <c r="C29" i="48"/>
  <c r="C34" i="48"/>
  <c r="E34" i="48"/>
  <c r="C36" i="48"/>
  <c r="E36" i="48"/>
  <c r="O1080" i="1"/>
  <c r="P1080" i="1" s="1"/>
  <c r="R1072" i="1" s="1"/>
  <c r="S1072" i="1" s="1"/>
  <c r="J33" i="146" s="1"/>
  <c r="O1142" i="1"/>
  <c r="C50" i="39"/>
  <c r="C50" i="10"/>
  <c r="C47" i="39"/>
  <c r="C42" i="10"/>
  <c r="C51" i="39"/>
  <c r="C51" i="10"/>
  <c r="E47" i="39"/>
  <c r="E42" i="10"/>
  <c r="E51" i="39"/>
  <c r="E51" i="10"/>
  <c r="E50" i="39"/>
  <c r="E50" i="10"/>
  <c r="H277" i="24"/>
  <c r="H353" i="24"/>
  <c r="H256" i="24"/>
  <c r="H459" i="24"/>
  <c r="H240" i="24"/>
  <c r="H248" i="24"/>
  <c r="H344" i="24"/>
  <c r="H280" i="24"/>
  <c r="H158" i="24"/>
  <c r="H191" i="24"/>
  <c r="H430" i="24"/>
  <c r="H178" i="24"/>
  <c r="H348" i="24"/>
  <c r="H228" i="24"/>
  <c r="H355" i="24"/>
  <c r="H245" i="24"/>
  <c r="H231" i="24"/>
  <c r="H33" i="146" l="1"/>
  <c r="F32" i="146"/>
  <c r="D17" i="166" s="1"/>
  <c r="H32" i="146"/>
  <c r="H16" i="166"/>
  <c r="I15" i="163"/>
  <c r="H13" i="166"/>
  <c r="P1142" i="1"/>
  <c r="Q1142" i="1"/>
  <c r="T1072" i="1"/>
  <c r="F33" i="146"/>
  <c r="E13" i="117"/>
  <c r="E20" i="117"/>
  <c r="F20" i="117" s="1"/>
  <c r="AZ1283" i="1"/>
  <c r="AZ1234" i="1"/>
  <c r="AZ1072" i="1"/>
  <c r="AY1283" i="1"/>
  <c r="AY1234" i="1"/>
  <c r="AY1072" i="1"/>
  <c r="P111" i="1"/>
  <c r="R109" i="1" s="1"/>
  <c r="S109" i="1" s="1"/>
  <c r="E12" i="117" s="1"/>
  <c r="Q111" i="1"/>
  <c r="T109" i="1" s="1"/>
  <c r="P430" i="1"/>
  <c r="Q430" i="1"/>
  <c r="T391" i="1" s="1"/>
  <c r="AV391" i="1" s="1"/>
  <c r="E52" i="15"/>
  <c r="E51" i="15"/>
  <c r="D53" i="44"/>
  <c r="E53" i="44" s="1"/>
  <c r="D53" i="43"/>
  <c r="D16" i="163" l="1"/>
  <c r="D16" i="166"/>
  <c r="AY391" i="1"/>
  <c r="AZ391" i="1"/>
  <c r="F12" i="117"/>
  <c r="AV109" i="1"/>
  <c r="G50" i="111"/>
  <c r="D13" i="128" s="1"/>
  <c r="R50" i="15"/>
  <c r="F50" i="15"/>
  <c r="F50" i="109"/>
  <c r="Q50" i="109" s="1"/>
  <c r="E17" i="109"/>
  <c r="Q17" i="109" s="1"/>
  <c r="F17" i="111"/>
  <c r="M49" i="109"/>
  <c r="N49" i="111"/>
  <c r="R17" i="15"/>
  <c r="R49" i="15"/>
  <c r="F14" i="117"/>
  <c r="D29" i="48"/>
  <c r="D34" i="48"/>
  <c r="D50" i="39"/>
  <c r="D50" i="10"/>
  <c r="D47" i="39"/>
  <c r="D42" i="10"/>
  <c r="G51" i="15"/>
  <c r="G52" i="15"/>
  <c r="N1080" i="1"/>
  <c r="N1095" i="1"/>
  <c r="N1102" i="1"/>
  <c r="AL1102" i="1" s="1"/>
  <c r="N1103" i="1"/>
  <c r="AL1103" i="1" s="1"/>
  <c r="N1104" i="1"/>
  <c r="N1105" i="1"/>
  <c r="AL1105" i="1" s="1"/>
  <c r="N1076" i="1"/>
  <c r="N1077" i="1"/>
  <c r="N1078" i="1"/>
  <c r="N1081" i="1"/>
  <c r="N1082" i="1"/>
  <c r="N1083" i="1"/>
  <c r="N1084" i="1"/>
  <c r="N1085" i="1"/>
  <c r="N1086" i="1"/>
  <c r="AL1086" i="1" s="1"/>
  <c r="N1087" i="1"/>
  <c r="AL1087" i="1" s="1"/>
  <c r="N1075" i="1"/>
  <c r="N999" i="1"/>
  <c r="Q999" i="1" s="1"/>
  <c r="N998" i="1"/>
  <c r="Q998" i="1" s="1"/>
  <c r="N234" i="1"/>
  <c r="Q234" i="1" s="1"/>
  <c r="N235" i="1"/>
  <c r="Q235" i="1" s="1"/>
  <c r="N236" i="1"/>
  <c r="Q236" i="1" s="1"/>
  <c r="N237" i="1"/>
  <c r="Q237" i="1" s="1"/>
  <c r="N238" i="1"/>
  <c r="Q238" i="1" s="1"/>
  <c r="N239" i="1"/>
  <c r="Q239" i="1" s="1"/>
  <c r="N240" i="1"/>
  <c r="Q240" i="1" s="1"/>
  <c r="N241" i="1"/>
  <c r="Q241" i="1" s="1"/>
  <c r="N242" i="1"/>
  <c r="Q242" i="1" s="1"/>
  <c r="N243" i="1"/>
  <c r="Q243" i="1" s="1"/>
  <c r="N244" i="1"/>
  <c r="Q244" i="1" s="1"/>
  <c r="N245" i="1"/>
  <c r="Q245" i="1" s="1"/>
  <c r="N246" i="1"/>
  <c r="Q246" i="1" s="1"/>
  <c r="N247" i="1"/>
  <c r="Q247" i="1" s="1"/>
  <c r="N248" i="1"/>
  <c r="Q248" i="1" s="1"/>
  <c r="N249" i="1"/>
  <c r="N250" i="1"/>
  <c r="Q250" i="1" s="1"/>
  <c r="N251" i="1"/>
  <c r="Q251" i="1" s="1"/>
  <c r="N253" i="1"/>
  <c r="Q253" i="1" s="1"/>
  <c r="N233" i="1"/>
  <c r="Q233" i="1" s="1"/>
  <c r="N1395" i="1"/>
  <c r="N1396" i="1"/>
  <c r="N1389" i="1"/>
  <c r="N1390" i="1"/>
  <c r="N1394" i="1"/>
  <c r="N1388" i="1"/>
  <c r="Q1388" i="1" s="1"/>
  <c r="N170" i="1"/>
  <c r="Q170" i="1" s="1"/>
  <c r="N171" i="1"/>
  <c r="Q171" i="1" s="1"/>
  <c r="N172" i="1"/>
  <c r="Q172" i="1" s="1"/>
  <c r="N173" i="1"/>
  <c r="Q173" i="1" s="1"/>
  <c r="N169" i="1"/>
  <c r="Q169" i="1" s="1"/>
  <c r="N157" i="1"/>
  <c r="Q157" i="1" s="1"/>
  <c r="N158" i="1"/>
  <c r="Q158" i="1" s="1"/>
  <c r="N159" i="1"/>
  <c r="Q159" i="1" s="1"/>
  <c r="N160" i="1"/>
  <c r="Q160" i="1" s="1"/>
  <c r="N161" i="1"/>
  <c r="Q161" i="1" s="1"/>
  <c r="N162" i="1"/>
  <c r="Q162" i="1" s="1"/>
  <c r="N163" i="1"/>
  <c r="Q163" i="1" s="1"/>
  <c r="N164" i="1"/>
  <c r="Q164" i="1" s="1"/>
  <c r="N165" i="1"/>
  <c r="Q165" i="1" s="1"/>
  <c r="N166" i="1"/>
  <c r="Q166" i="1" s="1"/>
  <c r="N167" i="1"/>
  <c r="Q167" i="1" s="1"/>
  <c r="N156" i="1"/>
  <c r="Q156" i="1" s="1"/>
  <c r="C12" i="36" l="1"/>
  <c r="E13" i="150"/>
  <c r="T998" i="1"/>
  <c r="R49" i="111"/>
  <c r="D20" i="128"/>
  <c r="H20" i="128" s="1"/>
  <c r="R17" i="111"/>
  <c r="D12" i="128"/>
  <c r="R50" i="111"/>
  <c r="G13" i="128"/>
  <c r="G23" i="128" s="1"/>
  <c r="AL1394" i="1"/>
  <c r="Q1394" i="1"/>
  <c r="AL1390" i="1"/>
  <c r="Q1390" i="1"/>
  <c r="AL1389" i="1"/>
  <c r="Q1389" i="1"/>
  <c r="AL1396" i="1"/>
  <c r="Q1396" i="1"/>
  <c r="AL1395" i="1"/>
  <c r="Q1395" i="1"/>
  <c r="AL249" i="1"/>
  <c r="Q249" i="1"/>
  <c r="AL162" i="1"/>
  <c r="AL172" i="1"/>
  <c r="AL156" i="1"/>
  <c r="AL160" i="1"/>
  <c r="AL170" i="1"/>
  <c r="AL253" i="1"/>
  <c r="AL244" i="1"/>
  <c r="AL236" i="1"/>
  <c r="AL1085" i="1"/>
  <c r="AL1099" i="1"/>
  <c r="AL1100" i="1"/>
  <c r="AL167" i="1"/>
  <c r="AL159" i="1"/>
  <c r="AL251" i="1"/>
  <c r="AL243" i="1"/>
  <c r="AL235" i="1"/>
  <c r="AL1084" i="1"/>
  <c r="AL1107" i="1"/>
  <c r="AL1095" i="1"/>
  <c r="AL169" i="1"/>
  <c r="AL240" i="1"/>
  <c r="AL1081" i="1"/>
  <c r="AL248" i="1"/>
  <c r="AL165" i="1"/>
  <c r="AL157" i="1"/>
  <c r="AL164" i="1"/>
  <c r="AL166" i="1"/>
  <c r="AL158" i="1"/>
  <c r="AL250" i="1"/>
  <c r="AL242" i="1"/>
  <c r="AL234" i="1"/>
  <c r="AL1083" i="1"/>
  <c r="AL1106" i="1"/>
  <c r="AL1080" i="1"/>
  <c r="AL241" i="1"/>
  <c r="AL998" i="1"/>
  <c r="AL1082" i="1"/>
  <c r="AL999" i="1"/>
  <c r="AL1104" i="1"/>
  <c r="AL247" i="1"/>
  <c r="AL1075" i="1"/>
  <c r="AL1078" i="1"/>
  <c r="AL246" i="1"/>
  <c r="AL238" i="1"/>
  <c r="AL1077" i="1"/>
  <c r="AL161" i="1"/>
  <c r="AL171" i="1"/>
  <c r="AL233" i="1"/>
  <c r="AL245" i="1"/>
  <c r="AL237" i="1"/>
  <c r="AL1076" i="1"/>
  <c r="AL1101" i="1"/>
  <c r="AL163" i="1"/>
  <c r="AL173" i="1"/>
  <c r="AL239" i="1"/>
  <c r="AL1388" i="1"/>
  <c r="M54" i="109"/>
  <c r="Q49" i="109"/>
  <c r="G54" i="111"/>
  <c r="C13" i="128" s="1"/>
  <c r="E54" i="109"/>
  <c r="G26" i="109"/>
  <c r="Q26" i="109" s="1"/>
  <c r="H26" i="111"/>
  <c r="N54" i="111"/>
  <c r="F54" i="111"/>
  <c r="R26" i="15"/>
  <c r="F34" i="48"/>
  <c r="F29" i="48"/>
  <c r="Q1075" i="1"/>
  <c r="Q1087" i="1"/>
  <c r="Q1086" i="1"/>
  <c r="Q1085" i="1"/>
  <c r="Q1084" i="1"/>
  <c r="Q1083" i="1"/>
  <c r="Q1082" i="1"/>
  <c r="Q1081" i="1"/>
  <c r="Q1078" i="1"/>
  <c r="Q1077" i="1"/>
  <c r="Q1076" i="1"/>
  <c r="Q1099" i="1"/>
  <c r="Q1107" i="1"/>
  <c r="Q1106" i="1"/>
  <c r="Q1105" i="1"/>
  <c r="Q1104" i="1"/>
  <c r="Q1103" i="1"/>
  <c r="Q1102" i="1"/>
  <c r="Q1101" i="1"/>
  <c r="Q1100" i="1"/>
  <c r="Q1095" i="1"/>
  <c r="Q1080" i="1"/>
  <c r="J51" i="15"/>
  <c r="C51" i="38" s="1"/>
  <c r="E51" i="38" s="1"/>
  <c r="C50" i="12"/>
  <c r="F50" i="10"/>
  <c r="J52" i="15"/>
  <c r="C46" i="32" s="1"/>
  <c r="C45" i="12"/>
  <c r="F42" i="10"/>
  <c r="G50" i="39"/>
  <c r="G47" i="39"/>
  <c r="J2" i="1"/>
  <c r="AV998" i="1" l="1"/>
  <c r="D23" i="128"/>
  <c r="C12" i="128"/>
  <c r="E12" i="128"/>
  <c r="C20" i="128"/>
  <c r="E20" i="128"/>
  <c r="H12" i="128"/>
  <c r="R26" i="111"/>
  <c r="E14" i="128"/>
  <c r="H13" i="128"/>
  <c r="AV1112" i="1"/>
  <c r="AV1072" i="1"/>
  <c r="G13" i="121"/>
  <c r="R13" i="121" s="1"/>
  <c r="C21" i="164" s="1"/>
  <c r="H54" i="111"/>
  <c r="C14" i="128" s="1"/>
  <c r="G54" i="109"/>
  <c r="F28" i="56"/>
  <c r="E28" i="56"/>
  <c r="F20" i="56"/>
  <c r="E20" i="56"/>
  <c r="C47" i="38"/>
  <c r="E47" i="38" s="1"/>
  <c r="C45" i="8"/>
  <c r="C51" i="8"/>
  <c r="C51" i="32"/>
  <c r="H23" i="128" l="1"/>
  <c r="G54" i="121"/>
  <c r="F27" i="56"/>
  <c r="E27" i="56"/>
  <c r="C18" i="48"/>
  <c r="E18" i="48"/>
  <c r="E19" i="48"/>
  <c r="D18" i="48"/>
  <c r="C17" i="48"/>
  <c r="D17" i="48"/>
  <c r="E40" i="48"/>
  <c r="E41" i="48"/>
  <c r="E42" i="48"/>
  <c r="D40" i="48"/>
  <c r="D41" i="48"/>
  <c r="D42" i="48"/>
  <c r="E39" i="48"/>
  <c r="D39" i="48"/>
  <c r="D15" i="44"/>
  <c r="E15" i="44" s="1"/>
  <c r="D16" i="44"/>
  <c r="E16" i="44" s="1"/>
  <c r="D17" i="44"/>
  <c r="E17" i="44" s="1"/>
  <c r="D18" i="44"/>
  <c r="E18" i="44" s="1"/>
  <c r="D19" i="44"/>
  <c r="E19" i="44" s="1"/>
  <c r="D20" i="44"/>
  <c r="E20" i="44" s="1"/>
  <c r="D21" i="44"/>
  <c r="E21" i="44" s="1"/>
  <c r="D22" i="44"/>
  <c r="E22" i="44" s="1"/>
  <c r="D23" i="44"/>
  <c r="E23" i="44" s="1"/>
  <c r="D24" i="44"/>
  <c r="E24" i="44" s="1"/>
  <c r="D25" i="44"/>
  <c r="E25" i="44" s="1"/>
  <c r="D26" i="44"/>
  <c r="E26" i="44" s="1"/>
  <c r="D27" i="44"/>
  <c r="E27" i="44" s="1"/>
  <c r="D28" i="44"/>
  <c r="E28" i="44" s="1"/>
  <c r="D29" i="44"/>
  <c r="E29" i="44" s="1"/>
  <c r="D30" i="44"/>
  <c r="E30" i="44" s="1"/>
  <c r="D31" i="44"/>
  <c r="E31" i="44" s="1"/>
  <c r="D32" i="44"/>
  <c r="E32" i="44" s="1"/>
  <c r="D33" i="44"/>
  <c r="E33" i="44" s="1"/>
  <c r="D34" i="44"/>
  <c r="E34" i="44" s="1"/>
  <c r="D35" i="44"/>
  <c r="E35" i="44" s="1"/>
  <c r="D36" i="44"/>
  <c r="E36" i="44" s="1"/>
  <c r="D37" i="44"/>
  <c r="E37" i="44" s="1"/>
  <c r="D38" i="44"/>
  <c r="E38" i="44" s="1"/>
  <c r="D39" i="44"/>
  <c r="E39" i="44" s="1"/>
  <c r="D40" i="44"/>
  <c r="E40" i="44" s="1"/>
  <c r="D41" i="44"/>
  <c r="E41" i="44" s="1"/>
  <c r="D42" i="44"/>
  <c r="E42" i="44" s="1"/>
  <c r="D43" i="44"/>
  <c r="E43" i="44" s="1"/>
  <c r="D44" i="44"/>
  <c r="E44" i="44" s="1"/>
  <c r="D45" i="44"/>
  <c r="E45" i="44" s="1"/>
  <c r="D46" i="44"/>
  <c r="E46" i="44" s="1"/>
  <c r="D47" i="44"/>
  <c r="E47" i="44" s="1"/>
  <c r="D48" i="44"/>
  <c r="E48" i="44" s="1"/>
  <c r="D49" i="44"/>
  <c r="E49" i="44" s="1"/>
  <c r="D50" i="44"/>
  <c r="E50" i="44" s="1"/>
  <c r="D51" i="44"/>
  <c r="E51" i="44" s="1"/>
  <c r="D52" i="44"/>
  <c r="E52" i="44" s="1"/>
  <c r="D14" i="44"/>
  <c r="E14" i="44" s="1"/>
  <c r="D52" i="43"/>
  <c r="D51" i="43"/>
  <c r="D50" i="43"/>
  <c r="D49" i="43"/>
  <c r="D48" i="43"/>
  <c r="D47" i="43"/>
  <c r="D46" i="43"/>
  <c r="D45" i="43"/>
  <c r="D44" i="43"/>
  <c r="D43" i="43"/>
  <c r="D42" i="43"/>
  <c r="D41" i="43"/>
  <c r="D40" i="43"/>
  <c r="D39" i="43"/>
  <c r="D38" i="43"/>
  <c r="D37" i="43"/>
  <c r="D36" i="43"/>
  <c r="D35" i="43"/>
  <c r="D34" i="43"/>
  <c r="D33" i="43"/>
  <c r="D32" i="43"/>
  <c r="D31" i="43"/>
  <c r="D30" i="43"/>
  <c r="D29" i="43"/>
  <c r="D28" i="43"/>
  <c r="D27" i="43"/>
  <c r="D26" i="43"/>
  <c r="D25" i="43"/>
  <c r="D24" i="43"/>
  <c r="D23" i="43"/>
  <c r="D22" i="43"/>
  <c r="D21" i="43"/>
  <c r="D20" i="43"/>
  <c r="D19" i="43"/>
  <c r="D18" i="43"/>
  <c r="D17" i="43"/>
  <c r="D16" i="43"/>
  <c r="D15" i="43"/>
  <c r="D14" i="43"/>
  <c r="F55" i="44" l="1"/>
  <c r="F54" i="44"/>
  <c r="F56" i="44"/>
  <c r="F45" i="44"/>
  <c r="F41" i="44"/>
  <c r="F53" i="44"/>
  <c r="F53" i="39"/>
  <c r="F52" i="44"/>
  <c r="F48" i="44"/>
  <c r="D38" i="48"/>
  <c r="E38" i="48"/>
  <c r="F37" i="44"/>
  <c r="F29" i="44"/>
  <c r="F17" i="44"/>
  <c r="F47" i="44"/>
  <c r="F44" i="44"/>
  <c r="F36" i="44"/>
  <c r="F24" i="44"/>
  <c r="F16" i="44"/>
  <c r="F50" i="44"/>
  <c r="F43" i="44"/>
  <c r="F39" i="44"/>
  <c r="F35" i="44"/>
  <c r="F31" i="44"/>
  <c r="F27" i="44"/>
  <c r="F23" i="44"/>
  <c r="F19" i="44"/>
  <c r="F15" i="44"/>
  <c r="F33" i="44"/>
  <c r="F25" i="44"/>
  <c r="F21" i="44"/>
  <c r="F51" i="44"/>
  <c r="F40" i="44"/>
  <c r="F32" i="44"/>
  <c r="F28" i="44"/>
  <c r="F20" i="44"/>
  <c r="F14" i="44"/>
  <c r="F49" i="44"/>
  <c r="F46" i="44"/>
  <c r="F42" i="44"/>
  <c r="F38" i="44"/>
  <c r="F34" i="44"/>
  <c r="F30" i="44"/>
  <c r="F26" i="44"/>
  <c r="F22" i="44"/>
  <c r="F18" i="44"/>
  <c r="E31" i="15"/>
  <c r="F47" i="15"/>
  <c r="C44" i="36" s="1"/>
  <c r="F35" i="15"/>
  <c r="C51" i="36" s="1"/>
  <c r="F29" i="15"/>
  <c r="C45" i="36" s="1"/>
  <c r="F28" i="15"/>
  <c r="C47" i="36" s="1"/>
  <c r="F19" i="15"/>
  <c r="C48" i="36" s="1"/>
  <c r="D48" i="15"/>
  <c r="D47" i="15"/>
  <c r="D45" i="15"/>
  <c r="D44" i="15"/>
  <c r="D43" i="15"/>
  <c r="D41" i="15"/>
  <c r="D40" i="15"/>
  <c r="D37" i="15"/>
  <c r="D35" i="15"/>
  <c r="D34" i="15"/>
  <c r="D29" i="15"/>
  <c r="D28" i="15"/>
  <c r="D27" i="15"/>
  <c r="D22" i="15"/>
  <c r="D20" i="15"/>
  <c r="D19" i="15"/>
  <c r="D18" i="15"/>
  <c r="D16" i="15"/>
  <c r="D15" i="15"/>
  <c r="D13" i="15"/>
  <c r="C41" i="41"/>
  <c r="D53" i="41" s="1"/>
  <c r="I14" i="15"/>
  <c r="D13" i="42" l="1"/>
  <c r="D26" i="38" s="1"/>
  <c r="G13" i="137"/>
  <c r="S19" i="15"/>
  <c r="S28" i="15"/>
  <c r="S29" i="15"/>
  <c r="S35" i="15"/>
  <c r="S47" i="15"/>
  <c r="C25" i="48"/>
  <c r="C26" i="48"/>
  <c r="C32" i="48"/>
  <c r="C33" i="48"/>
  <c r="C35" i="48"/>
  <c r="E33" i="48"/>
  <c r="D30" i="48"/>
  <c r="C46" i="39"/>
  <c r="C49" i="10"/>
  <c r="C49" i="39"/>
  <c r="C47" i="10"/>
  <c r="C34" i="39"/>
  <c r="C33" i="10"/>
  <c r="C45" i="39"/>
  <c r="C39" i="10"/>
  <c r="E38" i="39"/>
  <c r="E45" i="10"/>
  <c r="D25" i="39"/>
  <c r="D21" i="10"/>
  <c r="E39" i="39"/>
  <c r="E41" i="10"/>
  <c r="C36" i="39"/>
  <c r="C28" i="10"/>
  <c r="C38" i="39"/>
  <c r="C45" i="10"/>
  <c r="C43" i="39"/>
  <c r="C43" i="10"/>
  <c r="C31" i="39"/>
  <c r="C27" i="10"/>
  <c r="C41" i="39"/>
  <c r="C38" i="10"/>
  <c r="C30" i="39"/>
  <c r="C34" i="10"/>
  <c r="C39" i="39"/>
  <c r="C41" i="10"/>
  <c r="C21" i="39"/>
  <c r="C29" i="10"/>
  <c r="E48" i="39"/>
  <c r="E52" i="10"/>
  <c r="E46" i="39"/>
  <c r="E49" i="10"/>
  <c r="C35" i="39"/>
  <c r="C36" i="10"/>
  <c r="C42" i="39"/>
  <c r="C40" i="10"/>
  <c r="C28" i="39"/>
  <c r="C35" i="10"/>
  <c r="C17" i="39"/>
  <c r="C26" i="10"/>
  <c r="C29" i="39"/>
  <c r="C37" i="10"/>
  <c r="C44" i="39"/>
  <c r="C46" i="10"/>
  <c r="C48" i="39"/>
  <c r="C52" i="10"/>
  <c r="C40" i="39"/>
  <c r="C44" i="10"/>
  <c r="E28" i="39"/>
  <c r="E35" i="10"/>
  <c r="D15" i="41"/>
  <c r="D45" i="41"/>
  <c r="D37" i="41"/>
  <c r="D29" i="41"/>
  <c r="D52" i="41"/>
  <c r="D21" i="41"/>
  <c r="D14" i="41"/>
  <c r="D46" i="41"/>
  <c r="D38" i="41"/>
  <c r="D30" i="41"/>
  <c r="D22" i="41"/>
  <c r="D49" i="41"/>
  <c r="D42" i="41"/>
  <c r="D34" i="41"/>
  <c r="D26" i="41"/>
  <c r="D18" i="41"/>
  <c r="D48" i="41"/>
  <c r="D41" i="41"/>
  <c r="D33" i="41"/>
  <c r="D25" i="41"/>
  <c r="D17" i="41"/>
  <c r="D51" i="41"/>
  <c r="D47" i="41"/>
  <c r="D44" i="41"/>
  <c r="D40" i="41"/>
  <c r="D36" i="41"/>
  <c r="D32" i="41"/>
  <c r="D28" i="41"/>
  <c r="D24" i="41"/>
  <c r="D20" i="41"/>
  <c r="D16" i="41"/>
  <c r="D50" i="41"/>
  <c r="D43" i="41"/>
  <c r="D39" i="41"/>
  <c r="D35" i="41"/>
  <c r="D31" i="41"/>
  <c r="D27" i="41"/>
  <c r="D23" i="41"/>
  <c r="D19" i="41"/>
  <c r="C40" i="48" l="1"/>
  <c r="F40" i="48" s="1"/>
  <c r="D42" i="15"/>
  <c r="I48" i="15"/>
  <c r="D51" i="42" s="1"/>
  <c r="D44" i="38" s="1"/>
  <c r="I47" i="15"/>
  <c r="D49" i="42" s="1"/>
  <c r="D40" i="38" s="1"/>
  <c r="I38" i="15"/>
  <c r="I13" i="15"/>
  <c r="I37" i="15"/>
  <c r="D39" i="42" s="1"/>
  <c r="D48" i="38" s="1"/>
  <c r="I41" i="15"/>
  <c r="D46" i="42" s="1"/>
  <c r="D49" i="38" s="1"/>
  <c r="I16" i="15"/>
  <c r="C19" i="48"/>
  <c r="I49" i="15"/>
  <c r="I25" i="15"/>
  <c r="G22" i="137" s="1"/>
  <c r="H18" i="148" s="1"/>
  <c r="I30" i="15"/>
  <c r="G27" i="137" s="1"/>
  <c r="H14" i="148" s="1"/>
  <c r="I34" i="15"/>
  <c r="G30" i="137" s="1"/>
  <c r="I46" i="15"/>
  <c r="G40" i="137" s="1"/>
  <c r="I22" i="15"/>
  <c r="G20" i="137" s="1"/>
  <c r="I32" i="15"/>
  <c r="G28" i="137" s="1"/>
  <c r="I43" i="15"/>
  <c r="G37" i="137" s="1"/>
  <c r="I21" i="15"/>
  <c r="G19" i="137" s="1"/>
  <c r="I31" i="15"/>
  <c r="D32" i="42" s="1"/>
  <c r="D46" i="38" s="1"/>
  <c r="I33" i="15"/>
  <c r="G29" i="137" s="1"/>
  <c r="I20" i="15"/>
  <c r="I36" i="15"/>
  <c r="G32" i="137" s="1"/>
  <c r="H13" i="148" s="1"/>
  <c r="I45" i="15"/>
  <c r="G39" i="137" s="1"/>
  <c r="H17" i="148" s="1"/>
  <c r="I29" i="15"/>
  <c r="G26" i="137" s="1"/>
  <c r="I24" i="15"/>
  <c r="G21" i="137" s="1"/>
  <c r="I27" i="15"/>
  <c r="G24" i="137" s="1"/>
  <c r="I40" i="15"/>
  <c r="G35" i="137" s="1"/>
  <c r="I28" i="15"/>
  <c r="G25" i="137" s="1"/>
  <c r="I42" i="15"/>
  <c r="G36" i="137" s="1"/>
  <c r="I44" i="15"/>
  <c r="G38" i="137" s="1"/>
  <c r="I35" i="15"/>
  <c r="G31" i="137" s="1"/>
  <c r="I39" i="15"/>
  <c r="G34" i="137" s="1"/>
  <c r="I26" i="15"/>
  <c r="G23" i="137" s="1"/>
  <c r="H12" i="148" s="1"/>
  <c r="I50" i="15"/>
  <c r="D53" i="42" s="1"/>
  <c r="D23" i="38" s="1"/>
  <c r="D21" i="42" l="1"/>
  <c r="D15" i="38" s="1"/>
  <c r="G18" i="137"/>
  <c r="D52" i="42"/>
  <c r="D25" i="38" s="1"/>
  <c r="G41" i="137"/>
  <c r="H16" i="148" s="1"/>
  <c r="D16" i="42"/>
  <c r="D18" i="38" s="1"/>
  <c r="G15" i="137"/>
  <c r="D40" i="42"/>
  <c r="D21" i="38" s="1"/>
  <c r="G33" i="137"/>
  <c r="D26" i="42"/>
  <c r="D24" i="38" s="1"/>
  <c r="D41" i="42"/>
  <c r="D12" i="38" s="1"/>
  <c r="D36" i="42"/>
  <c r="D19" i="38" s="1"/>
  <c r="D45" i="42"/>
  <c r="D31" i="38" s="1"/>
  <c r="D43" i="42"/>
  <c r="D20" i="38" s="1"/>
  <c r="D28" i="42"/>
  <c r="D29" i="38" s="1"/>
  <c r="D42" i="42"/>
  <c r="D27" i="38" s="1"/>
  <c r="D27" i="42"/>
  <c r="D38" i="38" s="1"/>
  <c r="D24" i="42"/>
  <c r="D36" i="38" s="1"/>
  <c r="D30" i="42"/>
  <c r="D43" i="38" s="1"/>
  <c r="D47" i="42"/>
  <c r="D39" i="38" s="1"/>
  <c r="D38" i="42"/>
  <c r="D32" i="38" s="1"/>
  <c r="D34" i="42"/>
  <c r="D16" i="38" s="1"/>
  <c r="D22" i="42"/>
  <c r="D28" i="38" s="1"/>
  <c r="D44" i="42"/>
  <c r="D17" i="38" s="1"/>
  <c r="D33" i="42"/>
  <c r="D14" i="38" s="1"/>
  <c r="D23" i="42"/>
  <c r="D13" i="38" s="1"/>
  <c r="D48" i="42"/>
  <c r="D33" i="38" s="1"/>
  <c r="D35" i="42"/>
  <c r="D34" i="38" s="1"/>
  <c r="D31" i="42"/>
  <c r="D41" i="38" s="1"/>
  <c r="D25" i="42"/>
  <c r="D42" i="38" s="1"/>
  <c r="D12" i="42"/>
  <c r="D45" i="38" s="1"/>
  <c r="C26" i="39"/>
  <c r="C48" i="10"/>
  <c r="D14" i="15"/>
  <c r="C39" i="48"/>
  <c r="F39" i="48" s="1"/>
  <c r="E17" i="48"/>
  <c r="C42" i="48"/>
  <c r="F42" i="48" s="1"/>
  <c r="C41" i="48"/>
  <c r="F41" i="48" s="1"/>
  <c r="F23" i="15"/>
  <c r="S23" i="15" s="1"/>
  <c r="D46" i="15"/>
  <c r="D23" i="15"/>
  <c r="F23" i="56" l="1"/>
  <c r="E23" i="56"/>
  <c r="F25" i="56"/>
  <c r="E25" i="56"/>
  <c r="C23" i="39"/>
  <c r="C25" i="10"/>
  <c r="C24" i="39"/>
  <c r="C23" i="10"/>
  <c r="F22" i="15"/>
  <c r="C25" i="36" s="1"/>
  <c r="E22" i="15"/>
  <c r="E40" i="15"/>
  <c r="E41" i="15"/>
  <c r="E47" i="15"/>
  <c r="F41" i="15"/>
  <c r="E49" i="15"/>
  <c r="E26" i="15"/>
  <c r="F13" i="15"/>
  <c r="C24" i="36" s="1"/>
  <c r="D32" i="15"/>
  <c r="E37" i="15"/>
  <c r="D25" i="15"/>
  <c r="D38" i="15"/>
  <c r="D26" i="15"/>
  <c r="D33" i="15"/>
  <c r="D21" i="15"/>
  <c r="D36" i="15"/>
  <c r="F17" i="48"/>
  <c r="G56" i="44" s="1"/>
  <c r="E16" i="48"/>
  <c r="E13" i="10" s="1"/>
  <c r="C16" i="48"/>
  <c r="F18" i="48"/>
  <c r="E56" i="43" s="1"/>
  <c r="F38" i="48"/>
  <c r="C38" i="48"/>
  <c r="C41" i="36" l="1"/>
  <c r="E19" i="150"/>
  <c r="S13" i="15"/>
  <c r="S41" i="15"/>
  <c r="S22" i="15"/>
  <c r="M53" i="15"/>
  <c r="L53" i="15"/>
  <c r="C31" i="48"/>
  <c r="D26" i="48"/>
  <c r="E25" i="48"/>
  <c r="D23" i="48"/>
  <c r="E32" i="48"/>
  <c r="D33" i="48"/>
  <c r="D32" i="48"/>
  <c r="C13" i="10"/>
  <c r="C12" i="56"/>
  <c r="D28" i="39"/>
  <c r="D35" i="10"/>
  <c r="D13" i="39"/>
  <c r="D15" i="10"/>
  <c r="D45" i="39"/>
  <c r="D39" i="10"/>
  <c r="C19" i="39"/>
  <c r="C19" i="10"/>
  <c r="D31" i="39"/>
  <c r="D27" i="10"/>
  <c r="C27" i="39"/>
  <c r="C24" i="10"/>
  <c r="C22" i="39"/>
  <c r="C20" i="10"/>
  <c r="D34" i="39"/>
  <c r="D33" i="10"/>
  <c r="C18" i="39"/>
  <c r="C18" i="10"/>
  <c r="C37" i="39"/>
  <c r="C32" i="10"/>
  <c r="E34" i="39"/>
  <c r="E33" i="10"/>
  <c r="C13" i="39"/>
  <c r="C15" i="10"/>
  <c r="D15" i="39"/>
  <c r="D14" i="10"/>
  <c r="C32" i="39"/>
  <c r="C30" i="10"/>
  <c r="E36" i="39"/>
  <c r="E28" i="10"/>
  <c r="E45" i="39"/>
  <c r="E39" i="10"/>
  <c r="C33" i="39"/>
  <c r="C31" i="10"/>
  <c r="D49" i="39"/>
  <c r="D47" i="10"/>
  <c r="G22" i="15"/>
  <c r="J20" i="137" s="1"/>
  <c r="K20" i="137" s="1"/>
  <c r="G47" i="15"/>
  <c r="G41" i="15"/>
  <c r="E54" i="43"/>
  <c r="E55" i="43"/>
  <c r="E53" i="43"/>
  <c r="G54" i="44"/>
  <c r="G55" i="44"/>
  <c r="G16" i="44"/>
  <c r="G53" i="44"/>
  <c r="G48" i="44"/>
  <c r="G27" i="44"/>
  <c r="G51" i="44"/>
  <c r="G37" i="44"/>
  <c r="G18" i="44"/>
  <c r="G52" i="44"/>
  <c r="G21" i="44"/>
  <c r="G33" i="44"/>
  <c r="G14" i="44"/>
  <c r="G36" i="44"/>
  <c r="G44" i="44"/>
  <c r="G41" i="44"/>
  <c r="G28" i="44"/>
  <c r="G17" i="44"/>
  <c r="G38" i="44"/>
  <c r="G20" i="44"/>
  <c r="G50" i="44"/>
  <c r="G25" i="44"/>
  <c r="G31" i="44"/>
  <c r="G40" i="44"/>
  <c r="G22" i="44"/>
  <c r="G39" i="44"/>
  <c r="G15" i="44"/>
  <c r="G35" i="44"/>
  <c r="G42" i="44"/>
  <c r="G24" i="44"/>
  <c r="G45" i="44"/>
  <c r="G23" i="44"/>
  <c r="G49" i="44"/>
  <c r="G19" i="44"/>
  <c r="G30" i="44"/>
  <c r="G26" i="44"/>
  <c r="G43" i="44"/>
  <c r="G29" i="44"/>
  <c r="G46" i="44"/>
  <c r="G34" i="44"/>
  <c r="G47" i="44"/>
  <c r="G32" i="44"/>
  <c r="E27" i="43"/>
  <c r="E43" i="43"/>
  <c r="E24" i="43"/>
  <c r="E40" i="43"/>
  <c r="E17" i="43"/>
  <c r="E48" i="43"/>
  <c r="E15" i="43"/>
  <c r="E31" i="43"/>
  <c r="E50" i="43"/>
  <c r="E28" i="43"/>
  <c r="E44" i="43"/>
  <c r="E21" i="43"/>
  <c r="E37" i="43"/>
  <c r="E52" i="43"/>
  <c r="E30" i="43"/>
  <c r="E46" i="43"/>
  <c r="E19" i="43"/>
  <c r="E35" i="43"/>
  <c r="E16" i="43"/>
  <c r="E32" i="43"/>
  <c r="E47" i="43"/>
  <c r="E25" i="43"/>
  <c r="E41" i="43"/>
  <c r="E18" i="43"/>
  <c r="E34" i="43"/>
  <c r="E49" i="43"/>
  <c r="E23" i="43"/>
  <c r="E39" i="43"/>
  <c r="E20" i="43"/>
  <c r="E36" i="43"/>
  <c r="E51" i="43"/>
  <c r="E29" i="43"/>
  <c r="E45" i="43"/>
  <c r="E22" i="43"/>
  <c r="E38" i="43"/>
  <c r="E14" i="43"/>
  <c r="E33" i="43"/>
  <c r="E26" i="43"/>
  <c r="E42" i="43"/>
  <c r="I15" i="153" l="1"/>
  <c r="D19" i="150"/>
  <c r="F24" i="56"/>
  <c r="E24" i="56"/>
  <c r="F18" i="56"/>
  <c r="E18" i="56"/>
  <c r="F15" i="56"/>
  <c r="E15" i="56"/>
  <c r="F12" i="56"/>
  <c r="E12" i="56"/>
  <c r="F26" i="56"/>
  <c r="E26" i="56"/>
  <c r="F21" i="56"/>
  <c r="E21" i="56"/>
  <c r="F29" i="56"/>
  <c r="E29" i="56"/>
  <c r="M50" i="15"/>
  <c r="M28" i="15"/>
  <c r="M36" i="15"/>
  <c r="M14" i="15"/>
  <c r="M44" i="15"/>
  <c r="M24" i="15"/>
  <c r="M31" i="15"/>
  <c r="M32" i="15"/>
  <c r="M13" i="15"/>
  <c r="M42" i="15"/>
  <c r="M21" i="15"/>
  <c r="M45" i="15"/>
  <c r="M25" i="15"/>
  <c r="M38" i="15"/>
  <c r="M39" i="15"/>
  <c r="M19" i="15"/>
  <c r="M27" i="15"/>
  <c r="M48" i="15"/>
  <c r="M35" i="15"/>
  <c r="M16" i="15"/>
  <c r="M40" i="15"/>
  <c r="M20" i="15"/>
  <c r="M33" i="15"/>
  <c r="M41" i="15"/>
  <c r="M43" i="15"/>
  <c r="M22" i="15"/>
  <c r="M49" i="15"/>
  <c r="M30" i="15"/>
  <c r="M37" i="15"/>
  <c r="M34" i="15"/>
  <c r="M15" i="15"/>
  <c r="M47" i="15"/>
  <c r="M18" i="15"/>
  <c r="M46" i="15"/>
  <c r="M26" i="15"/>
  <c r="M17" i="15"/>
  <c r="M29" i="15"/>
  <c r="L35" i="15"/>
  <c r="L48" i="15"/>
  <c r="L39" i="15"/>
  <c r="L32" i="15"/>
  <c r="L17" i="15"/>
  <c r="L28" i="15"/>
  <c r="L33" i="15"/>
  <c r="L20" i="15"/>
  <c r="L38" i="15"/>
  <c r="L25" i="15"/>
  <c r="L31" i="15"/>
  <c r="L26" i="15"/>
  <c r="L50" i="15"/>
  <c r="L40" i="15"/>
  <c r="L15" i="15"/>
  <c r="L45" i="15"/>
  <c r="L24" i="15"/>
  <c r="L46" i="15"/>
  <c r="L34" i="15"/>
  <c r="L27" i="15"/>
  <c r="L37" i="15"/>
  <c r="L21" i="15"/>
  <c r="L44" i="15"/>
  <c r="L18" i="15"/>
  <c r="L30" i="15"/>
  <c r="L49" i="15"/>
  <c r="L42" i="15"/>
  <c r="L14" i="15"/>
  <c r="L36" i="15"/>
  <c r="L22" i="15"/>
  <c r="L41" i="15"/>
  <c r="L19" i="15"/>
  <c r="L43" i="15"/>
  <c r="L13" i="15"/>
  <c r="L29" i="15"/>
  <c r="L47" i="15"/>
  <c r="L16" i="15"/>
  <c r="L52" i="15"/>
  <c r="L51" i="15"/>
  <c r="M52" i="15"/>
  <c r="M51" i="15"/>
  <c r="F32" i="48"/>
  <c r="F33" i="48"/>
  <c r="G34" i="39"/>
  <c r="J47" i="15"/>
  <c r="C40" i="38" s="1"/>
  <c r="E40" i="38" s="1"/>
  <c r="C40" i="12"/>
  <c r="F35" i="10"/>
  <c r="C44" i="12"/>
  <c r="F39" i="10"/>
  <c r="C39" i="12"/>
  <c r="F33" i="10"/>
  <c r="J41" i="15"/>
  <c r="J22" i="15"/>
  <c r="H20" i="137" s="1"/>
  <c r="G28" i="39"/>
  <c r="G45" i="39"/>
  <c r="E43" i="15"/>
  <c r="E50" i="15"/>
  <c r="D49" i="15"/>
  <c r="D50" i="15"/>
  <c r="D39" i="15"/>
  <c r="M23" i="15"/>
  <c r="E13" i="56"/>
  <c r="L23" i="15"/>
  <c r="C49" i="38" l="1"/>
  <c r="E49" i="38" s="1"/>
  <c r="D15" i="153"/>
  <c r="M54" i="15"/>
  <c r="L54" i="15"/>
  <c r="C22" i="48"/>
  <c r="C23" i="48"/>
  <c r="D22" i="48"/>
  <c r="F13" i="56"/>
  <c r="C15" i="39"/>
  <c r="C14" i="10"/>
  <c r="D12" i="39"/>
  <c r="D12" i="10"/>
  <c r="C14" i="39"/>
  <c r="C17" i="10"/>
  <c r="C12" i="39"/>
  <c r="C12" i="10"/>
  <c r="D29" i="39"/>
  <c r="D37" i="10"/>
  <c r="C48" i="8"/>
  <c r="C38" i="8"/>
  <c r="C44" i="32"/>
  <c r="C49" i="32"/>
  <c r="E14" i="56"/>
  <c r="D17" i="15"/>
  <c r="F16" i="56" l="1"/>
  <c r="E16" i="56"/>
  <c r="F22" i="56"/>
  <c r="E22" i="56"/>
  <c r="C24" i="48"/>
  <c r="C21" i="48" s="1"/>
  <c r="F14" i="56"/>
  <c r="C16" i="39"/>
  <c r="C16" i="10"/>
  <c r="E17" i="15"/>
  <c r="E19" i="15"/>
  <c r="D24" i="48" l="1"/>
  <c r="D46" i="39"/>
  <c r="D49" i="10"/>
  <c r="D16" i="39"/>
  <c r="D16" i="10"/>
  <c r="G19" i="15"/>
  <c r="J17" i="137" s="1"/>
  <c r="K17" i="137" s="1"/>
  <c r="F32" i="15"/>
  <c r="C26" i="36" s="1"/>
  <c r="S32" i="15" l="1"/>
  <c r="C47" i="12"/>
  <c r="F49" i="10"/>
  <c r="E37" i="39"/>
  <c r="E32" i="10"/>
  <c r="G46" i="39"/>
  <c r="E33" i="15"/>
  <c r="D32" i="39" l="1"/>
  <c r="D30" i="10"/>
  <c r="I23" i="15"/>
  <c r="G43" i="137" s="1"/>
  <c r="H15" i="148" s="1"/>
  <c r="H20" i="148" s="1"/>
  <c r="I15" i="15" l="1"/>
  <c r="G14" i="137" s="1"/>
  <c r="I17" i="15"/>
  <c r="D17" i="42" s="1"/>
  <c r="D30" i="38" s="1"/>
  <c r="I18" i="15"/>
  <c r="G16" i="137" s="1"/>
  <c r="I19" i="15"/>
  <c r="D20" i="42" l="1"/>
  <c r="D22" i="38" s="1"/>
  <c r="G17" i="137"/>
  <c r="D19" i="42"/>
  <c r="D35" i="38" s="1"/>
  <c r="D15" i="42"/>
  <c r="D37" i="38" s="1"/>
  <c r="I54" i="15"/>
  <c r="J19" i="15"/>
  <c r="H17" i="137" s="1"/>
  <c r="E18" i="15" l="1"/>
  <c r="D44" i="39" l="1"/>
  <c r="D46" i="10"/>
  <c r="F18" i="15"/>
  <c r="C38" i="36" s="1"/>
  <c r="E21" i="15"/>
  <c r="E15" i="15"/>
  <c r="E32" i="15"/>
  <c r="D31" i="15"/>
  <c r="D30" i="15"/>
  <c r="F34" i="15"/>
  <c r="C34" i="36" s="1"/>
  <c r="C22" i="38"/>
  <c r="E22" i="38" s="1"/>
  <c r="S34" i="15" l="1"/>
  <c r="S18" i="15"/>
  <c r="C15" i="48"/>
  <c r="C30" i="48"/>
  <c r="C28" i="48" s="1"/>
  <c r="E17" i="56"/>
  <c r="D54" i="15"/>
  <c r="C25" i="39"/>
  <c r="C21" i="10"/>
  <c r="D30" i="39"/>
  <c r="D34" i="10"/>
  <c r="D27" i="39"/>
  <c r="D24" i="10"/>
  <c r="E42" i="39"/>
  <c r="E40" i="10"/>
  <c r="E44" i="39"/>
  <c r="G44" i="39" s="1"/>
  <c r="E46" i="10"/>
  <c r="C20" i="39"/>
  <c r="C22" i="10"/>
  <c r="D37" i="39"/>
  <c r="D32" i="10"/>
  <c r="G18" i="15"/>
  <c r="J16" i="137" s="1"/>
  <c r="K16" i="137" s="1"/>
  <c r="G32" i="15"/>
  <c r="J28" i="137" s="1"/>
  <c r="K28" i="137" s="1"/>
  <c r="C39" i="32"/>
  <c r="C43" i="8"/>
  <c r="F19" i="56" l="1"/>
  <c r="E19" i="56"/>
  <c r="E31" i="56" s="1"/>
  <c r="C31" i="56"/>
  <c r="F17" i="56"/>
  <c r="C38" i="12"/>
  <c r="F32" i="10"/>
  <c r="J18" i="15"/>
  <c r="C43" i="12"/>
  <c r="F46" i="10"/>
  <c r="J32" i="15"/>
  <c r="G37" i="39"/>
  <c r="C53" i="39"/>
  <c r="C54" i="10"/>
  <c r="C14" i="48"/>
  <c r="C13" i="38"/>
  <c r="E13" i="38" s="1"/>
  <c r="C14" i="38" l="1"/>
  <c r="E14" i="38" s="1"/>
  <c r="H28" i="137"/>
  <c r="C35" i="38"/>
  <c r="E35" i="38" s="1"/>
  <c r="H16" i="137"/>
  <c r="C36" i="8"/>
  <c r="C32" i="32"/>
  <c r="C12" i="32"/>
  <c r="C12" i="8"/>
  <c r="C13" i="32"/>
  <c r="C13" i="8"/>
  <c r="G13" i="53" l="1"/>
  <c r="G12" i="53" l="1"/>
  <c r="G54" i="53" s="1"/>
  <c r="F26" i="15" l="1"/>
  <c r="C15" i="36" l="1"/>
  <c r="E15" i="150"/>
  <c r="S26" i="15"/>
  <c r="E13" i="39"/>
  <c r="G13" i="39" s="1"/>
  <c r="E15" i="10"/>
  <c r="G26" i="15"/>
  <c r="C15" i="135" s="1"/>
  <c r="D15" i="150" l="1"/>
  <c r="I14" i="153"/>
  <c r="J23" i="137"/>
  <c r="K23" i="137" s="1"/>
  <c r="E18" i="135"/>
  <c r="F21" i="15"/>
  <c r="C21" i="36" s="1"/>
  <c r="J26" i="15"/>
  <c r="C13" i="12"/>
  <c r="F15" i="10"/>
  <c r="H23" i="137" l="1"/>
  <c r="D13" i="153"/>
  <c r="S21" i="15"/>
  <c r="F15" i="15"/>
  <c r="C32" i="36" s="1"/>
  <c r="C24" i="38"/>
  <c r="E24" i="38" s="1"/>
  <c r="C27" i="32"/>
  <c r="C25" i="8"/>
  <c r="E27" i="39"/>
  <c r="G27" i="39" s="1"/>
  <c r="E24" i="10"/>
  <c r="G21" i="15"/>
  <c r="J19" i="137" s="1"/>
  <c r="K19" i="137" s="1"/>
  <c r="S15" i="15" l="1"/>
  <c r="C23" i="12"/>
  <c r="F24" i="10"/>
  <c r="J21" i="15"/>
  <c r="H19" i="137" s="1"/>
  <c r="E30" i="39"/>
  <c r="G30" i="39" s="1"/>
  <c r="E34" i="10"/>
  <c r="G15" i="15"/>
  <c r="J14" i="137" s="1"/>
  <c r="K14" i="137" s="1"/>
  <c r="S50" i="15" l="1"/>
  <c r="C24" i="12"/>
  <c r="J15" i="15"/>
  <c r="H14" i="137" s="1"/>
  <c r="F34" i="10"/>
  <c r="C28" i="38"/>
  <c r="E28" i="38" s="1"/>
  <c r="C24" i="8"/>
  <c r="C18" i="32"/>
  <c r="E22" i="48" l="1"/>
  <c r="C37" i="38"/>
  <c r="E37" i="38" s="1"/>
  <c r="C36" i="32"/>
  <c r="C35" i="8"/>
  <c r="E12" i="10"/>
  <c r="E12" i="39"/>
  <c r="G50" i="15"/>
  <c r="I12" i="153" l="1"/>
  <c r="D13" i="150"/>
  <c r="F22" i="48"/>
  <c r="J50" i="15"/>
  <c r="C12" i="12"/>
  <c r="F12" i="10"/>
  <c r="G12" i="39"/>
  <c r="D12" i="153" l="1"/>
  <c r="C23" i="38"/>
  <c r="E23" i="38" s="1"/>
  <c r="C25" i="32"/>
  <c r="C16" i="8"/>
  <c r="F14" i="15" l="1"/>
  <c r="C40" i="36" s="1"/>
  <c r="S14" i="15" l="1"/>
  <c r="E13" i="15"/>
  <c r="E23" i="39"/>
  <c r="E25" i="10"/>
  <c r="D25" i="48" l="1"/>
  <c r="D21" i="48" s="1"/>
  <c r="D36" i="39"/>
  <c r="G36" i="39" s="1"/>
  <c r="D28" i="10"/>
  <c r="G13" i="15"/>
  <c r="F25" i="48" l="1"/>
  <c r="F28" i="10"/>
  <c r="C37" i="12"/>
  <c r="J13" i="15"/>
  <c r="C45" i="38" s="1"/>
  <c r="E45" i="38" s="1"/>
  <c r="C43" i="32" l="1"/>
  <c r="C37" i="8"/>
  <c r="F48" i="15" l="1"/>
  <c r="C35" i="36" s="1"/>
  <c r="S48" i="15" l="1"/>
  <c r="E35" i="48"/>
  <c r="E40" i="39"/>
  <c r="E44" i="10"/>
  <c r="F46" i="15" l="1"/>
  <c r="C22" i="36" s="1"/>
  <c r="S46" i="15" l="1"/>
  <c r="E23" i="10"/>
  <c r="E24" i="39"/>
  <c r="E39" i="15" l="1"/>
  <c r="D14" i="39" l="1"/>
  <c r="D17" i="10"/>
  <c r="E14" i="15" l="1"/>
  <c r="D23" i="39" l="1"/>
  <c r="G23" i="39" s="1"/>
  <c r="G14" i="15"/>
  <c r="D25" i="10"/>
  <c r="J13" i="137" l="1"/>
  <c r="F25" i="10"/>
  <c r="C22" i="12"/>
  <c r="J14" i="15"/>
  <c r="C26" i="38" l="1"/>
  <c r="E26" i="38" s="1"/>
  <c r="H13" i="137"/>
  <c r="K13" i="137"/>
  <c r="C28" i="8"/>
  <c r="C22" i="32"/>
  <c r="E36" i="15" l="1"/>
  <c r="D19" i="39" l="1"/>
  <c r="D19" i="10"/>
  <c r="E42" i="15" l="1"/>
  <c r="D26" i="39" l="1"/>
  <c r="D48" i="10"/>
  <c r="E45" i="15" l="1"/>
  <c r="D21" i="39" l="1"/>
  <c r="D29" i="10"/>
  <c r="F17" i="15" l="1"/>
  <c r="C16" i="36" s="1"/>
  <c r="S17" i="15" l="1"/>
  <c r="E24" i="48"/>
  <c r="E16" i="39"/>
  <c r="G16" i="39" s="1"/>
  <c r="G17" i="15"/>
  <c r="E16" i="10"/>
  <c r="F24" i="48" l="1"/>
  <c r="F16" i="10"/>
  <c r="J17" i="15"/>
  <c r="C20" i="12"/>
  <c r="C30" i="38" l="1"/>
  <c r="E30" i="38" s="1"/>
  <c r="C38" i="32"/>
  <c r="C20" i="8"/>
  <c r="E30" i="15" l="1"/>
  <c r="E20" i="15"/>
  <c r="D26" i="10" l="1"/>
  <c r="D20" i="39"/>
  <c r="D22" i="10"/>
  <c r="D17" i="39"/>
  <c r="F38" i="15" l="1"/>
  <c r="C20" i="36" s="1"/>
  <c r="S38" i="15" l="1"/>
  <c r="E31" i="48"/>
  <c r="E20" i="10"/>
  <c r="E22" i="39"/>
  <c r="F27" i="15" l="1"/>
  <c r="C31" i="36" s="1"/>
  <c r="H290" i="1"/>
  <c r="AZ290" i="1" s="1"/>
  <c r="R290" i="1" l="1"/>
  <c r="S290" i="1" s="1"/>
  <c r="D17" i="117" s="1"/>
  <c r="AY290" i="1"/>
  <c r="S27" i="15"/>
  <c r="E53" i="15"/>
  <c r="H291" i="1"/>
  <c r="AZ291" i="1" s="1"/>
  <c r="E41" i="39"/>
  <c r="E38" i="10"/>
  <c r="R291" i="1" l="1"/>
  <c r="S291" i="1" s="1"/>
  <c r="AY291" i="1"/>
  <c r="K24" i="109"/>
  <c r="K54" i="109" s="1"/>
  <c r="J24" i="109"/>
  <c r="D36" i="48"/>
  <c r="G53" i="15"/>
  <c r="J53" i="15" s="1"/>
  <c r="D51" i="10"/>
  <c r="D51" i="39"/>
  <c r="G51" i="39" s="1"/>
  <c r="W28" i="92"/>
  <c r="Z28" i="92"/>
  <c r="F14" i="155" s="1"/>
  <c r="AR28" i="92"/>
  <c r="AL28" i="92"/>
  <c r="Y28" i="92"/>
  <c r="V28" i="92"/>
  <c r="AN28" i="92"/>
  <c r="F15" i="155" s="1"/>
  <c r="AK28" i="92"/>
  <c r="AQ28" i="92"/>
  <c r="H30" i="64" s="1"/>
  <c r="AB28" i="92"/>
  <c r="X28" i="92"/>
  <c r="AD28" i="92"/>
  <c r="AP28" i="92"/>
  <c r="D32" i="64" s="1"/>
  <c r="AM28" i="92"/>
  <c r="AJ28" i="92"/>
  <c r="L31" i="64" s="1"/>
  <c r="E14" i="155" l="1"/>
  <c r="P14" i="141"/>
  <c r="O14" i="141" s="1"/>
  <c r="Q14" i="141" s="1"/>
  <c r="R14" i="141" s="1"/>
  <c r="E15" i="155"/>
  <c r="E25" i="155" s="1"/>
  <c r="P17" i="141"/>
  <c r="O17" i="141" s="1"/>
  <c r="Q17" i="141" s="1"/>
  <c r="R17" i="141" s="1"/>
  <c r="C15" i="155"/>
  <c r="E23" i="155" s="1"/>
  <c r="P20" i="141"/>
  <c r="O20" i="141" s="1"/>
  <c r="Q20" i="141" s="1"/>
  <c r="R20" i="141" s="1"/>
  <c r="D15" i="155"/>
  <c r="F16" i="155"/>
  <c r="C14" i="155"/>
  <c r="E16" i="155"/>
  <c r="D18" i="117"/>
  <c r="F18" i="117" s="1"/>
  <c r="C51" i="12"/>
  <c r="BO28" i="92"/>
  <c r="AX28" i="92"/>
  <c r="BR28" i="92"/>
  <c r="BA28" i="92"/>
  <c r="AN52" i="92"/>
  <c r="BP28" i="92"/>
  <c r="AL52" i="92"/>
  <c r="BN28" i="92"/>
  <c r="BL28" i="92"/>
  <c r="X52" i="92"/>
  <c r="AZ28" i="92"/>
  <c r="BT28" i="92"/>
  <c r="BD28" i="92"/>
  <c r="Z52" i="92"/>
  <c r="BB28" i="92"/>
  <c r="BS28" i="92"/>
  <c r="W52" i="92"/>
  <c r="AY28" i="92"/>
  <c r="BF28" i="92"/>
  <c r="AK52" i="92"/>
  <c r="BM28" i="92"/>
  <c r="AJ52" i="92"/>
  <c r="AQ52" i="92"/>
  <c r="AP52" i="92"/>
  <c r="F36" i="48"/>
  <c r="F51" i="10"/>
  <c r="E35" i="15"/>
  <c r="V52" i="92"/>
  <c r="AB52" i="92"/>
  <c r="AC52" i="92"/>
  <c r="Y52" i="92"/>
  <c r="AD52" i="92"/>
  <c r="AM52" i="92"/>
  <c r="AR52" i="92"/>
  <c r="AO28" i="92"/>
  <c r="AA28" i="92"/>
  <c r="C50" i="32"/>
  <c r="C50" i="8"/>
  <c r="C50" i="38"/>
  <c r="E50" i="38" s="1"/>
  <c r="F25" i="155" l="1"/>
  <c r="G39" i="95"/>
  <c r="E39" i="95"/>
  <c r="E21" i="155"/>
  <c r="F21" i="155"/>
  <c r="D16" i="155"/>
  <c r="F23" i="155"/>
  <c r="C16" i="155"/>
  <c r="BL52" i="92"/>
  <c r="AY52" i="92"/>
  <c r="BO52" i="92"/>
  <c r="BF52" i="92"/>
  <c r="BA52" i="92"/>
  <c r="BN52" i="92"/>
  <c r="H39" i="95"/>
  <c r="D39" i="95"/>
  <c r="BQ28" i="92"/>
  <c r="BM52" i="92"/>
  <c r="BT52" i="92"/>
  <c r="BE52" i="92"/>
  <c r="BD52" i="92"/>
  <c r="BR52" i="92"/>
  <c r="BC28" i="92"/>
  <c r="AX52" i="92"/>
  <c r="BB52" i="92"/>
  <c r="AZ52" i="92"/>
  <c r="BP52" i="92"/>
  <c r="BS52" i="92"/>
  <c r="I39" i="95"/>
  <c r="AA52" i="92"/>
  <c r="AO52" i="92"/>
  <c r="D52" i="10"/>
  <c r="G35" i="15"/>
  <c r="D48" i="39"/>
  <c r="G48" i="39" s="1"/>
  <c r="E34" i="15"/>
  <c r="E38" i="15"/>
  <c r="F45" i="15"/>
  <c r="C33" i="36" s="1"/>
  <c r="F39" i="95" l="1"/>
  <c r="G21" i="95"/>
  <c r="E21" i="95"/>
  <c r="J35" i="15"/>
  <c r="H31" i="137" s="1"/>
  <c r="J31" i="137"/>
  <c r="K31" i="137" s="1"/>
  <c r="S45" i="15"/>
  <c r="C39" i="95"/>
  <c r="BQ52" i="92"/>
  <c r="BC52" i="92"/>
  <c r="I21" i="95"/>
  <c r="H21" i="95"/>
  <c r="D21" i="95"/>
  <c r="J21" i="95"/>
  <c r="C48" i="12"/>
  <c r="D31" i="48"/>
  <c r="G34" i="15"/>
  <c r="J30" i="137" s="1"/>
  <c r="K30" i="137" s="1"/>
  <c r="F52" i="10"/>
  <c r="D40" i="10"/>
  <c r="D22" i="39"/>
  <c r="G22" i="39" s="1"/>
  <c r="D20" i="10"/>
  <c r="D42" i="39"/>
  <c r="G42" i="39" s="1"/>
  <c r="G38" i="15"/>
  <c r="E44" i="15"/>
  <c r="E48" i="15"/>
  <c r="D19" i="48"/>
  <c r="D16" i="48" s="1"/>
  <c r="E28" i="15"/>
  <c r="E23" i="15"/>
  <c r="F37" i="15"/>
  <c r="C39" i="36" s="1"/>
  <c r="E29" i="15"/>
  <c r="F42" i="15"/>
  <c r="C42" i="36" s="1"/>
  <c r="F36" i="15"/>
  <c r="C17" i="36" s="1"/>
  <c r="F40" i="15"/>
  <c r="C37" i="36" s="1"/>
  <c r="C19" i="38"/>
  <c r="E19" i="38" s="1"/>
  <c r="C44" i="8"/>
  <c r="C41" i="32"/>
  <c r="F44" i="15"/>
  <c r="C36" i="36" s="1"/>
  <c r="E21" i="39"/>
  <c r="G21" i="39" s="1"/>
  <c r="E29" i="10"/>
  <c r="G45" i="15"/>
  <c r="F21" i="95" l="1"/>
  <c r="J39" i="137"/>
  <c r="K39" i="137" s="1"/>
  <c r="C25" i="12"/>
  <c r="J33" i="137"/>
  <c r="K33" i="137" s="1"/>
  <c r="S44" i="15"/>
  <c r="S40" i="15"/>
  <c r="S36" i="15"/>
  <c r="S42" i="15"/>
  <c r="S37" i="15"/>
  <c r="C21" i="95"/>
  <c r="F40" i="10"/>
  <c r="J34" i="15"/>
  <c r="C41" i="12"/>
  <c r="D39" i="39"/>
  <c r="G39" i="39" s="1"/>
  <c r="G23" i="15"/>
  <c r="E52" i="41" s="1"/>
  <c r="G28" i="15"/>
  <c r="D35" i="48"/>
  <c r="D28" i="48" s="1"/>
  <c r="D43" i="39"/>
  <c r="F31" i="48"/>
  <c r="F20" i="10"/>
  <c r="J38" i="15"/>
  <c r="F19" i="48"/>
  <c r="D44" i="10"/>
  <c r="D40" i="39"/>
  <c r="G40" i="39" s="1"/>
  <c r="G48" i="15"/>
  <c r="D45" i="10"/>
  <c r="D43" i="10"/>
  <c r="D38" i="39"/>
  <c r="G38" i="39" s="1"/>
  <c r="E49" i="39"/>
  <c r="G49" i="39" s="1"/>
  <c r="E26" i="48"/>
  <c r="E47" i="10"/>
  <c r="G37" i="15"/>
  <c r="G29" i="15"/>
  <c r="J26" i="137" s="1"/>
  <c r="K26" i="137" s="1"/>
  <c r="D41" i="10"/>
  <c r="F16" i="15"/>
  <c r="C28" i="36" s="1"/>
  <c r="E31" i="39"/>
  <c r="G31" i="39" s="1"/>
  <c r="E27" i="10"/>
  <c r="G40" i="15"/>
  <c r="J35" i="137" s="1"/>
  <c r="K35" i="137" s="1"/>
  <c r="F29" i="10"/>
  <c r="J45" i="15"/>
  <c r="H39" i="137" s="1"/>
  <c r="C18" i="12"/>
  <c r="E19" i="39"/>
  <c r="G19" i="39" s="1"/>
  <c r="E19" i="10"/>
  <c r="G36" i="15"/>
  <c r="F43" i="15"/>
  <c r="C29" i="36" s="1"/>
  <c r="D13" i="10"/>
  <c r="F16" i="48"/>
  <c r="E43" i="39"/>
  <c r="E43" i="10"/>
  <c r="E48" i="10"/>
  <c r="E26" i="39"/>
  <c r="G26" i="39" s="1"/>
  <c r="G42" i="15"/>
  <c r="J36" i="137" s="1"/>
  <c r="K36" i="137" s="1"/>
  <c r="G44" i="15"/>
  <c r="J38" i="137" s="1"/>
  <c r="K38" i="137" s="1"/>
  <c r="J32" i="137" l="1"/>
  <c r="K32" i="137" s="1"/>
  <c r="C18" i="8"/>
  <c r="H33" i="137"/>
  <c r="C35" i="12"/>
  <c r="J25" i="137"/>
  <c r="K25" i="137" s="1"/>
  <c r="C31" i="8"/>
  <c r="H30" i="137"/>
  <c r="S43" i="15"/>
  <c r="S16" i="15"/>
  <c r="C34" i="38"/>
  <c r="E34" i="38" s="1"/>
  <c r="E21" i="41"/>
  <c r="K22" i="15" s="1"/>
  <c r="N22" i="15" s="1"/>
  <c r="D39" i="12" s="1"/>
  <c r="E20" i="41"/>
  <c r="K21" i="15" s="1"/>
  <c r="N21" i="15" s="1"/>
  <c r="E16" i="41"/>
  <c r="K16" i="15" s="1"/>
  <c r="N16" i="15" s="1"/>
  <c r="E22" i="41"/>
  <c r="K24" i="15" s="1"/>
  <c r="N24" i="15" s="1"/>
  <c r="D29" i="12" s="1"/>
  <c r="E23" i="41"/>
  <c r="K25" i="15" s="1"/>
  <c r="N25" i="15" s="1"/>
  <c r="O25" i="15" s="1"/>
  <c r="D33" i="32" s="1"/>
  <c r="E54" i="41"/>
  <c r="K51" i="15" s="1"/>
  <c r="N51" i="15" s="1"/>
  <c r="O51" i="15" s="1"/>
  <c r="D51" i="32" s="1"/>
  <c r="G43" i="39"/>
  <c r="E41" i="41"/>
  <c r="E37" i="41"/>
  <c r="K43" i="15" s="1"/>
  <c r="N43" i="15" s="1"/>
  <c r="O43" i="15" s="1"/>
  <c r="D17" i="32" s="1"/>
  <c r="E39" i="41"/>
  <c r="K45" i="15" s="1"/>
  <c r="N45" i="15" s="1"/>
  <c r="D18" i="12" s="1"/>
  <c r="E26" i="41"/>
  <c r="E18" i="41"/>
  <c r="K19" i="15" s="1"/>
  <c r="N19" i="15" s="1"/>
  <c r="P19" i="15" s="1"/>
  <c r="E45" i="41"/>
  <c r="E49" i="41"/>
  <c r="K38" i="15" s="1"/>
  <c r="N38" i="15" s="1"/>
  <c r="E34" i="41"/>
  <c r="K39" i="15" s="1"/>
  <c r="N39" i="15" s="1"/>
  <c r="E35" i="41"/>
  <c r="K40" i="15" s="1"/>
  <c r="N40" i="15" s="1"/>
  <c r="D28" i="12" s="1"/>
  <c r="J28" i="15"/>
  <c r="C37" i="32"/>
  <c r="F45" i="10"/>
  <c r="E28" i="41"/>
  <c r="K30" i="15" s="1"/>
  <c r="N30" i="15" s="1"/>
  <c r="E29" i="41"/>
  <c r="K32" i="15" s="1"/>
  <c r="N32" i="15" s="1"/>
  <c r="D38" i="12" s="1"/>
  <c r="E53" i="41"/>
  <c r="K23" i="15" s="1"/>
  <c r="N23" i="15" s="1"/>
  <c r="E43" i="41"/>
  <c r="K17" i="15" s="1"/>
  <c r="N17" i="15" s="1"/>
  <c r="E56" i="41"/>
  <c r="K53" i="15" s="1"/>
  <c r="N53" i="15" s="1"/>
  <c r="E50" i="41"/>
  <c r="K37" i="15" s="1"/>
  <c r="N37" i="15" s="1"/>
  <c r="E51" i="41"/>
  <c r="K13" i="15" s="1"/>
  <c r="N13" i="15" s="1"/>
  <c r="E30" i="41"/>
  <c r="K33" i="15" s="1"/>
  <c r="N33" i="15" s="1"/>
  <c r="D34" i="12" s="1"/>
  <c r="E17" i="41"/>
  <c r="K18" i="15" s="1"/>
  <c r="N18" i="15" s="1"/>
  <c r="E24" i="41"/>
  <c r="K26" i="15" s="1"/>
  <c r="N26" i="15" s="1"/>
  <c r="E55" i="41"/>
  <c r="K52" i="15" s="1"/>
  <c r="N52" i="15" s="1"/>
  <c r="E14" i="41"/>
  <c r="K14" i="15" s="1"/>
  <c r="N14" i="15" s="1"/>
  <c r="E19" i="41"/>
  <c r="K20" i="15" s="1"/>
  <c r="N20" i="15" s="1"/>
  <c r="D26" i="12" s="1"/>
  <c r="E36" i="41"/>
  <c r="K42" i="15" s="1"/>
  <c r="N42" i="15" s="1"/>
  <c r="E32" i="41"/>
  <c r="K35" i="15" s="1"/>
  <c r="N35" i="15" s="1"/>
  <c r="J23" i="15"/>
  <c r="E46" i="41"/>
  <c r="E31" i="41"/>
  <c r="K34" i="15" s="1"/>
  <c r="N34" i="15" s="1"/>
  <c r="E15" i="41"/>
  <c r="E44" i="41"/>
  <c r="K49" i="15" s="1"/>
  <c r="N49" i="15" s="1"/>
  <c r="E27" i="41"/>
  <c r="K29" i="15" s="1"/>
  <c r="N29" i="15" s="1"/>
  <c r="E25" i="41"/>
  <c r="K27" i="15" s="1"/>
  <c r="N27" i="15" s="1"/>
  <c r="E33" i="41"/>
  <c r="K36" i="15" s="1"/>
  <c r="N36" i="15" s="1"/>
  <c r="E48" i="41"/>
  <c r="K47" i="15" s="1"/>
  <c r="N47" i="15" s="1"/>
  <c r="E47" i="41"/>
  <c r="K48" i="15" s="1"/>
  <c r="N48" i="15" s="1"/>
  <c r="E38" i="41"/>
  <c r="K44" i="15" s="1"/>
  <c r="N44" i="15" s="1"/>
  <c r="O44" i="15" s="1"/>
  <c r="D26" i="32" s="1"/>
  <c r="E42" i="41"/>
  <c r="K50" i="15" s="1"/>
  <c r="N50" i="15" s="1"/>
  <c r="F26" i="48"/>
  <c r="K41" i="15"/>
  <c r="N41" i="15" s="1"/>
  <c r="P41" i="15" s="1"/>
  <c r="E44" i="12" s="1"/>
  <c r="F35" i="48"/>
  <c r="E40" i="41"/>
  <c r="C46" i="12"/>
  <c r="F44" i="10"/>
  <c r="J48" i="15"/>
  <c r="C48" i="32" s="1"/>
  <c r="C30" i="32"/>
  <c r="C21" i="38"/>
  <c r="E21" i="38" s="1"/>
  <c r="E27" i="15"/>
  <c r="E46" i="15"/>
  <c r="J37" i="15"/>
  <c r="C48" i="38" s="1"/>
  <c r="E48" i="38" s="1"/>
  <c r="C49" i="12"/>
  <c r="F47" i="10"/>
  <c r="F41" i="10"/>
  <c r="J29" i="15"/>
  <c r="C30" i="12"/>
  <c r="C42" i="12"/>
  <c r="F43" i="10"/>
  <c r="J44" i="15"/>
  <c r="H38" i="137" s="1"/>
  <c r="F24" i="15"/>
  <c r="C30" i="36" s="1"/>
  <c r="C39" i="38"/>
  <c r="E39" i="38" s="1"/>
  <c r="C40" i="8"/>
  <c r="C29" i="32"/>
  <c r="F13" i="10"/>
  <c r="F39" i="15"/>
  <c r="C14" i="36" s="1"/>
  <c r="C32" i="12"/>
  <c r="F48" i="10"/>
  <c r="J42" i="15"/>
  <c r="H36" i="137" s="1"/>
  <c r="E35" i="39"/>
  <c r="E36" i="10"/>
  <c r="E37" i="10"/>
  <c r="G43" i="15"/>
  <c r="J37" i="137" s="1"/>
  <c r="K37" i="137" s="1"/>
  <c r="E29" i="39"/>
  <c r="G29" i="39" s="1"/>
  <c r="C19" i="12"/>
  <c r="F19" i="10"/>
  <c r="J36" i="15"/>
  <c r="H32" i="137" s="1"/>
  <c r="C28" i="12"/>
  <c r="F27" i="10"/>
  <c r="J40" i="15"/>
  <c r="H35" i="137" s="1"/>
  <c r="P26" i="15" l="1"/>
  <c r="D12" i="148" s="1"/>
  <c r="D15" i="135"/>
  <c r="C43" i="38"/>
  <c r="E43" i="38" s="1"/>
  <c r="H26" i="137"/>
  <c r="E23" i="137"/>
  <c r="F23" i="137" s="1"/>
  <c r="C34" i="32"/>
  <c r="H25" i="137"/>
  <c r="Q19" i="15"/>
  <c r="E17" i="137"/>
  <c r="F17" i="137" s="1"/>
  <c r="S39" i="15"/>
  <c r="S24" i="15"/>
  <c r="C29" i="38"/>
  <c r="E29" i="38" s="1"/>
  <c r="Q41" i="15"/>
  <c r="E49" i="32" s="1"/>
  <c r="O42" i="15"/>
  <c r="D40" i="32" s="1"/>
  <c r="P42" i="15"/>
  <c r="E13" i="12"/>
  <c r="Q26" i="15"/>
  <c r="C39" i="8"/>
  <c r="D17" i="12"/>
  <c r="O39" i="15"/>
  <c r="D14" i="32" s="1"/>
  <c r="D23" i="12"/>
  <c r="O21" i="15"/>
  <c r="D18" i="32" s="1"/>
  <c r="D14" i="12"/>
  <c r="O49" i="15"/>
  <c r="D31" i="32" s="1"/>
  <c r="O36" i="15"/>
  <c r="D19" i="32" s="1"/>
  <c r="P36" i="15"/>
  <c r="D16" i="148" s="1"/>
  <c r="D51" i="12"/>
  <c r="O53" i="15"/>
  <c r="D50" i="32" s="1"/>
  <c r="P53" i="15"/>
  <c r="E51" i="12" s="1"/>
  <c r="O16" i="15"/>
  <c r="D16" i="32" s="1"/>
  <c r="D36" i="12"/>
  <c r="O52" i="15"/>
  <c r="D46" i="32" s="1"/>
  <c r="D45" i="12"/>
  <c r="P38" i="15"/>
  <c r="E33" i="137" s="1"/>
  <c r="F33" i="137" s="1"/>
  <c r="O38" i="15"/>
  <c r="D30" i="32" s="1"/>
  <c r="D33" i="12"/>
  <c r="P40" i="15"/>
  <c r="O41" i="15"/>
  <c r="D49" i="32" s="1"/>
  <c r="E47" i="12"/>
  <c r="D19" i="12"/>
  <c r="D42" i="12"/>
  <c r="P44" i="15"/>
  <c r="D32" i="12"/>
  <c r="O27" i="15"/>
  <c r="D24" i="32" s="1"/>
  <c r="D31" i="12"/>
  <c r="O19" i="15"/>
  <c r="D39" i="32" s="1"/>
  <c r="O48" i="15"/>
  <c r="D48" i="32" s="1"/>
  <c r="D46" i="12"/>
  <c r="P32" i="15"/>
  <c r="D25" i="12"/>
  <c r="O26" i="15"/>
  <c r="D27" i="32" s="1"/>
  <c r="P52" i="15"/>
  <c r="E45" i="12" s="1"/>
  <c r="K28" i="15"/>
  <c r="N28" i="15" s="1"/>
  <c r="P28" i="15" s="1"/>
  <c r="O33" i="15"/>
  <c r="D15" i="32" s="1"/>
  <c r="D13" i="12"/>
  <c r="K15" i="15"/>
  <c r="N15" i="15" s="1"/>
  <c r="O20" i="15"/>
  <c r="D20" i="32" s="1"/>
  <c r="K31" i="15"/>
  <c r="N31" i="15" s="1"/>
  <c r="P48" i="15"/>
  <c r="Q48" i="15" s="1"/>
  <c r="E48" i="32" s="1"/>
  <c r="P22" i="15"/>
  <c r="D47" i="12"/>
  <c r="D44" i="12"/>
  <c r="P13" i="15"/>
  <c r="E37" i="12" s="1"/>
  <c r="O13" i="15"/>
  <c r="D43" i="32" s="1"/>
  <c r="D37" i="12"/>
  <c r="D20" i="12"/>
  <c r="P17" i="15"/>
  <c r="E20" i="12" s="1"/>
  <c r="O17" i="15"/>
  <c r="D38" i="32" s="1"/>
  <c r="O30" i="15"/>
  <c r="D35" i="32" s="1"/>
  <c r="D16" i="12"/>
  <c r="D12" i="12"/>
  <c r="O50" i="15"/>
  <c r="D25" i="32" s="1"/>
  <c r="P50" i="15"/>
  <c r="Q50" i="15" s="1"/>
  <c r="E25" i="32" s="1"/>
  <c r="D40" i="12"/>
  <c r="P47" i="15"/>
  <c r="E40" i="12" s="1"/>
  <c r="O47" i="15"/>
  <c r="D44" i="32" s="1"/>
  <c r="D30" i="12"/>
  <c r="O29" i="15"/>
  <c r="D42" i="32" s="1"/>
  <c r="P29" i="15"/>
  <c r="P34" i="15"/>
  <c r="E30" i="137" s="1"/>
  <c r="F30" i="137" s="1"/>
  <c r="O34" i="15"/>
  <c r="D37" i="32" s="1"/>
  <c r="D41" i="12"/>
  <c r="O35" i="15"/>
  <c r="D41" i="32" s="1"/>
  <c r="D48" i="12"/>
  <c r="P35" i="15"/>
  <c r="O14" i="15"/>
  <c r="D22" i="32" s="1"/>
  <c r="D22" i="12"/>
  <c r="P14" i="15"/>
  <c r="D43" i="12"/>
  <c r="P18" i="15"/>
  <c r="O18" i="15"/>
  <c r="D32" i="32" s="1"/>
  <c r="O37" i="15"/>
  <c r="D47" i="32" s="1"/>
  <c r="D49" i="12"/>
  <c r="P37" i="15"/>
  <c r="Q37" i="15" s="1"/>
  <c r="E47" i="32" s="1"/>
  <c r="P23" i="15"/>
  <c r="Q23" i="15" s="1"/>
  <c r="O23" i="15"/>
  <c r="P21" i="15"/>
  <c r="O32" i="15"/>
  <c r="D13" i="32" s="1"/>
  <c r="P45" i="15"/>
  <c r="D17" i="148" s="1"/>
  <c r="P51" i="15"/>
  <c r="E50" i="12" s="1"/>
  <c r="D15" i="12"/>
  <c r="O45" i="15"/>
  <c r="D29" i="32" s="1"/>
  <c r="O40" i="15"/>
  <c r="D21" i="32" s="1"/>
  <c r="O24" i="15"/>
  <c r="D28" i="32" s="1"/>
  <c r="D50" i="12"/>
  <c r="O22" i="15"/>
  <c r="D12" i="32" s="1"/>
  <c r="D23" i="10"/>
  <c r="D41" i="39"/>
  <c r="G41" i="39" s="1"/>
  <c r="K46" i="15"/>
  <c r="C44" i="38"/>
  <c r="E44" i="38" s="1"/>
  <c r="C47" i="8"/>
  <c r="G46" i="15"/>
  <c r="J40" i="137" s="1"/>
  <c r="K40" i="137" s="1"/>
  <c r="D24" i="39"/>
  <c r="G24" i="39" s="1"/>
  <c r="G27" i="15"/>
  <c r="J24" i="137" s="1"/>
  <c r="K24" i="137" s="1"/>
  <c r="D38" i="10"/>
  <c r="E25" i="15"/>
  <c r="C46" i="8"/>
  <c r="C47" i="32"/>
  <c r="E16" i="15"/>
  <c r="C42" i="8"/>
  <c r="C42" i="32"/>
  <c r="F30" i="15"/>
  <c r="C18" i="36" s="1"/>
  <c r="C31" i="38"/>
  <c r="E31" i="38" s="1"/>
  <c r="C26" i="32"/>
  <c r="C30" i="8"/>
  <c r="F31" i="15"/>
  <c r="C27" i="38"/>
  <c r="E27" i="38" s="1"/>
  <c r="C21" i="32"/>
  <c r="C23" i="8"/>
  <c r="F25" i="15"/>
  <c r="C19" i="36" s="1"/>
  <c r="C33" i="12"/>
  <c r="J43" i="15"/>
  <c r="H37" i="137" s="1"/>
  <c r="F37" i="10"/>
  <c r="P43" i="15"/>
  <c r="E37" i="137" s="1"/>
  <c r="F37" i="137" s="1"/>
  <c r="C32" i="38"/>
  <c r="E32" i="38" s="1"/>
  <c r="C26" i="8"/>
  <c r="C19" i="32"/>
  <c r="E33" i="39"/>
  <c r="E31" i="10"/>
  <c r="C20" i="38"/>
  <c r="E20" i="38" s="1"/>
  <c r="C40" i="32"/>
  <c r="C49" i="8"/>
  <c r="F20" i="15"/>
  <c r="C23" i="36" s="1"/>
  <c r="E14" i="39"/>
  <c r="G14" i="39" s="1"/>
  <c r="E17" i="10"/>
  <c r="G39" i="15"/>
  <c r="J34" i="137" s="1"/>
  <c r="K34" i="137" s="1"/>
  <c r="F49" i="15"/>
  <c r="C13" i="36" s="1"/>
  <c r="C43" i="36" l="1"/>
  <c r="E17" i="150"/>
  <c r="E18" i="12"/>
  <c r="E39" i="137"/>
  <c r="F39" i="137" s="1"/>
  <c r="Q21" i="15"/>
  <c r="E19" i="137"/>
  <c r="F19" i="137" s="1"/>
  <c r="Q18" i="15"/>
  <c r="E16" i="137"/>
  <c r="F16" i="137" s="1"/>
  <c r="E22" i="12"/>
  <c r="E13" i="137"/>
  <c r="Q35" i="15"/>
  <c r="E31" i="137"/>
  <c r="F31" i="137" s="1"/>
  <c r="Q29" i="15"/>
  <c r="E26" i="137"/>
  <c r="F26" i="137" s="1"/>
  <c r="E39" i="12"/>
  <c r="E20" i="137"/>
  <c r="F20" i="137" s="1"/>
  <c r="E35" i="12"/>
  <c r="E25" i="137"/>
  <c r="F25" i="137" s="1"/>
  <c r="E38" i="12"/>
  <c r="E28" i="137"/>
  <c r="F28" i="137" s="1"/>
  <c r="Q44" i="15"/>
  <c r="E38" i="137"/>
  <c r="F38" i="137" s="1"/>
  <c r="Q40" i="15"/>
  <c r="E35" i="137"/>
  <c r="F35" i="137" s="1"/>
  <c r="E19" i="12"/>
  <c r="E32" i="137"/>
  <c r="F32" i="137" s="1"/>
  <c r="E27" i="32"/>
  <c r="I23" i="137"/>
  <c r="I12" i="148" s="1"/>
  <c r="Q42" i="15"/>
  <c r="E36" i="137"/>
  <c r="F36" i="137" s="1"/>
  <c r="E39" i="32"/>
  <c r="I17" i="137"/>
  <c r="S49" i="15"/>
  <c r="S20" i="15"/>
  <c r="S25" i="15"/>
  <c r="S31" i="15"/>
  <c r="S30" i="15"/>
  <c r="E32" i="12"/>
  <c r="K33" i="111"/>
  <c r="Q32" i="15"/>
  <c r="R33" i="15"/>
  <c r="Q36" i="15"/>
  <c r="Q17" i="15"/>
  <c r="E38" i="32" s="1"/>
  <c r="Q52" i="15"/>
  <c r="E46" i="32" s="1"/>
  <c r="Q14" i="15"/>
  <c r="Q13" i="15"/>
  <c r="E43" i="32" s="1"/>
  <c r="Q53" i="15"/>
  <c r="E50" i="32" s="1"/>
  <c r="Q51" i="15"/>
  <c r="E51" i="32" s="1"/>
  <c r="E23" i="12"/>
  <c r="E28" i="12"/>
  <c r="Q22" i="15"/>
  <c r="E42" i="12"/>
  <c r="E25" i="12"/>
  <c r="Q38" i="15"/>
  <c r="E49" i="12"/>
  <c r="E48" i="12"/>
  <c r="E12" i="12"/>
  <c r="E30" i="12"/>
  <c r="Q28" i="15"/>
  <c r="E46" i="12"/>
  <c r="P15" i="15"/>
  <c r="E14" i="137" s="1"/>
  <c r="F14" i="137" s="1"/>
  <c r="O15" i="15"/>
  <c r="D36" i="32" s="1"/>
  <c r="D24" i="12"/>
  <c r="D35" i="12"/>
  <c r="O28" i="15"/>
  <c r="D34" i="32" s="1"/>
  <c r="D27" i="12"/>
  <c r="O31" i="15"/>
  <c r="D45" i="32" s="1"/>
  <c r="E41" i="12"/>
  <c r="Q34" i="15"/>
  <c r="Q45" i="15"/>
  <c r="E43" i="12"/>
  <c r="Q47" i="15"/>
  <c r="E44" i="32" s="1"/>
  <c r="C21" i="12"/>
  <c r="F23" i="10"/>
  <c r="J46" i="15"/>
  <c r="E23" i="48"/>
  <c r="E21" i="48" s="1"/>
  <c r="E30" i="48"/>
  <c r="E28" i="48" s="1"/>
  <c r="D36" i="10"/>
  <c r="D18" i="39"/>
  <c r="J27" i="15"/>
  <c r="N46" i="15"/>
  <c r="K54" i="15"/>
  <c r="F38" i="10"/>
  <c r="D18" i="10"/>
  <c r="P27" i="15"/>
  <c r="C31" i="12"/>
  <c r="G25" i="15"/>
  <c r="D35" i="39"/>
  <c r="G35" i="39" s="1"/>
  <c r="G16" i="15"/>
  <c r="E25" i="39"/>
  <c r="G25" i="39" s="1"/>
  <c r="E21" i="10"/>
  <c r="G31" i="15"/>
  <c r="E22" i="10"/>
  <c r="E20" i="39"/>
  <c r="G20" i="39" s="1"/>
  <c r="G30" i="15"/>
  <c r="E15" i="39"/>
  <c r="G49" i="15"/>
  <c r="E14" i="10"/>
  <c r="J39" i="15"/>
  <c r="H34" i="137" s="1"/>
  <c r="C17" i="12"/>
  <c r="F17" i="10"/>
  <c r="P39" i="15"/>
  <c r="E34" i="137" s="1"/>
  <c r="F34" i="137" s="1"/>
  <c r="E17" i="39"/>
  <c r="G17" i="39" s="1"/>
  <c r="E26" i="10"/>
  <c r="G20" i="15"/>
  <c r="J18" i="137" s="1"/>
  <c r="Q43" i="15"/>
  <c r="E33" i="12"/>
  <c r="E18" i="39"/>
  <c r="E18" i="10"/>
  <c r="C17" i="32"/>
  <c r="C22" i="8"/>
  <c r="C17" i="38"/>
  <c r="E17" i="38" s="1"/>
  <c r="D17" i="150" l="1"/>
  <c r="I13" i="153"/>
  <c r="I17" i="153" s="1"/>
  <c r="J15" i="137"/>
  <c r="E17" i="32"/>
  <c r="I37" i="137"/>
  <c r="K18" i="137"/>
  <c r="J41" i="137"/>
  <c r="K41" i="137" s="1"/>
  <c r="J27" i="137"/>
  <c r="K27" i="137" s="1"/>
  <c r="J22" i="137"/>
  <c r="K22" i="137" s="1"/>
  <c r="E31" i="12"/>
  <c r="E24" i="137"/>
  <c r="F24" i="137" s="1"/>
  <c r="C24" i="32"/>
  <c r="H24" i="137"/>
  <c r="C23" i="32"/>
  <c r="H40" i="137"/>
  <c r="E29" i="32"/>
  <c r="I39" i="137"/>
  <c r="I17" i="148" s="1"/>
  <c r="E37" i="32"/>
  <c r="I30" i="137"/>
  <c r="E34" i="32"/>
  <c r="I25" i="137"/>
  <c r="E30" i="32"/>
  <c r="I33" i="137"/>
  <c r="E12" i="32"/>
  <c r="I20" i="137"/>
  <c r="E22" i="32"/>
  <c r="I13" i="137"/>
  <c r="E19" i="32"/>
  <c r="I32" i="137"/>
  <c r="I13" i="148" s="1"/>
  <c r="E13" i="32"/>
  <c r="I28" i="137"/>
  <c r="E40" i="32"/>
  <c r="I36" i="137"/>
  <c r="E21" i="32"/>
  <c r="I35" i="137"/>
  <c r="E26" i="32"/>
  <c r="I38" i="137"/>
  <c r="E42" i="32"/>
  <c r="I26" i="137"/>
  <c r="E41" i="32"/>
  <c r="I31" i="137"/>
  <c r="F13" i="137"/>
  <c r="E32" i="32"/>
  <c r="I16" i="137"/>
  <c r="E18" i="32"/>
  <c r="I19" i="137"/>
  <c r="F19" i="117"/>
  <c r="M33" i="111"/>
  <c r="L33" i="109"/>
  <c r="L54" i="109" s="1"/>
  <c r="F17" i="117"/>
  <c r="J33" i="109"/>
  <c r="K54" i="111"/>
  <c r="C33" i="38"/>
  <c r="E33" i="38" s="1"/>
  <c r="Q15" i="15"/>
  <c r="E24" i="12"/>
  <c r="G18" i="39"/>
  <c r="C27" i="8"/>
  <c r="C32" i="8"/>
  <c r="C38" i="38"/>
  <c r="E38" i="38" s="1"/>
  <c r="F23" i="48"/>
  <c r="F21" i="48" s="1"/>
  <c r="F30" i="48"/>
  <c r="F28" i="48" s="1"/>
  <c r="P16" i="15"/>
  <c r="C15" i="12"/>
  <c r="O46" i="15"/>
  <c r="D21" i="12"/>
  <c r="N54" i="15"/>
  <c r="P46" i="15"/>
  <c r="E40" i="137" s="1"/>
  <c r="F40" i="137" s="1"/>
  <c r="Q27" i="15"/>
  <c r="P25" i="15"/>
  <c r="D15" i="148" s="1"/>
  <c r="J25" i="15"/>
  <c r="F18" i="10"/>
  <c r="J16" i="15"/>
  <c r="F36" i="10"/>
  <c r="C36" i="12"/>
  <c r="C12" i="38"/>
  <c r="E12" i="38" s="1"/>
  <c r="C14" i="32"/>
  <c r="C15" i="8"/>
  <c r="J49" i="15"/>
  <c r="H41" i="137" s="1"/>
  <c r="C14" i="12"/>
  <c r="F14" i="10"/>
  <c r="P49" i="15"/>
  <c r="D13" i="148" s="1"/>
  <c r="J20" i="15"/>
  <c r="H18" i="137" s="1"/>
  <c r="C26" i="12"/>
  <c r="F26" i="10"/>
  <c r="P20" i="15"/>
  <c r="E18" i="137" s="1"/>
  <c r="F18" i="137" s="1"/>
  <c r="G15" i="39"/>
  <c r="E17" i="12"/>
  <c r="Q39" i="15"/>
  <c r="F21" i="10"/>
  <c r="J31" i="15"/>
  <c r="C27" i="12"/>
  <c r="P31" i="15"/>
  <c r="J30" i="15"/>
  <c r="H27" i="137" s="1"/>
  <c r="F22" i="10"/>
  <c r="C16" i="12"/>
  <c r="P30" i="15"/>
  <c r="D14" i="148" s="1"/>
  <c r="D53" i="12" l="1"/>
  <c r="D14" i="153"/>
  <c r="D17" i="153" s="1"/>
  <c r="D20" i="148"/>
  <c r="K15" i="137"/>
  <c r="E27" i="137"/>
  <c r="F27" i="137" s="1"/>
  <c r="E14" i="32"/>
  <c r="I34" i="137"/>
  <c r="E41" i="137"/>
  <c r="F41" i="137" s="1"/>
  <c r="C18" i="38"/>
  <c r="E18" i="38" s="1"/>
  <c r="H15" i="137"/>
  <c r="C33" i="32"/>
  <c r="H22" i="137"/>
  <c r="Q25" i="15"/>
  <c r="E22" i="137"/>
  <c r="F22" i="137" s="1"/>
  <c r="E24" i="32"/>
  <c r="I24" i="137"/>
  <c r="E36" i="12"/>
  <c r="E15" i="137"/>
  <c r="E36" i="32"/>
  <c r="I14" i="137"/>
  <c r="C17" i="128"/>
  <c r="E17" i="128"/>
  <c r="M54" i="111"/>
  <c r="R33" i="111"/>
  <c r="R54" i="111" s="1"/>
  <c r="J54" i="109"/>
  <c r="Q16" i="15"/>
  <c r="C14" i="98"/>
  <c r="E21" i="12"/>
  <c r="Q46" i="15"/>
  <c r="D23" i="32"/>
  <c r="C33" i="8"/>
  <c r="C42" i="38"/>
  <c r="E42" i="38" s="1"/>
  <c r="E15" i="12"/>
  <c r="C16" i="32"/>
  <c r="C17" i="8"/>
  <c r="E27" i="12"/>
  <c r="Q31" i="15"/>
  <c r="E45" i="32" s="1"/>
  <c r="C46" i="38"/>
  <c r="E46" i="38" s="1"/>
  <c r="C45" i="32"/>
  <c r="C41" i="8"/>
  <c r="E26" i="12"/>
  <c r="Q20" i="15"/>
  <c r="E16" i="12"/>
  <c r="Q30" i="15"/>
  <c r="Q49" i="15"/>
  <c r="E14" i="12"/>
  <c r="C41" i="38"/>
  <c r="E41" i="38" s="1"/>
  <c r="C34" i="8"/>
  <c r="C35" i="32"/>
  <c r="C15" i="38"/>
  <c r="E15" i="38" s="1"/>
  <c r="C20" i="32"/>
  <c r="C21" i="8"/>
  <c r="C31" i="32"/>
  <c r="C25" i="38"/>
  <c r="E25" i="38" s="1"/>
  <c r="C19" i="8"/>
  <c r="F15" i="137" l="1"/>
  <c r="E31" i="32"/>
  <c r="I41" i="137"/>
  <c r="I16" i="148" s="1"/>
  <c r="E35" i="32"/>
  <c r="I27" i="137"/>
  <c r="I14" i="148" s="1"/>
  <c r="E20" i="32"/>
  <c r="I18" i="137"/>
  <c r="E23" i="32"/>
  <c r="I40" i="137"/>
  <c r="E16" i="32"/>
  <c r="I15" i="137"/>
  <c r="E33" i="32"/>
  <c r="I22" i="137"/>
  <c r="I18" i="148" s="1"/>
  <c r="C19" i="128"/>
  <c r="C23" i="128" s="1"/>
  <c r="E19" i="128"/>
  <c r="E23" i="128" s="1"/>
  <c r="H663" i="1"/>
  <c r="AZ663" i="1" s="1"/>
  <c r="R54" i="15"/>
  <c r="R663" i="1" l="1"/>
  <c r="S663" i="1" s="1"/>
  <c r="AY663" i="1"/>
  <c r="O33" i="109"/>
  <c r="O54" i="109" s="1"/>
  <c r="H286" i="1"/>
  <c r="AZ286" i="1" s="1"/>
  <c r="E22" i="117" l="1"/>
  <c r="F22" i="117" s="1"/>
  <c r="T663" i="1"/>
  <c r="AV663" i="1" s="1"/>
  <c r="R286" i="1"/>
  <c r="S286" i="1" s="1"/>
  <c r="AY286" i="1"/>
  <c r="H280" i="1"/>
  <c r="AZ280" i="1" s="1"/>
  <c r="H276" i="1"/>
  <c r="AZ276" i="1" s="1"/>
  <c r="H285" i="1"/>
  <c r="AZ285" i="1" s="1"/>
  <c r="R285" i="1" l="1"/>
  <c r="S285" i="1" s="1"/>
  <c r="AY285" i="1"/>
  <c r="R276" i="1"/>
  <c r="S276" i="1" s="1"/>
  <c r="AY276" i="1"/>
  <c r="R280" i="1"/>
  <c r="S280" i="1" s="1"/>
  <c r="AY280" i="1"/>
  <c r="F33" i="15"/>
  <c r="C27" i="36" s="1"/>
  <c r="C53" i="36" s="1"/>
  <c r="F21" i="117"/>
  <c r="N33" i="109"/>
  <c r="D13" i="117" l="1"/>
  <c r="F13" i="117" s="1"/>
  <c r="F23" i="117" s="1"/>
  <c r="F24" i="109"/>
  <c r="Q24" i="109" s="1"/>
  <c r="Q33" i="109"/>
  <c r="N54" i="109"/>
  <c r="E23" i="117"/>
  <c r="S33" i="15"/>
  <c r="E15" i="48"/>
  <c r="E14" i="48" s="1"/>
  <c r="E30" i="10"/>
  <c r="E54" i="10" s="1"/>
  <c r="E32" i="39"/>
  <c r="F54" i="15"/>
  <c r="G33" i="15"/>
  <c r="J29" i="137" s="1"/>
  <c r="K29" i="137" s="1"/>
  <c r="E24" i="15"/>
  <c r="D33" i="39" s="1"/>
  <c r="D53" i="39" s="1"/>
  <c r="F54" i="109" l="1"/>
  <c r="Q54" i="109"/>
  <c r="F24" i="117" s="1"/>
  <c r="F25" i="117" s="1"/>
  <c r="P33" i="15"/>
  <c r="E29" i="137" s="1"/>
  <c r="F29" i="137" s="1"/>
  <c r="C34" i="12"/>
  <c r="F30" i="10"/>
  <c r="J33" i="15"/>
  <c r="H29" i="137" s="1"/>
  <c r="E53" i="39"/>
  <c r="G32" i="39"/>
  <c r="S54" i="15"/>
  <c r="D23" i="117"/>
  <c r="D31" i="10"/>
  <c r="D54" i="10" s="1"/>
  <c r="E54" i="15"/>
  <c r="D15" i="48"/>
  <c r="D14" i="48" s="1"/>
  <c r="G24" i="15"/>
  <c r="G33" i="39"/>
  <c r="D18" i="148" l="1"/>
  <c r="F31" i="10"/>
  <c r="F54" i="10" s="1"/>
  <c r="J21" i="137"/>
  <c r="G53" i="39"/>
  <c r="C16" i="38"/>
  <c r="E16" i="38" s="1"/>
  <c r="C14" i="8"/>
  <c r="C15" i="32"/>
  <c r="Q33" i="15"/>
  <c r="E34" i="12"/>
  <c r="C29" i="12"/>
  <c r="C53" i="12" s="1"/>
  <c r="J24" i="15"/>
  <c r="F15" i="48"/>
  <c r="F14" i="48" s="1"/>
  <c r="G54" i="15"/>
  <c r="P24" i="15"/>
  <c r="K21" i="137" l="1"/>
  <c r="E43" i="137"/>
  <c r="J43" i="137"/>
  <c r="Q24" i="15"/>
  <c r="I21" i="137" s="1"/>
  <c r="E21" i="137"/>
  <c r="C29" i="8"/>
  <c r="H21" i="137"/>
  <c r="E15" i="32"/>
  <c r="I29" i="137"/>
  <c r="C36" i="38"/>
  <c r="E36" i="38" s="1"/>
  <c r="E29" i="12"/>
  <c r="E53" i="12" s="1"/>
  <c r="P54" i="15"/>
  <c r="C28" i="32"/>
  <c r="C12" i="98"/>
  <c r="C13" i="98"/>
  <c r="E28" i="32" l="1"/>
  <c r="I43" i="137"/>
  <c r="H43" i="137"/>
  <c r="I15" i="148" s="1"/>
  <c r="I20" i="148" s="1"/>
  <c r="K43" i="137"/>
  <c r="F21" i="137"/>
  <c r="E45" i="137"/>
  <c r="E44" i="137"/>
  <c r="F43" i="137"/>
  <c r="C14" i="136"/>
  <c r="C15" i="98"/>
  <c r="F45" i="137" l="1"/>
  <c r="F44" i="137"/>
  <c r="M405" i="24"/>
  <c r="M406" i="24"/>
  <c r="M407" i="24"/>
  <c r="M426" i="24"/>
  <c r="M427" i="24"/>
  <c r="M428" i="24"/>
  <c r="M429" i="24"/>
  <c r="M430" i="24"/>
  <c r="M431" i="24"/>
  <c r="M432" i="24"/>
  <c r="M433" i="24"/>
  <c r="M388" i="24"/>
  <c r="M389" i="24"/>
  <c r="M400" i="24"/>
  <c r="M401" i="24"/>
  <c r="M496" i="24"/>
  <c r="M497" i="24"/>
  <c r="M498" i="24"/>
  <c r="M499" i="24"/>
  <c r="M500" i="24"/>
  <c r="M501" i="24"/>
  <c r="M503" i="24"/>
  <c r="M504" i="24"/>
  <c r="M505" i="24"/>
  <c r="M506" i="24"/>
  <c r="P13" i="24"/>
  <c r="P16" i="24"/>
  <c r="P19" i="24"/>
  <c r="P22" i="24"/>
  <c r="P25" i="24"/>
  <c r="P28" i="24"/>
  <c r="M398" i="24"/>
  <c r="M412" i="24"/>
  <c r="M413" i="24"/>
  <c r="M414" i="24"/>
  <c r="M415" i="24"/>
  <c r="M416" i="24"/>
  <c r="M417" i="24"/>
  <c r="M418" i="24"/>
  <c r="M419" i="24"/>
  <c r="M420" i="24"/>
  <c r="M421" i="24"/>
  <c r="M422" i="24"/>
  <c r="M423" i="24"/>
  <c r="M424" i="24"/>
  <c r="M435" i="24"/>
  <c r="M436" i="24"/>
  <c r="M437" i="24"/>
  <c r="M438" i="24"/>
  <c r="M439" i="24"/>
  <c r="M440" i="24"/>
  <c r="M441" i="24"/>
  <c r="M442" i="24"/>
  <c r="M443" i="24"/>
  <c r="M444" i="24"/>
  <c r="M445" i="24"/>
  <c r="M446" i="24"/>
  <c r="M447" i="24"/>
  <c r="M448" i="24"/>
  <c r="M449" i="24"/>
  <c r="M450" i="24"/>
  <c r="M451" i="24"/>
  <c r="M452" i="24"/>
  <c r="M453" i="24"/>
  <c r="M475" i="24"/>
  <c r="M480" i="24"/>
  <c r="M481" i="24"/>
  <c r="M482" i="24"/>
  <c r="M483" i="24"/>
  <c r="M484" i="24"/>
  <c r="M485" i="24"/>
  <c r="M486" i="24"/>
  <c r="M487" i="24"/>
  <c r="M514" i="24"/>
  <c r="M515" i="24"/>
  <c r="M516" i="24"/>
  <c r="M518" i="24"/>
  <c r="P18" i="24"/>
  <c r="P20" i="24"/>
  <c r="P27" i="24"/>
  <c r="P29" i="24"/>
  <c r="P32" i="24"/>
  <c r="P35" i="24"/>
  <c r="P38" i="24"/>
  <c r="P41" i="24"/>
  <c r="P154" i="24"/>
  <c r="P157" i="24"/>
  <c r="P158" i="24"/>
  <c r="P161" i="24"/>
  <c r="P164" i="24"/>
  <c r="P166" i="24"/>
  <c r="P168" i="24"/>
  <c r="P46" i="24"/>
  <c r="P172" i="24"/>
  <c r="P175" i="24"/>
  <c r="P178" i="24"/>
  <c r="P50" i="24"/>
  <c r="P181" i="24"/>
  <c r="P183" i="24"/>
  <c r="P186" i="24"/>
  <c r="P188" i="24"/>
  <c r="P191" i="24"/>
  <c r="P193" i="24"/>
  <c r="P196" i="24"/>
  <c r="P199" i="24"/>
  <c r="P201" i="24"/>
  <c r="P204" i="24"/>
  <c r="P207" i="24"/>
  <c r="P210" i="24"/>
  <c r="P213" i="24"/>
  <c r="P216" i="24"/>
  <c r="P218" i="24"/>
  <c r="P221" i="24"/>
  <c r="P224" i="24"/>
  <c r="P227" i="24"/>
  <c r="P230" i="24"/>
  <c r="P233" i="24"/>
  <c r="P236" i="24"/>
  <c r="P239" i="24"/>
  <c r="P242" i="24"/>
  <c r="P245" i="24"/>
  <c r="P248" i="24"/>
  <c r="P251" i="24"/>
  <c r="P254" i="24"/>
  <c r="P257" i="24"/>
  <c r="P260" i="24"/>
  <c r="P263" i="24"/>
  <c r="P266" i="24"/>
  <c r="P269" i="24"/>
  <c r="P272" i="24"/>
  <c r="P275" i="24"/>
  <c r="P278" i="24"/>
  <c r="P281" i="24"/>
  <c r="P284" i="24"/>
  <c r="P287" i="24"/>
  <c r="P290" i="24"/>
  <c r="P293" i="24"/>
  <c r="P296" i="24"/>
  <c r="P298" i="24"/>
  <c r="P300" i="24"/>
  <c r="P58" i="24"/>
  <c r="P305" i="24"/>
  <c r="M454" i="24"/>
  <c r="M455" i="24"/>
  <c r="M456" i="24"/>
  <c r="M457" i="24"/>
  <c r="M458" i="24"/>
  <c r="M459" i="24"/>
  <c r="M460" i="24"/>
  <c r="M461" i="24"/>
  <c r="M462" i="24"/>
  <c r="M463" i="24"/>
  <c r="M464" i="24"/>
  <c r="M465" i="24"/>
  <c r="M466" i="24"/>
  <c r="M467" i="24"/>
  <c r="M468" i="24"/>
  <c r="M469" i="24"/>
  <c r="M470" i="24"/>
  <c r="M471" i="24"/>
  <c r="P15" i="24"/>
  <c r="P17" i="24"/>
  <c r="P24" i="24"/>
  <c r="P26" i="24"/>
  <c r="P31" i="24"/>
  <c r="P34" i="24"/>
  <c r="P37" i="24"/>
  <c r="P40" i="24"/>
  <c r="P153" i="24"/>
  <c r="P156" i="24"/>
  <c r="P43" i="24"/>
  <c r="P160" i="24"/>
  <c r="P163" i="24"/>
  <c r="P165" i="24"/>
  <c r="P45" i="24"/>
  <c r="P170" i="24"/>
  <c r="P171" i="24"/>
  <c r="P174" i="24"/>
  <c r="P177" i="24"/>
  <c r="P49" i="24"/>
  <c r="P180" i="24"/>
  <c r="P51" i="24"/>
  <c r="P185" i="24"/>
  <c r="P52" i="24"/>
  <c r="P190" i="24"/>
  <c r="P53" i="24"/>
  <c r="P195" i="24"/>
  <c r="P198" i="24"/>
  <c r="P200" i="24"/>
  <c r="P203" i="24"/>
  <c r="P206" i="24"/>
  <c r="P209" i="24"/>
  <c r="P212" i="24"/>
  <c r="P215" i="24"/>
  <c r="P55" i="24"/>
  <c r="P220" i="24"/>
  <c r="P223" i="24"/>
  <c r="P226" i="24"/>
  <c r="P229" i="24"/>
  <c r="P232" i="24"/>
  <c r="P235" i="24"/>
  <c r="P238" i="24"/>
  <c r="P241" i="24"/>
  <c r="P244" i="24"/>
  <c r="P247" i="24"/>
  <c r="P250" i="24"/>
  <c r="P253" i="24"/>
  <c r="P256" i="24"/>
  <c r="P259" i="24"/>
  <c r="P262" i="24"/>
  <c r="P265" i="24"/>
  <c r="P268" i="24"/>
  <c r="P271" i="24"/>
  <c r="P274" i="24"/>
  <c r="P277" i="24"/>
  <c r="P280" i="24"/>
  <c r="P283" i="24"/>
  <c r="P286" i="24"/>
  <c r="P289" i="24"/>
  <c r="P292" i="24"/>
  <c r="P295" i="24"/>
  <c r="P297" i="24"/>
  <c r="P299" i="24"/>
  <c r="M520" i="24"/>
  <c r="M521" i="24"/>
  <c r="M522" i="24"/>
  <c r="M523" i="24"/>
  <c r="M524" i="24"/>
  <c r="M525" i="24"/>
  <c r="P14" i="24"/>
  <c r="P21" i="24"/>
  <c r="P23" i="24"/>
  <c r="P30" i="24"/>
  <c r="P33" i="24"/>
  <c r="P36" i="24"/>
  <c r="P39" i="24"/>
  <c r="P152" i="24"/>
  <c r="P155" i="24"/>
  <c r="P42" i="24"/>
  <c r="P159" i="24"/>
  <c r="P162" i="24"/>
  <c r="P44" i="24"/>
  <c r="P167" i="24"/>
  <c r="P169" i="24"/>
  <c r="P47" i="24"/>
  <c r="P173" i="24"/>
  <c r="P176" i="24"/>
  <c r="P48" i="24"/>
  <c r="P179" i="24"/>
  <c r="P182" i="24"/>
  <c r="P184" i="24"/>
  <c r="P187" i="24"/>
  <c r="P189" i="24"/>
  <c r="P192" i="24"/>
  <c r="P194" i="24"/>
  <c r="P197" i="24"/>
  <c r="P54" i="24"/>
  <c r="P202" i="24"/>
  <c r="P205" i="24"/>
  <c r="P208" i="24"/>
  <c r="P211" i="24"/>
  <c r="P214" i="24"/>
  <c r="P217" i="24"/>
  <c r="P219" i="24"/>
  <c r="P222" i="24"/>
  <c r="P225" i="24"/>
  <c r="P228" i="24"/>
  <c r="P231" i="24"/>
  <c r="P234" i="24"/>
  <c r="P237" i="24"/>
  <c r="P240" i="24"/>
  <c r="P243" i="24"/>
  <c r="P246" i="24"/>
  <c r="P249" i="24"/>
  <c r="P252" i="24"/>
  <c r="P255" i="24"/>
  <c r="P258" i="24"/>
  <c r="P261" i="24"/>
  <c r="P264" i="24"/>
  <c r="P267" i="24"/>
  <c r="P270" i="24"/>
  <c r="P273" i="24"/>
  <c r="P276" i="24"/>
  <c r="P279" i="24"/>
  <c r="P282" i="24"/>
  <c r="P285" i="24"/>
  <c r="P288" i="24"/>
  <c r="P291" i="24"/>
  <c r="P294" i="24"/>
  <c r="P56" i="24"/>
  <c r="P57" i="24"/>
  <c r="P301" i="24"/>
  <c r="P303" i="24"/>
  <c r="P306" i="24"/>
  <c r="P309" i="24"/>
  <c r="P311" i="24"/>
  <c r="P314" i="24"/>
  <c r="P317" i="24"/>
  <c r="P319" i="24"/>
  <c r="P322" i="24"/>
  <c r="P324" i="24"/>
  <c r="P327" i="24"/>
  <c r="P62" i="24"/>
  <c r="P65" i="24"/>
  <c r="P68" i="24"/>
  <c r="P71" i="24"/>
  <c r="P74" i="24"/>
  <c r="P76" i="24"/>
  <c r="P79" i="24"/>
  <c r="P340" i="24"/>
  <c r="P81" i="24"/>
  <c r="P343" i="24"/>
  <c r="P332" i="24"/>
  <c r="P345" i="24"/>
  <c r="P333" i="24"/>
  <c r="P88" i="24"/>
  <c r="P91" i="24"/>
  <c r="P94" i="24"/>
  <c r="P350" i="24"/>
  <c r="P97" i="24"/>
  <c r="P352" i="24"/>
  <c r="P354" i="24"/>
  <c r="P101" i="24"/>
  <c r="P357" i="24"/>
  <c r="P335" i="24"/>
  <c r="P105" i="24"/>
  <c r="P361" i="24"/>
  <c r="P107" i="24"/>
  <c r="P364" i="24"/>
  <c r="P366" i="24"/>
  <c r="P368" i="24"/>
  <c r="P370" i="24"/>
  <c r="P372" i="24"/>
  <c r="P375" i="24"/>
  <c r="P377" i="24"/>
  <c r="P379" i="24"/>
  <c r="P115" i="24"/>
  <c r="P383" i="24"/>
  <c r="P117" i="24"/>
  <c r="P386" i="24"/>
  <c r="P119" i="24"/>
  <c r="P387" i="24"/>
  <c r="P388" i="24"/>
  <c r="P390" i="24"/>
  <c r="P393" i="24"/>
  <c r="P125" i="24"/>
  <c r="P396" i="24"/>
  <c r="P399" i="24"/>
  <c r="P401" i="24"/>
  <c r="P403" i="24"/>
  <c r="P406" i="24"/>
  <c r="P132" i="24"/>
  <c r="P134" i="24"/>
  <c r="P409" i="24"/>
  <c r="P411" i="24"/>
  <c r="P414" i="24"/>
  <c r="P417" i="24"/>
  <c r="P420" i="24"/>
  <c r="P423" i="24"/>
  <c r="P426" i="24"/>
  <c r="P429" i="24"/>
  <c r="P432" i="24"/>
  <c r="P435" i="24"/>
  <c r="P438" i="24"/>
  <c r="P441" i="24"/>
  <c r="P444" i="24"/>
  <c r="P447" i="24"/>
  <c r="P450" i="24"/>
  <c r="P453" i="24"/>
  <c r="P456" i="24"/>
  <c r="P459" i="24"/>
  <c r="P462" i="24"/>
  <c r="P465" i="24"/>
  <c r="P302" i="24"/>
  <c r="P310" i="24"/>
  <c r="P312" i="24"/>
  <c r="P60" i="24"/>
  <c r="P320" i="24"/>
  <c r="P326" i="24"/>
  <c r="P328" i="24"/>
  <c r="P67" i="24"/>
  <c r="P69" i="24"/>
  <c r="P330" i="24"/>
  <c r="P77" i="24"/>
  <c r="P342" i="24"/>
  <c r="P82" i="24"/>
  <c r="P86" i="24"/>
  <c r="P346" i="24"/>
  <c r="P90" i="24"/>
  <c r="P92" i="24"/>
  <c r="P96" i="24"/>
  <c r="P98" i="24"/>
  <c r="P334" i="24"/>
  <c r="P356" i="24"/>
  <c r="P359" i="24"/>
  <c r="P360" i="24"/>
  <c r="P109" i="24"/>
  <c r="P110" i="24"/>
  <c r="P112" i="24"/>
  <c r="P113" i="24"/>
  <c r="P114" i="24"/>
  <c r="P336" i="24"/>
  <c r="P382" i="24"/>
  <c r="P384" i="24"/>
  <c r="P339" i="24"/>
  <c r="P120" i="24"/>
  <c r="P389" i="24"/>
  <c r="P391" i="24"/>
  <c r="P127" i="24"/>
  <c r="P397" i="24"/>
  <c r="P129" i="24"/>
  <c r="P404" i="24"/>
  <c r="P133" i="24"/>
  <c r="P135" i="24"/>
  <c r="P413" i="24"/>
  <c r="P415" i="24"/>
  <c r="P422" i="24"/>
  <c r="P424" i="24"/>
  <c r="P431" i="24"/>
  <c r="P433" i="24"/>
  <c r="P440" i="24"/>
  <c r="P442" i="24"/>
  <c r="P449" i="24"/>
  <c r="P451" i="24"/>
  <c r="P458" i="24"/>
  <c r="P460" i="24"/>
  <c r="P467" i="24"/>
  <c r="P470" i="24"/>
  <c r="P473" i="24"/>
  <c r="P476" i="24"/>
  <c r="P137" i="24"/>
  <c r="P481" i="24"/>
  <c r="P484" i="24"/>
  <c r="P487" i="24"/>
  <c r="P490" i="24"/>
  <c r="P491" i="24"/>
  <c r="P494" i="24"/>
  <c r="P142" i="24"/>
  <c r="P497" i="24"/>
  <c r="P500" i="24"/>
  <c r="P143" i="24"/>
  <c r="P505" i="24"/>
  <c r="P508" i="24"/>
  <c r="P145" i="24"/>
  <c r="P512" i="24"/>
  <c r="P515" i="24"/>
  <c r="P146" i="24"/>
  <c r="P147" i="24"/>
  <c r="P522" i="24"/>
  <c r="P150" i="24"/>
  <c r="P525" i="24"/>
  <c r="P304" i="24"/>
  <c r="P308" i="24"/>
  <c r="P59" i="24"/>
  <c r="P316" i="24"/>
  <c r="P318" i="24"/>
  <c r="P61" i="24"/>
  <c r="P325" i="24"/>
  <c r="P64" i="24"/>
  <c r="P66" i="24"/>
  <c r="P73" i="24"/>
  <c r="P75" i="24"/>
  <c r="P80" i="24"/>
  <c r="P341" i="24"/>
  <c r="P344" i="24"/>
  <c r="P85" i="24"/>
  <c r="P87" i="24"/>
  <c r="P89" i="24"/>
  <c r="P349" i="24"/>
  <c r="P351" i="24"/>
  <c r="P353" i="24"/>
  <c r="P355" i="24"/>
  <c r="P358" i="24"/>
  <c r="P104" i="24"/>
  <c r="P363" i="24"/>
  <c r="P108" i="24"/>
  <c r="P111" i="24"/>
  <c r="P369" i="24"/>
  <c r="P374" i="24"/>
  <c r="P376" i="24"/>
  <c r="P337" i="24"/>
  <c r="P381" i="24"/>
  <c r="P118" i="24"/>
  <c r="P338" i="24"/>
  <c r="P123" i="24"/>
  <c r="P124" i="24"/>
  <c r="P395" i="24"/>
  <c r="P126" i="24"/>
  <c r="P128" i="24"/>
  <c r="P402" i="24"/>
  <c r="P131" i="24"/>
  <c r="P407" i="24"/>
  <c r="P410" i="24"/>
  <c r="P412" i="24"/>
  <c r="P419" i="24"/>
  <c r="P421" i="24"/>
  <c r="P428" i="24"/>
  <c r="P430" i="24"/>
  <c r="P437" i="24"/>
  <c r="P439" i="24"/>
  <c r="P446" i="24"/>
  <c r="P448" i="24"/>
  <c r="P455" i="24"/>
  <c r="P457" i="24"/>
  <c r="P464" i="24"/>
  <c r="P466" i="24"/>
  <c r="P469" i="24"/>
  <c r="P472" i="24"/>
  <c r="P475" i="24"/>
  <c r="P478" i="24"/>
  <c r="P480" i="24"/>
  <c r="P483" i="24"/>
  <c r="P486" i="24"/>
  <c r="P489" i="24"/>
  <c r="P139" i="24"/>
  <c r="P493" i="24"/>
  <c r="P141" i="24"/>
  <c r="P496" i="24"/>
  <c r="P499" i="24"/>
  <c r="P502" i="24"/>
  <c r="P504" i="24"/>
  <c r="P507" i="24"/>
  <c r="P509" i="24"/>
  <c r="P511" i="24"/>
  <c r="P514" i="24"/>
  <c r="P518" i="24"/>
  <c r="P520" i="24"/>
  <c r="P148" i="24"/>
  <c r="P523" i="24"/>
  <c r="P524" i="24"/>
  <c r="P307" i="24"/>
  <c r="P313" i="24"/>
  <c r="P315" i="24"/>
  <c r="P321" i="24"/>
  <c r="P323" i="24"/>
  <c r="P329" i="24"/>
  <c r="P63" i="24"/>
  <c r="P70" i="24"/>
  <c r="P72" i="24"/>
  <c r="P78" i="24"/>
  <c r="P331" i="24"/>
  <c r="P83" i="24"/>
  <c r="P84" i="24"/>
  <c r="P347" i="24"/>
  <c r="P348" i="24"/>
  <c r="P93" i="24"/>
  <c r="P95" i="24"/>
  <c r="P99" i="24"/>
  <c r="P100" i="24"/>
  <c r="P102" i="24"/>
  <c r="P103" i="24"/>
  <c r="P106" i="24"/>
  <c r="P362" i="24"/>
  <c r="P365" i="24"/>
  <c r="P367" i="24"/>
  <c r="P371" i="24"/>
  <c r="P373" i="24"/>
  <c r="P378" i="24"/>
  <c r="P380" i="24"/>
  <c r="P116" i="24"/>
  <c r="P385" i="24"/>
  <c r="P121" i="24"/>
  <c r="P122" i="24"/>
  <c r="P392" i="24"/>
  <c r="P394" i="24"/>
  <c r="P398" i="24"/>
  <c r="P400" i="24"/>
  <c r="P405" i="24"/>
  <c r="P130" i="24"/>
  <c r="P408" i="24"/>
  <c r="P136" i="24"/>
  <c r="P416" i="24"/>
  <c r="P418" i="24"/>
  <c r="P425" i="24"/>
  <c r="P427" i="24"/>
  <c r="P434" i="24"/>
  <c r="P436" i="24"/>
  <c r="P443" i="24"/>
  <c r="P445" i="24"/>
  <c r="P452" i="24"/>
  <c r="P454" i="24"/>
  <c r="P461" i="24"/>
  <c r="P463" i="24"/>
  <c r="P468" i="24"/>
  <c r="P471" i="24"/>
  <c r="P474" i="24"/>
  <c r="P477" i="24"/>
  <c r="P479" i="24"/>
  <c r="P482" i="24"/>
  <c r="P485" i="24"/>
  <c r="P488" i="24"/>
  <c r="P138" i="24"/>
  <c r="P492" i="24"/>
  <c r="P140" i="24"/>
  <c r="P495" i="24"/>
  <c r="P498" i="24"/>
  <c r="P501" i="24"/>
  <c r="P503" i="24"/>
  <c r="P506" i="24"/>
  <c r="P144" i="24"/>
  <c r="P510" i="24"/>
  <c r="P513" i="24"/>
  <c r="P516" i="24"/>
  <c r="P519" i="24"/>
  <c r="P521" i="24"/>
  <c r="P149" i="24"/>
  <c r="P151" i="24"/>
  <c r="P526" i="24"/>
  <c r="P12" i="24"/>
  <c r="M526" i="24"/>
  <c r="M402" i="24"/>
  <c r="M425" i="24"/>
  <c r="P528" i="24"/>
  <c r="P542" i="24"/>
  <c r="P539" i="24"/>
  <c r="P536" i="24"/>
  <c r="P533" i="24"/>
  <c r="P530" i="24"/>
  <c r="P537" i="24"/>
  <c r="P531" i="24"/>
  <c r="P50" i="121"/>
  <c r="P527" i="24"/>
  <c r="P543" i="24"/>
  <c r="P540" i="24"/>
  <c r="P534" i="24"/>
  <c r="P541" i="24"/>
  <c r="P538" i="24"/>
  <c r="P535" i="24"/>
  <c r="P532" i="24"/>
  <c r="P529" i="24"/>
  <c r="M369" i="24"/>
  <c r="M434" i="24"/>
  <c r="M319" i="24"/>
  <c r="M157" i="24"/>
  <c r="M508" i="24"/>
  <c r="M502" i="24"/>
  <c r="M97" i="24"/>
  <c r="M149" i="24"/>
  <c r="R149" i="24" s="1"/>
  <c r="M37" i="24"/>
  <c r="R37" i="24" s="1"/>
  <c r="M98" i="24"/>
  <c r="R98" i="24" s="1"/>
  <c r="M133" i="24"/>
  <c r="M118" i="24"/>
  <c r="R118" i="24" s="1"/>
  <c r="M125" i="24"/>
  <c r="M146" i="24"/>
  <c r="R146" i="24" s="1"/>
  <c r="M99" i="24"/>
  <c r="R99" i="24" s="1"/>
  <c r="M60" i="24"/>
  <c r="R60" i="24" s="1"/>
  <c r="M49" i="24"/>
  <c r="M30" i="24"/>
  <c r="R30" i="24" s="1"/>
  <c r="M51" i="24"/>
  <c r="R51" i="24" s="1"/>
  <c r="M123" i="24"/>
  <c r="R123" i="24" s="1"/>
  <c r="M70" i="24"/>
  <c r="R70" i="24" s="1"/>
  <c r="M34" i="24"/>
  <c r="R34" i="24" s="1"/>
  <c r="M129" i="24"/>
  <c r="M91" i="24"/>
  <c r="R91" i="24" s="1"/>
  <c r="M58" i="24"/>
  <c r="M43" i="24"/>
  <c r="R43" i="24" s="1"/>
  <c r="M147" i="24"/>
  <c r="R147" i="24" s="1"/>
  <c r="M128" i="24"/>
  <c r="R128" i="24" s="1"/>
  <c r="M96" i="24"/>
  <c r="M72" i="24"/>
  <c r="R72" i="24" s="1"/>
  <c r="M48" i="24"/>
  <c r="M31" i="24"/>
  <c r="R31" i="24" s="1"/>
  <c r="M117" i="24"/>
  <c r="R117" i="24" s="1"/>
  <c r="M85" i="24"/>
  <c r="R85" i="24" s="1"/>
  <c r="M53" i="24"/>
  <c r="M25" i="24"/>
  <c r="R25" i="24" s="1"/>
  <c r="M33" i="24"/>
  <c r="R33" i="24" s="1"/>
  <c r="M135" i="24"/>
  <c r="R135" i="24" s="1"/>
  <c r="M111" i="24"/>
  <c r="R111" i="24" s="1"/>
  <c r="M87" i="24"/>
  <c r="R87" i="24" s="1"/>
  <c r="M63" i="24"/>
  <c r="M38" i="24"/>
  <c r="R38" i="24" s="1"/>
  <c r="M132" i="24"/>
  <c r="M108" i="24"/>
  <c r="M76" i="24"/>
  <c r="R76" i="24" s="1"/>
  <c r="M24" i="24"/>
  <c r="R24" i="24" s="1"/>
  <c r="M13" i="24"/>
  <c r="M511" i="24"/>
  <c r="R511" i="24" s="1"/>
  <c r="M494" i="24"/>
  <c r="R494" i="24" s="1"/>
  <c r="M491" i="24"/>
  <c r="R491" i="24" s="1"/>
  <c r="M488" i="24"/>
  <c r="R488" i="24" s="1"/>
  <c r="M474" i="24"/>
  <c r="R474" i="24" s="1"/>
  <c r="M410" i="24"/>
  <c r="M404" i="24"/>
  <c r="R404" i="24" s="1"/>
  <c r="M397" i="24"/>
  <c r="R397" i="24" s="1"/>
  <c r="M394" i="24"/>
  <c r="R394" i="24" s="1"/>
  <c r="M390" i="24"/>
  <c r="R390" i="24" s="1"/>
  <c r="M174" i="24"/>
  <c r="M479" i="24"/>
  <c r="M152" i="24"/>
  <c r="M201" i="24"/>
  <c r="M113" i="24"/>
  <c r="M106" i="24"/>
  <c r="M75" i="24"/>
  <c r="M142" i="24"/>
  <c r="M84" i="24"/>
  <c r="M78" i="24"/>
  <c r="M130" i="24"/>
  <c r="M114" i="24"/>
  <c r="M105" i="24"/>
  <c r="M137" i="24"/>
  <c r="M93" i="24"/>
  <c r="M57" i="24"/>
  <c r="M26" i="24"/>
  <c r="M67" i="24"/>
  <c r="M29" i="24"/>
  <c r="M107" i="24"/>
  <c r="M62" i="24"/>
  <c r="M141" i="24"/>
  <c r="M110" i="24"/>
  <c r="M81" i="24"/>
  <c r="M50" i="24"/>
  <c r="M40" i="24"/>
  <c r="M20" i="24"/>
  <c r="M144" i="24"/>
  <c r="M112" i="24"/>
  <c r="M88" i="24"/>
  <c r="M64" i="24"/>
  <c r="M45" i="24"/>
  <c r="M19" i="24"/>
  <c r="M109" i="24"/>
  <c r="M77" i="24"/>
  <c r="M36" i="24"/>
  <c r="M90" i="24"/>
  <c r="M22" i="24"/>
  <c r="M151" i="24"/>
  <c r="M127" i="24"/>
  <c r="M103" i="24"/>
  <c r="M79" i="24"/>
  <c r="M55" i="24"/>
  <c r="M148" i="24"/>
  <c r="R148" i="24" s="1"/>
  <c r="M124" i="24"/>
  <c r="M100" i="24"/>
  <c r="M68" i="24"/>
  <c r="M21" i="24"/>
  <c r="M12" i="24"/>
  <c r="M150" i="24"/>
  <c r="M513" i="24"/>
  <c r="M510" i="24"/>
  <c r="M493" i="24"/>
  <c r="M490" i="24"/>
  <c r="M478" i="24"/>
  <c r="M473" i="24"/>
  <c r="M409" i="24"/>
  <c r="M403" i="24"/>
  <c r="M396" i="24"/>
  <c r="M393" i="24"/>
  <c r="M495" i="24"/>
  <c r="M489" i="24"/>
  <c r="M411" i="24"/>
  <c r="M399" i="24"/>
  <c r="M395" i="24"/>
  <c r="M190" i="24"/>
  <c r="M507" i="24"/>
  <c r="M329" i="24"/>
  <c r="R329" i="24" s="1"/>
  <c r="M312" i="24"/>
  <c r="M134" i="24"/>
  <c r="R134" i="24" s="1"/>
  <c r="M145" i="24"/>
  <c r="R145" i="24" s="1"/>
  <c r="M41" i="24"/>
  <c r="R41" i="24" s="1"/>
  <c r="M131" i="24"/>
  <c r="M102" i="24"/>
  <c r="R102" i="24" s="1"/>
  <c r="M73" i="24"/>
  <c r="M122" i="24"/>
  <c r="M139" i="24"/>
  <c r="R139" i="24" s="1"/>
  <c r="M86" i="24"/>
  <c r="M115" i="24"/>
  <c r="M65" i="24"/>
  <c r="M52" i="24"/>
  <c r="M83" i="24"/>
  <c r="M59" i="24"/>
  <c r="M126" i="24"/>
  <c r="M74" i="24"/>
  <c r="M54" i="24"/>
  <c r="M138" i="24"/>
  <c r="M94" i="24"/>
  <c r="M66" i="24"/>
  <c r="M23" i="24"/>
  <c r="M32" i="24"/>
  <c r="M16" i="24"/>
  <c r="M136" i="24"/>
  <c r="M104" i="24"/>
  <c r="R104" i="24" s="1"/>
  <c r="M80" i="24"/>
  <c r="M56" i="24"/>
  <c r="M39" i="24"/>
  <c r="M15" i="24"/>
  <c r="M101" i="24"/>
  <c r="M69" i="24"/>
  <c r="M28" i="24"/>
  <c r="M82" i="24"/>
  <c r="M14" i="24"/>
  <c r="M143" i="24"/>
  <c r="M119" i="24"/>
  <c r="M95" i="24"/>
  <c r="M71" i="24"/>
  <c r="M47" i="24"/>
  <c r="M140" i="24"/>
  <c r="M116" i="24"/>
  <c r="M92" i="24"/>
  <c r="M35" i="24"/>
  <c r="M17" i="24"/>
  <c r="M18" i="24"/>
  <c r="M512" i="24"/>
  <c r="M492" i="24"/>
  <c r="M477" i="24"/>
  <c r="M408" i="24"/>
  <c r="M392" i="24"/>
  <c r="M509" i="24"/>
  <c r="M386" i="24"/>
  <c r="M315" i="24"/>
  <c r="M338" i="24"/>
  <c r="R338" i="24" s="1"/>
  <c r="M318" i="24"/>
  <c r="M339" i="24"/>
  <c r="R339" i="24" s="1"/>
  <c r="M309" i="24"/>
  <c r="R309" i="24" s="1"/>
  <c r="M476" i="24"/>
  <c r="M178" i="24"/>
  <c r="R178" i="24" s="1"/>
  <c r="M42" i="24"/>
  <c r="R42" i="24" s="1"/>
  <c r="M46" i="24"/>
  <c r="R46" i="24" s="1"/>
  <c r="M44" i="24"/>
  <c r="R44" i="24" s="1"/>
  <c r="M27" i="24"/>
  <c r="M256" i="24"/>
  <c r="R256" i="24" s="1"/>
  <c r="M228" i="24"/>
  <c r="M541" i="24"/>
  <c r="R541" i="24" s="1"/>
  <c r="M202" i="24"/>
  <c r="R202" i="24" s="1"/>
  <c r="M231" i="24"/>
  <c r="M245" i="24"/>
  <c r="R245" i="24" s="1"/>
  <c r="M540" i="24"/>
  <c r="M191" i="24"/>
  <c r="M538" i="24"/>
  <c r="R538" i="24" s="1"/>
  <c r="M528" i="24"/>
  <c r="M368" i="24"/>
  <c r="M218" i="24"/>
  <c r="R218" i="24" s="1"/>
  <c r="M177" i="24"/>
  <c r="R177" i="24" s="1"/>
  <c r="M293" i="24"/>
  <c r="M234" i="24"/>
  <c r="R234" i="24" s="1"/>
  <c r="M223" i="24"/>
  <c r="M206" i="24"/>
  <c r="M216" i="24"/>
  <c r="R216" i="24" s="1"/>
  <c r="M236" i="24"/>
  <c r="M366" i="24"/>
  <c r="M215" i="24"/>
  <c r="R215" i="24" s="1"/>
  <c r="M205" i="24"/>
  <c r="R205" i="24" s="1"/>
  <c r="M272" i="24"/>
  <c r="M358" i="24"/>
  <c r="R358" i="24" s="1"/>
  <c r="M347" i="24"/>
  <c r="M385" i="24"/>
  <c r="M363" i="24"/>
  <c r="R363" i="24" s="1"/>
  <c r="M302" i="24"/>
  <c r="M232" i="24"/>
  <c r="M332" i="24"/>
  <c r="R332" i="24" s="1"/>
  <c r="M274" i="24"/>
  <c r="R274" i="24" s="1"/>
  <c r="M311" i="24"/>
  <c r="M301" i="24"/>
  <c r="R301" i="24" s="1"/>
  <c r="M257" i="24"/>
  <c r="M372" i="24"/>
  <c r="M375" i="24"/>
  <c r="R375" i="24" s="1"/>
  <c r="M273" i="24"/>
  <c r="M165" i="24"/>
  <c r="M296" i="24"/>
  <c r="R296" i="24" s="1"/>
  <c r="M179" i="24"/>
  <c r="R179" i="24" s="1"/>
  <c r="M261" i="24"/>
  <c r="M189" i="24"/>
  <c r="R189" i="24" s="1"/>
  <c r="M195" i="24"/>
  <c r="M370" i="24"/>
  <c r="M383" i="24"/>
  <c r="R383" i="24" s="1"/>
  <c r="M161" i="24"/>
  <c r="M168" i="24"/>
  <c r="R168" i="24" s="1"/>
  <c r="M279" i="24"/>
  <c r="M314" i="24"/>
  <c r="M384" i="24"/>
  <c r="R384" i="24" s="1"/>
  <c r="M200" i="24"/>
  <c r="M330" i="24"/>
  <c r="M169" i="24"/>
  <c r="R169" i="24" s="1"/>
  <c r="M172" i="24"/>
  <c r="M291" i="24"/>
  <c r="M230" i="24"/>
  <c r="R230" i="24" s="1"/>
  <c r="M276" i="24"/>
  <c r="M175" i="24"/>
  <c r="M154" i="24"/>
  <c r="R154" i="24" s="1"/>
  <c r="M246" i="24"/>
  <c r="M331" i="24"/>
  <c r="M229" i="24"/>
  <c r="R229" i="24" s="1"/>
  <c r="M176" i="24"/>
  <c r="M255" i="24"/>
  <c r="M382" i="24"/>
  <c r="R382" i="24" s="1"/>
  <c r="M371" i="24"/>
  <c r="M265" i="24"/>
  <c r="M162" i="24"/>
  <c r="R162" i="24" s="1"/>
  <c r="M387" i="24"/>
  <c r="M326" i="24"/>
  <c r="M328" i="24"/>
  <c r="R328" i="24" s="1"/>
  <c r="M353" i="24"/>
  <c r="M188" i="24"/>
  <c r="M235" i="24"/>
  <c r="R235" i="24" s="1"/>
  <c r="M360" i="24"/>
  <c r="M159" i="24"/>
  <c r="M286" i="24"/>
  <c r="R286" i="24" s="1"/>
  <c r="M275" i="24"/>
  <c r="M361" i="24"/>
  <c r="M258" i="24"/>
  <c r="R258" i="24" s="1"/>
  <c r="M247" i="24"/>
  <c r="M285" i="24"/>
  <c r="M252" i="24"/>
  <c r="R252" i="24" s="1"/>
  <c r="M260" i="24"/>
  <c r="M198" i="24"/>
  <c r="M163" i="24"/>
  <c r="R163" i="24" s="1"/>
  <c r="M472" i="24"/>
  <c r="M365" i="24"/>
  <c r="M251" i="24"/>
  <c r="R251" i="24" s="1"/>
  <c r="M336" i="24"/>
  <c r="M120" i="24"/>
  <c r="M213" i="24"/>
  <c r="R213" i="24" s="1"/>
  <c r="M166" i="24"/>
  <c r="M193" i="24"/>
  <c r="M171" i="24"/>
  <c r="R171" i="24" s="1"/>
  <c r="M348" i="24"/>
  <c r="M270" i="24"/>
  <c r="M345" i="24"/>
  <c r="R345" i="24" s="1"/>
  <c r="M391" i="24"/>
  <c r="M196" i="24"/>
  <c r="M335" i="24"/>
  <c r="R335" i="24" s="1"/>
  <c r="M185" i="24"/>
  <c r="M352" i="24"/>
  <c r="M211" i="24"/>
  <c r="R211" i="24" s="1"/>
  <c r="M61" i="24"/>
  <c r="M221" i="24"/>
  <c r="M354" i="24"/>
  <c r="R354" i="24" s="1"/>
  <c r="M343" i="24"/>
  <c r="M381" i="24"/>
  <c r="M304" i="24"/>
  <c r="R304" i="24" s="1"/>
  <c r="M356" i="24"/>
  <c r="M342" i="24"/>
  <c r="M239" i="24"/>
  <c r="R239" i="24" s="1"/>
  <c r="M325" i="24"/>
  <c r="M300" i="24"/>
  <c r="M351" i="24"/>
  <c r="R351" i="24" s="1"/>
  <c r="M242" i="24"/>
  <c r="M317" i="24"/>
  <c r="M214" i="24"/>
  <c r="R214" i="24" s="1"/>
  <c r="M203" i="24"/>
  <c r="M241" i="24"/>
  <c r="M225" i="24"/>
  <c r="R225" i="24" s="1"/>
  <c r="M219" i="24"/>
  <c r="M158" i="24"/>
  <c r="M164" i="24"/>
  <c r="R164" i="24" s="1"/>
  <c r="M377" i="24"/>
  <c r="M167" i="24"/>
  <c r="M364" i="24"/>
  <c r="R364" i="24" s="1"/>
  <c r="M224" i="24"/>
  <c r="M310" i="24"/>
  <c r="M299" i="24"/>
  <c r="R299" i="24" s="1"/>
  <c r="M337" i="24"/>
  <c r="M244" i="24"/>
  <c r="M298" i="24"/>
  <c r="R298" i="24" s="1"/>
  <c r="M156" i="24"/>
  <c r="M281" i="24"/>
  <c r="M222" i="24"/>
  <c r="R222" i="24" s="1"/>
  <c r="M307" i="24"/>
  <c r="M297" i="24"/>
  <c r="M320" i="24"/>
  <c r="R320" i="24" s="1"/>
  <c r="M170" i="24"/>
  <c r="M121" i="24"/>
  <c r="M197" i="24"/>
  <c r="R197" i="24" s="1"/>
  <c r="M186" i="24"/>
  <c r="M350" i="24"/>
  <c r="M376" i="24"/>
  <c r="R376" i="24" s="1"/>
  <c r="M380" i="24"/>
  <c r="M322" i="24"/>
  <c r="M359" i="24"/>
  <c r="R359" i="24" s="1"/>
  <c r="M349" i="24"/>
  <c r="M340" i="24"/>
  <c r="M183" i="24"/>
  <c r="R183" i="24" s="1"/>
  <c r="M266" i="24"/>
  <c r="M249" i="24"/>
  <c r="M341" i="24"/>
  <c r="R341" i="24" s="1"/>
  <c r="M282" i="24"/>
  <c r="M271" i="24"/>
  <c r="M254" i="24"/>
  <c r="R254" i="24" s="1"/>
  <c r="M324" i="24"/>
  <c r="M284" i="24"/>
  <c r="M226" i="24"/>
  <c r="R226" i="24" s="1"/>
  <c r="M263" i="24"/>
  <c r="M253" i="24"/>
  <c r="M288" i="24"/>
  <c r="R288" i="24" s="1"/>
  <c r="M327" i="24"/>
  <c r="M362" i="24"/>
  <c r="M292" i="24"/>
  <c r="R292" i="24" s="1"/>
  <c r="M248" i="24"/>
  <c r="M378" i="24"/>
  <c r="M367" i="24"/>
  <c r="R367" i="24" s="1"/>
  <c r="M287" i="24"/>
  <c r="M373" i="24"/>
  <c r="M290" i="24"/>
  <c r="R290" i="24" s="1"/>
  <c r="M220" i="24"/>
  <c r="M262" i="24"/>
  <c r="M289" i="24"/>
  <c r="R289" i="24" s="1"/>
  <c r="M250" i="24"/>
  <c r="R250" i="24" s="1"/>
  <c r="M233" i="24"/>
  <c r="R233" i="24" s="1"/>
  <c r="M259" i="24"/>
  <c r="R259" i="24" s="1"/>
  <c r="M269" i="24"/>
  <c r="R269" i="24" s="1"/>
  <c r="M155" i="24"/>
  <c r="R155" i="24" s="1"/>
  <c r="M153" i="24"/>
  <c r="R153" i="24" s="1"/>
  <c r="M346" i="24"/>
  <c r="R346" i="24" s="1"/>
  <c r="M355" i="24"/>
  <c r="R355" i="24" s="1"/>
  <c r="M217" i="24"/>
  <c r="R217" i="24" s="1"/>
  <c r="M316" i="24"/>
  <c r="R316" i="24" s="1"/>
  <c r="M278" i="24"/>
  <c r="R278" i="24" s="1"/>
  <c r="M184" i="24"/>
  <c r="R184" i="24" s="1"/>
  <c r="M305" i="24"/>
  <c r="R305" i="24" s="1"/>
  <c r="M280" i="24"/>
  <c r="R280" i="24" s="1"/>
  <c r="M187" i="24"/>
  <c r="R187" i="24" s="1"/>
  <c r="M321" i="24"/>
  <c r="R321" i="24" s="1"/>
  <c r="M237" i="24"/>
  <c r="R237" i="24" s="1"/>
  <c r="M344" i="24"/>
  <c r="R344" i="24" s="1"/>
  <c r="M238" i="24"/>
  <c r="R238" i="24" s="1"/>
  <c r="M227" i="24"/>
  <c r="R227" i="24" s="1"/>
  <c r="M357" i="24"/>
  <c r="R357" i="24" s="1"/>
  <c r="M264" i="24"/>
  <c r="R264" i="24" s="1"/>
  <c r="M243" i="24"/>
  <c r="R243" i="24" s="1"/>
  <c r="M182" i="24"/>
  <c r="R182" i="24" s="1"/>
  <c r="M192" i="24"/>
  <c r="R192" i="24" s="1"/>
  <c r="M209" i="24"/>
  <c r="R209" i="24" s="1"/>
  <c r="M240" i="24"/>
  <c r="R240" i="24" s="1"/>
  <c r="M283" i="24"/>
  <c r="R283" i="24" s="1"/>
  <c r="M181" i="24"/>
  <c r="R181" i="24" s="1"/>
  <c r="M268" i="24"/>
  <c r="R268" i="24" s="1"/>
  <c r="M207" i="24"/>
  <c r="R207" i="24" s="1"/>
  <c r="M334" i="24"/>
  <c r="R334" i="24" s="1"/>
  <c r="M323" i="24"/>
  <c r="R323" i="24" s="1"/>
  <c r="M519" i="24"/>
  <c r="R519" i="24" s="1"/>
  <c r="M89" i="24"/>
  <c r="R89" i="24" s="1"/>
  <c r="M173" i="24"/>
  <c r="R173" i="24" s="1"/>
  <c r="M306" i="24"/>
  <c r="R306" i="24" s="1"/>
  <c r="M295" i="24"/>
  <c r="R295" i="24" s="1"/>
  <c r="M333" i="24"/>
  <c r="R333" i="24" s="1"/>
  <c r="M160" i="24"/>
  <c r="R160" i="24" s="1"/>
  <c r="M308" i="24"/>
  <c r="R308" i="24" s="1"/>
  <c r="M294" i="24"/>
  <c r="R294" i="24" s="1"/>
  <c r="M379" i="24"/>
  <c r="R379" i="24" s="1"/>
  <c r="M277" i="24"/>
  <c r="R277" i="24" s="1"/>
  <c r="M204" i="24"/>
  <c r="R204" i="24" s="1"/>
  <c r="M303" i="24"/>
  <c r="R303" i="24" s="1"/>
  <c r="M194" i="24"/>
  <c r="M313" i="24"/>
  <c r="R313" i="24" s="1"/>
  <c r="M210" i="24"/>
  <c r="R210" i="24" s="1"/>
  <c r="M199" i="24"/>
  <c r="R199" i="24" s="1"/>
  <c r="M374" i="24"/>
  <c r="M180" i="24"/>
  <c r="R180" i="24" s="1"/>
  <c r="M212" i="24"/>
  <c r="M208" i="24"/>
  <c r="M267" i="24"/>
  <c r="R543" i="24"/>
  <c r="M539" i="24"/>
  <c r="M536" i="24"/>
  <c r="M535" i="24"/>
  <c r="M533" i="24"/>
  <c r="M531" i="24"/>
  <c r="M530" i="24"/>
  <c r="M534" i="24"/>
  <c r="M532" i="24"/>
  <c r="M529" i="24"/>
  <c r="M527" i="24"/>
  <c r="M537" i="24"/>
  <c r="R50" i="121" l="1"/>
  <c r="C12" i="164" s="1"/>
  <c r="C56" i="164" s="1"/>
  <c r="P54" i="121"/>
  <c r="O267" i="24"/>
  <c r="R267" i="24"/>
  <c r="O262" i="24"/>
  <c r="R262" i="24"/>
  <c r="O340" i="24"/>
  <c r="R340" i="24"/>
  <c r="O361" i="24"/>
  <c r="R361" i="24"/>
  <c r="O291" i="24"/>
  <c r="R291" i="24"/>
  <c r="O27" i="24"/>
  <c r="R27" i="24"/>
  <c r="O47" i="24"/>
  <c r="R47" i="24"/>
  <c r="L16" i="24"/>
  <c r="AQ764" i="1" s="1"/>
  <c r="R16" i="24"/>
  <c r="O469" i="24"/>
  <c r="R469" i="24"/>
  <c r="O461" i="24"/>
  <c r="R461" i="24"/>
  <c r="O484" i="24"/>
  <c r="R484" i="24"/>
  <c r="O451" i="24"/>
  <c r="R451" i="24"/>
  <c r="O443" i="24"/>
  <c r="R443" i="24"/>
  <c r="O435" i="24"/>
  <c r="R435" i="24"/>
  <c r="O417" i="24"/>
  <c r="R417" i="24"/>
  <c r="O503" i="24"/>
  <c r="R503" i="24"/>
  <c r="O400" i="24"/>
  <c r="R400" i="24"/>
  <c r="O428" i="24"/>
  <c r="R428" i="24"/>
  <c r="O156" i="24"/>
  <c r="R156" i="24"/>
  <c r="O352" i="24"/>
  <c r="R352" i="24"/>
  <c r="O472" i="24"/>
  <c r="R472" i="24"/>
  <c r="O176" i="24"/>
  <c r="R176" i="24"/>
  <c r="O540" i="24"/>
  <c r="R540" i="24"/>
  <c r="O492" i="24"/>
  <c r="L492" i="24" s="1"/>
  <c r="AQ1197" i="1" s="1"/>
  <c r="R492" i="24"/>
  <c r="L69" i="24"/>
  <c r="AQ1263" i="1" s="1"/>
  <c r="R69" i="24"/>
  <c r="O126" i="24"/>
  <c r="R126" i="24"/>
  <c r="L122" i="24"/>
  <c r="AQ918" i="1" s="1"/>
  <c r="R122" i="24"/>
  <c r="O393" i="24"/>
  <c r="L393" i="24" s="1"/>
  <c r="AQ429" i="1" s="1"/>
  <c r="R393" i="24"/>
  <c r="O510" i="24"/>
  <c r="L510" i="24" s="1"/>
  <c r="AQ1037" i="1" s="1"/>
  <c r="R510" i="24"/>
  <c r="O36" i="24"/>
  <c r="R36" i="24"/>
  <c r="O144" i="24"/>
  <c r="R144" i="24"/>
  <c r="O107" i="24"/>
  <c r="R107" i="24"/>
  <c r="O114" i="24"/>
  <c r="R114" i="24"/>
  <c r="O201" i="24"/>
  <c r="R201" i="24"/>
  <c r="O410" i="24"/>
  <c r="L410" i="24" s="1"/>
  <c r="AQ438" i="1" s="1"/>
  <c r="R410" i="24"/>
  <c r="O96" i="24"/>
  <c r="R96" i="24"/>
  <c r="O125" i="24"/>
  <c r="R125" i="24"/>
  <c r="O508" i="24"/>
  <c r="R508" i="24"/>
  <c r="O525" i="24"/>
  <c r="R525" i="24"/>
  <c r="O468" i="24"/>
  <c r="R468" i="24"/>
  <c r="O460" i="24"/>
  <c r="R460" i="24"/>
  <c r="O518" i="24"/>
  <c r="R518" i="24"/>
  <c r="O483" i="24"/>
  <c r="R483" i="24"/>
  <c r="O450" i="24"/>
  <c r="R450" i="24"/>
  <c r="O442" i="24"/>
  <c r="R442" i="24"/>
  <c r="O424" i="24"/>
  <c r="R424" i="24"/>
  <c r="O416" i="24"/>
  <c r="R416" i="24"/>
  <c r="O501" i="24"/>
  <c r="R501" i="24"/>
  <c r="O389" i="24"/>
  <c r="R389" i="24"/>
  <c r="O427" i="24"/>
  <c r="R427" i="24"/>
  <c r="O362" i="24"/>
  <c r="R362" i="24"/>
  <c r="O537" i="24"/>
  <c r="R537" i="24"/>
  <c r="L531" i="24"/>
  <c r="AQ267" i="1" s="1"/>
  <c r="R531" i="24"/>
  <c r="O212" i="24"/>
  <c r="R212" i="24"/>
  <c r="O327" i="24"/>
  <c r="R327" i="24"/>
  <c r="O271" i="24"/>
  <c r="R271" i="24"/>
  <c r="O170" i="24"/>
  <c r="R170" i="24"/>
  <c r="O244" i="24"/>
  <c r="R244" i="24"/>
  <c r="O242" i="24"/>
  <c r="R242" i="24"/>
  <c r="O381" i="24"/>
  <c r="R381" i="24"/>
  <c r="O166" i="24"/>
  <c r="R166" i="24"/>
  <c r="O198" i="24"/>
  <c r="R198" i="24"/>
  <c r="O387" i="24"/>
  <c r="R387" i="24"/>
  <c r="O331" i="24"/>
  <c r="R331" i="24"/>
  <c r="O273" i="24"/>
  <c r="R273" i="24"/>
  <c r="O232" i="24"/>
  <c r="R232" i="24"/>
  <c r="O231" i="24"/>
  <c r="R231" i="24"/>
  <c r="O315" i="24"/>
  <c r="R315" i="24"/>
  <c r="O18" i="24"/>
  <c r="R18" i="24"/>
  <c r="L95" i="24"/>
  <c r="AQ15" i="1" s="1"/>
  <c r="R95" i="24"/>
  <c r="L15" i="24"/>
  <c r="AQ1114" i="1" s="1"/>
  <c r="R15" i="24"/>
  <c r="O23" i="24"/>
  <c r="R23" i="24"/>
  <c r="O83" i="24"/>
  <c r="R83" i="24"/>
  <c r="O190" i="24"/>
  <c r="R190" i="24"/>
  <c r="O403" i="24"/>
  <c r="R403" i="24"/>
  <c r="O150" i="24"/>
  <c r="L150" i="24" s="1"/>
  <c r="AQ485" i="1" s="1"/>
  <c r="R150" i="24"/>
  <c r="O79" i="24"/>
  <c r="R79" i="24"/>
  <c r="O109" i="24"/>
  <c r="R109" i="24"/>
  <c r="O40" i="24"/>
  <c r="R40" i="24"/>
  <c r="O67" i="24"/>
  <c r="R67" i="24"/>
  <c r="O78" i="24"/>
  <c r="R78" i="24"/>
  <c r="O479" i="24"/>
  <c r="R479" i="24"/>
  <c r="O132" i="24"/>
  <c r="L132" i="24" s="1"/>
  <c r="R132" i="24"/>
  <c r="O53" i="24"/>
  <c r="R53" i="24"/>
  <c r="O133" i="24"/>
  <c r="R133" i="24"/>
  <c r="O319" i="24"/>
  <c r="R319" i="24"/>
  <c r="O425" i="24"/>
  <c r="R425" i="24"/>
  <c r="O524" i="24"/>
  <c r="R524" i="24"/>
  <c r="O467" i="24"/>
  <c r="R467" i="24"/>
  <c r="O459" i="24"/>
  <c r="R459" i="24"/>
  <c r="O516" i="24"/>
  <c r="R516" i="24"/>
  <c r="O482" i="24"/>
  <c r="R482" i="24"/>
  <c r="O449" i="24"/>
  <c r="R449" i="24"/>
  <c r="O441" i="24"/>
  <c r="R441" i="24"/>
  <c r="O423" i="24"/>
  <c r="R423" i="24"/>
  <c r="O415" i="24"/>
  <c r="R415" i="24"/>
  <c r="O500" i="24"/>
  <c r="R500" i="24"/>
  <c r="O388" i="24"/>
  <c r="R388" i="24"/>
  <c r="O426" i="24"/>
  <c r="R426" i="24"/>
  <c r="O349" i="24"/>
  <c r="R349" i="24"/>
  <c r="O193" i="24"/>
  <c r="R193" i="24"/>
  <c r="O275" i="24"/>
  <c r="R275" i="24"/>
  <c r="O172" i="24"/>
  <c r="R172" i="24"/>
  <c r="O293" i="24"/>
  <c r="R293" i="24"/>
  <c r="O512" i="24"/>
  <c r="L512" i="24" s="1"/>
  <c r="AQ1038" i="1" s="1"/>
  <c r="R512" i="24"/>
  <c r="L101" i="24"/>
  <c r="AQ1219" i="1" s="1"/>
  <c r="R101" i="24"/>
  <c r="O59" i="24"/>
  <c r="R59" i="24"/>
  <c r="O507" i="24"/>
  <c r="R507" i="24"/>
  <c r="O513" i="24"/>
  <c r="L513" i="24" s="1"/>
  <c r="AQ1304" i="1" s="1"/>
  <c r="R513" i="24"/>
  <c r="O20" i="24"/>
  <c r="R20" i="24"/>
  <c r="O29" i="24"/>
  <c r="R29" i="24"/>
  <c r="O152" i="24"/>
  <c r="R152" i="24"/>
  <c r="O523" i="24"/>
  <c r="R523" i="24"/>
  <c r="O466" i="24"/>
  <c r="R466" i="24"/>
  <c r="O458" i="24"/>
  <c r="R458" i="24"/>
  <c r="O515" i="24"/>
  <c r="R515" i="24"/>
  <c r="O481" i="24"/>
  <c r="R481" i="24"/>
  <c r="O448" i="24"/>
  <c r="R448" i="24"/>
  <c r="O440" i="24"/>
  <c r="R440" i="24"/>
  <c r="O422" i="24"/>
  <c r="R422" i="24"/>
  <c r="O414" i="24"/>
  <c r="R414" i="24"/>
  <c r="O499" i="24"/>
  <c r="R499" i="24"/>
  <c r="O433" i="24"/>
  <c r="R433" i="24"/>
  <c r="O407" i="24"/>
  <c r="R407" i="24"/>
  <c r="O522" i="24"/>
  <c r="R522" i="24"/>
  <c r="O465" i="24"/>
  <c r="R465" i="24"/>
  <c r="O457" i="24"/>
  <c r="R457" i="24"/>
  <c r="O514" i="24"/>
  <c r="R514" i="24"/>
  <c r="O480" i="24"/>
  <c r="R480" i="24"/>
  <c r="O447" i="24"/>
  <c r="R447" i="24"/>
  <c r="O439" i="24"/>
  <c r="R439" i="24"/>
  <c r="O421" i="24"/>
  <c r="R421" i="24"/>
  <c r="O413" i="24"/>
  <c r="R413" i="24"/>
  <c r="O498" i="24"/>
  <c r="R498" i="24"/>
  <c r="O432" i="24"/>
  <c r="R432" i="24"/>
  <c r="O406" i="24"/>
  <c r="R406" i="24"/>
  <c r="O324" i="24"/>
  <c r="R324" i="24"/>
  <c r="O530" i="24"/>
  <c r="R530" i="24"/>
  <c r="O121" i="24"/>
  <c r="R121" i="24"/>
  <c r="O377" i="24"/>
  <c r="R377" i="24"/>
  <c r="O185" i="24"/>
  <c r="R185" i="24"/>
  <c r="O165" i="24"/>
  <c r="R165" i="24"/>
  <c r="O533" i="24"/>
  <c r="R533" i="24"/>
  <c r="O322" i="24"/>
  <c r="R322" i="24"/>
  <c r="O337" i="24"/>
  <c r="R337" i="24"/>
  <c r="O158" i="24"/>
  <c r="R158" i="24"/>
  <c r="O343" i="24"/>
  <c r="R343" i="24"/>
  <c r="O196" i="24"/>
  <c r="R196" i="24"/>
  <c r="O260" i="24"/>
  <c r="R260" i="24"/>
  <c r="O159" i="24"/>
  <c r="R159" i="24"/>
  <c r="O246" i="24"/>
  <c r="R246" i="24"/>
  <c r="O366" i="24"/>
  <c r="R366" i="24"/>
  <c r="O386" i="24"/>
  <c r="R386" i="24"/>
  <c r="L119" i="24"/>
  <c r="AQ1305" i="1" s="1"/>
  <c r="R119" i="24"/>
  <c r="O66" i="24"/>
  <c r="R66" i="24"/>
  <c r="O395" i="24"/>
  <c r="R395" i="24"/>
  <c r="O409" i="24"/>
  <c r="L409" i="24" s="1"/>
  <c r="AQ441" i="1" s="1"/>
  <c r="R409" i="24"/>
  <c r="O103" i="24"/>
  <c r="R103" i="24"/>
  <c r="L529" i="24"/>
  <c r="AQ779" i="1" s="1"/>
  <c r="R529" i="24"/>
  <c r="O535" i="24"/>
  <c r="R535" i="24"/>
  <c r="O374" i="24"/>
  <c r="R374" i="24"/>
  <c r="O287" i="24"/>
  <c r="R287" i="24"/>
  <c r="O253" i="24"/>
  <c r="R253" i="24"/>
  <c r="O380" i="24"/>
  <c r="R380" i="24"/>
  <c r="O297" i="24"/>
  <c r="R297" i="24"/>
  <c r="O219" i="24"/>
  <c r="R219" i="24"/>
  <c r="O300" i="24"/>
  <c r="R300" i="24"/>
  <c r="O391" i="24"/>
  <c r="R391" i="24"/>
  <c r="O120" i="24"/>
  <c r="R120" i="24"/>
  <c r="O360" i="24"/>
  <c r="R360" i="24"/>
  <c r="O265" i="24"/>
  <c r="R265" i="24"/>
  <c r="O200" i="24"/>
  <c r="R200" i="24"/>
  <c r="O195" i="24"/>
  <c r="R195" i="24"/>
  <c r="O372" i="24"/>
  <c r="R372" i="24"/>
  <c r="O236" i="24"/>
  <c r="R236" i="24"/>
  <c r="O368" i="24"/>
  <c r="R368" i="24"/>
  <c r="O509" i="24"/>
  <c r="R509" i="24"/>
  <c r="L35" i="24"/>
  <c r="R35" i="24"/>
  <c r="L143" i="24"/>
  <c r="AQ257" i="1" s="1"/>
  <c r="R143" i="24"/>
  <c r="L56" i="24"/>
  <c r="AQ772" i="1" s="1"/>
  <c r="R56" i="24"/>
  <c r="O94" i="24"/>
  <c r="R94" i="24"/>
  <c r="O65" i="24"/>
  <c r="R65" i="24"/>
  <c r="O399" i="24"/>
  <c r="L399" i="24" s="1"/>
  <c r="AQ911" i="1" s="1"/>
  <c r="R399" i="24"/>
  <c r="O473" i="24"/>
  <c r="L473" i="24" s="1"/>
  <c r="AQ410" i="1" s="1"/>
  <c r="R473" i="24"/>
  <c r="L21" i="24"/>
  <c r="AQ1159" i="1" s="1"/>
  <c r="R21" i="24"/>
  <c r="O127" i="24"/>
  <c r="R127" i="24"/>
  <c r="O45" i="24"/>
  <c r="R45" i="24"/>
  <c r="O81" i="24"/>
  <c r="R81" i="24"/>
  <c r="O57" i="24"/>
  <c r="R57" i="24"/>
  <c r="O142" i="24"/>
  <c r="R142" i="24"/>
  <c r="O63" i="24"/>
  <c r="R63" i="24"/>
  <c r="O58" i="24"/>
  <c r="R58" i="24"/>
  <c r="O49" i="24"/>
  <c r="R49" i="24"/>
  <c r="O369" i="24"/>
  <c r="R369" i="24"/>
  <c r="O526" i="24"/>
  <c r="R526" i="24"/>
  <c r="O263" i="24"/>
  <c r="R263" i="24"/>
  <c r="O175" i="24"/>
  <c r="R175" i="24"/>
  <c r="O385" i="24"/>
  <c r="R385" i="24"/>
  <c r="O521" i="24"/>
  <c r="R521" i="24"/>
  <c r="O464" i="24"/>
  <c r="R464" i="24"/>
  <c r="O456" i="24"/>
  <c r="R456" i="24"/>
  <c r="O487" i="24"/>
  <c r="R487" i="24"/>
  <c r="O475" i="24"/>
  <c r="R475" i="24"/>
  <c r="O446" i="24"/>
  <c r="R446" i="24"/>
  <c r="O438" i="24"/>
  <c r="R438" i="24"/>
  <c r="O420" i="24"/>
  <c r="R420" i="24"/>
  <c r="O412" i="24"/>
  <c r="R412" i="24"/>
  <c r="O506" i="24"/>
  <c r="R506" i="24"/>
  <c r="O497" i="24"/>
  <c r="R497" i="24"/>
  <c r="O431" i="24"/>
  <c r="R431" i="24"/>
  <c r="O405" i="24"/>
  <c r="R405" i="24"/>
  <c r="O402" i="24"/>
  <c r="R402" i="24"/>
  <c r="L532" i="24"/>
  <c r="AQ379" i="1" s="1"/>
  <c r="R532" i="24"/>
  <c r="L536" i="24"/>
  <c r="AQ872" i="1" s="1"/>
  <c r="R536" i="24"/>
  <c r="O249" i="24"/>
  <c r="R249" i="24"/>
  <c r="O307" i="24"/>
  <c r="R307" i="24"/>
  <c r="O310" i="24"/>
  <c r="R310" i="24"/>
  <c r="O325" i="24"/>
  <c r="R325" i="24"/>
  <c r="O221" i="24"/>
  <c r="R221" i="24"/>
  <c r="O336" i="24"/>
  <c r="R336" i="24"/>
  <c r="O285" i="24"/>
  <c r="R285" i="24"/>
  <c r="O371" i="24"/>
  <c r="R371" i="24"/>
  <c r="O257" i="24"/>
  <c r="R257" i="24"/>
  <c r="O528" i="24"/>
  <c r="R528" i="24"/>
  <c r="O476" i="24"/>
  <c r="R476" i="24"/>
  <c r="O392" i="24"/>
  <c r="L392" i="24" s="1"/>
  <c r="AQ873" i="1" s="1"/>
  <c r="R392" i="24"/>
  <c r="L92" i="24"/>
  <c r="AQ1227" i="1" s="1"/>
  <c r="R92" i="24"/>
  <c r="L14" i="24"/>
  <c r="AQ1381" i="1" s="1"/>
  <c r="R14" i="24"/>
  <c r="L80" i="24"/>
  <c r="AQ223" i="1" s="1"/>
  <c r="R80" i="24"/>
  <c r="O138" i="24"/>
  <c r="R138" i="24"/>
  <c r="O115" i="24"/>
  <c r="R115" i="24"/>
  <c r="O411" i="24"/>
  <c r="R411" i="24"/>
  <c r="O478" i="24"/>
  <c r="L478" i="24" s="1"/>
  <c r="AQ1030" i="1" s="1"/>
  <c r="R478" i="24"/>
  <c r="L68" i="24"/>
  <c r="AQ1223" i="1" s="1"/>
  <c r="R68" i="24"/>
  <c r="O151" i="24"/>
  <c r="R151" i="24"/>
  <c r="O64" i="24"/>
  <c r="R64" i="24"/>
  <c r="O110" i="24"/>
  <c r="R110" i="24"/>
  <c r="O93" i="24"/>
  <c r="R93" i="24"/>
  <c r="O75" i="24"/>
  <c r="R75" i="24"/>
  <c r="O534" i="24"/>
  <c r="R534" i="24"/>
  <c r="O539" i="24"/>
  <c r="L539" i="24" s="1"/>
  <c r="AQ78" i="1" s="1"/>
  <c r="R539" i="24"/>
  <c r="O378" i="24"/>
  <c r="R378" i="24"/>
  <c r="O266" i="24"/>
  <c r="R266" i="24"/>
  <c r="O350" i="24"/>
  <c r="R350" i="24"/>
  <c r="O224" i="24"/>
  <c r="R224" i="24"/>
  <c r="O61" i="24"/>
  <c r="R61" i="24"/>
  <c r="O270" i="24"/>
  <c r="R270" i="24"/>
  <c r="O247" i="24"/>
  <c r="R247" i="24"/>
  <c r="O188" i="24"/>
  <c r="R188" i="24"/>
  <c r="O276" i="24"/>
  <c r="R276" i="24"/>
  <c r="O314" i="24"/>
  <c r="R314" i="24"/>
  <c r="O261" i="24"/>
  <c r="R261" i="24"/>
  <c r="O347" i="24"/>
  <c r="R347" i="24"/>
  <c r="O206" i="24"/>
  <c r="R206" i="24"/>
  <c r="O228" i="24"/>
  <c r="R228" i="24"/>
  <c r="O408" i="24"/>
  <c r="L408" i="24" s="1"/>
  <c r="AQ705" i="1" s="1"/>
  <c r="R408" i="24"/>
  <c r="L116" i="24"/>
  <c r="AQ651" i="1" s="1"/>
  <c r="R116" i="24"/>
  <c r="L82" i="24"/>
  <c r="R82" i="24"/>
  <c r="O54" i="24"/>
  <c r="R54" i="24"/>
  <c r="O86" i="24"/>
  <c r="R86" i="24"/>
  <c r="O489" i="24"/>
  <c r="R489" i="24"/>
  <c r="O490" i="24"/>
  <c r="R490" i="24"/>
  <c r="L100" i="24"/>
  <c r="AQ825" i="1" s="1"/>
  <c r="R100" i="24"/>
  <c r="O22" i="24"/>
  <c r="R22" i="24"/>
  <c r="O88" i="24"/>
  <c r="R88" i="24"/>
  <c r="O141" i="24"/>
  <c r="R141" i="24"/>
  <c r="O137" i="24"/>
  <c r="R137" i="24"/>
  <c r="O106" i="24"/>
  <c r="R106" i="24"/>
  <c r="O13" i="24"/>
  <c r="R13" i="24"/>
  <c r="O48" i="24"/>
  <c r="R48" i="24"/>
  <c r="O129" i="24"/>
  <c r="R129" i="24"/>
  <c r="O97" i="24"/>
  <c r="R97" i="24"/>
  <c r="O520" i="24"/>
  <c r="R520" i="24"/>
  <c r="O471" i="24"/>
  <c r="R471" i="24"/>
  <c r="O463" i="24"/>
  <c r="R463" i="24"/>
  <c r="O455" i="24"/>
  <c r="R455" i="24"/>
  <c r="O486" i="24"/>
  <c r="R486" i="24"/>
  <c r="O453" i="24"/>
  <c r="R453" i="24"/>
  <c r="O445" i="24"/>
  <c r="R445" i="24"/>
  <c r="O437" i="24"/>
  <c r="R437" i="24"/>
  <c r="O419" i="24"/>
  <c r="R419" i="24"/>
  <c r="O398" i="24"/>
  <c r="R398" i="24"/>
  <c r="O505" i="24"/>
  <c r="R505" i="24"/>
  <c r="O496" i="24"/>
  <c r="R496" i="24"/>
  <c r="O430" i="24"/>
  <c r="R430" i="24"/>
  <c r="O194" i="24"/>
  <c r="R194" i="24"/>
  <c r="O167" i="24"/>
  <c r="R167" i="24"/>
  <c r="O356" i="24"/>
  <c r="R356" i="24"/>
  <c r="O272" i="24"/>
  <c r="R272" i="24"/>
  <c r="O318" i="24"/>
  <c r="R318" i="24"/>
  <c r="O220" i="24"/>
  <c r="R220" i="24"/>
  <c r="O317" i="24"/>
  <c r="R317" i="24"/>
  <c r="O326" i="24"/>
  <c r="R326" i="24"/>
  <c r="O161" i="24"/>
  <c r="R161" i="24"/>
  <c r="L71" i="24"/>
  <c r="AQ222" i="1" s="1"/>
  <c r="R71" i="24"/>
  <c r="O32" i="24"/>
  <c r="R32" i="24"/>
  <c r="L73" i="24"/>
  <c r="AQ795" i="1" s="1"/>
  <c r="R73" i="24"/>
  <c r="O396" i="24"/>
  <c r="L396" i="24" s="1"/>
  <c r="AQ744" i="1" s="1"/>
  <c r="R396" i="24"/>
  <c r="R55" i="24"/>
  <c r="O77" i="24"/>
  <c r="R77" i="24"/>
  <c r="O130" i="24"/>
  <c r="R130" i="24"/>
  <c r="O108" i="24"/>
  <c r="R108" i="24"/>
  <c r="O157" i="24"/>
  <c r="R157" i="24"/>
  <c r="O527" i="24"/>
  <c r="R527" i="24"/>
  <c r="O373" i="24"/>
  <c r="R373" i="24"/>
  <c r="O282" i="24"/>
  <c r="R282" i="24"/>
  <c r="O330" i="24"/>
  <c r="R330" i="24"/>
  <c r="O370" i="24"/>
  <c r="R370" i="24"/>
  <c r="O302" i="24"/>
  <c r="R302" i="24"/>
  <c r="L17" i="24"/>
  <c r="AQ128" i="1" s="1"/>
  <c r="R17" i="24"/>
  <c r="L39" i="24"/>
  <c r="AQ1277" i="1" s="1"/>
  <c r="R39" i="24"/>
  <c r="O52" i="24"/>
  <c r="R52" i="24"/>
  <c r="L131" i="24"/>
  <c r="AQ8" i="1" s="1"/>
  <c r="R131" i="24"/>
  <c r="L12" i="24"/>
  <c r="R12" i="24"/>
  <c r="O19" i="24"/>
  <c r="R19" i="24"/>
  <c r="O50" i="24"/>
  <c r="R50" i="24"/>
  <c r="O26" i="24"/>
  <c r="R26" i="24"/>
  <c r="O84" i="24"/>
  <c r="R84" i="24"/>
  <c r="O174" i="24"/>
  <c r="R174" i="24"/>
  <c r="O434" i="24"/>
  <c r="R434" i="24"/>
  <c r="O542" i="24"/>
  <c r="R542" i="24"/>
  <c r="O248" i="24"/>
  <c r="R248" i="24"/>
  <c r="O284" i="24"/>
  <c r="R284" i="24"/>
  <c r="O186" i="24"/>
  <c r="R186" i="24"/>
  <c r="O281" i="24"/>
  <c r="R281" i="24"/>
  <c r="O203" i="24"/>
  <c r="R203" i="24"/>
  <c r="O342" i="24"/>
  <c r="R342" i="24"/>
  <c r="O348" i="24"/>
  <c r="R348" i="24"/>
  <c r="O365" i="24"/>
  <c r="R365" i="24"/>
  <c r="O353" i="24"/>
  <c r="R353" i="24"/>
  <c r="O255" i="24"/>
  <c r="R255" i="24"/>
  <c r="O279" i="24"/>
  <c r="R279" i="24"/>
  <c r="O311" i="24"/>
  <c r="R311" i="24"/>
  <c r="O223" i="24"/>
  <c r="R223" i="24"/>
  <c r="O191" i="24"/>
  <c r="R191" i="24"/>
  <c r="O477" i="24"/>
  <c r="L477" i="24" s="1"/>
  <c r="AQ1028" i="1" s="1"/>
  <c r="R477" i="24"/>
  <c r="L140" i="24"/>
  <c r="R140" i="24"/>
  <c r="L28" i="24"/>
  <c r="R28" i="24"/>
  <c r="L136" i="24"/>
  <c r="AQ650" i="1" s="1"/>
  <c r="R136" i="24"/>
  <c r="O74" i="24"/>
  <c r="R74" i="24"/>
  <c r="O312" i="24"/>
  <c r="R312" i="24"/>
  <c r="O495" i="24"/>
  <c r="L495" i="24" s="1"/>
  <c r="AQ1273" i="1" s="1"/>
  <c r="R495" i="24"/>
  <c r="O493" i="24"/>
  <c r="R493" i="24"/>
  <c r="L124" i="24"/>
  <c r="AQ1100" i="1" s="1"/>
  <c r="R124" i="24"/>
  <c r="O90" i="24"/>
  <c r="R90" i="24"/>
  <c r="O112" i="24"/>
  <c r="R112" i="24"/>
  <c r="O62" i="24"/>
  <c r="R62" i="24"/>
  <c r="O105" i="24"/>
  <c r="R105" i="24"/>
  <c r="O113" i="24"/>
  <c r="R113" i="24"/>
  <c r="O502" i="24"/>
  <c r="R502" i="24"/>
  <c r="O470" i="24"/>
  <c r="R470" i="24"/>
  <c r="O462" i="24"/>
  <c r="R462" i="24"/>
  <c r="O454" i="24"/>
  <c r="R454" i="24"/>
  <c r="O485" i="24"/>
  <c r="R485" i="24"/>
  <c r="O452" i="24"/>
  <c r="R452" i="24"/>
  <c r="O444" i="24"/>
  <c r="R444" i="24"/>
  <c r="O436" i="24"/>
  <c r="R436" i="24"/>
  <c r="O418" i="24"/>
  <c r="R418" i="24"/>
  <c r="O504" i="24"/>
  <c r="R504" i="24"/>
  <c r="O401" i="24"/>
  <c r="R401" i="24"/>
  <c r="O429" i="24"/>
  <c r="R429" i="24"/>
  <c r="O241" i="24"/>
  <c r="R241" i="24"/>
  <c r="O208" i="24"/>
  <c r="R208" i="24"/>
  <c r="AQ1237" i="1"/>
  <c r="L19" i="24"/>
  <c r="L58" i="24"/>
  <c r="L129" i="24"/>
  <c r="L20" i="24"/>
  <c r="AQ129" i="1" s="1"/>
  <c r="L78" i="24"/>
  <c r="AQ1245" i="1" s="1"/>
  <c r="L142" i="24"/>
  <c r="AQ1264" i="1" s="1"/>
  <c r="L36" i="24"/>
  <c r="AQ1171" i="1" s="1"/>
  <c r="L81" i="24"/>
  <c r="AQ241" i="1" s="1"/>
  <c r="L141" i="24"/>
  <c r="AQ1278" i="1" s="1"/>
  <c r="L107" i="24"/>
  <c r="AQ488" i="1" s="1"/>
  <c r="L108" i="24"/>
  <c r="O532" i="24"/>
  <c r="L59" i="24"/>
  <c r="AQ1265" i="1" s="1"/>
  <c r="L52" i="24"/>
  <c r="L151" i="24"/>
  <c r="AQ463" i="1" s="1"/>
  <c r="L88" i="24"/>
  <c r="AQ906" i="1" s="1"/>
  <c r="L54" i="24"/>
  <c r="L126" i="24"/>
  <c r="AQ243" i="1" s="1"/>
  <c r="L127" i="24"/>
  <c r="AQ1016" i="1" s="1"/>
  <c r="L90" i="24"/>
  <c r="L109" i="24"/>
  <c r="L64" i="24"/>
  <c r="AQ584" i="1" s="1"/>
  <c r="L144" i="24"/>
  <c r="AQ377" i="1" s="1"/>
  <c r="L50" i="24"/>
  <c r="AQ1099" i="1" s="1"/>
  <c r="L105" i="24"/>
  <c r="AQ1372" i="1" s="1"/>
  <c r="L130" i="24"/>
  <c r="L53" i="24"/>
  <c r="AQ582" i="1" s="1"/>
  <c r="L97" i="24"/>
  <c r="AQ1221" i="1" s="1"/>
  <c r="L23" i="24"/>
  <c r="AQ765" i="1" s="1"/>
  <c r="L103" i="24"/>
  <c r="AQ892" i="1" s="1"/>
  <c r="L22" i="24"/>
  <c r="L45" i="24"/>
  <c r="L112" i="24"/>
  <c r="AQ245" i="1" s="1"/>
  <c r="L29" i="24"/>
  <c r="L26" i="24"/>
  <c r="L125" i="24"/>
  <c r="AQ1374" i="1" s="1"/>
  <c r="L133" i="24"/>
  <c r="AQ9" i="1" s="1"/>
  <c r="O35" i="24"/>
  <c r="O95" i="24"/>
  <c r="O71" i="24"/>
  <c r="O119" i="24"/>
  <c r="O143" i="24"/>
  <c r="O14" i="24"/>
  <c r="O82" i="24"/>
  <c r="O28" i="24"/>
  <c r="O69" i="24"/>
  <c r="O101" i="24"/>
  <c r="O15" i="24"/>
  <c r="O39" i="24"/>
  <c r="O56" i="24"/>
  <c r="O80" i="24"/>
  <c r="O104" i="24"/>
  <c r="O136" i="24"/>
  <c r="O16" i="24"/>
  <c r="O73" i="24"/>
  <c r="O131" i="24"/>
  <c r="O68" i="24"/>
  <c r="L27" i="24"/>
  <c r="AQ628" i="1" s="1"/>
  <c r="O140" i="24"/>
  <c r="L66" i="24"/>
  <c r="AQ648" i="1" s="1"/>
  <c r="L138" i="24"/>
  <c r="L65" i="24"/>
  <c r="L86" i="24"/>
  <c r="AQ1013" i="1" s="1"/>
  <c r="O148" i="24"/>
  <c r="L148" i="24" s="1"/>
  <c r="AQ495" i="1" s="1"/>
  <c r="L57" i="24"/>
  <c r="L137" i="24"/>
  <c r="AQ773" i="1" s="1"/>
  <c r="L75" i="24"/>
  <c r="L113" i="24"/>
  <c r="L13" i="24"/>
  <c r="L63" i="24"/>
  <c r="AQ462" i="1" s="1"/>
  <c r="L48" i="24"/>
  <c r="AQ1008" i="1" s="1"/>
  <c r="L96" i="24"/>
  <c r="AQ1220" i="1" s="1"/>
  <c r="L49" i="24"/>
  <c r="AQ753" i="1" s="1"/>
  <c r="O44" i="24"/>
  <c r="L44" i="24"/>
  <c r="AQ625" i="1" s="1"/>
  <c r="O491" i="24"/>
  <c r="O85" i="24"/>
  <c r="L85" i="24"/>
  <c r="AQ947" i="1" s="1"/>
  <c r="O123" i="24"/>
  <c r="L123" i="24"/>
  <c r="AQ1225" i="1" s="1"/>
  <c r="O149" i="24"/>
  <c r="L149" i="24" s="1"/>
  <c r="AQ493" i="1" s="1"/>
  <c r="O529" i="24"/>
  <c r="L41" i="24"/>
  <c r="AQ660" i="1" s="1"/>
  <c r="O41" i="24"/>
  <c r="O17" i="24"/>
  <c r="O116" i="24"/>
  <c r="O21" i="24"/>
  <c r="O124" i="24"/>
  <c r="O474" i="24"/>
  <c r="L474" i="24" s="1"/>
  <c r="AQ407" i="1" s="1"/>
  <c r="O135" i="24"/>
  <c r="L135" i="24"/>
  <c r="AQ1012" i="1" s="1"/>
  <c r="O43" i="24"/>
  <c r="L43" i="24"/>
  <c r="AQ236" i="1" s="1"/>
  <c r="O146" i="24"/>
  <c r="L146" i="24"/>
  <c r="AQ402" i="1" s="1"/>
  <c r="O42" i="24"/>
  <c r="L42" i="24"/>
  <c r="AQ626" i="1" s="1"/>
  <c r="L18" i="24"/>
  <c r="O92" i="24"/>
  <c r="L94" i="24"/>
  <c r="L74" i="24"/>
  <c r="L83" i="24"/>
  <c r="AQ240" i="1" s="1"/>
  <c r="L115" i="24"/>
  <c r="AQ242" i="1" s="1"/>
  <c r="O12" i="24"/>
  <c r="O100" i="24"/>
  <c r="O55" i="24"/>
  <c r="L62" i="24"/>
  <c r="AQ413" i="1" s="1"/>
  <c r="L67" i="24"/>
  <c r="AQ583" i="1" s="1"/>
  <c r="L114" i="24"/>
  <c r="L84" i="24"/>
  <c r="AQ805" i="1" s="1"/>
  <c r="L106" i="24"/>
  <c r="AQ798" i="1" s="1"/>
  <c r="O394" i="24"/>
  <c r="L394" i="24" s="1"/>
  <c r="AQ400" i="1" s="1"/>
  <c r="O87" i="24"/>
  <c r="L87" i="24"/>
  <c r="AQ639" i="1" s="1"/>
  <c r="O31" i="24"/>
  <c r="L31" i="24"/>
  <c r="O60" i="24"/>
  <c r="L60" i="24"/>
  <c r="AQ1032" i="1" s="1"/>
  <c r="L434" i="24"/>
  <c r="AQ886" i="1" s="1"/>
  <c r="O536" i="24"/>
  <c r="O303" i="24"/>
  <c r="O379" i="24"/>
  <c r="O306" i="24"/>
  <c r="O207" i="24"/>
  <c r="O283" i="24"/>
  <c r="L535" i="24"/>
  <c r="AQ870" i="1" s="1"/>
  <c r="O543" i="24"/>
  <c r="O199" i="24"/>
  <c r="O204" i="24"/>
  <c r="O294" i="24"/>
  <c r="O333" i="24"/>
  <c r="O173" i="24"/>
  <c r="O323" i="24"/>
  <c r="O268" i="24"/>
  <c r="O240" i="24"/>
  <c r="O182" i="24"/>
  <c r="O357" i="24"/>
  <c r="O344" i="24"/>
  <c r="O187" i="24"/>
  <c r="O184" i="24"/>
  <c r="O217" i="24"/>
  <c r="O153" i="24"/>
  <c r="O259" i="24"/>
  <c r="O289" i="24"/>
  <c r="O292" i="24"/>
  <c r="O254" i="24"/>
  <c r="O359" i="24"/>
  <c r="O298" i="24"/>
  <c r="O164" i="24"/>
  <c r="O214" i="24"/>
  <c r="O304" i="24"/>
  <c r="O335" i="24"/>
  <c r="O213" i="24"/>
  <c r="O163" i="24"/>
  <c r="O286" i="24"/>
  <c r="O328" i="24"/>
  <c r="O229" i="24"/>
  <c r="O169" i="24"/>
  <c r="O179" i="24"/>
  <c r="O363" i="24"/>
  <c r="O177" i="24"/>
  <c r="O202" i="24"/>
  <c r="O404" i="24"/>
  <c r="L404" i="24" s="1"/>
  <c r="AQ946" i="1" s="1"/>
  <c r="O277" i="24"/>
  <c r="O308" i="24"/>
  <c r="O89" i="24"/>
  <c r="O334" i="24"/>
  <c r="O209" i="24"/>
  <c r="O243" i="24"/>
  <c r="O237" i="24"/>
  <c r="O278" i="24"/>
  <c r="O155" i="24"/>
  <c r="O290" i="24"/>
  <c r="O341" i="24"/>
  <c r="O320" i="24"/>
  <c r="O351" i="24"/>
  <c r="O345" i="24"/>
  <c r="O162" i="24"/>
  <c r="O384" i="24"/>
  <c r="O205" i="24"/>
  <c r="O178" i="24"/>
  <c r="O210" i="24"/>
  <c r="O295" i="24"/>
  <c r="O181" i="24"/>
  <c r="O227" i="24"/>
  <c r="O280" i="24"/>
  <c r="O355" i="24"/>
  <c r="O233" i="24"/>
  <c r="O288" i="24"/>
  <c r="O376" i="24"/>
  <c r="O299" i="24"/>
  <c r="O354" i="24"/>
  <c r="O252" i="24"/>
  <c r="O154" i="24"/>
  <c r="O375" i="24"/>
  <c r="O339" i="24"/>
  <c r="O34" i="24"/>
  <c r="L34" i="24"/>
  <c r="AQ74" i="1" s="1"/>
  <c r="O98" i="24"/>
  <c r="L530" i="24"/>
  <c r="AQ196" i="1" s="1"/>
  <c r="O531" i="24"/>
  <c r="O180" i="24"/>
  <c r="O313" i="24"/>
  <c r="O160" i="24"/>
  <c r="O519" i="24"/>
  <c r="O192" i="24"/>
  <c r="O264" i="24"/>
  <c r="O238" i="24"/>
  <c r="O321" i="24"/>
  <c r="O305" i="24"/>
  <c r="O316" i="24"/>
  <c r="O346" i="24"/>
  <c r="O269" i="24"/>
  <c r="O250" i="24"/>
  <c r="O367" i="24"/>
  <c r="O226" i="24"/>
  <c r="O183" i="24"/>
  <c r="O197" i="24"/>
  <c r="O222" i="24"/>
  <c r="O364" i="24"/>
  <c r="O225" i="24"/>
  <c r="O239" i="24"/>
  <c r="O211" i="24"/>
  <c r="O171" i="24"/>
  <c r="O251" i="24"/>
  <c r="O258" i="24"/>
  <c r="O235" i="24"/>
  <c r="O382" i="24"/>
  <c r="O230" i="24"/>
  <c r="O168" i="24"/>
  <c r="O383" i="24"/>
  <c r="O274" i="24"/>
  <c r="O216" i="24"/>
  <c r="O538" i="24"/>
  <c r="O256" i="24"/>
  <c r="O494" i="24"/>
  <c r="L494" i="24" s="1"/>
  <c r="AQ1204" i="1" s="1"/>
  <c r="O33" i="24"/>
  <c r="L33" i="24"/>
  <c r="AQ70" i="1" s="1"/>
  <c r="O117" i="24"/>
  <c r="L117" i="24"/>
  <c r="AQ652" i="1" s="1"/>
  <c r="O147" i="24"/>
  <c r="L147" i="24"/>
  <c r="AQ419" i="1" s="1"/>
  <c r="O189" i="24"/>
  <c r="O301" i="24"/>
  <c r="O358" i="24"/>
  <c r="O234" i="24"/>
  <c r="O245" i="24"/>
  <c r="O46" i="24"/>
  <c r="L46" i="24"/>
  <c r="AQ627" i="1" s="1"/>
  <c r="O309" i="24"/>
  <c r="O122" i="24"/>
  <c r="L102" i="24"/>
  <c r="AQ1224" i="1" s="1"/>
  <c r="O102" i="24"/>
  <c r="L134" i="24"/>
  <c r="AQ10" i="1" s="1"/>
  <c r="O134" i="24"/>
  <c r="O397" i="24"/>
  <c r="O488" i="24"/>
  <c r="O76" i="24"/>
  <c r="L76" i="24"/>
  <c r="AQ235" i="1" s="1"/>
  <c r="O128" i="24"/>
  <c r="L128" i="24"/>
  <c r="O91" i="24"/>
  <c r="L91" i="24"/>
  <c r="O30" i="24"/>
  <c r="L30" i="24"/>
  <c r="O296" i="24"/>
  <c r="O332" i="24"/>
  <c r="O215" i="24"/>
  <c r="O218" i="24"/>
  <c r="O541" i="24"/>
  <c r="O338" i="24"/>
  <c r="L145" i="24"/>
  <c r="AQ925" i="1" s="1"/>
  <c r="O145" i="24"/>
  <c r="O24" i="24"/>
  <c r="L24" i="24"/>
  <c r="AQ23" i="1" s="1"/>
  <c r="O38" i="24"/>
  <c r="L38" i="24"/>
  <c r="O25" i="24"/>
  <c r="L25" i="24"/>
  <c r="AQ120" i="1" s="1"/>
  <c r="O51" i="24"/>
  <c r="L51" i="24"/>
  <c r="O99" i="24"/>
  <c r="L99" i="24"/>
  <c r="AQ238" i="1" s="1"/>
  <c r="O37" i="24"/>
  <c r="L37" i="24"/>
  <c r="L139" i="24"/>
  <c r="O139" i="24"/>
  <c r="O329" i="24"/>
  <c r="O390" i="24"/>
  <c r="O511" i="24"/>
  <c r="L511" i="24" s="1"/>
  <c r="AQ1033" i="1" s="1"/>
  <c r="O111" i="24"/>
  <c r="L111" i="24"/>
  <c r="AQ824" i="1" s="1"/>
  <c r="O72" i="24"/>
  <c r="L72" i="24"/>
  <c r="O70" i="24"/>
  <c r="O118" i="24"/>
  <c r="R54" i="121" l="1"/>
  <c r="AQ364" i="1"/>
  <c r="AQ365" i="1"/>
  <c r="AQ106" i="1"/>
  <c r="AQ361" i="1"/>
  <c r="L533" i="24"/>
  <c r="AQ592" i="1" s="1"/>
  <c r="L70" i="24"/>
  <c r="AQ1017" i="1" s="1"/>
  <c r="L390" i="24"/>
  <c r="AQ1152" i="1" s="1"/>
  <c r="L397" i="24"/>
  <c r="AQ1232" i="1" s="1"/>
  <c r="L571" i="24"/>
  <c r="AQ1355" i="1" s="1"/>
  <c r="L202" i="24"/>
  <c r="AQ915" i="1" s="1"/>
  <c r="L488" i="24"/>
  <c r="L403" i="24"/>
  <c r="AQ247" i="1" s="1"/>
  <c r="L493" i="24"/>
  <c r="AQ1212" i="1" s="1"/>
  <c r="L491" i="24"/>
  <c r="AQ679" i="1" s="1"/>
  <c r="L395" i="24"/>
  <c r="AQ1230" i="1" s="1"/>
  <c r="L411" i="24"/>
  <c r="AQ1272" i="1" s="1"/>
  <c r="L490" i="24"/>
  <c r="AQ1199" i="1" s="1"/>
  <c r="AQ965" i="1"/>
  <c r="AQ966" i="1"/>
  <c r="AQ967" i="1"/>
  <c r="AQ1246" i="1"/>
  <c r="L489" i="24"/>
  <c r="AQ1288" i="1" s="1"/>
  <c r="L569" i="24"/>
  <c r="AQ1353" i="1" s="1"/>
  <c r="L570" i="24"/>
  <c r="AQ1354" i="1" s="1"/>
  <c r="L573" i="24"/>
  <c r="AQ1369" i="1" s="1"/>
  <c r="L543" i="24"/>
  <c r="AQ692" i="1" s="1"/>
  <c r="L542" i="24"/>
  <c r="AQ691" i="1" s="1"/>
  <c r="L545" i="24"/>
  <c r="L547" i="24"/>
  <c r="AQ1339" i="1" s="1"/>
  <c r="L548" i="24"/>
  <c r="AQ1338" i="1" s="1"/>
  <c r="L544" i="24"/>
  <c r="AQ1040" i="1" s="1"/>
  <c r="AQ1375" i="1"/>
  <c r="AQ1382" i="1"/>
  <c r="AQ1352" i="1"/>
  <c r="AQ1276" i="1"/>
  <c r="AQ1282" i="1"/>
  <c r="AQ1351" i="1"/>
  <c r="AQ578" i="1"/>
  <c r="AQ1266" i="1"/>
  <c r="AQ1234" i="1"/>
  <c r="AQ1217" i="1"/>
  <c r="AQ1216" i="1"/>
  <c r="AQ1069" i="1"/>
  <c r="AQ1070" i="1"/>
  <c r="AQ1067" i="1"/>
  <c r="AQ1068" i="1"/>
  <c r="AQ1065" i="1"/>
  <c r="AQ1066" i="1"/>
  <c r="AQ1064" i="1"/>
  <c r="L55" i="24"/>
  <c r="AQ1146" i="1" s="1"/>
  <c r="L40" i="24"/>
  <c r="AQ1359" i="1" s="1"/>
  <c r="AQ1235" i="1"/>
  <c r="AQ45" i="1"/>
  <c r="AQ1283" i="1"/>
  <c r="AQ770" i="1"/>
  <c r="AQ1132" i="1"/>
  <c r="AQ1138" i="1"/>
  <c r="AQ73" i="1"/>
  <c r="AQ1145" i="1"/>
  <c r="AQ983" i="1"/>
  <c r="AQ1403" i="1"/>
  <c r="AQ1071" i="1"/>
  <c r="AQ323" i="1"/>
  <c r="AQ1384" i="1"/>
  <c r="AQ837" i="1"/>
  <c r="AQ522" i="1"/>
  <c r="AQ1387" i="1"/>
  <c r="AQ747" i="1"/>
  <c r="AQ956" i="1"/>
  <c r="AQ378" i="1"/>
  <c r="AQ1052" i="1"/>
  <c r="AQ1388" i="1"/>
  <c r="AQ369" i="1"/>
  <c r="AQ723" i="1"/>
  <c r="AQ957" i="1"/>
  <c r="AQ715" i="1"/>
  <c r="AQ154" i="1"/>
  <c r="AQ1401" i="1"/>
  <c r="AQ813" i="1"/>
  <c r="AQ1055" i="1"/>
  <c r="AQ762" i="1"/>
  <c r="AQ907" i="1"/>
  <c r="AQ614" i="1"/>
  <c r="AQ454" i="1"/>
  <c r="AQ94" i="1"/>
  <c r="AQ206" i="1"/>
  <c r="AQ1153" i="1"/>
  <c r="AQ1349" i="1"/>
  <c r="AQ669" i="1"/>
  <c r="AQ742" i="1"/>
  <c r="AQ900" i="1"/>
  <c r="AQ663" i="1"/>
  <c r="AQ526" i="1"/>
  <c r="AQ303" i="1"/>
  <c r="AQ52" i="1"/>
  <c r="AQ82" i="1"/>
  <c r="AQ981" i="1"/>
  <c r="AQ1392" i="1"/>
  <c r="AQ1405" i="1"/>
  <c r="AQ653" i="1"/>
  <c r="AQ934" i="1"/>
  <c r="AQ311" i="1"/>
  <c r="AQ1057" i="1"/>
  <c r="AQ835" i="1"/>
  <c r="AQ581" i="1"/>
  <c r="AQ737" i="1"/>
  <c r="AQ826" i="1"/>
  <c r="AQ935" i="1"/>
  <c r="AQ1072" i="1"/>
  <c r="AQ897" i="1"/>
  <c r="AQ270" i="1"/>
  <c r="AQ285" i="1"/>
  <c r="AQ175" i="1"/>
  <c r="AQ36" i="1"/>
  <c r="AQ7" i="1"/>
  <c r="AQ611" i="1"/>
  <c r="AQ1393" i="1"/>
  <c r="AQ1386" i="1"/>
  <c r="AQ1385" i="1"/>
  <c r="AQ696" i="1"/>
  <c r="AQ1395" i="1"/>
  <c r="AQ555" i="1"/>
  <c r="AQ309" i="1"/>
  <c r="AQ1389" i="1"/>
  <c r="AQ195" i="1"/>
  <c r="AQ1399" i="1"/>
  <c r="AQ952" i="1"/>
  <c r="AQ776" i="1"/>
  <c r="AQ1063" i="1"/>
  <c r="AQ1058" i="1"/>
  <c r="AQ964" i="1"/>
  <c r="AQ743" i="1"/>
  <c r="AQ782" i="1"/>
  <c r="AQ617" i="1"/>
  <c r="AQ958" i="1"/>
  <c r="AQ174" i="1"/>
  <c r="AQ978" i="1"/>
  <c r="AQ741" i="1"/>
  <c r="AQ304" i="1"/>
  <c r="AQ750" i="1"/>
  <c r="AQ620" i="1"/>
  <c r="AQ587" i="1"/>
  <c r="AQ305" i="1"/>
  <c r="AQ985" i="1"/>
  <c r="AQ832" i="1"/>
  <c r="AQ631" i="1"/>
  <c r="AQ834" i="1"/>
  <c r="AQ736" i="1"/>
  <c r="AQ586" i="1"/>
  <c r="AQ990" i="1"/>
  <c r="AQ783" i="1"/>
  <c r="AQ140" i="1"/>
  <c r="AQ977" i="1"/>
  <c r="AQ788" i="1"/>
  <c r="AQ391" i="1"/>
  <c r="AQ785" i="1"/>
  <c r="AQ564" i="1"/>
  <c r="AQ211" i="1"/>
  <c r="AQ103" i="1"/>
  <c r="AQ307" i="1"/>
  <c r="AQ368" i="1"/>
  <c r="AQ566" i="1"/>
  <c r="AQ547" i="1"/>
  <c r="AQ290" i="1"/>
  <c r="AQ96" i="1"/>
  <c r="AQ210" i="1"/>
  <c r="AQ99" i="1"/>
  <c r="AQ176" i="1"/>
  <c r="AQ231" i="1"/>
  <c r="AQ24" i="1"/>
  <c r="AQ1404" i="1"/>
  <c r="AQ1074" i="1"/>
  <c r="AQ1390" i="1"/>
  <c r="AQ955" i="1"/>
  <c r="AQ1398" i="1"/>
  <c r="AQ1060" i="1"/>
  <c r="AQ1394" i="1"/>
  <c r="AQ725" i="1"/>
  <c r="AQ1402" i="1"/>
  <c r="AQ830" i="1"/>
  <c r="AQ1073" i="1"/>
  <c r="AQ979" i="1"/>
  <c r="AQ861" i="1"/>
  <c r="AQ670" i="1"/>
  <c r="AQ1396" i="1"/>
  <c r="AQ975" i="1"/>
  <c r="AQ697" i="1"/>
  <c r="AQ986" i="1"/>
  <c r="AQ790" i="1"/>
  <c r="AQ550" i="1"/>
  <c r="AQ811" i="1"/>
  <c r="AQ636" i="1"/>
  <c r="AQ380" i="1"/>
  <c r="AQ1051" i="1"/>
  <c r="AQ888" i="1"/>
  <c r="AQ734" i="1"/>
  <c r="AQ152" i="1"/>
  <c r="AQ938" i="1"/>
  <c r="AQ786" i="1"/>
  <c r="AQ666" i="1"/>
  <c r="AQ1056" i="1"/>
  <c r="AQ879" i="1"/>
  <c r="AQ661" i="1"/>
  <c r="AQ383" i="1"/>
  <c r="AQ980" i="1"/>
  <c r="AQ852" i="1"/>
  <c r="AQ668" i="1"/>
  <c r="AQ881" i="1"/>
  <c r="AQ521" i="1"/>
  <c r="AQ356" i="1"/>
  <c r="AQ198" i="1"/>
  <c r="AQ523" i="1"/>
  <c r="AQ389" i="1"/>
  <c r="AQ214" i="1"/>
  <c r="AQ269" i="1"/>
  <c r="AQ384" i="1"/>
  <c r="AQ64" i="1"/>
  <c r="AQ312" i="1"/>
  <c r="AQ119" i="1"/>
  <c r="AQ51" i="1"/>
  <c r="AQ295" i="1"/>
  <c r="AQ104" i="1"/>
  <c r="AQ46" i="1"/>
  <c r="AQ780" i="1"/>
  <c r="AQ386" i="1"/>
  <c r="AQ735" i="1"/>
  <c r="AQ558" i="1"/>
  <c r="AQ143" i="1"/>
  <c r="AQ81" i="1"/>
  <c r="AQ202" i="1"/>
  <c r="AQ360" i="1"/>
  <c r="AQ362" i="1"/>
  <c r="AQ528" i="1"/>
  <c r="AQ213" i="1"/>
  <c r="AQ93" i="1"/>
  <c r="AQ207" i="1"/>
  <c r="AQ89" i="1"/>
  <c r="AQ141" i="1"/>
  <c r="AQ228" i="1"/>
  <c r="AQ2" i="1"/>
  <c r="AQ6" i="1"/>
  <c r="AQ42" i="1"/>
  <c r="AQ101" i="1"/>
  <c r="AQ209" i="1"/>
  <c r="AQ292" i="1"/>
  <c r="AQ92" i="1"/>
  <c r="AQ4" i="1"/>
  <c r="AQ56" i="1"/>
  <c r="AQ105" i="1"/>
  <c r="AQ181" i="1"/>
  <c r="AQ280" i="1"/>
  <c r="AQ59" i="1"/>
  <c r="AQ145" i="1"/>
  <c r="AQ186" i="1"/>
  <c r="AQ381" i="1"/>
  <c r="AQ201" i="1"/>
  <c r="AQ306" i="1"/>
  <c r="AQ197" i="1"/>
  <c r="AQ291" i="1"/>
  <c r="AQ382" i="1"/>
  <c r="AQ108" i="1"/>
  <c r="AQ548" i="1"/>
  <c r="AQ183" i="1"/>
  <c r="AQ91" i="1"/>
  <c r="AQ308" i="1"/>
  <c r="AQ524" i="1"/>
  <c r="AQ600" i="1"/>
  <c r="AQ695" i="1"/>
  <c r="AQ833" i="1"/>
  <c r="AQ100" i="1"/>
  <c r="AQ597" i="1"/>
  <c r="AQ748" i="1"/>
  <c r="AQ836" i="1"/>
  <c r="AQ932" i="1"/>
  <c r="AQ1061" i="1"/>
  <c r="AQ179" i="1"/>
  <c r="AQ615" i="1"/>
  <c r="AQ671" i="1"/>
  <c r="AQ847" i="1"/>
  <c r="AQ943" i="1"/>
  <c r="AQ341" i="1"/>
  <c r="AQ593" i="1"/>
  <c r="AQ733" i="1"/>
  <c r="AQ794" i="1"/>
  <c r="AQ930" i="1"/>
  <c r="AQ987" i="1"/>
  <c r="AQ342" i="1"/>
  <c r="AQ667" i="1"/>
  <c r="AQ792" i="1"/>
  <c r="AQ936" i="1"/>
  <c r="AQ1036" i="1"/>
  <c r="AQ190" i="1"/>
  <c r="AQ565" i="1"/>
  <c r="AQ594" i="1"/>
  <c r="AQ601" i="1"/>
  <c r="AQ672" i="1"/>
  <c r="AQ787" i="1"/>
  <c r="AQ851" i="1"/>
  <c r="AQ598" i="1"/>
  <c r="AQ781" i="1"/>
  <c r="AQ933" i="1"/>
  <c r="AQ991" i="1"/>
  <c r="AQ664" i="1"/>
  <c r="AQ948" i="1"/>
  <c r="AQ982" i="1"/>
  <c r="AQ569" i="1"/>
  <c r="AQ746" i="1"/>
  <c r="AQ891" i="1"/>
  <c r="AQ665" i="1"/>
  <c r="AQ931" i="1"/>
  <c r="AQ976" i="1"/>
  <c r="AQ1054" i="1"/>
  <c r="AQ385" i="1"/>
  <c r="AQ722" i="1"/>
  <c r="AQ862" i="1"/>
  <c r="AQ1376" i="1"/>
  <c r="AQ1391" i="1"/>
  <c r="AQ1397" i="1"/>
  <c r="AQ616" i="1"/>
  <c r="AQ1383" i="1"/>
  <c r="AQ1400" i="1"/>
  <c r="AQ388" i="1"/>
  <c r="AQ208" i="1"/>
  <c r="AQ1062" i="1"/>
  <c r="AQ988" i="1"/>
  <c r="AQ954" i="1"/>
  <c r="AQ880" i="1"/>
  <c r="AQ784" i="1"/>
  <c r="AQ699" i="1"/>
  <c r="AQ623" i="1"/>
  <c r="AQ319" i="1"/>
  <c r="AQ1053" i="1"/>
  <c r="AQ950" i="1"/>
  <c r="AQ842" i="1"/>
  <c r="AQ810" i="1"/>
  <c r="AQ749" i="1"/>
  <c r="AQ701" i="1"/>
  <c r="AQ622" i="1"/>
  <c r="AQ579" i="1"/>
  <c r="AQ1059" i="1"/>
  <c r="AQ984" i="1"/>
  <c r="AQ903" i="1"/>
  <c r="AQ831" i="1"/>
  <c r="AQ727" i="1"/>
  <c r="AQ635" i="1"/>
  <c r="AQ567" i="1"/>
  <c r="AQ200" i="1"/>
  <c r="AQ95" i="1"/>
  <c r="AQ993" i="1"/>
  <c r="AQ949" i="1"/>
  <c r="AQ860" i="1"/>
  <c r="AQ812" i="1"/>
  <c r="AQ777" i="1"/>
  <c r="AQ700" i="1"/>
  <c r="AQ577" i="1"/>
  <c r="AQ359" i="1"/>
  <c r="AQ889" i="1"/>
  <c r="AQ817" i="1"/>
  <c r="AQ726" i="1"/>
  <c r="AQ621" i="1"/>
  <c r="AQ580" i="1"/>
  <c r="AQ527" i="1"/>
  <c r="AQ286" i="1"/>
  <c r="AQ139" i="1"/>
  <c r="AQ230" i="1"/>
  <c r="AQ178" i="1"/>
  <c r="AQ57" i="1"/>
  <c r="AQ387" i="1"/>
  <c r="AQ155" i="1"/>
  <c r="AQ90" i="1"/>
  <c r="AQ373" i="1"/>
  <c r="AQ310" i="1"/>
  <c r="AQ229" i="1"/>
  <c r="AQ97" i="1"/>
  <c r="AQ338" i="1"/>
  <c r="AQ275" i="1"/>
  <c r="AQ107" i="1"/>
  <c r="AQ525" i="1"/>
  <c r="AQ363" i="1"/>
  <c r="AQ191" i="1"/>
  <c r="AQ144" i="1"/>
  <c r="AQ142" i="1"/>
  <c r="AQ80" i="1"/>
  <c r="AQ41" i="1"/>
  <c r="AQ232" i="1"/>
  <c r="AQ193" i="1"/>
  <c r="AQ138" i="1"/>
  <c r="AQ102" i="1"/>
  <c r="AQ83" i="1"/>
  <c r="AQ79" i="1"/>
  <c r="AQ192" i="1"/>
  <c r="AQ98" i="1"/>
  <c r="AQ58" i="1"/>
  <c r="AQ276" i="1"/>
  <c r="AQ212" i="1"/>
  <c r="AQ199" i="1"/>
  <c r="AQ40" i="1"/>
  <c r="AQ5" i="1"/>
  <c r="AQ25" i="1"/>
  <c r="AQ1296" i="1"/>
  <c r="AQ1019" i="1"/>
  <c r="AQ1027" i="1"/>
  <c r="AQ294" i="1"/>
  <c r="AQ629" i="1"/>
  <c r="AQ1044" i="1"/>
  <c r="AQ1123" i="1"/>
  <c r="AQ841" i="1"/>
  <c r="AQ630" i="1"/>
  <c r="AQ1106" i="1"/>
  <c r="AQ1316" i="1"/>
  <c r="AQ137" i="1"/>
  <c r="AQ1166" i="1"/>
  <c r="AQ1259" i="1"/>
  <c r="AQ1318" i="1"/>
  <c r="AQ871" i="1"/>
  <c r="AQ1240" i="1"/>
  <c r="AQ1238" i="1"/>
  <c r="AQ1275" i="1"/>
  <c r="AQ1208" i="1"/>
  <c r="AQ1178" i="1"/>
  <c r="AQ1193" i="1"/>
  <c r="AQ1323" i="1"/>
  <c r="AQ1343" i="1"/>
  <c r="AQ1294" i="1"/>
  <c r="AQ1107" i="1"/>
  <c r="AQ1170" i="1"/>
  <c r="AQ1210" i="1"/>
  <c r="AQ1346" i="1"/>
  <c r="AQ1164" i="1"/>
  <c r="AQ1336" i="1"/>
  <c r="AQ716" i="1"/>
  <c r="AQ719" i="1"/>
  <c r="AQ1116" i="1"/>
  <c r="AQ1121" i="1"/>
  <c r="AQ1249" i="1"/>
  <c r="AQ1327" i="1"/>
  <c r="AQ253" i="1"/>
  <c r="AQ850" i="1"/>
  <c r="AQ1045" i="1"/>
  <c r="AQ999" i="1"/>
  <c r="AQ681" i="1"/>
  <c r="AQ1244" i="1"/>
  <c r="AQ1185" i="1"/>
  <c r="AQ840" i="1"/>
  <c r="AQ1247" i="1"/>
  <c r="AQ1101" i="1"/>
  <c r="AQ17" i="1"/>
  <c r="AQ130" i="1"/>
  <c r="AQ1172" i="1"/>
  <c r="AQ1297" i="1"/>
  <c r="AQ225" i="1"/>
  <c r="AQ720" i="1"/>
  <c r="AQ221" i="1"/>
  <c r="AQ239" i="1"/>
  <c r="AQ1111" i="1"/>
  <c r="AQ1120" i="1"/>
  <c r="AQ1115" i="1"/>
  <c r="AQ1248" i="1"/>
  <c r="AQ1350" i="1"/>
  <c r="AQ1184" i="1"/>
  <c r="AQ1151" i="1"/>
  <c r="AQ1211" i="1"/>
  <c r="AQ1347" i="1"/>
  <c r="AQ996" i="1"/>
  <c r="AQ1003" i="1"/>
  <c r="AQ417" i="1"/>
  <c r="AQ912" i="1"/>
  <c r="AQ926" i="1"/>
  <c r="AQ22" i="1"/>
  <c r="AQ348" i="1"/>
  <c r="AQ250" i="1"/>
  <c r="AQ658" i="1"/>
  <c r="AQ1252" i="1"/>
  <c r="AQ1187" i="1"/>
  <c r="AQ1242" i="1"/>
  <c r="AQ1214" i="1"/>
  <c r="AQ1317" i="1"/>
  <c r="AQ1183" i="1"/>
  <c r="AQ1209" i="1"/>
  <c r="AQ1279" i="1"/>
  <c r="AQ1201" i="1"/>
  <c r="AQ1215" i="1"/>
  <c r="L562" i="24"/>
  <c r="AQ1041" i="1" s="1"/>
  <c r="L563" i="24"/>
  <c r="AQ1042" i="1" s="1"/>
  <c r="L560" i="24"/>
  <c r="AQ519" i="1" s="1"/>
  <c r="L553" i="24"/>
  <c r="AQ451" i="1" s="1"/>
  <c r="L556" i="24"/>
  <c r="AQ457" i="1" s="1"/>
  <c r="L555" i="24"/>
  <c r="AQ453" i="1" s="1"/>
  <c r="L558" i="24"/>
  <c r="AQ508" i="1" s="1"/>
  <c r="L77" i="24"/>
  <c r="L312" i="24"/>
  <c r="AQ896" i="1" s="1"/>
  <c r="L104" i="24"/>
  <c r="AQ1370" i="1" s="1"/>
  <c r="L329" i="24"/>
  <c r="L93" i="24"/>
  <c r="L159" i="24"/>
  <c r="AQ1125" i="1" s="1"/>
  <c r="L540" i="24"/>
  <c r="AQ680" i="1" s="1"/>
  <c r="L332" i="24"/>
  <c r="AQ483" i="1" s="1"/>
  <c r="L245" i="24"/>
  <c r="AQ431" i="1" s="1"/>
  <c r="L309" i="24"/>
  <c r="L301" i="24"/>
  <c r="AQ1176" i="1" s="1"/>
  <c r="L216" i="24"/>
  <c r="AQ1127" i="1" s="1"/>
  <c r="L168" i="24"/>
  <c r="L171" i="24"/>
  <c r="L367" i="24"/>
  <c r="AQ496" i="1" s="1"/>
  <c r="L346" i="24"/>
  <c r="AQ167" i="1" s="1"/>
  <c r="L321" i="24"/>
  <c r="AQ1363" i="1" s="1"/>
  <c r="L192" i="24"/>
  <c r="L313" i="24"/>
  <c r="AQ194" i="1" s="1"/>
  <c r="L299" i="24"/>
  <c r="AQ1364" i="1" s="1"/>
  <c r="L227" i="24"/>
  <c r="AQ998" i="1" s="1"/>
  <c r="L210" i="24"/>
  <c r="AQ1360" i="1" s="1"/>
  <c r="L237" i="24"/>
  <c r="AQ904" i="1" s="1"/>
  <c r="L379" i="24"/>
  <c r="AQ710" i="1" s="1"/>
  <c r="L207" i="24"/>
  <c r="L338" i="24"/>
  <c r="AQ919" i="1" s="1"/>
  <c r="L218" i="24"/>
  <c r="AQ366" i="1" s="1"/>
  <c r="L296" i="24"/>
  <c r="AQ771" i="1" s="1"/>
  <c r="L234" i="24"/>
  <c r="L189" i="24"/>
  <c r="AQ769" i="1" s="1"/>
  <c r="L256" i="24"/>
  <c r="L274" i="24"/>
  <c r="L183" i="24"/>
  <c r="L250" i="24"/>
  <c r="L316" i="24"/>
  <c r="L238" i="24"/>
  <c r="AQ797" i="1" s="1"/>
  <c r="L180" i="24"/>
  <c r="L98" i="24"/>
  <c r="L252" i="24"/>
  <c r="AQ499" i="1" s="1"/>
  <c r="L376" i="24"/>
  <c r="L162" i="24"/>
  <c r="L243" i="24"/>
  <c r="L169" i="24"/>
  <c r="L254" i="24"/>
  <c r="L184" i="24"/>
  <c r="L333" i="24"/>
  <c r="AQ1079" i="1" s="1"/>
  <c r="L199" i="24"/>
  <c r="L541" i="24"/>
  <c r="AQ686" i="1" s="1"/>
  <c r="L215" i="24"/>
  <c r="AQ185" i="1" s="1"/>
  <c r="L32" i="24"/>
  <c r="L358" i="24"/>
  <c r="AQ156" i="1" s="1"/>
  <c r="L383" i="24"/>
  <c r="AQ158" i="1" s="1"/>
  <c r="L382" i="24"/>
  <c r="AQ300" i="1" s="1"/>
  <c r="L251" i="24"/>
  <c r="L239" i="24"/>
  <c r="L222" i="24"/>
  <c r="L269" i="24"/>
  <c r="L305" i="24"/>
  <c r="AQ1182" i="1" s="1"/>
  <c r="L375" i="24"/>
  <c r="AQ159" i="1" s="1"/>
  <c r="L354" i="24"/>
  <c r="AQ704" i="1" s="1"/>
  <c r="L288" i="24"/>
  <c r="AQ1085" i="1" s="1"/>
  <c r="L280" i="24"/>
  <c r="L278" i="24"/>
  <c r="AQ799" i="1" s="1"/>
  <c r="L163" i="24"/>
  <c r="AQ1281" i="1" s="1"/>
  <c r="L304" i="24"/>
  <c r="AQ1181" i="1" s="1"/>
  <c r="L294" i="24"/>
  <c r="L158" i="24"/>
  <c r="AQ1031" i="1" s="1"/>
  <c r="L157" i="24"/>
  <c r="L317" i="24"/>
  <c r="AQ928" i="1" s="1"/>
  <c r="L350" i="24"/>
  <c r="AQ484" i="1" s="1"/>
  <c r="L196" i="24"/>
  <c r="AQ894" i="1" s="1"/>
  <c r="L198" i="24"/>
  <c r="AQ754" i="1" s="1"/>
  <c r="L175" i="24"/>
  <c r="AQ968" i="1" s="1"/>
  <c r="L370" i="24"/>
  <c r="AQ740" i="1" s="1"/>
  <c r="L385" i="24"/>
  <c r="L228" i="24"/>
  <c r="AQ1025" i="1" s="1"/>
  <c r="L355" i="24"/>
  <c r="AQ392" i="1" s="1"/>
  <c r="L295" i="24"/>
  <c r="AQ439" i="1" s="1"/>
  <c r="L201" i="24"/>
  <c r="AQ827" i="1" s="1"/>
  <c r="L205" i="24"/>
  <c r="L351" i="24"/>
  <c r="AQ163" i="1" s="1"/>
  <c r="L341" i="24"/>
  <c r="AQ422" i="1" s="1"/>
  <c r="L155" i="24"/>
  <c r="AQ444" i="1" s="1"/>
  <c r="L209" i="24"/>
  <c r="AQ124" i="1" s="1"/>
  <c r="L89" i="24"/>
  <c r="L277" i="24"/>
  <c r="AQ476" i="1" s="1"/>
  <c r="L363" i="24"/>
  <c r="AQ298" i="1" s="1"/>
  <c r="L179" i="24"/>
  <c r="L371" i="24"/>
  <c r="AQ487" i="1" s="1"/>
  <c r="L286" i="24"/>
  <c r="L348" i="24"/>
  <c r="AQ394" i="1" s="1"/>
  <c r="L219" i="24"/>
  <c r="AQ859" i="1" s="1"/>
  <c r="L298" i="24"/>
  <c r="AQ969" i="1" s="1"/>
  <c r="L359" i="24"/>
  <c r="AQ714" i="1" s="1"/>
  <c r="L287" i="24"/>
  <c r="AQ482" i="1" s="1"/>
  <c r="L259" i="24"/>
  <c r="L217" i="24"/>
  <c r="AQ1280" i="1" s="1"/>
  <c r="L187" i="24"/>
  <c r="AQ188" i="1" s="1"/>
  <c r="L357" i="24"/>
  <c r="L240" i="24"/>
  <c r="AQ709" i="1" s="1"/>
  <c r="L323" i="24"/>
  <c r="L204" i="24"/>
  <c r="L208" i="24"/>
  <c r="L528" i="24"/>
  <c r="AQ494" i="1" s="1"/>
  <c r="L246" i="24"/>
  <c r="L343" i="24"/>
  <c r="AQ1011" i="1" s="1"/>
  <c r="L197" i="24"/>
  <c r="AQ126" i="1" s="1"/>
  <c r="L160" i="24"/>
  <c r="AQ1092" i="1" s="1"/>
  <c r="L322" i="24"/>
  <c r="AQ479" i="1" s="1"/>
  <c r="L362" i="24"/>
  <c r="AQ503" i="1" s="1"/>
  <c r="L300" i="24"/>
  <c r="AQ1365" i="1" s="1"/>
  <c r="L326" i="24"/>
  <c r="L319" i="24"/>
  <c r="AQ135" i="1" s="1"/>
  <c r="L369" i="24"/>
  <c r="AQ505" i="1" s="1"/>
  <c r="L231" i="24"/>
  <c r="L223" i="24"/>
  <c r="AQ909" i="1" s="1"/>
  <c r="L172" i="24"/>
  <c r="L353" i="24"/>
  <c r="AQ515" i="1" s="1"/>
  <c r="L275" i="24"/>
  <c r="AQ49" i="1" s="1"/>
  <c r="L185" i="24"/>
  <c r="L203" i="24"/>
  <c r="L377" i="24"/>
  <c r="AQ47" i="1" s="1"/>
  <c r="L293" i="24"/>
  <c r="AQ435" i="1" s="1"/>
  <c r="L261" i="24"/>
  <c r="AQ301" i="1" s="1"/>
  <c r="L195" i="24"/>
  <c r="AQ1007" i="1" s="1"/>
  <c r="L176" i="24"/>
  <c r="AQ187" i="1" s="1"/>
  <c r="L472" i="24"/>
  <c r="AQ415" i="1" s="1"/>
  <c r="L166" i="24"/>
  <c r="L356" i="24"/>
  <c r="AQ171" i="1" s="1"/>
  <c r="L349" i="24"/>
  <c r="AQ464" i="1" s="1"/>
  <c r="L324" i="24"/>
  <c r="AQ408" i="1" s="1"/>
  <c r="L248" i="24"/>
  <c r="AQ169" i="1" s="1"/>
  <c r="L61" i="24"/>
  <c r="AQ401" i="1" s="1"/>
  <c r="L315" i="24"/>
  <c r="AQ724" i="1" s="1"/>
  <c r="L161" i="24"/>
  <c r="AQ1124" i="1" s="1"/>
  <c r="L121" i="24"/>
  <c r="AQ433" i="1" s="1"/>
  <c r="L272" i="24"/>
  <c r="AQ1081" i="1" s="1"/>
  <c r="L200" i="24"/>
  <c r="L391" i="24"/>
  <c r="L282" i="24"/>
  <c r="L212" i="24"/>
  <c r="AQ1156" i="1" s="1"/>
  <c r="L262" i="24"/>
  <c r="L281" i="24"/>
  <c r="L342" i="24"/>
  <c r="AQ706" i="1" s="1"/>
  <c r="L368" i="24"/>
  <c r="AQ48" i="1" s="1"/>
  <c r="L253" i="24"/>
  <c r="AQ112" i="1" s="1"/>
  <c r="L297" i="24"/>
  <c r="L381" i="24"/>
  <c r="AQ172" i="1" s="1"/>
  <c r="L270" i="24"/>
  <c r="AQ1082" i="1" s="1"/>
  <c r="L285" i="24"/>
  <c r="AQ110" i="1" s="1"/>
  <c r="L265" i="24"/>
  <c r="AQ492" i="1" s="1"/>
  <c r="L291" i="24"/>
  <c r="AQ534" i="1" s="1"/>
  <c r="L273" i="24"/>
  <c r="L236" i="24"/>
  <c r="L190" i="24"/>
  <c r="AQ509" i="1" s="1"/>
  <c r="L152" i="24"/>
  <c r="L276" i="24"/>
  <c r="L328" i="24"/>
  <c r="AQ372" i="1" s="1"/>
  <c r="L336" i="24"/>
  <c r="L335" i="24"/>
  <c r="AQ803" i="1" s="1"/>
  <c r="L325" i="24"/>
  <c r="AQ513" i="1" s="1"/>
  <c r="L164" i="24"/>
  <c r="L263" i="24"/>
  <c r="AQ299" i="1" s="1"/>
  <c r="L289" i="24"/>
  <c r="AQ164" i="1" s="1"/>
  <c r="L153" i="24"/>
  <c r="AQ399" i="1" s="1"/>
  <c r="L344" i="24"/>
  <c r="AQ395" i="1" s="1"/>
  <c r="L182" i="24"/>
  <c r="L268" i="24"/>
  <c r="AQ160" i="1" s="1"/>
  <c r="L173" i="24"/>
  <c r="L194" i="24"/>
  <c r="AQ217" i="1" s="1"/>
  <c r="L283" i="24"/>
  <c r="L306" i="24"/>
  <c r="AQ409" i="1" s="1"/>
  <c r="L303" i="24"/>
  <c r="AQ1180" i="1" s="1"/>
  <c r="L260" i="24"/>
  <c r="L337" i="24"/>
  <c r="AQ161" i="1" s="1"/>
  <c r="L118" i="24"/>
  <c r="AQ1371" i="1" s="1"/>
  <c r="L538" i="24"/>
  <c r="AQ77" i="1" s="1"/>
  <c r="L211" i="24"/>
  <c r="L380" i="24"/>
  <c r="AQ50" i="1" s="1"/>
  <c r="L519" i="24"/>
  <c r="AQ403" i="1" s="1"/>
  <c r="L244" i="24"/>
  <c r="L165" i="24"/>
  <c r="L271" i="24"/>
  <c r="L310" i="24"/>
  <c r="AQ1274" i="1" s="1"/>
  <c r="L221" i="24"/>
  <c r="L193" i="24"/>
  <c r="AQ829" i="1" s="1"/>
  <c r="L361" i="24"/>
  <c r="L255" i="24"/>
  <c r="AQ532" i="1" s="1"/>
  <c r="L330" i="24"/>
  <c r="AQ252" i="1" s="1"/>
  <c r="L372" i="24"/>
  <c r="AQ404" i="1" s="1"/>
  <c r="L206" i="24"/>
  <c r="L339" i="24"/>
  <c r="AQ1009" i="1" s="1"/>
  <c r="L154" i="24"/>
  <c r="L233" i="24"/>
  <c r="L181" i="24"/>
  <c r="AQ767" i="1" s="1"/>
  <c r="L178" i="24"/>
  <c r="L384" i="24"/>
  <c r="AQ416" i="1" s="1"/>
  <c r="L345" i="24"/>
  <c r="AQ708" i="1" s="1"/>
  <c r="L320" i="24"/>
  <c r="AQ1306" i="1" s="1"/>
  <c r="L290" i="24"/>
  <c r="AQ165" i="1" s="1"/>
  <c r="L334" i="24"/>
  <c r="AQ1084" i="1" s="1"/>
  <c r="L308" i="24"/>
  <c r="L79" i="24"/>
  <c r="AQ675" i="1" s="1"/>
  <c r="L177" i="24"/>
  <c r="AQ132" i="1" s="1"/>
  <c r="L311" i="24"/>
  <c r="AQ1362" i="1" s="1"/>
  <c r="L279" i="24"/>
  <c r="L229" i="24"/>
  <c r="L247" i="24"/>
  <c r="AQ162" i="1" s="1"/>
  <c r="L213" i="24"/>
  <c r="AQ1356" i="1" s="1"/>
  <c r="L214" i="24"/>
  <c r="L307" i="24"/>
  <c r="L266" i="24"/>
  <c r="L292" i="24"/>
  <c r="AQ475" i="1" s="1"/>
  <c r="L235" i="24"/>
  <c r="AQ481" i="1" s="1"/>
  <c r="L225" i="24"/>
  <c r="L327" i="24"/>
  <c r="AQ420" i="1" s="1"/>
  <c r="L366" i="24"/>
  <c r="AQ504" i="1" s="1"/>
  <c r="L386" i="24"/>
  <c r="AQ657" i="1" s="1"/>
  <c r="L156" i="24"/>
  <c r="AQ863" i="1" s="1"/>
  <c r="L110" i="24"/>
  <c r="L347" i="24"/>
  <c r="L230" i="24"/>
  <c r="AQ1358" i="1" s="1"/>
  <c r="L258" i="24"/>
  <c r="L364" i="24"/>
  <c r="L226" i="24"/>
  <c r="L264" i="24"/>
  <c r="L284" i="24"/>
  <c r="AQ474" i="1" s="1"/>
  <c r="L373" i="24"/>
  <c r="AQ491" i="1" s="1"/>
  <c r="L318" i="24"/>
  <c r="AQ1010" i="1" s="1"/>
  <c r="L120" i="24"/>
  <c r="L387" i="24"/>
  <c r="AQ424" i="1" s="1"/>
  <c r="L242" i="24"/>
  <c r="L170" i="24"/>
  <c r="AQ189" i="1" s="1"/>
  <c r="L220" i="24"/>
  <c r="AQ168" i="1" s="1"/>
  <c r="L249" i="24"/>
  <c r="AQ1361" i="1" s="1"/>
  <c r="L167" i="24"/>
  <c r="L232" i="24"/>
  <c r="L378" i="24"/>
  <c r="AQ166" i="1" s="1"/>
  <c r="L340" i="24"/>
  <c r="AQ643" i="1" s="1"/>
  <c r="L241" i="24"/>
  <c r="AQ1373" i="1" s="1"/>
  <c r="L352" i="24"/>
  <c r="AQ170" i="1" s="1"/>
  <c r="L365" i="24"/>
  <c r="AQ173" i="1" s="1"/>
  <c r="L188" i="24"/>
  <c r="L331" i="24"/>
  <c r="AQ512" i="1" s="1"/>
  <c r="L314" i="24"/>
  <c r="AQ375" i="1" s="1"/>
  <c r="L302" i="24"/>
  <c r="AQ1357" i="1" s="1"/>
  <c r="L191" i="24"/>
  <c r="L267" i="24"/>
  <c r="AQ157" i="1" s="1"/>
  <c r="L47" i="24"/>
  <c r="AQ808" i="1" s="1"/>
  <c r="L257" i="24"/>
  <c r="L360" i="24"/>
  <c r="AQ109" i="1" s="1"/>
  <c r="L224" i="24"/>
  <c r="L186" i="24"/>
  <c r="L374" i="24"/>
  <c r="L174" i="24"/>
  <c r="AQ1303" i="1" l="1"/>
  <c r="AQ1285" i="1"/>
  <c r="AQ1207" i="1"/>
  <c r="AQ442" i="1"/>
  <c r="AQ689" i="1"/>
  <c r="AQ1314" i="1"/>
  <c r="AQ1326" i="1"/>
  <c r="AQ1169" i="1"/>
  <c r="AQ1190" i="1"/>
  <c r="AQ1195" i="1"/>
  <c r="AQ1165" i="1"/>
  <c r="AQ1322" i="1"/>
  <c r="AQ1311" i="1"/>
  <c r="AQ1366" i="1"/>
  <c r="AQ1251" i="1"/>
  <c r="AQ1337" i="1"/>
  <c r="AQ1261" i="1"/>
  <c r="AQ1148" i="1"/>
  <c r="AQ1308" i="1"/>
  <c r="AQ1162" i="1"/>
  <c r="AQ1320" i="1"/>
  <c r="AQ1155" i="1"/>
  <c r="AQ1289" i="1"/>
  <c r="AQ1173" i="1"/>
  <c r="AQ1329" i="1"/>
  <c r="AQ1160" i="1"/>
  <c r="AQ1268" i="1"/>
  <c r="AQ1298" i="1"/>
  <c r="AQ1202" i="1"/>
  <c r="AQ517" i="1"/>
  <c r="AQ1333" i="1"/>
  <c r="AQ1136" i="1"/>
  <c r="AQ1367" i="1"/>
  <c r="AQ1229" i="1"/>
  <c r="AQ1233" i="1"/>
  <c r="AQ1231" i="1"/>
  <c r="AQ1228" i="1"/>
  <c r="AQ118" i="1"/>
  <c r="AQ237" i="1"/>
  <c r="AQ486" i="1"/>
  <c r="AQ822" i="1"/>
  <c r="AQ219" i="1"/>
  <c r="AQ315" i="1"/>
  <c r="AQ184" i="1"/>
  <c r="AQ804" i="1"/>
  <c r="AQ712" i="1"/>
  <c r="AQ536" i="1"/>
  <c r="AQ1307" i="1"/>
  <c r="AQ266" i="1"/>
  <c r="AQ248" i="1"/>
  <c r="AQ612" i="1"/>
  <c r="AQ659" i="1"/>
  <c r="AQ613" i="1"/>
  <c r="AQ717" i="1"/>
  <c r="AQ1299" i="1"/>
  <c r="AQ1291" i="1"/>
  <c r="AQ1321" i="1"/>
  <c r="AQ1310" i="1"/>
  <c r="AQ1335" i="1"/>
  <c r="AQ1344" i="1"/>
  <c r="AQ1093" i="1"/>
  <c r="AQ1236" i="1"/>
  <c r="AQ531" i="1"/>
  <c r="AQ533" i="1"/>
  <c r="AQ370" i="1"/>
  <c r="AQ367" i="1"/>
  <c r="AQ374" i="1"/>
  <c r="AQ445" i="1"/>
  <c r="AQ440" i="1"/>
  <c r="AQ608" i="1"/>
  <c r="AQ428" i="1"/>
  <c r="AQ427" i="1"/>
  <c r="AQ588" i="1"/>
  <c r="AQ376" i="1"/>
  <c r="AQ1026" i="1"/>
  <c r="AQ1018" i="1"/>
  <c r="AQ1000" i="1"/>
  <c r="AQ674" i="1"/>
  <c r="AQ995" i="1"/>
  <c r="AQ1023" i="1"/>
  <c r="AQ994" i="1"/>
  <c r="AQ1377" i="1"/>
  <c r="AQ1218" i="1"/>
  <c r="AQ259" i="1"/>
  <c r="AQ1043" i="1"/>
  <c r="AQ1039" i="1"/>
  <c r="AQ1091" i="1"/>
  <c r="AQ1119" i="1"/>
  <c r="AQ1256" i="1"/>
  <c r="AQ707" i="1"/>
  <c r="AQ1113" i="1"/>
  <c r="AQ1095" i="1"/>
  <c r="AQ1301" i="1"/>
  <c r="AQ1196" i="1"/>
  <c r="AQ1139" i="1"/>
  <c r="AQ1154" i="1"/>
  <c r="AQ1122" i="1"/>
  <c r="AQ1267" i="1"/>
  <c r="AQ1284" i="1"/>
  <c r="AQ1147" i="1"/>
  <c r="AQ115" i="1"/>
  <c r="AQ677" i="1"/>
  <c r="AQ113" i="1"/>
  <c r="AQ84" i="1"/>
  <c r="AQ244" i="1"/>
  <c r="AQ72" i="1"/>
  <c r="AQ646" i="1"/>
  <c r="AQ820" i="1"/>
  <c r="AQ603" i="1"/>
  <c r="AQ678" i="1"/>
  <c r="AQ739" i="1"/>
  <c r="AQ839" i="1"/>
  <c r="AQ802" i="1"/>
  <c r="AQ756" i="1"/>
  <c r="AQ1004" i="1"/>
  <c r="AQ1087" i="1"/>
  <c r="AQ1103" i="1"/>
  <c r="AQ702" i="1"/>
  <c r="AQ297" i="1"/>
  <c r="AQ939" i="1"/>
  <c r="AQ893" i="1"/>
  <c r="AQ465" i="1"/>
  <c r="AQ466" i="1"/>
  <c r="AQ656" i="1"/>
  <c r="AQ640" i="1"/>
  <c r="AQ757" i="1"/>
  <c r="AQ302" i="1"/>
  <c r="AQ412" i="1"/>
  <c r="AQ1128" i="1"/>
  <c r="AQ1158" i="1"/>
  <c r="AQ1191" i="1"/>
  <c r="AQ1174" i="1"/>
  <c r="AQ71" i="1"/>
  <c r="AQ66" i="1"/>
  <c r="AQ265" i="1"/>
  <c r="AQ261" i="1"/>
  <c r="AQ606" i="1"/>
  <c r="AQ868" i="1"/>
  <c r="AQ87" i="1"/>
  <c r="AQ854" i="1"/>
  <c r="AQ917" i="1"/>
  <c r="AQ922" i="1"/>
  <c r="AQ910" i="1"/>
  <c r="AQ62" i="1"/>
  <c r="AQ60" i="1"/>
  <c r="AQ1270" i="1"/>
  <c r="AQ1137" i="1"/>
  <c r="AQ1149" i="1"/>
  <c r="AQ1131" i="1"/>
  <c r="AQ1325" i="1"/>
  <c r="AQ437" i="1"/>
  <c r="AQ436" i="1"/>
  <c r="AQ133" i="1"/>
  <c r="AQ434" i="1"/>
  <c r="AQ1112" i="1"/>
  <c r="AQ458" i="1"/>
  <c r="AQ662" i="1"/>
  <c r="AQ1090" i="1"/>
  <c r="AQ1163" i="1"/>
  <c r="AQ1290" i="1"/>
  <c r="AQ1161" i="1"/>
  <c r="AQ1129" i="1"/>
  <c r="AQ1150" i="1"/>
  <c r="AQ1260" i="1"/>
  <c r="AQ1134" i="1"/>
  <c r="AQ1330" i="1"/>
  <c r="AQ1255" i="1"/>
  <c r="AQ1309" i="1"/>
  <c r="AQ456" i="1"/>
  <c r="AQ459" i="1"/>
  <c r="AQ538" i="1"/>
  <c r="AQ530" i="1"/>
  <c r="AQ11" i="1"/>
  <c r="AQ942" i="1"/>
  <c r="AQ425" i="1"/>
  <c r="AQ67" i="1"/>
  <c r="AQ690" i="1"/>
  <c r="AQ624" i="1"/>
  <c r="AQ814" i="1"/>
  <c r="AQ455" i="1"/>
  <c r="AQ1328" i="1"/>
  <c r="AQ1332" i="1"/>
  <c r="AQ111" i="1"/>
  <c r="AQ123" i="1"/>
  <c r="AQ121" i="1"/>
  <c r="AQ134" i="1"/>
  <c r="AQ131" i="1"/>
  <c r="AQ127" i="1"/>
  <c r="AQ1104" i="1"/>
  <c r="AQ1315" i="1"/>
  <c r="AQ1243" i="1"/>
  <c r="AQ1188" i="1"/>
  <c r="AQ809" i="1"/>
  <c r="AQ806" i="1"/>
  <c r="AQ924" i="1"/>
  <c r="AQ927" i="1"/>
  <c r="AQ1222" i="1"/>
  <c r="AQ1379" i="1"/>
  <c r="AQ63" i="1"/>
  <c r="AQ215" i="1"/>
  <c r="AQ117" i="1"/>
  <c r="AQ751" i="1"/>
  <c r="AQ752" i="1"/>
  <c r="AQ778" i="1"/>
  <c r="AQ65" i="1"/>
  <c r="AQ86" i="1"/>
  <c r="AQ406" i="1"/>
  <c r="AQ800" i="1"/>
  <c r="AQ1378" i="1"/>
  <c r="AQ1088" i="1"/>
  <c r="AQ1167" i="1"/>
  <c r="AQ1076" i="1"/>
  <c r="AQ443" i="1"/>
  <c r="AQ327" i="1"/>
  <c r="AQ1206" i="1"/>
  <c r="AQ1342" i="1"/>
  <c r="AQ1271" i="1"/>
  <c r="AQ796" i="1"/>
  <c r="AQ644" i="1"/>
  <c r="AQ258" i="1"/>
  <c r="AQ1293" i="1"/>
  <c r="AQ1135" i="1"/>
  <c r="AQ1109" i="1"/>
  <c r="AQ1118" i="1"/>
  <c r="AQ1141" i="1"/>
  <c r="AQ224" i="1"/>
  <c r="AQ1250" i="1"/>
  <c r="AQ1046" i="1"/>
  <c r="AQ997" i="1"/>
  <c r="AQ807" i="1"/>
  <c r="AQ539" i="1"/>
  <c r="AQ867" i="1"/>
  <c r="AQ489" i="1"/>
  <c r="AQ490" i="1"/>
  <c r="AQ460" i="1"/>
  <c r="AQ69" i="1"/>
  <c r="AQ693" i="1"/>
  <c r="AQ1319" i="1"/>
  <c r="AQ1024" i="1"/>
  <c r="AQ1002" i="1"/>
  <c r="AQ1029" i="1"/>
  <c r="AQ125" i="1"/>
  <c r="AQ371" i="1"/>
  <c r="AQ537" i="1"/>
  <c r="AQ768" i="1"/>
  <c r="AQ914" i="1"/>
  <c r="AQ766" i="1"/>
  <c r="AQ951" i="1"/>
  <c r="AQ397" i="1"/>
  <c r="AQ396" i="1"/>
  <c r="AQ1205" i="1"/>
  <c r="AQ1262" i="1"/>
  <c r="AQ1177" i="1"/>
  <c r="AQ1340" i="1"/>
  <c r="AQ1286" i="1"/>
  <c r="AQ632" i="1"/>
  <c r="AQ864" i="1"/>
  <c r="AQ1130" i="1"/>
  <c r="AQ1098" i="1"/>
  <c r="AQ1168" i="1"/>
  <c r="AQ941" i="1"/>
  <c r="AQ945" i="1"/>
  <c r="AQ1078" i="1"/>
  <c r="AQ944" i="1"/>
  <c r="AQ234" i="1"/>
  <c r="AQ801" i="1"/>
  <c r="AQ1001" i="1"/>
  <c r="AQ1094" i="1"/>
  <c r="AQ1126" i="1"/>
  <c r="AQ18" i="1"/>
  <c r="AQ21" i="1"/>
  <c r="AQ591" i="1"/>
  <c r="AQ828" i="1"/>
  <c r="AQ649" i="1"/>
  <c r="AQ1096" i="1"/>
  <c r="AQ220" i="1"/>
  <c r="AQ655" i="1"/>
  <c r="AQ641" i="1"/>
  <c r="AQ913" i="1"/>
  <c r="AQ647" i="1"/>
  <c r="AQ426" i="1"/>
  <c r="AQ688" i="1"/>
  <c r="AQ480" i="1"/>
  <c r="AQ216" i="1"/>
  <c r="AQ637" i="1"/>
  <c r="AQ1075" i="1"/>
  <c r="AQ711" i="1"/>
  <c r="AQ446" i="1"/>
  <c r="AQ227" i="1"/>
  <c r="AQ775" i="1"/>
  <c r="AQ85" i="1"/>
  <c r="AQ177" i="1"/>
  <c r="AQ226" i="1"/>
  <c r="AQ264" i="1"/>
  <c r="AQ296" i="1"/>
  <c r="AQ114" i="1"/>
  <c r="AQ182" i="1"/>
  <c r="AQ218" i="1"/>
  <c r="AQ246" i="1"/>
  <c r="AQ262" i="1"/>
  <c r="AQ738" i="1"/>
  <c r="AQ940" i="1"/>
  <c r="AQ703" i="1"/>
  <c r="AQ755" i="1"/>
  <c r="AQ676" i="1"/>
  <c r="AQ645" i="1"/>
  <c r="AQ819" i="1"/>
  <c r="AQ1102" i="1"/>
  <c r="AQ602" i="1"/>
  <c r="AQ869" i="1"/>
  <c r="AQ1086" i="1"/>
  <c r="AQ838" i="1"/>
  <c r="AQ1005" i="1"/>
  <c r="AQ16" i="1"/>
  <c r="AQ122" i="1"/>
  <c r="AQ1108" i="1"/>
  <c r="AQ1133" i="1"/>
  <c r="AQ1089" i="1"/>
  <c r="AQ1117" i="1"/>
  <c r="AQ1143" i="1"/>
  <c r="AQ1083" i="1"/>
  <c r="AQ1257" i="1"/>
  <c r="AQ1110" i="1"/>
  <c r="AQ866" i="1"/>
  <c r="AQ694" i="1"/>
  <c r="AQ136" i="1"/>
  <c r="AQ1254" i="1"/>
  <c r="AQ1258" i="1"/>
  <c r="AQ1020" i="1"/>
  <c r="AQ763" i="1"/>
  <c r="AQ590" i="1"/>
  <c r="AQ634" i="1"/>
  <c r="AQ857" i="1"/>
  <c r="AQ895" i="1"/>
  <c r="AQ1292" i="1"/>
  <c r="AQ1300" i="1"/>
  <c r="AQ516" i="1"/>
  <c r="AQ432" i="1"/>
  <c r="AQ61" i="1"/>
  <c r="AQ849" i="1"/>
  <c r="AQ116" i="1"/>
  <c r="AQ249" i="1"/>
  <c r="AQ1200" i="1"/>
  <c r="AQ774" i="1"/>
  <c r="AQ1006" i="1"/>
  <c r="AQ638" i="1"/>
  <c r="AQ1186" i="1"/>
  <c r="AQ1241" i="1"/>
  <c r="AQ821" i="1"/>
  <c r="AQ1213" i="1"/>
  <c r="AQ1253" i="1"/>
  <c r="AQ1348" i="1"/>
  <c r="AQ1014" i="1"/>
  <c r="AQ685" i="1"/>
  <c r="AQ251" i="1"/>
  <c r="AQ414" i="1"/>
  <c r="AQ1189" i="1"/>
  <c r="AQ1105" i="1"/>
  <c r="AQ673" i="1"/>
  <c r="AQ470" i="1"/>
  <c r="AQ609" i="1"/>
  <c r="AQ1198" i="1"/>
  <c r="AQ1345" i="1"/>
  <c r="AQ469" i="1"/>
  <c r="AQ467" i="1"/>
  <c r="AQ468" i="1"/>
  <c r="AQ718" i="1"/>
  <c r="AQ721" i="1"/>
  <c r="AQ589" i="1"/>
  <c r="AQ26" i="1"/>
  <c r="AQ13" i="1"/>
  <c r="AQ19" i="1"/>
  <c r="AQ20" i="1"/>
  <c r="AQ146" i="1"/>
  <c r="AQ421" i="1"/>
  <c r="AQ14" i="1"/>
  <c r="AQ1077" i="1"/>
  <c r="AQ398" i="1"/>
  <c r="AQ1144" i="1"/>
  <c r="AQ758" i="1"/>
  <c r="AQ610" i="1"/>
  <c r="AQ585" i="1"/>
  <c r="AQ745" i="1"/>
  <c r="AQ1157" i="1"/>
  <c r="AQ1140" i="1"/>
  <c r="AQ1226" i="1"/>
  <c r="AQ1380" i="1"/>
  <c r="AQ687" i="1"/>
  <c r="AQ1331" i="1"/>
  <c r="AQ1097" i="1"/>
  <c r="AQ1269" i="1"/>
  <c r="AQ1312" i="1"/>
  <c r="AQ1295" i="1"/>
  <c r="AQ1302" i="1"/>
  <c r="AQ1179" i="1"/>
  <c r="AQ1194" i="1"/>
  <c r="AQ1324" i="1"/>
  <c r="AQ1239" i="1"/>
  <c r="AQ1341" i="1"/>
  <c r="AQ263" i="1"/>
  <c r="AQ405" i="1"/>
  <c r="AQ254" i="1"/>
  <c r="AQ255" i="1"/>
  <c r="AQ430" i="1"/>
  <c r="AQ1034" i="1"/>
  <c r="AQ1022" i="1"/>
  <c r="AQ1015" i="1"/>
  <c r="AQ1287" i="1"/>
  <c r="AQ260" i="1"/>
  <c r="AQ858" i="1"/>
  <c r="AQ411" i="1"/>
  <c r="AQ535" i="1"/>
  <c r="AQ529" i="1"/>
  <c r="AQ1035" i="1"/>
  <c r="AQ1021" i="1"/>
  <c r="AQ905" i="1"/>
  <c r="AQ823" i="1"/>
  <c r="AQ233" i="1"/>
  <c r="AQ684" i="1"/>
  <c r="AQ605" i="1"/>
  <c r="AQ1175" i="1"/>
  <c r="AQ1192" i="1"/>
  <c r="AQ1203" i="1"/>
  <c r="AQ642" i="1"/>
  <c r="AQ920" i="1"/>
  <c r="AQ477" i="1"/>
  <c r="AQ713" i="1"/>
  <c r="AQ865" i="1"/>
  <c r="AQ633" i="1"/>
  <c r="AQ1080" i="1"/>
  <c r="AQ1142" i="1"/>
  <c r="AQ1313" i="1"/>
  <c r="K49" i="64" l="1"/>
  <c r="K48" i="64" s="1"/>
  <c r="K47" i="64" s="1"/>
  <c r="K46" i="64" s="1"/>
  <c r="K45" i="64" s="1"/>
  <c r="K44" i="64" s="1"/>
  <c r="K43" i="64" s="1"/>
  <c r="K42" i="64" s="1"/>
  <c r="K41" i="64" s="1"/>
  <c r="K40" i="64" s="1"/>
  <c r="K39" i="64" s="1"/>
  <c r="K38" i="64" s="1"/>
  <c r="K37" i="64" s="1"/>
  <c r="K36" i="64" s="1"/>
  <c r="K35" i="64" s="1"/>
  <c r="K34" i="64" s="1"/>
  <c r="K33" i="64" s="1"/>
  <c r="K32" i="64" s="1"/>
  <c r="K31" i="64" s="1"/>
  <c r="K30" i="64" s="1"/>
  <c r="K29" i="64" s="1"/>
  <c r="K28" i="64" s="1"/>
  <c r="K27" i="64" s="1"/>
  <c r="K26" i="64" s="1"/>
  <c r="K25" i="64" s="1"/>
  <c r="K24" i="64" s="1"/>
  <c r="K23" i="64" s="1"/>
  <c r="K22" i="64" s="1"/>
  <c r="K21" i="64" s="1"/>
  <c r="K20" i="64" s="1"/>
  <c r="K19" i="64" s="1"/>
  <c r="K18" i="64" s="1"/>
  <c r="K16" i="64" s="1"/>
  <c r="C15" i="64"/>
  <c r="D18" i="156" s="1"/>
  <c r="F18" i="156" s="1"/>
  <c r="C14" i="64"/>
  <c r="D17" i="156" s="1"/>
  <c r="F17" i="156" s="1"/>
  <c r="C18" i="64"/>
  <c r="C19" i="64"/>
  <c r="F16" i="156"/>
  <c r="G13" i="64"/>
  <c r="D21" i="156" s="1"/>
  <c r="F21" i="156" s="1"/>
  <c r="G16" i="64"/>
  <c r="D24" i="156" s="1"/>
  <c r="F24" i="156" s="1"/>
  <c r="G15" i="64"/>
  <c r="D23" i="156" s="1"/>
  <c r="F23" i="156" s="1"/>
  <c r="G17" i="64"/>
  <c r="D25" i="156" s="1"/>
  <c r="F25" i="156" s="1"/>
  <c r="K14" i="64"/>
  <c r="D13" i="156" s="1"/>
  <c r="F13" i="156" s="1"/>
  <c r="K15" i="64"/>
  <c r="D14" i="156" s="1"/>
  <c r="F14" i="156" s="1"/>
  <c r="F12" i="156"/>
  <c r="F22" i="156"/>
  <c r="K17" i="64" l="1"/>
  <c r="G49" i="64" s="1"/>
  <c r="G48" i="64" s="1"/>
  <c r="G47" i="64" s="1"/>
  <c r="G46" i="64" s="1"/>
  <c r="G45" i="64" s="1"/>
  <c r="G44" i="64" s="1"/>
  <c r="G43" i="64" s="1"/>
  <c r="G42" i="64" s="1"/>
  <c r="G41" i="64" s="1"/>
  <c r="G40" i="64" s="1"/>
  <c r="G39" i="64" s="1"/>
  <c r="G38" i="64" s="1"/>
  <c r="G37" i="64" s="1"/>
  <c r="G36" i="64" s="1"/>
  <c r="G35" i="64" s="1"/>
  <c r="G34" i="64" s="1"/>
  <c r="G33" i="64" s="1"/>
  <c r="G32" i="64" s="1"/>
  <c r="G31" i="64" s="1"/>
  <c r="G30" i="64" s="1"/>
  <c r="G29" i="64" s="1"/>
  <c r="G28" i="64" s="1"/>
  <c r="G27" i="64" s="1"/>
  <c r="G26" i="64" s="1"/>
  <c r="G25" i="64" s="1"/>
  <c r="G24" i="64" s="1"/>
  <c r="G23" i="64" s="1"/>
  <c r="G22" i="64" s="1"/>
  <c r="G19" i="64" s="1"/>
  <c r="G21" i="64" s="1"/>
  <c r="G20" i="64" s="1"/>
  <c r="G18" i="64" s="1"/>
  <c r="C49" i="64" s="1"/>
  <c r="C48" i="64" s="1"/>
  <c r="C47" i="64" s="1"/>
  <c r="C46" i="64" s="1"/>
  <c r="C45" i="64" s="1"/>
  <c r="C44" i="64" s="1"/>
  <c r="C43" i="64" s="1"/>
  <c r="C42" i="64" s="1"/>
  <c r="C41" i="64" s="1"/>
  <c r="C40" i="64" s="1"/>
  <c r="C39" i="64" s="1"/>
  <c r="C38" i="64" s="1"/>
  <c r="C37" i="64" s="1"/>
  <c r="C24" i="64" s="1"/>
  <c r="C36" i="64" s="1"/>
  <c r="C35" i="64" s="1"/>
  <c r="C34" i="64" s="1"/>
  <c r="C23" i="64" s="1"/>
  <c r="C33" i="64" s="1"/>
  <c r="C32" i="64" s="1"/>
  <c r="C31" i="64" s="1"/>
  <c r="C30" i="64" s="1"/>
  <c r="C29" i="64" s="1"/>
  <c r="C28" i="64" s="1"/>
  <c r="C27" i="64" s="1"/>
  <c r="C17" i="64" s="1"/>
  <c r="D15" i="156"/>
  <c r="F15" i="156" s="1"/>
  <c r="C26" i="64" l="1"/>
  <c r="C25" i="64" s="1"/>
  <c r="C22" i="64" s="1"/>
  <c r="C21" i="64" s="1"/>
  <c r="C20" i="64" s="1"/>
  <c r="C16" i="64" s="1"/>
  <c r="D19" i="156" s="1"/>
  <c r="F19" i="156" s="1"/>
  <c r="D20" i="156"/>
  <c r="F20" i="15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 Kharitonov</author>
  </authors>
  <commentList>
    <comment ref="N26" authorId="0" shapeId="0" xr:uid="{00000000-0006-0000-2E00-000001000000}">
      <text>
        <r>
          <rPr>
            <sz val="12"/>
            <color theme="1"/>
            <rFont val="Calibri"/>
            <family val="2"/>
            <scheme val="minor"/>
          </rPr>
          <t>Ivan Kharitonov:
According to https://www.nrk.no/dokumentar/feilinvesteringer-for-milliarder-1.12603537 Norway had 12 M270 in store and SIPRI database does not have any infromation on transfer of these MLRS.</t>
        </r>
      </text>
    </comment>
    <comment ref="Q36" authorId="0" shapeId="0" xr:uid="{00000000-0006-0000-2E00-000002000000}">
      <text>
        <r>
          <rPr>
            <b/>
            <sz val="9"/>
            <color indexed="81"/>
            <rFont val="Tahoma"/>
            <family val="2"/>
          </rPr>
          <t>Ivan Kharitonov:</t>
        </r>
        <r>
          <rPr>
            <sz val="9"/>
            <color indexed="81"/>
            <rFont val="Tahoma"/>
            <family val="2"/>
          </rPr>
          <t xml:space="preserve">
source: SIPRI and https://www.forbes.com/sites/davidaxe/2022/04/08/ukraine-is-losing-several-s-300-anti-air-launchers-per-week-but-it-still-has-hundreds-left/?sh=7684b0e93ba8</t>
        </r>
      </text>
    </comment>
    <comment ref="K43" authorId="0" shapeId="0" xr:uid="{00000000-0006-0000-2E00-000003000000}">
      <text>
        <r>
          <rPr>
            <sz val="12"/>
            <color theme="1"/>
            <rFont val="Calibri"/>
            <family val="2"/>
            <scheme val="minor"/>
          </rPr>
          <t>Ivan Kharitonov:
52 BVP M80A was in stocks of the Slovenian army in 2001; according to Jane's Armour and Artillery 2002-2003. The SIPRI dataset does not show the contracts shipping them from Slovenia, so we consider they had them in store.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Ivan Kharitonov</author>
  </authors>
  <commentList>
    <comment ref="BR11" authorId="0" shapeId="0" xr:uid="{00000000-0006-0000-2F00-000001000000}">
      <text>
        <r>
          <rPr>
            <b/>
            <sz val="9"/>
            <color indexed="81"/>
            <rFont val="Tahoma"/>
            <family val="2"/>
          </rPr>
          <t>Ivan Kharitonov:</t>
        </r>
        <r>
          <rPr>
            <sz val="9"/>
            <color indexed="81"/>
            <rFont val="Tahoma"/>
            <family val="2"/>
          </rPr>
          <t xml:space="preserve">
incl. A1 and A2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Ivan Kharitonov</author>
  </authors>
  <commentList>
    <comment ref="E74" authorId="0" shapeId="0" xr:uid="{00000000-0006-0000-3500-000001000000}">
      <text>
        <r>
          <rPr>
            <b/>
            <sz val="9"/>
            <color indexed="81"/>
            <rFont val="Tahoma"/>
            <family val="2"/>
          </rPr>
          <t>Ivan Kharitonov:</t>
        </r>
        <r>
          <rPr>
            <sz val="9"/>
            <color indexed="81"/>
            <rFont val="Tahoma"/>
            <family val="2"/>
          </rPr>
          <t xml:space="preserve">
GNP for 1980 from CIA estimations https://www.cia.gov/readingroom/docs/DOC_0000498181.pdf</t>
        </r>
      </text>
    </comment>
  </commentList>
</comments>
</file>

<file path=xl/sharedStrings.xml><?xml version="1.0" encoding="utf-8"?>
<sst xmlns="http://schemas.openxmlformats.org/spreadsheetml/2006/main" count="46956" uniqueCount="5469">
  <si>
    <t>Ukraine Support Tracker — 9th release (covering January 24, 2022 to January 15, 2023)</t>
  </si>
  <si>
    <t>Kiel Working Paper No. 2218</t>
  </si>
  <si>
    <t xml:space="preserve"> – Feedback and comments on our paper and database are highly appreciated (ukrainetracker@ifw-kiel.de) –</t>
  </si>
  <si>
    <r>
      <rPr>
        <b/>
        <sz val="12"/>
        <color theme="1"/>
        <rFont val="Times New Roman"/>
        <family val="1"/>
      </rPr>
      <t xml:space="preserve">1. </t>
    </r>
    <r>
      <rPr>
        <b/>
        <u/>
        <sz val="12"/>
        <color theme="1"/>
        <rFont val="Times New Roman"/>
        <family val="1"/>
      </rPr>
      <t>Citation</t>
    </r>
  </si>
  <si>
    <r>
      <t xml:space="preserve">When using the data, please cite it as follows: Christoph Trebesch, Arianna Antezza, Katelyn Bushnell, Andre Frank, Pascal Frank, Lukas Franz, Ivan Kharitonov, Bharath Kumar, Ekaterina Rebinskaya &amp; Stefan Schramm (2023). "The Ukraine Support Tracker: Which countries help Ukraine and how?" </t>
    </r>
    <r>
      <rPr>
        <i/>
        <sz val="12"/>
        <color rgb="FF000000"/>
        <rFont val="Times New Roman"/>
        <family val="1"/>
      </rPr>
      <t>Kiel Working Paper</t>
    </r>
    <r>
      <rPr>
        <sz val="12"/>
        <color rgb="FF000000"/>
        <rFont val="Times New Roman"/>
        <family val="1"/>
      </rPr>
      <t>, No. 2218, 1-65.</t>
    </r>
  </si>
  <si>
    <r>
      <t xml:space="preserve">2. </t>
    </r>
    <r>
      <rPr>
        <b/>
        <u/>
        <sz val="12"/>
        <color theme="1"/>
        <rFont val="Times New Roman"/>
        <family val="1"/>
      </rPr>
      <t>Scope of the data set</t>
    </r>
  </si>
  <si>
    <t>Our database lists and quantifies military, financial and humanitarian aid transferred by governments to Ukraine after the end of diplomatic relations between Russia and Ukraine on January 24, 2022. We focus on commitments from Western governments, namely by G7 and European Union member countries. We quantify government-to-government commitments, and provide preliminary (non-exhaustive) data on non-bilateral aid. To value in-kind support like military equipment or weapons, we use market prices and consider upper bounds to avoid underestimating the true extent of bilateral assistance.</t>
  </si>
  <si>
    <r>
      <t>Country sample</t>
    </r>
    <r>
      <rPr>
        <b/>
        <sz val="12"/>
        <rFont val="Times New Roman"/>
        <family val="1"/>
      </rPr>
      <t>:</t>
    </r>
  </si>
  <si>
    <t>We focus on bilateral donors. The largest group are the 27 EU member countries. Besides, we include the (remaining) G7 countries plus Australia, China, India, New Zealand, Norway, South Korea, Switzerland, Taiwan, and Turkey. Moreover, we include assistance provided by the EU in the core database under EU (Commission and Council), European Peace Facility, European Investment Bank.</t>
  </si>
  <si>
    <r>
      <t>Forms of assistance</t>
    </r>
    <r>
      <rPr>
        <b/>
        <sz val="12"/>
        <rFont val="Times New Roman"/>
        <family val="1"/>
      </rPr>
      <t>:</t>
    </r>
  </si>
  <si>
    <t>Military assistance includes all types of weapons and military equipment alongside items donated to the Ukrainian army as well as financial assistance tied for military purposes. Humanitarian aid refers to assistance supporting the civilian population (mainly food, medicines, and other relief items). Financial assistance includes grants, loans, guarantees and swap-lines.</t>
  </si>
  <si>
    <r>
      <t>Commitments vs. disbursements</t>
    </r>
    <r>
      <rPr>
        <b/>
        <sz val="12"/>
        <rFont val="Times New Roman"/>
        <family val="1"/>
      </rPr>
      <t>:</t>
    </r>
  </si>
  <si>
    <t xml:space="preserve">We primarily report commitments. However, whenever information on deliveries or disbursements is available, we report these values including a respective source. </t>
  </si>
  <si>
    <r>
      <t>Valuing in-kind donations</t>
    </r>
    <r>
      <rPr>
        <b/>
        <sz val="12"/>
        <color rgb="FF000000"/>
        <rFont val="Times New Roman"/>
        <family val="1"/>
      </rPr>
      <t>:</t>
    </r>
  </si>
  <si>
    <t>We generally use upper bounds for prices to avoid underestimating the true scale of assistance. Please refer to the corresponding paper for price sources and further explanations.</t>
  </si>
  <si>
    <r>
      <t xml:space="preserve">3. </t>
    </r>
    <r>
      <rPr>
        <b/>
        <u/>
        <sz val="12"/>
        <rFont val="Times New Roman"/>
        <family val="1"/>
      </rPr>
      <t>Contents</t>
    </r>
  </si>
  <si>
    <t>The dataset is segmented into different colored sheets. The contained information is as follows:</t>
  </si>
  <si>
    <t>Gray sheets</t>
  </si>
  <si>
    <t>ReadMe and Updates / Corrections.</t>
  </si>
  <si>
    <t>Green sheets</t>
  </si>
  <si>
    <t>Contains dataset for bilateral aid as well as pages with aggregate information on country and group donor level.</t>
  </si>
  <si>
    <t>Blue sheets</t>
  </si>
  <si>
    <t xml:space="preserve">Contains figures and the respective data of which they are comprised. </t>
  </si>
  <si>
    <t>Orange sheets</t>
  </si>
  <si>
    <t>Contains auxiliary information used for calculations like European aid shares, prices, or stored information for various purposes.</t>
  </si>
  <si>
    <t>Updates and Corrections</t>
  </si>
  <si>
    <t>Release 9 (until January 15, 2023)</t>
  </si>
  <si>
    <t> </t>
  </si>
  <si>
    <t>Major new commitments</t>
  </si>
  <si>
    <r>
      <rPr>
        <u/>
        <sz val="12"/>
        <color rgb="FF000000"/>
        <rFont val="Times New Roman"/>
        <family val="1"/>
      </rPr>
      <t>Denmark</t>
    </r>
    <r>
      <rPr>
        <sz val="12"/>
        <color rgb="FF000000"/>
        <rFont val="Times New Roman"/>
        <family val="1"/>
      </rPr>
      <t xml:space="preserve"> commits additional €53 million in military aid (10% increase) and €26 million in humanitarian and reconstruction aid (+36%).</t>
    </r>
  </si>
  <si>
    <r>
      <rPr>
        <u/>
        <sz val="12"/>
        <color rgb="FF000000"/>
        <rFont val="Times New Roman"/>
        <family val="1"/>
      </rPr>
      <t>Finland</t>
    </r>
    <r>
      <rPr>
        <sz val="12"/>
        <color rgb="FF000000"/>
        <rFont val="Times New Roman"/>
        <family val="1"/>
      </rPr>
      <t xml:space="preserve"> has annouced and delivered its eleventh military aid package, increasing the Finnish military aid by €28.8 million (+16%).</t>
    </r>
  </si>
  <si>
    <r>
      <rPr>
        <u/>
        <sz val="12"/>
        <color rgb="FF000000"/>
        <rFont val="Times New Roman"/>
        <family val="1"/>
      </rPr>
      <t>France</t>
    </r>
    <r>
      <rPr>
        <sz val="12"/>
        <color rgb="FF000000"/>
        <rFont val="Times New Roman"/>
        <family val="1"/>
      </rPr>
      <t xml:space="preserve"> commits an additional €165.9 million in humanitarian aid, increasing the humanitarian support to €320 million (+107%)   </t>
    </r>
  </si>
  <si>
    <r>
      <rPr>
        <u/>
        <sz val="12"/>
        <color rgb="FF000000"/>
        <rFont val="Times New Roman"/>
        <family val="1"/>
      </rPr>
      <t>France</t>
    </r>
    <r>
      <rPr>
        <sz val="12"/>
        <color rgb="FF000000"/>
        <rFont val="Times New Roman"/>
        <family val="1"/>
      </rPr>
      <t xml:space="preserve"> commits an additional €199.4 million in financial aid, increasing the financial support to €700 million (+40%)</t>
    </r>
  </si>
  <si>
    <r>
      <rPr>
        <u/>
        <sz val="12"/>
        <color rgb="FF000000"/>
        <rFont val="Times New Roman"/>
        <family val="1"/>
      </rPr>
      <t>France</t>
    </r>
    <r>
      <rPr>
        <sz val="12"/>
        <color rgb="FF000000"/>
        <rFont val="Times New Roman"/>
        <family val="1"/>
      </rPr>
      <t xml:space="preserve"> commits an additional €200 million in military aid, increasing the military support to €660 million (+43%)</t>
    </r>
  </si>
  <si>
    <r>
      <rPr>
        <u/>
        <sz val="12"/>
        <color rgb="FF000000"/>
        <rFont val="Times New Roman"/>
        <family val="1"/>
      </rPr>
      <t>Italy</t>
    </r>
    <r>
      <rPr>
        <sz val="12"/>
        <color rgb="FF000000"/>
        <rFont val="Times New Roman"/>
        <family val="1"/>
      </rPr>
      <t xml:space="preserve"> commits new military aid worth €341.7 million through provision of a SEMP/T air defense system, increasing the military support to €660 million (+107%)</t>
    </r>
  </si>
  <si>
    <r>
      <rPr>
        <u/>
        <sz val="12"/>
        <color rgb="FF000000"/>
        <rFont val="Times New Roman"/>
        <family val="1"/>
      </rPr>
      <t>Japan</t>
    </r>
    <r>
      <rPr>
        <sz val="12"/>
        <color rgb="FF000000"/>
        <rFont val="Times New Roman"/>
        <family val="1"/>
      </rPr>
      <t xml:space="preserve"> commits an additional €472 million in humanitarian aid, increasing the humanitarian support to €478 million (+7586%)</t>
    </r>
  </si>
  <si>
    <r>
      <rPr>
        <u/>
        <sz val="12"/>
        <color rgb="FF000000"/>
        <rFont val="Times New Roman"/>
        <family val="1"/>
      </rPr>
      <t>South Korea</t>
    </r>
    <r>
      <rPr>
        <sz val="12"/>
        <color rgb="FF000000"/>
        <rFont val="Times New Roman"/>
        <family val="1"/>
      </rPr>
      <t xml:space="preserve"> announced additional humanitarian aid worth €8.7 million, bringing the total humanitarian aid to EUR 95 million (+10%).</t>
    </r>
  </si>
  <si>
    <r>
      <t>The</t>
    </r>
    <r>
      <rPr>
        <u/>
        <sz val="12"/>
        <color rgb="FF000000"/>
        <rFont val="Times New Roman"/>
        <family val="1"/>
      </rPr>
      <t xml:space="preserve"> United Kingdom</t>
    </r>
    <r>
      <rPr>
        <sz val="12"/>
        <color rgb="FF000000"/>
        <rFont val="Times New Roman"/>
        <family val="1"/>
      </rPr>
      <t xml:space="preserve"> commits an additional €820 million in military aid (+20%)</t>
    </r>
  </si>
  <si>
    <r>
      <t>The</t>
    </r>
    <r>
      <rPr>
        <u/>
        <sz val="12"/>
        <color rgb="FF000000"/>
        <rFont val="Times New Roman"/>
        <family val="1"/>
      </rPr>
      <t xml:space="preserve"> United Kingdom</t>
    </r>
    <r>
      <rPr>
        <sz val="12"/>
        <color rgb="FF000000"/>
        <rFont val="Times New Roman"/>
        <family val="1"/>
      </rPr>
      <t xml:space="preserve"> commits an additional €476 million in financial aid (+19%)</t>
    </r>
  </si>
  <si>
    <r>
      <t xml:space="preserve">The </t>
    </r>
    <r>
      <rPr>
        <u/>
        <sz val="12"/>
        <color rgb="FF000000"/>
        <rFont val="Times New Roman"/>
        <family val="1"/>
      </rPr>
      <t>United States</t>
    </r>
    <r>
      <rPr>
        <sz val="12"/>
        <color rgb="FF000000"/>
        <rFont val="Times New Roman"/>
        <family val="1"/>
      </rPr>
      <t xml:space="preserve"> commits an additional €21.9 billion in military aid (+98%)</t>
    </r>
  </si>
  <si>
    <r>
      <t xml:space="preserve">The </t>
    </r>
    <r>
      <rPr>
        <u/>
        <sz val="12"/>
        <color rgb="FF000000"/>
        <rFont val="Times New Roman"/>
        <family val="1"/>
      </rPr>
      <t>United States</t>
    </r>
    <r>
      <rPr>
        <sz val="12"/>
        <color rgb="FF000000"/>
        <rFont val="Times New Roman"/>
        <family val="1"/>
      </rPr>
      <t xml:space="preserve"> commits an additional €12.3 billion in financial aid (+96%)</t>
    </r>
  </si>
  <si>
    <r>
      <t>The</t>
    </r>
    <r>
      <rPr>
        <u/>
        <sz val="12"/>
        <color rgb="FF000000"/>
        <rFont val="Times New Roman"/>
        <family val="1"/>
      </rPr>
      <t xml:space="preserve"> United States</t>
    </r>
    <r>
      <rPr>
        <sz val="12"/>
        <color rgb="FF000000"/>
        <rFont val="Times New Roman"/>
        <family val="1"/>
      </rPr>
      <t xml:space="preserve"> commits an additional €2.47 billion in humanitarian aid (+197%) </t>
    </r>
  </si>
  <si>
    <t>Major corrections</t>
  </si>
  <si>
    <r>
      <rPr>
        <u/>
        <sz val="12"/>
        <color rgb="FF000000"/>
        <rFont val="Times New Roman"/>
        <family val="1"/>
      </rPr>
      <t>JPF4</t>
    </r>
    <r>
      <rPr>
        <sz val="12"/>
        <color rgb="FF000000"/>
        <rFont val="Times New Roman"/>
        <family val="1"/>
      </rPr>
      <t xml:space="preserve">: Due to new credible information and correcting a mistake on our part, the Japanese financial as well as humanitarian aid was reevaluated to €1.05 billion. </t>
    </r>
  </si>
  <si>
    <r>
      <rPr>
        <u/>
        <sz val="12"/>
        <color rgb="FF000000"/>
        <rFont val="Times New Roman"/>
        <family val="1"/>
      </rPr>
      <t>NLM5, NLM8</t>
    </r>
    <r>
      <rPr>
        <sz val="12"/>
        <color rgb="FF000000"/>
        <rFont val="Times New Roman"/>
        <family val="1"/>
      </rPr>
      <t>: Due to new official information, Dutch military aid got reevaluated and thereby increased by €520 million (+179%)</t>
    </r>
  </si>
  <si>
    <r>
      <rPr>
        <u/>
        <sz val="12"/>
        <color rgb="FF000000"/>
        <rFont val="Times New Roman"/>
        <family val="1"/>
      </rPr>
      <t>BEH4, BEM5</t>
    </r>
    <r>
      <rPr>
        <sz val="12"/>
        <color rgb="FF000000"/>
        <rFont val="Times New Roman"/>
        <family val="1"/>
      </rPr>
      <t xml:space="preserve">: Due to new official information Belgian humanitarian and military aid was revised, bringing humanitarian aid to €50 million (48% decrease) and military to €145 million (50% increase). </t>
    </r>
  </si>
  <si>
    <t>The Belgian total aid did not change substantially, from 213 million EUR to 214 million EUR.</t>
  </si>
  <si>
    <r>
      <rPr>
        <u/>
        <sz val="12"/>
        <color theme="1"/>
        <rFont val="Times New Roman"/>
        <family val="1"/>
      </rPr>
      <t>FRF1</t>
    </r>
    <r>
      <rPr>
        <sz val="12"/>
        <color theme="1"/>
        <rFont val="Times New Roman"/>
        <family val="1"/>
      </rPr>
      <t xml:space="preserve">: Due to new credible information from a French overview on bilateral aid to Ukraine, we include €200 million from a €1.2 billion guarantee France announced for Ukraine. This increases French financial aid by 40%.
</t>
    </r>
  </si>
  <si>
    <t>€1 billion of the contribution is not considered as aid to Ukraine since that part are loan guarantees for French firms, whereas the €200 million are guarantees from which the Ukrainian government can get loans from the French treasury.</t>
  </si>
  <si>
    <r>
      <rPr>
        <u/>
        <sz val="12"/>
        <color rgb="FF000000"/>
        <rFont val="Times New Roman"/>
        <family val="1"/>
      </rPr>
      <t>PLM1, PLM2</t>
    </r>
    <r>
      <rPr>
        <sz val="12"/>
        <color rgb="FF000000"/>
        <rFont val="Times New Roman"/>
        <family val="1"/>
      </rPr>
      <t>: Polish military aid increased due to the inclusion of additional 36 AHS Krab Howitzers and 60 PT-91 Twardy tanks (+37%).</t>
    </r>
  </si>
  <si>
    <r>
      <rPr>
        <u/>
        <sz val="12"/>
        <color rgb="FF000000"/>
        <rFont val="Times New Roman"/>
        <family val="1"/>
      </rPr>
      <t>LTH3</t>
    </r>
    <r>
      <rPr>
        <sz val="12"/>
        <color rgb="FF000000"/>
        <rFont val="Times New Roman"/>
        <family val="1"/>
      </rPr>
      <t>: Lithuanian humanitarian aid increased due to the inclusion of additional projects (+130%)</t>
    </r>
  </si>
  <si>
    <r>
      <rPr>
        <u/>
        <sz val="12"/>
        <color rgb="FF000000"/>
        <rFont val="Times New Roman"/>
        <family val="1"/>
      </rPr>
      <t>EEM1</t>
    </r>
    <r>
      <rPr>
        <sz val="12"/>
        <color rgb="FF000000"/>
        <rFont val="Times New Roman"/>
        <family val="1"/>
      </rPr>
      <t>: Change in Estonian military aid commitment from €61.88 million to €31.88 million due to coding error in EEM1. This decreases the Estonian military aid by €30 million (-9%)</t>
    </r>
  </si>
  <si>
    <t>Major deliveries</t>
  </si>
  <si>
    <r>
      <rPr>
        <u/>
        <sz val="12"/>
        <color rgb="FF000000"/>
        <rFont val="Times New Roman"/>
        <family val="1"/>
      </rPr>
      <t>France</t>
    </r>
    <r>
      <rPr>
        <sz val="12"/>
        <color rgb="FF000000"/>
        <rFont val="Times New Roman"/>
        <family val="1"/>
      </rPr>
      <t xml:space="preserve"> delivers 2 Croale air defence systems and 2 LMU MLRS.</t>
    </r>
  </si>
  <si>
    <r>
      <rPr>
        <u/>
        <sz val="12"/>
        <color rgb="FF000000"/>
        <rFont val="Times New Roman"/>
        <family val="1"/>
      </rPr>
      <t>Slovakia</t>
    </r>
    <r>
      <rPr>
        <sz val="12"/>
        <color rgb="FF000000"/>
        <rFont val="Times New Roman"/>
        <family val="1"/>
      </rPr>
      <t xml:space="preserve"> delivers 30 BVP-1 infantry fighting vehicles.  </t>
    </r>
  </si>
  <si>
    <t>Release 8 (until November 20, 2022)</t>
  </si>
  <si>
    <r>
      <t xml:space="preserve">The </t>
    </r>
    <r>
      <rPr>
        <u/>
        <sz val="12"/>
        <color rgb="FF000000"/>
        <rFont val="Times New Roman"/>
        <family val="1"/>
      </rPr>
      <t>European Commission and Council</t>
    </r>
    <r>
      <rPr>
        <sz val="12"/>
        <color rgb="FF000000"/>
        <rFont val="Times New Roman"/>
        <family val="1"/>
      </rPr>
      <t xml:space="preserve"> commits additional €18 billion of financial aid to Ukraine. The package is an extension of the previous Macro-Financial Assistance (MFA) and increases the EU financial contributions to €30.32 billion (+146%).</t>
    </r>
  </si>
  <si>
    <r>
      <rPr>
        <u/>
        <sz val="12"/>
        <color rgb="FF000000"/>
        <rFont val="Times New Roman"/>
        <family val="1"/>
      </rPr>
      <t>Germany</t>
    </r>
    <r>
      <rPr>
        <sz val="12"/>
        <color rgb="FF000000"/>
        <rFont val="Times New Roman"/>
        <family val="1"/>
      </rPr>
      <t xml:space="preserve"> pledges new in-kind military aid. Germany's military assistance now amounts to a total of €2.35 billion (increase by 96%).</t>
    </r>
  </si>
  <si>
    <r>
      <t xml:space="preserve">The </t>
    </r>
    <r>
      <rPr>
        <u/>
        <sz val="12"/>
        <color rgb="FF000000"/>
        <rFont val="Times New Roman"/>
        <family val="1"/>
      </rPr>
      <t>German government</t>
    </r>
    <r>
      <rPr>
        <sz val="12"/>
        <color rgb="FF000000"/>
        <rFont val="Times New Roman"/>
        <family val="1"/>
      </rPr>
      <t xml:space="preserve"> also committed humanitarian aid of €1 billion for protection against cyber attacks and investigation of war crimes (increase of humanitarian commitment by 100%).</t>
    </r>
  </si>
  <si>
    <r>
      <rPr>
        <u/>
        <sz val="12"/>
        <color rgb="FF000000"/>
        <rFont val="Times New Roman"/>
        <family val="1"/>
      </rPr>
      <t>Taiwan</t>
    </r>
    <r>
      <rPr>
        <sz val="12"/>
        <color rgb="FF000000"/>
        <rFont val="Times New Roman"/>
        <family val="1"/>
      </rPr>
      <t xml:space="preserve"> pledges new humanitarian aid for reconstruction worth €56.6 million (increase of total commitments by 450%).</t>
    </r>
  </si>
  <si>
    <r>
      <rPr>
        <u/>
        <sz val="12"/>
        <color rgb="FF000000"/>
        <rFont val="Times New Roman"/>
        <family val="1"/>
      </rPr>
      <t>Switzerland</t>
    </r>
    <r>
      <rPr>
        <sz val="12"/>
        <color rgb="FF000000"/>
        <rFont val="Times New Roman"/>
        <family val="1"/>
      </rPr>
      <t xml:space="preserve"> pledges new humanitarian aid specially intended as winter aid worth €103.8 million (increasing total commitments by 100%).</t>
    </r>
  </si>
  <si>
    <r>
      <rPr>
        <u/>
        <sz val="12"/>
        <color rgb="FF000000"/>
        <rFont val="Times New Roman"/>
        <family val="1"/>
      </rPr>
      <t>Finland</t>
    </r>
    <r>
      <rPr>
        <sz val="12"/>
        <color rgb="FF000000"/>
        <rFont val="Times New Roman"/>
        <family val="1"/>
      </rPr>
      <t xml:space="preserve"> commits its 10th military aid package, worth €55.6 million in additional military aid. This brings Finland’s military aid commitment to around €150 million (increase by around 60%).</t>
    </r>
  </si>
  <si>
    <r>
      <rPr>
        <u/>
        <sz val="12"/>
        <color rgb="FF000000"/>
        <rFont val="Times New Roman"/>
        <family val="1"/>
      </rPr>
      <t>Sweden</t>
    </r>
    <r>
      <rPr>
        <sz val="12"/>
        <color rgb="FF000000"/>
        <rFont val="Times New Roman"/>
        <family val="1"/>
      </rPr>
      <t xml:space="preserve"> commits roughly €280 million in military aid and €70 million in humanitarian and financial aid (3 billion SEK military, 720 million SEK) in November. This increases Swedish aid commitments by almost 70%.</t>
    </r>
  </si>
  <si>
    <r>
      <rPr>
        <u/>
        <sz val="12"/>
        <color rgb="FF000000"/>
        <rFont val="Times New Roman"/>
        <family val="1"/>
      </rPr>
      <t>Norway</t>
    </r>
    <r>
      <rPr>
        <sz val="12"/>
        <color rgb="FF000000"/>
        <rFont val="Times New Roman"/>
        <family val="1"/>
      </rPr>
      <t xml:space="preserve"> pledges additional funding of €146 million for a UK-led weapons procurement program. Norway further announced a military budget intended for Ukraine. This increases the Norwegian military aid to €538 million (increase by 72%).</t>
    </r>
  </si>
  <si>
    <r>
      <t xml:space="preserve">The </t>
    </r>
    <r>
      <rPr>
        <u/>
        <sz val="12"/>
        <color rgb="FF000000"/>
        <rFont val="Times New Roman"/>
        <family val="1"/>
      </rPr>
      <t>Netherlands</t>
    </r>
    <r>
      <rPr>
        <sz val="12"/>
        <color rgb="FF000000"/>
        <rFont val="Times New Roman"/>
        <family val="1"/>
      </rPr>
      <t xml:space="preserve"> and the </t>
    </r>
    <r>
      <rPr>
        <u/>
        <sz val="12"/>
        <color rgb="FF000000"/>
        <rFont val="Times New Roman"/>
        <family val="1"/>
      </rPr>
      <t>United States</t>
    </r>
    <r>
      <rPr>
        <sz val="12"/>
        <color rgb="FF000000"/>
        <rFont val="Times New Roman"/>
        <family val="1"/>
      </rPr>
      <t xml:space="preserve"> split the refurbishment costs for 90 Czech T-72 tanks. The total amount of the joint project is US$90 million.   									</t>
    </r>
  </si>
  <si>
    <r>
      <rPr>
        <u/>
        <sz val="12"/>
        <color rgb="FF000000"/>
        <rFont val="Times New Roman"/>
        <family val="1"/>
      </rPr>
      <t>Portugal</t>
    </r>
    <r>
      <rPr>
        <sz val="12"/>
        <color rgb="FF000000"/>
        <rFont val="Times New Roman"/>
        <family val="1"/>
      </rPr>
      <t xml:space="preserve"> commits six Soviet-made helicopters for humanitarian purposes, with an estimated value of €35 million (increase of humanitarian commitment by 3000%).   </t>
    </r>
  </si>
  <si>
    <r>
      <rPr>
        <u/>
        <sz val="12"/>
        <color rgb="FF000000"/>
        <rFont val="Times New Roman"/>
        <family val="1"/>
      </rPr>
      <t>Czech Republic</t>
    </r>
    <r>
      <rPr>
        <sz val="12"/>
        <color rgb="FF000000"/>
        <rFont val="Times New Roman"/>
        <family val="1"/>
      </rPr>
      <t>: Due to new information released on October 28, the amount of delivered T-72 tanks is disclosed as 40 instead of the previous 12. This also increases the commitment from 20 to 40 T-72 tanks. In total, this increases the Czech military commitment by €32 million (+10 %) and the Czech deliveries by €45 million (+20 %).</t>
    </r>
  </si>
  <si>
    <r>
      <rPr>
        <u/>
        <sz val="12"/>
        <color rgb="FF000000"/>
        <rFont val="Times New Roman"/>
        <family val="1"/>
      </rPr>
      <t>Estonia</t>
    </r>
    <r>
      <rPr>
        <sz val="12"/>
        <color rgb="FF000000"/>
        <rFont val="Times New Roman"/>
        <family val="1"/>
      </rPr>
      <t xml:space="preserve"> commits a new military aid package worth €62 million (increase of military aid committment by 130%).   </t>
    </r>
  </si>
  <si>
    <r>
      <t xml:space="preserve">The </t>
    </r>
    <r>
      <rPr>
        <u/>
        <sz val="12"/>
        <color rgb="FF000000"/>
        <rFont val="Times New Roman"/>
        <family val="1"/>
      </rPr>
      <t>European Union</t>
    </r>
    <r>
      <rPr>
        <sz val="12"/>
        <color rgb="FF000000"/>
        <rFont val="Times New Roman"/>
        <family val="1"/>
      </rPr>
      <t xml:space="preserve"> commits €150 million in humanitarian aid targeted at assistance during the upcoming winter.</t>
    </r>
  </si>
  <si>
    <r>
      <rPr>
        <u/>
        <sz val="12"/>
        <color rgb="FF000000"/>
        <rFont val="Times New Roman"/>
        <family val="1"/>
      </rPr>
      <t>France</t>
    </r>
    <r>
      <rPr>
        <sz val="12"/>
        <color rgb="FF000000"/>
        <rFont val="Times New Roman"/>
        <family val="1"/>
      </rPr>
      <t xml:space="preserve"> establishes a fund worth €100 million which will enable Ukraine to procure weapons and other military equipment directly from French companies. </t>
    </r>
  </si>
  <si>
    <r>
      <t xml:space="preserve">The </t>
    </r>
    <r>
      <rPr>
        <u/>
        <sz val="12"/>
        <color rgb="FF000000"/>
        <rFont val="Times New Roman"/>
        <family val="1"/>
      </rPr>
      <t>French government</t>
    </r>
    <r>
      <rPr>
        <sz val="12"/>
        <color rgb="FF000000"/>
        <rFont val="Times New Roman"/>
        <family val="1"/>
      </rPr>
      <t xml:space="preserve"> also committed additional six CAESAR howitzers, worth around €90 million.  </t>
    </r>
  </si>
  <si>
    <r>
      <rPr>
        <u/>
        <sz val="12"/>
        <color rgb="FF000000"/>
        <rFont val="Times New Roman"/>
        <family val="1"/>
      </rPr>
      <t>Denmark</t>
    </r>
    <r>
      <rPr>
        <sz val="12"/>
        <color rgb="FF000000"/>
        <rFont val="Times New Roman"/>
        <family val="1"/>
      </rPr>
      <t xml:space="preserve">: According to new information, Denmark approved the delivery of the missing items of package DKM1 (including M113 APCs, mines, mortars, and further items) in April. This increases Denmark's in-kind military deliveries by €71.2 million. </t>
    </r>
  </si>
  <si>
    <r>
      <rPr>
        <u/>
        <sz val="12"/>
        <color rgb="FF000000"/>
        <rFont val="Times New Roman"/>
        <family val="1"/>
      </rPr>
      <t>Greece</t>
    </r>
    <r>
      <rPr>
        <sz val="12"/>
        <color rgb="FF000000"/>
        <rFont val="Times New Roman"/>
        <family val="1"/>
      </rPr>
      <t>: According to new information, Greece delivers 40 BMP-1 infantry fighting vehicles worth €22.7 million. These are part of the 'Ringtausch' weapon exchange agreement with Germany.</t>
    </r>
  </si>
  <si>
    <t>United States: Following the change from FY2022 to FY2023 at the end of September and the release of new information, open budget positions from FY2022 no longer constitute a commitment to Ukraine as these budgets can no longer be accessed. We corrected for these no-longer-usable positions, leading to a decrease in military aid for the U.S. of $3.4 billion.</t>
  </si>
  <si>
    <r>
      <rPr>
        <u/>
        <sz val="12"/>
        <color theme="1"/>
        <rFont val="Times New Roman"/>
        <family val="1"/>
      </rPr>
      <t>USM7</t>
    </r>
    <r>
      <rPr>
        <sz val="12"/>
        <color theme="1"/>
        <rFont val="Times New Roman"/>
        <family val="1"/>
      </rPr>
      <t>: We changed this commitment from military to financial aid to more accurately capture its purpose (i.e., financial aid for security assistance). The entry is henceforth under ID USF6.</t>
    </r>
  </si>
  <si>
    <r>
      <rPr>
        <u/>
        <sz val="12"/>
        <color theme="1"/>
        <rFont val="Times New Roman"/>
        <family val="1"/>
      </rPr>
      <t>USM3, USM8</t>
    </r>
    <r>
      <rPr>
        <sz val="12"/>
        <color theme="1"/>
        <rFont val="Times New Roman"/>
        <family val="1"/>
      </rPr>
      <t>: We change these entries from military to humanitarian aid to more accurately capture their purpose (i.e., investigation of war crimes, civilian assistance). The entries are henceforth under IDs USH7, USH8, respectively.</t>
    </r>
  </si>
  <si>
    <r>
      <rPr>
        <u/>
        <sz val="12"/>
        <color theme="1"/>
        <rFont val="Times New Roman"/>
        <family val="1"/>
      </rPr>
      <t>ITF2, ITF3</t>
    </r>
    <r>
      <rPr>
        <sz val="12"/>
        <color theme="1"/>
        <rFont val="Times New Roman"/>
        <family val="1"/>
      </rPr>
      <t>: Even though the loans were announced with different conditions, the two entries now appear to refer to the same €200 million loan. This leads to a decrease in financial commitment for Italy over €200 million.</t>
    </r>
  </si>
  <si>
    <r>
      <rPr>
        <u/>
        <sz val="12"/>
        <color rgb="FF000000"/>
        <rFont val="Times New Roman"/>
        <family val="1"/>
      </rPr>
      <t>DKF2</t>
    </r>
    <r>
      <rPr>
        <sz val="12"/>
        <color rgb="FF000000"/>
        <rFont val="Times New Roman"/>
        <family val="1"/>
      </rPr>
      <t>: Changed from US$30 million to €37.5 million as official sources stated this value. This increases Danish financial contribution to €57.5 million (increase by 15%).</t>
    </r>
  </si>
  <si>
    <r>
      <rPr>
        <u/>
        <sz val="12"/>
        <color rgb="FF000000"/>
        <rFont val="Times New Roman"/>
        <family val="1"/>
      </rPr>
      <t>DKM3</t>
    </r>
    <r>
      <rPr>
        <sz val="12"/>
        <color rgb="FF000000"/>
        <rFont val="Times New Roman"/>
        <family val="1"/>
      </rPr>
      <t>: Due to a coding inconsistency, the commitment was not counted as in-kind military aid for Denmark. This was corrected, leading to an increase in Danish military aid of €110 million (increase by 36 %).</t>
    </r>
  </si>
  <si>
    <r>
      <rPr>
        <u/>
        <sz val="12"/>
        <color rgb="FF000000"/>
        <rFont val="Times New Roman"/>
        <family val="1"/>
      </rPr>
      <t>DKM4</t>
    </r>
    <r>
      <rPr>
        <sz val="12"/>
        <color rgb="FF000000"/>
        <rFont val="Times New Roman"/>
        <family val="1"/>
      </rPr>
      <t xml:space="preserve">: Following new information regarding the joint financing of Zuzana-2 howitzers, this commitment was included in ID DKM3 as the howitzers are financed from that budget. </t>
    </r>
  </si>
  <si>
    <t xml:space="preserve">             Accordingly, the Danish military support until October 2022 amounted to DKK 3.8 billion or €510 million. DKM4 now captures the difference to our previous record, leading to an increase by €130.4 million in Danish military aid (+34%).</t>
  </si>
  <si>
    <r>
      <rPr>
        <u/>
        <sz val="12"/>
        <color rgb="FF000000"/>
        <rFont val="Times New Roman"/>
        <family val="1"/>
      </rPr>
      <t>CZM14</t>
    </r>
    <r>
      <rPr>
        <sz val="12"/>
        <color rgb="FF000000"/>
        <rFont val="Times New Roman"/>
        <family val="1"/>
      </rPr>
      <t>: Following new information from October 28 the amount of delivered T-72 tanks is disclosed as 40 instead of the previous 12. This also increases the commitment from 20 to 40 T-72 tanks. In total, this increases the Czech military commitment by €32 million (+10 %) and the Czech deliveries by €45 million (+20 %). </t>
    </r>
  </si>
  <si>
    <r>
      <rPr>
        <u/>
        <sz val="12"/>
        <color rgb="FF000000"/>
        <rFont val="Times New Roman"/>
        <family val="1"/>
      </rPr>
      <t>FIM3-FIM5</t>
    </r>
    <r>
      <rPr>
        <sz val="12"/>
        <color rgb="FF000000"/>
        <rFont val="Times New Roman"/>
        <family val="1"/>
      </rPr>
      <t>: Following the release of new information, the entire value of Finnish military commitments until the end of September could now be determined, which changed previously unknown values. Accordingly, Finland's military commitment increased from €30 million to €90 million (increase by 200 %).</t>
    </r>
  </si>
  <si>
    <r>
      <rPr>
        <u/>
        <sz val="12"/>
        <color rgb="FF000000"/>
        <rFont val="Times New Roman"/>
        <family val="1"/>
      </rPr>
      <t>BEM1</t>
    </r>
    <r>
      <rPr>
        <sz val="12"/>
        <color rgb="FF000000"/>
        <rFont val="Times New Roman"/>
        <family val="1"/>
      </rPr>
      <t>: Due to a coding inconsistency, the value of deliveries of this entry were calculated with our price estimates. This was corrected, increasing Belgian deliveries by €54.3 million, in turn increasing the Belgian in-kind military delivery rate to 100%. </t>
    </r>
  </si>
  <si>
    <r>
      <rPr>
        <u/>
        <sz val="12"/>
        <color rgb="FF000000"/>
        <rFont val="Times New Roman"/>
        <family val="1"/>
      </rPr>
      <t>FIM1</t>
    </r>
    <r>
      <rPr>
        <sz val="12"/>
        <color rgb="FF000000"/>
        <rFont val="Times New Roman"/>
        <family val="1"/>
      </rPr>
      <t>: Due to a coding inconsistency, the value of deliveries of this entry were calculated with our price estimates. This was corrected. The entire package has been delivered, increasing the Finnish in-kind military deliveries by €18 million.</t>
    </r>
  </si>
  <si>
    <r>
      <rPr>
        <u/>
        <sz val="12"/>
        <color rgb="FF000000"/>
        <rFont val="Times New Roman"/>
        <family val="1"/>
      </rPr>
      <t>FRH4</t>
    </r>
    <r>
      <rPr>
        <sz val="12"/>
        <color rgb="FF000000"/>
        <rFont val="Times New Roman"/>
        <family val="1"/>
      </rPr>
      <t xml:space="preserve">, </t>
    </r>
    <r>
      <rPr>
        <u/>
        <sz val="12"/>
        <color rgb="FF000000"/>
        <rFont val="Times New Roman"/>
        <family val="1"/>
      </rPr>
      <t>FRH6</t>
    </r>
    <r>
      <rPr>
        <sz val="12"/>
        <color rgb="FF000000"/>
        <rFont val="Times New Roman"/>
        <family val="1"/>
      </rPr>
      <t xml:space="preserve">: Following the release of new information, the humanitarian aid France provided for Ukrainian emergency services in the spring is estimated to be worth €18 million (increase in humanitarian aid by 15%).  </t>
    </r>
  </si>
  <si>
    <r>
      <rPr>
        <u/>
        <sz val="12"/>
        <color rgb="FF000000"/>
        <rFont val="Times New Roman"/>
        <family val="1"/>
      </rPr>
      <t>ITM6</t>
    </r>
    <r>
      <rPr>
        <sz val="12"/>
        <color rgb="FF000000"/>
        <rFont val="Times New Roman"/>
        <family val="1"/>
      </rPr>
      <t>: Following new information about Italy's military support under the previous government, the five aid packages for which the details have been undisclosed are estimated to be worth €169 million in commitments (€163 million in deliveries).</t>
    </r>
  </si>
  <si>
    <r>
      <rPr>
        <u/>
        <sz val="12"/>
        <color rgb="FF000000"/>
        <rFont val="Times New Roman"/>
        <family val="1"/>
      </rPr>
      <t>DEM1</t>
    </r>
    <r>
      <rPr>
        <sz val="12"/>
        <color rgb="FF000000"/>
        <rFont val="Times New Roman"/>
        <family val="1"/>
      </rPr>
      <t>: Due to contradicting official information, we now evaluate the entire German military contribution with our own price data. This may lead to an overestimation, but is consistent with our approach to estimate upper bounds to not underestimate the true extent of assistance to Ukraine.</t>
    </r>
  </si>
  <si>
    <t>Release 7 (until October 3, 2022)</t>
  </si>
  <si>
    <r>
      <rPr>
        <u/>
        <sz val="12"/>
        <color theme="1"/>
        <rFont val="Times New Roman"/>
        <family val="1"/>
      </rPr>
      <t>United Kingdom</t>
    </r>
    <r>
      <rPr>
        <sz val="12"/>
        <color theme="1"/>
        <rFont val="Times New Roman"/>
        <family val="1"/>
      </rPr>
      <t xml:space="preserve"> increases its total commitments by €140 million (+2 %)</t>
    </r>
  </si>
  <si>
    <r>
      <rPr>
        <u/>
        <sz val="12"/>
        <color theme="1"/>
        <rFont val="Times New Roman"/>
        <family val="1"/>
      </rPr>
      <t>Norway</t>
    </r>
    <r>
      <rPr>
        <sz val="12"/>
        <color theme="1"/>
        <rFont val="Times New Roman"/>
        <family val="1"/>
      </rPr>
      <t xml:space="preserve"> committed additional €110 million in military aid (+52 %)</t>
    </r>
  </si>
  <si>
    <r>
      <rPr>
        <u/>
        <sz val="12"/>
        <color rgb="FF000000"/>
        <rFont val="Times New Roman"/>
        <family val="1"/>
      </rPr>
      <t xml:space="preserve">Netherlands, Czech Republic </t>
    </r>
    <r>
      <rPr>
        <sz val="12"/>
        <color rgb="FF000000"/>
        <rFont val="Times New Roman"/>
        <family val="1"/>
      </rPr>
      <t>and</t>
    </r>
    <r>
      <rPr>
        <u/>
        <sz val="12"/>
        <color rgb="FF000000"/>
        <rFont val="Times New Roman"/>
        <family val="1"/>
      </rPr>
      <t xml:space="preserve"> Latvia</t>
    </r>
    <r>
      <rPr>
        <sz val="12"/>
        <color rgb="FF000000"/>
        <rFont val="Times New Roman"/>
        <family val="1"/>
      </rPr>
      <t xml:space="preserve"> all increase their total commitments by €50 million (+ 10 %, +15 %, + 16 %)</t>
    </r>
  </si>
  <si>
    <r>
      <rPr>
        <u/>
        <sz val="12"/>
        <color theme="1"/>
        <rFont val="Times New Roman"/>
        <family val="1"/>
      </rPr>
      <t>Slovenia</t>
    </r>
    <r>
      <rPr>
        <sz val="12"/>
        <color theme="1"/>
        <rFont val="Times New Roman"/>
        <family val="1"/>
      </rPr>
      <t xml:space="preserve"> increases its total commitment by €20 million (+66 %)</t>
    </r>
  </si>
  <si>
    <r>
      <t xml:space="preserve">The </t>
    </r>
    <r>
      <rPr>
        <u/>
        <sz val="12"/>
        <color theme="1"/>
        <rFont val="Times New Roman"/>
        <family val="1"/>
      </rPr>
      <t>United States</t>
    </r>
    <r>
      <rPr>
        <sz val="12"/>
        <color theme="1"/>
        <rFont val="Times New Roman"/>
        <family val="1"/>
      </rPr>
      <t xml:space="preserve"> committed USD 7.157 billion in military assistance: </t>
    </r>
  </si>
  <si>
    <t>$3.7 billion in Presidential Drawdown Authority for FY23</t>
  </si>
  <si>
    <t>$3 billion under Ukraine Security Assistance Initiative</t>
  </si>
  <si>
    <t xml:space="preserve">$457.5 million in Protection for Civilian Security Assistance </t>
  </si>
  <si>
    <r>
      <t xml:space="preserve">The </t>
    </r>
    <r>
      <rPr>
        <u/>
        <sz val="12"/>
        <color theme="1"/>
        <rFont val="Times New Roman"/>
        <family val="1"/>
      </rPr>
      <t>United States</t>
    </r>
    <r>
      <rPr>
        <sz val="12"/>
        <color theme="1"/>
        <rFont val="Times New Roman"/>
        <family val="1"/>
      </rPr>
      <t xml:space="preserve"> committed  USD 4.5 billion in financial assistance: </t>
    </r>
  </si>
  <si>
    <t>$4.5 billion in Economic Support Fund</t>
  </si>
  <si>
    <t>Major new deliveries/disbursements</t>
  </si>
  <si>
    <r>
      <rPr>
        <u/>
        <sz val="12"/>
        <color theme="1"/>
        <rFont val="Times New Roman"/>
        <family val="1"/>
      </rPr>
      <t>Germany</t>
    </r>
    <r>
      <rPr>
        <sz val="12"/>
        <color theme="1"/>
        <rFont val="Times New Roman"/>
        <family val="1"/>
      </rPr>
      <t xml:space="preserve"> delivers additional €133 million in in-kind military aid, increasing its delivery share by 10 percentage points. </t>
    </r>
  </si>
  <si>
    <r>
      <rPr>
        <u/>
        <sz val="12"/>
        <color theme="1"/>
        <rFont val="Times New Roman"/>
        <family val="1"/>
      </rPr>
      <t>US</t>
    </r>
    <r>
      <rPr>
        <sz val="12"/>
        <color theme="1"/>
        <rFont val="Times New Roman"/>
        <family val="1"/>
      </rPr>
      <t xml:space="preserve"> increases its disbursed budget support by €4.571 billion (+116 %).</t>
    </r>
  </si>
  <si>
    <r>
      <rPr>
        <u/>
        <sz val="12"/>
        <color theme="1"/>
        <rFont val="Times New Roman"/>
        <family val="1"/>
      </rPr>
      <t>Italy</t>
    </r>
    <r>
      <rPr>
        <sz val="12"/>
        <color theme="1"/>
        <rFont val="Times New Roman"/>
        <family val="1"/>
      </rPr>
      <t xml:space="preserve"> increases its disbursed budget support by €207 million (+168 %).</t>
    </r>
  </si>
  <si>
    <r>
      <rPr>
        <u/>
        <sz val="12"/>
        <color theme="1"/>
        <rFont val="Times New Roman"/>
        <family val="1"/>
      </rPr>
      <t>Germany</t>
    </r>
    <r>
      <rPr>
        <sz val="12"/>
        <color theme="1"/>
        <rFont val="Times New Roman"/>
        <family val="1"/>
      </rPr>
      <t xml:space="preserve"> increases its disbursed budget support by €150 million (+15 %).</t>
    </r>
  </si>
  <si>
    <r>
      <rPr>
        <u/>
        <sz val="12"/>
        <color theme="1"/>
        <rFont val="Times New Roman"/>
        <family val="1"/>
      </rPr>
      <t>USM1</t>
    </r>
    <r>
      <rPr>
        <sz val="12"/>
        <color theme="1"/>
        <rFont val="Times New Roman"/>
        <family val="1"/>
      </rPr>
      <t xml:space="preserve">, </t>
    </r>
    <r>
      <rPr>
        <u/>
        <sz val="12"/>
        <color theme="1"/>
        <rFont val="Times New Roman"/>
        <family val="1"/>
      </rPr>
      <t>USM5</t>
    </r>
    <r>
      <rPr>
        <sz val="12"/>
        <color theme="1"/>
        <rFont val="Times New Roman"/>
        <family val="1"/>
      </rPr>
      <t>: After further investigation the second presidential drawdown (USM5) was uncovered to be an extension of the first drawdown, announced in March 2022 (USM1).</t>
    </r>
  </si>
  <si>
    <t xml:space="preserve">          This eliminates double counting of €3.3 billion for the US. All the presidential drawdown announcements for FY22 are mentioned only under USM1.</t>
  </si>
  <si>
    <t xml:space="preserve">          The Congress gave the US President authority to draw down upto the value of  $11 bn for FY22 (which ended on 30 Sep 2022). We only consider  $10.8 billion as $200 million was announced in Dec 2021, which is outside our time frame.</t>
  </si>
  <si>
    <t xml:space="preserve">          Of the  $10.8 billion, the US had utilised drawdowns worth $9.025 billion (reflected in R803) during the period Jan - Oct 2022. The remaining $1.775 billion cannot be accessed anymore as the US has entered a new fiscal year FY2023 starting Oct 1, 2022.</t>
  </si>
  <si>
    <t>Release 6 (until August 3, 2022)</t>
  </si>
  <si>
    <r>
      <rPr>
        <u/>
        <sz val="12"/>
        <color theme="1"/>
        <rFont val="Times New Roman"/>
        <family val="1"/>
      </rPr>
      <t>Canada</t>
    </r>
    <r>
      <rPr>
        <sz val="12"/>
        <color theme="1"/>
        <rFont val="Times New Roman"/>
        <family val="1"/>
      </rPr>
      <t xml:space="preserve"> committed CA$450 (€342) million in financial assistance on July 29, rising from 6th to 5th place in the ranking of total aid.</t>
    </r>
  </si>
  <si>
    <r>
      <rPr>
        <u/>
        <sz val="12"/>
        <color theme="1"/>
        <rFont val="Times New Roman"/>
        <family val="1"/>
      </rPr>
      <t>Norway</t>
    </r>
    <r>
      <rPr>
        <sz val="12"/>
        <color theme="1"/>
        <rFont val="Times New Roman"/>
        <family val="1"/>
      </rPr>
      <t xml:space="preserve"> committed €1 billion in financial assistance on July 1, rising from 9th to 8th place in the ranking of total aid. </t>
    </r>
  </si>
  <si>
    <r>
      <rPr>
        <u/>
        <sz val="12"/>
        <color theme="1"/>
        <rFont val="Times New Roman"/>
        <family val="1"/>
      </rPr>
      <t>Lithuania</t>
    </r>
    <r>
      <rPr>
        <sz val="12"/>
        <color theme="1"/>
        <rFont val="Times New Roman"/>
        <family val="1"/>
      </rPr>
      <t xml:space="preserve"> committed almost €4 million in military assistance, rising from 6th to 5th in the ranking of total aid in percent of GDP (0.13% increase).</t>
    </r>
  </si>
  <si>
    <r>
      <t xml:space="preserve">The </t>
    </r>
    <r>
      <rPr>
        <u/>
        <sz val="12"/>
        <color theme="1"/>
        <rFont val="Times New Roman"/>
        <family val="1"/>
      </rPr>
      <t>United States</t>
    </r>
    <r>
      <rPr>
        <sz val="12"/>
        <color theme="1"/>
        <rFont val="Times New Roman"/>
        <family val="1"/>
      </rPr>
      <t xml:space="preserve"> disbursed €2.987 billion in budgetary support, rising from 3d to 1st place in the ranking of disbursed budgetary support. </t>
    </r>
  </si>
  <si>
    <r>
      <t xml:space="preserve">The </t>
    </r>
    <r>
      <rPr>
        <u/>
        <sz val="12"/>
        <color theme="1"/>
        <rFont val="Times New Roman"/>
        <family val="1"/>
      </rPr>
      <t>European Union</t>
    </r>
    <r>
      <rPr>
        <sz val="12"/>
        <color theme="1"/>
        <rFont val="Times New Roman"/>
        <family val="1"/>
      </rPr>
      <t xml:space="preserve"> disbursed €1.09 billion in budgetary support, moving from 1st to 2nd place in the ranking of disbursed budgetary support. </t>
    </r>
  </si>
  <si>
    <r>
      <rPr>
        <u/>
        <sz val="12"/>
        <color theme="1"/>
        <rFont val="Times New Roman"/>
        <family val="1"/>
      </rPr>
      <t>Germany</t>
    </r>
    <r>
      <rPr>
        <sz val="12"/>
        <color theme="1"/>
        <rFont val="Times New Roman"/>
        <family val="1"/>
      </rPr>
      <t xml:space="preserve"> disbursed €995 million in budgetary support, moving from 6th to 3d place in the ranking of disbursed budgetary support. </t>
    </r>
  </si>
  <si>
    <r>
      <t xml:space="preserve">The </t>
    </r>
    <r>
      <rPr>
        <u/>
        <sz val="12"/>
        <color theme="1"/>
        <rFont val="Times New Roman"/>
        <family val="1"/>
      </rPr>
      <t>United Kingdom</t>
    </r>
    <r>
      <rPr>
        <sz val="12"/>
        <color theme="1"/>
        <rFont val="Times New Roman"/>
        <family val="1"/>
      </rPr>
      <t xml:space="preserve"> disbursed €447 million in budgetary support, rising from 7th to 5th place in the ranking of disbursed budgetary support. </t>
    </r>
  </si>
  <si>
    <t>Major disclosures</t>
  </si>
  <si>
    <r>
      <t xml:space="preserve">The </t>
    </r>
    <r>
      <rPr>
        <u/>
        <sz val="12"/>
        <color theme="1"/>
        <rFont val="Times New Roman"/>
        <family val="1"/>
      </rPr>
      <t>Netherlands</t>
    </r>
    <r>
      <rPr>
        <sz val="12"/>
        <color theme="1"/>
        <rFont val="Times New Roman"/>
        <family val="1"/>
      </rPr>
      <t xml:space="preserve"> committed €200 million in financial assistance on May 6, rising from 21st to 13th place in the ranking of total aid. This information was disclosed during the Ukraine Recovery Conference taking place in Lugano </t>
    </r>
  </si>
  <si>
    <t xml:space="preserve">on July 4. </t>
  </si>
  <si>
    <r>
      <rPr>
        <u/>
        <sz val="12"/>
        <color theme="1"/>
        <rFont val="Times New Roman"/>
        <family val="1"/>
      </rPr>
      <t>Spain</t>
    </r>
    <r>
      <rPr>
        <sz val="12"/>
        <color theme="1"/>
        <rFont val="Times New Roman"/>
        <family val="1"/>
      </rPr>
      <t xml:space="preserve"> committed €200 million in financial assistance on June 7, thus rising from 24th to 14th place in the ranking of total aid. This information was disclosed during the Ukraine Recovery Conference taking place in Lugano</t>
    </r>
  </si>
  <si>
    <r>
      <rPr>
        <u/>
        <sz val="12"/>
        <color theme="1"/>
        <rFont val="Times New Roman"/>
        <family val="1"/>
      </rPr>
      <t>DEM1</t>
    </r>
    <r>
      <rPr>
        <sz val="12"/>
        <color theme="1"/>
        <rFont val="Times New Roman"/>
        <family val="1"/>
      </rPr>
      <t xml:space="preserve">: The list of weapons and equipment provided by </t>
    </r>
    <r>
      <rPr>
        <u/>
        <sz val="12"/>
        <color theme="1"/>
        <rFont val="Times New Roman"/>
        <family val="1"/>
      </rPr>
      <t>German</t>
    </r>
    <r>
      <rPr>
        <sz val="12"/>
        <color theme="1"/>
        <rFont val="Times New Roman"/>
        <family val="1"/>
      </rPr>
      <t xml:space="preserve"> official sources on July 1 (amounting to €245 million) is now included in the €1.2 military package announced by Scholz on April 15. </t>
    </r>
  </si>
  <si>
    <r>
      <rPr>
        <u/>
        <sz val="12"/>
        <color theme="1"/>
        <rFont val="Times New Roman"/>
        <family val="1"/>
      </rPr>
      <t>FRH2</t>
    </r>
    <r>
      <rPr>
        <sz val="12"/>
        <color theme="1"/>
        <rFont val="Times New Roman"/>
        <family val="1"/>
      </rPr>
      <t xml:space="preserve">: The 1€ billion financial guarantee provided by </t>
    </r>
    <r>
      <rPr>
        <u/>
        <sz val="12"/>
        <color theme="1"/>
        <rFont val="Times New Roman"/>
        <family val="1"/>
      </rPr>
      <t>France</t>
    </r>
    <r>
      <rPr>
        <sz val="12"/>
        <color theme="1"/>
        <rFont val="Times New Roman"/>
        <family val="1"/>
      </rPr>
      <t xml:space="preserve"> on February 8 is not included anymore due to a lack of sources on the money's allocation.</t>
    </r>
  </si>
  <si>
    <t xml:space="preserve">The price estimates have been updated through more precise and careful calculations. </t>
  </si>
  <si>
    <t>Release 5 (until July 1, 2022)</t>
  </si>
  <si>
    <r>
      <t xml:space="preserve">The </t>
    </r>
    <r>
      <rPr>
        <u/>
        <sz val="12"/>
        <color theme="1"/>
        <rFont val="Times New Roman"/>
        <family val="1"/>
      </rPr>
      <t>United Kingdom</t>
    </r>
    <r>
      <rPr>
        <sz val="12"/>
        <color theme="1"/>
        <rFont val="Times New Roman"/>
        <family val="1"/>
      </rPr>
      <t xml:space="preserve"> committed £1.2 (€1.55) billion in military assistance on June 30. Despite the United Kingdom remanining in 3d place in the ranking of total aid, this new commitment shifts its</t>
    </r>
  </si>
  <si>
    <t xml:space="preserve">position in the ranking of total aid in percent of GDP, bringing the United Kingdom from 6th to 5th place (0.05% increase). </t>
  </si>
  <si>
    <r>
      <t xml:space="preserve">The </t>
    </r>
    <r>
      <rPr>
        <u/>
        <sz val="12"/>
        <color theme="1"/>
        <rFont val="Times New Roman"/>
        <family val="1"/>
      </rPr>
      <t>European Union</t>
    </r>
    <r>
      <rPr>
        <sz val="12"/>
        <color theme="1"/>
        <rFont val="Times New Roman"/>
        <family val="1"/>
      </rPr>
      <t xml:space="preserve"> committed €205 million in humanitarian assistance, thus remaining in 2nd place in the ranking of total aid. </t>
    </r>
  </si>
  <si>
    <r>
      <rPr>
        <u/>
        <sz val="12"/>
        <color theme="1"/>
        <rFont val="Times New Roman"/>
        <family val="1"/>
      </rPr>
      <t>Poland</t>
    </r>
    <r>
      <rPr>
        <sz val="12"/>
        <color theme="1"/>
        <rFont val="Times New Roman"/>
        <family val="1"/>
      </rPr>
      <t xml:space="preserve"> committed €100 million in military assistance, thus remaining in 5th place in the ranking of total aid. </t>
    </r>
  </si>
  <si>
    <r>
      <rPr>
        <u/>
        <sz val="12"/>
        <color theme="1"/>
        <rFont val="Times New Roman"/>
        <family val="1"/>
      </rPr>
      <t>Canada</t>
    </r>
    <r>
      <rPr>
        <sz val="12"/>
        <color theme="1"/>
        <rFont val="Times New Roman"/>
        <family val="1"/>
      </rPr>
      <t xml:space="preserve"> committed C$200 million (€148 million) in financial assistance through loans, thus remaining in 6th place in the ranking. </t>
    </r>
  </si>
  <si>
    <r>
      <rPr>
        <u/>
        <sz val="12"/>
        <color theme="1"/>
        <rFont val="Times New Roman"/>
        <family val="1"/>
      </rPr>
      <t>Slovakia</t>
    </r>
    <r>
      <rPr>
        <sz val="12"/>
        <color theme="1"/>
        <rFont val="Times New Roman"/>
        <family val="1"/>
      </rPr>
      <t xml:space="preserve"> committed €50 million in military assistance (weapons), thus moving from 12th to 7th place in the ranking of total aid in percent of GDP (0.05% increase). </t>
    </r>
  </si>
  <si>
    <r>
      <rPr>
        <u/>
        <sz val="12"/>
        <color rgb="FF000000"/>
        <rFont val="Times New Roman"/>
        <family val="1"/>
      </rPr>
      <t>Canada</t>
    </r>
    <r>
      <rPr>
        <sz val="12"/>
        <color rgb="FF000000"/>
        <rFont val="Times New Roman"/>
        <family val="1"/>
      </rPr>
      <t xml:space="preserve"> delivered €295 million of its in-kind military assistance, thus remaining 4t in the ranking of delivered in-kind military assistance. </t>
    </r>
  </si>
  <si>
    <r>
      <rPr>
        <u/>
        <sz val="12"/>
        <color rgb="FF000000"/>
        <rFont val="Times New Roman"/>
        <family val="1"/>
      </rPr>
      <t>Denmark</t>
    </r>
    <r>
      <rPr>
        <sz val="12"/>
        <color rgb="FF000000"/>
        <rFont val="Times New Roman"/>
        <family val="1"/>
      </rPr>
      <t xml:space="preserve"> delivered €107 million of its in-kind military assistance, thus moving from 16th to 10th in the ranking of delivered in-kind military assistance. </t>
    </r>
  </si>
  <si>
    <r>
      <rPr>
        <u/>
        <sz val="12"/>
        <color rgb="FF000000"/>
        <rFont val="Times New Roman"/>
        <family val="1"/>
      </rPr>
      <t>Poland</t>
    </r>
    <r>
      <rPr>
        <sz val="12"/>
        <color rgb="FF000000"/>
        <rFont val="Times New Roman"/>
        <family val="1"/>
      </rPr>
      <t xml:space="preserve"> delivered €100 million of its in-kind military assistance, thus remaining 2nd in the ranking of delivered in-kind military assistance. </t>
    </r>
  </si>
  <si>
    <r>
      <rPr>
        <u/>
        <sz val="12"/>
        <color rgb="FF000000"/>
        <rFont val="Times New Roman"/>
        <family val="1"/>
      </rPr>
      <t>Canada</t>
    </r>
    <r>
      <rPr>
        <sz val="12"/>
        <color rgb="FF000000"/>
        <rFont val="Times New Roman"/>
        <family val="1"/>
      </rPr>
      <t xml:space="preserve"> disbursed €175 million in budgetary support, thus moving from 3d to 2nd place in the ranking of disbursed budgetary support. </t>
    </r>
  </si>
  <si>
    <r>
      <rPr>
        <u/>
        <sz val="12"/>
        <color rgb="FF000000"/>
        <rFont val="Times New Roman"/>
        <family val="1"/>
      </rPr>
      <t>Japan</t>
    </r>
    <r>
      <rPr>
        <sz val="12"/>
        <color rgb="FF000000"/>
        <rFont val="Times New Roman"/>
        <family val="1"/>
      </rPr>
      <t xml:space="preserve"> disbursed €452 million in budegtary support, thus moving from 8th to 4th in the ranking of disbursed budgetary support. </t>
    </r>
  </si>
  <si>
    <r>
      <t xml:space="preserve">On July 1, </t>
    </r>
    <r>
      <rPr>
        <u/>
        <sz val="12"/>
        <color rgb="FF000000"/>
        <rFont val="Times New Roman"/>
        <family val="1"/>
      </rPr>
      <t>Germany</t>
    </r>
    <r>
      <rPr>
        <sz val="12"/>
        <color rgb="FF000000"/>
        <rFont val="Times New Roman"/>
        <family val="1"/>
      </rPr>
      <t xml:space="preserve"> published a list of committed and delivered military items to Ukraine. This list contained items specified in our previous release, along with new </t>
    </r>
  </si>
  <si>
    <t xml:space="preserve">equipment amounting to €80 million. The additional military equipment does not change the position of Germany in the ranking of total aid (4th place). </t>
  </si>
  <si>
    <t xml:space="preserve">No major corrections in this release. </t>
  </si>
  <si>
    <t>Release 4 (until June 7, 2022)</t>
  </si>
  <si>
    <r>
      <t xml:space="preserve">The </t>
    </r>
    <r>
      <rPr>
        <u/>
        <sz val="12"/>
        <color theme="1"/>
        <rFont val="Times New Roman"/>
        <family val="1"/>
      </rPr>
      <t>European Union</t>
    </r>
    <r>
      <rPr>
        <sz val="12"/>
        <color theme="1"/>
        <rFont val="Times New Roman"/>
        <family val="1"/>
      </rPr>
      <t xml:space="preserve"> committed an additional amount of €9.5 billion, rising from 3rd to 2nd in the ranking of total aid:</t>
    </r>
  </si>
  <si>
    <t>€9 billion in financial assistance through the Macro-Financial Assistance facility</t>
  </si>
  <si>
    <t>€500 million in military assistance through the European Peace Facility</t>
  </si>
  <si>
    <r>
      <rPr>
        <u/>
        <sz val="12"/>
        <color theme="1"/>
        <rFont val="Times New Roman"/>
        <family val="1"/>
      </rPr>
      <t>Germany</t>
    </r>
    <r>
      <rPr>
        <sz val="12"/>
        <color theme="1"/>
        <rFont val="Times New Roman"/>
        <family val="1"/>
      </rPr>
      <t xml:space="preserve"> committed €1 billion in financial assistance, thus moving from 5th to 4th in the ranking of total aid.</t>
    </r>
  </si>
  <si>
    <r>
      <rPr>
        <u/>
        <sz val="12"/>
        <color theme="1"/>
        <rFont val="Times New Roman"/>
        <family val="1"/>
      </rPr>
      <t>Japan</t>
    </r>
    <r>
      <rPr>
        <sz val="12"/>
        <color theme="1"/>
        <rFont val="Times New Roman"/>
        <family val="1"/>
      </rPr>
      <t xml:space="preserve"> committed $300 (€278) million in financial assistance, thus moving from 11th to 8th in the ranking of total aid.</t>
    </r>
  </si>
  <si>
    <r>
      <rPr>
        <u/>
        <sz val="12"/>
        <color theme="1"/>
        <rFont val="Times New Roman"/>
        <family val="1"/>
      </rPr>
      <t>Lithuania</t>
    </r>
    <r>
      <rPr>
        <sz val="12"/>
        <color theme="1"/>
        <rFont val="Times New Roman"/>
        <family val="1"/>
      </rPr>
      <t xml:space="preserve"> committed €15.5 million in military assistance, thus moving from 5th to 4th in the ranking of total aid in percent of GDP (0.11% increase).</t>
    </r>
  </si>
  <si>
    <r>
      <t xml:space="preserve">The </t>
    </r>
    <r>
      <rPr>
        <u/>
        <sz val="12"/>
        <color theme="1"/>
        <rFont val="Times New Roman"/>
        <family val="1"/>
      </rPr>
      <t>Czech Republic</t>
    </r>
    <r>
      <rPr>
        <sz val="12"/>
        <color theme="1"/>
        <rFont val="Times New Roman"/>
        <family val="1"/>
      </rPr>
      <t xml:space="preserve"> committed €175.27 million in new assistance (€107.30 million in military and €67.97 million in humanitarian), thus moving from from 12th to 7th in the ranking of total aid in</t>
    </r>
  </si>
  <si>
    <t>percent of GDP (0.08% increase).</t>
  </si>
  <si>
    <r>
      <rPr>
        <u/>
        <sz val="12"/>
        <color theme="1"/>
        <rFont val="Times New Roman"/>
        <family val="1"/>
      </rPr>
      <t>Norway</t>
    </r>
    <r>
      <rPr>
        <sz val="12"/>
        <color theme="1"/>
        <rFont val="Times New Roman"/>
        <family val="1"/>
      </rPr>
      <t xml:space="preserve"> committed €160.2 million in new assistance (€155.3 million in military and €4.9 million in financial), thus moving from from 9th to 8th in the ranking of total aid in percent of GDP (0.06% increase).</t>
    </r>
  </si>
  <si>
    <r>
      <rPr>
        <u/>
        <sz val="12"/>
        <color theme="1"/>
        <rFont val="Times New Roman"/>
        <family val="1"/>
      </rPr>
      <t>Greece</t>
    </r>
    <r>
      <rPr>
        <sz val="12"/>
        <color theme="1"/>
        <rFont val="Times New Roman"/>
        <family val="1"/>
      </rPr>
      <t xml:space="preserve"> committed €231.58 million in military assistance, thus moving from from 29th to 10th in the ranking of total aid in percent of GDP (0.13% increase).</t>
    </r>
  </si>
  <si>
    <r>
      <rPr>
        <u/>
        <sz val="12"/>
        <color theme="1"/>
        <rFont val="Times New Roman"/>
        <family val="1"/>
      </rPr>
      <t>Portugal</t>
    </r>
    <r>
      <rPr>
        <sz val="12"/>
        <color theme="1"/>
        <rFont val="Times New Roman"/>
        <family val="1"/>
      </rPr>
      <t xml:space="preserve"> committed €250 million in financial assistance, thus moving from from 35th to 11th in the ranking of total aid in percent of GDP (0.12% increase).</t>
    </r>
  </si>
  <si>
    <t xml:space="preserve">No major disclosure of previously committed aid. </t>
  </si>
  <si>
    <t xml:space="preserve">Figure 5, "Military aid": We counted for the US a total of €13.93 billion of military aid commitments that were tied to some specific weapon and equipment delivery. </t>
  </si>
  <si>
    <t>However, this included also $11 billion of presidential drawdowns that are so far only used for a commitment of $700 million specifically tied to weapon deliveries.</t>
  </si>
  <si>
    <t>Hence, we correct this and disentangle the 11 billion USD accordingly as $700 million tied to weapon and equipment deliveries and the remaining part as financial aid</t>
  </si>
  <si>
    <t>with military purpose.</t>
  </si>
  <si>
    <t>Release 3 (until May 10, 2022)</t>
  </si>
  <si>
    <r>
      <t xml:space="preserve">The </t>
    </r>
    <r>
      <rPr>
        <u/>
        <sz val="12"/>
        <color theme="1"/>
        <rFont val="Times New Roman"/>
        <family val="1"/>
      </rPr>
      <t>United States</t>
    </r>
    <r>
      <rPr>
        <sz val="12"/>
        <color theme="1"/>
        <rFont val="Times New Roman"/>
        <family val="1"/>
      </rPr>
      <t xml:space="preserve"> committed and additional amount of €19.99 billion in military assistance on May 10:</t>
    </r>
  </si>
  <si>
    <t>€10.4 billion in Presidential Drawdowns</t>
  </si>
  <si>
    <t>€5.7 billion for the Ukraine Security Assistance Initiative</t>
  </si>
  <si>
    <t>€3.8 billion for the Foreign Military Financing Program</t>
  </si>
  <si>
    <t>€95 million for non-proliferation, anti-terrorism, demining and related programs</t>
  </si>
  <si>
    <r>
      <t xml:space="preserve">The </t>
    </r>
    <r>
      <rPr>
        <u/>
        <sz val="12"/>
        <color theme="1"/>
        <rFont val="Times New Roman"/>
        <family val="1"/>
      </rPr>
      <t>United States</t>
    </r>
    <r>
      <rPr>
        <sz val="12"/>
        <color theme="1"/>
        <rFont val="Times New Roman"/>
        <family val="1"/>
      </rPr>
      <t xml:space="preserve"> committed €8.06 billion in financial assistance on May 10:</t>
    </r>
  </si>
  <si>
    <t>€7.6 billion for the Economic Support Fund</t>
  </si>
  <si>
    <t>€474 million through the European Bank for Reconstruction and Development</t>
  </si>
  <si>
    <r>
      <t xml:space="preserve">The </t>
    </r>
    <r>
      <rPr>
        <u/>
        <sz val="12"/>
        <color theme="1"/>
        <rFont val="Times New Roman"/>
        <family val="1"/>
      </rPr>
      <t>United States</t>
    </r>
    <r>
      <rPr>
        <sz val="12"/>
        <color theme="1"/>
        <rFont val="Times New Roman"/>
        <family val="1"/>
      </rPr>
      <t xml:space="preserve"> committed €4.26 billion in humanitarian assistance on May 10:</t>
    </r>
  </si>
  <si>
    <t>€4.12 billion for emergency food assistance</t>
  </si>
  <si>
    <t>€1.9 million and modern and regulatory support</t>
  </si>
  <si>
    <t>€142 million for the Global Agriculture and Food Security Program</t>
  </si>
  <si>
    <r>
      <t xml:space="preserve">The </t>
    </r>
    <r>
      <rPr>
        <u/>
        <sz val="12"/>
        <color theme="1"/>
        <rFont val="Times New Roman"/>
        <family val="1"/>
      </rPr>
      <t>United Kingdom</t>
    </r>
    <r>
      <rPr>
        <sz val="12"/>
        <color theme="1"/>
        <rFont val="Times New Roman"/>
        <family val="1"/>
      </rPr>
      <t xml:space="preserve"> committed €1.55 billion in military assistance at the beginning of May.</t>
    </r>
  </si>
  <si>
    <r>
      <rPr>
        <u/>
        <sz val="12"/>
        <color theme="1"/>
        <rFont val="Times New Roman"/>
        <family val="1"/>
      </rPr>
      <t>Lithuania</t>
    </r>
    <r>
      <rPr>
        <sz val="12"/>
        <color theme="1"/>
        <rFont val="Times New Roman"/>
        <family val="1"/>
      </rPr>
      <t xml:space="preserve"> committed €27 million in new assistance (€20 million in military, €5 million in humanitarian and €2 million in financial), raising from 6th to 5th in the ranking of total aid in percent of GDP (0.02% increase).</t>
    </r>
  </si>
  <si>
    <r>
      <rPr>
        <u/>
        <sz val="12"/>
        <color theme="1"/>
        <rFont val="Times New Roman"/>
        <family val="1"/>
      </rPr>
      <t>Hungary</t>
    </r>
    <r>
      <rPr>
        <sz val="12"/>
        <color theme="1"/>
        <rFont val="Times New Roman"/>
        <family val="1"/>
      </rPr>
      <t xml:space="preserve"> committed €119.01 million in humanitarian assistance, raising from 26th to 10th in the ranking of total aid in percent of GDP (0.08% increase).</t>
    </r>
  </si>
  <si>
    <r>
      <rPr>
        <u/>
        <sz val="12"/>
        <color theme="1"/>
        <rFont val="Times New Roman"/>
        <family val="1"/>
      </rPr>
      <t>Estonia</t>
    </r>
    <r>
      <rPr>
        <sz val="12"/>
        <color theme="1"/>
        <rFont val="Times New Roman"/>
        <family val="1"/>
      </rPr>
      <t xml:space="preserve"> committed €234.59 in new assistance (€230 million in military and €4.59 million in humanitarian), with a 0.1% increase in ist total aid in percent of GDP.</t>
    </r>
  </si>
  <si>
    <r>
      <t xml:space="preserve">We discovered through an article published by Delano on April 25 that the €250 million financial assistance reported for </t>
    </r>
    <r>
      <rPr>
        <u/>
        <sz val="12"/>
        <color theme="1"/>
        <rFont val="Times New Roman"/>
        <family val="1"/>
      </rPr>
      <t>Luxembourg</t>
    </r>
    <r>
      <rPr>
        <sz val="12"/>
        <color theme="1"/>
        <rFont val="Times New Roman"/>
        <family val="1"/>
      </rPr>
      <t xml:space="preserve"> in the previous data release</t>
    </r>
  </si>
  <si>
    <t>is a contribution to a collective EU aid package. In this current release we decided to drop it in order to avoid double-counting.</t>
  </si>
  <si>
    <r>
      <rPr>
        <u/>
        <sz val="12"/>
        <color theme="1"/>
        <rFont val="Times New Roman"/>
        <family val="1"/>
      </rPr>
      <t>UKF5</t>
    </r>
    <r>
      <rPr>
        <sz val="12"/>
        <color theme="1"/>
        <rFont val="Times New Roman"/>
        <family val="1"/>
      </rPr>
      <t xml:space="preserve">: We added the financial aid provided by the </t>
    </r>
    <r>
      <rPr>
        <u/>
        <sz val="12"/>
        <color theme="1"/>
        <rFont val="Times New Roman"/>
        <family val="1"/>
      </rPr>
      <t>United Kingdom</t>
    </r>
    <r>
      <rPr>
        <sz val="12"/>
        <color theme="1"/>
        <rFont val="Times New Roman"/>
        <family val="1"/>
      </rPr>
      <t xml:space="preserve"> on April 22 and amounting to £1.05 billion (£730 million in guarantees and £320 in grants). </t>
    </r>
  </si>
  <si>
    <r>
      <rPr>
        <u/>
        <sz val="12"/>
        <color theme="1"/>
        <rFont val="Times New Roman"/>
        <family val="1"/>
      </rPr>
      <t>UKH2</t>
    </r>
    <r>
      <rPr>
        <sz val="12"/>
        <color theme="1"/>
        <rFont val="Times New Roman"/>
        <family val="1"/>
      </rPr>
      <t xml:space="preserve">: We revise downwards the humanitarian aid provided by the </t>
    </r>
    <r>
      <rPr>
        <u/>
        <sz val="12"/>
        <color theme="1"/>
        <rFont val="Times New Roman"/>
        <family val="1"/>
      </rPr>
      <t>United Kingdom</t>
    </r>
    <r>
      <rPr>
        <sz val="12"/>
        <color theme="1"/>
        <rFont val="Times New Roman"/>
        <family val="1"/>
      </rPr>
      <t xml:space="preserve"> dropping £100 million dedictaed to a 3-year development package.</t>
    </r>
  </si>
  <si>
    <r>
      <t xml:space="preserve">We no longer double count the EPF contribution as additional aid, namely the €400 million, €1.2 million, €33 million and €10 million reported by </t>
    </r>
    <r>
      <rPr>
        <u/>
        <sz val="12"/>
        <color theme="1"/>
        <rFont val="Times New Roman"/>
        <family val="1"/>
      </rPr>
      <t>Germany</t>
    </r>
    <r>
      <rPr>
        <sz val="12"/>
        <color theme="1"/>
        <rFont val="Times New Roman"/>
        <family val="1"/>
      </rPr>
      <t xml:space="preserve">, </t>
    </r>
    <r>
      <rPr>
        <u/>
        <sz val="12"/>
        <color theme="1"/>
        <rFont val="Times New Roman"/>
        <family val="1"/>
      </rPr>
      <t>Latvia</t>
    </r>
    <r>
      <rPr>
        <sz val="12"/>
        <color theme="1"/>
        <rFont val="Times New Roman"/>
        <family val="1"/>
      </rPr>
      <t xml:space="preserve">, </t>
    </r>
    <r>
      <rPr>
        <u/>
        <sz val="12"/>
        <color theme="1"/>
        <rFont val="Times New Roman"/>
        <family val="1"/>
      </rPr>
      <t>Ireland</t>
    </r>
    <r>
      <rPr>
        <sz val="12"/>
        <color theme="1"/>
        <rFont val="Times New Roman"/>
        <family val="1"/>
      </rPr>
      <t xml:space="preserve"> and </t>
    </r>
    <r>
      <rPr>
        <u/>
        <sz val="12"/>
        <color theme="1"/>
        <rFont val="Times New Roman"/>
        <family val="1"/>
      </rPr>
      <t>Portugal</t>
    </r>
    <r>
      <rPr>
        <sz val="12"/>
        <color theme="1"/>
        <rFont val="Times New Roman"/>
        <family val="1"/>
      </rPr>
      <t xml:space="preserve"> to</t>
    </r>
  </si>
  <si>
    <t xml:space="preserve">the European Peace Facility. The EPF is of courses counted when listing contribution provided by the European Union (Commission and Council). </t>
  </si>
  <si>
    <r>
      <rPr>
        <u/>
        <sz val="12"/>
        <color theme="1"/>
        <rFont val="Times New Roman"/>
        <family val="1"/>
      </rPr>
      <t>FRH2</t>
    </r>
    <r>
      <rPr>
        <sz val="12"/>
        <color theme="1"/>
        <rFont val="Times New Roman"/>
        <family val="1"/>
      </rPr>
      <t xml:space="preserve">: In May, Macron reiterated </t>
    </r>
    <r>
      <rPr>
        <u/>
        <sz val="12"/>
        <color theme="1"/>
        <rFont val="Times New Roman"/>
        <family val="1"/>
      </rPr>
      <t>France's</t>
    </r>
    <r>
      <rPr>
        <sz val="12"/>
        <color theme="1"/>
        <rFont val="Times New Roman"/>
        <family val="1"/>
      </rPr>
      <t xml:space="preserve"> €1.2 billion of financial aid committed to Ukraine in February. These commitments were barely reported on earlier, but are now added: </t>
    </r>
  </si>
  <si>
    <t>€200 million loan on February 8</t>
  </si>
  <si>
    <t>€1 billion guarantee on February 8</t>
  </si>
  <si>
    <t>Release 2 (until April 23, 2022)</t>
  </si>
  <si>
    <r>
      <t xml:space="preserve">The </t>
    </r>
    <r>
      <rPr>
        <u/>
        <sz val="12"/>
        <rFont val="Times New Roman"/>
        <family val="1"/>
      </rPr>
      <t>United States</t>
    </r>
    <r>
      <rPr>
        <sz val="12"/>
        <rFont val="Times New Roman"/>
        <family val="1"/>
      </rPr>
      <t xml:space="preserve"> committed an additional amount of $2 billion in financial assistance, increasing their financial aid by €1.81 billion. The total amount consists of the following packages: $1 billion loan on February 14, $500 million grant on March 30, $500 million grant on April 21.</t>
    </r>
  </si>
  <si>
    <r>
      <t xml:space="preserve">The </t>
    </r>
    <r>
      <rPr>
        <u/>
        <sz val="12"/>
        <rFont val="Times New Roman"/>
        <family val="1"/>
      </rPr>
      <t>United States</t>
    </r>
    <r>
      <rPr>
        <sz val="12"/>
        <rFont val="Times New Roman"/>
        <family val="1"/>
      </rPr>
      <t xml:space="preserve"> committed in April an additional amount of €1.2 billion in humanitarian assistance.</t>
    </r>
  </si>
  <si>
    <r>
      <rPr>
        <u/>
        <sz val="12"/>
        <color theme="1"/>
        <rFont val="Times New Roman"/>
        <family val="1"/>
      </rPr>
      <t>Canada</t>
    </r>
    <r>
      <rPr>
        <sz val="12"/>
        <color theme="1"/>
        <rFont val="Times New Roman"/>
        <family val="1"/>
      </rPr>
      <t xml:space="preserve"> extended its financial assistance of €1.1 billion:</t>
    </r>
  </si>
  <si>
    <t>€367 loan on February 14</t>
  </si>
  <si>
    <t>€735 loan on April 8</t>
  </si>
  <si>
    <r>
      <rPr>
        <u/>
        <sz val="12"/>
        <color theme="1"/>
        <rFont val="Times New Roman"/>
        <family val="1"/>
      </rPr>
      <t>Canada</t>
    </r>
    <r>
      <rPr>
        <sz val="12"/>
        <color theme="1"/>
        <rFont val="Times New Roman"/>
        <family val="1"/>
      </rPr>
      <t xml:space="preserve"> extended its military assistance of approximately €617 million:</t>
    </r>
  </si>
  <si>
    <t>€250 million on January 26</t>
  </si>
  <si>
    <t>€367 million on April 24</t>
  </si>
  <si>
    <r>
      <t xml:space="preserve">The financial assistance offered by the </t>
    </r>
    <r>
      <rPr>
        <u/>
        <sz val="12"/>
        <color theme="1"/>
        <rFont val="Times New Roman"/>
        <family val="1"/>
      </rPr>
      <t>United Kindgom</t>
    </r>
    <r>
      <rPr>
        <sz val="12"/>
        <color theme="1"/>
        <rFont val="Times New Roman"/>
        <family val="1"/>
      </rPr>
      <t xml:space="preserve"> increased of almost €800 million:</t>
    </r>
  </si>
  <si>
    <t xml:space="preserve">€105 million grant on February 1 </t>
  </si>
  <si>
    <t>€598 million loan on February 23</t>
  </si>
  <si>
    <t>€91 million through the World Bank</t>
  </si>
  <si>
    <r>
      <rPr>
        <u/>
        <sz val="12"/>
        <color theme="1"/>
        <rFont val="Times New Roman"/>
        <family val="1"/>
      </rPr>
      <t>Germany</t>
    </r>
    <r>
      <rPr>
        <sz val="12"/>
        <color theme="1"/>
        <rFont val="Times New Roman"/>
        <family val="1"/>
      </rPr>
      <t xml:space="preserve"> announced on April 14 an increase of €1.2 billion in its military assistance.</t>
    </r>
  </si>
  <si>
    <t>No new major new disclosed information.</t>
  </si>
  <si>
    <r>
      <rPr>
        <u/>
        <sz val="12"/>
        <color theme="1"/>
        <rFont val="Times New Roman"/>
        <family val="1"/>
      </rPr>
      <t>USM1</t>
    </r>
    <r>
      <rPr>
        <sz val="12"/>
        <color theme="1"/>
        <rFont val="Times New Roman"/>
        <family val="1"/>
      </rPr>
      <t xml:space="preserve">: The military aid provided by the </t>
    </r>
    <r>
      <rPr>
        <u/>
        <sz val="12"/>
        <color theme="1"/>
        <rFont val="Times New Roman"/>
        <family val="1"/>
      </rPr>
      <t>United States</t>
    </r>
    <r>
      <rPr>
        <sz val="12"/>
        <color theme="1"/>
        <rFont val="Times New Roman"/>
        <family val="1"/>
      </rPr>
      <t xml:space="preserve"> was revised downwards by €181 million, due to the fact that $200 million out of the $3.5 billion allowed in presidential drawdowns had already been used in December 2021.</t>
    </r>
  </si>
  <si>
    <r>
      <rPr>
        <u/>
        <sz val="12"/>
        <color theme="1"/>
        <rFont val="Times New Roman"/>
        <family val="1"/>
      </rPr>
      <t>LUF1</t>
    </r>
    <r>
      <rPr>
        <sz val="12"/>
        <color theme="1"/>
        <rFont val="Times New Roman"/>
        <family val="1"/>
      </rPr>
      <t xml:space="preserve">: We added the financial assistance committed by </t>
    </r>
    <r>
      <rPr>
        <u/>
        <sz val="12"/>
        <color theme="1"/>
        <rFont val="Times New Roman"/>
        <family val="1"/>
      </rPr>
      <t>Luxembourg</t>
    </r>
    <r>
      <rPr>
        <sz val="12"/>
        <color theme="1"/>
        <rFont val="Times New Roman"/>
        <family val="1"/>
      </rPr>
      <t xml:space="preserve"> on March 8, amounting to €250 million and increasing aid in percentage of GDP of  approximately 0.37%.</t>
    </r>
  </si>
  <si>
    <r>
      <rPr>
        <u/>
        <sz val="12"/>
        <color theme="1"/>
        <rFont val="Times New Roman"/>
        <family val="1"/>
      </rPr>
      <t>PLM1</t>
    </r>
    <r>
      <rPr>
        <sz val="12"/>
        <color theme="1"/>
        <rFont val="Times New Roman"/>
        <family val="1"/>
      </rPr>
      <t xml:space="preserve">: The Prime Minister of </t>
    </r>
    <r>
      <rPr>
        <u/>
        <sz val="12"/>
        <color theme="1"/>
        <rFont val="Times New Roman"/>
        <family val="1"/>
      </rPr>
      <t>Poland</t>
    </r>
    <r>
      <rPr>
        <sz val="12"/>
        <color theme="1"/>
        <rFont val="Times New Roman"/>
        <family val="1"/>
      </rPr>
      <t xml:space="preserve"> announced on April 23 that the overall Polish military assistance amounted to €1.6 billion. Because of this new piece of information the military assistance from Poland increased by €1.49 billion.</t>
    </r>
  </si>
  <si>
    <r>
      <rPr>
        <u/>
        <sz val="12"/>
        <color theme="1"/>
        <rFont val="Times New Roman"/>
        <family val="1"/>
      </rPr>
      <t>LVM1</t>
    </r>
    <r>
      <rPr>
        <sz val="12"/>
        <color theme="1"/>
        <rFont val="Times New Roman"/>
        <family val="1"/>
      </rPr>
      <t xml:space="preserve">: Due to the disclosure made on April 6 by the Minister of Foreign Affairs about </t>
    </r>
    <r>
      <rPr>
        <u/>
        <sz val="12"/>
        <color theme="1"/>
        <rFont val="Times New Roman"/>
        <family val="1"/>
      </rPr>
      <t>Latvia</t>
    </r>
    <r>
      <rPr>
        <sz val="12"/>
        <color theme="1"/>
        <rFont val="Times New Roman"/>
        <family val="1"/>
      </rPr>
      <t>'s military assistance, Latvia's aid increased by €218 million.</t>
    </r>
  </si>
  <si>
    <t xml:space="preserve">In Figure 9 the GDP (USD) was used to calculate the Percentage of GDP values. This was adjusted to be calculated with the GDP (EUR). </t>
  </si>
  <si>
    <t xml:space="preserve">In Figure 4 the GDP (USD) was used to calculate the Percentage of GDP values for the EU Aid ('Figure 4' Column D). This was resolved to now be calculated with the GDP (EUR) Values. </t>
  </si>
  <si>
    <t>Since the EPF is already included in the EU (Commission and Council) contributions, we excluded it from the Sum of EU Aid ('Aggregate Aid' Column P) calculation.</t>
  </si>
  <si>
    <t xml:space="preserve">Previously, this resulted in a double counting of the EPF shares for EU countries in Figure 4 and Figure A1, this double counting issue was resolved. </t>
  </si>
  <si>
    <t>ID</t>
  </si>
  <si>
    <t>Countries</t>
  </si>
  <si>
    <t>Announcement Date</t>
  </si>
  <si>
    <t>Type of Aid General</t>
  </si>
  <si>
    <t>Type of Aid Specific</t>
  </si>
  <si>
    <t>Explanation</t>
  </si>
  <si>
    <t>Original Currency</t>
  </si>
  <si>
    <t>Monetary Value as Given by Source</t>
  </si>
  <si>
    <t>Items</t>
  </si>
  <si>
    <t>Type of Item</t>
  </si>
  <si>
    <t>Sub-type of item</t>
  </si>
  <si>
    <t>Soviet Origin (1)</t>
  </si>
  <si>
    <t>No. of Units</t>
  </si>
  <si>
    <t>No. of Units Delivered (in-kind military aid)</t>
  </si>
  <si>
    <t>Unit Price in USD</t>
  </si>
  <si>
    <t>Value Committed (own estimate, in USD)</t>
  </si>
  <si>
    <t>Value Delivered (own estimate, in USD)</t>
  </si>
  <si>
    <t xml:space="preserve">Total </t>
  </si>
  <si>
    <t>Converted Value in EUR</t>
  </si>
  <si>
    <t>Total monetary value delivered in EUR</t>
  </si>
  <si>
    <t>Official Source</t>
  </si>
  <si>
    <t>Source of Aid 1</t>
  </si>
  <si>
    <t>Source of Aid 2</t>
  </si>
  <si>
    <t>Source of Aid 3</t>
  </si>
  <si>
    <t>Source of Aid 4</t>
  </si>
  <si>
    <t>Bilateral loan/grant made through IMF or WB?</t>
  </si>
  <si>
    <t>Updated/newly added entry</t>
  </si>
  <si>
    <t>Source for Delivery</t>
  </si>
  <si>
    <t>Working/debug &gt;&gt;&gt;</t>
  </si>
  <si>
    <t>Total_value_dummy (1 is first row in the package)</t>
  </si>
  <si>
    <t>value_source_commitments</t>
  </si>
  <si>
    <t>value_source_deliveries</t>
  </si>
  <si>
    <t>MonthCoding2</t>
  </si>
  <si>
    <t>Month3</t>
  </si>
  <si>
    <t>BeforeWar4</t>
  </si>
  <si>
    <t>Ukraine Asked for it dummy (=1)</t>
  </si>
  <si>
    <t>Heavy_but_undisclosed_commitments</t>
  </si>
  <si>
    <t>Heavy_but_undisclosed_deliveries</t>
  </si>
  <si>
    <t>Ammunition_dummy(=1)</t>
  </si>
  <si>
    <t>Source of item</t>
  </si>
  <si>
    <t>Items (short version)</t>
  </si>
  <si>
    <t>Official Source Yes/No Dummy</t>
  </si>
  <si>
    <t>in-kind dummy</t>
  </si>
  <si>
    <t>dummy_month_check (1=error)</t>
  </si>
  <si>
    <t>explanation dummy (1=error)</t>
  </si>
  <si>
    <t>deliveries_more_than_committements (1 = yes)</t>
  </si>
  <si>
    <t>NATO</t>
  </si>
  <si>
    <t>EU</t>
  </si>
  <si>
    <t>benchmark_check (% of total value)</t>
  </si>
  <si>
    <t>% difference from the value by the source</t>
  </si>
  <si>
    <t>AUH1</t>
  </si>
  <si>
    <t>Australia</t>
  </si>
  <si>
    <t>Humanitarian</t>
  </si>
  <si>
    <t>Assistance</t>
  </si>
  <si>
    <t>Australia has committed immediate humanitarian assistance of an initial 35 million AUD to help meeting the urgent needs of the Ukrainian people. This assistance will deliver lifesaving services and supplies, including the provision of shelter, food, medical care and water.</t>
  </si>
  <si>
    <t>AUD</t>
  </si>
  <si>
    <t>.</t>
  </si>
  <si>
    <t>Yes</t>
  </si>
  <si>
    <t>https://pmtranscripts.pmc.gov.au/release/transcript-43831</t>
  </si>
  <si>
    <t>https://admin.globalcitizen.org/en/content/australia-aid-ukraine/?edit</t>
  </si>
  <si>
    <t>Value is given by the source</t>
  </si>
  <si>
    <t>Value is not given at all</t>
  </si>
  <si>
    <t>AUH2</t>
  </si>
  <si>
    <t>Equipment</t>
  </si>
  <si>
    <t xml:space="preserve">A shipment of 70,000 tons of thermal coal has been provided. Source of Aid 4 lists the value as 32.6 million AUD. We convert the AUD price to USD for a price value per ton of coal estimation. </t>
  </si>
  <si>
    <t>ton of coal</t>
  </si>
  <si>
    <t>undisclosed</t>
  </si>
  <si>
    <t xml:space="preserve">https://www.minister.industry.gov.au/ministers/pitt/media-releases/whitehaven-assist-ukraine-request-provide-energy-security </t>
  </si>
  <si>
    <t xml:space="preserve">https://www.kmu.gov.ua/en/news/70-000-tonn-vugillya-nadast-ukrayini-avstraliya-german-galushchenko </t>
  </si>
  <si>
    <t xml:space="preserve">https://www.abc.net.au/news/rural/2022-03-22/cost-sending-70000-tonnes-of-coal-to-ukraine/100929070 </t>
  </si>
  <si>
    <t>https://www.dfat.gov.au/crisis-hub/invasion-ukraine-russia</t>
  </si>
  <si>
    <t>AUH3</t>
  </si>
  <si>
    <t xml:space="preserve">The Australian Government announced 30 million AUD to Ukraine in emergency humanitarian aid. This aid package is intended to provide emergency help for women, children, elderly and disabled. From the entire package, AUD 10 million are devoted to the World Food Program, which we do not consider. We equally do not consider AUD 8 million to the UN Population fund. Hence, we report the donation value as AUD 12 million. Source of Aid 3 mentions AUD 65 million in humanitarian aid. Since we do not count AUD 18 million in this packet, we arrive at a total of AUD 47 million in humanitarian aid that Australia has provided. </t>
  </si>
  <si>
    <t>https://pmtranscripts.pmc.gov.au/release/transcript-43868</t>
  </si>
  <si>
    <t>https://www.globalcitizen.org/en/content/australia-ukraine-aid-follow-up/</t>
  </si>
  <si>
    <t xml:space="preserve">https://www.peterdutton.com.au/joint-media-release-australia-to-provide-additional-support-to-ukraine/ </t>
  </si>
  <si>
    <t>AUH4</t>
  </si>
  <si>
    <t xml:space="preserve">AUD 27 million in additional humanitarian aid that will be provided over the next 5 years. Source of aid 1 mentions AUD 213 million total additional help, of which AUD 186 million are military aid. We assume the remaining part of AUD 27 million is humintarian aid. </t>
  </si>
  <si>
    <t>https://www.theguardian.com/australia-news/2022/oct/25/defence-spending-october-budget-2022-ukraine-veterans-pacific-aid-increase-albanese-labor-australia-federal-government</t>
  </si>
  <si>
    <t>https://www.minister.defence.gov.au/media-releases/2022-10-27/additional-support-ukraine</t>
  </si>
  <si>
    <t>AUM1</t>
  </si>
  <si>
    <t>Military</t>
  </si>
  <si>
    <t>Weapons and equipment</t>
  </si>
  <si>
    <t>Australia has announced around 70 million AUD in lethal military assistance to support the defence of Ukraine, including missiles and weapons. They also provide a range of non-lethal military equipment and medical supplies in response to a specific request from the Ukrainian Government. No further information about the composition of the equipment was disclosed.</t>
  </si>
  <si>
    <t>https://www.theguardian.com/australia-news/2022/feb/27/labor-warns-china-it-should-not-take-comfort-from-russian-invasion-of-ukraine</t>
  </si>
  <si>
    <t>AUM2</t>
  </si>
  <si>
    <t>Additional 21 million AUD support package of defensive military assistance for the Ukrainian Armed Forces. No further information was disclosed.</t>
  </si>
  <si>
    <t>https://www.foreignminister.gov.au/minister/marise-payne/media-release/additional-support-ukraine</t>
  </si>
  <si>
    <t xml:space="preserve">https://pmtranscripts.pmc.gov.au/release/transcript-43868 </t>
  </si>
  <si>
    <t>AUM3</t>
  </si>
  <si>
    <t>Military Equipment</t>
  </si>
  <si>
    <t>This 25 million AUD package of additional defensive military assistance will include tactical decoys, unmanned aerial and unmanned ground systems, rations, and medical supplies.</t>
  </si>
  <si>
    <t>tactical decoy</t>
  </si>
  <si>
    <t>https://pmtranscripts.pmc.gov.au/release/transcript-43925</t>
  </si>
  <si>
    <t>https://www.easternriverinachronicle.com.au/story/7680638/australia-sends-25m-for-ukraine-military/?cs=7</t>
  </si>
  <si>
    <t>https://www.abc.net.au/news/2022-03-31/more-military-aid-defence-weapons-ukraine-zelenskyy/100955544</t>
  </si>
  <si>
    <t>unmanned aerial system</t>
  </si>
  <si>
    <t>unmanned ground system</t>
  </si>
  <si>
    <t>field ration</t>
  </si>
  <si>
    <t>medical supplies</t>
  </si>
  <si>
    <t>AUM4</t>
  </si>
  <si>
    <t>On April 8, the prime minister announced that Australia sends additional 20 Bushmaster Protected Mobility Vehicles to Ukraine. It is mentioned that these vehicles increase the total commitment of military assistance from 116 million AUD (the sum of AUM1 - AUM3) to 165 million AUD. Hence, we can deduce that the 20 Bushmasters have a value of 49 million AUD (165 million - 116 million).</t>
  </si>
  <si>
    <t>Bushmaster Protected Mobility Vehicles</t>
  </si>
  <si>
    <t>https://pmtranscripts.pmc.gov.au/release/transcript-43947</t>
  </si>
  <si>
    <t>https://www.minister.defence.gov.au/statements/2022-04-08/australia-gift-20-bushmasters-government-ukraine</t>
  </si>
  <si>
    <t>https://news.defence.gov.au/international/working-together-ukraine</t>
  </si>
  <si>
    <t>AUM5</t>
  </si>
  <si>
    <t>Australia announced (in addition to the 20 Bushmaster protected mobility vehicles reported in AUM4) another aid package that includes anti-armour weapons and ammunition. Since the amount of items sent is not entirely disclosed, we report the monetary value as given by the donor.</t>
  </si>
  <si>
    <t>light anti-armor weapon</t>
  </si>
  <si>
    <t>https://pmtranscripts.pmc.gov.au/release/transcript-43950</t>
  </si>
  <si>
    <t>https://www.armyrecognition.com/defense_news_may_2022_global_security_army_industry/australia_announces_delivery_of_14_m113_tracked_apcs_and_20_bushmaster_armored_vehicles_to_ukraine.html</t>
  </si>
  <si>
    <t>ammunition for light anti-armor weapon</t>
  </si>
  <si>
    <t>AUM6</t>
  </si>
  <si>
    <t>The Australian Government is gifting six M777 155mm lightweight towed howitzers and howitzer ammunition to the Government of Ukraine. Since entire support package is valued at AUD 26.7 million. Source of Aid 1 mentions a total military contribution until April 27 of AUD 225 million. Donation IDs AUM1 to AUM6 report AUD 218.2 million. This is due to Australia providing military aid to Ukraine through the NATO partners, with an undisclosed amount. The difference of AUD 6.8 million between Source of Aid 1 and our data collection until this point is due to this aid through NATO partners, with an undislosed amount (most likely AUD 6.8 million).</t>
  </si>
  <si>
    <t>M777 howitzer</t>
  </si>
  <si>
    <t>https://www.peterdutton.com.au/joint-media-release-australia-to-provide-additional-support-to-ukraine/</t>
  </si>
  <si>
    <t>https://www.abc.net.au/news/2022-02-27/australia-send-weapons-nato-ukraine-war-russia/100865712</t>
  </si>
  <si>
    <t>round of ammunition for M777 howitzer</t>
  </si>
  <si>
    <t>AUM7</t>
  </si>
  <si>
    <t>The Australian Government is providing further support with the gifting of 14 M113 Armoured Personnel Carriers (APCs) and a further 20 Bushmaster Protected Mobility Vehicles (PMVs) to the Government of Ukraine. According to Source of Aid 1, the APCs are worth AUD 12 million in total, the PMVs AUD 48.9 million in total. According to Source of Aid 3, this brings the total military contribution of Australia to AUD 285 million. This coincides with the total value recorded here (AUD 279.1 million) as we do not consider AUD 6.8 million dontated to a NATO trust fund as military aid to Ukraine. Source of Aid 3 also mentions that only 4 of the announced 14 M113 have been delivered. However since Source of Delivery states the delivery of the entire package, we assume upper bounds and consider the entire package as being delivered.</t>
  </si>
  <si>
    <t>M113 armored personnel carrier</t>
  </si>
  <si>
    <t>https://www.peterdutton.com.au/australia-to-provide-armoured-personnel-carriers-and-more-bushmasters-to-ukraine/</t>
  </si>
  <si>
    <t>https://war.ukraine.ua/news/19207/</t>
  </si>
  <si>
    <t>https://bulgarianmilitary.com/2022/06/20/ukraine-gets-australian-m113as4-with-12-7mm-browning-m2hb-qcb-355hp/</t>
  </si>
  <si>
    <t>AUM8</t>
  </si>
  <si>
    <t>The Australian Government announced AUD 99.5 million in military assistance, including 14 armoured personnel carriers, 20 Bushmaster protected mobility vehicles and other military equipment supplied by Australia’s defence industry, and a contribution to NATO’s Ukraine Comprehensive Assistance Package Trust Fund. This brings Australia’s total military assistance to Ukraine to approximately AUD 388 million. According to Source of Aid 2, the contribution towards the NATO Trust Fund is reported as AUD 20 million, which we do not consider as military aid to Ukraine and hence reduce from the overall package. Source of Aid 2 also mentions that demining equipment will be provided to Ukraine as part of this package.</t>
  </si>
  <si>
    <t>https://www.pm.gov.au/media/visit-kyiv-and-further-australian-support-ukraine</t>
  </si>
  <si>
    <t>https://www.minister.defence.gov.au/minister/rmarles/media-releases/australia-increases-support-ukraine#:~:text=The%20Australian%20Government%20will%20provide,more%20Bushmaster%20Protected%20Mobility%20Vehicles.</t>
  </si>
  <si>
    <t>Value is calculated with prices</t>
  </si>
  <si>
    <t>Demining Equipment</t>
  </si>
  <si>
    <t>Other military equipment</t>
  </si>
  <si>
    <t>AUM9</t>
  </si>
  <si>
    <t>The government also announced A$8.7 million (US$6 million) to assist Ukraine’s Border Guard Service to upgrade border management equipment, improve cyber security and enhance border operations in the field.</t>
  </si>
  <si>
    <t>AUM10</t>
  </si>
  <si>
    <t>The Australian government announced additional AUD 186 million in military support over the next 5 years. The aid includes additional Bushmaster vehicles, mentioned in Source of Aid 2. Source of Aid 1 mentions AUD 213 million total new aid pledges. We assume the difference between 213 and 186 million AUD is humanitarian aid, reported in AUH4.</t>
  </si>
  <si>
    <t>Weapons</t>
  </si>
  <si>
    <t>The Australian government announced to provide additional 30 Bushmaster protected mobility vehicles to Ukraine (bringing the total number to 90 at the time).</t>
  </si>
  <si>
    <t>Not given</t>
  </si>
  <si>
    <t>Additional support for Ukraine | Defence Ministers</t>
  </si>
  <si>
    <t>ATH1</t>
  </si>
  <si>
    <t>Austria</t>
  </si>
  <si>
    <t>The Austrian Government has sent two shipments of medical supplies. The first included 5 power generators, 700 sleeping bags and 28 water containers (with a capacity of 1,000 liters each). The second shipment included 50,000 liters of hand disinfectant, 9,000 liters of surface disinfectant, 50,000 security glasses, 50,000 mouth and nose masks and 20,000 pairs of gloves. Austria has bought the material for its own storage due to the COVID-19 pandemic, but decided to send it to Ukraine after the start of the war.</t>
  </si>
  <si>
    <t>USD</t>
  </si>
  <si>
    <t>liter of hand disinfectant</t>
  </si>
  <si>
    <t>https://bmi.gv.at/news.aspx?id=44786F67485A5049462F493D#:~:text=Mit%20der%20bereits%20zweiten%20Hilfslieferung,Plastikhandschuhen%2C%20Schutzbrillen%20und%20Desinfektionsmittel%20entsandt.</t>
  </si>
  <si>
    <t>liter of disinfectant</t>
  </si>
  <si>
    <t>safety glasses</t>
  </si>
  <si>
    <t>medical protective mask</t>
  </si>
  <si>
    <t>gloves</t>
  </si>
  <si>
    <t>power generator</t>
  </si>
  <si>
    <t>sleeping bag</t>
  </si>
  <si>
    <t>liter of water</t>
  </si>
  <si>
    <t>ATH2</t>
  </si>
  <si>
    <t>Austria has sent 20 ambulances to Ukraine, following a commitment from the Chancellor. Note that "Source of Aid 1" also lists 16 other ambulances, provided by the city of Vienna, which gives a total of 36 ambulances provided by Austria.</t>
  </si>
  <si>
    <t>ambulance H</t>
  </si>
  <si>
    <t>https://www.bundeskanzleramt.gv.at/bundeskanzleramt/nachrichten-der-bundesregierung/2022/06/bundeskanzler-nehammer-wir-helfen-dort-wo-es-uns-als-neutrales-oesterreich-moeglich-ist.html</t>
  </si>
  <si>
    <t>https://www.krone.at/2724936</t>
  </si>
  <si>
    <t>ATH3</t>
  </si>
  <si>
    <t>Grant</t>
  </si>
  <si>
    <t>The minister of foreign affairs announced to provide additional 41.9 million EUR in financial assistance for humanitarian projects. Note that this is tied to an equal amount that has been donated by the general public (another 41.9 million EUR). As outlined by "Source of Aid 2", at least 15 million EUR of this announced sum is devoted to projects for women and children. Furthermore, it is reported that 5 million EUR are devoted to refugees in Moldova. Hence, we substract these 5 million EUR and count 36.9 million EUR as direct aid to Ukraine. We do not report the 17 million EUR donated to international organizations (see "Source of Aid 2") and we do report the financial assistance amounting to 10 million EUR (see "Source of Aid 2") in ATF1.</t>
  </si>
  <si>
    <t>EUR</t>
  </si>
  <si>
    <t>https://www.youtube.com/watch?v=NdYiLiivIgs</t>
  </si>
  <si>
    <t>https://www.euractiv.com/section/politics/short_news/austria-more-than-doubles-financial-support-for-ukraine-with-citizen-donations/</t>
  </si>
  <si>
    <t>https://medinlive.at/gesellschaft/oesterreich-unterstuetzt-ukraine-mit-ueber-80-millionen-euro</t>
  </si>
  <si>
    <t>https://www.ukrinform.net/rubric-society/3474985-austria-allocates-another-42m-in-humanitarian-aid-to-ukraine.html</t>
  </si>
  <si>
    <t>ATH4</t>
  </si>
  <si>
    <t>Austrian Association of Municipalities (Österreichischer Gemeindebund) provides the aid. Since this organisation uni#tes almost all municipalities of Austria (2.084 of 2.095), we consider this organisation to be governmental and thus, this package is bilateral aid. The number and type of vehicle are specified in Source of Aid 2.</t>
  </si>
  <si>
    <t>https://www.facebook.com/ukremb.at/posts/2254397241403945</t>
  </si>
  <si>
    <t>https://gemeindebund.at/gemeinden-blaulichtorganisationen-und-unternehmen-helfen-der-ukraine/</t>
  </si>
  <si>
    <t>Fire-vehicle</t>
  </si>
  <si>
    <t>Garbage truck</t>
  </si>
  <si>
    <t>ATH5</t>
  </si>
  <si>
    <t>Guarantee</t>
  </si>
  <si>
    <t>Construction and equipment of the National Children's Specialized Hospital "Okhmatdyt" and a modern university clinic in Kyiv, as well as the creation of the National Rehabilitation Center in Lviv. The estimated cost of these projects will be over EUR 500 million," said First Vice Prime Minister of Ukraine - Minister of Economy Yulia Svyrydenko. "Export credit agencies" should finance it with loans, and the Austrian government provides a guarantee for it.</t>
  </si>
  <si>
    <t>https://www.kmu.gov.ua/news/ukraina-i-avstriia-domovylys-pro-ekonomichnu-spivpratsiu-u-rozvytku-proektiv</t>
  </si>
  <si>
    <t>https://odessa-journal.com/ukraine-and-austria-agreed-on-economic-cooperation-in-the-development-of-projects/</t>
  </si>
  <si>
    <t>ATH6</t>
  </si>
  <si>
    <t>In November 2022 Austrian Embassy in the US created a webpage listing all aid provided to Ukraine (Source of Aid 1). Among other things listed, there is a monetary value of all in-kind humanitarian assistance (6 million EUR). This information was rarely available so far, so we only managed to capture the first big package (see ATH1). So, to cover the rest, we subtract the value of the previous package(ATH1) and report it in this entry.</t>
  </si>
  <si>
    <t>https://www.austria.org/ukraine</t>
  </si>
  <si>
    <t>ATH7</t>
  </si>
  <si>
    <t>Assistance and equipment</t>
  </si>
  <si>
    <t>In November 2022 Austrian Embassy in the US created a webpage listing all aid provided to Ukraine (Source of Aid 1). Among other things listed, the list provides information regarding the monetary value of winterisation aid for Ukraine. We assume this aid was provided recently to the date of the publication since the demand for such a type of aid only occurred after a massive missile strike in October 2022.</t>
  </si>
  <si>
    <t>ATH8</t>
  </si>
  <si>
    <t xml:space="preserve">In November 2022 Austrian Embassy in the US created a webpage listing all aid provided to Ukraine (Source of Aid 1). Among other things listed, the list includes information regarding emergency vehicles provided to Ukraine. Since some emergency vehicles were reported in ATH2 and ATH4, we report the rest of them here. </t>
  </si>
  <si>
    <t>ATH9</t>
  </si>
  <si>
    <t xml:space="preserve">The official press release of the Ministry of Foreign Affairs of Austria reports that the total humanitarian aid provided to Ukraine and bordering countries is 87 million EUR (Source of aid 1). Still, it is not specified which part goes directly to Ukraine, and we only report bilateral aid to Ukraine. However, according to the Austrian Press Agency (APA) (Source of aid 2 makes reference to it), Austrian in-kind aid consisted of 96 tracks, of which 85 went directly to Ukraine. Therefore, since aid mostly went to Ukraine, we report the total amount of not to underestimate the aid to Ukraine. Since so far we reported less then 87 million EUR we report the rest here.
</t>
  </si>
  <si>
    <t>https://www.bmeia.gv.at/ministerium/presse/aktuelles/2022/12/aussenminister-schallenberg-empfaengt-seinen-litauischen-amtskollegen-landsbergis/</t>
  </si>
  <si>
    <t>https://thestoriest.com/world/228255.html</t>
  </si>
  <si>
    <t>ATH10</t>
  </si>
  <si>
    <t>Austria to transfer EUR 5 million to Ukraine Energy Support Fund.</t>
  </si>
  <si>
    <t>https://www.kmu.gov.ua/en/news/avstriia-pererakhuie-5-mln-ievro-u-fond-enerhetychnoi-pidtrymky-ukrainy</t>
  </si>
  <si>
    <t>ATM1</t>
  </si>
  <si>
    <t>On March 13, Austria announced that it has sent a package consisting of protective helmets, ballistic vests and bandages to Ukraine. The government besides announced to send 200,000 liters of diesel. On May 5, the Ministry of Defence reported the total amounts that were sent in March ("Source of Aid 2") and puts a value of 35 EUR on each helmet. "Source of Aid 2" also mentions that Austria still behaves neutrally, which results in the provision of only non-lethal equipment as reporter here and abstention on the European Peace Facility (EPF) decision.</t>
  </si>
  <si>
    <t>liter of diesel M</t>
  </si>
  <si>
    <t>https://www.bmi.gv.at/news.aspx?id=69543149763057644C4C633D</t>
  </si>
  <si>
    <t>https://www.wienerzeitung.at/nachrichten/politik/oesterreich/2146418-Oesterreich-schickte-Ukraine-Armeeausruestung.html</t>
  </si>
  <si>
    <t>https://www.weekend.at/chronik/200000-liter-diesel-aus-oesterreich-fuer-ukraine</t>
  </si>
  <si>
    <t>helmet Austria</t>
  </si>
  <si>
    <t>ballistic vest Austria</t>
  </si>
  <si>
    <t>wound bandage</t>
  </si>
  <si>
    <t>ATF1</t>
  </si>
  <si>
    <t>Financial</t>
  </si>
  <si>
    <t>Austria contributed with 10 million EUR to the multi-donor trust fund (MDTF) set up by the World Bank.</t>
  </si>
  <si>
    <t>https://www.worldbank.org/en/news/press-release/2022/03/14/world-bank-announces-additional-200-million-in-financing-for-ukraine</t>
  </si>
  <si>
    <t>ATF2</t>
  </si>
  <si>
    <t>Austria donates 20 million euros to the Ukraine Recovery Trust Fund (URTF).</t>
  </si>
  <si>
    <t>https://www.bmf.gv.at/presse/pressemeldungen/2022/dezember/weitere-20-millionen-euro-ukraine-hilfe.html</t>
  </si>
  <si>
    <t>https://www.worldbank.org/en/programs/urtf/partners</t>
  </si>
  <si>
    <t>BEH1</t>
  </si>
  <si>
    <t>Belgium</t>
  </si>
  <si>
    <t xml:space="preserve">Belgium announced to send medical ressources amounting to 3.4 million EUR. The aid falls within the framework of the EU Civil Protection Mechanism (EUCPM). The package includes on top of the items listed to the right also anaesthetics, muscle relaxants and painkillers. </t>
  </si>
  <si>
    <t>No</t>
  </si>
  <si>
    <t>https://www.brusselstimes.com/208911/belgium-to-send-e3-4-million-medical-supplies-to-ukraine</t>
  </si>
  <si>
    <t>respiratory assistance device</t>
  </si>
  <si>
    <t>syringe</t>
  </si>
  <si>
    <t>BEH2</t>
  </si>
  <si>
    <t xml:space="preserve">Emergency shelter material adapted to cold climate conditions, such as tents, blankets and sanitary kits. The aid falls within the framework of the EU Civil Protection Mechanism (EUCPM). </t>
  </si>
  <si>
    <t>https://diplomatie.belgium.be/en/belgium-sends-emergency-shelter-material-ukraine-b-fast</t>
  </si>
  <si>
    <t>BEH3</t>
  </si>
  <si>
    <t xml:space="preserve">On April 9, during the event "Stand Up for Ukraine", the Belgian Prime Minister announced that Belgium had set up a fund of 800 million EUR to support Ukraine and Ukrainian refugees. Since only 83 million EUR will be sent to Ukraine (see "Sorce of Aid 2"), we previously reported this amount. On January 2023, the Belgian foreign ministry's official press release stated that 77 million EUR were spent on civilian assistance in 2022 (Source of aid 3). Thus, we assume that the initial 83 million EUR was a reserved budget for aid to Ukraine, and the Belgian government spent 77 million EUR from this value. Moreover, among the 77 million EUR listed, 10 million EUR were spent to help export grain and 6.4 million EUR to different human rights protection organizations, which we do not count. Therefore, in 2022 total humanitarian aid provided by Belgium to Ukraine is 60.6 million EUR. </t>
  </si>
  <si>
    <t>https://twitter.com/i/status/1512804572728897539</t>
  </si>
  <si>
    <t>https://www.globalcitizen.org/en/content/stand-up-for-ukraine-impact-report/</t>
  </si>
  <si>
    <t>https://diplomatie.belgium.be/en/policy/policy-areas/highlighted/civilian-aid-ukraine-overview#:~:text=So%20far%2C%20Belgium%20has%20allocated,and%20the%20battle%20against%20impunity</t>
  </si>
  <si>
    <t>BEH4</t>
  </si>
  <si>
    <t>Belgium "scales up the humanitarian support to a total of 30 million EUR". This was announced on the International Donors' Conference on May 5, 2022 (see 1:51:00 in "Source of Aid 1") . Since BEH1 already reports a value of 230,000 EUR, we report in this entry the difference between 30 million and 230,000 (30 million EUR - 230,000 EUR = 29,770,000 EUR).</t>
  </si>
  <si>
    <t>https://www.youtube.com/watch?v=vzENx6dTpqY</t>
  </si>
  <si>
    <t>BEH5</t>
  </si>
  <si>
    <t xml:space="preserve">The Belgian Government approved the shipment of medical equipment, basic supplies and medicines. which will be carried by 11 trucks. The total cost of the aid amounts to 800000 EUR. </t>
  </si>
  <si>
    <t>https://www.brusselstimes.com/255904/belgium-to-send-new-huge-aid-shipment-to-ukraine</t>
  </si>
  <si>
    <t>BEM1</t>
  </si>
  <si>
    <t xml:space="preserve">Both lethal and non-lethal military aid estimated to be worth around €76 million (Source of Aid 1). This is part of total aid until April 22. Donation ID BEM2 presents a seperate package due to credible official information, that the €76 million do not contain the packages from March 22 and April 11. </t>
  </si>
  <si>
    <t>FNC-type automatic rifle</t>
  </si>
  <si>
    <t>https://mil.in.ua/en/news/belgium-made-a-decision-to-hand-over-artillery-to-ukraine-the-media/</t>
  </si>
  <si>
    <t>https://twitter.com/alexanderdecroo/status/1497542000228417537</t>
  </si>
  <si>
    <t>https://www.thebulletin.be/belgium-send-more-weapons-and-fuel-ukraine</t>
  </si>
  <si>
    <t>ton of fuel</t>
  </si>
  <si>
    <t>https://twitter.com/alexanderdecroo/status/1497914776063594502</t>
  </si>
  <si>
    <t>M72 rocket launcher</t>
  </si>
  <si>
    <t>BEM2</t>
  </si>
  <si>
    <t>Lethal and non-lethal weapons amounting to 11 million EUR that were announced March 22 and April 4. This is not part of total aid until April 22 that is estimated by the Prime Minister to be 76 million EUR ("Source of Aid 1"). The package contains field beds, generators, heating systems, light weapons and ammunition, as well as ballistitc protection and night vision systems.</t>
  </si>
  <si>
    <t>https://www.lesoir.be/437698/article/2022-04-22/guerre-en-ukraine-la-belgique-sapprete-livrer-de-nouveaux-missiles-antichars</t>
  </si>
  <si>
    <t>https://cde.news/belgium-explores-new-avenues-of-assistance-for-ukraine/</t>
  </si>
  <si>
    <t>BEM3</t>
  </si>
  <si>
    <t>8 million EUR in support to the Ukrainian armed forces through NATO Comprehensive Assistance Package (CAP) Trust Fund, which provides non-lethal support  to Ukraine.</t>
  </si>
  <si>
    <t>First aid kit</t>
  </si>
  <si>
    <t>https://lahbib.belgium.be/en/belgium-provide-8-million-eur-non-lethal-support-ukrainian-armed-forces</t>
  </si>
  <si>
    <t>https://twitter.com/hadjalahbib/status/1562721777649799170?ref_src=twsrc%5Etfw%7Ctwcamp%5Etweetembed%7Ctwterm%5E1562721777649799170%7Ctwgr%5E69cb6a35c6fc5375ee1777ba5e3491bf84fd300f%7Ctwcon%5Es1_&amp;ref_url=https%3A%2F%2Fbabel.ua%2Fen%2Fnews%2F83487-belgium-allocated-8-million-for-non-lethal-aid-to-ukraine</t>
  </si>
  <si>
    <t>https://www.euractiv.com/section/politics/short_news/belgium-to-provide-e8-million-for-non-lethal-aid-to-ukraines-armed-forces/</t>
  </si>
  <si>
    <t>https://www.brusselstimes.com/278107/belgium-provides-e8-million-for-non-lethal-help-to-ukraine</t>
  </si>
  <si>
    <t>winter clothing (general)</t>
  </si>
  <si>
    <t>Night-vision goggles</t>
  </si>
  <si>
    <t>Medicines</t>
  </si>
  <si>
    <t>BEM4</t>
  </si>
  <si>
    <t>Belgium will send heavy machine guns, ammunition, and other equipment from Belgian arms manufacturer FN Herstal. It will also send non-lethal equipment for the winter, helmets, spare provisions and night vision equipment. In addition, ambulances and medical evacuation trucks are also expected to be delivered in early 2023.</t>
  </si>
  <si>
    <t>large-caliber machine guns</t>
  </si>
  <si>
    <t>https://www.brusselstimes.com/290771/belgium-to-give-e12-million-in-military-aid-to-ukraine</t>
  </si>
  <si>
    <t>https://www.lecho.be/dossiers/conflit-ukraine-russie/ludivine-dedonder-la-belgique-va-octroyer-une-nouvelle-aide-militaire-a-l-ukraine/10414118.html</t>
  </si>
  <si>
    <t>https://en.interfax.com.ua/news/general/859303.html</t>
  </si>
  <si>
    <t>Ammunition</t>
  </si>
  <si>
    <t>helmet</t>
  </si>
  <si>
    <t>spare part and equipment</t>
  </si>
  <si>
    <t>surveillance equipment</t>
  </si>
  <si>
    <t>ambulance</t>
  </si>
  <si>
    <t>medical evacuation truck</t>
  </si>
  <si>
    <t>BEM5</t>
  </si>
  <si>
    <t>According to the Defense Minister of Belgium, Ludivine Dedonder, Belgium will send ten underwater drones and two mobile laboratories to Ukraine (Source of Aid 1). Source of Aid 2 specifies the exact models of each item.</t>
  </si>
  <si>
    <t>Remotely Operated Vehicle R7</t>
  </si>
  <si>
    <t>https://www.lesoir.be/479361/article/2022-11-25/la-belgique-va-envoyer-des-laboratoires-mobiles-et-des-drones-sous-marins</t>
  </si>
  <si>
    <t>https://www.armyrecognition.com/defense_news_december_2022_global_security_army_industry/discover_new_defense_equipment_that_belgium_offers_to_ukraine_as_part_of_international_support.html</t>
  </si>
  <si>
    <t>IVECO Daily mobile laboratory</t>
  </si>
  <si>
    <t>BEM6</t>
  </si>
  <si>
    <t>According to the information provided on the official website of the Belgium Foreign Ministry, the total aid provided to Ukraine until January 4, 2023, is 221.95 million EUR. Part of this aid is civilian assistance (77 million EUR), the rest is military aid. This means military aid provided until this date is approximately 145 EUR million. So far, we have reported 107 million EUR of military aid, so we report the remaining 37.55 million EUR here.</t>
  </si>
  <si>
    <t>BEF1</t>
  </si>
  <si>
    <t>Belgium allocated 4.96 EUR million to the IMF's Administered Account for Ukraine.</t>
  </si>
  <si>
    <t>https://twitter.com/KGeorgieva/status/1590600147368656896</t>
  </si>
  <si>
    <t>BGH1</t>
  </si>
  <si>
    <t>Bulgaria</t>
  </si>
  <si>
    <t xml:space="preserve">Equipment and logistic assistance. The assistance falls within the framework of the EU Civil Protection Mechanism (EUCPM). No further information regarding the shipment has been disclosed. </t>
  </si>
  <si>
    <t>https://sofiaglobe.com/2022/02/27/bulgaria-to-provide-humanitarian-military-logistical-aid-to-ukraine/?msclkid=2fb3d8c7b05511ec86aca56bb6424b21</t>
  </si>
  <si>
    <t>https://www.slobodenpecat.mk/en/bugarija-kje-isprati-humanitarna-i-voeno-logistichka-pomosh-na-ukraina/</t>
  </si>
  <si>
    <t>BGH2</t>
  </si>
  <si>
    <t>The Bulgarian government announced to provide Ukraine humanitarian assistance worth 706,000 EUR.</t>
  </si>
  <si>
    <t>https://www.kmu.gov.ua/en/news/denis-shmigal-ukrayina-vdyachna-bolgariyi-shcho-spilno-z-mizhnarodnoyu-spilnotoyu-bere-uchast-u-pidtrimci-nashoyi-krayini</t>
  </si>
  <si>
    <t>https://www.ukrinform.net/rubric-ato/3470180-bulgaria-to-give-ukraine-humanitarian-aid-worth-over-eur-700000-shmyhal.html</t>
  </si>
  <si>
    <t>https://interfax.com/newsroom/top-stories/78780/</t>
  </si>
  <si>
    <t>BGH3</t>
  </si>
  <si>
    <t>Humanitarian aid in the form of medicines, clothing, and food. "Source of Aid 1" mentions that Bulgaria approved the repairment of Ukranian military equipment in Bulgarian firms. The latter is reported in BGM1.</t>
  </si>
  <si>
    <t>https://www.dw.com/bg/%D0%BF%D0%B0%D1%80%D0%BB%D0%B0%D0%BC%D0%B5%D0%BD%D1%82%D1%8A%D1%82-%D1%80%D0%B5%D1%88%D0%B8-%D0%B1%D1%8A%D0%BB%D0%B3%D0%B0%D1%80%D0%B8%D1%8F-%D1%89%D0%B5-%D0%BE%D0%BA%D0%B0%D0%B6%D0%B5-%D0%B2%D0%BE%D0%B5%D0%BD%D0%BD%D0%BE-%D1%82%D0%B5%D1%85%D0%BD%D0%B8%D1%87%D0%B5%D1%81%D0%BA%D0%B0-%D0%BF%D0%BE%D0%BC%D0%BE%D1%89-%D0%BD%D0%B0-%D1%83%D0%BA%D1%80%D0%B0%D0%B9%D0%BD%D0%B0/a-61683857</t>
  </si>
  <si>
    <t>https://bntnews.bg/news/kakva-tochno-pomosht-shte-predostavi-balgariya-na-ukraina-1193662news.html</t>
  </si>
  <si>
    <t>BGM1</t>
  </si>
  <si>
    <t xml:space="preserve">According to the Bulgarian Ministry of Defense (Source of Aid 1, news article from 20.12.2022), Bulgaria has provided 448 million BGN in military humanitarian aid since the beginning of Russia's armed agression. </t>
  </si>
  <si>
    <t>BGN</t>
  </si>
  <si>
    <t>https://www.mod.bg/bg/news.php?&amp;fn_page=2</t>
  </si>
  <si>
    <t>https://www.investor.bg/a/527-svyat/366246-balgariya-e-otpusnala-na-ukrayna-pomosht-za-448-mln-lv-ot-nachaloto-na-voynata</t>
  </si>
  <si>
    <t>https://www.euractiv.com/section/politics/short_news/bulgaria-sends-helmets-to-ukrain%D0%B5/</t>
  </si>
  <si>
    <t>ballistic vest</t>
  </si>
  <si>
    <t>https://www.mod.bg/bg/news.php?&amp;fn_page=3</t>
  </si>
  <si>
    <t>until 12/20/2022</t>
  </si>
  <si>
    <t>https://www.mod.bg/bg/news.php?&amp;fn_page=4</t>
  </si>
  <si>
    <t>https://www.mod.bg/bg/news.php?&amp;fn_page=5</t>
  </si>
  <si>
    <t>winter boot</t>
  </si>
  <si>
    <t>https://www.mod.bg/bg/news.php?&amp;fn_page=6</t>
  </si>
  <si>
    <t>BGM2</t>
  </si>
  <si>
    <t xml:space="preserve">The Bulgarian government approved that Bulgaria will help Ukraine repair military hardware. The cost of the donation was not given by the source. </t>
  </si>
  <si>
    <t>https://www.reuters.com/world/europe/bulgaria-approves-repairs-ukrainian-military-equipment-not-military-aid-2022-05-04/</t>
  </si>
  <si>
    <t>https://balkaninsight.com/2022/06/07/we-have-done-enough-bulgaria-rejects-ukraines-plea-for-heavy-weapons/</t>
  </si>
  <si>
    <t>BGM3</t>
  </si>
  <si>
    <t xml:space="preserve">Bulgaria announces its first military aid to Ukraine since the Russian invasion, mainly light weaponry and ammuntion. Futher details of the package are not disclosed. According to Source of Aid 4, the value of this package is 20 million BGN. </t>
  </si>
  <si>
    <t>https://www.reuters.com/world/europe/bulgaria-send-its-first-military-aid-ukraine-2022-12-09/</t>
  </si>
  <si>
    <t>https://apnews.com/article/politics-bulgaria-moscow-rumen-radev-ukraine-government-125de4ab26d01dfd89421ffbf9c7b8d2</t>
  </si>
  <si>
    <t>https://abcnews.go.com/International/wireStory/bulgarian-parliament-approves-military-aid-ukraine-94859655</t>
  </si>
  <si>
    <t>https://www.dnevnik.bg/politika/2022/12/16/4429086_bulgariia_shte_izprati_voenna_pomosht_za_ukraina_za_20/</t>
  </si>
  <si>
    <t>CAF1</t>
  </si>
  <si>
    <t>Canada</t>
  </si>
  <si>
    <t>Loan</t>
  </si>
  <si>
    <t>In addition to the 120 million USD loan announced on January 21 (not reported in our dataset) Canada announced a 500 million CAD loan. This loan was announced on February 14, but was signed on April 14, as mentioned by "Source of Aid 2".</t>
  </si>
  <si>
    <t>CAD</t>
  </si>
  <si>
    <t>https://www.canada.ca/en/department-finance/news/2022/02/canada-pledges-additional-support-for-ukraine.html</t>
  </si>
  <si>
    <t>https://twitter.com/ua_minfin/status/1514313544795361280?ref_src=twsrc%5Etfw%7Ctwcamp%5Etweetembed%7Ctwterm%5E1514313544795361280%7Ctwgr%5E%7Ctwcon%5Es1_&amp;ref_url=https%3A%2F%2Fwww.republicworld.com%2Fworld-news%2Frussia-ukraine-crisis%2Fcanada-to-provide-ukraine-with-398-dollars-million-concessional-loan-amid-russian-invasion-articleshow.html</t>
  </si>
  <si>
    <t>CAF2</t>
  </si>
  <si>
    <t>Canada will offer 1 billion CAD of new loan resources through the newly established account of the International Monetary Found. In this specific case, the IMF works as a mediator: donors can provide loans or grants in either reserve currencies or special drawing rights. Refer to CAM8 for the 500 million CAD mentioned in "Source of Aid 1". "Source of Aid 3" lists the previously granted loans of 620 million CAD, discussed in CAF1. "Source of Aid 4" clarifies that this aid was disbursed on June 17 and it specifies the conditions: the loan maturity is 10 years and the interest rate p.a. is 1.69%.</t>
  </si>
  <si>
    <t>https://www.reuters.com/article/canada-budget-ukraine-aid-idCAKCN2LZ2CL</t>
  </si>
  <si>
    <t>https://www.bnnbloomberg.ca/imf-creates-new-account-to-help-ukraine-as-canada-pledges-funds-1.1749951</t>
  </si>
  <si>
    <t>https://www.theglobeandmail.com/canada/article-federal-budget-2022-ukraine-russia-1-billion-loan/#:~:text=The%20federal%20government%20is%20proposing%20to%20assist%20Ukraine%E2%80%99s,loan%20through%20a%20new%20Canada-led%20international%20financial%20program.</t>
  </si>
  <si>
    <t>https://www.kmu.gov.ua/en/news/minfin-ukrayina-otrimala-1-mlrd-kanadskih-dolariv-vid-kanadi</t>
  </si>
  <si>
    <t>CAF3</t>
  </si>
  <si>
    <t>Canada announced to provide an additional loan of 250 million CAD to support Ukraine. The Minister of Finance that it will be provided through the IMF's Administered Account. Notice that "Source of Aid 1" mentions a total amount of financial aid amounting to 1.87 billion CAD, of which CAF1 to CAF3 covers 1.75 billion CAD (500 million CAD + 1 billion CAD + 250 million CAD). The remaining 120 million CAD (1.87 billion CAD - 1.75 billion CAD) is reflected by a loan announced on Jan 21, so prior to the starting date for our dataset, Jan 24.</t>
  </si>
  <si>
    <t>https://www.canada.ca/en/department-finance/news/2022/05/canada-provides-additional-financial-support-to-ukraine.html</t>
  </si>
  <si>
    <t>https://english.news.cn/northamerica/20220521/316cc7dea3444c36b011aa19617629ac/c.html</t>
  </si>
  <si>
    <t>https://www.republicworld.com/world-news/russia-ukraine-crisis/canada-announces-additional-loan-of-250mn-for-ukraine-as-russian-invasion-enters-day-87-articleshow.html</t>
  </si>
  <si>
    <t>CAF4</t>
  </si>
  <si>
    <t>Prime Minister Trudeau announced the provision of a 200 million CAD loan through the IMF to Ukraine. Furthermore, "Source of Aid 1" mentions additional humanitarian assistance that is reported in CAH5, CAH6, CAH7. Moreover, "Source of Aid 1" re-iterates the pledge of Canada at the Stand Up for Ukraine Event that is covered in CAH3.</t>
  </si>
  <si>
    <t>https://pm.gc.ca/en/news/backgrounders/2022/06/28/additional-canadian-support-ukraine-announced-2022-g7-summit#:~:text=Canada%20will%20provide%20%24200%20million,administrative%20burden%20on%20Ukrainian%20officials.</t>
  </si>
  <si>
    <t>https://www.ctvnews.ca/politics/canada-pledges-more-aid-and-loans-to-ukraine-as-g7-targets-russian-oil-1.5965947</t>
  </si>
  <si>
    <t>CAF5</t>
  </si>
  <si>
    <t xml:space="preserve">Canada provided a new loan to Ukraine, the Financial Ministry of Ukraine reports. Source of aid 2 shows that it was also reported later on the governmental portal of Ukraine (previously, it was only a financial ministry page). Source of aid 3 specifies that 450 CAD million goes into the purchase of the fuel for the winter. We do not consider Source of aid 3 to be another transaction since the amount of money provided, and timing corresponds to each other. Moreover, there are no sources to prove that these are separate transactions. </t>
  </si>
  <si>
    <t>https://www.mof.gov.ua/uk/news/minfin_ukraina_otrimaie_vid_kanadi_dodatkovikh_450_mln_kanadskikh_dolariv-3544</t>
  </si>
  <si>
    <t xml:space="preserve">https://www.kmu.gov.ua/en/news/ukraina-otrymala-vid-kanady-450-mln-kanadskykh-dolariv </t>
  </si>
  <si>
    <t>https://twitter.com/Denys_Shmyhal/status/1559962571230380032</t>
  </si>
  <si>
    <t>CAF6</t>
  </si>
  <si>
    <t>Justin Trudeau, Canadian Prime Minister, announced the allocation of funding for two Ukraine projects through the Peace and Stabilization Operations Program (PSOPs), totalling 3.85 CAD million.</t>
  </si>
  <si>
    <t>https://pm.gc.ca/en/news/news-releases/2022/08/23/prime-minister-announces-additional-support-ukraine</t>
  </si>
  <si>
    <t>CAF7</t>
  </si>
  <si>
    <t>The Government of Canada will issue Ukraine Sovereignty Bonds, which will help the government continue operations, including providing essential services to Ukrainians, like pensions, and purchasing fuel before winter. Later Canadian government specified that it is going to be 5-year 500 CAD million bond (Source of aid 2).</t>
  </si>
  <si>
    <t xml:space="preserve">https://pm.gc.ca/en/news/news-releases/2022/10/28/prime-minister-announces-new-measures-support-ukraine </t>
  </si>
  <si>
    <t>https://www.canada.ca/en/department-finance/programs/financial-sector-policy/ukraine-sovereignty-bond.html</t>
  </si>
  <si>
    <t>CAH1</t>
  </si>
  <si>
    <t>The intention of the donation was to fund development and humanitarian assistance. The 340 million CAD mentioned in "Source of Aid 1" are reported in CAM1.</t>
  </si>
  <si>
    <t>https://www.canada.ca/en/department-national-defence/news/2022/01/canada-extends-and-expands-military-and-other-support-for-the-security-of-ukraine.html</t>
  </si>
  <si>
    <t>CAH2</t>
  </si>
  <si>
    <t>Equipment and assistance</t>
  </si>
  <si>
    <t>Emergency health services (including trauma care), protection, support to displaced people, and essential life-saving services such as shelter, water, sanitation, and food. The aid is directed to those affected by the conflict in Ukraine and neighboring countries. We do not consider aid directed to international organisations that are not explicitly active in Ukraine.</t>
  </si>
  <si>
    <t>https://www.canada.ca/en/global-affairs/news/2022/03/canada-announces-100-million-humanitarian-assistance-to-ukraine.html</t>
  </si>
  <si>
    <t>https://www.canada.ca/en/global-affairs/news/2022/03/canadas-humanitarian-assistance-for-ukraine.html</t>
  </si>
  <si>
    <t>CAH3</t>
  </si>
  <si>
    <t>In occasion of the "Stand up for Ukraine" campaign, which was held in Warsaw on April 9 and organised in cooperation with Canada and the European Commission, the Prime Minister of Canada announced that Canadian humanitarian assistance will be increased with additional 100 million CAD.</t>
  </si>
  <si>
    <t>CAH4</t>
  </si>
  <si>
    <t>To support dairy farmers in Ukraine, Canada announced to provide 2 million CAD without providing further information. Notice that we do not include the committed amount of 9 million CAD in "Source of Aid 1 &amp; 2" as this is devoted to UN organizations.</t>
  </si>
  <si>
    <t>https://www.canada.ca/en/global-affairs/news/2022/05/g7-development-ministers-conclude-successful-meeting-and-issue-statement-on-ukraine.html</t>
  </si>
  <si>
    <t>https://www.ukrinform.net/rubric-ato/3488287-canada-to-provide-cad-9m-in-humanitarian-aid-to-ukraine.html</t>
  </si>
  <si>
    <t>CAH5</t>
  </si>
  <si>
    <t>Canada announced to provide additional humanitarian assistance in the volume of 75 million CAD. Even though this money is provided not directly to Ukraine but rather to several partner organizations, we consider it as the government explicitly states that the total budget is devoted to "humanitarian operations inside Ukraine". Note that the loan discussed in the sources is covered in CAF4 and other humanitarian packages are reported in CAH3, CAH6 and CAH7.</t>
  </si>
  <si>
    <t>CAH6</t>
  </si>
  <si>
    <t>Canada announced to provide 52 million CAD to help Ukraine by providing storage capacities for grain. Thereby, 50 million CAD is devoted to storage and 2 million CAD for complementary equipment. Note that the loan discussed in the sources is covered in CAF4 and other humanitarian packages are reported in CAH3, CAH5 and CAH7.</t>
  </si>
  <si>
    <t>The Government of Canada will issue Ukraine Sovereignty Bonds, which will help the government continue operations, including providing essential services to Ukrainians, like pensions, and purchasing fuel before winter. Later Canadian government specified that it is going to be 5-year 500 CAD million bond (Source of aid 2). On December 16, 2022, this money was disbursed. (Source of aid 3).</t>
  </si>
  <si>
    <t>https://www.canada.ca/en/department-finance/news/2022/12/canada-disburses-500-million-loan-to-ukraine-from-ukraine-sovereignty-bond-proceeds.html</t>
  </si>
  <si>
    <t>CAH8</t>
  </si>
  <si>
    <t xml:space="preserve">Canada provides 52 CAD million to provide storage opportunities for 2.4 million tons of grain. </t>
  </si>
  <si>
    <t>https://minagro.gov.ua/news/kanada-nadaye-40-miljoniv-dolariv-ssha-dlya-zabezpechennya-24-miljona-tonn-shovishch?fbclid=IwAR0tOKhcjlcnwj5Wvpqe3fr0kwd_90iCZAxzUMMeqqvk45emy4e0lakzOQ0</t>
  </si>
  <si>
    <t>CAH9</t>
  </si>
  <si>
    <t>During the Paris Aid Conference, Canada announced to provide Ukraine $115 million from Russian and Belarusian tariff revenues to repair Kyiv’s power grid.</t>
  </si>
  <si>
    <t>https://www.canada.ca/en/department-finance/news/2022/12/canada-provides-ukraine-115-million-from-russian-and-belarusian-tariff-revenues-to-repair-kyivs-power-grid.html</t>
  </si>
  <si>
    <t>https://www.theglobeandmail.com/politics/article-canada-to-fund-repairs-to-kyivs-power-grid-with-revenue-from-russian/</t>
  </si>
  <si>
    <t>CAM1</t>
  </si>
  <si>
    <t xml:space="preserve">Aid for military assistance and for the extension and expansion of Operation UNIFIER, the Canadian Armed Forces’ military training and capacity-building mission in Ukraine. The 50 million CAD mentioned in "Source of Aid 1" are reported in CAH1. </t>
  </si>
  <si>
    <t>https://www.netnewsledger.com/2022/01/26/government-of-canada-announces-340-million-for-ukraine/</t>
  </si>
  <si>
    <t>https://www.cmfmag.ca/canadian-government-sends-lethal-weapons-to-ukraine/</t>
  </si>
  <si>
    <t>CAM2</t>
  </si>
  <si>
    <t xml:space="preserve">Undisclosed number of lethal weapons and assorted support items (machine guns, pistols, carbines, 1.5 million rounds of ammunition, sniper rifles, and various related items) for a total value of 7 million USD, which is directed to the Armed Force of Ukraine. </t>
  </si>
  <si>
    <t>https://www.canada.ca/en/department-national-defence/news/2022/02/canada-commits-lethal-weapons-and-ammunition-in-support-of-ukraine.html</t>
  </si>
  <si>
    <t>https://english.almayadeen.net/news/politics/canada-sends-lethal-weapons-to-ukraine</t>
  </si>
  <si>
    <t>CAM3</t>
  </si>
  <si>
    <t>Both lethal and non-lethal military equipment such as protective gear, meal packs, weapons and ammunition. The source mentions 25 million USD in non-lethal weapons, reported in CAM4, military equipment of an unknwon value reported in CAM5, and 1 million USD reported in CAM6.</t>
  </si>
  <si>
    <t>fragmentation vest</t>
  </si>
  <si>
    <t>https://www.canada.ca/en/department-national-defence/news/2022/03/defence-minister-anand-announces-additional-military-support-to-ukraine.html?msclkid=50865665ab9011ecbb2d77d3ecd6e3a6</t>
  </si>
  <si>
    <t>https://tfiglobalnews.com/2022/03/21/canada-wanted-to-supply-weapons-to-ukraine-turns-out-it-didnt-have-any/</t>
  </si>
  <si>
    <t>individual meal pack</t>
  </si>
  <si>
    <t>Carl Gustav M2 recoilless rifle</t>
  </si>
  <si>
    <t>round of 84 mm ammunition</t>
  </si>
  <si>
    <t>CAM4</t>
  </si>
  <si>
    <t>Non-lethal items such as helmets, body armor, gas masks, and night vision gear.</t>
  </si>
  <si>
    <t>https://www.canada.ca/en/global-affairs/news/2022/02/canada-sending-additional-25m-military-aid-to-support-ukraine.html</t>
  </si>
  <si>
    <t>https://www.cbc.ca/news/politics/canada-ukraine-artillery-1.6426132</t>
  </si>
  <si>
    <t>gas mask</t>
  </si>
  <si>
    <t>night vision device</t>
  </si>
  <si>
    <t>CAM5</t>
  </si>
  <si>
    <t>Lethal items, such as M72 rocket launchers and hand grenades. "Source of Aid 1" lists 25 million USD in non-lethal weapons, reported in CAM4, 1 million USD for satellite imaging reported in CAM6 and lethal and non-lethal equipment reported in CAM3.</t>
  </si>
  <si>
    <t>https://www.canada.ca/en/department-national-defence/news/2022/03/defence-minister-anand-announces-additional-military-support-to-ukraine.html</t>
  </si>
  <si>
    <t>hand grenade</t>
  </si>
  <si>
    <t>CAM6</t>
  </si>
  <si>
    <t>Grant amounting to 1 million CAD, which can be used for the purchase of commercial satellite high resolution and modern imagery. "Source of Aid 1" lists a shipment of 4500 M72 rocket launchers as well as 7500 hand grenades, these are included in aid package CAM5, 25 million CAD in non-lethal weapons, reported in CAM4 and lethal and non-lethal equipment reported in CAM3.</t>
  </si>
  <si>
    <t>https://www.ctvnews.ca/politics/a-lot-more-people-are-going-to-die-canada-sending-more-lethal-weapons-to-ukraine-1.5804357</t>
  </si>
  <si>
    <t>CAM7</t>
  </si>
  <si>
    <t>Lethal weapons and non-lethal specialized equipment for military purposes, including Canadian-made cameras for surveillance drones. No further information regarding the shipment has been disclosed. The amount of 10 million USD previously shipped weaponry is included in "Source of Aid 1" in transaction CAM3.</t>
  </si>
  <si>
    <t>Lethal weapons</t>
  </si>
  <si>
    <t>https://www.ctvnews.ca/politics/ukraine-can-t-negotiate-with-gun-to-head-says-joly-as-trudeau-presses-allies-1.5811832</t>
  </si>
  <si>
    <t>https://www.txtreport.com/news/2022-03-10-canada-will-provide-%24-50-million-in-military-assistance-to-ukraine.S1BRwmvb5.html</t>
  </si>
  <si>
    <t>https://www.youtube.com/watch?v=EKzlhntZigE&amp;t=888s</t>
  </si>
  <si>
    <t>drone camera</t>
  </si>
  <si>
    <t>CAM8</t>
  </si>
  <si>
    <t>M777 Howitzers (four Howitzers according to "Source of Aid 2") and Carl Gustaf anti-armour ammunitions were delivered.</t>
  </si>
  <si>
    <t>https://www.canada.ca/en/department-national-defence/news/2022/04/canada-announces-artillery-and-other-additional-military-aid-for-ukraine.html</t>
  </si>
  <si>
    <t>https://www.cbc.ca/news/politics/ukraine-m777-howitzer-russia-heavy-artillery-1.6427762</t>
  </si>
  <si>
    <t xml:space="preserve">https://www.canada.ca/en/department-national-defence/news/2022/04/canada-announces-artillery-and-other-additional-military-aid-for-ukraine.html 
</t>
  </si>
  <si>
    <t>CAM9</t>
  </si>
  <si>
    <t xml:space="preserve">500 million CAD for military assistance in lethal and non-lethal weapons were dedicated to Ukraine in the Canadian budget for the fiscal year 2022-2023 ("Source of Aid 1"). On April 26, up to eight armored vehicles were financed with these means. ("Source of Aid 2"). On May 23, the Defense Minister announced a purchase of 20,000 rounds (worth: 98 million CAD) of artillery ammunition as part of this budget line ("Source of Aid 2"). </t>
  </si>
  <si>
    <t>Roshel Senator 4x4 armored personnel carrier</t>
  </si>
  <si>
    <t>https://globalnews.ca/news/8788360/ukraine-war-canada-armoured-vehicles/</t>
  </si>
  <si>
    <t>https://mil.in.ua/en/news/canada-is-set-to-hand-over-eight-armored-vehicles-to-ukraine/</t>
  </si>
  <si>
    <t>https://mil.in.ua/en/news/ukraine-received-senator-apc-armored-vehicles/</t>
  </si>
  <si>
    <t>round of ammunition for 155mm howitzer</t>
  </si>
  <si>
    <t>https://www.cbc.ca/news/politics/anand-biggest-military-donation-ukraine-1.6463915</t>
  </si>
  <si>
    <t>https://www.ukrinform.net/rubric-ato/3491327-canada-to-give-ukraine-over-20000-155-mm-shells.html</t>
  </si>
  <si>
    <t>https://torontosun.com/news/national/canada-shipping-20000-rounds-of-artillery-ammunition-to-ukraine</t>
  </si>
  <si>
    <t>replacement barrels for M777 howitzer</t>
  </si>
  <si>
    <t>https://www.business-standard.com/article/international/canada-to-provide-further-military-aid-for-ukraine-says-defence-minister-122061600137_1.html</t>
  </si>
  <si>
    <t>CAM10</t>
  </si>
  <si>
    <t>During a visit in Ukraine, the Canadian Prime Minister announced additional military assistance worth 50 million CAD. He states that this package comes on top of what Canada has provided so far, referring to the budget increase (CAM9), previous loans (CAF1, CAF2) and humanitarian assistance (CAH1-CAH3). Note that there is a gap between the 200 million CAD we count and the 245 million CAD, the Prime Minister mentions in "Source of Aid 1". This is because the remaining part has been devoted to international organization, which we do not count (see CAH2, "Source of Aid 2" for a list of the aid we do not count). Finally, "Source of Aid 1" also mentions two additional packages we do not count since they are allotted to international organizations (25 million CAD to the World Food Programme and 10 million CAD to support human rights).</t>
  </si>
  <si>
    <t>https://pm.gc.ca/en/news/news-releases/2022/05/08/prime-minister-visits-kyiv-ukraine</t>
  </si>
  <si>
    <t>https://www.france24.com/en/live-news/20220601-arms-for-ukraine-who-has-sent-what</t>
  </si>
  <si>
    <t>high-resoultion satellity imagery</t>
  </si>
  <si>
    <t>small arm and ammunition</t>
  </si>
  <si>
    <t>CAM11</t>
  </si>
  <si>
    <t xml:space="preserve">The Source of Delivery indicates that armored vehicles were already delivered in Europe in October. Thus we assume that, at this point whole package is delivered.
</t>
  </si>
  <si>
    <t>https://www.cbc.ca/news/politics/nato-arms-canada-1.6506611</t>
  </si>
  <si>
    <t>https://twitter.com/KyivIndependent/status/1542585476414070786?ref_src=twsrc%5Etfw%7Ctwcamp%5Etweetembed%7Ctwterm%5E1542585476414070786%7Ctwgr%5E%7Ctwcon%5Es1_&amp;ref_url=https%3A%2F%2Fwww.republicworld.com%2Fworld-news%2Frussia-ukraine-crisis%2Fcanadas-pm-pledges-to-deliver-dozens-of-brand-new-armoured-personnel-carriers-to-ukraine-articleshow.html</t>
  </si>
  <si>
    <t>https://twitter.com/JustinTrudeau/status/1586090019496022016</t>
  </si>
  <si>
    <t>Armoured Combat Support Vehicles (ACSV)</t>
  </si>
  <si>
    <t>CAM12</t>
  </si>
  <si>
    <t>Defence Minister Anita Anand announced that Canada will provide over $47 million in new military aid that will assist the Armed Forces of Ukraine as they fight for Ukraine’s sovereignty and security.</t>
  </si>
  <si>
    <t>155mm artillery round</t>
  </si>
  <si>
    <t>https://www.canada.ca/en/department-national-defence/campaigns/canadian-military-support-to-ukraine.html</t>
  </si>
  <si>
    <t>winter clothing (Canada)</t>
  </si>
  <si>
    <t>CAM13</t>
  </si>
  <si>
    <t>At the G20 Summit in Bali, Indonesia, Canadian Prime Minister Justin Trudeau announced that Canada will provide $500 million in additional military assistance for Ukraine to assist the Armed Forces of Ukraine in defending their country against Russia’s brutal and unjustifiable invasion. Later the content of the package was revealed (Source of aid 2).</t>
  </si>
  <si>
    <t>National Advanced Surface-to-Air Missile System (NASAMS)</t>
  </si>
  <si>
    <t>https://pm.gc.ca/en/news/news-releases/2022/11/14/prime-minister-announces-additional-military-assistance-ukraine-and</t>
  </si>
  <si>
    <t>https://www.canada.ca/en/department-national-defence/news/2023/01/defence-minister-anita-anand-announces-air-defence-system-donation-to-ukraine.html</t>
  </si>
  <si>
    <t>munitions for NASAMS</t>
  </si>
  <si>
    <t>CAM14</t>
  </si>
  <si>
    <t>Canada will use 5 CAD million of the said funds to provide the Armed Forces with modern satellite imagery, 18 CAD million for high-resolution cameras for unmanned aerial vehicles, and the remaining 10 CAD million for winter gear, including portable heaters, blankets, and sleeping bags.</t>
  </si>
  <si>
    <t>CNH1</t>
  </si>
  <si>
    <t>China</t>
  </si>
  <si>
    <t>Donation in terms of daily necessities of the Chinese Red Cross to Ukraine.</t>
  </si>
  <si>
    <t>CNY</t>
  </si>
  <si>
    <t>https://www.reuters.com/world/china-provide-5-mln-yuan-worth-humanitarian-assistance-ukraine-2022-03-09/</t>
  </si>
  <si>
    <t>CNH2</t>
  </si>
  <si>
    <t>Donation in terms of daily necessities of the Chinese Red Cross to Ukraine. The "5 million CNY" of "Source of Aid 1" refer to CNH1.</t>
  </si>
  <si>
    <t>https://www.reuters.com/world/china/china-says-it-will-offer-10-mln-yuan-more-humanitarian-aid-ukraine-2022-03-21/</t>
  </si>
  <si>
    <t>HRH1</t>
  </si>
  <si>
    <t>Croatia</t>
  </si>
  <si>
    <t>Goods and equipment that will be provided from the available stockpiles of the Ministry of the Interior, the Ministry of Economy and Sustainable Development, the Ministry of Health, the Ministry of Foreign and European Affairs, and the Croatian Fire Service.</t>
  </si>
  <si>
    <t>HRK</t>
  </si>
  <si>
    <t>https://vlada.gov.hr/news/croatia-sending-emergency-aid-to-ukraine/33960</t>
  </si>
  <si>
    <t>https://hr.n1info.com/english/news/croatia-sends-emergency-aid-worth-e1-2m-to-ukraine-in-wake-of-russias-invasion/</t>
  </si>
  <si>
    <t>https://ba.n1info.com/english/news/croatia-sends-emergency-aid-worth-e1-2m-to-ukraine-in-wake-of-russias-invasion/</t>
  </si>
  <si>
    <t>HRH2</t>
  </si>
  <si>
    <t>Humanitarian aid worth of 1,516,800 HRK.</t>
  </si>
  <si>
    <t>https://civilna-zastita.gov.hr/vijesti/dostavljena-zurna-humanitarna-pomoc-ukrajini-u-organizaciji-ravnateljstva-civilne-zastite/5634</t>
  </si>
  <si>
    <t>https://mup.gov.hr/UserDocsImages/2022/4/112_8.pdf</t>
  </si>
  <si>
    <t>HRH3</t>
  </si>
  <si>
    <t xml:space="preserve">Croatia pledged an additional 5 million EUR contribution during the International Donors' Conference on May 5, 2022 (see 1:06:00 in "Source of Aid 1"). </t>
  </si>
  <si>
    <t>https://hr.n1info.com/svijet/ek-daje-200-mil-eura-za-ukrajince-plenkovic-hrvatska-ce-pomagati-iz-principa/</t>
  </si>
  <si>
    <t>https://www.24sata.hr/news/solidarnost-hrvatska-donirala-5-mil-eura-za-pomoc-ukrajini-833624</t>
  </si>
  <si>
    <t>HRH4</t>
  </si>
  <si>
    <t>16.4 tonnes of aid worth HRK 247311 (EUR 33000) were sent by the Vukovar-Srijem county with the help of cities and municipalities. The aid consists mainly of food, baby food, water and cosmetics.</t>
  </si>
  <si>
    <t>https://www.total-croatia-news.com/politics/63404-vukovar-srijem-county-sends-humanitarian-aid-to-ukraine</t>
  </si>
  <si>
    <t>https://www-vecernji-hr.translate.goog/vijesti/vukovarsko-srijemska-zupanija-uputila-pomoc-ukrajini-znamo-sto-znaci-biti-u-potrebi-1592483?_x_tr_sl=hr&amp;_x_tr_tl=it&amp;_x_tr_hl=it&amp;_x_tr_pto=sc</t>
  </si>
  <si>
    <t>https://www.vecernji.hr/vijesti/vukovarsko-srijemska-zupanija-uputila-pomoc-ukrajini-znamo-sto-znaci-biti-u-potrebi-1592483</t>
  </si>
  <si>
    <t>HRM1</t>
  </si>
  <si>
    <t xml:space="preserve">Protective military equipment and infantry weapons. No further information regarding the shipment has been disclosed.  </t>
  </si>
  <si>
    <t>https://vlada.gov.hr/news/croatia-had-sided-with-freedom-and-democracy-and-with-the-ukrainian-people-which-is-the-only-right-way/34979</t>
  </si>
  <si>
    <t>https://www.total-croatia-news.com/politics/60689-support-measures-for-ukraine</t>
  </si>
  <si>
    <t>https://www.jutarnji.hr/vijesti/hrvatska/donesen-paket-mjera-za-ukrajinu-hrvatska-salje-opremu-i-naoruzanje-u-vrijednosti-124-milijuna-kuna-15163892</t>
  </si>
  <si>
    <t>https://www.euractiv.com/section/politics/short_news/croatia-to-send-weapons-to-ukraine-provide-health-care-to-refugees/</t>
  </si>
  <si>
    <t>https://twitter.com/visegrad24/status/1503313508980637696</t>
  </si>
  <si>
    <t>HRM2</t>
  </si>
  <si>
    <t>Croatia plans to allocate 3 million EUR for the purchase of demining machines for Ukraine's needs</t>
  </si>
  <si>
    <t>mobile and protected mine clearing system</t>
  </si>
  <si>
    <t>https://www.facebook.com/mvs.gov.ua/posts/pfbid02LXuUQLc6ZaXcYPVEMcmZXjCKNVq9N94fPzdcbuYSHhfSJfcE8tj931VXECuesHkCl</t>
  </si>
  <si>
    <t>https://mil.in.ua/en/news/croatia-plans-to-provide-ukraine-with-e3-million-for-demining/</t>
  </si>
  <si>
    <t>CYH1</t>
  </si>
  <si>
    <t>Cyprus</t>
  </si>
  <si>
    <t xml:space="preserve">Cyprus has dispatched two shipments of humanitarian aid to Ukraine. The first one was sent on March 8, 2022, and includes a total of 150 tons of humanitarian aid, including 80 tons of food supplies (infant milk and food, flour, long life food), shelter equipment (sleeping bags, tents, blankets, biological toilets), 13 tons of medical supplies and medicines, 5000 pairs of shoes, 22500 liters of bottled water, electricity generator, personal hygiene kits and other civil protection and first aid equipment. The second one, instead, was sent on the 6.04.2022. No information regarding the second shipment has been disclosed. The total value of the two shipments is equal to 2 million EUR. </t>
  </si>
  <si>
    <t>ton of food</t>
  </si>
  <si>
    <t>https://mfa.gov.cy/press-releases/2022/03/09/cyprus-humanitarian-aid-to-ukraine/</t>
  </si>
  <si>
    <t>https://cyprus-mail.com/2022/04/06/aid-for-ukraine-now-tops-e2-million/</t>
  </si>
  <si>
    <t>ton of medical equipment</t>
  </si>
  <si>
    <t>liter of bottled water</t>
  </si>
  <si>
    <t>pair of shoes</t>
  </si>
  <si>
    <t>Power generator</t>
  </si>
  <si>
    <t>CYH2</t>
  </si>
  <si>
    <t>On June 3, it was reported that a third tranche of humanitarian aid (the first two tranches are covered in CYH1) is ready to be sent to Ukraine. According to "Source of Aid 1", this has a value of 500,000 EUR and "includes mainly medical equipment such as respirators, defibrillators and first aid supplies".</t>
  </si>
  <si>
    <t>https://in-cyprus.philenews.com/cyprus-third-humanitarian-aid-package-to-war-torn-ukraine-ready-to-be-shipped-photos/</t>
  </si>
  <si>
    <t>https://cyprus-mail.com/2022/06/03/third-humanitarian-aid-shipment-heading-to-ukraine/</t>
  </si>
  <si>
    <t>CYH3</t>
  </si>
  <si>
    <t xml:space="preserve">On December 13, at the Ukraine Solidarity Conference in Paris, Cyprus foreign minister announces that Cyprus will provide further humanitarian aid to Ukraine. On 28 December, Cyprus provides details of this announcement: it will provide a 300,000 EUR grant to purchase electricity generators for Ukraine, which will go through Poland.   </t>
  </si>
  <si>
    <t>https://mfa.gov.cy/el/press-releases/2022/12/30/press-statement-poland-ua-generators/</t>
  </si>
  <si>
    <t>https://cyprus-mail.com/2022/12/14/cyprus-sends-largest-aid-package-in-its-history-to-ukraine/</t>
  </si>
  <si>
    <t>CYH4</t>
  </si>
  <si>
    <t xml:space="preserve">Cyprus Ministry of Foreign Affairs announces that the amount of humanitarian aid from Cyprus to Ukraine now exceeds 3,000,000 EUR. We take this as the official benchmark as of January 13. We subtract previous humanitarian assistance (CYH1 - 3), for a total amount of  undisclosed humanitarian aid is equal to 200,000 EUR.   </t>
  </si>
  <si>
    <t>CZM1</t>
  </si>
  <si>
    <t>Czech Republic</t>
  </si>
  <si>
    <t>152mm artillery ammunition for different howitzers and self-propelled guns for a total of 36.6 million CZK.</t>
  </si>
  <si>
    <t>CZK</t>
  </si>
  <si>
    <t>https://www.czdefence.com/article/czech-republic-donates-artillery-ammunition-worth-czk-366-million-to-ukraine</t>
  </si>
  <si>
    <t>https://czechdaily.cz/the-czech-republic-is-sending-thousands-of-artillery-shells-to-ukraine/</t>
  </si>
  <si>
    <t>CZM2</t>
  </si>
  <si>
    <t>Weapons and ammunitions of various types, including pistols, machine guns, submachine guns and sniper rifles.</t>
  </si>
  <si>
    <t>9mm pistol vz. 82</t>
  </si>
  <si>
    <t>https://www.vlada.cz/cz/media-centrum/aktualne/vlada-schvalila-dalsi-dar-v-podobe-vojenskeho-materialu-ukrajine-194585/</t>
  </si>
  <si>
    <t>7.62 mm assault rifle vz. 58</t>
  </si>
  <si>
    <t>hub NB 7.62-43</t>
  </si>
  <si>
    <t>hub NB 7.62-SV 43</t>
  </si>
  <si>
    <t>7.65mm submachine gun vz. 61 Scorpio</t>
  </si>
  <si>
    <t>hub NB 7.65-Browning</t>
  </si>
  <si>
    <t>7.62 mm universal machine gun vz.59</t>
  </si>
  <si>
    <t>7.62 mm sniper rifle Dragunov</t>
  </si>
  <si>
    <t>hub NB 7,62-59 (TŽ, OKRAJ.)</t>
  </si>
  <si>
    <t>hub NB 7,62-SV 59 (TŽ-SV)</t>
  </si>
  <si>
    <t>hub NB 7,62-PZ 59 (PZ EDGE)</t>
  </si>
  <si>
    <t>12.7mm sniper rifle Falcon</t>
  </si>
  <si>
    <t>CZM3</t>
  </si>
  <si>
    <t>Lethal and non-lethal items, worth 400 million CZK. "Source of Aid 3" speaks of 188 million CZK, reported in CZM2.</t>
  </si>
  <si>
    <t>shoulder fired MANPAD</t>
  </si>
  <si>
    <t>https://www.vlada.cz/cz/media-centrum/aktualne/vlada-petra-fialy-schvalila-dalsi-vojenskou-pomoc-bojujici-ukrajine-194603/</t>
  </si>
  <si>
    <t>https://www.praguemorning.cz/czech-governmenet-approves-czk-400-million-in-military-aid-for-ukraine/</t>
  </si>
  <si>
    <t>https://www.politico.com/news/2022/03/22/ukraine-weapons-military-aid-00019104</t>
  </si>
  <si>
    <t>https://www.rferl.org/a/czech-republic-poland-new-military-aid-ukraine/31873938.html</t>
  </si>
  <si>
    <t>FN Minimi</t>
  </si>
  <si>
    <t>CZ 805 BREN</t>
  </si>
  <si>
    <t>CZ Scorpion Evo 3</t>
  </si>
  <si>
    <t>bullet</t>
  </si>
  <si>
    <t>tactical gloves</t>
  </si>
  <si>
    <t>CZM4</t>
  </si>
  <si>
    <t xml:space="preserve">Weapons, ammunitions and equipment, worth 17 million crowns. The delivery was made by Czech arm manufactures, but it has been scrutinized and negotiated with the Czech Government. </t>
  </si>
  <si>
    <t>https://www.vlada.cz/cz/media-centrum/aktualne/vlada-schvalila-dalsi-materialni-pomoc-pro-ukrajinu-a-opatreni-na-pomoc-se-zvladnutim-migracni-krize-194727/</t>
  </si>
  <si>
    <t>https://english.radio.cz/czech-republic-sending-more-arms-ukraine-8743811</t>
  </si>
  <si>
    <t>CZM5</t>
  </si>
  <si>
    <t>According to a government spokesman's statement, the Czech Government plans to deliver further military aid worth 31.5 million USD to Ukraine (see "Source of Aid 3"). "Source of Aid 1" cites 750 million CZK of total military assistance, delivered to Ukraine before this aid package. This sum is reported in transactions CZM1-CZM4, CZM6, and in CZM8-CZM10.</t>
  </si>
  <si>
    <t>https://english.radio.cz/czech-republic-send-more-arms-ukraine-8745032</t>
  </si>
  <si>
    <t>https://www.reuters.com/article/ukraine-crisis-czech-arms-idUSL2N2VG078</t>
  </si>
  <si>
    <t>https://edition.cnn.com/europe/live-news/ukraine-russia-putin-news-03-13-22/h_025dcb1758c374a11f208c39d687f1b0</t>
  </si>
  <si>
    <t>CZM6</t>
  </si>
  <si>
    <t>Military material. No further Information has been disclosed. "Source of Aid 1" lists additional donations reported in CZH1-CZH4, CZM1-CZM4, and in CZM8-CZM12.</t>
  </si>
  <si>
    <t>https://www.vlada.cz/cz/media-centrum/aktualne/informace-v-souvislosti-s-invazi-ruska-na-ukrajinu-194507/</t>
  </si>
  <si>
    <t>CZM7</t>
  </si>
  <si>
    <t>22 ballistic vests (protective gear). "Source of Aid 1" lists additional donations reported in CZH1-CZH4, CZM1-CZM4, CZM6 and in CZM8-CZM12.</t>
  </si>
  <si>
    <t>CZM8</t>
  </si>
  <si>
    <t>unspecified</t>
  </si>
  <si>
    <t>Equipment, ballistic protection, opticsal and other small material to Ukraine for a total of 53.26 million crowns. "Source of Aid 1" lists additional donations reported in CZH1-CZH4, CZM1-CZM4, CZM6, CZM7 and in CZM9-CZM12.</t>
  </si>
  <si>
    <t>CZM9</t>
  </si>
  <si>
    <t>until 3/10/2022</t>
  </si>
  <si>
    <t>Fuel and petrol for the Ukraine Armed Forces. "Source of Aid 2" lists additional donations reported in CZH1-CZH4, in CZM1-CZM4, CZM6-CZM8, and CZM10-CZM12.</t>
  </si>
  <si>
    <t>https://www.vlada.cz/cz/media-centrum/aktualne/vlada-kvuli-migracni-krizi-vyhlasila-od-patku-nouzovy-stav--schvalila-i-dalsi-pomoc-pro-ukrajinu-a-navrh-na-zvyseni-vydaju-na-obranu-194695/</t>
  </si>
  <si>
    <t>CZM10</t>
  </si>
  <si>
    <t>The aid package consists of 6 fire engines. "Source of Aid 1" lists additional donations reported in CZH1-CZH4, CZM6-CZM9 and CZM11-CZM12.</t>
  </si>
  <si>
    <t>fire-engine</t>
  </si>
  <si>
    <t>CZM11</t>
  </si>
  <si>
    <t>Weapons and equipment. Official sources did not disclose the value of the shipment and, since we could always rely on Czech official sources, we decided not to report rumors or unconcise statements of politicians, such as the one made by the Czech Minister of Defense, who spoke vaguely on the March 13 about doubling the military assistance (see CZM5). "Source of Aid 2" lists additional donations reported in  CZH1-CZH4, CZM1-CZM4, CZM6- CZM10, CZM12.</t>
  </si>
  <si>
    <t>CZM12</t>
  </si>
  <si>
    <t>Provision of defense material, with no reference to lethal items in the source. 52 ballist vests are included in the shipment. Moreover, "Source of Aid 1" lists additional donations reported in CZH1-CZH4, CZM1-CZM4, CZM6-CZM10.</t>
  </si>
  <si>
    <t>CZM13</t>
  </si>
  <si>
    <t>Help in armoured vehicle servicing.</t>
  </si>
  <si>
    <t>https://www.czdefence.com/article/ukrainian-armoured-vehicles-will-be-repaired-in-the-czech-republic#:~:text=Ukrainian%20armoured%20vehicles%20will%20be%20repaired%20in%20the%20Czech%20Republic,-19.&amp;text=The%20Ministry%20of%20Defence%20of,the%20Czech%20Republic%20and%20Slovakia.</t>
  </si>
  <si>
    <t>CZM14</t>
  </si>
  <si>
    <t>According to unofficial sources, Czech Republic has been sending tanks since the beginning of the conflict. On April 5, photos of 5 T72 and 5 BVP-1 infantry fighting vehicles leaving to Ukraine from Czech Republic have started circulating in social networks. Thanks to new information on the weapons swap between Germany and Czech Republic (see Source of Aid 3), we know that Czech Republic has sent at least 20 T-72 tanks and will probably receive 14 Leopard 2 A4 models and one rescue tank based on Leopard, from Germany. According to Source of Aid 4 and the delivery source, Czechia has sent 40 tanks to Ukraine. We therefore take this number as committed as well as delivered.</t>
  </si>
  <si>
    <t>Modified T-72 tank (T-72A/T-72M1/M1R)</t>
  </si>
  <si>
    <t>https://www.reuters.com/world/europe/czech-republic-sends-tanks-ukraine-czech-tv-reports-2022-04-05/</t>
  </si>
  <si>
    <t>https://echo24.cz/a/SrjYb/cesko-poslalo-na-ukrajinu-desitky-tanku-t-72-a-bvp</t>
  </si>
  <si>
    <t>https://www.wsj.com/articles/ukraine-quietly-receives-tanks-from-czech-republic-to-support-war-effort-11649160666</t>
  </si>
  <si>
    <t>https://www.forbes.com/sites/sebastienroblin/2022/10/28/czech-super-t-72m4-tanks-seen-headed-towards-ukraine/?sh=679ee5423ce7</t>
  </si>
  <si>
    <t>BVP-1 infantry fighting vehicle</t>
  </si>
  <si>
    <t>CZM15</t>
  </si>
  <si>
    <t>Lethal and non-lethal items."Source of Aid 2" lists additional sources reported in CZH1-CZH4, CZM1-CZM4, CZM6- CZM10, CZM12 and CZM14.</t>
  </si>
  <si>
    <t>CZM16</t>
  </si>
  <si>
    <t>unclear, 04/22</t>
  </si>
  <si>
    <t xml:space="preserve">Shipment of RM-70 Multiple Rocket Launchers and Dana Howitzers. This shipment comes in addition of the T72 tanks, 152 mm field guns and BMP1 reported in CZM14 and CZM13. </t>
  </si>
  <si>
    <t>RM-70 multiple rocket launcher</t>
  </si>
  <si>
    <t>https://mezha.media/en/2022/04/15/new-weapon-deliveries-from-the-czech-republic-dana-self-propelled-artillery-and-rm-70-multiple-rocket-launcher/</t>
  </si>
  <si>
    <t>https://gagadget.com/en/129425-they-will-pour-armed-forces-of-ukraine-have-already-received-czech-multiple-launch-rocket-systems-rm-70/</t>
  </si>
  <si>
    <t>Dana Howitzer</t>
  </si>
  <si>
    <t>CZM17</t>
  </si>
  <si>
    <t>Attack helicopters. According to "Source of Aid 1", Czech Republic will most likely send the Mi-24 helicopters, since they are Soviet in origin and thus require little-to-no training. Also, according to "Source of Aid 2" Czech Republic will probably send all Mi-24 in stock, namely seven units.</t>
  </si>
  <si>
    <t>Mi-24 attack helicopter</t>
  </si>
  <si>
    <t>https://www.flightglobal.com/helicopters/czech-republic-sending-attack-helicopters-to-ukraine/148770.article</t>
  </si>
  <si>
    <t>https://en.defence-ua.com/industries/czechia_sends_ukraine_mi_24_attack_helicopters-3051.html</t>
  </si>
  <si>
    <t>https://www.globaldefensecorp.com/2022/07/31/czech-republic-donates-mi-24-helicopters-to-ukraine/#:~:text=The%20Ukrainian%20military%20confirmed%20that%20the%20Armed%20Forces,Of%20Mi-24%20Helicopters%20To%20Ukraine%20May%2027%2C%202022</t>
  </si>
  <si>
    <t>CZM18</t>
  </si>
  <si>
    <t>The Czech Ministry of Defense declared that the Czech Republic will send in between 26 and 30 million USD  in additional in-kind military aid to Ukraine. The 150 million USD mentioned in "Source of Aid 1" are covered in CZM1-CZM15. We do not consider the CZM16 being part of the 150 million USD mentioned in "Source of Aid 1", since it is only a commitment, whereas the source explicitly refers to the monetary value of the deliveries. No detail regarding the items was revealed.</t>
  </si>
  <si>
    <t>https://mocr.army.cz/informacni-servis/zpravodajstvi/jednani-ministryne-s-ceskymi-zbrojari--ocenuji-podporu-exportu-i-ceskych-zakazek-239387/</t>
  </si>
  <si>
    <t>CZM19</t>
  </si>
  <si>
    <t xml:space="preserve">The Czech Ministry of Defense stated that the country has supplied material worth 4.2 billion crowns, as of 5 October. We take this value as an official benchmark and subtract from it the values from CZM1-18 (using exchange rate 1 USD = 24.57 CZK for USD entries), which is 2,398,378,550 CZK. Therefore, the amount of unisclosed military aid is 1,801,621,450 CZK </t>
  </si>
  <si>
    <t>CZM20</t>
  </si>
  <si>
    <t>Czech Republic approved a new batch of military aid to Ukraine with equipment, weapons, and ammunition. The package includes heavy equipment, short-barreled and long-barreled weapons, as well as ammunition, but further details of the deal are not being disclosed in the Czech Republic for security reasons. According to Source of Aid 2, the value of the package is 7.5 million USD</t>
  </si>
  <si>
    <t>https://mil.in.ua/en/news/czech-republic-to-transfer-heavy-equipment-and-weapons-to-ukraine/</t>
  </si>
  <si>
    <t>https://english.nv.ua/nation/czech-republic-prepares-new-military-aid-package-for-ukraine-50278050.html</t>
  </si>
  <si>
    <t>CZM21</t>
  </si>
  <si>
    <t>Military equipment</t>
  </si>
  <si>
    <t xml:space="preserve">The Czech Republic has prepared a new military package for Ukraine, with equipment and supplies. There are no other details of the aid package. </t>
  </si>
  <si>
    <t>CZM22</t>
  </si>
  <si>
    <t xml:space="preserve">US and Netherlands partner to refurbish 90 Czech T-72 tanks to be sent to Ukraine. The refurbishment project costs a total of 90 million USD, which means it costs 1 million USD per tank. We estimate the cost of a T-72 tank as roughly 1.5 million USD, which means that the monetary value of the tank attributed to Czech Republic is 500,000 USD. For 90 tanks, this value is 45 million USD.   </t>
  </si>
  <si>
    <t>unrefurbished T-72 (US, NL, CZ)</t>
  </si>
  <si>
    <t>https://media.defense.gov/2022/Nov/04/2003108893/-1/-1/0/USAI-7-CZE-TANKS-US-NLD-CZE-PRESS-STATEMENT.PDF</t>
  </si>
  <si>
    <t>https://www.thedrive.com/the-war-zone/ukraine-to-get-90-t-72b-tanks-from-czech-republic</t>
  </si>
  <si>
    <t>https://www.defensenews.com/pentagon/2022/11/04/us-netherlands-go-dutch-to-refurbish-czech-tanks-for-ukraine/</t>
  </si>
  <si>
    <t>CZM23</t>
  </si>
  <si>
    <t xml:space="preserve">Assistance </t>
  </si>
  <si>
    <t xml:space="preserve">The Czech government plans to provide training to up to 4000 Ukrainian troops. The training will cost 975 million crowns ($41.60 million USD) </t>
  </si>
  <si>
    <t>https://www.reuters.com/world/europe/czechs-plan-train-4000-ukrainian-troops-2022-11-16/</t>
  </si>
  <si>
    <t>CZM24</t>
  </si>
  <si>
    <t>The Czech Republic is preparing to transfer an unknown number of TREVA-30, a new recovery and excavation vehicle. Source of Aid 2 speaks of a batch of 90 T-72 tanks, these are listed in donation ID CZM22.</t>
  </si>
  <si>
    <t>TREVA-30 recovery vehicle</t>
  </si>
  <si>
    <t>https://twitter.com/P_Fiala/status/1612488494252757006</t>
  </si>
  <si>
    <t>https://ukranews.com/en/news/907501-czech-republic-preparing-new-batch-of-tanks-for-ukraine-prime-minister-fiala-signed-one-of-them</t>
  </si>
  <si>
    <t>https://twitter.com/Ukrainene/status/1612563073126076416</t>
  </si>
  <si>
    <t>CZH1</t>
  </si>
  <si>
    <t>Release of 300 million CZK for humanitarian assistance. These funds will be used for the immediate needs of the civilian population of Ukraine, especially medical supplies and medical capacities, and for needs related to forced displacement (i.e. emergency accommodation, provision of drinking water, food, other basic material needs and health care). "Source of Aid 1" lists additional sources reported in CZH1-CZH4 and in CZM6-CZM11.</t>
  </si>
  <si>
    <t>https://czechdaily.cz/the-government-will-send-to-ukraine-czk-300-million-in-aid/</t>
  </si>
  <si>
    <t>https://www.vlada.cz/cz/media-centrum/aktualne/bezpecnostni-rada-statu-se-zabyvala-aktualni-bezpecnostni-situaci-po-napadeni-nezavisle-ukrajiny-vojsky-ruske-federace-194513/</t>
  </si>
  <si>
    <t>CZH2</t>
  </si>
  <si>
    <t xml:space="preserve">Medical supplies. "Source of Aid 1" mentions additional 10 million in tied cash assistance. This is reported in CZH2. </t>
  </si>
  <si>
    <t>https://www.expats.cz/czech-news/article/czech-republic-to-donate-100-million-crowns-of-medical-supplies-to-ukraine?msclkid=70d47c46ab9e11eca12fbfc7dff1390d</t>
  </si>
  <si>
    <t>CZH3</t>
  </si>
  <si>
    <t>Tied cash assistance of 10 million CZK for the purchase of medical supplies. "Source of Aid 1" mentions additional 108 million CZK being contributed through in-kind donations. This is reported in CZH1.</t>
  </si>
  <si>
    <t>CZH4</t>
  </si>
  <si>
    <t>Assistance and Equipment</t>
  </si>
  <si>
    <t xml:space="preserve">Assistance to the International Committee of Red Cross in Ukraine. Since the package is directed to the Red Cross in Ukraine and, thus, constitutes a direct flow into Ukraine, we included it in the dataset. "Source of Aid 1" lists additional sources reported in CZH1-CZH3, CZM1-CZM4 and in CZM6-CZM11. 
</t>
  </si>
  <si>
    <t>CZH5</t>
  </si>
  <si>
    <t>Humanitarian donation in form of durable food for internally displaced people. This is in addition to the remaining packages mentioned by the source and reported in our dataset: the 36.6 million CZK in CZM1, 188 million CZK in CZM2, 400 million CZK in CZM3, 24 million CZK in CZM6, 10 million CZK in CZH2, 300 million CZK in CZH3, 25 million CZK in CZH4, 30 million CZK in CZM9, 53.26 million CZK in CZM8, 4.5 million CZK in CZM10, 857,000 CZK in CZM12 and 133 million CZK in CZM14. The remainder of the aid reported in the source is not directed to Ukraine and, hence, is not reported in our dataset.</t>
  </si>
  <si>
    <t>CZH6</t>
  </si>
  <si>
    <t>Humanitarian aid (01:33:00 of "Source of Aid 1"). No further information has been disclosed.</t>
  </si>
  <si>
    <t>CZH7</t>
  </si>
  <si>
    <t xml:space="preserve">Donation of two temporary bridges for civilian transport. </t>
  </si>
  <si>
    <t>temporary bridge</t>
  </si>
  <si>
    <t>https://mil.in.ua/en/news/ukraine-has-received-two-temporary-bridges-for-civilian-transport-from-the-czech-republic/</t>
  </si>
  <si>
    <t>CZH8</t>
  </si>
  <si>
    <t>The shipment amounts to 100 million CZK and includes medical equipment, firefighting equipment and workwear. Among all, it also includes 3.64 million disposable gloves and around 500,000 single-use protective suits.</t>
  </si>
  <si>
    <t>disposable glove</t>
  </si>
  <si>
    <t>https://english.radio.cz/czech-republic-sends-further-humanitarian-aid-ukraine-8752601</t>
  </si>
  <si>
    <t>single-use protective suit</t>
  </si>
  <si>
    <t>DKH1</t>
  </si>
  <si>
    <t>Denmark</t>
  </si>
  <si>
    <t>not specified, 03/22</t>
  </si>
  <si>
    <t>Cars, generators and more. The operation is coordinated by the Danish Emergency Management Facility. Note that the total sum of 668 million DKK reported in "Source of Aid 1" can be divided into 8 million DKK, 20 million DKK (DKH2), 10 million DKK (DKH3), 50 million DKK (DKH4), 50 million DKK (DKH5) and 140 million DKK (DKH6). Additionally, the package consisting of 150 million DKK directed to the World Bank corresponds to the Danish share of 20 million EUR reported in DKF1. We do not consider the remaining packages cited in the source, since they all represent flows going to international organizations: 105 million DKK to UN organizations (UNHCR, OCHA, UNICEF), 115 million DKK to Danish and International organizations and 20 million DKK to the International Red Cross. We consider this aid package to have been pledged entirely in March for Analysis of aid over time purposes.</t>
  </si>
  <si>
    <t>DKK</t>
  </si>
  <si>
    <t>https://um.dk/danida/lande-og-regioner/ukraine</t>
  </si>
  <si>
    <t>DKH2</t>
  </si>
  <si>
    <t>Infrastructure</t>
  </si>
  <si>
    <t>Construction of a civilian mobile hospital. The operation is coordinated by the Danish Emergency Management Facility. For the further amounts reported in "Source of Aid 1", see explanation in DKH1. We consider this aid package to have been pledged entirely in March for Analysis of aid over time purposes.</t>
  </si>
  <si>
    <t>DKH3</t>
  </si>
  <si>
    <t>Fund of 10 million DKK to finance Danish civil society organizations working in Ukraine. The aid focuses on protection, food and emergency shelter. For an explanation about additional amounts reported in "Source of Aid 1", refer to DKH1. We consider this aid package to have been pledged entirely in March for Analysis of aid over time purposes.</t>
  </si>
  <si>
    <t>DKH4</t>
  </si>
  <si>
    <t xml:space="preserve">Drugs and medical equipment for Ukraine and neighboring countries, aimed at assisting Ukrainian refugees. For an explanation about additional amounts reported in "Source of Aid 1", refer to DKH1. Source of Aid 2 reports this as Health related donations. </t>
  </si>
  <si>
    <t>https://um.dk/en/foreign-policy/danish-support-for-ukraine</t>
  </si>
  <si>
    <t>DKH5</t>
  </si>
  <si>
    <t>Drugs, as a response to a request made by Ukraine through the EU's Crisis Response Team (HERA). For an explanation about additional amounts reported in "Source of Aid 1", refer to DKH1. Source of Aid 2 reports these as Health related donations.</t>
  </si>
  <si>
    <t>https://sum.dk/nyheder/2022/marts/danmark-donerer-medicin-og-medicinsk-udstyr-til-ukraine</t>
  </si>
  <si>
    <t>DKH6</t>
  </si>
  <si>
    <t>not specified, 05/22</t>
  </si>
  <si>
    <t>Additional 155 million DKK for humanitarian efforts in Ukraine. Since no further information was disclosed, we cannot determine whether the amount will be devoted directly to Ukraine or to international organizations. To avoid underestimating the true extent of assistance, we include this amount in our data.</t>
  </si>
  <si>
    <t>https://um.dk/en/danida/countries-and-regions/ukraine#:~:text=Denmarks%20has%20allocated%20another%20DKK,war%20crimes%20committed%20in%20Ukraine.</t>
  </si>
  <si>
    <t>DKH7</t>
  </si>
  <si>
    <t>not specified, 8/2022</t>
  </si>
  <si>
    <t>Reconstruction</t>
  </si>
  <si>
    <t xml:space="preserve">In August 2022, the Danish Ministry of the Interior reported a reconstruction commitment for the city of  Mykolaiv (Source of Aid 1). Initially, this commitment was over 13.4 million EUR, but increased in November 2022 to 16 million EUR (Source of Aid 2). This donation will report the entire reconstruction effort. </t>
  </si>
  <si>
    <t>Independence Day of Ukraine - Six months since the Russia invasion (um.dk)</t>
  </si>
  <si>
    <t>Danish support for Ukraine (um.dk)</t>
  </si>
  <si>
    <t>DKH8</t>
  </si>
  <si>
    <t>not specified, 10/2022</t>
  </si>
  <si>
    <t xml:space="preserve">The Danish humanitarian contribution is stated to amount to EUR 85.4 million in November 2022. Since our dataset covers only EUR 67.2 million at this point, we add the difference (EUR 18.2 million) as an unspecified humanitarian contribution. </t>
  </si>
  <si>
    <t>DKH9</t>
  </si>
  <si>
    <t>not specified, 12/2022</t>
  </si>
  <si>
    <t>According to Source of Aid 1, Denmark committed additional EUR 25.6 million for a second support package for acute reconstruction and critical energy infrastructure.</t>
  </si>
  <si>
    <t>DKM1</t>
  </si>
  <si>
    <t>On April 21, the Prime Minister announced to provide additional military aid for 600 million DKK. She declared that this would bring the total military assistance to Ukraine to 1 billion DKK. This implies that Denmark has previously provided military assistance worth 400 million DKK (see "Source of Aid 1"). This prior assistance includes at least the announcement to send anti-tank missiles, anti-aircraft systems, drones as well as protective vests and hygiene kits (see "Source of Aid 2", "Source of Aid 3"). "Source of Aid 4" reports that as part of the 600 million DKK, Denmark sent armored personnel carriers, anti-tank mines and mortars as well as mortar shells. According to Source of Aid 2, Denmark has approved the delivery of the remaining M113 APCs and misc. other in-kind military goods from this package. We therefore consider this package as being entirely delivered.</t>
  </si>
  <si>
    <t>https://www.reuters.com/world/europe/spains-pm-sanchez-denmarks-pm-frederiksen-visit-kyiv-2022-04-21/</t>
  </si>
  <si>
    <t>https://www.armyrecognition.com/defense_news_april_2022_global_security_army_industry/denmark_approves_delivery_of_m113_tracked_armored_vehicles_and_ammunition_to_ukraine.html</t>
  </si>
  <si>
    <t>https://en.kriseinformation.dk/denmarks-reactions/denmarks-contributions</t>
  </si>
  <si>
    <t>https://twitter.com/kyivindependent/status/1520462556338569216?lang=en</t>
  </si>
  <si>
    <t>https://www.youtube.com/watch?v=S4G4kaNLqbk</t>
  </si>
  <si>
    <t>Stinger anti-aircraft system</t>
  </si>
  <si>
    <t>https://www.globaldefensecorp.com/2022/03/04/denmark-delivered-2700-anti-tank-rockets-and-300-stinger-missiles-to-ukraine/</t>
  </si>
  <si>
    <t>Skywatch drone</t>
  </si>
  <si>
    <t>https://militaryleak.com/2022/05/01/denmark-to-send-m113-armored-personnel-carriers-and-weapons-to-ukraine/</t>
  </si>
  <si>
    <t>hygiene kit</t>
  </si>
  <si>
    <t>mine</t>
  </si>
  <si>
    <t>M10 mortar</t>
  </si>
  <si>
    <t>M10 mortar shell</t>
  </si>
  <si>
    <t>DKM2</t>
  </si>
  <si>
    <t>until 5/31/2022</t>
  </si>
  <si>
    <t>Denmark pledged to deliver one Harpoon coastal defense missile system, together with an undisclosed number of missiles and other equipment such as ballistic vests. As the Defence Minister of Denmark stated in an interview on May 31, the total military aid has by then reached 2 billion DKK (see "Source of Aid 1"). So accounting for the reported 1 billion DKK in DKM1, we only report 1 billion DKK in this entry in order to avoid double counting. We report this new shipment of Harpoon coastal defence systems and missiles as having been pledged in May as the announcement was done in that month. This is done only for Analysis of aid over time purposes.</t>
  </si>
  <si>
    <t>Harpoon coastal defense missile system</t>
  </si>
  <si>
    <t>https://cphpost.dk/?p=134195</t>
  </si>
  <si>
    <t>https://www.reuters.com/article/us-ukraine-crisis-harpoon-idUKKCN2N91YC</t>
  </si>
  <si>
    <t>https://www.euractiv.com/section/politics/short_news/denmark-to-send-harpoon-launchers-missiles-to-ukraine/</t>
  </si>
  <si>
    <t>https://mil.in.ua/en/news/harpoon-what-is-known-about-danish-coastal-missile-systems/</t>
  </si>
  <si>
    <t>https://www.reuters.com/world/europe/ukraine-receives-harpoon-missiles-howitzers-says-defence-minister-2022-05-28/</t>
  </si>
  <si>
    <t>Harpoon coastal defense missile</t>
  </si>
  <si>
    <t>DKM3</t>
  </si>
  <si>
    <t>Weapons, equipment and assistance</t>
  </si>
  <si>
    <t xml:space="preserve">During the international donors conference in Copenhagen, the Danish government committed a new package of approximately DKK 820 million for financing weapons and training for Ukraine. Previously, the Danish government informed that it would allocate DKK 100 million to train Ukrainian solders (Source of aid 2), indicating that it will be included in the aid package during the conference. Thus, we consider the costs of the training program to be included in DKK 820 million package. Additionally, the Danish contribution to joint financing of Zuzana-2 howitzers is done with means from this package. The joint project is set between Denmark, Germany and Norway. </t>
  </si>
  <si>
    <t>Zusana-2 howitzer</t>
  </si>
  <si>
    <t>https://www.regeringen.dk/nyheder/2022/ny-massiv-donationspakke-til-ukraine/</t>
  </si>
  <si>
    <t>https://www.fmn.dk/en/news/2022/130-danish-soldiers-will-train-ukrainian-colleagues/</t>
  </si>
  <si>
    <t>https://twitter.com/DanishMFA/status/1557711944626438145</t>
  </si>
  <si>
    <t>DKM4</t>
  </si>
  <si>
    <t>unclear, 09/2022</t>
  </si>
  <si>
    <t xml:space="preserve">On October 2, Denmark released new information that their official military commitment to Ukraine now amounts to DKK 3.8 billion, or EUR 510 million. We therefore attribute the difference between our military commitment numbers until that point (DKK 2.820 billion) and the official numbers until November 20 (Release 8), DKK 3.8 billion, which amounts to DKK 973 million, or EUR 130.8 million, in this package. </t>
  </si>
  <si>
    <t>DKM5</t>
  </si>
  <si>
    <t xml:space="preserve">On December 21, a new announcement by the Danish Defence Minister states that DKK 300 million (EUR 42.8 million) are given as further military aid to Ukraine. The money will be donated via the UK-led International Fund for Ukraine used to provide military equipment and other support to Ukraine's armed forces. This is in accordance to the Danish aid overview page (Source of Aid 2), which displays the Danish military contribution as EUR 565 million in December.  </t>
  </si>
  <si>
    <t>https://www.reuters.com/world/europe/denmark-donates-43-mln-military-aid-ukraine-2022-12-21/#:~:text=COPENHAGEN%2C%20Dec%2021%20(Reuters),Defence%20Ministry%20said%20on%20Wednesday.</t>
  </si>
  <si>
    <t>DKM6</t>
  </si>
  <si>
    <t xml:space="preserve">The official Danish information on the sum of military aid committed to Ukraine states in December 2022 that the Danish contribution amounts to EUR 565 million. In this entry, we report the difference to our current value (EUR 550 million) and the stated value, which amounts to EUR 10 million, which is reported in this entry. </t>
  </si>
  <si>
    <t>DKF1</t>
  </si>
  <si>
    <t>Denmark has contributed 20 million EUR to the Multi donor trust fund, established by the World Bank to facilitate financial support to Ukraine. The latter is part of the Emergency Financing Package established by the World Bank and amounting to 723 million USD. Other countries have contributed to Emergency Financing Package: the Netherlands with 89 million USD, Sweden with 50 million USD, the United Kingdom with 100 million USD, Latvia, Lithuania and Iceland with 12 million USD (together), Austria with 10 million EUR as well and Japan with 100 million USD.</t>
  </si>
  <si>
    <t>https://www.worldbank.org/en/news/press-release/2022/03/07/world-bank-mobilizes-an-emergency-financing-package-of-over-700-million-for-ukraine</t>
  </si>
  <si>
    <t>https://um.dk/en/danida/countries-and-regions/ukraine#:~:text=World%20Bank%3A%20DKK%20150%20million%20(approx.&amp;text=DKK%20150%20million%20(EUR%2020.2,billion)%20to%20the%20Ukrainian%20government.</t>
  </si>
  <si>
    <t>DKF2</t>
  </si>
  <si>
    <t>Loan guarantee by Denmark (37.5 million EUR) for Public Expenditures for Administrative Capacity Endurance in Ukraine (PEACE) Project through the World Bank. The project's goal is to support continued government capacity.</t>
  </si>
  <si>
    <t>https://www.worldbank.org/en/news/press-release/2022/09/30/world-bank-mobilizes-additional-530-million-in-support-to-ukraine</t>
  </si>
  <si>
    <t>Denmark provides a guarantee of DKK 280 million to Ukraine's hard-hit economy | Foreign ministry (ritzau.dk)</t>
  </si>
  <si>
    <t>EEM1</t>
  </si>
  <si>
    <t>Estonia</t>
  </si>
  <si>
    <t>until 6/7/2022</t>
  </si>
  <si>
    <t>The military assistance from Estonia to Ukraine has been estimated at around 240 million EUR (see "Source of Aid 5"). In comparison to the previous update of our dataset (May 10, 2022) this is an increase of 20 million EUR.  The shipment includes: missiles for anti-tank weapon system Javelin; Javelin launchers; ammunition; medical equipment; personal equipment; 25,000 field rations announced on 25 February; an undisclosed number of D-30 howitzers, originally put forward on December 30, 2021, but stalled due to required approval from their previous owner - Germany (approved on February 26) and Finland (approved on February 27). This list should only be considered as indicative, since most of the information regarding the assistance has remained undisclosed. We consider this aid package to have been committed entirely in May 2022. This is done only for Analysis of Aid over time purposes and does not change the interpretation or evaluation of the aid in any other way.</t>
  </si>
  <si>
    <t>food ration M</t>
  </si>
  <si>
    <t xml:space="preserve">https://vm.ee/en/humanitarian-aid-ukraine#:~:text=Estonian%20people%2C%20government%20and%20private,aid%20to%20Ukraine%20in%20total &amp;text=Govermental%20aid%20means%20means%20assistance,state%20budget%20through%20state%20agencies </t>
  </si>
  <si>
    <t>https://kaitseministeerium.ee/en/news/estonia-donated-missiles-anti-tank-weapon-system-javelin-ukraine</t>
  </si>
  <si>
    <t>https://news.err.ee/1608589426/estonia-s-military-aid-to-ukraine-totals-230-million</t>
  </si>
  <si>
    <t>https://news.err.ee/1608555886/estonia-s-220-million-military-aid-to-ukraine-substantially-diversified</t>
  </si>
  <si>
    <t>https://www.ukrinform.net/rubric-polytics/3501933-estonia-has-provided-240m-in-military-aid-to-ukraine-korniyenko.html</t>
  </si>
  <si>
    <t>Javelin anti-tank missile</t>
  </si>
  <si>
    <t>D-30 Howitzer</t>
  </si>
  <si>
    <t>minesweeper</t>
  </si>
  <si>
    <t>single-use anti-tank granade launcher</t>
  </si>
  <si>
    <t>recoiless anti-tank gun</t>
  </si>
  <si>
    <t>automatic fire arm</t>
  </si>
  <si>
    <t>small-calibre ammunition</t>
  </si>
  <si>
    <t>fuse</t>
  </si>
  <si>
    <t>lifejacket</t>
  </si>
  <si>
    <t>radio transmitter</t>
  </si>
  <si>
    <t>drone</t>
  </si>
  <si>
    <t>thermal imagery system</t>
  </si>
  <si>
    <t>laser rangefinder</t>
  </si>
  <si>
    <t>Mamba 4x4 armoured vehicle</t>
  </si>
  <si>
    <t>https://www.armyrecognition.com/ukraine_-_russia_conflict_war_2022/mamba_mk_2_4x4_armored_vehicles_formerly_from_estonian_army_now_used_by_ukrainian_soldiers.html?jampmain</t>
  </si>
  <si>
    <t>https://en.defence-ua.com/weapon_and_tech/ukrainian_defense_forces_will_get_several_alvis_apc_from_estonia-2973.html</t>
  </si>
  <si>
    <t>EEM2</t>
  </si>
  <si>
    <t xml:space="preserve">Liters of fuel. See bottom of "Source of Aid1". The rest of the aid mentioned in the source is reported under the id EEM1. </t>
  </si>
  <si>
    <t>liter of fuel M</t>
  </si>
  <si>
    <t>https://www.kaitseinvesteeringud.ee/en/estonian-military-aid-to-ukraine-has-been-substantially-diversified/</t>
  </si>
  <si>
    <t>https://news.err.ee/1608793648/estonia-s-total-military-aid-to-ukraine-to-date-approaching-300-million</t>
  </si>
  <si>
    <t>EEM3</t>
  </si>
  <si>
    <t>Estonia, in cooperation with Germany, built and delivered a field hospital to Ukraine. Germany contributed to the cooperation project by donating 5.3 million euros, for the purchase of a field hospital. Estonian Defence Forces will organise a 13-day training course for Ukrainian military medical instructors.</t>
  </si>
  <si>
    <t>Field hospital</t>
  </si>
  <si>
    <t>https://kyiv.mfa.ee/en/2022/02/estonia-and-germany-to-donate-military-field-hospital-to-ukraine/</t>
  </si>
  <si>
    <t>https://twitter.com/mod_estonia/status/1507641039745605634?lang=en</t>
  </si>
  <si>
    <t>EEM4</t>
  </si>
  <si>
    <t>Estonia, in cooperation with Germany, built and delivered a second field hospital to Ukraine. Germany contributed to the cooperation project by donating 7.7 million euros, for the purchase of a field hospital. In addition, the non-profit organisation Slava Ukraini granted EUR 120,000 from the donations made to it for the purchase of medical equipment for the field hospital. Hence, we take the overall value of this donation be EUR 7.82 million. Source of aid 2 mentions that medical supplies will also be sent. We assume that the medical supplies were delivered along with the field hospital.</t>
  </si>
  <si>
    <t>https://kaitseministeerium.ee/en/news/estonia-increase-defence-aid-ukraine</t>
  </si>
  <si>
    <t>https://www.thedefensepost.com/2022/08/19/estonia-aid-weapons-ukraine/</t>
  </si>
  <si>
    <t>https://twitter.com/oleksiireznikov/status/1569670474841427971</t>
  </si>
  <si>
    <t>https://mil.in.ua/en/news/estonia-handed-over-the-second-modern-mobile-hospital-to-the-ukrainian-army/</t>
  </si>
  <si>
    <t>EEM5</t>
  </si>
  <si>
    <t>On Aug 18, Estonia announced additional defence aid to Ukraine, which includes additional lethal aid such as mortars and anti-tank weaponry. Source of Aid 3 states that the total amount of military aid Estonia has provided is 255 million EUR, as of 7 October. Subtracting EEM1 and EEM2 from this value (EEM3-4, the cooperation with Germany, is not included) leaves 10 million EUR, which we attribute to EEM5</t>
  </si>
  <si>
    <t>mortar (Estonia)</t>
  </si>
  <si>
    <t>https://www.kyivpost.com/russias-war/estonia-to-boost-military-assistance-for-ukraine.html</t>
  </si>
  <si>
    <t>https://kaitseministeerium.ee/en/news/estonia-sending-ukraine-ammunition-and-equipment</t>
  </si>
  <si>
    <t>anti-tank weapon</t>
  </si>
  <si>
    <t>EEM6</t>
  </si>
  <si>
    <t>Estonian Minister of Defense submits the next military aid package to the government. The package will include artillery ammunition, anti-tank ammunition, winter uniforms, and armoured vests. According to Source of Aid 2, the value of Estonia's military aid to Ukraine is €300 million, as of 18 November. We subtract the value of EEM1-5 (268,120,000 EUR) from this total and estimate 31,880,000 EUR for EEM6.</t>
  </si>
  <si>
    <t>Artillery ammunition</t>
  </si>
  <si>
    <t>https://news.err.ee/1608742171/estonia-sends-more-ammunition-protective-equipment-to-ukraine</t>
  </si>
  <si>
    <t>https://www.republicworld.com/world-news/russia-ukraine-crisis/estonia-confirms-relief-package-to-aid-war-torn-ukraine-articleshow.html</t>
  </si>
  <si>
    <t>Anti-tank missile and anti-tank rocket</t>
  </si>
  <si>
    <t>Ballistic vest</t>
  </si>
  <si>
    <t>EEM7</t>
  </si>
  <si>
    <t>Estonia is donating a third field hospital, in cooperation with Norway (contributing 4.3 million EUR)  and Netherlands (contributing 3.5 million EUR), who are supporting the project with 7,800,000 EUR. Estonia will also help with the training of the Ukrainian medical forces.</t>
  </si>
  <si>
    <t>https://kaitseministeerium.ee/et/uudised/eesti-annetab-koostoos-hollandi-ja-norraga-ukrainale-kolmanda-valihaigla</t>
  </si>
  <si>
    <t>https://kaitseministeerium.ee/en/news/joint-statement-ministry-defence-republic-estonia-ministry-defence-kingdom-norway-and-ministry</t>
  </si>
  <si>
    <t>https://kaitseministeerium.ee/et/uudised/eesti-saadab-ukrainale-taas-sojavarustust</t>
  </si>
  <si>
    <t>EEM8</t>
  </si>
  <si>
    <t xml:space="preserve">Estonia will send another military aid package to Ukraine. This time it mainly includes "drones, personal protective equipment, and winter uniforms". The total monetary value of this package or quantities of items are undisclosed.  </t>
  </si>
  <si>
    <t>https://news.err.ee/1608829969/estonia-sends-more-military-equipment-to-ukraine</t>
  </si>
  <si>
    <t>https://kyivindependent.com/news-feed/estonia-to-send-ukraine-new-military-aid-package</t>
  </si>
  <si>
    <t>https://english.nv.ua/nation/estonia-approves-new-military-aid-package-for-ukraine-news-50292956.html</t>
  </si>
  <si>
    <t>weapon cleaning kit</t>
  </si>
  <si>
    <t>Ventilator</t>
  </si>
  <si>
    <t>EEH1</t>
  </si>
  <si>
    <t>until 7/29/2022</t>
  </si>
  <si>
    <t>The government of Estonia has sent a total amount of  EUR 2,070,228 in humanitarian aid to Ukraine. This is a marginal increase compared to the previous version of our dataset (we reported 1,949,999 EUR in the data published on July 6). We report the military donation mentioned in "Source of Aid 1" in EEM1. Also, we do not count the private donations reported in "Source of Aid 1".</t>
  </si>
  <si>
    <t>EEH2</t>
  </si>
  <si>
    <t xml:space="preserve">The Prime Minister Kallas has pledged 2.9 million EUR in aid for reconstruction in Ukraine.  </t>
  </si>
  <si>
    <t>https://twitter.com/kajakallas/status/1522215001934557186</t>
  </si>
  <si>
    <t>On June 16, Estonia donated five buses to the Vyshneve City Community to evacuate people from high-risk areas. This is assumed to be part of 2.9 million reconstruction pledge made by Estonia on 5 May 2022.</t>
  </si>
  <si>
    <t>IVECO Irisbus Crossway</t>
  </si>
  <si>
    <t>https://rubryka.com/en/2022/06/17/buses-estonia-vyshneve/</t>
  </si>
  <si>
    <t>https://www.vm.ee/en/news/estonia-donates-12-buses-zhytomyr-oblast-ukraine-help-restore-transport-links</t>
  </si>
  <si>
    <t>On Aug 2, Estonian FM visited Zhytomyr in Ukraine and laid the cornerstone for a new new kindergarten school. This is assumed to be part of 2.9 million reconstruction pledge made by Estonia on 5 May 2022.</t>
  </si>
  <si>
    <t>school</t>
  </si>
  <si>
    <t>https://twitter.com/UrmasReinsalu/status/1554520335587938304?ref_src=twsrc%5Etfw%7Ctwcamp%5Etweetembed%7Ctwterm%5E1554520335587938304%7Ctwgr%5Ee825fdb7ad984a8d5ed6d86b7eff30b88c845343%7Ctwcon%5Es1_&amp;ref_url=https%3A%2F%2Fnews.err.ee%2F1608674068%2Festonian-fm-visits-ukraine-lays-new-kindergarten-cornerstone-in-zhytomyr</t>
  </si>
  <si>
    <t>https://news.err.ee/1608674068/estonian-fm-visits-ukraine-lays-new-kindergarten-cornerstone-in-zhytomyr</t>
  </si>
  <si>
    <t>On Sep 24, the Estonian government donated 12 Iveco Irisbus Crossway buses to the Zhytomyr Oblast in Ukraine to help them restore their transport services. These buses previously operated transport lines in Estonia. 3 of the 12 buses set off for Zhytomyr on Sep 24 while the remainder departed in the week after. This is assumed to be part of 2.9 million reconstruction pledge made by Estonia on 5 May 2022.</t>
  </si>
  <si>
    <t>https://news.err.ee/1608727414/estonia-sends-12-buses-to-ukraine-s-zhytomyr-region</t>
  </si>
  <si>
    <t>https://balticguide.ee/en/estonia-donates-12-buses-to-ukraine-to-help-restore-transport-links-in-the-country/</t>
  </si>
  <si>
    <t>Estonia will provide asssistance in constructing a new bridge in Zhytomyr region in Ukraine. This is assumed to be part of 2.9 million reconstruction pledge made by Estonia on 5 May 2022.</t>
  </si>
  <si>
    <t>construction of a bridge</t>
  </si>
  <si>
    <t>https://twitter.com/OlekKorn/status/1574691048378765312?ref_src=twsrc%5Etfw%7Ctwcamp%5Etweetembed%7Ctwterm%5E1574764099644301314%7Ctwgr%5E32aa61244c5816ffc71c7af61a0a966f6f6a69a4%7Ctwcon%5Es3_&amp;ref_url=https%3A%2F%2Fnews.err.ee%2F1608731662%2Feconomic-minister-estonia-can-set-an-example-for-rebuilding-ukraine</t>
  </si>
  <si>
    <t>https://news.err.ee/1608731662/economic-minister-estonia-can-set-an-example-for-rebuilding-ukraine</t>
  </si>
  <si>
    <t>FIH1</t>
  </si>
  <si>
    <t>Finland</t>
  </si>
  <si>
    <t>Finland provided 4 million EUR in additional support. Of this total amount, "Source of Aid 1" allows a more detailed differentiation. We do not count 1.5 million EUR that are devoted to strenghten human rights via the Council of Europe Action Programme and OSCE projects as well as further 0.5 million that are devoted to international organizations. Nevertheless, we count the remaining sum of 2 million EUR, as 1 million EUR is channelled to the Red Cross operating in Ukraine and the other 1 million EUR is for humanitarian aid.</t>
  </si>
  <si>
    <t>https://um.fi/press-releases/-/asset_publisher/ued5t2wDmr1C/content/suomi-myontaa-4-miljoonaa-euroa-lisatukea-ukrainalle-kehitysyhteistyon-ja-humanitaarisen-avun-kautta/35732</t>
  </si>
  <si>
    <t>FIH2</t>
  </si>
  <si>
    <t>A first package of humanitarian aid, including emergency accomodations for 5,000 people as well as further protective equipment. No further information regarding the shipment was provided. Even though the source does not specify the information, we substitute it with the information provided by the Finnish ministry of foreign affairs on September 2nd and Finnish Ministry of Interior on August 24th(See FIH16, FIH15, FIH14).</t>
  </si>
  <si>
    <t>https://intermin.fi/en/ukraine/civilian-assistance-to-ukraine</t>
  </si>
  <si>
    <t>FIH3</t>
  </si>
  <si>
    <t>A second package of humanitarian aid, including again emergency acoomodations for 5,000 people, as well as other equipment.</t>
  </si>
  <si>
    <t>field kitchen</t>
  </si>
  <si>
    <t>shower tent</t>
  </si>
  <si>
    <t>general purpose tent</t>
  </si>
  <si>
    <t>FIH4</t>
  </si>
  <si>
    <t>unspecified, 03/2022</t>
  </si>
  <si>
    <t>Delivery of medical protective equipment as well as medical supplies to Ukraine. No further information regarding the shipment was provided. Moreover, the shipment also included private donations. Even though the source does not specify the information, we substitute it with the information provided by the Finnish ministry of foreign affairs on September 2nd and Finnish Ministry of Interior on August 24th(See FIH16, FIH15, FIH14).</t>
  </si>
  <si>
    <t>FIH5</t>
  </si>
  <si>
    <t>Finland sent two fire engines to Ukraine</t>
  </si>
  <si>
    <t>FIH6</t>
  </si>
  <si>
    <t>Finland sent four ambulances to Ukraine.</t>
  </si>
  <si>
    <t>FIH7</t>
  </si>
  <si>
    <t>Finland sent another two ambulances to Ukraine.</t>
  </si>
  <si>
    <t>FIH8</t>
  </si>
  <si>
    <t>FIH9</t>
  </si>
  <si>
    <t>Finland sent medical supplies and dosimeters to Ukraine. No further information regarding the shipment is provided.  Even though the source does not specify the information, we substitute it with the information provided by the Finnish ministry of foreign affairs on September 2nd and Finnish Ministry of Interior on August 24th(See FIH16, FIH15, FIH14).</t>
  </si>
  <si>
    <t>FIH10</t>
  </si>
  <si>
    <t>Finland announced that it has sent "rescue service supplies and equipment", however, without providing further information regarding the shipment.  Even though the source does not specify the information, we substitute it with the information provided by the Finnish ministry of foreign affairs on September 2nd and Finnish Ministry of Interior on August 24th(See FIH16, FIH15, FIH14).</t>
  </si>
  <si>
    <t>FIH11</t>
  </si>
  <si>
    <t>Finland sent another ambulance to Ukraine.</t>
  </si>
  <si>
    <t>FIH12</t>
  </si>
  <si>
    <t>Finland sent another two ambulances as well as rescue service supplies and protective overalls, however, without providing more information regarding the two latter mentioned items.</t>
  </si>
  <si>
    <t>FIH13</t>
  </si>
  <si>
    <t xml:space="preserve">Two ambulances and rescue services. No further information has been disclosed. </t>
  </si>
  <si>
    <t>https://valtioneuvosto.fi/en/-/1410869/finland-sent-additional-civilian-material-assistance-to-ukraine-and-moldova</t>
  </si>
  <si>
    <t>FIH14</t>
  </si>
  <si>
    <t>On 24.8.2022 Finnish Ministry of Interior reported that on 8 July, Finland sent medical supplies and radiation safety equipment to Ukraine, and on 2 August, rescue service supplies, such as stretchers, defibrillators, first-aid kits and protective equipment. They also report that so far, 2 EUR million was spent on civilian material assistance. So, combining it with information from FIH16, we distribute 2 EUR million + the difference of 4.6 EUR million among packages with no value given, including those two packages (FIH2,4,10,11,14,15)</t>
  </si>
  <si>
    <t>https://intermin.fi/en/-/finland-continued-to-support-ukraine-through-civilian-material-assistance-during-the-summer#:~:text=Since%20February%2C%20Finland%20has%20sent,is%20over%20EUR%20two%20million.</t>
  </si>
  <si>
    <t>FIH15</t>
  </si>
  <si>
    <t>FIH16</t>
  </si>
  <si>
    <t xml:space="preserve">The official press release of the Finnish ministry of foreign affairs informs that Finland will provide 30 EUR million to Ukraine for humanitarian assistance and 5 EUR million for temporary homes and mobile accommodation units (which we also see as humanitarian assistance). The complete allocation of this package is planned for the end of 2022 and 2023. This package includes 15 EUR million to Public Expenditures for Administrative Capacity Endurance (PEACE). Moreover, it specifies that Finland has provided 9.2 EUR million of humanitarian assistance to Ukraine so far. Since our dataset only has only 5.6 EUR million and four entries for which sources did not provide any value, we use the difference between  9.2 and 5.6 EUR million to fill those gaps by equally distributing it between them (see FIH2,4,10,11). </t>
  </si>
  <si>
    <t xml:space="preserve">https://um.fi/press-releases/-/asset_publisher/ued5t2wDmr1C/content/suomelta-humanitaarista-apua-valiaikaisia-asuntoja-seka-julkisen-hallinnon-tukea-ukrainaan/35732 </t>
  </si>
  <si>
    <t>FIH17</t>
  </si>
  <si>
    <t>unclear, 10/2022</t>
  </si>
  <si>
    <t xml:space="preserve">According to Source of Aid 1 (Finnish ministry of the Interior), Finland has provided an undisclosed amount of backup generators and protective equipment to Ukraine in October and November. Since this donation was already disclosed in early November, we report it entirely for October. </t>
  </si>
  <si>
    <t>Civilian assistance sent from Finland to Ukraine - Ministry of the Interior (intermin.fi)</t>
  </si>
  <si>
    <t>protective gear and equipment (including first aid)</t>
  </si>
  <si>
    <t>FIH18</t>
  </si>
  <si>
    <t xml:space="preserve">According to Source of Aid 1, Finland supports a fund that aims to reconstruct Ukraine through the new Green Recovery Program with EUR 5 million. </t>
  </si>
  <si>
    <t>https://um.fi/current-affairs/-/asset_publisher/gc654PySnjTX/content/suomi-tukee-sodan-tuhojen-korjaamista-ja-vihreaa-jalleenrakennusta-ukrainassa</t>
  </si>
  <si>
    <t>Value is given by the souce</t>
  </si>
  <si>
    <t>FIM1</t>
  </si>
  <si>
    <t>According to "Source of Aid 1", the Ministry of Defense stated that the total value of military support that Finland sent to Ukraine until May 4 amounts to 29.3 million EUR. We document four announcements from the Ministry of Defense until this date. This sum includes two packages from February 27 and 28 (where information on the content of the shipment was provided). The two further announcements, from March 24 and April 19, include no further information regarding the content or value of the shipment. Note that "Source of Aid 3" from the package announced on February 27 also lists aid from Sweden (5,000 anti-tank weapons, 5,000 helmets, 5,000 body armors and 135,000 field rations), reported in SEM1, and a package of 500 million EUR from the European Union, reported in EUM1. According to the Source of Delivery, Finland delivered military aid worth 160 million EUR, which includes donation IDs FIM1, FIM3, FIM4, FIM7.</t>
  </si>
  <si>
    <t>https://suomenkuvalehti.fi/paajutut/viela-vuoden-alussa-aseapu-ukrainalle-oli-tabu-sitten-lannen-mitta-tayttyi-kaannamme-maat-ja-taivaat-venajan-lyomiseksi/?shared=1219900-dfafb371-500</t>
  </si>
  <si>
    <t>https://www.defmin.fi/en/topical/press_releases_and_news/finland_sends_additional_aid_to_ukraine.12482.news#c7898b3c</t>
  </si>
  <si>
    <t>https://www.helsinkitimes.fi/finland/finland-news/domestic/21086-finland-commits-military-protective-equipment-to-ukraine.html</t>
  </si>
  <si>
    <t>https://yle.fi/news/3-12335944</t>
  </si>
  <si>
    <t>stretcher</t>
  </si>
  <si>
    <t>RK 62</t>
  </si>
  <si>
    <t>https://valtioneuvosto.fi/en/-/finland-to-send-arms-assistance-to-ukraine#:~:text=On%20the%20proposal%20of%20the%20Government%2C%20the%20President,combat%20ration%20packages%20to%20Ukraine%20as%20material%20aid.?msclkid=43fcac85ab7811ecb0558f7b82e56a26</t>
  </si>
  <si>
    <t>https://edition.cnn.com/europe/live-news/ukraine-russia-news-02-28-22/h_a60e1971e20b82d25ce7ce24657afcbb</t>
  </si>
  <si>
    <t>https://www.tasnimnews.com/en/news/2022/05/06/2706116/finland-to-send-more-defense-aid-to-ukraine</t>
  </si>
  <si>
    <t>cartridge for RK 62</t>
  </si>
  <si>
    <t>single-shot anti-tank weapon</t>
  </si>
  <si>
    <t>combat ration package</t>
  </si>
  <si>
    <t>FIM2</t>
  </si>
  <si>
    <t>On May 5, Finland announced to send additional military material to Ukraine. This was stated during the High-Level International Donor's Conference for Ukraine on May 5 ("Source of Aid 1": 1:07:00 minute) as well as by a press release on the same day (see "Source of Aid 2"). Finland did not disclose any further information. "Source of Aid 3" also mentions a military aid package from the UK (see UKM8). Note that we do not include the announced additional 70 million EUR in humanitarian aid as it is subject to parliaments approval.</t>
  </si>
  <si>
    <t>https://www.defmin.fi/en/topical/press_releases_and_news/finland_sends_more_defence_materiel_assistance_to_ukraine.12692.news#40d3246d</t>
  </si>
  <si>
    <t>https://www.army-technology.com/news/finland-sends-additional-defence-aid-ukraine/</t>
  </si>
  <si>
    <t>FIM3</t>
  </si>
  <si>
    <t>The government stated that it has made the decision to send further defence materiel to Ukraine. However, the government explicitly mentions that it will not provide further information on the shipment. Source of Aid 3 states that between October and February, Finland has provided military aid worth 92.3 million EUR. If we subtract the 29.3 million EUR in donation FIM1 and the 8.25 million EUR reported in FIM4, we arrive at a value of 54.75 million EUR. Since we would need to split his up between FIM3 and FIM2, we decide to report this value entirely in this donation ID. According to the Source of Delivery, Finland delivered military aid worth 160 million EUR, which includes donation IDs FIM1, FIM3, FIM4, FIM7.</t>
  </si>
  <si>
    <t>https://www.defmin.fi/en/topical/press_releases_and_news/finland_sends_more_defence_materiel_assistance_to_ukraine.12834.news#40d3246d</t>
  </si>
  <si>
    <t>https://yle.fi/news/3-12487455</t>
  </si>
  <si>
    <t>.https://www.ukrinform.net/rubric-ato/3585945-finland-preparing-new-military-aid-package-for-ukraine.html</t>
  </si>
  <si>
    <t>https://www.defmin.fi/ajankohtaista/tiedotteet_ja_uutiset/suomi_toimittaa_lisaa_puolustustarvikeapua_ukrainaan.13184.news#35b98872</t>
  </si>
  <si>
    <t>FIM4</t>
  </si>
  <si>
    <t>According to an official press release, Finland will deliver more defence aid to Ukraine (Source of aid 1). As with previous military packages, the official source does not provide any information regarding the content and monetary value committed. Even though, Source of aid 2 specifies the monetary value of this aid, which is 8.3 EUR million. Source of aid 3 gives the monetary value of this aid as 8.2 EUR million. Therefore, we report the average between the two values, which gives this package a value of 8.25 million EUR. According to the Source of Delivery, Finland delivered military aid worth 160 million EUR, which includes donation IDs FIM1, FIM3, FIM4, FIM7.</t>
  </si>
  <si>
    <t>https://www.defmin.fi/en/topical/press_releases_and_news/finland_to_deliver_more_defence_materiel_assistance_to_ukraine.13055.news#f9cb427e</t>
  </si>
  <si>
    <t>https://www.reuters.com/article/idUSO9N2XQ01K</t>
  </si>
  <si>
    <t>https://kyivindependent.com/news-feed/finland-prepares-8th-batch-of-military-aid-for-ukraine</t>
  </si>
  <si>
    <t>FIM5</t>
  </si>
  <si>
    <t xml:space="preserve">According to Source of Aid 1, Finland will deliver the ninth package of defence materiel to Ukraine. The President of the Republic decided on the matter on 6 October 2022 on the proposal of the Government. This marks Finland’s ninth delivery of defence materiel assistance to Ukraine. Additional Information regarding content or value of the package was not disclosed due to security concerns. </t>
  </si>
  <si>
    <t>Minister of Defense: a new batch of military assistance is being prepared for Ukraine | News | Yle Uutiset</t>
  </si>
  <si>
    <t>https://www.ukrinform.net/rubric-ato/3585945-finland-preparing-new-military-aid-package-for-ukraine.html</t>
  </si>
  <si>
    <t>FIM6</t>
  </si>
  <si>
    <t>According to Source of Aid 1, Finland has decided on a supplementary budget from with EUR30 million are intended for Ukraine. It is unclear, whether Ukraine will receive weapons as direct support or receive the aid through funds.</t>
  </si>
  <si>
    <t>https://valtioneuvosto.fi/-/10616/hallitus-antoi-eduskunnalle-lisatalousarvioesityksen-2</t>
  </si>
  <si>
    <t>FIM7</t>
  </si>
  <si>
    <t>According to Source of Aid 1, Finland will deliver the tenth package of military aid to Ukraine. Exact delivery details or information about the composition of the package remained undisclosed due to security concerns. Only the package value, amounting to EUR 55.6 million, is known. It is said to bring Finlands military contribution to EUR 160.4 million, which roughly coincides with our numbers. According to the Source of Delivery, Finland delivered military aid worth 160 million EUR, which includes donation IDs FIM1, FIM3, FIM4, FIM7.</t>
  </si>
  <si>
    <t>Finland to deliver more defence equipment aid to Ukraine - Ministry of Defence (defmin.fi)</t>
  </si>
  <si>
    <t>Finland commits the largest military aid package in the amount of €55.6 million - Militarnyi</t>
  </si>
  <si>
    <t>Finland sending 10th military aid package to Ukraine | News | Yle Uutiset</t>
  </si>
  <si>
    <t>FIM8</t>
  </si>
  <si>
    <t xml:space="preserve">According to Source of Aid 1, Finland will deliver the eleventh package of military aid to Ukraine. The exact composition is unclear, but the value is stated to amount to EUR 28.8 million. </t>
  </si>
  <si>
    <t>https://www.defmin.fi/ajankohtaista/tiedotteet_ja_uutiset/tiedotearkisto/tiedotteet_2022/suomi_jatkaa_ukrainan_tukemista.13289.news#3010ecd4</t>
  </si>
  <si>
    <t>https://www.euractiv.com/section/politics/news/finland-sends-11th-military-aid-package-to-ukraine/</t>
  </si>
  <si>
    <t>FIM9</t>
  </si>
  <si>
    <t>According to Source of Aid 1, Finland will deliver the 12th package of military aid. No further information about composition or value is known.</t>
  </si>
  <si>
    <t>https://kyivindependent.com/news-feed/finland-to-send-new-military-aid-package-to-ukraine</t>
  </si>
  <si>
    <t>FIF1</t>
  </si>
  <si>
    <t xml:space="preserve">As announced by the Finnish finance minister ("Source of Aid 1"), Finland committed to donating the earnings from the sale of seized bitcoins. "Source of Aid 2" specifies that the Finnish government held 1981 bitcoins (~€75 million at rates in April 2022). "Source of Aid 3" specifies that only 1890 Bitcoins (~€70 million at rates in April 2022) are to be donated. Still, according to the official press release of Finnish customs("Source of aid 4") they sold the abovementioned 1889.1 bitcoins only during summer and gained about €46.5 million due to a change in Bitcoin price. Thus, we report €46.5 million </t>
  </si>
  <si>
    <t>https://twitter.com/AnnikaSaarikko/status/1519361293823746049?s=20&amp;t=bCGlZWqdKQAC7geTzWxcRw</t>
  </si>
  <si>
    <t>https://www.euronews.com/next/2022/04/28/finland-to-sell-confiscated-bitcoin-worth-75-million-to-support-ukraine-s-war-effort</t>
  </si>
  <si>
    <t>https://www.businesstoday.in/crypto/story/finland-set-to-donate-over-eu70-million-worth-of-crypto-to-war-torn-ukraine-331795-2022-04-29#:~:text=Finland%27s%20government%20has%20promised%20to,to%20the%20war%2Dtorn%20country.&amp;text=Cryptocurrencies%20have%20come%20to%20aid,for%20over%202%20months%20now.</t>
  </si>
  <si>
    <t>https://tulli.fi/en/-/finnish-customs-sold-its-legally-forfeited-cryptocurrencies</t>
  </si>
  <si>
    <t>FIF2</t>
  </si>
  <si>
    <t>The official press release of the Finnish ministry of foreign affairs informs that Finland will provide 35 EUR million to Ukraine for development cooperation. The complete allocation of this package is planned for the end of 2022 and 2023.</t>
  </si>
  <si>
    <t>https://um.fi/press-releases/-/asset_publisher/ued5t2wDmr1C/content/suomelta-humanitaarista-apua-valiaikaisia-asuntoja-seka-julkisen-hallinnon-tukea-ukrainaan/35732</t>
  </si>
  <si>
    <t>FRH1</t>
  </si>
  <si>
    <t>France</t>
  </si>
  <si>
    <t>France has provided almost 100 million EUR in humanitarian assistance to Ukraine. The assistance also includes the shipment of emergency aid. The first tranche of material aid was sent on the February 28 and consisted of four trucks carrying an initial shipment of 33 tons of emergency aid with items such as blankets, tents and medical supplies (500 family tents, 2,300 blankets, 1,000 hygiene kits, 2,000 floor mats and 300 sleeping bags). A second shipment was sent on March 1, consisting of eight tons of medical supplies, including a mobile clinic with medicines and hospital equipment capable of treating up to 500 war-wounded. The assistance falls within the framework of the EU Civil Protection Mechanism (EUCPM).</t>
  </si>
  <si>
    <t>family tent</t>
  </si>
  <si>
    <t>https://www.diplomatie.gouv.fr/en/country-files/ukraine/news/article/ukraine-france-mobilizes-to-deliver-emergency-medical-aid-to-victims-of-the</t>
  </si>
  <si>
    <t>https://www.lefigaro.fr/flash-actu/la-france-a-envoye-33-tonnes-d-aide-humanitaire-pour-l-ukraine-20220228</t>
  </si>
  <si>
    <t>https://www.reuters.com/world/europe/france-offer-100-mln-euros-humanitarian-aid-ukraine-2022-03-01/</t>
  </si>
  <si>
    <t>blanket</t>
  </si>
  <si>
    <t>floor mat</t>
  </si>
  <si>
    <t>FRH2</t>
  </si>
  <si>
    <t>A total amount of 1.6 million EUR has been donated by French local governments. The funding process has been coordinated by the Local Government External Action Fund (FAECO). "Source of Aid 1" also lists earlier shipments of humanitarian assistance reported in FRH1.</t>
  </si>
  <si>
    <t>https://www.diplomatie.gouv.fr/en/country-files/ukraine/news/article/ukraine-france-steps-up-humanitarian-relief-efforts-for-ukraine-10-mar-2022</t>
  </si>
  <si>
    <t>FRH3</t>
  </si>
  <si>
    <t xml:space="preserve">Ambulances, medical supplies and fire engines. The assistance falls within the framework of the EU Civil Protection Mechanism (EUCPM). 
</t>
  </si>
  <si>
    <t>https://ec.europa.eu/echo/news-stories/news/ukraine-eu-delivers-additional-assistance-rescue-vehicles-and-emergency-equipment-2022-03-25_de</t>
  </si>
  <si>
    <t>https://www.arout.net/france-sends-dozens-of-fire-engines-and-ambulances-to-ukraine-to-support-the-war-against-russia/</t>
  </si>
  <si>
    <t>rescue vehicle</t>
  </si>
  <si>
    <t>Lorry</t>
  </si>
  <si>
    <t>ton of health and emergency equipment</t>
  </si>
  <si>
    <t>FRH4</t>
  </si>
  <si>
    <t xml:space="preserve">Equipment </t>
  </si>
  <si>
    <t>Second convoy of relief vehicles and supplies for Ukraine's emergency services, organized by the Ministries for Europe and Foreign Affairs and the Interior</t>
  </si>
  <si>
    <t>https://www.interieur.gouv.fr/actualites/dossiers/situation-en-ukraine/solidarite-nationale-envers-lukraine-second-convoi-de</t>
  </si>
  <si>
    <t>Rescue vehicle</t>
  </si>
  <si>
    <t>truck</t>
  </si>
  <si>
    <t>rescue and clearing equipment</t>
  </si>
  <si>
    <t>Ton of fire-fighting equipment</t>
  </si>
  <si>
    <t>FRH5</t>
  </si>
  <si>
    <t>At the Ukranian government's request, the Ministry for Europe and Foreign Affairs Crisis and Support Center delivered 28 tons of medical equipment. The shipment is directed to Ukraine and is coordinated by the EU Civil Protection Mechanism. The 28 tons include oxygen generators allowing to treat up to 500 patients, 50 sets of respiratory equipment and 4.5 tons of medicines.</t>
  </si>
  <si>
    <t>https://www.diplomatie.gouv.fr/en/country-files/ukraine/news/article/ukraine-special-delivery-of-emergency-medical-aid-by-france-joint-communique</t>
  </si>
  <si>
    <t>https://www.techopital.com/la-france-envoie-28-tonnes-de-materiel-medical-en-ukraine-NS_6281.html</t>
  </si>
  <si>
    <t>https://www.lefigaro.fr/international/direct-guerre-en-ukraine-situation-critique-a-marioupol-20220421</t>
  </si>
  <si>
    <t>FRH6</t>
  </si>
  <si>
    <t>Third convoy of relief vehicles and supplies for Ukraine's emergency services, organized by the Ministries for Europe and Foreign Affairs and the Interior</t>
  </si>
  <si>
    <t>Ton of medical equipment</t>
  </si>
  <si>
    <t>https://www.defense.gouv.fr/terre/actualites/uiisc-1-3e-convoi-solidarite-lukraine</t>
  </si>
  <si>
    <t>vehicle equipped with a mobile radiology device</t>
  </si>
  <si>
    <t>km of fire hose</t>
  </si>
  <si>
    <t>liter of foam concentrate (against hydrocarbon fires)</t>
  </si>
  <si>
    <t>food ration H</t>
  </si>
  <si>
    <t>FRH7</t>
  </si>
  <si>
    <t>Evacuation and provision of medical care for seven Ukrainian war wounded.</t>
  </si>
  <si>
    <t>https://www.diplomatie.gouv.fr/en/country-files/ukraine/news/article/ukraine-france-mobilised-to-support-ukraine-through-medical-care-for-war</t>
  </si>
  <si>
    <t>FRH8</t>
  </si>
  <si>
    <t>In-kind donation of 12 ambulances.</t>
  </si>
  <si>
    <t>https://twitter.com/MinColonna/status/1531344296191868928</t>
  </si>
  <si>
    <t>FRH9</t>
  </si>
  <si>
    <t>Donation of 31 tons of field crop seeds. The shipment includes several different types of seeds: beet, carrot, cabbage, cauliflower, chives, cucumber, zucchini and tomato, among others – enough to plant 23,475 acres of farmland and vegetable gardens and harvest up to 260,000 tons of food. We do not consider the private donation of 600 Tons of potato plants by the French Federation of Seed Potato Growers (mentioned in "Source of Aid 1"). The aid is not quantifiable in monetary terms.</t>
  </si>
  <si>
    <t>Field crop seed (per Ton)</t>
  </si>
  <si>
    <t>https://www.diplomatie.gouv.fr/en/country-files/ukraine/news/article/ukraine-exceptional-assistance-from-france-to-bolster-food-security-for-the</t>
  </si>
  <si>
    <t>FRH10</t>
  </si>
  <si>
    <t>Evacuation and provision of medical care for six Ukrainian war wounded. The aid is not quantifiable in monetary terms.</t>
  </si>
  <si>
    <t>FRH11</t>
  </si>
  <si>
    <t>This delivery includes a mobile health post with medical equipment and medicines, enabling the treatment of 250 patients, as well as medical devices used for anaesthesia and resuscitation, amongst others. The aid is not quantifiable in monetary terms.</t>
  </si>
  <si>
    <t>https://www.diplomatie.gouv.fr/en/country-files/ukraine/news/article/ukraine-exceptional-delivery-of-emergency-medical-assistance-by-france-28-jun</t>
  </si>
  <si>
    <t>FRH12</t>
  </si>
  <si>
    <t>Assitance</t>
  </si>
  <si>
    <t xml:space="preserve">On 14 July 2022, the French Ministry for Europe and Foreign Affairs’ Crisis and Support Centre provided the Ukrainian Prosecutor-General’s Office with a new mobile laboratory devoted to rapid DNA analysis and expertise. </t>
  </si>
  <si>
    <t>mobile DNA-analysis laboratory</t>
  </si>
  <si>
    <t>https://www.diplomatie.gouv.fr/en/country-files/ukraine/news/article/france-donates-a-mobile-dna-analysis-laboratory-to-ukraine-joint-press-release</t>
  </si>
  <si>
    <t>FRH13</t>
  </si>
  <si>
    <t>France sent a humanitarian ship with more than 1,000 tonnes on board on 28 Sep 2022. This includes materials set to help with the reconstruction of cities and towns , as well as medical equipment. According to source of aid 1, the operation was announced by French President on 24 Aug 2022. According to Source of Aid 1, the  total value is 8 million EUR, but according to Source of Aid 2, the total value is 10 million EUR. Therefore, we take the average 9 million EUR.</t>
  </si>
  <si>
    <t>https://www.connexionfrance.com/article/French-news/Humanitarian-ship-for-Ukraine-leaves-French-port-with-8m-of-aid</t>
  </si>
  <si>
    <t>https://www.euronews.com/2022/09/29/cargo-ship-with-1000-tonnes-of-ukraine-aid-sets-sail-from-marseille</t>
  </si>
  <si>
    <t>https://www.diplomatie.gouv.fr/en/country-files/ukraine/news/article/ukraine-catherine-colonna-to-attend-the-launch-of-solidarity-operation-un</t>
  </si>
  <si>
    <t>https://ua.ambafrance.org/Dostavka-1000-t-francuz-koyi-gumaniitarnoyi-dopomogi-ukrayins-kim-adresatam-v</t>
  </si>
  <si>
    <t>meter of bridges in parts</t>
  </si>
  <si>
    <t>modular / prefabricated bridge</t>
  </si>
  <si>
    <t>building materials</t>
  </si>
  <si>
    <t>tarpaulins</t>
  </si>
  <si>
    <t>ton of emergency and resuscitation drugs</t>
  </si>
  <si>
    <t>Semi-rigid inflatable boat</t>
  </si>
  <si>
    <t>FRH14</t>
  </si>
  <si>
    <t xml:space="preserve">France increases civilian aid to Ukraine, in which the country will repair and improve the electricity and water supply infrastructure 'considerably damaged by the Russian attacks'. According to "Source of Aid 2", 100 power generators had been delivered in November, which we attribute to this humanitarian package. </t>
  </si>
  <si>
    <t>https://www.euractiv.com/section/all/short_news/france-announces-increased-military-aid-to-ukraine/</t>
  </si>
  <si>
    <t>https://www.reuters.com/world/europe/russia-pounds-ukraine-civil-infrastructure-powers-meet-provide-aid-2022-12-13/</t>
  </si>
  <si>
    <t>FRH15</t>
  </si>
  <si>
    <t>At the Ukriane Solidarity conference in Paris, France pledges 63 electric generators worth 48.5 million EUR. (Source of Aid 3)</t>
  </si>
  <si>
    <t>https://www.elysee.fr/emmanuel-macron/2022/12/13/solidaires-du-peuple-ukrainien</t>
  </si>
  <si>
    <t>https://www.nytimes.com/2022/12/13/world/europe/paris-ukraine-infrastructure-donors.html</t>
  </si>
  <si>
    <t>https://edition.cnn.com/europe/live-news/russia-ukraine-war-news-12-13-22/h_f789fb6727fdf749c8a193449f27be5a</t>
  </si>
  <si>
    <t>FRH16</t>
  </si>
  <si>
    <t xml:space="preserve">At the Ukriane Solidarity conference in Paris, France pledges a further 76.5 million EUR of humanitarian aid in the field of energy and electricity. </t>
  </si>
  <si>
    <t>FRH17</t>
  </si>
  <si>
    <t>On 13 December French president Macron announces that France has committed 200 million EUR of humanitarian aid in 2022 (excluding the most recent aid committed at the Ukraine Solidarity conference, 76.5 million EUR, see entry FRH16). We use this as a benchmark and subtract all of the preceding aid (FRH1 - 15), which equals 40.9 million EUR as the amount of undisclosed aid</t>
  </si>
  <si>
    <t>https://twitter.com/EmmanuelMacron/status/1602661511700389888?ref_src=twsrc%5Etfw%7Ctwcamp%5Etweetembed%7Ctwterm%5E1602661511700389888%7Ctwgr%5E339bcba22bc63bfdb282e6d9427211ad1ddf282a%7Ctwcon%5Es1_&amp;ref_url=https%3A%2F%2Fwww.elysee.fr%2Femmanuel-macron%2F2022%2F12%2F13%2Fsolidaires-du-peuple-ukrainien</t>
  </si>
  <si>
    <t>FRF1</t>
  </si>
  <si>
    <t xml:space="preserve">A 200 million EUR portion of a 1.2 billion EUR funding program for joint French-Ukrainian projects is in the form of direct loans to Ukraine from the French Treasury (on the condition that Ukraine uses French companies for reconstruction projects) </t>
  </si>
  <si>
    <t>https://www.kmu.gov.ua/en/news/vbachaiemo-velyki-perspektyvy-u-zaluchenni-frantsuzkoho-biznesu-do-rannoi-vidbudovy-ukrainy-iuliia-svyrydenko-na-zustrichi-z-medef</t>
  </si>
  <si>
    <t>https://ua.interfax.com.ua/news/economic/796996.html</t>
  </si>
  <si>
    <t>FRF2</t>
  </si>
  <si>
    <t>Loan announced on February 25 and granted on March 28. According to press releases, the loan has a 15-year maturity (see “Source of Aid 3"). The mentioned equipment in "Source of Aid 2" refers to FRM1. "Source of Aid 4" specifies that the loan is made by the French Development Agency</t>
  </si>
  <si>
    <t>https://www.diplomatie.gouv.fr/en/country-files/ukraine/news/article/ukraine-conversation-between-jean-yves-le-drian-and-his-ukrainian-counterpart</t>
  </si>
  <si>
    <t>https://www.aa.com.tr/en/europe/france-to-offer-300m-worth-of-aid-military-equipment-to-ukraine/2515343</t>
  </si>
  <si>
    <t>https://www.reuters.com/article/ukraine-crisis-france-loan-idUSL5N2VX4PT</t>
  </si>
  <si>
    <t>https://uk.ambafrance.org/France-grants-EUR300-million-loan-to-Ukraine</t>
  </si>
  <si>
    <t>FRF3</t>
  </si>
  <si>
    <t>French Development Agency gives Ukraine a loan on preferential terms worth 100 million EUR. The funds are directed to the general fund of the State Budget to finance priority expenditures, in particular social and humanitarian. The loan was dispursed on 13 December.</t>
  </si>
  <si>
    <t>http://www.mof.gov.ua/uk/news/ukraine_received_eur_100_million_loan_from_france-3760</t>
  </si>
  <si>
    <t>https://www.kmu.gov.ua/en/news/ukraina-otrymala-100-mln-ievro-vid-frantsii</t>
  </si>
  <si>
    <t>https://en.kyiv.media/news/ukraine-received-a-eur100m-loan-from-france</t>
  </si>
  <si>
    <t>https://ukranews.com/en/news/901542-ukraine-receives-eur-100-million-of-preferential-loan-from-france</t>
  </si>
  <si>
    <t>FRF4</t>
  </si>
  <si>
    <t xml:space="preserve">France provides 99.5 million EUR in guarantees to support loans via the European Bank for Reconstruction and Development. One guarantee is worth 49.4 million EUR and will go towards JSC Ukrzaliznytsia (Ukrainian Railways). The second guarantee is worth 50 million EUR and will go towards the Ukrainian state-owned gas company Naftogaz. </t>
  </si>
  <si>
    <t>https://interfax.com/newsroom/top-stories/86161/</t>
  </si>
  <si>
    <t>https://ue.delegfrance.org/bilan-de-l-aide-apportee-par-la</t>
  </si>
  <si>
    <t>FRF5</t>
  </si>
  <si>
    <t>FRM1</t>
  </si>
  <si>
    <t>until 4/13/2022</t>
  </si>
  <si>
    <t>According to a tweet of the French Minister of Defence on April 13, France has sent a total amount of 100 million EUR in military assistance to Ukraine since the beginning of the conflict. Later on, ahead of the second round of presidential elections in France, President Macron disclosed the content of the shipment: a few dozen MILAN and up to ten CAESARS artillery howitzers (see "Source of Aid 3"). As the report of the aid was done in April and no earlier announcement can be verified, we report this aid as having been pledged in April 2022 for Analysis of Aid over time purposes.</t>
  </si>
  <si>
    <t>Milan</t>
  </si>
  <si>
    <t>https://twitter.com/florence_parly/status/1514275166158790666</t>
  </si>
  <si>
    <t>https://www.lesechos.fr/monde/enjeux-internationaux/la-france-renforce-son-soutien-militaire-a-lukraine-1389929</t>
  </si>
  <si>
    <t>https://www.aa.com.tr/en/europe/france-to-deliver-caesar-artillery-guns-shells-to-ukraine/2570644</t>
  </si>
  <si>
    <t>https://www.lemonde.fr/en/international/article/2022/04/24/france-is-delivering-caesar-cannons-and-milan-anti-tank-missiles-to-kiev_5981417_4.html</t>
  </si>
  <si>
    <t>FRM2</t>
  </si>
  <si>
    <t>The Prime Minister of France announced the shipment of military material, additional to the already sent weapons (see FRM1).</t>
  </si>
  <si>
    <t>CAESAR artillery howitzer</t>
  </si>
  <si>
    <t>https://meta-defense.fr/en/2022/04/22/france-will-deliver-caesar-mobile-artillery-systems-to-ukraine/</t>
  </si>
  <si>
    <t>https://www.strategypage.com/htmw/htart/articles/20220502.aspx</t>
  </si>
  <si>
    <t>FRM3</t>
  </si>
  <si>
    <t>President Macron promised that France will keep providing military aid to Ukraine. No further information regarding the new shipments was disclosed.</t>
  </si>
  <si>
    <t>https://www.reuters.com/world/europe/france-strengthen-military-humanitarian-aid-ukraine-elysee-2022-04-30/</t>
  </si>
  <si>
    <t>FRM4</t>
  </si>
  <si>
    <t>The French Ministry of Defence declared that France will boost military aid to Ukraine. No further information regarding the new shipments was disclosed.</t>
  </si>
  <si>
    <t>https://www.thedefensepost.com/2022/05/31/france-boost-arms-supplies-ukraine/</t>
  </si>
  <si>
    <t>FRM5</t>
  </si>
  <si>
    <t>Pledge of six additional CAESAR howitzers and an undisclosed number of armoured vehicles to Ukraine. Accoring to Source of Aid 2, thousands of CEASAR howitzer shells have been supplied to Ukraine as well. Since those are matching the Artillery committed, we assume they have been committed in this package as well. On the 19th of November, French Defense Minister Sébastien Lecornu specified that France sent 60 VAB APC, so we assume they were delivered in this package (Source of aid 3).</t>
  </si>
  <si>
    <t>https://twitter.com/EmmanuelMacron/status/1542480626560942080</t>
  </si>
  <si>
    <t>https://www.lemonde.fr/en/international/article/2022/10/11/what-weapons-is-france-sending-to-ukraine_5999916_4.html</t>
  </si>
  <si>
    <t>https://www.lejdd.fr/International/sebastien-lecornu-ministre-des-armees-nous-navons-pas-a-rougir-de-notre-aide-a-lukraine-4148779</t>
  </si>
  <si>
    <t>https://www.lefigaro.fr/international/guerre-en-ukraine-sebastien-lecornu-en-visite-a-kiev-20221228</t>
  </si>
  <si>
    <t>Round of ammunition for 155mm howitzer</t>
  </si>
  <si>
    <t>VAB Armored Personnel Carrier</t>
  </si>
  <si>
    <t>FRM6</t>
  </si>
  <si>
    <t>On the 6th of October, after the Prague summit, President Macron announced that France has been creating a new fund worth 100 million EUR for Ukraine to directly buy weapons and other materials it needs from French companies (Source of aid 1). Later in an interview with Le Parisien (Source of aid 2), French Defense Minister Sébastien Lecornu announced that with this money, Ukraine could acquire weapons from French companies. According to him, Ukraine has already started to use this money, for example, by placing an order for floating bridge systems.</t>
  </si>
  <si>
    <t>https://www.france24.com/en/europe/20221007-macron-announces-%E2%82%AC100-million-fund-for-ukraine-to-buy-arms</t>
  </si>
  <si>
    <t>https://www.leparisien.fr/politique/sebastien-lecornu-nous-allons-former-jusqua-2000-soldats-ukrainiens-en-france-15-10-2022-SBLM6EKPOFELNHN3GHGA7IAESY.php</t>
  </si>
  <si>
    <t>FRM7</t>
  </si>
  <si>
    <t xml:space="preserve">On the 6th of October, after the Prague summit, President Macron announced that France could send Caeser howitzers as a part of new military aid package (Source of aid 1). On 12th of October, during an interview with France 2 television channel, he said that France will deliver radars, air-defence systems with ammunition, and 6 Caesar howitzers (Source of aid 2). Later in an interview with Le Parisien (Source of aid 3), French Defense Minister Sébastien Lecornu placed it more precisely and said that France is sending Crotale anti-aircraft systems. 
He also specified that this is a separate aid package from 100 EUR million from the previous entry (FRM6). On the 19th of November, French Defense Minister Sébastien Lecornu specified that France is sending two Crotale anti-aircraft systems and two LRU MLRS, which are a varian of M270 (Source of aid 4). </t>
  </si>
  <si>
    <t>https://www.lemonde.fr/en/international/article/2022/10/12/macron-promises-air-defense-systems-for-ukraine-calls-for-putin-to-discuss-peace_6000130_4.html</t>
  </si>
  <si>
    <t>Cortale air-defense system</t>
  </si>
  <si>
    <t>https://report.az/en/other-countries/france-to-provide-ukraine-with-arms-worth-200m-euros/</t>
  </si>
  <si>
    <t>M270 weapon system</t>
  </si>
  <si>
    <t>unkown radar (France)</t>
  </si>
  <si>
    <t>FRM8</t>
  </si>
  <si>
    <t xml:space="preserve">French Ministry of Defense announces that France will create a special fund worth 200 million EUR with which Ukraine can purchase weapons from French manufactuers </t>
  </si>
  <si>
    <t>https://www.defense.gouv.fr/sites/default/files/ministere-armees/13.01.23%20Entretien%20de%20S%C3%A9bastien%20Lecornu%2C%20ministre%20des%20Arm%C3%A9es%2C%20avec%20Oleksii%20Reznikov.pdf</t>
  </si>
  <si>
    <t>https://www.euronews.com/2022/12/29/french-defence-chief-pledges-fresh-support-for-ukraine-in-visit-to-kyiv</t>
  </si>
  <si>
    <t>https://www.nwaonline.com/news/2022/dec/29/french-vow-more-aid-for-ukraines-military/</t>
  </si>
  <si>
    <t>https://www.txtreport.com/news/2022-12-29-france-will-create-a-fund-of-200-million-euros-for-military-support-of-ukraine.SyArhIqFs.html</t>
  </si>
  <si>
    <t>FRM9</t>
  </si>
  <si>
    <t xml:space="preserve">France promises to supply French-made AMX-10 RC light tanks to Ukraine, which marks the first time a Western country has provided tanks to Ukraine. Number of tanks is undisclosed.  </t>
  </si>
  <si>
    <t>AMX-10 RC</t>
  </si>
  <si>
    <t>https://www.france24.com/en/live-news/20230104-macron-promises-first-western-tanks-for-ukraine</t>
  </si>
  <si>
    <t>https://www.euractiv.com/section/politics/news/france-increases-military-aid-to-ukraine-with-more-tanks/</t>
  </si>
  <si>
    <t>https://www.washingtonexaminer.com/policy/defense-national-security/france-tanks-ukraine-contrast-biden-germany</t>
  </si>
  <si>
    <t>DEH1</t>
  </si>
  <si>
    <t>Germany</t>
  </si>
  <si>
    <t>until 5/6/2022</t>
  </si>
  <si>
    <t>According to the official website of the German Ministry for Economic Development and Cooperation, Germany's humanitarian aid to Ukraine amounts to 185 million EUR. Here, we also include previous humanitarian aid coordinated by the Ministry for Development and Cooperation and the 38.5 million EUR approved on March 7 (see "Source of aid 2"). As the sum of 185 million EUR of humanitarian aid was reached in May 2022, we also report this sum entirely for May for Analysis of Aid over time purposes.</t>
  </si>
  <si>
    <t>https://www.bmz.de/de/laender/ukraine</t>
  </si>
  <si>
    <t>https://www.deutschland.de/en/news/ticker-solidarity-with-ukraine</t>
  </si>
  <si>
    <t>https://www.bundesregierung.de/resource/blob/975226/2155792/c3dbab706421f63d3d612091e7ecad4c/2022-12-27-unterstuetzung-ukraine-breg-data.pdf?download=1%20Guten</t>
  </si>
  <si>
    <t>DEH2</t>
  </si>
  <si>
    <t>During the "Stand Up for Ukraine" donor's conference on April 9, Chancellor Olaf Scholz announced that the German government will send 425 million EUR in humanitarian aid to Ukraine and neighbouring countries. According to an E-Mail received by the Ministry of Economic Development and Cooperation, 55 million EUR out of the annouced 425 million EUR are part of 185 million EUR pledged by the German Ministry of Economic Development and Cooperation (see DEH1) and therefore are not included in this entry (425-55=370).</t>
  </si>
  <si>
    <t>https://www.youtube.com/watch?v=xsRCOOin-0U</t>
  </si>
  <si>
    <t>DEH3</t>
  </si>
  <si>
    <t>During the "Stand Up for the Ukraine" donor's conference chancellor Olaf Scholz announced that the German government will send 70 million EUR in humanitarian aid to Ukraine. We do report the 425 million EUR announced by Scholz on the same day (see "Source of Aid 1", DEH2), and we report the 185 million EUR effectively reported by the Germany Ministry of Economic Development and Cooperation (see DEH1).</t>
  </si>
  <si>
    <t>DEH4</t>
  </si>
  <si>
    <t xml:space="preserve">Not specified. Announced by Olaf Scholz during the "Stand Up for Ukraine" event on May 5. This is in addition to the two loans reported in DEF1, and the intended 140 million EUR in development aid (which we do not include since it refers to an intention and not a commitment). </t>
  </si>
  <si>
    <t>https://interfax.com.ua/news/general/829945.html</t>
  </si>
  <si>
    <t>DEH5</t>
  </si>
  <si>
    <t>During the Ukraine Recovery Conference 2022 in Lugano, which took place in July, Germany announced 426 million EUR in humanitarian aid. On December 27th, Germany released a list of total aid to Ukraine provided in 2022. According to this list, the Federal Ministry of Economic Cooperation and Development committed 406 million EUR. Another part of the contribution made by this Ministry is reported in DEH1. We report 406 million EUR in this entry to cover the German Humanitarian efforts.</t>
  </si>
  <si>
    <t>DEH6</t>
  </si>
  <si>
    <t>Germany pledges €200 million in new aid to assist programs for internally displaced people.</t>
  </si>
  <si>
    <t>https://www.reuters.com/world/europe/germany-pledges-199-mln-aid-displaced-people-ukraine-minister-2022-09-03/</t>
  </si>
  <si>
    <t>https://www.dw.com/en/russia-ukraine-updates-germany-pledges-200-million-in-new-aid-report/a-63013436</t>
  </si>
  <si>
    <t>DEH7</t>
  </si>
  <si>
    <t xml:space="preserve">The German government has given an extra 1 billion euros ($1.03 billion) from its 2023 budget to support Ukraine, with money allocated to defending against Russian cyberattacks and collecting evidence of war crimes. </t>
  </si>
  <si>
    <t>https://www.reuters.com/world/europe/germany-allocates-extra-1-bln-euros-ukraine-cyber-defence-documenting-war-crimes-2022-11-11/</t>
  </si>
  <si>
    <t>DEH8</t>
  </si>
  <si>
    <t>According to the Federal Ministry of Economics statements, it is providing 40 million euros for upgrading the Ukrainian power grid.</t>
  </si>
  <si>
    <t>https://background.tagesspiegel.de/energie-klima/haelfte-des-ukrainischen-stromsystems-lahmgelegt</t>
  </si>
  <si>
    <t>DEH9</t>
  </si>
  <si>
    <t>At the "Solidarity with Ukraine" conference in Paris, Germany pledges another 50 million EUR in humanitarian winter aid to Ukraine.</t>
  </si>
  <si>
    <t>https://twitter.com/GermanyDiplo/status/1602648786886598662?s=20&amp;t=p24pfJZTEUQw2bq9Nf96bQ</t>
  </si>
  <si>
    <t>https://www.washingtonexaminer.com/policy/defense-national-security/ukraine-billion-winter</t>
  </si>
  <si>
    <t>DEH10</t>
  </si>
  <si>
    <t>The German Federal Foreign Office has announced a contribution of EUR 30 million for emergency energy equipment and support to the Ukraine Energy Support Fund.</t>
  </si>
  <si>
    <t>https://www.energy-community.org/news/Energy-Community-News/2022/12/14.html</t>
  </si>
  <si>
    <t>DEH14</t>
  </si>
  <si>
    <t xml:space="preserve">German Foreign Minister announces that Germany will provide 20 million EUR to fund 10,000 Starlink devices to provide internet connection to Ukraine. A third will be handed over to the Armed Forces. </t>
  </si>
  <si>
    <t>Starlink terminal</t>
  </si>
  <si>
    <t>https://www.auswaertiges-amt.de/de/aussenpolitik/laender/ukraine-node/baerbock-in-charkiw/2572792</t>
  </si>
  <si>
    <t>https://www.pravda.com.ua/eng/news/2023/01/10/7384314/?utm_source=dlvr.it&amp;utm_medium=%5Btwitter%5D&amp;utm_campaign=%5Brogue_corq%5D</t>
  </si>
  <si>
    <t>DEM1</t>
  </si>
  <si>
    <t>until 12/21/2022</t>
  </si>
  <si>
    <t>Weapons and Equipment</t>
  </si>
  <si>
    <t xml:space="preserve">DEM1 records German military commitments that are financed by industry, "Ertüchtigungsinitiative", up until 12/22/2022. According to "Source of Aid 1" section 7, this amount is 1.36 billion EUR. "Source of Aid 2" provides the specific items and quantities in this category. </t>
  </si>
  <si>
    <t>https://www.bundesregierung.de/breg-en/news/military-support-ukraine-2055057</t>
  </si>
  <si>
    <t>https://www.bundesregierung.de/breg-en/news/military-support-ukraine-2054993</t>
  </si>
  <si>
    <t>AdBlue (in tons)</t>
  </si>
  <si>
    <t>https://www.bundesregierung.de/breg-en/news/military-support-ukraine-2054992</t>
  </si>
  <si>
    <t>https://www.bundesregierung.de/breg-en/news/military-support-ukraine-2054994</t>
  </si>
  <si>
    <t>https://www.bundesregierung.de/breg-en/news/military-support-ukraine-2054995</t>
  </si>
  <si>
    <t>anti-drone cannon</t>
  </si>
  <si>
    <t>https://www.bundesregierung.de/breg-en/news/military-support-ukraine-2054996</t>
  </si>
  <si>
    <t>anti-drone sensors</t>
  </si>
  <si>
    <t>https://www.bundesregierung.de/breg-en/news/military-support-ukraine-2054997</t>
  </si>
  <si>
    <t>Bergepanzer 2</t>
  </si>
  <si>
    <t>https://www.bundesregierung.de/breg-en/news/military-support-ukraine-2054998</t>
  </si>
  <si>
    <t>https://www.bundesregierung.de/breg-en/news/military-support-ukraine-2054999</t>
  </si>
  <si>
    <t>BIBER bridge-laying tank</t>
  </si>
  <si>
    <t>https://www.bundesregierung.de/breg-en/news/military-support-ukraine-2055001</t>
  </si>
  <si>
    <t>border protection vehicle</t>
  </si>
  <si>
    <t>https://www.bundesregierung.de/breg-en/news/military-support-ukraine-2055003</t>
  </si>
  <si>
    <t>communications electronic scanner/jammer system</t>
  </si>
  <si>
    <t>https://www.bundesregierung.de/breg-en/news/military-support-ukraine-2055002</t>
  </si>
  <si>
    <t>https://www.bundesregierung.de/breg-en/news/military-support-ukraine-2055004</t>
  </si>
  <si>
    <t>counter battery radar system COBRA</t>
  </si>
  <si>
    <t>https://www.bundesregierung.de/breg-en/news/military-support-ukraine-2055005</t>
  </si>
  <si>
    <t>Diesel and gasoline</t>
  </si>
  <si>
    <t>https://www.bundesregierung.de/breg-en/news/military-support-ukraine-2055006</t>
  </si>
  <si>
    <t>electronic anti-drone device</t>
  </si>
  <si>
    <t>https://www.bundesregierung.de/breg-en/news/military-support-ukraine-2055007</t>
  </si>
  <si>
    <t>field glasses</t>
  </si>
  <si>
    <t>https://www.bundesregierung.de/breg-en/news/military-support-ukraine-2055008</t>
  </si>
  <si>
    <t>field hospital</t>
  </si>
  <si>
    <t>https://www.bundesregierung.de/breg-en/news/military-support-ukraine-2055009</t>
  </si>
  <si>
    <t>first aid kit</t>
  </si>
  <si>
    <t>https://www.bundesregierung.de/breg-en/news/military-support-ukraine-2055010</t>
  </si>
  <si>
    <t>frequency range extensions for anti-drone devices</t>
  </si>
  <si>
    <t>https://www.bundesregierung.de/breg-en/news/military-support-ukraine-2055011</t>
  </si>
  <si>
    <t>heavy and medium bridge system</t>
  </si>
  <si>
    <t>https://www.bundesregierung.de/breg-en/news/military-support-ukraine-2055012</t>
  </si>
  <si>
    <t>heavy duty trailer truck</t>
  </si>
  <si>
    <t>https://www.bundesregierung.de/breg-en/news/military-support-ukraine-2055013</t>
  </si>
  <si>
    <t>high frequency unit with equipment</t>
  </si>
  <si>
    <t>https://www.bundesregierung.de/breg-en/news/military-support-ukraine-2055014</t>
  </si>
  <si>
    <t>HMMWV</t>
  </si>
  <si>
    <t>https://www.bundesregierung.de/breg-en/news/military-support-ukraine-2055015</t>
  </si>
  <si>
    <t>Iris-T SLM air defence system</t>
  </si>
  <si>
    <t>https://www.bundesregierung.de/breg-en/news/military-support-ukraine-2055017</t>
  </si>
  <si>
    <t>Iris-T SLM missile</t>
  </si>
  <si>
    <t>https://www.bundesregierung.de/breg-en/news/military-support-ukraine-2055019</t>
  </si>
  <si>
    <t>https://www.bundesregierung.de/breg-en/news/military-support-ukraine-2055018</t>
  </si>
  <si>
    <t>https://www.bundesregierung.de/breg-en/news/military-support-ukraine-2055020</t>
  </si>
  <si>
    <t>laser target designator</t>
  </si>
  <si>
    <t>https://www.bundesregierung.de/breg-en/news/military-support-ukraine-2055021</t>
  </si>
  <si>
    <t xml:space="preserve">Forklift </t>
  </si>
  <si>
    <t>https://www.bundesregierung.de/breg-en/news/military-support-ukraine-2055022</t>
  </si>
  <si>
    <t>M113's refitting (collab with Danemark)</t>
  </si>
  <si>
    <t>https://www.bundesregierung.de/breg-en/news/military-support-ukraine-2055023</t>
  </si>
  <si>
    <t>medical gauzes</t>
  </si>
  <si>
    <t>https://www.bundesregierung.de/breg-en/news/military-support-ukraine-2055024</t>
  </si>
  <si>
    <t>https://www.bundesregierung.de/breg-en/news/military-support-ukraine-2055026</t>
  </si>
  <si>
    <t>MiG-29 spare parts</t>
  </si>
  <si>
    <t>https://www.bundesregierung.de/breg-en/news/military-support-ukraine-2055025</t>
  </si>
  <si>
    <t>https://www.bundesregierung.de/breg-en/news/military-support-ukraine-2055027</t>
  </si>
  <si>
    <t>mine clearing tank</t>
  </si>
  <si>
    <t>https://www.bundesregierung.de/breg-en/news/military-support-ukraine-2055028</t>
  </si>
  <si>
    <t>https://www.bundesregierung.de/breg-en/news/military-support-ukraine-2055029</t>
  </si>
  <si>
    <t>mobile ground surveillance radar</t>
  </si>
  <si>
    <t>https://www.bundesregierung.de/breg-en/news/military-support-ukraine-2055030</t>
  </si>
  <si>
    <t>mobile heating system</t>
  </si>
  <si>
    <t>https://www.bundesregierung.de/breg-en/news/military-support-ukraine-2055031</t>
  </si>
  <si>
    <t>mobile, remote controlled and protected mine clearing system</t>
  </si>
  <si>
    <t>https://www.bundesregierung.de/breg-en/news/military-support-ukraine-2055032</t>
  </si>
  <si>
    <t>https://www.bundesregierung.de/breg-en/news/military-support-ukraine-2055033</t>
  </si>
  <si>
    <t>pick-up</t>
  </si>
  <si>
    <t>https://www.bundesregierung.de/breg-en/news/military-support-ukraine-2055034</t>
  </si>
  <si>
    <t>proctected vehicle</t>
  </si>
  <si>
    <t>https://www.bundesregierung.de/breg-en/news/military-support-ukraine-2055035</t>
  </si>
  <si>
    <t>https://www.bundesregierung.de/breg-en/news/military-support-ukraine-2055036</t>
  </si>
  <si>
    <t>radio jammer</t>
  </si>
  <si>
    <t>https://www.bundesregierung.de/breg-en/news/military-support-ukraine-2055037</t>
  </si>
  <si>
    <t>reconnaissance drone</t>
  </si>
  <si>
    <t>https://www.bundesregierung.de/breg-en/news/military-support-ukraine-2055038</t>
  </si>
  <si>
    <t>RGW 90 Matador man-portable anti-tank weapon</t>
  </si>
  <si>
    <t>https://www.bundesregierung.de/breg-en/news/military-support-ukraine-2055039</t>
  </si>
  <si>
    <t>rocket launcher 70mm on pick-up trucks</t>
  </si>
  <si>
    <t>https://www.bundesregierung.de/breg-en/news/military-support-ukraine-2055040</t>
  </si>
  <si>
    <t>rocket for 70mm rocket launchers</t>
  </si>
  <si>
    <t>https://www.bundesregierung.de/breg-en/news/military-support-ukraine-2055041</t>
  </si>
  <si>
    <t>https://www.bundesregierung.de/breg-en/news/military-support-ukraine-2055042</t>
  </si>
  <si>
    <t>40mm ammunition</t>
  </si>
  <si>
    <t>https://www.bundesregierung.de/breg-en/news/military-support-ukraine-2055043</t>
  </si>
  <si>
    <t>Gepard rapid-fire armored vehicle</t>
  </si>
  <si>
    <t>https://www.bundesregierung.de/breg-en/news/military-support-ukraine-2055044</t>
  </si>
  <si>
    <t>https://www.bundesregierung.de/breg-en/news/military-support-ukraine-2055046</t>
  </si>
  <si>
    <t>https://www.bundesregierung.de/breg-en/news/military-support-ukraine-2055048</t>
  </si>
  <si>
    <t>semi-trailer</t>
  </si>
  <si>
    <t>https://www.bundesregierung.de/breg-en/news/military-support-ukraine-2055047</t>
  </si>
  <si>
    <t>https://www.bundesregierung.de/breg-en/news/military-support-ukraine-2055049</t>
  </si>
  <si>
    <t>M1070 Oshkosh tank transporter tractor</t>
  </si>
  <si>
    <t>https://www.bundesregierung.de/breg-en/news/military-support-ukraine-2055050</t>
  </si>
  <si>
    <t>thermal imaging camera</t>
  </si>
  <si>
    <t>https://www.bundesregierung.de/breg-en/news/military-support-ukraine-2055051</t>
  </si>
  <si>
    <t>tractor</t>
  </si>
  <si>
    <t>https://www.bundesregierung.de/breg-en/news/military-support-ukraine-2055052</t>
  </si>
  <si>
    <t>trailer</t>
  </si>
  <si>
    <t>https://www.bundesregierung.de/breg-en/news/military-support-ukraine-2055053</t>
  </si>
  <si>
    <t>https://www.bundesregierung.de/breg-en/news/military-support-ukraine-2055054</t>
  </si>
  <si>
    <t>truck tractor train</t>
  </si>
  <si>
    <t>https://www.bundesregierung.de/breg-en/news/military-support-ukraine-2055055</t>
  </si>
  <si>
    <t>unmanned surface vessel</t>
  </si>
  <si>
    <t>https://www.bundesregierung.de/breg-en/news/military-support-ukraine-2055056</t>
  </si>
  <si>
    <t>https://www.bundesregierung.de/breg-en/news/military-support-ukraine-2055059</t>
  </si>
  <si>
    <t xml:space="preserve">tracked and remote controlled infantry vehicles for support tasks </t>
  </si>
  <si>
    <t>https://www.bundesregierung.de/breg-en/news/military-support-ukraine-2055058</t>
  </si>
  <si>
    <t>https://www.bundesregierung.de/breg-en/news/military-support-ukraine-2055060</t>
  </si>
  <si>
    <t>drone detection system</t>
  </si>
  <si>
    <t>https://www.bundesregierung.de/breg-en/news/military-support-ukraine-2055061</t>
  </si>
  <si>
    <t>Mi-24 spare parts</t>
  </si>
  <si>
    <t>https://www.bundesregierung.de/breg-en/news/military-support-ukraine-2055062</t>
  </si>
  <si>
    <t xml:space="preserve">Gepard ammunition </t>
  </si>
  <si>
    <t>https://www.bundesregierung.de/breg-en/news/military-support-ukraine-2055063</t>
  </si>
  <si>
    <t>RCH-155 self propelled howitzer</t>
  </si>
  <si>
    <t>https://www.bundesregierung.de/breg-en/news/military-support-ukraine-2055064</t>
  </si>
  <si>
    <t>hangar tent</t>
  </si>
  <si>
    <t>https://www.bundesregierung.de/breg-en/news/military-support-ukraine-2055065</t>
  </si>
  <si>
    <t>load handling truck 8x6</t>
  </si>
  <si>
    <t>https://www.bundesregierung.de/breg-en/news/military-support-ukraine-2055066</t>
  </si>
  <si>
    <t>DEM2</t>
  </si>
  <si>
    <t xml:space="preserve">DEM2 records German in-kind military commitments from the Armed Forces stocks, "Bundeswehr", up until 12/22/2022. According to "Source of Aid 1" section 7, this amount is 534 million EUR. "Source of Aid 2" provides the specific items and quantities in this category. </t>
  </si>
  <si>
    <t>https://www.bundesregierung.de/breg-en/news/military-support-ukraine-2055067</t>
  </si>
  <si>
    <t>generator</t>
  </si>
  <si>
    <t>https://www.bundesregierung.de/breg-en/news/military-support-ukraine-2055068</t>
  </si>
  <si>
    <t>load-handling truck 8x8</t>
  </si>
  <si>
    <t>https://www.bundesregierung.de/breg-en/news/military-support-ukraine-2055069</t>
  </si>
  <si>
    <t>wool blanket</t>
  </si>
  <si>
    <t>https://www.bundesregierung.de/breg-en/news/military-support-ukraine-2055070</t>
  </si>
  <si>
    <t>https://www.bundesregierung.de/breg-en/news/military-support-ukraine-2055071</t>
  </si>
  <si>
    <t>https://www.bundesregierung.de/breg-en/news/military-support-ukraine-2055072</t>
  </si>
  <si>
    <t>MRAP vehicle DINGO</t>
  </si>
  <si>
    <t>https://www.bundesregierung.de/breg-en/news/military-support-ukraine-2055073</t>
  </si>
  <si>
    <t>https://www.bundesregierung.de/breg-en/news/military-support-ukraine-2055076</t>
  </si>
  <si>
    <t>Ammunition for MARS II</t>
  </si>
  <si>
    <t>https://www.bundesregierung.de/breg-en/news/military-support-ukraine-2055077</t>
  </si>
  <si>
    <t>spare parts for heavy machine gun M2</t>
  </si>
  <si>
    <t>https://www.bundesregierung.de/breg-en/news/military-support-ukraine-2055078</t>
  </si>
  <si>
    <t>MG3 for armoured recovery vehicle</t>
  </si>
  <si>
    <t>https://www.bundesregierung.de/breg-en/news/military-support-ukraine-2055079</t>
  </si>
  <si>
    <t>Mars II</t>
  </si>
  <si>
    <t>https://www.bundesregierung.de/breg-en/news/military-support-ukraine-2055080</t>
  </si>
  <si>
    <t>https://www.bundesregierung.de/breg-en/news/military-support-ukraine-2055082</t>
  </si>
  <si>
    <t>Panzerhaubitze 2000</t>
  </si>
  <si>
    <t>https://www.bundesregierung.de/breg-en/news/military-support-ukraine-2055075</t>
  </si>
  <si>
    <t>https://www.bundesregierung.de/breg-en/news/military-support-ukraine-2055084</t>
  </si>
  <si>
    <t>https://www.bundesregierung.de/breg-en/news/military-support-ukraine-2055085</t>
  </si>
  <si>
    <t>https://www.bundesregierung.de/breg-en/news/military-support-ukraine-2055086</t>
  </si>
  <si>
    <t>military tent</t>
  </si>
  <si>
    <t>https://www.bundesregierung.de/breg-en/news/military-support-ukraine-2055088</t>
  </si>
  <si>
    <t>winter jacket</t>
  </si>
  <si>
    <t>https://www.bundesregierung.de/breg-en/news/military-support-ukraine-2055089</t>
  </si>
  <si>
    <t>winter trouser</t>
  </si>
  <si>
    <t>https://www.bundesregierung.de/breg-en/news/military-support-ukraine-2055081</t>
  </si>
  <si>
    <t>https://www.bundesregierung.de/breg-en/news/military-support-ukraine-2055090</t>
  </si>
  <si>
    <t>winter hat</t>
  </si>
  <si>
    <t>https://www.bundesregierung.de/breg-en/news/military-support-ukraine-2055091</t>
  </si>
  <si>
    <t>pre-packaged military meals ready</t>
  </si>
  <si>
    <t>https://www.bundesregierung.de/breg-en/news/military-support-ukraine-2055083</t>
  </si>
  <si>
    <t>https://www.bundesregierung.de/breg-en/news/military-support-ukraine-2055092</t>
  </si>
  <si>
    <t>GEPARD training ammunition round</t>
  </si>
  <si>
    <t>https://www.bundesregierung.de/breg-en/news/military-support-ukraine-2055093</t>
  </si>
  <si>
    <t>Gepard ammunition round</t>
  </si>
  <si>
    <t>https://www.bundesregierung.de/breg-en/news/military-support-ukraine-2055094</t>
  </si>
  <si>
    <t>Panzerfaust 3</t>
  </si>
  <si>
    <t>https://www.bundesregierung.de/breg-en/news/military-support-ukraine-2055095</t>
  </si>
  <si>
    <t>Panzerfaust 3 firing device</t>
  </si>
  <si>
    <t>https://www.bundesregierung.de/breg-en/news/military-support-ukraine-2055087</t>
  </si>
  <si>
    <t>https://www.bundesregierung.de/breg-en/news/military-support-ukraine-2055096</t>
  </si>
  <si>
    <t>anti-tank mine</t>
  </si>
  <si>
    <t>https://www.bundesregierung.de/breg-en/news/military-support-ukraine-2055097</t>
  </si>
  <si>
    <t>https://www.bundesregierung.de/breg-en/news/military-support-ukraine-2055098</t>
  </si>
  <si>
    <t>STRELA man portable air defense system</t>
  </si>
  <si>
    <t>https://www.bundesregierung.de/breg-en/news/military-support-ukraine-2055099</t>
  </si>
  <si>
    <t>round of ammunition for fire arms</t>
  </si>
  <si>
    <t>https://www.bundesregierung.de/breg-en/news/military-support-ukraine-2055100</t>
  </si>
  <si>
    <t>Bunker buster missile (Bunkerfaust)</t>
  </si>
  <si>
    <t>https://www.bundesregierung.de/breg-en/news/military-support-ukraine-2055101</t>
  </si>
  <si>
    <t>MG3</t>
  </si>
  <si>
    <t>https://www.bundesregierung.de/breg-en/news/military-support-ukraine-2055102</t>
  </si>
  <si>
    <t>Spare barrels and breechblocks for MG3</t>
  </si>
  <si>
    <t>https://www.bundesregierung.de/breg-en/news/military-support-ukraine-2055103</t>
  </si>
  <si>
    <t>https://www.bundesregierung.de/breg-en/news/military-support-ukraine-2055104</t>
  </si>
  <si>
    <t>explosive charge</t>
  </si>
  <si>
    <t>https://www.bundesregierung.de/breg-en/news/military-support-ukraine-2055105</t>
  </si>
  <si>
    <t>detonating cord</t>
  </si>
  <si>
    <t>https://www.bundesregierung.de/breg-en/news/military-support-ukraine-2055106</t>
  </si>
  <si>
    <t>detonator</t>
  </si>
  <si>
    <t>https://www.bundesregierung.de/breg-en/news/military-support-ukraine-2055107</t>
  </si>
  <si>
    <t>https://www.bundesregierung.de/breg-en/news/military-support-ukraine-2055108</t>
  </si>
  <si>
    <t>auto-injector device</t>
  </si>
  <si>
    <t>https://www.bundesregierung.de/breg-en/news/military-support-ukraine-2055109</t>
  </si>
  <si>
    <t>combat helmet</t>
  </si>
  <si>
    <t>https://www.bundesregierung.de/breg-en/news/military-support-ukraine-2055110</t>
  </si>
  <si>
    <t>palette military clothing</t>
  </si>
  <si>
    <t>https://www.bundesregierung.de/breg-en/news/military-support-ukraine-2055111</t>
  </si>
  <si>
    <t>vehicle (trucks, minibuses, all-terrain vehicles)</t>
  </si>
  <si>
    <t>https://www.bundesregierung.de/breg-en/news/military-support-ukraine-2055112</t>
  </si>
  <si>
    <t>palette material for explosive ordnance disposal</t>
  </si>
  <si>
    <t>https://www.bundesregierung.de/breg-en/news/military-support-ukraine-2055113</t>
  </si>
  <si>
    <t>binoculars</t>
  </si>
  <si>
    <t>https://www.bundesregierung.de/breg-en/news/military-support-ukraine-2055114</t>
  </si>
  <si>
    <t>hospital bed</t>
  </si>
  <si>
    <t>https://www.bundesregierung.de/breg-en/news/military-support-ukraine-2055115</t>
  </si>
  <si>
    <t>palette medical material</t>
  </si>
  <si>
    <t>https://www.bundesregierung.de/breg-en/news/military-support-ukraine-2055116</t>
  </si>
  <si>
    <t>surgical light</t>
  </si>
  <si>
    <t>https://www.bundesregierung.de/breg-en/news/military-support-ukraine-2055117</t>
  </si>
  <si>
    <t>protective clothing</t>
  </si>
  <si>
    <t>https://www.bundesregierung.de/breg-en/news/military-support-ukraine-2055118</t>
  </si>
  <si>
    <t>surgical mask</t>
  </si>
  <si>
    <t>https://www.bundesregierung.de/breg-en/news/military-support-ukraine-2055119</t>
  </si>
  <si>
    <t>https://www.bundesregierung.de/breg-en/news/military-support-ukraine-2055120</t>
  </si>
  <si>
    <t>radio frequency system</t>
  </si>
  <si>
    <t>https://www.bundesregierung.de/breg-en/news/military-support-ukraine-2055121</t>
  </si>
  <si>
    <t>field telephone</t>
  </si>
  <si>
    <t>https://www.bundesregierung.de/breg-en/news/military-support-ukraine-2055122</t>
  </si>
  <si>
    <t>cable reels and carrying straps</t>
  </si>
  <si>
    <t>https://www.bundesregierung.de/breg-en/news/military-support-ukraine-2055123</t>
  </si>
  <si>
    <t>medical material</t>
  </si>
  <si>
    <t>https://www.bundesregierung.de/breg-en/news/military-support-ukraine-2055124</t>
  </si>
  <si>
    <t>mobile decontamination vehicle</t>
  </si>
  <si>
    <t>https://www.bundesregierung.de/breg-en/news/military-support-ukraine-2055125</t>
  </si>
  <si>
    <t>load handling trucks 15t</t>
  </si>
  <si>
    <t>https://www.bundesregierung.de/breg-en/news/military-support-ukraine-2055126</t>
  </si>
  <si>
    <t>mobile reconnaissance system on vehicles</t>
  </si>
  <si>
    <t>https://www.bundesregierung.de/breg-en/news/military-support-ukraine-2055127</t>
  </si>
  <si>
    <t>armored engineer vehicle</t>
  </si>
  <si>
    <t>https://www.bundesregierung.de/breg-en/news/military-support-ukraine-2055128</t>
  </si>
  <si>
    <t>vehicle decontamination system</t>
  </si>
  <si>
    <t>https://www.bundesregierung.de/breg-en/news/military-support-ukraine-2055129</t>
  </si>
  <si>
    <t>man-portable anti-tank weapon</t>
  </si>
  <si>
    <t>https://www.bundesregierung.de/breg-en/news/military-support-ukraine-2055130</t>
  </si>
  <si>
    <t>Pionierpanzer Dachs</t>
  </si>
  <si>
    <t>https://www.bundesregierung.de/breg-en/news/military-support-ukraine-2055131</t>
  </si>
  <si>
    <t>decontamination material</t>
  </si>
  <si>
    <t>https://www.bundesregierung.de/breg-en/news/military-support-ukraine-2055132</t>
  </si>
  <si>
    <t>fridge for medical material</t>
  </si>
  <si>
    <t>https://www.bundesregierung.de/breg-en/news/military-support-ukraine-2055133</t>
  </si>
  <si>
    <t>DEM3</t>
  </si>
  <si>
    <t>after 12/21/2022</t>
  </si>
  <si>
    <t xml:space="preserve">DEM3 records German military commitments that are financed by industry, "Ertüchtigungsinitiative", after 12/22/2022. "Source of Aid 1" provides the specific items and quantities in this category. At present, there are no entries in this category. </t>
  </si>
  <si>
    <t>https://www.bundesregierung.de/breg-en/news/military-support-ukraine-2055134</t>
  </si>
  <si>
    <t>DEM4</t>
  </si>
  <si>
    <t xml:space="preserve">DEM4 records German in-kind military commitments from the Armed Forces stocks, "Bundeswehr", after 12/22/2022. "Source of Aid 1" provides the specific items and quantities in this category. </t>
  </si>
  <si>
    <t>Patriot air defense battery</t>
  </si>
  <si>
    <t>https://www.bundesregierung.de/breg-en/news/military-support-ukraine-2055135</t>
  </si>
  <si>
    <t>Patriot air defense munition</t>
  </si>
  <si>
    <t>https://www.bundesregierung.de/breg-en/news/military-support-ukraine-2055136</t>
  </si>
  <si>
    <t>DEM5</t>
  </si>
  <si>
    <t xml:space="preserve">DEM5 records German military commitments that are jointly financed by industry, "Ertüchtigungsinitiative", and the Armed Forces, "Bundeswehr", after 12/22/2022. "Source of Aid 1" provides the specific items and quantities in this category. </t>
  </si>
  <si>
    <t xml:space="preserve">infantry fighting vehicle MARDER </t>
  </si>
  <si>
    <t>https://www.bundesregierung.de/breg-en/news/military-support-ukraine-2055137</t>
  </si>
  <si>
    <t>infantry fighting vehicle MARDER munition</t>
  </si>
  <si>
    <t>https://www.bundesregierung.de/breg-en/news/military-support-ukraine-2055138</t>
  </si>
  <si>
    <t>DEM6</t>
  </si>
  <si>
    <t xml:space="preserve">Weapons </t>
  </si>
  <si>
    <t xml:space="preserve">Denmark, Norway and Germany jointly finance a Slovak donation of 16 ZUZANA-2 self-propelled howitzers. Total cost is 92 million EUR. The three countries split the cost equally, so this equals approximately 30.6 million EUR per country. We also assign each country 5 howitzers since it is impossible to divide 16 equally. Since Germany lists the howitzers in its military aid overview (basis for Donation ID DEM1) we do not report any additional commitment for Germany here. </t>
  </si>
  <si>
    <t>https://www.regjeringen.no/en/aktuelt/statement-by-the-norwegian-german-slovakian-and-danish-ministers-of-defence/id2930329/</t>
  </si>
  <si>
    <t>https://www.tagesschau.de/inland/bericht-aus-berlin-lambrecht-haubitzen-101.html</t>
  </si>
  <si>
    <t>https://www.army-technology.com/news/germany-norway-denmark-zuzana2-ukraine/</t>
  </si>
  <si>
    <t>https://www.thedefensepost.com/2022/10/03/germany-denmark-norway-howitzers-ukraine/</t>
  </si>
  <si>
    <t>DEF1</t>
  </si>
  <si>
    <t>The German government provides small and medium-sized Ukrainian enterprises with credit financing in the total amount of 150 million euros.</t>
  </si>
  <si>
    <t>https://www.bmwk.de/Redaktion/DE/Pressemitteilungen/2022/03/20220323-ukr-bundesregierung-fordert-kredite-an-kleine-und-mittelgrosse-unternehmen-in-der-ukraine.html</t>
  </si>
  <si>
    <t>DEF2</t>
  </si>
  <si>
    <t>Additional loan to the already existing 150 million reported in DEF1. The financial assistance is in addition to the humanitarian assistance worth 125 million EUR reported in DEH3 and the intended 140 million EUR in development aid (which we do not include since it refers an intention and not a commitment).</t>
  </si>
  <si>
    <t>DEF3</t>
  </si>
  <si>
    <t>Contribution of 1 billion EUR in grants, announced by the German Minister of Defence during the G7 conference on May 19, 2022. We do not report the 150 million EUR loan reported in "Source of Aid 2", since it is the last tranche of a credit line authorized in 2015. Based on Source of aid 3, we assume it was provided through IMF.</t>
  </si>
  <si>
    <t>https://www.bloomberg.com/news/articles/2022-05-19/germany-to-contribute-1-billion-euros-of-grants-to-ukraine</t>
  </si>
  <si>
    <t>https://www.sueddeutsche.de/politik/g7-deutschland-gibt-ukraine-rund-eine-milliarde-euro-dpa.urn-newsml-dpa-com-20090101-220519-99-355600</t>
  </si>
  <si>
    <t>ELH1</t>
  </si>
  <si>
    <t>Greece</t>
  </si>
  <si>
    <t>Medical supplies. No further information on the shipment has been disclosed.</t>
  </si>
  <si>
    <t>https://www.mod.mil.gr/en/deputy-defence-minister-nikolaos-chardalias-accompanies-a-humanitarian-aid-cargo/#:~:text=humanitarian%20aid%20with-,medical%2C%20pharmaceutical%20and%20first%20aid%20material,-.%20The%20humanitarian%20aid</t>
  </si>
  <si>
    <t> https://greekcitytimes.com/2022/02/28/greece-send-military-medical-ukraine/</t>
  </si>
  <si>
    <t>ELH2</t>
  </si>
  <si>
    <t>The Prime Minister announced that Greece would be ready to rebuild the maternity hospital in Mariupol.</t>
  </si>
  <si>
    <t>Prime Minister GR auf Twitter: „Greece is ready to rebuild the maternity hospital in Mariupol, the center of the Greek minority in Ukraine, a city dear to our hearts and symbol of the barbarity of the war.“ / Twitter</t>
  </si>
  <si>
    <t>https://www.keeptalkinggreece.com/2022/03/18/greece-rebuild-maternity-hospital-mariupol/</t>
  </si>
  <si>
    <t>ELH3</t>
  </si>
  <si>
    <t>A humanitarian aid package. No further information on the shipment has been disclosed. Note that even though the official source ("Source of Aid 1") is from April 6, the actual date where it became publicly known is April 3 ("Source of Aid 2").</t>
  </si>
  <si>
    <t>https://hellenicaid.mfa.gr/en/epikairotita/anakoinoseis/episkepse-upourgou-exoterikon-nikou.html#:~:text=On%203%20April%202022%2C%20Greek%20Minister%20of%20Foreign,relief%20to%20the%20city%E2%80%99s%20population%2C%20including%20Greek%20diaspora.</t>
  </si>
  <si>
    <t>https://cyprus-digest.com/nikos-dendias-arrives-in-odessa-as-head-of-a-humanitarian-mission/</t>
  </si>
  <si>
    <t>ELH4</t>
  </si>
  <si>
    <t>The package includes food, hygienic and pharmaceutical products of unknown amounts. "Source of Aid 1" refers directly to ELH2 (another package from the government as of April 3). Note that the source also mentions additional packages from the Hellenic Red Cross. We do not consider these shipments from the Hellenic Red Cross since they consist of private donations.</t>
  </si>
  <si>
    <t>https://www.mfa.gr/en/current-affairs/statements-speeches/delivery-of-greek-humanitarian-aid-to-the-ukrainian-people-including-diaspora-greeks-in-odessa-11042022-and-departure-of-the-4th-humanitarian-mission-of-the-hellenic-red-cross-to-ukraine-odessa-12042022.html</t>
  </si>
  <si>
    <t>ELM1</t>
  </si>
  <si>
    <t>until 3/15/2022</t>
  </si>
  <si>
    <t>Lethal weapons, in particular assault rifles and anti-tank missiles. "Source of Aid 1" also reports Greece's contribution to NATO, which is not included in our dataset because it is not a direct contribution to Ukraine.</t>
  </si>
  <si>
    <t>AK-47-type assault rifle</t>
  </si>
  <si>
    <t>https://www.ekathimerini.com/news/1179620/greek-role-within-nato-is-upgraded/</t>
  </si>
  <si>
    <t>https://twitter.com/visegrad24/status/1504145180647170060?cxt=HHwWmIC58dGE5t8pAAAA</t>
  </si>
  <si>
    <t>https://tass.com/world/1439267?utm_source=google.com&amp;utm_medium=organic&amp;utm_campaign=google.com&amp;utm_referrer=google.com</t>
  </si>
  <si>
    <t>Soviet-made RPG-18 anti-tank missile launcher</t>
  </si>
  <si>
    <t>https://www.thenationalherald.com/russias-ukraine-invasion-sees-greece-taking-bigger-nato-role/#:~:text=Greece%20sent%20Ukraine%20military%20equipment%20compatible%20with%20that,rocket%20launchers%2C%20aligning%20itself%20with%20NATO%E2%80%99s%20indirect%20assistance.?msclkid=6dac7726ab8911ec980d9386f90d3180</t>
  </si>
  <si>
    <t>missile for Czech-made RM-70 multiple rocket launcher</t>
  </si>
  <si>
    <t>ELM2</t>
  </si>
  <si>
    <t xml:space="preserve">U.S. minister Austin announced during a meeting of the Ukraine Contact Group (a meeting discussing the delivery of weapons and equipment to Ukraine) that Greece would provide more weapons to Ukraine, without giving more information ("Source of Aid 1"). In the next couple of days, media reports ("Sources of Aid 2 &amp; 3") specified the total package of new weapons and Source of Aid 2 clarifies on top of that, that these packages have already been sent to Ukraine. </t>
  </si>
  <si>
    <t>73mm missile</t>
  </si>
  <si>
    <t>https://www.euractiv.com/section/politics/short_news/greece-sends-more-weapons-to-ukraine-angering-the-opposition/</t>
  </si>
  <si>
    <t>https://www.armyrecognition.com/defense_news_june_2022_global_security_army_industry/greece_to_donate_bmp-1p_tracked_armored_ifvs_to_ukraine_in_exchange_for_german_marder_1a3/1a5_ifvs.html</t>
  </si>
  <si>
    <t>https://twitter.com/visegrad24/status/1533567105110507521</t>
  </si>
  <si>
    <t>7.62mm cartridge</t>
  </si>
  <si>
    <t>Stinger missile</t>
  </si>
  <si>
    <t>ELM3</t>
  </si>
  <si>
    <t xml:space="preserve">Transfer of 40 BMP-1 IFVs from Greece to Ukraine and replacement with 40 MARDER IFVs from Germany. Despite reports, the earlier announced 122 BMP-1s have not been committed and delivered due to Germanys interference which is why the number of committed BMP-1 from Greece remains at 40 from this donation. </t>
  </si>
  <si>
    <t>BMP-1</t>
  </si>
  <si>
    <t>https://www.mod.mil.gr/en/transfer-of-40-bmp-1-ifvs-from-greece-to-ukraine/</t>
  </si>
  <si>
    <t>https://neoskosmos.com/en/2022/09/19/news/greece/greek-tanks-on-route-to-ukraine/</t>
  </si>
  <si>
    <t>https://www.facebook.com/UkraineMFA/videos/667551908260597/?extid=NS-UNK-UNK-UNK-IOS_GK0T-GK1C</t>
  </si>
  <si>
    <t>HUH1</t>
  </si>
  <si>
    <t>Hungary</t>
  </si>
  <si>
    <t>First necessity equipment, gasoline, and diesel. The 1 million EUR directed to the Ecumenical Humanitarian Organization and reported by "Source of Aid 1" is not included in the dataset because it is not a sovereign to sovereign flow. Aid to refugees is not considered either since it is not directed to Ukraine.</t>
  </si>
  <si>
    <t>liter of diesel H</t>
  </si>
  <si>
    <t>https://telex.hu/kulfold/2022/02/27/magyarorszag-100-ezer-liter-uzemanyagot-adomanyozott-karpataljanak</t>
  </si>
  <si>
    <t>https://www.karpatinfo.net/2022/2/27/szijjarto-magyarorszag-szerepet-vallal-humanitarius-katasztrofa-enyhiteseben-200055995</t>
  </si>
  <si>
    <t>liter of fuel H</t>
  </si>
  <si>
    <t>HUH2</t>
  </si>
  <si>
    <t>Medical supplies listed in the middle of "Source of Aid 1" (and in "Source of Aid 2"). "Source of Aid 1" and "Source of Aid 2" list also the aid package reported in HUH3.</t>
  </si>
  <si>
    <t>ventilator</t>
  </si>
  <si>
    <t>https://abouthungary.hu/news-in-brief/hungary-to-make-another-shipment-of-humanitarian-aid-to-ukraine?msclkid=ca53d542ab8b11ec95fbf81dabb45ae9</t>
  </si>
  <si>
    <t>https://dailynewshungary.com/hungary-to-send-shipment-of-medical-equipment-to-ukraine/</t>
  </si>
  <si>
    <t>patient monitor</t>
  </si>
  <si>
    <t>central monitor</t>
  </si>
  <si>
    <t>infusion pump and blood bag</t>
  </si>
  <si>
    <t>HUH3</t>
  </si>
  <si>
    <t>The aid consists of clamps, scissors, instrument trays, infusion sets, bandages, surgical gloves and medicines. "Source of Aid 1" and "Source of Aid 2" list also the aid package reported in HUH2.</t>
  </si>
  <si>
    <t>https://bbj.hu/politics/foreign-affairs/ukraine-crisis/ukraine-crisis-hungary-to-send-additional-medical-supplies-to-ukraine</t>
  </si>
  <si>
    <t>HUH4</t>
  </si>
  <si>
    <t>Humanitarian assistance to the municipality of Berehove (Beregszász), comprising 66 million HUF to help in maintaining the water supply.</t>
  </si>
  <si>
    <t>HUF</t>
  </si>
  <si>
    <t>https://abouthungary.hu/news-in-brief/government-donates-huf-66-million-to-help-berehove-water-supply</t>
  </si>
  <si>
    <t>HUH5</t>
  </si>
  <si>
    <t>until 4/20/2022</t>
  </si>
  <si>
    <t xml:space="preserve">Hungary has so far sent 1,300 tons of humanitarian aid (a major part is mentioned in HUH2). But here, the source mentions for the first time a specific amount. We apply as an estimate our price for "ton of necessity items", since the package includes food, medicine, medical equipment and clothes. We then substract the previously calculated sum of HUH1 (since we could quantify this package) so that the remaining sum captures all of the so far unreported humanitarian packages. Moreover, "Source of Aid 1" mentions the package of 100,000 liter fuel ("HUH1") delivered since the war began. </t>
  </si>
  <si>
    <t>ton of necessity items</t>
  </si>
  <si>
    <t>https://dailynewshungary.com/hungary-can-be-of-far-greater-help-if-it-remains-an-island-of-peace-together-with-transcarpathia-says-official/</t>
  </si>
  <si>
    <t>HUH6</t>
  </si>
  <si>
    <t>Five trucks arrived in Ukraine, with 60 tons of durable food and toiletries worth 52 million HUF. Moreover, the Department of Human Resources offered a truckload of medicines worth 210 million HUF. In total, the aid therefore amounts to 262 million HUF.</t>
  </si>
  <si>
    <t>https://life.karpat.in.ua/?p=101279&amp;lang=hu</t>
  </si>
  <si>
    <t>HUH7</t>
  </si>
  <si>
    <t>Construction of a hospital and a school in Kyiv or any other Ukrainian city, and delivery of mobile houses to host internally displaced people in Ukraine, scholarhsips for Ukrainian students, treatment of wounded Ukrainians in Hungarian hospitals. All the aid amount to 37 million EUR and since we cannot disentangle the direct aid to Ukraine from the one offered to refugees (e.g the scholarships), we include here the entire sum. The assistance was announced at the International Donors' Conference on May 5, 2022 (see 1:36:50 in "Source of Aid 1").</t>
  </si>
  <si>
    <t>hospital</t>
  </si>
  <si>
    <t>mobile house</t>
  </si>
  <si>
    <t>HUH8</t>
  </si>
  <si>
    <t xml:space="preserve">Hungary provides 382 million HUF to help with the renovation of a kindergarten in Ukraine    </t>
  </si>
  <si>
    <t>https://hirado.hu/kulfold/cikk/2022/11/10/felujitott-ovodat-adott-at-magyar-levente-karpataljan</t>
  </si>
  <si>
    <t>https://hungarytoday.hu/hungary-extends-humanitarian-aid-for-ukraine-to-education/</t>
  </si>
  <si>
    <t>HUH9</t>
  </si>
  <si>
    <t xml:space="preserve">At the Ukraine Solidarity Conference in Paris on 13 December, Hungary announces a new humanitarian assistance package that funds projects related to energy, water and health infrastrutcture networks. </t>
  </si>
  <si>
    <t>https://kormany.hu/hirek/sztaray-peter-allamtitkar-reszvetele-az-ukrajna-szolidaritasi-nemzetkozi-konferencian</t>
  </si>
  <si>
    <t>INH1</t>
  </si>
  <si>
    <t>India</t>
  </si>
  <si>
    <t>until  5/7/2022</t>
  </si>
  <si>
    <t xml:space="preserve">Until May 7, 2022, India has provided 187 tons of medical and relief items to hospitals in Ukraine. Source of Aid 3 reports 230 tons of medical equipment. However, this includes private donations which we do not consider. Equally, the 7 tons of humanitarian aid mentioned in Source of Aid 4 are part of the 187 tons and will therefore not be reported seperately. </t>
  </si>
  <si>
    <t>https://moz.gov.ua/article/news/ukraina-otrimala-gumanitarnij-vantazh-vid-posolstva-indii</t>
  </si>
  <si>
    <t>https://www.ukrinform.net/rubric-society/3477447-india-donates-total-of-187-tonnes-of-humanitarian-aid-to-ukrainian-hospitals.html</t>
  </si>
  <si>
    <t>https://www.thehindu.com/news/national/ukraine-expects-india-to-participate-actively-in-post-war-construction/article65491977.ece</t>
  </si>
  <si>
    <t>https://www.hindustantimes.com/india-news/india-provides-7-725-kg-of-humanitarian-aid-to-ukraine-101651854620406.html</t>
  </si>
  <si>
    <t>INH2</t>
  </si>
  <si>
    <t>According to source of aid 1, India sent its 12th consignment of humanitarian aid to Ukraine on 12 Sep 2022. Source of aid 2 mentions that the consignment contains 7,725 kilograms of humanitarian aid comprising essential medicines and medical equipment. 7,725 kg translates into 7.725 tonnes</t>
  </si>
  <si>
    <t>https://twitter.com/IndiainUkraine/status/1569230165460537344?ref_src=twsrc%5Etfw%7Ctwcamp%5Etweetembed%7Ctwterm%5E1569230165460537344%7Ctwgr%5E0194295d916b4923f831841754378e309799059f%7Ctwcon%5Es1_&amp;ref_url=https%3A%2F%2Fwww.livemint.com%2Fnews%2Fworld%2Findia-sends-7-725-kilograms-of-humanitarian-aid-to-ukraine-amid-war-read-here-11662994122487.html</t>
  </si>
  <si>
    <t>https://www.livemint.com/news/world/india-sends-7-725-kilograms-of-humanitarian-aid-to-ukraine-amid-war-read-here-11662994122487.html</t>
  </si>
  <si>
    <t>https://timesofindia.indiatimes.com/india/india-hands-over-12th-consignment-of-humanitarian-aid-to-ukraine/articleshow/94157783.cms</t>
  </si>
  <si>
    <t>https://theprint.in/world/india-sends-7725-kilograms-of-humanitarian-aid-to-ukraine/1125936/</t>
  </si>
  <si>
    <t>IEH1</t>
  </si>
  <si>
    <t>Ireland</t>
  </si>
  <si>
    <t>The government announced the dispatchment of humanitarian assistance worth 10 million EUR without providing further information regarding the shipment.</t>
  </si>
  <si>
    <t>https://www.irishtimes.com/news/ireland/irish-news/irish-government-provides-10-million-in-humanitarian-support-for-ukraine-1.4810982#:~:text=The%20Irish%20government%20is%20to%20provide%20%E2%82%AC10%20million,to%20coordinate%20a%20response%20to%20the%20Russian%20invasion.</t>
  </si>
  <si>
    <t>IEH2</t>
  </si>
  <si>
    <t>4,000 blood bags. The aid package falls within the framework of the EU Civil Protection Mechanism (EUCPM). "Source of Aid 1" and "Source of Aid 2" list also the aid package reported in IEH3. "Source of Aid 2" reports a total of 20 million EUR for all aid allocated to people in Ukraine and to refugees who have fled to neighboring countries. We don't directly report this value because it is partially allocated to countries other than Ukraine, and partially covered in IEH1.</t>
  </si>
  <si>
    <t>blood bag</t>
  </si>
  <si>
    <t>https://www.gov.ie/en/press-release/b80b7-government-ministers-announce-irish-support-for-ukrainian-health-service/?msclkid=07ab0901b05a11ec8239ca04bfcdbb9d</t>
  </si>
  <si>
    <t>https://www.irishtimes.com/news/health/thousands-of-blood-bags-and-protective-suits-among-irish-aid-sent-to-ukraine-1.4824403</t>
  </si>
  <si>
    <t>IEH3</t>
  </si>
  <si>
    <t>Medical supplies. The assistance falls within the framework of the EU Civil Protection Mechanism (EUCPM). "Source of Aid 1" and "Source of Aid 2" list also the aid package reported in IEH2. "Source of Aid 2" reports a total of 20 million EUR for all aid allocated to people in Ukraine and to refugees who have fled to neighboring countries. We don't directly report this value because it is partially allocated to countries other than Ukraine, and partially covered in IEH1.</t>
  </si>
  <si>
    <t>bio protection suit</t>
  </si>
  <si>
    <t>IEH4</t>
  </si>
  <si>
    <t>until 3/26/2022</t>
  </si>
  <si>
    <t xml:space="preserve">"Source of Aid 1" mentions that beside medical consumables and personal protective equipment (listed in IEH5, IEH6), the government has sent 9 ambulances. </t>
  </si>
  <si>
    <t>https://www.gov.ie/en/press-release/2e59c-update-on-medical-humanitarian-support-to-ukraine/</t>
  </si>
  <si>
    <t>IEH5</t>
  </si>
  <si>
    <t>In total, four shipments were sent to Ukraine from March 26, to April 1. "Source of Aid 1" mentions that the these shipments include over 3,600 items comprising critical care devices including life support, diagnostic, therapeutic and infant care together with a range of consumable devices. However, due to the unknown amount, we cannot further quantify this aid package.</t>
  </si>
  <si>
    <t>IEH6</t>
  </si>
  <si>
    <t>In addition to the shipments mentioned in IEH4, another delivery of 18 pallets of pharmaceutical items was sent to Ukraine.</t>
  </si>
  <si>
    <t>IEH7</t>
  </si>
  <si>
    <t>Ireland committed during the "Stand Up for Ukraine Event" to direct its REACT-EU funds, worth 53 million EUR, to Ukraine for humanitarian purposes.</t>
  </si>
  <si>
    <t>IEH8</t>
  </si>
  <si>
    <t>Grant provided by the Ministry of Foreign Affairs to an Irish charity in order to open a center providing psychological support and sexual health care in Ukraine.</t>
  </si>
  <si>
    <t>https://www.irishmirror.ie/news/irish-news/politics/goal-opens-new-support-offices-27021322</t>
  </si>
  <si>
    <t>IEH9</t>
  </si>
  <si>
    <t xml:space="preserve">Ireland has sent 10 additional ambulances, thus bringing the total value of medical assistance to EUR 4.3 million. Since part of this assistance has already been quantified and defined in IEH2, IEH3, IEH4, IEH5 and IEH6, we substract the quantified amounts from the total EUR 4.3 million mentioned in the source. Thus, the monetary value equals to EUR 2.197 million. Moreover, Ireland has contributed EUR 20 million through UN agencies and the Red Cross in our dataset. </t>
  </si>
  <si>
    <t>https://www.gov.ie/en/press-release/e6e61-ireland-donates-ambulances-and-other-life-saving-equipment-to-ukraine/#:~:text=%E2%80%9CIreland%20is%20sending%20another%20significant,the%20wider%20coordinated%20EU%20effort.</t>
  </si>
  <si>
    <t xml:space="preserve">https://www.independent.ie/irish-news/news/10-hse-ambulances-sent-to-ukraine-to-help-in-humanitarian-effort-41789730.html </t>
  </si>
  <si>
    <t>ITH1</t>
  </si>
  <si>
    <t>Italy</t>
  </si>
  <si>
    <t xml:space="preserve">Grant with humanitarian purposes to the International Red Cross activities in Ukraine. According to "Source of Aid 1", Italy has supported the Ukrainian defence with substantial military support (ITM1-ITM3), granted 110 million EUR (ITF1), committed to a loan of 200 million EUR (ITF2), donated 1 million EUR to ICRC operations in Ukraine (ITH1), shipped health/sanitary goods via the EU Civil Protection Mechanism (ITH2), sent medical equipment via Poland and Rumania to Ukraine (ITH3), donated 45 fire-vehicles (ITH4), additionally contributed with 25 million EUR in response to the humanitarian appeals lanunched by the United Nations system and the International Red Cross (ITH5). We do not iclude aids to international organisations or aids to Ukrainian refugees outside Ukraine. </t>
  </si>
  <si>
    <t>https://www.esteri.it/en/politica-estera-e-cooperazione-allo-sviluppo/aree_geografiche/europa/litalia-a-sostegno-dellucraina/</t>
  </si>
  <si>
    <t>ITH2</t>
  </si>
  <si>
    <t xml:space="preserve">Food and first-necessity items. The aid package falls within the framework of the EU Civil Protection Mechanism (EUCPM). This mechanism organizes logistics for donations and covers some of the transportation cost. No further information regarding the shipment has been disclosed. </t>
  </si>
  <si>
    <t>https://www.esteri.it/it/sala_stampa/archivionotizie/comunicati/2022/03/fornitura-di-beni-umanitari-in-favore-della-popolazione-ucraina/</t>
  </si>
  <si>
    <t>ITH3</t>
  </si>
  <si>
    <t xml:space="preserve">Italian Civil Protection sent materials via Poland (200 tents for a total of 1000 people; 1000 camp beds; 1000 sleeping bags), medicines and medical equipment via Romania (23 ambulances, as well as 3 field kitchens). According to "Source of Aid 1", Italy has supported the Ukrainian defence with substantial military support (ITM1-ITM3), granted 110 million EUR (ITF1), committed to a loan of 200 million EUR (ITF2), donated 1 million EUR to ICRC operations in Ukraine (ITH1), shipped health/sanitary goods via the EU Civil Protection Mechanism (ITH2), sent medical equipment via Poland and Rumania to Ukraine (ITH3), donated 45 fire-vehicles (ITH4), additionally contributed with 25 million EUR in response to the humanitarian appeals lanunched by the United Nations system and the International Red Cross (ITH5). We do not iclude aids to international organisations or aids to Ukrainian refugees outside Ukraine. </t>
  </si>
  <si>
    <t>bed</t>
  </si>
  <si>
    <t>ITH4</t>
  </si>
  <si>
    <t xml:space="preserve">The Italian Corpo Nazionale dei Vigili del Fuoco donated 45 vehicles to their Ukrainian counterpart. The shipment, coordinated by the Italian Civil Protection, left by train towards Slovakia. According to "Source of Aid 1", Italy has supported the Ukrainian defence with substantial military support (ITM1-ITM3), granted 110 million EUR (ITF1), committed to a loan of 200 million EUR (ITF2), donated 1 million EUR to ICRC operations in Ukraine (ITH1), shipped health/sanitary goods via the EU Civil Protection Mechanism (ITH2), sent medical equipment via Poland and Rumania to Ukraine (ITH3), donated 45 fire-vehicles (ITH4), additionally contributed with 25 million EUR in response to the humanitarian appeals lanunched by the United Nations system and the International Red Cross (ITH5). We do not iclude aids to international organisations or aids to Ukrainian refugees outside Ukraine. </t>
  </si>
  <si>
    <t>fire-vehicle</t>
  </si>
  <si>
    <t>https://www.padovaoggi.it/cronaca/vigili-fuoco-mezzi-ucraina-padova-14-aprile-2022.html</t>
  </si>
  <si>
    <t>ITH5</t>
  </si>
  <si>
    <t>Donation amounting to 4 million EUR for the International Red Cross in Ukraine, 6 million for UNICEF in Ukraine and 6 million to the OCHA's "Ukraine Humanitarian Fund". All of these international organizations are active in Ukraine. We do not count donations made to international organisations that are not explicitly active in Ukraine.</t>
  </si>
  <si>
    <t>https://www.onuitalia.com/2022/04/20/ucraina-sereni-da-italia-26-milioni-di-aiuti-umanitari/</t>
  </si>
  <si>
    <t>ITH6</t>
  </si>
  <si>
    <t>At the Solidarity with Ukraine conference in Paris, Italy's Minister of Foreign Affairs allocates an additional 10 million EUR in aid. On December 27, Zelenskyy thanks Italy for this aid (Sources of Aid 2 and 3)</t>
  </si>
  <si>
    <t>https://www.eurointegration.com.ua/eng/news/2022/12/27/7153213/</t>
  </si>
  <si>
    <t>https://twitter.com/ZelenskyyUa/status/1607762593682161667?cxt=HHwWhoCw-fDj9c8sAAAA</t>
  </si>
  <si>
    <t>https://t.me/V_Zelenskiy_official/4544</t>
  </si>
  <si>
    <t>ITH7</t>
  </si>
  <si>
    <t xml:space="preserve">Italy will provide over 50 tons of electrical material for the reconstruction of the power grid destroyed by Russian attacks. This will guarantee power for around three million people. </t>
  </si>
  <si>
    <t>https://www.ukrinform.net/rubric-ato/3650513-italy-ready-to-send-more-weapons-to-ukraine-foreign-minister.html</t>
  </si>
  <si>
    <t>https://www.ansa.it/english/news/general_news/2023/01/11/italy-set-to-send-aid-for-ukraine-power-emergency_dc0fd37c-3162-4596-a62e-cc3680424566.html</t>
  </si>
  <si>
    <t>ITM1</t>
  </si>
  <si>
    <t>Since February 2022, Italy has sent an undisclosed number of lethal and non-lethal weapons to Ukraine, worth a total of 150 million EUR according to a statement of the Italian Ministry of Defense. Also, "Source of Aid 3" reports that 50 million EUR are accountable to the equipment material, while the remainder is related to major and minor weapons. The Italian government has not disclosed the full list, but, thanks to a leak published by “Il Fatto Quotidiano”, Italy has sent an undisclosed number of Stinger launchers, millions of rounds of ammunition caliber 12.7, thousands of mortar bombs, Browning machine guns, thousands of helmets, Milan launchers and thousands of food rations. "Source of Aid 1" reports also aid for refugees, which we don't report in our dataset because it is not a flow directed to Ukraine. "Source of Aid 2" lists also the aid package reported in ITF1 (110 million EUR).</t>
  </si>
  <si>
    <t>https://www.repubblica.it/politica/2022/03/01/news/armi_ucraina_di_governo_oggi_camere-339750246/</t>
  </si>
  <si>
    <t>https://www.startmag.it/innovazione/armi-italia-ucraina/</t>
  </si>
  <si>
    <t>https://www.termometropolitico.it/1600183_guerra-russia-ucraina-litalia-invia-armi-e-mezzi-i-dettagli-delloperazione.html</t>
  </si>
  <si>
    <t>https://www.repubblica.it/esteri/2022/04/28/news/guerra_russia_ucraina_armi_italiane-347273567/</t>
  </si>
  <si>
    <t>ITM2</t>
  </si>
  <si>
    <t>Italy approved a second tranche of military aid for Ukraine. The Minister of Defence declared that the second tranche of aid "will be of the same nature as the first one", in terms of items sent (see ITM1). However, no further details were announced.</t>
  </si>
  <si>
    <t>https://www.gazzettaufficiale.it/eli/id/2022/04/27/22A02651/sg</t>
  </si>
  <si>
    <t>https://www.ilmessaggero.it/politica/armi_ucraina_italia_guerini_conte_draghi_costo_cosa_succede_governo_ultime_notizie-6652159.html</t>
  </si>
  <si>
    <t>ITM3</t>
  </si>
  <si>
    <t xml:space="preserve">Italy approved a third tranche (see ITM1 and ITM2) of military aid to Ukraine, which entails 155 mm FH70 howitzers, Lince armoured vehicles and M130 tracks for troop transport, but does not include tanks or drones (see "Source of Aid 3") . According to "Source of Aid 2", on May 9 it became publicly know by John Kirby that besides Belgium (BEM4) and the Netherlands (NLM4), Italy would be sending either M-109 or 155mm howitzers PzH 2000, however the exact amount remains unclear. "Source of Aid 3" clarifies that Italy will deliver 155 mm FH70 towed howitzers (amount undisclosed). </t>
  </si>
  <si>
    <t>FH70 155mm howitzer</t>
  </si>
  <si>
    <t>https://www.gazzettaufficiale.it/atto/serie_generale/caricaDettaglioAtto/originario?atto.dataPubblicazioneGazzetta=2022-05-13&amp;atto.codiceRedazionale=22A02976&amp;elenco30giorni=false</t>
  </si>
  <si>
    <t>https://mil.in.ua/en/news/the-netherlands-italy-and-belgium-have-agreed-to-transfer-the-additional-155-mm-caliber-acs-to-ukraine/</t>
  </si>
  <si>
    <t>https://www.fanpage.it/politica/armi-allucraina-arriva-il-terzo-decreto-del-governo-lelenco-e-secretato-come-i-precedenti/</t>
  </si>
  <si>
    <t>https://www.ilmessaggero.it/mondo/armi_italia_ucraina_inviate_quali_sono_guerra_russia_ultime_notizie-6743279.html</t>
  </si>
  <si>
    <t>https://geopolitiki.com/italian-fh70-howitzers-ukraine-against-russians/</t>
  </si>
  <si>
    <t>M130 tracks for troop transport</t>
  </si>
  <si>
    <t>Lince armoured car</t>
  </si>
  <si>
    <t>105mm light field gun ammunition</t>
  </si>
  <si>
    <t>ITM4</t>
  </si>
  <si>
    <t xml:space="preserve">Italy approved its fourth tranche (see ITM1, ITM2. ITM3) of military aid to Ukraine. As for the other four shipments, the type of weapons committed and the monetary value of the donation is still kept secret. </t>
  </si>
  <si>
    <t>https://twitter.com/oleksiireznikov/status/1553647959501414401?s=20&amp;t=sxJyy3lEqeaMPa3O1ayEDw</t>
  </si>
  <si>
    <t>https://www.ilfattoquotidiano.it/2022/07/27/armi-allucraina-ok-del-copasir-al-quarto-decreto-sullinvio-aderente-alle-indicazioni-del-parlamento-la-lista-e-sempre-segreta/6744667/</t>
  </si>
  <si>
    <t>ITM5</t>
  </si>
  <si>
    <t xml:space="preserve">Italy approved a fifth tranche (see ITM1, ITM2, ITM3, ITM4) of military aid to Ukraine As for the other four shipments, the type of weapons committed and the monetary value of the donation is still kept secret. </t>
  </si>
  <si>
    <t>https://www.ukrinform.net/rubric-ato/3604150-italy-provides-ukraine-with-two-m270-systems-six-pzh-2000-about-30-selfpropelled-howitzers-media.html</t>
  </si>
  <si>
    <t>ITM6</t>
  </si>
  <si>
    <t xml:space="preserve">In October 2022, La Republica revealed the last decree of the previous Italian Government regarding the supply of Ukraine with heavy weapons.
</t>
  </si>
  <si>
    <t>https://euromaidanpress.com/2022/10/30/italy-allegedly-supplied-many-heavy-weapons-to-ukraine-but-didnt-disclose-it-earlier-la-repubblica/</t>
  </si>
  <si>
    <t>https://euromaidanpress.com/2022/11/05/italy-set-to-approve-sixth-military-aid-package-for-ukraine-italian-defense-minister/</t>
  </si>
  <si>
    <t>https://www.reuters.com/world/europe/italy-open-supplying-air-defence-systems-ukraine-official-2022-11-08/</t>
  </si>
  <si>
    <t>M109 A3GM 155mm howitzer</t>
  </si>
  <si>
    <t>ITM7</t>
  </si>
  <si>
    <t>Italian government decides to provide Ukraine with a SAMP/T anti-air missile defense system. This missile defense system is an Italian-French partnership. The French Ambassador to Ukraine says that Italy will give one system (Source of Aid 3)</t>
  </si>
  <si>
    <t>SAMP/T anti-air missile defense system</t>
  </si>
  <si>
    <t>https://en.interfax.com.ua/news/general/884303.html</t>
  </si>
  <si>
    <t>https://english.nv.ua/nation/italy-to-transfer-samp-t-air-defense-battery-to-ukraine-news-50297426.html</t>
  </si>
  <si>
    <t>https://www.assemblee-nationale.fr/dyn/16/comptes-rendus/cion_def/l16cion_def2223020_compte-rendu</t>
  </si>
  <si>
    <t>https://www.thedefensepost.com/2023/01/24/italy-air-defense-system-ukraine/</t>
  </si>
  <si>
    <t>ITF1</t>
  </si>
  <si>
    <t>Grant worth 110 million EUR.</t>
  </si>
  <si>
    <t>https://www.ansa.it/sito/notizie/topnews/2022/02/27/di-maio-da-italia-110-milioni-di-euro-al-governo-di-kiev_946fac9e-f0a8-492e-9b12-7b64fefc6bac.html</t>
  </si>
  <si>
    <t>https://ua.interfax.com.ua/news/general/804360.html</t>
  </si>
  <si>
    <t>ITF3</t>
  </si>
  <si>
    <t>200 million EUR loan for a 15-year period, with the grace period of 7.5 years, and applies a 0 % interest rate.</t>
  </si>
  <si>
    <t>https://www.kmu.gov.ua/en/news/minfin-ukraina-otrymala-200-mln-ievro-vid-italii</t>
  </si>
  <si>
    <t>JPH1</t>
  </si>
  <si>
    <t>Japan</t>
  </si>
  <si>
    <t>Decided on in February 27, disbursed On March 11, the Government of Japan decided to extend 100 million US dollars in emergency humanitarian assistance to assist the people of Ukraine who are facing hardship in Ukraine and neighboring countries. $59.3 million are allocated directly to Ukraine, which is the amount we report here.</t>
  </si>
  <si>
    <t>https://japan.kantei.go.jp/ongoingtopics/pdf/jp_stands_with_ukraine_eng.pdf</t>
  </si>
  <si>
    <t>https://japan.kantei.go.jp/ongoingtopics/_00002.html</t>
  </si>
  <si>
    <t>JPH2</t>
  </si>
  <si>
    <t>Decided on March 24, disbursed on April 5, the Government of Japan decided to provide additional 100 million US dollars in emergency humanitarian assistance to assist the people of Ukraine who are facing hardship in Ukraine and neighboring countries. $53.87 will go directly to Ukraine, which is the amount we report here.</t>
  </si>
  <si>
    <t>JPH3</t>
  </si>
  <si>
    <t>Japan provided a grant for medical equipment to Ukraine. It belongs to the "Economic and Social Development Programme". Note that "Source of Aid 1" also includes the signment of a loan of 100 million USD, which belongs to the total volume that was committed earlier (see JPF1).</t>
  </si>
  <si>
    <t>https://www.kmu.gov.ua/en/news/ukrayina-otrimaye-vid-yaponiyi-kredit-u-rozmiri-100-mln-dol-ssha-ta-grant-23-mln-dol-ssha</t>
  </si>
  <si>
    <t>https://ukranews.com/en/news/853495-japan-decides-to-allocate-usd-100-million-loan-and-usd-2-3-million-grant-to-ukraine</t>
  </si>
  <si>
    <t>JPH4</t>
  </si>
  <si>
    <t>Government of Japan decided to extend an Emergency Grant Aid of about 1.66 million US dollars, considering further increase of needs for humanitarian assistance to assist the people of Ukraine.</t>
  </si>
  <si>
    <t>https://www.mofa.go.jp/press/release/press3e_000396.html#:~:text=Emergency%20Grant%20Aid%20for%20the%20transportation%20of%20relief%20products%20for%20Ukraine,-May%2027%2C%202022&amp;text=On%20May%2027%2C%20the%20Government,assist%20the%20people%20of%20Ukraine.</t>
  </si>
  <si>
    <t>JPH5</t>
  </si>
  <si>
    <t>The Japanese Ministry of Defense will provide new civilian vehicles (vans) to the Ukrainian government. They will also hand over additional small drones as stated in Source of Aid 1, quantified in Donation ID JPM3.</t>
  </si>
  <si>
    <t>civilian van</t>
  </si>
  <si>
    <t>https://www.mod.go.jp/j/press/news/2022/08/04a.html</t>
  </si>
  <si>
    <t>https://www.kyivpost.com/russias-war/japan-to-provide-vans-drones-to-ukraine.html</t>
  </si>
  <si>
    <t>https://mil.in.ua/en/news/the-ministry-of-defense-of-japan-will-hand-over-vans-and-drones-to-ukraine/</t>
  </si>
  <si>
    <t>JPH6</t>
  </si>
  <si>
    <t xml:space="preserve">According to Source of Aid 1 which is an official document by the Japanese government, Japan has provided Ukraine with generators and winterization support worth USD 2.57 million through international organisations. </t>
  </si>
  <si>
    <t>https://babel.ua/en/news/87339-japan-will-transfer-generators-and-solar-batteries-to-ukraine-on-a-grant-basis</t>
  </si>
  <si>
    <t>JPH7</t>
  </si>
  <si>
    <t>Government of Japan decided to allocate approximately 500 million USD of Supplementary Budget in humanitarian assistance to Ukraine and its neighbouring countries and recovery and reconstruction of Ukraine. Only $495.37 million are intended directly for Ukraine, which is the amount we report here.</t>
  </si>
  <si>
    <t>https://interfax.com.ua/news/general/881342.html</t>
  </si>
  <si>
    <t>https://babel.ua/en/news/88860-japan-plans-to-provide-ukraine-with-an-additional-500-million-in-aid</t>
  </si>
  <si>
    <t>JPM1</t>
  </si>
  <si>
    <t xml:space="preserve">Military basic supplies such as bulletproof vests, helmets, power generators and food. According to "Source of Aid 2", this was enacted officially on March 8. Source of Aid 4 lists 110000 provided food rations, out of which 100000 are intended for Ukraine. </t>
  </si>
  <si>
    <t>https://www.wsj.com/livecoverage/russia-ukraine-latest-news-2022-03-04/card/japan-will-send-the-ukrainian-military-basic-supplies-VOtpnPjTX2ooK8dqQ8o8?msclkid=8d9aa20aaf4811eca75cd52c21f47675</t>
  </si>
  <si>
    <t>https://www.mofa.go.jp/press/release/press4e_003098.html</t>
  </si>
  <si>
    <t>https://cxtvnews.com/military/2022/03/07/japan-decides-to-send-military-supplies-to-ukraine/</t>
  </si>
  <si>
    <t>https://www.ukrinform.net/rubric-ato/3424220-japan-sends-military-protective-equipment-to-ukraine.html</t>
  </si>
  <si>
    <t>https://www.wfp.org/news/japan-provides-us28-million-humanitarian-food-assistance-ukraine</t>
  </si>
  <si>
    <t>JPM2</t>
  </si>
  <si>
    <t xml:space="preserve">Japan announced the dispatchment of protective masks, clothing against chemical weapons and camera-equipped drones. Source of Aid 2 mentions the number of 30 drones. </t>
  </si>
  <si>
    <t>protective mask with filter</t>
  </si>
  <si>
    <t>https://english.kyodonews.net/news/2022/04/00e4cd64dc1c-japan-to-offer-protective-masks-clothing-drones-to-ukraine.html</t>
  </si>
  <si>
    <t>https://www.asahi.com/ajw/articles/14608909</t>
  </si>
  <si>
    <t>chemical, biological, radiological, nuclear protective equipment</t>
  </si>
  <si>
    <t>https://www.nippon.com/en/news/kd927892413712449536/</t>
  </si>
  <si>
    <t>JPM3</t>
  </si>
  <si>
    <t xml:space="preserve">The Japanese Ministry of Defense will provide small drones to the Ukrainian government. Source of Aid 4 mentions "at least a dozen", which is why we use 12 as the minimal number of committed drones. They will also hand over additional new civilian vehicles (vans), quantified in donation JPH3. </t>
  </si>
  <si>
    <t>JPF1</t>
  </si>
  <si>
    <t>Loan of at least 100 million USD to Ukraine. As stated by "Source of Aid 2", the loan is provided in cooperation with the World Bank. "Source of Aid 1" lists also the aid packages reported in JPH1 and JPM1. Moreover, "Source of Aid 1" reports a total value of aid amounting to 1.87 billion USD, however from 2014 on. We do not report this value in our dataset, because it considers aid prior to January 24, 2022.</t>
  </si>
  <si>
    <t>https://www.mofa.go.jp/press/kaiken/kaiken24e_000113.html</t>
  </si>
  <si>
    <t xml:space="preserve">https://www.reuters.com/markets/europe/japan-offers-ukraine-100-mln-loans-show-support-2022-02-15/ </t>
  </si>
  <si>
    <t>JPF2</t>
  </si>
  <si>
    <t>Prime Minister Kishida announced to increase the previous granted loan (JPF1) to a total of 300 million USD. Hence, we consider here the increase of 200 million USD.</t>
  </si>
  <si>
    <t>https://www.reuters.com/world/europe/japan-trebles-loans-ukraine-300-mln-pm-kishida-other-leaders-2022-04-19/</t>
  </si>
  <si>
    <t>https://www.ukrinform.net/rubric-ato/3462246-japan-to-extend-300-million-in-loans-to-ukraine.html</t>
  </si>
  <si>
    <t>https://www.fxempire.com/news/article/japan-trebles-loans-to-ukraine-to-300-million-pm-kishida-to-other-leaders-972430</t>
  </si>
  <si>
    <t>JPF3</t>
  </si>
  <si>
    <t>Prime Minister Kishida announced to double the financial aid to Ukraine to 600 million USD (previous amount was also 300 million USD, see JPF1 and JPF2). The additional 300 million USD in loans ("Source of Aid 2" specifies that it will be a loan) are provided via the World Bank.</t>
  </si>
  <si>
    <t>https://japantoday.com/category/politics/japan-to-double-ukraine-aid-to-600-million</t>
  </si>
  <si>
    <t>https://www3.nhk.or.jp/nhkworld/en/news/20220519_02/</t>
  </si>
  <si>
    <t>https://www.business-standard.com/article/international/japan-will-double-financial-aid-for-ukraine-to-600-million-pm-kishida-122051900737_1.html</t>
  </si>
  <si>
    <t>LVH1</t>
  </si>
  <si>
    <t>Latvia</t>
  </si>
  <si>
    <t>Broad aid package covering various areas, ranging from support to Ukrainian media to support for international organizations working in Ukraine. Since we cannot disentangle the part of the aid dispatched to Ukrainian media from the part of the aid dispatched to international organizations, we apply our upper bound rule and report the entire package of 1.2 million EUR. We do not consider the 1.2 million sent through the European Peace Facility, since this is categorized as EU military aid. Source of Aid 4 later specified that part of this package went to NGOs or third-party countries, so it could not be considered bilateral aid.</t>
  </si>
  <si>
    <t>https://www.mfa.gov.lv/en/article/latvian-foreign-ministry-channel-eur-24000000-towards-assistance-ukraine</t>
  </si>
  <si>
    <t>https://eng.lsm.lv/article/society/defense/30-truckloads-of-equipment-heading-from-latvia-to-ukraine.a445455/</t>
  </si>
  <si>
    <t xml:space="preserve">https://eng.lsm.lv/article/society/society/latvia-has-sent-14-loads-of-donations-to-ukraine.a448977/ </t>
  </si>
  <si>
    <t>E-Mail from the Foreign Ministry of the Republic of Latvia</t>
  </si>
  <si>
    <t>LVH2</t>
  </si>
  <si>
    <t>The Cabinet decided to donate two ambulances (according to the Cabinet, worth 83,693.93 EUR each) and 200 stretchers to the Borispil hospital (worth 29.88 EUR each). The aid package falls within the framework of the EU Civil Protection Mechanism (EUCPM).</t>
  </si>
  <si>
    <t>ambulance Latvia</t>
  </si>
  <si>
    <t xml:space="preserve">https://tapportals.mk.gov.lv/legal_acts/4cc2e5ed-8d7f-4052-8aaa-9a3a1d472b7d </t>
  </si>
  <si>
    <t>stretcher Latvia</t>
  </si>
  <si>
    <t>LVH3</t>
  </si>
  <si>
    <t xml:space="preserve">Latvia will hand over to the Transplantation Coordination Center of Ukraine the consumables and equipment needed to ensure the operation of the blood centers. The total value of these projects is approximately 30 thousand EUR (Source of aid 2). </t>
  </si>
  <si>
    <t>https://www.vm.gov.lv/lv/jaunums/ziedos-aprikojumu-ukrainas-asins-centriem</t>
  </si>
  <si>
    <t>LVH4</t>
  </si>
  <si>
    <t>Latvia donated medicines and medical devices to Ukraine in the amount of 1.4 million euros.</t>
  </si>
  <si>
    <t>https://www.vm.gov.lv/lv/jaunums/latvija-ziedos-ukrainai-zales-un-medicinas-ierices-14-miljonu-eiro-apmera</t>
  </si>
  <si>
    <t>LVH5</t>
  </si>
  <si>
    <t>Lithuanian State Fire and Rescue Service (VUGD) is to transfer material and technical means to Ukraine. Source of aid 2 revealed the total value of this aid.</t>
  </si>
  <si>
    <t>https://lvportals.lv/dienaskartiba/341367-valsts-ugunsdzesibas-un-glabsanas-dienests-atbalstot-ukrainu-nodod-dalu-no-materialtehniskas-bazes-2022</t>
  </si>
  <si>
    <t>LVH6</t>
  </si>
  <si>
    <t xml:space="preserve">On the 1st of July, the Foreign Ministry published a list of the projects that received the grant for their realization (Source of aid 1). Among those projects, a certain about is dedicated to direct aid to Ukraine. The total value of these projects is approximately 356 thousand EUR (Source of aid 2). </t>
  </si>
  <si>
    <t>https://www.mfa.gov.lv/en/article/foreign-ministry-awards-grants-development-cooperation-projects-2022-2023</t>
  </si>
  <si>
    <t>LVH7</t>
  </si>
  <si>
    <t>The Latvian Cabinet of Ministers allocated almost 560 thousand euros from the state budget to purchase generators for Ukraine's needs.</t>
  </si>
  <si>
    <t>https://rus.delfi.lv/news/daily/latvia/latviya-vydelit-550-tysyach-evro-na-pokupku-generatorov-dlya-ukrainskih-mass-media.d?id=55050546</t>
  </si>
  <si>
    <t>https://myc.news/en/politika/latviya_vydelit_56__tysyach_evro_na_pokupku_generatorov_dlya_ukrainskih_smi</t>
  </si>
  <si>
    <t>LVM1</t>
  </si>
  <si>
    <t>until 4/6/2022</t>
  </si>
  <si>
    <t>"Source of Aid 1", an email from the Ministry of Defense, quantifies the military aid to Ukraine to 220 million EUR and mentions the listed items. Among them are also Stinger anti-aircraft missile system ("Source of Aid 4" specifies the commitment of them). This is in line with a statement of Latvia's Minister of Foreign Affairs from April 6 (more than 200 million euros in support of the Ukraine, "Source of Aid 2") and includes LVM1. Considering the value Latvia provides via the European Peace Facility and which we therefore count as EU aid (1.2 million EUR, see "Source of Aid 3" - here we list also LVH1), we quantify 218.8 million EUR. As the aid was provided until April 2022 and no earlier announcement can be verified, we report this package entirely for the month of April for Analysis of Aid over time purposes.</t>
  </si>
  <si>
    <t>armament (Latvia)</t>
  </si>
  <si>
    <t>E-Mail from the Ministry of Defence of the Republic of Latvia</t>
  </si>
  <si>
    <t>https://twitter.com/edgarsrinkevics/status/1511694357560180745?ref_src=twsrc%5Etfw%7Ctwcamp%5Etweetembed%7Ctwterm%5E1511694357560180745%7Ctwgr%5E%7Ctwcon%5Es1_&amp;ref_url=https%3A%2F%2Fwww.redditmedia.com%2Fmediaembed%2Ftxqhaq%3Fresponsive%3Dtrueis_nightmode%3Dfalse</t>
  </si>
  <si>
    <t>https://www.mod.gov.lv/en/news/latvia-delivers-stinger-anti-aircraft-missile-system-ukraine</t>
  </si>
  <si>
    <t>Stinger anti-aircraft system (Latvia)</t>
  </si>
  <si>
    <t>unmanned system (Latvia)</t>
  </si>
  <si>
    <t>Helicopter and spare parts (Latvia)</t>
  </si>
  <si>
    <t>MRE</t>
  </si>
  <si>
    <t>LVM2</t>
  </si>
  <si>
    <t>until 7/7/2022</t>
  </si>
  <si>
    <t>During the interview with Ukrinform, the president of Latvia Egils Levits said that so far, Latvia has provided 250 million euros to Ukraine for military assistance(Source of Aid 1). Since in LVM1 we reported 218.8 million euros, we calculate that Latvia donated another 30 million euros. (we don't count 1.2 million euros dedicated to the European peace facility). He also specified that this help is already provided, so we consider it to be delivered. As the interview was conducted in July, we also consider this aid package to have been committed and delivered entirely in July for Analysis of Aid over time purposes.</t>
  </si>
  <si>
    <t>https://www.ukrinform.ua/rubric-world/3523885-egils-levits-prezident-latvii.html</t>
  </si>
  <si>
    <t>LVM3</t>
  </si>
  <si>
    <t>According to the press release of the Latvian Ministry of Defense, Latvia has delivered Mi-17 and Mi-2 helicopters to the Ukrainian army.</t>
  </si>
  <si>
    <t>Mi-17</t>
  </si>
  <si>
    <t>https://www.mod.gov.lv/lv/zinas/latvija-ukrainas-armijai-piegadajusi-helikopterus-mi-17-un-mi-2</t>
  </si>
  <si>
    <t>https://twitter.com/Pabriks/status/1559196940167962624?s=20&amp;t=8mX0LWVPGMqpt7LQ8N__qA</t>
  </si>
  <si>
    <t>Mi-2</t>
  </si>
  <si>
    <t>LVM4</t>
  </si>
  <si>
    <t>According to Oleg Reznikov, the Ukraine Minister of Defense, Latvia has delivered six more M109 howitzers to the Ukrainian army.</t>
  </si>
  <si>
    <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t>
  </si>
  <si>
    <t>LVF1</t>
  </si>
  <si>
    <t>Latvia has contributed 5 million EUR to the Multi Donor Trust Fund set up by the World Bank to facility financial support to the Ukraine. The latter is part of the Emergency Financing Package established by the World Bank and amounting to 723 million USD. Other countries have contributed to Emergency Financing Package: the Netherlands with 89 million USD, Sweden with 50 million USD, the United Kingdom with 100 million USD, Denmark with 22 million USD, Latvia + Lithuania + Iceland with 12 million USD and Japan with 100 million USD.</t>
  </si>
  <si>
    <t>https://eng.lsm.lv/article/economy/economy/latvia-directs-additional-five-million-euros-to-ukraine.a446989/#:~:text=The%20Latvian%20government%20has%20directed,of%20military%20aggression%20by%20Russia.</t>
  </si>
  <si>
    <t>LVF2</t>
  </si>
  <si>
    <t>During the High-Level International Donor's Conference for Ukraine on May 5, 2022, Latvia announced to double its contribution by 10 million EUR (see "Source of Aid 1" at 1:39:20). "Source of Aid 2" clarifies  that this represents a loan guarantee as contribution to the IBRD PEACE project.</t>
  </si>
  <si>
    <t>https://www.vestnesis.lv/op/2022/118.11</t>
  </si>
  <si>
    <t>LTM1</t>
  </si>
  <si>
    <t>Lithuania</t>
  </si>
  <si>
    <t>until 3/16/2022</t>
  </si>
  <si>
    <t>Military aid worth a total of 29 million EUR. According to "Source of Aid 1", the Prime Minister indicated that this has included overall Stinger anti-aircraft systems, and other important military equipment like ammunition. However, no further information regarding the amounts and type of item supplied has been released.</t>
  </si>
  <si>
    <t>https://www.delfi.lt/en/politics/kasciunas-lithuania-provides-ukraine-with-military-aid-worth-eur-29-mln.d?id=89718941</t>
  </si>
  <si>
    <t>https://www.teletrader.com/lithuania-to-give-ukraine-10m-in-military-aid/news/details/57547008?internal=1&amp;ts=1654245351379</t>
  </si>
  <si>
    <t>LTM2</t>
  </si>
  <si>
    <t>The Lithuanian President announced the provision of at least 10 million EUR in additional military aid to Ukraine, including night vision devices and anti-drone weapons.</t>
  </si>
  <si>
    <t>https://www.lrt.lt/en/news-in-english/19/1652048/lithuania-to-provide-eur10m-in-military-aid-to-ukraine</t>
  </si>
  <si>
    <t>https://www.teletrader.com/lithuania-to-give-ukraine-10m-in-military-aid/news/details/57547008?internal=1&amp;ts=1650527739811</t>
  </si>
  <si>
    <t>anti-drone weapon</t>
  </si>
  <si>
    <t>LTM3</t>
  </si>
  <si>
    <t>The Lithuanian defense minister states that among the weapons sent, there are heavy mortars. Even though the minister did not disclose a specific number, it was reported that the overall cost for this military assistance is worth "tens of millions" EUR. However, as the minister stated on April 26 that the total military aid Lithuania had provided until that date is worth 100 million ("Source of Aid 3"), we can subtract from this value the values for LTM1 (29 million EUR) and LTM2 (10 million EUR) and can apply a value fof 61 million EUR to correctly reflect the total military aid provided by Lithuania. "Source of aid 4" specifies that Lithuania sent 120mm mortars.</t>
  </si>
  <si>
    <t>2B11 or M/41D 120mm heavy mortar</t>
  </si>
  <si>
    <t>https://news.az/news/lithuania-supplies-another-batch-of-weapons-to-ukraine</t>
  </si>
  <si>
    <t>https://www.txtreport.com/news/2022-04-21-lithuania-has-provided-ukraine-with-large-mortars.Sk8DYtC45.html</t>
  </si>
  <si>
    <t>https://www.armyrecognition.com/defense_news_may_2022_global_security_army_industry/lithuania_prepares_a_shipment_of_20_m113_tracked_apcs_to_ukraine.html</t>
  </si>
  <si>
    <t>https://twitter.com/a_anusauskas/status/1546202214003269635</t>
  </si>
  <si>
    <t>LTM4</t>
  </si>
  <si>
    <t>Lithuania announced to provide military equipment, worth about 15.5 million EUR. "Source of Aid 4" mentions that this package would bring the total value of Lithuania's military aid to 115 million EUR, which corresponds to the sum of LTM1 - LTM4.</t>
  </si>
  <si>
    <t>https://interfax.com/newsroom/top-stories/79528/</t>
  </si>
  <si>
    <t>https://www.lrt.lt/en/news-in-english/19/1702086/lithuania-to-hand-over-eur15-5-million-worth-of-armoured-vehicles-trucks-suvs-to-ukraine</t>
  </si>
  <si>
    <t>https://twitter.com/Lithuanian_MoD/status/1529371608766468097?ref_src=twsrc%5Etfw%7Ctwcamp%5Etweetembed%7Ctwterm%5E1529371608766468097%7Ctwgr%5E%7Ctwcon%5Es1_&amp;ref_url=https%3A%2F%2Fwww.republicworld.com%2Fworld-news%2Frussia-ukraine-crisis%2Frussia-ukraine-war-lithuania-to-send-armoured-personnel-carriers-in-military-aid-to-kyiv-articleshow.html</t>
  </si>
  <si>
    <t>https://www.lrt.lt/en/news-in-english/19/1702318/lithuania-among-top-15-of-ukraine-s-military-donors-mp</t>
  </si>
  <si>
    <t>https://twitter.com/UAWeapons/status/1530575142115495937</t>
  </si>
  <si>
    <t>Military trucks</t>
  </si>
  <si>
    <t>off-road vehicle for demining operations</t>
  </si>
  <si>
    <t>LTM5</t>
  </si>
  <si>
    <t>Arvydas Anušauskas, Lithuanian defence minister, says in July 2022 that they provided 123 million EUR of military aid to this point. Still, "Source of Aid 2" states that Bayraktar drones listed in "Source of aid 1" and thus included in 123 million EUR of military aid were covered by private donations. Considering that Luthiania previously provided 115 million EUR, we calculate this package to be worth 8 million EUR with private donations and 2 million EUR without. Thus, we report 2 million EUR. Arvydas Anušauskas also specifies which weapons were sent so far, so we consider this package to contain only those weapons that have not been specifically indicated in previous ones.</t>
  </si>
  <si>
    <t>https://www.reuters.com/world/europe/lithuania-transfer-crowdfunded-bayraktar-drone-ukraine-wednesday-2022-07-06/</t>
  </si>
  <si>
    <t>LTM6</t>
  </si>
  <si>
    <t>Arvydas Anušauskas, Lithuanian defence minister, committed additional M113 and M577 military vehicles to be delivered "in the nearest future". We estimate the total monetary value using more recent reports (see LTM8). Source of delivery indicates the amount of M113 found in LTM4, LTM6 and LTM7.</t>
  </si>
  <si>
    <t>https://twitter.com/a_anusauskas/status/1549776944295809028</t>
  </si>
  <si>
    <t>https://defence-blog.com/lithuania-to-send-more-armored-vehicles-to-ukraine/</t>
  </si>
  <si>
    <t>https://twitter.com/a_anusauskas/status/1574471610807062542?cxt=HHwWnMC88dHl0tkrAAAA</t>
  </si>
  <si>
    <t>M577 Command Post Carrier</t>
  </si>
  <si>
    <t xml:space="preserve">https://twitter.com/a_anusauskas/status/1549776944295809028 </t>
  </si>
  <si>
    <t xml:space="preserve">https://defence-blog.com/lithuania-to-send-more-armored-vehicles-to-ukraine/ </t>
  </si>
  <si>
    <t>LTM7</t>
  </si>
  <si>
    <t>According to the correspondent of ukrinform, Lithuanian president Gitanas Nauseda announced a new package of military aid, which includes military ammunition and 10 armoured vehicles (Source of Aid 1). President did not reveal which armoured vehicles are to be sent to Ukraine but based on previous commitments and stocks of the Lithuanian army; we assume it goes about M113. The exact type of ammunition, however, remains unknown.</t>
  </si>
  <si>
    <t>https://www.ukrinform.net/rubric-ato/3538884-lithuanian-president-announces-new-package-of-military-aid-to-ukraine.html</t>
  </si>
  <si>
    <t>military ammunition</t>
  </si>
  <si>
    <t>LTM8</t>
  </si>
  <si>
    <t>According to Arvydas Anušauskas, the Lithuanian Minister of Defense, Lithuania has delivered an unspecified amount of M50 105 mm howitzers and M101 105 mm howitzers. He also mentioned that with this package, the total aid provided by Lithuania reaches 200 EUR million. Thus, we can redistribute approximately 50 EUR million between this package (LTM8) and LTM6 since these are only two packages for which we don't have any information regarding the number of weapons sent and the monetary value provided by the source. As before, we do not include 8 EUR million from private donations.</t>
  </si>
  <si>
    <t>M50 105mm howitzer</t>
  </si>
  <si>
    <t>https://www.facebook.com/arvydas.anusauskas/posts/pfbid0NXcMbwFUD4xXGgSJXGo4GpNMp54C1HMYD4taLbMP8jK4N2mh2Z2Emv1xGJqzMJvol</t>
  </si>
  <si>
    <t>https://twitter.com/Lithuanian_MoD/status/1567446474312540160?ref_src=twsrc%5Etfw%7Ctwcamp%5Etweetembed%7Ctwterm%5E1567446474312540160%7Ctwgr%5E4672a6b5ec4c4f6cf0f7166371f51fb78182c17f%7Ctwcon%5Es1_&amp;ref_url=https%3A%2F%2Fwww.eurointegration.com.ua%2Fnews%2F2022%2F09%2F7%2F7146332%2F</t>
  </si>
  <si>
    <t>M101 105mm howitzer</t>
  </si>
  <si>
    <t>https://www.facebook.com/UkraineMFA/videos/440959088009136/</t>
  </si>
  <si>
    <t xml:space="preserve">https://fakty.com.ua/en/ukraine/20220926-lytva-postavyla-ukrayini-50-btr-m113-glava-minoborony/ </t>
  </si>
  <si>
    <t>LTM9</t>
  </si>
  <si>
    <t>Lithuania is to train Ukranian soldiers in the UK and in Lithuania</t>
  </si>
  <si>
    <t>https://twitter.com/a_anusauskas/status/1579816453611847680</t>
  </si>
  <si>
    <t>LTM10</t>
  </si>
  <si>
    <t>Lithuania is to provide additional military aid to Ukraine, according to Arvydas Anušauskas, the Lithuanian defence minister. The amount of M113 and armoured Toyotas is specified in Source of Aid 2 and 3. Source of aid 4 specified the amount and the price of winter clothing.</t>
  </si>
  <si>
    <t>winter clothing (Lithuania)</t>
  </si>
  <si>
    <t>https://twitter.com/a_anusauskas/status/1580272120306995201</t>
  </si>
  <si>
    <t>https://twitter.com/a_anusauskas/status/1585514603366305794</t>
  </si>
  <si>
    <t>https://twitter.com/a_anusauskas/status/1592084804501401604</t>
  </si>
  <si>
    <t>https://twitter.com/a_anusauskas/status/1575131983499362304</t>
  </si>
  <si>
    <t>Armored toyota Land Cruiser 200</t>
  </si>
  <si>
    <t>Thermal imagery system</t>
  </si>
  <si>
    <t>LTM11</t>
  </si>
  <si>
    <t xml:space="preserve">Lithuania is repairing PzH2000, 6 of which already have been repaired and 14 more are expected to be repaired. </t>
  </si>
  <si>
    <t>Panzerhaubitze 2000 (repair)</t>
  </si>
  <si>
    <t>https://twitter.com/a_anusauskas/status/1586273232511848449</t>
  </si>
  <si>
    <t>https://twitter.com/a_anusauskas/status/1596199415714566144</t>
  </si>
  <si>
    <t>https://twitter.com/a_anusauskas/status/1598967997879955457</t>
  </si>
  <si>
    <t>LTM12</t>
  </si>
  <si>
    <t>According to the Lithuanian minister of defense, on 21 November 2022, the total military aid amounted to over 232 million EUR. Since we have approximately 200 million EUR, we report here the rest.</t>
  </si>
  <si>
    <t>https://twitter.com/a_anusauskas/status/1594701256463110144</t>
  </si>
  <si>
    <t>LTM13</t>
  </si>
  <si>
    <t>According to the Lithuanian minister of defense Lithuania sends undisclosed amount of 155mm ammunition for the Ukrainian artillery.</t>
  </si>
  <si>
    <t>https://twitter.com/a_anusauskas/status/1601586263811031040</t>
  </si>
  <si>
    <t>LTM14</t>
  </si>
  <si>
    <t>According to the Lithuanian minister of defense, on 10 December 2022, the total military aid amounted to 280 million EUR. Since we have approximately 230 million EUR, we report here the rest. Source of aid 2 reports this information earlier.</t>
  </si>
  <si>
    <t>LTH1</t>
  </si>
  <si>
    <t>Equipment and Assistance</t>
  </si>
  <si>
    <t xml:space="preserve">Shipment of first necessity items and equipment. The donations fall within the framework of the EU Civil Protection Mechanism (EUCPM). No further information regarding the shipment has been disclosed. </t>
  </si>
  <si>
    <t>https://lrv.lt/en/news/lithuania-allocates-1-8-mln-euro-worth-aid-to-ukraine?msclkid=2f9d4bd4b05c11ecbef1f3a571834d09</t>
  </si>
  <si>
    <t>LTH2</t>
  </si>
  <si>
    <t>The Lithuanian government approved a medical aid package to Ukraine worth 4 million EUR. According to "Source of Aid 1", it includes "medication, face masks, surgical kits, bandages, surgery gowns, various kits to stop bleeding and treat bone fractures, as well as burn wounds". Particular amounts remain undisclosed.</t>
  </si>
  <si>
    <t>https://www.lrt.lt/en/news-in-english/19/1628536/lithuania-to-send-eur4-million-medical-military-assistance-to-ukraine</t>
  </si>
  <si>
    <t>LTH3</t>
  </si>
  <si>
    <t>until 4/9/2022</t>
  </si>
  <si>
    <t>According to "Source of Aid 1", Lithuania expressed that it sent in-kind humanitarian and financial assistance worth 40 million EUR. Since no further information is provided, we include the total sum to avoid underestimating the true support. However, we take into account LTH1 and LTH2, and substract it from the mentioned aggregate sum (40-4-1.8=34.2).</t>
  </si>
  <si>
    <t>LTH4</t>
  </si>
  <si>
    <t>During the High-Level International Donor's Conference for Ukraine on May 5, 2022, Lithuania announced to provide additional 2 million EUR to support internally displaced people in Ukraine (01:44:52 in "Source of Aid 1").</t>
  </si>
  <si>
    <t>LTH5</t>
  </si>
  <si>
    <t>Lithuanian government approves 10 million euros in aid for Ukraine's rebuilding needs</t>
  </si>
  <si>
    <t>https://lrv.lt/en/news/government-approves-10-million-euros-in-aid-for-ukraines-rebuilding-needs</t>
  </si>
  <si>
    <t>LTH6</t>
  </si>
  <si>
    <t>Lithuania provides €5m to help Ukraine rebuild energy infrastructure. Source of aid 3 specifies the details.</t>
  </si>
  <si>
    <t>https://www.lrt.lt/en/news-in-english/19/1824281/lithuania-provides-eur5m-to-help-ukraine-rebuild-energy-infrastructure</t>
  </si>
  <si>
    <t>https://www.delfi.lt/en/politics/lithuania-provides-eur-5-mln-to-help-ukraine-rebuild-energy-infrastructure.d?id=91786261</t>
  </si>
  <si>
    <t>https://twitter.com/a_anusauskas/status/1596869391974813698</t>
  </si>
  <si>
    <t>LTH7</t>
  </si>
  <si>
    <t>Lithuania provides additional 4 million EUR to help Ukraine rebuild energy infrastructure.</t>
  </si>
  <si>
    <t>https://twitter.com/a_anusauskas/status/1597973635004010496</t>
  </si>
  <si>
    <t>LTF1</t>
  </si>
  <si>
    <t>Together with Iceland and Latvia, Lithuania has contributed 12 million EUR to the Multi Donor Trust Fund set up by the World Bank to facilitate financial support to the Ukraine. Latvia contributed 5 million EUR through this vehicle (LVF1). We attribute another 5 million EUR to Lithuania (see "Source of Aid 2"). The contribution is part of the Emergency Financing Package established by the World Bank thats amounts to 723 million USD in total. Other countries have contributed to this Emergency Financing Package: the Netherlands with 89 million USD, Sweden with 50 million USD, the United Kingdom with 100 million USD, Denmark with 22 million USD, Latvia + Lithuania + Iceland with 12 million USD and Japan with 100 million USD.</t>
  </si>
  <si>
    <t>https://mof.gov.ua/en/news/ukraines_state_budget_financing_since_the_beginning_of_the_full-scale_war-3435</t>
  </si>
  <si>
    <t>LTF2</t>
  </si>
  <si>
    <t>Lithuania allocates 5 million EUR through the World Bank URTF for urgent reconstruction works in Ukraine.</t>
  </si>
  <si>
    <t>https://finmin.lrv.lt/lt/naujienos/lietuva-per-pasaulio-banka-skiria-5-mln-euru-skubiems-ukrainos-atstatymo-darbams</t>
  </si>
  <si>
    <t>LUM1</t>
  </si>
  <si>
    <t>Luxembourg</t>
  </si>
  <si>
    <t>Following "Source of Aid 1", Luxembourg's defense minister stated on April 25 that the country has provided 50 million EUR in military and financial support to Ukraine until this date. As the government does not provide a detailed breakdown of the total amount (see "Source of Aid 1"), we report the total as military support. Here, we list the two announcements that belong to this 50 million EUR package. First, on February 28 it was announced that Luxembourg would send lethal weapons and equipment. We do not include the military equipment provided to NATO since this is not a direct flow into Ukraine (i.e. not a sovereign-to-sovereign flow). For the same reson, we do not include Luxembourg's contribution to the European funding of 250 million EUR, which refers probably to the EU Civil Protection Mechanism (see "Source of Aid 2" and "Source of Aid 3" of the package from February 28). Second, the minister of defense stated on March 28 that Luxembourg sent more than what is listed above, including protective vests and gas masks. Source of aid 4, published at the end of 2022, specifies what was delivered, and even though we cannot track when each particular item was delivered, we assume that all of them, except GRAD missiles, were committed in the biggest package.</t>
  </si>
  <si>
    <t>https://delano.lu/article/luxembourg-gives-50m-in-milita</t>
  </si>
  <si>
    <t>https://gouvernement.lu/en/actualites/toutes_actualites/communiques/2022/02-fevrier/28-bausch-ukraine.html</t>
  </si>
  <si>
    <t>https://delano.lu/article/zelenskyy-thanks-luxembourg-fo</t>
  </si>
  <si>
    <t>https://twitter.com/Defense_lu/status/1598610977364115462?t=6bU22e0y0z-S3WKot0R3BA&amp;s=19</t>
  </si>
  <si>
    <t>https://delano.lu/article/luxembourg-delivering-substant</t>
  </si>
  <si>
    <t>NLAW anti-tank weapon</t>
  </si>
  <si>
    <t>Jeep Wrangler 4x4</t>
  </si>
  <si>
    <t>rounds of small arms ammunition</t>
  </si>
  <si>
    <t>Soviet-made RPG-7 anti-tank missile launcher</t>
  </si>
  <si>
    <t>Tactical secure communications system</t>
  </si>
  <si>
    <t>Food ration M</t>
  </si>
  <si>
    <t>Primoco UAV One 150</t>
  </si>
  <si>
    <t>Armored high mobility multipurpose wheeled vehicle</t>
  </si>
  <si>
    <t>Pick-up</t>
  </si>
  <si>
    <t>3D scanner</t>
  </si>
  <si>
    <t>light poles set</t>
  </si>
  <si>
    <t>LUM2</t>
  </si>
  <si>
    <t>Luxembourg bought 200 rounds of ammunition for BM-21 Grad from an undisclosed EU country to give Ukraine, Luxembourg Defence Minister François Bausch says. Source of aid 2 specifies that more GRAD missles were bought in 2022, and therefore we increase the number here.</t>
  </si>
  <si>
    <t>GRAD multiple rocket launcher rocket</t>
  </si>
  <si>
    <t>https://www.luxtimes.lu/en/luxembourg/luxembourg-bought-soviet-era-weapons-for-ukraine-62cfbed9de135b9236a64dd4</t>
  </si>
  <si>
    <t>https://www.dw.com/en/ukraine-updates-zelenskyy-hints-he-is-open-to-talks-with-russia/a-63679013</t>
  </si>
  <si>
    <t>LUM3</t>
  </si>
  <si>
    <t>until 10/4/2022</t>
  </si>
  <si>
    <t xml:space="preserve">During the Warsaw Security Forum, François Bausch, Luxembourgish Minister of Defense, said that so far, his country has provided 72 million lethal and non-lethal equipment. We use this number to update the estimates of the aid provided after the last packages, LUM1 and LUM2.    </t>
  </si>
  <si>
    <t>https://gouvernement.lu/en/actualites/toutes_actualites/communiques/2022/10-octobre/04-bausch-warsaw-security-forum.html</t>
  </si>
  <si>
    <t>LUM4</t>
  </si>
  <si>
    <t>until 12/2/2022</t>
  </si>
  <si>
    <t>The Ministry of defense published new information regarding the amount of aid provided until 2 December, which is 75 million EUR. Since we have less, we report the difference here.</t>
  </si>
  <si>
    <t>LUH1</t>
  </si>
  <si>
    <t>until 5/5/2022</t>
  </si>
  <si>
    <t>According to the statement of the Prime Minister as of May 5 (see 2:17:20 in "Source of Aid 1"), Luxembourg had until that date contributed 3 million EUR in humanitarian aid to Ukraine. Being part of it, we report for Luxembourg a a delivery containing medical and technical equipment as of February 28 ("Source of Aid 2"). This assistance falls within the framework of the EU Civil Protection Mechanism (EUCPM). No further information regarding the shipment has been disclosed.</t>
  </si>
  <si>
    <t>https://www.youtube.com/watch?v=A1nTsblXabc</t>
  </si>
  <si>
    <t>https://gouvernement.lu/en/actualites/toutes_actualites/communiques/2022/02-fevrier/28-bofferding-ucpm.html</t>
  </si>
  <si>
    <t>LUH2</t>
  </si>
  <si>
    <t xml:space="preserve">"Source of Aid 1" indicates that Luxembourg sent material contributions, namely 50 tons of fire-fighting equipment and medical supplies and medicines. Note that we do not count the mentioned assistance of 2.8 million in "Source of Aid 1", because this is devoted to multilateral organizations. The Prime Minister reiterated this aid within his statement, as of May 5 ("Source of Aid 2", 2:17:20). </t>
  </si>
  <si>
    <t>ton of fire-fighting equipment</t>
  </si>
  <si>
    <t>https://today.rtl.lu/news/luxembourg/a/1881929.html</t>
  </si>
  <si>
    <t>LUH3</t>
  </si>
  <si>
    <t>Luxembourg increased its humanitarian efforts with 1 million EUR "with a focus on children's safety" (see 2:17:40 in "Source of Aid 1").</t>
  </si>
  <si>
    <t>MTH1</t>
  </si>
  <si>
    <t>Malta</t>
  </si>
  <si>
    <t xml:space="preserve">Six large containers with medicines and medical equipment with a value of 1.15 million EUR, delivered through a coordinated national effort between the Ministry for Foreign and European Affairs and the Ministry for Home Affairs, National Security and Law Enforcement. Efforts are being coordinated by the Civil Protection Department. </t>
  </si>
  <si>
    <t>https://foreignandeu.gov.mt/en/Government/Press%20Releases/Pages/The-Government-of-Malta-is-committed-to-providing-official-aid-to-address-the-humanitarian-needs-of-the-people-of-Ukraine.aspx</t>
  </si>
  <si>
    <t>https://www.independent.com.mt/articles/2022-02-25/local-news/Malta-to-send-humanitarian-aid-to-Ukrainian-people-6736240942</t>
  </si>
  <si>
    <t>MTH2</t>
  </si>
  <si>
    <t>until 12/14/2022</t>
  </si>
  <si>
    <t xml:space="preserve">At the international conference on the Resiliance of Ukrainian people in Paris, Malta Foreign Minister says that Malta has provided Ukraine with 1.7 million EUR in emergency aid since March, mostly involving medical equipment and medicine. We take this amount to do a benchmark and subtract the previous value of humanitarian aid (MTH1) to get 550,000 EUR. </t>
  </si>
  <si>
    <t>https://timesofmalta.com/articles/view/maltas-gives-ukraine-17-million-emergency-assistance.1001419</t>
  </si>
  <si>
    <t>https://www.maltatoday.com.mt/news/national/120300/ian_borg_malta_has_given_ukraine_17_million_in_emergency_aid_since_march</t>
  </si>
  <si>
    <t>NLM1</t>
  </si>
  <si>
    <t>Netherlands</t>
  </si>
  <si>
    <t>Military equipment, equipment for protection (such as helmets, vests, detectors and radar systems) and lethal weapons such as rifles and ammunitions. "Source of Aid 3" mentions that the Minister of Foreign Affairs quantifies this package to about 7.4 million EUR. This delivery is part of the total military aid by the Netherlands until March 31, amounting to 50 million EUR ("Source of Aid 1").</t>
  </si>
  <si>
    <t>https://english.defensie.nl/latest/news/2022/04/06/a-look-at-the-defence-news-28-march---3-april</t>
  </si>
  <si>
    <t>https://www.government.nl/topics/russia-and-ukraine/news/2022/02/18/the-netherlands-intends-to-supply-military-goods-to-ukraine</t>
  </si>
  <si>
    <t>https://www.volkskrant.nl/nieuws-achtergrond/nederland-levert-militaire-goederen-en-wapens-aan-oekraine-ter-waarde-van-7-4-miljoen-euro~be2a2004/?referrer=https%3A%2F%2Fen.wikipedia.org%2F</t>
  </si>
  <si>
    <t>https://www.news18.com/news/world/ukraine-asks-for-military-aid-from-world-netherlands-us-among-25-countries-to-provide-support-4814291.html</t>
  </si>
  <si>
    <t>metal detector</t>
  </si>
  <si>
    <t>wire-guided detection robots for land and sea mine detection</t>
  </si>
  <si>
    <t>SQUIRE Ground Surveillance Radar</t>
  </si>
  <si>
    <t>Hughes AN/TPQ-36 Firefinder weapon locating system</t>
  </si>
  <si>
    <t>Barrett M82 sniper rifle</t>
  </si>
  <si>
    <t>Accuracy International sniper rifle(AX308 and AX 338)</t>
  </si>
  <si>
    <t>round of ammunition for sniper rifles</t>
  </si>
  <si>
    <t xml:space="preserve">Lethal weapons. This delivery is part of the total military aid by the Netherlands until March 31, amounting to 50 million EUR ("Source of Aid 1"). We don't include the Dutch contribution to NATO, since it's not a direct flow to Ukraine and not a sovereign-to-sovereign donation. </t>
  </si>
  <si>
    <t>https://www.defensie.nl/actueel/nieuws/2022/02/26/ook-antitankwapens-van-nederland-naar-oekraine</t>
  </si>
  <si>
    <t>https://www.rijksoverheid.nl/documenten/kamerstukken/2022/02/27/kamerbrief-update-afgifte-vergunning-voor-de-export-van-militaire-goederen-aan-oekraine</t>
  </si>
  <si>
    <t>https://www.aljazeera.com/news/2022/2/26/germany-approves-delivery-of-rpgs-from-netherlands-to-ukraine</t>
  </si>
  <si>
    <t>missile for Panzerfaust 3</t>
  </si>
  <si>
    <t>On March 16, the Defence Minister announced that the Netherlands are going to provide additional weapons ("Source of Aid 2"). However, no further information was given. This delivery is part of the total military aid by the Netherlands until March 31, amounting to 50 million EUR ("Source of Aid 1").</t>
  </si>
  <si>
    <t>https://www.reuters.com/world/europe/dutch-others-will-continue-deliver-weapons-ukraine-dutch-minister-2022-03-16/</t>
  </si>
  <si>
    <t>The Netherlands announced to send, in addition to howitzers (see "NLM2") to send armored vehicles ("Source of Aid 2"). "Source of Aid 3" specifies that it is about YPR-765 infantry vehicles. And as we can track the delivery of them until June 7, they are part of the total military aid provided until June 9, amounting to 130.4 million EUR.</t>
  </si>
  <si>
    <t>YPR-765 infantry vehicle</t>
  </si>
  <si>
    <t>https://twitter.com/MinPres/status/1516393082148773892</t>
  </si>
  <si>
    <t>https://defence-blog.com/dutch-ypr-765-infantry-vehicles-arrived-in-ukraine/</t>
  </si>
  <si>
    <t>until 6/9/2022</t>
  </si>
  <si>
    <t>It was reported that the Netherlands have provided Ukraine with an undisclosed amount of drones. Moreover, as clarified by "Source of Aid 2", this has not included armed drones.</t>
  </si>
  <si>
    <t>https://nos.nl/artikel/2432074-nederland-levert-ook-drones-aan-oekraine-per-ongeluk-bekend-geworden</t>
  </si>
  <si>
    <t>NLM2</t>
  </si>
  <si>
    <t>"Source of Aid 1" states that the Netherlands planned to send heavy weapons on April 19, without specifying further information. On April 20, Bloomberg reported that the Netherlands are sending some of its Panzerhaubitze 2000 long-range armored howitzers to Ukraine. "Source of Aid 3" (as of April 25) indicates the shipment of five 155mm Howitzers. Moreover, the Netherlands are going to send armored fighting vehicles (undisclosed amount).</t>
  </si>
  <si>
    <t>https://www.forbes.com/sites/sebastienroblin/2022/04/21/the-dutch-are-sending-huge-german-armored-howitzers-to-ukraine/?sh=6c70196f9380</t>
  </si>
  <si>
    <t>https://twitter.com/oleksiireznikov/status/1539234531764486149</t>
  </si>
  <si>
    <t>NLM3</t>
  </si>
  <si>
    <t>As reported by the British Minister of Defence, the Netherlands announced to support Ukraine with anti-ship rockets, namely Harpoon missiles. No further information regarding the amount was disclosed.</t>
  </si>
  <si>
    <t>https://nltimes.nl/2022/06/16/netherlands-give-ukraine-anti-ship-rockets</t>
  </si>
  <si>
    <t>https://www.defencetalk.com/uk-to-deliver-rocket-launchers-to-ukraine-soon-defence-secretary-78981/</t>
  </si>
  <si>
    <t>NLM4</t>
  </si>
  <si>
    <t>In a common statement together with the German Minister, the Dutch Minister of Defence announced to provide together with Germany in total six additional Panzerhaubitze 2000, three by each of the both countries.</t>
  </si>
  <si>
    <t>https://nextcloud.auf.bundeswehr.de/s/AqqWmDg3m5kxg5o</t>
  </si>
  <si>
    <t>https://www.reuters.com/world/europe/germany-netherlands-supply-six-more-howitzers-kyiv-2022-06-28/</t>
  </si>
  <si>
    <t>https://www.dw.com/en/germany-netherlands-promise-additional-howitzers-to-ukraine/a-62294789</t>
  </si>
  <si>
    <t>https://www.defensie.nl/onderwerpen/oostflank-navo-gebied/wat-doet-nederland</t>
  </si>
  <si>
    <t>NLM5</t>
  </si>
  <si>
    <t>until 09/08/2022</t>
  </si>
  <si>
    <t>According to the letter to the Parliament issued on November 16, the Netherlands provided 526 million EUR of military aid until August 9 (Source of aid 1). Other official source issued later confirm it (Source of aid 2 and 3). Since our dataset only records 160 million EUR committed until this date, we report the rest of it here.</t>
  </si>
  <si>
    <t>https://www.tweedekamer.nl/downloads/document?id=2022D47819</t>
  </si>
  <si>
    <t>http://web.archive.org/web/20221210213619/https://www.defensie.nl/onderwerpen/oostflank-navo-gebied/militaire-steun-aan-oekraine</t>
  </si>
  <si>
    <t>NLM6</t>
  </si>
  <si>
    <t>Minister for Foreign Trade and Development Cooperation Liesje Schreinemacher and Minister of Defence Kajsa Ollongren pledged a new aid package for Ukraine during their joint visit to Kyiv on 22 August. 10 EUR million will be provided to clear landmines and other explosive remnants of war, which is listed as military assistance. Other commitments were dedicated to financial purposes (see NLF3).</t>
  </si>
  <si>
    <t>https://www.government.nl/latest/news/2022/08/22/extra-dutch-support-for-ukrainian-war-effort-and-reconstruction</t>
  </si>
  <si>
    <t>https://www.euractiv.com/section/politics/short_news/dutch-to-send-extra-war-efforts-to-ukraine/</t>
  </si>
  <si>
    <t>NLM7</t>
  </si>
  <si>
    <t>Weapons and Assistance</t>
  </si>
  <si>
    <t xml:space="preserve">The Netherlands is supplying heavy military equipment to Ukraine. The total value of the support package is € 120 million, of which € 45 million is designated for providing T-72 tanks. The first batch of tanks is expected to be delivered to Ukraine as early as next month. According to Source of aid 2 the government will not provide any further information about the content of this package.
</t>
  </si>
  <si>
    <t>T-72 overhaul</t>
  </si>
  <si>
    <t>https://www.defensie.nl/actueel/nieuws/2022/11/04/nederlands-militair-steunpakket-voor-oekraine</t>
  </si>
  <si>
    <t>https://www.rtlnieuws.nl/nieuws/politiek/artikel/5344701/kabinet-120-miljoen-extra-militaire-steun-voor-oekraine</t>
  </si>
  <si>
    <t>NLM8</t>
  </si>
  <si>
    <t>According to the letter to the official website, the Netherlands provided 697 million EUR of military aid until December 16 (Source of aid 1). This does not include the 120 million package that includes T-72 mentioned in NLM7. Since our dataset only records 536 million EUR committed until this date, we report the rest here. Please note we report this value without 3.5 million EUR from NLH7. Since the Ministry of defense reported this project, we assume that it is included in "de goederen die geleverd zijn" or "goods that have been delivered" from Source of aid 1. Source of aid 2 specified that total military aid from the Netherlands is 987 million EUR. Since we do not count 25 million to the NATO fund and 100 million to International Fund for Ukraine, it increases the current package by 40.5 million EUR.</t>
  </si>
  <si>
    <t>https://www.defensie.nl/onderwerpen/oostflank-navo-gebied/militaire-steun-aan-oekraine</t>
  </si>
  <si>
    <t>https://www.defensie.nl/actueel/nieuws/2022/12/16/waarde-van-militaire-steun-aan-oekraine-nadert-1-miljard</t>
  </si>
  <si>
    <t>NLH1</t>
  </si>
  <si>
    <t>Emergency assistance worth 15 million EUR. "Source of Aid 1" and "Source of Aid 2" list also other aid packages directed to or offered by international organizations and, thus, not reported in our main dataset. We don't report the 20 million EUR given to the United Nations, the aid provided by the Dutch Relief Alliance (DRA) amounting to  2.5 million EUR, the 1 million EUR provided to the United Nation's Office of the High Commissioner for Human Rights (OHCHR), the 1 million EUR fund established for the defense of human rights, the aid provided by the UN Central Emergency Fund nor by the World Health Organization's Contingency Fund for Emergencies (CFE).</t>
  </si>
  <si>
    <t>https://www.government.nl/topics/russia-and-ukraine/dutch-aid-for-ukraine#:~:text=Humanitarian%20aid%20for%20Ukraine%20The%20Netherlands%20is%20supporting,available%20for%20victims%20of%20the%20war%20in%20Ukraine.?msclkid=75995df0b05d11eca834a0801d91bf9b</t>
  </si>
  <si>
    <t>https://www.vindobona.org/article/attack-on-ukraine-austria-extends-aid-from-foreign-disaster-fund-to-a-total-of-17-5-million-euros</t>
  </si>
  <si>
    <t>NLH2</t>
  </si>
  <si>
    <t>unti 3/10/2022</t>
  </si>
  <si>
    <t>Support of the work of the Red Cross in Ukraine and in neighboring countries where refugees are fleeing to. Since it is not possible to differentiate the sum dispatched to Ukraine from the sum dispatched to the neighboring countries, we include the total sum of 1.5 million EUR (following our upper value rule). "Source of Aid 1" lists also other aid packages directed to or offered by international organizations and, thus, not reported in our main dataset (for further information, refer to the explanation of NLH1).</t>
  </si>
  <si>
    <t>NLH3</t>
  </si>
  <si>
    <t>Medical supplies and equipment. Donations from the private sector are not included in our dataset, since they are no a sovereign-to-sovereign flow.</t>
  </si>
  <si>
    <t>https://netherlandsnewslive.com/the-netherlands-supplies-medicines-and-medical-supplies-to-ukraine/373516/</t>
  </si>
  <si>
    <t>coat</t>
  </si>
  <si>
    <t>mouth mask</t>
  </si>
  <si>
    <t>NLH4</t>
  </si>
  <si>
    <t>Prime Minister Rutte stated that the Netherlands is going to provide 5 million EUR of fuel (no quantity specified, see NLH5) and furthermore, 17 ambulances (see 2:15:30, "Source of Aid 1").</t>
  </si>
  <si>
    <t>NLH5</t>
  </si>
  <si>
    <t>Prime Minister Rutte stated that the Netherlands is going to provide 5 million EUR of fuel (no quantity specified) and furthermore, 17 ambulances (see NLH4) (see 2:15:30, "Source of Aid 1").</t>
  </si>
  <si>
    <t>NLH6</t>
  </si>
  <si>
    <t>The Netherlands announced a new contribution of 70 million euros for winterization activities. The Ukrainian authorities can use these funds directly to repair rooftops, power lines and water sources. And to buy gas to get their citizens through the cold winter. Source of aid 2 specifies that this amount will be increased by 110 million euros, making it 180 million euros in total. The letter to the Parliament specifies how this package was disbursed (Source of aid 3).</t>
  </si>
  <si>
    <t>https://twitter.com/LSchreinemacher/status/1580222344538169346?ref_src=twsrc%5Etfw%7Ctwcamp%5Etweetembed%7Ctwterm%5E1580222344538169346%7Ctwgr%5Eda5480de56b54594938272c57ded09082863f933%7Ctwcon%5Es1_&amp;ref_url=https%3A%2F%2Fwww.eurointegration.com.ua%2Fnews%2F2022%2F10%2F13%2F7148653%2F</t>
  </si>
  <si>
    <t>https://twitter.com/LSchreinemacher/status/1591089465719926784</t>
  </si>
  <si>
    <t>https://www.tweedekamer.nl/kamerstukken/brieven_regering/detail?id=2022Z24701&amp;did=2022D53048</t>
  </si>
  <si>
    <t>NLH7</t>
  </si>
  <si>
    <t>Together with Estonia and Norway, the Netherlands is donating a field hospital to Ukraine.</t>
  </si>
  <si>
    <t>https://www.defensie.nl/onderwerpen/oostflank-navo-gebied/nieuws/2022/12/01/nederland-doneert-met-noorwegen-en-estland-veldhospitaal-aan-oekraine</t>
  </si>
  <si>
    <t>NLF1</t>
  </si>
  <si>
    <t>The Netherlands have contributed 80 million EUR to the "FREE Ukraine Support Package". The latter is part of the Emergency Financing Package established by the World Bank and amounting to 723 million USD. Other countries have contributed to Emergency Financing Package: Sweden with 50 million USD, United Kingdom with 100 million USD, Denmark with 22 million USD, Latvia + Lithuania + Iceland with 12 million USD and Japan with 100 million USD.</t>
  </si>
  <si>
    <t>NLF2</t>
  </si>
  <si>
    <t>According to Ukrinform correspondent, during the Ukraine Recovery Conference in Lugano, a representative of the Dutch government stated the Kingdom of the Netherlands had allocated a EUR 200 million loan for Ukraine, which will be used through the International Monetary Fund (IMF) on the day-to-day needs of Ukraine’s public sector, including the payment of salaries.</t>
  </si>
  <si>
    <t>https://www.kyivpost.com/world/netherlands-allocates-eur-200m-loan-for-ukraine.html</t>
  </si>
  <si>
    <t>NLF3</t>
  </si>
  <si>
    <t xml:space="preserve">Minister for Foreign Trade and Development Cooperation Liesje Schreinemacher and Minister of Defence Kajsa Ollongren made pledged a new aid package for Ukraine during their joint visit to Kyiv on 22 August. 65 EUR million will go for aid and investment in Ukraine. Moreover, 1 EUR million will support initial design plans for rebuilding three cities: Kherson, Odesa and Mykolaiv, and another 2.5 EUR million will go to the European Bank for Reconstruction and Development (EBRD) to share knowledge with bodies such as the National Bank of Ukraine concerning macroeconomic reforms, good governance and the rule of law. An additional 10 EUR million will be provided to clear landmines and other explosive remnants of war, which is listed as military assistance (See NLM5).   </t>
  </si>
  <si>
    <t>NZM1</t>
  </si>
  <si>
    <t>New Zealand</t>
  </si>
  <si>
    <t>The aid consists of protective equipment (body armor plates, helmets, and camouflage vests) announced in tandem with NZM2.</t>
  </si>
  <si>
    <t>https://www.beehive.govt.nz/release/nz-provide-non-lethal-military-assistance-ukraine</t>
  </si>
  <si>
    <t>https://www.reuters.com/world/new-zealand-provide-ukraine-with-non-lethal-military-assistance-2022-03-21/</t>
  </si>
  <si>
    <t>https://www.rnz.co.nz/news/national/464762/first-shipment-of-nz-defence-equipment-arrives-to-aid-ukraine</t>
  </si>
  <si>
    <t>camouflage vest</t>
  </si>
  <si>
    <t>NZM2</t>
  </si>
  <si>
    <t>The total sum is attributed to a NATO Trust Fund and TAIT Communications that provides non-lethal military aid to Ukraine as well as a direct transfer to the Ukrainian army. Since the share going directly to the Ukrainian army remains undisclosed, we consider the total sum in our data. The share was announced in December 2022 to be NZD 10.6 million for the NATO Trust fund as well as funding for  TAIT Communications for non-lethal military equipment.</t>
  </si>
  <si>
    <t>NZD</t>
  </si>
  <si>
    <t>https://www.mfat.govt.nz/en/countries-and-regions/europe/ukraine/russian-invasion-of-ukraine/</t>
  </si>
  <si>
    <t>NZM4</t>
  </si>
  <si>
    <t>Support commercial satellite access for the Ukrainian Defence Intelligence.</t>
  </si>
  <si>
    <t>https://www.defensenews.com/global/asia-pacific/2022/04/13/new-zealand-bolsters-support-for-ukraine/</t>
  </si>
  <si>
    <t>https://www.aa.com.tr/en/russia-ukraine-war/new-zealand-announces-13m-additional-aid-for-ukraine/2560551</t>
  </si>
  <si>
    <t>NZM5</t>
  </si>
  <si>
    <t xml:space="preserve">New Zealand contributes financially to a weapons and ammunition procurement fund. The fund is set up by the United Kingdom, but is used as a means to transfer in-kind military donation to Ukraine. Since it is similar to other cases like the EU Civil protection mechanism or the World Bank funds (Donation ID WBF1, WBF2), we include this contribution. </t>
  </si>
  <si>
    <t>NZM6</t>
  </si>
  <si>
    <t>New Zealand provides approximately 40 gun sights to Ukraine, along with a small quantity of ammunition for training purposes. The gun sights and ammunition are connected to weapons training, that Ukrainian Soldiers receive in the UK, for the L119 105mm light field guns. Source of Aid 1 states that 30 men will be deployed to the United Kingdom to aid in the training of Ukrainian Soldiers for using the L119 Light Field gun.</t>
  </si>
  <si>
    <t>gun sight for L119 Light Field gun</t>
  </si>
  <si>
    <t>https://www.beehive.govt.nz/release/nz-provide-additional-deployment-support-ukraine</t>
  </si>
  <si>
    <t>https://www.stuff.co.nz/national/300597643/new-zealand-soldiers-excited-to-assist-ukraine-with-light-gun-training</t>
  </si>
  <si>
    <t>NZM7</t>
  </si>
  <si>
    <t xml:space="preserve">New Zealand announced to provide NZD 4.5 million to the NATO trust fund to ensure the procurement of non-lethal military aid. Source of Aid 1 mentions that this package comes on top of an earlier commitment to the same NATO trust fund over NZD 4.21 million, which is reported in donation ID NZM2. </t>
  </si>
  <si>
    <t>https://www.beehive.govt.nz/release/further-aotearoa-new-zealand-support-ukraine</t>
  </si>
  <si>
    <t>NZM8</t>
  </si>
  <si>
    <t>New Zealand announced to train Ukrainian solders to use 105-millimetre howitzers provided by the UK</t>
  </si>
  <si>
    <t>https://www.nytimes.com/2022/07/27/us/politics/ukraine-weapons-center.html</t>
  </si>
  <si>
    <t>NZM9</t>
  </si>
  <si>
    <t>Training and Equipment</t>
  </si>
  <si>
    <t xml:space="preserve">According to Source of Aid 1, New Zealand has committed more personnel for training in the UK and Europe. Additionally, NZD 1.85 million will be provided through a NATO trust fund to provide nonlethal military aid to Ukraine. </t>
  </si>
  <si>
    <t>https://www.beehive.govt.nz/release/assistance-ukraine-extended-and-enhanced</t>
  </si>
  <si>
    <t>NZH1</t>
  </si>
  <si>
    <t>The funding will support health facilities on the ground and provide basic needs like food and hygiene items.</t>
  </si>
  <si>
    <t>https://www.rnz.co.nz/news/world/462443/new-zealand-pledges-2m-for-ukraine-aid</t>
  </si>
  <si>
    <t>https://www.dw.com/en/new-zealand-announces-new-measures-to-support-ukraine/a-61127549</t>
  </si>
  <si>
    <t>NZH2</t>
  </si>
  <si>
    <t xml:space="preserve">The funding of NZD 2 million will support to the United Nations’ Ukraine Humanitarian Fund. The fund works with a range of UN agencies and NGOs to meet the most urgent unmet humanitarian needs through the provision of healthcare, food aid, clean water, shelter and other humanitarian assistance for millions of people inside Ukraine. Source of Aid 1 mentions NZD 8 million in humanitarian aid. Of these, we only count NZD 4 million in total (NZH1, NZH2), as NZD 2 million will be given to an NGO in New Zealand and NDZ 2 million will be given to the UN Refugee Agency, both times not directly benefitting Ukraine. </t>
  </si>
  <si>
    <t>NOM1</t>
  </si>
  <si>
    <t>Norway</t>
  </si>
  <si>
    <t>2,000 M72 LAWs (portable anti-armor weapons) have been announced to be sent to Ukraine. "Source of Aid 3" indicates the delivery of 4,000 NLAWs in total (see also NOM2).</t>
  </si>
  <si>
    <t>https://www.regjeringen.no/en/aktuelt/norway-to-provide-weapons-to-ukraine/id2902587/</t>
  </si>
  <si>
    <t>https://www.regjeringen.no/en/aktuelt/ukrainefund/id2909840/</t>
  </si>
  <si>
    <t>https://www.regjeringen.no/en/aktuelt/air-defense-system-to-ukraine/id2908807/</t>
  </si>
  <si>
    <t>https://www.aa.com.tr/en/russia-ukraine-war/norway-sends-roughly-100-anti-aircraft-missiles-to-ukraine/2568447</t>
  </si>
  <si>
    <t>NOM2</t>
  </si>
  <si>
    <t>Additional 2,000 M72 LAWs (portable anti-armor weapons) have been announced to be sent to Ukraine. "Source of Aid 3" indicates the delivery of 4,000 NLAWs in total (also see NOM1).</t>
  </si>
  <si>
    <t>https://www.regjeringen.no/en/aktuelt/norway-provides-additional-weapons-to-ukraine/id2906254/</t>
  </si>
  <si>
    <t>NOM3</t>
  </si>
  <si>
    <t>Norway has announced 100 units of the Mistral Air Defence missiles and an unknown number of Mistral Launchers to be sent to Ukraine.</t>
  </si>
  <si>
    <t>Mistral Air Defence Launcher</t>
  </si>
  <si>
    <t>https://www.regjeringen.no/en/topics/foreign-affairs/humanitarian-efforts/neighbour_support/id2908141/</t>
  </si>
  <si>
    <t>Mistral Air Defence Missile</t>
  </si>
  <si>
    <t>https://techartica.com/this-is-the-first-view-of-the-mistral-antiaircraft-system-in-ukraine-it-shows-how-civilian-cars-are-used-at-war-front/</t>
  </si>
  <si>
    <t>NOM4</t>
  </si>
  <si>
    <t>until 4/27/2022</t>
  </si>
  <si>
    <t>Norway has donated 1,500 bulletproof vests, 5,000 helmets, 15,000 field rations, 1,000 protective masks with filters, 2,000 sleeping bags, 10,000 sleeping mats, and clothing to Ukraine. As this aid was primarily provided in April, we consider the entire package to have been committed in April.</t>
  </si>
  <si>
    <t>https://www.regjeringen.no/en/aktuelt/norway-to-increase-support-to-ukraine-and-provide-military-equipment/id2902406/</t>
  </si>
  <si>
    <t>https://www-forsvaret-no.translate.goog/aktuelt-og-presse/aktuelt/sender-militaerutstyr-og-vapen-til-ukraina?_x_tr_sl=auto&amp;_x_tr_tl=auto&amp;_x_tr_hl=de</t>
  </si>
  <si>
    <t>sleeping mat</t>
  </si>
  <si>
    <t>Clothes</t>
  </si>
  <si>
    <t>NOM5</t>
  </si>
  <si>
    <t>Funding for Weapon Acquisition Program</t>
  </si>
  <si>
    <t xml:space="preserve">Norway contributes to a weapon and ammunition procurement fund to coordinate acquisition of military equipment for Ukraine. The fund is led by the United Kingdom and coordinates the purchase and transport of defence equipment for Ukraine. The same fund is also mentioned in donation ID NZM5. As this aid was announced in April we consider it to have been pledged entirely in April. </t>
  </si>
  <si>
    <t>NOK</t>
  </si>
  <si>
    <t>NOM6</t>
  </si>
  <si>
    <t>According to Source of Aid 1, Norway has delivered 23 M109 artillery guns as well as an undisclosed number of equipment, spare parts and ammunition for the howitzer. Since the announcement came after the package has already been delivered, we report it as having been announced and delivered until June 7. Source of Aid 4 mentions 5000 155mm Artillery shells, additionally to 5000 already donated. We report the additional 5000 155mm shells in ID NOM7. The initial 5000 155mm shells mentioned in Source of Aid 4 are reported in this donation, changing the undisclosed amount from Source of Aid 1-3 into 5000. Since the majority of this aid package was committed in June and no earlier sources for it can be found, we consider it to have been pledged entirely in June.</t>
  </si>
  <si>
    <t>https://www.regjeringen.no/en/aktuelt/norge-og-storbritannia-gir-langtrekkende-rakettartilleri-til-ukraina/id2921395/</t>
  </si>
  <si>
    <t>https://www.ukrinform.net/rubric-ato/3502204-norway-donates-22-m109-howitzers-to-ukraine.html</t>
  </si>
  <si>
    <t xml:space="preserve">https://www.regjeringen.no/en/aktuelt/norge-og-storbritannia-gir-langtrekkende-rakettartilleri-til-ukraina/id2921395/  </t>
  </si>
  <si>
    <t>https://www-regjeringen-no.translate.goog/no/aktuelt/norge-har-donert-artilleriskyts-til-ukraina/id2917760/?_x_tr_sl=auto&amp;_x_tr_tl=auto&amp;_x_tr_hl=de</t>
  </si>
  <si>
    <t>equipment for M109 artillery gun</t>
  </si>
  <si>
    <t>spare parts for M109 artillery gun</t>
  </si>
  <si>
    <t>until 6/7/2023</t>
  </si>
  <si>
    <t>M270 weapon system (Norway)</t>
  </si>
  <si>
    <t>NOM7</t>
  </si>
  <si>
    <t xml:space="preserve">According to Source of Aid 1, Norway will provide weapons and equipment worth NOK 2.691 billion to Ukraine. Source of Aid 1 mentions NOK 3 billion as the entire sum. However this includes a donation to the EPF of NOK 250 million and </t>
  </si>
  <si>
    <t>NOM8</t>
  </si>
  <si>
    <t>According to official website of Norwegian government, Norway has donated 14 IVECO LAV III armored patrol vehicles to Ukraine.</t>
  </si>
  <si>
    <t>IVECO LAV 3</t>
  </si>
  <si>
    <t>https://www.regjeringen.no/no/aktuelt/norge-donerer-pansrede-patruljekjoretoy-til-ukraina/id2923198/</t>
  </si>
  <si>
    <t> https://www.ukrinform.net/rubric-ato/3540240-norway-donates-14-iveco-lav-iii-armored-vehicles-to-ukraine.html</t>
  </si>
  <si>
    <t>NOM9</t>
  </si>
  <si>
    <t xml:space="preserve">Joint package with the United Kingdom to acquire the Norwegian micro-drone Black Hornet as a donation to Ukraine. The cost will be up to 90 million NOK. The purchase will be funded by the amount in donation ID NOM5, which is a British-led weapons funding program. </t>
  </si>
  <si>
    <t>Black Hornet drone</t>
  </si>
  <si>
    <t>https://www-regjeringen-no.translate.goog/en/aktuelt/droner/id2924942/?_x_tr_sl=auto&amp;_x_tr_tl=uk&amp;_x_tr_hl=uk&amp;_x_tr_pto=op</t>
  </si>
  <si>
    <t>NOM10</t>
  </si>
  <si>
    <t>According to official website of Norwegian government, Norway will donate 160 Hellfire missiles including launching equipment and night vision equipment to Ukraine.</t>
  </si>
  <si>
    <t>Hellfire missiles</t>
  </si>
  <si>
    <t>https://www.regjeringen.no/en/aktuelt/donerer-hellfire-missiler-og-nattoptikk-til-ukraina/id2926713/</t>
  </si>
  <si>
    <t>Hellfire missiles launching pad</t>
  </si>
  <si>
    <t>Hellfire missiles guidance unit</t>
  </si>
  <si>
    <t>Night vision device</t>
  </si>
  <si>
    <t>NOM11</t>
  </si>
  <si>
    <t>Denmark, Norway and Germany jointly finance a Slovak donation of 16 ZUZANA-2 self-propelled howitzers. Total cost is 92 million EUR. The three countries split the cost equally, so this equals approximately 30.6 million EUR per country. We also assign each country 5 howitzers since it is impossible to divide 16 equally.</t>
  </si>
  <si>
    <t>NOM12</t>
  </si>
  <si>
    <t xml:space="preserve">Norway pledged a grant of additional NOK 3 billion to support numerous international weapon funds and programs to provide Ukraine with weapons and equipment. Source of Aid 1 mentions NOK 3 billion. </t>
  </si>
  <si>
    <t>https://www.regjeringen.no/en/aktuelt/regjeringen-vil-gi-3-milliarder-kroner-i-militar-stotte-til-ukraina/id2929594/</t>
  </si>
  <si>
    <t>NOM13</t>
  </si>
  <si>
    <t>Training</t>
  </si>
  <si>
    <t xml:space="preserve">Norway supports the EU Military Assistance Mission for Ukraine with approximately NOK 150 million. The mission coordinates and finances training of Ukrainian soldiers in European Countries. </t>
  </si>
  <si>
    <t>https://www.regjeringen.no/en/aktuelt/eumam/id2948545/</t>
  </si>
  <si>
    <t>NOM14</t>
  </si>
  <si>
    <t>Norway has announced to purchase M72 anti-tank weapons and M141 rocket launchers for 280 million kroner and donate them to Ukraine.</t>
  </si>
  <si>
    <t>https://www.regjeringen.no/en/topics/foreign-affairs/humanitarian-efforts/neighbour_support/id2908141/?expand=factbox2947779</t>
  </si>
  <si>
    <t>M141 rocket launcher</t>
  </si>
  <si>
    <t>NOH1</t>
  </si>
  <si>
    <t>Following "Source of Aid 1", Norway has provided 265 million NOK in aid through the EU Civil Protection Mechanism to Ukraine. Note that "Source of Aid 1" also lists another package of 100 million NOK (NOH2) and the budget support reported in NOF1. We consider this package to have been pledged entirely in April for Analysis of Aid over time purposes.</t>
  </si>
  <si>
    <t xml:space="preserve">https://www.regjeringen.no/en/topics/foreign-affairs/humanitarian-efforts/neighbour_support/id2908141/ </t>
  </si>
  <si>
    <t>https://twitter.com/norwayeu/with_replies</t>
  </si>
  <si>
    <t>NOH2</t>
  </si>
  <si>
    <t>Following "Source of Aid 1", Norway has provided additional NOK 100 million in medical supplies and material assistance to Ukraine through the EU Civil Protection Mechanism. The information what material assistance includes, is undisclosed. We consider this package to have been pledged entirely in April for Analysis of Aid over Time purposes.</t>
  </si>
  <si>
    <t>NOH3</t>
  </si>
  <si>
    <t xml:space="preserve">Norway offered to treat 550 wounded Ukrainian soldiers in Norway. Source of Aid 1 mentions the arrival of the first ones in Norway. This aid falls under the framework of the EU Civil protection mechanism. Since there is no monetary value of the donation given by the donor and this type of aid is difficult to quantify, we will leave the monetary value cells empty. </t>
  </si>
  <si>
    <t>https://www.regjeringen.no/en/aktuelt/first-wounded-soldiers-from-ukraine-arrive/id2918391/</t>
  </si>
  <si>
    <t>NOH4</t>
  </si>
  <si>
    <t>until 11/2022</t>
  </si>
  <si>
    <t>According to their official website, Norway has allocated additional funding of NOK 1 billion for humanitarian aid in 2022.</t>
  </si>
  <si>
    <t>NOH5</t>
  </si>
  <si>
    <t xml:space="preserve">According to their official website, Norway has allocated additional funding of NOK 2 billion for civilian support in 2023. </t>
  </si>
  <si>
    <t>NOF1</t>
  </si>
  <si>
    <t>until 5/11/2022</t>
  </si>
  <si>
    <t>The money will be transfered to Ukraine through the Emergency Aid package by the World Bank and is intended to support key government services and pay sallaries in the public sector. Source of Aid 1, 2 state the commitment of initial NOK 200 million, while Source of Aid 3 states an additional commitment of NOK 100 million to the same cause, also via the World Bank Fund. We consider this aid to have been pledged entirely in May for Analysis of Aid over time purposes.</t>
  </si>
  <si>
    <t>https://norwaytoday.info/news/norway-is-giving-200-million-kroner-to-ukrainian-teachers-and-government-employees/</t>
  </si>
  <si>
    <t>https://www.regjeringen.no/en/aktuelt/additional-nok-100-million/id2911879/</t>
  </si>
  <si>
    <t>NOF2</t>
  </si>
  <si>
    <t>Norway decided to allocate NOK 50 million in funding to the European Bank for Reconstruction and Development (EBRD) to help ensure that essential agricultural inputs reach farmers in time.</t>
  </si>
  <si>
    <t>https://www.regjeringen.no/en/aktuelt/norwegian-support-for-farmers/id2911804/</t>
  </si>
  <si>
    <t>https://wataha.no/en/2022/05/07/Norwegian-support-for-farmers-in-Ukraine/</t>
  </si>
  <si>
    <t>NOF3</t>
  </si>
  <si>
    <t>The Norwegian Minister of Finance Trygve Slagsvold Vedum has signed an agreement to provide funding of NOK 2 billion to enable Ukraine to purchase natural gas during the coming winter. The funding will be provided through the EBRD.</t>
  </si>
  <si>
    <t>https://www.regjeringen.no/en/aktuelt/agreement_gas/id2947818/</t>
  </si>
  <si>
    <t>https://reliefweb.int/report/ukraine/norway-increase-support-humanitarian-efforts-and-government-administration-ukraine</t>
  </si>
  <si>
    <t>NOF4</t>
  </si>
  <si>
    <t>NOK 1 billion has been allocated to help the Ukrainian government administration to maintain critical services such as hospitals, schools and other public services. This support is being channelled through the World Bank.</t>
  </si>
  <si>
    <t>PLH1</t>
  </si>
  <si>
    <t>Poland</t>
  </si>
  <si>
    <t>120 wagons with 1,500 tons of food. We do not count the aid given to refugees displaced in Poland or in neighbouring countries.</t>
  </si>
  <si>
    <t>https://twitter.com/PremierRP_en/status/1510971075936542726</t>
  </si>
  <si>
    <t>https://tvn24.pl/polska/ukraina-pomoc-humanitarna-z-polski-dotarla-na-ukraine-5660490</t>
  </si>
  <si>
    <t>https://polskatimes.pl/polska-przekazala-ukraincom-pomoc-humanitarna-o-wartosci-300-milionow-zlotych/ar/c1-16217063</t>
  </si>
  <si>
    <t>PLH2</t>
  </si>
  <si>
    <t>Food and medical equipment (02:06:00 of "Source of Aid 1") pledged during the International Donors' Conference on May 5, 2022.</t>
  </si>
  <si>
    <t>PLH3</t>
  </si>
  <si>
    <t>According to the Ukrainian Minister of digital transformation, 5,000 Starlink terminals were sent from the Polish government.</t>
  </si>
  <si>
    <t>https://www.facebook.com/watch/?v=830836764592255</t>
  </si>
  <si>
    <t>PLH4</t>
  </si>
  <si>
    <t>until 04/10/2022</t>
  </si>
  <si>
    <t>According to information provided on the official website of the Ukranian Government, Poland provided US$177 million of financial aid to Ukraine, which is higher than the US$115 million recorded in our dataset. Thus, we report the remaining US$62 million here.</t>
  </si>
  <si>
    <t>https://www.kmu.gov.ua/en/news/yuliia-svyrydenko-polskyi-uriad-hotovyi-stymuliuvaty-biznes-investuvaty-v-ukrainu-i-dokladaie-do-tsoho-maksymum-zusyl</t>
  </si>
  <si>
    <t>PLH5</t>
  </si>
  <si>
    <t>According to the Ukrainian Minister of digital transformation, an additional 1,570 Starlink terminals were sent from the Polish government.</t>
  </si>
  <si>
    <t>https://t.me/zedigital/2613</t>
  </si>
  <si>
    <t>PLM1</t>
  </si>
  <si>
    <t>37 trucks with humanitarian aid, weapons and military equipment. No further information has been disclosed, hence, we cannot further quantify this package.</t>
  </si>
  <si>
    <t>https://twitter.com/michaldworczyk/status/1494357415915048962?s=21&amp;t=L7Uw2JWRBlkceKl-kFEvSQ</t>
  </si>
  <si>
    <t>PLM2</t>
  </si>
  <si>
    <t>On June 27 (see "Source of Aid 4"), Michał Dworczyk, the head of the Chancellery of the Prime Minister, said in a interview by Radio Plus that Poland has sent a total amount of 1,8 billion EUR in military aid to Ukraine. Source of Aid 1 lists the first batch of the Polish military aid in April, which is why we consider the entire commitment for the month April for analysis of aid over time purposes.</t>
  </si>
  <si>
    <t>Piorun man-portable air-defense system</t>
  </si>
  <si>
    <t xml:space="preserve">https://www.wsj.com/livecoverage/russia-ukraine-latest-news-2022-04-29/card/poland-has-sent-more-than-200-tanks-to-ukraine-Krwar3DCPzHJJk4UMVh4#:~:text=Poland%20has%20sent%20at%20least,escalating%20fight%20for%20its%20east </t>
  </si>
  <si>
    <t>https://www.rp.pl/biznes/art35754421-polska-bron-dla-ukrainy-pierwsze-transporty-dotarly-kolejne-w-drodze</t>
  </si>
  <si>
    <t>https://cxtvnews.com/military/2022/02/26/polish-military-aid-equipment-has-arrived-in-ukraine/</t>
  </si>
  <si>
    <t>https://300gospodarka.pl/news/dworczyk-wartosc-polskiej-pomocy-militarnej-dla-ukrainy-to-juz-18-mld-euro</t>
  </si>
  <si>
    <t>https://rmx.news/poland/polish-army-to-order-additional-piorun-anti-air-missiles-after-the-weapon-outperforms-on-ukrainian-battlefield/</t>
  </si>
  <si>
    <t>until 6/27/2022</t>
  </si>
  <si>
    <t>https://kyivindependent.com/uncategorized/poland-has-provided-ukraine-with-weapons-worth-1-6-billion/</t>
  </si>
  <si>
    <t>60 mm LMP-2017 mortar</t>
  </si>
  <si>
    <t>FlyEye drone</t>
  </si>
  <si>
    <t>https://radar.rp.pl/przemysl-obronny/art35751811-pioruny-drony-i-amunicja-polskie-uzbrojenie-w-drodze-na-ukraine</t>
  </si>
  <si>
    <t>5.56 mm, 23 mm firearms for the ZU-23-2 cannon</t>
  </si>
  <si>
    <t>152 mm, 125 mm and 122 mm artillery ammunition</t>
  </si>
  <si>
    <t>round of ammunition for 60 mm LMP 2017 mortar</t>
  </si>
  <si>
    <t>https://www.wsj.com/livecoverage/russia-ukraine-latest-news-2022-04-29/card/poland-has-sent-more-than-200-tanks-to-ukraine-Krwar3DCPzHJJk4UMVh4</t>
  </si>
  <si>
    <t>Warmate drone</t>
  </si>
  <si>
    <t xml:space="preserve">https://mezha.media/en/2022/04/25/the-warmate-uav-a-polish-alternative-to-the-switchblades-kamikaze-drone-already-in-ukraine/#:~:text=%23Ukraine%3A%20Ukrainian%20forces%20started%20to,the%20front%20of%20the%20drone &amp;text=Warmate%20barrage%20ammunition%20was%20created,of%20Poland%20since%20autumn%202017 </t>
  </si>
  <si>
    <t>AHS Krab self-propelled howitzer</t>
  </si>
  <si>
    <t>https://polskieradio24.pl/5/1222/Artykul/2968446,Polskie-armatohaubice-KRAB-trafily-do-ukrainskiej-armii?utm_source=polskieradio.pl&amp;utm_medium=mozaika&amp;utm_campaign=mozaika</t>
  </si>
  <si>
    <t>https://www.armyrecognition.com/defense_news_may_2022_global_security_army_industry/poland_delivers_to_ukraine_18_krab_155mm_self-propelled_howitzers.html</t>
  </si>
  <si>
    <t>29/04/2022</t>
  </si>
  <si>
    <t>According to source of aid 1, Poland has provided Ukraine with 40 BWP-1 IFVs. Source of aid 2 and 3 confirm the delivery of BWP-1 to Ukriane.</t>
  </si>
  <si>
    <t>https://gagadget.com/en/149656-poland-transferred-40-bmp-1-combat-vehicles-to-ukraine/</t>
  </si>
  <si>
    <t>https://www.polskieradio.pl/398/9724/Artykul/2948128,</t>
  </si>
  <si>
    <t>https://defence24.com/industry/polish-weapons-defending-ukraine-analysis</t>
  </si>
  <si>
    <t>PLM3</t>
  </si>
  <si>
    <t>25/07/2022</t>
  </si>
  <si>
    <t xml:space="preserve">On July 25, Andrii Yermak, the head of the Office of the President of Ukraine, confirmed the delivery of an unknown amount of РТ-91 Twardy main battle tanks to Ukraine (Source of aid 1). In September 2022, during an interview with Spiegel, Polish Prime Minister Mateusz Morawiecki stated that Poland donated 300 tanks in total (Source of aid 2). Since Poland previously donated 240 T-72 tanks and yet an unknown amount of PT-91 Twardy, we assume, based on this statement, that the amount of PT-91 donated is 60. </t>
  </si>
  <si>
    <t>PT-91 Twardy</t>
  </si>
  <si>
    <t>https://t.me/ermaka2022/990</t>
  </si>
  <si>
    <t>https://www.spiegel.de/international/poland-s-prime-minister-on-ukraine-war-and-energy-crisis-a-aabb65a3-e0ba-4ba8-9f0c-1c967874e8b5</t>
  </si>
  <si>
    <t>PLM4</t>
  </si>
  <si>
    <t xml:space="preserve">During the press conference after the Ramstein-6 meeting Minister of Defense of Ukraine Oleksiy Reznikov revealed that in total, Poland donated three divisions of Krab howitzers to Ukraine, which is 54 howitzers in total. Since 18 were delivered in June, we report the rest here (Source of aid 1, 9m10s). Please note that in the same statement, he mentioned the contract for another 54 howitzers separately, so it is clear that 54 howitzers were donated to an additional 54 purchased.
</t>
  </si>
  <si>
    <t>https://www.youtube.com/watch?v=iw2OnEkr_Do&amp;ab_channel=%D0%A4%D0%B0%D0%BA%D1%82%D0%B8ICTV</t>
  </si>
  <si>
    <t>PLF1</t>
  </si>
  <si>
    <t>Swap-line</t>
  </si>
  <si>
    <t>The Polish central bank extended a currency swap line of 1 billion USD to the Ukrainian Central Bank, allowing it to draw dollar funds. This is akin to a standing credit line, i.e. a loan (see corresponsing paper for further explanations). Originally, the swap line was denominated in Zloty (4 billion Polish Zloty, which according to the euronews article in "Source of Aid 3" is equal to 1 billion USD).</t>
  </si>
  <si>
    <t>https://www.nbp.pl/homen.aspx?f=/en/aktualnosci/2022/24.02-2.html</t>
  </si>
  <si>
    <t xml:space="preserve">https://www.centralbanking.com/central-banks/financial-stability/7933406/poland-offers-ukraine-swap-line-as-nbu-suspends-forex-transactions </t>
  </si>
  <si>
    <t xml:space="preserve">https://www.euronews.com/next/2022/03/21/ukraine-crisis-poland-cenbank </t>
  </si>
  <si>
    <t>PLF2</t>
  </si>
  <si>
    <t>30 million PLN donated by the BGK Polish Development Bank.</t>
  </si>
  <si>
    <t>PLN</t>
  </si>
  <si>
    <t>https://www.bgk.pl/aktualnosc/bgk-polish-development-bank-has-donated-pln-30-million-to-help-ukraine/</t>
  </si>
  <si>
    <t>PTH1</t>
  </si>
  <si>
    <t>Portugal</t>
  </si>
  <si>
    <t>Portugal has sent a medical aid package, comprising 204,000 units of medicines, including antibiotics, pain medicines, hydration serums, syringes and needles, among other products. This aid package belongs to the EU Civil Protection Mechanism.</t>
  </si>
  <si>
    <t>https://www.sulinformacao.pt/en/2022/03/ucrania-portugal-envia-medicamentos-material-medico-e-equipamento-de-emergencia-humanitaria/</t>
  </si>
  <si>
    <t>https://www.theportugalnews.com/news/2022-03-04/portugal-sends-ukraine-100000-of-medical-supplies/65610</t>
  </si>
  <si>
    <t>PTH2</t>
  </si>
  <si>
    <t>Humanitarian assistance to Ukraine (along with 1 million EUR given to the UN, which we do not consider in our dataset as it is not a direct contribution to Ukraine).</t>
  </si>
  <si>
    <t>https://www.portugal.gov.pt/pt/gc23/comunicacao/noticia?i=portugal-doa-21-milhoes-de-euros-a-ucrania</t>
  </si>
  <si>
    <t>PTH3</t>
  </si>
  <si>
    <t xml:space="preserve">At the "Solidarity with Ukraine" conference, Portuguese Foreign Minister announces that Portugal will send generators, heaters, and LED lamps to Ukraine.  </t>
  </si>
  <si>
    <t>https://www.lusa.pt/article/39993895/portugal-ukraine-aid-to-include-generators-haters-led-bulbs</t>
  </si>
  <si>
    <t>https://www.euractiv.com/section/politics/news/portugal-helps-ukraine-keep-heat-and-lights-on/</t>
  </si>
  <si>
    <t>LED light</t>
  </si>
  <si>
    <t>PTH4</t>
  </si>
  <si>
    <t>The Post of Portugal donated 50,000 euros from the sale of a solidarity stamp for the reconstruction of Borodyanka Center, the rehabilitation center of the Ministry of Veterans Affairs of Ukraine in the Kyiv region</t>
  </si>
  <si>
    <t>https://mva.gov.ua/ua/news/poshta-portugaliyi-peredala-50-tisyach-yevro-z-prodazhu-marki-solidarnosti-na-vidbudovu-borodyanka-centru</t>
  </si>
  <si>
    <t>PTH5</t>
  </si>
  <si>
    <t>Portugal will hand over to Ukraine six Soviet-made Kamov helicopters, which were deprived of their operating license due to anti-Russian sanctions</t>
  </si>
  <si>
    <t>K-32 helicopter</t>
  </si>
  <si>
    <t>https://odessa-journal.com/portugal-will-send-russian-made-helicopters-to-ukraine/</t>
  </si>
  <si>
    <t>PTM1</t>
  </si>
  <si>
    <t>The Portuguese government announced to provide military equipment consisting of ballistic vests, helmets, night vision goggles, grenades, and ammunition of different calibres, complete portable radios, analogue repeaters and G3 automatic rifles.</t>
  </si>
  <si>
    <t>https://www.portugal.gov.pt/en/gc22/communication/announcement?i=assistance-to-ukraine</t>
  </si>
  <si>
    <t>https://mobile.twitter.com/AAhronheim/status/1498004573528772608</t>
  </si>
  <si>
    <t>https://www.theportugalnews.com/news/2022-04-07/portugal-to-send-more-military-material-to-ukraine/66259</t>
  </si>
  <si>
    <t>rifle + MG round</t>
  </si>
  <si>
    <t>portable radio</t>
  </si>
  <si>
    <t>G3 automatic rifle</t>
  </si>
  <si>
    <t>PTM2</t>
  </si>
  <si>
    <t>The Portuguese defence minister announced that the government would send another 99 tons of military and medical support to Ukraine, without providing any further information on the shipment.</t>
  </si>
  <si>
    <t>https://twitter.com/defesa_pt/status/1513633729666818052</t>
  </si>
  <si>
    <t>https://www.theportugalnews.com/news/2022-04-12/portugal-sending-over-99-tonnes-of-medical-and-military-materials/66356</t>
  </si>
  <si>
    <t>https://www.macaubusiness.com/portugal-country-to-send-further-99-t-medical-military-equipment-to-ukraine/</t>
  </si>
  <si>
    <t>PTM3</t>
  </si>
  <si>
    <t>Portugal has ordered 4 armored vehicles to support Ukraine.</t>
  </si>
  <si>
    <t>Iveco M 40.12 WM/P 4x4 armored vehicle</t>
  </si>
  <si>
    <t>https://europe-cities.com/2022/04/30/us-pressuring-portugal-to-cede-armored-vehicles-to-ukraine/</t>
  </si>
  <si>
    <t>https://www.armyrecognition.com/defense_news_may_2022_global_security_army_industry/us_pushing_portugal_to_cede_some_m113_apcs_to_ukraine.html</t>
  </si>
  <si>
    <t>PTM4</t>
  </si>
  <si>
    <t>15 units of M113 armored personnel carriers, 5 units of 155-mm howitzers, communications equipment and other small arms.</t>
  </si>
  <si>
    <t>https://mil.in.ua/en/news/portugal-is-preparing-to-hand-over-m113-armored-personnel-carriers-to-ukraine-media/</t>
  </si>
  <si>
    <t>https://en.defence-ua.com/weapon_and_tech/portugal_to_send_howitzers_and_apcs_to_ukraine-2846.html</t>
  </si>
  <si>
    <t>https://en.defence-ua.com/weapon_and_tech/portuguese_m113_apc_are_on_their_way_to_ukraine-3615.html</t>
  </si>
  <si>
    <t>M114 155mm Howitzer</t>
  </si>
  <si>
    <t>PTM5</t>
  </si>
  <si>
    <t>160 tons of aid, including military equipment, medical and humanitarian support.</t>
  </si>
  <si>
    <t>https://babel.ua/en/news/78825-portugal-will-hand-over-another-160-tons-of-military-aid-to-ukraine</t>
  </si>
  <si>
    <t>https://frontnews.eu/en/news/details/30810</t>
  </si>
  <si>
    <t>PTF1</t>
  </si>
  <si>
    <t>250 million EUR grant, which will have a 100 million EUR disbursement in the year 2022 and three subsequential disbursements of 50 million EUR each in the next three years. The commitment is aimed at giving budgetary support and will be mainly provided through the IMF.</t>
  </si>
  <si>
    <t>https://www.kmu.gov.ua/en/news/portugaliya-nadast-ukrayini-do-250-mln-yevro-finansovoyi-pidtrimki-denis-shmigal</t>
  </si>
  <si>
    <t>https://www.ukrinform.net/rubric-polytics/3488816-portugal-will-provide-financial-assistance-to-ukraine.html</t>
  </si>
  <si>
    <t>https://www.bvinet.com/2022/05/21/ukraine-will-receive-250-million-euros-of-financial-assistance-from-portugal/</t>
  </si>
  <si>
    <t>https://www-rtp-pt.translate.goog/noticias/politica/ajuda-financeira-a-ucrania-primeiros-100-milhoes-de-euros-serao-entregues-ainda-este-ano_v1406838?_x_tr_sl=pt&amp;_x_tr_tl=it&amp;_x_tr_hl=it&amp;_x_tr_pto=op,sc</t>
  </si>
  <si>
    <t>KOH1</t>
  </si>
  <si>
    <t>South Korea</t>
  </si>
  <si>
    <t>The aid package consists of humanitarian in-kind donations. There exists no list of specific items included in this package, while the total value of the package was indicated by the donor.</t>
  </si>
  <si>
    <t>https://reliefweb.int/report/ukraine/korea-provide-humanitarian-assistance-people-ukraine</t>
  </si>
  <si>
    <t>https://www.reuters.com/world/europe/ukraines-zelenskiy-says-tens-thousands-killed-mariupol-seeks-military-aid-skorea-2022-04-11/</t>
  </si>
  <si>
    <t>http://www.koreaherald.com/view.php?ud=20220228000968</t>
  </si>
  <si>
    <t>KOH2</t>
  </si>
  <si>
    <t>The aid package consists of additional in-kind humanitarian aid. There exists no list of specific items included in this package, while the total value of the package was indicated by the donor.</t>
  </si>
  <si>
    <t>https://www.usnews.com/news/world/articles/2022-04-11/ukraines-zelenskiy-says-tens-of-thousands-killed-in-mariupol-seeks-military-aid-from-s-korea</t>
  </si>
  <si>
    <t>https://twitter.com/KyivIndependent/status/1516621305608552451?ref_src=twsrc%5Etfw</t>
  </si>
  <si>
    <t>KOH3</t>
  </si>
  <si>
    <t>South Korea has decided to provide assistance worth approximately US$1.2 million to Ukraine through the International Atomic Energy Agency (IAEA) to support the safe and secure operation of Ukraine’s nuclear power plants under the threat of military conflict</t>
  </si>
  <si>
    <t>https://www.mofa.go.kr/eng/brd/m_5676/view.do?seq=322053</t>
  </si>
  <si>
    <t>https://www.koreatimes.co.kr/www/nation/2022/06/113_330680.html</t>
  </si>
  <si>
    <t>KOH4</t>
  </si>
  <si>
    <t>According to the official statement of the Korean Ministry of Foreign Affairs, the Korean government has decided to provide an additional US$50 million in humanitarian assistance.</t>
  </si>
  <si>
    <t>https://www.mofa.go.kr/eng/brd/m_5676/view.do?seq=322061&amp;page=1</t>
  </si>
  <si>
    <t>KOH5</t>
  </si>
  <si>
    <t xml:space="preserve">According to Source of Aid 1, South Korea has committed and delivered 100 tons of humanitarian aid to Ukraine. Furthermore, the source states that South Korea will provide humanitarian aid worth a total of USD 100 million by the end of 2022. As our dataset currently lists humanitarian aid worth USD 91.2 million in total for South Korea, we attribute the remaining USD 8.8 million to this package. </t>
  </si>
  <si>
    <t>https://www.koreaherald.com/view.php?ud=20221209000551</t>
  </si>
  <si>
    <t>https://en.yna.co.kr/view/AEN20221209008700325</t>
  </si>
  <si>
    <t>KOM1</t>
  </si>
  <si>
    <t>South Korea has announced to support Ukraine with 1 billion KRW (800,000 USD) of non-lethal military equipment, such as bulletproof helmets and medical kit. There exists no list of specific items included in this package, while the total value of the package was indicated by the donor.</t>
  </si>
  <si>
    <t>https://www.france24.com/en/live-news/20220411-zelensky-says-he-believes-tens-of-thousands-killed-in-mariupol</t>
  </si>
  <si>
    <t>https://english.alarabiya.net/News/world/2022/04/11/Zelenskyy-believes-tens-of-thousands-killed-in-Ukraine-s-Mariupol</t>
  </si>
  <si>
    <t>https://consent.yahoo.com/v2/collectConsent?sessionId=3_cc-session_a65137b7-2008-4f6a-9d84-5817bf1a558b</t>
  </si>
  <si>
    <t>KOM2</t>
  </si>
  <si>
    <t>The aid package includes items including bulletproof vests, helmets, medical supplies and meals, ready-to-eat (MREs). There exists no list of specific items included in this package, while the total value of the package was indicated by the donor.</t>
  </si>
  <si>
    <t>https://mil.in.ua/en/news/south-korea-will-be-providing-ukraine-with-additional-aid-worth-1-6-million/</t>
  </si>
  <si>
    <t>https://en.yna.co.kr/view/AEN20220413000800325</t>
  </si>
  <si>
    <t>medical equipment</t>
  </si>
  <si>
    <t>KOM3</t>
  </si>
  <si>
    <t xml:space="preserve">South Korea announced to provide further non-lethal military protection equipment. The shipment consists of equipment needed for chemical, biological, radiological protection. Since no further information about the exact item list has been disclosed, we report the value of donation as given by donor only. </t>
  </si>
  <si>
    <t>https://see.news/south-korea-to-send-non-lethal-aid-to-ukraine/</t>
  </si>
  <si>
    <t>https://www.tellerreport.com/news/2022-05-26-south-korea-to-provide-ukraine-with-chemical-defense-equipment-worth-1-5-billion-won.HJuNwyTvc.html</t>
  </si>
  <si>
    <t>https://en.yna.co.kr/view/AEN20220526005300325</t>
  </si>
  <si>
    <t>ROH1</t>
  </si>
  <si>
    <t>Romania</t>
  </si>
  <si>
    <t xml:space="preserve">Medical equipment, including packs of analgesics, anti-inflammatory medicines, antibiotics, and hand disinfectants. The donation falls within the framework of the EU Civil Protection Mechanism (EUCPM). No further information regarding the shipment has been disclosed. </t>
  </si>
  <si>
    <t>pack of analgesics</t>
  </si>
  <si>
    <t>https://ec.europa.eu/commission/presscorner/detail/en/ip_22_1222</t>
  </si>
  <si>
    <t>https://www.romania-insider.com/ro-ukraine-eu-civil-protection-feb-2022</t>
  </si>
  <si>
    <t>pack of anti-inflammatory</t>
  </si>
  <si>
    <t>pack of antibiotics</t>
  </si>
  <si>
    <t>ROH2</t>
  </si>
  <si>
    <t>Equipment and medicines</t>
  </si>
  <si>
    <t xml:space="preserve">Subsistence material worth 5 million EUR. We don't include in our dataset the 30 tons of humanitarian assistance provided through private donations, since it doesn't represent aid coming directly from the Romanian government. </t>
  </si>
  <si>
    <t>RON</t>
  </si>
  <si>
    <t>https://gov.ro/en/news/medical-equipment-and-medicines-donated-by-romania-in-support-of-ukraine&amp;page=13</t>
  </si>
  <si>
    <t>ROH3</t>
  </si>
  <si>
    <t>The government of Romania announced to donate 11 fully-equipped ambulances.</t>
  </si>
  <si>
    <t>https://www.romania-insider.com/romania-donates-ambulances-ukraine-2022</t>
  </si>
  <si>
    <t>ROH4</t>
  </si>
  <si>
    <t>1,900 tons of fuel worth 3.2 million EUR and announced on May 5, 2022, at the International Donors' Conference (see 1:22:40 in "Source of Aid 1").</t>
  </si>
  <si>
    <t>https://www-puterea-ro.translate.goog/romania-ofera-ucrainei-o-noua-contributie-de-asistenta-umanitara/?_x_tr_sl=ro&amp;_x_tr_tl=en&amp;_x_tr_hl=en&amp;_x_tr_pto=sc</t>
  </si>
  <si>
    <t>ROM1</t>
  </si>
  <si>
    <t>Tranche of military equipment worth 3 million EUR, consisting of fuels, bulletproof vests, helmets, ammunition and military equipment, food, water and medicines. We don't include in our dataset the aid directed to Ukrainian refugees in Romania, listed in "Source of Aid 1", "Source of Aid 2" and "Source of Aid 3".</t>
  </si>
  <si>
    <t>https://gov.ro/ro/stiri/declaratii-de-presa-sustinute-de-purtatorul-de-cuvant-al-guvernului-dan-carbunaru-privind-masurile-luate-de-executiv-in-cadrul-edintei-task-force-pentru-gestionarea-situatiei-generate-de-agresiunea-militara-rusa-din-ucraina&amp;page=2</t>
  </si>
  <si>
    <t xml:space="preserve">https://www.romania-insider.com/ro-aid-ukraine-sanctions-feb-28-2022 </t>
  </si>
  <si>
    <t xml:space="preserve">https://www.reuters.com/world/europe/romania-send-fuel-ammunition-ukraine-2022-02-27/ </t>
  </si>
  <si>
    <t>https://twitter.com/TheEconomist/status/1506413311272886276</t>
  </si>
  <si>
    <t>ROM2</t>
  </si>
  <si>
    <t>Undisclosed amount of weapons will be sent in the future.</t>
  </si>
  <si>
    <t>https://ua.interfax.com.ua/news/general/825450.html</t>
  </si>
  <si>
    <t>https://ukranews.com/en/news/850937-romania-will-transfer-lethal-weapons-from-its-own-reserves-to-ukraine-media</t>
  </si>
  <si>
    <t>SKH1</t>
  </si>
  <si>
    <t>Slovakia</t>
  </si>
  <si>
    <t>5 million EUR for the development of regions in Ukraine and for internally displaced Ukranians. In our dataset, we do not include the 530 million EUR mentioned in "Source of Aid 1" , since they are dedicated to refugees and to countries supporting Ukraine.</t>
  </si>
  <si>
    <t>https://twitter.com/eduardheger/status/1512777474828079109</t>
  </si>
  <si>
    <t>SKH2</t>
  </si>
  <si>
    <t>Material assistance</t>
  </si>
  <si>
    <t>Slovakia provides a new "winter package" for Ukraine. This includes petrol/electric generators, winter gear, transformers, material for heat generation, and food supplies.</t>
  </si>
  <si>
    <t>https://www.ukrainianworldcongress.org/slovakia-approves-a-new-package-of-military-aid-to-ukraine/</t>
  </si>
  <si>
    <t>https://spectator.sme.sk/c/23092666/slovaka-will-provide-winter-package-for-ukraine.html</t>
  </si>
  <si>
    <t>https://kyivindependent.com/news-feed/slovakia-considers-producing-ammunition-for-ukraine</t>
  </si>
  <si>
    <t>transformer</t>
  </si>
  <si>
    <t>Food ration H</t>
  </si>
  <si>
    <t>SKM1</t>
  </si>
  <si>
    <t>Military items, including five demining sets.</t>
  </si>
  <si>
    <t>demining set</t>
  </si>
  <si>
    <t>https://twitter.com/eduardheger/status/1495764246780645377</t>
  </si>
  <si>
    <t>https://spectator.sme.sk/c/22842829/slovakia-will-send-mine-clearance-systems-and-healthcare-material-to-ukraine.html</t>
  </si>
  <si>
    <t>SKM2</t>
  </si>
  <si>
    <t>Military equipment worth 4.5 million EUR (see "Source of Aid 2"). It contains 486 anti-tank missiles and anti-tank rockets, along with 100 air defense launchers (see "Source of Aid1" or "Source of Aid 3").</t>
  </si>
  <si>
    <t>anti-tank missile and anti-tank rocket</t>
  </si>
  <si>
    <t>https://twitter.com/eduardheger/status/1498055152045015046</t>
  </si>
  <si>
    <t>https://spectator.sme.sk/c/22850259/slovakia-will-send-more-military-aid-to-ukraine.html</t>
  </si>
  <si>
    <t>https://www.aa.com.tr/en/russia-ukraine-crisis/slovakia-to-send-more-military-supplies-to-ukraine-premier-says/2518136</t>
  </si>
  <si>
    <t>https://www.reuters.com/world/europe/slovakia-says-it-delivered-air-defence-anti-tank-rockets-ukraine-2022-02-28/</t>
  </si>
  <si>
    <t>air defense launcher</t>
  </si>
  <si>
    <t>SKM3</t>
  </si>
  <si>
    <t xml:space="preserve">Lethal weapons and military equipment worth 32.2 million EUR. </t>
  </si>
  <si>
    <t>https://twitter.com/eduardheger/status/1499479828218658819</t>
  </si>
  <si>
    <t>https://www.reuters.com/article/ukraine-crisis-slovakia-defence-idUSL2N2V626W</t>
  </si>
  <si>
    <t>SKM4</t>
  </si>
  <si>
    <t>Unknown number of liters of fuel and rounds of ammunitions, for a total value of 11 million EUR.</t>
  </si>
  <si>
    <t>https://twitter.com/eduardheger/status/1497624801497821188</t>
  </si>
  <si>
    <t>SKM5</t>
  </si>
  <si>
    <t>https://www.defensenews.com/global/europe/2022/04/11/slovakia-could-sell-howitzers-to-ukraine-and-repair-its-tanks-vehicles/</t>
  </si>
  <si>
    <t>SKM6</t>
  </si>
  <si>
    <t>S-300 air defence system. According to the Slovak Minister of Defense, the monetary value of the military aid amounts to 68 million EUR (see "Source of Aid 3").</t>
  </si>
  <si>
    <t>S-300 air defence system</t>
  </si>
  <si>
    <t>https://twitter.com/eduardheger/status/1512386024399376389</t>
  </si>
  <si>
    <t>https://abcnews.go.com/Politics/us-sends-patriot-battery-slovakia-ukraine-300-anti/story?id=83965999</t>
  </si>
  <si>
    <t>https://spectator.sme.sk/c/22895899/slovakia-donates-military-equipment-to-ukraine.html</t>
  </si>
  <si>
    <t>https://www.nytimes.com/2022/04/14/world/europe/ukraine-russia-nato-s300.html</t>
  </si>
  <si>
    <t>SKM7</t>
  </si>
  <si>
    <t>Donation of four Mi-17 and one Mi-2 helicopters and "thousands" of multiple rocket launchers. Since "Source of Aid 2" mentions the shipment of "thousands" of rocket launchers, we approximate the number to 2000 units.</t>
  </si>
  <si>
    <t>https://www.usnews.com/news/world/articles/2022-06-16/slovaks-give-mi-helicopters-grad-rockets-to-ukraine#:~:text=June%2016%2C%202022%2C%20at%202%3A26%20a.m.&amp;text=(Reuters)%20%2D%20Slovakia%20has%20donated,defence%20minister%20said%20on%20Thursday.</t>
  </si>
  <si>
    <t>https://kyivindependent.com/news-feed/slovakia-supplies-5-helicopters-ammunition-for-grad-multiple-rocket-launchers</t>
  </si>
  <si>
    <t>https://twitter.com/JaroNad/status/1537194189066223616?ref_src=twsrc%5Etfw%7Ctwcamp%5Etweetembed%7Ctwterm%5E1537194189066223616%7Ctwgr%5E%7Ctwcon%5Es1_&amp;ref_url=https%3A%2F%2Fgagadget.com%2Fen%2F138212-slovakia-handed-over-to-ukraine-mi-17-and-mi-2-helicopters-as-well-as-ammunition-for-the-grad-mlrs%2F</t>
  </si>
  <si>
    <t>SKM8</t>
  </si>
  <si>
    <t>As part of defense agreement with Germany, Slovakia will hand over 30 BVP-1 infantry fighting vehicles to Ukraine and will instead receive 15 Leopard 2A4 tanks from Germany.</t>
  </si>
  <si>
    <t>https://www.reuters.com/world/europe/slovakia-donate-30-infantry-fighting-vehicles-ukraine-minister-2022-08-23/</t>
  </si>
  <si>
    <t>https://www.facebook.com/mosr.sk/videos/5722932787787796</t>
  </si>
  <si>
    <t>https://www.defensenews.com/global/europe/2022/08/23/germany-slovakia-sign-tank-swap-deal-to-arm-ukraine/</t>
  </si>
  <si>
    <t>https://www.mosr.sk/52244-en/bvp-1-pre-ukrajinu-su-odovzdane-leopardy-pre-nasu-obranu-pridu-uz-coskoro/</t>
  </si>
  <si>
    <t>SKM9</t>
  </si>
  <si>
    <t xml:space="preserve">Slovak government approved a new package of military aid to Ukraine. This package is worth 9 million EUR. </t>
  </si>
  <si>
    <t>https://www.eurointegration.com.ua/news/2022/12/8/7152129/</t>
  </si>
  <si>
    <t>Bozena mine clearing vehicle</t>
  </si>
  <si>
    <t>Small-to-large caliber nonstandard ammunition</t>
  </si>
  <si>
    <t>fighter jet ammunition</t>
  </si>
  <si>
    <t>SIH1</t>
  </si>
  <si>
    <t>Slovenia</t>
  </si>
  <si>
    <t xml:space="preserve">Material assistance worth 163,000 EUR, consisting mostly of medical equipment. The aid package falls within the framework of the EU Civil Protection Mechanism (EUCPM). Our dataset does not include the 1.1 million EUR aid package dispatched to the International Committee of the Red Cross (ICRC - 100,000 EUR), to the United Nations Office for the Coordination of Humanitarian Affairs (UN OCHA - 400,000 EUR), to the United Nations High Commissioner for Refugees (UNHCR - 400,000 EUR) and to Caritas Internationalis (200,000 EUR), since it is not a direct donation to Ukraine. </t>
  </si>
  <si>
    <t>diesel-powered generator</t>
  </si>
  <si>
    <t>https://www.gov.si/en/news/2022-02-26-humanitarian-contribution-of-the-republic-of-slovenia-to-the-people-of-ukraine/</t>
  </si>
  <si>
    <t xml:space="preserve">https://www.gov.si/en/news/2022-03-01-minister-logar-announces-eur-1-1-million-in-humanitarian-aid-for-ukraine/ </t>
  </si>
  <si>
    <t xml:space="preserve">https://www.gov.si/en/news/2022-03-07-eu-development-ministers-on-emergency-humanitarian-aid-to-ukraine/ </t>
  </si>
  <si>
    <t>pair of rubber boots</t>
  </si>
  <si>
    <t>pair of latex gloves</t>
  </si>
  <si>
    <t>pair of nitrile gloves</t>
  </si>
  <si>
    <t>SIH2</t>
  </si>
  <si>
    <t xml:space="preserve">Humanitarian contribution of 100.000 EUR to the International Committee of the Red Cross in Ukraine. </t>
  </si>
  <si>
    <t>https://sloveniatimes.com/slovenia-sending-eur-100000-aid-to-ukraine/</t>
  </si>
  <si>
    <t>SIH3</t>
  </si>
  <si>
    <t>40 tons of first-necessity items (38 according to "Source of Aid 2"), such as toiletries, first aid kits, food and firefighter equipment. No further information regarding the shipment has been disclosed. Our dataset does not report the aid delivered by the Slovenian Caritas, mentioned in "Source of Aid 1", since it is not a flow coming directly from the Slovenian government.</t>
  </si>
  <si>
    <t>https://www.rtvslo.si/radio-si/news/slovenia-sending-more-aid-to-ukraine/616960</t>
  </si>
  <si>
    <t xml:space="preserve">https://english.sta.si/3017990/tonnes-of-aid-for-ukraine-dispatched-this-week </t>
  </si>
  <si>
    <t>SIH4</t>
  </si>
  <si>
    <t>1.64 million EUR in assistance to Ukraine and neighboring countries. No further information about this flow has been disclosed. Since we cannot disentangle the assistance directed to Ukraine from the one directed to neighboring countries, we apply our "upper bound rule" and include this value in our dataset to avoid underestimating the true extent of assistance to Ukraine. Moreover, the 40 tons of necessity mentioned in SIH1 are likely part of the 1.64 million EUR. We don't substract the 40 tons  from 1.64 million EUR because we don't have any monetary value for SIH1.</t>
  </si>
  <si>
    <t>https://www.gov.si/en/news/2022-04-06-eu-directors-general-for-development-cooperation-on-coordination-of-assistance-for-ukraine/</t>
  </si>
  <si>
    <t>https://twitter.com/MZZRS/status/1511723242939105281</t>
  </si>
  <si>
    <t>SIH5</t>
  </si>
  <si>
    <t>Material assistance including IP phones, computers, petrol generators, antennas, and cables.</t>
  </si>
  <si>
    <t>IP phone</t>
  </si>
  <si>
    <t>https://english.sta.si/3031756/slovenia-to-send-additional-material-aid-to-ukraine</t>
  </si>
  <si>
    <t>https://www.rtvslo.si/radio-si/news/slovenia-promises-aid-to-ukraine/625786</t>
  </si>
  <si>
    <t>https://babel.ua/en/news/78193-slovenia-will-provide-180-000-in-financial-assistance-to-ukraine</t>
  </si>
  <si>
    <t>laptop</t>
  </si>
  <si>
    <t>desktop</t>
  </si>
  <si>
    <t>petrol generator</t>
  </si>
  <si>
    <t>antenna</t>
  </si>
  <si>
    <t>cable</t>
  </si>
  <si>
    <t>SIH6</t>
  </si>
  <si>
    <t>Slovenia Ministry of Foreign Affairs allocated 133,939 EUR for the construction of a habilitation home for 90 children and young people who have disabilities and are affected by the war</t>
  </si>
  <si>
    <t>https://www.gov.si/en/news/2022-11-25-ministry-of-foreign-affairs-to-provide-funds-to-complete-the-reconstruction-of-a-rehabilitation-home-in-ukraine/</t>
  </si>
  <si>
    <t>SIH7</t>
  </si>
  <si>
    <t>Slovenia Ministry of Foreign Affairs gives 100,000 EUR in humanitarian assistance to help people survive the harsh winter.</t>
  </si>
  <si>
    <t>https://www.gov.si/en/news/2022-12-05-slovenia-allocates-additional-funds-for-humanitarian-aid-to-ukrainian-families-ahead-of-winter/</t>
  </si>
  <si>
    <t>SIH8</t>
  </si>
  <si>
    <t>Slovenia Ministry of Foreign Affairs has donated 580,000 EUR to provide three ambulances. Two are vehicle type b and are worth 210,000 EUR. These two have been delivered to Ukraine. The third is vehicle type c and is worth 370,000 EUR</t>
  </si>
  <si>
    <t>https://www.gov.si/en/news/2022-12-30-minister-fajon-hands-over-two-ambulances-for-ukraine/</t>
  </si>
  <si>
    <t>https://sloveniatimes.com/new-slovenian-donations-to-ukraine/</t>
  </si>
  <si>
    <t>https://sloveniatimes.com/slovenia-stands-firm-by-ukraine/#:~:text=Slovenia%20has%20also%20pledged%20%E2%82%AC,countries%20in%20Africa%20and%20Asia</t>
  </si>
  <si>
    <t>SIH9</t>
  </si>
  <si>
    <t>According the Slovenia Ministry of Foreign Affairs, Slovenia has provided 4.3 million EUR in humanitarian aid since the beginning of Russian agression, as of December 30, 2022. We use this value as a benchmark and subtract from it all previous humanitarian package values in our dataset (SIH1-8). The missing humanitarian aid is worth approximately 1.4 million EUR.</t>
  </si>
  <si>
    <t>SIM1</t>
  </si>
  <si>
    <t>until 6/14/2022</t>
  </si>
  <si>
    <t>Undisclosed number of rifles, ammunitions and helmets. The EU contribution of 450 million EUR + 50 million EUR, cited by "Source of Aid 1", is reported in EUM1. The military assistance worth 163,000 EUR and mentioned in "Source of Aid 2" is reported in SIH1. According to the Slovak minister of Foreign Affairs, Slovenia's military assistance to Ukraine amounts to 7 million EUR. We report the amount under the column "Monetary Value as Given by Source" and list all items found in "Item". According to the Slovak minister of Foreign Affairs (see "Source of Aid 4"), Slovenia has also donated a total of 3,2 million EUR in humanitarian aid to Ukraine. This is in line with our narrative, since we count a total of 2,083 million EUR (SIH1-SIH5)  and discard the 1,1 million EUR promised to international organisations that are not explicitly active in Ukraine (2,083+ 1,1= 3,2)</t>
  </si>
  <si>
    <t>rifle</t>
  </si>
  <si>
    <t>https://n1info.si/novice/svet/slovenija-ukrajini-ze-poslala-puske-streliva-in-celade/</t>
  </si>
  <si>
    <t>https://www.euractiv.com/section/politics/short_news/slovenia-sends-military-aid-including-weapons-to-ukraine/</t>
  </si>
  <si>
    <t>https://www.total-slovenia-news.com/politics/10138-slovenia-moves-from-military-to-humanitarian-aid-for-ukraine</t>
  </si>
  <si>
    <t>SIM2</t>
  </si>
  <si>
    <t>As per Source of Aid 1, Slovenian Defense Minister confirmed that Slovenia has sent 35 infantry fighting vehicles to Ukriane. Source of Aid 2 mentions that the infantry vehicles delivered by Slovenia are of type M80A.</t>
  </si>
  <si>
    <t>M80A infantry fighting vehicle</t>
  </si>
  <si>
    <t>https://www.rtvslo.si/slovenija/sarec-zaveze-natu-ostajajo-zmanjsevanja-sredstev-za-obrambo-ne-bo/631221</t>
  </si>
  <si>
    <t>https://mil.in.ua/en/news/slovenia-handed-over-35-m80a-infantry-fighting-vehicles-to-ukraine/</t>
  </si>
  <si>
    <t>SIM3</t>
  </si>
  <si>
    <t>Ukrainian Minister of Foreign Affairs, Dmytro Kuleba, announced that Slovenia intends to transfer civilian mine-clearing equipment to Ukraine which will be used to help clear mines from formerly occupied territories in Ukraine as part of the European Union’s Civil Protection Mechanism. Slovenia has also promised to rebuild the Kharkiv Institute of Prosthetics, which had been destroyed during the war, and to assist in rebuilding the public transportation services in the city of Kharkiv</t>
  </si>
  <si>
    <t>https://mobile.twitter.com/EU_Commission/status/1551598152041603072</t>
  </si>
  <si>
    <t>https://www.kyivpost.com/russias-war/slovenia-to-provide-mine-sweeping-equipment-to-ukraine.html</t>
  </si>
  <si>
    <t>https://twitter.com/DmytroKuleba/status/1552292097566380033?ref_src=twsrc%5Etfw</t>
  </si>
  <si>
    <t>SIM4</t>
  </si>
  <si>
    <t>As part of defense agreement with Germany, Slovenia will hand over 28 modified M-55S Soviet-era tanks to Ukraine and will instead receive 40 military transport vehicles, including 35 heavy hook loaders and five water tankers from Germany.</t>
  </si>
  <si>
    <t>M-55S tank</t>
  </si>
  <si>
    <t>https://www.gov.si/en/news/2022-09-19-prime-minister-robert-golob-in-a-telephone-conversation-with-german-chancellor-olaf-scholz-about-current-european-affairs/</t>
  </si>
  <si>
    <t>https://www.ukrinform.net/rubric-ato/3575496-ukraine-to-get-28-m55s-tanks-from-slovenia.html</t>
  </si>
  <si>
    <t>https://www.gov.si/en/news/2022-11-28-in-kiev-minister-sarec-expresses-slovenias-support-and-solidarity-to-ukraine/</t>
  </si>
  <si>
    <t>ESH1</t>
  </si>
  <si>
    <t>Spain</t>
  </si>
  <si>
    <t>Protective equipment and medical supplies</t>
  </si>
  <si>
    <t>Spain's Ministry of Foreign Affairs sent 20 tons of personal protective equipment and medical supplies worth 150,000 EUR (masks; gloves; medical protection suits; helmets; flak jackets; NBC protection waistcoats). The assistance falls within the framework of the EU Civil Protection Mechanism (EUCPM). This mechanism organizes logistics for donations and covers some of the transportation cost. Thus, we do not include the 10,000 EUR spent in transport, cited by "Source of Aid 1", since this expense is covered by the EU Civil Protection Mechanism.</t>
  </si>
  <si>
    <t>https://www.lamoncloa.gob.es/lang/en/gobierno/news/Paginas/2022/20220226_humanitarian-aid.aspx</t>
  </si>
  <si>
    <t xml:space="preserve">https://www.lamoncloa.gob.es/lang/en/gobierno/news/Paginas/2022/20220227_aid-to-ukraine.aspx </t>
  </si>
  <si>
    <t>https://twitter.com/desdelamoncloa/status/1497563071761453057</t>
  </si>
  <si>
    <t>ESH2</t>
  </si>
  <si>
    <t xml:space="preserve">5,500 hospital beds, 1,184 of which are pediatrics. This is in addition to the 20 tonnes of personal protective equipment sent on February 26, 2022 (ESH1). </t>
  </si>
  <si>
    <t>https://twitter.com/sanidadgob/status/1503783624969265161</t>
  </si>
  <si>
    <t>https://www.sanidad.gob.es/en/gabinete/notasPrensa.do?id=5684</t>
  </si>
  <si>
    <t>hospital pediatric bed</t>
  </si>
  <si>
    <t>ESH3</t>
  </si>
  <si>
    <t>23 million EUR directed to Ukraine, which are part of a 31 million EUR humanitarian package allocated by the Ministry of Foreign Affairs, European Union and Cooperation. Of the 31 million EUR, 23 million EUR will go to Ukraine and 8 million EUR will go to the neighboring countries (20 tonnes of medication to Poland and 30 tonnes to Moldova). We do not include the 8 million EUR in our dataset, since this is not a flow directed to Ukraine. Moreover, Spain allocated 25 million EUR to various international organizations and 3 million EUR to Spanish NGOs. These flows are not included either, since they don't represent sovereign-to-sovereign flows directed to Ukraine.</t>
  </si>
  <si>
    <t>https://www.exteriores.gob.es/Embajadas/washington/en/Comunicacion/Noticias/Paginas/Articulos/20220317_NEWS01.aspx</t>
  </si>
  <si>
    <t>https://www.exteriores.gob.es/Embajadas/washington/en/Comunicacion/Noticias/Paginas/Articulos/20220324_NEWS01.aspx#:~:text=Last%20week%2C%20the%20Government%20approved,Directive%20within%20the%20EU%20framework.</t>
  </si>
  <si>
    <t>ESH4</t>
  </si>
  <si>
    <t>until 4/8/2022</t>
  </si>
  <si>
    <t>"Source of Aid 1" mentions that before Spain announced to send 50 tons to Ukraine (ESH5), the country provided a total of 19 tons in humanitarian aid, worth about 1,161,542 EUR. Among them are, according to the "Sources of Aid 2 &amp; 3", 11 tons of medical material given by Autonomous Communities (a first-level political and administrative division which guarantees limited autonomy to the regions constituting Spain).</t>
  </si>
  <si>
    <t>https://www.lamoncloa.gob.es/lang/en/gobierno/news/Paginas/2022/20220411_health-shipment.aspx</t>
  </si>
  <si>
    <t>https://twitter.com/Defensagob/status/1512424894881017857</t>
  </si>
  <si>
    <t>https://www.defensa.gob.es/gabinete/notasPrensa/2022/04/DGC-220408-visita-centro-militar-farmacia.html</t>
  </si>
  <si>
    <t>ESH5</t>
  </si>
  <si>
    <t xml:space="preserve">50 tons of medical material given by the Autonomous Communities (a first-level political and administrative division which guarantees limited autonomy to the regions constituting Spain, see "Source of Aid 2"). The material was delivered by the Armed Forces. This is in addition to the 11 tons of medical material sent previously (ESH4). </t>
  </si>
  <si>
    <t>ESH6</t>
  </si>
  <si>
    <t>During the international Ukraine Recovery Conference in Lugano, Secretary of State of the Foreign Ministry for International Cooperation Pilar Cancela Rodríguez said that Spain might allocate EUR 250 million to Ukraine (Source of Aid 1). Source of Aid 2 specifies that 50 million euros from this package will go to food security and cities. Anouther parts of this package are reported in  ESF1 (budget support trougth World Bank) and ESF2 (guarantee trougth EBRD).</t>
  </si>
  <si>
    <t>https://thediplomatinspain.com/en/2022/07/spain-announces-250-million-euros-for-agriculture-and-renewables-in-ukraine/</t>
  </si>
  <si>
    <t>https://ua.interfax.com.ua/news/general/844172.html</t>
  </si>
  <si>
    <t>ESM1</t>
  </si>
  <si>
    <t>Lethal weapons, including 1,370 anti-tank grenade launchers, 700,000 rifles and an undisclosed number of machine-gun rounds and light machine guns.</t>
  </si>
  <si>
    <t>SB-40 LAG</t>
  </si>
  <si>
    <t>https://www.reuters.com/world/europe/spain-send-grenade-launchers-machine-guns-ukraine-minister-says-2022-03-02/</t>
  </si>
  <si>
    <t xml:space="preserve">https://www.aa.com.tr/en/europe/spain-to-send-weapons-to-ukrainian-forces/2520902 </t>
  </si>
  <si>
    <t>https://euroweeklynews.com/2022/03/05/spanish-grenade-launchers-sent-to-ukraine/</t>
  </si>
  <si>
    <t>rifle + MG Round</t>
  </si>
  <si>
    <t>light machine gun</t>
  </si>
  <si>
    <t>ESM2</t>
  </si>
  <si>
    <t>Spain has declared that new weapons will be shipped. Our dataset reports the 1 billion EUR cited in "Source of Aid 2" as it represents the aid devoted by the European Peace Facility so far (EUM1 and EUM2).</t>
  </si>
  <si>
    <t>https://www.thelocal.es/20220311/spain-to-send-more-weapons-to-ukraine/</t>
  </si>
  <si>
    <t>https://www.barrons.com/news/spain-to-send-more-weapons-to-ukraine-01647003007</t>
  </si>
  <si>
    <t>ESM3</t>
  </si>
  <si>
    <t>An RG-31 ambulance of the Armed Forces, delivered to help evacuate the wounded from the most affected regions.</t>
  </si>
  <si>
    <t>RG-31 ambulance</t>
  </si>
  <si>
    <t>https://twitter.com/Defensagob/status/1508877933242372096</t>
  </si>
  <si>
    <t>https://pledgetimes.com/spain-sends-an-armored-ambulance-and-more-weapons-to-ukraine/</t>
  </si>
  <si>
    <t>ESM4</t>
  </si>
  <si>
    <t>New batch of military aid consisting of 200 tons of military material. This was announced by the prime minister without specifying the aid in more detail. However, "Source of Aid 2" discloses that the package includes 200 tons of ammunition, 20 armored vehicles and 30 military trucks. Prime Minister Sanchez specifies that this package would more than double what Spain had delivered until that date. "Source of Aid 4" admits this by quantifying the aid up to the date to 170 tons. The source specifies that the entries ESH1 and ESM1 belong to this amount.</t>
  </si>
  <si>
    <t>ton of rifle + MG round</t>
  </si>
  <si>
    <t>https://www.lamoncloa.gob.es/lang/en/presidente/news/paginas/2022/20220421_visit-to-ukraine.aspx</t>
  </si>
  <si>
    <t>https://armyrecognition.com/ukraine_-_russia_invasion_conflict_war/full_list_of_us_european_weapons_and_military_equipment_delivered_to_ukraine.html</t>
  </si>
  <si>
    <t>https://www.ukrinform.net/rubric-defense/3463928-spain-sends-new-military-aid-batch-to-ukraine.html</t>
  </si>
  <si>
    <t>https://westobserver.com/news/europe/40-spanish-made-military-trucks-and-off-road-vehicles-for-ukraine-travel-in-the-ysabel/</t>
  </si>
  <si>
    <t>https://www.thelocal.es/20220421/spain-sends-200-tonnes-of-military-material-to-ukraine-pm/</t>
  </si>
  <si>
    <t>VAMTAC 4x4 armored vehicle</t>
  </si>
  <si>
    <t>lorry</t>
  </si>
  <si>
    <t>ESM5</t>
  </si>
  <si>
    <t>According to media reports, Spain plans to provide Ukraine with a undisclosed amount of Aspide anti-aircraft missiles as well as with Leopard 2A4 tanks. According to "Source of Aid 2", the preparations to deliver the Aspide missiles are already in an advanced stage. On the other hand, the delivery of Leopard 2A4 tanks is subject to at least two factors, according to "Source of Aid 3". First of all the approval from the German government since Spain bought them from Germany in 1995. And secondly, the tanks need a complete overhaul. Even though "Source of Aid 2" speaks about 40 tanks that could be delivered, another media report as of June 8 ("Source of Aid 4") clarifies that Spain would send only up to ten Leopard 2A4 tanks. Based on later reports, Spain decied to not to send Leopards(see ESM6 for detailes).</t>
  </si>
  <si>
    <t>Shorad Aspide anti-aircraft missile</t>
  </si>
  <si>
    <t>https://www.reuters.com/world/europe/spain-deliver-anti-aircraft-missiles-tanks-ukraine-el-pais-2022-06-05/</t>
  </si>
  <si>
    <t>https://elpais.com/espana/2022-06-05/espana-dispuesta-a-entregar-a-ucrania-misiles-antiaereos-y-carros-de-combate-leopard.html</t>
  </si>
  <si>
    <t>https://www.faz.net/aktuell/politik/inland/spanien-erwaegt-lieferung-deutscher-kampfpanzer-an-die-ukraine-18084152.html</t>
  </si>
  <si>
    <t>https://www.faz.net/aktuell/politik/waffen-fuer-die-ukraine-norwegen-liefert-haubitzen-18089553.html</t>
  </si>
  <si>
    <t>ESM6</t>
  </si>
  <si>
    <t>According to the Spanish newspaper Infodefensa ("Source of aid 1"), the Spanish defence ministry and army decided to donate 10 Leopards and 20 M113 to Ukraine. Still, later in August, Spanish Defence Minister Margarita Robles reported that Spain could not send its mothballed Leopard 2A4 tanks to Ukraine as they are "in an absolutely deplorable state (Source of Aid 2), so we don't include leopards in the dataset. We also deleted Leopards from ESM5, since these are the same leopards.</t>
  </si>
  <si>
    <t>https://www.infodefensa.com/texto-diario/mostrar/3822103/defensa-da-luz-verde-donacion-10-carros-combate-leopard-2a4-20-m113-ucrania</t>
  </si>
  <si>
    <t>https://www.reuters.com/world/europe/spain-says-its-mothballed-german-made-tanks-no-fit-state-send-ukraine-2022-08-02/</t>
  </si>
  <si>
    <t>ESM7</t>
  </si>
  <si>
    <t>Spain’s Ministry of Defense has announced that it will transfer additional military assistance, and the first package is already being prepared. At the same time, the content was described without specifying the concrete models of different weapons, only the broad typing. Source of aid 3 later specified the amount of winter clothing delivered to Ukraine.</t>
  </si>
  <si>
    <t>https://www.defensa.gob.es/gabinete/notasPrensa/2022/10/DGC-221006-envio-ucrania.html</t>
  </si>
  <si>
    <t>https://edition.cnn.com/europe/live-news/russia-ukraine-war-news-08-25-22/index.html</t>
  </si>
  <si>
    <t>https://www.defensa.gob.es/gabinete/notasPrensa/2022/11/DGC-221110-sesion-ucrania.html</t>
  </si>
  <si>
    <t>https://www.aa.com.tr/en/europe/spain-announces-increase-in-military-aid-to-ukraine/2668809</t>
  </si>
  <si>
    <t>https://www.defensa.gob.es/gabinete/notasPrensa/2022/08/DGC-220831-envio-armamento-ucrania.html</t>
  </si>
  <si>
    <t>Howitzer</t>
  </si>
  <si>
    <t>ton of diesel (Spain)</t>
  </si>
  <si>
    <t>unkown anti-aircraft battery (Spain)</t>
  </si>
  <si>
    <t>ESM8</t>
  </si>
  <si>
    <t>Spain’s Ministry of Defense has announced that it will transfer additional military assistance. Source of aid 2 specified some details about the content of the package.</t>
  </si>
  <si>
    <t>Anibal light vehicle</t>
  </si>
  <si>
    <t>https://www.infodefensa.com/texto-diario/mostrar/3916727/defensa-envia-polonia-10-vehiculos-ligeros-ucrania-prepara-entrega-otros-12-pesados</t>
  </si>
  <si>
    <t>ESM9</t>
  </si>
  <si>
    <t xml:space="preserve">During the NATO briefing, Jens Stoltenberg, General Secretary of NATO, said that Spain will send four HAWK anti-aircraft systems to Ukraine. Later on, During the joint press conference with the Minister of Foreign Affairs, European Union and Cooperation of Spain Jose Manuel Albarez Bueno in Kyiv confirmed it and also revealed that Spain is going to send Aspide batteries and missiles to Ukraine (Source of aid 2). </t>
  </si>
  <si>
    <t>MIM-23 HAWK</t>
  </si>
  <si>
    <t>https://www.youtube.com/watch?v=D59VdvNdPwo&amp;t=2s&amp;ab_channel=NATONews</t>
  </si>
  <si>
    <t>https://www.facebook.com/UkraineMFA/videos/804435197447603/?extid=CL-UNK-UNK-UNK-AN_GK0T-GK1C</t>
  </si>
  <si>
    <t>https://twitter.com/oleksiireznikov/status/1589571269363904512?cxt=HHwWgMDR-bippY8sAAAA</t>
  </si>
  <si>
    <t>Aspide battery</t>
  </si>
  <si>
    <t>ESM10</t>
  </si>
  <si>
    <t>According to Spanish defence minister Margarita Robles, Spain is to send additional heavy weapon support to Ukraine. She also revealed the content of the following delivery package but only specified the amount of MIM-23 HAWK anti-aircraft systems. Source of aid 2 specified the amount of 105mm howitzers.</t>
  </si>
  <si>
    <t>https://www.infodefensa.com/texto-diario/mostrar/4066952/espana-enviara-hawk-generadores-bateria-105-ucrania</t>
  </si>
  <si>
    <t>https://www.reuters.com/world/europe/spain-send-two-more-hawk-air-defence-systems-ukraine-2022-11-10/</t>
  </si>
  <si>
    <t>https://twitter.com/oleksiireznikov/status/1598696930720116736?cxt=HHwWgMCjseyY268sAAAA</t>
  </si>
  <si>
    <t xml:space="preserve">OTO Melara Mod 56 Towed Howitzer 105/14 </t>
  </si>
  <si>
    <t>ESF1</t>
  </si>
  <si>
    <t>During the international Ukraine Recovery Conference in Lugano, Secretary of State of the Foreign Ministry for International Cooperation Pilar Cancela Rodríguez said that Spain might allocate EUR 250 million to Ukraine (Source of Aid 1). Source of Aid 2 specifies that 100 million euros from this package will be issued for the multi-donor fund of the World Bank, which provides direct financial support to the budget of Ukraine. Anouther parts of this package are reported in ESF2 (guarantee trougth EBRD) and ESH6 (humanitarian help).</t>
  </si>
  <si>
    <t>ESF2</t>
  </si>
  <si>
    <t>During the international Ukraine Recovery Conference in Lugano, Secretary of State of the Foreign Ministry for International Cooperation Pilar Cancela Rodríguez said that Spain might allocate EUR 250 million to Ukraine (Source of Aid 1). Source of Aid 2 specifies that 100 million euros from this package will be issued as guarantee for the European Bank for Reconstruction and Development (EBRD). Anouther parts of this package are reported in ESF1 (budget support trougth World Bank) and ESH6 (humanitarian help).</t>
  </si>
  <si>
    <t>ESF3</t>
  </si>
  <si>
    <t>The Spanish Ministry for the Ecological Transition and the Demographic Challenge made a contribution of EUR 4.5 million to the Ukraine Energy Support Fund.</t>
  </si>
  <si>
    <t>https://www.energy-community.org/news/Energy-Community-News/2023/01/11.html</t>
  </si>
  <si>
    <t>SEH1</t>
  </si>
  <si>
    <t>Sweden</t>
  </si>
  <si>
    <t>Sweden decided to provide equipment that is necessary to repair Ukraine's energy grid. However, as no further information is provided, an in-kind valuation of this aid is not possible.</t>
  </si>
  <si>
    <t>https://government.se/press-releases/2022/04/sweden-supporting-ukraine-with-equipment-to-secure-the-countrys-energy-supply/</t>
  </si>
  <si>
    <t>SEH2</t>
  </si>
  <si>
    <t>until 5/4/2022</t>
  </si>
  <si>
    <t>Following "Source of Aid 1", Sweden has provided direct humanitarian aid to Ukraine worth 570 million SEK until May 4, 2022. Of this amount,we document 500 million EUR and 20 million EUR to support the International Committee of the Red Cross (ICRC) in Ukraine (both as of February 27). Furthermore, Sweden announced to assist Ukraine with equipment to secure the country's energy supply (April 22). We do not include the contribution of Sweden to UN organizations, including the Central Emergency Response Fund (CERF) and to the Red Cross Movement’s Disaster Relief Emergency Fund (DREF) (as listed in "Source of Aid 1"), since those international organisations are not explicitly active in Ukraine.</t>
  </si>
  <si>
    <t>SEK</t>
  </si>
  <si>
    <t>https://www.government.se/press-releases/2022/05/sweden-and-poland-co-host-international-donors-conference-to-support-ukrainian-people/#:~:text=Sweden%27s%20support%20to%20Ukraine&amp;text=Sweden%20is%20one%20of%20CERF%27s,SEK%2035%20million%20in%202022.</t>
  </si>
  <si>
    <t>https://www.government.se/articles/2022/03/sweden-planning-additional-support-to-ukraine-through-world-bank/#:~:text=Due%20to%20Russia's%20aggression%20against,to%20the%20growing%20humanitarian%20needs.</t>
  </si>
  <si>
    <t>https://government.se/press-releases/2022/05/sweden-and-poland-co-host-international-donors-conference-to-support-ukrainian-people/</t>
  </si>
  <si>
    <t>SEH3</t>
  </si>
  <si>
    <t>During the High-Level International Donor's Conference for Ukraine on May 5, 2022, Sweden announced to provide additional 230 million SEK, according to "Source of Aid 1", for humanitarian organisations active in Ukraine.</t>
  </si>
  <si>
    <t>https://www.government.se/articles/2022/05/sweden-and-poland-mobilised-humanitarian-support-for-ukraine/</t>
  </si>
  <si>
    <t>https://en.interfax.com.ua/news/general/829822.html</t>
  </si>
  <si>
    <t>https://www.news.az/news/sweden-pledges-additional-23-million-for-humanitarian-actions-in-ukraine</t>
  </si>
  <si>
    <t>SEH4</t>
  </si>
  <si>
    <t>As a part of the total package comprising 1 billion SEK, Sweden also announced to provide 100 million SEK for humanitarian purposes. According to "Source of Aid 1" this money is provided through the EU Civil Protection Mechanism on the one hand and to the UN on the other hand. As we cannot disentangle these two parts, we report the total sum. Note that SEM4 provides an overview of the remaining part of the package, comprising 900 million SEK.</t>
  </si>
  <si>
    <t>https://www.government.se/press-releases/2022/06/additional-amending-budget-with-further-support-to-ukraine/</t>
  </si>
  <si>
    <t>SEH5</t>
  </si>
  <si>
    <t>The Swedish Government has decided to donate more than 500 000 doses of the Pfizer/BioNTech COVID-19 vaccine to Ukraine.</t>
  </si>
  <si>
    <t>Pfizer vaccine dose</t>
  </si>
  <si>
    <t>https://www.government.se/press-releases/2022/09/sweden-donates-covid-19-vaccines-to-ukraine/</t>
  </si>
  <si>
    <t>SEH6</t>
  </si>
  <si>
    <t>According to Source of Aid 1, the Swedish govenment committed additional humanitarian aid of SEK 720 million for this Winter aid package for various purposes. Source of aid 1 also mentions SEK 3 billion humanitarian aid that is covered in Donation ID SEM9. Not all of the humanitarian aid is intended for Ukraine. We only count SEK 170 million as bilateral aid to Ukraine (Nordic Environment Finance Corporation’s Ukraine Green Recovery Programme SEK 110 million, Ukrainian Red Cross SEK 50 million, Mine clearance through the Danish Refugee Council SEK 10 million) since the rest of the package does not benefit Ukraine directly. SEF4 covers the SEK 140 million through the World Bank.</t>
  </si>
  <si>
    <t>https://www.government.se/articles/2022/11/government-to-send-record-support-package-to-ukraine/</t>
  </si>
  <si>
    <t>SEM1</t>
  </si>
  <si>
    <t>5,000 anti-tank weapons, 5,000 helmets, 5,000 body shields and 135,000 field rations of a value of 400 million SEK. "Source of Aid 1" also lists the 500 million SEK assistance to the Ukranian army reported in SEM2, and the 500 million SEK humanitarian assistance reported in SEH3.</t>
  </si>
  <si>
    <t>https://www.government.se/articles/2022/02/sweden-to-provide-direct-support-and-defence-materiel-to-ukraine/</t>
  </si>
  <si>
    <t xml:space="preserve">https://www.reuters.com/world/europe/sweden-send-military-aid-ukraine-pm-andersson-2022-02-27/ </t>
  </si>
  <si>
    <t>https://twitter.com/AnnLinde/status/1498002914362728455?ref_src=twsrc%5Etfw%7Ctwcamp%5Etweetembed%7Ctwterm%5E1498002914362728455%7Ctwgr%5E%7Ctwcon%5Es1_&amp;ref_url=https%3A%2F%2Fwww.republicworld.com%2Fworld-news%2Frussia-ukraine-crisis%2Frussia-ukraine-war-sweden-ignores-putins-threat-announces-military-aid-to-kyiv-articleshow.html</t>
  </si>
  <si>
    <t>https://www.reuters.com/world/europe/sweden-provide-ukraine-with-5000-more-anti-tank-weapons-tt-news-agency-2022-03-23/</t>
  </si>
  <si>
    <t>AT4 anti-tank weapon</t>
  </si>
  <si>
    <t>SEM2</t>
  </si>
  <si>
    <t>Financial grant directed to the Armed Forces of Ukraine. "Source of Aid 2" also lists the aid package reported in SEM1 (military equipment worth 400 million SEK).</t>
  </si>
  <si>
    <t>https://ua.interfax.com.ua/news/general/807284.html</t>
  </si>
  <si>
    <t>SEM3</t>
  </si>
  <si>
    <t xml:space="preserve">Shipment of additional 5,000 anti-tank weapons and demining equipment. </t>
  </si>
  <si>
    <t>https://twitter.com/AnnLinde/status/1506663502865485844?msclkid=7276d96ab5d011ecb3f22619c3297e84</t>
  </si>
  <si>
    <t>https://www.armyrecognition.com/defense_news_march_2022_global_security_army_industry/sweden_to_provide_another_batch_of_5000_at4_anti-tank_weapons_to_ukraine.html</t>
  </si>
  <si>
    <t>https://www.ukrinform.net/rubric-ato/3500636-sweden-to-provide-ukraine-with-ag-90-antimateriel-sniper-rifles-at4-antitank-weapons.html</t>
  </si>
  <si>
    <t>SEM4</t>
  </si>
  <si>
    <t>"Source of Aid 1" lists several military in-kind donations as part of the total amount of 1 billion SEK that the government announced. Notice that this is divided into the following entries: 100 million SEK reflect humanitarian aid (see SEH3), 578 million SEK and 60 million SEK represent grants with military purpose (SEM5 and SEM6) and the remaining 262 million SEK out of the total package is allocated for Weapons and Equipment.</t>
  </si>
  <si>
    <t>http://web.archive.org/web/20221018175112/https://www.government.se/press-releases/2022/06/additional-amending-budget-with-further-support-to-ukraine/</t>
  </si>
  <si>
    <t>https://twitter.com/AnnLinde/status/1532316643254226945?ref_src=twsrc%5Etfw%7Ctwcamp%5Etweetembed%7Ctwterm%5E1532316643254226945%7Ctwgr%5E%7Ctwcon%5Es1_&amp;ref_url=https%3A%2F%2Fmezha.media%2Fen%2F2022%2F06%2F03%2Frbs-17-swedish-short-range-anti-ship-missile%2F</t>
  </si>
  <si>
    <t>https://www.reuters.com/world/europe/sweden-supply-more-military-aid-including-anti-ship-missiles-ukraine-2022-06-02/</t>
  </si>
  <si>
    <t>RBS 17 anti-ship missile system</t>
  </si>
  <si>
    <t>AG 90 anti-materiel sniper rifle</t>
  </si>
  <si>
    <t>SEM5</t>
  </si>
  <si>
    <t>As part of the total package of 1 billion SEK ("Source of Aid 1"), Sweden announced to provide additional 578 million SEK as grant directed to the Armed Forces of Ukraine, with reference to an earlier grant of 500 million SEK (see "SEM2"). See also SEH4, SEM4, SEM6 for the other parts of the total 1 billion SEK package.</t>
  </si>
  <si>
    <t>SEM6</t>
  </si>
  <si>
    <t>As part of the total package of 1 billion SEK ("Source of Aid 1"), Sweden also announced to provide 60 million SEK as contribution to a NATO fund that aims to equip the Ukrainian Armed Forces ("Source of Aid 1"). See also SEH4, SEM4, SEM5 for the other parts of the total 1 billion SEK package.</t>
  </si>
  <si>
    <t>SEM7</t>
  </si>
  <si>
    <t>Financial grant directed to the Armed Forces of Ukraine.</t>
  </si>
  <si>
    <t>https://bank.gov.ua/en/news/all/uryad-shvetsiyi-pererahuvav-5777-mln-shvedskih-kron-na-dopomogu-zbroynim-silam-ukrayini?fbclid=IwAR2GXaFc3IMIbZSXOY8F7GKajhqkPjM9F5GjMl1cFhI_X1DeYZjIVLKXbdg</t>
  </si>
  <si>
    <t>SEM8</t>
  </si>
  <si>
    <t xml:space="preserve">During the meeting of Swedish Prime Minister Magdalena Andersson and Ukrainian Minister for Foreign Affairs Dmytro Kuleba, Magdalena Andersson informed that Sweden pledged 500 SEK million for military assistance and 500 SEK million for civilian assistance (see SEF3 ). Source of Aid 4 specifies that Sweden delivers ammunition for howitzers, and since it was done right after this meeting, we assume that it is included in the 500 SEK million package. Moreover, since Sweden only has 155mm of howitzers in its stocks, we consider it to deliver 155mm of howitzer ammunition. </t>
  </si>
  <si>
    <t>https://www.government.se/press-releases/2022/08/prime-minister-magdalena-andersson-to-receive-ukrainian-minister-for-foreign-affairs-dmytro-kuleba/</t>
  </si>
  <si>
    <t>https://edition.cnn.com/europe/live-news/russia-ukraine-war-news-08-29-22/h_21f066995f2c6fe12ab6605c48c1b9d1</t>
  </si>
  <si>
    <t>https://www.reuters.com/world/europe/swedish-pm-sets-out-further-military-aid-package-ukraine-2022-08-29/</t>
  </si>
  <si>
    <t>https://twitter.com/oleksiireznikov/status/1565001295177687045</t>
  </si>
  <si>
    <t>SEM9</t>
  </si>
  <si>
    <t xml:space="preserve">According to Source of Aid 1, the Swedish govenment committed additional military aid of SEK 3 billion for this Winter aid package. Source of aid 1 also mentions SEK 720 million humanitarian aid that is covered in Donation ID SEH6. The composition of the military aid package is unknown. </t>
  </si>
  <si>
    <t xml:space="preserve">https://www.reuters.com/world/europe/sweden-promises-287-mln-military-aid-package-ukraine-including-air-defence-2022-11-16/ </t>
  </si>
  <si>
    <t>SEM10</t>
  </si>
  <si>
    <t>Sweden pledges to provide an unknown number of Archer self-propelled artillery systems to Ukraine. No further information regarding the package is known.</t>
  </si>
  <si>
    <t>Archer self-propelled artillery system</t>
  </si>
  <si>
    <t>https://kyivindependent.com/news-feed/sweden-pledges-to-provide-ukraine-with-archer-artillery-systems</t>
  </si>
  <si>
    <t>SEF1</t>
  </si>
  <si>
    <t>Sweden has contributed 50 million USD to the "FREE Ukraine Support Package". The latter is part of the Emergency Financing Package established by the World Bank and amounting to 723 million USD. Other countries have contributed to Emergency Financing Package: the Netherlands with 89 million USD, United Kingdom with 100 million USD, Denmark with 22 million USD, Latvia + Lithuania + Iceland with 12 million USD and Japan with 100 million USD.</t>
  </si>
  <si>
    <t>SEF2</t>
  </si>
  <si>
    <t xml:space="preserve">Loan guarantee in excess of 44 million EUR provided through the World Bank. </t>
  </si>
  <si>
    <t>https://twitter.com/SweMFA/status/1517445238142521346</t>
  </si>
  <si>
    <t>SEF3</t>
  </si>
  <si>
    <t>During the meeting of Swedish Prime Minister Magdalena Andersson and Ukrainian Minister for Foreign Affairs Dmytro Kuleba, Magdalena Andersson informed that Sweden pledged 500 SEK million for military assistance(see SEM8) and 500 SEK million for civilian assistance.</t>
  </si>
  <si>
    <t>SEF4</t>
  </si>
  <si>
    <t xml:space="preserve">Accoring to Source of aid 1, Sweden has pledged a grant over SEK 140 million to Ukraine through the World Bank. Source of Aid 1 mentions additional military and humanitarian aid, covered in Donation Ids SEM9 and SEH6. </t>
  </si>
  <si>
    <t>CHH1</t>
  </si>
  <si>
    <t>Switzerland</t>
  </si>
  <si>
    <t>Switzerland provided a Nachtragungskredit worth a total of 60 million CHF of direct in-kind humanitarian aid as well as financial aid to various humanitarian institutions in Ukraine and international organizations benefiting the people of Ukraine. There is no extensive list as to what amount went to which organization, other than the information that 60 million CHF are devoted directly to Ukraine (Reported in Source of Aid 4: three quarters of their total CHF 80 million budget; the remaining 20 million CHF are going to countries dealing with Ukrainian refugees including Poland and Moldova, which we do not include here as we measure direct support to Ukraine). To avoid underestimating the true extent of support to Ukraine, we include the entire amount of CHF 60 million as humanitarian aid.</t>
  </si>
  <si>
    <t>CHF</t>
  </si>
  <si>
    <t>https://www.admin.ch/gov/en/start/documentation/media-releases.msg-id-87488.html</t>
  </si>
  <si>
    <t>https://reliefweb.int/report/ukraine/switzerland-steps-humanitarian-aid-ukraine</t>
  </si>
  <si>
    <t>https://www.admin.ch/gov/en/start/documentation/media-releases.msg-id-87418.html</t>
  </si>
  <si>
    <t>https://www.swissinfo.ch/eng/switzerland-approves-chf80-million-in-emergency-aid-for-ukraine/47423096?utm_campaign=teaser-in-article&amp;utm_source=swissinfoch&amp;utm_content=o&amp;utm_medium=display</t>
  </si>
  <si>
    <t>https://www.admin.ch/gov/en/start/documentation/media-releases.msg-id-89923.html</t>
  </si>
  <si>
    <t>CHH2</t>
  </si>
  <si>
    <t>According to source of aid 1, Switzerland sent around 100 tonnes of humanitarian goods to Ukraine in August. A first consignment of humanitarian aid comprising 71 tonnes of firefighting equipment (protective clothing, hoses, water cannons, petrol-driven chainsaws), 11 tonnes of medical equipment (examination gloves, breathing apparatus) and over 10 tonnes of medicines was sent on 3 Aug 2022. A second consignment of 15 water treatment units, in addition to eleven respirators, plus ancillary equipment. The source mentions that Switzerland has provided just under CHF 100 million in funding to support Ukraine. Since, CHH1 is valued at 60 million CHF (80 million CHF for Ukraine, 20 million CHF for neighboring countries), the value of CHH2 is estimated to be 20 million CHF.</t>
  </si>
  <si>
    <t>ton of firefighting equipment</t>
  </si>
  <si>
    <t>ton of medicine</t>
  </si>
  <si>
    <t>water treatment unit</t>
  </si>
  <si>
    <t>respirator</t>
  </si>
  <si>
    <t>CHH3</t>
  </si>
  <si>
    <t xml:space="preserve">According to Source of Aid 1, Switzerland will give 100 million CHF as Nachtragungskredit II Winterhilfe for projects to support the urgend rehabilitation of energy infrastructure and alleviate the precarious humanitarian situation. The aid is also intended to mitigate the impact of the cold season in Ukraine. According to Source of aid 3, the budget was passed in December 2022. </t>
  </si>
  <si>
    <t>https://www.admin.ch/gov/en/start/documentation/media-releases.msg-id-91098.html</t>
  </si>
  <si>
    <t>https://www.swissinfo.ch/eng/politics/swiss-to-send-chf100-million-in-aid-to-help-ukraine-get-through-winter/48025666#:~:text=The%20Swiss%20government%20has%20promised,infrastructure%20damaged%20by%20the%20war.</t>
  </si>
  <si>
    <t>https://www.eda.admin.ch/content/dam/eda/de/documents/aktuell/news/2022/20221215-ukraine-engagement-schweiz-themen_de.pdf</t>
  </si>
  <si>
    <t>CHF1</t>
  </si>
  <si>
    <t>12/15/2022</t>
  </si>
  <si>
    <t>According to Source of Aid 1, Switzerland has provided CHF 23 million in budget support to Ukraine. Since the financial aid was undisclosed before and the source got released in December 2022, we quantify this donation as having been announced in December.</t>
  </si>
  <si>
    <t>https://www.eda.admin.ch/eda/de/home/das-eda/aktuell/newsuebersicht/2022/02/ukraine.html</t>
  </si>
  <si>
    <t>CHF2</t>
  </si>
  <si>
    <t xml:space="preserve">According to Source of Aid 1, Switzerland has provided CHF 15 million as grant to the HORIZON fond in Ukraine that supports Tech Start ups. </t>
  </si>
  <si>
    <t>CHF3</t>
  </si>
  <si>
    <t xml:space="preserve">According to Source of Aid 1, Switzerland plans to provided CHF 20 million in guarantees for Ukrainian Refugees of the Category S. We take the announcement as credible. </t>
  </si>
  <si>
    <t>TRM1</t>
  </si>
  <si>
    <t>Turkey</t>
  </si>
  <si>
    <t>On February 3, 2022, the President of Turkey and the Prime Minister of Ukraine signed an agreement on the co-production of Bakar Bayraktar TB2 armed drones​ in Ukrainian territory. Financial details remained undisclosed.</t>
  </si>
  <si>
    <t>Bayraktar TB2 drone</t>
  </si>
  <si>
    <t>https://nordicmonitor.com/2022/03/turkey-deployed-personnel-to-operate-armed-drones-in-targeting-russian-military/</t>
  </si>
  <si>
    <t>https://www.newyorker.com/magazine/2022/05/16/the-turkish-drone-that-changed-the-nature-of-warfare</t>
  </si>
  <si>
    <t>TRM2</t>
  </si>
  <si>
    <t>According to source of aid 1, Turkey has delivered 50 used mine-resistant, ambush-protected vehicles to the Ukraine. The delivery of the Kirpi vehicles was the result of a government agreement.</t>
  </si>
  <si>
    <t>BMC Kirpi</t>
  </si>
  <si>
    <t>https://www.defensenews.com/land/2022/08/22/turkey-sends-50-mine-resistant-vehicles-to-ukraine-with-more-expected/</t>
  </si>
  <si>
    <t>TRH1</t>
  </si>
  <si>
    <t>Turkey has reportedly provided a Humanitarian Aid convoy to Ukraine, carrying 1.536 food packages, 240 family tents, 1.680 blankets, 200 beds and 18 general purpose tents.</t>
  </si>
  <si>
    <t>https://twitter.com/AFADTurkey/status/1497633720068714497</t>
  </si>
  <si>
    <t>TRH2</t>
  </si>
  <si>
    <t>Turkey has sent 43 trucks of humanitarian aid and a mobile food truck for the people of Ukraine. Given the lack of more specific information, the monetary value of the shipment cannot be calculated.</t>
  </si>
  <si>
    <t>https://twitter.com/AFADTurkey/status/1503080333205700608</t>
  </si>
  <si>
    <t>TRH3</t>
  </si>
  <si>
    <t>between 3/20/2022 and 7/1/2022</t>
  </si>
  <si>
    <t>Since March 20, the mobile food truck of the AFAD Türkyie (Ministry of Interior Disaster and Emergency Management Authority)  has been distributing hot meals in various Ukrainian cities, such as Borodyianka and Lviv. The value of the aid is not quantifiable.</t>
  </si>
  <si>
    <t>https://twitter.com/AFADTurkiye/status/1537845513671917570?s=20&amp;t=s9akAL75RoX8Zs9Cn_sKtQ</t>
  </si>
  <si>
    <t>TWH1</t>
  </si>
  <si>
    <t>Taiwan</t>
  </si>
  <si>
    <t>Donation worth 3 million USD directed to humanitarian assistance in Kyiv.</t>
  </si>
  <si>
    <t>https://focustaiwan.tw/politics/202204220023</t>
  </si>
  <si>
    <t>TWH2</t>
  </si>
  <si>
    <t xml:space="preserve">Donation worth 5 million USD directed to six Ukrainian hospitals. </t>
  </si>
  <si>
    <t>TWH3</t>
  </si>
  <si>
    <t xml:space="preserve">Donation worth 2 million USD directed to Kharkiv. </t>
  </si>
  <si>
    <t>https://focustaiwan.tw/politics/202206030014</t>
  </si>
  <si>
    <t>TWH4</t>
  </si>
  <si>
    <t>Donation worth 500000 USD, directed to humanitarian assistance in Chernihiv.</t>
  </si>
  <si>
    <t>TWH5</t>
  </si>
  <si>
    <t>Donation worth 500000 USD, directed to humanitarian assistance in Mykolaiev.</t>
  </si>
  <si>
    <t>TWH6</t>
  </si>
  <si>
    <t>Donation worth 500000 USD, directed to humanitarian assistance in Sumy.</t>
  </si>
  <si>
    <t>TWH7</t>
  </si>
  <si>
    <t>Donation worth 500000 USD, directed to humanitarian assistance in Zaporizhzhia.</t>
  </si>
  <si>
    <t>TWH9</t>
  </si>
  <si>
    <t>Donation worth 500000 USD, directed to humanitarian assistance in Bucha. According to "Source of Aid 1", Taiwan has donated a total amount of 13,2 million USD (besides the 500000 USD newly committed to Bucha). Since we discard the 1,2 million USD donated to the Orthodox church for the reconstruction of churches in Ukraine, we only count 12 million USD (see TWH1 -TWH8).</t>
  </si>
  <si>
    <t>https://focustaiwan.tw/politics/202206200021</t>
  </si>
  <si>
    <t>TWH10</t>
  </si>
  <si>
    <t>Foreign Minister Jaushieh Joseph Wu announced a US$56 million donation on behalf of the government and people of Taiwan. The donation will be used to support Ukraine to rebuild schools, hospitals and fundamental infrastructure.</t>
  </si>
  <si>
    <t>https://www.taiwan.gov.tw/news.php#:~:text=Foreign%20Minister%20Jaushieh%20Joseph%20Wu%20announced%20a%20US%2456%20million,26.</t>
  </si>
  <si>
    <t>https://taiwantoday.tw/news.php?unit=2&amp;post=227225&amp;unitname=Politics-Top-News&amp;postname=MOFA-Minister-Wu-unveils-US%2456-million-donation-to-rebuild-Ukraine</t>
  </si>
  <si>
    <t>UKH1</t>
  </si>
  <si>
    <t>United Kingdom</t>
  </si>
  <si>
    <t>Humanitarian assistance via equipment and grants.</t>
  </si>
  <si>
    <t>GBP</t>
  </si>
  <si>
    <t>https://www.gov.uk/government/news/pm-announces-further-humanitarian-aid-to-ukraine</t>
  </si>
  <si>
    <t>UKH2</t>
  </si>
  <si>
    <t>Humanitarian assistance via equipment and grants. Out of the 80 million GBP reported in "Source of Aid 1" we do not count 40 million GBP, since they have been allocated to international organisations which are not explicitly active in Ukraine (see "Source of Aid 3"). The 120 million GBP reported in "Source of Aid 1" are made out of the 80 million GBP (out of which we don't count the 40 million GBP to international organisations) reported in "Source of Aid 1", and of the the 40 million GBP in UKH1.</t>
  </si>
  <si>
    <t>https://reliefweb.int/report/ukraine/uk-pledges-another-80-million-aid-help-ukraine-deal-humanitarian-crisis</t>
  </si>
  <si>
    <t>https://www.gov.uk/government/news/uk-sets-out-new-multi-million-dollar-economic-package-of-support-for-ukraine</t>
  </si>
  <si>
    <t>https://www.gov.uk/government/news/uk-provides-further-humanitarian-aid-focused-on-most-vulnerable-in-ukraine</t>
  </si>
  <si>
    <t>UKH3</t>
  </si>
  <si>
    <t xml:space="preserve">Humanitarian assistance via equipment and grants. </t>
  </si>
  <si>
    <t>https://hit-logo-klingelton.com/uk-announces-additional-230-million-in-aid-for-ukraine/?msclkid=0f934a89cf8011ec82b90a2bac4d5bea</t>
  </si>
  <si>
    <t>UKH4</t>
  </si>
  <si>
    <t>UK government to donate generators to provide vital power for Ukraine. Source of aid 1 reports the initial number of generators. Source of aid 2 reports an increase in this amount. Source of aid 3 specifis the monetary value of this package.</t>
  </si>
  <si>
    <t>https://www.gov.uk/government/news/uk-government-to-donate-generators-to-provide-vital-power-for-ukraine</t>
  </si>
  <si>
    <t>https://www.gov.uk/government/news/hundreds-more-mobile-generators-to-provide-vital-power-for-ukraine</t>
  </si>
  <si>
    <t>https://www.gov.uk/government/news/uk-funding-to-help-repair-ukraines-damaged-energy-systems-and-get-power-back-to-ukrainian-people</t>
  </si>
  <si>
    <t>UKH5</t>
  </si>
  <si>
    <t xml:space="preserve">10 million GBP civil society fund launched by the government, directed to organizations in Ukraine supporting civilians, including victims of conflict-related sexual violence. </t>
  </si>
  <si>
    <t>https://www.gov.uk/government/speeches/poland-foreign-secretarys-statement-to-warsaw-press-conference</t>
  </si>
  <si>
    <t>https://www.gov.uk/government/news/uk-government-and-nobel-prize-winner-launch-global-code-to-tackle-conflict-related-sexual-violence</t>
  </si>
  <si>
    <t>UKH6</t>
  </si>
  <si>
    <t>£5 million support fund for providing safety and security equipment to Ukraine's civil nuclear sector</t>
  </si>
  <si>
    <t>https://www.gov.uk/government/news/uk-provides-increased-support-for-ukraines-energy-sector</t>
  </si>
  <si>
    <t>UKH7</t>
  </si>
  <si>
    <t>The State Emergency Service of Ukraine received 9 firetrucks from the Government of Great Britain and Northern Ireland took place in Lviv on Thursday, October 27</t>
  </si>
  <si>
    <t>https://www.facebook.com/LVIVDSNS/posts/pfbid0Kh4LzoSej4TroK3tNk9nUGzRfwB9sFeaRPgWP94cdzQsv1ChVf42NgPiSmZBK6wMl</t>
  </si>
  <si>
    <t>UKH8</t>
  </si>
  <si>
    <t>£10 million to the Ukraine Energy Support Fund</t>
  </si>
  <si>
    <t>https://www.gov.uk/government/publications/ukraine-energy-equipment-appeal-to-industry/appeal-to-industry-ukraine-energy-equipment-html</t>
  </si>
  <si>
    <t>UKM1</t>
  </si>
  <si>
    <t>Anti-tank weaponry. The 88 million GBP are included in UKF1. "Source of Aid 1" does not specify the exact amount of anti-tank weaponry committed. However, "Source of Aid 2" mentions that on January 17 the defence secretary announced the intention of supplying 2,000 new light anti-tank weapons (NLAWs), along with small arms and ammunitions. We assume that the anti-tank weaponry committed towards the end of January consists of the 2,000 NLAW first mentioned on January 17.</t>
  </si>
  <si>
    <t>https://www.gov.uk/government/speeches/pm-statement-at-ukraine-press-conference-1-february-2022</t>
  </si>
  <si>
    <t>https://www.gov.uk/government/speeches/defence-secretary-statement-to-the-house-of-commons-on-ukraine-9-march-2022</t>
  </si>
  <si>
    <t>https://www.bbc.com/news/world-europe-61482305</t>
  </si>
  <si>
    <t>UKM2</t>
  </si>
  <si>
    <t>Lethal weapons.</t>
  </si>
  <si>
    <t>https://ukdefencejournal.org.uk/britain-sending-anti-aircraft-and-javelin-missiles-to-ukraine/</t>
  </si>
  <si>
    <t>UKM3</t>
  </si>
  <si>
    <t>Undisclosed number of Starstreak anti-aircraft missile systems. "Source of Aid 2" mentions also the 3,615 anti-tank systems reported in UKM1 and the Javelin weapons reported in UKM4.</t>
  </si>
  <si>
    <t>Starstreak anti-aircraft missile system</t>
  </si>
  <si>
    <t>https://www.reuters.com/world/europe/britain-exploring-donating-anti-air-missiles-ukraine-defence-minister-2022-03-09/</t>
  </si>
  <si>
    <t>https://www.thedefensepost.com/2022/03/10/uk-starstreak-missiles-ukraine/</t>
  </si>
  <si>
    <t>https://eurasiantimes.com/from-britain-with-love-uks-new-game-changing-missiles-to-ukraine-has-potential-to-turn-tables-on-belligerent-russia/</t>
  </si>
  <si>
    <t>UKM4</t>
  </si>
  <si>
    <t>Lethal weapons. "Source of Aid 1" states that the 4.1 million GBP and 25 million GBP reported in UKF1 are part of the package delivering the 6,000 defensive missiles. Thus, the source talks about providing 6,000 missiles along with "30 million pounds to support the BBC's coverage in the region and pay Ukrainian soldiers and pilots". "Source of Aid 2" also mentions the contribution to BBC and to the Ukrainian Armed Force reported in UKF1.</t>
  </si>
  <si>
    <t>defensive missile</t>
  </si>
  <si>
    <t>https://www.reuters.com/world/europe/uk-provide-6000-missiles-ukraine-new-support-2022-03-23/</t>
  </si>
  <si>
    <t>https://www.telegraph.co.uk/world-news/2022/03/24/ukraine-morning-briefing-five-developments-britain-agrees-send/</t>
  </si>
  <si>
    <t>UKM5</t>
  </si>
  <si>
    <t>Anti-tank missiles and an undisclosed number of anti-aircraft Starstreak Missiles, additional to the aid specified in UKM1, UKM2 and UKM3 (see "we are more than doubling our support with a further 6,000 missiles [...] and we are now equipping our Ukrainian friends with anti-aircraft Starstreak missiles", "Source of Aid 1"). "Source of Aid 1" mentions also the 2 million GBP in food which are part of UKH1. "Source of Aid 1" talks also about 220 million GBP in humanitarian aid, which we do not report because this flow is directed to international organizations including the UN Refugee Agency (UNHCR - 25 million GBP), the UN Office for Coordination of Humanitarian Affairs (OCHA - 20 million GBP), and the International Federation of Red Cross and Red Crescent Societies (10 million GBP). "Source of Aid 2" lists as well the 4.1 million GBP supporting the BBC World Service and the 25 million GBP directed to the Ukrainian Military, reported in UKF4. The 4 million items of medical equipment are reported in UKH1. Finally, the 1 million GBP mentioned at the end of "Source of Aid 2" is directed to the court of Hague and, hence, is not included in our dataset.</t>
  </si>
  <si>
    <t>missile (including NLAWs and Javelin anti-tank weapons)</t>
  </si>
  <si>
    <t>https://www.gov.uk/government/speeches/ukraine-foreign-secretary-statement-to-parliament-28-march-2022</t>
  </si>
  <si>
    <t>https://www.gov.uk/government/news/pm-announces-major-new-military-support-package-for-ukraine-24-march-2022</t>
  </si>
  <si>
    <t>https://www.forces.net/technology/weapons-and-kit/latest-military-aid-being-sent-ukraine-west</t>
  </si>
  <si>
    <t>anti-aircraft Starstreak missile</t>
  </si>
  <si>
    <t>UKM6</t>
  </si>
  <si>
    <t xml:space="preserve">100 million GBP package of weapons and equipment. This package comes in addition to the so far committed 350 million GBP military assistance (identifiers UKM1 - UKM4) and 400 million GBP humanitarian assistance (identifiers UKH1 - UKH4). We do not include in our dataset the 1.5 billion GBP collected through the first Donor Conference, since this sum represents assistance provided by the international community and not only by the UK itself. According to "Source of delivery", "more than 200" Javelins have been sent. In order to quantify the value, we report 201 delivered Javelins. </t>
  </si>
  <si>
    <t>https://www.gov.uk/government/news/uk-to-bolster-defensive-aid-to-ukraine-with-new-100m-package</t>
  </si>
  <si>
    <t>https://www.gov.uk/government/speeches/pm-opening-remarks-at-press-conference-with-german-chancellor-olaf-scholz-8-april-2022</t>
  </si>
  <si>
    <t>https://www.gov.uk/government/news/prime-minister-pledges-uks-unwavering-support-to-ukraine-on-visit-to-kyiv-9-april-2022</t>
  </si>
  <si>
    <t>https://www.gov.uk/government/news/uk-to-send-scores-of-artillery-guns-and-hundreds-of-drones-to-ukraine</t>
  </si>
  <si>
    <t>loitering munition</t>
  </si>
  <si>
    <t>UKM7</t>
  </si>
  <si>
    <t>UK pledged to deliver armoured vehicles and new anti-ship missile systems, in addition to the 100 million GBP offered on April 8 (UKM6). The 500 million GBP through the World Bank is reported in UKF2. However, we could not find any information on the destination and nature of the previously disbursed 394 million GBP. Hence, we do not include them. Source of aid 3 provides information regarding the armoured vehicles that are going to be sent. These are 80 Protected Patrol Vehicles, 35 Spartan Reconnaissance vehicles, and an unknown amount of Samaritan ambulances. Still, since a total of 120 vehicles were to be provided, approximately 5 Samaritan ambulances were committed.</t>
  </si>
  <si>
    <t>Mastiff 6x6, Wolfhound and Husky armoured vehicle</t>
  </si>
  <si>
    <t>https://edition.cnn.com/2022/04/09/europe/ukraine-uk-boris-johnson-intl-gbr/index.html</t>
  </si>
  <si>
    <t>anti-ship missile system</t>
  </si>
  <si>
    <t>FV104 Samaritan armoured ambulance</t>
  </si>
  <si>
    <t>https://www.forces.net/ukraine/uk/what-armoured-vehicles-are-uk-sending-ukraine</t>
  </si>
  <si>
    <t>FV103 Spartan</t>
  </si>
  <si>
    <t>UKM8</t>
  </si>
  <si>
    <t>Shipment of a small undisclosed amount of Stromer armoured vehicles. "Source of aid 2" reveals the number of vehicles.</t>
  </si>
  <si>
    <t>Stormer armoured vehicle with Starstreak anti-air missile launchers</t>
  </si>
  <si>
    <t>https://www.reuters.com/business/aerospace-defense/britain-send-stormer-armoured-vehicles-ukraine-2022-04-25/</t>
  </si>
  <si>
    <t>UKM9</t>
  </si>
  <si>
    <t>Military aid amounting to 1.3 billion GBP in total, which includes, among other equipment, the 300 million GBP worth military kit announced on May 5. This comes on top of the previous commitments worth 1.5 billion GBP ("Source of Aid 1"), which include the humanitarian aid reported in our dataset, assistance directed to international organizations not explicitly active inside Ukraine and thus not included, and the loan of 730 million GBP committed through the World Bank (see UKF5). We reported 2000 units of delivered devices, since the "Source of delivery" reports "thousands" of units sent. We also reported "200" units of Brimstone-1 missile as sent, since "Source of delivery" reports "hundreds".  Besides the weapons, the Prime Minister has offered to launch a major training operation for Ukrainian forces, with the potential to train up to 10,000 soldiers every 120 days.</t>
  </si>
  <si>
    <t>weapon locating radar system</t>
  </si>
  <si>
    <t>https://www.gbnews.uk/news/uk-pledges-13-billion-in-support-for-ukraines-fight-against-putins-russia/288926</t>
  </si>
  <si>
    <t>https://inews.co.uk/news/brimstone-missile-what-uk-plans-long-range-weapons-ukraine-how-work-explained-1607595</t>
  </si>
  <si>
    <t xml:space="preserve">https://www.bbc.com/news/world-europe-61482305 </t>
  </si>
  <si>
    <t>heavy transport drone</t>
  </si>
  <si>
    <t>artillery round</t>
  </si>
  <si>
    <t>GPS jamming equipment</t>
  </si>
  <si>
    <t>Brimstone-1 missile</t>
  </si>
  <si>
    <t>https://www.gov.uk/government/news/uk-to-gift-multiple-launch-rocket-systems-to-ukraine</t>
  </si>
  <si>
    <t>https://www.defense.gov/News/Releases/Release/Article/3064556/joint-statement-by-the-united-states-department-of-defense-the-ministry-of-defe/</t>
  </si>
  <si>
    <t>https://www.gov.uk/government/news/uk-to-give-more-multiple-launch-rocket-systems-and-guided-missiles-to-ukraine</t>
  </si>
  <si>
    <t>M31A1 munition</t>
  </si>
  <si>
    <t>until 6/17/2022</t>
  </si>
  <si>
    <t>Military aid amounting to 1.3 billion GBP in total, which includes, among other equipment, the 300 million GBP worth military kit announced on May 5. This comes on top of the previous commitments worth 1.5 billion GBP ("Source of Aid 1"), which include the humanitarian aid reported in our dataset, assistance directed to international organizations not explicitly active inside Ukraine and thus not included, and the loan of 730 million GBP committed through the World Bank (see UKF5). We reported 2000 units of delivered devices, since the "Source of delivery" reports "thousands" of units sent. We also reported "200" units of Brimstone-1 missile as sent, since "Source of delivery" reports "hundreds".  Besides the weapons, the Prime Minister has offered to launch a major training operation for Ukrainian forces, with the potential to train up to 10,000 soldiers every 120 days. The number of M109 155mm howitzers was corrected using the recent infromation from the UK official statistics (Source of aid 3).</t>
  </si>
  <si>
    <t>https://www.gov.uk/government/news/uk-to-offer-major-training-programme-for-ukrainian-forces-as-prime-minister-hails-their-victorious-determination</t>
  </si>
  <si>
    <t>https://gagadget.com/en/138343-the-uk-bought-and-repaired-more-than-20-m109-self-propelled-guns-now-they-are-being-sent-to-ukraine/</t>
  </si>
  <si>
    <t>https://breakingdefense.com/2022/11/uk-delays-defense-spending-increase-raising-fears-3-gdp-target-will-be-axed/</t>
  </si>
  <si>
    <t>UKM10</t>
  </si>
  <si>
    <t>Additional pledge of 1 billion GBP in military support to Ukraine, announced on the final day of the NATO Summit. The money comes from "underspends" plus £95 million from the Welsh and Scottish governments' budgets. "Source of aid 2" reveals what this donation was dedicated for. The number of M119 105mm howitzers was corrected using the recent infromation from the UK official statistics (Source of aid 3).</t>
  </si>
  <si>
    <t>M119 105mm howitzer</t>
  </si>
  <si>
    <t xml:space="preserve">https://www.bbc.com/news/uk-61990479 </t>
  </si>
  <si>
    <t>https://www.bbc.com/news/uk-61990479</t>
  </si>
  <si>
    <t>Lockheed Martin Desert Hawk</t>
  </si>
  <si>
    <t>During the international donor's conference in Copenhagen, British Defence Secretary Ben Wallace announced that 250 GBR million out of 1 GBR billion would go to the IFU, a flexible low-bureaucracy fund, which will be used to provide military equipment and other support to the Armed Forces of Ukraine (AFU). Other sources specify that this part of the package will include multiple-launch rocket systems and precision-guided M31A1 missiles. Since Britain had committed M270 MLRs before, we assume they also did so this time.</t>
  </si>
  <si>
    <t>https://www.gov.uk/government/news/uk-and-allies-agree-expanded-international-fund-for-ukraine-support</t>
  </si>
  <si>
    <t xml:space="preserve">https://www.reuters.com/world/europe/denmark-will-contribute-additional-110-mln-euros-ukraine-pm-2022-08-11/ </t>
  </si>
  <si>
    <t>https://www.bbc.com/ukrainian/live/62300872?ns_mchannel=social&amp;ns_source=twitter&amp;ns_campaign=bbc_live&amp;ns_linkname=62f3fd302ea3472fbde8330b%26%D0%91%D1%80%D0%B8%D1%82%D0%B0%D0%BD%D1%96%D1%8F%20%D0%BD%D0%B0%D0%B4%D1%81%D0%B8%D0%BB%D0%B0%D1%94%20%D0%BD%D0%BE%D0%B2%D1%96%20%D1%81%D0%B8%D1%81%D1%82%D0%B5%D0%BC%D0%B8%20%D0%B7%D0%B0%D0%BB%D0%BF%D0%BE%D0%B2%D0%BE%D0%B3%D0%BE%20%D0%B2%D0%BE%D0%B3%D0%BD%D1%8E%20%D0%B4%D0%BB%D1%8F%20%D0%A3%D0%BA%D1%80%D0%B0%D1%97%D0%BD%D0%B8%262022-08-10T18%3A59%3A13.398Z&amp;ns_fee=0&amp;pinned_post_locator=urn:asset:cea8dcb7-dd1a-4a71-b0a4-54ce84646b98&amp;pinned_post_asset_id=62f3fd302ea3472fbde8330b&amp;pinned_post_type=share</t>
  </si>
  <si>
    <t>https://twitter.com/oleksiireznikov/status/1557992937006448640?ref_src=twsrc%5Etfw%7Ctwcamp%5Etweetembed%7Ctwterm%5E1557992937006448640%7Ctwgr%5E16758fa5587714e685f2d4c6e1ff01d7fa7e3e2e%7Ctwcon%5Es1_&amp;ref_url=https%3A%2F%2Fwww.slovoidilo.ua%2F2022%2F08%2F12%2Fnovyna%2Fbezpeka%2Fukrayinu-prybuly-novi-rszv-m270-brytaniyi</t>
  </si>
  <si>
    <t xml:space="preserve">https://www.gov.uk/government/news/uk-and-allies-agree-expanded-international-fund-for-ukraine-support </t>
  </si>
  <si>
    <t>Prime Minister Boris Johnson announced during his visit to Kyiv a 54 GBR million disbursement of a 1 GBR billion package. This package consists of 850 hand-launched Black Hornet micro-drones and 1150 unspecified loitering munitions.</t>
  </si>
  <si>
    <t>https://www.gov.uk/government/news/prime-minister-tells-ukraine-they-will-win-as-he-marks-independence-day-24-august-2022</t>
  </si>
  <si>
    <t>Loitering munition</t>
  </si>
  <si>
    <t>Six autonomous minehunting vehicles will be sent to the country to help detect Russian mines in the waters off its coast.</t>
  </si>
  <si>
    <t>Unspecified undersea minehunter drones</t>
  </si>
  <si>
    <t>UKM11</t>
  </si>
  <si>
    <t>According to Ambassador Extraordinary and Plenipotentiary of Ukraine to the United Kingdom, Vadym Prystaiko, UK, is about to transfer 2 mine countermeasures vessels. The exact type stays unknown, but we take Hunt-class vessels as a proxy since the UK has them in abundance.</t>
  </si>
  <si>
    <t>Hunt-class mine countermeasures vessel</t>
  </si>
  <si>
    <t>https://www.ukrinform.net/rubric-defense/3535335-uk-to-train-10000-ukrainians-with-little-to-no-military-experience-training.html</t>
  </si>
  <si>
    <t>https://www.dw.com/uk/ukraina-rozrakhovuie-otrymaty-protyminni-korabli-vid-velykobrytanii/a-62669465</t>
  </si>
  <si>
    <t>UKM12</t>
  </si>
  <si>
    <t>The United Kingdom announced another military aid package. In the official press release, they do not state that it's part of the previous 1 GBP billion package and is referred to as a separate package, so we consider it a new one. Among other items, the UK donated 18 unspecified howitzers, which could be either 155mm or 105mm. Still, due to the fact that the UK purchased around 50 105mm howitzers in June to send to Ukraine and has sent so far only 36, we assume that these are the remaining 105mm howitzers.</t>
  </si>
  <si>
    <t>AMRAAM rockets (for NASAMS)</t>
  </si>
  <si>
    <t>https://www.gov.uk/government/news/uk-to-give-air-defence-missiles-to-help-ukraine-defend-against-rockets</t>
  </si>
  <si>
    <t>Air Defence Missile</t>
  </si>
  <si>
    <t>UKM13</t>
  </si>
  <si>
    <t>The UK will give £10 million to NATO’s Comprehensive Assistance Package for Ukraine. The funding will help to provide urgent non-lethal assistance to Ukraine, such as winter clothes, shelters, generators, fuel trucks and ambulances for the Ukrainian Army ahead of the winter.</t>
  </si>
  <si>
    <t>UKM14</t>
  </si>
  <si>
    <t>The UK is to provide 1,000 more surface to air missiles to Ukraine.</t>
  </si>
  <si>
    <t>surface to air missile</t>
  </si>
  <si>
    <t>https://www.gov.uk/government/news/uk-to-provide-1000-more-surface-to-air-missiles-to-ukraine</t>
  </si>
  <si>
    <t>UKM15</t>
  </si>
  <si>
    <t xml:space="preserve">The £50 million package of defence aid comprises 125 anti-aircraft guns and technology to counter deadly Iranian-supplied drones, including dozens of radars and anti-drone electronic warfare capability. </t>
  </si>
  <si>
    <t>anti-aircraft gun</t>
  </si>
  <si>
    <t>https://www.gov.uk/government/news/pm-announces-new-air-defence-for-ukraine-on-first-visit-to-kyiv</t>
  </si>
  <si>
    <t>UKM16</t>
  </si>
  <si>
    <t>The UK is to give 10,000 artillery rounds and 3 Sea King helicopters to Ukraine. The amount of helicopters is specified by Source of aid 2.</t>
  </si>
  <si>
    <t>https://www.gov.uk/government/news/uk-to-give-artillery-rounds-and-helicopters-to-help-defend-ukraine</t>
  </si>
  <si>
    <t>https://commonslibrary.parliament.uk/research-briefings/cbp-9477/</t>
  </si>
  <si>
    <t>https://researchbriefings.files.parliament.uk/documents/CBP-9477/CBP-9477.pdf</t>
  </si>
  <si>
    <t>WS-61 Sea King helicopter</t>
  </si>
  <si>
    <t>UKM17</t>
  </si>
  <si>
    <t>The Prime Minister of the UK has announced a new military package. It includes tanks and self-propelled guns to aid the Ukrainian offensive. The value of the package is unknown. Source of aid 2 reveals another part of the package.</t>
  </si>
  <si>
    <t>Challenger 2</t>
  </si>
  <si>
    <t>https://www.gov.uk/government/news/pm-accelerates-ukraine-support-ahead-of-anniversary-of-putins-war</t>
  </si>
  <si>
    <t>https://www.gov.uk/government/speeches/defence-secretary-oral-statement-on-war-in-ukraine--2</t>
  </si>
  <si>
    <t>AS-90 howitzer</t>
  </si>
  <si>
    <t>Guided Multiple Launch Rocket System round</t>
  </si>
  <si>
    <t>armoured vehicle (UK)</t>
  </si>
  <si>
    <t>manoeuvre support package (UK)</t>
  </si>
  <si>
    <t>uncrewed aerial systems (UK)</t>
  </si>
  <si>
    <t>spare parts for tanks and armoured vehicles (UK)</t>
  </si>
  <si>
    <t>UKF1</t>
  </si>
  <si>
    <t>88 million GBP to support good governance and energy independence in Ukraine.</t>
  </si>
  <si>
    <t>UKF2</t>
  </si>
  <si>
    <t>500 million GBP in loans to support Ukraine in response of Russia's aggression. We do not report in our dataset the 3.5 billion GBP committed prior to January 24, 2022.</t>
  </si>
  <si>
    <t>UKF3</t>
  </si>
  <si>
    <t>The United Kingdom has contributed 74 million GBP to the Multi donor trust fund set up by the World Bank to facilitate financial support to Ukraine. This fund is part of the emergency financing package established by the World Bank (worth a total of 723 million USD). Other countries have contributed to this emergency financing package: the Netherlands with 89 million USD, Sweden with 50 million USD, Denmark with 22 million USD, Latvia + Lithuania + Iceland with 12 million USD and Japan with 100 million USD. We report the 730 million GBP in financial guarantees through the World Bank in UKF5 and the 320 million GBP in UKF6 (both were mentioned in "Source of Aid 2").</t>
  </si>
  <si>
    <t>https://www.gov.uk/government/publications/world-bank-spring-meetings-2022-uk-governors-statement/world-bank-spring-meetings-2022-uk-governors-statement</t>
  </si>
  <si>
    <t>UKF4</t>
  </si>
  <si>
    <t>4.1 million GBP supporting the BBC World Service and 25 million GBP financial support for the Ukrainian Military. "Source of Aid 1" mentions as well that the United Kingdom has provided so far over 4,000 anti-tank weapons, this number is included in UKM1, UKM2 and UKM3. The 4 million items of medical equipment are reported in UKH1. Finally, the 1 million GBP mentioned at the end of "Source of Aid 1" is directed to the court of Hague and, hence, is not included in our dataset. "Source of Aid 2" mentions as well the 6,000 missiles reported in UKM4.</t>
  </si>
  <si>
    <t>https://www.wsj.com/livecoverage/russia-ukraine-latest-news-2022-03-24/card/u-k-to-send-extra-missiles-to-ukraine-prime-minister-says-wVycdL1VQIo91y4wGFxo</t>
  </si>
  <si>
    <t>UKF5</t>
  </si>
  <si>
    <t>World Bank lending through loan guarantees.</t>
  </si>
  <si>
    <t>UKF6</t>
  </si>
  <si>
    <t xml:space="preserve">Grant aid amounting to a total of 394 million GBP and including also the contribution of 74 million GBP to the Multi Donor Trust Fund of the Word Bank (mentioned in UKF3). Here, we subtract the 74 million USD and only report the remaining amount. We report the 730 million GBP in loan guarantees through the World Bank in UKF5. </t>
  </si>
  <si>
    <t>UKF7</t>
  </si>
  <si>
    <t xml:space="preserve">Committment of the UK from the London-based European Bank of Reconstruction and Development. It remains unclear, whether the commitment will be disbursed in form of grants or loans. The 950 million USD in loan guarantees mentioned in "Source of Aid 1" are reported in UKF5. </t>
  </si>
  <si>
    <t>https://apnews.com/article/russia-ukraine-janet-yellen-christian-lindner-91b5272f3c3381f340c6916653ddfa6a</t>
  </si>
  <si>
    <t>UKF8</t>
  </si>
  <si>
    <t>Loan guarantee by the United Kingdom  ($500 million) for Public Expenditures for Administrative Capacity Endurance in Ukraine (PEACE) Project. The project's goal is to support continued government capacity.</t>
  </si>
  <si>
    <t>https://www.kmu.gov.ua/en/news/ukraina-otrymaie-vid-svitovoho-banku-dodatkove-finansuvannia-na-5299-mln-dol-ssha-dlia-nahalnykh-potreb</t>
  </si>
  <si>
    <t>https://projects.worldbank.org/en/projects-operations/project-detail/P179875</t>
  </si>
  <si>
    <t>UKF9</t>
  </si>
  <si>
    <t>Great Britain provided a loan of $500 million to Ukraine through a World Bank Public Expenditures for Administrative Capacity Endurance in Ukraine (PEACE) Project. This is the 4th tranch. The third was reported in UKF8 and DKF2.</t>
  </si>
  <si>
    <t>https://mof.gov.ua/uk/news/ukraine_will_receive_usd_500_million_from_the_uk_through_the_world_bank_project-3781</t>
  </si>
  <si>
    <t>https://projects.worldbank.org/en/projects-operations/project-detail/P180453</t>
  </si>
  <si>
    <t>USH1</t>
  </si>
  <si>
    <t>United States</t>
  </si>
  <si>
    <t>The aid, almost equally funded by the Department of State (26 million USD) and the U.S. Agency for International Development (28 million USD) amounts to 54 million USD. No further information regarding the involved international organizations has been disclosed.</t>
  </si>
  <si>
    <t>https://www.state.gov/the-united-states-announces-additional-humanitarian-assistance-for-the-people-of-ukraine/</t>
  </si>
  <si>
    <t>https://www.usaid.gov/news-information/press-releases/mar-10-2022-united-states-announces-additional-humanitarian-assistance?msclkid=fc0f8e8dae8611ecaad8dc70eab615cc</t>
  </si>
  <si>
    <t>USH2</t>
  </si>
  <si>
    <t>$30 million to support integrating Ukraine’s electric grid with the European Network of Transmission System Operators for Electricity. This aid is part of the Ukraine Supplemental Appropriations Act 2022 that appropriates budgets for financial, humanitarian and military aid to Ukraine. Source of Aid 1 lists the congress bill.</t>
  </si>
  <si>
    <t>https://appropriations.house.gov/sites/democrats.appropriations.house.gov/files/Ukraine%20Supplemental%20Summary.pdf</t>
  </si>
  <si>
    <t>USH3</t>
  </si>
  <si>
    <t>In March and May 2022, the US announced the provision of humanitarian aid to Ukraine through USAID and directly with the state budget. (Source of aid 1 and 2). Later this year, congressional research service (Source of aid 3) and USAID documents (Source of aid 4) revealed that only approximately 1.2 billion USD were disbursed in FY2022. Thus, since the fiscal year is over, we report disbursements here using Source of aid 4 to indicate the dynamic over time. Therefore a total of 1.2 billion USD is reported in  USH3, USH5-USH9. Please note that we report assistance to the energy sector of Ukraine separately in USH2 and USH4 since a different department of the US government provided it.</t>
  </si>
  <si>
    <t>https://appropriations.house.gov/sites/democrats.appropriations.house.gov/files/Additional%20Ukraine%20Suplemental%20Appropriations%20Act%20Summary.pdf</t>
  </si>
  <si>
    <t>https://crsreports.congress.gov/product/pdf/IN/IN11882</t>
  </si>
  <si>
    <t>https://www.usaid.gov/sites/default/files/2022-05/2022-03-31_USG_Ukraine_Complex_Emergency_Fact_Sheet_9.pdf</t>
  </si>
  <si>
    <t>USH4</t>
  </si>
  <si>
    <t>$2 million for technical and regulatory support to Ukraine’s nuclear regulatory agency. This aid is part of the Ukraine Additional Supplemental Appropriations Act 2022 that appropriates budgets for financial, humanitarian and military aid to Ukraine. Source of Aid 1 lists the congress bill.</t>
  </si>
  <si>
    <t>USH5</t>
  </si>
  <si>
    <t>USH6</t>
  </si>
  <si>
    <t>USH7</t>
  </si>
  <si>
    <t>USH8</t>
  </si>
  <si>
    <t>USH9</t>
  </si>
  <si>
    <t>USH10</t>
  </si>
  <si>
    <t xml:space="preserve">35 million USD to prepare for and respond to potential nuclear and radiological incidents in Ukraine. </t>
  </si>
  <si>
    <t>https://appropriations.house.gov/sites/democrats.appropriations.house.gov/files/Summary%20Continuing%20Appropriations%20and%20Ukraine%20Supplemental%20Appropriations%20Act%202023.pdf</t>
  </si>
  <si>
    <t>USH11</t>
  </si>
  <si>
    <t xml:space="preserve">126.3 million USD to prepare for and respond to potential nuclear and radiological incidents in Ukraine. </t>
  </si>
  <si>
    <t>https://appropriations.house.gov/sites/democrats.appropriations.house.gov/files/Ukraine%20Supplemental%20Summary%20FY23.pdf</t>
  </si>
  <si>
    <t>USH12</t>
  </si>
  <si>
    <t>$2.47 billion to address the dire humanitarian needs of Ukraine, refugees from Ukraine, and other vulnerable populations and communities. This aid is part of the Ukraine Supplemental Appropriations Act 2023 that appropriates budgets for financial, humanitarian and military aid to Ukraine. Source of Aid 1 lists the congress bill.</t>
  </si>
  <si>
    <t>USM1</t>
  </si>
  <si>
    <t>In-kind military aid approved through Presidential Drawdown Authority for the Fiscal Year 2022 amounting to a total of $9.025 billion in appropriations. Source of Aid 1 lists the Ukraine Supplemental Appropriations Act, Source of Aid 2 the Additional Ukraine Supplemental Appropriations Act, Source of Aid 3 lists the Congressional Research Service giving exact information over obligated appropriations. We assume the entire provided equipment as being delivered as the Fiscal Year 2022 ended on September 30 and further Drawdowns have been appropriated and obligated already.</t>
  </si>
  <si>
    <t>https://crsreports.congress.gov/product/pdf/IF/IF12040</t>
  </si>
  <si>
    <t xml:space="preserve">4th presidential drawdown amounting to USD 350 million for the provision of various military weapons. </t>
  </si>
  <si>
    <t>https://www.defense.gov/News/Releases/Release/Article/3007664/fact-sheet-on-us-security-assistance-for-ukraine-roll-up-as-of-april-21-2022/</t>
  </si>
  <si>
    <t>https://crsreports.congress.gov/product/pdf/IF/IF12041</t>
  </si>
  <si>
    <t xml:space="preserve">5th presidential drawdown amounting to USD 200 million for the provision of various military weapons. </t>
  </si>
  <si>
    <t>https://crsreports.congress.gov/product/pdf/IF/IF12042</t>
  </si>
  <si>
    <t xml:space="preserve">6th presidential drawdown amounting to USD 800 million for the provision of various military weapons. </t>
  </si>
  <si>
    <t>https://crsreports.congress.gov/product/pdf/IF/IF12043</t>
  </si>
  <si>
    <t xml:space="preserve">5th presidential drawdown amounting to USD 800 million for the provision of various military weapons. </t>
  </si>
  <si>
    <t>Javelin</t>
  </si>
  <si>
    <t>https://crsreports.congress.gov/product/pdf/IF/IF12044</t>
  </si>
  <si>
    <t>https://crsreports.congress.gov/product/pdf/IF/IF12045</t>
  </si>
  <si>
    <t>https://crsreports.congress.gov/product/pdf/IF/IF12046</t>
  </si>
  <si>
    <t>Tactical unmanned aerial system</t>
  </si>
  <si>
    <t>https://crsreports.congress.gov/product/pdf/IF/IF12047</t>
  </si>
  <si>
    <t>grenade launcher (M320 or M203)</t>
  </si>
  <si>
    <t>https://crsreports.congress.gov/product/pdf/IF/IF12048</t>
  </si>
  <si>
    <t>M4 Carbine rifle</t>
  </si>
  <si>
    <t>https://crsreports.congress.gov/product/pdf/IF/IF12049</t>
  </si>
  <si>
    <t>pistol</t>
  </si>
  <si>
    <t>https://crsreports.congress.gov/product/pdf/IF/IF12050</t>
  </si>
  <si>
    <t>machine gun</t>
  </si>
  <si>
    <t>https://crsreports.congress.gov/product/pdf/IF/IF12051</t>
  </si>
  <si>
    <t>shotgun</t>
  </si>
  <si>
    <t>https://crsreports.congress.gov/product/pdf/IF/IF12052</t>
  </si>
  <si>
    <t>round of small arms ammunitions, grenade launchers and mortar rounds</t>
  </si>
  <si>
    <t>https://crsreports.congress.gov/product/pdf/IF/IF12053</t>
  </si>
  <si>
    <t>https://crsreports.congress.gov/product/pdf/IF/IF12054</t>
  </si>
  <si>
    <t>https://crsreports.congress.gov/product/pdf/IF/IF12055</t>
  </si>
  <si>
    <t xml:space="preserve">7th presidential drawdown amounting to USD 100 million for the provision of various military weapons. </t>
  </si>
  <si>
    <t>https://crsreports.congress.gov/product/pdf/IF/IF12056</t>
  </si>
  <si>
    <t xml:space="preserve">8th presidential drawdown amounting to USD 800 million for the provision of various military weapons. </t>
  </si>
  <si>
    <t>https://crsreports.congress.gov/product/pdf/IF/IF12057</t>
  </si>
  <si>
    <t>https://crsreports.congress.gov/product/pdf/IF/IF12058</t>
  </si>
  <si>
    <t>https://crsreports.congress.gov/product/pdf/IF/IF12059</t>
  </si>
  <si>
    <t>AN/MPQ-64 Sentinel air surveillance radar</t>
  </si>
  <si>
    <t>https://crsreports.congress.gov/product/pdf/IF/IF12060</t>
  </si>
  <si>
    <t>Switchblade tactical unmanned aerial system</t>
  </si>
  <si>
    <t>https://crsreports.congress.gov/product/pdf/IF/IF12061</t>
  </si>
  <si>
    <t>https://crsreports.congress.gov/product/pdf/IF/IF12062</t>
  </si>
  <si>
    <t>anti-armor system</t>
  </si>
  <si>
    <t>https://crsreports.congress.gov/product/pdf/IF/IF12063</t>
  </si>
  <si>
    <t>https://crsreports.congress.gov/product/pdf/IF/IF12064</t>
  </si>
  <si>
    <t>armored high mobility multipurpose wheeled vehicle</t>
  </si>
  <si>
    <t>https://crsreports.congress.gov/product/pdf/IF/IF12065</t>
  </si>
  <si>
    <t>https://crsreports.congress.gov/product/pdf/IF/IF12066</t>
  </si>
  <si>
    <t>unmanned coastal defense vessel</t>
  </si>
  <si>
    <t>https://crsreports.congress.gov/product/pdf/IF/IF12067</t>
  </si>
  <si>
    <t>https://crsreports.congress.gov/product/pdf/IF/IF12068</t>
  </si>
  <si>
    <t>https://crsreports.congress.gov/product/pdf/IF/IF12069</t>
  </si>
  <si>
    <t>https://crsreports.congress.gov/product/pdf/IF/IF12070</t>
  </si>
  <si>
    <t>https://crsreports.congress.gov/product/pdf/IF/IF12071</t>
  </si>
  <si>
    <t>optics</t>
  </si>
  <si>
    <t>https://crsreports.congress.gov/product/pdf/IF/IF12072</t>
  </si>
  <si>
    <t>https://crsreports.congress.gov/product/pdf/IF/IF12073</t>
  </si>
  <si>
    <t>C-4 explosives and demolition equipment for obstacle clearing</t>
  </si>
  <si>
    <t>https://crsreports.congress.gov/product/pdf/IF/IF12074</t>
  </si>
  <si>
    <t>M18A1 Claymore anti-personnel munitions</t>
  </si>
  <si>
    <t>https://crsreports.congress.gov/product/pdf/IF/IF12075</t>
  </si>
  <si>
    <t>https://crsreports.congress.gov/product/pdf/IF/IF12076</t>
  </si>
  <si>
    <t>Tactical vehicle to tow 155mm howitzer</t>
  </si>
  <si>
    <t>https://crsreports.congress.gov/product/pdf/IF/IF12077</t>
  </si>
  <si>
    <t>Phoenix Ghost tactical unmanned aerial system</t>
  </si>
  <si>
    <t>https://crsreports.congress.gov/product/pdf/IF/IF12078</t>
  </si>
  <si>
    <t>field equipment</t>
  </si>
  <si>
    <t>https://crsreports.congress.gov/product/pdf/IF/IF12079</t>
  </si>
  <si>
    <t xml:space="preserve">9th presidential drawdown amounting to USD 150 million for the provision of various military weapons. </t>
  </si>
  <si>
    <t>https://www.whitehouse.gov/briefing-room/statements-releases/2022/05/06/statement-by-president-joe-biden-on-additional-security-assistance-to-ukraine/</t>
  </si>
  <si>
    <t>https://crsreports.congress.gov/product/pdf/IF/IF12080</t>
  </si>
  <si>
    <t>https://crsreports.congress.gov/product/pdf/IF/IF12081</t>
  </si>
  <si>
    <t>Electronic jamming equipment</t>
  </si>
  <si>
    <t>https://crsreports.congress.gov/product/pdf/IF/IF12082</t>
  </si>
  <si>
    <t>https://crsreports.congress.gov/product/pdf/IF/IF12083</t>
  </si>
  <si>
    <t>spare parts</t>
  </si>
  <si>
    <t>https://crsreports.congress.gov/product/pdf/IF/IF12084</t>
  </si>
  <si>
    <t xml:space="preserve">10th presidential drawdown amounting to USD 100 million for the provision of various military weapons. </t>
  </si>
  <si>
    <t>https://www.defense.gov/News/News-Stories/Article/Article/3038121/additional-100-million-in-howitzers-tactical-vehicles-radars-headed-to-ukraine/source/additional-100-million-in-howitzers-tactical-vehicles-radars-headed-to-ukraine/</t>
  </si>
  <si>
    <t>https://crsreports.congress.gov/product/pdf/IF/IF12085</t>
  </si>
  <si>
    <t>https://crsreports.congress.gov/product/pdf/IF/IF12086</t>
  </si>
  <si>
    <t>https://crsreports.congress.gov/product/pdf/IF/IF12087</t>
  </si>
  <si>
    <t>https://crsreports.congress.gov/product/pdf/IF/IF12088</t>
  </si>
  <si>
    <t>https://crsreports.congress.gov/product/pdf/IF/IF12089</t>
  </si>
  <si>
    <t xml:space="preserve">11th presidential drawdown amounting to USD 700 million for the provision of various military weapons. </t>
  </si>
  <si>
    <t>HIMARS 142 multiple rocket launcher</t>
  </si>
  <si>
    <t>https://crsreports.congress.gov/product/pdf/IF/IF12090</t>
  </si>
  <si>
    <t>https://crsreports.congress.gov/product/pdf/IF/IF12091</t>
  </si>
  <si>
    <t>artillery radar</t>
  </si>
  <si>
    <t>https://crsreports.congress.gov/product/pdf/IF/IF12092</t>
  </si>
  <si>
    <t>air-surveillance radar US</t>
  </si>
  <si>
    <t>https://crsreports.congress.gov/product/pdf/IF/IF12093</t>
  </si>
  <si>
    <t>https://crsreports.congress.gov/product/pdf/IF/IF12094</t>
  </si>
  <si>
    <t>Javelin command launch unit</t>
  </si>
  <si>
    <t>https://crsreports.congress.gov/product/pdf/IF/IF12095</t>
  </si>
  <si>
    <t>anti-armor weapon</t>
  </si>
  <si>
    <t>https://crsreports.congress.gov/product/pdf/IF/IF12096</t>
  </si>
  <si>
    <t>https://crsreports.congress.gov/product/pdf/IF/IF12097</t>
  </si>
  <si>
    <t>https://crsreports.congress.gov/product/pdf/IF/IF12098</t>
  </si>
  <si>
    <t>tactical vehicle</t>
  </si>
  <si>
    <t>https://crsreports.congress.gov/product/pdf/IF/IF12099</t>
  </si>
  <si>
    <t>https://crsreports.congress.gov/product/pdf/IF/IF12100</t>
  </si>
  <si>
    <t xml:space="preserve">12th presidential drawdown amounting to USD 350 million for the provision of various military weapons. </t>
  </si>
  <si>
    <t>https://www.defense.gov/News/Releases/Release/Article/3066864/fact-sheet-on-us-security-assistance-to-ukraine/</t>
  </si>
  <si>
    <t>https://crsreports.congress.gov/product/pdf/IF/IF12101</t>
  </si>
  <si>
    <t>https://crsreports.congress.gov/product/pdf/IF/IF12102</t>
  </si>
  <si>
    <t>https://crsreports.congress.gov/product/pdf/IF/IF12103</t>
  </si>
  <si>
    <t>ammunition for HIMARS</t>
  </si>
  <si>
    <t>https://crsreports.congress.gov/product/pdf/IF/IF12104</t>
  </si>
  <si>
    <t>Tactical vehicle</t>
  </si>
  <si>
    <t>https://crsreports.congress.gov/product/pdf/IF/IF12105</t>
  </si>
  <si>
    <t>https://crsreports.congress.gov/product/pdf/IF/IF12106</t>
  </si>
  <si>
    <t xml:space="preserve">13th presidential drawdown amounting to USD 450 million for the provision of various military weapons. </t>
  </si>
  <si>
    <t>https://www.defense.gov/News/News-Stories/Article/Article/3072692/president-authorizes-another-450-million-drawdown-to-support-ukraine/</t>
  </si>
  <si>
    <t>https://crsreports.congress.gov/product/pdf/IF/IF12107</t>
  </si>
  <si>
    <t>https://crsreports.congress.gov/product/pdf/IF/IF12108</t>
  </si>
  <si>
    <t>https://crsreports.congress.gov/product/pdf/IF/IF12109</t>
  </si>
  <si>
    <t>https://crsreports.congress.gov/product/pdf/IF/IF12110</t>
  </si>
  <si>
    <t>https://crsreports.congress.gov/product/pdf/IF/IF12111</t>
  </si>
  <si>
    <t>coastal and riverine patrol boat</t>
  </si>
  <si>
    <t>https://crsreports.congress.gov/product/pdf/IF/IF12112</t>
  </si>
  <si>
    <t>https://crsreports.congress.gov/product/pdf/IF/IF12113</t>
  </si>
  <si>
    <t xml:space="preserve">14th presidential drawdown amounting to USD 50 million for the provision of various military weapons. </t>
  </si>
  <si>
    <t>https://www.defense.gov/News/Releases/Release/Article/3081993/820-million-in-additional-security-assistance-for-ukraine/</t>
  </si>
  <si>
    <t>https://crsreports.congress.gov/product/pdf/IF/IF12114</t>
  </si>
  <si>
    <t xml:space="preserve">15th presidential drawdown amounting to USD 400 million for the provision of various military weapons. </t>
  </si>
  <si>
    <t>https://www.state.gov/400-million-in-new-u-s-military-assistance-for-ukraine/#:~:text=The%20Ukrainian%20people%20continue%20to,as%20long%20as%20it%20takes.</t>
  </si>
  <si>
    <t>https://crsreports.congress.gov/product/pdf/IF/IF12115</t>
  </si>
  <si>
    <t>https://crsreports.congress.gov/product/pdf/IF/IF12116</t>
  </si>
  <si>
    <t>https://crsreports.congress.gov/product/pdf/IF/IF12117</t>
  </si>
  <si>
    <t>https://crsreports.congress.gov/product/pdf/IF/IF12118</t>
  </si>
  <si>
    <t>demolition munition</t>
  </si>
  <si>
    <t>https://crsreports.congress.gov/product/pdf/IF/IF12119</t>
  </si>
  <si>
    <t>counter battery systems</t>
  </si>
  <si>
    <t>https://crsreports.congress.gov/product/pdf/IF/IF12120</t>
  </si>
  <si>
    <t>https://crsreports.congress.gov/product/pdf/IF/IF12121</t>
  </si>
  <si>
    <t xml:space="preserve">16th presidential drawdown amounting to USD 175 million for the provision of various military weapons. </t>
  </si>
  <si>
    <t>https://www.defense.gov/News/Releases/Release/Article/3102984/270-million-in-additional-security-assistance-for-ukraine/</t>
  </si>
  <si>
    <t>https://crsreports.congress.gov/product/pdf/IF/IF12122</t>
  </si>
  <si>
    <t>https://crsreports.congress.gov/product/pdf/IF/IF12123</t>
  </si>
  <si>
    <t>Unspecified Command Post Carrier</t>
  </si>
  <si>
    <t>https://crsreports.congress.gov/product/pdf/IF/IF12124</t>
  </si>
  <si>
    <t>https://crsreports.congress.gov/product/pdf/IF/IF12125</t>
  </si>
  <si>
    <t>https://crsreports.congress.gov/product/pdf/IF/IF12126</t>
  </si>
  <si>
    <t>https://crsreports.congress.gov/product/pdf/IF/IF12127</t>
  </si>
  <si>
    <t xml:space="preserve">17th presidential drawdown amounting to USD 550 million for the provision of various military weapons. </t>
  </si>
  <si>
    <t>https://www.state.gov/biden-harris-administration-announces-550-million-in-new-u-s-military-assistance-for-ukraine/</t>
  </si>
  <si>
    <t>https://crsreports.congress.gov/product/pdf/IF/IF12128</t>
  </si>
  <si>
    <t>https://crsreports.congress.gov/product/pdf/IF/IF12129</t>
  </si>
  <si>
    <t xml:space="preserve">18th presidential drawdown amounting to USD 1000 million for the provision of various military weapons. </t>
  </si>
  <si>
    <t xml:space="preserve">https://www.defense.gov/News/Releases/Release/Article/3120059/1-billion-in-additional-security-assistance-for-ukraine/ </t>
  </si>
  <si>
    <t>https://crsreports.congress.gov/product/pdf/IF/IF12130</t>
  </si>
  <si>
    <t>https://crsreports.congress.gov/product/pdf/IF/IF12131</t>
  </si>
  <si>
    <t>120mm mortar system</t>
  </si>
  <si>
    <t>https://crsreports.congress.gov/product/pdf/IF/IF12132</t>
  </si>
  <si>
    <t>120mm mortar ammunition</t>
  </si>
  <si>
    <t>https://crsreports.congress.gov/product/pdf/IF/IF12133</t>
  </si>
  <si>
    <t>https://crsreports.congress.gov/product/pdf/IF/IF12134</t>
  </si>
  <si>
    <t>https://crsreports.congress.gov/product/pdf/IF/IF12135</t>
  </si>
  <si>
    <t>https://crsreports.congress.gov/product/pdf/IF/IF12136</t>
  </si>
  <si>
    <t>armored medical treatment vehicles</t>
  </si>
  <si>
    <t>https://crsreports.congress.gov/product/pdf/IF/IF12137</t>
  </si>
  <si>
    <t>https://crsreports.congress.gov/product/pdf/IF/IF12138</t>
  </si>
  <si>
    <t>C-4 explosives, demolition munitions, and demolition equipment</t>
  </si>
  <si>
    <t>https://crsreports.congress.gov/product/pdf/IF/IF12139</t>
  </si>
  <si>
    <t>Medical supplies and other equipment</t>
  </si>
  <si>
    <t>https://crsreports.congress.gov/product/pdf/IF/IF12140</t>
  </si>
  <si>
    <t xml:space="preserve">19th presidential drawdown amounting to USD 775 million for the provision of various military weapons. </t>
  </si>
  <si>
    <t>https://www.defense.gov/News/Releases/Release/Article/3134457/775-million-in-additional-security-assistance-for-ukraine/</t>
  </si>
  <si>
    <t>https://crsreports.congress.gov/product/pdf/IF/IF12141</t>
  </si>
  <si>
    <t>105mm howitzer</t>
  </si>
  <si>
    <t>https://crsreports.congress.gov/product/pdf/IF/IF12142</t>
  </si>
  <si>
    <t>105mm artillery round</t>
  </si>
  <si>
    <t>https://crsreports.congress.gov/product/pdf/IF/IF12143</t>
  </si>
  <si>
    <t>Scan Eagle Unmanned Aerial Systems</t>
  </si>
  <si>
    <t>https://crsreports.congress.gov/product/pdf/IF/IF12144</t>
  </si>
  <si>
    <t>MaxxPro Mine Resistant Ambush Protected Vehicles</t>
  </si>
  <si>
    <t>https://crsreports.congress.gov/product/pdf/IF/IF12145</t>
  </si>
  <si>
    <t>High-speed Anti-radiation missiles</t>
  </si>
  <si>
    <t>https://crsreports.congress.gov/product/pdf/IF/IF12146</t>
  </si>
  <si>
    <t>https://crsreports.congress.gov/product/pdf/IF/IF12147</t>
  </si>
  <si>
    <t>Tube-Launched, optically-Tracked, Wire-Guided (TOW) missiles</t>
  </si>
  <si>
    <t>https://crsreports.congress.gov/product/pdf/IF/IF12148</t>
  </si>
  <si>
    <t>Javelin anti-armor systems</t>
  </si>
  <si>
    <t>https://crsreports.congress.gov/product/pdf/IF/IF12149</t>
  </si>
  <si>
    <t>anti-armor rounds</t>
  </si>
  <si>
    <t>https://crsreports.congress.gov/product/pdf/IF/IF12150</t>
  </si>
  <si>
    <t>Mine clearing equipment</t>
  </si>
  <si>
    <t>https://crsreports.congress.gov/product/pdf/IF/IF12151</t>
  </si>
  <si>
    <t>Demolition munition</t>
  </si>
  <si>
    <t>https://crsreports.congress.gov/product/pdf/IF/IF12152</t>
  </si>
  <si>
    <t>https://crsreports.congress.gov/product/pdf/IF/IF12153</t>
  </si>
  <si>
    <t>https://crsreports.congress.gov/product/pdf/IF/IF12154</t>
  </si>
  <si>
    <t>https://crsreports.congress.gov/product/pdf/IF/IF12155</t>
  </si>
  <si>
    <t xml:space="preserve">https://www.defense.gov/News/Releases/Release/Article/3134457/775-million-in-additional-security-assistance-for-ukraine/ </t>
  </si>
  <si>
    <t>https://crsreports.congress.gov/product/pdf/IF/IF12156</t>
  </si>
  <si>
    <t>Laser rangefinder</t>
  </si>
  <si>
    <t>https://crsreports.congress.gov/product/pdf/IF/IF12157</t>
  </si>
  <si>
    <t xml:space="preserve">20th presidential drawdown amounting to USD 675 million for the provision of various military weapons. </t>
  </si>
  <si>
    <t>https://www.defense.gov/News/Releases/Release/Article/3152071/675-million-in-additional-security-assistance-for-ukraine/</t>
  </si>
  <si>
    <t>https://crsreports.congress.gov/product/pdf/IF/IF12158</t>
  </si>
  <si>
    <t>https://crsreports.congress.gov/product/pdf/IF/IF12159</t>
  </si>
  <si>
    <t>https://crsreports.congress.gov/product/pdf/IF/IF12160</t>
  </si>
  <si>
    <t>https://crsreports.congress.gov/product/pdf/IF/IF12161</t>
  </si>
  <si>
    <t>Armored High Mobility Multipurpose Wheeled Vehicle</t>
  </si>
  <si>
    <t>https://crsreports.congress.gov/product/pdf/IF/IF12162</t>
  </si>
  <si>
    <t>https://crsreports.congress.gov/product/pdf/IF/IF12163</t>
  </si>
  <si>
    <t>https://crsreports.congress.gov/product/pdf/IF/IF12164</t>
  </si>
  <si>
    <t>155mm rounds of Remote Anti-Armor Mine (RAAM) Systems</t>
  </si>
  <si>
    <t>https://crsreports.congress.gov/product/pdf/IF/IF12165</t>
  </si>
  <si>
    <t>grenade launchers and small arms</t>
  </si>
  <si>
    <t>https://crsreports.congress.gov/product/pdf/IF/IF12166</t>
  </si>
  <si>
    <t>https://crsreports.congress.gov/product/pdf/IF/IF12167</t>
  </si>
  <si>
    <t>https://crsreports.congress.gov/product/pdf/IF/IF12168</t>
  </si>
  <si>
    <t>Other field equipment</t>
  </si>
  <si>
    <t>https://crsreports.congress.gov/product/pdf/IF/IF12169</t>
  </si>
  <si>
    <t xml:space="preserve">21st presidential drawdown amounting to USD 600 million for the provision of various military weapons. </t>
  </si>
  <si>
    <t>https://www.defense.gov/News/Releases/Release/Article/3160503/600-million-in-additional-security-assistance-for-ukraine/</t>
  </si>
  <si>
    <t>https://crsreports.congress.gov/product/pdf/IF/IF12170</t>
  </si>
  <si>
    <t>https://crsreports.congress.gov/product/pdf/IF/IF12171</t>
  </si>
  <si>
    <t>150mm artillery round</t>
  </si>
  <si>
    <t>https://crsreports.congress.gov/product/pdf/IF/IF12172</t>
  </si>
  <si>
    <t>counter artillery radar</t>
  </si>
  <si>
    <t>https://crsreports.congress.gov/product/pdf/IF/IF12173</t>
  </si>
  <si>
    <t>https://crsreports.congress.gov/product/pdf/IF/IF12174</t>
  </si>
  <si>
    <t>https://crsreports.congress.gov/product/pdf/IF/IF12175</t>
  </si>
  <si>
    <t>Counter-Unmanned Aerial System</t>
  </si>
  <si>
    <t>https://crsreports.congress.gov/product/pdf/IF/IF12176</t>
  </si>
  <si>
    <t>https://crsreports.congress.gov/product/pdf/IF/IF12177</t>
  </si>
  <si>
    <t>https://crsreports.congress.gov/product/pdf/IF/IF12178</t>
  </si>
  <si>
    <t>https://crsreports.congress.gov/product/pdf/IF/IF12179</t>
  </si>
  <si>
    <t>Small arms and ammunition</t>
  </si>
  <si>
    <t>https://crsreports.congress.gov/product/pdf/IF/IF12180</t>
  </si>
  <si>
    <t>https://crsreports.congress.gov/product/pdf/IF/IF12181</t>
  </si>
  <si>
    <t>Cold weather gear</t>
  </si>
  <si>
    <t>https://crsreports.congress.gov/product/pdf/IF/IF12182</t>
  </si>
  <si>
    <t>https://crsreports.congress.gov/product/pdf/IF/IF12183</t>
  </si>
  <si>
    <t>USM2</t>
  </si>
  <si>
    <t>Budget for the Foreign Military Financing (FMF) program that provides funding to foreign military. This is part of the Ukraine Supplemental Appopriations Act 2022 (Source of Aid 1) and the Additional Ukraine Supplemental Appropriations Act 2022 (Source of Aid 2). Source of Aid 3 shows the obligations after September 30, 2022, as $1.547 billion, which is the total amount of obligations through this vehicle.</t>
  </si>
  <si>
    <t xml:space="preserve">322 million USD to the Foreign Military Financing Program of the US, which will provide grants or financial loans to Ukraine or NATO allies for the purchase of weapons and defense equipment made in US. Source of Aid 1 and Source of Aid 2 list the Supplemental Acts, Source of Aid 3 gives insights on the obligations of the appropriated budgets. </t>
  </si>
  <si>
    <t>152 mm round for 2A36 Giatsint</t>
  </si>
  <si>
    <t>152 mm round for D-20 cannon</t>
  </si>
  <si>
    <t>VOG-17 automatic grenade launcher AGS-17</t>
  </si>
  <si>
    <t>https://crsreports.congress.gov/product/pdf/IF/IF12184</t>
  </si>
  <si>
    <t>122 mm mortar round (non-NATO)</t>
  </si>
  <si>
    <t>https://crsreports.congress.gov/product/pdf/IF/IF12185</t>
  </si>
  <si>
    <t>122 mm round for 2S1 Gvozdika</t>
  </si>
  <si>
    <t>https://crsreports.congress.gov/product/pdf/IF/IF12186</t>
  </si>
  <si>
    <t>BM-21 GRAD Rocket</t>
  </si>
  <si>
    <t>https://crsreports.congress.gov/product/pdf/IF/IF12187</t>
  </si>
  <si>
    <t>300 mm round/rocket for MLRS "Smerch"</t>
  </si>
  <si>
    <t>https://crsreports.congress.gov/product/pdf/IF/IF12188</t>
  </si>
  <si>
    <t>VOG-25 grenade for under barrel grenade launcher GP-25</t>
  </si>
  <si>
    <t>https://crsreports.congress.gov/product/pdf/IF/IF12189</t>
  </si>
  <si>
    <t>82 mm mortar round</t>
  </si>
  <si>
    <t>https://crsreports.congress.gov/product/pdf/IF/IF12190</t>
  </si>
  <si>
    <t>125 mm HE ammunition for T-72</t>
  </si>
  <si>
    <t>https://crsreports.congress.gov/product/pdf/IF/IF12191</t>
  </si>
  <si>
    <t>152 mm round for 2A65 Msta</t>
  </si>
  <si>
    <t>https://crsreports.congress.gov/product/pdf/IF/IF12192</t>
  </si>
  <si>
    <t xml:space="preserve">1225 million USD to the Foreign Military Financing Program of the US, which will provide grants or financial loans to Ukraine or NATO allies for the purchase of weapons and defense equipment made in US. Source of Aid 1 and Source of Aid 2 list the Supplemental Acts, Source of Aid 3 gives insights on the obligations of the appropriated budgets. </t>
  </si>
  <si>
    <t>Mark VI Patrol boat</t>
  </si>
  <si>
    <t>https://crsreports.congress.gov/product/pdf/IF/IF12193</t>
  </si>
  <si>
    <t>MSI Seahawk A2 gun system</t>
  </si>
  <si>
    <t>https://crsreports.congress.gov/product/pdf/IF/IF12194</t>
  </si>
  <si>
    <t>Electro-Optics-Infrared Radar (FLIR)</t>
  </si>
  <si>
    <t>https://crsreports.congress.gov/product/pdf/IF/IF12195</t>
  </si>
  <si>
    <t>Long Range Acoustic Device (LRAD) 5km loudspeaker system</t>
  </si>
  <si>
    <t>https://crsreports.congress.gov/product/pdf/IF/IF12196</t>
  </si>
  <si>
    <t>Identification Friend and Foe system</t>
  </si>
  <si>
    <t>https://crsreports.congress.gov/product/pdf/IF/IF12197</t>
  </si>
  <si>
    <t>MK44 cannon</t>
  </si>
  <si>
    <t>https://crsreports.congress.gov/product/pdf/IF/IF12198</t>
  </si>
  <si>
    <t>USM3</t>
  </si>
  <si>
    <t>Aid through the Ukraine Security Assitance Initiative (USAI). Source of Aid 1 reports the Ukraine Supplemental Appropriations Act 2022, Source of Aid 2 the Additional Ukraine Supplemental Appropriations Act 2022, on which this aid is based. Source of Aid 3 reports budget obligations of $6.3 billion through this initiative, which is the amount we report here.</t>
  </si>
  <si>
    <t>laser-guided rocket system</t>
  </si>
  <si>
    <t xml:space="preserve">Tranche of aid of 300 million USD, financed through the budget for the USAI (Ukraine Security Assistance Initiative), which provides military support, logistic and equipment to Ukraine. </t>
  </si>
  <si>
    <t>https://www.defense.gov/News/Releases/Release/Article/2987119/defense-department-announces-300-million-in-additional-assistance-for-ukraine/#:~:text=Through%20USAI%2C%20DoD%20will%20provide,repel%20Russia's%20war%20of%20choice</t>
  </si>
  <si>
    <t>Switchblade Tactical Unmanned Aerial System</t>
  </si>
  <si>
    <t>Puma unmanned aerial system</t>
  </si>
  <si>
    <t>counter-unmanned aerial system</t>
  </si>
  <si>
    <t>small-to-large caliber nonstandard ammunition</t>
  </si>
  <si>
    <t>non-standard machine gun</t>
  </si>
  <si>
    <t>commercial satellite imagery service</t>
  </si>
  <si>
    <t xml:space="preserve">Tranche of aid of 650 million USD, financed through the budget for the USAI (Ukraine Security Assistance Initiative), which provides military support, logistic and equipment to Ukraine. </t>
  </si>
  <si>
    <t xml:space="preserve">Tranche of aid of 770 million USD, financed through the budget for the USAI (Ukraine Security Assistance Initiative), which provides military support, logistic and equipment to Ukraine. </t>
  </si>
  <si>
    <t>https://www.mil.gov.ua/en/news/2022/11/15/russia-is-told-about-peace-it-responds-with-missiles-address-by-the-president-of-ukraine/</t>
  </si>
  <si>
    <t xml:space="preserve">Tranche of aid of 95 million USD, financed through the budget for the USAI (Ukraine Security Assistance Initiative), which provides military support, logistic and equipment to Ukraine. </t>
  </si>
  <si>
    <t xml:space="preserve">Tranche of aid of 2980 million USD, financed through the budget for the USAI (Ukraine Security Assistance Initiative), which provides military support, logistic and equipment to Ukraine. </t>
  </si>
  <si>
    <t>https://www.defense.gov/News/Releases/Release/Article/3138105/nearly-3-billion-in-additional-security-assistance-for-ukraine/</t>
  </si>
  <si>
    <t>Puma Unmanned Aerial System</t>
  </si>
  <si>
    <t>support equipment for Scan Eagle UAS systems</t>
  </si>
  <si>
    <t>VAMPIRE Counter-Unmanned Aerial System</t>
  </si>
  <si>
    <t>Laser-guided rocket system</t>
  </si>
  <si>
    <t xml:space="preserve">Tranche of aid of 1100 million USD, financed through the budget for the USAI (Ukraine Security Assistance Initiative), which provides military support, logistic and equipment to Ukraine. </t>
  </si>
  <si>
    <t>https://www.defense.gov/News/Releases/Release/Article/3173378/11-billion-in-additional-security-assistance-for-ukraine/</t>
  </si>
  <si>
    <t>Tactical Vehicle</t>
  </si>
  <si>
    <t>radars for Unmanned Aerial System</t>
  </si>
  <si>
    <t>multi-mission radar</t>
  </si>
  <si>
    <t>Tactical secure communications systems, surveillance systems, and optics</t>
  </si>
  <si>
    <t>Explosive ordnance disposal equipment</t>
  </si>
  <si>
    <t>Body armor</t>
  </si>
  <si>
    <t xml:space="preserve">Tranche of aid of 400 million USD, financed through the budget for the USAI (Ukraine Security Assistance Initiative), which provides military support, logistic and equipment to Ukraine. </t>
  </si>
  <si>
    <t>https://www.defense.gov/News/Releases/Release/Article/3210297/400-million-in-additional-security-assistance-for-ukraine/</t>
  </si>
  <si>
    <t>Coastal and riverine patrol boat</t>
  </si>
  <si>
    <t>USM7</t>
  </si>
  <si>
    <t xml:space="preserve">Military Assistance authorizing the President to direct the drawdown of up to $3.7 billion worth of defense articles from U.S. stocks and defense services to provide additional essential support to Ukraine’s armed forces. The aid is part of a bigger package, the Ukraine Supplemental Appropriations Act 2023 (Source of Aid 1) and the Additional Ukraine Supplemental Appropriations Act 2023 (Source of Aid 2),  In sum, this brings the drawdown Authority for FY2023 to $18.2 billion. </t>
  </si>
  <si>
    <t xml:space="preserve">22nd presidential drawdown amounting to USD 625 million for the provision of various military weapons. </t>
  </si>
  <si>
    <t>https://ua.usembassy.gov/625-million-in-additional-u-s-military-assistance-for-ukraine/#:~:text=OCTOBER%204%2C%202022&amp;text=Pursuant%20to%20a%20delegation%20of,U.S.%20Department%20of%20Defense%20inventories.</t>
  </si>
  <si>
    <t xml:space="preserve">23rd presidential drawdown amounting to USD 725 million for the provision of various military weapons. </t>
  </si>
  <si>
    <t>https://www.defense.gov/News/Releases/Release/Article/3189571/725-million-in-additional-security-assistance-for-ukraine/</t>
  </si>
  <si>
    <t>precision-guided 155mm artillery round</t>
  </si>
  <si>
    <t>rounds of Remote Anti-Armor Mine (RAAM) Systems</t>
  </si>
  <si>
    <t xml:space="preserve">24th presidential drawdown amounting to USD 275 million for the provision of various military weapons. </t>
  </si>
  <si>
    <t>https://www.defense.gov/News/Releases/Release/Article/3203509/275-million-in-additional-presidential-drawdown-security-assistance-for-ukraine/</t>
  </si>
  <si>
    <t>satellite communications antenna</t>
  </si>
  <si>
    <t xml:space="preserve">25th presidential drawdown amounting to USD 400 million for the provision of various military weapons. </t>
  </si>
  <si>
    <t>missiles for HAWK air defense system</t>
  </si>
  <si>
    <t>https://www.defense.gov/News/Releases/Release/Article/3216287/400-million-in-additional-assistance-for-ukraine/</t>
  </si>
  <si>
    <t>Avenger air defense system</t>
  </si>
  <si>
    <t xml:space="preserve">26th presidential drawdown amounting to USD 400 million for the provision of various military weapons. </t>
  </si>
  <si>
    <t>https://www.defense.gov/News/Releases/Release/Article/3227217/400-million-in-additional-assistance-for-ukraine/</t>
  </si>
  <si>
    <t xml:space="preserve">27th presidential drawdown amounting to USD 275 million for the provision of various military weapons. </t>
  </si>
  <si>
    <t>https://www.reuters.com/world/biden-authorizes-new-275-mln-military-aid-ukraine-white-house-2022-12-09/</t>
  </si>
  <si>
    <t xml:space="preserve">28th presidential drawdown amounting to USD 1 billion for the provision of various military weapons. </t>
  </si>
  <si>
    <t>https://www.defense.gov/News/Releases/Release/Article/3252782/185-billion-in-additional-security-assistance-for-ukraine/#:~:text=The%20Presidential%20Drawdown%20is%20the,has%20authorized%20since%20August%202021.</t>
  </si>
  <si>
    <t>82mm mortar system</t>
  </si>
  <si>
    <t>60mm mortar system</t>
  </si>
  <si>
    <t>USM8</t>
  </si>
  <si>
    <t>Military Assistance increasing the Presidential authority to direct the drawdown of up to $14.5 billion worth of defense articles from U.S. stocks and defense services to provide additional essential support to Ukraine’s armed forces. The aid is part of a bigger package, the Ukraine Supplemental Appropriations Act 2023 (Source of Aid 1) authorizing drawdowns of up to $3.7 billion, and the Additional Ukraine Supplemental Appropriations Act 2023 (Source of Aid 2), authorizing drawdowns of up to $14.5 billion. Since the USAA 2023 set the authority to $3.7 billion and the UASAA 2023 increases it to $14.5, we report the difference of $10.8 billion here. We report every subsequent drawdown after December 23 under this donation ID.</t>
  </si>
  <si>
    <t>29th presidential drawdown amounting to USD 2.85 billion for the provision of various military items.</t>
  </si>
  <si>
    <t>https://www.defense.gov/News/Releases/Release/Article/3261263/more-than-3-billion-in-additional-security-assistance-for-ukraine/</t>
  </si>
  <si>
    <t>Bradley infantry fighting vehicle</t>
  </si>
  <si>
    <t>TOW anti-tank missile</t>
  </si>
  <si>
    <t>round of 25mm ammunition</t>
  </si>
  <si>
    <t>M113 Armored Personnel Carrier</t>
  </si>
  <si>
    <t>155mm howitzer</t>
  </si>
  <si>
    <t>Rim-7 missile</t>
  </si>
  <si>
    <t>Zuni aircraft rocket</t>
  </si>
  <si>
    <t>USM9</t>
  </si>
  <si>
    <t xml:space="preserve">USD 3 billion under Ukraine Security Assistance Initiative (USAI) to provide assistance, including training, equipment, weapons, logistics support, supplies and services, salaries and stipends, sustainment, and intelligence support to the military and national security forces of Ukraine. The aid is part of a bigger package, the Ukraine Supplemental Appropriations Pack 2023 and the Additional Ukraine Supplemental Act 2023. In total, $12 billion are appropriated for the USAI Initiative for the Fiscal Year 2023. </t>
  </si>
  <si>
    <t>USM10</t>
  </si>
  <si>
    <t>USD 9 billion under Ukraine Security Assistance Initiative (USAI) to provide assistance, including training, equipment, weapons, logistics support, supplies and services, salaries and stipends, sustainment, and intelligence support to the military and national security forces of Ukraine. The aid is part of a bigger package, the Ukraine Supplemental Appropriations Pack 2023 and the Additional Ukraine Supplemental Act 2023. In total, $12 billion are appropriated for the USAI Initiative for the Fiscal Year 2023. We report subsequent usages of the budget under this donation ID.</t>
  </si>
  <si>
    <t>12/21/2022</t>
  </si>
  <si>
    <t xml:space="preserve">Tranche of aid amounting to USD 850 million financed through the USAI framework. </t>
  </si>
  <si>
    <t>BM-21 GRAD rocket</t>
  </si>
  <si>
    <t>USM11</t>
  </si>
  <si>
    <t>Budget appropriations worth 3.183 billion USD for the FMF program in the Fiscal Year 2023</t>
  </si>
  <si>
    <t>Summary Continuing Appropriations and Ukraine Supplemental Appropriations Act 2023.pdf (house.gov)</t>
  </si>
  <si>
    <t>Ukraine Supplemental Summary FY23.pdf (house.gov)</t>
  </si>
  <si>
    <t>USF1</t>
  </si>
  <si>
    <t>According to the congressional research service (Source of aid 2), 1 billion USD was disbursed as financial assistance for the Economic Support Fund for Ukraine from the Ukraine supplemental appropriations act 2022 (Source of aid 1). Therefore, we report it here.</t>
  </si>
  <si>
    <t>https://crsreports.congress.gov/product/pdf/IF/IF12305</t>
  </si>
  <si>
    <t>USF2</t>
  </si>
  <si>
    <t>$7.5 billion for the Economic Support Fund to respond to emergent needs in Ukraine, provide needed budget support to assist with Ukraine’s continuity of government, and counter human trafficking. Original amount of $8.776 billion. Does not include $760 million to prevent and respond to global food insecurity. This aid is part of the Ukraine Additional Supplemental Appropriations Act 2022 that appropriates budgets for financial, humanitarian and military aid to Ukraine. Source of Aid 1 lists the congress bill. Source of Aid 2 states that only $7.5 billion of the appropriated amount has been disbursed until January 2023, which means the remaining amount is no longer disburseable due to the change in fiscal year, which is why we report $7.5 billion here.</t>
  </si>
  <si>
    <t>USF3</t>
  </si>
  <si>
    <t>$4.5 billion for the Economic Support Fund for additional budget support to maintain the operations of Ukraine’s national government, including to enable the government to maintain macroeconomic stability and provide essential citizen services, which are necessary for Ukraine’s effort to repel Russia’s invasion. Includes oversight requirements, including third-party monitoring of such support. It was disbursed in November 2022 (Source of aid 2)</t>
  </si>
  <si>
    <t>https://www.usaid.gov/news-information/press-releases/nov-22-2022-united-states-contributes-45-billion-support-government-ukraine</t>
  </si>
  <si>
    <t>USF4</t>
  </si>
  <si>
    <t>$13.37 billion in vital economic and budgetary support for the Government of Ukraine, including support for Ukraine’s energy security and other critical infrastructure needs and for assistance to other countries impacted by the situation in Ukraine. This aid is part of the Additional Ukraine Supplemental Appropriations Act 2023 that appropriates budgets for financial, humanitarian and military aid to Ukraine. Source of Aid 1 lists the congress bill. Source of aid 2 confirmed that 9.9 billion was already disbursed.</t>
  </si>
  <si>
    <t>EUH1</t>
  </si>
  <si>
    <t>EU (Commission and Council)</t>
  </si>
  <si>
    <t>Undisclosed</t>
  </si>
  <si>
    <t xml:space="preserve">The EU Civil Protection Mechanism is an instrument aiming to improve the prevention, preparedness, and response to disasters. Since the EU Civil Protection Mechanism is not a direct contribution to Ukraine, meaning that it doesn't provide the resources constituting the aid, we do not report it in "Bilateral Aid". This choice was made despite the fact that the EU Civil Protection Mechanism was established by the European Commission. </t>
  </si>
  <si>
    <t>https://ec.europa.eu/info/strategy/priorities-2019-2024/stronger-europe-world/eu-solidarity-ukraine/eu-assistance-ukraine_en#eu-civil-protection-mechanism</t>
  </si>
  <si>
    <t>EUH2</t>
  </si>
  <si>
    <t xml:space="preserve">The entire announced support package for Ukraine and its neighboring countries is 500 million EUR, according to "Source of Aid 1". Since this sum is for refugees outside of Ukraine as well, we need to disentangle it into the disclosed sums and purposes to attribute the correct amount. "Source of Aid 2" mentions that over 93 million EUR have been made available so far for humanitarian aid. From these 93 million EUR, the Commission states that 85 million EUR will be given to Ukraine directly as Humanitarian Aid to help provide food, water, shelter and other basic needs to the people affected by the war, while 8 million EUR were devoted to Moldova (which we dont count since it not direct bilateral aid to Ukraine). Moreover, "Source of Aid 2" mentions that 330 million EUR are contributed via an Emergency Support Program for the people in Ukraine. It helps dealing with physical and psychological trauma and provides goods for basic needs as well as access to healthcare and education. Hence, we can disentangle the total sum of 500 million EUR for Ukraine and neighboring countries such that we attribute 415 million EUR out of the 500 million EUR total package (330 million + 85 million EUR) for Ukraine. The 8 million EUR for Moldova are not counted. </t>
  </si>
  <si>
    <t>https://ec.europa.eu/commission/presscorner/detail/en/speech_22_1483</t>
  </si>
  <si>
    <t>https://ec.europa.eu/info/strategy/priorities-2019-2024/stronger-europe-world/eu-solidarity-ukraine/eu-assistance-ukraine_en</t>
  </si>
  <si>
    <t>EUH3</t>
  </si>
  <si>
    <t>As a partner of the "Stand Up for the Ukraine" Event, the EU announced the provision of additional 1 billion EUR on April 9, 2022. According to "Source of Aid 1", only 600 million EUR out of the 1 billion EUR are devoted to Ukraine. "Source of Aid 2" admits the total amount of 1 billion EUR, pledged by the EU Commission.</t>
  </si>
  <si>
    <t>https://ec.europa.eu/commission/presscorner/detail/en/IP_22_2382</t>
  </si>
  <si>
    <t>EUH4</t>
  </si>
  <si>
    <t>The EU pledged an additional 200 million EUR for internally displaced people during the International Donor's Conference on May 5, 2022 (see "Source of Aid 1", 37:00).</t>
  </si>
  <si>
    <t>https://euneighbourseast.eu/news-and-stories/latest-news/ukraine-eu-announces-new-aid-worth-e200-million-for-displaced-people/#:~:text=Ukraine%3A%20EU%20announces%20new%20aid%20worth%20%E2%82%AC200%20million,Donors%E2%80%99%20Conference%20convened%20jointly%20by%20Poland%20and%20Sweden.?msclkid=2ab08ff4cf8811ec87c245022077fc10</t>
  </si>
  <si>
    <t>EUH5</t>
  </si>
  <si>
    <t xml:space="preserve">The EU allocated an additional 205 million EUR in humanitarian assistance for Ukraine, according to commissioner for Crisis Management, Janez Lenarčič </t>
  </si>
  <si>
    <t>https://ec.europa.eu/commission/presscorner/detail/en/speech_22_2807</t>
  </si>
  <si>
    <t>EUH6</t>
  </si>
  <si>
    <t>European Commission will provide an additional 175 EUR million in humanitarian assistance to support those most in need in Ukraine and Moldova. 150 EUR million will go directly to Ukraine.</t>
  </si>
  <si>
    <t>https://ec.europa.eu/commission/presscorner/detail/es/ip_22_6263</t>
  </si>
  <si>
    <t>EUH7</t>
  </si>
  <si>
    <t>EU Commission pledged to mobilize around €30 million to purchase up to 30 million energy-saving lightbulbs for Ukraine.</t>
  </si>
  <si>
    <t>https://ec.europa.eu/commission/presscorner/detail/en/ip_22_7320</t>
  </si>
  <si>
    <t>EUF1</t>
  </si>
  <si>
    <t>A new emergency Macro-Financial Assistance amounting to 1.2 billion EUR was adopted by the Commission on February 1, 2022 (to be disbursed in two equal tranches á 600 million EUR). We don't report the aid provided by the MFA in the context of the Covid-19 pandemic, nor MFA I, MFA II, MFA III or MFA IV, because they are unrelated to Russia's aggression and are prior to January 24, 2022.</t>
  </si>
  <si>
    <t>https://ec.europa.eu/info/business-economy-euro/economic-and-fiscal-policy-coordination/international-economic-relations/enlargement-and-neighbouring-countries/neighbouring-countries-eu/neighbourhood-countries/ukraine_en</t>
  </si>
  <si>
    <t>EUF2</t>
  </si>
  <si>
    <t>In addition to its Macro-Financial Assistance, the EU offered a grant to support the budget of Ukraine, "to help state and resilience building" ("Source of Aid 1").</t>
  </si>
  <si>
    <t>https://ec.europa.eu/info/strategy/priorities-2019-2024/stronger-europe-world/eu-solidarity-ukraine/eu-assistance-ukraine_en?msclkid=23e9b3c1d14011ecaaeca792ec66a4ed</t>
  </si>
  <si>
    <t>https://euneighbourseast.eu/news-and-stories/latest-news/ukraine-eu-announces-e120-million-grant-to-support-societal-and-state-resilience/#:~:text=Ukraine%3A%20EU%20announces%20%E2%82%AC120%20million%20grant%20to%20support,preparedness%20and%20management%20at%20central%20and%20local%20levels.?msclkid=23e8a2ecd14011ec870c8ad62e34da3e</t>
  </si>
  <si>
    <t>EUF3</t>
  </si>
  <si>
    <t>In light of urgent financial needs of the Ukrainian government, the Commission announced to grant Ukraine additional Macro-Financial Assistance, worth up to 9 billion EUR in 2022, guaranteed by the Union budget. Furthermore, it is stated that the Member States "should" make additional guarantees. "Source of Aid 2" refers to additional 0.6 billion EUR, which reflects one tranche of the entry EUF1. According to "Source of Aid 3", in August European Commission disbursed the first 1 billion euros from this grant. Another allocation took place on September 7, when 5 EUR billion were allocated (Source of Aid 4).</t>
  </si>
  <si>
    <t>https://ec.europa.eu/commission/presscorner/detail/en/ip_22_3121</t>
  </si>
  <si>
    <t>https://twitter.com/ZelenskyyUa/status/1527221083979620352</t>
  </si>
  <si>
    <t>https://ec.europa.eu/commission/presscorner/detail/en/IP_22_4783</t>
  </si>
  <si>
    <t>https://www.kmu.gov.ua/en/news/premier-ministr-ievrokomisiia-oholosyla-pro-vydilennia-ukraini-5-mlrd-ievro-makrofinansovoi-dopomohy</t>
  </si>
  <si>
    <t>EUF4</t>
  </si>
  <si>
    <t>A new financial aid package of up to 18 billion EUR consisting of loans. It is intended for paying wages and pensions and maintain essential public services running, such as hospitals, schools, and housing for relocated people. It will also allow Ukraine to ensure macroeconomic stability, and restore critical infrastructure destroyed by Russia in its war of aggression, such as energy infrastructure, water systems, transport networks, roads and bridges. Building on previous Macro-Financial Assistance packages, this Macro-Financial Assistance+ (MFA+) instrument offers high flexibility and very favourable terms for Ukraine, catering to the country's current situation and ensuring swift action to support the Ukrainian people.
The funds will be provided through highly concessional loans, to be repaid in the course of maximum 35 years, starting in 2033.</t>
  </si>
  <si>
    <t>https://ec.europa.eu/commission/presscorner/detail/en/ip_22_6699</t>
  </si>
  <si>
    <t>EUM1</t>
  </si>
  <si>
    <t>European Peace Facility</t>
  </si>
  <si>
    <t>The European Peace Facility (EPF) is an off-budget instrument to fund emergency assistance measures. It has a regulated annual budget. In view of the Russia-Ukraine war, the EU commission decided to increase the budget of this mechanism by 450 Million EUR for military equipment designed to deliver lethal force and 50 Million EUR to finance supply such as fuel and protective equipment. Under the EPF, member countries can be reimbursed for both lethal and non-lethal military equipment they have sent to Ukraine since the beginning of this year. There exists neither an extensive list on what was sent to Ukraine by the countries that were reimbursed by this facility, nor any information whether the entire 500 Million EUR have been claimed.</t>
  </si>
  <si>
    <t>https://www.europarl.europa.eu/RegData/etudes/ATAG/2022/729301/EPRS_ATA(2022)729301_EN.pdf</t>
  </si>
  <si>
    <t>EUM2</t>
  </si>
  <si>
    <t>The European Peace Facility (EPF) is an off-budget instrument to fund emergency assistance measures. It has a regulated annual budget. On March 23, the EU commission decided  to further increase the budget of this mechanism by 450 Million EUR for military equipment designed to deliver lethal force and 50 Million EUR to finance supply such as fuel and protective equipment. Under the EPF, member countries can be reimbursed for both lethal and non-lethal military equipment they have sent to Ukraine since the beginning of this year. There exists neither an extensive list on what was sent to Ukraine by the countries that were reimbursed by this facility, nor any information whether the entire 500 Million EUR have been claimed.</t>
  </si>
  <si>
    <t>EUM3</t>
  </si>
  <si>
    <t>The EU increased the total resources of the European Peace Facility to 1.5 billion EUR with a third tranche worth 500 million EUR.</t>
  </si>
  <si>
    <t>https://twitter.com/vonderleyen/status/1512525016910471170</t>
  </si>
  <si>
    <t>https://www.consilium.europa.eu/de/press/press-releases/2022/04/13/eu-support-to-ukraine-council-agrees-on-third-tranche-of-support-under-the-european-peace-facility-for-total-1-5-billion/</t>
  </si>
  <si>
    <t>https://tvpworld.com/59620451/eu-allocates-additional-eur-500-million-to-aid-ukraine#:~:text=The%20European%20Union%20agreed%20on%20the%20third%20tranche,of%20military%20equipment%20to%20the%20Ukrainian%20Armed%20Forces.</t>
  </si>
  <si>
    <t>EUM4</t>
  </si>
  <si>
    <t>The EU increased the total resources of the European Peace Facility to 2 billion EUR with a fourth tranche worth 500 million EUR.</t>
  </si>
  <si>
    <t>https://www.consilium.europa.eu/en/press/press-releases/2022/05/24/eu-support-to-ukraine-council-agrees-on-further-increase-of-support-under-the-european-peace-facility/</t>
  </si>
  <si>
    <t>https://euneighbourseast.eu/news-and-stories/latest-news/council-adopts-e500-million-eu-support-to-ukraine-under-european-peace-facility/</t>
  </si>
  <si>
    <t>EUM5</t>
  </si>
  <si>
    <t>The EU increased the total resources of the European Peace Facility to 2.5 billion EUR with a fifth tranche worth 500 million EUR.</t>
  </si>
  <si>
    <t>https://www.consilium.europa.eu/en/press/press-releases/2022/07/22/european-peace-facility-eu-support-to-ukraine-increased-to-2-5-billion/</t>
  </si>
  <si>
    <t>https://www.ukrinform.net/rubric-economy/3534770-eu-announces-allocation-of-another-eur-500m-in-military-aid-to-ukraine.html</t>
  </si>
  <si>
    <t>EUM6</t>
  </si>
  <si>
    <t xml:space="preserve">The EU increased the total resources of the European Peace Facility to 3.1 billion EUR with a six tranche worth 500 million EUR and with contributions from three member states who chose to abstain from the provision of lethal equipment (which we assume is worth 100 million EUR). </t>
  </si>
  <si>
    <t>https://www.consilium.europa.eu/en/press/press-releases/2022/10/17/ukraine-council-agrees-on-further-support-under-the-european-peace-facility/</t>
  </si>
  <si>
    <t>https://www.consilium.europa.eu/en/policies/european-peace-facility/timeline-european-peace-facility/</t>
  </si>
  <si>
    <t>EIF1</t>
  </si>
  <si>
    <t>European Investment Bank</t>
  </si>
  <si>
    <t>The EIB, provided with an external lending mandate, has prepared an emergency solidarity package for Ukraine of 2 billion EUR, including the provision of 668 million EUR in immediate liquidity assistance to the Ukrainian authorities and 1.3 billion EUR of commitments made for infrastructure projects. "Source of Aid 3" speaks of initial €700 million liquidity assistance, from which we only include €668 million since this amount went to Ukraine directly. Source of Aid 3 also speaks of a €4 billion pledge during the "Stand up for Ukraine" event in April. This however is not included since the aid does not go to Ukraine.</t>
  </si>
  <si>
    <t>https://www.eib.org/en/press/all/2022-124-first-payments-under-eib-ukraine-solidarity-urgent-response-reach-ukraine-as-part-of-european-union-immediate-support-to-the-country</t>
  </si>
  <si>
    <t>https://www.eib.org/en/press/news/joint-statement-of-heads-of-international-financial-institutions-with-programs-in-ukraine-and-neighboring-countries</t>
  </si>
  <si>
    <t>https://www.eib.org/en/projects/regions/eastern-neighbours/ukraine/eib-solidarity.htm?sortColumn=StartDate&amp;sortDir=desc&amp;pageNumber=0&amp;itemPerPage=10&amp;pageable=true&amp;language=EN&amp;defaultLanguage=EN&amp;tags=ukraine-solidarity&amp;ortags=true</t>
  </si>
  <si>
    <t>EIF2</t>
  </si>
  <si>
    <t>As part of the EIB Group support to Ukraine, the EIB Institute gives humanitarian assistance of 2.5 million EUR to help the people affected by the war in Ukraine. The financing comes on top of the 668 million EUR provided as part of the package reported in EIF1.</t>
  </si>
  <si>
    <t>https://www.eib.org/en/press/news/donation-ukraine</t>
  </si>
  <si>
    <t>Country summary</t>
  </si>
  <si>
    <t xml:space="preserve">This sheet summarizes bilateral donations listed in the main dataset in € billion between January 24, 2022 and January 15, 2023. </t>
  </si>
  <si>
    <t>Country</t>
  </si>
  <si>
    <t>EU member</t>
  </si>
  <si>
    <t>Financial commitments</t>
  </si>
  <si>
    <t>Humanitarian commitments</t>
  </si>
  <si>
    <t>Military commitments</t>
  </si>
  <si>
    <t>Total bilateral commitments</t>
  </si>
  <si>
    <t>GDP (2021)</t>
  </si>
  <si>
    <t>GDP (EUR)</t>
  </si>
  <si>
    <t>Share in EU commitments</t>
  </si>
  <si>
    <t>Share in EPF commitments</t>
  </si>
  <si>
    <t>Share in EIB commitments</t>
  </si>
  <si>
    <t>Share in total EU commitments</t>
  </si>
  <si>
    <t>Total bilateral and EU assistance</t>
  </si>
  <si>
    <t>Specific weapons and equipment</t>
  </si>
  <si>
    <t>Financial commitments with military purpose</t>
  </si>
  <si>
    <t>€ billion</t>
  </si>
  <si>
    <t>US$ billion</t>
  </si>
  <si>
    <t>% GDP</t>
  </si>
  <si>
    <t>Total</t>
  </si>
  <si>
    <t>Commitments by donor group</t>
  </si>
  <si>
    <t xml:space="preserve">This section shows the total commitments (financial, humanitarian, and military) over different donor groups, namely EU members and institutions, Anglosaxon countries, and other donor countries, in € billion between January 24, 2022 and January 15, 2023. </t>
  </si>
  <si>
    <t>Country (group)</t>
  </si>
  <si>
    <t>EU members and institutions</t>
  </si>
  <si>
    <t>EU members</t>
  </si>
  <si>
    <t>EU institutions</t>
  </si>
  <si>
    <t>Anglosaxon countries</t>
  </si>
  <si>
    <t>Other donor countries</t>
  </si>
  <si>
    <t>Non bilateral donors</t>
  </si>
  <si>
    <t>IMF</t>
  </si>
  <si>
    <t>European Bank for Reconstruction and Development</t>
  </si>
  <si>
    <t>United Nations</t>
  </si>
  <si>
    <t>World Bank Group</t>
  </si>
  <si>
    <t xml:space="preserve">Data transparency index </t>
  </si>
  <si>
    <t xml:space="preserve">This figure shows the data quality and transparency ranking for all donors. Higher index values indicate higher levels of data transparency (5 = best, 0 = least transparent). For a detailed description of the index, please see our Working Paper as well as the sheet "Data Transparency Index" in our dataset. </t>
  </si>
  <si>
    <t>Total index score</t>
  </si>
  <si>
    <t xml:space="preserve">Figure 1. Data transparency index </t>
  </si>
  <si>
    <t>Average</t>
  </si>
  <si>
    <t xml:space="preserve">Individual refugees from Ukraine recorded across Europe until January 31, 2023 </t>
  </si>
  <si>
    <t xml:space="preserve">Note: This figure shows the number of incoming individual Ukrainian refugees by country (right panel) and the corresponding population share in welcoming countries (left panel) between February 24 2022 and January 31, 2023. We use data from UNHCR (2023). </t>
  </si>
  <si>
    <t>Number of refugees (February 2022 - January 2023)</t>
  </si>
  <si>
    <t>Population in 2020</t>
  </si>
  <si>
    <t>% of population</t>
  </si>
  <si>
    <t>Figure 2. Refugees from Ukraine recorded across Europe as of January 31, 2023</t>
  </si>
  <si>
    <t>Moldova</t>
  </si>
  <si>
    <t>Belarus</t>
  </si>
  <si>
    <t>Aid commitments to Ukraine across donor groups (billion Euros)</t>
  </si>
  <si>
    <t xml:space="preserve">Note: This figure shows total bilateral aid commitments to Ukraine in billion Euros across different donor groups between January 24, 2022 and January 15, 2023. Other donor countries include the Anglo-Saxon countries (except the US), as well as China, Japan, South Korea, Taiwan, Turkey, Norway, Switzerland, and India. </t>
  </si>
  <si>
    <t>Donor(s)</t>
  </si>
  <si>
    <t>Total aid (billion Euros)</t>
  </si>
  <si>
    <t>Figure 3. Aid commitments to Ukraine across donor groups (billion Euros)</t>
  </si>
  <si>
    <t>EU Members and Institutions</t>
  </si>
  <si>
    <t>Other Donor Countries</t>
  </si>
  <si>
    <t>Total bilateral commitments (billion Euros)</t>
  </si>
  <si>
    <t>This figure shows total bilateral aid commitments to Ukraine across donors in billion Euros between January 24, 2022 to January 15, 2023. Each bar shows the type of assistance, i.e., financial (blue), humanitarian (green), and military (red) aid. Cost estimates for hosting refugees are added in Figure 7.</t>
  </si>
  <si>
    <t xml:space="preserve">Figure 4. Total bilateral commitments - by type of assistance (billion Euros) </t>
  </si>
  <si>
    <t>EU Institutions</t>
  </si>
  <si>
    <t xml:space="preserve">Bilateral commitments in percent of donor country GDP </t>
  </si>
  <si>
    <t xml:space="preserve">This figure shows total bilateral aid commitments to Ukraine in percent of donor country GDP. GDP data for 2021 is from the World Bank.   </t>
  </si>
  <si>
    <t xml:space="preserve">Figure 5. Bilateral commitments in percent of donor country GDP </t>
  </si>
  <si>
    <t>Reassigning EU-level aid to individual EU countries - totals in billion Euros</t>
  </si>
  <si>
    <t xml:space="preserve">Note: This figure (on aid in billion Euros) builds on the main Figure 4 but assigns EU-level commitments to each EU country using their respective EU shares. We no longer show the donor bar for “EU Institutions” as in Figure 4 and instead allot EU commitments across EU countries as follows: EU commitments are assigned based on each member country’s relative contribution to the EU budget. EIB commitments are assigned using each country’s weight in the EIB’s capital subscription. </t>
  </si>
  <si>
    <t>Share in EU commitments (including MFA, EPF, EIB)</t>
  </si>
  <si>
    <t xml:space="preserve">Figure 6. Reassigning EU-level aid to individual EU countries - totals (billion Euros) </t>
  </si>
  <si>
    <t xml:space="preserve">Total bilateral commitments plus refugee costs (billion Euros) </t>
  </si>
  <si>
    <t xml:space="preserve">This figure (on bilateral aid in billion Euros) complements the main Figure 4 by adding the estimated costs of hosting Ukranian refugees as provided by the OECD Migration Outlook 2022. </t>
  </si>
  <si>
    <t>Refugee cost estimation</t>
  </si>
  <si>
    <t xml:space="preserve">Figure 7. Total bilateral commitments plus refugee costs (billion Euros) </t>
  </si>
  <si>
    <t>Total bilateral commitments plus refugee costs (percent of GDP)</t>
  </si>
  <si>
    <t xml:space="preserve">This figure complements Figure 5 (aid in % of donor GDP) by adding the estimated costs of hosting Ukranian refugees as provided by the OECD Migration Outlook 2022. GDP data for 2021 is from the World Bank. </t>
  </si>
  <si>
    <t>Figure 8. Total bilateral commitments plus refugee costs (percent of GDP)</t>
  </si>
  <si>
    <t>Financial bilateral commitments – top 20 donors (billion Euros)</t>
  </si>
  <si>
    <t xml:space="preserve">This figure shows financial aid commitments to Ukraine across the top 20 donors in billion Euros between January 24, 2022 and January 15, 2023. Financial aid includes loans, grants, guarantees, and central bank swap lines. </t>
  </si>
  <si>
    <t>Central bank swap line</t>
  </si>
  <si>
    <t>Total Commitments</t>
  </si>
  <si>
    <t>Figure 9. Financial bilateral commitments – top 20 donors (billion Euros)</t>
  </si>
  <si>
    <t xml:space="preserve">Foreign budgetary support: commitments vs. disbursements (billion Euros)  </t>
  </si>
  <si>
    <t xml:space="preserve">This figure shows a ranking of financial donors, measured by the volume of external grants and loans given for budgetary support to the government of Ukraine (in billion Euros). Light blue bars indicate commitments (from our dataset), while the darker blue bars show disbursements (using data from the Ministry of Finance of Ukraine). </t>
  </si>
  <si>
    <t>Commitments (committed loans and grants)</t>
  </si>
  <si>
    <t>Disbursements</t>
  </si>
  <si>
    <t>To be disbursed</t>
  </si>
  <si>
    <t>Disbursed share</t>
  </si>
  <si>
    <t xml:space="preserve">Figure 10. Foreign budgetary support: commitments vs. disbursements (billion Euros)  </t>
  </si>
  <si>
    <t>EU Institutions (MFA and EIB)</t>
  </si>
  <si>
    <t xml:space="preserve">Military bilateral commitments (billion Euros)  </t>
  </si>
  <si>
    <t>This figure shows military bilateral aid commitments to Ukraine across the top 20 donors in billion Euros between January 24, 2022 and January 15, 2023. Military aid includes financial assistance tied to military purposes.</t>
  </si>
  <si>
    <t xml:space="preserve"> </t>
  </si>
  <si>
    <t xml:space="preserve">Figure 11. Military bilateral commitments - Top 20 donors (billion Euros)  </t>
  </si>
  <si>
    <t xml:space="preserve">Heavy weapon commitments (billion Euros)  </t>
  </si>
  <si>
    <t>This figure shows heavy weapon commitments to Ukraine across the top 20 donors in billion Euros between January 24, 2022 and January 15, 2023. Does not include ammunition of any kind, smaller arms and equipment, and large amounts of US funds committed for future weapons purchases. The commitment values are calculated based on our own value and price estimates for heavy weaponry. Our main numbers, including those shown in Figure 11, rely largely on government information.</t>
  </si>
  <si>
    <t>Heavy weapon commitments</t>
  </si>
  <si>
    <t xml:space="preserve">Figure 12. Heavy weapon commitments - Top 20 donors (billion Euros)  </t>
  </si>
  <si>
    <t>EU Total</t>
  </si>
  <si>
    <t>Ukrainian weapon stocks and weapon support vs. pre-war Russian stocks</t>
  </si>
  <si>
    <t>This figure shows the number of items of Ukrainian pre-war stocks and in-kind military aid commitments to Ukraine between January 24, 2022 and January 15, 2023 in comparison to pre-war Russian stocks. Heavy weapons are separated in three categories: MLRS, howitzers (155mm/152mm), and tanks. Pre-war stocks of the Russian army are taken from the IISS Military Balance (2022) study. Darker shades indicate the number of delivered weapons; lighter shades indicate the number of committed but not yet delivered. Grey segments display Ukrainian pre-war stocks.</t>
  </si>
  <si>
    <t>Item</t>
  </si>
  <si>
    <t>Howitzer(155mm)</t>
  </si>
  <si>
    <t>MLRS</t>
  </si>
  <si>
    <t xml:space="preserve">Tanks </t>
  </si>
  <si>
    <t>IFVs</t>
  </si>
  <si>
    <t>Source</t>
  </si>
  <si>
    <t>Figure 13. Ukrainian weapon stocks and weapon support vs. pre-war Russian stocks</t>
  </si>
  <si>
    <t>Russian pre-war stock (2021)</t>
  </si>
  <si>
    <t>IISS Military Balance 2022</t>
  </si>
  <si>
    <t>Ukrainian pre-war stock (2021)</t>
  </si>
  <si>
    <t>Committed</t>
  </si>
  <si>
    <t>Ukraine Support Tracker</t>
  </si>
  <si>
    <t>Delivered</t>
  </si>
  <si>
    <t>To be delivered</t>
  </si>
  <si>
    <t>Type</t>
  </si>
  <si>
    <t>Ukraine Needs</t>
  </si>
  <si>
    <t>To be Delivered</t>
  </si>
  <si>
    <t>Ukrainian stock (pre-war)</t>
  </si>
  <si>
    <t xml:space="preserve">MLRS </t>
  </si>
  <si>
    <t>Ukraine (pre-war stocks 
and foreign commitments)</t>
  </si>
  <si>
    <t>Russia (pre-war stocks)</t>
  </si>
  <si>
    <t xml:space="preserve">HOWITZERS (155/152mm) </t>
  </si>
  <si>
    <t xml:space="preserve">TANKS </t>
  </si>
  <si>
    <t>Aggregate heavy weapons: NATO stocks vs. units sent to Ukraine</t>
  </si>
  <si>
    <t>This figure shows weapon stock estimates of tanks, howitzers, and MLRS compared with donations to Ukraine between January 24, 2022 and January 15, 2023. The data on stock is taken from IISS Military Balance (2022) and considers only weapons ready to use.</t>
  </si>
  <si>
    <t>Others (EU)</t>
  </si>
  <si>
    <t>Others (NATO)</t>
  </si>
  <si>
    <t>To be delivered to Ukraine</t>
  </si>
  <si>
    <t>Delivered to Ukraine</t>
  </si>
  <si>
    <t>% Committed</t>
  </si>
  <si>
    <t>Figure 14. Aggregate heavy weapons: NATO stocks vs. units sent to Ukrain</t>
  </si>
  <si>
    <t>TANKS</t>
  </si>
  <si>
    <t>NATO (excl. EU)</t>
  </si>
  <si>
    <t>To Ukraine</t>
  </si>
  <si>
    <t>HOWITZERS                   (155/152mm)</t>
  </si>
  <si>
    <t>Country Code</t>
  </si>
  <si>
    <t>GR</t>
  </si>
  <si>
    <t>PL</t>
  </si>
  <si>
    <t>DE</t>
  </si>
  <si>
    <t>RO</t>
  </si>
  <si>
    <t>IT</t>
  </si>
  <si>
    <t>OTR</t>
  </si>
  <si>
    <t>US</t>
  </si>
  <si>
    <t>TUR</t>
  </si>
  <si>
    <t>UK</t>
  </si>
  <si>
    <t>NW</t>
  </si>
  <si>
    <t xml:space="preserve">Country ranking on heavy weapons - share of own stocks committed to Ukraine </t>
  </si>
  <si>
    <t>This figure shows the average share of heavy weapon stocks committed to Ukraine between January 24, 2022 and January 15, 2023, as percent of country stocks. The average is computed across three main categories of heavy weapons, meaning the average commitment to stock shares of (i) tanks, (ii) howitzers (155, 152 mm), and (iii) multiple rocket launchers (MRLS). Data on stocks is taken from IISS Military Balance (2022) estimates. Only weapons that are ready to be used are considered. There is no differentiation between weapon age, quality, or cost.</t>
  </si>
  <si>
    <t>Average total with Armored Vehicles</t>
  </si>
  <si>
    <t>Average total with IFW</t>
  </si>
  <si>
    <t>Average total (delivered)</t>
  </si>
  <si>
    <t>Average total (to be delivered)</t>
  </si>
  <si>
    <t>Average total (committed)</t>
  </si>
  <si>
    <t>Tanks</t>
  </si>
  <si>
    <t>155mm/152mm howitzers</t>
  </si>
  <si>
    <t>MRLS</t>
  </si>
  <si>
    <t>Anti-aircraft surface-to-air missile (SAM) System (long-range)</t>
  </si>
  <si>
    <t>Anti-aircraft surface-to-air missile (SAM) System (medium-range)</t>
  </si>
  <si>
    <t>Anti-aircraft surface-to-air missile (SAM) system (short-range)</t>
  </si>
  <si>
    <t>Anti-aircraft surface-to-air missile (SAM) System (point-defense)</t>
  </si>
  <si>
    <t xml:space="preserve">Figure 15. Country ranking on heavy weapons - share of own stocks committed to Ukraine </t>
  </si>
  <si>
    <t>Average EU</t>
  </si>
  <si>
    <t>Average non-EU-NATO</t>
  </si>
  <si>
    <t>Dynamics of support: total commitments by month in 2022 (billion Euros)</t>
  </si>
  <si>
    <t xml:space="preserve">This figure shows total bilateral aid commitments to Ukraine in € billion with traceable commitment months over time between February 1 and December 31, 2022. Each bar shows the type of assistance, i.e., financial, humanitarian, and military aid. Military aid includes financial assistance tied to military purposes. </t>
  </si>
  <si>
    <t>Month</t>
  </si>
  <si>
    <t>Financial aid committed (€ billion)</t>
  </si>
  <si>
    <t>Humanitarian aid committed (€ billion)</t>
  </si>
  <si>
    <t>Military aid committed (€ billion)</t>
  </si>
  <si>
    <t>Total aid committed (€ billion)</t>
  </si>
  <si>
    <t>Figure 16. Dynamics of support: total commitments by month in 2022 (billion Euros)</t>
  </si>
  <si>
    <t>February</t>
  </si>
  <si>
    <t>March</t>
  </si>
  <si>
    <t>April</t>
  </si>
  <si>
    <t>May</t>
  </si>
  <si>
    <t>June</t>
  </si>
  <si>
    <t>July</t>
  </si>
  <si>
    <t>August</t>
  </si>
  <si>
    <t>September</t>
  </si>
  <si>
    <t>October</t>
  </si>
  <si>
    <t>November</t>
  </si>
  <si>
    <t>December</t>
  </si>
  <si>
    <t>Assistance with tracable commitment month</t>
  </si>
  <si>
    <t>Total aid quantified between February and December 2022</t>
  </si>
  <si>
    <t>Assistance without tracable commitment month</t>
  </si>
  <si>
    <t xml:space="preserve">Dynamics of support: budget support by month in 2022 (billion Euros) </t>
  </si>
  <si>
    <t xml:space="preserve">This figure shows the budget support commitments to Ukraine by month and in billion Euros. Information on disbursements is from the Ukrainian Ministry of Finance. </t>
  </si>
  <si>
    <t>Figure 17. Dynamics of support: budget support by month in 2022 (billion Euros)</t>
  </si>
  <si>
    <t>Weapon support in major conflicts: WW2, Spanish Civil War and Ukraine 2022</t>
  </si>
  <si>
    <t>This figure compares the number of weapons sent by foreign powers during WW2 and during the Spanish Civil War (green bars) to the number of weapons committed to Ukraine thus far (blue bars). Historical data on weapon support for the US Lend-Lease program of WW2 comes from the US Department of State (1945) and US Department of War (1946). For the Spanish Civil War we use data from Alpert (2013) and Rybalkin (2000). Weapon support to Ukraine is from our database.</t>
  </si>
  <si>
    <t>Military conflict</t>
  </si>
  <si>
    <t>Weapon type</t>
  </si>
  <si>
    <t>Figure 18. Weapon support in major conflicts: WW2, Spanish Civil War and Ukraine 2022</t>
  </si>
  <si>
    <t>WW2 lend-lease US total donations</t>
  </si>
  <si>
    <t>Combat Aircraft</t>
  </si>
  <si>
    <t>Mortars</t>
  </si>
  <si>
    <t>Artillery</t>
  </si>
  <si>
    <t>US to Great Britain
(1941-45)</t>
  </si>
  <si>
    <t>US to USSR
 (1941-45)</t>
  </si>
  <si>
    <t>Spain (1936-39) Nationalists</t>
  </si>
  <si>
    <t>Spain (1936-39) Republicans</t>
  </si>
  <si>
    <t>Total supply to Ukraine</t>
  </si>
  <si>
    <t>Armored vehicles</t>
  </si>
  <si>
    <t>Foreign support during WW2 vs. Ukraine 2022</t>
  </si>
  <si>
    <t>This figure compares the scale of foreign military support by the US and the UK during the Second World War (green bars, Lend-Lease program) to their military support to Ukraine 2022 (blue bars). We report total aid divided by the number of years during which aid was provided (WW2: 1941 to 1945). The sources on Lend-Lease support and GDP are reported in the corresponding Working Paper. US military aid to Ukraine is from our database.</t>
  </si>
  <si>
    <t>Military support</t>
  </si>
  <si>
    <t>Military aid</t>
  </si>
  <si>
    <t>US support to UK (1941-45)</t>
  </si>
  <si>
    <t>Lend-Lease to U.K. (1941-45), total</t>
  </si>
  <si>
    <t>US support to USSR (1941-45)</t>
  </si>
  <si>
    <t>Lend-Lease to USSR (1941-45), total</t>
  </si>
  <si>
    <t>US military aid to Ukraine (2022)</t>
  </si>
  <si>
    <t>US to Ukraine (military aid)</t>
  </si>
  <si>
    <t>British support to USSR (1941-45)</t>
  </si>
  <si>
    <t>British Lend-Lease to USSR (1941-45)</t>
  </si>
  <si>
    <t>US support to France (1941-45)</t>
  </si>
  <si>
    <t>Lend-Lease to France (1944-45), total</t>
  </si>
  <si>
    <t>British military aid to Ukraine (2022)</t>
  </si>
  <si>
    <t>UK to Ukraine (military aid)</t>
  </si>
  <si>
    <t>Figure 19. Foreign support during WW2 vs. Ukraine 2022</t>
  </si>
  <si>
    <t>Appendix III. Annual US and UK military aid during Second World War vs. Ukraine aid (billion Euros)</t>
  </si>
  <si>
    <t>US military expenditures in major wars vs. Ukraine 2022</t>
  </si>
  <si>
    <t>This figure compares average annual US military expenditures in US wars to total US military aid to Ukraine in 2022 (both computed in % of US GDP at the time). Estimates on US military spending are from the US Congressional Research Service (Daggett 2010). US GDP Data is from the U.S. Bureau of Economic Analysis (2017) and IMF-WEO (2017). US military aid to Ukraine is from our database.</t>
  </si>
  <si>
    <t>US in Korea (average mil. exp. 1950-53)</t>
  </si>
  <si>
    <t>US in Korean War  (mil. exp. 1950-53)</t>
  </si>
  <si>
    <t>US in Vietnam (average mil. exp. 1965-75)</t>
  </si>
  <si>
    <t>US in Vietnam (mil. exp. 1965-75)</t>
  </si>
  <si>
    <t>US in Iraq (average mil. exp. 2003-2010)</t>
  </si>
  <si>
    <t>US in Iraq War (mil. exp. 2003-2010)</t>
  </si>
  <si>
    <t>US in Afghanistan (average mil. exp. 2001-10)</t>
  </si>
  <si>
    <t>US in Afghanistan (mil. exp. 2001-10)</t>
  </si>
  <si>
    <t>US to Ukraine (total military aid 2022)</t>
  </si>
  <si>
    <t>Figure 20. US military expenditures in major wars vs. Ukraine 202</t>
  </si>
  <si>
    <t>Appendix III. Annual US military expenditures in major wars vs. Ukraine 2022 (billion Euros)</t>
  </si>
  <si>
    <t>Gulf War 1990/91 vs. Ukraine 2022, expenditures in percent of donor GDP</t>
  </si>
  <si>
    <t>This figure compares the military expenditure of the US, Japan, Germany and South Korea in the Persian Gulf War with bilateral aid to Ukraine. Panel A provides information on the total amounts in billion Euros, adjusted for inflation. Panel B displays the costs and commitments in percent of GDP. See text for details and sources.</t>
  </si>
  <si>
    <t>Gulf War (1990/91)</t>
  </si>
  <si>
    <t>Ukraine (2022)</t>
  </si>
  <si>
    <t>Figure 21. Gulf War 1990/91 vs. Ukraine 2022, expenditures in percent of donor GDP</t>
  </si>
  <si>
    <t>Appendix III. Gulf War vs. Ukraine aid (billion Euros)</t>
  </si>
  <si>
    <t>Europe’s response to major crises – commitments in billion Euros</t>
  </si>
  <si>
    <t>This figure compares the EU country’s total commitments to for Ukraine between January 24, 2022 and January 15, 2023 to the commitments during the Eurozone crisis (bailout funds for Greece, Ireland, Portugal and Spain 2020-12) as well as to the EU Commission’s NGEU pandemic recovery fund announced in July 2020. See text for details and sources.</t>
  </si>
  <si>
    <t>Commitments</t>
  </si>
  <si>
    <t>Total support (€ billion)</t>
  </si>
  <si>
    <t>Figure 22. Europe’s response to major crises – commitments in billion Euros</t>
  </si>
  <si>
    <t>EU pandemic recover fund
 (Next Generation EU)</t>
  </si>
  <si>
    <t>Eurozone bailouts (2010-2012)</t>
  </si>
  <si>
    <t>EU support to Ukraine</t>
  </si>
  <si>
    <t>Total without bilateral aid</t>
  </si>
  <si>
    <t>Fiscal commitments for energy subsidies vs. aid for Ukraine</t>
  </si>
  <si>
    <t>This figure compares the amount of aid to Ukraine to the size of domestic spending programs of Germany, the UK, Italy, France, Netherlands, Spain, and an average across all EU member countries. Data on energy subsidy programs spending is taken from Bruegel (2022), which collects data since February 2022. Commitments to Ukraine covers January 24, 2022 and January 15, 2023 and includes the shares of a country’s commitments through the EU. GDP data for 2021 is taken form the World Bank.</t>
  </si>
  <si>
    <t>Fiscal commitments for energy subsidies</t>
  </si>
  <si>
    <t>Aid for Ukraine (incl. EU share)</t>
  </si>
  <si>
    <t>Aid for Ukraine (incl. EU shares)</t>
  </si>
  <si>
    <t>EU Average</t>
  </si>
  <si>
    <t>Figure 23 Panel A. Fiscal commitments for energy subsidies vs. aid for Ukraine (billion Euros)</t>
  </si>
  <si>
    <t>Figure 23 Panel B. Fiscal commitments for energy subsidies vs. aid for Ukraine (percent of GDP)</t>
  </si>
  <si>
    <t>Germany’s spending program in 2022 vs aid to Ukraine (billion Euros)</t>
  </si>
  <si>
    <t>This figure compares the costs of high-profile domestic spending packages in Germany with German bilateral aid support for Ukraine between January 24, 2022 and January 15, 2023.</t>
  </si>
  <si>
    <t>Total bilateral aid</t>
  </si>
  <si>
    <t>EU aid shares</t>
  </si>
  <si>
    <t>Cost</t>
  </si>
  <si>
    <t>Figure 24. Germany’s spending program in 2022 vs aid to Ukraine (billion Euros)</t>
  </si>
  <si>
    <t>Energy subsidies for households and firms ("Doppelwumms")</t>
  </si>
  <si>
    <t xml:space="preserve">Special military fund
 ("Sondervermögen Bundeswehr") </t>
  </si>
  <si>
    <t>Rescue of Uniper</t>
  </si>
  <si>
    <t>German aid to Ukraine (incl. EU shares)</t>
  </si>
  <si>
    <t>Transport Subsidies
 ("Tankrabatt" &amp; "9€ Ticket")</t>
  </si>
  <si>
    <t>Composition of the transparency index of Ukraine support</t>
  </si>
  <si>
    <r>
      <rPr>
        <sz val="11"/>
        <color rgb="FF000000"/>
        <rFont val="Times New Roman"/>
      </rPr>
      <t xml:space="preserve">The total index score is calculated as the sum of five subcomponents:
</t>
    </r>
    <r>
      <rPr>
        <b/>
        <sz val="11"/>
        <color rgb="FF000000"/>
        <rFont val="Times New Roman"/>
      </rPr>
      <t>1. Designated website (1 = Yes)</t>
    </r>
    <r>
      <rPr>
        <sz val="11"/>
        <color rgb="FF000000"/>
        <rFont val="Times New Roman"/>
      </rPr>
      <t xml:space="preserve">. Is there an official website on government aid to Ukraine? (1 = Yes, 0 = No)
</t>
    </r>
    <r>
      <rPr>
        <b/>
        <sz val="11"/>
        <color rgb="FF000000"/>
        <rFont val="Times New Roman"/>
      </rPr>
      <t>2. Total value of commitments given (1 = Yes).</t>
    </r>
    <r>
      <rPr>
        <sz val="11"/>
        <color rgb="FF000000"/>
        <rFont val="Times New Roman"/>
      </rPr>
      <t xml:space="preserve"> Is the total sum of Ukraine support provided by the government? (1 = Yes, 0 = No)
</t>
    </r>
    <r>
      <rPr>
        <b/>
        <sz val="11"/>
        <color rgb="FF000000"/>
        <rFont val="Times New Roman"/>
      </rPr>
      <t>3. Monetary value of individual items given by source (share).</t>
    </r>
    <r>
      <rPr>
        <sz val="11"/>
        <color rgb="FF000000"/>
        <rFont val="Times New Roman"/>
      </rPr>
      <t xml:space="preserve"> Share of committed individual items in our database for which we have a monetary value provided by a source. (Shares computed for each country)
</t>
    </r>
    <r>
      <rPr>
        <b/>
        <sz val="11"/>
        <color rgb="FF000000"/>
        <rFont val="Times New Roman"/>
      </rPr>
      <t>4. Government information on individual items (share).</t>
    </r>
    <r>
      <rPr>
        <sz val="11"/>
        <color rgb="FF000000"/>
        <rFont val="Times New Roman"/>
      </rPr>
      <t xml:space="preserve"> Share of committed individual items in our database for which we have an official source. (Shares computed for each country)
</t>
    </r>
    <r>
      <rPr>
        <b/>
        <sz val="11"/>
        <color rgb="FF000000"/>
        <rFont val="Times New Roman"/>
      </rPr>
      <t>5. Number of military items known (share).</t>
    </r>
    <r>
      <rPr>
        <sz val="11"/>
        <color rgb="FF000000"/>
        <rFont val="Times New Roman"/>
      </rPr>
      <t xml:space="preserve"> Share of committed and disclosed in-kind military items for which we have the exact number of units or weapons committed. (Shares computed for each country). For countries with no military in-kind commitment we set the value of "Subindex 5: Number of military items known" to 1. </t>
    </r>
  </si>
  <si>
    <t>Subindex 1</t>
  </si>
  <si>
    <t>Subindex 2</t>
  </si>
  <si>
    <t>Subindex 3</t>
  </si>
  <si>
    <t>Subindex 4</t>
  </si>
  <si>
    <t>Subindex 5</t>
  </si>
  <si>
    <t>Figure A1. Composition of the transparency index of Ukraine support</t>
  </si>
  <si>
    <t>Designated website (1=Yes)</t>
  </si>
  <si>
    <t>Total value of commitments given (1=Yes)</t>
  </si>
  <si>
    <t>Monetary value of individual items given by source (share)</t>
  </si>
  <si>
    <t>Government information on individual items (share)</t>
  </si>
  <si>
    <t>Numbers of military items known (share)</t>
  </si>
  <si>
    <t>How many countries fulfill the measure?</t>
  </si>
  <si>
    <t>As share (41 total donors)</t>
  </si>
  <si>
    <t>Reassigning EU-level aid to individual EU countries (percent of GDP)</t>
  </si>
  <si>
    <t xml:space="preserve">This figure shows total bilateral aid commitments to Ukraine including EU aid shares across donors as percentage of GDP between January 24, 2022 and January 15, 2023. </t>
  </si>
  <si>
    <t>Share of EU commitments (includes Commission and Council, EPF and EIB)</t>
  </si>
  <si>
    <t>Total (bilateral and EU) assistance</t>
  </si>
  <si>
    <t>Figure A2. Reassigning EU-level aid to individual EU countries (percent of GDP)</t>
  </si>
  <si>
    <t>Total military in-kind assistance (billion Euros)</t>
  </si>
  <si>
    <t xml:space="preserve">This figure shows the total value of in-kind aid commitments to Ukraine in billion Euros with traceable commitment months over time between February 1 and December 31, 2022. </t>
  </si>
  <si>
    <t>Total commitments</t>
  </si>
  <si>
    <t>Commitments by non-EU NATO countries</t>
  </si>
  <si>
    <t>Commitments by EU countries</t>
  </si>
  <si>
    <t>Commitments by other countries</t>
  </si>
  <si>
    <t>Commitments by the US</t>
  </si>
  <si>
    <t>Commitments by other non-EU NATO countries</t>
  </si>
  <si>
    <t>Figure A3. Total military in-kind assistance (billion Euros)</t>
  </si>
  <si>
    <t>Heavy weapons in-kind committed assistance (number of items)</t>
  </si>
  <si>
    <t>This figure shows the total number of heavy weapon commitments to Ukraine with traceable commitment months over time between February 1 and December 31, 2022.</t>
  </si>
  <si>
    <t>Figure A4. Heavy weapons in-kind committed assistance (number of items)</t>
  </si>
  <si>
    <t>Howitzers</t>
  </si>
  <si>
    <t>Figure A5. Military commitments and deliveries - by weapon category (number of items)</t>
  </si>
  <si>
    <t>This figure shows total items of in-kind military aid committed and delivered to Ukraine between January 24, 2022 and January 15, 2023 in four categories: MLRS, howitzers (155mm/152mm), tanks, and armored vehicles.</t>
  </si>
  <si>
    <t>Weapon category</t>
  </si>
  <si>
    <t>Comitted unites</t>
  </si>
  <si>
    <t>Delivered units</t>
  </si>
  <si>
    <t>Howitzers (155mm)</t>
  </si>
  <si>
    <t>Transparency Index of Ukraine Support</t>
  </si>
  <si>
    <r>
      <t xml:space="preserve">The total index score is calculated as the sum of five subcomponents:
</t>
    </r>
    <r>
      <rPr>
        <b/>
        <sz val="11.2"/>
        <color theme="1"/>
        <rFont val="Times New Roman"/>
        <family val="1"/>
      </rPr>
      <t>1. Designated website (1 = Yes)</t>
    </r>
    <r>
      <rPr>
        <sz val="11.2"/>
        <color theme="1"/>
        <rFont val="Times New Roman"/>
        <family val="1"/>
      </rPr>
      <t xml:space="preserve">. Is there an official website on government aid to Ukraine? (1 = Yes, 0 = No)
</t>
    </r>
    <r>
      <rPr>
        <b/>
        <sz val="11.2"/>
        <color theme="1"/>
        <rFont val="Times New Roman"/>
        <family val="1"/>
      </rPr>
      <t>2. Total value of commitments given (1 = Yes).</t>
    </r>
    <r>
      <rPr>
        <sz val="11.2"/>
        <color theme="1"/>
        <rFont val="Times New Roman"/>
        <family val="1"/>
      </rPr>
      <t xml:space="preserve"> Is the total sum of Ukraine support provided by the government? (1 = Yes, 0 = No)
</t>
    </r>
    <r>
      <rPr>
        <b/>
        <sz val="11.2"/>
        <color theme="1"/>
        <rFont val="Times New Roman"/>
        <family val="1"/>
      </rPr>
      <t>3. Monetary value of individual items given by source (share).</t>
    </r>
    <r>
      <rPr>
        <sz val="11.2"/>
        <color theme="1"/>
        <rFont val="Times New Roman"/>
        <family val="1"/>
      </rPr>
      <t xml:space="preserve"> Share of committed individual items in our database for which we have a monetary value provided by a source. (Shares computed for each country)
</t>
    </r>
    <r>
      <rPr>
        <b/>
        <sz val="11.2"/>
        <color theme="1"/>
        <rFont val="Times New Roman"/>
        <family val="1"/>
      </rPr>
      <t>4. Government information on individual items (share).</t>
    </r>
    <r>
      <rPr>
        <sz val="11.2"/>
        <color theme="1"/>
        <rFont val="Times New Roman"/>
        <family val="1"/>
      </rPr>
      <t xml:space="preserve"> Share of committed individual items in our database for which we have an official source. (Shares computed for each country)
</t>
    </r>
    <r>
      <rPr>
        <b/>
        <sz val="11.2"/>
        <color theme="1"/>
        <rFont val="Times New Roman"/>
        <family val="1"/>
      </rPr>
      <t>5. Number of military items known (share).</t>
    </r>
    <r>
      <rPr>
        <sz val="11.2"/>
        <color theme="1"/>
        <rFont val="Times New Roman"/>
        <family val="1"/>
      </rPr>
      <t xml:space="preserve"> Share of committed and disclosed in-kind military items for which we have the exact number of units or weapons committed. (Shares computed for each country). For countries with no military in-kind commitment we set the value of "Subindex 5: Number of military items known" to 1. </t>
    </r>
  </si>
  <si>
    <t>Composition of the Transparency Index of Ukraine Support</t>
  </si>
  <si>
    <t>Designated Website (1=Yes)</t>
  </si>
  <si>
    <t>Is there an official website on government aid to Ukraine? (1 = Yes, 0 = No)</t>
  </si>
  <si>
    <t>Is the total sum of Ukraine support provided by the government? (1 = Yes, 0 = No)</t>
  </si>
  <si>
    <r>
      <t>Share of committed individual items in our database for which we have a monetary value provided by a</t>
    </r>
    <r>
      <rPr>
        <i/>
        <sz val="12"/>
        <color rgb="FF000000"/>
        <rFont val="Times New Roman"/>
        <family val="1"/>
      </rPr>
      <t xml:space="preserve"> </t>
    </r>
    <r>
      <rPr>
        <sz val="12"/>
        <color rgb="FF000000"/>
        <rFont val="Times New Roman"/>
        <family val="1"/>
      </rPr>
      <t>source (shares computed by country)</t>
    </r>
  </si>
  <si>
    <r>
      <t xml:space="preserve">Share of committed individual items in our database for which we have an </t>
    </r>
    <r>
      <rPr>
        <i/>
        <sz val="12"/>
        <color rgb="FF000000"/>
        <rFont val="Times New Roman"/>
        <family val="1"/>
      </rPr>
      <t>official</t>
    </r>
    <r>
      <rPr>
        <sz val="12"/>
        <color rgb="FF000000"/>
        <rFont val="Times New Roman"/>
        <family val="1"/>
      </rPr>
      <t xml:space="preserve"> source (shares computed by country)</t>
    </r>
  </si>
  <si>
    <t xml:space="preserve">Share of committed and disclosed in-kind military items for which we have the exact number of units or weapons committed (shares computed by country) </t>
  </si>
  <si>
    <t>5 = best, 0 = worst</t>
  </si>
  <si>
    <t>EU Budget Contributions by Member Country in 2020</t>
  </si>
  <si>
    <t>This worksheet shows the EU aid shares calculation used to attribute EU member countries their share of EU Commission and Council aid. Shares are based on official EU financing statutes.</t>
  </si>
  <si>
    <t xml:space="preserve">Source: </t>
  </si>
  <si>
    <t xml:space="preserve">https://ec.europa.eu/info/sites/default/files/about_the_european_commission/eu_budget/2021-06-09_spending_and_revenue.xlsx </t>
  </si>
  <si>
    <t>Contribution to EU budget (€ billion)</t>
  </si>
  <si>
    <t>Country Share on total EU budget</t>
  </si>
  <si>
    <t>Share of EU aid (€ billion)</t>
  </si>
  <si>
    <t>27 Countries Total</t>
  </si>
  <si>
    <t>Iceland</t>
  </si>
  <si>
    <t>Breakdown of the EPF Contributions</t>
  </si>
  <si>
    <t xml:space="preserve">This worksheet shows the EU aid shares calculation used to attribute EU member countries their share of European Peace Facility (EPF) aid. Shares are based on official EPF financing statutes, which are based on GNI. GNI data is taken from the World Bank.  </t>
  </si>
  <si>
    <t>Source:</t>
  </si>
  <si>
    <t>https://eur-lex.europa.eu/legal-content/EN/TXT/HTML/?uri=CELEX:32021D0509&amp;from=EN#d1e1170-14-1  (Preamble, (19))</t>
  </si>
  <si>
    <t>GNI in current USD</t>
  </si>
  <si>
    <t>GNI in current EUR</t>
  </si>
  <si>
    <t>GNI (€ billion)</t>
  </si>
  <si>
    <t>Share of GNI</t>
  </si>
  <si>
    <t>Share of EPF Aid (€ billion)</t>
  </si>
  <si>
    <t>27 Countries total</t>
  </si>
  <si>
    <t>Breakdown of the EIB's Capital as of 1 March 2020</t>
  </si>
  <si>
    <t xml:space="preserve">This worksheet shows the EU aid shares calculation used to attribute EU member countries their share of European Investment Bank (EIB) aid. Shares are based on official EIB financing statutes, which are based on capital subscription. </t>
  </si>
  <si>
    <t>https://www.eib.org/en/about/governance-and-structure/shareholders/index.htm</t>
  </si>
  <si>
    <t>Subscribed capital (€)</t>
  </si>
  <si>
    <t>Country capital share</t>
  </si>
  <si>
    <t>Share of EIB aid (€ billion)</t>
  </si>
  <si>
    <t>Donor</t>
  </si>
  <si>
    <t>Contributing Country</t>
  </si>
  <si>
    <t>Country contribution</t>
  </si>
  <si>
    <t>Currency of Country Contribution</t>
  </si>
  <si>
    <t>Items (in kind aid)</t>
  </si>
  <si>
    <t>Source of Unit Price</t>
  </si>
  <si>
    <t>Notes on Unit Price</t>
  </si>
  <si>
    <t>Value (own estimate)</t>
  </si>
  <si>
    <t>EBF1</t>
  </si>
  <si>
    <t>Funding to support the continuation of key government services.</t>
  </si>
  <si>
    <t>The aid consists of 2 billion EUR to support resilience and livelihoods in Ukraine and affected countries. Since we could not disentagle the aid directed to Ukraine from the aid directed to neighboring countries, we assumed upper bounds and included the package in its entirety. "Source of Aid 3" speaks of 1 billion EUR support intented to Ukraine this year, announced on April 27, 2022. This, however, is part of the initial 2 billion EUR package reported here.</t>
  </si>
  <si>
    <t>https://www.ebrd.com/news/2022/ebrd-unveils-2-billion-resilience-package-in-response-to-the-war-on-ukraine-.html</t>
  </si>
  <si>
    <t>https://www.worldbank.org/en/news/statement/2022/03/17/joint-statement-of-heads-of-international-financial-institutions-with-programs-in-ukraine-and-neighboring-countries</t>
  </si>
  <si>
    <t>https://www.ebrd.com/news/2022/ebrd-enhances-trade-finance-for-ukraine-.html</t>
  </si>
  <si>
    <t>EBF2</t>
  </si>
  <si>
    <t>Source of Aid 1 states that the European Bank for Reconstruction and Development will commit up to €3 billion over 2022-2023 to help Ukraine’s businesses and economy keep functioning. Since this includes the 2 billion EUR announced in March, we report the missing part of 1 billion EUR in this entry.</t>
  </si>
  <si>
    <t>https://www.ebrd.com/news/2022/ebrd-commits-up-to-3-billion-to-ukraine.html#:~:text=The%20European%20Bank%20for%20Reconstruction,businesses%20and%20economy%20keep%20functioning.</t>
  </si>
  <si>
    <t>IMF1</t>
  </si>
  <si>
    <t>Emergency assistance disbursed under the Rapid Financing Instrument (RFI) to help meet urgent financing needs including to mitigate the economic impact of the war.</t>
  </si>
  <si>
    <t>https://www.imf.org/en/News/Articles/2022/03/17/pr2280-joint-statement-heads-ifis-programs-ukraine-neighboring-countries</t>
  </si>
  <si>
    <t>https://www.imf.org/en/About/FAQ/russia-ukraine#Q1%20What%20resources%20is%20the%20IMF%20making%20available%20to%20help%20Ukraine?</t>
  </si>
  <si>
    <t>IMF2</t>
  </si>
  <si>
    <t>Multi-donor administered account for direct financial. assistance</t>
  </si>
  <si>
    <t>The IMF set up a multi-donor administered account that allows to donate money into, which then will be transferred to Ukraine as direct financial assistance. The account is not restricted to countries and also allows international organisations or NGOs to donate into it to ensure that the money gets transferred to Ukraine safe. On April 8, 2022, Canada has proposed 1 billion CAD in their annual government budget to be donated to this vehicle.</t>
  </si>
  <si>
    <t>https://www.imf.org/en/News/Articles/2022/04/08/pr22111-imf-executive-board-approves-establishment-of-a-multi-donor-administered-account-for-ukraine</t>
  </si>
  <si>
    <t>https://www.bloomberg.com/news/articles/2022-04-08/imf-creates-new-account-to-help-ukraine-as-canada-pledges-funds</t>
  </si>
  <si>
    <t>https://english.nv.ua/nation/canada-to-send-1-billion-canadian-dollars-to-ukraine-50232696.html</t>
  </si>
  <si>
    <t>IMF3</t>
  </si>
  <si>
    <t xml:space="preserve">IMF Executive Board Approves US$ 1.3 Billion in Emergency Financing Support to Ukraine
</t>
  </si>
  <si>
    <t>https://www.imf.org/en/News/Articles/2022/10/07/pr22343-imf-approves-emergency-financing-support-to-ukraine</t>
  </si>
  <si>
    <t>UNF1</t>
  </si>
  <si>
    <t>Fund</t>
  </si>
  <si>
    <t>The UN provides money through the Central Emergency Response Fund (CERF) for Humanitarian Assistance. "Source of Aid 1" cites the 20 million USD provided by the CERF and cited in UNF2.</t>
  </si>
  <si>
    <t>https://reliefweb.int/report/ukraine/ukraine-flash-appeal-march-may-2022-enukru</t>
  </si>
  <si>
    <t>UNF2</t>
  </si>
  <si>
    <t xml:space="preserve">The assistance consists of a grant for the Central Emergency Response Fund (CERF), additional to the 20 million EUR allocated by the CERF on February 24, 2022, and reported in UNF1. </t>
  </si>
  <si>
    <t>UNF3</t>
  </si>
  <si>
    <t>The aid is provided by the UN through the Ukraine Humanitarian Fund (UHF). "Source of Aid 1" lists also the aid provided by the CERF and reported in UNF2 and UNF3.</t>
  </si>
  <si>
    <t>https://www.unocha.org/ukraine/about-uhf</t>
  </si>
  <si>
    <t>WBF1</t>
  </si>
  <si>
    <t>Loan + Guarantees</t>
  </si>
  <si>
    <t>The budget support package for Ukraine consists of a supplemental loan of 350 million USD by the IBRD, a branch of the World Bank Group, and guarantees in the amount of 139 million USD by the Netherlands (89 million USD) and Sweden (50 million USD). Thus, we report a contribution of 489 million USD. "Source of Aid 1" reports the aid packages described in WBF1, WBF2 and WBF3, thus giving a total amount of 723 million USD. "Source of Aid 2" reports the aid packages described in WBF1, WBF2, WBF3 and WBF4, thus amouting to a total of 925 million USD.</t>
  </si>
  <si>
    <t>International Bank for Reconstruction and Development (IBRD)</t>
  </si>
  <si>
    <t>WBF2</t>
  </si>
  <si>
    <t>Grants and pledges for Multi Donor Trust Fund</t>
  </si>
  <si>
    <t>In addition to the budget support described in WBF1, the World Bank has offered a grant financing amounting to 134 million USD in a Multi Donor Trust Fund. The grant is made by different countries' pledges: UK has pledged for 100 million USD, Denmark has pledged for 20 million EUR (22 million USD, accordin to "Source of Aid 1"), Latvia, Lithuania and Iceland combined have pledged for 12 million USD. "Source of Aid 1" reports the aid packages described in WBF1, WBF2 and WBF3, thus amounting to a total of 723 million USD.</t>
  </si>
  <si>
    <t>Latvia, Lithuania, Iceland</t>
  </si>
  <si>
    <t>WBF3</t>
  </si>
  <si>
    <t>Linked Parallel Financing</t>
  </si>
  <si>
    <t>In addition to the aid included in WBF1 and WBF2, the World Bank has delivered a parallel financing of 100 million USD. The financing comes from Japan and is reported here, as well as in the bilateral country sheet, because it is part of the aid package provided by the World Bank. "Source of Aid 1" reports the aid packages reported in WBF1, WBF2 and WBF3, thus amounting to a total of 723 million USD.</t>
  </si>
  <si>
    <t>WBF4</t>
  </si>
  <si>
    <t>Financing</t>
  </si>
  <si>
    <t>The World Bank provides nearly $200 million in additional and reprogrammed financing to bolster Ukraine’s social services for vulnerable people. This comes on top of the 723 million USD reported in WBF1, WF2 and WBF3. We leave out the multi donor trust fund (MDTF) amounting to 145 million USD, as we consider only the aid delivered directly by the World Bank. The aid reported in WBF1, WBF2, WF3 and WBF4 is part of the 3 billion USD support promised to Ukraine by the World Bank.</t>
  </si>
  <si>
    <t>WBF5</t>
  </si>
  <si>
    <t>The aid package was announced by the President of the World Bank on April 12, 2022, and is intended to help support key services of the Ukrainian government, like wages for hospital workers, pensions for elderly people and social programmes for vulnerable people. The funding consists of $1 billion through the International Development Association arm of the World Bank Group and $472 million guaranteed by the International Bank for Reconstruction and Development, a division of the World Bank Group. On June 7, the package was announced to have been approved by the board of directors (Source of Aid 3).</t>
  </si>
  <si>
    <t>https://www.reuters.com/business/world-bank-says-it-is-preparing-15-billion-aid-package-ukraine-2022-04-12/</t>
  </si>
  <si>
    <t>https://www.theguardian.com/world/2022/apr/12/world-bank-approves-770m-ukraine-services-funds-russia</t>
  </si>
  <si>
    <t>https://www.worldbank.org/en/news/press-release/2022/06/07/-world-bank-announces-additional-1-49-billion-financing-support-for-ukraine</t>
  </si>
  <si>
    <t>WBF6</t>
  </si>
  <si>
    <t>On Aug 8, the World Bank Group announced USD 4.5 billion in additional financing mobilized for Ukraine under the Public Expenditures for Administrative Capacity Endurance in Ukraine (PEACE) Project, which aims to help the Government of Ukraine meet urgent needs created by the ongoing war. The financing package is comprised of a $4.5 billion grant provided by the United States.</t>
  </si>
  <si>
    <t>https://www.worldbank.org/en/news/press-release/2022/08/08/world-bank-mobilizes-4-5-billion-in-additional-financing-for-vital-support-to-ukraine</t>
  </si>
  <si>
    <t>WBF7</t>
  </si>
  <si>
    <t>The IBRD financing is supported by timely loan guarantees by the United Kingdom ($500 million) and the Kingdom of Denmark ($30 million) and was mobilized under the Public Expenditures for Administrative Capacity Endurance in Ukraine (PEACE) Project, which supports continued government capacity, including the provision of core public services such as health, education, and social protection</t>
  </si>
  <si>
    <t>No. of Units delivered (in-kind military aid)</t>
  </si>
  <si>
    <t>Value committed (own estimate, in USD)</t>
  </si>
  <si>
    <t>Value delivered (own estimate, in USD)</t>
  </si>
  <si>
    <t>CZMC1</t>
  </si>
  <si>
    <t>29/06/2022</t>
  </si>
  <si>
    <t>A Czech company will hand over 3 Bivoj drones to Ukraine. Soldiers have already been trained. Financing of the shipment is unclear.</t>
  </si>
  <si>
    <t>Bivoj drone</t>
  </si>
  <si>
    <t>https://babel.ua/en/news/80749-the-czech-company-will-hand-over-three-modern-bivoj-reconnaissance-drones-to-ukraine</t>
  </si>
  <si>
    <t>https://mil.in.ua/en/news/the-czech-company-will-hand-over-two-reconnaissance-bivoj-uavs-to-ukraine/</t>
  </si>
  <si>
    <t>DEMC1</t>
  </si>
  <si>
    <t>Germany agreed on the sale of 100 Panzerhaubitze 2000, that will be produced by the company "Krauss- Maffei Wegmann" for Ukraine.</t>
  </si>
  <si>
    <t>https://mil.in.ua/en/news/germany-agreed-to-sell-100-panzerhaubitze-2000-to-ukraine/</t>
  </si>
  <si>
    <t>PLMC1</t>
  </si>
  <si>
    <t xml:space="preserve">Commercial contract amounting to 700 million USD, for the purchase of 60 howitzers. </t>
  </si>
  <si>
    <t>https://www.defensenews.com/global/europe/2022/06/08/ukraine-to-buy-polish-howitzers-as-long-war-looms-with-russia/</t>
  </si>
  <si>
    <t>SKMC1</t>
  </si>
  <si>
    <t>Purchase of eight Zusana-2 howitzers under commercial contract</t>
  </si>
  <si>
    <t>not given</t>
  </si>
  <si>
    <t>https://english.nv.ua/nation/slovakia-to-send-8-howitzers-to-ukraine-military-news-50247162.html#:~:text=Ukraine%20and%20the%20Slovak%20Republic,on%20Twitter%20on%20June%202.</t>
  </si>
  <si>
    <t>TRMC1</t>
  </si>
  <si>
    <t xml:space="preserve">The company Baykar Defense has donated three Bayraktar TB2 to Ukraine. </t>
  </si>
  <si>
    <t>Bayraktar TB2 Drone</t>
  </si>
  <si>
    <t>https://asia.nikkei.com/Politics/Ukraine-war/With-drone-gift-to-Ukraine-Turkey-s-Baykar-wins-fans-and-clients</t>
  </si>
  <si>
    <t>TRMC2</t>
  </si>
  <si>
    <t xml:space="preserve">The company Baykar Defense has sent a total of 50 units of Bayraktar TB2 to Ukraine since the start of the invasion on February 2022. </t>
  </si>
  <si>
    <t>https://www.middleeasteye.net/news/russia-ukraine-war-tb2-bayraktar-drones-fifty-received</t>
  </si>
  <si>
    <t>Price List for Weapons and Items</t>
  </si>
  <si>
    <t xml:space="preserve">This worksheet contains item information, such as type of item, price, source of price and a respective explanation. </t>
  </si>
  <si>
    <t xml:space="preserve">Type of Item </t>
  </si>
  <si>
    <t>Sub-type of Item</t>
  </si>
  <si>
    <t>Currency</t>
  </si>
  <si>
    <t>Source Category</t>
  </si>
  <si>
    <t>Notes</t>
  </si>
  <si>
    <t>Relative importance(2=very imporant, 1=important, 0=less important)</t>
  </si>
  <si>
    <t>Count</t>
  </si>
  <si>
    <t>Undisclosed Amount</t>
  </si>
  <si>
    <t>Monetary Value Total</t>
  </si>
  <si>
    <t>in main dataset (1 if yes, 0 if no)</t>
  </si>
  <si>
    <t>in commercial aid (1 if yes, 0 it no)</t>
  </si>
  <si>
    <t>Deliveries higher than comm</t>
  </si>
  <si>
    <t>Armament</t>
  </si>
  <si>
    <t>Light armaments &amp; infantry</t>
  </si>
  <si>
    <t>Since the price depends heavily on the type of armament, no reliable source can be found.</t>
  </si>
  <si>
    <t>Equipment for M109 artillery gun</t>
  </si>
  <si>
    <t>Ammunition for heavy weapon</t>
  </si>
  <si>
    <t>155mm howitzer ammunition</t>
  </si>
  <si>
    <t>High-resoultion satellity imagery</t>
  </si>
  <si>
    <t>Heavy weapon</t>
  </si>
  <si>
    <t>overhaul/repair</t>
  </si>
  <si>
    <t>Medical equipment</t>
  </si>
  <si>
    <t>Small arm and ammunition</t>
  </si>
  <si>
    <t>Ammunition for light infantry</t>
  </si>
  <si>
    <t>Small Arms and Light Weapons (SALW) ammunition</t>
  </si>
  <si>
    <t>Spare part and equipment</t>
  </si>
  <si>
    <t>Spare parts</t>
  </si>
  <si>
    <t>Spare parts for M109 artillery gun</t>
  </si>
  <si>
    <t>Aviation and drones</t>
  </si>
  <si>
    <t>Calculated according with the E-Mail from the Ministry of Defence of the Republic of Latvia, since 24% of 220 million EUR went on helicopters and spare parts</t>
  </si>
  <si>
    <t>Mastiff 6x6</t>
  </si>
  <si>
    <t>Protected Patrol Vehicle (PPV)</t>
  </si>
  <si>
    <t>https://armstrade.sipri.org/armstrade/page/trade_register.php</t>
  </si>
  <si>
    <t>Contracts</t>
  </si>
  <si>
    <t>Average unit cost based on different contracts from SIPRI database and the source and adjusted to 2021$</t>
  </si>
  <si>
    <t>Tank</t>
  </si>
  <si>
    <t>Main Battle Tank (MBT)</t>
  </si>
  <si>
    <t>https://www.reuters.com/article/ozatp-ethiopia-tanks-ukraine-20110610-idAFJOE7590IR20110610</t>
  </si>
  <si>
    <t>Media reports (incl. social media)</t>
  </si>
  <si>
    <t xml:space="preserve">We report the retail market price of the T72 tank as proxy. In 2011, Ethopia signed a deal for 200 T-72 Tanks for 100 million USD, bringing the Unit price to 500000 UST in 2011. We convert this price to 2021 values to account for inflation. </t>
  </si>
  <si>
    <t>Drone</t>
  </si>
  <si>
    <t>Military media (incl. websites)</t>
  </si>
  <si>
    <t xml:space="preserve">Source reports a contract over 30 million Estonian Kroons (roughly 2 million USD) for 12 units (2 reconnaissanse, 10 combat). We divide 2 million USD by 12 for an approximate Unit price of 170000 USD. </t>
  </si>
  <si>
    <t>Field glass</t>
  </si>
  <si>
    <t>https://www.amazon.com/-/de/dp/B07SMXN8PR/ref=zg_bs_3413661_2/139-2167500-7694641?pd_rd_i=B09VBX2J8P&amp;th=1</t>
  </si>
  <si>
    <t>Online marketplaces and stores</t>
  </si>
  <si>
    <t>Average retail price is given with 11.99 USD</t>
  </si>
  <si>
    <t>Small Arms and Light Weapons (SALW)</t>
  </si>
  <si>
    <t>Source for the M240: https://en.wikipedia.org/wiki/M240_machine_gun and Source for the M249: https://en.wikipedia.org/wiki/M249_light_machine_gun</t>
  </si>
  <si>
    <t>Miscellaneous</t>
  </si>
  <si>
    <t>The most common types of machine guns are M249 and M240. The average price over both M249 and M240 Machine gun is 5,300 per piece. The range is between 4,000 (M249) and 6,600 (M240)USD.</t>
  </si>
  <si>
    <t>ammunition</t>
  </si>
  <si>
    <t>claymore anti-personnel munitions</t>
  </si>
  <si>
    <t>Explosive</t>
  </si>
  <si>
    <t>https://en.wikipedia.org/wiki/Claymore_mine</t>
  </si>
  <si>
    <t>Price for a M19A1 Claymore mine as of 1993 is 119 USD. This corresponds to 223.15 USD in 2021 (according to https://www.in2013dollars.com/us/inflation/1993?amount=1#:~:text=Value%20of%20%241%20from%201993,cumulative%20price%20increase%20of%20102.28%25.).</t>
  </si>
  <si>
    <t>https://foreignpolicy.com/2009/12/31/observation-of-the-day-on-brewing-coffee-with-c4/</t>
  </si>
  <si>
    <t>Source lists a price of 90 USD per Block (Unit) of C-4.</t>
  </si>
  <si>
    <t>155mm Howitzer</t>
  </si>
  <si>
    <t>M777 155 mm Lightweight Towed Howitzer | Military-Today.com</t>
  </si>
  <si>
    <t xml:space="preserve">We use the price of M777 howitzer which is used by USA. Source lists a unit price of 5170000 USD. </t>
  </si>
  <si>
    <t>Portable defence system</t>
  </si>
  <si>
    <t>MANPADS</t>
  </si>
  <si>
    <t>Calculated according with the E-Mail from the Ministry of Defence of the Republic of Latvia, since 56% of 220 million EUR went on stingers</t>
  </si>
  <si>
    <t>Minesweeper</t>
  </si>
  <si>
    <t>Mine Vessels</t>
  </si>
  <si>
    <t xml:space="preserve">https://stocktonhistoricalmaritimemuseum.org/about/uss-lucid/stats/ </t>
  </si>
  <si>
    <t>The source provides the information that a minesweeper cost 9 million USD in 1955. This corresponds to 86.94 million USD today (see https://www.in2013dollars.com/us/inflation/1955?endYear=2020&amp;amount=1).</t>
  </si>
  <si>
    <t>Calculated according with the E-Mail from the Ministry of Defence of the Republic of Latvia, since 13% of 220 million EUR went on armament</t>
  </si>
  <si>
    <t>Counter-unmanned aerial system</t>
  </si>
  <si>
    <t>https://www.airuniversity.af.edu/Portals/10/ASPJ/journals/Chronicles/ucav.pdf</t>
  </si>
  <si>
    <t xml:space="preserve">According to the source, the most popular version of an Unmanned Combat Aerial Vehicle costs 15 million USD at the most. We report 15 million USD to stay consistent with our Upper bound rule. </t>
  </si>
  <si>
    <t>Calculated according with the E-Mail from the Ministry of Defence of the Republic of Latvia, since 5% of 220 million EUR went on unmanned systems</t>
  </si>
  <si>
    <t>Anti-ship missile system</t>
  </si>
  <si>
    <t>Anti-Ship system</t>
  </si>
  <si>
    <t xml:space="preserve">https://www.thedrive.com/the-war-zone/32277/here-is-what-each-of-the-pentagons-air-launched-missiles-and-bombs-actually-cost </t>
  </si>
  <si>
    <t>According to the source, this is the unit cost for a AGM-158C LRASM (Long Range Anti Ship Missile).</t>
  </si>
  <si>
    <t>Anti-aircraft surface-to-air missile (SAM) system (point-defense)</t>
  </si>
  <si>
    <t xml:space="preserve">https://www.army-technology.com/projects/mistral-missile/ </t>
  </si>
  <si>
    <t>Price deducted from a contract Estonia made in 2007 for €60 million (USD 65 million) for 25 Launchers.</t>
  </si>
  <si>
    <t>Patrol and coastal combatants</t>
  </si>
  <si>
    <t>https://www.dsca.mil/sites/default/files/mas/jordan_15-02.pdf</t>
  </si>
  <si>
    <t>Government information</t>
  </si>
  <si>
    <t>The US sent 35 coastal patrol boats to Jordan, worth 80 million USD. This allows an approximation for the unit cost. We also convert this value to $2021.</t>
  </si>
  <si>
    <t xml:space="preserve">Average unit cost based on different contracts from SIPRI database and adjusted to 2021 value. </t>
  </si>
  <si>
    <t>missile</t>
  </si>
  <si>
    <t>https://www.defense.gov/News/Contracts/Contract/Article/2185990/</t>
  </si>
  <si>
    <t>The source lists a unit cost of one Harpoon Block II missile of 1,406,812 USD.</t>
  </si>
  <si>
    <t>http://www.military-today.com/artillery/fh_70.htm#:~:text=According%20to%20Forecast%20International%2C%20the,in%202002%20was%20US%24594%2C000.</t>
  </si>
  <si>
    <t>According to the source, the price of one unit in 2002 was 594,000 USD, which corresponds to 895,040 USD in 2021 using deflator for national defence  (according to https://apps.bea.gov/iTable/iTable.cfm?reqid=19&amp;step=3&amp;isuri=1&amp;1921=survey&amp;1903=13#reqid=19&amp;step=3&amp;isuri=1&amp;1921=survey&amp;1903=13)</t>
  </si>
  <si>
    <t>298mm MLRS ammunition</t>
  </si>
  <si>
    <t>https://www.dsca.mil/press-media/major-arms-sales/finland-guided-multiple-launch-rocket-system-gmlrs-m31a1-unitary-and</t>
  </si>
  <si>
    <t>The source provides information about a contract with a volume of 150 million USD. This includes the purchase of 90 M31A1 missiles and 150 M30A1 missiles, but also training services as well as engineering and further technical support. To approach the cost of an M31A1 missile, we divide the total amount by the number of missiles (assuming that they roughly cost the same), leading to a cost of 625,000 USD per missile.</t>
  </si>
  <si>
    <t>Ammunition for HIMARS</t>
  </si>
  <si>
    <t>227mm MLRS ammunition</t>
  </si>
  <si>
    <t>https://gagadget.com/en/war/145017-ukrainian-military-launch-of-one-himars-missile-costs-150000-and-a-full-launch-costs-1000000/</t>
  </si>
  <si>
    <t xml:space="preserve">Source lists a price of 150000 USD per missile for the HIMARS  (High mobility artillery rocket) system. </t>
  </si>
  <si>
    <t>https://www.asafm.army.mil/Portals/72/Documents/BudgetMaterial/2021/Base%20Budget/Procurement/MSLS_FY_2021_PB_Missile_Procurement_Army.pdf</t>
  </si>
  <si>
    <t>As a proxy we take the Javelin command launch unit, with Price deducted from the 2021 annual Pentagon Budget. Page 66, Javelin Lightweight Command Launch Unit (CLU), FY 2021 Total. Total cost: $190,325,000, Units: 773</t>
  </si>
  <si>
    <t>Ammunition for Heavy Weapon</t>
  </si>
  <si>
    <t>https://en.wikipedia.org/wiki/AIM-120_AMRAAM</t>
  </si>
  <si>
    <t xml:space="preserve">AIM-120 AMRAAM missiles cost US$1,090,000 in 2019. </t>
  </si>
  <si>
    <t>https://en.wikipedia.org/wiki/AGM-88_HARM</t>
  </si>
  <si>
    <t>Source lists a price in  the range of USD 284,000 and USD 870,000. We take the average price of this range, which is USD 557,000.</t>
  </si>
  <si>
    <t>VAMPIRE Counter-unmanned aerial system</t>
  </si>
  <si>
    <t xml:space="preserve">According to the source, the most popular version of a UCAV costs 15 million USD at the most. We report 15 million USD to stay consistent with our Upper bound rule. </t>
  </si>
  <si>
    <t>Surface-to-air missile (SAM)</t>
  </si>
  <si>
    <t>Average unit costs based on different contracts from SIPRI database and the source and adjusted to $2021</t>
  </si>
  <si>
    <t>military equipment</t>
  </si>
  <si>
    <t>We use the price of ARTHUR artillery radar, a variant that was developed simultaneously with COBRA, as a proxy. Average unit costs based on different contracts from SIPRI database and the source and adjusted to $2021</t>
  </si>
  <si>
    <t>Anti-aircraft system ammunition</t>
  </si>
  <si>
    <t>Ammunition for Mars II</t>
  </si>
  <si>
    <t>127mm MLRS ammunition</t>
  </si>
  <si>
    <t>The Mars II System uses M30 and M31 guided rockets as Ammunition. We report the price of a source that provides information about a contract with a volume of 150 million USD. This includes the purchase of 90 M31A1 missiles and 150 M30A1 missiles, but also training services as well as engineering and further technical support. To approach the cost of an M31A1 missile, we divide the total amount by the number of missiles (assuming that they roughly cost the same), leading to a cost of 625,000 USD per missile.</t>
  </si>
  <si>
    <t>Armoured Utility Vehicle (AUV)</t>
  </si>
  <si>
    <t>https://www.armyrecognition.com/defense_news_january_2021_global_security_army_industry/first_iveco_lmv_2_nec_armored_vehicles_enter_service_with_italian_army.html</t>
  </si>
  <si>
    <t xml:space="preserve">Since the Lince ("Lynx") is the italian designation of an armored scout car and the predecessor of the Iveco LMV, we report the Iveco LMV (Iveco M 40.12) price here. </t>
  </si>
  <si>
    <t>Infantry fighting vehicle (IFV)</t>
  </si>
  <si>
    <t>http://www.army-guide.com/eng/product1033.html</t>
  </si>
  <si>
    <t>The source provides the average unit costs based on a number of different contracts.</t>
  </si>
  <si>
    <t>Armoured Personnel Carrier (APC)</t>
  </si>
  <si>
    <t>http://www.army-guide.com/eng/product3249.html</t>
  </si>
  <si>
    <t>Average unit costs based on five different contracts (Lithunia has been omitted as they bought M577 second hand from Germany).</t>
  </si>
  <si>
    <t>https://www.globalsecurity.org/military/world/taiwan/cm21-variants.htm</t>
  </si>
  <si>
    <t xml:space="preserve">According to Source Italian M130 is a variant of M113, so we report price of M113 from the dataset, which is based on Military media and amounts to 300000 USD per Unit. </t>
  </si>
  <si>
    <t>300mm MLRS ammunition</t>
  </si>
  <si>
    <t>The source provides information about a contract over M31A1 ammunition, a 298mm guided rocket, which we use as a proxy for the 300mm guided rocket, with a volume of 150 million USD. This includes the purchase of 90 M31A1 missiles and 150 M30A1 missiles, but also training services as well as engineering and further technical support. To approach the cost of an M31A1 missile, we divide the total amount by the number of missiles (assuming that they roughly cost the same), leading to a cost of 625,000 USD per missile.</t>
  </si>
  <si>
    <t>https://mezha.media/en/2022/04/02/together-with-switchblades-drones-the-u-s-will-provide-ukraine-with-the-rq-20-puma-unmanned-aerial-vehicles/#:~:text=The%20cost%20of%20one%20RQ,NATO%20countries%20and%20their%20partners.</t>
  </si>
  <si>
    <t>Unit cost of one RQ-20 Puma system.</t>
  </si>
  <si>
    <t>Air-launched ammunition</t>
  </si>
  <si>
    <t>Air-to-surface missile (ASM)</t>
  </si>
  <si>
    <t>https://publications.parliament.uk/pa/cm201011/cmhansrd/cm110517/text/110517w0001.htm#11051744000014</t>
  </si>
  <si>
    <t xml:space="preserve">Source lists a unit price of 175000 GBP, which we convert to 2021 values of 220000 USD per piece. </t>
  </si>
  <si>
    <t>Mortar</t>
  </si>
  <si>
    <t>https://man.fas.org/dod-101/sys/land/m224.htm</t>
  </si>
  <si>
    <t>Source reports a price for the M224 60 mm Lightweight Company Mortar System, which is also 60mm Mortar, so we use it as proxy.</t>
  </si>
  <si>
    <t>https://www.thedrive.com/the-war-zone/ukraine-to-get-guided-rockets-but-not-ones-able-to-reach-far-into-russia</t>
  </si>
  <si>
    <t>Source lists the unit price as 168000 USD per piece, deducted from a Budget of 770 million USD for 4596 rockets.</t>
  </si>
  <si>
    <t>Light Anti-armor Weapon (LAW)</t>
  </si>
  <si>
    <t>https://www.defensenews.com/land/2016/12/21/poland-awards-220m-short-range-air-defense-deal/#:~:text=WARSAW%2C%20Poland%20%E2%80%94%20The%20Polish%20Ministry,systems%20for%20the%20country%27s%20military.</t>
  </si>
  <si>
    <t>The source says that 220 million USD correspons to the cost of 1300 Piorun missiles and 420 missile launchers (so air-defense systems). To disentangle the sum and to deduct the price for a Piorun air-defense system, we use as approximation for the MANPAD Piorun missile, another MANPAD missile, namely Stinger which amounts to 119000 USD. Hence, 1300*119000 is 154,7 million USD so that 65.3 million USD remains (220-154,7) leading to unit costs of 155,476 USD.</t>
  </si>
  <si>
    <t>Anti-aircraft Starstreak missile</t>
  </si>
  <si>
    <t>Ammunition for portable defence system</t>
  </si>
  <si>
    <t>MANPADS ammunition</t>
  </si>
  <si>
    <t xml:space="preserve">Based on a contract over 96 missiles for 13 million EUR, giving a unit price of 135000 USD in 2003, amounting to 194000 USD in 2021. </t>
  </si>
  <si>
    <t>https://www.globalsecurity.org/military/world/europe/aspide.htm</t>
  </si>
  <si>
    <t>The source mentions that the target price for an Italian Aspide Mk1/Mk2 missile is 100000 USD. We use this as price estimator.</t>
  </si>
  <si>
    <t>D-30 howitzer</t>
  </si>
  <si>
    <t>122mm howitzer</t>
  </si>
  <si>
    <t>122mm howitzer ammunition</t>
  </si>
  <si>
    <t>https://books.google.de/books?id=QYrfAAAAMAAJ&amp;pg=RA1-SA1-PA44&amp;lpg=RA1-SA1-PA44&amp;dq=price+125mm+HE+round&amp;source=bl&amp;ots=fdolBJFyKm&amp;sig=ACfU3U01l_fXbBfPdno46XHbd5W7HMx4Hg&amp;hl=en&amp;sa=X&amp;ved=2ahUKEwibv-ulyrz5AhWVVfEDHQQSC4IQ6AF6BAgbEAM#v=onepage&amp;q&amp;f=false</t>
  </si>
  <si>
    <t xml:space="preserve">Source reports a base price of 40000 USD for 125mm rounds for the T-55 and T-62 tanks (page II-27). Book is from 1995, so we assume the price is. We convert the price to $2021, which is 71,120.78 USD (according to https://www.in2013dollars.com/us/inflation/1995?endYear=2021&amp;amount=40000) </t>
  </si>
  <si>
    <t>Non-standard machine gun</t>
  </si>
  <si>
    <t>Source for the M240: Source for the M240: https://en.wikipedia.org/wiki/M240_machine_gun and Source for the M249: https://en.wikipedia.org/wiki/M249_light_machine_gun</t>
  </si>
  <si>
    <t>Assume that a non-standard machine gun is similar to a standard one. The most common types of machine guns are M249 and M240. The average price over both M249 and M240 Machine gun is 5,300 per piece. The range is between 4,000 (M249) and 6,600 (M240)USD.</t>
  </si>
  <si>
    <t>https://www.jeep.com/wrangler.html</t>
  </si>
  <si>
    <t>Manufacturer price</t>
  </si>
  <si>
    <t xml:space="preserve">Source lists a starting price of 31195 USD for a basic unit. We add a mark up of around 3000 USD to account for costumization. </t>
  </si>
  <si>
    <t>Mortar ammunition</t>
  </si>
  <si>
    <t>https://www.todayonline.com/singapore/us-approves-s926-million-sale-precision-guided-mortar-rounds-singapore</t>
  </si>
  <si>
    <t xml:space="preserve">Source reports a contract over 2000 120mm guided mortar rounds, as are used by the M10 mortar, between the US and Singapoore for 66 million USD. This brings the unit cost to 33000 USD per round. </t>
  </si>
  <si>
    <t>Automatic fire arm</t>
  </si>
  <si>
    <t>Assume that automatic firearm is the same as a machine gun. The most common types of machine guns are M249 and M240. The average price over both M249 and M240 Machine gun is 5,300 per piece. The range is between 4,000 (M249) and 6,600 (M240)USD.</t>
  </si>
  <si>
    <t>https://www.defense.gov/News/Contracts/Contract/Article/1561988/</t>
  </si>
  <si>
    <t xml:space="preserve">Contract between US DoD and BAE Systems for 10,185 Advanced Precision Kill Weapon Systems II worth $224,331,310. Unit price is approximately 22,000 USD. </t>
  </si>
  <si>
    <t>Recoiless anti-tank gun</t>
  </si>
  <si>
    <t>Recoilless rifle (RR/RCL)</t>
  </si>
  <si>
    <t>https://www.strategypage.com/htmw/htweap/20141105.aspx</t>
  </si>
  <si>
    <t>Unit cost of a Carl-Gustaf Recoiless launcher.</t>
  </si>
  <si>
    <t>https://tvpworld.com/37474331/polish-army-to-receive-100-drones-in-2018</t>
  </si>
  <si>
    <t>Unit cost for a Warmate drone.</t>
  </si>
  <si>
    <t>Anti-materiel rifle</t>
  </si>
  <si>
    <t>https://weaponsystems.net/system/475-Barrett+M82</t>
  </si>
  <si>
    <t>The source provides the price for a Barrett M82, which is equivalent to the AG90 rifle used in Sweden (AG90 being the Swedish designation for the M82 Barrett). The source quantifies the price to be 9,800 USD in 2007, which is equivlanent to 12,807.38 USD in 2021 (according to https://www.in2013dollars.com/us/inflation/2007?endYear=2021&amp;amount=9800)</t>
  </si>
  <si>
    <t>Heavy transport drone</t>
  </si>
  <si>
    <t>https://www.jouav.com/blog/heavy-lift-drone.html</t>
  </si>
  <si>
    <t>The prices range from 48,000 USD to 80,000 USD. Hence, we apply the average of 64,000 USD.</t>
  </si>
  <si>
    <t>Anti-drone weapon</t>
  </si>
  <si>
    <t>Anti-drone</t>
  </si>
  <si>
    <t>https://www.rferl.org/a/ukraine-anti-drone-gun-russia-war/31912255.html</t>
  </si>
  <si>
    <t>Source says Ukrainian company produces anti-drone rifles which are priced at 12,000 USD</t>
  </si>
  <si>
    <t>Light machine gun</t>
  </si>
  <si>
    <t>Thermal imaging camera</t>
  </si>
  <si>
    <t>https://getnightride.com/blogs/nightride-blog/best-thermal-imaging-camera-value</t>
  </si>
  <si>
    <t>The source mentions a rough estimate that most thermal imaging systems would cost thousands of dollars, and some even up to 5,000 USD. Hence, we use as price estimate this mentioned upper bound.</t>
  </si>
  <si>
    <t>152mm howitzer ammunition</t>
  </si>
  <si>
    <t xml:space="preserve">We report the cost of a round of ammunition of a 155mm howtitzer, given through  the source (98 million CAD for 20000 rounds, equals 3800 USD per round of 155mm shell), as a proxy for 152mm howitzer rounds. </t>
  </si>
  <si>
    <t>Round of ammunition for M777 howitzer</t>
  </si>
  <si>
    <t>https://www.canada.ca/en/department-national-defence/news/2022/05/defence-minister-anita-anand-announces-additional-military-aid-for-ukraine.html</t>
  </si>
  <si>
    <t>The M777 howitzer is a 155mm howitzer. We report the cost of a round of ammunition of a 155mm howtitzer, which is 4900 CAD (98 million CAD for 20,000 shells), so 3,800 USD per shell</t>
  </si>
  <si>
    <t>Ammunition for light anti-armor weapon</t>
  </si>
  <si>
    <t>Light Anti-armor Weapon (LAW) ammunition</t>
  </si>
  <si>
    <t>https://books.google.de/books?id=yLwfAAAAMAAJ&amp;pg=PA1058&amp;lpg=PA1058&amp;dq=66mm+rocket+cost&amp;source=bl&amp;ots=6R5N48jaub&amp;sig=ACfU3U0WpoNaDz-vvRYJb9J-bD1_tUAxXQ&amp;hl=en&amp;sa=X&amp;ved=2ahUKEwiRzq7f0c_4AhWPRPEDHTv_CPEQ6AF6BAgNEAM#v=onepage&amp;q=66mm%20rocket%20cost&amp;f=false</t>
  </si>
  <si>
    <t>A typical light anti-armor weapon is the M72 LAW. This weapon is reloaded with a M72 HEAT rocket, 66mm. The source informs about a US government request to the Congress in 1973 asking for 2,500 new 66mm rocket launchers with a total cost of 1.5 million USD. Hence, one rocket can be quantified with 600 USD in 1973. This corresponds to 3661.76 USD in 2021 (according to https://www.in2013dollars.com/us/inflation/1973?endYear=2021&amp;amount=600)</t>
  </si>
  <si>
    <t>https://nationalpost.com/news/canada/canadian-army-restricts-use-of-artillery-rounds-after-cracks-found-in-high-tech-shells-costing-150000-each#:~:text=Regular%20artillery%20shells%20are%20estimated,up%20to%2040%20kilometres%20away.</t>
  </si>
  <si>
    <t>Source lists the price of Ordinary high-explosive artillery rounds at 2000 USD, which we use as a proxy.</t>
  </si>
  <si>
    <t>howitzer ammunition</t>
  </si>
  <si>
    <t xml:space="preserve">Source lists the price of Ordinary high-explosive artillery rounds at 2000 USD. </t>
  </si>
  <si>
    <t>Single-use anti-tank granade launcher</t>
  </si>
  <si>
    <t>http://www.military-today.com/firearms/m72_law.htm#:~:text=The%20M72%20LAW%20is%20still,200%2C%20depending%20on%20the%20model.</t>
  </si>
  <si>
    <t xml:space="preserve">Main used single shot anti-tank weapon is the M72 LAW. Source lists a range between 750 and 2200 USD for a new unit of M72 LAW. We take the average. </t>
  </si>
  <si>
    <t>https://truegunvalue.com/rifle/heckler-koch/g3/price-historical-value-645</t>
  </si>
  <si>
    <t>The price reflects an average price for a used HECKLER KOCH G3 of 2462.43 USD.</t>
  </si>
  <si>
    <t>https://twitter.com/armorybazaar/status/1076159928287473665</t>
  </si>
  <si>
    <t xml:space="preserve">A twitter source reports a private sale in Syria of the AGS-17 for 1100 USD. </t>
  </si>
  <si>
    <t>https://web.archive.org/web/20110723004716/http://www.airtronic.net/documents/Delivery_Order.pdf</t>
  </si>
  <si>
    <t xml:space="preserve">Since no price is available and the GP-25 is a Russian designation of a similar underbarrel grenade launcher, the American M203, we report the price of the M203 as proxy. </t>
  </si>
  <si>
    <t>Rifle</t>
  </si>
  <si>
    <t>https://www.militarytimes.com/off-duty/gearscout/2012/04/21/u-s-army-places-order-for-24000-m4a1-carbines-with-remington/</t>
  </si>
  <si>
    <t>The most used Rifle in the U.S. Army is the M4 Carbine. We therefore took this model's unit price, which was $673.10 in 2012. This corresponds to approximately 800 USD in 2021 (according to https://www.in2013dollars.com/us/inflation/2012?endYear=2021&amp;amount=673.10)</t>
  </si>
  <si>
    <t>122mm MLRS ammunition</t>
  </si>
  <si>
    <t>https://www.jpost.com/opinion/op-ed-contributors/bankrupting-terrorism-one-interception-at-a-time</t>
  </si>
  <si>
    <t>Source lists the price of one GRAD rocket at 1000 USD.</t>
  </si>
  <si>
    <t>https://dronelife.com/2016/08/17/xtreem-affordable-hd-video-drones/#:~:text=Fly%20Eye%20%E2%80%93%20%24149.99&amp;text=Trim%2Fstabilization%20adjustment.,-Camera%20%E2%80%93%20Wi%2DFi</t>
  </si>
  <si>
    <t xml:space="preserve">Source lists a new price for the FlyEye drone of 149.99 USD, we approx. to 150 USD per Unit. </t>
  </si>
  <si>
    <t>Detonating cord</t>
  </si>
  <si>
    <t>https://sprengtechnik.de/zerstoerung-von-festplatten-durch-sprengung/#:~:text=Der%20Einsatz%20von%20Linearladungen%20%28Sprengschnur%29%20stellt%20hier%20eine,Kosten%20von%2018%20Cent%20f%C3%BCr%20jeden%20vernichteten%20Datentr%C3%A4ger.</t>
  </si>
  <si>
    <t>100 meter 12-g/m-detonating cord costs 90 EUR, hence 99.18 USD.</t>
  </si>
  <si>
    <t>We are using the same price as C-4 explosives as listed above.</t>
  </si>
  <si>
    <t>Gas mask</t>
  </si>
  <si>
    <t>https://www.ebay.com/b/Military-Gas-Mask/158440/bn_55190958</t>
  </si>
  <si>
    <t>The source provides two prices for a new gas mask (bestselling): 49 USD and 75 USD. We apply the average of 62 USD.</t>
  </si>
  <si>
    <t>Portable radio</t>
  </si>
  <si>
    <t>https://www.amazon.com/Radios-Portable-Audio-Video/b?ie=UTF8&amp;node=172681</t>
  </si>
  <si>
    <t>The prices vary from 20 USD up to 60 USD (one exemption up to 500 USD). So we report the median of 40 USD.</t>
  </si>
  <si>
    <t>Lifejacket</t>
  </si>
  <si>
    <t>https://www.amazon.de/-/en/gp/bestsellers/sports/243115011</t>
  </si>
  <si>
    <t>Taking an average over available retail prices in bestseller list</t>
  </si>
  <si>
    <t>Mine</t>
  </si>
  <si>
    <t>https://landminefree.org/facts-about-landmines/#:~:text=It%20is%20estimated%20that%20there,them%20is%20%24300%20to%20%241000.</t>
  </si>
  <si>
    <t>According to the Source, a mine costs between $3 and $30, so we take the average of $16.5.</t>
  </si>
  <si>
    <t>Liter of fuel M</t>
  </si>
  <si>
    <t>https://www.globalpetrolprices.com/gasoline_prices/</t>
  </si>
  <si>
    <t>Usage of global average current fuel price. (31 October 2022)</t>
  </si>
  <si>
    <t>Small-calibre ammunition</t>
  </si>
  <si>
    <t xml:space="preserve">https://www.frankonia.de/p/sellier-bellot/9-mm-luger-vollmantel-8-0g-124grs/65187 </t>
  </si>
  <si>
    <t>Price for a standard 9mm small-calibre ammunition is 20,9 EUR for 50 bullets. Hence, 0.418 EUR for one bullet.</t>
  </si>
  <si>
    <t>We use the price of M101 105mm howitzer as a proxy as no price is available for M50 105mm howitzer light field guns or similarly designated weapons. Average unit costs of M101 105mm based on different contracts from SIPRI database and the source and adjusted to $2021</t>
  </si>
  <si>
    <t>https://www.elindependiente.com/espana/2022/03/03/estas-son-las-armas-que-mandara-espana-a-la-resistencia-ucraniana-en-el-primer-envio/#:~:text=La%20Junta%20de%20Contrataci%C3%B3n%20del,unitario%20de%202.099%2C35%20euros.</t>
  </si>
  <si>
    <t xml:space="preserve">The source lists a price in 2022 of 2099 USD per Unit of anti-tank grenede launcher </t>
  </si>
  <si>
    <t>https://www.asafm.army.mil/Portals/72/Documents/BudgetMaterial/2023/Base%20Budget/Procurement/MSLS_ARMY.pdf</t>
  </si>
  <si>
    <t xml:space="preserve">Price deducted from the US Department of Defense 2023 Budget Estimates. </t>
  </si>
  <si>
    <t>heavy weapon</t>
  </si>
  <si>
    <t>https://en.wikipedia.org/wiki/Advanced_Precision_Kill_Weapon_System</t>
  </si>
  <si>
    <t>Source lists a price of 22000 USD per launcher.</t>
  </si>
  <si>
    <t>ammunition for heavy weapon</t>
  </si>
  <si>
    <t>https://www.economist.com/science-and-technology/2012/09/29/rockets-galore</t>
  </si>
  <si>
    <t>Source lists a price of 2799 USD per Hydra rocket, a type of precision guided 70mm rocket.</t>
  </si>
  <si>
    <t xml:space="preserve">We have no information regarding the type of this missile, but to appoximate it's price we assume it was HAWK, since Spain also sent them later.  Average unit costs based on different contracts from SIPRI database and the source and adjusted to $2021  </t>
  </si>
  <si>
    <t>Chemical, biological, radiological, nuclear protective equipment</t>
  </si>
  <si>
    <t>Field equipment</t>
  </si>
  <si>
    <t>Fuse</t>
  </si>
  <si>
    <t>Protective gear and equipment (including first aid)</t>
  </si>
  <si>
    <t>Tactical decoy</t>
  </si>
  <si>
    <t>Unmanned aerial system</t>
  </si>
  <si>
    <t>Unknown drone</t>
  </si>
  <si>
    <t>Unmanned ground system</t>
  </si>
  <si>
    <t>Weapon locating radar system</t>
  </si>
  <si>
    <t>Radar or imagery systems</t>
  </si>
  <si>
    <t>Military ammunition</t>
  </si>
  <si>
    <t>cold weather gear</t>
  </si>
  <si>
    <t>Since the type of item is undisclosed we cannot estimate it's price</t>
  </si>
  <si>
    <t>https://uklandpower.com/2018/01/11/a-guide-to-modern-mortar-systems/</t>
  </si>
  <si>
    <t xml:space="preserve">Since the source did not specify the exact model, we take the two most popular used by the Lithuanian army. Still, the prices for these mortars are unavailable, so we take the general price for 120mm mortar, which was 370000 EUR in 2018, according to the source. We convert it to current dollars and then to $2021. </t>
  </si>
  <si>
    <t>non combat military vehicle</t>
  </si>
  <si>
    <t>https://www.marketwatch.com/story/new-army-trucks-may-cost-350000-each-gao-2011-10-27</t>
  </si>
  <si>
    <t>We take the price of an Army truck as approximation. Source reports a price of 350000 USD for new Army Trucks, which we take as proxy for Military Trucks</t>
  </si>
  <si>
    <t>https://www.classic.com/m/toyota/pickup-hilux/year-1990/</t>
  </si>
  <si>
    <t xml:space="preserve">According to the German embassy in Ukraine (https://twitter.com/GermanyinUA/status/1547876518327554054), there are a lot of different pickups among those delivered to Ukraine. Among all the cars, one can definitely identify the 1990 Toyota Pickup / Hilux and Mitsubishi L200. We base our estimates on the average price of those two cars, which is 15000 USD for Toyota and 35000 USD for Mitsubishi (https://suchen.mobile.de/auto/mitsubishi-l200.html). </t>
  </si>
  <si>
    <t>https://www.truckscout24.de/sattelzugmaschinen/neu</t>
  </si>
  <si>
    <t xml:space="preserve">Source lists prices for 6 different "Sattelschlepper". We report the average to arrive at 120000 USD per piece. </t>
  </si>
  <si>
    <t>Anti-aircraft surface-to-air missile (SAM) system (long-range)</t>
  </si>
  <si>
    <t>Anti-aircraft surface-to-air missile (SAM) system (medium-range)</t>
  </si>
  <si>
    <t xml:space="preserve">https://www.wiwo.de/politik/deutschland/140-millionen-euro-teures-luftabwehrsystem-ukraine-erwartet-im-oktober-erste-iris-t-lieferung/28393480.html. https://mil.in.ua/en/news/iris-t-slm-medium-range-air-defense-system-germany-released-an-updated-list-of-weapons-for-ukraine/ </t>
  </si>
  <si>
    <t xml:space="preserve">Source 1 reports a unit price from the Russo-Ukrainian war of 140 million EUR per piece. </t>
  </si>
  <si>
    <t>Unit cost based on a contract for a Spanish Sandown class frigate, which is the Spanish designation for the British Hunt-class frigate. Contract in 2001 for 117 million USD for 2 Units, which brings the average unit price in 2021 to 87 million USD</t>
  </si>
  <si>
    <t>Air-surveillance radar US</t>
  </si>
  <si>
    <t>https://sofrep.com/news/an-introduction-to-the-an-mpq-64-sentinel-aerial-surveillance-radar-ukraine-is-getting-from-the-us/</t>
  </si>
  <si>
    <t>The US did not disclosed the type of air-surveillance radar that they have sent in USM5, therefore, assuming that this is a AN/MPQ-64 Sentinel air surveillance radar, we set the same price.</t>
  </si>
  <si>
    <t>The source reports the estimated unit cost of 70 million USD.</t>
  </si>
  <si>
    <t>Artillery radar</t>
  </si>
  <si>
    <t>Germany committed COBRA artillery radar. Still, we could not find a robust source for this type of radar price. Thus, we use the cost of ARTHUR artillery radar developed simultaneously by Norway and Sweden. Average unit costs based on different contracts from SIPRI database and the source and adjusted to $2021.</t>
  </si>
  <si>
    <t>https://www.deagel.com/Artillery%20Systems/NASAMS/a000380</t>
  </si>
  <si>
    <t>Source 1 reports a price of USD 50 Million.</t>
  </si>
  <si>
    <t>https://www.navalnews.com/naval-news/2021/01/u-s-navy-will-not-replace-the-patrol-coastals-with-a-new-boat-of-similar-size-and-type/#:~:text=A%20Patrol%20Coastal%20boat%20has,cost%20around%20%2415%20million%20each.</t>
  </si>
  <si>
    <t>Source 1 reports a price of 20 million USD in 1990. We convert it to $2021.</t>
  </si>
  <si>
    <t>Anti-ship missle system</t>
  </si>
  <si>
    <t>https://www.dsca.mil/press-media/major-arms-sales/egypt-harpoon-block-ii-anti-ship-cruise-missiles</t>
  </si>
  <si>
    <t>The source provides information about a contract between the US and Egypt for 20 Harpoon missiles, 4 Command Launcher Control Systems (representing the accompanying system) and further posts like logistic support with a total volume of 145 million USD. Since we have a price for the missiles (1,406,612 USD per missile), we can calculate the value for the 20 missiles and hence, derive by substracting it from the total value of 145 million USD an upper bound price for the Harpoon missile system, amounting to 29,215,940 USD per system. We also convert it to $2021.</t>
  </si>
  <si>
    <t>Combat aircraft</t>
  </si>
  <si>
    <t>https://www.outlookindia.com/website/story/india-news-iafs-mi-17v5-all-about-helicopter-that-crashed-carrying-india-first-cds-bipin-rawat/404303</t>
  </si>
  <si>
    <t xml:space="preserve">Source reports a price for the Mi-17 helicopter. </t>
  </si>
  <si>
    <t>Average unit cost based on a contract signed in July 2022, between Ukraine and a private german company (Krauss-Maffei Wegmann), over 100 Pzh2000 for a total of 1.7 billion EUR (1.717 billion USD), and on different contracts from SIPRI database adjusted to $2021</t>
  </si>
  <si>
    <t>227mm MLRS</t>
  </si>
  <si>
    <t>Average unit costs based on four different contracts from SIPRI database and the source adjusted to $2021</t>
  </si>
  <si>
    <t xml:space="preserve">Source lists a unit price of 1.5 million USD. </t>
  </si>
  <si>
    <t>https://www.defensenews.com/land/2016/12/15/poland-orders-howitzers-in-1-1b-artillery-deal/</t>
  </si>
  <si>
    <t>According to the source, the Polish government bought 96 AHS Krab self propelled howitzers for 1,1 billion USD from a local manufacturer. We divided the total price by the number of items to compute the price per unit. We also convert it to $2021.</t>
  </si>
  <si>
    <t>Mi-24 (deagel.com)</t>
  </si>
  <si>
    <t xml:space="preserve">Source reports a price for the Mi-24 helicopter. </t>
  </si>
  <si>
    <t>https://www.deagel.com/Tactical%20Vehicles/ANTPQ-36/a000601</t>
  </si>
  <si>
    <t xml:space="preserve">We find the price for an enhanced AN/TPQ-53 system as it was reported that the US ordered 180 items to a total price of 1.6 billion USD, which allows to calculate the unit cost. </t>
  </si>
  <si>
    <t>Average unit costs based on  different contracts from SIPRI database and the source adjusted to $2021</t>
  </si>
  <si>
    <t xml:space="preserve">https://www.crz.gov.sk/3819680/ </t>
  </si>
  <si>
    <t>Official government contract listing a purchase of 25 howitzers for roughly 172 million EUR. We convert the price to dollars and then adjust it to a constant $2021.</t>
  </si>
  <si>
    <t>Source lists a donation value of 5.3 million EUR to construct a field hospital. We therefore list the 5.3 million EUR as unit price. We convert it to USD.</t>
  </si>
  <si>
    <t xml:space="preserve">Average Unit cost based on 3 contracts listed in the SIPRI arms trade database. </t>
  </si>
  <si>
    <t>122mm MLRS</t>
  </si>
  <si>
    <t>We use the price of the closest variant with the available price. In this case, it is a Chinese Type-90BM 122mm MLRS. Average unit costs of Type-90BM are based on different contracts from the SIPRI database and adjusted to $2021.</t>
  </si>
  <si>
    <t>https://www.tpsgc-pwgsc.gc.ca/app-acq/amd-dp/vbsc-acsv-eng.html</t>
  </si>
  <si>
    <t>Based on the contract for 360 ACSV issued by the Canadian government</t>
  </si>
  <si>
    <t>127mm MLRS</t>
  </si>
  <si>
    <t>As a proxy for the price of the Mars II, we report the average price of the closest variants, the M270 Multiple Rocket Launcher and HIMARS.</t>
  </si>
  <si>
    <t>Vehicle Launched Bridge (VLB)</t>
  </si>
  <si>
    <t>Average unit costs based on four different contracts for analogues(M-60 and M-48 AVLB) from SIPRI database and the source adjusted to $2021</t>
  </si>
  <si>
    <t>Price given by source as Average Unit Cost</t>
  </si>
  <si>
    <t>We estimate the price based on the contract between Netherlands and Finland to buy stored second-hand M270. The price is taken form the SIPRI database and adjusted to $2021.</t>
  </si>
  <si>
    <t>We use the price of 105mm LG1 MK-2 howitzers as a proxy as no price is available for M119 105mm light field guns or similarly designated weapons. Average unit costs of 105mm LG1 MK-2 based on different contracts from SIPRI database and the source and adjusted to $2021</t>
  </si>
  <si>
    <t>Average unit costs based on different contracts from SIPRI database and the source and adjusted to $2021.</t>
  </si>
  <si>
    <t xml:space="preserve">https://www.peterdutton.com.au/australia-to-provide-armoured-personnel-carriers-and-more-bushmasters-to-ukraine/ </t>
  </si>
  <si>
    <t xml:space="preserve">We report the Unit price of a Bushmaster protected mobility vehicle. According to the Australian Source, 20 Bushmaster Protected Mobility Vehicles amounts to 48 million AUD, brining the unit price to 1.65 million USD. </t>
  </si>
  <si>
    <t xml:space="preserve">According to the Australian Source, 20 Bushmaster Protected Mobility Vehicles amounts to 48 million AUD, brining the unit price to 1.65 million USD. </t>
  </si>
  <si>
    <t>We used the average unit price of modified T-72 tanks (T-72A/T-72M1/M1R) to estimate this item since, according to the IISS Military Balance study (2022), both Poland and the Czech Republic had those models in abundance. The source of unit cost is different contracts, mainly from the SIPRI database. We report unit costs in 2021$ using a correspondent national defence deflator for years when contracts were established.</t>
  </si>
  <si>
    <t>152mm howitzer</t>
  </si>
  <si>
    <t>https://military-today.com/artillery/dana.htm</t>
  </si>
  <si>
    <t xml:space="preserve">The source lists a unit price from a contract from 2020 of 1.55 million USD. </t>
  </si>
  <si>
    <t>Self-propelled anti-aircraft weapon</t>
  </si>
  <si>
    <t>https://www.globalsecurity.org/military/world/europe/gepard.htm</t>
  </si>
  <si>
    <t>The source states 37 Gepard Units being sold by Germany to Brazil in 2013 for a total of 37 million EUR. This indicates a EUR value of 1 million EUR per Gepard, translating to roughly 1.05 million USD. We also convert it to $2021.</t>
  </si>
  <si>
    <t>https://www.augsburger-allgemeine.de/politik/bewaffnete-drohnen-bundeswehr-deutschland-heron-tp-flugkoerper-id62284321.html#:~:text=Bewaffnete%20Drohnen%20f%C3%BCr%20Bundeswehr%3A%20Heron,Munition%20%22Special%20Payload%22%20zu.</t>
  </si>
  <si>
    <t>We report the price of a reconnaisance drone. Price per unit given by total price/ amount (152,61 million/140). Value is converted in USD.</t>
  </si>
  <si>
    <t>Price per unit given by total price/ amount (152,61 million/140). Value is converted in USD.</t>
  </si>
  <si>
    <t>Armoured Recovery Vehicle (ARV)</t>
  </si>
  <si>
    <t>Since we cannot find a price for the M114, we approximate it by taking the average cost of the closest analogues, which are FH70 and M198, for this we use SIPRI database.</t>
  </si>
  <si>
    <t>https://survivalfreedom.com/how-much-do-military-drones-cost-a-detailed-look/</t>
  </si>
  <si>
    <t xml:space="preserve">Source reports a price range between 700000 USD and 1 Million USD for less technical advanced drones. Since Skywatch drones are observation devices and have no payload or other weaponry, we take the average between the two values given, to arrive at 850000 USD per Skywatch Drone. </t>
  </si>
  <si>
    <t>Replacement barrels for M777 howitzer</t>
  </si>
  <si>
    <t xml:space="preserve">https://www.canada.ca/en/department-national-defence/news/2022/06/minister-anand-announces-further-military-aid-for-ukraine.html </t>
  </si>
  <si>
    <t>Source lists 9 replacement barrels being worth 10 million AUD, we convert the unit price based on the average conversion rate over the last month (May 9 until June 9, 2022)</t>
  </si>
  <si>
    <t>Price deducted from different contracts taken from the SIPRI database</t>
  </si>
  <si>
    <t>Transport aircraft</t>
  </si>
  <si>
    <t>https://www.globalplanesearch.com/europe/helicopters/mil/mi_2.htm</t>
  </si>
  <si>
    <t xml:space="preserve">The source reports prices between 70000 USD, 80000 USD and 1.8 million USD. We therefore report the average price. </t>
  </si>
  <si>
    <t>Average unit costs based on four different contracts from SIPRI database and the source adjusted to $2021.</t>
  </si>
  <si>
    <t>It is reported that the unit cost for an Iveco LMV 2 is to be estimated to be 500,000 EUR. We use this as a proxy for the Iveco M 40.12 WM/P 4x4. We convert it to dollars.</t>
  </si>
  <si>
    <t>unknown howitzer</t>
  </si>
  <si>
    <t>https://www.military-today.com/artillery/m777.htm</t>
  </si>
  <si>
    <t xml:space="preserve">We use the M777 155mm howitzer as a proxy, as it is the primary towed artillery of the US armed forces. The source states a unit cost of 5.17 million USD. </t>
  </si>
  <si>
    <t xml:space="preserve">Source lists a unit price of 5.17 million USD. </t>
  </si>
  <si>
    <t>https://www.newdelhitimes.com/portuguese-army-acquires-vamtac/</t>
  </si>
  <si>
    <t>According to the source, 139 VAMTACs cost 60.8 million EUR, hence one VAMTAC cost 437,410 EUR, or converted in USD: 461,730</t>
  </si>
  <si>
    <t>https://www.defensenews.com/global/2017/10/02/taiwan-acquires-orbital-atk-cannons-for-local-vehicle-program/</t>
  </si>
  <si>
    <t xml:space="preserve">The source lists a taiwan contract fro 285 cannons for a total of 112 million USD, bringing the unit cost to 390000 USD. </t>
  </si>
  <si>
    <t>https://www.seaforces.org/wpnsys/SURFACE/DS30M-30mm-gun-UK.htm</t>
  </si>
  <si>
    <t xml:space="preserve">The source states the similarity between the MSI DSI 30 mm gun system and the MK44 30mm Bushmaster II cannon. We therefore report the price of the MK44 cannon here as a proxy, since no other price was available. </t>
  </si>
  <si>
    <t>Demining set</t>
  </si>
  <si>
    <t xml:space="preserve">According to SKM1, Slovakia has pledged 1,7 million EUR in the shipment of 5 demining sets and medical equipment. Since we could not find the price of the demining sets, we assumed that the sets costs 1,7 million EUR and divided them by 5. Also, we then converted in USD (2.06.2022, 18,33). </t>
  </si>
  <si>
    <t>New Army trucks may cost $350,000 each: GAO - MarketWatch</t>
  </si>
  <si>
    <t>Source reports a price of 350000 USD for new Army Trucks, which we take as proxy for Military Trucks</t>
  </si>
  <si>
    <t>https://www.businessinsider.com/armored-car-inkas-sentry-civilian-bulletproof-suv-military-price-2020-9</t>
  </si>
  <si>
    <t>Since Roshel does not provide detailed information regarding its individually designed and produced armored vehicles we relied on the price for an INKA Sentry Civilian, which is normally used by SWAT units from the police. INKA is also a Canadian-based armored vehicle company such as Roshel. We are using this price as an estimator for the Roshel Senator APC.</t>
  </si>
  <si>
    <t>Since these are "Tactical Vehicles to tow weapons" use the price for an Army Truck. Source reports a price of 350000 USD for new Army Trucks</t>
  </si>
  <si>
    <t xml:space="preserve">Source reports a price of 350000 USD for new Army Trucks, which we use as a proxy for Towing Vehicles. </t>
  </si>
  <si>
    <t>We report the unit price of an M577 Command post carrier as a proxy. Average unit costs based on five different contracts (Lithunia has been omitted as they bought M577 second hand from Germany).</t>
  </si>
  <si>
    <t>http://www.military-today.com/apc/m113a3.htm#:~:text=The%20unit%20cost%20of%20a,to%20A3%20costs%20%24160%20000.</t>
  </si>
  <si>
    <t>Unit cost of a new M113A3.</t>
  </si>
  <si>
    <t>Price extracted from the 2021 Pentagon Budget for a Launcher plus a missile.</t>
  </si>
  <si>
    <t>http://www.army-guide.com/eng/product4461.html</t>
  </si>
  <si>
    <t xml:space="preserve">Source lists one contract from 2006 and 2007 over 20 BVP-1 amounting to 5 million USD. This brings the unit cost to 250000 USD. </t>
  </si>
  <si>
    <t xml:space="preserve">Price deducted from the 2021 annual Pentagon Budget. </t>
  </si>
  <si>
    <t xml:space="preserve">Since the source reports a donation of up to 580 Phoenix Ghost unmanned aerial systems , amounting to 95 million USD, we compute the average cost per unit by diving the overall price by 580. </t>
  </si>
  <si>
    <t>Air defense launcher</t>
  </si>
  <si>
    <t xml:space="preserve">MANPADS </t>
  </si>
  <si>
    <t>https://en.wikipedia.org/wiki/FIM-92_Stinger</t>
  </si>
  <si>
    <t xml:space="preserve">We report the price for an FIM-92 Stinger, a popular type of MANPAD, as an approximation. </t>
  </si>
  <si>
    <t>Shoulder fired MANPAD</t>
  </si>
  <si>
    <t>We report the price of a FIM-92 Stinger, as it is a popular type of MANPAD.</t>
  </si>
  <si>
    <t xml:space="preserve">The source lists a price from 2020 just for the launcher. </t>
  </si>
  <si>
    <t>https://www.rferl.org/a/explainer-lrad-sound-cannon/24927845.html</t>
  </si>
  <si>
    <t xml:space="preserve">Source lists a price range between 5000 and 190000 USD. We take the average between those values. </t>
  </si>
  <si>
    <t>Ton of rifle + MG round</t>
  </si>
  <si>
    <t>https://www.luckygunner.com/rifle/5.56x45-ammo</t>
  </si>
  <si>
    <t xml:space="preserve">We estimate 100 rounds of MG ammunition per kg, which brings the total number of bullets per tonne to 100000. Using an average price of 0.85 USD per round from source 1, we arrive at a value estimate of 85000 USD per tonne of ammo. </t>
  </si>
  <si>
    <t>Anti-armor system</t>
  </si>
  <si>
    <t>https://www.thedefensepost.com/2022/05/03/lockheed-ramp-up-javelin-production/</t>
  </si>
  <si>
    <t>According to Source 1 the price for a Javelin, the most used Anti armor weapon system in this conflict, is reported to be 78000 USD per missile, extracted from the 2021 Pentagon budget.</t>
  </si>
  <si>
    <t xml:space="preserve">As approximation, we apply the unit cost of one Javeline missile, extracted from the 2021 Pentagon Budget. </t>
  </si>
  <si>
    <t>Source lists a price of 78000 USD for a Javelin missile, extracted from the 2021 Pentagon budget.</t>
  </si>
  <si>
    <t>Missile (including NLAWs and Javelin anti-tank weapons)</t>
  </si>
  <si>
    <t xml:space="preserve">Source lists a price of 78000 USD for a Javelin missile, extracted from the 2021 Pentagon budget, which we use as a proxy for missiles here. </t>
  </si>
  <si>
    <t xml:space="preserve">https://www.thetimes.co.uk/article/15m-army-drones-grounded-by-rain-rnbfsnq23 </t>
  </si>
  <si>
    <t>According to the official website of the British army (https://www.army.mod.uk/equipment/artillery-and-air-defence/) Desert hawk is the primary drone used right now, so we assume it was sent to Ukraine. Based on the information provided by the financial times, the UK Ministry of Defence spent £11.8m buying 221 Desert Hawks. Using the yearly average exchange rate for 2017 by the Bank of England and deflators from BAE, we calculate the price at $2021.</t>
  </si>
  <si>
    <t>https://www.thesoldiersproject.org/how-much-does-a-military-humvee-cost/</t>
  </si>
  <si>
    <t>The source lists the 2020 price for military humvees as 254717 USD</t>
  </si>
  <si>
    <t>https://www.army.mil/article/193339/army_to_rapidly_procure_reusable_shoulder_fired_weapon_system</t>
  </si>
  <si>
    <t xml:space="preserve">To approximate the price of the M2 Carl Gustaf rifle, we take the price of newer version, which is M3E1, since the price for M2 is unavailable. According to the Source, the US army bought 1111 M4 rifles for 40 million USD in 2017, which means that each rifle cost 36,000 USD in 2017. This corresponds to 39,796.53 USD in 2021. (according to https://www.in2013dollars.com/us/inflation/2017?endYear=2021&amp;amount=36000)  </t>
  </si>
  <si>
    <t>https://www.axios.com/2022/05/28/us-awards-replenish-stinger-stock-ukraine</t>
  </si>
  <si>
    <t>Contract between US Army and Raytheon Technologies a to produce 1300 Stinger anti-aircraft missiles for 624 million USD. This amounts to 480,000 USD per missile</t>
  </si>
  <si>
    <t>Anti-tank weapon</t>
  </si>
  <si>
    <t>https://www.jpost.com/international/article-699010</t>
  </si>
  <si>
    <t>The price for an NLAW, a popular type of anti-tank weapon. Source reports that each single-shot NLAW unit is over 40,000 USD</t>
  </si>
  <si>
    <t>Source reports that each single-shot NLAW unit is over 40,000 USD</t>
  </si>
  <si>
    <t>Strela man portable air defense system</t>
  </si>
  <si>
    <t>https://en.wikipedia.org/wiki/9K32_Strela-2</t>
  </si>
  <si>
    <t>https://www.theguardian.com/world/2022/mar/23/uk-doubles-number-of-missiles-sent-to-ukraine-ahead-of-nato-summit</t>
  </si>
  <si>
    <t>Deducted price by dividing the total amount given by donor (GBP 120 million) by the number of units donated (6000) (Donation ID UKM4, UKF1).</t>
  </si>
  <si>
    <t>Grenade launcher</t>
  </si>
  <si>
    <t>https://www.strategypage.com/htmw/htweap/articles/20110330.aspx</t>
  </si>
  <si>
    <t>We use the price of a variant of this SB-40 LAG, which is Mk 19. Source records the price of Mk19 as 20,000 USD</t>
  </si>
  <si>
    <t>https://www.militaryfactory.com/smallarms/detail.php?smallarms_id=18</t>
  </si>
  <si>
    <t xml:space="preserve">Standard price for M224 60mm mortar is 10,658 USD. We use M224 as a proxy   </t>
  </si>
  <si>
    <t>https://www.militarytimes.com/off-duty/gearscout/2022/05/12/panzerfaust-3-the-cold-war-weapon-wrecking-russian-tanks-in-ukraine/</t>
  </si>
  <si>
    <t xml:space="preserve">Source lists a price for the IT-600 version Panzerfaust 3 "Bunkerfaust" with 11108 USD per unit. </t>
  </si>
  <si>
    <t>https://www.defensie.nl/onderwerpen/materieel/bewapening/accuracy-antipersoneel-snipergeweer-7.62mm , https://www.guncritic.com/product/accuracy-international-ax308/ , https://www.guncritic.com/product/accuracy-international-ax338/</t>
  </si>
  <si>
    <t>According to the official defence ministry website Netherlands uses AX308 and AX338 rifles, so we average over the retail price for both AX308 (5699.99 USD) and AX338 (11,049.15 USD) to arrive at the item price of 8374.57 USD</t>
  </si>
  <si>
    <t>https://www.kyivpost.com/ukraine-politics/u-s-donates-2500-night-vision-devices-ukraines-armed-forces-video.html</t>
  </si>
  <si>
    <t xml:space="preserve">Media reports 2500 devices being donated for a total sum of 5,800,000 USD. This brings the unit price to 2320 USD. </t>
  </si>
  <si>
    <t>https://www.defenceweb.co.za/land/land-land/morocco-to-receive-laser-rangefinders/</t>
  </si>
  <si>
    <t>Source reports the price of 172 laser rangefinders as 8,841,488 USD, which equals 51,404 USD per unit</t>
  </si>
  <si>
    <t>https://engineerine.com/switchblade-will-turn-the-tide-in-ukraine/</t>
  </si>
  <si>
    <t xml:space="preserve">The Price is listed as 6000 USD in our source for Switchblade 300 Drones, one of the most commonly used types of drones in this conflict. </t>
  </si>
  <si>
    <t>https://www.dw.com/en/ukraine-warns-russia-is-trying-to-split-country-in-two-as-it-happened/a-61271087</t>
  </si>
  <si>
    <t>Ukraine bought 5,100 Matadors from the manufacturer for $27.4 million, so we calculate the price of one unit using this information.</t>
  </si>
  <si>
    <t>Machine gun</t>
  </si>
  <si>
    <t>https://www.rockislandauction.com/detail/1039/2976/czech-uk-vz-59-semiautomatic-rifle</t>
  </si>
  <si>
    <t>The website reports a realized price of 5175 USD which we prefer against the estimated price range that is also reported.</t>
  </si>
  <si>
    <t>https://nationalinterest.org/blog/buzz/czech-military-adopt-new-small-arms-including-fn-minimi-machine-guns-198826</t>
  </si>
  <si>
    <t xml:space="preserve">Source says that Czech government will buy 949 FN Herstal Minimi machine guns for 50 million USD. This leads to 52,687 USD per unit. </t>
  </si>
  <si>
    <t>The source states Canada has given Ukraine over 20000 units worth 98 million CAD, which is 4900 CAD per unit. We convert this to USD to arrive at the unit cost of approximately 3800 USD per round of 155mm NATO shells</t>
  </si>
  <si>
    <t>https://www.thefirearmblog.com/blog/2013/01/08/the-fn-fnc-affordable-select-fire-5-56/#:~:text=Anyways%2C%20you%20can%20buy%20a,on%20a%20great%20little%20rifle</t>
  </si>
  <si>
    <t>The source lists a unit price of 3000 USD for a semi automatic FNC</t>
  </si>
  <si>
    <t>https://www.ncbi.nlm.nih.gov/pmc/articles/PMC7305019/</t>
  </si>
  <si>
    <t xml:space="preserve">Source lists a range between 2000 USD and 37,000 USD for a new incandescent light system. We take the average. </t>
  </si>
  <si>
    <t>Round of 84 mm ammunition</t>
  </si>
  <si>
    <t>Recoilless rifle (RR/RCL) ammunition</t>
  </si>
  <si>
    <t>Source gives a range between 500 USD and 3000 USD for 84mm anti-tank rounds. We take the average, which is 1750 USD</t>
  </si>
  <si>
    <t>Anti-armor weapon</t>
  </si>
  <si>
    <t>https://inetres.com/gp/military/infantry/antiarmor/AT4.html#:~:text=The%20AT4-CS%20will%20continue%20to%20be%20the%20U.S.,Classification%20Date%3A%203rd%20Quarter%20FY04.%20Unit%20cost%3A%20%242%2C700</t>
  </si>
  <si>
    <t>We assume the US sent the same anti-armour weapon as before. The price for a M136 AT4-CS Anti-armor Weapon is 2700 USD in 2004. This corresponds to approximately 3873.05 USD in 2021 (according to https://www.in2013dollars.com/us/inflation/2004?endYear=2021&amp;amount=2700)</t>
  </si>
  <si>
    <t>https://en.wikipedia.org/wiki/RPG-7</t>
  </si>
  <si>
    <t>Unit cost for a related RPG-7 85 mm missile serves as an estimation.</t>
  </si>
  <si>
    <t>Grenade launcher (M320 or M203)</t>
  </si>
  <si>
    <t>Under-barrel grenade launcher</t>
  </si>
  <si>
    <t>https://www.thefirearmblog.com/blog/2008/12/05/40mm-m320-grenade-launcher-will-be-replace-m203-next-year/ ; https://web.archive.org/web/20110723004716/http://www.airtronic.net/documents/Delivery_Order.pdf</t>
  </si>
  <si>
    <t>Since we cannot determine which grenade launcher they sent, we take the average price of the two most commonly used in the US army. Average price of M320 is 3500 USD and average price of M203 is 1082 USD. The average of these is 2291 USD</t>
  </si>
  <si>
    <t>As the item comprises several different artillery ammunitions, we use "the regular artillery shell" cost (see the Source of Unit Price) of about 2,000 USD as estimation.</t>
  </si>
  <si>
    <t>Artillery round</t>
  </si>
  <si>
    <t>Light anti-armor weapon</t>
  </si>
  <si>
    <t xml:space="preserve">Source lists a range between 750 and 2200 USD for a new unit of M72 LAW (light anti-armor weapon). We take the average. </t>
  </si>
  <si>
    <t xml:space="preserve">Source lists a range between 750 and 2200 USD for a new unit of M72 LAW. We take the average. </t>
  </si>
  <si>
    <t>Single-shot anti-tank weapon</t>
  </si>
  <si>
    <t>Ton of fuel</t>
  </si>
  <si>
    <t>https://www.globalpetrolprices.com/gasoline_prices/ ; https://aviationbenefits.org/environmental-efficiency/climate-action/sustainable-aviation-fuel/conversions-for-saf/</t>
  </si>
  <si>
    <t>On October 31st 2022, the average price of 1 liter of fuel was 1.29 USD around the world. One ton of fuel corresponds to 1,250 liters. Hence, 1 ton of fuel has an average price of 1,612.5 USD.</t>
  </si>
  <si>
    <t>https://en.wikipedia.org/wiki/RK_62#Export_(Military/LE)</t>
  </si>
  <si>
    <t>As the source shows, the Finish main used Rifle is RK 62, an upgraded AK47. AK47 costs around 1,250 USD, so we estimated the value of the RK 62 to 1,500 USD</t>
  </si>
  <si>
    <t>https://man.fas.org/dod-101/sys/land/at4.htm</t>
  </si>
  <si>
    <t xml:space="preserve">Source reports a unit replacement cost of 1480 USD per M136 AT4 anti tank weapon. </t>
  </si>
  <si>
    <t>Combat helmet</t>
  </si>
  <si>
    <t>https://www.armytimes.com/news/your-army/2019/04/16/heres-the-new-helmet-that-socom-operators-will-take-into-battle/</t>
  </si>
  <si>
    <t>Standard price for individual modern combat helmet without optional accessories</t>
  </si>
  <si>
    <t>Helmet</t>
  </si>
  <si>
    <t>https://www.waffenschumacher.com/wp-content/uploads/2017/10/VISIER_CSA_Czech-Small-Arms-Sa-vz.58-11-2013.pdf</t>
  </si>
  <si>
    <t>This report lists five different prices in Euro, depending on the model, so that we take the average (1163 EUR) and report the converted value in USD.</t>
  </si>
  <si>
    <t>https://www.guncritic.com/product/cz-vz-61-scorpion-32acp-blue/</t>
  </si>
  <si>
    <t>The website reports this price for a new weapon,  705 USD MSRP</t>
  </si>
  <si>
    <t>Pistol</t>
  </si>
  <si>
    <t>https://truegunvalue.com/pistol/sig-p228/price-historical-value/new/2</t>
  </si>
  <si>
    <t xml:space="preserve">The average retail price for a SIG P228 is 1071.64 USD. </t>
  </si>
  <si>
    <t>https://truegunvalue.com/rifle/ak-47/price-historical-value</t>
  </si>
  <si>
    <t>According to the source, an AK 47 rifle is currently worth an average price of approximately 850 USD new</t>
  </si>
  <si>
    <t>https://www.221btactical.com/blogs/news/how-much-does-a-bulletproof-vest-cost</t>
  </si>
  <si>
    <t>400 to 600 USD for an external (overrt) soft body armor vest. Hence, the average price is 500 USD.</t>
  </si>
  <si>
    <t>105mm</t>
  </si>
  <si>
    <t>https://taskandpurpose.com/news/ac-130-gunship-105mm-cannon/</t>
  </si>
  <si>
    <t xml:space="preserve">The Source lists a price of 400 USD per high explosive (HE) round of 105mm guns, which we use here as a proxy. </t>
  </si>
  <si>
    <t>Ballistic vest Austria</t>
  </si>
  <si>
    <t>http://army-warehouse.com/10-servicecard-artikel/226-osterr-bundesheer-splitter-schutzweste-kampfweste-obh.html?msclkid=6fe95c5ecf7111ecbc7bf25f9bd8a5b5</t>
  </si>
  <si>
    <t>The source gives the price for an Austrian ballistic vest to 300 EUR, which is 316.68 USD.</t>
  </si>
  <si>
    <t>Missile for Czech-made RM-70 multiple rocket launcher</t>
  </si>
  <si>
    <t>Source lists the price of one GRAD rocket at 1000 USD. Czech RM-70 uses 122mm GRAD rockets (see https://www.armyrecognition.com/czech_army_artillery_vehicle_weapon_systems_uk/rm-70_m1972_122mm_mlrs_multiple_launch_rocket_system_technical_data_sheet_specifications_pictures.html)</t>
  </si>
  <si>
    <t>GEPARD ammunition round</t>
  </si>
  <si>
    <t>Anti-aircraft guns ammunition</t>
  </si>
  <si>
    <t>https://books.google.de/books?id=8J43AAAAIAAJ&amp;pg=PA4558&amp;lpg=PA4558&amp;dq=oerlikon+35+mm+ammunition+cost&amp;source=bl&amp;ots=AckNN2-QzT&amp;sig=ACfU3U3R0hGRH6Ksb8A4zR7RyTB_hML2MA&amp;hl=en&amp;sa=X&amp;ved=2ahUKEwjhucjeza35AhXvMuwKHbDKC1YQ6AF6BAg_EAM#v=onepage&amp;q=oerlikon%2035%20mm%20ammunition%20cost&amp;f=false</t>
  </si>
  <si>
    <t>Since GEPARD has Oerlikon 35 mm cannons, we report ammunition prices for this cannon type. The price of 35 mm round costed $53 in 1975. This corresponds to $266.94 in 2021 (according to https://www.in2013dollars.com/us/inflation/1975?endYear=2021&amp;amount=53)</t>
  </si>
  <si>
    <t>https://survivalfreedom.com/how-much-does-ammo-cost-detailed-price-analysis/</t>
  </si>
  <si>
    <t xml:space="preserve">Since no price is available for 23x152mm rounds or caliber 23 in general, we use the price for caliber 30mm, a more modern variant of anti-air ammunition, which the source reports a cost of around 100 USD. </t>
  </si>
  <si>
    <t>Hand grenade</t>
  </si>
  <si>
    <t>https://en.wikipedia.org/wiki/M67_grenade</t>
  </si>
  <si>
    <t>Average cost in 2021 is 45 USD.</t>
  </si>
  <si>
    <t>https://www.amazon.de/First-Boxes-Contents-according-13157/dp/B09JZKG84C/ref=sr_1_1_sspa?adgrpid=83827895404&amp;gclid=Cj0KCQjwntCVBhDdARIsAMEwACk2bt6E62FjoUVnx4hAM8fNlU9uHMkdNXGNk_yIBwENVDc98WeI9vkaAl0OEALw_wcB&amp;hvadid=394830971024&amp;hvdev=c&amp;hvlocphy=9061132&amp;hvnetw=g&amp;hvqmt=b&amp;hvrand=15040397051256604446&amp;hvtargid=kwd-14883146&amp;hydadcr=4261_1714685&amp;keywords=verbandskasten&amp;qid=1655989411&amp;sr=8-1-spons&amp;psc=1&amp;spLa=ZW5jcnlwdGVkUXVhbGlmaWVyPUFaVkYyNjI0RE1FT1QmZW5jcnlwdGVkSWQ9QTA0MTU0ODcxVkk2RjdJUTRWWVNJJmVuY3J5cHRlZEFkSWQ9QTA0NzgxOTQyMFYwMUw3R1M0QjBTJndpZGdldE5hbWU9c3BfYXRmJmFjdGlvbj1jbGlja1JlZGlyZWN0JmRvTm90TG9nQ2xpY2s9dHJ1ZQ==</t>
  </si>
  <si>
    <t>The price of 2 first aid boxes is 75.63 USD, hence the price is 37.82 per unit</t>
  </si>
  <si>
    <t>https://www.bw-online-shop.com/outdoor/outdoorkueche/verpflegung/epa-einmannpackung-typ-2.html</t>
  </si>
  <si>
    <t>According to the Bundeswehr, they use the "Einmannpackung" (Epa) as a standard good. The price is, according to the bundeswehr shop, 20 EUR for different types of this Epa. This corresponds to 22 USD.</t>
  </si>
  <si>
    <t>Combat ration package</t>
  </si>
  <si>
    <t>Field ration</t>
  </si>
  <si>
    <t>Individual meal pack</t>
  </si>
  <si>
    <t>Detonator</t>
  </si>
  <si>
    <t>Outdoor Zündstein Fire Steel - Feuerstarter Anzünder Feuerstein Bundeswehr | eBay</t>
  </si>
  <si>
    <t xml:space="preserve">Item is representative of Bundeswehr lighers. Price is originally in EUR (8.99 EUR). Since we convert only the total sum in USD in the end, we report this single price, by converting. </t>
  </si>
  <si>
    <t xml:space="preserve">Price over multiple different ammunition types. </t>
  </si>
  <si>
    <t>The price is an average over the various rounds of ammuntion sent, including small arms rounds, grenades and mortar rounds (Donation ID USM1)</t>
  </si>
  <si>
    <t>Round of small arms ammunitions, grenade launchers and mortar rounds</t>
  </si>
  <si>
    <t>Hub NB 7,62-59 (TŽ, OKRAJ.)</t>
  </si>
  <si>
    <t>https://www.ammograb.com/762x51mm-nato/</t>
  </si>
  <si>
    <t>The price for 20 rounds of 7.62x51mm NATO ammunition which is used for the UK vz. 59 machine gun, is 19 USD. Hence, one round costs 0.95 USD.</t>
  </si>
  <si>
    <t>Hub NB 7,62-SV 59 (TŽ-SV)</t>
  </si>
  <si>
    <t>https://www.ammunitiondepot.com/304-762x39mm</t>
  </si>
  <si>
    <t>A variety of prices, ranging from 0.45 USD per round up to 0.71 USD per round, so we take the median of 0.58 USD per round as approximation.</t>
  </si>
  <si>
    <t>https://www.army.mil/article/194221/new_40_mm_grenades_to_enhance_training_readiness#:~:text=The%20tactical%20rounds%20cost%20%2450,which%20will%20cost%20around%20%247.</t>
  </si>
  <si>
    <t xml:space="preserve">Tactical 40mm rounds cost $50 or $60. We take the average. </t>
  </si>
  <si>
    <t>https://web.archive.org/web/20150518063830/http://defense-update.com/products/d/dingo-kmw.htm</t>
  </si>
  <si>
    <t xml:space="preserve">Source reports a prices of USD 500000. </t>
  </si>
  <si>
    <t>https://www.truckpaper.com/listings/trucks/for-sale/list/manufacturer/oshkosh/model/m1070</t>
  </si>
  <si>
    <t xml:space="preserve">Source reports 8 different prices for the M1070, we take the average to arrive at a unit price of 94550 USD. </t>
  </si>
  <si>
    <t>Price deducted from the 2021 annual Pentagon Budget. Page 43, Gross/Weapon System Unit Cost, FY 2021 Total</t>
  </si>
  <si>
    <t xml:space="preserve">Media reports 2500 devices being donated for 5800000 USD total. This brings the unit cost to 2320 USD. </t>
  </si>
  <si>
    <t>http://www.military-today.com/apc/kirpi.htm</t>
  </si>
  <si>
    <t>Contract</t>
  </si>
  <si>
    <t>Based on a contract between 2008 and 2018 valued at USD 157 million for 468 Kirpis. This brings the unit cost to USD 335,470</t>
  </si>
  <si>
    <t>Aviation and Drones</t>
  </si>
  <si>
    <t>https://en.wikipedia.org/wiki/Boeing_Insitu_ScanEagle</t>
  </si>
  <si>
    <t>ScanEagle system costs US$3.2 million in 2006</t>
  </si>
  <si>
    <t>Heavy Weapon</t>
  </si>
  <si>
    <t>http://www.army-guide.com/eng/product4033.html</t>
  </si>
  <si>
    <t>Based on a contract between 2017 and 2019 valued at USD 440 million for 1085 Vehicles. This brings the unit cost to USD 405,530</t>
  </si>
  <si>
    <t>Tube-Launched, Optically-Tracked, Wire-Guided (TOW) missiles</t>
  </si>
  <si>
    <t xml:space="preserve">Price extracted from the 2021 Pentagon Budget for TOW 2 missile. Page 77, Gross/Weapon System Unit Cost, FY 2021  
</t>
  </si>
  <si>
    <t xml:space="preserve">Price extracted from the 2021 Pentagon Budget for a Launcher plus a missile. Page 65, Gross/Weapon System Unit Cost, FY 2021 Total  </t>
  </si>
  <si>
    <t>Assumed to be a Javelin missile as the donation included Javelins. Source lists a price of 78000 USD for a Javelin missile, extracted from the 2021 Pentagon budget.</t>
  </si>
  <si>
    <t>Germany plans to supply Ukraine with COBRA counter-battery radars - Militarnyi</t>
  </si>
  <si>
    <t>Price of a German manufactured artillery radar (COBRA). We converted the price in USD dollar first</t>
  </si>
  <si>
    <t>https://www.airforce-technology.com/news/czech-republic-to-buy-iron-dome-from-israel/#:~:text=The%20Czech%20Republic%20yesterday%20signed,a%20cost%20of%20%24125m.&amp;text=The%20%24125m%20contract%20covers%20eight%20multi%2Dmission%20radars.</t>
  </si>
  <si>
    <t>Based on a contract between Czech Republic and Israel valued at USD 125 million for 8 MMR. This brings per unit cost to USD 15,625,000. Since the exact type of MMR is not given, we use ELM-2084 'Iron Dome' Multi-Mission Radars as proxy.</t>
  </si>
  <si>
    <t>https://en.wikipedia.org/wiki/M982_Excalibur</t>
  </si>
  <si>
    <t>We use the price of M982 Excalibur which is a 155 mm extended-range guided artillery shell developed by the US</t>
  </si>
  <si>
    <t>Main battle tank (MBT)</t>
  </si>
  <si>
    <t>https://www.rtvslo.si/news-in-english/the-ministry-of-defense-s-auction-of-old-m-55s-results-in-a-single-sale/453024</t>
  </si>
  <si>
    <t xml:space="preserve">The source reports an auction price of 820000 EUR that the Slovenian Ministry of Defence agreed upon in 2018. Since the tank is a heavily upgraded version of a soviet T-55 tank and the upgrades reportedly having been very expensive, we report this price instead of a unit price with singular upgrade costs added. </t>
  </si>
  <si>
    <t>See explanation of CZM21 in MAIN DATA</t>
  </si>
  <si>
    <t>We take a price of a Cortale NG. Average unit costs based on different contracts from SIPRI database and the source and adjusted to $2021</t>
  </si>
  <si>
    <t xml:space="preserve">According to official statements of the US and Netherlands total price to overhaul 90 T-72 tanks provided by the Czech republic is 90 USD million, meaning that on average, the overhaul of each unit costs 1 USD million. </t>
  </si>
  <si>
    <t>We take a price of a Chinese variant of Model 56 produced by NORINCO. Average unit costs based on different contracts from SIPRI database and the source and adjusted to $2021</t>
  </si>
  <si>
    <t>https://www.theguardian.com/world/2022/nov/03/a-joke-that-went-out-of-control-crowdfunding-weapons-for-ukraines-war</t>
  </si>
  <si>
    <t xml:space="preserve">In November 2022 50 Spartans were purchased for 5.5 USD million </t>
  </si>
  <si>
    <t>The source report the price for canadian winter military uniform, we convert it to current USD. We convert it to USD using the average exchange rate for 2022 (until 25 November).</t>
  </si>
  <si>
    <t>http://www.cgri.gr/435833_69-0/MITOS2.HTM</t>
  </si>
  <si>
    <t>Source mentions price between 1200 and 1400 USD per piece, we average at 1300.</t>
  </si>
  <si>
    <t>We use prices for a US naval drone boat. The US sent 35 coastal patrol boats to Jordan, worth 80 million USD. This allows an approximation for the unit cost. We also convert this value to $2021.</t>
  </si>
  <si>
    <t>https://www.military.africa/2022/10/nigerian-army-acquires-medium-girder-bridge-from-uk-to-boost-logistics/</t>
  </si>
  <si>
    <t>Source lists a contract between Nigeria and the UK for 2.268 million USD for 1 unit of a medium bridge system.</t>
  </si>
  <si>
    <t>https://www.gao.gov/assets/psad-76-153.pdf</t>
  </si>
  <si>
    <t>Source lists a price of 297900 USD in 1979 for armoured engineering vehicle, which translated to 2020 prices amounts to 1240159 USD per piece.</t>
  </si>
  <si>
    <t>As a proxy we use the price for a MaxxPro mine clearing vehicle. Based on a contract between 2017 and 2019 valued at USD 440 million for 1085 Vehicles. This brings the unit cost to USD 405,530</t>
  </si>
  <si>
    <t xml:space="preserve"> Average unit costs based on different contracts from SIPRI database and the source and adjusted to $2021</t>
  </si>
  <si>
    <t>We take the average price of winter uniforms pledged by Canada and Lithuania from our dataset</t>
  </si>
  <si>
    <t>https://tanks-encyclopedia.com/modern/south_africa/mamba_apc#:~:text=The%20Mamba%204%C3%974,had%20developed%20at%20the%20time.</t>
  </si>
  <si>
    <t>The source mentions the price of a Mamba 4x4 of 94462 USD in 2020, transferred from a corresponding value in 1993.</t>
  </si>
  <si>
    <t>Man-portable Anti-tank weapon</t>
  </si>
  <si>
    <t>Shotgun</t>
  </si>
  <si>
    <t>https://truegunvalue.com/shotgun/mossberg/500/price-historical-value-1217 | https://truegunvalue.com/shotgun/benelli-m4/price-historical-value</t>
  </si>
  <si>
    <t>The average retail price over all used Shotguns by the U.S. Military (Mossberg approximately 500 USD; Benelli M4 approximately 1,800 USD) is 1,100 USD.</t>
  </si>
  <si>
    <t>Round of ammunition for 60 mm LMP 2017 mortar</t>
  </si>
  <si>
    <t>60mm Mortar Ammunition And Fuzes (inetres.com)</t>
  </si>
  <si>
    <t>See under M722 WP of the source</t>
  </si>
  <si>
    <t>Rifle + MG Round</t>
  </si>
  <si>
    <t xml:space="preserve">The Spanish Army uses almost exlusively 5.56 mm rounds for Rifles and MGs. The price for 20 rounds of 5.56 mm rounds is 17 USD. Hence, one round costs 0.85 USD. </t>
  </si>
  <si>
    <t>Hub NB 7.65-Browning</t>
  </si>
  <si>
    <t>https://classic.ammoseek.com/ammo/32acp</t>
  </si>
  <si>
    <t xml:space="preserve">Source reports single cartridge price of 0.50 USD. </t>
  </si>
  <si>
    <t>https://www.armormax.com/blog/how-much-does-a-bulletproof-car-cost/#:~:text=Buying%20an%20armored%20car%20is,while%20others%20need%20special%20work.</t>
  </si>
  <si>
    <t>Price range for armored vehicle is reported from 30,000 to 90,000 USD, therefore we take the average price.</t>
  </si>
  <si>
    <t>We take the price of Spartan as a proxy, since it is a variant</t>
  </si>
  <si>
    <t>Off-road vehicle for demining operations</t>
  </si>
  <si>
    <t xml:space="preserve">https://www.caranddriver.com/jeep/wrangler </t>
  </si>
  <si>
    <t>As a proxy, we use the price of a 2023 Jeep Wrangler 4x4.</t>
  </si>
  <si>
    <t>https://a5250379796602ad.en.made-in-china.com/product/oSpQOGHuhFYR/China-Portable-Ground-Surveillance-Radar-for-Border-Surveillance.html</t>
  </si>
  <si>
    <t>The source quantifies typical costs of a portable ground surveillance radar to 20,000 to 30,000 USD. Hence, we use the average of 25,000 USD as estimate.</t>
  </si>
  <si>
    <t>https://bid.mod-sales.com/past-auctions/witham10068/lot-details/6d39eb58-c1df-41ce-8aa4-a9430101ac64</t>
  </si>
  <si>
    <t xml:space="preserve">Source 1 resports an Alvis Stormer Tracked Armoured Recon Vehicle being auctioned off from the UK Ministry of Defence for 13700 GBP, roughly 16000 USD. </t>
  </si>
  <si>
    <t>Anti-drone sensors</t>
  </si>
  <si>
    <t>https://www.made-in-china.com/products-search/hot-china-products/Uav_Drone_Jammer.html</t>
  </si>
  <si>
    <t xml:space="preserve">Source says that the price range for each Uav drone jammer is between 1589 USD and 20,000 USD. We take the average, which is 10,794.50 USD </t>
  </si>
  <si>
    <t>The source quantifies the price of a Barrett M82 to be 9,800 USD in 2007, which is equivlanent to 12,807.38 USD in 2021 (according to https://www.in2013dollars.com/us/inflation/2007?endYear=2021&amp;amount=9800)</t>
  </si>
  <si>
    <t>http://www.zvi.cz/en/products/sniper-rifle-falcon.html</t>
  </si>
  <si>
    <t>Price for a OVP Falcon 12.7mm Russian sniper rifle (Anti-Material Rifle)</t>
  </si>
  <si>
    <t>Anti-drone cannon</t>
  </si>
  <si>
    <t>http://www.military-today.com/firearms/mg3.htm</t>
  </si>
  <si>
    <t>Source lists a price for a new MG3 of around 3000 USD.</t>
  </si>
  <si>
    <t>https://truegunvalue.com/rifle/dragunov/price-historical-value</t>
  </si>
  <si>
    <t xml:space="preserve">The website reports the value of a new Dragunov rifle as 3832.65 USD. </t>
  </si>
  <si>
    <t>https://truegunvalue.com/pistol/805-bren/price-historical-value</t>
  </si>
  <si>
    <t>The price reflects an average price for a new 805 BREN pistol is 1818.28 USD.</t>
  </si>
  <si>
    <t>Fridge for medical material</t>
  </si>
  <si>
    <t>https://www.praxisdienst.de/Einrichtung/Ablegen+und+lagern/Medikamentenkuehlschraenke/Liebherr+MKUv+1610+Medikamentenkuehlschrank+mit+Fachboeden.html?speed=1&amp;gclid=Cj0KCQjwntCVBhDdARIsAMEwACmOKJaqbtWlmkE3PwceLhHIP9m3qGdulBKn1kImSy42c3gxKcXCRD4aAhIXEALw_wcB</t>
  </si>
  <si>
    <t xml:space="preserve">Source values a medicine refrigerator with shelves to be 1486.91 USD. </t>
  </si>
  <si>
    <t>Metal detector</t>
  </si>
  <si>
    <t>https://www.howmuchisit.org/metal-detector-cost/</t>
  </si>
  <si>
    <t>According to the source, an advanced metal detector costs between 900 USD and 1,500 USD. We use the average of 1,200 USD.</t>
  </si>
  <si>
    <t>https://www.blautanken.de/adblue-1000-liter-ibc-container-oem/?gclid=Cj0KCQjwntCVBhDdARIsAMEwACk5CvzjsjtbIjYyd1fpO0rAogqNfK3hzDAmmqo_rS87d6nKm3Th7ZsaAhrLEALw_wcB</t>
  </si>
  <si>
    <t>1000 liter = 1335 EUR (assume that 1000 liter = 1 ton). Value converted in USD.</t>
  </si>
  <si>
    <t>https://truegunvalue.com/pistol/cz-evo-3/price-historical-value</t>
  </si>
  <si>
    <t>Source lists average price of a new CZ EVO 3 as 992.40 EUR</t>
  </si>
  <si>
    <t>Drone camera</t>
  </si>
  <si>
    <t>https://www.dronerush.com/drone-price-how-much-do-drones-cost-21540/</t>
  </si>
  <si>
    <t>We report the minimum price for commercial-level camera drones, which start at 2000 USD</t>
  </si>
  <si>
    <t>https://truegunvalue.com/pistol/cz-82/price-historical-value</t>
  </si>
  <si>
    <t>The source reports the average price for a CZ 82 pistol.</t>
  </si>
  <si>
    <t>Missile for Panzerfaust 3</t>
  </si>
  <si>
    <t>https://military-history.fandom.com/wiki/Panzerfaust_3</t>
  </si>
  <si>
    <t>Average price for HE ammuntion for a Panzerfaust 3.</t>
  </si>
  <si>
    <t>Fragmentation vest</t>
  </si>
  <si>
    <t>https://www.sparks-military.com/en/body-armor/154-m-69-fragmentation-vest-flak-jacket.html</t>
  </si>
  <si>
    <t>Price of a M-69 standard fragmentation vest.</t>
  </si>
  <si>
    <t xml:space="preserve">https://www.wikiwand.com/en/RPG-22 </t>
  </si>
  <si>
    <t xml:space="preserve">Price range from 150 to 220 GBP for an advanced model, which is 185 GBP on average. We convert this to USD. </t>
  </si>
  <si>
    <t>https://www.indiamart.com/proddetail/radio-frequency-system-8336728762.html</t>
  </si>
  <si>
    <t>Initial price of 10.000 INR is converted in USD according to our Currency Converter Sheet.</t>
  </si>
  <si>
    <t>Stretcher</t>
  </si>
  <si>
    <t>https://www.militarysurplus.eu/product-eng-43337-Medical-Stretcher-Romanian-Army-Litter-Military-Surplus.html</t>
  </si>
  <si>
    <t>Source lists a price of 51 EUR for a Romanian army medical stretcher. We convert this to USD.</t>
  </si>
  <si>
    <t>Military tent</t>
  </si>
  <si>
    <t xml:space="preserve">https://www.ebay.com/itm/252996466305?hash=item3ae7c3b681:g:DGIAAOSwDrNZU34G </t>
  </si>
  <si>
    <t>Source lists a price of 70 USD for a Standard Two Man Military Tactical Double Shelter</t>
  </si>
  <si>
    <t>Tactical gloves</t>
  </si>
  <si>
    <t>10 Best Tactical Gloves For 2022 (Military-Grade Gear) (operationmilitarykids.org)</t>
  </si>
  <si>
    <t>We report the price of the Tactical's Hard Times 2 glove.</t>
  </si>
  <si>
    <t>Field telephone</t>
  </si>
  <si>
    <t>https://www.alibaba.com/product-detail/Dust-and-Water-Proof-Military-Radio_62087839225.html?spm=a2700.7724857.normal_offer.d_title.6a042a44heUWWl</t>
  </si>
  <si>
    <t>Source reports 69 USD per phone, designed and manufactured according to US Military Specifications</t>
  </si>
  <si>
    <t>Binoculars</t>
  </si>
  <si>
    <t>https://www.amazon.com/s?k=military+binoculars&amp;crid=3T1LN1ST9UR4L&amp;sprefix=military+binoculars%2Caps%2C161&amp;ref=nb_sb_noss_1</t>
  </si>
  <si>
    <t>Average retail price for military binoculars is $45 per piece</t>
  </si>
  <si>
    <t>Helmet Austria</t>
  </si>
  <si>
    <t>The Ministry of Defence says that the value of one helmet is 35 EUR, hence 36.95 USD.</t>
  </si>
  <si>
    <t>https://www.varusteleka.com/en/product/field-phone-cable-100-m-300-surplus/70446</t>
  </si>
  <si>
    <t xml:space="preserve"> Price reported in EUR (34.99 EUR). Since we convert only the total sum in USD in the end, we report this single price, by converting.</t>
  </si>
  <si>
    <t>Camouflage vest</t>
  </si>
  <si>
    <t>https://www.armynavyshop.com/SRCH.html</t>
  </si>
  <si>
    <t>Approximate Retail price over all available camouflage Ranger or Hunter vests</t>
  </si>
  <si>
    <t>Explosive charge</t>
  </si>
  <si>
    <t>https://www.globalsecurity.org/military/systems/munitions/m112-c4.htm</t>
  </si>
  <si>
    <t>Price for a M-112 C4 Demolition Block, "standard plastic explosive block in the US and several of its allies."</t>
  </si>
  <si>
    <t>Field glasses</t>
  </si>
  <si>
    <t>We have chosen the price of the "best seller" article in Amazon.</t>
  </si>
  <si>
    <t>Auto-injector device</t>
  </si>
  <si>
    <t>https://www.docmorris.de/fastjekt-300-g-autoinjektor-injlsgim/09738902</t>
  </si>
  <si>
    <t>Since we convert the total sum from USD to EUR in the main dataset, we report this single price  by converting it  (Conversion on the 1.07.2022)</t>
  </si>
  <si>
    <t>Hygiene kit</t>
  </si>
  <si>
    <t>https://www.amazon.com/-/de/dp/B08FXVMBX2/ref=sr_1_7?keywords=hygiene+kit&amp;qid=1654184235&amp;sr=8-7</t>
  </si>
  <si>
    <t>Standard hygiene kit, 48 kits costs $120, hence 1 kit costs $2.50</t>
  </si>
  <si>
    <t>Hub NB 7.62-SV 43</t>
  </si>
  <si>
    <t>https://www.theakforum.net/threads/for-sale-sv43-czech-incendiary-tracer-rounds-7-62x39.325660/</t>
  </si>
  <si>
    <t xml:space="preserve">Source reports a price of 650 USD for 400 units, bringing the Unit price to 1.625 USD. </t>
  </si>
  <si>
    <t>Protective mask with filter</t>
  </si>
  <si>
    <t>https://www.amazon.com/s?k=kn95+face+masks&amp;sprefix=k%2Caps%2C169&amp;ref=nb_sb_ss_pltr-ranker-10hours_1_1</t>
  </si>
  <si>
    <t>Average over retail prices available. Proxy KN95 masks for protective mask with filter</t>
  </si>
  <si>
    <t>Liter of diesel M</t>
  </si>
  <si>
    <t>https://www.globalpetrolprices.com/diesel_prices/</t>
  </si>
  <si>
    <t>Usage of global average current diesel price. (31 October 2022)</t>
  </si>
  <si>
    <t>Hub NB 7,62-PZ 59 (PZ EDGE)</t>
  </si>
  <si>
    <t>Round of ammunition for sniper rifles</t>
  </si>
  <si>
    <t>As the 7.62x51mm NATO caliber is one of the most popular calibers of sniper rifles (see https://en.wikipedia.org/wiki/Sniper_rifle), we apply the approximate price for one round of this caliber here.</t>
  </si>
  <si>
    <t>Wound bandage</t>
  </si>
  <si>
    <t>https://www.amazon.com/Band-Aid-First-Adhesive-Bandages-Large/dp/B000GCPW8C/ref=sr_1_7?crid=1PZ72906ULX4A&amp;keywords=wound+bandage&amp;qid=1667515401&amp;qu=eyJxc2MiOiI1Ljc2IiwicXNhIjoiNS4yNyIsInFzcCI6IjUuMTAifQ%3D%3D&amp;sprefix=wound+bandag%2Caps%2C155&amp;sr=8-7</t>
  </si>
  <si>
    <t xml:space="preserve">A package of 10 sterile wound bandages cost $3.78, so one bandage costs 0.38 USD. </t>
  </si>
  <si>
    <t>Bullet</t>
  </si>
  <si>
    <t>https://www.frankonia.de/p/sellier-bellot/9-mm-luger-vollmantel-8-0g-124grs/65187</t>
  </si>
  <si>
    <t>Price for a standard 9mm handgun ammunition is 20,9 EUR for 50 bullets. Hence, 0.418 EUR for one bullet.</t>
  </si>
  <si>
    <t>Cartridge for RK 62</t>
  </si>
  <si>
    <t>https://www.bulkammo.com/rifle/bulk-7.62x39mm-ammo</t>
  </si>
  <si>
    <t>RK 62 uses 7.62×39mm, 1,000 rounds cost around 400 USD</t>
  </si>
  <si>
    <t>Hub NB 7.62-43</t>
  </si>
  <si>
    <t xml:space="preserve">We report the single unit price of a 7.62x39 cartridge (0.30 USD) with a small mark up of 0.10 USD. </t>
  </si>
  <si>
    <t>https://www.sip.net/2022-new-forklift-price-how-much-you-can-expect-to-pay/</t>
  </si>
  <si>
    <t>Source reports a price for a new Forklift between 20000 and 45000 USD. We report the average of 32500 USD per piece.</t>
  </si>
  <si>
    <t>Optics</t>
  </si>
  <si>
    <t>https://www.dacis.com/budget/budget_pdf/FY18/PROC/A/M80400_131.pdf</t>
  </si>
  <si>
    <t>Source lists procurement prices for the M160 remote control mine clearing system. We take the average unit price of 2020, leading to a price of 72000 USD per piece.</t>
  </si>
  <si>
    <t>Blood bag</t>
  </si>
  <si>
    <t>Since the price depends heavily on the type of blood and the donor country, no reliable source can be found.</t>
  </si>
  <si>
    <t>Counter battery systems</t>
  </si>
  <si>
    <t>We use the price of ARTHUR artillery radar as a proxy. Average unit costs based on different contracts from SIPRI database and the source and adjusted to $2021</t>
  </si>
  <si>
    <t>https://comptroller.defense.gov/Portals/45/Documents/defbudget/fy2021/fy2021_p1.pdf</t>
  </si>
  <si>
    <t xml:space="preserve">Since these generators are sent from BW stocks, we assume these are tactical military generators. We take the price from the US budget document. </t>
  </si>
  <si>
    <t>Diesel-powered generator</t>
  </si>
  <si>
    <t>Due to a lack of information, it is impossible to estimate this price. Please note that the absence of price will not significantly affect the results due to the number of items committed and their potential value.</t>
  </si>
  <si>
    <t>https://www.militaryaerospace.com/sensors/article/14196524/electrooptical-targeting-attack-helicopters</t>
  </si>
  <si>
    <t>Lockheed Martin contract worth $49.7 million to build 19 multi-sensor elecro-optical and infrared (EO/IR) fire control systems for AH-1Z Viper attack helicopters. The each system is worth an average of 2,615,789.47 USD.</t>
  </si>
  <si>
    <t>Gun sight for L119 Light Field gun</t>
  </si>
  <si>
    <t xml:space="preserve">The range of prices for gun sights is too high. If assumed that the gun sight is for the 105mm light field gun, there is no available price. </t>
  </si>
  <si>
    <t>https://www.defensenews.com/global/asia-pacific/2018/09/24/south-korean-military-to-upgrade-friend-or-foe-id-capability/</t>
  </si>
  <si>
    <t>Deal worth 2.2 billion USD to upgrade 2000 pieces of equipment related to South Korean weapons systems from the decades-old Mode-4 to the latest Mode-5, the new NATO standard. Average price of one IFF system upgrade per piece of equipment is 1.1 million USD. However the possible item range is too large, so we retract the price to avoid misestimation.</t>
  </si>
  <si>
    <t>Infusion pump and blood bag</t>
  </si>
  <si>
    <t>Since the type of Lorry is unknown and prices depend heavily on the type, there is no estimation</t>
  </si>
  <si>
    <t>Medical supplies</t>
  </si>
  <si>
    <t>Pack of anti-inflammatory</t>
  </si>
  <si>
    <t>https://www.forbes.com/advisor/home-improvement/generator-cost-guide/</t>
  </si>
  <si>
    <t xml:space="preserve">The price of a generator can vary substantially, ranging from 245 USD to up to 18'000 USD. No value could be assigned, since we no further information regarding the type of item has been disclosed. </t>
  </si>
  <si>
    <t>Radio transmitter</t>
  </si>
  <si>
    <t>https://arstechnica.com/information-technology/2018/03/the-armys-costly-quest-for-the-perfect-radio-continues/</t>
  </si>
  <si>
    <t>US Army contract with Thales and Harris worth 3.9 billion USD to deliver 193,276 Rifleman radios. This leads to an average price of 20,178.40 USD. However the possible item range is too large, so we retract the price to avoid misestimation.</t>
  </si>
  <si>
    <t>Respiratory assistance device</t>
  </si>
  <si>
    <t>School</t>
  </si>
  <si>
    <t>Wire-guided detection robots for land and sea mine detection</t>
  </si>
  <si>
    <t>Trailer</t>
  </si>
  <si>
    <t>https://truckandtrailerleads.com/military-lowboy-trailer-a-comprehensive-guide-to-buying-and-using-a-truck-with-a-lowboy-trailer/</t>
  </si>
  <si>
    <t xml:space="preserve">Source states that the price range for new military lowboy trailers can range from $10,000 to over $50,000. In accordance with the upper bound rule, we take the price of 50,000 USD. </t>
  </si>
  <si>
    <t>Mobile DNA-analysis laboratory</t>
  </si>
  <si>
    <t>Hospital</t>
  </si>
  <si>
    <t>https://www.freshbooks.com/hub/estimates/how-much-does-it-cost-to-build-a-hospital#:~:text=The%20average%20construction%20costs%20for,built%20in%20a%20larger%20city.</t>
  </si>
  <si>
    <t xml:space="preserve">Since the cost is estimated to be between 60 and 190 million USD, we took the average price equal to 125 million USD. </t>
  </si>
  <si>
    <t>Temporary bridge</t>
  </si>
  <si>
    <t>https://www.newcivilengineer.com/latest/hammersmith-bridge-tfl-took-six-months-to-provide-info-on-temporary-crossing-09-09-2020/</t>
  </si>
  <si>
    <t>Estimated cost of a temporary bridge in the UK (27 million GBP), converted to USD on June 1 using: https://sdw.ecb.europa.eu/curConverter.do?sourceAmount=27.0&amp;sourceCurrency=GBP&amp;targetCurrency=USD&amp;inputDate=01-06-2022&amp;submitConvert.x=39&amp;submitConvert.y=5</t>
  </si>
  <si>
    <t xml:space="preserve">https://es.wikipedia.org/wiki/RG-31_Nyala </t>
  </si>
  <si>
    <t xml:space="preserve">Source provides a unit price of 644000 USD. </t>
  </si>
  <si>
    <t>Fire-engine</t>
  </si>
  <si>
    <t>https://firefighterinsider.com/fire-truck-engine-apparatus-cost/</t>
  </si>
  <si>
    <t>Can cost between 250,000 and 550,000 USD, average is 400,000 USD</t>
  </si>
  <si>
    <t>We took the same unit cost as for a fire-engine since they are often the same.</t>
  </si>
  <si>
    <t>Ambulance H</t>
  </si>
  <si>
    <t>https://www.worldsdailynews.com/how-much-does-an-ambulance-vehicle-cost/</t>
  </si>
  <si>
    <t xml:space="preserve">An ambulance can cost between 35000 USD and 600000 USD, average is 317,500 USD. </t>
  </si>
  <si>
    <t>Ambulance Latvia</t>
  </si>
  <si>
    <t>According to the official source, the price for one ambulance from Latvia is 83693.93 EUR.</t>
  </si>
  <si>
    <t>Mobile house</t>
  </si>
  <si>
    <t>https://realestate.usnews.com/real-estate/articles/how-much-does-it-cost-to-buy-a-mobile-home#:~:text=Single%2DWide%20or%20Single%2DSection%20Home,-As%20the%20smaller&amp;text=The%20Census%20Bureau%20reports%20that,was%20%2476%2C400%20in%20November%202021.</t>
  </si>
  <si>
    <t>The average price of a new single-wide manufactured home is given with 76,400 USD according to the source.</t>
  </si>
  <si>
    <t>https://hcpresources.medtronic.com/blog/high-acuity-ventilator-cost-guide</t>
  </si>
  <si>
    <t>The price can range from 5,000 USD to 50,000 USD. Hence, the mean price is 27,500 USD.</t>
  </si>
  <si>
    <t>Ton of health and emergency equipment</t>
  </si>
  <si>
    <t>https://www.aerzte-ohne-grenzen.de/sites/default/files/mediathek/entity/document/1998-01-bosnia-report-donation-practices.pdf</t>
  </si>
  <si>
    <t>Source 1, Annex 5B Value Estimation cites WHO, IDA, ICRC, World Vision estimates as comparison. Approximate average per ton of drugs and medical supplies donations is 10,000 USD</t>
  </si>
  <si>
    <t>Ton of necessity items</t>
  </si>
  <si>
    <t>Source for food: https://www.ers.usda.gov/publications/pub-details/?pubid=43836 and source for medical supplies: https://economictimes.indiatimes.com/news/politics-and-nation/india-provided-15-tonnes-of-medical-supplies-worth-rs-2-11-crore-to-coronavirus-hit-china-government/articleshow/74693578.cms?from=mdr</t>
  </si>
  <si>
    <t xml:space="preserve">Assume that 'necessity items' consists in food and medical supplies. Source 1 says 133 billion pounds of food is worth 161.6 billion USD, which equals 2430.08 USD per ton. Source 2 says 15 tons of medical equipment is worth 21,100,000 Indian rupees, which equals 17,264.62 USD per ton. We take the average of these two values, which is approximately 10,000 USD. </t>
  </si>
  <si>
    <t>Field kitchen</t>
  </si>
  <si>
    <t>https://colemans.com/u-s-g-i-modular-field-kitchen</t>
  </si>
  <si>
    <t>Price of a US GI MODULAR FIELD KITCHEN from a US military surpus supplier</t>
  </si>
  <si>
    <t>Patient monitor</t>
  </si>
  <si>
    <t xml:space="preserve">https://www.medicalpriceonline.com/medical-equipment/patient-monitor/ </t>
  </si>
  <si>
    <t>Source lists the average cost of Patient Monitor medical devices as currently 4173 USD</t>
  </si>
  <si>
    <t>Hospital bed</t>
  </si>
  <si>
    <t>https://www.excel-medical.com/why-are-hospital-beds-so-expensive/</t>
  </si>
  <si>
    <t>Source lists a range between 4500 USD and 7500 USD for a standard hospital bed frame. We take the average of 6000 USD</t>
  </si>
  <si>
    <t>Ton of food</t>
  </si>
  <si>
    <t xml:space="preserve">https://www.ers.usda.gov/publications/pub-details/?pubid=43836 </t>
  </si>
  <si>
    <t>Source says that the estimated waste of 133 billion pounds of food was worth $161.6 billion, based on retail prices. This equals approximately $1.21 per pound, or $2430 per ton (2000 pounds in a ton).</t>
  </si>
  <si>
    <t>Petrol generator</t>
  </si>
  <si>
    <t>https://www.forbes.com/home-improvement/electrical/generator-cost-guide/</t>
  </si>
  <si>
    <t>Typical retail prices for a gas-powered generator range between 500 USD and 2500 USD. We take the median value of 1500 USD as approximation.</t>
  </si>
  <si>
    <t>Laptop</t>
  </si>
  <si>
    <t>https://leaguefeed.net/how-much-should-you-spend-on-laptop/#:~:text=The%20Average%20Cost%20of%20a%20Laptop,-Let%27s%20leave%20the&amp;text=For%20example%2C%20on%20average%2C%20the,Ultrabooks%20that%20satisfy%20your%20needs.</t>
  </si>
  <si>
    <t>The average selling price of a laptop is given within 600 and 750 USD, hence the average here would be 675 USD.</t>
  </si>
  <si>
    <t>Desktop</t>
  </si>
  <si>
    <t>https://www.statista.com/statistics/722992/worldwide-personal-computers-average-selling-price/#:~:text=The%20average%20selling%20price%20of,U.S.%20dollars%20in%20constant%20currency.</t>
  </si>
  <si>
    <t>The average selling price of a desktop PC was 632 USD in 2019.</t>
  </si>
  <si>
    <t>Ton of coal</t>
  </si>
  <si>
    <t>Source gives USD price of 329 for one ton of coal leaving Newcastle Australia</t>
  </si>
  <si>
    <t>Antenna</t>
  </si>
  <si>
    <t>https://www.angi.com/articles/how-much-does-tv-antenna-installation-cost.htm</t>
  </si>
  <si>
    <t>According to the source, the average cost to purchase and install a TV antenna is 310 USD.</t>
  </si>
  <si>
    <t>Floor mat</t>
  </si>
  <si>
    <t>https://www.mymat.de/preise-und-formate-fussmatten</t>
  </si>
  <si>
    <t xml:space="preserve">The source lists average prices in EUR for twelve floor mats of different sizes. The average price is 187.57 EUR. We convert this to USD. </t>
  </si>
  <si>
    <t>Central monitor</t>
  </si>
  <si>
    <t>https://www.gadgetreview.com/computer-monitor-cost#:~:text=How%20much%20does%20a%20monitor,price%20is%20around%20%24200%20%2D%20%24300.</t>
  </si>
  <si>
    <t>The average price of a computer monitor is given with 200 to 300 USD, hence we apply an estimate of 250 USD.</t>
  </si>
  <si>
    <t>Bed</t>
  </si>
  <si>
    <t xml:space="preserve">https://www.amazon.de/Betten-Schlafzimmer-Wohnen-Lifestyle/b?ie=UTF8&amp;node=343465011 </t>
  </si>
  <si>
    <t>Average retail price over available models</t>
  </si>
  <si>
    <t>Coat</t>
  </si>
  <si>
    <t>https://www.newsy.com/stories/how-much-money-should-you-actually-be-investing-in-a-winter-coat/</t>
  </si>
  <si>
    <t>Average price for winter coat is between 100 USD and 300 USD, so the average is 200 USD.</t>
  </si>
  <si>
    <t>Family tent</t>
  </si>
  <si>
    <t>10 Best Family Tents (2022 Update) Buyer’s Guide – Best Survival</t>
  </si>
  <si>
    <t>Source reports 200 USD for a fine family tent</t>
  </si>
  <si>
    <t>https://www.vabusinesssystems.com/how-much-does-a-voip-phone-system-cost</t>
  </si>
  <si>
    <t>According to the source, the typical cost for a VoIP phone ranges between 100 and 200 USD, so we take the average of 150 USD.</t>
  </si>
  <si>
    <t>Hospital pediatric bed</t>
  </si>
  <si>
    <t xml:space="preserve">https://www.alibaba.com/product-detail/Medical-Children-Clinic-Bed-Manual-Children_62180451022.html?spm=a2700.7724857.normal_offer.d_title.30c23ac4FuVEM5 </t>
  </si>
  <si>
    <t xml:space="preserve">Source gives a range of prices from 100 USD to 500 USD. We take the average.  </t>
  </si>
  <si>
    <t>Shower tent</t>
  </si>
  <si>
    <t>https://www.amazon.com/camping-shower-tent-Sports-Outdoors/s?k=camping+shower+tent&amp;rh=n%3A3375251</t>
  </si>
  <si>
    <t>Prices range from 40 USD to 150 USD, so we take the average of 95 USD.</t>
  </si>
  <si>
    <t>Sleeping bag</t>
  </si>
  <si>
    <t xml:space="preserve">https://priceonomics.com/sleeping-bag-price-guide/ </t>
  </si>
  <si>
    <t>We report the price of a 3-season sleeping bag</t>
  </si>
  <si>
    <t>Pair of rubber boots</t>
  </si>
  <si>
    <t>https://www.amazon.com/Rubber-Boots/s?k=Rubber+Boots</t>
  </si>
  <si>
    <t>The source provides a variety of prices, ranging from 20 USD up to 150 USD. We take the median value of round about 50 USD.</t>
  </si>
  <si>
    <t>Blanket</t>
  </si>
  <si>
    <t>https://thecostguys.com/home/average-cost-of-a-weighted-blanket</t>
  </si>
  <si>
    <t>Average retail price of a five pound weighted blanket.</t>
  </si>
  <si>
    <t>Sleeping mat</t>
  </si>
  <si>
    <t xml:space="preserve">https://www.amazon.de/s?k=Sleeping+mat&amp;crid=AP6F6KPMMYLL&amp;sprefix=sleeping+mat%2Caps%2C112&amp;ref=nb_sb_noss_1 </t>
  </si>
  <si>
    <t xml:space="preserve">Approximate average over retail prices available. </t>
  </si>
  <si>
    <t>Stretcher Latvia</t>
  </si>
  <si>
    <t>According to the official source (Informatīvais ziņojums...), the price for 200 stretchers from Latvia is 29.88 EUR. We convert this to USD.</t>
  </si>
  <si>
    <t>https://www.extension.iastate.edu/agdm/crops/pdf/a1-20.pdf</t>
  </si>
  <si>
    <t xml:space="preserve">We consider corn as a proxy for field crops. According to the source (page 2), the price of 1000 kernels is $3.56, so 0.00356 per kernel. According to (https://www.measuringknowhow.com/how-many-bushels-of-corn-are-in-a-ton/) there are 10,564,400 kernels in a ton, hence each ton costs 37,609.26 USD </t>
  </si>
  <si>
    <t>Cable</t>
  </si>
  <si>
    <t>https://www.amazon.de/-/en/Viablue-X-25-SILVER-POWER-CABLE/dp/B07ZYQWPZ9</t>
  </si>
  <si>
    <t>Price for one meter of a Viablue X-25 silver power cable.</t>
  </si>
  <si>
    <t>General purpose tent</t>
  </si>
  <si>
    <t>https://www.usmilitarytents.com/Military-Tents.aspx</t>
  </si>
  <si>
    <t xml:space="preserve">General range of prices for general purpose military tents is $600 to $6000. Approximate average retail price is 3000 USD. </t>
  </si>
  <si>
    <t>Pack of antibiotics</t>
  </si>
  <si>
    <t>https://www.drugs.com/price-guide/azithromycin-dose-pack</t>
  </si>
  <si>
    <t>Given price for a dose pack of oral tablets of Azithromycin.</t>
  </si>
  <si>
    <t>Pair of shoes</t>
  </si>
  <si>
    <t xml:space="preserve">https://www.alibaba.com/showroom/basics-shoes-online.html  </t>
  </si>
  <si>
    <t>Approx. 20 USD/pair of basic shoes</t>
  </si>
  <si>
    <t>Pair of latex gloves</t>
  </si>
  <si>
    <t>https://www.amazon.com/Disposable-Latex-Gloves-Powder-gloves/dp/B000XRY2FE</t>
  </si>
  <si>
    <t>The retail price for a 100 unit pack of latex gloves is 16 USD, so the price per pair is 0.32 USD</t>
  </si>
  <si>
    <t>Pair of nitrile gloves</t>
  </si>
  <si>
    <t>https://www.amazon.com/s?k=surgical+gloves&amp;crid=339VHKCNRBO5O&amp;sprefix=surgical+glove%2Caps%2C200&amp;ref=nb_sb_noss_1</t>
  </si>
  <si>
    <t>Average retail price for a single glove is around 0.13 per piece, hence 0.26 per pair</t>
  </si>
  <si>
    <t>Single-use protective suit</t>
  </si>
  <si>
    <t>https://www.amazon.com/dp/B0B1GXZXPX/ref=sspa_dk_detail_0?psc=1&amp;pd_rd_i=B0B1GXZXPX&amp;pd_rd_w=8Luot&amp;content-id=amzn1.sym.46bad5f6-1f0a-4167-9a8b-c8a82fa48a54&amp;pf_rd_p=46bad5f6-1f0a-4167-9a8b-c8a82fa48a54&amp;pf_rd_r=KPTZZRY2RHA3S7A9N81M&amp;pd_rd_wg=0rtva&amp;pd_rd_r=2e01c8ed-97c3-43c5-85ac-23e35fef55bb&amp;s=hi&amp;sp_csd=d2lkZ2V0TmFtZT1zcF9kZXRhaWw</t>
  </si>
  <si>
    <t>Bestseller according to amazon.com</t>
  </si>
  <si>
    <t>Bio protection suit</t>
  </si>
  <si>
    <t>https://www.amazon.com/s?k=bio+protective+suit&amp;__mk_de_DE=%C3%85M%C3%85%C5%BD%C3%95%C3%91&amp;crid=2MJA43R80NRVA&amp;sprefix=bio+protective+suit%2Caps%2C215&amp;ref=nb_sb_noss_1</t>
  </si>
  <si>
    <t>The average retail price is 10.00 USD.</t>
  </si>
  <si>
    <t>Safety glasses</t>
  </si>
  <si>
    <t>https://www.amazon.com/Best-Sellers-Medical-Safety-Goggles/zgbs/industrial/11312320011</t>
  </si>
  <si>
    <t>10,00 USD is the average price for medical safety glasses on Amazon.com</t>
  </si>
  <si>
    <t>Pack of analgesics</t>
  </si>
  <si>
    <t>https://www.amazon.de/-/en/Paracetamol-ratiopharm-500-Tablets-Pack-20/dp/B00DIW2WMQ</t>
  </si>
  <si>
    <t>Price for a package of a typical analgesics, paracetamol.</t>
  </si>
  <si>
    <t>Liter of disinfectant</t>
  </si>
  <si>
    <t>https://www.amazon.de/disinfectant-spray/s?k=disinfectant+spray</t>
  </si>
  <si>
    <t>The average retail price for commonly used surface disinfectants, per liter</t>
  </si>
  <si>
    <t>Liter of hand disinfectant</t>
  </si>
  <si>
    <t xml:space="preserve">https://www.amazon.de/-/en/ADLER-Disinfectant-Litres-according-Formula/dp/B088FXV6XT?th=1 </t>
  </si>
  <si>
    <t>Disinfectant, according to WHO Formula. 10 liter bottle costs $62.31, hence 1 liter costs $6.231</t>
  </si>
  <si>
    <t>Liter of bottled water</t>
  </si>
  <si>
    <t>https://www.amazon.de/s?k=liter+of+water&amp;crid=FSFX4B7W5MIB&amp;sprefix=liter+of+wate%2Caps%2C76&amp;ref=nb_sb_noss_2</t>
  </si>
  <si>
    <t>Approximate average retail price is $1.50 per liter</t>
  </si>
  <si>
    <t>Liter of water</t>
  </si>
  <si>
    <t>In this case, we used the price of bottled water, since we could not find anything regarding water in containers (refer to identifier ATH1). Approximate average retail price is $1.50 per liter</t>
  </si>
  <si>
    <t>Liter of fuel H</t>
  </si>
  <si>
    <t>Usage of global average current fuel price. (31 October, 2022)</t>
  </si>
  <si>
    <t>Liter of diesel H</t>
  </si>
  <si>
    <t>Surgical mask</t>
  </si>
  <si>
    <t>https://www.amazon.com/s?k=surgical+mask&amp;crid=1ROTDHJDQISW0&amp;sprefix=surgical+mas%2Caps%2C175&amp;ref=nb_sb_noss_2</t>
  </si>
  <si>
    <t>The average retail price is around 0.24 USD per piece.</t>
  </si>
  <si>
    <t>Medical protective mask</t>
  </si>
  <si>
    <t>Mouth mask</t>
  </si>
  <si>
    <t>Average retail prices is around 0.24 USD per piece</t>
  </si>
  <si>
    <t>Gloves</t>
  </si>
  <si>
    <t>Average retail price is around 0.13 USD per piece.</t>
  </si>
  <si>
    <t>Disposable glove</t>
  </si>
  <si>
    <t>Average retail price is around 0.13 per piece</t>
  </si>
  <si>
    <t>Syringe</t>
  </si>
  <si>
    <t>https://www.paho.org/sites/default/files/RF-SyringePrices-2016-2017-e.pdf</t>
  </si>
  <si>
    <t>The source gives a price range for syringes in between 0.02 USD and 0.07 USD. We take the median of 0.045 USD as price estimator.</t>
  </si>
  <si>
    <t>Laser target designator</t>
  </si>
  <si>
    <t>https://comptroller.defense.gov/Portals/45/Documents/defbudget/fy2009/budget_justification/pdfs/02_Procurement/Vol_2_SOCOM_CBDP/SOCOM%20PDW%20PB09.pdf</t>
  </si>
  <si>
    <t>We use the price acquired from the US budget documents for FY 2009. It lists the price of 72 AN/PEQ-1C Laser Designators for 6 USD million. We, therefore, calculate the price of a singe item and convert it to 2021$.</t>
  </si>
  <si>
    <t>Unspecified type of equipment</t>
  </si>
  <si>
    <t>The price cannot be determined from the information given. Please note that the absence of price will not significantly affect the results due to the number of items committed and their potential value.</t>
  </si>
  <si>
    <t>https://www.fiercepharma.com/pharma/pfizer-eyes-higher-covid-19-vaccine-prices-after-pandemic-exec-analyst</t>
  </si>
  <si>
    <t>The source reports that recent price of Pfizer vaccine dose is 19.50</t>
  </si>
  <si>
    <t>The source reports that Spain sent 1000 tons of diesel to Ukraine and that Spain approximated it to be 2.5 EUR million.</t>
  </si>
  <si>
    <t>Winter Clothing (Lithuania)</t>
  </si>
  <si>
    <t>Based on the information from the Lithuanian Minister of Defense, 25000 winter suits are worth around 2 EUR million. It makes 80 EUR per unit. We also convert it to USD using the average exchange rate for 2022 (until 25 November)</t>
  </si>
  <si>
    <t xml:space="preserve">Source 1, Annex 5B Value Estimation cites WHO, PSF, ICRC, World Vision estimates as comparision for tons of medical equipment which we take as a proxy for tons of medicine. We take the average of these four estimates. </t>
  </si>
  <si>
    <t>https://www.best-osmosis-systems.com/water-filtration-system-cost/</t>
  </si>
  <si>
    <t>Online marketplace and stores</t>
  </si>
  <si>
    <t>Price range for a reverse osmosis system is between 150 USD and 500 USD. We take the average</t>
  </si>
  <si>
    <t xml:space="preserve">According to the source, the typical price for a 120mm towed smoothbore mortar system is around 370,000 EUR. We convert this to USD with the Exchange Rate we use in Release 9 (1.05), which equals 388,500 USD. </t>
  </si>
  <si>
    <t>https://www.asafm.army.mil/Portals/72/Documents/BudgetMaterial/2023/Base%20Budget/Procurement/OPA_BA3_4_Other_Support_Equipment.pdf</t>
  </si>
  <si>
    <t>Source lists a price of 109.89 USD per round of 120mm HE mortar round from the 2023 Pentagon Ammo procurement budget plan.</t>
  </si>
  <si>
    <t xml:space="preserve">Source provides information on six contracts for the sale of M577 vehicles, the type of vehicle that is commonly used as an amored medical treatment vehicle. We take the average value of these contracts. </t>
  </si>
  <si>
    <t>https://ammopricesnow.com/556-nato/</t>
  </si>
  <si>
    <t xml:space="preserve">We take 5.56 NATO rounds as a proxy for small arms ammunition, as it is the most common round used by the US Army. The source provides an average price over time of 0.47 USD. </t>
  </si>
  <si>
    <t>https://bigtruckrental.com/rear-loader-garbage-truck-rental-service/how-much-does-a-new-rear-loader-garbage-truck-cost/</t>
  </si>
  <si>
    <t xml:space="preserve">According to the source, a new Garbage Truck will cost between 200000 and 400000 USD. We take the average to arrive at 300000 USD per new unit. </t>
  </si>
  <si>
    <t>https://www.frazerbilt.com/blog-ambulance-cost/</t>
  </si>
  <si>
    <t xml:space="preserve">An ambulance can cost between 120,000 and 325,000 USD, average is close to 220,000 USD. </t>
  </si>
  <si>
    <t>https://www.amazon.com/GUARD-SHIELD-Medium-Purpose-Waterproof/dp/B0974LGBDM/ref=sxin_15_pa_sp_search_thematic_sspa?content-id=amzn1.sym.b5b80b36-fed9-4412-8be2-fe5bba09d25a%3Aamzn1.sym.b5b80b36-fed9-4412-8be2-fe5bba09d25a&amp;crid=1Y6ZMUK89WH8A&amp;cv_ct_cx=tarpaulin&amp;keywords=tarpaulin&amp;pd_rd_i=B0974LGBDM&amp;pd_rd_r=4ee90763-05e6-409c-bb1c-9075d3062221&amp;pd_rd_w=85ApN&amp;pd_rd_wg=UtiJn&amp;pf_rd_p=b5b80b36-fed9-4412-8be2-fe5bba09d25a&amp;pf_rd_r=3QEFJPT5JX03S1GD04F7&amp;qid=1667485169&amp;qu=eyJxc2MiOiI1LjM2IiwicXNhIjoiNS40NyIsInFzcCI6IjQuOTcifQ%3D%3D&amp;sprefix=tarpaulin%2Caps%2C198&amp;sr=1-1-a73d1c8c-2fd2-4f19-aa41-2df022bcb241-spons&amp;th=1</t>
  </si>
  <si>
    <t>Average retail price is about 25 USD</t>
  </si>
  <si>
    <t>https://autoline.info/-/buses/IVECO/Crossway--c65tm2616m1238</t>
  </si>
  <si>
    <t>According to the source, an used Iveco bus Euro-6 version) can cost between 13900 and 134900 EUR, depending on the condition of the bus. We take the average to arrive at 74400 EUR per new unit. We also convert it to USD using the average exchange rate for 2022 (until 25 November)</t>
  </si>
  <si>
    <t>Since the item price can vary very much and it is not used for any calculations, we do not set any price here.</t>
  </si>
  <si>
    <t xml:space="preserve">We use a price of an ambulance as a proxy. An ambulance can cost between 35000 USD and 600000 USD, average is 317,500 USD. </t>
  </si>
  <si>
    <t>https://www.amazon.de/Bauschlauch-Feuerwehrschlauch-C-Storz-Schlauch-Industrieschlauch/dp/B07VS3J1FD/ref=asc_df_B07VS3J1FD/?tag=googshopde-21&amp;linkCode=df0&amp;hvadid=427668035407&amp;hvpos=&amp;hvnetw=g&amp;hvrand=1020688947190500949&amp;hvpone=&amp;hvptwo=&amp;hvqmt=&amp;hvdev=c&amp;hvdvcmdl=&amp;hvlocint=&amp;hvlocphy=1004113&amp;hvtargid=pla-1106289525352&amp;psc=1&amp;th=1&amp;psc=1&amp;tag=&amp;ref=&amp;adgrpid=99764524455&amp;hvpone=&amp;hvptwo=&amp;hvadid=427668035407&amp;hvpos=&amp;hvnetw=g&amp;hvrand=1020688947190500949&amp;hvqmt=&amp;hvdev=c&amp;hvdvcmdl=&amp;hvlocint=&amp;hvlocphy=1004113&amp;hvtargid=pla-1106289525352</t>
  </si>
  <si>
    <t>The price of 20m is approx. 25 EUR, so the price of 1km is 1250 EUR, which we then convert to USD using the average exchange rate for 2022 (until 25 November)</t>
  </si>
  <si>
    <t>https://www.ltt-versand.de/licht/spezialeffektgeraete/zubehoer-fuer-spezialeffekte/fluide/8540/eurolite-foam-konzentrat-5l?gclid=CjwKCAiApvebBhAvEiwAe7mHSJfGcV_-VQ6pAf5Cn7KZF-l9eRLIAy5NPA0_p3Rrtqdch1Lg5jjLghoCu1UQAvD_BwE</t>
  </si>
  <si>
    <t>The reported litre price is 9 EUR. We convert it to USD using the average exchange rate for 2022 (until 25 November)</t>
  </si>
  <si>
    <t>https://aerocorner.com/aircraft/kamov-ka-32a/</t>
  </si>
  <si>
    <t>Source lists the price between 5.2 and 6.5 USD million.</t>
  </si>
  <si>
    <t>Item designation too vague to deduct price.</t>
  </si>
  <si>
    <t>humanitarian</t>
  </si>
  <si>
    <t>Due to the lack of information, we use the price of anti-drone cannon from our price list as a proxy.</t>
  </si>
  <si>
    <t>https://www.cnet.com/home/energy-and-utilities/ready-to-pull-out-your-space-heater-heres-how-much-itll-cost-you/</t>
  </si>
  <si>
    <t xml:space="preserve">Source lists the price between 20 and 300 USD for a space heater. In accordance with the upper-bound rule, we take the price of 300 USD </t>
  </si>
  <si>
    <t>https://www.amazon.de/Celox-Haemostatische-Mullwindel-Z-Falz-52/dp/B07RWLK5VK/ref=asc_df_B07RWLK5VK/?tag=googshopde-21&amp;linkCode=df0&amp;hvadid=427748981932&amp;hvpos=&amp;hvnetw=g&amp;hvrand=10208160552108135736&amp;hvpone=&amp;hvptwo=&amp;hvqmt=&amp;hvdev=c&amp;hvdvcmdl=&amp;hvlocint=&amp;hvlocphy=9043596&amp;hvtargid=pla-815670292745&amp;psc=1&amp;th=1&amp;psc=1&amp;tag=&amp;ref=&amp;adgrpid=106322596704&amp;hvpone=&amp;hvptwo=&amp;hvadid=427748981932&amp;hvpos=&amp;hvnetw=g&amp;hvrand=10208160552108135736&amp;hvqmt=&amp;hvdev=c&amp;hvdvcmdl=&amp;hvlocint=&amp;hvlocphy=9043596&amp;hvtargid=pla-815670292745</t>
  </si>
  <si>
    <t xml:space="preserve">Price for a military grade medical gauze. </t>
  </si>
  <si>
    <t>https://www.ojp.gov/pdffiles1/nij/189725.pdf</t>
  </si>
  <si>
    <t xml:space="preserve">The German Army uses the Kärcher Decocontain 3000, a mobile decontamination vehicle. The source lists the unit cost as 600000 USD. </t>
  </si>
  <si>
    <t>https://www.washingtonpost.com/politics/2022/04/08/us-quietly-paying-millions-send-starlink-terminals-ukraine-contrary-spacexs-claims/</t>
  </si>
  <si>
    <t xml:space="preserve">Based on the type of terminals USAID recently sent to Ukraine, we assume Poland also committed and delivered them. The price for each terminal is 1500 USD. </t>
  </si>
  <si>
    <t xml:space="preserve">Even thought, Germany sent HEP-70 to Ukraine, we cannot estimate it's price due to lack of information. Still, the German Army also uses the Kärcher Decocontain 3000, a mobile decontamination vehicle. The source lists the unit cost as 600000 USD. </t>
  </si>
  <si>
    <t>See the note</t>
  </si>
  <si>
    <t xml:space="preserve">Since these vehicles are donated from the stocks of the Federal Armed Forces of Germany, we assume they've sent moderate models, which are: VW Transporter T5 (minibus), Iveco Eurocargo ML 140E (truck), and MAN KAT1 (all-terrain vehicle). For each category, we try to estimate a price of a second-hand vehicle. The cost of VW Transporter T5 and MAN KAT1 is taken from one retail store (https://suchen.mobile.de/) and averages around 25000 EUR and 35000 EUR, respectively. The cost of Iveco Eurocargo ML 140E is taken from the different retail stores (https://www.alle-lkw.de/lkw/iveco/eurocargo-140e?sortby=price) and averaged around 35000 EUR. We also assume that all vehicles are equally distributed, so the average price per item is about 31.666 EUR, which is about 31500 current USD.    </t>
  </si>
  <si>
    <t>http://www.military-today.com/firearms/m141_bdm.htm</t>
  </si>
  <si>
    <t xml:space="preserve">According to the source, in 2012 one unit cost 17867.83 USD. </t>
  </si>
  <si>
    <t xml:space="preserve">Military equipment </t>
  </si>
  <si>
    <t>Source lists a contract over 2 SEMP/T for a total of 651 million EUR, bringing the unit price to 341,77 million USD.</t>
  </si>
  <si>
    <t>https://ledask.com/led-light-cost/</t>
  </si>
  <si>
    <t xml:space="preserve">According to the source, the average cost of a LED light bulb is 3.50 USD. </t>
  </si>
  <si>
    <t xml:space="preserve">Fighter jet ammunition </t>
  </si>
  <si>
    <t>https://www.deeptrekker.com/shop/products/revolution-x-rov</t>
  </si>
  <si>
    <t>Since we could not find the price of the original ROV R7, we reported the price of the Canadian variant with similar functions.</t>
  </si>
  <si>
    <t>It is impossible to estimate the price of this item due to the lack of information.</t>
  </si>
  <si>
    <t>https://www.autoevolution.com/news/primoco-lands-7-million-order-for-its-one-150-unmanned-aerial-vehicle-203800.html</t>
  </si>
  <si>
    <t xml:space="preserve">We take the price for a contract conducted in November 2022. </t>
  </si>
  <si>
    <t xml:space="preserve"> . </t>
  </si>
  <si>
    <t>Light poles set</t>
  </si>
  <si>
    <t>It is impossible to estimate the item and, therefor, the price due to the lack of information.</t>
  </si>
  <si>
    <t>non combat military helicopter</t>
  </si>
  <si>
    <t>https://www.csis.org/analysis/patriot-ukraine-what-does-it-mean</t>
  </si>
  <si>
    <t>CSIS suggests that the price of one patriot battery is about 400 million USD without missiles.</t>
  </si>
  <si>
    <t>https://mezha.media/en/2022/11/24/mim-104-patriot-air-defense-poland/</t>
  </si>
  <si>
    <t>Source states a price of 3 million USD for one missile.</t>
  </si>
  <si>
    <t>https://www.globalsecurity.org/military/systems/ground/m252-specs.htm</t>
  </si>
  <si>
    <t>Source lists a replacement cost of 24717 USD for a british 81mm mortar system which we use as a proxy.</t>
  </si>
  <si>
    <t>https://www.welt.de/politik/ausland/article241106455/Waffenhilfe-Deutschland-liefert-weitere-Geschuetze-an-die-Ukraine.html?cid=socialmedia.twitter.shared.web&amp;wtrid=socialmedia.socialflow....socialflow_twitter</t>
  </si>
  <si>
    <t xml:space="preserve">Souce lists a contract between Germany and Ukraine from 2022 for 18 units for a total price of 216 million EUR, bringing the unit cost to 12 million EUR. Due to exchange rate parity in September 2022 we take the EUR value as USD value. </t>
  </si>
  <si>
    <t>https://www.armyandoutdoors.com/products/swiss-army-wool-blanket?_pos=1&amp;_sid=827b90bd2&amp;_ss=r</t>
  </si>
  <si>
    <t xml:space="preserve">Source reports a price of 85 USD for a Swiss Army wool blanket, which we take as representative of military wool blankets </t>
  </si>
  <si>
    <t>https://www.focus.de/politik/macht-rheinmetall-ordentlich-kasse-bericht-ukraine-soll-fuer-marder-panzer-70-prozent-aufpreis-zahlen_id_98142080.html</t>
  </si>
  <si>
    <t>Source reports a contract value between Germany and Ukraine over 100 Marder for a total of 153 million EUR, bringing the unit price to 1.53 million USD.</t>
  </si>
  <si>
    <t>We could not find a robust source for this item, so we took the average price of its two close variants, Pzh2000 and Krab howitzer, as a proxy.</t>
  </si>
  <si>
    <t>unspecified armoured vehicle</t>
  </si>
  <si>
    <t>Based on the information from the package and converted to US dollars.</t>
  </si>
  <si>
    <t>https://en.wikipedia.org/wiki/Archer_Artillery_System</t>
  </si>
  <si>
    <t>Source reports a unit price of 4 million USD.</t>
  </si>
  <si>
    <t>https://en.wikipedia.org/wiki/BGM-71_TOW</t>
  </si>
  <si>
    <t>Source reports a unit cost of 8500 GBP in 2021, which we translate to 9000 USD in 2022.</t>
  </si>
  <si>
    <t>http://www.inetres.com/gp/military/cv/weapon/M242.html</t>
  </si>
  <si>
    <t xml:space="preserve">As a proxy, we use the 25mm M919 Armor-Piercing, Fin-Stabilized Discarding Sabot with Tracer (APFSDS-T) round, which is one of the basic rounds the US uses with 25mm guns. One round was was worth 98 USD in 2004. Converted to 2021$ it is worth 141.58 USD.  </t>
  </si>
  <si>
    <t>https://en.wikipedia.org/wiki/RIM-7_Sea_Sparrow</t>
  </si>
  <si>
    <t>Source lists a unit cost of 165900 USD.</t>
  </si>
  <si>
    <t>https://airandspace.si.edu/collection-objects/zuni-missile/nasm_A19660160000#:~:text=The%20Zuni%20was%20very%20inexpensive,1966%20by%20the%20U.S.%20Navy.</t>
  </si>
  <si>
    <t>Source reports a unit cost of 400 USD.</t>
  </si>
  <si>
    <t>Exchange Rates</t>
  </si>
  <si>
    <t xml:space="preserve">This worksheet lists the exchange rates used to convert values into EUR. We use the average exchange rates provided by the European Central Bank for the corresponding period of each release. 
Notes: The latest available exchange rate for TWD from the ECB was listed on October 30, 2020. We use the latest reported HRK exchange rate on December 31, 2022, as Croatia changed its currency to EUR on January 1, 2023. </t>
  </si>
  <si>
    <t>1 EUR</t>
  </si>
  <si>
    <t>TWD</t>
  </si>
  <si>
    <t>Refugee Number and Cost Estimation</t>
  </si>
  <si>
    <t xml:space="preserve">This worksheet shows the total estimated costs for each country for welcoming Ukrainian Refugees in 2022. The total cost for OECD countries is taken from the International Migration Outlook 2022 which takes living costs, primary and secondary education costs, and healthcare costs into account. For non OECD countries (Bulgaria, Cyprus, Malta, Turkey) we use country-level data provided by the UNHCR on Ukrainian refugees which we compare with OECD countries with similar Ukrainian refugee numbers to approximate the costs. </t>
  </si>
  <si>
    <t>https://data.unhcr.org/en/situations/ukraine</t>
  </si>
  <si>
    <t xml:space="preserve">https://www.oecd.org/migration/international-migration-outlook-1999124x.htm </t>
  </si>
  <si>
    <t>Refugee costs (€ billion)</t>
  </si>
  <si>
    <t>Refugee costs (% GDP)</t>
  </si>
  <si>
    <t>Not in the dataset</t>
  </si>
  <si>
    <t>Military Heavy Weapon Commitments per Month (€ billion)</t>
  </si>
  <si>
    <t xml:space="preserve">This sheet provides information on the development over time of heavy weapons commitments in € billion to Ukraine with traceable commitment months. Commitments with unknown commitment month are listed seperately. </t>
  </si>
  <si>
    <t>January</t>
  </si>
  <si>
    <t>SUMME</t>
  </si>
  <si>
    <t>non EU NATO member</t>
  </si>
  <si>
    <t>Weapon Committed and Deliveries by Category (number of units)</t>
  </si>
  <si>
    <t>This worksheet lists heavy weapon commitments and deliveries across donors. Heavy weapons include tanks, howitzers (155mm/152mm), MLRS, and armored vehicles.</t>
  </si>
  <si>
    <t>Howitzer (155mm)</t>
  </si>
  <si>
    <t>Albania</t>
  </si>
  <si>
    <t>Macedonia, North (not included)</t>
  </si>
  <si>
    <t>Bosnia-Herzegovina</t>
  </si>
  <si>
    <t>Heavy Weapons, Share of Commitments and Deliveries</t>
  </si>
  <si>
    <t xml:space="preserve">This worksheet overlooks the share of delivered and committed heavy weapons among the stocks across different donors. We take the number of stocks from the IISS Military balance (2022) and considers only weapons ready to use. Percentage values are shown as decimals after zero. </t>
  </si>
  <si>
    <t>NATO (not EU)</t>
  </si>
  <si>
    <t>Stocks &gt;&gt;&gt;</t>
  </si>
  <si>
    <t>Defence budget (2021) (bn)</t>
  </si>
  <si>
    <t>155mm/152mm</t>
  </si>
  <si>
    <t>Combat aircraft (FTR/FGA)</t>
  </si>
  <si>
    <t>Committed&gt;&gt;&gt;</t>
  </si>
  <si>
    <t>Combat aircraft (FTR)</t>
  </si>
  <si>
    <t>Delivered&gt;&gt;&gt;</t>
  </si>
  <si>
    <t>% Comitted&gt;&gt;&gt;</t>
  </si>
  <si>
    <t>% Delivered&gt;&gt;&gt;</t>
  </si>
  <si>
    <t>anti-aircraft ( committed after October 2022)</t>
  </si>
  <si>
    <t>anti-aircraft (delivered after October 2022)</t>
  </si>
  <si>
    <t>Heavy Weapons Stocks</t>
  </si>
  <si>
    <t>This worksheet displays stocks of different donors. We take the number of stocks from the IISS Military balance (2022) which considers only weapons ready to use.</t>
  </si>
  <si>
    <t>Older Leopards</t>
  </si>
  <si>
    <t>Leopard 2A4</t>
  </si>
  <si>
    <t>Leopard 2A4M</t>
  </si>
  <si>
    <t>Leopard 2A5</t>
  </si>
  <si>
    <t>Leopard 2A6</t>
  </si>
  <si>
    <t>Leopard 2A6M</t>
  </si>
  <si>
    <t>Leopard 2A7V</t>
  </si>
  <si>
    <t>Leopard 1A4/5</t>
  </si>
  <si>
    <t>Leopard 1A4</t>
  </si>
  <si>
    <t>Leopard 1A3</t>
  </si>
  <si>
    <t>Leopard 1C2</t>
  </si>
  <si>
    <t>Leopard 2PL</t>
  </si>
  <si>
    <t>Leopard 2E</t>
  </si>
  <si>
    <t>PT-91</t>
  </si>
  <si>
    <t>M48A5</t>
  </si>
  <si>
    <t>M48A3</t>
  </si>
  <si>
    <t>M60A3</t>
  </si>
  <si>
    <t>C1 Ariete</t>
  </si>
  <si>
    <t>modified T-72(incl. variants)</t>
  </si>
  <si>
    <t>T-55</t>
  </si>
  <si>
    <t>T-80U</t>
  </si>
  <si>
    <t>AMX-30B2</t>
  </si>
  <si>
    <t>T-72</t>
  </si>
  <si>
    <t>T-72M4CZ</t>
  </si>
  <si>
    <t>Leclerc</t>
  </si>
  <si>
    <t>TR-85</t>
  </si>
  <si>
    <t>TR-85 M1</t>
  </si>
  <si>
    <t>M-84</t>
  </si>
  <si>
    <t>T-72MS</t>
  </si>
  <si>
    <t>M60A1</t>
  </si>
  <si>
    <t>M60TM Firat</t>
  </si>
  <si>
    <t>ACV AIFV</t>
  </si>
  <si>
    <t xml:space="preserve">Challenger 2 </t>
  </si>
  <si>
    <t>AMX-10RC</t>
  </si>
  <si>
    <t>M1A1 Abrams</t>
  </si>
  <si>
    <t>M1A1 SA Abrams</t>
  </si>
  <si>
    <t>M1A2 SEPv2 Abrams</t>
  </si>
  <si>
    <t>M1A2 SEPv3 Abrams</t>
  </si>
  <si>
    <t>M1A1/ A2 Abrams</t>
  </si>
  <si>
    <t>K1/K1E1</t>
  </si>
  <si>
    <t>K1A1/K1A2</t>
  </si>
  <si>
    <t>K2</t>
  </si>
  <si>
    <t xml:space="preserve">BvS10 </t>
  </si>
  <si>
    <t>Bv-206S</t>
  </si>
  <si>
    <t>VBMR Griffon</t>
  </si>
  <si>
    <t>VAB</t>
  </si>
  <si>
    <t>VAB VOA (OP)</t>
  </si>
  <si>
    <t>Pandur</t>
  </si>
  <si>
    <t>Pandur EVO</t>
  </si>
  <si>
    <t>Pandur 6×6 (Valuk)</t>
  </si>
  <si>
    <t>Piranha III</t>
  </si>
  <si>
    <t>Piranha IIIH</t>
  </si>
  <si>
    <t>Piranha III-C</t>
  </si>
  <si>
    <t>Piranha III-PC</t>
  </si>
  <si>
    <t>Piranha V</t>
  </si>
  <si>
    <t>M113A2</t>
  </si>
  <si>
    <t>MT-LB</t>
  </si>
  <si>
    <t>BTR-80</t>
  </si>
  <si>
    <t>BTR-60</t>
  </si>
  <si>
    <t>BTR-50</t>
  </si>
  <si>
    <t>OT M-60</t>
  </si>
  <si>
    <t>BOV-VP</t>
  </si>
  <si>
    <t>Patria AMV</t>
  </si>
  <si>
    <t>Patria 6×6</t>
  </si>
  <si>
    <t>Patria 8×8 (Svarun)</t>
  </si>
  <si>
    <t>M113</t>
  </si>
  <si>
    <t>XA-180</t>
  </si>
  <si>
    <t>XA-186 Sisu/XA-200 Sisu/XA-203</t>
  </si>
  <si>
    <t>XA-188</t>
  </si>
  <si>
    <t>XA-202</t>
  </si>
  <si>
    <t>XA-203</t>
  </si>
  <si>
    <t>XA-360</t>
  </si>
  <si>
    <t>MT-Lbu</t>
  </si>
  <si>
    <t>MT-LBV</t>
  </si>
  <si>
    <t>Boxer</t>
  </si>
  <si>
    <t>TPz-1 Fuchs</t>
  </si>
  <si>
    <t>M577</t>
  </si>
  <si>
    <t>Leonidas Mk1/2</t>
  </si>
  <si>
    <t>Puma 6×6</t>
  </si>
  <si>
    <t>JLTV</t>
  </si>
  <si>
    <t>BvS-10</t>
  </si>
  <si>
    <t>WDSz</t>
  </si>
  <si>
    <t>Rosomak</t>
  </si>
  <si>
    <t>AWD RAK</t>
  </si>
  <si>
    <t>V-150 Commando</t>
  </si>
  <si>
    <t>V-200 Chaimite</t>
  </si>
  <si>
    <t>Pandur II</t>
  </si>
  <si>
    <t>MLVM</t>
  </si>
  <si>
    <t>B33 TAB Zimbru</t>
  </si>
  <si>
    <t>TAB-71</t>
  </si>
  <si>
    <t>TAB-77</t>
  </si>
  <si>
    <t>Lazar-3 APC</t>
  </si>
  <si>
    <t>OT-90</t>
  </si>
  <si>
    <t>OT-64</t>
  </si>
  <si>
    <t>Tatrapan (6×6)</t>
  </si>
  <si>
    <t>BMR-600/BMR-600M1</t>
  </si>
  <si>
    <t>Pbv 302</t>
  </si>
  <si>
    <t>Bastion APC</t>
  </si>
  <si>
    <t>ACV AAPC</t>
  </si>
  <si>
    <t>FV430 Bulldog</t>
  </si>
  <si>
    <t>LAV Bison</t>
  </si>
  <si>
    <t>AMPV</t>
  </si>
  <si>
    <t>M1126 Stryker ICV</t>
  </si>
  <si>
    <t>M1130 Stryker CV (CP)</t>
  </si>
  <si>
    <t>M1131 Stryker FSV (OP)</t>
  </si>
  <si>
    <t>M1133 Stryker MEV (Amb)</t>
  </si>
  <si>
    <t>M1251A1 Stryker FSV (OP)</t>
  </si>
  <si>
    <t>M1254A1 Stryker MEV (Amb)</t>
  </si>
  <si>
    <t>M1255A1 Stryker CV (CP)</t>
  </si>
  <si>
    <t>M1256A1 Stryker ICV</t>
  </si>
  <si>
    <t>LAV variants</t>
  </si>
  <si>
    <t>KIFV</t>
  </si>
  <si>
    <t>K806/K808</t>
  </si>
  <si>
    <t>Maxxpro</t>
  </si>
  <si>
    <t>RG-32M</t>
  </si>
  <si>
    <t>RG-33 HAGA</t>
  </si>
  <si>
    <t>Cougar 6×6 JERRV</t>
  </si>
  <si>
    <t>RG-31</t>
  </si>
  <si>
    <t>Edjer Yalcin 4×4</t>
  </si>
  <si>
    <t>Kirpi</t>
  </si>
  <si>
    <t>Kirpi-II</t>
  </si>
  <si>
    <t>Vuran</t>
  </si>
  <si>
    <t>Mastiff (6×6)</t>
  </si>
  <si>
    <t>Titus</t>
  </si>
  <si>
    <t>Aravis</t>
  </si>
  <si>
    <t>VTMM Orso</t>
  </si>
  <si>
    <t>IVECO LMV</t>
  </si>
  <si>
    <t>IVECO LMV2</t>
  </si>
  <si>
    <t>Cobra</t>
  </si>
  <si>
    <t>Cobra II</t>
  </si>
  <si>
    <t>Foxhound</t>
  </si>
  <si>
    <t>Spartan Mk2</t>
  </si>
  <si>
    <t>Panther CLV</t>
  </si>
  <si>
    <t>Ridgback</t>
  </si>
  <si>
    <t>Bushmaster IMV</t>
  </si>
  <si>
    <t>Dingo 2</t>
  </si>
  <si>
    <t>M1117 ASV</t>
  </si>
  <si>
    <t>Plasan SandCat</t>
  </si>
  <si>
    <t>M-ATV</t>
  </si>
  <si>
    <t>BOV M16 Milos</t>
  </si>
  <si>
    <t>Eagle IV</t>
  </si>
  <si>
    <t>Eagle V</t>
  </si>
  <si>
    <t>Eagle IV/V</t>
  </si>
  <si>
    <t>SISU GTP</t>
  </si>
  <si>
    <t>Wiesel 1 Mk20</t>
  </si>
  <si>
    <t>Cougar</t>
  </si>
  <si>
    <t>Fennek</t>
  </si>
  <si>
    <t>TABC-79</t>
  </si>
  <si>
    <t>Hawkei</t>
  </si>
  <si>
    <t>TAPV</t>
  </si>
  <si>
    <t>M1200 Armored Knight (OP)</t>
  </si>
  <si>
    <t>BMP-23</t>
  </si>
  <si>
    <t>M-80</t>
  </si>
  <si>
    <t>M80AB1</t>
  </si>
  <si>
    <t>BMP-3</t>
  </si>
  <si>
    <t>BMP-2</t>
  </si>
  <si>
    <t>Pandur II MK 30mm</t>
  </si>
  <si>
    <t>B1 Centauro</t>
  </si>
  <si>
    <t>VCC-80 Dardo</t>
  </si>
  <si>
    <t xml:space="preserve">VBM 8×8 Freccia </t>
  </si>
  <si>
    <t>CV9035 MkIII</t>
  </si>
  <si>
    <t xml:space="preserve">CV9035EE </t>
  </si>
  <si>
    <t>CV9030FIN</t>
  </si>
  <si>
    <t>CV9035NL</t>
  </si>
  <si>
    <t>CV9030N</t>
  </si>
  <si>
    <t>VBCI VCI</t>
  </si>
  <si>
    <t>VBCI VPC (CP)</t>
  </si>
  <si>
    <t>Marder 1A3/A4</t>
  </si>
  <si>
    <t>Marder 1A5</t>
  </si>
  <si>
    <t>Puma</t>
  </si>
  <si>
    <t>BTR-80A/AM</t>
  </si>
  <si>
    <t>Rosomak IFV</t>
  </si>
  <si>
    <t>MLI-84</t>
  </si>
  <si>
    <t>MLI-84M</t>
  </si>
  <si>
    <t>Piranha V IFV</t>
  </si>
  <si>
    <t>Lazar-3 IFV</t>
  </si>
  <si>
    <t>BVP-M</t>
  </si>
  <si>
    <t>Pizarro</t>
  </si>
  <si>
    <t>Pizarro (CP)</t>
  </si>
  <si>
    <t>CV9040</t>
  </si>
  <si>
    <t>Epbv 90 (OP)</t>
  </si>
  <si>
    <t>FV510 Warrior</t>
  </si>
  <si>
    <t>FV511 Warrior (CP)</t>
  </si>
  <si>
    <t>FV514 Warrior (OP)</t>
  </si>
  <si>
    <t>FV515 Warrior (CP)</t>
  </si>
  <si>
    <t>Ulan</t>
  </si>
  <si>
    <t>Piranha III-C DF90</t>
  </si>
  <si>
    <t>Piranha III-C DF30</t>
  </si>
  <si>
    <t>Boxer (Vilkas)</t>
  </si>
  <si>
    <t>ASLAV-25</t>
  </si>
  <si>
    <t>LAV 6.0</t>
  </si>
  <si>
    <t>LAV-25</t>
  </si>
  <si>
    <t>M2A2/A3 Bradley;</t>
  </si>
  <si>
    <t>M7A3/SA BFIST (OP)</t>
  </si>
  <si>
    <t>M1296 Stryker Dragoon</t>
  </si>
  <si>
    <t>M2 Bradley</t>
  </si>
  <si>
    <t>K21</t>
  </si>
  <si>
    <t>M109A5ÖE</t>
  </si>
  <si>
    <t>M109</t>
  </si>
  <si>
    <t>M114</t>
  </si>
  <si>
    <t>D-20(152mm)</t>
  </si>
  <si>
    <t>PzH 2000</t>
  </si>
  <si>
    <t>NORA B-52</t>
  </si>
  <si>
    <t>Mk F3</t>
  </si>
  <si>
    <t>Zuzana</t>
  </si>
  <si>
    <t>TR-F-1(towed)</t>
  </si>
  <si>
    <t>M-77 Dana(152mm)</t>
  </si>
  <si>
    <t>CAESAR 8×8</t>
  </si>
  <si>
    <t>K 83/GH-52 (K 98)</t>
  </si>
  <si>
    <t>AU-F-1</t>
  </si>
  <si>
    <t>FH-70</t>
  </si>
  <si>
    <t>K9 Thunder</t>
  </si>
  <si>
    <t>Krab</t>
  </si>
  <si>
    <t>M-84 NORA-A</t>
  </si>
  <si>
    <t>M-2000 Zuzana</t>
  </si>
  <si>
    <t>M-2000 Zuzana 2</t>
  </si>
  <si>
    <t>TN-90</t>
  </si>
  <si>
    <t>SBT 155/52 SIAC</t>
  </si>
  <si>
    <t>Archer</t>
  </si>
  <si>
    <t>M44T1</t>
  </si>
  <si>
    <t>M52T</t>
  </si>
  <si>
    <t>T-155 Firtina</t>
  </si>
  <si>
    <t>T-155 Firtina II</t>
  </si>
  <si>
    <t>M114 (A1/A2)</t>
  </si>
  <si>
    <t>Panter</t>
  </si>
  <si>
    <t>AS90</t>
  </si>
  <si>
    <t>M777</t>
  </si>
  <si>
    <t>KH-179</t>
  </si>
  <si>
    <t>D-20</t>
  </si>
  <si>
    <t>M-1981</t>
  </si>
  <si>
    <t>M-1985</t>
  </si>
  <si>
    <t>M-77 Dana</t>
  </si>
  <si>
    <t>M270</t>
  </si>
  <si>
    <t>M270B1</t>
  </si>
  <si>
    <t>RM-70</t>
  </si>
  <si>
    <t>RM-70/85 MODULAR</t>
  </si>
  <si>
    <t>Unknown MLRS</t>
  </si>
  <si>
    <t>WR-40</t>
  </si>
  <si>
    <t>M142 HIMARS</t>
  </si>
  <si>
    <t>MRL APR-40</t>
  </si>
  <si>
    <t>LAROM</t>
  </si>
  <si>
    <t>M-63 Plamen</t>
  </si>
  <si>
    <t>M-77 Organj</t>
  </si>
  <si>
    <t>M-87 Orkan</t>
  </si>
  <si>
    <t>TR-300 Kasirga (WS-1)</t>
  </si>
  <si>
    <t>T-122</t>
  </si>
  <si>
    <t>M91 Vulkan</t>
  </si>
  <si>
    <t>BM-21 Grad</t>
  </si>
  <si>
    <t>APRA-40</t>
  </si>
  <si>
    <t>K136 Kooryong</t>
  </si>
  <si>
    <t>K239 Cheonmu</t>
  </si>
  <si>
    <t>Aircraft(FTR not FGA)</t>
  </si>
  <si>
    <t>Eurofighter Typhoon</t>
  </si>
  <si>
    <t>F-16AM Fighting Falcon</t>
  </si>
  <si>
    <t>F-16BM Fighting Falcon</t>
  </si>
  <si>
    <t>F-16BM and F-16AM Fighting Falcon</t>
  </si>
  <si>
    <t>MiG-29 Fulcrum</t>
  </si>
  <si>
    <t>MiG-29UB Fulcrum</t>
  </si>
  <si>
    <t>MiG-29SE Fulcrum C</t>
  </si>
  <si>
    <t>MiG-29AS Fulcrum</t>
  </si>
  <si>
    <t>MiG-29UBS Fulcrum</t>
  </si>
  <si>
    <t>MiG-21bis</t>
  </si>
  <si>
    <t>MiG-21UMD</t>
  </si>
  <si>
    <t>F-5B Freedom Fighter</t>
  </si>
  <si>
    <t>NF-5A Freedom Fighter</t>
  </si>
  <si>
    <t>NF-5B Freedom Fighter</t>
  </si>
  <si>
    <t>Mirage 2000-5</t>
  </si>
  <si>
    <t>Mirage 2000C</t>
  </si>
  <si>
    <t>Mirage 2000B</t>
  </si>
  <si>
    <t>F-15C Eagle</t>
  </si>
  <si>
    <t>F-15D Eagle</t>
  </si>
  <si>
    <t>F-22A Raptor</t>
  </si>
  <si>
    <t>F-5E Tiger II</t>
  </si>
  <si>
    <t>F-5F Tiger II</t>
  </si>
  <si>
    <t>FGA</t>
  </si>
  <si>
    <t xml:space="preserve"> JAS 39C/D Gripen (FGA)</t>
  </si>
  <si>
    <t>F-4E Phantom</t>
  </si>
  <si>
    <t>F-16 (C and B) Fighting Falcon</t>
  </si>
  <si>
    <t>F-16A Fighting Falcon</t>
  </si>
  <si>
    <t>F-16B Fighting Falcon</t>
  </si>
  <si>
    <t>F-35A Lightning II</t>
  </si>
  <si>
    <t>F-35B Lightning II</t>
  </si>
  <si>
    <t>F-35C Lightning II</t>
  </si>
  <si>
    <t>Typhoon FGR4</t>
  </si>
  <si>
    <t>Typhoon T3</t>
  </si>
  <si>
    <t>MiG-21bis Fishbed</t>
  </si>
  <si>
    <t>MiG-21UM Mongol</t>
  </si>
  <si>
    <t>MiG-21 Lancer B</t>
  </si>
  <si>
    <t>MiG-21 Lancer C</t>
  </si>
  <si>
    <t>Gripen C</t>
  </si>
  <si>
    <t>Gripen D</t>
  </si>
  <si>
    <t>F/A-18A Hornet</t>
  </si>
  <si>
    <t>F/A-18B Hornet</t>
  </si>
  <si>
    <t>F/A-18C Hornet</t>
  </si>
  <si>
    <t>F/A-18D Hornet</t>
  </si>
  <si>
    <t>F/A-18F Super Hornet</t>
  </si>
  <si>
    <t>F/A-18E Super Hornet</t>
  </si>
  <si>
    <t>Rafale M F3-R</t>
  </si>
  <si>
    <t>Rafale B;</t>
  </si>
  <si>
    <t>Rafale C</t>
  </si>
  <si>
    <t>Mirage 2000D</t>
  </si>
  <si>
    <t>AMX Ghibli</t>
  </si>
  <si>
    <t>AMX-T Ghibli</t>
  </si>
  <si>
    <t>Su-22M4 Fitter</t>
  </si>
  <si>
    <t>Su-22UM3K Fitter</t>
  </si>
  <si>
    <t>J-22 Orao 1</t>
  </si>
  <si>
    <t>EF-18A MLU</t>
  </si>
  <si>
    <t>EF-18B MLU</t>
  </si>
  <si>
    <t>AV-8B Harrier II</t>
  </si>
  <si>
    <t>TAV-8B Harrier</t>
  </si>
  <si>
    <t>F-15E Strike Eagle</t>
  </si>
  <si>
    <t>F-15EX Eagle II</t>
  </si>
  <si>
    <t>F-16C Fighting Falcon</t>
  </si>
  <si>
    <t>F-16D Fighting Falcon</t>
  </si>
  <si>
    <t>F-15K Eagle</t>
  </si>
  <si>
    <t>FA-50 Fighting Eagle</t>
  </si>
  <si>
    <t>Air defence</t>
  </si>
  <si>
    <t>Long-range</t>
  </si>
  <si>
    <t>S-200</t>
  </si>
  <si>
    <t>SAMP/T</t>
  </si>
  <si>
    <t>S-300PMU</t>
  </si>
  <si>
    <t>M902 Patriot PAC-3</t>
  </si>
  <si>
    <t>M901 Patriot PAC-2</t>
  </si>
  <si>
    <t>M903 Patriot PAC-3 MSE</t>
  </si>
  <si>
    <t>MIM-14 Nike Hercules</t>
  </si>
  <si>
    <t>S-400</t>
  </si>
  <si>
    <t>MIM-104E/F Patriot</t>
  </si>
  <si>
    <t>Medium-range</t>
  </si>
  <si>
    <t>9K37M1 Buk M1-2</t>
  </si>
  <si>
    <t>MIM-23B</t>
  </si>
  <si>
    <t>IRIS-T</t>
  </si>
  <si>
    <t>S-75M3 Volkhov</t>
  </si>
  <si>
    <t>MIM-23 Hawk PIP III</t>
  </si>
  <si>
    <t>Chunggung (KM-SAM)</t>
  </si>
  <si>
    <t>Short-range</t>
  </si>
  <si>
    <t>2K12 Kub</t>
  </si>
  <si>
    <t>S-125 Newa SC</t>
  </si>
  <si>
    <t>Aspide</t>
  </si>
  <si>
    <t>9K331 Tor-M1</t>
  </si>
  <si>
    <t>Crotale NG (ITO 90)</t>
  </si>
  <si>
    <t>NASAMS (unknown vers)</t>
  </si>
  <si>
    <t>NASAMS II FIN (ITO 12)</t>
  </si>
  <si>
    <t>NASAMS III</t>
  </si>
  <si>
    <t>NASAMS II</t>
  </si>
  <si>
    <t>96K6 Pantsir-S1</t>
  </si>
  <si>
    <t>Skyguard/Aspide</t>
  </si>
  <si>
    <t>RBS-23 BAMSE</t>
  </si>
  <si>
    <t>HISAR-A/A+</t>
  </si>
  <si>
    <t>HISAR-O</t>
  </si>
  <si>
    <t>Land Ceptor</t>
  </si>
  <si>
    <t>Iron Dome</t>
  </si>
  <si>
    <t>SPADA</t>
  </si>
  <si>
    <t>Point-defence (MANPATS)</t>
  </si>
  <si>
    <t>9K34 Strela-3</t>
  </si>
  <si>
    <t>9K310 Igla-1</t>
  </si>
  <si>
    <t>9K35 Strela-10M3</t>
  </si>
  <si>
    <t>9K31M Strela-1M</t>
  </si>
  <si>
    <t>9K35M Strela-10M</t>
  </si>
  <si>
    <t>9K32 Strela</t>
  </si>
  <si>
    <t>9K338 Igla-S</t>
  </si>
  <si>
    <t>RBS-70</t>
  </si>
  <si>
    <t>FIM-92 Stinger</t>
  </si>
  <si>
    <t>GROM</t>
  </si>
  <si>
    <t>Piorun</t>
  </si>
  <si>
    <t>Chiron</t>
  </si>
  <si>
    <t>Point-defence (non-MANPATS)</t>
  </si>
  <si>
    <t>Point-defence (self-propelled-system)</t>
  </si>
  <si>
    <t>9K33 Osa</t>
  </si>
  <si>
    <t>ZSU-23-4MP Biala</t>
  </si>
  <si>
    <t>Poprad</t>
  </si>
  <si>
    <t>M48A2 Chaparral</t>
  </si>
  <si>
    <t>M48A3 Chaparral</t>
  </si>
  <si>
    <t>CA-95</t>
  </si>
  <si>
    <t>Altigan PMADS</t>
  </si>
  <si>
    <t>Zipkin PMADS</t>
  </si>
  <si>
    <t>FV4333 Stormer with Starstreak</t>
  </si>
  <si>
    <t>Fennek with FIM-92</t>
  </si>
  <si>
    <t>M-SHORAD</t>
  </si>
  <si>
    <t>M1097 Avenger</t>
  </si>
  <si>
    <t>Chun Ma</t>
  </si>
  <si>
    <t>Point-defence (stationary-system)</t>
  </si>
  <si>
    <t>ASRAD Ozelot (with FIM-92 Stinger)</t>
  </si>
  <si>
    <t>ZUR-23-2KG Jodek-G</t>
  </si>
  <si>
    <t>Pilica</t>
  </si>
  <si>
    <t>Rapier FSC</t>
  </si>
  <si>
    <t>Starstreak (LML)</t>
  </si>
  <si>
    <t>Mistral</t>
  </si>
  <si>
    <t>RIM-7M with Skygaurd</t>
  </si>
  <si>
    <t>Air defence(guns)</t>
  </si>
  <si>
    <t>GDF-005</t>
  </si>
  <si>
    <t>GDF-007</t>
  </si>
  <si>
    <t>L/60</t>
  </si>
  <si>
    <t>L/70</t>
  </si>
  <si>
    <t>L/60/L/70</t>
  </si>
  <si>
    <t>ZU-23-2</t>
  </si>
  <si>
    <t>S-60</t>
  </si>
  <si>
    <t>BOV-3 SP</t>
  </si>
  <si>
    <t>M-55</t>
  </si>
  <si>
    <t>GDF-003 (with Skyguard)</t>
  </si>
  <si>
    <t>C-RAM Mantis</t>
  </si>
  <si>
    <t>Rh 202</t>
  </si>
  <si>
    <t>Artemis-30</t>
  </si>
  <si>
    <t>ZPU-2</t>
  </si>
  <si>
    <t>GDF-003</t>
  </si>
  <si>
    <t>Phalanx (LPWS)</t>
  </si>
  <si>
    <t>M167 Vulcan</t>
  </si>
  <si>
    <t xml:space="preserve"> GAI-D01/Rh-202</t>
  </si>
  <si>
    <t>SP air defence guns</t>
  </si>
  <si>
    <t>Leopard 2 ITK Marksman</t>
  </si>
  <si>
    <t>Gepard</t>
  </si>
  <si>
    <t>Pasars-16</t>
  </si>
  <si>
    <t>KIFV Vulcan SPAAG</t>
  </si>
  <si>
    <t>K30 Biho</t>
  </si>
  <si>
    <t>ZSU-23-4</t>
  </si>
  <si>
    <t>Korkut</t>
  </si>
  <si>
    <t>Lvkv 90</t>
  </si>
  <si>
    <t>unknown</t>
  </si>
  <si>
    <t>"some"</t>
  </si>
  <si>
    <t xml:space="preserve">unkown </t>
  </si>
  <si>
    <t>some</t>
  </si>
  <si>
    <t>Serbia</t>
  </si>
  <si>
    <t>Bilateral Aid Commitments per Month</t>
  </si>
  <si>
    <t xml:space="preserve">This sheet provides information on the development over time of total bilateral commitments in € billion to Ukraine with traceable commitment months. Commitments with unknown commitment month are listed seperately. </t>
  </si>
  <si>
    <t>January (2023)</t>
  </si>
  <si>
    <t>Total tracked commitments over time</t>
  </si>
  <si>
    <t>Total untracked commitments over time</t>
  </si>
  <si>
    <t>Military in-kind Commitments per Month (€ billion)</t>
  </si>
  <si>
    <t xml:space="preserve">This sheet provides information on the development over time of in-kind military aid commitments in € billion to Ukraine with traceable commitment months. Commitments with unknown commitment month are listed seperately. </t>
  </si>
  <si>
    <t>This sheet provides information on the development over time of budget aid disbursements in € billion to Ukraine. Information on disbursement is disclosed by Ukrainian Ministry of Finance. We use the regularly updated data by the Ukrainian Ministry of Finance in to define budget disbursements for each country that has committed budget support in the form of loans and grants.</t>
  </si>
  <si>
    <t>No budget support</t>
  </si>
  <si>
    <t>Fiscal Commitments to Energy Subsidies</t>
  </si>
  <si>
    <t>This sheet provides information on the fiscal commitments to energy subsidies by countries included in the Bruegel report starting from February 2022.</t>
  </si>
  <si>
    <t>Energy Subsidies</t>
  </si>
  <si>
    <t>Ukraine Support (incl. EU Share)</t>
  </si>
  <si>
    <t>Energy subsidies</t>
  </si>
  <si>
    <t>Ukraine Support</t>
  </si>
  <si>
    <t>Ukraine Support (no EU Share)</t>
  </si>
  <si>
    <t>% Energy Subsidies</t>
  </si>
  <si>
    <t>% of GDP</t>
  </si>
  <si>
    <t>Total EU (incl. EU Institutions)</t>
  </si>
  <si>
    <t>Average (EU Members)</t>
  </si>
  <si>
    <t>Median (EU Members)</t>
  </si>
  <si>
    <t>Bailout Funds</t>
  </si>
  <si>
    <t>This sheet shows the bailout funds committed by EU institutions and bilateral loans by member countries towards Greece, Ireland, Portugal and Spain that were announced between 2010 and 2012. Instruments by the European Union include the Greek Loan Facility (GLF), the European Financial Stability Facility (EFSF), the European Financial Stabilisation Mechanism (EFSM) and the European Stability Mechanism (ESM)</t>
  </si>
  <si>
    <t>Instrument</t>
  </si>
  <si>
    <t>Total Ammount Committed</t>
  </si>
  <si>
    <t>GLF</t>
  </si>
  <si>
    <t>https://www.consilium.europa.eu/en/policies/financial-assistance-eurozone-members/greece-programme/</t>
  </si>
  <si>
    <t>EFSF</t>
  </si>
  <si>
    <t>https://www.consilium.europa.eu/en/infographics/financial-assistance-to-greece-2010-2018/</t>
  </si>
  <si>
    <t>https://eur-lex.europa.eu/EN/legal-content/summary/financial-assistance-to-ireland.html</t>
  </si>
  <si>
    <t>EFSM</t>
  </si>
  <si>
    <t>Bilateral (UK, Sweden, Denmark)</t>
  </si>
  <si>
    <t>https://www.esm.europa.eu/press-releases/eu-and-efsf-funding-plans-provide-financial-assistance-portugal-and-ireland</t>
  </si>
  <si>
    <t>ESM</t>
  </si>
  <si>
    <t>https://www.esm.europa.eu/sites/default/files/migration_files/spanish_exit.pdf</t>
  </si>
  <si>
    <t xml:space="preserve">Historical Comparison </t>
  </si>
  <si>
    <t>This sheet contains data for military aid and expenditures, as well as historical GDP for historical comparison. For each value, we provide the source. For details on sources, see the corresponding Working Paper.</t>
  </si>
  <si>
    <t>Name of conflict</t>
  </si>
  <si>
    <t>Donor country name</t>
  </si>
  <si>
    <t>€2022 billion annual data</t>
  </si>
  <si>
    <t>% of GDP (real)</t>
  </si>
  <si>
    <t>% of GDP (nominal)</t>
  </si>
  <si>
    <t>$2022 billion annual data</t>
  </si>
  <si>
    <t>Current dollars annual data</t>
  </si>
  <si>
    <t>Constant dollars total data</t>
  </si>
  <si>
    <t>Current dollars total data</t>
  </si>
  <si>
    <t>Year of currency (nominal)</t>
  </si>
  <si>
    <t>Number of months</t>
  </si>
  <si>
    <t>Year</t>
  </si>
  <si>
    <t>Donor GDP (real, $2022)</t>
  </si>
  <si>
    <t>Donor GDP (real, $2011)</t>
  </si>
  <si>
    <t>Donor GDP (nominal)</t>
  </si>
  <si>
    <t>Year (Real GDP)</t>
  </si>
  <si>
    <t>Source 1</t>
  </si>
  <si>
    <t>Source 2</t>
  </si>
  <si>
    <t>Real GDP data source</t>
  </si>
  <si>
    <t>Nominal GDP data source</t>
  </si>
  <si>
    <t>Conflict</t>
  </si>
  <si>
    <t>WWII US lend-lease to U.K. 1941</t>
  </si>
  <si>
    <t>21th Report to Congress</t>
  </si>
  <si>
    <t>Allen (1946)</t>
  </si>
  <si>
    <t>Maddison Project (2020)</t>
  </si>
  <si>
    <t>WWII</t>
  </si>
  <si>
    <t>WWII US lend-lease to U.K. 1942</t>
  </si>
  <si>
    <t>WWII US lend-lease to U.K. 1943</t>
  </si>
  <si>
    <t>WWII US lend-lease to U.K. 1944</t>
  </si>
  <si>
    <t>WWII US lend-lease to U.K. 1945</t>
  </si>
  <si>
    <t>WWII US lend-lease to USSR 1941</t>
  </si>
  <si>
    <t>WWII US lend-lease to USSR 1942</t>
  </si>
  <si>
    <t>WWII US lend-lease to USSR 1943</t>
  </si>
  <si>
    <t>WWII US lend-lease to USSR 1944</t>
  </si>
  <si>
    <t>WWII US lend-lease to USSR 1945</t>
  </si>
  <si>
    <t>WWII US lend-lease to France 1944</t>
  </si>
  <si>
    <t>WWII US lend-lease to France 1945</t>
  </si>
  <si>
    <t>1944-45</t>
  </si>
  <si>
    <t>1941-45</t>
  </si>
  <si>
    <t>UK Parliament (1946)</t>
  </si>
  <si>
    <t>Schofield (1967)</t>
  </si>
  <si>
    <t>1965-1975</t>
  </si>
  <si>
    <t>Daggett (2010)</t>
  </si>
  <si>
    <t>Vietnam War</t>
  </si>
  <si>
    <t>2001-2010</t>
  </si>
  <si>
    <t>US in Afghanistan</t>
  </si>
  <si>
    <t>1950-1953</t>
  </si>
  <si>
    <t>Korean War</t>
  </si>
  <si>
    <t>2003-2010</t>
  </si>
  <si>
    <t>UK to Ukraine Military in-kind Aid</t>
  </si>
  <si>
    <t>UST</t>
  </si>
  <si>
    <t>US to Ukraine Military in-kind Aid</t>
  </si>
  <si>
    <t>Source of USD to Pound in 1945:</t>
  </si>
  <si>
    <t>https://www.measuringworth.com/datasets/exchangepound/result.php</t>
  </si>
  <si>
    <t>BEA's Deflator for GDP and National Defense</t>
  </si>
  <si>
    <t>This sheet contains price indexes for GDP and National defense that we use to adjust historical numbers for inflation.</t>
  </si>
  <si>
    <t>BEA's Table 1.1.4. Price Indexes for Gross Domestic Product</t>
  </si>
  <si>
    <t>National defense</t>
  </si>
  <si>
    <t>GDP</t>
  </si>
  <si>
    <t>Gulf War</t>
  </si>
  <si>
    <t xml:space="preserve">This sheet contains data for military aid and expenditures during the Gulf War, as well as historical GDP for historical comparison. For each value, we provide the source. </t>
  </si>
  <si>
    <t>Purpose</t>
  </si>
  <si>
    <t>Total in €</t>
  </si>
  <si>
    <t>Military aid to Ukraine in €</t>
  </si>
  <si>
    <t>2022 USD</t>
  </si>
  <si>
    <t>1991 USD</t>
  </si>
  <si>
    <t>1991 local currency</t>
  </si>
  <si>
    <t>GDP (2021) in €</t>
  </si>
  <si>
    <t>GDP (1991) in €</t>
  </si>
  <si>
    <t>GDP (1991) in 2022 USD</t>
  </si>
  <si>
    <t>GDP (1991) in Current USD</t>
  </si>
  <si>
    <t>US Assistance:</t>
  </si>
  <si>
    <t>by Germany</t>
  </si>
  <si>
    <t>by Japan</t>
  </si>
  <si>
    <t>by UAE</t>
  </si>
  <si>
    <t>by Kuwait</t>
  </si>
  <si>
    <t>by South-Korea</t>
  </si>
  <si>
    <t>by Saudi Arabia</t>
  </si>
  <si>
    <t>by Others</t>
  </si>
  <si>
    <t>year</t>
  </si>
  <si>
    <t>Some explanation</t>
  </si>
  <si>
    <t>Sources</t>
  </si>
  <si>
    <t>GDP Source</t>
  </si>
  <si>
    <t>We use data from the DOD Final Report to Congress (1992). Conduct of the Persian Gulf War, providing detailed information on costs and assistance by other countries in USD</t>
  </si>
  <si>
    <t>https://www.globalsecurity.org/military/library/report/1992/cpgw.pdf</t>
  </si>
  <si>
    <t>World Bank</t>
  </si>
  <si>
    <t>Ukraine Aid</t>
  </si>
  <si>
    <t>We use data from the German Ambassy of Kuwait. Conversion from Deutsche Mark to 1990 USD is done by taking the average exchange rate provided by the FED.</t>
  </si>
  <si>
    <t>https://web.archive.org/web/20141208203539/http:/www.kuwait.diplo.de/Vertretung/kuwait/de/03/Bilaterale__Beziehungen/seite__Befreiung__Kuwait.html</t>
  </si>
  <si>
    <t xml:space="preserve">We use data from the Japanese Ministry of Foreign Affairs, providing detailed sum on all the packages they appropriated. We exclude packages that go towards neighboring countries of Kuwait (including a large $2 billion package towards Egypt, Turkey and Jordan, which were facing serious economic difficulties from September 1990). We do not convert from Yen to 1990 USD is done by taking the average exchange rate provided by the FED, but instead rely on the USD amounts provided by the Ministry of Foreign Affairs. This is done because there was some debate on exchange rates between Japan and the US when it came to certain payments (some fluctuations making Japanese committments lower). </t>
  </si>
  <si>
    <t>https://www.mofa.go.jp/policy/other/bluebook/1991/1991-2-2.htm#:~:text=On%20September%2021%2C%20Japan%20contributed,in%20transportation%20and%20medical%20services</t>
  </si>
  <si>
    <t>Gulf War Assistance to US</t>
  </si>
  <si>
    <t>No official source. Use the commitment amount to the US from the DOD report to Congress.</t>
  </si>
  <si>
    <t>United Arab Emirates</t>
  </si>
  <si>
    <t>Kuwait</t>
  </si>
  <si>
    <t>Saudi Arabia</t>
  </si>
  <si>
    <t>Others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</si>
</sst>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4" formatCode="_(* #,##0.00_);_(* \(#,##0.00\);_(* &quot;-&quot;??_);_(@_)"/>
    <numFmt numFmtId="165" formatCode="_-* #,##0.00_-;\-* #,##0.00_-;_-* &quot;-&quot;??_-;_-@_-"/>
    <numFmt numFmtId="166" formatCode="0.000000"/>
    <numFmt numFmtId="167" formatCode="0.0000"/>
    <numFmt numFmtId="168" formatCode="0.00000"/>
    <numFmt numFmtId="169" formatCode="#,##0.00\ _€"/>
    <numFmt numFmtId="170" formatCode="#,##0\ _€"/>
    <numFmt numFmtId="171" formatCode="0.0"/>
    <numFmt numFmtId="172" formatCode="#,##0_ ;\-#,##0\ "/>
    <numFmt numFmtId="173" formatCode="0.0000000"/>
    <numFmt numFmtId="174" formatCode="0.000"/>
    <numFmt numFmtId="175" formatCode="_(* #,##0_);_(* \(#,##0\);_(* &quot;-&quot;??_);_(@_)"/>
    <numFmt numFmtId="176" formatCode="#,##0.0"/>
    <numFmt numFmtId="177" formatCode="mmmm"/>
    <numFmt numFmtId="178" formatCode="0.0000%"/>
    <numFmt numFmtId="179" formatCode="_-* #,##0.0000000_-;\-* #,##0.0000000_-;_-* &quot;-&quot;??_-;_-@_-"/>
    <numFmt numFmtId="180" formatCode="_(* #,##0.0000000_);_(* \(#,##0.0000000\);_(* &quot;-&quot;??_);_(@_)"/>
    <numFmt numFmtId="181" formatCode="_-* #,##0.0000_-;\-* #,##0.0000_-;_-* &quot;-&quot;??_-;_-@_-"/>
    <numFmt numFmtId="182" formatCode="_-* #,##0.000_-;\-* #,##0.000_-;_-* &quot;-&quot;??_-;_-@_-"/>
    <numFmt numFmtId="183" formatCode="_-* #,##0.00000_-;\-* #,##0.00000_-;_-* &quot;-&quot;??_-;_-@_-"/>
    <numFmt numFmtId="184" formatCode="0.00000000000"/>
    <numFmt numFmtId="185" formatCode="_(* #,##0.0000_);_(* \(#,##0.0000\);_(* &quot;-&quot;??_);_(@_)"/>
    <numFmt numFmtId="186" formatCode="0.0000000000"/>
    <numFmt numFmtId="187" formatCode="#,##0.000"/>
  </numFmts>
  <fonts count="8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2"/>
      <color theme="10"/>
      <name val="Calibri"/>
      <family val="2"/>
      <scheme val="minor"/>
    </font>
    <font>
      <sz val="8"/>
      <name val="Calibri"/>
      <family val="2"/>
      <scheme val="minor"/>
    </font>
    <font>
      <sz val="10"/>
      <name val="Arial"/>
      <family val="2"/>
    </font>
    <font>
      <sz val="11"/>
      <color theme="1"/>
      <name val="Calibri"/>
      <family val="2"/>
      <scheme val="minor"/>
    </font>
    <font>
      <sz val="12"/>
      <color theme="1"/>
      <name val="Times New Roman"/>
      <family val="1"/>
    </font>
    <font>
      <sz val="11"/>
      <color rgb="FF000000"/>
      <name val="Times New Roman"/>
      <family val="1"/>
    </font>
    <font>
      <sz val="11"/>
      <color theme="1"/>
      <name val="Times New Roman"/>
      <family val="1"/>
    </font>
    <font>
      <sz val="9"/>
      <color indexed="81"/>
      <name val="Tahoma"/>
      <family val="2"/>
    </font>
    <font>
      <b/>
      <sz val="9"/>
      <color indexed="81"/>
      <name val="Tahoma"/>
      <family val="2"/>
    </font>
    <font>
      <u/>
      <sz val="11"/>
      <color theme="10"/>
      <name val="Calibri"/>
      <family val="2"/>
      <scheme val="minor"/>
    </font>
    <font>
      <sz val="12"/>
      <color rgb="FF000000"/>
      <name val="Times New Roman"/>
      <family val="1"/>
    </font>
    <font>
      <i/>
      <sz val="12"/>
      <name val="Times New Roman"/>
      <family val="1"/>
    </font>
    <font>
      <i/>
      <sz val="12"/>
      <color rgb="FF000000"/>
      <name val="Times New Roman"/>
      <family val="1"/>
    </font>
    <font>
      <b/>
      <u/>
      <sz val="12"/>
      <color theme="1"/>
      <name val="Times New Roman"/>
      <family val="1"/>
    </font>
    <font>
      <b/>
      <sz val="12"/>
      <color theme="1"/>
      <name val="Times New Roman"/>
      <family val="1"/>
    </font>
    <font>
      <b/>
      <sz val="12"/>
      <name val="Times New Roman"/>
      <family val="1"/>
    </font>
    <font>
      <i/>
      <sz val="12"/>
      <color theme="1"/>
      <name val="Times New Roman"/>
      <family val="1"/>
    </font>
    <font>
      <sz val="12"/>
      <color rgb="FFFF0000"/>
      <name val="Times New Roman"/>
      <family val="1"/>
    </font>
    <font>
      <b/>
      <sz val="12"/>
      <color rgb="FF000000"/>
      <name val="Times New Roman"/>
      <family val="1"/>
    </font>
    <font>
      <u/>
      <sz val="12"/>
      <color theme="10"/>
      <name val="Times New Roman"/>
      <family val="1"/>
    </font>
    <font>
      <sz val="12"/>
      <name val="Times New Roman"/>
      <family val="1"/>
    </font>
    <font>
      <sz val="12"/>
      <color rgb="FF333333"/>
      <name val="Times New Roman"/>
      <family val="1"/>
    </font>
    <font>
      <u/>
      <sz val="12"/>
      <color rgb="FF000000"/>
      <name val="Times New Roman"/>
      <family val="1"/>
    </font>
    <font>
      <b/>
      <sz val="22"/>
      <color theme="1"/>
      <name val="Times New Roman"/>
      <family val="1"/>
    </font>
    <font>
      <b/>
      <sz val="16"/>
      <color theme="1"/>
      <name val="Times New Roman"/>
      <family val="1"/>
    </font>
    <font>
      <b/>
      <sz val="12"/>
      <color rgb="FF202122"/>
      <name val="Times New Roman"/>
      <family val="1"/>
    </font>
    <font>
      <sz val="12"/>
      <color rgb="FF202122"/>
      <name val="Times New Roman"/>
      <family val="1"/>
    </font>
    <font>
      <sz val="12"/>
      <color theme="2" tint="-0.249977111117893"/>
      <name val="Times New Roman"/>
      <family val="1"/>
    </font>
    <font>
      <b/>
      <sz val="16"/>
      <name val="Times New Roman"/>
      <family val="1"/>
    </font>
    <font>
      <sz val="12"/>
      <color theme="1"/>
      <name val="Calibri"/>
      <family val="2"/>
      <scheme val="minor"/>
    </font>
    <font>
      <sz val="12"/>
      <color theme="3"/>
      <name val="Times New Roman"/>
      <family val="1"/>
    </font>
    <font>
      <u/>
      <sz val="12"/>
      <color rgb="FF0070C0"/>
      <name val="Times New Roman"/>
      <family val="1"/>
    </font>
    <font>
      <u/>
      <sz val="11"/>
      <color rgb="FF0070C0"/>
      <name val="Times New Roman"/>
      <family val="1"/>
    </font>
    <font>
      <b/>
      <i/>
      <sz val="12"/>
      <name val="Times New Roman"/>
      <family val="1"/>
    </font>
    <font>
      <b/>
      <u/>
      <sz val="12"/>
      <name val="Times New Roman"/>
      <family val="1"/>
    </font>
    <font>
      <b/>
      <u/>
      <sz val="12"/>
      <color rgb="FF000000"/>
      <name val="Times New Roman"/>
      <family val="1"/>
    </font>
    <font>
      <sz val="12"/>
      <color rgb="FF444444"/>
      <name val="Times New Roman"/>
      <family val="1"/>
    </font>
    <font>
      <b/>
      <sz val="12"/>
      <color rgb="FF000000"/>
      <name val="Times New Roman"/>
      <family val="1"/>
    </font>
    <font>
      <b/>
      <sz val="12"/>
      <color theme="1"/>
      <name val="Times New Roman"/>
      <family val="1"/>
    </font>
    <font>
      <sz val="12"/>
      <color rgb="FF000000"/>
      <name val="Times New Roman"/>
      <family val="1"/>
    </font>
    <font>
      <sz val="12"/>
      <color theme="1"/>
      <name val="Times New Roman"/>
      <family val="1"/>
    </font>
    <font>
      <sz val="12"/>
      <color rgb="FF0070C0"/>
      <name val="Times New Roman"/>
      <family val="1"/>
    </font>
    <font>
      <u/>
      <sz val="12"/>
      <color rgb="FF0070C0"/>
      <name val="Calibri"/>
      <family val="2"/>
      <scheme val="minor"/>
    </font>
    <font>
      <sz val="12"/>
      <color rgb="FF0070C0"/>
      <name val="Times New Roman"/>
      <family val="1"/>
    </font>
    <font>
      <sz val="12"/>
      <color rgb="FFFFFFFF"/>
      <name val="Times New Roman"/>
      <family val="1"/>
    </font>
    <font>
      <sz val="10"/>
      <color rgb="FF000000"/>
      <name val="Times New Roman"/>
      <family val="1"/>
    </font>
    <font>
      <b/>
      <sz val="10"/>
      <color rgb="FF000000"/>
      <name val="Times New Roman"/>
      <family val="1"/>
    </font>
    <font>
      <u/>
      <sz val="10"/>
      <color theme="10"/>
      <name val="Times New Roman"/>
      <family val="1"/>
    </font>
    <font>
      <b/>
      <sz val="16"/>
      <color rgb="FF000000"/>
      <name val="Times New Roman"/>
      <family val="1"/>
    </font>
    <font>
      <sz val="11.2"/>
      <color theme="1"/>
      <name val="Times New Roman"/>
      <family val="1"/>
    </font>
    <font>
      <b/>
      <sz val="11.2"/>
      <color theme="1"/>
      <name val="Times New Roman"/>
      <family val="1"/>
    </font>
    <font>
      <b/>
      <sz val="12"/>
      <color rgb="FF4F4F4F"/>
      <name val="Times New Roman"/>
      <family val="1"/>
    </font>
    <font>
      <sz val="11"/>
      <color rgb="FF000000"/>
      <name val="Times New Roman"/>
    </font>
    <font>
      <b/>
      <sz val="11"/>
      <color rgb="FF000000"/>
      <name val="Times New Roman"/>
    </font>
    <font>
      <sz val="12"/>
      <color rgb="FF242424"/>
      <name val="Times New Roman"/>
      <family val="1"/>
      <charset val="1"/>
    </font>
    <font>
      <u/>
      <sz val="12"/>
      <color theme="10"/>
      <name val="Times New Roman"/>
    </font>
    <font>
      <b/>
      <sz val="11"/>
      <color theme="1"/>
      <name val="Times New Roman"/>
      <family val="1"/>
    </font>
    <font>
      <u/>
      <sz val="12"/>
      <color theme="1"/>
      <name val="Times New Roman"/>
      <family val="1"/>
    </font>
    <font>
      <u/>
      <sz val="12"/>
      <name val="Times New Roman"/>
      <family val="1"/>
    </font>
    <font>
      <b/>
      <sz val="14"/>
      <name val="Times New Roman"/>
      <family val="1"/>
    </font>
  </fonts>
  <fills count="17">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rgb="FF000000"/>
      </patternFill>
    </fill>
    <fill>
      <patternFill patternType="solid">
        <fgColor rgb="FFFFFF00"/>
        <bgColor indexed="64"/>
      </patternFill>
    </fill>
    <fill>
      <patternFill patternType="solid">
        <fgColor theme="2"/>
        <bgColor indexed="64"/>
      </patternFill>
    </fill>
    <fill>
      <patternFill patternType="solid">
        <fgColor rgb="FFE7E6E6"/>
        <bgColor indexed="64"/>
      </patternFill>
    </fill>
    <fill>
      <patternFill patternType="solid">
        <fgColor rgb="FFF2F2F2"/>
        <bgColor indexed="64"/>
      </patternFill>
    </fill>
    <fill>
      <patternFill patternType="solid">
        <fgColor theme="7" tint="0.79998168889431442"/>
        <bgColor indexed="64"/>
      </patternFill>
    </fill>
  </fills>
  <borders count="53">
    <border>
      <left/>
      <right/>
      <top/>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rgb="FFD0CECE"/>
      </left>
      <right style="thin">
        <color rgb="FFD0CECE"/>
      </right>
      <top style="thin">
        <color rgb="FFD0CECE"/>
      </top>
      <bottom style="thin">
        <color rgb="FFD0CECE"/>
      </bottom>
      <diagonal/>
    </border>
    <border>
      <left/>
      <right/>
      <top/>
      <bottom style="thin">
        <color rgb="FF000000"/>
      </bottom>
      <diagonal/>
    </border>
    <border>
      <left/>
      <right/>
      <top/>
      <bottom style="thin">
        <color indexed="64"/>
      </bottom>
      <diagonal/>
    </border>
    <border>
      <left/>
      <right style="thin">
        <color rgb="FFD0CECE"/>
      </right>
      <top style="thin">
        <color rgb="FFD0CECE"/>
      </top>
      <bottom style="thin">
        <color rgb="FFD0CECE"/>
      </bottom>
      <diagonal/>
    </border>
    <border>
      <left/>
      <right style="thin">
        <color theme="2" tint="-9.9948118533890809E-2"/>
      </right>
      <top style="thin">
        <color theme="2" tint="-9.9948118533890809E-2"/>
      </top>
      <bottom/>
      <diagonal/>
    </border>
    <border>
      <left/>
      <right style="thin">
        <color theme="2" tint="-9.9948118533890809E-2"/>
      </right>
      <top/>
      <bottom/>
      <diagonal/>
    </border>
    <border>
      <left/>
      <right/>
      <top style="thin">
        <color indexed="64"/>
      </top>
      <bottom style="thin">
        <color indexed="64"/>
      </bottom>
      <diagonal/>
    </border>
    <border>
      <left/>
      <right/>
      <top style="thin">
        <color indexed="64"/>
      </top>
      <bottom style="thin">
        <color rgb="FF000000"/>
      </bottom>
      <diagonal/>
    </border>
    <border>
      <left/>
      <right/>
      <top style="thin">
        <color indexed="64"/>
      </top>
      <bottom/>
      <diagonal/>
    </border>
    <border>
      <left style="thin">
        <color rgb="FFD0CECE"/>
      </left>
      <right style="thin">
        <color rgb="FFD0CECE"/>
      </right>
      <top style="thin">
        <color rgb="FFD0CECE"/>
      </top>
      <bottom/>
      <diagonal/>
    </border>
    <border>
      <left style="thin">
        <color rgb="FFD0CECE"/>
      </left>
      <right style="thin">
        <color rgb="FFD0CECE"/>
      </right>
      <top/>
      <bottom/>
      <diagonal/>
    </border>
    <border>
      <left style="thin">
        <color rgb="FFD0CECE"/>
      </left>
      <right style="thin">
        <color rgb="FFD0CECE"/>
      </right>
      <top/>
      <bottom style="thin">
        <color rgb="FFD0CECE"/>
      </bottom>
      <diagonal/>
    </border>
    <border>
      <left style="thin">
        <color theme="2" tint="-9.9948118533890809E-2"/>
      </left>
      <right/>
      <top style="thin">
        <color theme="2" tint="-9.9948118533890809E-2"/>
      </top>
      <bottom/>
      <diagonal/>
    </border>
    <border>
      <left/>
      <right style="thin">
        <color rgb="FFD0CECE"/>
      </right>
      <top/>
      <bottom style="thin">
        <color rgb="FFD0CECE"/>
      </bottom>
      <diagonal/>
    </border>
    <border>
      <left/>
      <right/>
      <top/>
      <bottom style="thin">
        <color rgb="FFD0CECE"/>
      </bottom>
      <diagonal/>
    </border>
    <border>
      <left/>
      <right/>
      <top style="thin">
        <color rgb="FF000000"/>
      </top>
      <bottom style="thin">
        <color rgb="FF000000"/>
      </bottom>
      <diagonal/>
    </border>
    <border>
      <left/>
      <right/>
      <top style="thin">
        <color rgb="FF000000"/>
      </top>
      <bottom/>
      <diagonal/>
    </border>
    <border>
      <left/>
      <right style="thin">
        <color theme="2" tint="-9.9948118533890809E-2"/>
      </right>
      <top style="thin">
        <color theme="2" tint="-9.9948118533890809E-2"/>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right/>
      <top style="thin">
        <color theme="2" tint="-9.9948118533890809E-2"/>
      </top>
      <bottom/>
      <diagonal/>
    </border>
    <border>
      <left style="thin">
        <color theme="2" tint="-9.9948118533890809E-2"/>
      </left>
      <right/>
      <top style="thin">
        <color rgb="FFD0CECE"/>
      </top>
      <bottom/>
      <diagonal/>
    </border>
    <border>
      <left style="thin">
        <color theme="2" tint="-9.9948118533890809E-2"/>
      </left>
      <right style="thin">
        <color theme="2" tint="-9.9948118533890809E-2"/>
      </right>
      <top/>
      <bottom/>
      <diagonal/>
    </border>
    <border>
      <left style="thin">
        <color theme="2" tint="-9.9948118533890809E-2"/>
      </left>
      <right/>
      <top/>
      <bottom/>
      <diagonal/>
    </border>
    <border>
      <left style="thin">
        <color theme="2" tint="-9.9948118533890809E-2"/>
      </left>
      <right style="thin">
        <color theme="2" tint="-9.9948118533890809E-2"/>
      </right>
      <top/>
      <bottom style="thin">
        <color rgb="FFD0CECE"/>
      </bottom>
      <diagonal/>
    </border>
    <border>
      <left/>
      <right/>
      <top style="thin">
        <color rgb="FF000000"/>
      </top>
      <bottom style="thin">
        <color indexed="64"/>
      </bottom>
      <diagonal/>
    </border>
    <border>
      <left/>
      <right style="double">
        <color indexed="64"/>
      </right>
      <top/>
      <bottom/>
      <diagonal/>
    </border>
    <border>
      <left style="medium">
        <color indexed="64"/>
      </left>
      <right style="medium">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theme="1"/>
      </bottom>
      <diagonal/>
    </border>
    <border>
      <left style="thin">
        <color theme="0"/>
      </left>
      <right/>
      <top style="thin">
        <color theme="1"/>
      </top>
      <bottom/>
      <diagonal/>
    </border>
    <border>
      <left/>
      <right/>
      <top style="thin">
        <color theme="1"/>
      </top>
      <bottom/>
      <diagonal/>
    </border>
    <border>
      <left/>
      <right style="thin">
        <color theme="0"/>
      </right>
      <top style="thin">
        <color theme="1"/>
      </top>
      <bottom/>
      <diagonal/>
    </border>
    <border>
      <left style="thin">
        <color theme="0"/>
      </left>
      <right/>
      <top/>
      <bottom style="thin">
        <color theme="1"/>
      </bottom>
      <diagonal/>
    </border>
    <border>
      <left/>
      <right/>
      <top/>
      <bottom style="thin">
        <color theme="1"/>
      </bottom>
      <diagonal/>
    </border>
    <border>
      <left style="thin">
        <color theme="0"/>
      </left>
      <right style="thin">
        <color theme="0"/>
      </right>
      <top/>
      <bottom style="thin">
        <color theme="0"/>
      </bottom>
      <diagonal/>
    </border>
    <border>
      <left style="thin">
        <color theme="2" tint="-9.9948118533890809E-2"/>
      </left>
      <right style="thin">
        <color theme="2" tint="-9.9948118533890809E-2"/>
      </right>
      <top style="thin">
        <color rgb="FF000000"/>
      </top>
      <bottom style="thin">
        <color rgb="FF000000"/>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thin">
        <color theme="2" tint="-9.9948118533890809E-2"/>
      </right>
      <top/>
      <bottom style="thin">
        <color theme="2" tint="-9.9948118533890809E-2"/>
      </bottom>
      <diagonal/>
    </border>
    <border>
      <left style="thin">
        <color theme="0"/>
      </left>
      <right style="thin">
        <color theme="0"/>
      </right>
      <top style="thin">
        <color theme="0"/>
      </top>
      <bottom style="medium">
        <color rgb="FF000000"/>
      </bottom>
      <diagonal/>
    </border>
    <border>
      <left style="thin">
        <color theme="2" tint="-9.9948118533890809E-2"/>
      </left>
      <right style="thin">
        <color theme="2" tint="-9.9948118533890809E-2"/>
      </right>
      <top style="thin">
        <color theme="2" tint="-9.9948118533890809E-2"/>
      </top>
      <bottom style="thin">
        <color rgb="FF000000"/>
      </bottom>
      <diagonal/>
    </border>
    <border>
      <left style="thin">
        <color theme="0"/>
      </left>
      <right style="thin">
        <color theme="0"/>
      </right>
      <top/>
      <bottom style="thin">
        <color theme="1"/>
      </bottom>
      <diagonal/>
    </border>
    <border>
      <left style="thin">
        <color theme="0"/>
      </left>
      <right style="thin">
        <color theme="0"/>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theme="0"/>
      </left>
      <right/>
      <top style="thin">
        <color theme="0"/>
      </top>
      <bottom style="medium">
        <color rgb="FF00000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s>
  <cellStyleXfs count="49">
    <xf numFmtId="0" fontId="0" fillId="0" borderId="0"/>
    <xf numFmtId="0" fontId="24" fillId="0" borderId="0"/>
    <xf numFmtId="0" fontId="25" fillId="0" borderId="0"/>
    <xf numFmtId="0" fontId="24" fillId="0" borderId="0"/>
    <xf numFmtId="0" fontId="21" fillId="0" borderId="0"/>
    <xf numFmtId="0" fontId="20" fillId="0" borderId="0"/>
    <xf numFmtId="0" fontId="19" fillId="0" borderId="0"/>
    <xf numFmtId="0" fontId="31" fillId="0" borderId="0" applyNumberFormat="0" applyFill="0" applyBorder="0" applyAlignment="0" applyProtection="0"/>
    <xf numFmtId="0" fontId="19" fillId="0" borderId="0"/>
    <xf numFmtId="0" fontId="18" fillId="0" borderId="0"/>
    <xf numFmtId="164" fontId="18" fillId="0" borderId="0" applyFont="0" applyFill="0" applyBorder="0" applyAlignment="0" applyProtection="0"/>
    <xf numFmtId="164" fontId="51" fillId="0" borderId="0" applyFont="0" applyFill="0" applyBorder="0" applyAlignment="0" applyProtection="0"/>
    <xf numFmtId="0" fontId="17" fillId="0" borderId="0"/>
    <xf numFmtId="0" fontId="16" fillId="0" borderId="0"/>
    <xf numFmtId="9" fontId="51" fillId="0" borderId="0" applyFont="0" applyFill="0" applyBorder="0" applyAlignment="0" applyProtection="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9" fillId="0" borderId="0"/>
    <xf numFmtId="0" fontId="9"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67" fillId="0" borderId="0"/>
    <xf numFmtId="0" fontId="69" fillId="0" borderId="0" applyNumberFormat="0" applyFill="0" applyBorder="0" applyAlignment="0" applyProtection="0"/>
    <xf numFmtId="0" fontId="6" fillId="0" borderId="0"/>
    <xf numFmtId="0" fontId="5" fillId="0" borderId="0"/>
    <xf numFmtId="0" fontId="5" fillId="0" borderId="0"/>
    <xf numFmtId="0" fontId="4" fillId="0" borderId="0"/>
    <xf numFmtId="0" fontId="4" fillId="0" borderId="0"/>
    <xf numFmtId="9" fontId="4" fillId="0" borderId="0" applyFont="0" applyFill="0" applyBorder="0" applyAlignment="0" applyProtection="0"/>
    <xf numFmtId="164" fontId="4" fillId="0" borderId="0" applyFont="0" applyFill="0" applyBorder="0" applyAlignment="0" applyProtection="0"/>
    <xf numFmtId="0" fontId="22" fillId="0" borderId="0" applyNumberFormat="0" applyFill="0" applyBorder="0" applyAlignment="0" applyProtection="0"/>
    <xf numFmtId="0" fontId="3" fillId="0" borderId="0"/>
    <xf numFmtId="0" fontId="2" fillId="0" borderId="0"/>
    <xf numFmtId="0" fontId="2" fillId="0" borderId="0"/>
    <xf numFmtId="164"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cellStyleXfs>
  <cellXfs count="1233">
    <xf numFmtId="0" fontId="0" fillId="0" borderId="0" xfId="0"/>
    <xf numFmtId="0" fontId="27" fillId="0" borderId="0" xfId="0" applyFont="1"/>
    <xf numFmtId="0" fontId="26" fillId="2" borderId="0" xfId="0" applyFont="1" applyFill="1"/>
    <xf numFmtId="0" fontId="26" fillId="0" borderId="0" xfId="0" applyFont="1" applyAlignment="1">
      <alignment vertical="center"/>
    </xf>
    <xf numFmtId="0" fontId="26" fillId="0" borderId="0" xfId="0" applyFont="1" applyAlignment="1">
      <alignment horizontal="center" vertical="center" wrapText="1"/>
    </xf>
    <xf numFmtId="0" fontId="32" fillId="0" borderId="0" xfId="0" applyFont="1" applyAlignment="1">
      <alignment vertical="center"/>
    </xf>
    <xf numFmtId="0" fontId="35" fillId="0" borderId="0" xfId="0" applyFont="1" applyAlignment="1">
      <alignment vertical="center"/>
    </xf>
    <xf numFmtId="0" fontId="37" fillId="4" borderId="0" xfId="0" applyFont="1" applyFill="1" applyAlignment="1">
      <alignment vertical="center" wrapText="1"/>
    </xf>
    <xf numFmtId="0" fontId="33" fillId="0" borderId="0" xfId="0" applyFont="1" applyAlignment="1">
      <alignment vertical="center"/>
    </xf>
    <xf numFmtId="0" fontId="26" fillId="5" borderId="0" xfId="0" applyFont="1" applyFill="1" applyAlignment="1">
      <alignment vertical="center"/>
    </xf>
    <xf numFmtId="0" fontId="39" fillId="5" borderId="0" xfId="0" applyFont="1" applyFill="1" applyAlignment="1">
      <alignment vertical="center"/>
    </xf>
    <xf numFmtId="0" fontId="26" fillId="2" borderId="0" xfId="0" applyFont="1" applyFill="1" applyAlignment="1">
      <alignment vertical="center"/>
    </xf>
    <xf numFmtId="0" fontId="36" fillId="5" borderId="0" xfId="0" applyFont="1" applyFill="1" applyAlignment="1">
      <alignment vertical="center"/>
    </xf>
    <xf numFmtId="0" fontId="26" fillId="0" borderId="0" xfId="0" applyFont="1"/>
    <xf numFmtId="3" fontId="26" fillId="0" borderId="0" xfId="0" applyNumberFormat="1" applyFont="1" applyAlignment="1">
      <alignment horizontal="left" vertical="center"/>
    </xf>
    <xf numFmtId="0" fontId="32" fillId="0" borderId="0" xfId="0" applyFont="1" applyAlignment="1">
      <alignment horizontal="center" vertical="center"/>
    </xf>
    <xf numFmtId="14" fontId="32" fillId="0" borderId="0" xfId="0" applyNumberFormat="1" applyFont="1" applyAlignment="1">
      <alignment horizontal="left" vertical="center"/>
    </xf>
    <xf numFmtId="0" fontId="32" fillId="0" borderId="0" xfId="0" applyFont="1" applyAlignment="1">
      <alignment horizontal="left" vertical="center"/>
    </xf>
    <xf numFmtId="0" fontId="26" fillId="0" borderId="1" xfId="0" applyFont="1" applyBorder="1" applyAlignment="1">
      <alignment horizontal="left" vertical="center"/>
    </xf>
    <xf numFmtId="0" fontId="32" fillId="0" borderId="0" xfId="0" applyFont="1"/>
    <xf numFmtId="0" fontId="26" fillId="0" borderId="0" xfId="0" applyFont="1" applyAlignment="1">
      <alignment horizontal="left"/>
    </xf>
    <xf numFmtId="0" fontId="36" fillId="2" borderId="0" xfId="0" applyFont="1" applyFill="1"/>
    <xf numFmtId="0" fontId="37" fillId="2" borderId="0" xfId="1" applyFont="1" applyFill="1"/>
    <xf numFmtId="0" fontId="42" fillId="2" borderId="0" xfId="1" applyFont="1" applyFill="1" applyAlignment="1">
      <alignment horizontal="left"/>
    </xf>
    <xf numFmtId="0" fontId="42" fillId="2" borderId="0" xfId="1" applyFont="1" applyFill="1"/>
    <xf numFmtId="1" fontId="26" fillId="2" borderId="0" xfId="0" applyNumberFormat="1" applyFont="1" applyFill="1"/>
    <xf numFmtId="0" fontId="37" fillId="2" borderId="6" xfId="1" applyFont="1" applyFill="1" applyBorder="1"/>
    <xf numFmtId="166" fontId="42" fillId="2" borderId="0" xfId="1" applyNumberFormat="1" applyFont="1" applyFill="1"/>
    <xf numFmtId="3" fontId="32" fillId="2" borderId="0" xfId="0" applyNumberFormat="1" applyFont="1" applyFill="1" applyAlignment="1">
      <alignment horizontal="center" vertical="center"/>
    </xf>
    <xf numFmtId="1" fontId="26" fillId="2" borderId="4" xfId="0" applyNumberFormat="1" applyFont="1" applyFill="1" applyBorder="1"/>
    <xf numFmtId="0" fontId="32" fillId="4" borderId="0" xfId="0" applyFont="1" applyFill="1"/>
    <xf numFmtId="0" fontId="26" fillId="3" borderId="0" xfId="0" applyFont="1" applyFill="1"/>
    <xf numFmtId="0" fontId="32" fillId="3" borderId="0" xfId="0" applyFont="1" applyFill="1"/>
    <xf numFmtId="0" fontId="26" fillId="3" borderId="5" xfId="0" applyFont="1" applyFill="1" applyBorder="1"/>
    <xf numFmtId="0" fontId="36" fillId="0" borderId="0" xfId="0" applyFont="1"/>
    <xf numFmtId="0" fontId="26" fillId="2" borderId="0" xfId="4" applyFont="1" applyFill="1"/>
    <xf numFmtId="0" fontId="26" fillId="0" borderId="0" xfId="4" applyFont="1"/>
    <xf numFmtId="0" fontId="42" fillId="0" borderId="0" xfId="1" applyFont="1"/>
    <xf numFmtId="0" fontId="26" fillId="2" borderId="5" xfId="4" applyFont="1" applyFill="1" applyBorder="1"/>
    <xf numFmtId="0" fontId="26" fillId="3" borderId="0" xfId="2" applyFont="1" applyFill="1"/>
    <xf numFmtId="0" fontId="26" fillId="2" borderId="0" xfId="2" applyFont="1" applyFill="1"/>
    <xf numFmtId="0" fontId="36" fillId="2" borderId="0" xfId="2" applyFont="1" applyFill="1"/>
    <xf numFmtId="0" fontId="36" fillId="0" borderId="0" xfId="2" applyFont="1"/>
    <xf numFmtId="0" fontId="26" fillId="0" borderId="0" xfId="2" applyFont="1"/>
    <xf numFmtId="0" fontId="42" fillId="3" borderId="0" xfId="1" applyFont="1" applyFill="1"/>
    <xf numFmtId="0" fontId="33" fillId="0" borderId="0" xfId="0" applyFont="1" applyAlignment="1">
      <alignment vertical="center" wrapText="1"/>
    </xf>
    <xf numFmtId="0" fontId="26" fillId="2" borderId="5" xfId="2" applyFont="1" applyFill="1" applyBorder="1"/>
    <xf numFmtId="0" fontId="40" fillId="4" borderId="0" xfId="0" applyFont="1" applyFill="1"/>
    <xf numFmtId="0" fontId="42" fillId="4" borderId="0" xfId="0" applyFont="1" applyFill="1"/>
    <xf numFmtId="2" fontId="26" fillId="2" borderId="0" xfId="2" applyNumberFormat="1" applyFont="1" applyFill="1"/>
    <xf numFmtId="0" fontId="26" fillId="2" borderId="0" xfId="2" applyFont="1" applyFill="1" applyAlignment="1">
      <alignment vertical="top" wrapText="1"/>
    </xf>
    <xf numFmtId="2" fontId="26" fillId="2" borderId="5" xfId="2" applyNumberFormat="1" applyFont="1" applyFill="1" applyBorder="1"/>
    <xf numFmtId="2" fontId="26" fillId="2" borderId="0" xfId="2" applyNumberFormat="1" applyFont="1" applyFill="1" applyAlignment="1">
      <alignment horizontal="right"/>
    </xf>
    <xf numFmtId="2" fontId="26" fillId="2" borderId="5" xfId="2" applyNumberFormat="1" applyFont="1" applyFill="1" applyBorder="1" applyAlignment="1">
      <alignment horizontal="right"/>
    </xf>
    <xf numFmtId="0" fontId="26" fillId="3" borderId="0" xfId="4" applyFont="1" applyFill="1"/>
    <xf numFmtId="0" fontId="42" fillId="4" borderId="20" xfId="0" applyFont="1" applyFill="1" applyBorder="1"/>
    <xf numFmtId="0" fontId="33" fillId="0" borderId="0" xfId="0" applyFont="1" applyAlignment="1">
      <alignment vertical="top" wrapText="1"/>
    </xf>
    <xf numFmtId="0" fontId="26" fillId="3" borderId="0" xfId="4" applyFont="1" applyFill="1" applyAlignment="1">
      <alignment vertical="top" wrapText="1"/>
    </xf>
    <xf numFmtId="0" fontId="26" fillId="0" borderId="0" xfId="0" applyFont="1" applyAlignment="1">
      <alignment wrapText="1"/>
    </xf>
    <xf numFmtId="0" fontId="28" fillId="2" borderId="0" xfId="0" applyFont="1" applyFill="1" applyAlignment="1">
      <alignment vertical="center"/>
    </xf>
    <xf numFmtId="0" fontId="41" fillId="0" borderId="0" xfId="41" applyFont="1" applyFill="1" applyBorder="1"/>
    <xf numFmtId="0" fontId="37" fillId="4" borderId="0" xfId="0" applyFont="1" applyFill="1" applyAlignment="1">
      <alignment wrapText="1"/>
    </xf>
    <xf numFmtId="2" fontId="32" fillId="0" borderId="0" xfId="0" applyNumberFormat="1" applyFont="1"/>
    <xf numFmtId="0" fontId="42" fillId="4" borderId="0" xfId="0" applyFont="1" applyFill="1" applyAlignment="1">
      <alignment vertical="top" wrapText="1"/>
    </xf>
    <xf numFmtId="0" fontId="32" fillId="4" borderId="4" xfId="0" applyFont="1" applyFill="1" applyBorder="1"/>
    <xf numFmtId="0" fontId="37" fillId="2" borderId="10" xfId="1" applyFont="1" applyFill="1" applyBorder="1"/>
    <xf numFmtId="0" fontId="48" fillId="0" borderId="0" xfId="0" applyFont="1"/>
    <xf numFmtId="0" fontId="42" fillId="0" borderId="0" xfId="0" applyFont="1" applyAlignment="1">
      <alignment vertical="center" wrapText="1"/>
    </xf>
    <xf numFmtId="0" fontId="32" fillId="5" borderId="0" xfId="0" applyFont="1" applyFill="1"/>
    <xf numFmtId="0" fontId="43" fillId="0" borderId="0" xfId="0" applyFont="1"/>
    <xf numFmtId="3" fontId="32" fillId="0" borderId="0" xfId="0" applyNumberFormat="1" applyFont="1"/>
    <xf numFmtId="0" fontId="32" fillId="2" borderId="0" xfId="0" applyFont="1" applyFill="1"/>
    <xf numFmtId="3" fontId="26" fillId="0" borderId="0" xfId="0" applyNumberFormat="1" applyFont="1"/>
    <xf numFmtId="3" fontId="26" fillId="0" borderId="0" xfId="4" applyNumberFormat="1" applyFont="1"/>
    <xf numFmtId="2" fontId="26" fillId="2" borderId="0" xfId="4" applyNumberFormat="1" applyFont="1" applyFill="1"/>
    <xf numFmtId="0" fontId="26" fillId="2" borderId="0" xfId="4" applyFont="1" applyFill="1" applyAlignment="1">
      <alignment vertical="top" wrapText="1"/>
    </xf>
    <xf numFmtId="0" fontId="42" fillId="2" borderId="0" xfId="0" applyFont="1" applyFill="1" applyAlignment="1">
      <alignment vertical="top" wrapText="1"/>
    </xf>
    <xf numFmtId="2" fontId="26" fillId="2" borderId="5" xfId="4" applyNumberFormat="1" applyFont="1" applyFill="1" applyBorder="1"/>
    <xf numFmtId="2" fontId="26" fillId="2" borderId="0" xfId="4" applyNumberFormat="1" applyFont="1" applyFill="1" applyAlignment="1">
      <alignment vertical="top" wrapText="1"/>
    </xf>
    <xf numFmtId="2" fontId="47" fillId="2" borderId="0" xfId="0" applyNumberFormat="1" applyFont="1" applyFill="1"/>
    <xf numFmtId="2" fontId="32" fillId="5" borderId="0" xfId="0" applyNumberFormat="1" applyFont="1" applyFill="1"/>
    <xf numFmtId="2" fontId="32" fillId="2" borderId="0" xfId="0" applyNumberFormat="1" applyFont="1" applyFill="1"/>
    <xf numFmtId="0" fontId="32" fillId="2" borderId="0" xfId="2" applyFont="1" applyFill="1" applyAlignment="1">
      <alignment horizontal="left"/>
    </xf>
    <xf numFmtId="0" fontId="49" fillId="2" borderId="0" xfId="2" applyFont="1" applyFill="1"/>
    <xf numFmtId="0" fontId="40" fillId="2" borderId="0" xfId="2" applyFont="1" applyFill="1" applyAlignment="1">
      <alignment horizontal="left"/>
    </xf>
    <xf numFmtId="0" fontId="49" fillId="2" borderId="0" xfId="2" applyFont="1" applyFill="1" applyAlignment="1">
      <alignment horizontal="left"/>
    </xf>
    <xf numFmtId="0" fontId="32" fillId="0" borderId="0" xfId="2" applyFont="1" applyAlignment="1">
      <alignment horizontal="left"/>
    </xf>
    <xf numFmtId="0" fontId="40" fillId="0" borderId="0" xfId="2" applyFont="1" applyAlignment="1">
      <alignment horizontal="left" vertical="center" wrapText="1"/>
    </xf>
    <xf numFmtId="0" fontId="40" fillId="0" borderId="0" xfId="2" applyFont="1" applyAlignment="1">
      <alignment horizontal="left"/>
    </xf>
    <xf numFmtId="38" fontId="32" fillId="0" borderId="0" xfId="2" applyNumberFormat="1" applyFont="1" applyAlignment="1">
      <alignment horizontal="left" vertical="center" wrapText="1"/>
    </xf>
    <xf numFmtId="168" fontId="32" fillId="0" borderId="0" xfId="2" applyNumberFormat="1" applyFont="1" applyAlignment="1">
      <alignment horizontal="left"/>
    </xf>
    <xf numFmtId="168" fontId="32" fillId="2" borderId="0" xfId="2" applyNumberFormat="1" applyFont="1" applyFill="1" applyAlignment="1">
      <alignment horizontal="left"/>
    </xf>
    <xf numFmtId="167" fontId="32" fillId="2" borderId="0" xfId="2" applyNumberFormat="1" applyFont="1" applyFill="1" applyAlignment="1">
      <alignment horizontal="left"/>
    </xf>
    <xf numFmtId="38" fontId="40" fillId="0" borderId="0" xfId="2" applyNumberFormat="1" applyFont="1" applyAlignment="1">
      <alignment horizontal="left" vertical="center" wrapText="1"/>
    </xf>
    <xf numFmtId="168" fontId="40" fillId="0" borderId="0" xfId="2" applyNumberFormat="1" applyFont="1" applyAlignment="1">
      <alignment horizontal="left"/>
    </xf>
    <xf numFmtId="168" fontId="26" fillId="0" borderId="0" xfId="0" applyNumberFormat="1" applyFont="1"/>
    <xf numFmtId="168" fontId="42" fillId="2" borderId="0" xfId="1" applyNumberFormat="1" applyFont="1" applyFill="1"/>
    <xf numFmtId="168" fontId="41" fillId="2" borderId="0" xfId="41" applyNumberFormat="1" applyFont="1" applyFill="1" applyAlignment="1"/>
    <xf numFmtId="0" fontId="37" fillId="2" borderId="0" xfId="2" applyFont="1" applyFill="1" applyAlignment="1">
      <alignment wrapText="1"/>
    </xf>
    <xf numFmtId="168" fontId="40" fillId="2" borderId="0" xfId="2" applyNumberFormat="1" applyFont="1" applyFill="1" applyAlignment="1">
      <alignment horizontal="left"/>
    </xf>
    <xf numFmtId="0" fontId="42" fillId="2" borderId="0" xfId="1" applyFont="1" applyFill="1" applyAlignment="1">
      <alignment vertical="center"/>
    </xf>
    <xf numFmtId="170" fontId="42" fillId="2" borderId="0" xfId="1" applyNumberFormat="1" applyFont="1" applyFill="1" applyAlignment="1">
      <alignment horizontal="left"/>
    </xf>
    <xf numFmtId="170" fontId="41" fillId="2" borderId="0" xfId="41" applyNumberFormat="1" applyFont="1" applyFill="1" applyAlignment="1">
      <alignment horizontal="left"/>
    </xf>
    <xf numFmtId="170" fontId="26" fillId="0" borderId="0" xfId="0" applyNumberFormat="1" applyFont="1" applyAlignment="1">
      <alignment horizontal="left"/>
    </xf>
    <xf numFmtId="170" fontId="32" fillId="2" borderId="0" xfId="2" applyNumberFormat="1" applyFont="1" applyFill="1" applyAlignment="1">
      <alignment horizontal="left"/>
    </xf>
    <xf numFmtId="170" fontId="40" fillId="2" borderId="0" xfId="2" applyNumberFormat="1" applyFont="1" applyFill="1" applyAlignment="1">
      <alignment horizontal="left"/>
    </xf>
    <xf numFmtId="0" fontId="42" fillId="2" borderId="0" xfId="2" applyFont="1" applyFill="1" applyAlignment="1">
      <alignment horizontal="left" wrapText="1"/>
    </xf>
    <xf numFmtId="0" fontId="41" fillId="2" borderId="0" xfId="41" applyFont="1" applyFill="1" applyAlignment="1">
      <alignment horizontal="left"/>
    </xf>
    <xf numFmtId="167" fontId="42" fillId="2" borderId="0" xfId="1" applyNumberFormat="1" applyFont="1" applyFill="1"/>
    <xf numFmtId="0" fontId="42" fillId="2" borderId="0" xfId="1" applyFont="1" applyFill="1" applyAlignment="1">
      <alignment wrapText="1"/>
    </xf>
    <xf numFmtId="168" fontId="32" fillId="0" borderId="0" xfId="0" applyNumberFormat="1" applyFont="1"/>
    <xf numFmtId="3" fontId="41" fillId="0" borderId="0" xfId="41" applyNumberFormat="1" applyFont="1" applyFill="1"/>
    <xf numFmtId="169" fontId="26" fillId="0" borderId="0" xfId="0" applyNumberFormat="1" applyFont="1" applyAlignment="1">
      <alignment horizontal="right"/>
    </xf>
    <xf numFmtId="171" fontId="32" fillId="0" borderId="0" xfId="0" applyNumberFormat="1" applyFont="1" applyAlignment="1">
      <alignment horizontal="left" vertical="center"/>
    </xf>
    <xf numFmtId="2" fontId="32" fillId="4" borderId="0" xfId="0" applyNumberFormat="1" applyFont="1" applyFill="1"/>
    <xf numFmtId="2" fontId="26" fillId="0" borderId="0" xfId="0" applyNumberFormat="1" applyFont="1"/>
    <xf numFmtId="0" fontId="28" fillId="2" borderId="0" xfId="9" applyFont="1" applyFill="1"/>
    <xf numFmtId="0" fontId="46" fillId="0" borderId="0" xfId="0" applyFont="1"/>
    <xf numFmtId="0" fontId="36" fillId="2" borderId="0" xfId="0" applyFont="1" applyFill="1" applyAlignment="1">
      <alignment vertical="center"/>
    </xf>
    <xf numFmtId="2" fontId="42" fillId="0" borderId="0" xfId="0" applyNumberFormat="1" applyFont="1"/>
    <xf numFmtId="2" fontId="42" fillId="4" borderId="0" xfId="0" applyNumberFormat="1" applyFont="1" applyFill="1"/>
    <xf numFmtId="1" fontId="32" fillId="0" borderId="0" xfId="0" applyNumberFormat="1" applyFont="1"/>
    <xf numFmtId="2" fontId="26" fillId="0" borderId="0" xfId="0" quotePrefix="1" applyNumberFormat="1" applyFont="1"/>
    <xf numFmtId="2" fontId="26" fillId="3" borderId="0" xfId="4" applyNumberFormat="1" applyFont="1" applyFill="1"/>
    <xf numFmtId="2" fontId="26" fillId="2" borderId="6" xfId="4" applyNumberFormat="1" applyFont="1" applyFill="1" applyBorder="1"/>
    <xf numFmtId="0" fontId="33" fillId="2" borderId="0" xfId="1" applyFont="1" applyFill="1" applyAlignment="1">
      <alignment horizontal="left"/>
    </xf>
    <xf numFmtId="2" fontId="37" fillId="2" borderId="6" xfId="1" applyNumberFormat="1" applyFont="1" applyFill="1" applyBorder="1" applyAlignment="1">
      <alignment horizontal="right"/>
    </xf>
    <xf numFmtId="2" fontId="37" fillId="2" borderId="0" xfId="1" applyNumberFormat="1" applyFont="1" applyFill="1" applyAlignment="1">
      <alignment horizontal="right"/>
    </xf>
    <xf numFmtId="2" fontId="37" fillId="2" borderId="0" xfId="3" applyNumberFormat="1" applyFont="1" applyFill="1" applyAlignment="1">
      <alignment horizontal="right"/>
    </xf>
    <xf numFmtId="2" fontId="42" fillId="2" borderId="0" xfId="1" applyNumberFormat="1" applyFont="1" applyFill="1" applyAlignment="1">
      <alignment horizontal="right"/>
    </xf>
    <xf numFmtId="2" fontId="26" fillId="2" borderId="0" xfId="0" applyNumberFormat="1" applyFont="1" applyFill="1" applyAlignment="1">
      <alignment horizontal="right"/>
    </xf>
    <xf numFmtId="0" fontId="26" fillId="2" borderId="0" xfId="0" applyFont="1" applyFill="1" applyAlignment="1">
      <alignment vertical="top" wrapText="1"/>
    </xf>
    <xf numFmtId="0" fontId="26" fillId="2" borderId="6" xfId="0" applyFont="1" applyFill="1" applyBorder="1"/>
    <xf numFmtId="1" fontId="26" fillId="2" borderId="6" xfId="0" applyNumberFormat="1" applyFont="1" applyFill="1" applyBorder="1"/>
    <xf numFmtId="0" fontId="26" fillId="2" borderId="12" xfId="0" applyFont="1" applyFill="1" applyBorder="1"/>
    <xf numFmtId="1" fontId="26" fillId="2" borderId="12" xfId="0" applyNumberFormat="1" applyFont="1" applyFill="1" applyBorder="1"/>
    <xf numFmtId="2" fontId="32" fillId="0" borderId="0" xfId="41" applyNumberFormat="1" applyFont="1" applyFill="1" applyBorder="1" applyAlignment="1"/>
    <xf numFmtId="2" fontId="32" fillId="4" borderId="0" xfId="41" applyNumberFormat="1" applyFont="1" applyFill="1" applyBorder="1" applyAlignment="1"/>
    <xf numFmtId="2" fontId="32" fillId="0" borderId="0" xfId="41" applyNumberFormat="1" applyFont="1" applyFill="1"/>
    <xf numFmtId="2" fontId="32" fillId="0" borderId="5" xfId="41" applyNumberFormat="1" applyFont="1" applyBorder="1"/>
    <xf numFmtId="2" fontId="42" fillId="2" borderId="0" xfId="1" applyNumberFormat="1" applyFont="1" applyFill="1"/>
    <xf numFmtId="2" fontId="37" fillId="2" borderId="0" xfId="1" applyNumberFormat="1" applyFont="1" applyFill="1" applyAlignment="1">
      <alignment horizontal="center" vertical="top" wrapText="1"/>
    </xf>
    <xf numFmtId="2" fontId="42" fillId="3" borderId="0" xfId="1" applyNumberFormat="1" applyFont="1" applyFill="1" applyAlignment="1">
      <alignment horizontal="right"/>
    </xf>
    <xf numFmtId="2" fontId="37" fillId="3" borderId="0" xfId="1" applyNumberFormat="1" applyFont="1" applyFill="1" applyAlignment="1">
      <alignment horizontal="right"/>
    </xf>
    <xf numFmtId="0" fontId="32" fillId="0" borderId="0" xfId="41" applyFont="1" applyFill="1" applyBorder="1" applyAlignment="1">
      <alignment horizontal="left" vertical="top"/>
    </xf>
    <xf numFmtId="2" fontId="37" fillId="0" borderId="6" xfId="1" applyNumberFormat="1" applyFont="1" applyBorder="1" applyAlignment="1">
      <alignment horizontal="right"/>
    </xf>
    <xf numFmtId="2" fontId="37" fillId="0" borderId="0" xfId="1" applyNumberFormat="1" applyFont="1" applyAlignment="1">
      <alignment horizontal="right"/>
    </xf>
    <xf numFmtId="174" fontId="26" fillId="0" borderId="0" xfId="2" applyNumberFormat="1" applyFont="1"/>
    <xf numFmtId="174" fontId="26" fillId="3" borderId="0" xfId="2" applyNumberFormat="1" applyFont="1" applyFill="1"/>
    <xf numFmtId="174" fontId="40" fillId="4" borderId="0" xfId="0" applyNumberFormat="1" applyFont="1" applyFill="1"/>
    <xf numFmtId="174" fontId="32" fillId="4" borderId="0" xfId="0" applyNumberFormat="1" applyFont="1" applyFill="1"/>
    <xf numFmtId="0" fontId="37" fillId="4" borderId="6" xfId="0" applyFont="1" applyFill="1" applyBorder="1"/>
    <xf numFmtId="2" fontId="37" fillId="2" borderId="5" xfId="1" applyNumberFormat="1" applyFont="1" applyFill="1" applyBorder="1" applyAlignment="1">
      <alignment horizontal="right"/>
    </xf>
    <xf numFmtId="2" fontId="37" fillId="2" borderId="5" xfId="1" applyNumberFormat="1" applyFont="1" applyFill="1" applyBorder="1"/>
    <xf numFmtId="0" fontId="42" fillId="0" borderId="0" xfId="0" applyFont="1" applyAlignment="1">
      <alignment horizontal="left" vertical="top"/>
    </xf>
    <xf numFmtId="0" fontId="32" fillId="0" borderId="1" xfId="0" applyFont="1" applyBorder="1" applyAlignment="1">
      <alignment horizontal="left" vertical="top"/>
    </xf>
    <xf numFmtId="0" fontId="42" fillId="0" borderId="1" xfId="0" applyFont="1" applyBorder="1" applyAlignment="1">
      <alignment horizontal="left" vertical="top"/>
    </xf>
    <xf numFmtId="0" fontId="42" fillId="0" borderId="0" xfId="0" applyFont="1"/>
    <xf numFmtId="0" fontId="42" fillId="0" borderId="1" xfId="0" applyFont="1" applyBorder="1" applyAlignment="1">
      <alignment vertical="top"/>
    </xf>
    <xf numFmtId="0" fontId="42" fillId="0" borderId="4" xfId="0" applyFont="1" applyBorder="1" applyAlignment="1">
      <alignment horizontal="left" vertical="top"/>
    </xf>
    <xf numFmtId="0" fontId="26" fillId="2" borderId="0" xfId="15" applyFont="1" applyFill="1"/>
    <xf numFmtId="0" fontId="26" fillId="0" borderId="0" xfId="15" applyFont="1"/>
    <xf numFmtId="0" fontId="45" fillId="0" borderId="0" xfId="15" applyFont="1"/>
    <xf numFmtId="0" fontId="36" fillId="2" borderId="0" xfId="15" applyFont="1" applyFill="1"/>
    <xf numFmtId="0" fontId="52" fillId="2" borderId="0" xfId="15" applyFont="1" applyFill="1"/>
    <xf numFmtId="0" fontId="37" fillId="0" borderId="0" xfId="15" applyFont="1"/>
    <xf numFmtId="0" fontId="46" fillId="2" borderId="0" xfId="15" applyFont="1" applyFill="1"/>
    <xf numFmtId="0" fontId="46" fillId="0" borderId="0" xfId="2" applyFont="1"/>
    <xf numFmtId="0" fontId="26" fillId="2" borderId="0" xfId="17" applyFont="1" applyFill="1"/>
    <xf numFmtId="2" fontId="26" fillId="2" borderId="0" xfId="17" applyNumberFormat="1" applyFont="1" applyFill="1"/>
    <xf numFmtId="0" fontId="36" fillId="2" borderId="0" xfId="17" applyFont="1" applyFill="1"/>
    <xf numFmtId="2" fontId="42" fillId="0" borderId="0" xfId="1" applyNumberFormat="1" applyFont="1" applyAlignment="1">
      <alignment vertical="top" wrapText="1"/>
    </xf>
    <xf numFmtId="0" fontId="26" fillId="0" borderId="0" xfId="0" applyFont="1" applyAlignment="1">
      <alignment horizontal="right"/>
    </xf>
    <xf numFmtId="2" fontId="26" fillId="0" borderId="0" xfId="0" applyNumberFormat="1" applyFont="1" applyAlignment="1">
      <alignment horizontal="right"/>
    </xf>
    <xf numFmtId="14" fontId="32" fillId="0" borderId="0" xfId="0" applyNumberFormat="1" applyFont="1" applyAlignment="1">
      <alignment horizontal="right" vertical="center"/>
    </xf>
    <xf numFmtId="0" fontId="32" fillId="0" borderId="0" xfId="0" applyFont="1" applyAlignment="1">
      <alignment horizontal="left" vertical="top"/>
    </xf>
    <xf numFmtId="3" fontId="32" fillId="0" borderId="0" xfId="0" applyNumberFormat="1" applyFont="1" applyAlignment="1">
      <alignment horizontal="right" vertical="center"/>
    </xf>
    <xf numFmtId="3" fontId="32" fillId="0" borderId="0" xfId="0" applyNumberFormat="1" applyFont="1" applyAlignment="1">
      <alignment horizontal="center" vertical="center"/>
    </xf>
    <xf numFmtId="1" fontId="27" fillId="0" borderId="0" xfId="0" quotePrefix="1" applyNumberFormat="1" applyFont="1" applyAlignment="1">
      <alignment horizontal="right" vertical="center"/>
    </xf>
    <xf numFmtId="0" fontId="26" fillId="0" borderId="0" xfId="0" applyFont="1" applyAlignment="1">
      <alignment horizontal="left" vertical="top"/>
    </xf>
    <xf numFmtId="0" fontId="26" fillId="0" borderId="0" xfId="0" applyFont="1" applyAlignment="1">
      <alignment horizontal="center" vertical="center"/>
    </xf>
    <xf numFmtId="1" fontId="26" fillId="0" borderId="0" xfId="0" applyNumberFormat="1" applyFont="1" applyAlignment="1">
      <alignment horizontal="center" vertical="center"/>
    </xf>
    <xf numFmtId="0" fontId="26" fillId="0" borderId="0" xfId="0" applyFont="1" applyAlignment="1">
      <alignment horizontal="left" vertical="center"/>
    </xf>
    <xf numFmtId="1" fontId="32" fillId="0" borderId="0" xfId="0" applyNumberFormat="1" applyFont="1" applyAlignment="1">
      <alignment horizontal="center" vertical="center"/>
    </xf>
    <xf numFmtId="3" fontId="32" fillId="0" borderId="0" xfId="0" applyNumberFormat="1" applyFont="1" applyAlignment="1">
      <alignment horizontal="left" vertical="center"/>
    </xf>
    <xf numFmtId="0" fontId="32" fillId="0" borderId="0" xfId="0" applyFont="1" applyAlignment="1">
      <alignment horizontal="left"/>
    </xf>
    <xf numFmtId="0" fontId="42" fillId="0" borderId="0" xfId="0" applyFont="1" applyAlignment="1">
      <alignment vertical="top"/>
    </xf>
    <xf numFmtId="0" fontId="32" fillId="0" borderId="0" xfId="0" applyFont="1" applyAlignment="1">
      <alignment horizontal="right" vertical="center"/>
    </xf>
    <xf numFmtId="0" fontId="32" fillId="0" borderId="0" xfId="0" applyFont="1" applyAlignment="1">
      <alignment vertical="top"/>
    </xf>
    <xf numFmtId="4" fontId="32" fillId="0" borderId="0" xfId="0" applyNumberFormat="1" applyFont="1" applyAlignment="1">
      <alignment horizontal="left" vertical="center"/>
    </xf>
    <xf numFmtId="0" fontId="32" fillId="0" borderId="21" xfId="0" applyFont="1" applyBorder="1" applyAlignment="1">
      <alignment horizontal="left" vertical="center"/>
    </xf>
    <xf numFmtId="0" fontId="32" fillId="0" borderId="9" xfId="0" applyFont="1" applyBorder="1" applyAlignment="1">
      <alignment horizontal="center" vertical="center"/>
    </xf>
    <xf numFmtId="3" fontId="32" fillId="0" borderId="21" xfId="0" applyNumberFormat="1" applyFont="1" applyBorder="1" applyAlignment="1">
      <alignment horizontal="left" vertical="center"/>
    </xf>
    <xf numFmtId="0" fontId="42" fillId="0" borderId="4" xfId="0" applyFont="1" applyBorder="1"/>
    <xf numFmtId="14" fontId="32" fillId="0" borderId="0" xfId="0" applyNumberFormat="1" applyFont="1" applyAlignment="1">
      <alignment vertical="center"/>
    </xf>
    <xf numFmtId="14" fontId="32" fillId="0" borderId="0" xfId="0" applyNumberFormat="1" applyFont="1" applyAlignment="1">
      <alignment horizontal="center" vertical="center"/>
    </xf>
    <xf numFmtId="3" fontId="26" fillId="0" borderId="0" xfId="0" applyNumberFormat="1" applyFont="1" applyAlignment="1">
      <alignment horizontal="left" vertical="top"/>
    </xf>
    <xf numFmtId="0" fontId="32" fillId="0" borderId="17" xfId="0" applyFont="1" applyBorder="1" applyAlignment="1">
      <alignment horizontal="left" vertical="top" wrapText="1"/>
    </xf>
    <xf numFmtId="14" fontId="32" fillId="0" borderId="0" xfId="0" applyNumberFormat="1" applyFont="1"/>
    <xf numFmtId="0" fontId="32" fillId="0" borderId="0" xfId="0" applyFont="1" applyAlignment="1">
      <alignment horizontal="center"/>
    </xf>
    <xf numFmtId="3" fontId="32" fillId="0" borderId="0" xfId="0" applyNumberFormat="1" applyFont="1" applyAlignment="1">
      <alignment horizontal="right"/>
    </xf>
    <xf numFmtId="0" fontId="27" fillId="0" borderId="0" xfId="0" applyFont="1" applyAlignment="1">
      <alignment horizontal="left"/>
    </xf>
    <xf numFmtId="0" fontId="40" fillId="0" borderId="2" xfId="0" applyFont="1" applyBorder="1" applyAlignment="1">
      <alignment horizontal="center" vertical="center"/>
    </xf>
    <xf numFmtId="14" fontId="40" fillId="0" borderId="2" xfId="0" applyNumberFormat="1" applyFont="1" applyBorder="1" applyAlignment="1">
      <alignment horizontal="center" vertical="center"/>
    </xf>
    <xf numFmtId="3" fontId="40" fillId="0" borderId="2" xfId="0" applyNumberFormat="1" applyFont="1" applyBorder="1" applyAlignment="1">
      <alignment horizontal="right" vertical="center"/>
    </xf>
    <xf numFmtId="0" fontId="40" fillId="0" borderId="8" xfId="0" applyFont="1" applyBorder="1" applyAlignment="1">
      <alignment horizontal="center" vertical="center"/>
    </xf>
    <xf numFmtId="171" fontId="40" fillId="0" borderId="2" xfId="0" applyNumberFormat="1" applyFont="1" applyBorder="1" applyAlignment="1">
      <alignment horizontal="center" vertical="center"/>
    </xf>
    <xf numFmtId="171" fontId="40" fillId="0" borderId="0" xfId="0" applyNumberFormat="1" applyFont="1" applyAlignment="1">
      <alignment horizontal="center"/>
    </xf>
    <xf numFmtId="3" fontId="40" fillId="0" borderId="2" xfId="0" applyNumberFormat="1" applyFont="1" applyBorder="1" applyAlignment="1">
      <alignment horizontal="center" vertical="center"/>
    </xf>
    <xf numFmtId="1" fontId="40" fillId="0" borderId="2" xfId="0" applyNumberFormat="1" applyFont="1" applyBorder="1" applyAlignment="1">
      <alignment horizontal="center" vertical="center"/>
    </xf>
    <xf numFmtId="1" fontId="40" fillId="0" borderId="16" xfId="0" applyNumberFormat="1" applyFont="1" applyBorder="1" applyAlignment="1">
      <alignment horizontal="center" vertical="center"/>
    </xf>
    <xf numFmtId="3" fontId="40" fillId="0" borderId="0" xfId="0" applyNumberFormat="1" applyFont="1" applyAlignment="1">
      <alignment horizontal="center" vertical="center"/>
    </xf>
    <xf numFmtId="3" fontId="40" fillId="0" borderId="8" xfId="0" applyNumberFormat="1" applyFont="1" applyBorder="1" applyAlignment="1">
      <alignment horizontal="center" vertical="center"/>
    </xf>
    <xf numFmtId="0" fontId="36" fillId="0" borderId="2" xfId="0" applyFont="1" applyBorder="1" applyAlignment="1">
      <alignment horizontal="center" vertical="center"/>
    </xf>
    <xf numFmtId="0" fontId="36" fillId="0" borderId="16" xfId="0" applyFont="1" applyBorder="1" applyAlignment="1">
      <alignment horizontal="center" vertical="center"/>
    </xf>
    <xf numFmtId="1" fontId="36" fillId="0" borderId="2" xfId="0" applyNumberFormat="1" applyFont="1" applyBorder="1" applyAlignment="1">
      <alignment horizontal="center" vertical="center"/>
    </xf>
    <xf numFmtId="3" fontId="26" fillId="0" borderId="0" xfId="0" applyNumberFormat="1" applyFont="1" applyAlignment="1">
      <alignment horizontal="center" vertical="center"/>
    </xf>
    <xf numFmtId="0" fontId="32" fillId="0" borderId="7" xfId="0" applyFont="1" applyBorder="1" applyAlignment="1">
      <alignment horizontal="left" vertical="center"/>
    </xf>
    <xf numFmtId="3" fontId="32" fillId="0" borderId="0" xfId="0" applyNumberFormat="1" applyFont="1" applyAlignment="1">
      <alignment horizontal="left" vertical="top"/>
    </xf>
    <xf numFmtId="0" fontId="32" fillId="0" borderId="21" xfId="0" applyFont="1" applyBorder="1" applyAlignment="1">
      <alignment horizontal="left" vertical="top"/>
    </xf>
    <xf numFmtId="0" fontId="32" fillId="0" borderId="23" xfId="0" applyFont="1" applyBorder="1" applyAlignment="1">
      <alignment vertical="center"/>
    </xf>
    <xf numFmtId="0" fontId="32" fillId="0" borderId="2" xfId="0" applyFont="1" applyBorder="1" applyAlignment="1">
      <alignment vertical="center"/>
    </xf>
    <xf numFmtId="14" fontId="32" fillId="0" borderId="2" xfId="0" applyNumberFormat="1" applyFont="1" applyBorder="1" applyAlignment="1">
      <alignment horizontal="right" vertical="center"/>
    </xf>
    <xf numFmtId="0" fontId="32" fillId="0" borderId="2" xfId="0" applyFont="1" applyBorder="1" applyAlignment="1">
      <alignment horizontal="left" vertical="top"/>
    </xf>
    <xf numFmtId="0" fontId="32" fillId="0" borderId="2" xfId="0" applyFont="1" applyBorder="1" applyAlignment="1">
      <alignment horizontal="center" vertical="center"/>
    </xf>
    <xf numFmtId="3" fontId="32" fillId="0" borderId="2" xfId="0" applyNumberFormat="1" applyFont="1" applyBorder="1" applyAlignment="1">
      <alignment horizontal="right" vertical="center"/>
    </xf>
    <xf numFmtId="4" fontId="32" fillId="0" borderId="1" xfId="0" applyNumberFormat="1" applyFont="1" applyBorder="1" applyAlignment="1">
      <alignment horizontal="right" vertical="center"/>
    </xf>
    <xf numFmtId="0" fontId="26" fillId="0" borderId="25" xfId="0" applyFont="1" applyBorder="1" applyAlignment="1">
      <alignment horizontal="center" vertical="center"/>
    </xf>
    <xf numFmtId="0" fontId="26" fillId="0" borderId="22" xfId="0" applyFont="1" applyBorder="1" applyAlignment="1">
      <alignment horizontal="left" vertical="center"/>
    </xf>
    <xf numFmtId="0" fontId="32" fillId="0" borderId="25" xfId="0" applyFont="1" applyBorder="1" applyAlignment="1">
      <alignment vertical="center"/>
    </xf>
    <xf numFmtId="14" fontId="32" fillId="0" borderId="25" xfId="0" applyNumberFormat="1" applyFont="1" applyBorder="1" applyAlignment="1">
      <alignment horizontal="right" vertical="center"/>
    </xf>
    <xf numFmtId="0" fontId="32" fillId="0" borderId="25" xfId="0" applyFont="1" applyBorder="1" applyAlignment="1">
      <alignment horizontal="left" vertical="top"/>
    </xf>
    <xf numFmtId="0" fontId="32" fillId="0" borderId="25" xfId="0" applyFont="1" applyBorder="1" applyAlignment="1">
      <alignment horizontal="center" vertical="center"/>
    </xf>
    <xf numFmtId="3" fontId="32" fillId="0" borderId="25" xfId="0" applyNumberFormat="1" applyFont="1" applyBorder="1" applyAlignment="1">
      <alignment horizontal="right" vertical="center"/>
    </xf>
    <xf numFmtId="0" fontId="32" fillId="0" borderId="26" xfId="0" applyFont="1" applyBorder="1" applyAlignment="1">
      <alignment vertical="top"/>
    </xf>
    <xf numFmtId="1" fontId="26" fillId="0" borderId="25" xfId="0" applyNumberFormat="1" applyFont="1" applyBorder="1" applyAlignment="1">
      <alignment horizontal="center" vertical="center"/>
    </xf>
    <xf numFmtId="0" fontId="32" fillId="0" borderId="3" xfId="0" applyFont="1" applyBorder="1" applyAlignment="1">
      <alignment vertical="center"/>
    </xf>
    <xf numFmtId="14" fontId="32" fillId="0" borderId="3" xfId="0" applyNumberFormat="1" applyFont="1" applyBorder="1" applyAlignment="1">
      <alignment horizontal="right" vertical="center"/>
    </xf>
    <xf numFmtId="0" fontId="32" fillId="0" borderId="3" xfId="0" applyFont="1" applyBorder="1" applyAlignment="1">
      <alignment horizontal="left" vertical="top"/>
    </xf>
    <xf numFmtId="0" fontId="32" fillId="0" borderId="3" xfId="0" applyFont="1" applyBorder="1" applyAlignment="1">
      <alignment horizontal="center" vertical="center"/>
    </xf>
    <xf numFmtId="3" fontId="32" fillId="0" borderId="3" xfId="0" applyNumberFormat="1" applyFont="1" applyBorder="1" applyAlignment="1">
      <alignment horizontal="right" vertical="center"/>
    </xf>
    <xf numFmtId="0" fontId="32" fillId="0" borderId="0" xfId="0" applyFont="1" applyAlignment="1">
      <alignment vertical="top" wrapText="1"/>
    </xf>
    <xf numFmtId="0" fontId="32" fillId="0" borderId="7" xfId="0" applyFont="1" applyBorder="1" applyAlignment="1">
      <alignment horizontal="left" vertical="top" wrapText="1"/>
    </xf>
    <xf numFmtId="0" fontId="26" fillId="0" borderId="0" xfId="0" applyFont="1" applyAlignment="1">
      <alignment horizontal="left" vertical="top" wrapText="1"/>
    </xf>
    <xf numFmtId="3" fontId="26" fillId="0" borderId="0" xfId="0" applyNumberFormat="1" applyFont="1" applyAlignment="1">
      <alignment horizontal="left" vertical="top" wrapText="1"/>
    </xf>
    <xf numFmtId="0" fontId="32" fillId="0" borderId="1" xfId="41" applyFont="1" applyFill="1" applyBorder="1" applyAlignment="1">
      <alignment horizontal="left" vertical="top"/>
    </xf>
    <xf numFmtId="171" fontId="32" fillId="0" borderId="0" xfId="0" applyNumberFormat="1" applyFont="1" applyAlignment="1">
      <alignment horizontal="left"/>
    </xf>
    <xf numFmtId="0" fontId="32" fillId="0" borderId="0" xfId="0" applyFont="1" applyAlignment="1">
      <alignment horizontal="right"/>
    </xf>
    <xf numFmtId="0" fontId="32" fillId="0" borderId="1" xfId="0" applyFont="1" applyBorder="1" applyAlignment="1">
      <alignment vertical="top"/>
    </xf>
    <xf numFmtId="4" fontId="32" fillId="0" borderId="1" xfId="0" applyNumberFormat="1" applyFont="1" applyBorder="1" applyAlignment="1">
      <alignment horizontal="left" vertical="top"/>
    </xf>
    <xf numFmtId="0" fontId="32" fillId="0" borderId="7" xfId="0" applyFont="1" applyBorder="1" applyAlignment="1">
      <alignment horizontal="left" vertical="top"/>
    </xf>
    <xf numFmtId="0" fontId="32" fillId="0" borderId="1" xfId="0" applyFont="1" applyBorder="1" applyAlignment="1">
      <alignment horizontal="left" vertical="top" wrapText="1"/>
    </xf>
    <xf numFmtId="0" fontId="32" fillId="0" borderId="1" xfId="0" applyFont="1" applyBorder="1"/>
    <xf numFmtId="0" fontId="27" fillId="0" borderId="1" xfId="0" applyFont="1" applyBorder="1" applyAlignment="1">
      <alignment horizontal="left" vertical="top"/>
    </xf>
    <xf numFmtId="0" fontId="32" fillId="0" borderId="4" xfId="0" applyFont="1" applyBorder="1" applyAlignment="1">
      <alignment horizontal="left" vertical="top"/>
    </xf>
    <xf numFmtId="171" fontId="32" fillId="0" borderId="1" xfId="0" applyNumberFormat="1" applyFont="1" applyBorder="1" applyAlignment="1">
      <alignment horizontal="left"/>
    </xf>
    <xf numFmtId="0" fontId="32" fillId="0" borderId="1" xfId="0" applyFont="1" applyBorder="1" applyAlignment="1">
      <alignment horizontal="center"/>
    </xf>
    <xf numFmtId="171" fontId="32" fillId="0" borderId="1" xfId="0" applyNumberFormat="1" applyFont="1" applyBorder="1" applyAlignment="1">
      <alignment horizontal="center"/>
    </xf>
    <xf numFmtId="0" fontId="32" fillId="0" borderId="7" xfId="0" applyFont="1" applyBorder="1"/>
    <xf numFmtId="0" fontId="32" fillId="0" borderId="2" xfId="0" applyFont="1" applyBorder="1"/>
    <xf numFmtId="0" fontId="32" fillId="0" borderId="17" xfId="0" applyFont="1" applyBorder="1" applyAlignment="1">
      <alignment horizontal="left" vertical="top"/>
    </xf>
    <xf numFmtId="4" fontId="32" fillId="0" borderId="17" xfId="0" applyNumberFormat="1" applyFont="1" applyBorder="1" applyAlignment="1">
      <alignment horizontal="left" vertical="top"/>
    </xf>
    <xf numFmtId="0" fontId="27" fillId="0" borderId="17" xfId="0" applyFont="1" applyBorder="1" applyAlignment="1">
      <alignment horizontal="left" vertical="top"/>
    </xf>
    <xf numFmtId="0" fontId="27" fillId="0" borderId="15" xfId="0" applyFont="1" applyBorder="1" applyAlignment="1">
      <alignment horizontal="left" vertical="top"/>
    </xf>
    <xf numFmtId="0" fontId="32" fillId="0" borderId="14" xfId="0" applyFont="1" applyBorder="1" applyAlignment="1">
      <alignment horizontal="left" vertical="top"/>
    </xf>
    <xf numFmtId="0" fontId="32" fillId="0" borderId="17" xfId="0" applyFont="1" applyBorder="1"/>
    <xf numFmtId="0" fontId="27" fillId="0" borderId="0" xfId="0" applyFont="1" applyAlignment="1">
      <alignment horizontal="left" vertical="top"/>
    </xf>
    <xf numFmtId="0" fontId="27" fillId="0" borderId="7" xfId="0" applyFont="1" applyBorder="1" applyAlignment="1">
      <alignment horizontal="left" vertical="top"/>
    </xf>
    <xf numFmtId="0" fontId="27" fillId="0" borderId="1" xfId="0" applyFont="1" applyBorder="1"/>
    <xf numFmtId="4" fontId="32" fillId="0" borderId="7" xfId="0" applyNumberFormat="1" applyFont="1" applyBorder="1" applyAlignment="1">
      <alignment horizontal="left" vertical="top"/>
    </xf>
    <xf numFmtId="2" fontId="26" fillId="0" borderId="0" xfId="0" applyNumberFormat="1" applyFont="1" applyAlignment="1">
      <alignment horizontal="center"/>
    </xf>
    <xf numFmtId="0" fontId="36" fillId="7" borderId="10" xfId="17" applyFont="1" applyFill="1" applyBorder="1" applyAlignment="1">
      <alignment horizontal="left" vertical="center"/>
    </xf>
    <xf numFmtId="2" fontId="26" fillId="0" borderId="5" xfId="0" applyNumberFormat="1" applyFont="1" applyBorder="1" applyAlignment="1">
      <alignment horizontal="center"/>
    </xf>
    <xf numFmtId="4" fontId="26" fillId="0" borderId="0" xfId="0" applyNumberFormat="1" applyFont="1" applyAlignment="1">
      <alignment horizontal="left" vertical="center"/>
    </xf>
    <xf numFmtId="0" fontId="26" fillId="0" borderId="0" xfId="0" applyFont="1" applyAlignment="1">
      <alignment vertical="center" wrapText="1"/>
    </xf>
    <xf numFmtId="0" fontId="26" fillId="0" borderId="0" xfId="0" applyFont="1" applyAlignment="1">
      <alignment horizontal="left" vertical="center" wrapText="1"/>
    </xf>
    <xf numFmtId="171" fontId="26" fillId="0" borderId="0" xfId="0" applyNumberFormat="1" applyFont="1" applyAlignment="1">
      <alignment horizontal="left" vertical="center"/>
    </xf>
    <xf numFmtId="4" fontId="26" fillId="0" borderId="0" xfId="0" applyNumberFormat="1" applyFont="1" applyAlignment="1">
      <alignment horizontal="left" vertical="center" wrapText="1"/>
    </xf>
    <xf numFmtId="0" fontId="37" fillId="0" borderId="10" xfId="1" applyFont="1" applyBorder="1"/>
    <xf numFmtId="2" fontId="36" fillId="2" borderId="10" xfId="17" applyNumberFormat="1" applyFont="1" applyFill="1" applyBorder="1"/>
    <xf numFmtId="2" fontId="36" fillId="2" borderId="0" xfId="17" applyNumberFormat="1" applyFont="1" applyFill="1"/>
    <xf numFmtId="2" fontId="36" fillId="2" borderId="6" xfId="17" applyNumberFormat="1" applyFont="1" applyFill="1" applyBorder="1"/>
    <xf numFmtId="2" fontId="37" fillId="7" borderId="12" xfId="1" applyNumberFormat="1" applyFont="1" applyFill="1" applyBorder="1" applyAlignment="1">
      <alignment horizontal="center" vertical="top" wrapText="1"/>
    </xf>
    <xf numFmtId="2" fontId="42" fillId="7" borderId="6" xfId="1" applyNumberFormat="1" applyFont="1" applyFill="1" applyBorder="1" applyAlignment="1">
      <alignment horizontal="center" vertical="top" wrapText="1"/>
    </xf>
    <xf numFmtId="2" fontId="42" fillId="2" borderId="0" xfId="3" applyNumberFormat="1" applyFont="1" applyFill="1" applyAlignment="1">
      <alignment horizontal="right"/>
    </xf>
    <xf numFmtId="2" fontId="26" fillId="2" borderId="0" xfId="15" applyNumberFormat="1" applyFont="1" applyFill="1"/>
    <xf numFmtId="2" fontId="36" fillId="2" borderId="10" xfId="15" applyNumberFormat="1" applyFont="1" applyFill="1" applyBorder="1"/>
    <xf numFmtId="0" fontId="42" fillId="0" borderId="0" xfId="1" applyFont="1" applyAlignment="1">
      <alignment vertical="top" wrapText="1"/>
    </xf>
    <xf numFmtId="2" fontId="36" fillId="3" borderId="10" xfId="2" applyNumberFormat="1" applyFont="1" applyFill="1" applyBorder="1"/>
    <xf numFmtId="0" fontId="42" fillId="2" borderId="6" xfId="1" applyFont="1" applyFill="1" applyBorder="1"/>
    <xf numFmtId="3" fontId="32" fillId="0" borderId="0" xfId="0" applyNumberFormat="1" applyFont="1" applyAlignment="1">
      <alignment horizontal="left" vertical="top" wrapText="1"/>
    </xf>
    <xf numFmtId="2" fontId="26" fillId="3" borderId="0" xfId="2" applyNumberFormat="1" applyFont="1" applyFill="1"/>
    <xf numFmtId="2" fontId="26" fillId="2" borderId="0" xfId="0" applyNumberFormat="1" applyFont="1" applyFill="1"/>
    <xf numFmtId="2" fontId="26" fillId="2" borderId="6" xfId="0" applyNumberFormat="1" applyFont="1" applyFill="1" applyBorder="1"/>
    <xf numFmtId="2" fontId="26" fillId="2" borderId="5" xfId="0" applyNumberFormat="1" applyFont="1" applyFill="1" applyBorder="1"/>
    <xf numFmtId="2" fontId="42" fillId="2" borderId="0" xfId="3" applyNumberFormat="1" applyFont="1" applyFill="1"/>
    <xf numFmtId="2" fontId="42" fillId="2" borderId="6" xfId="3" applyNumberFormat="1" applyFont="1" applyFill="1" applyBorder="1"/>
    <xf numFmtId="2" fontId="42" fillId="0" borderId="0" xfId="1" applyNumberFormat="1" applyFont="1"/>
    <xf numFmtId="2" fontId="42" fillId="2" borderId="6" xfId="1" applyNumberFormat="1" applyFont="1" applyFill="1" applyBorder="1"/>
    <xf numFmtId="0" fontId="26" fillId="2" borderId="0" xfId="0" applyFont="1" applyFill="1" applyAlignment="1">
      <alignment horizontal="left"/>
    </xf>
    <xf numFmtId="0" fontId="53" fillId="0" borderId="0" xfId="41" applyFont="1" applyFill="1" applyBorder="1" applyAlignment="1">
      <alignment horizontal="left" vertical="top"/>
    </xf>
    <xf numFmtId="0" fontId="32" fillId="0" borderId="7" xfId="0" applyFont="1" applyBorder="1" applyAlignment="1">
      <alignment horizontal="center"/>
    </xf>
    <xf numFmtId="0" fontId="32" fillId="0" borderId="17" xfId="0" applyFont="1" applyBorder="1" applyAlignment="1">
      <alignment horizontal="center"/>
    </xf>
    <xf numFmtId="0" fontId="53" fillId="0" borderId="0" xfId="7" applyFont="1" applyFill="1" applyBorder="1" applyAlignment="1">
      <alignment horizontal="left" vertical="top"/>
    </xf>
    <xf numFmtId="0" fontId="53" fillId="0" borderId="0" xfId="41" applyFont="1" applyFill="1" applyBorder="1" applyAlignment="1"/>
    <xf numFmtId="0" fontId="53" fillId="0" borderId="0" xfId="41" applyFont="1" applyFill="1"/>
    <xf numFmtId="2" fontId="37" fillId="7" borderId="12" xfId="1" applyNumberFormat="1" applyFont="1" applyFill="1" applyBorder="1" applyAlignment="1">
      <alignment horizontal="center" vertical="center" wrapText="1"/>
    </xf>
    <xf numFmtId="0" fontId="37" fillId="7" borderId="12" xfId="1" applyFont="1" applyFill="1" applyBorder="1" applyAlignment="1">
      <alignment horizontal="center" vertical="center" wrapText="1"/>
    </xf>
    <xf numFmtId="0" fontId="37" fillId="7" borderId="0" xfId="1" applyFont="1" applyFill="1" applyAlignment="1">
      <alignment vertical="center"/>
    </xf>
    <xf numFmtId="2" fontId="37" fillId="7" borderId="0" xfId="1" applyNumberFormat="1" applyFont="1" applyFill="1" applyAlignment="1">
      <alignment horizontal="center" vertical="center" wrapText="1"/>
    </xf>
    <xf numFmtId="0" fontId="37" fillId="7" borderId="0" xfId="1" applyFont="1" applyFill="1" applyAlignment="1">
      <alignment horizontal="center" vertical="center" wrapText="1"/>
    </xf>
    <xf numFmtId="0" fontId="37" fillId="7" borderId="0" xfId="1" applyFont="1" applyFill="1" applyAlignment="1">
      <alignment horizontal="center" vertical="center"/>
    </xf>
    <xf numFmtId="0" fontId="37" fillId="7" borderId="6" xfId="1" applyFont="1" applyFill="1" applyBorder="1" applyAlignment="1">
      <alignment vertical="center"/>
    </xf>
    <xf numFmtId="0" fontId="42" fillId="7" borderId="6" xfId="1" applyFont="1" applyFill="1" applyBorder="1" applyAlignment="1">
      <alignment horizontal="center" vertical="top"/>
    </xf>
    <xf numFmtId="1" fontId="26" fillId="2" borderId="0" xfId="0" applyNumberFormat="1" applyFont="1" applyFill="1" applyAlignment="1">
      <alignment horizontal="center"/>
    </xf>
    <xf numFmtId="2" fontId="26" fillId="2" borderId="0" xfId="0" applyNumberFormat="1" applyFont="1" applyFill="1" applyAlignment="1">
      <alignment horizontal="center"/>
    </xf>
    <xf numFmtId="2" fontId="42" fillId="2" borderId="0" xfId="1" applyNumberFormat="1" applyFont="1" applyFill="1" applyAlignment="1">
      <alignment horizontal="center"/>
    </xf>
    <xf numFmtId="1" fontId="42" fillId="2" borderId="0" xfId="1" applyNumberFormat="1" applyFont="1" applyFill="1" applyAlignment="1">
      <alignment horizontal="center"/>
    </xf>
    <xf numFmtId="1" fontId="32" fillId="2" borderId="0" xfId="0" applyNumberFormat="1" applyFont="1" applyFill="1" applyAlignment="1">
      <alignment horizontal="center"/>
    </xf>
    <xf numFmtId="0" fontId="42" fillId="2" borderId="5" xfId="1" applyFont="1" applyFill="1" applyBorder="1"/>
    <xf numFmtId="1" fontId="32" fillId="2" borderId="5" xfId="0" applyNumberFormat="1" applyFont="1" applyFill="1" applyBorder="1" applyAlignment="1">
      <alignment horizontal="center"/>
    </xf>
    <xf numFmtId="1" fontId="32" fillId="0" borderId="5" xfId="0" applyNumberFormat="1" applyFont="1" applyBorder="1" applyAlignment="1">
      <alignment horizontal="center" vertical="center"/>
    </xf>
    <xf numFmtId="2" fontId="26" fillId="2" borderId="5" xfId="0" applyNumberFormat="1" applyFont="1" applyFill="1" applyBorder="1" applyAlignment="1">
      <alignment horizontal="center"/>
    </xf>
    <xf numFmtId="2" fontId="42" fillId="2" borderId="5" xfId="1" applyNumberFormat="1" applyFont="1" applyFill="1" applyBorder="1" applyAlignment="1">
      <alignment horizontal="center"/>
    </xf>
    <xf numFmtId="0" fontId="55" fillId="2" borderId="19" xfId="1" applyFont="1" applyFill="1" applyBorder="1"/>
    <xf numFmtId="2" fontId="55" fillId="2" borderId="19" xfId="1" applyNumberFormat="1" applyFont="1" applyFill="1" applyBorder="1" applyAlignment="1">
      <alignment horizontal="center"/>
    </xf>
    <xf numFmtId="1" fontId="38" fillId="2" borderId="0" xfId="0" applyNumberFormat="1" applyFont="1" applyFill="1"/>
    <xf numFmtId="1" fontId="38" fillId="2" borderId="0" xfId="0" applyNumberFormat="1" applyFont="1" applyFill="1" applyAlignment="1">
      <alignment horizontal="center"/>
    </xf>
    <xf numFmtId="2" fontId="33" fillId="2" borderId="6" xfId="1" applyNumberFormat="1" applyFont="1" applyFill="1" applyBorder="1" applyAlignment="1">
      <alignment horizontal="center"/>
    </xf>
    <xf numFmtId="0" fontId="32" fillId="0" borderId="0" xfId="0" applyFont="1" applyAlignment="1">
      <alignment horizontal="center" vertical="center" wrapText="1"/>
    </xf>
    <xf numFmtId="0" fontId="40" fillId="0" borderId="0" xfId="0" applyFont="1" applyAlignment="1">
      <alignment vertical="center"/>
    </xf>
    <xf numFmtId="0" fontId="42" fillId="0" borderId="0" xfId="0" applyFont="1" applyAlignment="1">
      <alignment wrapText="1"/>
    </xf>
    <xf numFmtId="0" fontId="56" fillId="0" borderId="0" xfId="0" applyFont="1"/>
    <xf numFmtId="0" fontId="57" fillId="0" borderId="0" xfId="0" applyFont="1"/>
    <xf numFmtId="0" fontId="40" fillId="0" borderId="0" xfId="0" applyFont="1"/>
    <xf numFmtId="0" fontId="42" fillId="6" borderId="0" xfId="1" applyFont="1" applyFill="1"/>
    <xf numFmtId="0" fontId="42" fillId="8" borderId="0" xfId="1" applyFont="1" applyFill="1"/>
    <xf numFmtId="0" fontId="42" fillId="9" borderId="0" xfId="1" applyFont="1" applyFill="1"/>
    <xf numFmtId="0" fontId="42" fillId="10" borderId="0" xfId="1" applyFont="1" applyFill="1"/>
    <xf numFmtId="0" fontId="42" fillId="2" borderId="0" xfId="1" applyFont="1" applyFill="1" applyAlignment="1">
      <alignment horizontal="center"/>
    </xf>
    <xf numFmtId="170" fontId="26" fillId="2" borderId="0" xfId="1" applyNumberFormat="1" applyFont="1" applyFill="1"/>
    <xf numFmtId="170" fontId="42" fillId="2" borderId="0" xfId="1" applyNumberFormat="1" applyFont="1" applyFill="1"/>
    <xf numFmtId="173" fontId="26" fillId="0" borderId="0" xfId="0" applyNumberFormat="1" applyFont="1"/>
    <xf numFmtId="168" fontId="42" fillId="0" borderId="0" xfId="1" applyNumberFormat="1" applyFont="1"/>
    <xf numFmtId="167" fontId="26" fillId="0" borderId="0" xfId="0" applyNumberFormat="1" applyFont="1"/>
    <xf numFmtId="170" fontId="26" fillId="2" borderId="0" xfId="1" applyNumberFormat="1" applyFont="1" applyFill="1" applyAlignment="1">
      <alignment horizontal="center"/>
    </xf>
    <xf numFmtId="170" fontId="42" fillId="2" borderId="0" xfId="1" applyNumberFormat="1" applyFont="1" applyFill="1" applyAlignment="1">
      <alignment horizontal="center"/>
    </xf>
    <xf numFmtId="166" fontId="42" fillId="2" borderId="0" xfId="1" applyNumberFormat="1" applyFont="1" applyFill="1" applyAlignment="1">
      <alignment horizontal="center"/>
    </xf>
    <xf numFmtId="173" fontId="26" fillId="0" borderId="0" xfId="0" applyNumberFormat="1" applyFont="1" applyAlignment="1">
      <alignment horizontal="center"/>
    </xf>
    <xf numFmtId="0" fontId="42" fillId="0" borderId="0" xfId="1" applyFont="1" applyAlignment="1">
      <alignment horizontal="center"/>
    </xf>
    <xf numFmtId="168" fontId="42" fillId="0" borderId="0" xfId="1" applyNumberFormat="1" applyFont="1" applyAlignment="1">
      <alignment horizontal="center"/>
    </xf>
    <xf numFmtId="167" fontId="36" fillId="2" borderId="0" xfId="0" applyNumberFormat="1" applyFont="1" applyFill="1" applyAlignment="1">
      <alignment horizontal="center"/>
    </xf>
    <xf numFmtId="0" fontId="37" fillId="2" borderId="0" xfId="1" applyFont="1" applyFill="1" applyAlignment="1">
      <alignment horizontal="center" vertical="center"/>
    </xf>
    <xf numFmtId="2" fontId="37" fillId="7" borderId="12" xfId="1" applyNumberFormat="1" applyFont="1" applyFill="1" applyBorder="1" applyAlignment="1">
      <alignment horizontal="center" vertical="center"/>
    </xf>
    <xf numFmtId="170" fontId="36" fillId="7" borderId="12" xfId="1" applyNumberFormat="1" applyFont="1" applyFill="1" applyBorder="1" applyAlignment="1">
      <alignment horizontal="center" vertical="center"/>
    </xf>
    <xf numFmtId="170" fontId="37" fillId="7" borderId="12" xfId="1" applyNumberFormat="1" applyFont="1" applyFill="1" applyBorder="1" applyAlignment="1">
      <alignment horizontal="center" vertical="center"/>
    </xf>
    <xf numFmtId="166" fontId="37" fillId="7" borderId="12" xfId="1" applyNumberFormat="1" applyFont="1" applyFill="1" applyBorder="1" applyAlignment="1">
      <alignment horizontal="center" vertical="center"/>
    </xf>
    <xf numFmtId="173" fontId="37" fillId="7" borderId="12" xfId="1" applyNumberFormat="1" applyFont="1" applyFill="1" applyBorder="1" applyAlignment="1">
      <alignment horizontal="center" vertical="center"/>
    </xf>
    <xf numFmtId="0" fontId="37" fillId="7" borderId="12" xfId="0" applyFont="1" applyFill="1" applyBorder="1" applyAlignment="1">
      <alignment horizontal="center" vertical="center"/>
    </xf>
    <xf numFmtId="2" fontId="37" fillId="7" borderId="6" xfId="1" applyNumberFormat="1" applyFont="1" applyFill="1" applyBorder="1" applyAlignment="1">
      <alignment horizontal="center" vertical="center"/>
    </xf>
    <xf numFmtId="170" fontId="36" fillId="7" borderId="6" xfId="1" applyNumberFormat="1" applyFont="1" applyFill="1" applyBorder="1" applyAlignment="1">
      <alignment horizontal="center" vertical="center"/>
    </xf>
    <xf numFmtId="170" fontId="37" fillId="7" borderId="6" xfId="1" applyNumberFormat="1" applyFont="1" applyFill="1" applyBorder="1" applyAlignment="1">
      <alignment horizontal="center" vertical="center"/>
    </xf>
    <xf numFmtId="166" fontId="37" fillId="7" borderId="6" xfId="1" applyNumberFormat="1" applyFont="1" applyFill="1" applyBorder="1" applyAlignment="1">
      <alignment horizontal="center" vertical="center"/>
    </xf>
    <xf numFmtId="173" fontId="37" fillId="7" borderId="6" xfId="1" applyNumberFormat="1" applyFont="1" applyFill="1" applyBorder="1" applyAlignment="1">
      <alignment horizontal="center" vertical="center"/>
    </xf>
    <xf numFmtId="168" fontId="37" fillId="7" borderId="6" xfId="1" applyNumberFormat="1" applyFont="1" applyFill="1" applyBorder="1" applyAlignment="1">
      <alignment horizontal="center" vertical="center"/>
    </xf>
    <xf numFmtId="0" fontId="37" fillId="7" borderId="6" xfId="0" applyFont="1" applyFill="1" applyBorder="1" applyAlignment="1">
      <alignment horizontal="center" vertical="center"/>
    </xf>
    <xf numFmtId="170" fontId="26" fillId="2" borderId="0" xfId="0" applyNumberFormat="1" applyFont="1" applyFill="1"/>
    <xf numFmtId="2" fontId="42" fillId="2" borderId="29" xfId="1" applyNumberFormat="1" applyFont="1" applyFill="1" applyBorder="1"/>
    <xf numFmtId="2" fontId="42" fillId="0" borderId="29" xfId="1" applyNumberFormat="1" applyFont="1" applyBorder="1"/>
    <xf numFmtId="170" fontId="32" fillId="2" borderId="0" xfId="0" applyNumberFormat="1" applyFont="1" applyFill="1"/>
    <xf numFmtId="0" fontId="42" fillId="2" borderId="6" xfId="1" applyFont="1" applyFill="1" applyBorder="1" applyAlignment="1">
      <alignment horizontal="center"/>
    </xf>
    <xf numFmtId="170" fontId="42" fillId="2" borderId="6" xfId="1" applyNumberFormat="1" applyFont="1" applyFill="1" applyBorder="1"/>
    <xf numFmtId="2" fontId="42" fillId="2" borderId="6" xfId="1" applyNumberFormat="1" applyFont="1" applyFill="1" applyBorder="1" applyAlignment="1">
      <alignment horizontal="right"/>
    </xf>
    <xf numFmtId="2" fontId="42" fillId="0" borderId="6" xfId="1" applyNumberFormat="1" applyFont="1" applyBorder="1"/>
    <xf numFmtId="0" fontId="37" fillId="2" borderId="10" xfId="1" applyFont="1" applyFill="1" applyBorder="1" applyAlignment="1">
      <alignment horizontal="center"/>
    </xf>
    <xf numFmtId="2" fontId="37" fillId="2" borderId="10" xfId="1" applyNumberFormat="1" applyFont="1" applyFill="1" applyBorder="1"/>
    <xf numFmtId="3" fontId="37" fillId="2" borderId="10" xfId="1" applyNumberFormat="1" applyFont="1" applyFill="1" applyBorder="1"/>
    <xf numFmtId="0" fontId="26" fillId="2" borderId="0" xfId="0" applyFont="1" applyFill="1" applyAlignment="1">
      <alignment horizontal="center"/>
    </xf>
    <xf numFmtId="164" fontId="42" fillId="2" borderId="0" xfId="11" applyFont="1" applyFill="1"/>
    <xf numFmtId="167" fontId="26" fillId="2" borderId="0" xfId="0" applyNumberFormat="1" applyFont="1" applyFill="1"/>
    <xf numFmtId="0" fontId="42" fillId="2" borderId="0" xfId="1" applyFont="1" applyFill="1" applyAlignment="1">
      <alignment horizontal="center" wrapText="1"/>
    </xf>
    <xf numFmtId="0" fontId="37" fillId="2" borderId="0" xfId="1" applyFont="1" applyFill="1" applyAlignment="1">
      <alignment horizontal="center"/>
    </xf>
    <xf numFmtId="167" fontId="32" fillId="2" borderId="0" xfId="0" applyNumberFormat="1" applyFont="1" applyFill="1" applyAlignment="1">
      <alignment horizontal="center" vertical="center"/>
    </xf>
    <xf numFmtId="167" fontId="26" fillId="2" borderId="4" xfId="0" applyNumberFormat="1" applyFont="1" applyFill="1" applyBorder="1"/>
    <xf numFmtId="2" fontId="26" fillId="2" borderId="0" xfId="1" applyNumberFormat="1" applyFont="1" applyFill="1" applyAlignment="1">
      <alignment horizontal="right"/>
    </xf>
    <xf numFmtId="0" fontId="42" fillId="2" borderId="0" xfId="1" applyFont="1" applyFill="1" applyAlignment="1">
      <alignment horizontal="right"/>
    </xf>
    <xf numFmtId="0" fontId="42" fillId="2" borderId="0" xfId="1" applyFont="1" applyFill="1" applyAlignment="1">
      <alignment horizontal="center" vertical="center"/>
    </xf>
    <xf numFmtId="0" fontId="37" fillId="2" borderId="0" xfId="18" applyFont="1" applyFill="1" applyAlignment="1">
      <alignment horizontal="left" wrapText="1"/>
    </xf>
    <xf numFmtId="2" fontId="55" fillId="2" borderId="0" xfId="1" applyNumberFormat="1" applyFont="1" applyFill="1" applyAlignment="1">
      <alignment horizontal="right"/>
    </xf>
    <xf numFmtId="1" fontId="42" fillId="2" borderId="0" xfId="1" applyNumberFormat="1" applyFont="1" applyFill="1"/>
    <xf numFmtId="1" fontId="26" fillId="2" borderId="0" xfId="0" applyNumberFormat="1" applyFont="1" applyFill="1" applyAlignment="1">
      <alignment horizontal="right"/>
    </xf>
    <xf numFmtId="0" fontId="26" fillId="0" borderId="31" xfId="0" applyFont="1" applyBorder="1"/>
    <xf numFmtId="1" fontId="26" fillId="0" borderId="31" xfId="0" applyNumberFormat="1" applyFont="1" applyBorder="1"/>
    <xf numFmtId="0" fontId="26" fillId="0" borderId="32" xfId="0" applyFont="1" applyBorder="1"/>
    <xf numFmtId="1" fontId="26" fillId="0" borderId="38" xfId="0" applyNumberFormat="1" applyFont="1" applyBorder="1"/>
    <xf numFmtId="0" fontId="26" fillId="0" borderId="38" xfId="0" applyFont="1" applyBorder="1"/>
    <xf numFmtId="174" fontId="36" fillId="7" borderId="11" xfId="2" applyNumberFormat="1" applyFont="1" applyFill="1" applyBorder="1" applyAlignment="1">
      <alignment horizontal="center" vertical="center"/>
    </xf>
    <xf numFmtId="170" fontId="32" fillId="0" borderId="0" xfId="2" applyNumberFormat="1" applyFont="1" applyAlignment="1">
      <alignment wrapText="1"/>
    </xf>
    <xf numFmtId="170" fontId="32" fillId="0" borderId="0" xfId="2" applyNumberFormat="1" applyFont="1"/>
    <xf numFmtId="2" fontId="32" fillId="2" borderId="0" xfId="2" applyNumberFormat="1" applyFont="1" applyFill="1"/>
    <xf numFmtId="2" fontId="42" fillId="2" borderId="0" xfId="2" applyNumberFormat="1" applyFont="1" applyFill="1" applyAlignment="1">
      <alignment wrapText="1"/>
    </xf>
    <xf numFmtId="2" fontId="37" fillId="2" borderId="0" xfId="2" applyNumberFormat="1" applyFont="1" applyFill="1" applyAlignment="1">
      <alignment wrapText="1"/>
    </xf>
    <xf numFmtId="170" fontId="40" fillId="0" borderId="0" xfId="2" applyNumberFormat="1" applyFont="1"/>
    <xf numFmtId="2" fontId="40" fillId="2" borderId="0" xfId="2" applyNumberFormat="1" applyFont="1" applyFill="1"/>
    <xf numFmtId="170" fontId="26" fillId="0" borderId="0" xfId="0" applyNumberFormat="1" applyFont="1"/>
    <xf numFmtId="0" fontId="37" fillId="2" borderId="0" xfId="20" applyFont="1" applyFill="1" applyAlignment="1">
      <alignment wrapText="1"/>
    </xf>
    <xf numFmtId="0" fontId="26" fillId="2" borderId="0" xfId="0" applyFont="1" applyFill="1" applyAlignment="1">
      <alignment horizontal="center" vertical="center"/>
    </xf>
    <xf numFmtId="0" fontId="26" fillId="3" borderId="0" xfId="2" applyFont="1" applyFill="1" applyAlignment="1">
      <alignment horizontal="center" vertical="center"/>
    </xf>
    <xf numFmtId="0" fontId="36" fillId="7" borderId="10" xfId="15" applyFont="1" applyFill="1" applyBorder="1" applyAlignment="1">
      <alignment vertical="center"/>
    </xf>
    <xf numFmtId="0" fontId="36" fillId="7" borderId="10" xfId="15" applyFont="1" applyFill="1" applyBorder="1" applyAlignment="1">
      <alignment horizontal="right" vertical="center"/>
    </xf>
    <xf numFmtId="0" fontId="50" fillId="0" borderId="0" xfId="15" applyFont="1"/>
    <xf numFmtId="0" fontId="46" fillId="0" borderId="0" xfId="2" applyFont="1" applyAlignment="1">
      <alignment horizontal="left"/>
    </xf>
    <xf numFmtId="0" fontId="46" fillId="2" borderId="0" xfId="17" applyFont="1" applyFill="1" applyAlignment="1">
      <alignment vertical="center"/>
    </xf>
    <xf numFmtId="0" fontId="36" fillId="7" borderId="11" xfId="2" applyFont="1" applyFill="1" applyBorder="1" applyAlignment="1">
      <alignment vertical="center"/>
    </xf>
    <xf numFmtId="0" fontId="36" fillId="7" borderId="10" xfId="0" applyFont="1" applyFill="1" applyBorder="1" applyAlignment="1">
      <alignment vertical="center"/>
    </xf>
    <xf numFmtId="0" fontId="46" fillId="3" borderId="0" xfId="2" applyFont="1" applyFill="1"/>
    <xf numFmtId="2" fontId="37" fillId="0" borderId="10" xfId="1" applyNumberFormat="1" applyFont="1" applyBorder="1"/>
    <xf numFmtId="0" fontId="26" fillId="2" borderId="0" xfId="0" applyFont="1" applyFill="1" applyAlignment="1">
      <alignment horizontal="left" vertical="center"/>
    </xf>
    <xf numFmtId="0" fontId="26" fillId="2" borderId="0" xfId="17" applyFont="1" applyFill="1" applyAlignment="1">
      <alignment horizontal="left"/>
    </xf>
    <xf numFmtId="0" fontId="46" fillId="2" borderId="0" xfId="17" applyFont="1" applyFill="1" applyAlignment="1">
      <alignment horizontal="left" vertical="center"/>
    </xf>
    <xf numFmtId="0" fontId="26" fillId="2" borderId="0" xfId="17" applyFont="1" applyFill="1" applyAlignment="1">
      <alignment horizontal="left" vertical="center"/>
    </xf>
    <xf numFmtId="0" fontId="26" fillId="0" borderId="0" xfId="17" applyFont="1" applyAlignment="1">
      <alignment horizontal="left" vertical="center"/>
    </xf>
    <xf numFmtId="0" fontId="46" fillId="0" borderId="0" xfId="0" applyFont="1" applyAlignment="1">
      <alignment horizontal="left" vertical="center"/>
    </xf>
    <xf numFmtId="0" fontId="36" fillId="0" borderId="10" xfId="0" applyFont="1" applyBorder="1"/>
    <xf numFmtId="2" fontId="36" fillId="0" borderId="10" xfId="0" applyNumberFormat="1" applyFont="1" applyBorder="1"/>
    <xf numFmtId="0" fontId="42" fillId="4" borderId="6" xfId="0" applyFont="1" applyFill="1" applyBorder="1"/>
    <xf numFmtId="2" fontId="32" fillId="0" borderId="6" xfId="0" applyNumberFormat="1" applyFont="1" applyBorder="1"/>
    <xf numFmtId="2" fontId="42" fillId="0" borderId="6" xfId="0" applyNumberFormat="1" applyFont="1" applyBorder="1"/>
    <xf numFmtId="1" fontId="32" fillId="0" borderId="6" xfId="0" applyNumberFormat="1" applyFont="1" applyBorder="1"/>
    <xf numFmtId="2" fontId="36" fillId="0" borderId="10" xfId="0" applyNumberFormat="1" applyFont="1" applyBorder="1" applyAlignment="1">
      <alignment horizontal="right"/>
    </xf>
    <xf numFmtId="0" fontId="40" fillId="5" borderId="10" xfId="0" applyFont="1" applyFill="1" applyBorder="1"/>
    <xf numFmtId="2" fontId="40" fillId="0" borderId="10" xfId="0" applyNumberFormat="1" applyFont="1" applyBorder="1"/>
    <xf numFmtId="2" fontId="36" fillId="3" borderId="10" xfId="4" applyNumberFormat="1" applyFont="1" applyFill="1" applyBorder="1"/>
    <xf numFmtId="0" fontId="36" fillId="2" borderId="28" xfId="2" applyFont="1" applyFill="1" applyBorder="1"/>
    <xf numFmtId="0" fontId="36" fillId="3" borderId="28" xfId="4" applyFont="1" applyFill="1" applyBorder="1"/>
    <xf numFmtId="2" fontId="36" fillId="3" borderId="28" xfId="4" applyNumberFormat="1" applyFont="1" applyFill="1" applyBorder="1"/>
    <xf numFmtId="0" fontId="42" fillId="3" borderId="6" xfId="1" applyFont="1" applyFill="1" applyBorder="1"/>
    <xf numFmtId="2" fontId="26" fillId="3" borderId="6" xfId="2" applyNumberFormat="1" applyFont="1" applyFill="1" applyBorder="1"/>
    <xf numFmtId="0" fontId="46" fillId="0" borderId="0" xfId="0" applyFont="1" applyAlignment="1">
      <alignment vertical="center"/>
    </xf>
    <xf numFmtId="0" fontId="46" fillId="0" borderId="0" xfId="2" applyFont="1" applyAlignment="1">
      <alignment horizontal="left" vertical="center"/>
    </xf>
    <xf numFmtId="171" fontId="32" fillId="0" borderId="0" xfId="0" applyNumberFormat="1" applyFont="1" applyAlignment="1">
      <alignment horizontal="left" wrapText="1"/>
    </xf>
    <xf numFmtId="171" fontId="32" fillId="0" borderId="7" xfId="0" applyNumberFormat="1" applyFont="1" applyBorder="1" applyAlignment="1">
      <alignment horizontal="left" vertical="center"/>
    </xf>
    <xf numFmtId="171" fontId="32" fillId="0" borderId="17" xfId="0" applyNumberFormat="1" applyFont="1" applyBorder="1" applyAlignment="1">
      <alignment horizontal="left" vertical="center"/>
    </xf>
    <xf numFmtId="0" fontId="42" fillId="2" borderId="0" xfId="1" applyFont="1" applyFill="1" applyAlignment="1">
      <alignment vertical="center" wrapText="1"/>
    </xf>
    <xf numFmtId="0" fontId="26" fillId="2" borderId="0" xfId="9" applyFont="1" applyFill="1" applyAlignment="1">
      <alignment vertical="center" wrapText="1"/>
    </xf>
    <xf numFmtId="2" fontId="28" fillId="2" borderId="0" xfId="9" applyNumberFormat="1" applyFont="1" applyFill="1"/>
    <xf numFmtId="0" fontId="36" fillId="2" borderId="6" xfId="17" applyFont="1" applyFill="1" applyBorder="1" applyAlignment="1">
      <alignment horizontal="left"/>
    </xf>
    <xf numFmtId="2" fontId="42" fillId="4" borderId="5" xfId="0" applyNumberFormat="1" applyFont="1" applyFill="1" applyBorder="1"/>
    <xf numFmtId="0" fontId="27" fillId="0" borderId="0" xfId="0" applyFont="1" applyAlignment="1">
      <alignment vertical="top"/>
    </xf>
    <xf numFmtId="171" fontId="32" fillId="0" borderId="21" xfId="0" applyNumberFormat="1" applyFont="1" applyBorder="1" applyAlignment="1">
      <alignment horizontal="left" vertical="center"/>
    </xf>
    <xf numFmtId="0" fontId="32" fillId="3" borderId="0" xfId="0" applyFont="1" applyFill="1" applyAlignment="1">
      <alignment horizontal="left" vertical="top"/>
    </xf>
    <xf numFmtId="171" fontId="32" fillId="3" borderId="0" xfId="0" applyNumberFormat="1" applyFont="1" applyFill="1" applyAlignment="1">
      <alignment horizontal="left" vertical="center"/>
    </xf>
    <xf numFmtId="171" fontId="32" fillId="3" borderId="0" xfId="0" applyNumberFormat="1" applyFont="1" applyFill="1" applyAlignment="1">
      <alignment horizontal="left"/>
    </xf>
    <xf numFmtId="0" fontId="32" fillId="3" borderId="0" xfId="0" applyFont="1" applyFill="1" applyAlignment="1">
      <alignment horizontal="center"/>
    </xf>
    <xf numFmtId="4" fontId="32" fillId="3" borderId="1" xfId="0" applyNumberFormat="1" applyFont="1" applyFill="1" applyBorder="1" applyAlignment="1">
      <alignment horizontal="left" vertical="top"/>
    </xf>
    <xf numFmtId="0" fontId="32" fillId="3" borderId="1" xfId="0" applyFont="1" applyFill="1" applyBorder="1" applyAlignment="1">
      <alignment horizontal="left" vertical="top"/>
    </xf>
    <xf numFmtId="0" fontId="32" fillId="3" borderId="0" xfId="0" applyFont="1" applyFill="1" applyAlignment="1">
      <alignment horizontal="right"/>
    </xf>
    <xf numFmtId="0" fontId="37" fillId="7" borderId="10" xfId="1" applyFont="1" applyFill="1" applyBorder="1" applyAlignment="1">
      <alignment horizontal="left" vertical="center"/>
    </xf>
    <xf numFmtId="0" fontId="37" fillId="7" borderId="10" xfId="1" applyFont="1" applyFill="1" applyBorder="1" applyAlignment="1">
      <alignment horizontal="right" vertical="center"/>
    </xf>
    <xf numFmtId="0" fontId="37" fillId="2" borderId="0" xfId="18" applyFont="1" applyFill="1" applyAlignment="1">
      <alignment wrapText="1"/>
    </xf>
    <xf numFmtId="0" fontId="37" fillId="2" borderId="19" xfId="1" applyFont="1" applyFill="1" applyBorder="1"/>
    <xf numFmtId="2" fontId="37" fillId="2" borderId="19" xfId="1" applyNumberFormat="1" applyFont="1" applyFill="1" applyBorder="1" applyAlignment="1">
      <alignment horizontal="right"/>
    </xf>
    <xf numFmtId="0" fontId="26" fillId="2" borderId="0" xfId="21" applyFont="1" applyFill="1"/>
    <xf numFmtId="0" fontId="26" fillId="2" borderId="0" xfId="22" applyFont="1" applyFill="1"/>
    <xf numFmtId="0" fontId="50" fillId="0" borderId="0" xfId="22" applyFont="1"/>
    <xf numFmtId="0" fontId="52" fillId="2" borderId="0" xfId="22" applyFont="1" applyFill="1"/>
    <xf numFmtId="0" fontId="37" fillId="0" borderId="0" xfId="22" applyFont="1"/>
    <xf numFmtId="0" fontId="46" fillId="2" borderId="0" xfId="22" applyFont="1" applyFill="1"/>
    <xf numFmtId="0" fontId="26" fillId="0" borderId="0" xfId="22" applyFont="1"/>
    <xf numFmtId="0" fontId="46" fillId="0" borderId="0" xfId="22" applyFont="1"/>
    <xf numFmtId="0" fontId="26" fillId="2" borderId="0" xfId="12" applyFont="1" applyFill="1"/>
    <xf numFmtId="0" fontId="26" fillId="2" borderId="30" xfId="0" applyFont="1" applyFill="1" applyBorder="1" applyAlignment="1">
      <alignment horizontal="center"/>
    </xf>
    <xf numFmtId="2" fontId="26" fillId="2" borderId="0" xfId="12" applyNumberFormat="1" applyFont="1" applyFill="1"/>
    <xf numFmtId="0" fontId="26" fillId="2" borderId="12" xfId="12" applyFont="1" applyFill="1" applyBorder="1"/>
    <xf numFmtId="0" fontId="26" fillId="2" borderId="40" xfId="0" applyFont="1" applyFill="1" applyBorder="1" applyAlignment="1">
      <alignment horizontal="center"/>
    </xf>
    <xf numFmtId="2" fontId="26" fillId="2" borderId="12" xfId="12" applyNumberFormat="1" applyFont="1" applyFill="1" applyBorder="1"/>
    <xf numFmtId="0" fontId="26" fillId="2" borderId="6" xfId="12" applyFont="1" applyFill="1" applyBorder="1"/>
    <xf numFmtId="0" fontId="26" fillId="2" borderId="41" xfId="0" applyFont="1" applyFill="1" applyBorder="1" applyAlignment="1">
      <alignment horizontal="center"/>
    </xf>
    <xf numFmtId="2" fontId="26" fillId="2" borderId="6" xfId="12" applyNumberFormat="1" applyFont="1" applyFill="1" applyBorder="1"/>
    <xf numFmtId="171" fontId="40" fillId="7" borderId="6" xfId="0" applyNumberFormat="1" applyFont="1" applyFill="1" applyBorder="1" applyAlignment="1">
      <alignment horizontal="left" vertical="center"/>
    </xf>
    <xf numFmtId="0" fontId="34" fillId="4" borderId="0" xfId="0" applyFont="1" applyFill="1"/>
    <xf numFmtId="2" fontId="26" fillId="2" borderId="12" xfId="0" applyNumberFormat="1" applyFont="1" applyFill="1" applyBorder="1"/>
    <xf numFmtId="0" fontId="46" fillId="2" borderId="0" xfId="12" applyFont="1" applyFill="1"/>
    <xf numFmtId="0" fontId="26" fillId="3" borderId="0" xfId="13" applyFont="1" applyFill="1" applyAlignment="1">
      <alignment horizontal="right"/>
    </xf>
    <xf numFmtId="0" fontId="26" fillId="3" borderId="5" xfId="13" applyFont="1" applyFill="1" applyBorder="1" applyAlignment="1">
      <alignment horizontal="right"/>
    </xf>
    <xf numFmtId="0" fontId="26" fillId="3" borderId="0" xfId="0" applyFont="1" applyFill="1" applyAlignment="1">
      <alignment horizontal="right"/>
    </xf>
    <xf numFmtId="0" fontId="26" fillId="3" borderId="5" xfId="0" applyFont="1" applyFill="1" applyBorder="1" applyAlignment="1">
      <alignment horizontal="right"/>
    </xf>
    <xf numFmtId="0" fontId="26" fillId="3" borderId="0" xfId="13" applyFont="1" applyFill="1" applyAlignment="1">
      <alignment horizontal="left"/>
    </xf>
    <xf numFmtId="0" fontId="46" fillId="3" borderId="0" xfId="13" applyFont="1" applyFill="1" applyAlignment="1">
      <alignment horizontal="left"/>
    </xf>
    <xf numFmtId="0" fontId="40" fillId="3" borderId="19" xfId="0" applyFont="1" applyFill="1" applyBorder="1" applyAlignment="1">
      <alignment horizontal="center"/>
    </xf>
    <xf numFmtId="171" fontId="32" fillId="3" borderId="0" xfId="0" applyNumberFormat="1" applyFont="1" applyFill="1" applyAlignment="1">
      <alignment horizontal="center"/>
    </xf>
    <xf numFmtId="0" fontId="32" fillId="3" borderId="0" xfId="0" applyFont="1" applyFill="1" applyAlignment="1">
      <alignment vertical="center"/>
    </xf>
    <xf numFmtId="0" fontId="32" fillId="3" borderId="0" xfId="0" applyFont="1" applyFill="1" applyAlignment="1">
      <alignment horizontal="left" vertical="center"/>
    </xf>
    <xf numFmtId="0" fontId="42" fillId="0" borderId="0" xfId="1" applyFont="1" applyAlignment="1">
      <alignment horizontal="right"/>
    </xf>
    <xf numFmtId="0" fontId="28" fillId="0" borderId="0" xfId="9" applyFont="1"/>
    <xf numFmtId="2" fontId="52" fillId="2" borderId="0" xfId="15" applyNumberFormat="1" applyFont="1" applyFill="1"/>
    <xf numFmtId="2" fontId="26" fillId="0" borderId="0" xfId="2" applyNumberFormat="1" applyFont="1"/>
    <xf numFmtId="2" fontId="36" fillId="2" borderId="0" xfId="0" applyNumberFormat="1" applyFont="1" applyFill="1" applyAlignment="1">
      <alignment horizontal="center"/>
    </xf>
    <xf numFmtId="0" fontId="36" fillId="7" borderId="10" xfId="17" applyFont="1" applyFill="1" applyBorder="1" applyAlignment="1">
      <alignment horizontal="right" vertical="center"/>
    </xf>
    <xf numFmtId="0" fontId="37" fillId="0" borderId="10" xfId="1" applyFont="1" applyBorder="1" applyAlignment="1">
      <alignment horizontal="left"/>
    </xf>
    <xf numFmtId="174" fontId="36" fillId="7" borderId="11" xfId="2" applyNumberFormat="1" applyFont="1" applyFill="1" applyBorder="1" applyAlignment="1">
      <alignment horizontal="right" vertical="center"/>
    </xf>
    <xf numFmtId="0" fontId="36" fillId="7" borderId="11" xfId="2" applyFont="1" applyFill="1" applyBorder="1" applyAlignment="1">
      <alignment horizontal="right" vertical="center"/>
    </xf>
    <xf numFmtId="0" fontId="36" fillId="7" borderId="11" xfId="2" applyFont="1" applyFill="1" applyBorder="1" applyAlignment="1">
      <alignment horizontal="left" vertical="center"/>
    </xf>
    <xf numFmtId="2" fontId="36" fillId="7" borderId="10" xfId="0" applyNumberFormat="1" applyFont="1" applyFill="1" applyBorder="1" applyAlignment="1">
      <alignment horizontal="right" vertical="center"/>
    </xf>
    <xf numFmtId="0" fontId="60" fillId="0" borderId="2" xfId="0" applyFont="1" applyBorder="1" applyAlignment="1">
      <alignment horizontal="center" vertical="center"/>
    </xf>
    <xf numFmtId="0" fontId="61" fillId="0" borderId="0" xfId="0" applyFont="1" applyAlignment="1">
      <alignment horizontal="left" vertical="center"/>
    </xf>
    <xf numFmtId="14" fontId="61" fillId="0" borderId="0" xfId="0" applyNumberFormat="1" applyFont="1" applyAlignment="1">
      <alignment horizontal="right" vertical="center"/>
    </xf>
    <xf numFmtId="0" fontId="61" fillId="0" borderId="0" xfId="0" applyFont="1" applyAlignment="1">
      <alignment vertical="center"/>
    </xf>
    <xf numFmtId="0" fontId="61" fillId="0" borderId="0" xfId="0" applyFont="1" applyAlignment="1">
      <alignment horizontal="left" vertical="top"/>
    </xf>
    <xf numFmtId="0" fontId="61" fillId="0" borderId="0" xfId="0" applyFont="1" applyAlignment="1">
      <alignment horizontal="center" vertical="center"/>
    </xf>
    <xf numFmtId="3" fontId="61" fillId="0" borderId="0" xfId="0" applyNumberFormat="1" applyFont="1" applyAlignment="1">
      <alignment horizontal="right" vertical="center"/>
    </xf>
    <xf numFmtId="171" fontId="61" fillId="0" borderId="0" xfId="0" applyNumberFormat="1" applyFont="1" applyAlignment="1">
      <alignment horizontal="left" vertical="center"/>
    </xf>
    <xf numFmtId="3" fontId="61" fillId="0" borderId="0" xfId="0" applyNumberFormat="1" applyFont="1" applyAlignment="1">
      <alignment horizontal="center" vertical="center"/>
    </xf>
    <xf numFmtId="1" fontId="61" fillId="0" borderId="0" xfId="0" applyNumberFormat="1" applyFont="1" applyAlignment="1">
      <alignment horizontal="right" vertical="center"/>
    </xf>
    <xf numFmtId="0" fontId="62" fillId="0" borderId="0" xfId="0" applyFont="1" applyAlignment="1">
      <alignment horizontal="center" vertical="center"/>
    </xf>
    <xf numFmtId="3" fontId="62" fillId="0" borderId="43" xfId="0" applyNumberFormat="1" applyFont="1" applyBorder="1" applyAlignment="1">
      <alignment horizontal="center" vertical="center"/>
    </xf>
    <xf numFmtId="0" fontId="62" fillId="0" borderId="0" xfId="0" applyFont="1" applyAlignment="1">
      <alignment horizontal="center" vertical="top"/>
    </xf>
    <xf numFmtId="0" fontId="62" fillId="0" borderId="0" xfId="0" applyFont="1" applyAlignment="1">
      <alignment vertical="center"/>
    </xf>
    <xf numFmtId="0" fontId="62" fillId="0" borderId="0" xfId="0" applyFont="1" applyAlignment="1">
      <alignment horizontal="left" vertical="center"/>
    </xf>
    <xf numFmtId="0" fontId="60" fillId="0" borderId="0" xfId="0" applyFont="1" applyAlignment="1">
      <alignment vertical="center"/>
    </xf>
    <xf numFmtId="0" fontId="60" fillId="0" borderId="0" xfId="0" applyFont="1" applyAlignment="1">
      <alignment horizontal="left" vertical="center"/>
    </xf>
    <xf numFmtId="0" fontId="59" fillId="0" borderId="0" xfId="0" applyFont="1" applyAlignment="1">
      <alignment horizontal="left" vertical="center"/>
    </xf>
    <xf numFmtId="0" fontId="62" fillId="8" borderId="0" xfId="0" applyFont="1" applyFill="1" applyAlignment="1">
      <alignment horizontal="left" vertical="center"/>
    </xf>
    <xf numFmtId="0" fontId="62" fillId="12" borderId="0" xfId="0" applyFont="1" applyFill="1" applyAlignment="1">
      <alignment horizontal="left" vertical="center"/>
    </xf>
    <xf numFmtId="0" fontId="61" fillId="12" borderId="0" xfId="0" applyFont="1" applyFill="1" applyAlignment="1">
      <alignment horizontal="left" vertical="center"/>
    </xf>
    <xf numFmtId="0" fontId="62" fillId="0" borderId="1" xfId="0" applyFont="1" applyBorder="1" applyAlignment="1">
      <alignment horizontal="left" vertical="center"/>
    </xf>
    <xf numFmtId="0" fontId="62" fillId="0" borderId="0" xfId="0" applyFont="1" applyAlignment="1">
      <alignment horizontal="left" vertical="top"/>
    </xf>
    <xf numFmtId="0" fontId="32" fillId="3" borderId="1" xfId="0" applyFont="1" applyFill="1" applyBorder="1" applyAlignment="1">
      <alignment horizontal="right" vertical="center"/>
    </xf>
    <xf numFmtId="2" fontId="32" fillId="0" borderId="0" xfId="41" applyNumberFormat="1" applyFont="1" applyBorder="1"/>
    <xf numFmtId="0" fontId="63" fillId="0" borderId="0" xfId="0" applyFont="1" applyAlignment="1">
      <alignment horizontal="left" vertical="top"/>
    </xf>
    <xf numFmtId="0" fontId="63" fillId="0" borderId="0" xfId="0" applyFont="1" applyAlignment="1">
      <alignment vertical="top"/>
    </xf>
    <xf numFmtId="0" fontId="63" fillId="0" borderId="0" xfId="41" applyFont="1" applyFill="1" applyBorder="1" applyAlignment="1">
      <alignment horizontal="left" vertical="top"/>
    </xf>
    <xf numFmtId="0" fontId="63" fillId="0" borderId="0" xfId="0" applyFont="1" applyAlignment="1">
      <alignment horizontal="left" vertical="center"/>
    </xf>
    <xf numFmtId="0" fontId="64" fillId="0" borderId="0" xfId="41" applyFont="1" applyFill="1" applyBorder="1" applyAlignment="1">
      <alignment vertical="top"/>
    </xf>
    <xf numFmtId="3" fontId="63" fillId="0" borderId="0" xfId="0" applyNumberFormat="1" applyFont="1" applyAlignment="1">
      <alignment horizontal="left" vertical="center"/>
    </xf>
    <xf numFmtId="0" fontId="22" fillId="0" borderId="0" xfId="41" applyFill="1" applyBorder="1" applyAlignment="1">
      <alignment horizontal="left" vertical="center"/>
    </xf>
    <xf numFmtId="4" fontId="65" fillId="3" borderId="1" xfId="0" applyNumberFormat="1" applyFont="1" applyFill="1" applyBorder="1" applyAlignment="1">
      <alignment horizontal="left" vertical="top"/>
    </xf>
    <xf numFmtId="14" fontId="40" fillId="0" borderId="2" xfId="0" applyNumberFormat="1" applyFont="1" applyBorder="1" applyAlignment="1">
      <alignment horizontal="right" vertical="center"/>
    </xf>
    <xf numFmtId="1" fontId="40" fillId="0" borderId="2" xfId="0" applyNumberFormat="1" applyFont="1" applyBorder="1" applyAlignment="1">
      <alignment horizontal="right" vertical="center"/>
    </xf>
    <xf numFmtId="0" fontId="36" fillId="0" borderId="42" xfId="0" applyFont="1" applyBorder="1" applyAlignment="1">
      <alignment horizontal="center" vertical="center"/>
    </xf>
    <xf numFmtId="1" fontId="36" fillId="0" borderId="8" xfId="0" applyNumberFormat="1" applyFont="1" applyBorder="1" applyAlignment="1">
      <alignment horizontal="center" vertical="center"/>
    </xf>
    <xf numFmtId="0" fontId="36" fillId="0" borderId="2" xfId="0" applyFont="1" applyBorder="1" applyAlignment="1">
      <alignment vertical="center"/>
    </xf>
    <xf numFmtId="1" fontId="32" fillId="0" borderId="0" xfId="0" applyNumberFormat="1" applyFont="1" applyAlignment="1">
      <alignment horizontal="right" vertical="center"/>
    </xf>
    <xf numFmtId="1" fontId="32" fillId="0" borderId="0" xfId="0" quotePrefix="1" applyNumberFormat="1" applyFont="1" applyAlignment="1">
      <alignment horizontal="right" vertical="center"/>
    </xf>
    <xf numFmtId="3" fontId="26" fillId="0" borderId="43" xfId="0" applyNumberFormat="1" applyFont="1" applyBorder="1" applyAlignment="1">
      <alignment horizontal="center" vertical="center"/>
    </xf>
    <xf numFmtId="0" fontId="26" fillId="0" borderId="0" xfId="0" applyFont="1" applyAlignment="1">
      <alignment horizontal="center" vertical="top"/>
    </xf>
    <xf numFmtId="0" fontId="53" fillId="0" borderId="0" xfId="41" applyFont="1" applyFill="1" applyAlignment="1">
      <alignment horizontal="left" vertical="top"/>
    </xf>
    <xf numFmtId="0" fontId="53" fillId="0" borderId="0" xfId="41" applyFont="1" applyFill="1" applyBorder="1" applyAlignment="1">
      <alignment vertical="top"/>
    </xf>
    <xf numFmtId="0" fontId="53" fillId="0" borderId="0" xfId="0" applyFont="1" applyAlignment="1">
      <alignment vertical="top"/>
    </xf>
    <xf numFmtId="3" fontId="53" fillId="0" borderId="0" xfId="41" applyNumberFormat="1" applyFont="1" applyFill="1" applyBorder="1" applyAlignment="1">
      <alignment horizontal="left" vertical="center"/>
    </xf>
    <xf numFmtId="0" fontId="53" fillId="0" borderId="0" xfId="41" applyFont="1" applyFill="1" applyBorder="1" applyAlignment="1">
      <alignment horizontal="left" vertical="center"/>
    </xf>
    <xf numFmtId="0" fontId="32" fillId="0" borderId="0" xfId="41" applyFont="1" applyFill="1" applyBorder="1" applyAlignment="1">
      <alignment horizontal="center" vertical="center"/>
    </xf>
    <xf numFmtId="0" fontId="53" fillId="0" borderId="0" xfId="0" applyFont="1"/>
    <xf numFmtId="0" fontId="53" fillId="0" borderId="0" xfId="41" applyFont="1" applyAlignment="1">
      <alignment horizontal="left" vertical="top"/>
    </xf>
    <xf numFmtId="1" fontId="32" fillId="0" borderId="0" xfId="41" applyNumberFormat="1" applyFont="1" applyFill="1" applyBorder="1" applyAlignment="1">
      <alignment horizontal="right" vertical="center"/>
    </xf>
    <xf numFmtId="14" fontId="32" fillId="0" borderId="0" xfId="0" applyNumberFormat="1" applyFont="1" applyAlignment="1">
      <alignment horizontal="right"/>
    </xf>
    <xf numFmtId="3" fontId="53" fillId="0" borderId="0" xfId="41" applyNumberFormat="1" applyFont="1" applyFill="1" applyBorder="1" applyAlignment="1">
      <alignment horizontal="left" vertical="top"/>
    </xf>
    <xf numFmtId="3" fontId="53" fillId="0" borderId="0" xfId="41" applyNumberFormat="1" applyFont="1" applyFill="1" applyBorder="1" applyAlignment="1">
      <alignment vertical="top"/>
    </xf>
    <xf numFmtId="0" fontId="53" fillId="0" borderId="0" xfId="0" applyFont="1" applyAlignment="1">
      <alignment horizontal="left" vertical="top"/>
    </xf>
    <xf numFmtId="14" fontId="53" fillId="0" borderId="0" xfId="41" applyNumberFormat="1" applyFont="1" applyFill="1" applyBorder="1" applyAlignment="1">
      <alignment vertical="top"/>
    </xf>
    <xf numFmtId="0" fontId="53" fillId="0" borderId="0" xfId="7" applyFont="1" applyFill="1"/>
    <xf numFmtId="0" fontId="53" fillId="0" borderId="0" xfId="41" applyFont="1" applyFill="1" applyAlignment="1">
      <alignment horizontal="left" vertical="center"/>
    </xf>
    <xf numFmtId="4" fontId="53" fillId="0" borderId="0" xfId="41" applyNumberFormat="1" applyFont="1" applyFill="1" applyAlignment="1">
      <alignment horizontal="left" vertical="top"/>
    </xf>
    <xf numFmtId="3" fontId="53" fillId="0" borderId="0" xfId="41" applyNumberFormat="1" applyFont="1" applyFill="1" applyAlignment="1">
      <alignment horizontal="left" vertical="center"/>
    </xf>
    <xf numFmtId="0" fontId="53" fillId="0" borderId="0" xfId="41" applyFont="1"/>
    <xf numFmtId="0" fontId="53" fillId="0" borderId="0" xfId="7" applyFont="1" applyFill="1" applyAlignment="1">
      <alignment horizontal="left" vertical="top"/>
    </xf>
    <xf numFmtId="0" fontId="54" fillId="0" borderId="0" xfId="7" applyFont="1" applyFill="1" applyBorder="1" applyAlignment="1">
      <alignment vertical="top"/>
    </xf>
    <xf numFmtId="0" fontId="53" fillId="0" borderId="0" xfId="7" applyFont="1" applyFill="1" applyBorder="1" applyAlignment="1">
      <alignment vertical="top"/>
    </xf>
    <xf numFmtId="0" fontId="54" fillId="0" borderId="0" xfId="7" applyFont="1" applyFill="1" applyBorder="1" applyAlignment="1">
      <alignment horizontal="left" vertical="top"/>
    </xf>
    <xf numFmtId="0" fontId="53" fillId="0" borderId="0" xfId="41" applyFont="1" applyFill="1" applyAlignment="1">
      <alignment vertical="top"/>
    </xf>
    <xf numFmtId="0" fontId="53" fillId="0" borderId="0" xfId="7" applyFont="1" applyFill="1" applyBorder="1" applyAlignment="1">
      <alignment horizontal="left" vertical="center"/>
    </xf>
    <xf numFmtId="0" fontId="26" fillId="0" borderId="0" xfId="0" applyFont="1" applyAlignment="1">
      <alignment horizontal="right" vertical="center"/>
    </xf>
    <xf numFmtId="171" fontId="32" fillId="0" borderId="0" xfId="0" applyNumberFormat="1" applyFont="1" applyAlignment="1">
      <alignment horizontal="right" vertical="center"/>
    </xf>
    <xf numFmtId="3" fontId="53" fillId="0" borderId="0" xfId="7" applyNumberFormat="1" applyFont="1" applyFill="1" applyBorder="1" applyAlignment="1">
      <alignment vertical="top"/>
    </xf>
    <xf numFmtId="0" fontId="54" fillId="0" borderId="0" xfId="7" applyFont="1" applyFill="1"/>
    <xf numFmtId="0" fontId="53" fillId="0" borderId="0" xfId="41" applyFont="1" applyAlignment="1">
      <alignment horizontal="left" vertical="center"/>
    </xf>
    <xf numFmtId="3" fontId="53" fillId="0" borderId="0" xfId="41" applyNumberFormat="1" applyFont="1" applyAlignment="1">
      <alignment horizontal="left" vertical="center"/>
    </xf>
    <xf numFmtId="0" fontId="53" fillId="0" borderId="0" xfId="41" applyFont="1" applyAlignment="1">
      <alignment vertical="top"/>
    </xf>
    <xf numFmtId="0" fontId="53" fillId="0" borderId="0" xfId="0" applyFont="1" applyAlignment="1">
      <alignment horizontal="left" vertical="center"/>
    </xf>
    <xf numFmtId="4" fontId="32" fillId="0" borderId="0" xfId="0" applyNumberFormat="1" applyFont="1" applyAlignment="1">
      <alignment horizontal="center" vertical="center"/>
    </xf>
    <xf numFmtId="0" fontId="32" fillId="0" borderId="15" xfId="0" applyFont="1" applyBorder="1" applyAlignment="1">
      <alignment horizontal="left" vertical="top"/>
    </xf>
    <xf numFmtId="3" fontId="32" fillId="0" borderId="1" xfId="0" applyNumberFormat="1" applyFont="1" applyBorder="1" applyAlignment="1">
      <alignment horizontal="left" vertical="top"/>
    </xf>
    <xf numFmtId="3" fontId="53" fillId="0" borderId="0" xfId="41" applyNumberFormat="1" applyFont="1" applyFill="1" applyAlignment="1">
      <alignment horizontal="left" vertical="top"/>
    </xf>
    <xf numFmtId="0" fontId="53" fillId="0" borderId="0" xfId="41" applyFont="1" applyFill="1" applyBorder="1" applyAlignment="1">
      <alignment horizontal="left" vertical="center" wrapText="1"/>
    </xf>
    <xf numFmtId="3" fontId="53" fillId="0" borderId="0" xfId="41" applyNumberFormat="1" applyFont="1" applyFill="1" applyAlignment="1">
      <alignment vertical="top"/>
    </xf>
    <xf numFmtId="3" fontId="53" fillId="0" borderId="0" xfId="41" applyNumberFormat="1" applyFont="1" applyAlignment="1">
      <alignment vertical="top"/>
    </xf>
    <xf numFmtId="1" fontId="32" fillId="0" borderId="23" xfId="0" applyNumberFormat="1" applyFont="1" applyBorder="1" applyAlignment="1">
      <alignment horizontal="center" vertical="center"/>
    </xf>
    <xf numFmtId="0" fontId="53" fillId="0" borderId="23" xfId="7" applyFont="1" applyFill="1" applyBorder="1" applyAlignment="1">
      <alignment vertical="top"/>
    </xf>
    <xf numFmtId="1" fontId="26" fillId="0" borderId="8" xfId="0" applyNumberFormat="1" applyFont="1" applyBorder="1" applyAlignment="1">
      <alignment horizontal="center" vertical="center"/>
    </xf>
    <xf numFmtId="1" fontId="26" fillId="0" borderId="2" xfId="0" applyNumberFormat="1" applyFont="1" applyBorder="1" applyAlignment="1">
      <alignment horizontal="center" vertical="center"/>
    </xf>
    <xf numFmtId="3" fontId="32" fillId="0" borderId="1" xfId="0" applyNumberFormat="1" applyFont="1" applyBorder="1" applyAlignment="1">
      <alignment horizontal="right" vertical="center"/>
    </xf>
    <xf numFmtId="1" fontId="26" fillId="0" borderId="9" xfId="0" applyNumberFormat="1" applyFont="1" applyBorder="1" applyAlignment="1">
      <alignment horizontal="center" vertical="center"/>
    </xf>
    <xf numFmtId="0" fontId="32" fillId="0" borderId="27" xfId="0" applyFont="1" applyBorder="1" applyAlignment="1">
      <alignment horizontal="center" vertical="center"/>
    </xf>
    <xf numFmtId="0" fontId="53" fillId="0" borderId="18" xfId="7" applyFont="1" applyFill="1" applyBorder="1" applyAlignment="1">
      <alignment vertical="top"/>
    </xf>
    <xf numFmtId="1" fontId="26" fillId="0" borderId="44" xfId="0" applyNumberFormat="1" applyFont="1" applyBorder="1" applyAlignment="1">
      <alignment horizontal="center" vertical="center"/>
    </xf>
    <xf numFmtId="1" fontId="26" fillId="0" borderId="3" xfId="0" applyNumberFormat="1" applyFont="1" applyBorder="1" applyAlignment="1">
      <alignment horizontal="center" vertical="center"/>
    </xf>
    <xf numFmtId="0" fontId="63" fillId="3" borderId="0" xfId="0" applyFont="1" applyFill="1" applyAlignment="1">
      <alignment horizontal="right"/>
    </xf>
    <xf numFmtId="0" fontId="63" fillId="3" borderId="0" xfId="0" applyFont="1" applyFill="1"/>
    <xf numFmtId="0" fontId="32" fillId="0" borderId="21" xfId="0" applyFont="1" applyBorder="1" applyAlignment="1">
      <alignment horizontal="center" vertical="center"/>
    </xf>
    <xf numFmtId="171" fontId="32" fillId="0" borderId="0" xfId="0" applyNumberFormat="1" applyFont="1" applyAlignment="1">
      <alignment horizontal="center" vertical="center"/>
    </xf>
    <xf numFmtId="2" fontId="32" fillId="0" borderId="0" xfId="0" applyNumberFormat="1" applyFont="1" applyAlignment="1">
      <alignment horizontal="right"/>
    </xf>
    <xf numFmtId="174" fontId="36" fillId="7" borderId="37" xfId="2" applyNumberFormat="1" applyFont="1" applyFill="1" applyBorder="1" applyAlignment="1">
      <alignment horizontal="right"/>
    </xf>
    <xf numFmtId="0" fontId="36" fillId="7" borderId="37" xfId="2" applyFont="1" applyFill="1" applyBorder="1" applyAlignment="1">
      <alignment horizontal="right"/>
    </xf>
    <xf numFmtId="2" fontId="37" fillId="2" borderId="10" xfId="1" applyNumberFormat="1" applyFont="1" applyFill="1" applyBorder="1" applyAlignment="1">
      <alignment horizontal="center"/>
    </xf>
    <xf numFmtId="2" fontId="58" fillId="0" borderId="0" xfId="0" quotePrefix="1" applyNumberFormat="1" applyFont="1" applyAlignment="1">
      <alignment horizontal="center"/>
    </xf>
    <xf numFmtId="0" fontId="46" fillId="2" borderId="0" xfId="17" applyFont="1" applyFill="1"/>
    <xf numFmtId="170" fontId="32" fillId="0" borderId="0" xfId="2" applyNumberFormat="1" applyFont="1" applyAlignment="1">
      <alignment horizontal="right" wrapText="1"/>
    </xf>
    <xf numFmtId="170" fontId="32" fillId="3" borderId="0" xfId="2" applyNumberFormat="1" applyFont="1" applyFill="1" applyAlignment="1">
      <alignment horizontal="right" wrapText="1"/>
    </xf>
    <xf numFmtId="170" fontId="40" fillId="0" borderId="0" xfId="2" applyNumberFormat="1" applyFont="1" applyAlignment="1">
      <alignment horizontal="right" wrapText="1"/>
    </xf>
    <xf numFmtId="0" fontId="32" fillId="0" borderId="0" xfId="2" applyFont="1" applyAlignment="1">
      <alignment horizontal="right"/>
    </xf>
    <xf numFmtId="0" fontId="32" fillId="2" borderId="0" xfId="2" applyFont="1" applyFill="1" applyAlignment="1">
      <alignment horizontal="right"/>
    </xf>
    <xf numFmtId="2" fontId="32" fillId="0" borderId="0" xfId="2" applyNumberFormat="1" applyFont="1" applyAlignment="1">
      <alignment horizontal="right"/>
    </xf>
    <xf numFmtId="2" fontId="40" fillId="0" borderId="0" xfId="2" applyNumberFormat="1" applyFont="1" applyAlignment="1">
      <alignment horizontal="right"/>
    </xf>
    <xf numFmtId="2" fontId="32" fillId="2" borderId="0" xfId="2" applyNumberFormat="1" applyFont="1" applyFill="1" applyAlignment="1">
      <alignment horizontal="right"/>
    </xf>
    <xf numFmtId="175" fontId="32" fillId="0" borderId="0" xfId="2" applyNumberFormat="1" applyFont="1" applyAlignment="1">
      <alignment horizontal="right"/>
    </xf>
    <xf numFmtId="175" fontId="40" fillId="0" borderId="0" xfId="2" applyNumberFormat="1" applyFont="1" applyAlignment="1">
      <alignment horizontal="right"/>
    </xf>
    <xf numFmtId="0" fontId="26" fillId="3" borderId="5" xfId="13" applyFont="1" applyFill="1" applyBorder="1" applyAlignment="1">
      <alignment horizontal="left"/>
    </xf>
    <xf numFmtId="0" fontId="26" fillId="0" borderId="45" xfId="0" applyFont="1" applyBorder="1"/>
    <xf numFmtId="1" fontId="26" fillId="0" borderId="45" xfId="0" applyNumberFormat="1" applyFont="1" applyBorder="1"/>
    <xf numFmtId="0" fontId="33" fillId="2" borderId="6" xfId="1" applyFont="1" applyFill="1" applyBorder="1" applyAlignment="1">
      <alignment horizontal="left"/>
    </xf>
    <xf numFmtId="0" fontId="32" fillId="7" borderId="6" xfId="1" applyFont="1" applyFill="1" applyBorder="1" applyAlignment="1">
      <alignment horizontal="center" vertical="top" wrapText="1"/>
    </xf>
    <xf numFmtId="2" fontId="32" fillId="7" borderId="6" xfId="1" applyNumberFormat="1" applyFont="1" applyFill="1" applyBorder="1" applyAlignment="1">
      <alignment horizontal="center" vertical="top" wrapText="1"/>
    </xf>
    <xf numFmtId="0" fontId="26" fillId="7" borderId="6" xfId="1" applyFont="1" applyFill="1" applyBorder="1" applyAlignment="1">
      <alignment horizontal="center" vertical="top" wrapText="1"/>
    </xf>
    <xf numFmtId="0" fontId="26" fillId="0" borderId="0" xfId="0" applyFont="1" applyAlignment="1">
      <alignment horizontal="center"/>
    </xf>
    <xf numFmtId="2" fontId="26" fillId="2" borderId="0" xfId="1" applyNumberFormat="1" applyFont="1" applyFill="1" applyAlignment="1">
      <alignment horizontal="center"/>
    </xf>
    <xf numFmtId="2" fontId="36" fillId="7" borderId="11" xfId="2" applyNumberFormat="1" applyFont="1" applyFill="1" applyBorder="1" applyAlignment="1">
      <alignment horizontal="right" vertical="center"/>
    </xf>
    <xf numFmtId="0" fontId="22" fillId="0" borderId="0" xfId="41" applyFill="1" applyBorder="1" applyAlignment="1"/>
    <xf numFmtId="176" fontId="32" fillId="3" borderId="0" xfId="0" applyNumberFormat="1" applyFont="1" applyFill="1" applyAlignment="1">
      <alignment horizontal="right"/>
    </xf>
    <xf numFmtId="176" fontId="32" fillId="0" borderId="3" xfId="11" applyNumberFormat="1" applyFont="1" applyFill="1" applyBorder="1" applyAlignment="1">
      <alignment horizontal="right" vertical="top"/>
    </xf>
    <xf numFmtId="176" fontId="32" fillId="0" borderId="1" xfId="11" applyNumberFormat="1" applyFont="1" applyFill="1" applyBorder="1" applyAlignment="1">
      <alignment horizontal="right" vertical="top"/>
    </xf>
    <xf numFmtId="176" fontId="32" fillId="0" borderId="1" xfId="0" applyNumberFormat="1" applyFont="1" applyBorder="1" applyAlignment="1">
      <alignment horizontal="right"/>
    </xf>
    <xf numFmtId="176" fontId="32" fillId="0" borderId="0" xfId="11" applyNumberFormat="1" applyFont="1" applyFill="1" applyBorder="1" applyAlignment="1">
      <alignment horizontal="right" vertical="top"/>
    </xf>
    <xf numFmtId="176" fontId="32" fillId="0" borderId="4" xfId="11" applyNumberFormat="1" applyFont="1" applyFill="1" applyBorder="1" applyAlignment="1">
      <alignment horizontal="right" vertical="top"/>
    </xf>
    <xf numFmtId="176" fontId="32" fillId="3" borderId="1" xfId="11" applyNumberFormat="1" applyFont="1" applyFill="1" applyBorder="1" applyAlignment="1">
      <alignment horizontal="right" vertical="top"/>
    </xf>
    <xf numFmtId="0" fontId="22" fillId="0" borderId="0" xfId="41" applyFill="1" applyBorder="1" applyAlignment="1">
      <alignment vertical="top"/>
    </xf>
    <xf numFmtId="4" fontId="63" fillId="3" borderId="1" xfId="0" applyNumberFormat="1" applyFont="1" applyFill="1" applyBorder="1" applyAlignment="1">
      <alignment horizontal="left" vertical="top"/>
    </xf>
    <xf numFmtId="0" fontId="22" fillId="0" borderId="0" xfId="41" applyFill="1" applyBorder="1" applyAlignment="1">
      <alignment horizontal="left" vertical="top"/>
    </xf>
    <xf numFmtId="0" fontId="22" fillId="0" borderId="23" xfId="41" applyFill="1" applyBorder="1" applyAlignment="1">
      <alignment vertical="top"/>
    </xf>
    <xf numFmtId="0" fontId="50" fillId="2" borderId="0" xfId="1" applyFont="1" applyFill="1" applyAlignment="1">
      <alignment vertical="center"/>
    </xf>
    <xf numFmtId="0" fontId="26" fillId="2" borderId="0" xfId="4" applyFont="1" applyFill="1" applyAlignment="1">
      <alignment vertical="center"/>
    </xf>
    <xf numFmtId="0" fontId="50" fillId="0" borderId="0" xfId="15" applyFont="1" applyAlignment="1">
      <alignment vertical="center"/>
    </xf>
    <xf numFmtId="0" fontId="52" fillId="2" borderId="0" xfId="15" applyFont="1" applyFill="1" applyAlignment="1">
      <alignment vertical="center"/>
    </xf>
    <xf numFmtId="174" fontId="26" fillId="0" borderId="0" xfId="2" applyNumberFormat="1" applyFont="1" applyAlignment="1">
      <alignment vertical="center"/>
    </xf>
    <xf numFmtId="0" fontId="26" fillId="0" borderId="0" xfId="2" applyFont="1" applyAlignment="1">
      <alignment vertical="center"/>
    </xf>
    <xf numFmtId="0" fontId="46" fillId="2" borderId="0" xfId="4" applyFont="1" applyFill="1" applyAlignment="1">
      <alignment vertical="center"/>
    </xf>
    <xf numFmtId="2" fontId="26" fillId="0" borderId="0" xfId="2" applyNumberFormat="1" applyFont="1" applyAlignment="1">
      <alignment vertical="center"/>
    </xf>
    <xf numFmtId="0" fontId="46" fillId="3" borderId="0" xfId="2" applyFont="1" applyFill="1" applyAlignment="1">
      <alignment vertical="center"/>
    </xf>
    <xf numFmtId="0" fontId="26" fillId="3" borderId="0" xfId="2" applyFont="1" applyFill="1" applyAlignment="1">
      <alignment vertical="center"/>
    </xf>
    <xf numFmtId="0" fontId="46" fillId="2" borderId="0" xfId="15" applyFont="1" applyFill="1" applyAlignment="1">
      <alignment vertical="center"/>
    </xf>
    <xf numFmtId="0" fontId="46" fillId="2" borderId="0" xfId="2" applyFont="1" applyFill="1" applyAlignment="1">
      <alignment vertical="center"/>
    </xf>
    <xf numFmtId="0" fontId="26" fillId="3" borderId="0" xfId="4" applyFont="1" applyFill="1" applyAlignment="1">
      <alignment vertical="center"/>
    </xf>
    <xf numFmtId="0" fontId="26" fillId="2" borderId="0" xfId="2" applyFont="1" applyFill="1" applyAlignment="1">
      <alignment vertical="center"/>
    </xf>
    <xf numFmtId="0" fontId="32" fillId="0" borderId="0" xfId="2" applyFont="1" applyAlignment="1">
      <alignment horizontal="left" vertical="center"/>
    </xf>
    <xf numFmtId="0" fontId="32" fillId="2" borderId="0" xfId="2" applyFont="1" applyFill="1" applyAlignment="1">
      <alignment horizontal="left" vertical="center"/>
    </xf>
    <xf numFmtId="168" fontId="32" fillId="0" borderId="0" xfId="2" applyNumberFormat="1" applyFont="1" applyAlignment="1">
      <alignment horizontal="left" vertical="center"/>
    </xf>
    <xf numFmtId="168" fontId="32" fillId="2" borderId="0" xfId="2" applyNumberFormat="1" applyFont="1" applyFill="1" applyAlignment="1">
      <alignment horizontal="left" vertical="center"/>
    </xf>
    <xf numFmtId="167" fontId="32" fillId="2" borderId="0" xfId="2" applyNumberFormat="1" applyFont="1" applyFill="1" applyAlignment="1">
      <alignment horizontal="left" vertical="center"/>
    </xf>
    <xf numFmtId="0" fontId="49" fillId="2" borderId="0" xfId="2" applyFont="1" applyFill="1" applyAlignment="1">
      <alignment vertical="center"/>
    </xf>
    <xf numFmtId="0" fontId="46" fillId="2" borderId="0" xfId="0" applyFont="1" applyFill="1" applyAlignment="1">
      <alignment vertical="center"/>
    </xf>
    <xf numFmtId="3" fontId="32" fillId="0" borderId="43" xfId="0" applyNumberFormat="1" applyFont="1" applyBorder="1" applyAlignment="1">
      <alignment horizontal="center" vertical="center"/>
    </xf>
    <xf numFmtId="0" fontId="32" fillId="0" borderId="0" xfId="0" applyFont="1" applyAlignment="1">
      <alignment horizontal="center" vertical="top"/>
    </xf>
    <xf numFmtId="0" fontId="53" fillId="0" borderId="0" xfId="7" applyFont="1" applyFill="1" applyAlignment="1">
      <alignment vertical="center"/>
    </xf>
    <xf numFmtId="0" fontId="53" fillId="0" borderId="0" xfId="41" applyFont="1" applyFill="1" applyAlignment="1">
      <alignment vertical="center"/>
    </xf>
    <xf numFmtId="0" fontId="63" fillId="0" borderId="0" xfId="0" applyFont="1"/>
    <xf numFmtId="0" fontId="32" fillId="0" borderId="43" xfId="0" applyFont="1" applyBorder="1"/>
    <xf numFmtId="0" fontId="41" fillId="0" borderId="0" xfId="41" applyFont="1" applyFill="1" applyAlignment="1">
      <alignment horizontal="left" vertical="top"/>
    </xf>
    <xf numFmtId="0" fontId="41" fillId="0" borderId="0" xfId="41" applyFont="1" applyFill="1" applyBorder="1" applyAlignment="1">
      <alignment horizontal="left" vertical="center"/>
    </xf>
    <xf numFmtId="0" fontId="41" fillId="0" borderId="0" xfId="41" applyFont="1" applyFill="1" applyBorder="1" applyAlignment="1">
      <alignment horizontal="left" vertical="top"/>
    </xf>
    <xf numFmtId="0" fontId="32" fillId="0" borderId="0" xfId="41" applyFont="1" applyFill="1" applyAlignment="1">
      <alignment horizontal="left" vertical="top"/>
    </xf>
    <xf numFmtId="0" fontId="32" fillId="0" borderId="0" xfId="41" applyFont="1" applyFill="1" applyBorder="1" applyAlignment="1">
      <alignment horizontal="left" vertical="center"/>
    </xf>
    <xf numFmtId="0" fontId="41" fillId="0" borderId="0" xfId="41" applyFont="1" applyFill="1" applyAlignment="1">
      <alignment horizontal="center" vertical="center"/>
    </xf>
    <xf numFmtId="0" fontId="41" fillId="0" borderId="0" xfId="41" applyFont="1" applyFill="1"/>
    <xf numFmtId="0" fontId="32" fillId="0" borderId="0" xfId="7" applyFont="1" applyFill="1" applyBorder="1" applyAlignment="1">
      <alignment horizontal="left" vertical="center"/>
    </xf>
    <xf numFmtId="0" fontId="32" fillId="0" borderId="0" xfId="7" applyFont="1" applyFill="1" applyBorder="1" applyAlignment="1">
      <alignment horizontal="left" vertical="top"/>
    </xf>
    <xf numFmtId="0" fontId="32" fillId="0" borderId="0" xfId="7" applyFont="1" applyFill="1" applyAlignment="1">
      <alignment horizontal="left" vertical="top"/>
    </xf>
    <xf numFmtId="3" fontId="41" fillId="0" borderId="0" xfId="41" applyNumberFormat="1" applyFont="1" applyFill="1" applyBorder="1" applyAlignment="1">
      <alignment horizontal="left" vertical="top"/>
    </xf>
    <xf numFmtId="3" fontId="41" fillId="0" borderId="0" xfId="41" applyNumberFormat="1" applyFont="1" applyFill="1" applyAlignment="1">
      <alignment horizontal="left" vertical="top"/>
    </xf>
    <xf numFmtId="3" fontId="41" fillId="0" borderId="0" xfId="41" applyNumberFormat="1" applyFont="1" applyFill="1" applyAlignment="1">
      <alignment horizontal="left" vertical="center"/>
    </xf>
    <xf numFmtId="0" fontId="54" fillId="0" borderId="0" xfId="7" applyFont="1" applyFill="1" applyAlignment="1">
      <alignment horizontal="left" vertical="top"/>
    </xf>
    <xf numFmtId="0" fontId="41" fillId="0" borderId="0" xfId="41" applyFont="1" applyFill="1" applyAlignment="1">
      <alignment horizontal="left" vertical="center"/>
    </xf>
    <xf numFmtId="0" fontId="32" fillId="0" borderId="0" xfId="41" applyFont="1" applyFill="1" applyBorder="1" applyAlignment="1">
      <alignment vertical="top"/>
    </xf>
    <xf numFmtId="0" fontId="41" fillId="0" borderId="0" xfId="41" applyFont="1" applyFill="1" applyBorder="1" applyAlignment="1">
      <alignment vertical="top"/>
    </xf>
    <xf numFmtId="0" fontId="32" fillId="0" borderId="0" xfId="41" applyFont="1" applyFill="1" applyBorder="1" applyAlignment="1"/>
    <xf numFmtId="3" fontId="32" fillId="0" borderId="0" xfId="0" applyNumberFormat="1" applyFont="1" applyAlignment="1">
      <alignment vertical="top"/>
    </xf>
    <xf numFmtId="14" fontId="32" fillId="0" borderId="0" xfId="0" applyNumberFormat="1" applyFont="1" applyAlignment="1">
      <alignment vertical="top"/>
    </xf>
    <xf numFmtId="0" fontId="32" fillId="0" borderId="0" xfId="7" applyFont="1" applyFill="1" applyBorder="1" applyAlignment="1">
      <alignment vertical="top"/>
    </xf>
    <xf numFmtId="0" fontId="32" fillId="0" borderId="0" xfId="7" applyFont="1" applyFill="1"/>
    <xf numFmtId="0" fontId="32" fillId="0" borderId="0" xfId="41" applyFont="1" applyFill="1" applyAlignment="1">
      <alignment vertical="top"/>
    </xf>
    <xf numFmtId="0" fontId="44" fillId="0" borderId="0" xfId="41" applyFont="1" applyFill="1" applyAlignment="1">
      <alignment horizontal="left" vertical="top"/>
    </xf>
    <xf numFmtId="3" fontId="32" fillId="0" borderId="0" xfId="41" applyNumberFormat="1" applyFont="1" applyFill="1" applyAlignment="1">
      <alignment horizontal="left" vertical="top"/>
    </xf>
    <xf numFmtId="3" fontId="32" fillId="0" borderId="0" xfId="41" applyNumberFormat="1" applyFont="1" applyFill="1" applyBorder="1" applyAlignment="1">
      <alignment horizontal="left" vertical="center"/>
    </xf>
    <xf numFmtId="3" fontId="32" fillId="0" borderId="0" xfId="7" applyNumberFormat="1" applyFont="1" applyFill="1" applyBorder="1" applyAlignment="1">
      <alignment horizontal="left" vertical="center"/>
    </xf>
    <xf numFmtId="0" fontId="27" fillId="0" borderId="0" xfId="7" applyFont="1" applyFill="1"/>
    <xf numFmtId="0" fontId="44" fillId="0" borderId="0" xfId="0" applyFont="1"/>
    <xf numFmtId="0" fontId="32" fillId="0" borderId="0" xfId="41" applyFont="1" applyFill="1" applyBorder="1" applyAlignment="1">
      <alignment horizontal="left" vertical="center" wrapText="1"/>
    </xf>
    <xf numFmtId="3" fontId="32" fillId="0" borderId="0" xfId="41" applyNumberFormat="1" applyFont="1" applyFill="1" applyAlignment="1">
      <alignment horizontal="left" vertical="center"/>
    </xf>
    <xf numFmtId="0" fontId="32" fillId="0" borderId="22" xfId="0" applyFont="1" applyBorder="1" applyAlignment="1">
      <alignment horizontal="left" vertical="center"/>
    </xf>
    <xf numFmtId="0" fontId="40" fillId="0" borderId="2" xfId="0" applyFont="1" applyBorder="1" applyAlignment="1">
      <alignment horizontal="left" vertical="center"/>
    </xf>
    <xf numFmtId="0" fontId="53" fillId="0" borderId="25" xfId="0" applyFont="1" applyBorder="1" applyAlignment="1">
      <alignment horizontal="left" vertical="center"/>
    </xf>
    <xf numFmtId="0" fontId="41" fillId="0" borderId="0" xfId="7" applyFont="1" applyFill="1" applyBorder="1" applyAlignment="1">
      <alignment vertical="top"/>
    </xf>
    <xf numFmtId="0" fontId="41" fillId="0" borderId="14" xfId="7" applyFont="1" applyFill="1" applyBorder="1" applyAlignment="1">
      <alignment vertical="top"/>
    </xf>
    <xf numFmtId="0" fontId="27" fillId="0" borderId="14" xfId="7" applyFont="1" applyFill="1" applyBorder="1" applyAlignment="1">
      <alignment vertical="top"/>
    </xf>
    <xf numFmtId="0" fontId="32" fillId="0" borderId="14" xfId="7" applyFont="1" applyFill="1" applyBorder="1" applyAlignment="1">
      <alignment vertical="top"/>
    </xf>
    <xf numFmtId="0" fontId="32" fillId="0" borderId="9" xfId="7" applyFont="1" applyFill="1" applyBorder="1" applyAlignment="1">
      <alignment vertical="top"/>
    </xf>
    <xf numFmtId="0" fontId="27" fillId="0" borderId="0" xfId="7" applyFont="1" applyFill="1" applyBorder="1" applyAlignment="1">
      <alignment vertical="top"/>
    </xf>
    <xf numFmtId="0" fontId="27" fillId="0" borderId="9" xfId="7" applyFont="1" applyFill="1" applyBorder="1" applyAlignment="1">
      <alignment vertical="top"/>
    </xf>
    <xf numFmtId="0" fontId="32" fillId="0" borderId="26" xfId="0" applyFont="1" applyBorder="1" applyAlignment="1">
      <alignment horizontal="center" vertical="top"/>
    </xf>
    <xf numFmtId="176" fontId="32" fillId="0" borderId="4" xfId="0" applyNumberFormat="1" applyFont="1" applyBorder="1" applyAlignment="1">
      <alignment horizontal="right"/>
    </xf>
    <xf numFmtId="176" fontId="32" fillId="0" borderId="15" xfId="0" applyNumberFormat="1" applyFont="1" applyBorder="1" applyAlignment="1">
      <alignment horizontal="right"/>
    </xf>
    <xf numFmtId="0" fontId="32" fillId="0" borderId="17" xfId="0" applyFont="1" applyBorder="1" applyAlignment="1">
      <alignment wrapText="1"/>
    </xf>
    <xf numFmtId="176" fontId="32" fillId="0" borderId="0" xfId="0" applyNumberFormat="1" applyFont="1" applyAlignment="1">
      <alignment horizontal="right"/>
    </xf>
    <xf numFmtId="0" fontId="32" fillId="0" borderId="5" xfId="0" applyFont="1" applyBorder="1" applyAlignment="1">
      <alignment horizontal="left" vertical="center"/>
    </xf>
    <xf numFmtId="171" fontId="32" fillId="0" borderId="5" xfId="0" applyNumberFormat="1" applyFont="1" applyBorder="1" applyAlignment="1">
      <alignment horizontal="left" vertical="center"/>
    </xf>
    <xf numFmtId="171" fontId="32" fillId="0" borderId="5" xfId="0" applyNumberFormat="1" applyFont="1" applyBorder="1" applyAlignment="1">
      <alignment horizontal="left"/>
    </xf>
    <xf numFmtId="0" fontId="32" fillId="0" borderId="5" xfId="0" applyFont="1" applyBorder="1" applyAlignment="1">
      <alignment horizontal="center"/>
    </xf>
    <xf numFmtId="176" fontId="32" fillId="0" borderId="5" xfId="0" applyNumberFormat="1" applyFont="1" applyBorder="1" applyAlignment="1">
      <alignment horizontal="right"/>
    </xf>
    <xf numFmtId="0" fontId="32" fillId="0" borderId="5" xfId="0" applyFont="1" applyBorder="1" applyAlignment="1">
      <alignment horizontal="right"/>
    </xf>
    <xf numFmtId="0" fontId="32" fillId="0" borderId="46" xfId="0" applyFont="1" applyBorder="1" applyAlignment="1">
      <alignment horizontal="left" vertical="top"/>
    </xf>
    <xf numFmtId="0" fontId="32" fillId="0" borderId="5" xfId="0" applyFont="1" applyBorder="1"/>
    <xf numFmtId="4" fontId="32" fillId="0" borderId="3" xfId="0" applyNumberFormat="1" applyFont="1" applyBorder="1" applyAlignment="1">
      <alignment horizontal="center" vertical="center"/>
    </xf>
    <xf numFmtId="4" fontId="32" fillId="0" borderId="1" xfId="0" applyNumberFormat="1" applyFont="1" applyBorder="1" applyAlignment="1">
      <alignment horizontal="center" vertical="center"/>
    </xf>
    <xf numFmtId="0" fontId="32" fillId="0" borderId="1" xfId="0" applyFont="1" applyBorder="1" applyAlignment="1">
      <alignment horizontal="center" vertical="center"/>
    </xf>
    <xf numFmtId="4" fontId="32" fillId="0" borderId="7" xfId="0" applyNumberFormat="1" applyFont="1" applyBorder="1" applyAlignment="1">
      <alignment horizontal="center" vertical="center"/>
    </xf>
    <xf numFmtId="164" fontId="32" fillId="0" borderId="0" xfId="0" applyNumberFormat="1" applyFont="1" applyAlignment="1">
      <alignment horizontal="right"/>
    </xf>
    <xf numFmtId="1" fontId="32" fillId="0" borderId="5" xfId="0" applyNumberFormat="1" applyFont="1" applyBorder="1"/>
    <xf numFmtId="164" fontId="32" fillId="0" borderId="5" xfId="0" applyNumberFormat="1" applyFont="1" applyBorder="1" applyAlignment="1">
      <alignment horizontal="right"/>
    </xf>
    <xf numFmtId="38" fontId="32" fillId="0" borderId="0" xfId="2" applyNumberFormat="1" applyFont="1" applyAlignment="1">
      <alignment horizontal="right" vertical="center" wrapText="1"/>
    </xf>
    <xf numFmtId="38" fontId="40" fillId="0" borderId="0" xfId="2" applyNumberFormat="1" applyFont="1" applyAlignment="1">
      <alignment horizontal="right" vertical="center" wrapText="1"/>
    </xf>
    <xf numFmtId="2" fontId="40" fillId="2" borderId="0" xfId="2" applyNumberFormat="1" applyFont="1" applyFill="1" applyAlignment="1">
      <alignment horizontal="right"/>
    </xf>
    <xf numFmtId="1" fontId="40" fillId="0" borderId="16" xfId="0" applyNumberFormat="1" applyFont="1" applyBorder="1" applyAlignment="1">
      <alignment horizontal="right" vertical="center"/>
    </xf>
    <xf numFmtId="3" fontId="40" fillId="0" borderId="0" xfId="0" applyNumberFormat="1" applyFont="1" applyAlignment="1">
      <alignment horizontal="right" vertical="center"/>
    </xf>
    <xf numFmtId="3" fontId="40" fillId="0" borderId="8" xfId="0" applyNumberFormat="1" applyFont="1" applyBorder="1" applyAlignment="1">
      <alignment horizontal="right" vertical="center"/>
    </xf>
    <xf numFmtId="0" fontId="26" fillId="0" borderId="47" xfId="0" applyFont="1" applyBorder="1"/>
    <xf numFmtId="0" fontId="22" fillId="0" borderId="0" xfId="41" applyFill="1" applyAlignment="1">
      <alignment horizontal="left" vertical="top"/>
    </xf>
    <xf numFmtId="0" fontId="26" fillId="2" borderId="0" xfId="26" applyFont="1" applyFill="1"/>
    <xf numFmtId="0" fontId="26" fillId="2" borderId="0" xfId="27" applyFont="1" applyFill="1"/>
    <xf numFmtId="0" fontId="50" fillId="0" borderId="0" xfId="27" applyFont="1"/>
    <xf numFmtId="0" fontId="52" fillId="2" borderId="0" xfId="27" applyFont="1" applyFill="1"/>
    <xf numFmtId="0" fontId="37" fillId="0" borderId="0" xfId="27" applyFont="1"/>
    <xf numFmtId="0" fontId="46" fillId="2" borderId="0" xfId="27" applyFont="1" applyFill="1"/>
    <xf numFmtId="0" fontId="36" fillId="7" borderId="10" xfId="27" applyFont="1" applyFill="1" applyBorder="1" applyAlignment="1">
      <alignment horizontal="left" vertical="center"/>
    </xf>
    <xf numFmtId="0" fontId="36" fillId="7" borderId="10" xfId="27" applyFont="1" applyFill="1" applyBorder="1" applyAlignment="1">
      <alignment horizontal="right" vertical="center"/>
    </xf>
    <xf numFmtId="0" fontId="26" fillId="2" borderId="0" xfId="27" applyFont="1" applyFill="1" applyAlignment="1">
      <alignment horizontal="left"/>
    </xf>
    <xf numFmtId="0" fontId="46" fillId="2" borderId="0" xfId="27" applyFont="1" applyFill="1" applyAlignment="1">
      <alignment horizontal="left" vertical="center"/>
    </xf>
    <xf numFmtId="0" fontId="26" fillId="2" borderId="0" xfId="27" applyFont="1" applyFill="1" applyAlignment="1">
      <alignment horizontal="left" vertical="center"/>
    </xf>
    <xf numFmtId="0" fontId="26" fillId="0" borderId="0" xfId="27" applyFont="1" applyAlignment="1">
      <alignment horizontal="left" vertical="center"/>
    </xf>
    <xf numFmtId="2" fontId="26" fillId="2" borderId="0" xfId="27" applyNumberFormat="1" applyFont="1" applyFill="1"/>
    <xf numFmtId="0" fontId="26" fillId="0" borderId="0" xfId="27" applyFont="1"/>
    <xf numFmtId="0" fontId="36" fillId="2" borderId="0" xfId="27" applyFont="1" applyFill="1"/>
    <xf numFmtId="2" fontId="36" fillId="2" borderId="10" xfId="27" applyNumberFormat="1" applyFont="1" applyFill="1" applyBorder="1"/>
    <xf numFmtId="2" fontId="36" fillId="2" borderId="0" xfId="27" applyNumberFormat="1" applyFont="1" applyFill="1"/>
    <xf numFmtId="0" fontId="46" fillId="2" borderId="0" xfId="27" applyFont="1" applyFill="1" applyAlignment="1">
      <alignment vertical="center"/>
    </xf>
    <xf numFmtId="2" fontId="52" fillId="2" borderId="0" xfId="27" applyNumberFormat="1" applyFont="1" applyFill="1"/>
    <xf numFmtId="0" fontId="46" fillId="0" borderId="0" xfId="27" applyFont="1"/>
    <xf numFmtId="2" fontId="26" fillId="0" borderId="0" xfId="27" applyNumberFormat="1" applyFont="1"/>
    <xf numFmtId="0" fontId="37" fillId="2" borderId="0" xfId="29" applyFont="1" applyFill="1" applyAlignment="1">
      <alignment wrapText="1"/>
    </xf>
    <xf numFmtId="0" fontId="26" fillId="2" borderId="0" xfId="30" applyFont="1" applyFill="1"/>
    <xf numFmtId="0" fontId="26" fillId="2" borderId="0" xfId="31" applyFont="1" applyFill="1"/>
    <xf numFmtId="0" fontId="50" fillId="0" borderId="0" xfId="31" applyFont="1"/>
    <xf numFmtId="0" fontId="52" fillId="2" borderId="0" xfId="31" applyFont="1" applyFill="1"/>
    <xf numFmtId="0" fontId="37" fillId="0" borderId="0" xfId="31" applyFont="1"/>
    <xf numFmtId="0" fontId="26" fillId="0" borderId="0" xfId="31" applyFont="1"/>
    <xf numFmtId="0" fontId="46" fillId="0" borderId="0" xfId="31" applyFont="1"/>
    <xf numFmtId="0" fontId="46" fillId="2" borderId="0" xfId="31" applyFont="1" applyFill="1" applyAlignment="1">
      <alignment vertical="center"/>
    </xf>
    <xf numFmtId="0" fontId="26" fillId="2" borderId="0" xfId="31" applyFont="1" applyFill="1" applyAlignment="1">
      <alignment vertical="center"/>
    </xf>
    <xf numFmtId="0" fontId="26" fillId="0" borderId="0" xfId="31" applyFont="1" applyAlignment="1">
      <alignment vertical="center"/>
    </xf>
    <xf numFmtId="0" fontId="36" fillId="2" borderId="0" xfId="31" applyFont="1" applyFill="1"/>
    <xf numFmtId="1" fontId="26" fillId="2" borderId="0" xfId="31" applyNumberFormat="1" applyFont="1" applyFill="1"/>
    <xf numFmtId="0" fontId="38" fillId="2" borderId="0" xfId="0" applyFont="1" applyFill="1" applyAlignment="1">
      <alignment vertical="center"/>
    </xf>
    <xf numFmtId="0" fontId="26" fillId="2" borderId="0" xfId="9" applyFont="1" applyFill="1" applyAlignment="1">
      <alignment horizontal="left" vertical="center" wrapText="1"/>
    </xf>
    <xf numFmtId="0" fontId="42" fillId="2" borderId="0" xfId="1" applyFont="1" applyFill="1" applyAlignment="1">
      <alignment vertical="top" wrapText="1"/>
    </xf>
    <xf numFmtId="0" fontId="36" fillId="7" borderId="10" xfId="31" applyFont="1" applyFill="1" applyBorder="1" applyAlignment="1">
      <alignment horizontal="right" vertical="center"/>
    </xf>
    <xf numFmtId="0" fontId="50" fillId="0" borderId="0" xfId="27" applyFont="1" applyAlignment="1">
      <alignment horizontal="left"/>
    </xf>
    <xf numFmtId="0" fontId="37" fillId="0" borderId="0" xfId="27" applyFont="1" applyAlignment="1">
      <alignment horizontal="left"/>
    </xf>
    <xf numFmtId="0" fontId="36" fillId="2" borderId="0" xfId="27" applyFont="1" applyFill="1" applyAlignment="1">
      <alignment horizontal="left"/>
    </xf>
    <xf numFmtId="0" fontId="26" fillId="2" borderId="0" xfId="31" applyFont="1" applyFill="1" applyAlignment="1">
      <alignment horizontal="left"/>
    </xf>
    <xf numFmtId="0" fontId="50" fillId="0" borderId="0" xfId="31" applyFont="1" applyAlignment="1">
      <alignment horizontal="left"/>
    </xf>
    <xf numFmtId="0" fontId="37" fillId="0" borderId="0" xfId="31" applyFont="1" applyAlignment="1">
      <alignment horizontal="left"/>
    </xf>
    <xf numFmtId="0" fontId="36" fillId="7" borderId="10" xfId="31" applyFont="1" applyFill="1" applyBorder="1" applyAlignment="1">
      <alignment horizontal="left" vertical="center"/>
    </xf>
    <xf numFmtId="0" fontId="26" fillId="2" borderId="0" xfId="31" applyFont="1" applyFill="1" applyAlignment="1">
      <alignment horizontal="right"/>
    </xf>
    <xf numFmtId="0" fontId="50" fillId="0" borderId="0" xfId="31" applyFont="1" applyAlignment="1">
      <alignment horizontal="right"/>
    </xf>
    <xf numFmtId="0" fontId="37" fillId="0" borderId="0" xfId="31" applyFont="1" applyAlignment="1">
      <alignment horizontal="right"/>
    </xf>
    <xf numFmtId="0" fontId="26" fillId="2" borderId="0" xfId="27" applyFont="1" applyFill="1" applyAlignment="1">
      <alignment horizontal="right"/>
    </xf>
    <xf numFmtId="0" fontId="46" fillId="2" borderId="0" xfId="27" applyFont="1" applyFill="1" applyAlignment="1">
      <alignment horizontal="right"/>
    </xf>
    <xf numFmtId="2" fontId="26" fillId="2" borderId="0" xfId="27" applyNumberFormat="1" applyFont="1" applyFill="1" applyAlignment="1">
      <alignment horizontal="right"/>
    </xf>
    <xf numFmtId="2" fontId="36" fillId="2" borderId="10" xfId="27" applyNumberFormat="1" applyFont="1" applyFill="1" applyBorder="1" applyAlignment="1">
      <alignment horizontal="right"/>
    </xf>
    <xf numFmtId="2" fontId="36" fillId="2" borderId="0" xfId="27" applyNumberFormat="1" applyFont="1" applyFill="1" applyAlignment="1">
      <alignment horizontal="right"/>
    </xf>
    <xf numFmtId="0" fontId="26" fillId="2" borderId="0" xfId="27" applyFont="1" applyFill="1" applyAlignment="1">
      <alignment vertical="center"/>
    </xf>
    <xf numFmtId="0" fontId="50" fillId="0" borderId="0" xfId="27" applyFont="1" applyAlignment="1">
      <alignment vertical="center"/>
    </xf>
    <xf numFmtId="0" fontId="52" fillId="2" borderId="0" xfId="27" applyFont="1" applyFill="1" applyAlignment="1">
      <alignment horizontal="right" vertical="center"/>
    </xf>
    <xf numFmtId="0" fontId="52" fillId="2" borderId="0" xfId="27" applyFont="1" applyFill="1" applyAlignment="1">
      <alignment vertical="center"/>
    </xf>
    <xf numFmtId="2" fontId="42" fillId="2" borderId="0" xfId="1" applyNumberFormat="1" applyFont="1" applyFill="1" applyAlignment="1">
      <alignment vertical="top"/>
    </xf>
    <xf numFmtId="0" fontId="36" fillId="7" borderId="6" xfId="12" applyFont="1" applyFill="1" applyBorder="1" applyAlignment="1">
      <alignment vertical="center"/>
    </xf>
    <xf numFmtId="0" fontId="36" fillId="7" borderId="6" xfId="0" applyFont="1" applyFill="1" applyBorder="1" applyAlignment="1">
      <alignment horizontal="right" vertical="center"/>
    </xf>
    <xf numFmtId="0" fontId="36" fillId="7" borderId="41" xfId="0" applyFont="1" applyFill="1" applyBorder="1" applyAlignment="1">
      <alignment horizontal="center" vertical="center"/>
    </xf>
    <xf numFmtId="2" fontId="36" fillId="7" borderId="6" xfId="12" applyNumberFormat="1" applyFont="1" applyFill="1" applyBorder="1" applyAlignment="1">
      <alignment vertical="center"/>
    </xf>
    <xf numFmtId="0" fontId="36" fillId="7" borderId="6" xfId="0" applyFont="1" applyFill="1" applyBorder="1" applyAlignment="1">
      <alignment vertical="center"/>
    </xf>
    <xf numFmtId="177" fontId="42" fillId="0" borderId="0" xfId="1" applyNumberFormat="1" applyFont="1" applyAlignment="1">
      <alignment horizontal="left"/>
    </xf>
    <xf numFmtId="0" fontId="36" fillId="2" borderId="10" xfId="0" applyFont="1" applyFill="1" applyBorder="1" applyAlignment="1">
      <alignment horizontal="left"/>
    </xf>
    <xf numFmtId="0" fontId="36" fillId="2" borderId="10" xfId="0" applyFont="1" applyFill="1" applyBorder="1" applyAlignment="1">
      <alignment horizontal="center"/>
    </xf>
    <xf numFmtId="9" fontId="26" fillId="2" borderId="0" xfId="14" applyFont="1" applyFill="1" applyBorder="1"/>
    <xf numFmtId="0" fontId="26" fillId="2" borderId="6" xfId="0" applyFont="1" applyFill="1" applyBorder="1" applyAlignment="1">
      <alignment horizontal="left"/>
    </xf>
    <xf numFmtId="0" fontId="40" fillId="13" borderId="19" xfId="0" applyFont="1" applyFill="1" applyBorder="1" applyAlignment="1">
      <alignment horizontal="left" vertical="center"/>
    </xf>
    <xf numFmtId="171" fontId="40" fillId="13" borderId="19" xfId="0" applyNumberFormat="1" applyFont="1" applyFill="1" applyBorder="1" applyAlignment="1">
      <alignment horizontal="left" vertical="center"/>
    </xf>
    <xf numFmtId="0" fontId="40" fillId="13" borderId="19" xfId="0" applyFont="1" applyFill="1" applyBorder="1" applyAlignment="1">
      <alignment horizontal="center" vertical="center"/>
    </xf>
    <xf numFmtId="176" fontId="40" fillId="13" borderId="39" xfId="11" applyNumberFormat="1" applyFont="1" applyFill="1" applyBorder="1" applyAlignment="1">
      <alignment horizontal="center" vertical="center"/>
    </xf>
    <xf numFmtId="4" fontId="40" fillId="13" borderId="39" xfId="0" applyNumberFormat="1" applyFont="1" applyFill="1" applyBorder="1" applyAlignment="1">
      <alignment horizontal="center" vertical="center"/>
    </xf>
    <xf numFmtId="0" fontId="40" fillId="13" borderId="39" xfId="0" applyFont="1" applyFill="1" applyBorder="1" applyAlignment="1">
      <alignment horizontal="center" vertical="center"/>
    </xf>
    <xf numFmtId="0" fontId="40" fillId="13" borderId="19" xfId="0" applyFont="1" applyFill="1" applyBorder="1" applyAlignment="1">
      <alignment horizontal="right" vertical="center"/>
    </xf>
    <xf numFmtId="3" fontId="41" fillId="0" borderId="0" xfId="41" applyNumberFormat="1" applyFont="1" applyFill="1" applyBorder="1" applyAlignment="1">
      <alignment horizontal="left" vertical="center"/>
    </xf>
    <xf numFmtId="0" fontId="41" fillId="0" borderId="13" xfId="41" applyFont="1" applyFill="1" applyBorder="1" applyAlignment="1">
      <alignment vertical="top"/>
    </xf>
    <xf numFmtId="0" fontId="41" fillId="0" borderId="8" xfId="41" applyFont="1" applyFill="1" applyBorder="1" applyAlignment="1">
      <alignment vertical="top"/>
    </xf>
    <xf numFmtId="0" fontId="32" fillId="0" borderId="24" xfId="0" applyFont="1" applyBorder="1" applyAlignment="1">
      <alignment vertical="top"/>
    </xf>
    <xf numFmtId="0" fontId="41" fillId="0" borderId="23" xfId="41" applyFont="1" applyFill="1" applyBorder="1" applyAlignment="1">
      <alignment vertical="top"/>
    </xf>
    <xf numFmtId="0" fontId="41" fillId="0" borderId="0" xfId="41" applyFont="1" applyFill="1" applyBorder="1" applyAlignment="1"/>
    <xf numFmtId="0" fontId="32" fillId="0" borderId="0" xfId="41" applyFont="1" applyFill="1"/>
    <xf numFmtId="2" fontId="32" fillId="0" borderId="1" xfId="0" applyNumberFormat="1" applyFont="1" applyBorder="1" applyAlignment="1">
      <alignment horizontal="left" vertical="top"/>
    </xf>
    <xf numFmtId="4" fontId="32" fillId="0" borderId="4" xfId="0" applyNumberFormat="1" applyFont="1" applyBorder="1" applyAlignment="1">
      <alignment horizontal="left" vertical="top"/>
    </xf>
    <xf numFmtId="4" fontId="32" fillId="0" borderId="0" xfId="0" applyNumberFormat="1" applyFont="1" applyAlignment="1">
      <alignment horizontal="left" vertical="top"/>
    </xf>
    <xf numFmtId="4" fontId="53" fillId="0" borderId="1" xfId="41" applyNumberFormat="1" applyFont="1" applyFill="1" applyBorder="1" applyAlignment="1">
      <alignment horizontal="left" vertical="top" wrapText="1"/>
    </xf>
    <xf numFmtId="0" fontId="53" fillId="0" borderId="1" xfId="41" applyFont="1" applyFill="1" applyBorder="1" applyAlignment="1">
      <alignment horizontal="left" vertical="top"/>
    </xf>
    <xf numFmtId="4" fontId="53" fillId="0" borderId="1" xfId="41" applyNumberFormat="1" applyFont="1" applyFill="1" applyBorder="1" applyAlignment="1">
      <alignment horizontal="left" vertical="top"/>
    </xf>
    <xf numFmtId="0" fontId="53" fillId="0" borderId="1" xfId="41" applyFont="1" applyFill="1" applyBorder="1"/>
    <xf numFmtId="0" fontId="53" fillId="0" borderId="1" xfId="41" applyFont="1" applyBorder="1" applyAlignment="1">
      <alignment horizontal="left" vertical="top"/>
    </xf>
    <xf numFmtId="0" fontId="53" fillId="0" borderId="2" xfId="41" applyFont="1" applyFill="1" applyBorder="1"/>
    <xf numFmtId="4" fontId="54" fillId="0" borderId="2" xfId="7" applyNumberFormat="1" applyFont="1" applyFill="1" applyBorder="1" applyAlignment="1">
      <alignment horizontal="left" vertical="top"/>
    </xf>
    <xf numFmtId="0" fontId="53" fillId="0" borderId="1" xfId="41" applyFont="1" applyFill="1" applyBorder="1" applyAlignment="1"/>
    <xf numFmtId="4" fontId="53" fillId="0" borderId="2" xfId="41" applyNumberFormat="1" applyFont="1" applyFill="1" applyBorder="1" applyAlignment="1">
      <alignment horizontal="left" vertical="top"/>
    </xf>
    <xf numFmtId="4" fontId="53" fillId="0" borderId="0" xfId="41" applyNumberFormat="1" applyFont="1" applyFill="1" applyBorder="1" applyAlignment="1">
      <alignment horizontal="left" vertical="top"/>
    </xf>
    <xf numFmtId="4" fontId="32" fillId="0" borderId="1" xfId="0" applyNumberFormat="1" applyFont="1" applyBorder="1" applyAlignment="1">
      <alignment horizontal="left" vertical="top" wrapText="1"/>
    </xf>
    <xf numFmtId="0" fontId="44" fillId="0" borderId="1" xfId="41" applyFont="1" applyFill="1" applyBorder="1" applyAlignment="1"/>
    <xf numFmtId="4" fontId="54" fillId="0" borderId="7" xfId="7" applyNumberFormat="1" applyFont="1" applyFill="1" applyBorder="1" applyAlignment="1">
      <alignment horizontal="left" vertical="top"/>
    </xf>
    <xf numFmtId="0" fontId="53" fillId="0" borderId="7" xfId="41" applyFont="1" applyFill="1" applyBorder="1" applyAlignment="1">
      <alignment horizontal="left" vertical="top"/>
    </xf>
    <xf numFmtId="4" fontId="54" fillId="0" borderId="1" xfId="7" applyNumberFormat="1" applyFont="1" applyFill="1" applyBorder="1" applyAlignment="1">
      <alignment horizontal="left" vertical="top"/>
    </xf>
    <xf numFmtId="0" fontId="53" fillId="0" borderId="1" xfId="41" applyFont="1" applyFill="1" applyBorder="1" applyAlignment="1">
      <alignment horizontal="left" vertical="top" wrapText="1"/>
    </xf>
    <xf numFmtId="4" fontId="53" fillId="0" borderId="0" xfId="41" applyNumberFormat="1" applyFont="1" applyFill="1" applyBorder="1" applyAlignment="1">
      <alignment horizontal="left" vertical="top" wrapText="1"/>
    </xf>
    <xf numFmtId="4" fontId="54" fillId="0" borderId="0" xfId="7" applyNumberFormat="1" applyFont="1" applyFill="1" applyBorder="1" applyAlignment="1">
      <alignment horizontal="left" vertical="top"/>
    </xf>
    <xf numFmtId="4" fontId="32" fillId="0" borderId="1" xfId="41" applyNumberFormat="1" applyFont="1" applyFill="1" applyBorder="1" applyAlignment="1">
      <alignment horizontal="left" vertical="top"/>
    </xf>
    <xf numFmtId="4" fontId="53" fillId="0" borderId="4" xfId="41" applyNumberFormat="1" applyFont="1" applyFill="1" applyBorder="1" applyAlignment="1">
      <alignment horizontal="left" vertical="top" wrapText="1"/>
    </xf>
    <xf numFmtId="0" fontId="53" fillId="0" borderId="2" xfId="41" applyFont="1" applyFill="1" applyBorder="1" applyAlignment="1"/>
    <xf numFmtId="3" fontId="53" fillId="0" borderId="1" xfId="41" applyNumberFormat="1" applyFont="1" applyFill="1" applyBorder="1" applyAlignment="1">
      <alignment horizontal="left" vertical="top"/>
    </xf>
    <xf numFmtId="3" fontId="53" fillId="0" borderId="7" xfId="41" applyNumberFormat="1" applyFont="1" applyFill="1" applyBorder="1" applyAlignment="1">
      <alignment horizontal="left" vertical="top"/>
    </xf>
    <xf numFmtId="0" fontId="53" fillId="0" borderId="17" xfId="41" applyFont="1" applyFill="1" applyBorder="1" applyAlignment="1">
      <alignment horizontal="left" vertical="top"/>
    </xf>
    <xf numFmtId="0" fontId="63" fillId="0" borderId="17" xfId="0" applyFont="1" applyBorder="1" applyAlignment="1">
      <alignment horizontal="left" vertical="top"/>
    </xf>
    <xf numFmtId="4" fontId="53" fillId="0" borderId="17" xfId="41" applyNumberFormat="1" applyFont="1" applyFill="1" applyBorder="1" applyAlignment="1">
      <alignment horizontal="left" vertical="top"/>
    </xf>
    <xf numFmtId="0" fontId="53" fillId="0" borderId="17" xfId="41" applyFont="1" applyFill="1" applyBorder="1"/>
    <xf numFmtId="0" fontId="53" fillId="0" borderId="4" xfId="41" applyFont="1" applyFill="1" applyBorder="1" applyAlignment="1">
      <alignment horizontal="left" vertical="top"/>
    </xf>
    <xf numFmtId="0" fontId="53" fillId="0" borderId="17" xfId="41" applyFont="1" applyFill="1" applyBorder="1" applyAlignment="1"/>
    <xf numFmtId="4" fontId="53" fillId="0" borderId="17" xfId="41" applyNumberFormat="1" applyFont="1" applyFill="1" applyBorder="1" applyAlignment="1">
      <alignment horizontal="left" vertical="top" wrapText="1"/>
    </xf>
    <xf numFmtId="0" fontId="53" fillId="0" borderId="0" xfId="41" applyFont="1" applyFill="1" applyBorder="1"/>
    <xf numFmtId="4" fontId="63" fillId="0" borderId="0" xfId="0" applyNumberFormat="1" applyFont="1" applyAlignment="1">
      <alignment horizontal="left" vertical="top"/>
    </xf>
    <xf numFmtId="4" fontId="53" fillId="0" borderId="0" xfId="41" applyNumberFormat="1" applyFont="1" applyAlignment="1">
      <alignment horizontal="left" vertical="top"/>
    </xf>
    <xf numFmtId="0" fontId="53" fillId="0" borderId="7" xfId="41" applyFont="1" applyFill="1" applyBorder="1" applyAlignment="1"/>
    <xf numFmtId="4" fontId="53" fillId="0" borderId="1" xfId="41" applyNumberFormat="1" applyFont="1" applyBorder="1" applyAlignment="1">
      <alignment horizontal="left" vertical="top"/>
    </xf>
    <xf numFmtId="4" fontId="53" fillId="0" borderId="4" xfId="41" applyNumberFormat="1" applyFont="1" applyFill="1" applyBorder="1" applyAlignment="1">
      <alignment horizontal="left" vertical="top"/>
    </xf>
    <xf numFmtId="0" fontId="53" fillId="0" borderId="2" xfId="41" applyFont="1" applyFill="1" applyBorder="1" applyAlignment="1">
      <alignment horizontal="left" vertical="top"/>
    </xf>
    <xf numFmtId="0" fontId="53" fillId="0" borderId="7" xfId="41" applyFont="1" applyFill="1" applyBorder="1"/>
    <xf numFmtId="4" fontId="63" fillId="0" borderId="1" xfId="0" applyNumberFormat="1" applyFont="1" applyBorder="1" applyAlignment="1">
      <alignment horizontal="left" vertical="top"/>
    </xf>
    <xf numFmtId="0" fontId="53" fillId="0" borderId="17" xfId="41" applyFont="1" applyFill="1" applyBorder="1" applyAlignment="1">
      <alignment wrapText="1"/>
    </xf>
    <xf numFmtId="0" fontId="41" fillId="0" borderId="5" xfId="41" applyFont="1" applyFill="1" applyBorder="1"/>
    <xf numFmtId="0" fontId="66" fillId="2" borderId="0" xfId="0" applyFont="1" applyFill="1"/>
    <xf numFmtId="0" fontId="26" fillId="12" borderId="0" xfId="0" applyFont="1" applyFill="1" applyAlignment="1">
      <alignment horizontal="left" vertical="center"/>
    </xf>
    <xf numFmtId="0" fontId="26" fillId="8" borderId="0" xfId="0" applyFont="1" applyFill="1" applyAlignment="1">
      <alignment horizontal="left" vertical="center"/>
    </xf>
    <xf numFmtId="176" fontId="32" fillId="0" borderId="4" xfId="0" applyNumberFormat="1" applyFont="1" applyBorder="1"/>
    <xf numFmtId="0" fontId="58" fillId="0" borderId="0" xfId="0" applyFont="1"/>
    <xf numFmtId="171" fontId="32" fillId="0" borderId="0" xfId="0" applyNumberFormat="1" applyFont="1"/>
    <xf numFmtId="0" fontId="36" fillId="14" borderId="19" xfId="13" applyFont="1" applyFill="1" applyBorder="1" applyAlignment="1">
      <alignment horizontal="left" vertical="center"/>
    </xf>
    <xf numFmtId="0" fontId="36" fillId="14" borderId="19" xfId="0" applyFont="1" applyFill="1" applyBorder="1" applyAlignment="1">
      <alignment horizontal="left" vertical="center"/>
    </xf>
    <xf numFmtId="0" fontId="32" fillId="0" borderId="1" xfId="0" applyFont="1" applyBorder="1" applyAlignment="1">
      <alignment horizontal="left"/>
    </xf>
    <xf numFmtId="171" fontId="40" fillId="0" borderId="2" xfId="0" applyNumberFormat="1" applyFont="1" applyBorder="1" applyAlignment="1">
      <alignment horizontal="left" vertical="center"/>
    </xf>
    <xf numFmtId="171" fontId="40" fillId="0" borderId="0" xfId="0" applyNumberFormat="1" applyFont="1" applyAlignment="1">
      <alignment horizontal="left"/>
    </xf>
    <xf numFmtId="3" fontId="53" fillId="0" borderId="0" xfId="7" applyNumberFormat="1" applyFont="1" applyFill="1" applyAlignment="1">
      <alignment horizontal="left" vertical="center"/>
    </xf>
    <xf numFmtId="0" fontId="26" fillId="2" borderId="0" xfId="0" applyFont="1" applyFill="1" applyAlignment="1">
      <alignment horizontal="right"/>
    </xf>
    <xf numFmtId="0" fontId="26" fillId="2" borderId="6" xfId="0" applyFont="1" applyFill="1" applyBorder="1" applyAlignment="1">
      <alignment horizontal="right"/>
    </xf>
    <xf numFmtId="9" fontId="26" fillId="2" borderId="6" xfId="14" applyFont="1" applyFill="1" applyBorder="1" applyAlignment="1">
      <alignment horizontal="right"/>
    </xf>
    <xf numFmtId="1" fontId="26" fillId="2" borderId="6" xfId="0" applyNumberFormat="1" applyFont="1" applyFill="1" applyBorder="1" applyAlignment="1">
      <alignment horizontal="right"/>
    </xf>
    <xf numFmtId="0" fontId="36" fillId="2" borderId="10" xfId="0" applyFont="1" applyFill="1" applyBorder="1" applyAlignment="1">
      <alignment horizontal="right"/>
    </xf>
    <xf numFmtId="0" fontId="26" fillId="2" borderId="10" xfId="0" applyFont="1" applyFill="1" applyBorder="1" applyAlignment="1">
      <alignment horizontal="right"/>
    </xf>
    <xf numFmtId="0" fontId="42" fillId="0" borderId="5" xfId="1" applyFont="1" applyBorder="1" applyAlignment="1">
      <alignment horizontal="right"/>
    </xf>
    <xf numFmtId="1" fontId="26" fillId="2" borderId="5" xfId="31" applyNumberFormat="1" applyFont="1" applyFill="1" applyBorder="1"/>
    <xf numFmtId="170" fontId="32" fillId="0" borderId="0" xfId="0" applyNumberFormat="1" applyFont="1" applyAlignment="1">
      <alignment horizontal="right"/>
    </xf>
    <xf numFmtId="175" fontId="43" fillId="0" borderId="0" xfId="11" applyNumberFormat="1" applyFont="1" applyAlignment="1">
      <alignment horizontal="right"/>
    </xf>
    <xf numFmtId="175" fontId="48" fillId="0" borderId="0" xfId="11" applyNumberFormat="1" applyFont="1" applyAlignment="1">
      <alignment horizontal="right"/>
    </xf>
    <xf numFmtId="175" fontId="26" fillId="2" borderId="0" xfId="11" applyNumberFormat="1" applyFont="1" applyFill="1" applyAlignment="1">
      <alignment horizontal="right"/>
    </xf>
    <xf numFmtId="175" fontId="26" fillId="0" borderId="0" xfId="11" applyNumberFormat="1" applyFont="1" applyAlignment="1">
      <alignment horizontal="right"/>
    </xf>
    <xf numFmtId="0" fontId="26" fillId="2" borderId="0" xfId="15" applyFont="1" applyFill="1" applyAlignment="1">
      <alignment vertical="top" wrapText="1"/>
    </xf>
    <xf numFmtId="174" fontId="36" fillId="7" borderId="11" xfId="2" applyNumberFormat="1" applyFont="1" applyFill="1" applyBorder="1" applyAlignment="1">
      <alignment vertical="center"/>
    </xf>
    <xf numFmtId="174" fontId="26" fillId="3" borderId="0" xfId="2" applyNumberFormat="1" applyFont="1" applyFill="1" applyAlignment="1">
      <alignment horizontal="right"/>
    </xf>
    <xf numFmtId="0" fontId="26" fillId="3" borderId="0" xfId="2" applyFont="1" applyFill="1" applyAlignment="1">
      <alignment horizontal="right" vertical="center"/>
    </xf>
    <xf numFmtId="0" fontId="28" fillId="2" borderId="0" xfId="9" applyFont="1" applyFill="1" applyAlignment="1">
      <alignment horizontal="right"/>
    </xf>
    <xf numFmtId="0" fontId="67" fillId="0" borderId="0" xfId="32" applyAlignment="1">
      <alignment horizontal="left" vertical="top"/>
    </xf>
    <xf numFmtId="0" fontId="68" fillId="0" borderId="0" xfId="32" applyFont="1" applyAlignment="1">
      <alignment horizontal="left" vertical="top"/>
    </xf>
    <xf numFmtId="2" fontId="67" fillId="0" borderId="0" xfId="32" applyNumberFormat="1" applyAlignment="1">
      <alignment horizontal="right" vertical="top"/>
    </xf>
    <xf numFmtId="178" fontId="67" fillId="0" borderId="0" xfId="32" applyNumberFormat="1" applyAlignment="1">
      <alignment horizontal="left" vertical="top"/>
    </xf>
    <xf numFmtId="0" fontId="69" fillId="0" borderId="0" xfId="33" applyAlignment="1">
      <alignment vertical="top"/>
    </xf>
    <xf numFmtId="0" fontId="69" fillId="0" borderId="0" xfId="33" applyAlignment="1">
      <alignment horizontal="left" vertical="top"/>
    </xf>
    <xf numFmtId="0" fontId="67" fillId="0" borderId="0" xfId="32" applyAlignment="1">
      <alignment vertical="top"/>
    </xf>
    <xf numFmtId="0" fontId="69" fillId="0" borderId="0" xfId="33" applyAlignment="1">
      <alignment vertical="center"/>
    </xf>
    <xf numFmtId="2" fontId="67" fillId="0" borderId="0" xfId="32" applyNumberFormat="1" applyAlignment="1">
      <alignment horizontal="left" vertical="top"/>
    </xf>
    <xf numFmtId="2" fontId="67" fillId="0" borderId="0" xfId="32" applyNumberFormat="1" applyAlignment="1">
      <alignment vertical="top"/>
    </xf>
    <xf numFmtId="10" fontId="67" fillId="0" borderId="0" xfId="32" applyNumberFormat="1"/>
    <xf numFmtId="0" fontId="67" fillId="0" borderId="0" xfId="32" applyAlignment="1">
      <alignment horizontal="right" vertical="center"/>
    </xf>
    <xf numFmtId="0" fontId="67" fillId="0" borderId="0" xfId="32" applyAlignment="1">
      <alignment horizontal="left" vertical="center"/>
    </xf>
    <xf numFmtId="1" fontId="67" fillId="0" borderId="0" xfId="32" applyNumberFormat="1" applyAlignment="1">
      <alignment horizontal="left" vertical="top"/>
    </xf>
    <xf numFmtId="10" fontId="67" fillId="0" borderId="0" xfId="32" applyNumberFormat="1" applyAlignment="1">
      <alignment horizontal="left" vertical="top"/>
    </xf>
    <xf numFmtId="14" fontId="67" fillId="0" borderId="0" xfId="32" applyNumberFormat="1" applyAlignment="1">
      <alignment horizontal="right" vertical="top"/>
    </xf>
    <xf numFmtId="0" fontId="6" fillId="0" borderId="0" xfId="34"/>
    <xf numFmtId="0" fontId="31" fillId="0" borderId="0" xfId="7"/>
    <xf numFmtId="0" fontId="22" fillId="0" borderId="0" xfId="41"/>
    <xf numFmtId="0" fontId="68" fillId="0" borderId="0" xfId="32" applyFont="1" applyAlignment="1">
      <alignment horizontal="left" vertical="center"/>
    </xf>
    <xf numFmtId="0" fontId="32" fillId="0" borderId="0" xfId="32" applyFont="1" applyAlignment="1">
      <alignment horizontal="left" vertical="top"/>
    </xf>
    <xf numFmtId="0" fontId="32" fillId="0" borderId="0" xfId="32" applyFont="1"/>
    <xf numFmtId="2" fontId="32" fillId="0" borderId="0" xfId="32" applyNumberFormat="1" applyFont="1" applyAlignment="1">
      <alignment horizontal="right" vertical="top"/>
    </xf>
    <xf numFmtId="0" fontId="70" fillId="0" borderId="0" xfId="32" applyFont="1" applyAlignment="1">
      <alignment horizontal="left" vertical="center"/>
    </xf>
    <xf numFmtId="0" fontId="32" fillId="0" borderId="0" xfId="32" applyFont="1" applyAlignment="1">
      <alignment horizontal="left" vertical="center"/>
    </xf>
    <xf numFmtId="2" fontId="32" fillId="0" borderId="0" xfId="32" applyNumberFormat="1" applyFont="1" applyAlignment="1">
      <alignment horizontal="right"/>
    </xf>
    <xf numFmtId="10" fontId="32" fillId="0" borderId="0" xfId="32" applyNumberFormat="1" applyFont="1" applyAlignment="1">
      <alignment horizontal="right"/>
    </xf>
    <xf numFmtId="0" fontId="41" fillId="0" borderId="0" xfId="33" applyFont="1" applyAlignment="1">
      <alignment horizontal="left" vertical="top"/>
    </xf>
    <xf numFmtId="0" fontId="68" fillId="0" borderId="0" xfId="32" applyFont="1" applyAlignment="1">
      <alignment vertical="center"/>
    </xf>
    <xf numFmtId="1" fontId="32" fillId="0" borderId="0" xfId="32" applyNumberFormat="1" applyFont="1"/>
    <xf numFmtId="2" fontId="32" fillId="0" borderId="0" xfId="32" applyNumberFormat="1" applyFont="1"/>
    <xf numFmtId="10" fontId="32" fillId="0" borderId="0" xfId="32" applyNumberFormat="1" applyFont="1"/>
    <xf numFmtId="14" fontId="32" fillId="0" borderId="0" xfId="32" applyNumberFormat="1" applyFont="1" applyAlignment="1">
      <alignment horizontal="right" vertical="center"/>
    </xf>
    <xf numFmtId="0" fontId="32" fillId="0" borderId="0" xfId="32" applyFont="1" applyAlignment="1">
      <alignment horizontal="right" vertical="center"/>
    </xf>
    <xf numFmtId="1" fontId="26" fillId="2" borderId="5" xfId="0" applyNumberFormat="1" applyFont="1" applyFill="1" applyBorder="1" applyAlignment="1">
      <alignment horizontal="center"/>
    </xf>
    <xf numFmtId="2" fontId="40" fillId="14" borderId="19" xfId="32" applyNumberFormat="1" applyFont="1" applyFill="1" applyBorder="1" applyAlignment="1">
      <alignment horizontal="right" vertical="center"/>
    </xf>
    <xf numFmtId="0" fontId="40" fillId="14" borderId="19" xfId="32" applyFont="1" applyFill="1" applyBorder="1" applyAlignment="1">
      <alignment horizontal="left" vertical="center"/>
    </xf>
    <xf numFmtId="178" fontId="67" fillId="0" borderId="0" xfId="32" applyNumberFormat="1" applyAlignment="1">
      <alignment horizontal="left" vertical="center"/>
    </xf>
    <xf numFmtId="178" fontId="40" fillId="14" borderId="19" xfId="32" applyNumberFormat="1" applyFont="1" applyFill="1" applyBorder="1" applyAlignment="1">
      <alignment horizontal="right" vertical="center"/>
    </xf>
    <xf numFmtId="2" fontId="67" fillId="0" borderId="0" xfId="32" applyNumberFormat="1" applyAlignment="1">
      <alignment horizontal="left" vertical="center"/>
    </xf>
    <xf numFmtId="0" fontId="40" fillId="14" borderId="19" xfId="32" applyFont="1" applyFill="1" applyBorder="1" applyAlignment="1">
      <alignment horizontal="right" vertical="center"/>
    </xf>
    <xf numFmtId="2" fontId="40" fillId="14" borderId="20" xfId="32" applyNumberFormat="1" applyFont="1" applyFill="1" applyBorder="1" applyAlignment="1">
      <alignment horizontal="center" vertical="center"/>
    </xf>
    <xf numFmtId="0" fontId="40" fillId="14" borderId="20" xfId="32" applyFont="1" applyFill="1" applyBorder="1" applyAlignment="1">
      <alignment horizontal="center" vertical="center"/>
    </xf>
    <xf numFmtId="10" fontId="40" fillId="14" borderId="20" xfId="32" applyNumberFormat="1" applyFont="1" applyFill="1" applyBorder="1" applyAlignment="1">
      <alignment horizontal="center" vertical="center"/>
    </xf>
    <xf numFmtId="0" fontId="40" fillId="14" borderId="5" xfId="32" applyFont="1" applyFill="1" applyBorder="1" applyAlignment="1">
      <alignment horizontal="center" vertical="center"/>
    </xf>
    <xf numFmtId="10" fontId="40" fillId="14" borderId="5" xfId="32" applyNumberFormat="1" applyFont="1" applyFill="1" applyBorder="1" applyAlignment="1">
      <alignment horizontal="center" vertical="center"/>
    </xf>
    <xf numFmtId="0" fontId="32" fillId="0" borderId="19" xfId="32" applyFont="1" applyBorder="1" applyAlignment="1">
      <alignment horizontal="left" vertical="top"/>
    </xf>
    <xf numFmtId="1" fontId="32" fillId="0" borderId="19" xfId="32" applyNumberFormat="1" applyFont="1" applyBorder="1"/>
    <xf numFmtId="2" fontId="32" fillId="0" borderId="19" xfId="32" applyNumberFormat="1" applyFont="1" applyBorder="1"/>
    <xf numFmtId="10" fontId="32" fillId="0" borderId="19" xfId="32" applyNumberFormat="1" applyFont="1" applyBorder="1" applyAlignment="1">
      <alignment horizontal="right"/>
    </xf>
    <xf numFmtId="10" fontId="32" fillId="0" borderId="19" xfId="32" applyNumberFormat="1" applyFont="1" applyBorder="1"/>
    <xf numFmtId="14" fontId="40" fillId="14" borderId="19" xfId="32" applyNumberFormat="1" applyFont="1" applyFill="1" applyBorder="1" applyAlignment="1">
      <alignment horizontal="right" vertical="center"/>
    </xf>
    <xf numFmtId="0" fontId="32" fillId="0" borderId="5" xfId="32" applyFont="1" applyBorder="1" applyAlignment="1">
      <alignment horizontal="left" vertical="top"/>
    </xf>
    <xf numFmtId="2" fontId="32" fillId="0" borderId="5" xfId="32" applyNumberFormat="1" applyFont="1" applyBorder="1" applyAlignment="1">
      <alignment horizontal="right"/>
    </xf>
    <xf numFmtId="10" fontId="32" fillId="0" borderId="5" xfId="32" applyNumberFormat="1" applyFont="1" applyBorder="1" applyAlignment="1">
      <alignment horizontal="right"/>
    </xf>
    <xf numFmtId="10" fontId="32" fillId="0" borderId="5" xfId="32" applyNumberFormat="1" applyFont="1" applyBorder="1"/>
    <xf numFmtId="14" fontId="32" fillId="0" borderId="19" xfId="32" applyNumberFormat="1" applyFont="1" applyBorder="1" applyAlignment="1">
      <alignment horizontal="right" vertical="center"/>
    </xf>
    <xf numFmtId="0" fontId="32" fillId="0" borderId="19" xfId="32" applyFont="1" applyBorder="1" applyAlignment="1">
      <alignment horizontal="right" vertical="center"/>
    </xf>
    <xf numFmtId="0" fontId="32" fillId="0" borderId="19" xfId="32" applyFont="1" applyBorder="1"/>
    <xf numFmtId="1" fontId="32" fillId="0" borderId="5" xfId="32" applyNumberFormat="1" applyFont="1" applyBorder="1"/>
    <xf numFmtId="2" fontId="32" fillId="0" borderId="5" xfId="32" applyNumberFormat="1" applyFont="1" applyBorder="1"/>
    <xf numFmtId="0" fontId="32" fillId="0" borderId="5" xfId="32" applyFont="1" applyBorder="1"/>
    <xf numFmtId="2" fontId="32" fillId="0" borderId="5" xfId="32" applyNumberFormat="1" applyFont="1" applyBorder="1" applyAlignment="1">
      <alignment horizontal="right" vertical="top"/>
    </xf>
    <xf numFmtId="2" fontId="32" fillId="0" borderId="19" xfId="32" applyNumberFormat="1" applyFont="1" applyBorder="1" applyAlignment="1">
      <alignment horizontal="right" vertical="top"/>
    </xf>
    <xf numFmtId="0" fontId="32" fillId="0" borderId="19" xfId="32" applyFont="1" applyBorder="1" applyAlignment="1">
      <alignment horizontal="left" vertical="center"/>
    </xf>
    <xf numFmtId="0" fontId="32" fillId="0" borderId="5" xfId="32" applyFont="1" applyBorder="1" applyAlignment="1">
      <alignment horizontal="left" vertical="center"/>
    </xf>
    <xf numFmtId="14" fontId="32" fillId="0" borderId="5" xfId="32" applyNumberFormat="1" applyFont="1" applyBorder="1" applyAlignment="1">
      <alignment horizontal="right" vertical="center"/>
    </xf>
    <xf numFmtId="0" fontId="32" fillId="0" borderId="5" xfId="32" applyFont="1" applyBorder="1" applyAlignment="1">
      <alignment horizontal="right" vertical="center"/>
    </xf>
    <xf numFmtId="0" fontId="22" fillId="0" borderId="5" xfId="41" applyBorder="1" applyAlignment="1">
      <alignment horizontal="left" vertical="top"/>
    </xf>
    <xf numFmtId="0" fontId="40" fillId="3" borderId="0" xfId="32" applyFont="1" applyFill="1" applyAlignment="1">
      <alignment horizontal="left" vertical="center"/>
    </xf>
    <xf numFmtId="2" fontId="37" fillId="2" borderId="10" xfId="1" applyNumberFormat="1" applyFont="1" applyFill="1" applyBorder="1" applyAlignment="1">
      <alignment horizontal="right"/>
    </xf>
    <xf numFmtId="0" fontId="63" fillId="0" borderId="0" xfId="41" applyFont="1" applyFill="1" applyBorder="1" applyAlignment="1">
      <alignment vertical="top"/>
    </xf>
    <xf numFmtId="0" fontId="46" fillId="0" borderId="0" xfId="2" applyFont="1" applyAlignment="1">
      <alignment vertical="center"/>
    </xf>
    <xf numFmtId="0" fontId="36" fillId="2" borderId="10" xfId="35" applyFont="1" applyFill="1" applyBorder="1" applyAlignment="1">
      <alignment horizontal="right"/>
    </xf>
    <xf numFmtId="0" fontId="46" fillId="2" borderId="0" xfId="35" applyFont="1" applyFill="1" applyAlignment="1">
      <alignment vertical="center"/>
    </xf>
    <xf numFmtId="0" fontId="36" fillId="7" borderId="11" xfId="35" applyFont="1" applyFill="1" applyBorder="1" applyAlignment="1">
      <alignment horizontal="right" vertical="center"/>
    </xf>
    <xf numFmtId="174" fontId="36" fillId="7" borderId="11" xfId="35" applyNumberFormat="1" applyFont="1" applyFill="1" applyBorder="1" applyAlignment="1">
      <alignment horizontal="right" vertical="center"/>
    </xf>
    <xf numFmtId="174" fontId="36" fillId="7" borderId="11" xfId="35" applyNumberFormat="1" applyFont="1" applyFill="1" applyBorder="1" applyAlignment="1">
      <alignment horizontal="center" vertical="center"/>
    </xf>
    <xf numFmtId="0" fontId="36" fillId="7" borderId="11" xfId="35" applyFont="1" applyFill="1" applyBorder="1" applyAlignment="1">
      <alignment horizontal="left" vertical="center"/>
    </xf>
    <xf numFmtId="0" fontId="28" fillId="2" borderId="0" xfId="36" applyFont="1" applyFill="1"/>
    <xf numFmtId="0" fontId="26" fillId="3" borderId="0" xfId="35" applyFont="1" applyFill="1" applyAlignment="1">
      <alignment vertical="center"/>
    </xf>
    <xf numFmtId="0" fontId="46" fillId="3" borderId="0" xfId="35" applyFont="1" applyFill="1" applyAlignment="1">
      <alignment vertical="center"/>
    </xf>
    <xf numFmtId="0" fontId="26" fillId="2" borderId="0" xfId="35" applyFont="1" applyFill="1"/>
    <xf numFmtId="0" fontId="26" fillId="3" borderId="0" xfId="35" applyFont="1" applyFill="1"/>
    <xf numFmtId="174" fontId="26" fillId="3" borderId="0" xfId="35" applyNumberFormat="1" applyFont="1" applyFill="1"/>
    <xf numFmtId="0" fontId="41" fillId="0" borderId="0" xfId="41" applyFont="1" applyFill="1" applyBorder="1" applyAlignment="1">
      <alignment horizontal="left" vertical="top" wrapText="1"/>
    </xf>
    <xf numFmtId="0" fontId="41" fillId="0" borderId="0" xfId="41" applyFont="1" applyAlignment="1">
      <alignment vertical="top"/>
    </xf>
    <xf numFmtId="4" fontId="41" fillId="0" borderId="1" xfId="41" applyNumberFormat="1" applyFont="1" applyFill="1" applyBorder="1" applyAlignment="1">
      <alignment horizontal="left" vertical="top"/>
    </xf>
    <xf numFmtId="0" fontId="41" fillId="0" borderId="4" xfId="41" applyFont="1" applyFill="1" applyBorder="1" applyAlignment="1"/>
    <xf numFmtId="0" fontId="41" fillId="0" borderId="1" xfId="41" applyFont="1" applyBorder="1" applyAlignment="1">
      <alignment horizontal="left" vertical="top"/>
    </xf>
    <xf numFmtId="4" fontId="41" fillId="0" borderId="1" xfId="41" applyNumberFormat="1" applyFont="1" applyBorder="1" applyAlignment="1">
      <alignment horizontal="left" vertical="top"/>
    </xf>
    <xf numFmtId="0" fontId="26" fillId="2" borderId="0" xfId="37" applyFont="1" applyFill="1"/>
    <xf numFmtId="0" fontId="26" fillId="2" borderId="0" xfId="38" applyFont="1" applyFill="1"/>
    <xf numFmtId="3" fontId="26" fillId="2" borderId="0" xfId="38" applyNumberFormat="1" applyFont="1" applyFill="1"/>
    <xf numFmtId="0" fontId="26" fillId="2" borderId="6" xfId="38" applyFont="1" applyFill="1" applyBorder="1"/>
    <xf numFmtId="0" fontId="32" fillId="2" borderId="0" xfId="37" applyFont="1" applyFill="1" applyAlignment="1">
      <alignment horizontal="left" vertical="center" readingOrder="1"/>
    </xf>
    <xf numFmtId="0" fontId="36" fillId="13" borderId="10" xfId="38" applyFont="1" applyFill="1" applyBorder="1" applyAlignment="1">
      <alignment horizontal="left" vertical="center"/>
    </xf>
    <xf numFmtId="0" fontId="36" fillId="13" borderId="10" xfId="38" applyFont="1" applyFill="1" applyBorder="1" applyAlignment="1">
      <alignment horizontal="right" vertical="center"/>
    </xf>
    <xf numFmtId="164" fontId="26" fillId="2" borderId="0" xfId="40" applyFont="1" applyFill="1"/>
    <xf numFmtId="164" fontId="36" fillId="13" borderId="10" xfId="40" applyFont="1" applyFill="1" applyBorder="1" applyAlignment="1">
      <alignment horizontal="right" vertical="center"/>
    </xf>
    <xf numFmtId="165" fontId="26" fillId="2" borderId="0" xfId="38" applyNumberFormat="1" applyFont="1" applyFill="1" applyAlignment="1">
      <alignment horizontal="right"/>
    </xf>
    <xf numFmtId="2" fontId="26" fillId="2" borderId="0" xfId="38" applyNumberFormat="1" applyFont="1" applyFill="1" applyAlignment="1">
      <alignment horizontal="right"/>
    </xf>
    <xf numFmtId="164" fontId="26" fillId="2" borderId="0" xfId="40" applyFont="1" applyFill="1" applyAlignment="1">
      <alignment horizontal="right"/>
    </xf>
    <xf numFmtId="0" fontId="26" fillId="2" borderId="0" xfId="38" applyFont="1" applyFill="1" applyAlignment="1">
      <alignment horizontal="right"/>
    </xf>
    <xf numFmtId="164" fontId="26" fillId="2" borderId="0" xfId="38" applyNumberFormat="1" applyFont="1" applyFill="1" applyAlignment="1">
      <alignment horizontal="right"/>
    </xf>
    <xf numFmtId="1" fontId="26" fillId="2" borderId="0" xfId="38" applyNumberFormat="1" applyFont="1" applyFill="1" applyAlignment="1">
      <alignment horizontal="right"/>
    </xf>
    <xf numFmtId="2" fontId="26" fillId="2" borderId="0" xfId="38" applyNumberFormat="1" applyFont="1" applyFill="1"/>
    <xf numFmtId="179" fontId="26" fillId="2" borderId="0" xfId="38" applyNumberFormat="1" applyFont="1" applyFill="1"/>
    <xf numFmtId="180" fontId="26" fillId="2" borderId="0" xfId="38" applyNumberFormat="1" applyFont="1" applyFill="1"/>
    <xf numFmtId="165" fontId="26" fillId="2" borderId="0" xfId="38" applyNumberFormat="1" applyFont="1" applyFill="1"/>
    <xf numFmtId="164" fontId="26" fillId="2" borderId="0" xfId="38" applyNumberFormat="1" applyFont="1" applyFill="1"/>
    <xf numFmtId="181" fontId="26" fillId="2" borderId="0" xfId="38" applyNumberFormat="1" applyFont="1" applyFill="1"/>
    <xf numFmtId="182" fontId="26" fillId="2" borderId="0" xfId="38" applyNumberFormat="1" applyFont="1" applyFill="1"/>
    <xf numFmtId="183" fontId="26" fillId="2" borderId="0" xfId="38" applyNumberFormat="1" applyFont="1" applyFill="1"/>
    <xf numFmtId="184" fontId="26" fillId="2" borderId="0" xfId="38" applyNumberFormat="1" applyFont="1" applyFill="1"/>
    <xf numFmtId="10" fontId="26" fillId="2" borderId="0" xfId="39" applyNumberFormat="1" applyFont="1" applyFill="1"/>
    <xf numFmtId="174" fontId="26" fillId="2" borderId="0" xfId="38" applyNumberFormat="1" applyFont="1" applyFill="1"/>
    <xf numFmtId="185" fontId="26" fillId="2" borderId="0" xfId="40" applyNumberFormat="1" applyFont="1" applyFill="1"/>
    <xf numFmtId="186" fontId="26" fillId="2" borderId="0" xfId="38" applyNumberFormat="1" applyFont="1" applyFill="1"/>
    <xf numFmtId="0" fontId="73" fillId="2" borderId="0" xfId="38" applyFont="1" applyFill="1"/>
    <xf numFmtId="0" fontId="46" fillId="2" borderId="0" xfId="38" applyFont="1" applyFill="1"/>
    <xf numFmtId="0" fontId="36" fillId="13" borderId="10" xfId="38" applyFont="1" applyFill="1" applyBorder="1" applyAlignment="1">
      <alignment vertical="center"/>
    </xf>
    <xf numFmtId="0" fontId="26" fillId="2" borderId="0" xfId="38" applyFont="1" applyFill="1" applyAlignment="1">
      <alignment horizontal="left"/>
    </xf>
    <xf numFmtId="0" fontId="26" fillId="2" borderId="6" xfId="38" applyFont="1" applyFill="1" applyBorder="1" applyAlignment="1">
      <alignment horizontal="left"/>
    </xf>
    <xf numFmtId="0" fontId="26" fillId="2" borderId="0" xfId="37" applyFont="1" applyFill="1" applyAlignment="1">
      <alignment horizontal="right"/>
    </xf>
    <xf numFmtId="0" fontId="26" fillId="2" borderId="0" xfId="37" applyFont="1" applyFill="1" applyAlignment="1">
      <alignment horizontal="left"/>
    </xf>
    <xf numFmtId="0" fontId="36" fillId="15" borderId="10" xfId="37" applyFont="1" applyFill="1" applyBorder="1" applyAlignment="1">
      <alignment horizontal="left" vertical="center"/>
    </xf>
    <xf numFmtId="0" fontId="36" fillId="15" borderId="10" xfId="37" applyFont="1" applyFill="1" applyBorder="1" applyAlignment="1">
      <alignment horizontal="right" vertical="center"/>
    </xf>
    <xf numFmtId="0" fontId="26" fillId="2" borderId="0" xfId="38" applyFont="1" applyFill="1" applyAlignment="1">
      <alignment vertical="center"/>
    </xf>
    <xf numFmtId="0" fontId="26" fillId="3" borderId="0" xfId="38" applyFont="1" applyFill="1"/>
    <xf numFmtId="0" fontId="42" fillId="0" borderId="20" xfId="1" applyFont="1" applyBorder="1" applyAlignment="1">
      <alignment horizontal="right"/>
    </xf>
    <xf numFmtId="1" fontId="26" fillId="2" borderId="20" xfId="31" applyNumberFormat="1" applyFont="1" applyFill="1" applyBorder="1"/>
    <xf numFmtId="2" fontId="32" fillId="0" borderId="6" xfId="32" applyNumberFormat="1" applyFont="1" applyBorder="1" applyAlignment="1">
      <alignment horizontal="right" vertical="top"/>
    </xf>
    <xf numFmtId="0" fontId="22" fillId="0" borderId="0" xfId="41" applyFill="1"/>
    <xf numFmtId="0" fontId="36" fillId="0" borderId="0" xfId="0" applyFont="1" applyAlignment="1">
      <alignment horizontal="left" vertical="center"/>
    </xf>
    <xf numFmtId="0" fontId="40" fillId="0" borderId="0" xfId="0" applyFont="1" applyAlignment="1">
      <alignment horizontal="left" vertical="center"/>
    </xf>
    <xf numFmtId="0" fontId="77" fillId="0" borderId="0" xfId="41" applyFont="1" applyAlignment="1">
      <alignment horizontal="left" vertical="top"/>
    </xf>
    <xf numFmtId="0" fontId="77" fillId="0" borderId="0" xfId="41" applyFont="1" applyFill="1" applyBorder="1" applyAlignment="1">
      <alignment vertical="top"/>
    </xf>
    <xf numFmtId="0" fontId="77" fillId="0" borderId="0" xfId="41" applyFont="1" applyFill="1"/>
    <xf numFmtId="0" fontId="77" fillId="0" borderId="0" xfId="41" applyFont="1" applyFill="1" applyBorder="1" applyAlignment="1">
      <alignment horizontal="left" vertical="top"/>
    </xf>
    <xf numFmtId="3" fontId="77" fillId="0" borderId="0" xfId="41" applyNumberFormat="1" applyFont="1" applyFill="1" applyBorder="1" applyAlignment="1">
      <alignment horizontal="left" vertical="top"/>
    </xf>
    <xf numFmtId="2" fontId="50" fillId="0" borderId="0" xfId="15" applyNumberFormat="1" applyFont="1" applyAlignment="1">
      <alignment vertical="center"/>
    </xf>
    <xf numFmtId="2" fontId="37" fillId="0" borderId="0" xfId="15" applyNumberFormat="1" applyFont="1"/>
    <xf numFmtId="2" fontId="26" fillId="2" borderId="0" xfId="9" applyNumberFormat="1" applyFont="1" applyFill="1" applyAlignment="1">
      <alignment vertical="center" wrapText="1"/>
    </xf>
    <xf numFmtId="2" fontId="36" fillId="7" borderId="10" xfId="17" applyNumberFormat="1" applyFont="1" applyFill="1" applyBorder="1" applyAlignment="1">
      <alignment horizontal="right" vertical="center"/>
    </xf>
    <xf numFmtId="0" fontId="70" fillId="0" borderId="0" xfId="32" applyFont="1" applyAlignment="1">
      <alignment vertical="center"/>
    </xf>
    <xf numFmtId="2" fontId="32" fillId="0" borderId="6" xfId="32" applyNumberFormat="1" applyFont="1" applyBorder="1" applyAlignment="1">
      <alignment horizontal="right"/>
    </xf>
    <xf numFmtId="0" fontId="67" fillId="0" borderId="11" xfId="32" applyBorder="1" applyAlignment="1">
      <alignment horizontal="left" vertical="top"/>
    </xf>
    <xf numFmtId="2" fontId="67" fillId="0" borderId="11" xfId="32" applyNumberFormat="1" applyBorder="1" applyAlignment="1">
      <alignment horizontal="left" vertical="top"/>
    </xf>
    <xf numFmtId="0" fontId="28" fillId="0" borderId="0" xfId="42" applyFont="1"/>
    <xf numFmtId="0" fontId="46" fillId="0" borderId="0" xfId="42" applyFont="1"/>
    <xf numFmtId="0" fontId="36" fillId="13" borderId="10" xfId="42" applyFont="1" applyFill="1" applyBorder="1" applyAlignment="1">
      <alignment horizontal="left" vertical="center"/>
    </xf>
    <xf numFmtId="0" fontId="36" fillId="13" borderId="10" xfId="42" applyFont="1" applyFill="1" applyBorder="1" applyAlignment="1">
      <alignment horizontal="right" vertical="center"/>
    </xf>
    <xf numFmtId="0" fontId="78" fillId="13" borderId="10" xfId="42" applyFont="1" applyFill="1" applyBorder="1" applyAlignment="1">
      <alignment horizontal="left" vertical="center"/>
    </xf>
    <xf numFmtId="0" fontId="28" fillId="0" borderId="0" xfId="42" applyFont="1" applyAlignment="1">
      <alignment horizontal="right" vertical="center"/>
    </xf>
    <xf numFmtId="0" fontId="26" fillId="0" borderId="0" xfId="42" applyFont="1" applyAlignment="1">
      <alignment horizontal="left" vertical="center"/>
    </xf>
    <xf numFmtId="2" fontId="26" fillId="0" borderId="0" xfId="42" applyNumberFormat="1" applyFont="1" applyAlignment="1">
      <alignment vertical="center"/>
    </xf>
    <xf numFmtId="0" fontId="26" fillId="0" borderId="0" xfId="42" applyFont="1"/>
    <xf numFmtId="2" fontId="28" fillId="0" borderId="0" xfId="42" applyNumberFormat="1" applyFont="1" applyAlignment="1">
      <alignment horizontal="left" vertical="top" wrapText="1"/>
    </xf>
    <xf numFmtId="0" fontId="41" fillId="0" borderId="0" xfId="41" applyFont="1"/>
    <xf numFmtId="2" fontId="28" fillId="0" borderId="0" xfId="42" applyNumberFormat="1" applyFont="1" applyAlignment="1">
      <alignment vertical="top" wrapText="1"/>
    </xf>
    <xf numFmtId="0" fontId="26" fillId="0" borderId="0" xfId="42" applyFont="1" applyAlignment="1">
      <alignment vertical="center"/>
    </xf>
    <xf numFmtId="2" fontId="28" fillId="0" borderId="0" xfId="42" applyNumberFormat="1" applyFont="1"/>
    <xf numFmtId="0" fontId="28" fillId="0" borderId="0" xfId="42" applyFont="1" applyAlignment="1">
      <alignment vertical="top" wrapText="1"/>
    </xf>
    <xf numFmtId="0" fontId="26" fillId="2" borderId="0" xfId="43" applyFont="1" applyFill="1" applyAlignment="1">
      <alignment vertical="center"/>
    </xf>
    <xf numFmtId="0" fontId="46" fillId="2" borderId="0" xfId="43" applyFont="1" applyFill="1" applyAlignment="1">
      <alignment vertical="center"/>
    </xf>
    <xf numFmtId="0" fontId="26" fillId="2" borderId="0" xfId="43" applyFont="1" applyFill="1"/>
    <xf numFmtId="0" fontId="46" fillId="2" borderId="0" xfId="43" applyFont="1" applyFill="1"/>
    <xf numFmtId="0" fontId="28" fillId="2" borderId="0" xfId="44" applyFont="1" applyFill="1"/>
    <xf numFmtId="0" fontId="36" fillId="7" borderId="10" xfId="44" applyFont="1" applyFill="1" applyBorder="1" applyAlignment="1">
      <alignment vertical="center"/>
    </xf>
    <xf numFmtId="0" fontId="36" fillId="7" borderId="10" xfId="44" applyFont="1" applyFill="1" applyBorder="1" applyAlignment="1">
      <alignment horizontal="right" vertical="center"/>
    </xf>
    <xf numFmtId="0" fontId="46" fillId="2" borderId="0" xfId="44" applyFont="1" applyFill="1" applyAlignment="1">
      <alignment horizontal="left" vertical="center"/>
    </xf>
    <xf numFmtId="0" fontId="26" fillId="2" borderId="0" xfId="44" applyFont="1" applyFill="1"/>
    <xf numFmtId="3" fontId="26" fillId="2" borderId="0" xfId="44" applyNumberFormat="1" applyFont="1" applyFill="1" applyAlignment="1">
      <alignment horizontal="right"/>
    </xf>
    <xf numFmtId="0" fontId="26" fillId="2" borderId="0" xfId="44" applyFont="1" applyFill="1" applyAlignment="1">
      <alignment horizontal="right"/>
    </xf>
    <xf numFmtId="0" fontId="26" fillId="2" borderId="6" xfId="44" applyFont="1" applyFill="1" applyBorder="1"/>
    <xf numFmtId="3" fontId="26" fillId="2" borderId="6" xfId="44" applyNumberFormat="1" applyFont="1" applyFill="1" applyBorder="1" applyAlignment="1">
      <alignment horizontal="right"/>
    </xf>
    <xf numFmtId="0" fontId="26" fillId="2" borderId="6" xfId="44" applyFont="1" applyFill="1" applyBorder="1" applyAlignment="1">
      <alignment horizontal="right"/>
    </xf>
    <xf numFmtId="3" fontId="28" fillId="2" borderId="0" xfId="44" applyNumberFormat="1" applyFont="1" applyFill="1"/>
    <xf numFmtId="1" fontId="26" fillId="2" borderId="0" xfId="44" applyNumberFormat="1" applyFont="1" applyFill="1" applyAlignment="1">
      <alignment horizontal="right"/>
    </xf>
    <xf numFmtId="3" fontId="26" fillId="2" borderId="6" xfId="44" applyNumberFormat="1" applyFont="1" applyFill="1" applyBorder="1"/>
    <xf numFmtId="1" fontId="26" fillId="2" borderId="5" xfId="44" applyNumberFormat="1" applyFont="1" applyFill="1" applyBorder="1" applyAlignment="1">
      <alignment horizontal="right"/>
    </xf>
    <xf numFmtId="1" fontId="28" fillId="2" borderId="0" xfId="44" applyNumberFormat="1" applyFont="1" applyFill="1"/>
    <xf numFmtId="0" fontId="36" fillId="2" borderId="0" xfId="44" applyFont="1" applyFill="1"/>
    <xf numFmtId="3" fontId="26" fillId="2" borderId="0" xfId="45" applyNumberFormat="1" applyFont="1" applyFill="1" applyBorder="1" applyAlignment="1">
      <alignment horizontal="right"/>
    </xf>
    <xf numFmtId="172" fontId="26" fillId="2" borderId="0" xfId="45" applyNumberFormat="1" applyFont="1" applyFill="1" applyBorder="1"/>
    <xf numFmtId="0" fontId="28" fillId="2" borderId="0" xfId="44" applyFont="1" applyFill="1" applyAlignment="1">
      <alignment vertical="top" wrapText="1"/>
    </xf>
    <xf numFmtId="0" fontId="26" fillId="3" borderId="0" xfId="43" applyFont="1" applyFill="1"/>
    <xf numFmtId="174" fontId="26" fillId="3" borderId="0" xfId="43" applyNumberFormat="1" applyFont="1" applyFill="1"/>
    <xf numFmtId="0" fontId="46" fillId="3" borderId="0" xfId="43" applyFont="1" applyFill="1" applyAlignment="1">
      <alignment vertical="center"/>
    </xf>
    <xf numFmtId="0" fontId="26" fillId="3" borderId="0" xfId="43" applyFont="1" applyFill="1" applyAlignment="1">
      <alignment vertical="center"/>
    </xf>
    <xf numFmtId="0" fontId="36" fillId="7" borderId="11" xfId="43" applyFont="1" applyFill="1" applyBorder="1" applyAlignment="1">
      <alignment horizontal="left" vertical="center"/>
    </xf>
    <xf numFmtId="174" fontId="36" fillId="7" borderId="11" xfId="43" applyNumberFormat="1" applyFont="1" applyFill="1" applyBorder="1" applyAlignment="1">
      <alignment horizontal="left" vertical="center"/>
    </xf>
    <xf numFmtId="0" fontId="36" fillId="7" borderId="11" xfId="43" applyFont="1" applyFill="1" applyBorder="1" applyAlignment="1">
      <alignment horizontal="right" vertical="center"/>
    </xf>
    <xf numFmtId="0" fontId="26" fillId="2" borderId="0" xfId="46" applyFont="1" applyFill="1"/>
    <xf numFmtId="0" fontId="36" fillId="13" borderId="10" xfId="46" applyFont="1" applyFill="1" applyBorder="1" applyAlignment="1">
      <alignment horizontal="left" vertical="center"/>
    </xf>
    <xf numFmtId="0" fontId="36" fillId="13" borderId="10" xfId="46" applyFont="1" applyFill="1" applyBorder="1" applyAlignment="1">
      <alignment horizontal="right" vertical="center"/>
    </xf>
    <xf numFmtId="2" fontId="26" fillId="2" borderId="0" xfId="46" applyNumberFormat="1" applyFont="1" applyFill="1"/>
    <xf numFmtId="0" fontId="26" fillId="3" borderId="0" xfId="46" applyFont="1" applyFill="1"/>
    <xf numFmtId="0" fontId="26" fillId="2" borderId="6" xfId="46" applyFont="1" applyFill="1" applyBorder="1"/>
    <xf numFmtId="2" fontId="26" fillId="2" borderId="6" xfId="46" applyNumberFormat="1" applyFont="1" applyFill="1" applyBorder="1"/>
    <xf numFmtId="0" fontId="26" fillId="2" borderId="0" xfId="44" applyFont="1" applyFill="1" applyAlignment="1">
      <alignment horizontal="left" vertical="top" wrapText="1"/>
    </xf>
    <xf numFmtId="0" fontId="26" fillId="2" borderId="0" xfId="47" applyFont="1" applyFill="1"/>
    <xf numFmtId="0" fontId="36" fillId="13" borderId="10" xfId="47" applyFont="1" applyFill="1" applyBorder="1" applyAlignment="1">
      <alignment horizontal="left" vertical="center"/>
    </xf>
    <xf numFmtId="0" fontId="36" fillId="13" borderId="10" xfId="47" applyFont="1" applyFill="1" applyBorder="1" applyAlignment="1">
      <alignment horizontal="right" vertical="center"/>
    </xf>
    <xf numFmtId="2" fontId="26" fillId="2" borderId="0" xfId="47" applyNumberFormat="1" applyFont="1" applyFill="1"/>
    <xf numFmtId="0" fontId="26" fillId="2" borderId="6" xfId="47" applyFont="1" applyFill="1" applyBorder="1"/>
    <xf numFmtId="2" fontId="26" fillId="2" borderId="6" xfId="47" applyNumberFormat="1" applyFont="1" applyFill="1" applyBorder="1"/>
    <xf numFmtId="0" fontId="26" fillId="2" borderId="0" xfId="47" applyFont="1" applyFill="1" applyAlignment="1">
      <alignment vertical="top" wrapText="1"/>
    </xf>
    <xf numFmtId="2" fontId="26" fillId="2" borderId="0" xfId="48" applyNumberFormat="1" applyFont="1" applyFill="1"/>
    <xf numFmtId="2" fontId="26" fillId="2" borderId="6" xfId="48" applyNumberFormat="1" applyFont="1" applyFill="1" applyBorder="1"/>
    <xf numFmtId="0" fontId="32" fillId="0" borderId="5" xfId="32" applyFont="1" applyBorder="1" applyAlignment="1">
      <alignment horizontal="left" vertical="top" wrapText="1"/>
    </xf>
    <xf numFmtId="2" fontId="70" fillId="0" borderId="0" xfId="32" applyNumberFormat="1" applyFont="1" applyAlignment="1">
      <alignment horizontal="right" vertical="center"/>
    </xf>
    <xf numFmtId="2" fontId="32" fillId="0" borderId="5" xfId="32" applyNumberFormat="1" applyFont="1" applyBorder="1" applyAlignment="1">
      <alignment horizontal="right" vertical="top" wrapText="1"/>
    </xf>
    <xf numFmtId="2" fontId="32" fillId="0" borderId="0" xfId="32" applyNumberFormat="1" applyFont="1" applyAlignment="1">
      <alignment horizontal="right" vertical="center"/>
    </xf>
    <xf numFmtId="0" fontId="26" fillId="2" borderId="0" xfId="0" applyFont="1" applyFill="1" applyAlignment="1">
      <alignment horizontal="left" indent="1"/>
    </xf>
    <xf numFmtId="0" fontId="79" fillId="2" borderId="0" xfId="0" applyFont="1" applyFill="1"/>
    <xf numFmtId="0" fontId="57" fillId="4" borderId="0" xfId="0" applyFont="1" applyFill="1"/>
    <xf numFmtId="0" fontId="32" fillId="4" borderId="0" xfId="0" applyFont="1" applyFill="1" applyAlignment="1">
      <alignment horizontal="left" indent="1"/>
    </xf>
    <xf numFmtId="0" fontId="32" fillId="2" borderId="0" xfId="0" applyFont="1" applyFill="1" applyAlignment="1">
      <alignment horizontal="left" indent="1"/>
    </xf>
    <xf numFmtId="0" fontId="32" fillId="4" borderId="0" xfId="0" applyFont="1" applyFill="1" applyAlignment="1">
      <alignment horizontal="left" vertical="center" indent="1"/>
    </xf>
    <xf numFmtId="0" fontId="32" fillId="0" borderId="0" xfId="0" applyFont="1" applyAlignment="1">
      <alignment horizontal="left" indent="1"/>
    </xf>
    <xf numFmtId="0" fontId="32" fillId="4" borderId="0" xfId="0" applyFont="1" applyFill="1" applyAlignment="1">
      <alignment vertical="center"/>
    </xf>
    <xf numFmtId="0" fontId="32" fillId="4" borderId="0" xfId="0" applyFont="1" applyFill="1" applyAlignment="1">
      <alignment horizontal="left" wrapText="1" indent="1"/>
    </xf>
    <xf numFmtId="0" fontId="32" fillId="4" borderId="0" xfId="0" applyFont="1" applyFill="1" applyAlignment="1">
      <alignment horizontal="left" wrapText="1"/>
    </xf>
    <xf numFmtId="0" fontId="42" fillId="0" borderId="0" xfId="0" applyFont="1" applyAlignment="1">
      <alignment horizontal="left" indent="1"/>
    </xf>
    <xf numFmtId="0" fontId="35" fillId="2" borderId="0" xfId="0" applyFont="1" applyFill="1" applyAlignment="1">
      <alignment horizontal="left"/>
    </xf>
    <xf numFmtId="0" fontId="79" fillId="2" borderId="0" xfId="0" applyFont="1" applyFill="1" applyAlignment="1">
      <alignment horizontal="left" indent="1"/>
    </xf>
    <xf numFmtId="0" fontId="40" fillId="0" borderId="0" xfId="0" applyFont="1" applyAlignment="1">
      <alignment horizontal="left" indent="1"/>
    </xf>
    <xf numFmtId="0" fontId="26" fillId="0" borderId="0" xfId="0" applyFont="1" applyAlignment="1">
      <alignment horizontal="left" indent="1"/>
    </xf>
    <xf numFmtId="0" fontId="35" fillId="2" borderId="0" xfId="0" applyFont="1" applyFill="1"/>
    <xf numFmtId="0" fontId="57" fillId="2" borderId="0" xfId="0" applyFont="1" applyFill="1" applyAlignment="1">
      <alignment horizontal="left"/>
    </xf>
    <xf numFmtId="0" fontId="32" fillId="2" borderId="0" xfId="0" applyFont="1" applyFill="1" applyAlignment="1">
      <alignment horizontal="left"/>
    </xf>
    <xf numFmtId="0" fontId="37" fillId="2" borderId="0" xfId="0" applyFont="1" applyFill="1"/>
    <xf numFmtId="0" fontId="56" fillId="2" borderId="0" xfId="0" applyFont="1" applyFill="1"/>
    <xf numFmtId="0" fontId="42" fillId="2" borderId="0" xfId="0" applyFont="1" applyFill="1"/>
    <xf numFmtId="0" fontId="42" fillId="2" borderId="0" xfId="0" applyFont="1" applyFill="1" applyAlignment="1">
      <alignment horizontal="left" indent="1"/>
    </xf>
    <xf numFmtId="0" fontId="57" fillId="4" borderId="0" xfId="0" applyFont="1" applyFill="1" applyAlignment="1">
      <alignment horizontal="left"/>
    </xf>
    <xf numFmtId="0" fontId="38" fillId="2" borderId="12" xfId="37" applyFont="1" applyFill="1" applyBorder="1" applyAlignment="1">
      <alignment vertical="center" wrapText="1"/>
    </xf>
    <xf numFmtId="0" fontId="26" fillId="2" borderId="12" xfId="38" applyFont="1" applyFill="1" applyBorder="1" applyAlignment="1">
      <alignment horizontal="left"/>
    </xf>
    <xf numFmtId="0" fontId="26" fillId="2" borderId="12" xfId="37" applyFont="1" applyFill="1" applyBorder="1"/>
    <xf numFmtId="0" fontId="32" fillId="0" borderId="6" xfId="32" applyFont="1" applyBorder="1" applyAlignment="1">
      <alignment horizontal="left" vertical="top"/>
    </xf>
    <xf numFmtId="2" fontId="36" fillId="2" borderId="28" xfId="2" applyNumberFormat="1" applyFont="1" applyFill="1" applyBorder="1"/>
    <xf numFmtId="0" fontId="22" fillId="0" borderId="0" xfId="41" applyAlignment="1">
      <alignment horizontal="left" vertical="center"/>
    </xf>
    <xf numFmtId="0" fontId="22" fillId="0" borderId="0" xfId="41" applyAlignment="1">
      <alignment horizontal="left" vertical="top"/>
    </xf>
    <xf numFmtId="187" fontId="32" fillId="0" borderId="0" xfId="0" applyNumberFormat="1" applyFont="1" applyAlignment="1">
      <alignment horizontal="right" vertical="center"/>
    </xf>
    <xf numFmtId="2" fontId="32" fillId="0" borderId="0" xfId="0" applyNumberFormat="1" applyFont="1" applyAlignment="1">
      <alignment horizontal="left" vertical="center"/>
    </xf>
    <xf numFmtId="1" fontId="26" fillId="0" borderId="48" xfId="0" applyNumberFormat="1" applyFont="1" applyBorder="1"/>
    <xf numFmtId="0" fontId="67" fillId="0" borderId="0" xfId="32"/>
    <xf numFmtId="0" fontId="32" fillId="0" borderId="0" xfId="0" applyFont="1" applyAlignment="1">
      <alignment horizontal="left" vertical="top" wrapText="1"/>
    </xf>
    <xf numFmtId="0" fontId="32" fillId="0" borderId="0" xfId="0" applyFont="1" applyAlignment="1">
      <alignment wrapText="1"/>
    </xf>
    <xf numFmtId="0" fontId="33" fillId="0" borderId="0" xfId="0" applyFont="1" applyAlignment="1">
      <alignment horizontal="center" vertical="center" wrapText="1"/>
    </xf>
    <xf numFmtId="0" fontId="36" fillId="2" borderId="0" xfId="0" applyFont="1" applyFill="1" applyAlignment="1">
      <alignment horizontal="left"/>
    </xf>
    <xf numFmtId="0" fontId="37" fillId="7" borderId="12" xfId="1" applyFont="1" applyFill="1" applyBorder="1" applyAlignment="1">
      <alignment horizontal="left" vertical="center"/>
    </xf>
    <xf numFmtId="0" fontId="37" fillId="7" borderId="12" xfId="1" applyFont="1" applyFill="1" applyBorder="1" applyAlignment="1">
      <alignment horizontal="center" vertical="center"/>
    </xf>
    <xf numFmtId="0" fontId="37" fillId="7" borderId="6" xfId="1" applyFont="1" applyFill="1" applyBorder="1" applyAlignment="1">
      <alignment horizontal="center" vertical="center"/>
    </xf>
    <xf numFmtId="0" fontId="42" fillId="2" borderId="0" xfId="1" applyFont="1" applyFill="1" applyAlignment="1">
      <alignment horizontal="left" vertical="top" wrapText="1"/>
    </xf>
    <xf numFmtId="0" fontId="36" fillId="7" borderId="12" xfId="0" applyFont="1" applyFill="1" applyBorder="1" applyAlignment="1">
      <alignment horizontal="center" vertical="center"/>
    </xf>
    <xf numFmtId="0" fontId="36" fillId="7" borderId="6" xfId="0" applyFont="1" applyFill="1" applyBorder="1" applyAlignment="1">
      <alignment horizontal="center" vertical="center"/>
    </xf>
    <xf numFmtId="0" fontId="26" fillId="2" borderId="0" xfId="38" applyFont="1" applyFill="1" applyAlignment="1">
      <alignment horizontal="left" vertical="top" wrapText="1"/>
    </xf>
    <xf numFmtId="164" fontId="26" fillId="2" borderId="5" xfId="40" applyFont="1" applyFill="1" applyBorder="1" applyAlignment="1">
      <alignment horizontal="right"/>
    </xf>
    <xf numFmtId="0" fontId="26" fillId="3" borderId="5" xfId="38" applyFont="1" applyFill="1" applyBorder="1"/>
    <xf numFmtId="0" fontId="26" fillId="2" borderId="5" xfId="38" applyFont="1" applyFill="1" applyBorder="1"/>
    <xf numFmtId="165" fontId="26" fillId="2" borderId="5" xfId="38" applyNumberFormat="1" applyFont="1" applyFill="1" applyBorder="1" applyAlignment="1">
      <alignment horizontal="right"/>
    </xf>
    <xf numFmtId="2" fontId="26" fillId="2" borderId="5" xfId="38" applyNumberFormat="1" applyFont="1" applyFill="1" applyBorder="1" applyAlignment="1">
      <alignment horizontal="right"/>
    </xf>
    <xf numFmtId="0" fontId="26" fillId="2" borderId="5" xfId="38" applyFont="1" applyFill="1" applyBorder="1" applyAlignment="1">
      <alignment horizontal="right"/>
    </xf>
    <xf numFmtId="164" fontId="26" fillId="2" borderId="5" xfId="11" applyFont="1" applyFill="1" applyBorder="1" applyAlignment="1">
      <alignment horizontal="right"/>
    </xf>
    <xf numFmtId="1" fontId="26" fillId="0" borderId="49" xfId="0" applyNumberFormat="1" applyFont="1" applyBorder="1"/>
    <xf numFmtId="1" fontId="26" fillId="0" borderId="50" xfId="0" applyNumberFormat="1" applyFont="1" applyBorder="1"/>
    <xf numFmtId="0" fontId="26" fillId="0" borderId="51" xfId="0" applyFont="1" applyBorder="1"/>
    <xf numFmtId="1" fontId="26" fillId="0" borderId="52" xfId="0" applyNumberFormat="1" applyFont="1" applyBorder="1"/>
    <xf numFmtId="0" fontId="26" fillId="2" borderId="0" xfId="46" applyFont="1" applyFill="1" applyBorder="1"/>
    <xf numFmtId="0" fontId="26" fillId="3" borderId="6" xfId="46" applyFont="1" applyFill="1" applyBorder="1"/>
    <xf numFmtId="2" fontId="26" fillId="2" borderId="0" xfId="46" applyNumberFormat="1" applyFont="1" applyFill="1" applyBorder="1"/>
    <xf numFmtId="0" fontId="32" fillId="0" borderId="0" xfId="0" applyFont="1" applyAlignment="1">
      <alignment horizontal="left" vertical="top" wrapText="1"/>
    </xf>
    <xf numFmtId="0" fontId="32" fillId="0" borderId="0" xfId="0" applyFont="1" applyAlignment="1">
      <alignment wrapText="1"/>
    </xf>
    <xf numFmtId="0" fontId="81" fillId="16" borderId="0" xfId="0" applyFont="1" applyFill="1" applyAlignment="1">
      <alignment horizontal="center" vertical="center" wrapText="1"/>
    </xf>
    <xf numFmtId="0" fontId="33" fillId="0" borderId="0" xfId="0" applyFont="1" applyAlignment="1">
      <alignment horizontal="center" vertical="center" wrapText="1"/>
    </xf>
    <xf numFmtId="0" fontId="34" fillId="0" borderId="0" xfId="0" applyFont="1" applyAlignment="1">
      <alignment horizontal="center" vertical="center" wrapText="1"/>
    </xf>
    <xf numFmtId="0" fontId="42" fillId="0" borderId="0" xfId="0" applyFont="1" applyAlignment="1">
      <alignment horizontal="left" vertical="top" wrapText="1"/>
    </xf>
    <xf numFmtId="0" fontId="56" fillId="0" borderId="0" xfId="0" applyFont="1" applyAlignment="1">
      <alignment wrapText="1"/>
    </xf>
    <xf numFmtId="0" fontId="32" fillId="11" borderId="0" xfId="0" applyFont="1" applyFill="1" applyAlignment="1">
      <alignment horizontal="left" vertical="top" wrapText="1"/>
    </xf>
    <xf numFmtId="0" fontId="36" fillId="2" borderId="0" xfId="0" applyFont="1" applyFill="1" applyAlignment="1">
      <alignment horizontal="left"/>
    </xf>
    <xf numFmtId="0" fontId="37" fillId="7" borderId="12" xfId="1" applyFont="1" applyFill="1" applyBorder="1" applyAlignment="1">
      <alignment horizontal="left" vertical="center"/>
    </xf>
    <xf numFmtId="0" fontId="37" fillId="7" borderId="6" xfId="1" applyFont="1" applyFill="1" applyBorder="1" applyAlignment="1">
      <alignment horizontal="left" vertical="center"/>
    </xf>
    <xf numFmtId="0" fontId="37" fillId="7" borderId="12" xfId="1" applyFont="1" applyFill="1" applyBorder="1" applyAlignment="1">
      <alignment horizontal="center" vertical="center"/>
    </xf>
    <xf numFmtId="0" fontId="37" fillId="7" borderId="6" xfId="1" applyFont="1" applyFill="1" applyBorder="1" applyAlignment="1">
      <alignment horizontal="center" vertical="center"/>
    </xf>
    <xf numFmtId="0" fontId="32" fillId="2" borderId="0" xfId="1" applyFont="1" applyFill="1" applyAlignment="1">
      <alignment horizontal="left" vertical="top" wrapText="1"/>
    </xf>
    <xf numFmtId="0" fontId="42" fillId="2" borderId="0" xfId="1" applyFont="1" applyFill="1" applyAlignment="1">
      <alignment horizontal="left" vertical="top" wrapText="1"/>
    </xf>
    <xf numFmtId="0" fontId="37" fillId="7" borderId="12" xfId="1" applyFont="1" applyFill="1" applyBorder="1" applyAlignment="1">
      <alignment horizontal="left" vertical="center" wrapText="1"/>
    </xf>
    <xf numFmtId="0" fontId="37" fillId="7" borderId="6" xfId="1" applyFont="1" applyFill="1" applyBorder="1" applyAlignment="1">
      <alignment horizontal="left" vertical="center" wrapText="1"/>
    </xf>
    <xf numFmtId="0" fontId="26" fillId="2" borderId="0" xfId="9" applyFont="1" applyFill="1" applyAlignment="1">
      <alignment horizontal="left" vertical="top" wrapText="1"/>
    </xf>
    <xf numFmtId="0" fontId="32" fillId="2" borderId="0" xfId="9" applyFont="1" applyFill="1" applyAlignment="1">
      <alignment horizontal="left" vertical="top" wrapText="1"/>
    </xf>
    <xf numFmtId="0" fontId="26" fillId="2" borderId="0" xfId="15" applyFont="1" applyFill="1" applyAlignment="1">
      <alignment horizontal="left" vertical="top" wrapText="1"/>
    </xf>
    <xf numFmtId="0" fontId="42" fillId="0" borderId="0" xfId="1" applyFont="1" applyAlignment="1">
      <alignment horizontal="left" vertical="top" wrapText="1"/>
    </xf>
    <xf numFmtId="0" fontId="26" fillId="3" borderId="0" xfId="2" applyFont="1" applyFill="1" applyAlignment="1">
      <alignment horizontal="left" vertical="top" wrapText="1"/>
    </xf>
    <xf numFmtId="0" fontId="42" fillId="0" borderId="0" xfId="0" applyFont="1" applyAlignment="1">
      <alignment horizontal="left" vertical="center" wrapText="1"/>
    </xf>
    <xf numFmtId="0" fontId="76" fillId="2" borderId="0" xfId="1" applyFont="1" applyFill="1" applyAlignment="1">
      <alignment horizontal="left" vertical="top" wrapText="1"/>
    </xf>
    <xf numFmtId="0" fontId="32" fillId="2" borderId="0" xfId="44" applyFont="1" applyFill="1" applyAlignment="1">
      <alignment horizontal="left" vertical="top" wrapText="1"/>
    </xf>
    <xf numFmtId="0" fontId="38" fillId="2" borderId="12" xfId="0" applyFont="1" applyFill="1" applyBorder="1" applyAlignment="1">
      <alignment horizontal="left" vertical="center"/>
    </xf>
    <xf numFmtId="0" fontId="38" fillId="2" borderId="0" xfId="0" applyFont="1" applyFill="1" applyAlignment="1">
      <alignment horizontal="left" vertical="center"/>
    </xf>
    <xf numFmtId="0" fontId="38" fillId="2" borderId="6" xfId="0" applyFont="1" applyFill="1" applyBorder="1" applyAlignment="1">
      <alignment horizontal="left" vertical="center"/>
    </xf>
    <xf numFmtId="0" fontId="38" fillId="2" borderId="12" xfId="0" applyFont="1" applyFill="1" applyBorder="1" applyAlignment="1">
      <alignment horizontal="left" vertical="center" wrapText="1"/>
    </xf>
    <xf numFmtId="0" fontId="38" fillId="2" borderId="0" xfId="0" applyFont="1" applyFill="1" applyAlignment="1">
      <alignment horizontal="left" vertical="center" wrapText="1"/>
    </xf>
    <xf numFmtId="0" fontId="38" fillId="2" borderId="6" xfId="0" applyFont="1" applyFill="1" applyBorder="1" applyAlignment="1">
      <alignment horizontal="left" vertical="center" wrapText="1"/>
    </xf>
    <xf numFmtId="0" fontId="32" fillId="2" borderId="0" xfId="36" applyFont="1" applyFill="1" applyAlignment="1">
      <alignment horizontal="left" vertical="top" wrapText="1"/>
    </xf>
    <xf numFmtId="0" fontId="38" fillId="2" borderId="0" xfId="37" applyFont="1" applyFill="1" applyAlignment="1">
      <alignment horizontal="center" vertical="center" wrapText="1"/>
    </xf>
    <xf numFmtId="0" fontId="26" fillId="2" borderId="0" xfId="37" applyFont="1" applyFill="1" applyAlignment="1">
      <alignment horizontal="left" vertical="top" wrapText="1"/>
    </xf>
    <xf numFmtId="0" fontId="26" fillId="2" borderId="0" xfId="47" applyFont="1" applyFill="1" applyAlignment="1">
      <alignment horizontal="left" vertical="top" wrapText="1"/>
    </xf>
    <xf numFmtId="0" fontId="26" fillId="2" borderId="0" xfId="46" applyFont="1" applyFill="1" applyAlignment="1">
      <alignment horizontal="left" vertical="top" wrapText="1"/>
    </xf>
    <xf numFmtId="0" fontId="32" fillId="0" borderId="0" xfId="32" applyFont="1" applyAlignment="1">
      <alignment horizontal="left" vertical="top" wrapText="1"/>
    </xf>
    <xf numFmtId="0" fontId="74" fillId="2" borderId="0" xfId="9" applyFont="1" applyFill="1" applyAlignment="1">
      <alignment horizontal="left" vertical="top" wrapText="1"/>
    </xf>
    <xf numFmtId="0" fontId="33" fillId="0" borderId="0" xfId="0" applyFont="1" applyAlignment="1">
      <alignment horizontal="left" vertical="top" wrapText="1"/>
    </xf>
    <xf numFmtId="0" fontId="32" fillId="2" borderId="0" xfId="1" applyFont="1" applyFill="1" applyAlignment="1">
      <alignment vertical="top" wrapText="1"/>
    </xf>
    <xf numFmtId="0" fontId="26" fillId="2" borderId="20" xfId="31" applyFont="1" applyFill="1" applyBorder="1" applyAlignment="1">
      <alignment horizontal="left" vertical="center"/>
    </xf>
    <xf numFmtId="0" fontId="26" fillId="2" borderId="0" xfId="31" applyFont="1" applyFill="1" applyAlignment="1">
      <alignment horizontal="left" vertical="center"/>
    </xf>
    <xf numFmtId="0" fontId="26" fillId="2" borderId="5" xfId="31" applyFont="1" applyFill="1" applyBorder="1" applyAlignment="1">
      <alignment horizontal="left" vertical="center"/>
    </xf>
    <xf numFmtId="177" fontId="42" fillId="0" borderId="0" xfId="1" applyNumberFormat="1" applyFont="1" applyAlignment="1">
      <alignment horizontal="left" vertical="center"/>
    </xf>
    <xf numFmtId="177" fontId="42" fillId="0" borderId="5" xfId="1" applyNumberFormat="1" applyFont="1" applyBorder="1" applyAlignment="1">
      <alignment horizontal="left" vertical="center"/>
    </xf>
    <xf numFmtId="0" fontId="38" fillId="2" borderId="12" xfId="44" applyFont="1" applyFill="1" applyBorder="1" applyAlignment="1">
      <alignment horizontal="left" vertical="center"/>
    </xf>
    <xf numFmtId="0" fontId="38" fillId="2" borderId="0" xfId="44" applyFont="1" applyFill="1" applyAlignment="1">
      <alignment horizontal="left" vertical="center"/>
    </xf>
    <xf numFmtId="0" fontId="38" fillId="2" borderId="6" xfId="44" applyFont="1" applyFill="1" applyBorder="1" applyAlignment="1">
      <alignment horizontal="left" vertical="center"/>
    </xf>
    <xf numFmtId="0" fontId="71" fillId="2" borderId="0" xfId="9" applyFont="1" applyFill="1" applyAlignment="1">
      <alignment horizontal="left" vertical="top" wrapText="1"/>
    </xf>
    <xf numFmtId="0" fontId="32" fillId="3" borderId="0" xfId="0" applyFont="1" applyFill="1" applyAlignment="1">
      <alignment horizontal="left" vertical="top" wrapText="1"/>
    </xf>
    <xf numFmtId="0" fontId="36" fillId="7" borderId="12" xfId="0" applyFont="1" applyFill="1" applyBorder="1" applyAlignment="1">
      <alignment horizontal="center" vertical="center"/>
    </xf>
    <xf numFmtId="0" fontId="36" fillId="7" borderId="6" xfId="0" applyFont="1" applyFill="1" applyBorder="1" applyAlignment="1">
      <alignment horizontal="center" vertical="center"/>
    </xf>
    <xf numFmtId="0" fontId="36" fillId="7" borderId="33" xfId="0" applyFont="1" applyFill="1" applyBorder="1" applyAlignment="1">
      <alignment horizontal="center" vertical="center"/>
    </xf>
    <xf numFmtId="0" fontId="36" fillId="7" borderId="36" xfId="0" applyFont="1" applyFill="1" applyBorder="1" applyAlignment="1">
      <alignment horizontal="center" vertical="center"/>
    </xf>
    <xf numFmtId="0" fontId="36" fillId="7" borderId="34" xfId="0" applyFont="1" applyFill="1" applyBorder="1" applyAlignment="1">
      <alignment horizontal="left" indent="24"/>
    </xf>
    <xf numFmtId="0" fontId="36" fillId="7" borderId="35" xfId="0" applyFont="1" applyFill="1" applyBorder="1" applyAlignment="1">
      <alignment horizontal="left" indent="24"/>
    </xf>
    <xf numFmtId="0" fontId="36" fillId="7" borderId="34" xfId="0" applyFont="1" applyFill="1" applyBorder="1" applyAlignment="1">
      <alignment horizontal="left" vertical="center" indent="19"/>
    </xf>
    <xf numFmtId="0" fontId="36" fillId="7" borderId="35" xfId="0" applyFont="1" applyFill="1" applyBorder="1" applyAlignment="1">
      <alignment horizontal="left" vertical="center" indent="19"/>
    </xf>
    <xf numFmtId="0" fontId="36" fillId="7" borderId="34" xfId="0" applyFont="1" applyFill="1" applyBorder="1" applyAlignment="1">
      <alignment horizontal="left" vertical="center" indent="23"/>
    </xf>
    <xf numFmtId="0" fontId="36" fillId="7" borderId="35" xfId="0" applyFont="1" applyFill="1" applyBorder="1" applyAlignment="1">
      <alignment horizontal="left" vertical="center" indent="23"/>
    </xf>
    <xf numFmtId="0" fontId="26" fillId="2" borderId="0" xfId="12" applyFont="1" applyFill="1" applyAlignment="1">
      <alignment horizontal="left" vertical="top" wrapText="1"/>
    </xf>
    <xf numFmtId="0" fontId="26" fillId="3" borderId="0" xfId="13" applyFont="1" applyFill="1" applyAlignment="1">
      <alignment horizontal="left" vertical="top" wrapText="1"/>
    </xf>
    <xf numFmtId="0" fontId="40" fillId="14" borderId="20" xfId="32" applyFont="1" applyFill="1" applyBorder="1" applyAlignment="1">
      <alignment horizontal="left" vertical="center"/>
    </xf>
    <xf numFmtId="0" fontId="40" fillId="14" borderId="5" xfId="32" applyFont="1" applyFill="1" applyBorder="1" applyAlignment="1">
      <alignment horizontal="left" vertical="center"/>
    </xf>
    <xf numFmtId="1" fontId="40" fillId="14" borderId="20" xfId="32" applyNumberFormat="1" applyFont="1" applyFill="1" applyBorder="1" applyAlignment="1">
      <alignment horizontal="center" vertical="center"/>
    </xf>
    <xf numFmtId="1" fontId="40" fillId="14" borderId="5" xfId="32" applyNumberFormat="1" applyFont="1" applyFill="1" applyBorder="1" applyAlignment="1">
      <alignment horizontal="center" vertical="center"/>
    </xf>
    <xf numFmtId="0" fontId="67" fillId="0" borderId="0" xfId="32" applyAlignment="1"/>
    <xf numFmtId="0" fontId="26" fillId="2" borderId="0" xfId="38" applyFont="1" applyFill="1" applyAlignment="1">
      <alignment horizontal="left" vertical="top" wrapText="1"/>
    </xf>
    <xf numFmtId="0" fontId="28" fillId="0" borderId="0" xfId="42" applyFont="1" applyAlignment="1">
      <alignment horizontal="left" vertical="top" wrapText="1"/>
    </xf>
  </cellXfs>
  <cellStyles count="49">
    <cellStyle name="Comma 2" xfId="10" xr:uid="{00000000-0005-0000-0000-000000000000}"/>
    <cellStyle name="Comma 2 2" xfId="45" xr:uid="{00000000-0005-0000-0000-000001000000}"/>
    <cellStyle name="Comma 3" xfId="40" xr:uid="{00000000-0005-0000-0000-000002000000}"/>
    <cellStyle name="Hyperlink" xfId="41" xr:uid="{00000000-0005-0000-0000-000003000000}"/>
    <cellStyle name="Hyperlink 2" xfId="7" xr:uid="{00000000-0005-0000-0000-000004000000}"/>
    <cellStyle name="Komma" xfId="11" builtinId="3"/>
    <cellStyle name="Link 2" xfId="33" xr:uid="{00000000-0005-0000-0000-000006000000}"/>
    <cellStyle name="Normal 2" xfId="2" xr:uid="{00000000-0005-0000-0000-000007000000}"/>
    <cellStyle name="Normal 2 2" xfId="4" xr:uid="{00000000-0005-0000-0000-000008000000}"/>
    <cellStyle name="Normal 2 2 2" xfId="15" xr:uid="{00000000-0005-0000-0000-000009000000}"/>
    <cellStyle name="Normal 2 2 2 2" xfId="17" xr:uid="{00000000-0005-0000-0000-00000A000000}"/>
    <cellStyle name="Normal 2 2 2 2 2" xfId="22" xr:uid="{00000000-0005-0000-0000-00000B000000}"/>
    <cellStyle name="Normal 2 2 2 2 3" xfId="25" xr:uid="{00000000-0005-0000-0000-00000C000000}"/>
    <cellStyle name="Normal 2 2 2 2 3 2" xfId="31" xr:uid="{00000000-0005-0000-0000-00000D000000}"/>
    <cellStyle name="Normal 2 2 2 2 4" xfId="27" xr:uid="{00000000-0005-0000-0000-00000E000000}"/>
    <cellStyle name="Normal 2 2 3" xfId="16" xr:uid="{00000000-0005-0000-0000-00000F000000}"/>
    <cellStyle name="Normal 2 2 3 2" xfId="35" xr:uid="{00000000-0005-0000-0000-000010000000}"/>
    <cellStyle name="Normal 2 2 4" xfId="21" xr:uid="{00000000-0005-0000-0000-000011000000}"/>
    <cellStyle name="Normal 2 2 5" xfId="24" xr:uid="{00000000-0005-0000-0000-000012000000}"/>
    <cellStyle name="Normal 2 2 5 2" xfId="30" xr:uid="{00000000-0005-0000-0000-000013000000}"/>
    <cellStyle name="Normal 2 2 6" xfId="26" xr:uid="{00000000-0005-0000-0000-000014000000}"/>
    <cellStyle name="Normal 2 2 7" xfId="43" xr:uid="{00000000-0005-0000-0000-000015000000}"/>
    <cellStyle name="Normal 2 3" xfId="8" xr:uid="{00000000-0005-0000-0000-000016000000}"/>
    <cellStyle name="Normal 2 4" xfId="18" xr:uid="{00000000-0005-0000-0000-000017000000}"/>
    <cellStyle name="Normal 2 5" xfId="19" xr:uid="{00000000-0005-0000-0000-000018000000}"/>
    <cellStyle name="Normal 2 6" xfId="20" xr:uid="{00000000-0005-0000-0000-000019000000}"/>
    <cellStyle name="Normal 2 6 2" xfId="23" xr:uid="{00000000-0005-0000-0000-00001A000000}"/>
    <cellStyle name="Normal 2 6 3" xfId="29" xr:uid="{00000000-0005-0000-0000-00001B000000}"/>
    <cellStyle name="Normal 3" xfId="5" xr:uid="{00000000-0005-0000-0000-00001C000000}"/>
    <cellStyle name="Normal 3 2" xfId="34" xr:uid="{00000000-0005-0000-0000-00001D000000}"/>
    <cellStyle name="Normal 4" xfId="6" xr:uid="{00000000-0005-0000-0000-00001E000000}"/>
    <cellStyle name="Normal 5" xfId="9" xr:uid="{00000000-0005-0000-0000-00001F000000}"/>
    <cellStyle name="Normal 5 2" xfId="28" xr:uid="{00000000-0005-0000-0000-000020000000}"/>
    <cellStyle name="Normal 5 3" xfId="36" xr:uid="{00000000-0005-0000-0000-000021000000}"/>
    <cellStyle name="Normal 5 4" xfId="38" xr:uid="{00000000-0005-0000-0000-000022000000}"/>
    <cellStyle name="Normal 5 4 2" xfId="46" xr:uid="{00000000-0005-0000-0000-000023000000}"/>
    <cellStyle name="Normal 5 4 3" xfId="47" xr:uid="{00000000-0005-0000-0000-000024000000}"/>
    <cellStyle name="Normal 5 5" xfId="44" xr:uid="{00000000-0005-0000-0000-000025000000}"/>
    <cellStyle name="Normal 6" xfId="12" xr:uid="{00000000-0005-0000-0000-000026000000}"/>
    <cellStyle name="Normal 7" xfId="13" xr:uid="{00000000-0005-0000-0000-000027000000}"/>
    <cellStyle name="Normal 8" xfId="37" xr:uid="{00000000-0005-0000-0000-000028000000}"/>
    <cellStyle name="Percent 2" xfId="39" xr:uid="{00000000-0005-0000-0000-000029000000}"/>
    <cellStyle name="Percent 2 2" xfId="48" xr:uid="{00000000-0005-0000-0000-00002A000000}"/>
    <cellStyle name="Prozent" xfId="14" builtinId="5"/>
    <cellStyle name="Standard" xfId="0" builtinId="0"/>
    <cellStyle name="Standard 2" xfId="32" xr:uid="{00000000-0005-0000-0000-00002D000000}"/>
    <cellStyle name="Standard 2 2" xfId="1" xr:uid="{00000000-0005-0000-0000-00002E000000}"/>
    <cellStyle name="Standard 2 2 2" xfId="3" xr:uid="{00000000-0005-0000-0000-00002F000000}"/>
    <cellStyle name="Standard 3" xfId="42" xr:uid="{00000000-0005-0000-0000-000030000000}"/>
  </cellStyles>
  <dxfs count="0"/>
  <tableStyles count="0" defaultTableStyle="TableStyleMedium2" defaultPivotStyle="PivotStyleLight16"/>
  <colors>
    <mruColors>
      <color rgb="FF5C8A6A"/>
      <color rgb="FFD9E1F2"/>
      <color rgb="FFB4C6E7"/>
      <color rgb="FF2E75B6"/>
      <color rgb="FFF8CBAD"/>
      <color rgb="FFF4B9A4"/>
      <color rgb="FFFF9966"/>
      <color rgb="FF18488B"/>
      <color rgb="FFC55A11"/>
      <color rgb="FF4C96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61"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3.xml"/><Relationship Id="rId1" Type="http://schemas.microsoft.com/office/2011/relationships/chartStyle" Target="style23.xml"/><Relationship Id="rId4" Type="http://schemas.openxmlformats.org/officeDocument/2006/relationships/chartUserShapes" Target="../drawings/drawing46.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3.xml"/><Relationship Id="rId1" Type="http://schemas.microsoft.com/office/2011/relationships/chartStyle" Target="style3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600982892749333"/>
          <c:y val="1.4074479166666667E-2"/>
          <c:w val="0.75314546954521699"/>
          <c:h val="0.94124085444144956"/>
        </c:manualLayout>
      </c:layout>
      <c:barChart>
        <c:barDir val="bar"/>
        <c:grouping val="stacked"/>
        <c:varyColors val="0"/>
        <c:ser>
          <c:idx val="5"/>
          <c:order val="5"/>
          <c:tx>
            <c:strRef>
              <c:f>'Fig 1. Transparency Index'!$C$11</c:f>
              <c:strCache>
                <c:ptCount val="1"/>
                <c:pt idx="0">
                  <c:v>Total index score</c:v>
                </c:pt>
              </c:strCache>
              <c:extLst xmlns:c15="http://schemas.microsoft.com/office/drawing/2012/chart"/>
            </c:strRef>
          </c:tx>
          <c:spPr>
            <a:solidFill>
              <a:srgbClr val="A9D08E"/>
            </a:solidFill>
            <a:ln>
              <a:solidFill>
                <a:schemeClr val="tx1"/>
              </a:solidFill>
            </a:ln>
            <a:effectLst/>
          </c:spPr>
          <c:invertIfNegative val="0"/>
          <c:cat>
            <c:strRef>
              <c:f>'Fig 1. Transparency Index'!$B$12:$B$52</c:f>
              <c:strCache>
                <c:ptCount val="41"/>
                <c:pt idx="0">
                  <c:v>Switzerland</c:v>
                </c:pt>
                <c:pt idx="1">
                  <c:v>Denmark</c:v>
                </c:pt>
                <c:pt idx="2">
                  <c:v>United States</c:v>
                </c:pt>
                <c:pt idx="3">
                  <c:v>Sweden</c:v>
                </c:pt>
                <c:pt idx="4">
                  <c:v>Netherlands</c:v>
                </c:pt>
                <c:pt idx="5">
                  <c:v>Australia</c:v>
                </c:pt>
                <c:pt idx="6">
                  <c:v>Finland</c:v>
                </c:pt>
                <c:pt idx="7">
                  <c:v>Canada</c:v>
                </c:pt>
                <c:pt idx="8">
                  <c:v>New Zealand</c:v>
                </c:pt>
                <c:pt idx="9">
                  <c:v>Ireland</c:v>
                </c:pt>
                <c:pt idx="10">
                  <c:v>Norway</c:v>
                </c:pt>
                <c:pt idx="11">
                  <c:v>Estonia</c:v>
                </c:pt>
                <c:pt idx="12">
                  <c:v>Germany</c:v>
                </c:pt>
                <c:pt idx="13">
                  <c:v>EU (Commission and Council)</c:v>
                </c:pt>
                <c:pt idx="14">
                  <c:v>Lithuania</c:v>
                </c:pt>
                <c:pt idx="15">
                  <c:v>Malta</c:v>
                </c:pt>
                <c:pt idx="16">
                  <c:v>Japan</c:v>
                </c:pt>
                <c:pt idx="17">
                  <c:v>Austria</c:v>
                </c:pt>
                <c:pt idx="18">
                  <c:v>Belgium</c:v>
                </c:pt>
                <c:pt idx="19">
                  <c:v>United Kingdom</c:v>
                </c:pt>
                <c:pt idx="20">
                  <c:v>Luxembourg</c:v>
                </c:pt>
                <c:pt idx="21">
                  <c:v>Cyprus</c:v>
                </c:pt>
                <c:pt idx="22">
                  <c:v>South Korea</c:v>
                </c:pt>
                <c:pt idx="23">
                  <c:v>Italy</c:v>
                </c:pt>
                <c:pt idx="24">
                  <c:v>Croatia</c:v>
                </c:pt>
                <c:pt idx="25">
                  <c:v>Bulgaria</c:v>
                </c:pt>
                <c:pt idx="26">
                  <c:v>Czech Republic</c:v>
                </c:pt>
                <c:pt idx="27">
                  <c:v>Latvia</c:v>
                </c:pt>
                <c:pt idx="28">
                  <c:v>France</c:v>
                </c:pt>
                <c:pt idx="29">
                  <c:v>Taiwan</c:v>
                </c:pt>
                <c:pt idx="30">
                  <c:v>Slovakia</c:v>
                </c:pt>
                <c:pt idx="31">
                  <c:v>China</c:v>
                </c:pt>
                <c:pt idx="32">
                  <c:v>Hungary</c:v>
                </c:pt>
                <c:pt idx="33">
                  <c:v>India</c:v>
                </c:pt>
                <c:pt idx="34">
                  <c:v>Slovenia</c:v>
                </c:pt>
                <c:pt idx="35">
                  <c:v>Turkey</c:v>
                </c:pt>
                <c:pt idx="36">
                  <c:v>Poland</c:v>
                </c:pt>
                <c:pt idx="37">
                  <c:v>Romania</c:v>
                </c:pt>
                <c:pt idx="38">
                  <c:v>Greece</c:v>
                </c:pt>
                <c:pt idx="39">
                  <c:v>Spain</c:v>
                </c:pt>
                <c:pt idx="40">
                  <c:v>Portugal</c:v>
                </c:pt>
              </c:strCache>
              <c:extLst xmlns:c15="http://schemas.microsoft.com/office/drawing/2012/chart"/>
            </c:strRef>
          </c:cat>
          <c:val>
            <c:numRef>
              <c:f>'Fig 1. Transparency Index'!$C$12:$C$52</c:f>
              <c:numCache>
                <c:formatCode>0.00</c:formatCode>
                <c:ptCount val="41"/>
                <c:pt idx="0">
                  <c:v>5</c:v>
                </c:pt>
                <c:pt idx="1">
                  <c:v>4.6875</c:v>
                </c:pt>
                <c:pt idx="2">
                  <c:v>4.614147909967846</c:v>
                </c:pt>
                <c:pt idx="3">
                  <c:v>4.5272727272727273</c:v>
                </c:pt>
                <c:pt idx="4">
                  <c:v>4.4649758454106276</c:v>
                </c:pt>
                <c:pt idx="5">
                  <c:v>4.46</c:v>
                </c:pt>
                <c:pt idx="6">
                  <c:v>4.4210526315789469</c:v>
                </c:pt>
                <c:pt idx="7">
                  <c:v>4.3229166666666661</c:v>
                </c:pt>
                <c:pt idx="8">
                  <c:v>4.3186813186813193</c:v>
                </c:pt>
                <c:pt idx="9">
                  <c:v>4.0909090909090908</c:v>
                </c:pt>
                <c:pt idx="10">
                  <c:v>3.931174089068826</c:v>
                </c:pt>
                <c:pt idx="11">
                  <c:v>3.9007936507936507</c:v>
                </c:pt>
                <c:pt idx="12">
                  <c:v>3.8310608054751252</c:v>
                </c:pt>
                <c:pt idx="13">
                  <c:v>3.8181818181818183</c:v>
                </c:pt>
                <c:pt idx="14">
                  <c:v>3.7801932367149762</c:v>
                </c:pt>
                <c:pt idx="15">
                  <c:v>3.5</c:v>
                </c:pt>
                <c:pt idx="16">
                  <c:v>3.3863636363636362</c:v>
                </c:pt>
                <c:pt idx="17">
                  <c:v>3.3846153846153846</c:v>
                </c:pt>
                <c:pt idx="18">
                  <c:v>3.15</c:v>
                </c:pt>
                <c:pt idx="19">
                  <c:v>3.1206733048838315</c:v>
                </c:pt>
                <c:pt idx="20">
                  <c:v>2.925925925925926</c:v>
                </c:pt>
                <c:pt idx="21">
                  <c:v>2.875</c:v>
                </c:pt>
                <c:pt idx="22">
                  <c:v>2.6969696969696972</c:v>
                </c:pt>
                <c:pt idx="23">
                  <c:v>2.6538461538461542</c:v>
                </c:pt>
                <c:pt idx="24">
                  <c:v>2.3333333333333335</c:v>
                </c:pt>
                <c:pt idx="25">
                  <c:v>2.2999999999999998</c:v>
                </c:pt>
                <c:pt idx="26">
                  <c:v>2.210294117647059</c:v>
                </c:pt>
                <c:pt idx="27">
                  <c:v>2.1999999999999997</c:v>
                </c:pt>
                <c:pt idx="28">
                  <c:v>2.1140724946695095</c:v>
                </c:pt>
                <c:pt idx="29">
                  <c:v>2.1111111111111112</c:v>
                </c:pt>
                <c:pt idx="30">
                  <c:v>2</c:v>
                </c:pt>
                <c:pt idx="31">
                  <c:v>2</c:v>
                </c:pt>
                <c:pt idx="32">
                  <c:v>2</c:v>
                </c:pt>
                <c:pt idx="33">
                  <c:v>2</c:v>
                </c:pt>
                <c:pt idx="34">
                  <c:v>1.8166666666666669</c:v>
                </c:pt>
                <c:pt idx="35">
                  <c:v>1.7777777777777777</c:v>
                </c:pt>
                <c:pt idx="36">
                  <c:v>1.7744565217391304</c:v>
                </c:pt>
                <c:pt idx="37">
                  <c:v>1.6111111111111112</c:v>
                </c:pt>
                <c:pt idx="38">
                  <c:v>1.5333333333333332</c:v>
                </c:pt>
                <c:pt idx="39">
                  <c:v>1.4529914529914532</c:v>
                </c:pt>
                <c:pt idx="40">
                  <c:v>1.2115384615384617</c:v>
                </c:pt>
              </c:numCache>
              <c:extLst xmlns:c15="http://schemas.microsoft.com/office/drawing/2012/chart"/>
            </c:numRef>
          </c:val>
          <c:extLst xmlns:c15="http://schemas.microsoft.com/office/drawing/2012/chart">
            <c:ext xmlns:c16="http://schemas.microsoft.com/office/drawing/2014/chart" uri="{C3380CC4-5D6E-409C-BE32-E72D297353CC}">
              <c16:uniqueId val="{00000005-D3AB-4670-9B81-3D2A9CC91224}"/>
            </c:ext>
          </c:extLst>
        </c:ser>
        <c:dLbls>
          <c:showLegendKey val="0"/>
          <c:showVal val="0"/>
          <c:showCatName val="0"/>
          <c:showSerName val="0"/>
          <c:showPercent val="0"/>
          <c:showBubbleSize val="0"/>
        </c:dLbls>
        <c:gapWidth val="141"/>
        <c:overlap val="100"/>
        <c:axId val="450490767"/>
        <c:axId val="450486607"/>
        <c:extLst>
          <c:ext xmlns:c15="http://schemas.microsoft.com/office/drawing/2012/chart" uri="{02D57815-91ED-43cb-92C2-25804820EDAC}">
            <c15:filteredBarSeries>
              <c15:ser>
                <c:idx val="0"/>
                <c:order val="0"/>
                <c:tx>
                  <c:v>Subindex 1: Designated Website</c:v>
                </c:tx>
                <c:spPr>
                  <a:solidFill>
                    <a:schemeClr val="accent2"/>
                  </a:solidFill>
                  <a:ln>
                    <a:solidFill>
                      <a:srgbClr val="000000"/>
                    </a:solidFill>
                    <a:prstDash val="solid"/>
                  </a:ln>
                  <a:effectLst/>
                </c:spPr>
                <c:invertIfNegative val="0"/>
                <c:cat>
                  <c:strRef>
                    <c:extLst>
                      <c:ext uri="{02D57815-91ED-43cb-92C2-25804820EDAC}">
                        <c15:formulaRef>
                          <c15:sqref>'Fig 1. Transparency Index'!$B$12:$B$52</c15:sqref>
                        </c15:formulaRef>
                      </c:ext>
                    </c:extLst>
                    <c:strCache>
                      <c:ptCount val="41"/>
                      <c:pt idx="0">
                        <c:v>Switzerland</c:v>
                      </c:pt>
                      <c:pt idx="1">
                        <c:v>Denmark</c:v>
                      </c:pt>
                      <c:pt idx="2">
                        <c:v>United States</c:v>
                      </c:pt>
                      <c:pt idx="3">
                        <c:v>Sweden</c:v>
                      </c:pt>
                      <c:pt idx="4">
                        <c:v>Netherlands</c:v>
                      </c:pt>
                      <c:pt idx="5">
                        <c:v>Australia</c:v>
                      </c:pt>
                      <c:pt idx="6">
                        <c:v>Finland</c:v>
                      </c:pt>
                      <c:pt idx="7">
                        <c:v>Canada</c:v>
                      </c:pt>
                      <c:pt idx="8">
                        <c:v>New Zealand</c:v>
                      </c:pt>
                      <c:pt idx="9">
                        <c:v>Ireland</c:v>
                      </c:pt>
                      <c:pt idx="10">
                        <c:v>Norway</c:v>
                      </c:pt>
                      <c:pt idx="11">
                        <c:v>Estonia</c:v>
                      </c:pt>
                      <c:pt idx="12">
                        <c:v>Germany</c:v>
                      </c:pt>
                      <c:pt idx="13">
                        <c:v>EU (Commission and Council)</c:v>
                      </c:pt>
                      <c:pt idx="14">
                        <c:v>Lithuania</c:v>
                      </c:pt>
                      <c:pt idx="15">
                        <c:v>Malta</c:v>
                      </c:pt>
                      <c:pt idx="16">
                        <c:v>Japan</c:v>
                      </c:pt>
                      <c:pt idx="17">
                        <c:v>Austria</c:v>
                      </c:pt>
                      <c:pt idx="18">
                        <c:v>Belgium</c:v>
                      </c:pt>
                      <c:pt idx="19">
                        <c:v>United Kingdom</c:v>
                      </c:pt>
                      <c:pt idx="20">
                        <c:v>Luxembourg</c:v>
                      </c:pt>
                      <c:pt idx="21">
                        <c:v>Cyprus</c:v>
                      </c:pt>
                      <c:pt idx="22">
                        <c:v>South Korea</c:v>
                      </c:pt>
                      <c:pt idx="23">
                        <c:v>Italy</c:v>
                      </c:pt>
                      <c:pt idx="24">
                        <c:v>Croatia</c:v>
                      </c:pt>
                      <c:pt idx="25">
                        <c:v>Bulgaria</c:v>
                      </c:pt>
                      <c:pt idx="26">
                        <c:v>Czech Republic</c:v>
                      </c:pt>
                      <c:pt idx="27">
                        <c:v>Latvia</c:v>
                      </c:pt>
                      <c:pt idx="28">
                        <c:v>France</c:v>
                      </c:pt>
                      <c:pt idx="29">
                        <c:v>Taiwan</c:v>
                      </c:pt>
                      <c:pt idx="30">
                        <c:v>Slovakia</c:v>
                      </c:pt>
                      <c:pt idx="31">
                        <c:v>China</c:v>
                      </c:pt>
                      <c:pt idx="32">
                        <c:v>Hungary</c:v>
                      </c:pt>
                      <c:pt idx="33">
                        <c:v>India</c:v>
                      </c:pt>
                      <c:pt idx="34">
                        <c:v>Slovenia</c:v>
                      </c:pt>
                      <c:pt idx="35">
                        <c:v>Turkey</c:v>
                      </c:pt>
                      <c:pt idx="36">
                        <c:v>Poland</c:v>
                      </c:pt>
                      <c:pt idx="37">
                        <c:v>Romania</c:v>
                      </c:pt>
                      <c:pt idx="38">
                        <c:v>Greece</c:v>
                      </c:pt>
                      <c:pt idx="39">
                        <c:v>Spain</c:v>
                      </c:pt>
                      <c:pt idx="40">
                        <c:v>Portugal</c:v>
                      </c:pt>
                    </c:strCache>
                  </c:strRef>
                </c:cat>
                <c:val>
                  <c:numRef>
                    <c:extLst>
                      <c:ext uri="{02D57815-91ED-43cb-92C2-25804820EDAC}">
                        <c15:formulaRef>
                          <c15:sqref>'Data Transparency Index'!$C$14:$C$54</c15:sqref>
                        </c15:formulaRef>
                      </c:ext>
                    </c:extLst>
                    <c:numCache>
                      <c:formatCode>0</c:formatCode>
                      <c:ptCount val="4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0</c:v>
                      </c:pt>
                      <c:pt idx="20">
                        <c:v>0</c:v>
                      </c:pt>
                      <c:pt idx="21">
                        <c:v>1</c:v>
                      </c:pt>
                      <c:pt idx="22">
                        <c:v>0</c:v>
                      </c:pt>
                      <c:pt idx="23">
                        <c:v>1</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D3AB-4670-9B81-3D2A9CC91224}"/>
                  </c:ext>
                </c:extLst>
              </c15:ser>
            </c15:filteredBarSeries>
            <c15:filteredBarSeries>
              <c15:ser>
                <c:idx val="1"/>
                <c:order val="1"/>
                <c:tx>
                  <c:v>Subindex 2: Total value of commitments given</c:v>
                </c:tx>
                <c:spPr>
                  <a:solidFill>
                    <a:schemeClr val="accent4"/>
                  </a:solidFill>
                  <a:ln>
                    <a:solidFill>
                      <a:srgbClr val="000000"/>
                    </a:solidFill>
                    <a:prstDash val="solid"/>
                  </a:ln>
                  <a:effectLst/>
                </c:spPr>
                <c:invertIfNegative val="0"/>
                <c:cat>
                  <c:strRef>
                    <c:extLst xmlns:c15="http://schemas.microsoft.com/office/drawing/2012/chart">
                      <c:ext xmlns:c15="http://schemas.microsoft.com/office/drawing/2012/chart" uri="{02D57815-91ED-43cb-92C2-25804820EDAC}">
                        <c15:formulaRef>
                          <c15:sqref>'Fig 1. Transparency Index'!$B$12:$B$52</c15:sqref>
                        </c15:formulaRef>
                      </c:ext>
                    </c:extLst>
                    <c:strCache>
                      <c:ptCount val="41"/>
                      <c:pt idx="0">
                        <c:v>Switzerland</c:v>
                      </c:pt>
                      <c:pt idx="1">
                        <c:v>Denmark</c:v>
                      </c:pt>
                      <c:pt idx="2">
                        <c:v>United States</c:v>
                      </c:pt>
                      <c:pt idx="3">
                        <c:v>Sweden</c:v>
                      </c:pt>
                      <c:pt idx="4">
                        <c:v>Netherlands</c:v>
                      </c:pt>
                      <c:pt idx="5">
                        <c:v>Australia</c:v>
                      </c:pt>
                      <c:pt idx="6">
                        <c:v>Finland</c:v>
                      </c:pt>
                      <c:pt idx="7">
                        <c:v>Canada</c:v>
                      </c:pt>
                      <c:pt idx="8">
                        <c:v>New Zealand</c:v>
                      </c:pt>
                      <c:pt idx="9">
                        <c:v>Ireland</c:v>
                      </c:pt>
                      <c:pt idx="10">
                        <c:v>Norway</c:v>
                      </c:pt>
                      <c:pt idx="11">
                        <c:v>Estonia</c:v>
                      </c:pt>
                      <c:pt idx="12">
                        <c:v>Germany</c:v>
                      </c:pt>
                      <c:pt idx="13">
                        <c:v>EU (Commission and Council)</c:v>
                      </c:pt>
                      <c:pt idx="14">
                        <c:v>Lithuania</c:v>
                      </c:pt>
                      <c:pt idx="15">
                        <c:v>Malta</c:v>
                      </c:pt>
                      <c:pt idx="16">
                        <c:v>Japan</c:v>
                      </c:pt>
                      <c:pt idx="17">
                        <c:v>Austria</c:v>
                      </c:pt>
                      <c:pt idx="18">
                        <c:v>Belgium</c:v>
                      </c:pt>
                      <c:pt idx="19">
                        <c:v>United Kingdom</c:v>
                      </c:pt>
                      <c:pt idx="20">
                        <c:v>Luxembourg</c:v>
                      </c:pt>
                      <c:pt idx="21">
                        <c:v>Cyprus</c:v>
                      </c:pt>
                      <c:pt idx="22">
                        <c:v>South Korea</c:v>
                      </c:pt>
                      <c:pt idx="23">
                        <c:v>Italy</c:v>
                      </c:pt>
                      <c:pt idx="24">
                        <c:v>Croatia</c:v>
                      </c:pt>
                      <c:pt idx="25">
                        <c:v>Bulgaria</c:v>
                      </c:pt>
                      <c:pt idx="26">
                        <c:v>Czech Republic</c:v>
                      </c:pt>
                      <c:pt idx="27">
                        <c:v>Latvia</c:v>
                      </c:pt>
                      <c:pt idx="28">
                        <c:v>France</c:v>
                      </c:pt>
                      <c:pt idx="29">
                        <c:v>Taiwan</c:v>
                      </c:pt>
                      <c:pt idx="30">
                        <c:v>Slovakia</c:v>
                      </c:pt>
                      <c:pt idx="31">
                        <c:v>China</c:v>
                      </c:pt>
                      <c:pt idx="32">
                        <c:v>Hungary</c:v>
                      </c:pt>
                      <c:pt idx="33">
                        <c:v>India</c:v>
                      </c:pt>
                      <c:pt idx="34">
                        <c:v>Slovenia</c:v>
                      </c:pt>
                      <c:pt idx="35">
                        <c:v>Turkey</c:v>
                      </c:pt>
                      <c:pt idx="36">
                        <c:v>Poland</c:v>
                      </c:pt>
                      <c:pt idx="37">
                        <c:v>Romania</c:v>
                      </c:pt>
                      <c:pt idx="38">
                        <c:v>Greece</c:v>
                      </c:pt>
                      <c:pt idx="39">
                        <c:v>Spain</c:v>
                      </c:pt>
                      <c:pt idx="40">
                        <c:v>Portugal</c:v>
                      </c:pt>
                    </c:strCache>
                  </c:strRef>
                </c:cat>
                <c:val>
                  <c:numRef>
                    <c:extLst xmlns:c15="http://schemas.microsoft.com/office/drawing/2012/chart">
                      <c:ext xmlns:c15="http://schemas.microsoft.com/office/drawing/2012/chart" uri="{02D57815-91ED-43cb-92C2-25804820EDAC}">
                        <c15:formulaRef>
                          <c15:sqref>'Data Transparency Index'!$D$14:$D$54</c15:sqref>
                        </c15:formulaRef>
                      </c:ext>
                    </c:extLst>
                    <c:numCache>
                      <c:formatCode>0</c:formatCode>
                      <c:ptCount val="41"/>
                      <c:pt idx="0">
                        <c:v>1</c:v>
                      </c:pt>
                      <c:pt idx="1">
                        <c:v>1</c:v>
                      </c:pt>
                      <c:pt idx="2">
                        <c:v>1</c:v>
                      </c:pt>
                      <c:pt idx="3">
                        <c:v>1</c:v>
                      </c:pt>
                      <c:pt idx="4">
                        <c:v>1</c:v>
                      </c:pt>
                      <c:pt idx="5">
                        <c:v>1</c:v>
                      </c:pt>
                      <c:pt idx="6">
                        <c:v>1</c:v>
                      </c:pt>
                      <c:pt idx="7">
                        <c:v>1</c:v>
                      </c:pt>
                      <c:pt idx="8">
                        <c:v>1</c:v>
                      </c:pt>
                      <c:pt idx="9">
                        <c:v>1</c:v>
                      </c:pt>
                      <c:pt idx="10">
                        <c:v>1</c:v>
                      </c:pt>
                      <c:pt idx="11">
                        <c:v>1</c:v>
                      </c:pt>
                      <c:pt idx="12">
                        <c:v>0</c:v>
                      </c:pt>
                      <c:pt idx="13">
                        <c:v>0</c:v>
                      </c:pt>
                      <c:pt idx="14">
                        <c:v>1</c:v>
                      </c:pt>
                      <c:pt idx="15">
                        <c:v>0</c:v>
                      </c:pt>
                      <c:pt idx="16">
                        <c:v>1</c:v>
                      </c:pt>
                      <c:pt idx="17">
                        <c:v>0</c:v>
                      </c:pt>
                      <c:pt idx="18">
                        <c:v>0</c:v>
                      </c:pt>
                      <c:pt idx="19">
                        <c:v>0</c:v>
                      </c:pt>
                      <c:pt idx="20">
                        <c:v>0</c:v>
                      </c:pt>
                      <c:pt idx="21">
                        <c:v>0</c:v>
                      </c:pt>
                      <c:pt idx="22">
                        <c:v>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xmlns:c15="http://schemas.microsoft.com/office/drawing/2012/chart">
                  <c:ext xmlns:c16="http://schemas.microsoft.com/office/drawing/2014/chart" uri="{C3380CC4-5D6E-409C-BE32-E72D297353CC}">
                    <c16:uniqueId val="{00000001-D3AB-4670-9B81-3D2A9CC91224}"/>
                  </c:ext>
                </c:extLst>
              </c15:ser>
            </c15:filteredBarSeries>
            <c15:filteredBarSeries>
              <c15:ser>
                <c:idx val="2"/>
                <c:order val="2"/>
                <c:tx>
                  <c:v>Subindex 3: Monetary value of individual items given by source (share)</c:v>
                </c:tx>
                <c:spPr>
                  <a:solidFill>
                    <a:schemeClr val="accent6"/>
                  </a:solidFill>
                  <a:ln>
                    <a:solidFill>
                      <a:srgbClr val="000000"/>
                    </a:solidFill>
                    <a:prstDash val="solid"/>
                  </a:ln>
                  <a:effectLst/>
                </c:spPr>
                <c:invertIfNegative val="0"/>
                <c:cat>
                  <c:strRef>
                    <c:extLst xmlns:c15="http://schemas.microsoft.com/office/drawing/2012/chart">
                      <c:ext xmlns:c15="http://schemas.microsoft.com/office/drawing/2012/chart" uri="{02D57815-91ED-43cb-92C2-25804820EDAC}">
                        <c15:formulaRef>
                          <c15:sqref>'Fig 1. Transparency Index'!$B$12:$B$52</c15:sqref>
                        </c15:formulaRef>
                      </c:ext>
                    </c:extLst>
                    <c:strCache>
                      <c:ptCount val="41"/>
                      <c:pt idx="0">
                        <c:v>Switzerland</c:v>
                      </c:pt>
                      <c:pt idx="1">
                        <c:v>Denmark</c:v>
                      </c:pt>
                      <c:pt idx="2">
                        <c:v>United States</c:v>
                      </c:pt>
                      <c:pt idx="3">
                        <c:v>Sweden</c:v>
                      </c:pt>
                      <c:pt idx="4">
                        <c:v>Netherlands</c:v>
                      </c:pt>
                      <c:pt idx="5">
                        <c:v>Australia</c:v>
                      </c:pt>
                      <c:pt idx="6">
                        <c:v>Finland</c:v>
                      </c:pt>
                      <c:pt idx="7">
                        <c:v>Canada</c:v>
                      </c:pt>
                      <c:pt idx="8">
                        <c:v>New Zealand</c:v>
                      </c:pt>
                      <c:pt idx="9">
                        <c:v>Ireland</c:v>
                      </c:pt>
                      <c:pt idx="10">
                        <c:v>Norway</c:v>
                      </c:pt>
                      <c:pt idx="11">
                        <c:v>Estonia</c:v>
                      </c:pt>
                      <c:pt idx="12">
                        <c:v>Germany</c:v>
                      </c:pt>
                      <c:pt idx="13">
                        <c:v>EU (Commission and Council)</c:v>
                      </c:pt>
                      <c:pt idx="14">
                        <c:v>Lithuania</c:v>
                      </c:pt>
                      <c:pt idx="15">
                        <c:v>Malta</c:v>
                      </c:pt>
                      <c:pt idx="16">
                        <c:v>Japan</c:v>
                      </c:pt>
                      <c:pt idx="17">
                        <c:v>Austria</c:v>
                      </c:pt>
                      <c:pt idx="18">
                        <c:v>Belgium</c:v>
                      </c:pt>
                      <c:pt idx="19">
                        <c:v>United Kingdom</c:v>
                      </c:pt>
                      <c:pt idx="20">
                        <c:v>Luxembourg</c:v>
                      </c:pt>
                      <c:pt idx="21">
                        <c:v>Cyprus</c:v>
                      </c:pt>
                      <c:pt idx="22">
                        <c:v>South Korea</c:v>
                      </c:pt>
                      <c:pt idx="23">
                        <c:v>Italy</c:v>
                      </c:pt>
                      <c:pt idx="24">
                        <c:v>Croatia</c:v>
                      </c:pt>
                      <c:pt idx="25">
                        <c:v>Bulgaria</c:v>
                      </c:pt>
                      <c:pt idx="26">
                        <c:v>Czech Republic</c:v>
                      </c:pt>
                      <c:pt idx="27">
                        <c:v>Latvia</c:v>
                      </c:pt>
                      <c:pt idx="28">
                        <c:v>France</c:v>
                      </c:pt>
                      <c:pt idx="29">
                        <c:v>Taiwan</c:v>
                      </c:pt>
                      <c:pt idx="30">
                        <c:v>Slovakia</c:v>
                      </c:pt>
                      <c:pt idx="31">
                        <c:v>China</c:v>
                      </c:pt>
                      <c:pt idx="32">
                        <c:v>Hungary</c:v>
                      </c:pt>
                      <c:pt idx="33">
                        <c:v>India</c:v>
                      </c:pt>
                      <c:pt idx="34">
                        <c:v>Slovenia</c:v>
                      </c:pt>
                      <c:pt idx="35">
                        <c:v>Turkey</c:v>
                      </c:pt>
                      <c:pt idx="36">
                        <c:v>Poland</c:v>
                      </c:pt>
                      <c:pt idx="37">
                        <c:v>Romania</c:v>
                      </c:pt>
                      <c:pt idx="38">
                        <c:v>Greece</c:v>
                      </c:pt>
                      <c:pt idx="39">
                        <c:v>Spain</c:v>
                      </c:pt>
                      <c:pt idx="40">
                        <c:v>Portugal</c:v>
                      </c:pt>
                    </c:strCache>
                  </c:strRef>
                </c:cat>
                <c:val>
                  <c:numRef>
                    <c:extLst xmlns:c15="http://schemas.microsoft.com/office/drawing/2012/chart">
                      <c:ext xmlns:c15="http://schemas.microsoft.com/office/drawing/2012/chart" uri="{02D57815-91ED-43cb-92C2-25804820EDAC}">
                        <c15:formulaRef>
                          <c15:sqref>'Data Transparency Index'!$E$14:$E$54</c15:sqref>
                        </c15:formulaRef>
                      </c:ext>
                    </c:extLst>
                    <c:numCache>
                      <c:formatCode>0.00</c:formatCode>
                      <c:ptCount val="41"/>
                      <c:pt idx="0">
                        <c:v>1</c:v>
                      </c:pt>
                      <c:pt idx="1">
                        <c:v>1</c:v>
                      </c:pt>
                      <c:pt idx="2">
                        <c:v>1</c:v>
                      </c:pt>
                      <c:pt idx="3">
                        <c:v>0.96</c:v>
                      </c:pt>
                      <c:pt idx="4">
                        <c:v>0.84</c:v>
                      </c:pt>
                      <c:pt idx="5">
                        <c:v>0.77777777777777779</c:v>
                      </c:pt>
                      <c:pt idx="6">
                        <c:v>0.47368421052631576</c:v>
                      </c:pt>
                      <c:pt idx="7">
                        <c:v>0.79166666666666663</c:v>
                      </c:pt>
                      <c:pt idx="8">
                        <c:v>0.53846153846153844</c:v>
                      </c:pt>
                      <c:pt idx="9">
                        <c:v>0.36363636363636365</c:v>
                      </c:pt>
                      <c:pt idx="10">
                        <c:v>0.31578947368421051</c:v>
                      </c:pt>
                      <c:pt idx="11">
                        <c:v>0.7857142857142857</c:v>
                      </c:pt>
                      <c:pt idx="12">
                        <c:v>0.96551724137931039</c:v>
                      </c:pt>
                      <c:pt idx="13">
                        <c:v>0.90909090909090906</c:v>
                      </c:pt>
                      <c:pt idx="14">
                        <c:v>0.69444444444444442</c:v>
                      </c:pt>
                      <c:pt idx="15">
                        <c:v>1</c:v>
                      </c:pt>
                      <c:pt idx="16">
                        <c:v>0.45454545454545453</c:v>
                      </c:pt>
                      <c:pt idx="17">
                        <c:v>0.38461538461538464</c:v>
                      </c:pt>
                      <c:pt idx="18">
                        <c:v>0.59459459459459463</c:v>
                      </c:pt>
                      <c:pt idx="19">
                        <c:v>0.92592592592592593</c:v>
                      </c:pt>
                      <c:pt idx="20">
                        <c:v>1</c:v>
                      </c:pt>
                      <c:pt idx="21">
                        <c:v>1</c:v>
                      </c:pt>
                      <c:pt idx="22">
                        <c:v>1</c:v>
                      </c:pt>
                      <c:pt idx="23">
                        <c:v>0.23076923076923078</c:v>
                      </c:pt>
                      <c:pt idx="24">
                        <c:v>1</c:v>
                      </c:pt>
                      <c:pt idx="25">
                        <c:v>0.85</c:v>
                      </c:pt>
                      <c:pt idx="26">
                        <c:v>0.7</c:v>
                      </c:pt>
                      <c:pt idx="27">
                        <c:v>0.78431372549019607</c:v>
                      </c:pt>
                      <c:pt idx="28">
                        <c:v>0.33333333333333331</c:v>
                      </c:pt>
                      <c:pt idx="29">
                        <c:v>1</c:v>
                      </c:pt>
                      <c:pt idx="30">
                        <c:v>0.44776119402985076</c:v>
                      </c:pt>
                      <c:pt idx="31">
                        <c:v>0.76190476190476186</c:v>
                      </c:pt>
                      <c:pt idx="32">
                        <c:v>1</c:v>
                      </c:pt>
                      <c:pt idx="33">
                        <c:v>0.375</c:v>
                      </c:pt>
                      <c:pt idx="34">
                        <c:v>0</c:v>
                      </c:pt>
                      <c:pt idx="35">
                        <c:v>0.83333333333333337</c:v>
                      </c:pt>
                      <c:pt idx="36">
                        <c:v>0</c:v>
                      </c:pt>
                      <c:pt idx="37">
                        <c:v>0.65217391304347827</c:v>
                      </c:pt>
                      <c:pt idx="38">
                        <c:v>0</c:v>
                      </c:pt>
                      <c:pt idx="39">
                        <c:v>0.19444444444444445</c:v>
                      </c:pt>
                      <c:pt idx="40">
                        <c:v>0.2</c:v>
                      </c:pt>
                    </c:numCache>
                  </c:numRef>
                </c:val>
                <c:extLst xmlns:c15="http://schemas.microsoft.com/office/drawing/2012/chart">
                  <c:ext xmlns:c16="http://schemas.microsoft.com/office/drawing/2014/chart" uri="{C3380CC4-5D6E-409C-BE32-E72D297353CC}">
                    <c16:uniqueId val="{00000002-D3AB-4670-9B81-3D2A9CC91224}"/>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'[1]Figure 1'!#REF!</c15:sqref>
                        </c15:formulaRef>
                      </c:ext>
                    </c:extLst>
                    <c:strCache>
                      <c:ptCount val="1"/>
                      <c:pt idx="0">
                        <c:v>#BEZUG!</c:v>
                      </c:pt>
                    </c:strCache>
                  </c:strRef>
                </c:tx>
                <c:spPr>
                  <a:solidFill>
                    <a:schemeClr val="accent2">
                      <a:lumMod val="60000"/>
                    </a:schemeClr>
                  </a:solidFill>
                  <a:ln>
                    <a:solidFill>
                      <a:srgbClr val="000000"/>
                    </a:solidFill>
                    <a:prstDash val="solid"/>
                  </a:ln>
                  <a:effectLst/>
                </c:spPr>
                <c:invertIfNegative val="0"/>
                <c:cat>
                  <c:strRef>
                    <c:extLst xmlns:c15="http://schemas.microsoft.com/office/drawing/2012/chart">
                      <c:ext xmlns:c15="http://schemas.microsoft.com/office/drawing/2012/chart" uri="{02D57815-91ED-43cb-92C2-25804820EDAC}">
                        <c15:formulaRef>
                          <c15:sqref>'Fig 1. Transparency Index'!$B$12:$B$52</c15:sqref>
                        </c15:formulaRef>
                      </c:ext>
                    </c:extLst>
                    <c:strCache>
                      <c:ptCount val="41"/>
                      <c:pt idx="0">
                        <c:v>Switzerland</c:v>
                      </c:pt>
                      <c:pt idx="1">
                        <c:v>Denmark</c:v>
                      </c:pt>
                      <c:pt idx="2">
                        <c:v>United States</c:v>
                      </c:pt>
                      <c:pt idx="3">
                        <c:v>Sweden</c:v>
                      </c:pt>
                      <c:pt idx="4">
                        <c:v>Netherlands</c:v>
                      </c:pt>
                      <c:pt idx="5">
                        <c:v>Australia</c:v>
                      </c:pt>
                      <c:pt idx="6">
                        <c:v>Finland</c:v>
                      </c:pt>
                      <c:pt idx="7">
                        <c:v>Canada</c:v>
                      </c:pt>
                      <c:pt idx="8">
                        <c:v>New Zealand</c:v>
                      </c:pt>
                      <c:pt idx="9">
                        <c:v>Ireland</c:v>
                      </c:pt>
                      <c:pt idx="10">
                        <c:v>Norway</c:v>
                      </c:pt>
                      <c:pt idx="11">
                        <c:v>Estonia</c:v>
                      </c:pt>
                      <c:pt idx="12">
                        <c:v>Germany</c:v>
                      </c:pt>
                      <c:pt idx="13">
                        <c:v>EU (Commission and Council)</c:v>
                      </c:pt>
                      <c:pt idx="14">
                        <c:v>Lithuania</c:v>
                      </c:pt>
                      <c:pt idx="15">
                        <c:v>Malta</c:v>
                      </c:pt>
                      <c:pt idx="16">
                        <c:v>Japan</c:v>
                      </c:pt>
                      <c:pt idx="17">
                        <c:v>Austria</c:v>
                      </c:pt>
                      <c:pt idx="18">
                        <c:v>Belgium</c:v>
                      </c:pt>
                      <c:pt idx="19">
                        <c:v>United Kingdom</c:v>
                      </c:pt>
                      <c:pt idx="20">
                        <c:v>Luxembourg</c:v>
                      </c:pt>
                      <c:pt idx="21">
                        <c:v>Cyprus</c:v>
                      </c:pt>
                      <c:pt idx="22">
                        <c:v>South Korea</c:v>
                      </c:pt>
                      <c:pt idx="23">
                        <c:v>Italy</c:v>
                      </c:pt>
                      <c:pt idx="24">
                        <c:v>Croatia</c:v>
                      </c:pt>
                      <c:pt idx="25">
                        <c:v>Bulgaria</c:v>
                      </c:pt>
                      <c:pt idx="26">
                        <c:v>Czech Republic</c:v>
                      </c:pt>
                      <c:pt idx="27">
                        <c:v>Latvia</c:v>
                      </c:pt>
                      <c:pt idx="28">
                        <c:v>France</c:v>
                      </c:pt>
                      <c:pt idx="29">
                        <c:v>Taiwan</c:v>
                      </c:pt>
                      <c:pt idx="30">
                        <c:v>Slovakia</c:v>
                      </c:pt>
                      <c:pt idx="31">
                        <c:v>China</c:v>
                      </c:pt>
                      <c:pt idx="32">
                        <c:v>Hungary</c:v>
                      </c:pt>
                      <c:pt idx="33">
                        <c:v>India</c:v>
                      </c:pt>
                      <c:pt idx="34">
                        <c:v>Slovenia</c:v>
                      </c:pt>
                      <c:pt idx="35">
                        <c:v>Turkey</c:v>
                      </c:pt>
                      <c:pt idx="36">
                        <c:v>Poland</c:v>
                      </c:pt>
                      <c:pt idx="37">
                        <c:v>Romania</c:v>
                      </c:pt>
                      <c:pt idx="38">
                        <c:v>Greece</c:v>
                      </c:pt>
                      <c:pt idx="39">
                        <c:v>Spain</c:v>
                      </c:pt>
                      <c:pt idx="40">
                        <c:v>Portugal</c:v>
                      </c:pt>
                    </c:strCache>
                  </c:strRef>
                </c:cat>
                <c:val>
                  <c:numRef>
                    <c:extLst xmlns:c15="http://schemas.microsoft.com/office/drawing/2012/chart">
                      <c:ext xmlns:c15="http://schemas.microsoft.com/office/drawing/2012/chart" uri="{02D57815-91ED-43cb-92C2-25804820EDAC}">
                        <c15:formulaRef>
                          <c15:sqref>'Data Transparency Index'!$F$14:$F$54</c15:sqref>
                        </c15:formulaRef>
                      </c:ext>
                    </c:extLst>
                    <c:numCache>
                      <c:formatCode>0.00</c:formatCode>
                      <c:ptCount val="41"/>
                      <c:pt idx="0">
                        <c:v>1</c:v>
                      </c:pt>
                      <c:pt idx="1">
                        <c:v>1</c:v>
                      </c:pt>
                      <c:pt idx="2">
                        <c:v>1</c:v>
                      </c:pt>
                      <c:pt idx="3">
                        <c:v>1</c:v>
                      </c:pt>
                      <c:pt idx="4">
                        <c:v>0.96</c:v>
                      </c:pt>
                      <c:pt idx="5">
                        <c:v>0.86111111111111116</c:v>
                      </c:pt>
                      <c:pt idx="6">
                        <c:v>0.94736842105263153</c:v>
                      </c:pt>
                      <c:pt idx="7">
                        <c:v>0.9375</c:v>
                      </c:pt>
                      <c:pt idx="8">
                        <c:v>0.92307692307692313</c:v>
                      </c:pt>
                      <c:pt idx="9">
                        <c:v>0.72727272727272729</c:v>
                      </c:pt>
                      <c:pt idx="10">
                        <c:v>1</c:v>
                      </c:pt>
                      <c:pt idx="11">
                        <c:v>0.97619047619047616</c:v>
                      </c:pt>
                      <c:pt idx="12">
                        <c:v>0.97241379310344822</c:v>
                      </c:pt>
                      <c:pt idx="13">
                        <c:v>0.90909090909090906</c:v>
                      </c:pt>
                      <c:pt idx="14">
                        <c:v>0.69444444444444442</c:v>
                      </c:pt>
                      <c:pt idx="15">
                        <c:v>0.5</c:v>
                      </c:pt>
                      <c:pt idx="16">
                        <c:v>0.68181818181818177</c:v>
                      </c:pt>
                      <c:pt idx="17">
                        <c:v>1</c:v>
                      </c:pt>
                      <c:pt idx="18">
                        <c:v>0.82432432432432434</c:v>
                      </c:pt>
                      <c:pt idx="19">
                        <c:v>1</c:v>
                      </c:pt>
                      <c:pt idx="20">
                        <c:v>0.875</c:v>
                      </c:pt>
                      <c:pt idx="21">
                        <c:v>0.36363636363636365</c:v>
                      </c:pt>
                      <c:pt idx="22">
                        <c:v>0.75</c:v>
                      </c:pt>
                      <c:pt idx="23">
                        <c:v>0.73076923076923073</c:v>
                      </c:pt>
                      <c:pt idx="24">
                        <c:v>0.83333333333333337</c:v>
                      </c:pt>
                      <c:pt idx="25">
                        <c:v>0.95</c:v>
                      </c:pt>
                      <c:pt idx="26">
                        <c:v>0.6</c:v>
                      </c:pt>
                      <c:pt idx="27">
                        <c:v>0.45098039215686275</c:v>
                      </c:pt>
                      <c:pt idx="28">
                        <c:v>0.77777777777777779</c:v>
                      </c:pt>
                      <c:pt idx="29">
                        <c:v>0.1111111111111111</c:v>
                      </c:pt>
                      <c:pt idx="30">
                        <c:v>0.88059701492537312</c:v>
                      </c:pt>
                      <c:pt idx="31">
                        <c:v>0.5714285714285714</c:v>
                      </c:pt>
                      <c:pt idx="32">
                        <c:v>0</c:v>
                      </c:pt>
                      <c:pt idx="33">
                        <c:v>0.625</c:v>
                      </c:pt>
                      <c:pt idx="34">
                        <c:v>1</c:v>
                      </c:pt>
                      <c:pt idx="35">
                        <c:v>0.58333333333333337</c:v>
                      </c:pt>
                      <c:pt idx="36">
                        <c:v>0.77777777777777779</c:v>
                      </c:pt>
                      <c:pt idx="37">
                        <c:v>0.43478260869565216</c:v>
                      </c:pt>
                      <c:pt idx="38">
                        <c:v>0.53333333333333333</c:v>
                      </c:pt>
                      <c:pt idx="39">
                        <c:v>0.52777777777777779</c:v>
                      </c:pt>
                      <c:pt idx="40">
                        <c:v>0.55000000000000004</c:v>
                      </c:pt>
                    </c:numCache>
                  </c:numRef>
                </c:val>
                <c:extLst xmlns:c15="http://schemas.microsoft.com/office/drawing/2012/chart">
                  <c:ext xmlns:c16="http://schemas.microsoft.com/office/drawing/2014/chart" uri="{C3380CC4-5D6E-409C-BE32-E72D297353CC}">
                    <c16:uniqueId val="{00000003-D3AB-4670-9B81-3D2A9CC91224}"/>
                  </c:ext>
                </c:extLst>
              </c15:ser>
            </c15:filteredBarSeries>
            <c15:filteredBarSeries>
              <c15:ser>
                <c:idx val="4"/>
                <c:order val="4"/>
                <c:tx>
                  <c:v>Subindex 5: Number of military items known</c:v>
                </c:tx>
                <c:spPr>
                  <a:solidFill>
                    <a:schemeClr val="accent4">
                      <a:lumMod val="60000"/>
                    </a:schemeClr>
                  </a:solidFill>
                  <a:ln>
                    <a:solidFill>
                      <a:srgbClr val="000000"/>
                    </a:solidFill>
                    <a:prstDash val="solid"/>
                  </a:ln>
                  <a:effectLst/>
                </c:spPr>
                <c:invertIfNegative val="0"/>
                <c:cat>
                  <c:strRef>
                    <c:extLst xmlns:c15="http://schemas.microsoft.com/office/drawing/2012/chart">
                      <c:ext xmlns:c15="http://schemas.microsoft.com/office/drawing/2012/chart" uri="{02D57815-91ED-43cb-92C2-25804820EDAC}">
                        <c15:formulaRef>
                          <c15:sqref>'Fig 1. Transparency Index'!$B$12:$B$52</c15:sqref>
                        </c15:formulaRef>
                      </c:ext>
                    </c:extLst>
                    <c:strCache>
                      <c:ptCount val="41"/>
                      <c:pt idx="0">
                        <c:v>Switzerland</c:v>
                      </c:pt>
                      <c:pt idx="1">
                        <c:v>Denmark</c:v>
                      </c:pt>
                      <c:pt idx="2">
                        <c:v>United States</c:v>
                      </c:pt>
                      <c:pt idx="3">
                        <c:v>Sweden</c:v>
                      </c:pt>
                      <c:pt idx="4">
                        <c:v>Netherlands</c:v>
                      </c:pt>
                      <c:pt idx="5">
                        <c:v>Australia</c:v>
                      </c:pt>
                      <c:pt idx="6">
                        <c:v>Finland</c:v>
                      </c:pt>
                      <c:pt idx="7">
                        <c:v>Canada</c:v>
                      </c:pt>
                      <c:pt idx="8">
                        <c:v>New Zealand</c:v>
                      </c:pt>
                      <c:pt idx="9">
                        <c:v>Ireland</c:v>
                      </c:pt>
                      <c:pt idx="10">
                        <c:v>Norway</c:v>
                      </c:pt>
                      <c:pt idx="11">
                        <c:v>Estonia</c:v>
                      </c:pt>
                      <c:pt idx="12">
                        <c:v>Germany</c:v>
                      </c:pt>
                      <c:pt idx="13">
                        <c:v>EU (Commission and Council)</c:v>
                      </c:pt>
                      <c:pt idx="14">
                        <c:v>Lithuania</c:v>
                      </c:pt>
                      <c:pt idx="15">
                        <c:v>Malta</c:v>
                      </c:pt>
                      <c:pt idx="16">
                        <c:v>Japan</c:v>
                      </c:pt>
                      <c:pt idx="17">
                        <c:v>Austria</c:v>
                      </c:pt>
                      <c:pt idx="18">
                        <c:v>Belgium</c:v>
                      </c:pt>
                      <c:pt idx="19">
                        <c:v>United Kingdom</c:v>
                      </c:pt>
                      <c:pt idx="20">
                        <c:v>Luxembourg</c:v>
                      </c:pt>
                      <c:pt idx="21">
                        <c:v>Cyprus</c:v>
                      </c:pt>
                      <c:pt idx="22">
                        <c:v>South Korea</c:v>
                      </c:pt>
                      <c:pt idx="23">
                        <c:v>Italy</c:v>
                      </c:pt>
                      <c:pt idx="24">
                        <c:v>Croatia</c:v>
                      </c:pt>
                      <c:pt idx="25">
                        <c:v>Bulgaria</c:v>
                      </c:pt>
                      <c:pt idx="26">
                        <c:v>Czech Republic</c:v>
                      </c:pt>
                      <c:pt idx="27">
                        <c:v>Latvia</c:v>
                      </c:pt>
                      <c:pt idx="28">
                        <c:v>France</c:v>
                      </c:pt>
                      <c:pt idx="29">
                        <c:v>Taiwan</c:v>
                      </c:pt>
                      <c:pt idx="30">
                        <c:v>Slovakia</c:v>
                      </c:pt>
                      <c:pt idx="31">
                        <c:v>China</c:v>
                      </c:pt>
                      <c:pt idx="32">
                        <c:v>Hungary</c:v>
                      </c:pt>
                      <c:pt idx="33">
                        <c:v>India</c:v>
                      </c:pt>
                      <c:pt idx="34">
                        <c:v>Slovenia</c:v>
                      </c:pt>
                      <c:pt idx="35">
                        <c:v>Turkey</c:v>
                      </c:pt>
                      <c:pt idx="36">
                        <c:v>Poland</c:v>
                      </c:pt>
                      <c:pt idx="37">
                        <c:v>Romania</c:v>
                      </c:pt>
                      <c:pt idx="38">
                        <c:v>Greece</c:v>
                      </c:pt>
                      <c:pt idx="39">
                        <c:v>Spain</c:v>
                      </c:pt>
                      <c:pt idx="40">
                        <c:v>Portugal</c:v>
                      </c:pt>
                    </c:strCache>
                  </c:strRef>
                </c:cat>
                <c:val>
                  <c:numRef>
                    <c:extLst xmlns:c15="http://schemas.microsoft.com/office/drawing/2012/chart">
                      <c:ext xmlns:c15="http://schemas.microsoft.com/office/drawing/2012/chart" uri="{02D57815-91ED-43cb-92C2-25804820EDAC}">
                        <c15:formulaRef>
                          <c15:sqref>'Data Transparency Index'!$G$14:$G$54</c15:sqref>
                        </c15:formulaRef>
                      </c:ext>
                    </c:extLst>
                    <c:numCache>
                      <c:formatCode>0.00</c:formatCode>
                      <c:ptCount val="41"/>
                      <c:pt idx="0">
                        <c:v>1</c:v>
                      </c:pt>
                      <c:pt idx="1">
                        <c:v>0.6875</c:v>
                      </c:pt>
                      <c:pt idx="2">
                        <c:v>0.61414790996784574</c:v>
                      </c:pt>
                      <c:pt idx="3">
                        <c:v>0.5</c:v>
                      </c:pt>
                      <c:pt idx="4">
                        <c:v>0.72727272727272729</c:v>
                      </c:pt>
                      <c:pt idx="5">
                        <c:v>0.82608695652173914</c:v>
                      </c:pt>
                      <c:pt idx="6">
                        <c:v>1</c:v>
                      </c:pt>
                      <c:pt idx="7">
                        <c:v>0.59375</c:v>
                      </c:pt>
                      <c:pt idx="8">
                        <c:v>0.85714285714285721</c:v>
                      </c:pt>
                      <c:pt idx="9">
                        <c:v>1</c:v>
                      </c:pt>
                      <c:pt idx="10">
                        <c:v>0.61538461538461542</c:v>
                      </c:pt>
                      <c:pt idx="11">
                        <c:v>0.13888888888888884</c:v>
                      </c:pt>
                      <c:pt idx="12">
                        <c:v>0.89312977099236646</c:v>
                      </c:pt>
                      <c:pt idx="13">
                        <c:v>1</c:v>
                      </c:pt>
                      <c:pt idx="14">
                        <c:v>0.39130434782608692</c:v>
                      </c:pt>
                      <c:pt idx="15">
                        <c:v>1</c:v>
                      </c:pt>
                      <c:pt idx="16">
                        <c:v>0.25</c:v>
                      </c:pt>
                      <c:pt idx="17">
                        <c:v>1</c:v>
                      </c:pt>
                      <c:pt idx="18">
                        <c:v>0.70175438596491224</c:v>
                      </c:pt>
                      <c:pt idx="19">
                        <c:v>1</c:v>
                      </c:pt>
                      <c:pt idx="20">
                        <c:v>1</c:v>
                      </c:pt>
                      <c:pt idx="21">
                        <c:v>0.33333333333333337</c:v>
                      </c:pt>
                      <c:pt idx="22">
                        <c:v>0.4</c:v>
                      </c:pt>
                      <c:pt idx="23">
                        <c:v>0.69230769230769229</c:v>
                      </c:pt>
                      <c:pt idx="24">
                        <c:v>0.5</c:v>
                      </c:pt>
                      <c:pt idx="25">
                        <c:v>0.4</c:v>
                      </c:pt>
                      <c:pt idx="26">
                        <c:v>1</c:v>
                      </c:pt>
                      <c:pt idx="27">
                        <c:v>0.97499999999999998</c:v>
                      </c:pt>
                      <c:pt idx="28">
                        <c:v>0.5</c:v>
                      </c:pt>
                      <c:pt idx="29">
                        <c:v>1</c:v>
                      </c:pt>
                      <c:pt idx="30">
                        <c:v>0.7857142857142857</c:v>
                      </c:pt>
                      <c:pt idx="31">
                        <c:v>0.66666666666666674</c:v>
                      </c:pt>
                      <c:pt idx="32">
                        <c:v>1</c:v>
                      </c:pt>
                      <c:pt idx="33">
                        <c:v>1</c:v>
                      </c:pt>
                      <c:pt idx="34">
                        <c:v>1</c:v>
                      </c:pt>
                      <c:pt idx="35">
                        <c:v>0.4</c:v>
                      </c:pt>
                      <c:pt idx="36">
                        <c:v>1</c:v>
                      </c:pt>
                      <c:pt idx="37">
                        <c:v>0.6875</c:v>
                      </c:pt>
                      <c:pt idx="38">
                        <c:v>1</c:v>
                      </c:pt>
                      <c:pt idx="39">
                        <c:v>0.73076923076923084</c:v>
                      </c:pt>
                      <c:pt idx="40">
                        <c:v>0.46153846153846156</c:v>
                      </c:pt>
                    </c:numCache>
                  </c:numRef>
                </c:val>
                <c:extLst xmlns:c15="http://schemas.microsoft.com/office/drawing/2012/chart">
                  <c:ext xmlns:c16="http://schemas.microsoft.com/office/drawing/2014/chart" uri="{C3380CC4-5D6E-409C-BE32-E72D297353CC}">
                    <c16:uniqueId val="{00000004-D3AB-4670-9B81-3D2A9CC91224}"/>
                  </c:ext>
                </c:extLst>
              </c15:ser>
            </c15:filteredBarSeries>
          </c:ext>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0"/>
      </c:catAx>
      <c:valAx>
        <c:axId val="450486607"/>
        <c:scaling>
          <c:orientation val="minMax"/>
          <c:max val="5"/>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max"/>
        <c:crossBetween val="between"/>
        <c:minorUnit val="0.5"/>
      </c:valAx>
      <c:spPr>
        <a:noFill/>
        <a:ln>
          <a:noFill/>
        </a:ln>
        <a:effectLst/>
      </c:spPr>
    </c:plotArea>
    <c:legend>
      <c:legendPos val="r"/>
      <c:layout>
        <c:manualLayout>
          <c:xMode val="edge"/>
          <c:yMode val="edge"/>
          <c:x val="0.71472868803438006"/>
          <c:y val="0.48059907550618675"/>
          <c:w val="0.22639390880703103"/>
          <c:h val="7.1980104049493815E-2"/>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54823044686635"/>
          <c:y val="1.4074447230952877E-2"/>
          <c:w val="0.82472750125184413"/>
          <c:h val="0.94124085444144956"/>
        </c:manualLayout>
      </c:layout>
      <c:barChart>
        <c:barDir val="bar"/>
        <c:grouping val="stacked"/>
        <c:varyColors val="0"/>
        <c:ser>
          <c:idx val="0"/>
          <c:order val="0"/>
          <c:tx>
            <c:strRef>
              <c:f>'Fig 11. Military Aid'!$C$11</c:f>
              <c:strCache>
                <c:ptCount val="1"/>
                <c:pt idx="0">
                  <c:v>Military commitments</c:v>
                </c:pt>
              </c:strCache>
            </c:strRef>
          </c:tx>
          <c:spPr>
            <a:solidFill>
              <a:schemeClr val="accent2"/>
            </a:solidFill>
            <a:ln>
              <a:solidFill>
                <a:srgbClr val="000000"/>
              </a:solidFill>
              <a:prstDash val="solid"/>
            </a:ln>
            <a:effectLst/>
          </c:spPr>
          <c:invertIfNegative val="0"/>
          <c:cat>
            <c:strRef>
              <c:f>'Fig 11. Military Aid'!$B$12:$B$31</c:f>
              <c:strCache>
                <c:ptCount val="20"/>
                <c:pt idx="0">
                  <c:v>United States</c:v>
                </c:pt>
                <c:pt idx="1">
                  <c:v>United Kingdom</c:v>
                </c:pt>
                <c:pt idx="2">
                  <c:v>Poland</c:v>
                </c:pt>
                <c:pt idx="3">
                  <c:v>Germany</c:v>
                </c:pt>
                <c:pt idx="4">
                  <c:v>Canada</c:v>
                </c:pt>
                <c:pt idx="5">
                  <c:v>Netherlands</c:v>
                </c:pt>
                <c:pt idx="6">
                  <c:v>Italy</c:v>
                </c:pt>
                <c:pt idx="7">
                  <c:v>France</c:v>
                </c:pt>
                <c:pt idx="8">
                  <c:v>Norway</c:v>
                </c:pt>
                <c:pt idx="9">
                  <c:v>Denmark</c:v>
                </c:pt>
                <c:pt idx="10">
                  <c:v>Sweden</c:v>
                </c:pt>
                <c:pt idx="11">
                  <c:v>Czech Republic</c:v>
                </c:pt>
                <c:pt idx="12">
                  <c:v>Australia</c:v>
                </c:pt>
                <c:pt idx="13">
                  <c:v>Estonia</c:v>
                </c:pt>
                <c:pt idx="14">
                  <c:v>Latvia</c:v>
                </c:pt>
                <c:pt idx="15">
                  <c:v>Lithuania</c:v>
                </c:pt>
                <c:pt idx="16">
                  <c:v>Bulgaria</c:v>
                </c:pt>
                <c:pt idx="17">
                  <c:v>Slovakia</c:v>
                </c:pt>
                <c:pt idx="18">
                  <c:v>Finland</c:v>
                </c:pt>
                <c:pt idx="19">
                  <c:v>Greece</c:v>
                </c:pt>
              </c:strCache>
            </c:strRef>
          </c:cat>
          <c:val>
            <c:numRef>
              <c:f>'Fig 11. Military Aid'!$C$12:$C$31</c:f>
              <c:numCache>
                <c:formatCode>0.00</c:formatCode>
                <c:ptCount val="20"/>
                <c:pt idx="0">
                  <c:v>44.338095238095235</c:v>
                </c:pt>
                <c:pt idx="1">
                  <c:v>4.8864927960823152</c:v>
                </c:pt>
                <c:pt idx="2">
                  <c:v>2.4278310691428571</c:v>
                </c:pt>
                <c:pt idx="3">
                  <c:v>2.3552</c:v>
                </c:pt>
                <c:pt idx="4">
                  <c:v>1.2893734795265364</c:v>
                </c:pt>
                <c:pt idx="5">
                  <c:v>0.85850000000000004</c:v>
                </c:pt>
                <c:pt idx="6">
                  <c:v>0.66091838062565367</c:v>
                </c:pt>
                <c:pt idx="7">
                  <c:v>0.65962732814080649</c:v>
                </c:pt>
                <c:pt idx="8">
                  <c:v>0.59214133326908946</c:v>
                </c:pt>
                <c:pt idx="9">
                  <c:v>0.56299310419019966</c:v>
                </c:pt>
                <c:pt idx="10">
                  <c:v>0.54638815978467004</c:v>
                </c:pt>
                <c:pt idx="11">
                  <c:v>0.46418603077692083</c:v>
                </c:pt>
                <c:pt idx="12">
                  <c:v>0.35821571928007251</c:v>
                </c:pt>
                <c:pt idx="13">
                  <c:v>0.30780000000000002</c:v>
                </c:pt>
                <c:pt idx="14">
                  <c:v>0.29499878461654938</c:v>
                </c:pt>
                <c:pt idx="15">
                  <c:v>0.28000000000000003</c:v>
                </c:pt>
                <c:pt idx="16">
                  <c:v>0.23928827078433376</c:v>
                </c:pt>
                <c:pt idx="17">
                  <c:v>0.2150631199047619</c:v>
                </c:pt>
                <c:pt idx="18">
                  <c:v>0.20669999999999999</c:v>
                </c:pt>
                <c:pt idx="19">
                  <c:v>0.18270229371428573</c:v>
                </c:pt>
              </c:numCache>
            </c:numRef>
          </c:val>
          <c:extLst>
            <c:ext xmlns:c16="http://schemas.microsoft.com/office/drawing/2014/chart" uri="{C3380CC4-5D6E-409C-BE32-E72D297353CC}">
              <c16:uniqueId val="{00000001-6BDE-4AC9-9143-833479749912}"/>
            </c:ext>
          </c:extLst>
        </c:ser>
        <c:dLbls>
          <c:showLegendKey val="0"/>
          <c:showVal val="0"/>
          <c:showCatName val="0"/>
          <c:showSerName val="0"/>
          <c:showPercent val="0"/>
          <c:showBubbleSize val="0"/>
        </c:dLbls>
        <c:gapWidth val="7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max"/>
        <c:crossBetween val="between"/>
      </c:valAx>
      <c:spPr>
        <a:noFill/>
        <a:ln>
          <a:noFill/>
        </a:ln>
        <a:effectLst/>
      </c:spPr>
    </c:plotArea>
    <c:legend>
      <c:legendPos val="r"/>
      <c:layout>
        <c:manualLayout>
          <c:xMode val="edge"/>
          <c:yMode val="edge"/>
          <c:x val="0.32570100612423447"/>
          <c:y val="0.3962431102362205"/>
          <c:w val="0.49870614323935158"/>
          <c:h val="0.15932228783902014"/>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54823044686635"/>
          <c:y val="1.4074447230952877E-2"/>
          <c:w val="0.82472750125184413"/>
          <c:h val="0.94124085444144956"/>
        </c:manualLayout>
      </c:layout>
      <c:barChart>
        <c:barDir val="bar"/>
        <c:grouping val="stacked"/>
        <c:varyColors val="0"/>
        <c:ser>
          <c:idx val="0"/>
          <c:order val="0"/>
          <c:tx>
            <c:strRef>
              <c:f>'Fig 12 Heavy Weapon Ranking'!$C$11</c:f>
              <c:strCache>
                <c:ptCount val="1"/>
                <c:pt idx="0">
                  <c:v>Heavy weapon commitments</c:v>
                </c:pt>
              </c:strCache>
            </c:strRef>
          </c:tx>
          <c:spPr>
            <a:pattFill prst="trellis">
              <a:fgClr>
                <a:schemeClr val="accent2"/>
              </a:fgClr>
              <a:bgClr>
                <a:schemeClr val="bg1"/>
              </a:bgClr>
            </a:pattFill>
            <a:ln>
              <a:solidFill>
                <a:schemeClr val="tx1"/>
              </a:solidFill>
            </a:ln>
            <a:effectLst/>
          </c:spPr>
          <c:invertIfNegative val="0"/>
          <c:cat>
            <c:strRef>
              <c:f>'Fig 12 Heavy Weapon Ranking'!$B$12:$B$31</c:f>
              <c:strCache>
                <c:ptCount val="20"/>
                <c:pt idx="0">
                  <c:v>United States</c:v>
                </c:pt>
                <c:pt idx="1">
                  <c:v>EU Total</c:v>
                </c:pt>
                <c:pt idx="2">
                  <c:v>Germany</c:v>
                </c:pt>
                <c:pt idx="3">
                  <c:v>Poland</c:v>
                </c:pt>
                <c:pt idx="4">
                  <c:v>United Kingdom</c:v>
                </c:pt>
                <c:pt idx="5">
                  <c:v>Italy</c:v>
                </c:pt>
                <c:pt idx="6">
                  <c:v>France</c:v>
                </c:pt>
                <c:pt idx="7">
                  <c:v>Canada</c:v>
                </c:pt>
                <c:pt idx="8">
                  <c:v>Slovakia</c:v>
                </c:pt>
                <c:pt idx="9">
                  <c:v>Australia</c:v>
                </c:pt>
                <c:pt idx="10">
                  <c:v>Czech Republic</c:v>
                </c:pt>
                <c:pt idx="11">
                  <c:v>Netherlands</c:v>
                </c:pt>
                <c:pt idx="12">
                  <c:v>Norway</c:v>
                </c:pt>
                <c:pt idx="13">
                  <c:v>Denmark</c:v>
                </c:pt>
                <c:pt idx="14">
                  <c:v>Slovenia</c:v>
                </c:pt>
                <c:pt idx="15">
                  <c:v>Lithuania</c:v>
                </c:pt>
                <c:pt idx="16">
                  <c:v>Greece</c:v>
                </c:pt>
                <c:pt idx="17">
                  <c:v>Turkey</c:v>
                </c:pt>
                <c:pt idx="18">
                  <c:v>Spain</c:v>
                </c:pt>
                <c:pt idx="19">
                  <c:v>Latvia</c:v>
                </c:pt>
              </c:strCache>
            </c:strRef>
          </c:cat>
          <c:val>
            <c:numRef>
              <c:f>'Fig 12 Heavy Weapon Ranking'!$C$12:$C$31</c:f>
              <c:numCache>
                <c:formatCode>0.00</c:formatCode>
                <c:ptCount val="20"/>
                <c:pt idx="0">
                  <c:v>5.3659054437555378</c:v>
                </c:pt>
                <c:pt idx="1">
                  <c:v>4.3700863097587881</c:v>
                </c:pt>
                <c:pt idx="2">
                  <c:v>1.6539415238713595</c:v>
                </c:pt>
                <c:pt idx="3">
                  <c:v>1.2377157583874072</c:v>
                </c:pt>
                <c:pt idx="4">
                  <c:v>0.93091285199383156</c:v>
                </c:pt>
                <c:pt idx="5">
                  <c:v>0.48658893392919395</c:v>
                </c:pt>
                <c:pt idx="6">
                  <c:v>0.23994038991223493</c:v>
                </c:pt>
                <c:pt idx="7">
                  <c:v>0.22875892108857143</c:v>
                </c:pt>
                <c:pt idx="8">
                  <c:v>0.2149179762190476</c:v>
                </c:pt>
                <c:pt idx="9">
                  <c:v>0.17897142857142856</c:v>
                </c:pt>
                <c:pt idx="10">
                  <c:v>0.16633458636509066</c:v>
                </c:pt>
                <c:pt idx="11">
                  <c:v>0.1478392928647706</c:v>
                </c:pt>
                <c:pt idx="12">
                  <c:v>0.1042005568547837</c:v>
                </c:pt>
                <c:pt idx="13">
                  <c:v>8.9255478938963489E-2</c:v>
                </c:pt>
                <c:pt idx="14">
                  <c:v>4.9459029573333327E-2</c:v>
                </c:pt>
                <c:pt idx="15">
                  <c:v>2.2125601904761902E-2</c:v>
                </c:pt>
                <c:pt idx="16">
                  <c:v>2.1392096380952384E-2</c:v>
                </c:pt>
                <c:pt idx="17">
                  <c:v>1.5974761904761905E-2</c:v>
                </c:pt>
                <c:pt idx="18">
                  <c:v>1.5461333193988659E-2</c:v>
                </c:pt>
                <c:pt idx="19">
                  <c:v>9.9130703308350845E-3</c:v>
                </c:pt>
              </c:numCache>
            </c:numRef>
          </c:val>
          <c:extLst>
            <c:ext xmlns:c16="http://schemas.microsoft.com/office/drawing/2014/chart" uri="{C3380CC4-5D6E-409C-BE32-E72D297353CC}">
              <c16:uniqueId val="{00000000-72CE-4462-8CB7-4CA72B5EB063}"/>
            </c:ext>
          </c:extLst>
        </c:ser>
        <c:dLbls>
          <c:showLegendKey val="0"/>
          <c:showVal val="0"/>
          <c:showCatName val="0"/>
          <c:showSerName val="0"/>
          <c:showPercent val="0"/>
          <c:showBubbleSize val="0"/>
        </c:dLbls>
        <c:gapWidth val="7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max"/>
        <c:crossBetween val="between"/>
      </c:valAx>
      <c:spPr>
        <a:noFill/>
        <a:ln>
          <a:noFill/>
        </a:ln>
        <a:effectLst/>
      </c:spPr>
    </c:plotArea>
    <c:legend>
      <c:legendPos val="r"/>
      <c:layout>
        <c:manualLayout>
          <c:xMode val="edge"/>
          <c:yMode val="edge"/>
          <c:x val="0.53662985557872644"/>
          <c:y val="0.4365675"/>
          <c:w val="0.33053737524077154"/>
          <c:h val="7.7476111111111107E-2"/>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45913487314761"/>
          <c:y val="6.7795148941645761E-3"/>
          <c:w val="0.74761500353857047"/>
          <c:h val="0.86755362542623693"/>
        </c:manualLayout>
      </c:layout>
      <c:barChart>
        <c:barDir val="bar"/>
        <c:grouping val="stacked"/>
        <c:varyColors val="0"/>
        <c:ser>
          <c:idx val="0"/>
          <c:order val="0"/>
          <c:tx>
            <c:strRef>
              <c:f>'[3]Figure military aid gap'!#REF!</c:f>
              <c:strCache>
                <c:ptCount val="1"/>
                <c:pt idx="0">
                  <c:v>#BEZUG!</c:v>
                </c:pt>
              </c:strCache>
            </c:strRef>
          </c:tx>
          <c:spPr>
            <a:solidFill>
              <a:schemeClr val="accent1"/>
            </a:solidFill>
            <a:ln>
              <a:noFill/>
            </a:ln>
            <a:effectLst/>
          </c:spPr>
          <c:invertIfNegative val="0"/>
          <c:dLbls>
            <c:delete val="1"/>
          </c:dLbls>
          <c:cat>
            <c:multiLvlStrRef>
              <c:f>'Fig 13. Weapon Stocks UKR RU'!$B$21:$C$26</c:f>
              <c:multiLvlStrCache>
                <c:ptCount val="6"/>
                <c:lvl>
                  <c:pt idx="0">
                    <c:v>Ukraine (pre-war stocks 
and foreign commitments)</c:v>
                  </c:pt>
                  <c:pt idx="1">
                    <c:v>Russia (pre-war stocks)</c:v>
                  </c:pt>
                  <c:pt idx="2">
                    <c:v>Ukraine (pre-war stocks 
and foreign commitments)</c:v>
                  </c:pt>
                  <c:pt idx="3">
                    <c:v>Russia (pre-war stocks)</c:v>
                  </c:pt>
                  <c:pt idx="4">
                    <c:v>Ukraine (pre-war stocks 
and foreign commitments)</c:v>
                  </c:pt>
                  <c:pt idx="5">
                    <c:v>Russia (pre-war stocks)</c:v>
                  </c:pt>
                </c:lvl>
                <c:lvl>
                  <c:pt idx="0">
                    <c:v>MLRS </c:v>
                  </c:pt>
                  <c:pt idx="2">
                    <c:v>HOWITZERS (155/152mm) </c:v>
                  </c:pt>
                  <c:pt idx="4">
                    <c:v>TANKS </c:v>
                  </c:pt>
                </c:lvl>
              </c:multiLvlStrCache>
            </c:multiLvlStrRef>
          </c:cat>
          <c:val>
            <c:numRef>
              <c:f>'[3]Figure military aid gap'!#REF!</c:f>
              <c:numCache>
                <c:formatCode>General</c:formatCode>
                <c:ptCount val="1"/>
                <c:pt idx="0">
                  <c:v>1</c:v>
                </c:pt>
              </c:numCache>
            </c:numRef>
          </c:val>
          <c:extLst>
            <c:ext xmlns:c16="http://schemas.microsoft.com/office/drawing/2014/chart" uri="{C3380CC4-5D6E-409C-BE32-E72D297353CC}">
              <c16:uniqueId val="{00000000-B327-4DF2-A823-0936A8A3E829}"/>
            </c:ext>
          </c:extLst>
        </c:ser>
        <c:ser>
          <c:idx val="1"/>
          <c:order val="1"/>
          <c:tx>
            <c:strRef>
              <c:f>'Fig 13. Weapon Stocks UKR RU'!$D$20</c:f>
              <c:strCache>
                <c:ptCount val="1"/>
                <c:pt idx="0">
                  <c:v>Ukraine Needs</c:v>
                </c:pt>
              </c:strCache>
            </c:strRef>
          </c:tx>
          <c:spPr>
            <a:solidFill>
              <a:schemeClr val="accent2"/>
            </a:solidFill>
            <a:ln>
              <a:noFill/>
            </a:ln>
            <a:effectLst/>
          </c:spPr>
          <c:invertIfNegative val="0"/>
          <c:dLbls>
            <c:delete val="1"/>
          </c:dLbls>
          <c:cat>
            <c:multiLvlStrRef>
              <c:f>'Fig 13. Weapon Stocks UKR RU'!$B$21:$C$26</c:f>
              <c:multiLvlStrCache>
                <c:ptCount val="6"/>
                <c:lvl>
                  <c:pt idx="0">
                    <c:v>Ukraine (pre-war stocks 
and foreign commitments)</c:v>
                  </c:pt>
                  <c:pt idx="1">
                    <c:v>Russia (pre-war stocks)</c:v>
                  </c:pt>
                  <c:pt idx="2">
                    <c:v>Ukraine (pre-war stocks 
and foreign commitments)</c:v>
                  </c:pt>
                  <c:pt idx="3">
                    <c:v>Russia (pre-war stocks)</c:v>
                  </c:pt>
                  <c:pt idx="4">
                    <c:v>Ukraine (pre-war stocks 
and foreign commitments)</c:v>
                  </c:pt>
                  <c:pt idx="5">
                    <c:v>Russia (pre-war stocks)</c:v>
                  </c:pt>
                </c:lvl>
                <c:lvl>
                  <c:pt idx="0">
                    <c:v>MLRS </c:v>
                  </c:pt>
                  <c:pt idx="2">
                    <c:v>HOWITZERS (155/152mm) </c:v>
                  </c:pt>
                  <c:pt idx="4">
                    <c:v>TANKS </c:v>
                  </c:pt>
                </c:lvl>
              </c:multiLvlStrCache>
            </c:multiLvlStrRef>
          </c:cat>
          <c:val>
            <c:numRef>
              <c:f>'Fig 13. Weapon Stocks UKR RU'!$D$21:$D$26</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B327-4DF2-A823-0936A8A3E829}"/>
            </c:ext>
          </c:extLst>
        </c:ser>
        <c:ser>
          <c:idx val="5"/>
          <c:order val="2"/>
          <c:tx>
            <c:strRef>
              <c:f>'Fig 13. Weapon Stocks UKR RU'!$G$20</c:f>
              <c:strCache>
                <c:ptCount val="1"/>
                <c:pt idx="0">
                  <c:v>Ukrainian stock (pre-war)</c:v>
                </c:pt>
              </c:strCache>
            </c:strRef>
          </c:tx>
          <c:spPr>
            <a:solidFill>
              <a:schemeClr val="accent3">
                <a:lumMod val="75000"/>
              </a:schemeClr>
            </a:solidFill>
            <a:ln>
              <a:solidFill>
                <a:sysClr val="windowText" lastClr="000000"/>
              </a:solidFill>
            </a:ln>
            <a:effectLst/>
          </c:spPr>
          <c:invertIfNegative val="0"/>
          <c:dPt>
            <c:idx val="0"/>
            <c:invertIfNegative val="0"/>
            <c:bubble3D val="0"/>
            <c:extLst>
              <c:ext xmlns:c16="http://schemas.microsoft.com/office/drawing/2014/chart" uri="{C3380CC4-5D6E-409C-BE32-E72D297353CC}">
                <c16:uniqueId val="{00000003-B327-4DF2-A823-0936A8A3E829}"/>
              </c:ext>
            </c:extLst>
          </c:dPt>
          <c:dPt>
            <c:idx val="2"/>
            <c:invertIfNegative val="0"/>
            <c:bubble3D val="0"/>
            <c:extLst>
              <c:ext xmlns:c16="http://schemas.microsoft.com/office/drawing/2014/chart" uri="{C3380CC4-5D6E-409C-BE32-E72D297353CC}">
                <c16:uniqueId val="{00000005-B327-4DF2-A823-0936A8A3E829}"/>
              </c:ext>
            </c:extLst>
          </c:dPt>
          <c:dPt>
            <c:idx val="4"/>
            <c:invertIfNegative val="0"/>
            <c:bubble3D val="0"/>
            <c:extLst>
              <c:ext xmlns:c16="http://schemas.microsoft.com/office/drawing/2014/chart" uri="{C3380CC4-5D6E-409C-BE32-E72D297353CC}">
                <c16:uniqueId val="{00000007-B327-4DF2-A823-0936A8A3E829}"/>
              </c:ext>
            </c:extLst>
          </c:dPt>
          <c:dLbls>
            <c:delete val="1"/>
          </c:dLbls>
          <c:cat>
            <c:multiLvlStrRef>
              <c:f>'Fig 13. Weapon Stocks UKR RU'!$B$21:$C$26</c:f>
              <c:multiLvlStrCache>
                <c:ptCount val="6"/>
                <c:lvl>
                  <c:pt idx="0">
                    <c:v>Ukraine (pre-war stocks 
and foreign commitments)</c:v>
                  </c:pt>
                  <c:pt idx="1">
                    <c:v>Russia (pre-war stocks)</c:v>
                  </c:pt>
                  <c:pt idx="2">
                    <c:v>Ukraine (pre-war stocks 
and foreign commitments)</c:v>
                  </c:pt>
                  <c:pt idx="3">
                    <c:v>Russia (pre-war stocks)</c:v>
                  </c:pt>
                  <c:pt idx="4">
                    <c:v>Ukraine (pre-war stocks 
and foreign commitments)</c:v>
                  </c:pt>
                  <c:pt idx="5">
                    <c:v>Russia (pre-war stocks)</c:v>
                  </c:pt>
                </c:lvl>
                <c:lvl>
                  <c:pt idx="0">
                    <c:v>MLRS </c:v>
                  </c:pt>
                  <c:pt idx="2">
                    <c:v>HOWITZERS (155/152mm) </c:v>
                  </c:pt>
                  <c:pt idx="4">
                    <c:v>TANKS </c:v>
                  </c:pt>
                </c:lvl>
              </c:multiLvlStrCache>
            </c:multiLvlStrRef>
          </c:cat>
          <c:val>
            <c:numRef>
              <c:f>'Fig 13. Weapon Stocks UKR RU'!$G$21:$G$26</c:f>
              <c:numCache>
                <c:formatCode>#,##0</c:formatCode>
                <c:ptCount val="6"/>
                <c:pt idx="0">
                  <c:v>354</c:v>
                </c:pt>
                <c:pt idx="1">
                  <c:v>0</c:v>
                </c:pt>
                <c:pt idx="2">
                  <c:v>773</c:v>
                </c:pt>
                <c:pt idx="3">
                  <c:v>0</c:v>
                </c:pt>
                <c:pt idx="4">
                  <c:v>987</c:v>
                </c:pt>
                <c:pt idx="5">
                  <c:v>0</c:v>
                </c:pt>
              </c:numCache>
            </c:numRef>
          </c:val>
          <c:extLst>
            <c:ext xmlns:c16="http://schemas.microsoft.com/office/drawing/2014/chart" uri="{C3380CC4-5D6E-409C-BE32-E72D297353CC}">
              <c16:uniqueId val="{0000000A-B327-4DF2-A823-0936A8A3E829}"/>
            </c:ext>
          </c:extLst>
        </c:ser>
        <c:ser>
          <c:idx val="2"/>
          <c:order val="3"/>
          <c:tx>
            <c:strRef>
              <c:f>'Fig 13. Weapon Stocks UKR RU'!$E$20</c:f>
              <c:strCache>
                <c:ptCount val="1"/>
                <c:pt idx="0">
                  <c:v>Delivered</c:v>
                </c:pt>
              </c:strCache>
            </c:strRef>
          </c:tx>
          <c:spPr>
            <a:solidFill>
              <a:srgbClr val="A50021"/>
            </a:solidFill>
            <a:ln>
              <a:solidFill>
                <a:schemeClr val="tx1"/>
              </a:solidFill>
            </a:ln>
            <a:effectLst/>
          </c:spPr>
          <c:invertIfNegative val="0"/>
          <c:dPt>
            <c:idx val="0"/>
            <c:invertIfNegative val="0"/>
            <c:bubble3D val="0"/>
            <c:spPr>
              <a:solidFill>
                <a:schemeClr val="accent4">
                  <a:lumMod val="75000"/>
                </a:schemeClr>
              </a:solidFill>
              <a:ln>
                <a:solidFill>
                  <a:sysClr val="windowText" lastClr="000000"/>
                </a:solidFill>
              </a:ln>
              <a:effectLst/>
            </c:spPr>
            <c:extLst>
              <c:ext xmlns:c16="http://schemas.microsoft.com/office/drawing/2014/chart" uri="{C3380CC4-5D6E-409C-BE32-E72D297353CC}">
                <c16:uniqueId val="{0000000C-B327-4DF2-A823-0936A8A3E829}"/>
              </c:ext>
            </c:extLst>
          </c:dPt>
          <c:dPt>
            <c:idx val="1"/>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E-B327-4DF2-A823-0936A8A3E829}"/>
              </c:ext>
            </c:extLst>
          </c:dPt>
          <c:dPt>
            <c:idx val="2"/>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10-B327-4DF2-A823-0936A8A3E829}"/>
              </c:ext>
            </c:extLst>
          </c:dPt>
          <c:dPt>
            <c:idx val="3"/>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12-B327-4DF2-A823-0936A8A3E829}"/>
              </c:ext>
            </c:extLst>
          </c:dPt>
          <c:dPt>
            <c:idx val="4"/>
            <c:invertIfNegative val="0"/>
            <c:bubble3D val="0"/>
            <c:spPr>
              <a:solidFill>
                <a:schemeClr val="accent5">
                  <a:lumMod val="75000"/>
                </a:schemeClr>
              </a:solidFill>
              <a:ln>
                <a:solidFill>
                  <a:schemeClr val="tx1"/>
                </a:solidFill>
              </a:ln>
              <a:effectLst/>
            </c:spPr>
            <c:extLst>
              <c:ext xmlns:c16="http://schemas.microsoft.com/office/drawing/2014/chart" uri="{C3380CC4-5D6E-409C-BE32-E72D297353CC}">
                <c16:uniqueId val="{00000014-B327-4DF2-A823-0936A8A3E829}"/>
              </c:ext>
            </c:extLst>
          </c:dPt>
          <c:dPt>
            <c:idx val="5"/>
            <c:invertIfNegative val="0"/>
            <c:bubble3D val="0"/>
            <c:spPr>
              <a:solidFill>
                <a:schemeClr val="accent5">
                  <a:lumMod val="75000"/>
                </a:schemeClr>
              </a:solidFill>
              <a:ln>
                <a:solidFill>
                  <a:schemeClr val="tx1"/>
                </a:solidFill>
              </a:ln>
              <a:effectLst/>
            </c:spPr>
            <c:extLst>
              <c:ext xmlns:c16="http://schemas.microsoft.com/office/drawing/2014/chart" uri="{C3380CC4-5D6E-409C-BE32-E72D297353CC}">
                <c16:uniqueId val="{00000016-B327-4DF2-A823-0936A8A3E829}"/>
              </c:ext>
            </c:extLst>
          </c:dPt>
          <c:dLbls>
            <c:dLbl>
              <c:idx val="0"/>
              <c:layout>
                <c:manualLayout>
                  <c:x val="0.10015523914858493"/>
                  <c:y val="-2.6113166467936166E-2"/>
                </c:manualLayout>
              </c:layout>
              <c:tx>
                <c:rich>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8AF22093-9CD0-4021-BB64-B080A5864365}" type="VALUE">
                      <a:rPr lang="en-US" sz="1800"/>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t>[WERT]</a:t>
                    </a:fld>
                    <a:r>
                      <a:rPr lang="en-US" sz="1800"/>
                      <a:t> delivered</a:t>
                    </a:r>
                  </a:p>
                </c:rich>
              </c:tx>
              <c:spPr>
                <a:solidFill>
                  <a:schemeClr val="bg1"/>
                </a:solid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B327-4DF2-A823-0936A8A3E829}"/>
                </c:ext>
              </c:extLst>
            </c:dLbl>
            <c:dLbl>
              <c:idx val="1"/>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de-DE"/>
                </a:p>
              </c:txPr>
              <c:showLegendKey val="0"/>
              <c:showVal val="1"/>
              <c:showCatName val="0"/>
              <c:showSerName val="0"/>
              <c:showPercent val="0"/>
              <c:showBubbleSize val="0"/>
              <c:extLst>
                <c:ext xmlns:c16="http://schemas.microsoft.com/office/drawing/2014/chart" uri="{C3380CC4-5D6E-409C-BE32-E72D297353CC}">
                  <c16:uniqueId val="{0000000E-B327-4DF2-A823-0936A8A3E829}"/>
                </c:ext>
              </c:extLst>
            </c:dLbl>
            <c:dLbl>
              <c:idx val="2"/>
              <c:layout>
                <c:manualLayout>
                  <c:x val="0.15532553165954793"/>
                  <c:y val="-9.47359365275844E-3"/>
                </c:manualLayout>
              </c:layout>
              <c:tx>
                <c:rich>
                  <a:bodyPr rot="0" spcFirstLastPara="1" vertOverflow="ellipsis" vert="horz" wrap="square" lIns="38100" tIns="19050" rIns="38100" bIns="19050" anchor="ctr" anchorCtr="1">
                    <a:noAutofit/>
                  </a:bodyPr>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C485DAC0-FF3A-4812-8A7B-30494FDE0261}" type="VALUE">
                      <a:rPr lang="en-US" sz="1800"/>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t>[WERT]</a:t>
                    </a:fld>
                    <a:r>
                      <a:rPr lang="en-US" sz="1800" baseline="0"/>
                      <a:t> delivered</a:t>
                    </a:r>
                  </a:p>
                </c:rich>
              </c:tx>
              <c:spPr>
                <a:solidFill>
                  <a:schemeClr val="bg1"/>
                </a:solidFill>
                <a:ln>
                  <a:noFill/>
                </a:ln>
                <a:effectLst/>
              </c:spPr>
              <c:dLblPos val="ctr"/>
              <c:showLegendKey val="0"/>
              <c:showVal val="1"/>
              <c:showCatName val="0"/>
              <c:showSerName val="0"/>
              <c:showPercent val="0"/>
              <c:showBubbleSize val="0"/>
              <c:extLst>
                <c:ext xmlns:c15="http://schemas.microsoft.com/office/drawing/2012/chart" uri="{CE6537A1-D6FC-4f65-9D91-7224C49458BB}">
                  <c15:layout>
                    <c:manualLayout>
                      <c:w val="0.17913794785587794"/>
                      <c:h val="4.433875134898306E-2"/>
                    </c:manualLayout>
                  </c15:layout>
                  <c15:dlblFieldTable/>
                  <c15:showDataLabelsRange val="0"/>
                </c:ext>
                <c:ext xmlns:c16="http://schemas.microsoft.com/office/drawing/2014/chart" uri="{C3380CC4-5D6E-409C-BE32-E72D297353CC}">
                  <c16:uniqueId val="{00000010-B327-4DF2-A823-0936A8A3E829}"/>
                </c:ext>
              </c:extLst>
            </c:dLbl>
            <c:dLbl>
              <c:idx val="3"/>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de-DE"/>
                </a:p>
              </c:txPr>
              <c:showLegendKey val="0"/>
              <c:showVal val="1"/>
              <c:showCatName val="0"/>
              <c:showSerName val="0"/>
              <c:showPercent val="0"/>
              <c:showBubbleSize val="0"/>
              <c:extLst>
                <c:ext xmlns:c16="http://schemas.microsoft.com/office/drawing/2014/chart" uri="{C3380CC4-5D6E-409C-BE32-E72D297353CC}">
                  <c16:uniqueId val="{00000012-B327-4DF2-A823-0936A8A3E829}"/>
                </c:ext>
              </c:extLst>
            </c:dLbl>
            <c:dLbl>
              <c:idx val="4"/>
              <c:layout>
                <c:manualLayout>
                  <c:x val="0.12626295854044117"/>
                  <c:y val="-9.1445472367786551E-3"/>
                </c:manualLayout>
              </c:layout>
              <c:tx>
                <c:rich>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A47FA1D6-E8A5-409D-BEF5-52836AB158E9}" type="VALUE">
                      <a:rPr lang="en-US" sz="1800"/>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t>[WERT]</a:t>
                    </a:fld>
                    <a:r>
                      <a:rPr lang="en-US" sz="1800"/>
                      <a:t> delivered</a:t>
                    </a:r>
                  </a:p>
                </c:rich>
              </c:tx>
              <c:spPr>
                <a:solidFill>
                  <a:schemeClr val="bg1"/>
                </a:solid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B327-4DF2-A823-0936A8A3E829}"/>
                </c:ext>
              </c:extLst>
            </c:dLbl>
            <c:dLbl>
              <c:idx val="5"/>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de-DE"/>
                </a:p>
              </c:txPr>
              <c:showLegendKey val="0"/>
              <c:showVal val="1"/>
              <c:showCatName val="0"/>
              <c:showSerName val="0"/>
              <c:showPercent val="0"/>
              <c:showBubbleSize val="0"/>
              <c:extLst>
                <c:ext xmlns:c16="http://schemas.microsoft.com/office/drawing/2014/chart" uri="{C3380CC4-5D6E-409C-BE32-E72D297353CC}">
                  <c16:uniqueId val="{00000016-B327-4DF2-A823-0936A8A3E829}"/>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 13. Weapon Stocks UKR RU'!$B$21:$C$26</c:f>
              <c:multiLvlStrCache>
                <c:ptCount val="6"/>
                <c:lvl>
                  <c:pt idx="0">
                    <c:v>Ukraine (pre-war stocks 
and foreign commitments)</c:v>
                  </c:pt>
                  <c:pt idx="1">
                    <c:v>Russia (pre-war stocks)</c:v>
                  </c:pt>
                  <c:pt idx="2">
                    <c:v>Ukraine (pre-war stocks 
and foreign commitments)</c:v>
                  </c:pt>
                  <c:pt idx="3">
                    <c:v>Russia (pre-war stocks)</c:v>
                  </c:pt>
                  <c:pt idx="4">
                    <c:v>Ukraine (pre-war stocks 
and foreign commitments)</c:v>
                  </c:pt>
                  <c:pt idx="5">
                    <c:v>Russia (pre-war stocks)</c:v>
                  </c:pt>
                </c:lvl>
                <c:lvl>
                  <c:pt idx="0">
                    <c:v>MLRS </c:v>
                  </c:pt>
                  <c:pt idx="2">
                    <c:v>HOWITZERS (155/152mm) </c:v>
                  </c:pt>
                  <c:pt idx="4">
                    <c:v>TANKS </c:v>
                  </c:pt>
                </c:lvl>
              </c:multiLvlStrCache>
            </c:multiLvlStrRef>
          </c:cat>
          <c:val>
            <c:numRef>
              <c:f>'Fig 13. Weapon Stocks UKR RU'!$E$21:$E$26</c:f>
              <c:numCache>
                <c:formatCode>#,##0</c:formatCode>
                <c:ptCount val="6"/>
                <c:pt idx="0">
                  <c:v>49</c:v>
                </c:pt>
                <c:pt idx="1">
                  <c:v>1056</c:v>
                </c:pt>
                <c:pt idx="2">
                  <c:v>287</c:v>
                </c:pt>
                <c:pt idx="3">
                  <c:v>2304</c:v>
                </c:pt>
                <c:pt idx="4">
                  <c:v>368</c:v>
                </c:pt>
                <c:pt idx="5">
                  <c:v>3417</c:v>
                </c:pt>
              </c:numCache>
            </c:numRef>
          </c:val>
          <c:extLst>
            <c:ext xmlns:c16="http://schemas.microsoft.com/office/drawing/2014/chart" uri="{C3380CC4-5D6E-409C-BE32-E72D297353CC}">
              <c16:uniqueId val="{0000001B-B327-4DF2-A823-0936A8A3E829}"/>
            </c:ext>
          </c:extLst>
        </c:ser>
        <c:ser>
          <c:idx val="3"/>
          <c:order val="4"/>
          <c:tx>
            <c:strRef>
              <c:f>'[3]Figure military aid gap'!#REF!</c:f>
              <c:strCache>
                <c:ptCount val="1"/>
                <c:pt idx="0">
                  <c:v>#BEZUG!</c:v>
                </c:pt>
              </c:strCache>
            </c:strRef>
          </c:tx>
          <c:spPr>
            <a:solidFill>
              <a:schemeClr val="accent4"/>
            </a:solidFill>
            <a:ln>
              <a:noFill/>
            </a:ln>
            <a:effectLst/>
          </c:spPr>
          <c:invertIfNegative val="0"/>
          <c:dLbls>
            <c:delete val="1"/>
          </c:dLbls>
          <c:cat>
            <c:multiLvlStrRef>
              <c:f>'Fig 13. Weapon Stocks UKR RU'!$B$21:$C$26</c:f>
              <c:multiLvlStrCache>
                <c:ptCount val="6"/>
                <c:lvl>
                  <c:pt idx="0">
                    <c:v>Ukraine (pre-war stocks 
and foreign commitments)</c:v>
                  </c:pt>
                  <c:pt idx="1">
                    <c:v>Russia (pre-war stocks)</c:v>
                  </c:pt>
                  <c:pt idx="2">
                    <c:v>Ukraine (pre-war stocks 
and foreign commitments)</c:v>
                  </c:pt>
                  <c:pt idx="3">
                    <c:v>Russia (pre-war stocks)</c:v>
                  </c:pt>
                  <c:pt idx="4">
                    <c:v>Ukraine (pre-war stocks 
and foreign commitments)</c:v>
                  </c:pt>
                  <c:pt idx="5">
                    <c:v>Russia (pre-war stocks)</c:v>
                  </c:pt>
                </c:lvl>
                <c:lvl>
                  <c:pt idx="0">
                    <c:v>MLRS </c:v>
                  </c:pt>
                  <c:pt idx="2">
                    <c:v>HOWITZERS (155/152mm) </c:v>
                  </c:pt>
                  <c:pt idx="4">
                    <c:v>TANKS </c:v>
                  </c:pt>
                </c:lvl>
              </c:multiLvlStrCache>
            </c:multiLvlStrRef>
          </c:cat>
          <c:val>
            <c:numRef>
              <c:f>'[3]Figure military aid gap'!#REF!</c:f>
              <c:numCache>
                <c:formatCode>General</c:formatCode>
                <c:ptCount val="1"/>
                <c:pt idx="0">
                  <c:v>1</c:v>
                </c:pt>
              </c:numCache>
            </c:numRef>
          </c:val>
          <c:extLst>
            <c:ext xmlns:c16="http://schemas.microsoft.com/office/drawing/2014/chart" uri="{C3380CC4-5D6E-409C-BE32-E72D297353CC}">
              <c16:uniqueId val="{0000001C-B327-4DF2-A823-0936A8A3E829}"/>
            </c:ext>
          </c:extLst>
        </c:ser>
        <c:ser>
          <c:idx val="4"/>
          <c:order val="5"/>
          <c:tx>
            <c:strRef>
              <c:f>'Fig 13. Weapon Stocks UKR RU'!$F$20</c:f>
              <c:strCache>
                <c:ptCount val="1"/>
                <c:pt idx="0">
                  <c:v>To be Delivered</c:v>
                </c:pt>
              </c:strCache>
            </c:strRef>
          </c:tx>
          <c:spPr>
            <a:solidFill>
              <a:schemeClr val="accent4">
                <a:lumMod val="60000"/>
                <a:lumOff val="40000"/>
              </a:schemeClr>
            </a:solidFill>
            <a:ln>
              <a:solidFill>
                <a:sysClr val="windowText" lastClr="000000"/>
              </a:solidFill>
            </a:ln>
            <a:effectLst/>
          </c:spPr>
          <c:invertIfNegative val="0"/>
          <c:dPt>
            <c:idx val="2"/>
            <c:invertIfNegative val="0"/>
            <c:bubble3D val="0"/>
            <c:spPr>
              <a:solidFill>
                <a:schemeClr val="accent2">
                  <a:lumMod val="60000"/>
                  <a:lumOff val="40000"/>
                </a:schemeClr>
              </a:solidFill>
              <a:ln>
                <a:solidFill>
                  <a:sysClr val="windowText" lastClr="000000"/>
                </a:solidFill>
              </a:ln>
              <a:effectLst/>
            </c:spPr>
            <c:extLst>
              <c:ext xmlns:c16="http://schemas.microsoft.com/office/drawing/2014/chart" uri="{C3380CC4-5D6E-409C-BE32-E72D297353CC}">
                <c16:uniqueId val="{0000001E-B327-4DF2-A823-0936A8A3E829}"/>
              </c:ext>
            </c:extLst>
          </c:dPt>
          <c:dPt>
            <c:idx val="4"/>
            <c:invertIfNegative val="0"/>
            <c:bubble3D val="0"/>
            <c:spPr>
              <a:solidFill>
                <a:schemeClr val="accent5">
                  <a:lumMod val="60000"/>
                  <a:lumOff val="40000"/>
                </a:schemeClr>
              </a:solidFill>
              <a:ln>
                <a:solidFill>
                  <a:sysClr val="windowText" lastClr="000000"/>
                </a:solidFill>
              </a:ln>
              <a:effectLst/>
            </c:spPr>
            <c:extLst>
              <c:ext xmlns:c16="http://schemas.microsoft.com/office/drawing/2014/chart" uri="{C3380CC4-5D6E-409C-BE32-E72D297353CC}">
                <c16:uniqueId val="{00000022-B327-4DF2-A823-0936A8A3E829}"/>
              </c:ext>
            </c:extLst>
          </c:dPt>
          <c:dLbls>
            <c:dLbl>
              <c:idx val="0"/>
              <c:layout>
                <c:manualLayout>
                  <c:x val="9.3326270729131897E-2"/>
                  <c:y val="5.4586077720249976E-3"/>
                </c:manualLayout>
              </c:layout>
              <c:tx>
                <c:rich>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B70E7E38-CFD1-46E7-A7BF-906913A05262}" type="VALUE">
                      <a:rPr lang="en-US" sz="1800"/>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t>[WERT]</a:t>
                    </a:fld>
                    <a:r>
                      <a:rPr lang="en-US" sz="1800"/>
                      <a:t> to</a:t>
                    </a:r>
                    <a:r>
                      <a:rPr lang="en-US" sz="1800" baseline="0"/>
                      <a:t> be delivered</a:t>
                    </a:r>
                  </a:p>
                </c:rich>
              </c:tx>
              <c:spPr>
                <a:solidFill>
                  <a:schemeClr val="bg1"/>
                </a:solid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B327-4DF2-A823-0936A8A3E829}"/>
                </c:ext>
              </c:extLst>
            </c:dLbl>
            <c:dLbl>
              <c:idx val="2"/>
              <c:layout>
                <c:manualLayout>
                  <c:x val="0.14262576582516873"/>
                  <c:y val="2.5641367033062069E-2"/>
                </c:manualLayout>
              </c:layout>
              <c:tx>
                <c:rich>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3D3C3175-461E-42B7-B8CE-E447B98D9BBD}" type="VALUE">
                      <a:rPr lang="en-US" sz="1800"/>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t>[WERT]</a:t>
                    </a:fld>
                    <a:r>
                      <a:rPr lang="en-US" sz="1800"/>
                      <a:t> to be delivered</a:t>
                    </a:r>
                  </a:p>
                </c:rich>
              </c:tx>
              <c:spPr>
                <a:solidFill>
                  <a:schemeClr val="bg1"/>
                </a:solid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E-B327-4DF2-A823-0936A8A3E829}"/>
                </c:ext>
              </c:extLst>
            </c:dLbl>
            <c:dLbl>
              <c:idx val="4"/>
              <c:layout>
                <c:manualLayout>
                  <c:x val="0.11329323742559219"/>
                  <c:y val="2.5744827612321605E-2"/>
                </c:manualLayout>
              </c:layout>
              <c:tx>
                <c:rich>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641F5540-61D3-499A-9F6F-FD089FCFB2BB}" type="VALUE">
                      <a:rPr lang="en-US" sz="1800"/>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t>[WERT]</a:t>
                    </a:fld>
                    <a:r>
                      <a:rPr lang="en-US" sz="1800"/>
                      <a:t> to be delivered</a:t>
                    </a:r>
                  </a:p>
                </c:rich>
              </c:tx>
              <c:spPr>
                <a:solidFill>
                  <a:schemeClr val="bg1"/>
                </a:solid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2-B327-4DF2-A823-0936A8A3E829}"/>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 13. Weapon Stocks UKR RU'!$B$21:$C$26</c:f>
              <c:multiLvlStrCache>
                <c:ptCount val="6"/>
                <c:lvl>
                  <c:pt idx="0">
                    <c:v>Ukraine (pre-war stocks 
and foreign commitments)</c:v>
                  </c:pt>
                  <c:pt idx="1">
                    <c:v>Russia (pre-war stocks)</c:v>
                  </c:pt>
                  <c:pt idx="2">
                    <c:v>Ukraine (pre-war stocks 
and foreign commitments)</c:v>
                  </c:pt>
                  <c:pt idx="3">
                    <c:v>Russia (pre-war stocks)</c:v>
                  </c:pt>
                  <c:pt idx="4">
                    <c:v>Ukraine (pre-war stocks 
and foreign commitments)</c:v>
                  </c:pt>
                  <c:pt idx="5">
                    <c:v>Russia (pre-war stocks)</c:v>
                  </c:pt>
                </c:lvl>
                <c:lvl>
                  <c:pt idx="0">
                    <c:v>MLRS </c:v>
                  </c:pt>
                  <c:pt idx="2">
                    <c:v>HOWITZERS (155/152mm) </c:v>
                  </c:pt>
                  <c:pt idx="4">
                    <c:v>TANKS </c:v>
                  </c:pt>
                </c:lvl>
              </c:multiLvlStrCache>
            </c:multiLvlStrRef>
          </c:cat>
          <c:val>
            <c:numRef>
              <c:f>'Fig 13. Weapon Stocks UKR RU'!$F$21:$F$26</c:f>
              <c:numCache>
                <c:formatCode>#,##0</c:formatCode>
                <c:ptCount val="6"/>
                <c:pt idx="0">
                  <c:v>27</c:v>
                </c:pt>
                <c:pt idx="1">
                  <c:v>0</c:v>
                </c:pt>
                <c:pt idx="2">
                  <c:v>128</c:v>
                </c:pt>
                <c:pt idx="3">
                  <c:v>0</c:v>
                </c:pt>
                <c:pt idx="4">
                  <c:v>104</c:v>
                </c:pt>
                <c:pt idx="5">
                  <c:v>0</c:v>
                </c:pt>
              </c:numCache>
            </c:numRef>
          </c:val>
          <c:extLst>
            <c:ext xmlns:c16="http://schemas.microsoft.com/office/drawing/2014/chart" uri="{C3380CC4-5D6E-409C-BE32-E72D297353CC}">
              <c16:uniqueId val="{00000023-B327-4DF2-A823-0936A8A3E829}"/>
            </c:ext>
          </c:extLst>
        </c:ser>
        <c:dLbls>
          <c:dLblPos val="ctr"/>
          <c:showLegendKey val="0"/>
          <c:showVal val="1"/>
          <c:showCatName val="0"/>
          <c:showSerName val="0"/>
          <c:showPercent val="0"/>
          <c:showBubbleSize val="0"/>
        </c:dLbls>
        <c:gapWidth val="60"/>
        <c:overlap val="100"/>
        <c:axId val="214395776"/>
        <c:axId val="214398272"/>
      </c:barChart>
      <c:catAx>
        <c:axId val="214395776"/>
        <c:scaling>
          <c:orientation val="minMax"/>
        </c:scaling>
        <c:delete val="0"/>
        <c:axPos val="l"/>
        <c:numFmt formatCode="General" sourceLinked="1"/>
        <c:majorTickMark val="none"/>
        <c:minorTickMark val="none"/>
        <c:tickLblPos val="nextTo"/>
        <c:spPr>
          <a:noFill/>
          <a:ln w="12700" cap="sq" cmpd="sng" algn="ctr">
            <a:solidFill>
              <a:schemeClr val="tx1"/>
            </a:solidFill>
            <a:round/>
            <a:headEnd type="none"/>
          </a:ln>
          <a:effectLst/>
        </c:spPr>
        <c:txPr>
          <a:bodyPr rot="-6000000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214398272"/>
        <c:crosses val="autoZero"/>
        <c:auto val="1"/>
        <c:lblAlgn val="ctr"/>
        <c:lblOffset val="100"/>
        <c:noMultiLvlLbl val="0"/>
      </c:catAx>
      <c:valAx>
        <c:axId val="214398272"/>
        <c:scaling>
          <c:orientation val="minMax"/>
          <c:max val="4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2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2000" baseline="0"/>
                  <a:t>number of items</a:t>
                </a:r>
                <a:endParaRPr lang="en-GB" sz="2000"/>
              </a:p>
            </c:rich>
          </c:tx>
          <c:layout>
            <c:manualLayout>
              <c:xMode val="edge"/>
              <c:yMode val="edge"/>
              <c:x val="0.78390548995429066"/>
              <c:y val="0.8183244025208245"/>
            </c:manualLayout>
          </c:layout>
          <c:overlay val="0"/>
          <c:spPr>
            <a:solidFill>
              <a:schemeClr val="bg1"/>
            </a:solidFill>
            <a:ln>
              <a:noFill/>
            </a:ln>
            <a:effectLst/>
          </c:spPr>
        </c:title>
        <c:numFmt formatCode="#,##0" sourceLinked="0"/>
        <c:majorTickMark val="none"/>
        <c:minorTickMark val="none"/>
        <c:tickLblPos val="nextTo"/>
        <c:spPr>
          <a:noFill/>
          <a:ln w="12700">
            <a:solidFill>
              <a:schemeClr val="dk1"/>
            </a:solidFill>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2143957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de-DE"/>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24550381763470286"/>
          <c:y val="6.7125898120854829E-2"/>
          <c:w val="0.71855607419583578"/>
          <c:h val="0.87303664006198278"/>
        </c:manualLayout>
      </c:layout>
      <c:barChart>
        <c:barDir val="bar"/>
        <c:grouping val="stacked"/>
        <c:varyColors val="0"/>
        <c:ser>
          <c:idx val="8"/>
          <c:order val="0"/>
          <c:tx>
            <c:strRef>
              <c:f>'Fig 14. NATO Stocks'!$I$11</c:f>
              <c:strCache>
                <c:ptCount val="1"/>
                <c:pt idx="0">
                  <c:v>Others (EU)</c:v>
                </c:pt>
              </c:strCache>
            </c:strRef>
          </c:tx>
          <c:spPr>
            <a:solidFill>
              <a:schemeClr val="accent2">
                <a:lumMod val="20000"/>
                <a:lumOff val="80000"/>
              </a:schemeClr>
            </a:solidFill>
            <a:ln>
              <a:solidFill>
                <a:schemeClr val="tx1"/>
              </a:solidFill>
            </a:ln>
            <a:effectLst/>
          </c:spPr>
          <c:invertIfNegative val="0"/>
          <c:dLbls>
            <c:dLbl>
              <c:idx val="1"/>
              <c:layout>
                <c:manualLayout>
                  <c:x val="0.29340959147945522"/>
                  <c:y val="-2.2285353535353536E-4"/>
                </c:manualLayout>
              </c:layout>
              <c:tx>
                <c:rich>
                  <a:bodyPr/>
                  <a:lstStyle/>
                  <a:p>
                    <a:fld id="{6D78501F-2FFB-409D-8628-989BD953E4F9}" type="CELLREF">
                      <a:rPr lang="en-US"/>
                      <a:pPr/>
                      <a:t>[ZELLBEZ]</a:t>
                    </a:fld>
                    <a:r>
                      <a:rPr lang="en-US"/>
                      <a:t> in stock</a:t>
                    </a: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{6D78501F-2FFB-409D-8628-989BD953E4F9}</c15:txfldGUID>
                      <c15:f>'Fig 14. NATO Stocks'!$Q$13</c15:f>
                      <c15:dlblFieldTableCache>
                        <c:ptCount val="1"/>
                        <c:pt idx="0">
                          <c:v>5907</c:v>
                        </c:pt>
                      </c15:dlblFieldTableCache>
                    </c15:dlblFTEntry>
                  </c15:dlblFieldTable>
                  <c15:showDataLabelsRange val="0"/>
                </c:ext>
                <c:ext xmlns:c16="http://schemas.microsoft.com/office/drawing/2014/chart" uri="{C3380CC4-5D6E-409C-BE32-E72D297353CC}">
                  <c16:uniqueId val="{00000000-DD3B-4594-9ACF-C158048B557E}"/>
                </c:ext>
              </c:extLst>
            </c:dLbl>
            <c:dLbl>
              <c:idx val="2"/>
              <c:delete val="1"/>
              <c:extLst>
                <c:ext xmlns:c15="http://schemas.microsoft.com/office/drawing/2012/chart" uri="{CE6537A1-D6FC-4f65-9D91-7224C49458BB}"/>
                <c:ext xmlns:c16="http://schemas.microsoft.com/office/drawing/2014/chart" uri="{C3380CC4-5D6E-409C-BE32-E72D297353CC}">
                  <c16:uniqueId val="{00000001-DD3B-4594-9ACF-C158048B557E}"/>
                </c:ext>
              </c:extLst>
            </c:dLbl>
            <c:dLbl>
              <c:idx val="4"/>
              <c:layout>
                <c:manualLayout>
                  <c:x val="0.17997183103307846"/>
                  <c:y val="-2.2844503032968641E-3"/>
                </c:manualLayout>
              </c:layout>
              <c:tx>
                <c:rich>
                  <a:bodyPr/>
                  <a:lstStyle/>
                  <a:p>
                    <a:fld id="{AE9064B9-D7DE-4652-B88C-A978175DAF92}" type="CELLREF">
                      <a:rPr lang="en-US"/>
                      <a:pPr/>
                      <a:t>[ZELLBEZ]</a:t>
                    </a:fld>
                    <a:r>
                      <a:rPr lang="en-US"/>
                      <a:t> in stock</a:t>
                    </a: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{AE9064B9-D7DE-4652-B88C-A978175DAF92}</c15:txfldGUID>
                      <c15:f>'Fig 14. NATO Stocks'!$Q$16</c15:f>
                      <c15:dlblFieldTableCache>
                        <c:ptCount val="1"/>
                        <c:pt idx="0">
                          <c:v>2528</c:v>
                        </c:pt>
                      </c15:dlblFieldTableCache>
                    </c15:dlblFTEntry>
                  </c15:dlblFieldTable>
                  <c15:showDataLabelsRange val="0"/>
                </c:ext>
                <c:ext xmlns:c16="http://schemas.microsoft.com/office/drawing/2014/chart" uri="{C3380CC4-5D6E-409C-BE32-E72D297353CC}">
                  <c16:uniqueId val="{00000002-DD3B-4594-9ACF-C158048B557E}"/>
                </c:ext>
              </c:extLst>
            </c:dLbl>
            <c:dLbl>
              <c:idx val="5"/>
              <c:layout>
                <c:manualLayout>
                  <c:x val="0.12494535231432716"/>
                  <c:y val="4.383470644568007E-3"/>
                </c:manualLayout>
              </c:layout>
              <c:tx>
                <c:rich>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a:t>197 delivered, 50 to be</a:t>
                    </a:r>
                    <a:r>
                      <a:rPr lang="en-US" sz="1400" baseline="0"/>
                      <a:t> delivered</a:t>
                    </a:r>
                    <a:br>
                      <a:rPr lang="en-US" sz="1400"/>
                    </a:br>
                    <a:r>
                      <a:rPr lang="en-US" sz="1400" b="0" i="0" u="none" strike="noStrike" kern="1200" baseline="0">
                        <a:solidFill>
                          <a:sysClr val="windowText" lastClr="000000"/>
                        </a:solidFill>
                        <a:latin typeface="Times New Roman" panose="02020603050405020304" pitchFamily="18" charset="0"/>
                        <a:cs typeface="Times New Roman" panose="02020603050405020304" pitchFamily="18" charset="0"/>
                      </a:rPr>
                      <a:t>(4% of NATO + EU stocks)</a:t>
                    </a:r>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15:layout>
                    <c:manualLayout>
                      <c:w val="0.2086787222096752"/>
                      <c:h val="0.10091979680013198"/>
                    </c:manualLayout>
                  </c15:layout>
                </c:ext>
                <c:ext xmlns:c16="http://schemas.microsoft.com/office/drawing/2014/chart" uri="{C3380CC4-5D6E-409C-BE32-E72D297353CC}">
                  <c16:uniqueId val="{00000003-DD3B-4594-9ACF-C158048B557E}"/>
                </c:ext>
              </c:extLst>
            </c:dLbl>
            <c:dLbl>
              <c:idx val="7"/>
              <c:layout>
                <c:manualLayout>
                  <c:x val="0.13897105091776873"/>
                  <c:y val="-0.10348364898989899"/>
                </c:manualLayout>
              </c:layout>
              <c:tx>
                <c:rich>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fld id="{C5F4FB82-0DB1-4132-AE92-19CC1774861A}" type="CELLREF">
                      <a:rPr lang="en-US" sz="1400"/>
                      <a:pPr>
                        <a:defRPr sz="1400"/>
                      </a:pPr>
                      <a:t>[ZELLBEZ]</a:t>
                    </a:fld>
                    <a:r>
                      <a:rPr lang="en-US" sz="1400"/>
                      <a:t> delivered,</a:t>
                    </a:r>
                    <a:r>
                      <a:rPr lang="en-US" sz="1400" baseline="0"/>
                      <a:t> </a:t>
                    </a:r>
                    <a:fld id="{761BC125-D16A-421A-AEFF-19A63FC59010}" type="CELLREF">
                      <a:rPr lang="en-US" sz="1400" baseline="0"/>
                      <a:pPr>
                        <a:defRPr sz="1400"/>
                      </a:pPr>
                      <a:t>[ZELLBEZ]</a:t>
                    </a:fld>
                    <a:r>
                      <a:rPr lang="en-US" sz="1400" baseline="0"/>
                      <a:t> to be delivered</a:t>
                    </a:r>
                    <a:br>
                      <a:rPr lang="en-US" sz="1400"/>
                    </a:br>
                    <a:r>
                      <a:rPr lang="en-US" sz="1400" b="0" i="0" u="none" strike="noStrike" kern="1200" baseline="0">
                        <a:solidFill>
                          <a:sysClr val="windowText" lastClr="000000"/>
                        </a:solidFill>
                        <a:latin typeface="Times New Roman" panose="02020603050405020304" pitchFamily="18" charset="0"/>
                        <a:cs typeface="Times New Roman" panose="02020603050405020304" pitchFamily="18" charset="0"/>
                      </a:rPr>
                      <a:t>(</a:t>
                    </a:r>
                    <a:fld id="{8F3E64C5-CA88-46FC-AC05-67E6D6565B6D}" type="CELLREF">
                      <a:rPr lang="en-US" sz="1400" b="0" i="0" u="none" strike="noStrike" kern="1200" baseline="0">
                        <a:solidFill>
                          <a:sysClr val="windowText" lastClr="000000"/>
                        </a:solidFill>
                        <a:latin typeface="Times New Roman" panose="02020603050405020304" pitchFamily="18" charset="0"/>
                        <a:cs typeface="Times New Roman" panose="02020603050405020304" pitchFamily="18" charset="0"/>
                      </a:rPr>
                      <a:pPr>
                        <a:defRPr sz="1400"/>
                      </a:pPr>
                      <a:t>[ZELLBEZ]</a:t>
                    </a:fld>
                    <a:r>
                      <a:rPr lang="en-US" sz="1400" b="0" i="0" u="none" strike="noStrike" kern="1200" baseline="0">
                        <a:solidFill>
                          <a:sysClr val="windowText" lastClr="000000"/>
                        </a:solidFill>
                        <a:latin typeface="Times New Roman" panose="02020603050405020304" pitchFamily="18" charset="0"/>
                        <a:cs typeface="Times New Roman" panose="02020603050405020304" pitchFamily="18" charset="0"/>
                      </a:rPr>
                      <a:t> of NATO + EU stocks)</a:t>
                    </a:r>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15:layout>
                    <c:manualLayout>
                      <c:w val="0.26523877255522799"/>
                      <c:h val="9.8916035353535339E-2"/>
                    </c:manualLayout>
                  </c15:layout>
                  <c15:dlblFieldTable>
                    <c15:dlblFTEntry>
                      <c15:txfldGUID>{C5F4FB82-0DB1-4132-AE92-19CC1774861A}</c15:txfldGUID>
                      <c15:f>'Fig 14. NATO Stocks'!$P$20</c15:f>
                      <c15:dlblFieldTableCache>
                        <c:ptCount val="1"/>
                        <c:pt idx="0">
                          <c:v>49</c:v>
                        </c:pt>
                      </c15:dlblFieldTableCache>
                    </c15:dlblFTEntry>
                    <c15:dlblFTEntry>
                      <c15:txfldGUID>{761BC125-D16A-421A-AEFF-19A63FC59010}</c15:txfldGUID>
                      <c15:f>'Fig 14. NATO Stocks'!$O$20</c15:f>
                      <c15:dlblFieldTableCache>
                        <c:ptCount val="1"/>
                        <c:pt idx="0">
                          <c:v>27</c:v>
                        </c:pt>
                      </c15:dlblFieldTableCache>
                    </c15:dlblFTEntry>
                    <c15:dlblFTEntry>
                      <c15:txfldGUID>{8F3E64C5-CA88-46FC-AC05-67E6D6565B6D}</c15:txfldGUID>
                      <c15:f>'Fig 14. NATO Stocks'!$R$20</c15:f>
                      <c15:dlblFieldTableCache>
                        <c:ptCount val="1"/>
                        <c:pt idx="0">
                          <c:v>5%</c:v>
                        </c:pt>
                      </c15:dlblFieldTableCache>
                    </c15:dlblFTEntry>
                  </c15:dlblFieldTable>
                  <c15:showDataLabelsRange val="0"/>
                </c:ext>
                <c:ext xmlns:c16="http://schemas.microsoft.com/office/drawing/2014/chart" uri="{C3380CC4-5D6E-409C-BE32-E72D297353CC}">
                  <c16:uniqueId val="{00000004-DD3B-4594-9ACF-C158048B557E}"/>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 14.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14. NATO Stocks'!$I$12:$I$19</c:f>
              <c:numCache>
                <c:formatCode>General</c:formatCode>
                <c:ptCount val="8"/>
                <c:pt idx="1">
                  <c:v>2849</c:v>
                </c:pt>
                <c:pt idx="4">
                  <c:v>1242</c:v>
                </c:pt>
                <c:pt idx="7">
                  <c:v>295</c:v>
                </c:pt>
              </c:numCache>
            </c:numRef>
          </c:val>
          <c:extLst>
            <c:ext xmlns:c16="http://schemas.microsoft.com/office/drawing/2014/chart" uri="{C3380CC4-5D6E-409C-BE32-E72D297353CC}">
              <c16:uniqueId val="{00000005-DD3B-4594-9ACF-C158048B557E}"/>
            </c:ext>
          </c:extLst>
        </c:ser>
        <c:ser>
          <c:idx val="4"/>
          <c:order val="1"/>
          <c:tx>
            <c:strRef>
              <c:f>'Fig 14. NATO Stocks'!$H$11</c:f>
              <c:strCache>
                <c:ptCount val="1"/>
                <c:pt idx="0">
                  <c:v>Italy</c:v>
                </c:pt>
              </c:strCache>
            </c:strRef>
          </c:tx>
          <c:spPr>
            <a:solidFill>
              <a:schemeClr val="accent2">
                <a:shade val="71000"/>
              </a:schemeClr>
            </a:solidFill>
            <a:ln>
              <a:solidFill>
                <a:sysClr val="windowText" lastClr="000000"/>
              </a:solidFill>
            </a:ln>
            <a:effectLst/>
          </c:spPr>
          <c:invertIfNegative val="0"/>
          <c:cat>
            <c:multiLvlStrRef>
              <c:f>'Fig 14.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14. NATO Stocks'!$H$12:$H$20</c:f>
              <c:numCache>
                <c:formatCode>General</c:formatCode>
                <c:ptCount val="9"/>
                <c:pt idx="4">
                  <c:v>263</c:v>
                </c:pt>
              </c:numCache>
            </c:numRef>
          </c:val>
          <c:extLst>
            <c:ext xmlns:c16="http://schemas.microsoft.com/office/drawing/2014/chart" uri="{C3380CC4-5D6E-409C-BE32-E72D297353CC}">
              <c16:uniqueId val="{00000006-DD3B-4594-9ACF-C158048B557E}"/>
            </c:ext>
          </c:extLst>
        </c:ser>
        <c:ser>
          <c:idx val="2"/>
          <c:order val="2"/>
          <c:tx>
            <c:strRef>
              <c:f>'Fig 14. NATO Stocks'!$G$11</c:f>
              <c:strCache>
                <c:ptCount val="1"/>
                <c:pt idx="0">
                  <c:v>Romania</c:v>
                </c:pt>
              </c:strCache>
            </c:strRef>
          </c:tx>
          <c:spPr>
            <a:solidFill>
              <a:schemeClr val="accent2">
                <a:shade val="54000"/>
              </a:schemeClr>
            </a:solidFill>
            <a:ln>
              <a:noFill/>
            </a:ln>
            <a:effectLst/>
          </c:spPr>
          <c:invertIfNegative val="0"/>
          <c:dPt>
            <c:idx val="4"/>
            <c:invertIfNegative val="0"/>
            <c:bubble3D val="0"/>
            <c:spPr>
              <a:solidFill>
                <a:schemeClr val="accent2">
                  <a:shade val="54000"/>
                </a:schemeClr>
              </a:solidFill>
              <a:ln>
                <a:solidFill>
                  <a:sysClr val="windowText" lastClr="000000"/>
                </a:solidFill>
              </a:ln>
              <a:effectLst/>
            </c:spPr>
            <c:extLst>
              <c:ext xmlns:c16="http://schemas.microsoft.com/office/drawing/2014/chart" uri="{C3380CC4-5D6E-409C-BE32-E72D297353CC}">
                <c16:uniqueId val="{00000008-DD3B-4594-9ACF-C158048B557E}"/>
              </c:ext>
            </c:extLst>
          </c:dPt>
          <c:dPt>
            <c:idx val="7"/>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A-DD3B-4594-9ACF-C158048B557E}"/>
              </c:ext>
            </c:extLst>
          </c:dPt>
          <c:dLbls>
            <c:dLbl>
              <c:idx val="4"/>
              <c:tx>
                <c:rich>
                  <a:bodyPr/>
                  <a:lstStyle/>
                  <a:p>
                    <a:fld id="{A8ECBEE9-18D6-43D0-9287-7F2807D4E308}" type="CELLREF">
                      <a:rPr lang="en-US" sz="1000">
                        <a:solidFill>
                          <a:schemeClr val="bg1"/>
                        </a:solidFill>
                      </a:rPr>
                      <a:pPr/>
                      <a:t>[ZELLBEZ]</a:t>
                    </a:fld>
                    <a:endParaRPr lang="de-DE"/>
                  </a:p>
                </c:rich>
              </c:tx>
              <c:showLegendKey val="0"/>
              <c:showVal val="1"/>
              <c:showCatName val="0"/>
              <c:showSerName val="0"/>
              <c:showPercent val="0"/>
              <c:showBubbleSize val="0"/>
              <c:extLst>
                <c:ext xmlns:c15="http://schemas.microsoft.com/office/drawing/2012/chart" uri="{CE6537A1-D6FC-4f65-9D91-7224C49458BB}">
                  <c15:dlblFieldTable>
                    <c15:dlblFTEntry>
                      <c15:txfldGUID>{A8ECBEE9-18D6-43D0-9287-7F2807D4E308}</c15:txfldGUID>
                      <c15:f>'Fig 14. NATO Stocks'!$G$21</c15:f>
                      <c15:dlblFieldTableCache>
                        <c:ptCount val="1"/>
                        <c:pt idx="0">
                          <c:v>RO</c:v>
                        </c:pt>
                      </c15:dlblFieldTableCache>
                    </c15:dlblFTEntry>
                  </c15:dlblFieldTable>
                  <c15:showDataLabelsRange val="0"/>
                </c:ext>
                <c:ext xmlns:c16="http://schemas.microsoft.com/office/drawing/2014/chart" uri="{C3380CC4-5D6E-409C-BE32-E72D297353CC}">
                  <c16:uniqueId val="{00000008-DD3B-4594-9ACF-C158048B557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 14.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14. NATO Stocks'!$G$12:$G$20</c:f>
              <c:numCache>
                <c:formatCode>General</c:formatCode>
                <c:ptCount val="9"/>
                <c:pt idx="4">
                  <c:v>351</c:v>
                </c:pt>
                <c:pt idx="7">
                  <c:v>188</c:v>
                </c:pt>
              </c:numCache>
            </c:numRef>
          </c:val>
          <c:extLst>
            <c:ext xmlns:c16="http://schemas.microsoft.com/office/drawing/2014/chart" uri="{C3380CC4-5D6E-409C-BE32-E72D297353CC}">
              <c16:uniqueId val="{0000000B-DD3B-4594-9ACF-C158048B557E}"/>
            </c:ext>
          </c:extLst>
        </c:ser>
        <c:ser>
          <c:idx val="1"/>
          <c:order val="3"/>
          <c:tx>
            <c:strRef>
              <c:f>'Fig 14. NATO Stocks'!$F$11</c:f>
              <c:strCache>
                <c:ptCount val="1"/>
                <c:pt idx="0">
                  <c:v>Germany</c:v>
                </c:pt>
              </c:strCache>
            </c:strRef>
          </c:tx>
          <c:spPr>
            <a:solidFill>
              <a:schemeClr val="accent2">
                <a:shade val="46000"/>
              </a:schemeClr>
            </a:solidFill>
            <a:ln>
              <a:solidFill>
                <a:schemeClr val="tx1"/>
              </a:solidFill>
            </a:ln>
            <a:effectLst/>
          </c:spPr>
          <c:invertIfNegative val="0"/>
          <c:dLbls>
            <c:dLbl>
              <c:idx val="1"/>
              <c:tx>
                <c:rich>
                  <a:bodyPr/>
                  <a:lstStyle/>
                  <a:p>
                    <a:fld id="{75094B65-876E-402E-B461-C0B3F7C1F466}" type="CELLREF">
                      <a:rPr lang="en-US">
                        <a:solidFill>
                          <a:schemeClr val="bg1"/>
                        </a:solidFill>
                      </a:rPr>
                      <a:pPr/>
                      <a:t>[ZELLBEZ]</a:t>
                    </a:fld>
                    <a:endParaRPr lang="de-DE"/>
                  </a:p>
                </c:rich>
              </c:tx>
              <c:showLegendKey val="0"/>
              <c:showVal val="1"/>
              <c:showCatName val="0"/>
              <c:showSerName val="0"/>
              <c:showPercent val="0"/>
              <c:showBubbleSize val="0"/>
              <c:extLst>
                <c:ext xmlns:c15="http://schemas.microsoft.com/office/drawing/2012/chart" uri="{CE6537A1-D6FC-4f65-9D91-7224C49458BB}">
                  <c15:dlblFieldTable>
                    <c15:dlblFTEntry>
                      <c15:txfldGUID>{75094B65-876E-402E-B461-C0B3F7C1F466}</c15:txfldGUID>
                      <c15:f>'Fig 14. NATO Stocks'!$F$21</c15:f>
                      <c15:dlblFieldTableCache>
                        <c:ptCount val="1"/>
                        <c:pt idx="0">
                          <c:v>DE</c:v>
                        </c:pt>
                      </c15:dlblFieldTableCache>
                    </c15:dlblFTEntry>
                  </c15:dlblFieldTable>
                  <c15:showDataLabelsRange val="0"/>
                </c:ext>
                <c:ext xmlns:c16="http://schemas.microsoft.com/office/drawing/2014/chart" uri="{C3380CC4-5D6E-409C-BE32-E72D297353CC}">
                  <c16:uniqueId val="{0000000C-DD3B-4594-9ACF-C158048B557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 14.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14. NATO Stocks'!$F$12:$F$20</c:f>
              <c:numCache>
                <c:formatCode>General</c:formatCode>
                <c:ptCount val="9"/>
                <c:pt idx="1">
                  <c:v>619</c:v>
                </c:pt>
              </c:numCache>
            </c:numRef>
          </c:val>
          <c:extLst>
            <c:ext xmlns:c16="http://schemas.microsoft.com/office/drawing/2014/chart" uri="{C3380CC4-5D6E-409C-BE32-E72D297353CC}">
              <c16:uniqueId val="{0000000D-DD3B-4594-9ACF-C158048B557E}"/>
            </c:ext>
          </c:extLst>
        </c:ser>
        <c:ser>
          <c:idx val="3"/>
          <c:order val="4"/>
          <c:tx>
            <c:strRef>
              <c:f>'Fig 14. NATO Stocks'!$E$11</c:f>
              <c:strCache>
                <c:ptCount val="1"/>
                <c:pt idx="0">
                  <c:v>Poland</c:v>
                </c:pt>
              </c:strCache>
            </c:strRef>
          </c:tx>
          <c:spPr>
            <a:solidFill>
              <a:schemeClr val="accent2">
                <a:lumMod val="75000"/>
              </a:schemeClr>
            </a:solidFill>
            <a:ln>
              <a:solidFill>
                <a:schemeClr val="tx1"/>
              </a:solidFill>
            </a:ln>
            <a:effectLst/>
          </c:spPr>
          <c:invertIfNegative val="0"/>
          <c:dLbls>
            <c:dLbl>
              <c:idx val="1"/>
              <c:tx>
                <c:rich>
                  <a:bodyPr/>
                  <a:lstStyle/>
                  <a:p>
                    <a:fld id="{0D5323CA-3CC5-457F-973D-8F60CB2BDECB}" type="CELLREF">
                      <a:rPr lang="en-US" sz="1200">
                        <a:solidFill>
                          <a:schemeClr val="bg1"/>
                        </a:solidFill>
                      </a:rPr>
                      <a:pPr/>
                      <a:t>[ZELLBEZ]</a:t>
                    </a:fld>
                    <a:endParaRPr lang="de-DE"/>
                  </a:p>
                </c:rich>
              </c:tx>
              <c:showLegendKey val="0"/>
              <c:showVal val="1"/>
              <c:showCatName val="0"/>
              <c:showSerName val="0"/>
              <c:showPercent val="0"/>
              <c:showBubbleSize val="0"/>
              <c:extLst>
                <c:ext xmlns:c15="http://schemas.microsoft.com/office/drawing/2012/chart" uri="{CE6537A1-D6FC-4f65-9D91-7224C49458BB}">
                  <c15:dlblFieldTable>
                    <c15:dlblFTEntry>
                      <c15:txfldGUID>{0D5323CA-3CC5-457F-973D-8F60CB2BDECB}</c15:txfldGUID>
                      <c15:f>'Fig 14. NATO Stocks'!$E$21</c15:f>
                      <c15:dlblFieldTableCache>
                        <c:ptCount val="1"/>
                        <c:pt idx="0">
                          <c:v>PL</c:v>
                        </c:pt>
                      </c15:dlblFieldTableCache>
                    </c15:dlblFTEntry>
                  </c15:dlblFieldTable>
                  <c15:showDataLabelsRange val="0"/>
                </c:ext>
                <c:ext xmlns:c16="http://schemas.microsoft.com/office/drawing/2014/chart" uri="{C3380CC4-5D6E-409C-BE32-E72D297353CC}">
                  <c16:uniqueId val="{0000000E-DD3B-4594-9ACF-C158048B557E}"/>
                </c:ext>
              </c:extLst>
            </c:dLbl>
            <c:dLbl>
              <c:idx val="7"/>
              <c:layout>
                <c:manualLayout>
                  <c:x val="6.1489317069142013E-2"/>
                  <c:y val="-3.2313073595540928E-3"/>
                </c:manualLayout>
              </c:layout>
              <c:tx>
                <c:rich>
                  <a:bodyPr/>
                  <a:lstStyle/>
                  <a:p>
                    <a:fld id="{8C6EF808-7D4E-427C-8739-5B1736057ED4}" type="CELLREF">
                      <a:rPr lang="en-US"/>
                      <a:pPr/>
                      <a:t>[ZELLBEZ]</a:t>
                    </a:fld>
                    <a:r>
                      <a:rPr lang="en-US"/>
                      <a:t> in stock</a:t>
                    </a:r>
                  </a:p>
                </c:rich>
              </c:tx>
              <c:showLegendKey val="0"/>
              <c:showVal val="1"/>
              <c:showCatName val="0"/>
              <c:showSerName val="0"/>
              <c:showPercent val="0"/>
              <c:showBubbleSize val="0"/>
              <c:extLst>
                <c:ext xmlns:c15="http://schemas.microsoft.com/office/drawing/2012/chart" uri="{CE6537A1-D6FC-4f65-9D91-7224C49458BB}">
                  <c15:dlblFieldTable>
                    <c15:dlblFTEntry>
                      <c15:txfldGUID>{8C6EF808-7D4E-427C-8739-5B1736057ED4}</c15:txfldGUID>
                      <c15:f>'Fig 14. NATO Stocks'!$Q$19</c15:f>
                      <c15:dlblFieldTableCache>
                        <c:ptCount val="1"/>
                        <c:pt idx="0">
                          <c:v>807</c:v>
                        </c:pt>
                      </c15:dlblFieldTableCache>
                    </c15:dlblFTEntry>
                  </c15:dlblFieldTable>
                  <c15:showDataLabelsRange val="0"/>
                </c:ext>
                <c:ext xmlns:c16="http://schemas.microsoft.com/office/drawing/2014/chart" uri="{C3380CC4-5D6E-409C-BE32-E72D297353CC}">
                  <c16:uniqueId val="{0000000F-DD3B-4594-9ACF-C158048B557E}"/>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 14.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14. NATO Stocks'!$E$12:$E$20</c:f>
              <c:numCache>
                <c:formatCode>General</c:formatCode>
                <c:ptCount val="9"/>
                <c:pt idx="1">
                  <c:v>1028</c:v>
                </c:pt>
                <c:pt idx="7">
                  <c:v>179</c:v>
                </c:pt>
              </c:numCache>
            </c:numRef>
          </c:val>
          <c:extLst>
            <c:ext xmlns:c16="http://schemas.microsoft.com/office/drawing/2014/chart" uri="{C3380CC4-5D6E-409C-BE32-E72D297353CC}">
              <c16:uniqueId val="{00000010-DD3B-4594-9ACF-C158048B557E}"/>
            </c:ext>
          </c:extLst>
        </c:ser>
        <c:ser>
          <c:idx val="0"/>
          <c:order val="5"/>
          <c:tx>
            <c:strRef>
              <c:f>'Fig 14. NATO Stocks'!$D$11</c:f>
              <c:strCache>
                <c:ptCount val="1"/>
                <c:pt idx="0">
                  <c:v>Greece</c:v>
                </c:pt>
              </c:strCache>
            </c:strRef>
          </c:tx>
          <c:spPr>
            <a:solidFill>
              <a:schemeClr val="accent2">
                <a:shade val="38000"/>
              </a:schemeClr>
            </a:solidFill>
            <a:ln>
              <a:solidFill>
                <a:schemeClr val="tx1"/>
              </a:solidFill>
            </a:ln>
            <a:effectLst/>
          </c:spPr>
          <c:invertIfNegative val="0"/>
          <c:dLbls>
            <c:dLbl>
              <c:idx val="1"/>
              <c:tx>
                <c:rich>
                  <a:bodyPr/>
                  <a:lstStyle/>
                  <a:p>
                    <a:fld id="{27B196E0-A6A5-4F1A-9956-BC2CE36A4ABC}" type="CELLREF">
                      <a:rPr lang="en-US">
                        <a:solidFill>
                          <a:schemeClr val="bg1"/>
                        </a:solidFill>
                      </a:rPr>
                      <a:pPr/>
                      <a:t>[ZELLBEZ]</a:t>
                    </a:fld>
                    <a:endParaRPr lang="de-DE"/>
                  </a:p>
                </c:rich>
              </c:tx>
              <c:showLegendKey val="0"/>
              <c:showVal val="1"/>
              <c:showCatName val="0"/>
              <c:showSerName val="0"/>
              <c:showPercent val="0"/>
              <c:showBubbleSize val="0"/>
              <c:extLst>
                <c:ext xmlns:c15="http://schemas.microsoft.com/office/drawing/2012/chart" uri="{CE6537A1-D6FC-4f65-9D91-7224C49458BB}">
                  <c15:dlblFieldTable>
                    <c15:dlblFTEntry>
                      <c15:txfldGUID>{27B196E0-A6A5-4F1A-9956-BC2CE36A4ABC}</c15:txfldGUID>
                      <c15:f>'Fig 14. NATO Stocks'!$D$21</c15:f>
                      <c15:dlblFieldTableCache>
                        <c:ptCount val="1"/>
                        <c:pt idx="0">
                          <c:v>GR</c:v>
                        </c:pt>
                      </c15:dlblFieldTableCache>
                    </c15:dlblFTEntry>
                  </c15:dlblFieldTable>
                  <c15:showDataLabelsRange val="0"/>
                </c:ext>
                <c:ext xmlns:c16="http://schemas.microsoft.com/office/drawing/2014/chart" uri="{C3380CC4-5D6E-409C-BE32-E72D297353CC}">
                  <c16:uniqueId val="{00000011-DD3B-4594-9ACF-C158048B557E}"/>
                </c:ext>
              </c:extLst>
            </c:dLbl>
            <c:dLbl>
              <c:idx val="4"/>
              <c:tx>
                <c:rich>
                  <a:bodyPr/>
                  <a:lstStyle/>
                  <a:p>
                    <a:fld id="{390E6E91-5FC4-4034-8141-77A66FC23AA6}" type="CELLREF">
                      <a:rPr lang="en-US" sz="1000">
                        <a:solidFill>
                          <a:schemeClr val="bg1"/>
                        </a:solidFill>
                      </a:rPr>
                      <a:pPr/>
                      <a:t>[ZELLBEZ]</a:t>
                    </a:fld>
                    <a:endParaRPr lang="de-DE"/>
                  </a:p>
                </c:rich>
              </c:tx>
              <c:showLegendKey val="0"/>
              <c:showVal val="1"/>
              <c:showCatName val="0"/>
              <c:showSerName val="0"/>
              <c:showPercent val="0"/>
              <c:showBubbleSize val="0"/>
              <c:extLst>
                <c:ext xmlns:c15="http://schemas.microsoft.com/office/drawing/2012/chart" uri="{CE6537A1-D6FC-4f65-9D91-7224C49458BB}">
                  <c15:dlblFieldTable>
                    <c15:dlblFTEntry>
                      <c15:txfldGUID>{390E6E91-5FC4-4034-8141-77A66FC23AA6}</c15:txfldGUID>
                      <c15:f>'Fig 14. NATO Stocks'!$D$21</c15:f>
                      <c15:dlblFieldTableCache>
                        <c:ptCount val="1"/>
                        <c:pt idx="0">
                          <c:v>GR</c:v>
                        </c:pt>
                      </c15:dlblFieldTableCache>
                    </c15:dlblFTEntry>
                  </c15:dlblFieldTable>
                  <c15:showDataLabelsRange val="0"/>
                </c:ext>
                <c:ext xmlns:c16="http://schemas.microsoft.com/office/drawing/2014/chart" uri="{C3380CC4-5D6E-409C-BE32-E72D297353CC}">
                  <c16:uniqueId val="{00000012-DD3B-4594-9ACF-C158048B557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 14.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14. NATO Stocks'!$D$12:$D$20</c:f>
              <c:numCache>
                <c:formatCode>General</c:formatCode>
                <c:ptCount val="9"/>
                <c:pt idx="1">
                  <c:v>1411</c:v>
                </c:pt>
                <c:pt idx="4">
                  <c:v>672</c:v>
                </c:pt>
                <c:pt idx="7">
                  <c:v>145</c:v>
                </c:pt>
              </c:numCache>
            </c:numRef>
          </c:val>
          <c:extLst>
            <c:ext xmlns:c16="http://schemas.microsoft.com/office/drawing/2014/chart" uri="{C3380CC4-5D6E-409C-BE32-E72D297353CC}">
              <c16:uniqueId val="{00000013-DD3B-4594-9ACF-C158048B557E}"/>
            </c:ext>
          </c:extLst>
        </c:ser>
        <c:ser>
          <c:idx val="13"/>
          <c:order val="6"/>
          <c:tx>
            <c:strRef>
              <c:f>'Fig 14. NATO Stocks'!$N$11</c:f>
              <c:strCache>
                <c:ptCount val="1"/>
                <c:pt idx="0">
                  <c:v>Others (NATO)</c:v>
                </c:pt>
              </c:strCache>
            </c:strRef>
          </c:tx>
          <c:spPr>
            <a:solidFill>
              <a:schemeClr val="accent1">
                <a:lumMod val="20000"/>
                <a:lumOff val="80000"/>
              </a:schemeClr>
            </a:solidFill>
            <a:ln>
              <a:solidFill>
                <a:sysClr val="windowText" lastClr="000000"/>
              </a:solidFill>
            </a:ln>
            <a:effectLst/>
          </c:spPr>
          <c:invertIfNegative val="0"/>
          <c:dLbls>
            <c:dLbl>
              <c:idx val="0"/>
              <c:layout>
                <c:manualLayout>
                  <c:x val="0.67436890879922728"/>
                  <c:y val="6.172756440828655E-7"/>
                </c:manualLayout>
              </c:layout>
              <c:tx>
                <c:rich>
                  <a:bodyPr/>
                  <a:lstStyle/>
                  <a:p>
                    <a:fld id="{BEE4D986-EF9B-4FD2-91FD-698BD7DA9049}" type="CELLREF">
                      <a:rPr lang="en-US"/>
                      <a:pPr/>
                      <a:t>[ZELLBEZ]</a:t>
                    </a:fld>
                    <a:r>
                      <a:rPr lang="en-US"/>
                      <a:t> in stock</a:t>
                    </a: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{BEE4D986-EF9B-4FD2-91FD-698BD7DA9049}</c15:txfldGUID>
                      <c15:f>'Fig 14. NATO Stocks'!$Q$12</c15:f>
                      <c15:dlblFieldTableCache>
                        <c:ptCount val="1"/>
                        <c:pt idx="0">
                          <c:v>11961</c:v>
                        </c:pt>
                      </c15:dlblFieldTableCache>
                    </c15:dlblFTEntry>
                  </c15:dlblFieldTable>
                  <c15:showDataLabelsRange val="0"/>
                </c:ext>
                <c:ext xmlns:c16="http://schemas.microsoft.com/office/drawing/2014/chart" uri="{C3380CC4-5D6E-409C-BE32-E72D297353CC}">
                  <c16:uniqueId val="{00000014-DD3B-4594-9ACF-C158048B557E}"/>
                </c:ext>
              </c:extLst>
            </c:dLbl>
            <c:dLbl>
              <c:idx val="2"/>
              <c:layout>
                <c:manualLayout>
                  <c:x val="0.10918456608291952"/>
                  <c:y val="-4.2691325649410047E-3"/>
                </c:manualLayout>
              </c:layout>
              <c:tx>
                <c:rich>
                  <a:bodyPr/>
                  <a:lstStyle/>
                  <a:p>
                    <a:r>
                      <a:rPr lang="en-US" sz="1400"/>
                      <a:t>252 delivered, 36 to</a:t>
                    </a:r>
                    <a:r>
                      <a:rPr lang="en-US" sz="1400" baseline="0"/>
                      <a:t> be delivered</a:t>
                    </a:r>
                    <a:r>
                      <a:rPr lang="en-US" sz="1400"/>
                      <a:t> </a:t>
                    </a:r>
                    <a:br>
                      <a:rPr lang="en-US" sz="1400"/>
                    </a:br>
                    <a:r>
                      <a:rPr lang="en-US" sz="1400"/>
                      <a:t>(2% of NATO</a:t>
                    </a:r>
                    <a:r>
                      <a:rPr lang="en-US" sz="1400" baseline="0"/>
                      <a:t> + EU stocks)</a:t>
                    </a:r>
                    <a:r>
                      <a:rPr lang="en-US" sz="1400"/>
                      <a:t> </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D3B-4594-9ACF-C158048B557E}"/>
                </c:ext>
              </c:extLst>
            </c:dLbl>
            <c:dLbl>
              <c:idx val="3"/>
              <c:layout>
                <c:manualLayout>
                  <c:x val="0.2673907016243966"/>
                  <c:y val="2.1737373737373738E-3"/>
                </c:manualLayout>
              </c:layout>
              <c:tx>
                <c:rich>
                  <a:bodyPr/>
                  <a:lstStyle/>
                  <a:p>
                    <a:fld id="{07D88DE0-7D87-40E8-9B3F-F03453F12689}" type="CELLREF">
                      <a:rPr lang="en-US"/>
                      <a:pPr/>
                      <a:t>[ZELLBEZ]</a:t>
                    </a:fld>
                    <a:r>
                      <a:rPr lang="en-US"/>
                      <a:t> in stock</a:t>
                    </a: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{07D88DE0-7D87-40E8-9B3F-F03453F12689}</c15:txfldGUID>
                      <c15:f>'Fig 14. NATO Stocks'!$Q$15</c15:f>
                      <c15:dlblFieldTableCache>
                        <c:ptCount val="1"/>
                        <c:pt idx="0">
                          <c:v>4122</c:v>
                        </c:pt>
                      </c15:dlblFieldTableCache>
                    </c15:dlblFTEntry>
                  </c15:dlblFieldTable>
                  <c15:showDataLabelsRange val="0"/>
                </c:ext>
                <c:ext xmlns:c16="http://schemas.microsoft.com/office/drawing/2014/chart" uri="{C3380CC4-5D6E-409C-BE32-E72D297353CC}">
                  <c16:uniqueId val="{00000016-DD3B-4594-9ACF-C158048B557E}"/>
                </c:ext>
              </c:extLst>
            </c:dLbl>
            <c:dLbl>
              <c:idx val="5"/>
              <c:delete val="1"/>
              <c:extLst>
                <c:ext xmlns:c15="http://schemas.microsoft.com/office/drawing/2012/chart" uri="{CE6537A1-D6FC-4f65-9D91-7224C49458BB}"/>
                <c:ext xmlns:c16="http://schemas.microsoft.com/office/drawing/2014/chart" uri="{C3380CC4-5D6E-409C-BE32-E72D297353CC}">
                  <c16:uniqueId val="{00000017-DD3B-4594-9ACF-C158048B557E}"/>
                </c:ext>
              </c:extLst>
            </c:dLbl>
            <c:dLbl>
              <c:idx val="6"/>
              <c:layout>
                <c:manualLayout>
                  <c:x val="9.378319331571866E-2"/>
                  <c:y val="5.3091368821745704E-7"/>
                </c:manualLayout>
              </c:layout>
              <c:tx>
                <c:rich>
                  <a:bodyPr/>
                  <a:lstStyle/>
                  <a:p>
                    <a:fld id="{35396E6C-912C-4235-825F-61657D5EC189}" type="CELLREF">
                      <a:rPr lang="en-US"/>
                      <a:pPr/>
                      <a:t>[ZELLBEZ]</a:t>
                    </a:fld>
                    <a:r>
                      <a:rPr lang="en-US"/>
                      <a:t> in stock</a:t>
                    </a: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{35396E6C-912C-4235-825F-61657D5EC189}</c15:txfldGUID>
                      <c15:f>'Fig 14. NATO Stocks'!$Q$18</c15:f>
                      <c15:dlblFieldTableCache>
                        <c:ptCount val="1"/>
                        <c:pt idx="0">
                          <c:v>828</c:v>
                        </c:pt>
                      </c15:dlblFieldTableCache>
                    </c15:dlblFTEntry>
                  </c15:dlblFieldTable>
                  <c15:showDataLabelsRange val="0"/>
                </c:ext>
                <c:ext xmlns:c16="http://schemas.microsoft.com/office/drawing/2014/chart" uri="{C3380CC4-5D6E-409C-BE32-E72D297353CC}">
                  <c16:uniqueId val="{00000018-DD3B-4594-9ACF-C158048B557E}"/>
                </c:ext>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 14.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14. NATO Stocks'!$N$12:$N$20</c:f>
              <c:numCache>
                <c:formatCode>General</c:formatCode>
                <c:ptCount val="9"/>
                <c:pt idx="0">
                  <c:v>300</c:v>
                </c:pt>
                <c:pt idx="3">
                  <c:v>90</c:v>
                </c:pt>
                <c:pt idx="6">
                  <c:v>12</c:v>
                </c:pt>
              </c:numCache>
            </c:numRef>
          </c:val>
          <c:extLst>
            <c:ext xmlns:c16="http://schemas.microsoft.com/office/drawing/2014/chart" uri="{C3380CC4-5D6E-409C-BE32-E72D297353CC}">
              <c16:uniqueId val="{00000019-DD3B-4594-9ACF-C158048B557E}"/>
            </c:ext>
          </c:extLst>
        </c:ser>
        <c:ser>
          <c:idx val="12"/>
          <c:order val="7"/>
          <c:tx>
            <c:strRef>
              <c:f>'Fig 14. NATO Stocks'!$M$11</c:f>
              <c:strCache>
                <c:ptCount val="1"/>
                <c:pt idx="0">
                  <c:v>Norway</c:v>
                </c:pt>
              </c:strCache>
            </c:strRef>
          </c:tx>
          <c:spPr>
            <a:solidFill>
              <a:schemeClr val="accent1">
                <a:lumMod val="20000"/>
                <a:lumOff val="80000"/>
              </a:schemeClr>
            </a:solidFill>
            <a:ln>
              <a:solidFill>
                <a:schemeClr val="tx1"/>
              </a:solidFill>
            </a:ln>
            <a:effectLst/>
          </c:spPr>
          <c:invertIfNegative val="0"/>
          <c:cat>
            <c:multiLvlStrRef>
              <c:f>'Fig 14.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14. NATO Stocks'!$M$12:$M$20</c:f>
              <c:numCache>
                <c:formatCode>General</c:formatCode>
                <c:ptCount val="9"/>
              </c:numCache>
            </c:numRef>
          </c:val>
          <c:extLst>
            <c:ext xmlns:c16="http://schemas.microsoft.com/office/drawing/2014/chart" uri="{C3380CC4-5D6E-409C-BE32-E72D297353CC}">
              <c16:uniqueId val="{0000001A-DD3B-4594-9ACF-C158048B557E}"/>
            </c:ext>
          </c:extLst>
        </c:ser>
        <c:ser>
          <c:idx val="11"/>
          <c:order val="8"/>
          <c:tx>
            <c:strRef>
              <c:f>'Fig 14. NATO Stocks'!$L$11</c:f>
              <c:strCache>
                <c:ptCount val="1"/>
                <c:pt idx="0">
                  <c:v>United Kingdom</c:v>
                </c:pt>
              </c:strCache>
            </c:strRef>
          </c:tx>
          <c:spPr>
            <a:solidFill>
              <a:schemeClr val="accent1">
                <a:lumMod val="60000"/>
                <a:lumOff val="40000"/>
              </a:schemeClr>
            </a:solidFill>
            <a:ln>
              <a:solidFill>
                <a:schemeClr val="tx1"/>
              </a:solidFill>
            </a:ln>
            <a:effectLst/>
          </c:spPr>
          <c:invertIfNegative val="0"/>
          <c:cat>
            <c:multiLvlStrRef>
              <c:f>'Fig 14.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14. NATO Stocks'!$L$12:$L$20</c:f>
              <c:numCache>
                <c:formatCode>General</c:formatCode>
                <c:ptCount val="9"/>
                <c:pt idx="0">
                  <c:v>227</c:v>
                </c:pt>
                <c:pt idx="3">
                  <c:v>109</c:v>
                </c:pt>
                <c:pt idx="6">
                  <c:v>35</c:v>
                </c:pt>
              </c:numCache>
            </c:numRef>
          </c:val>
          <c:extLst>
            <c:ext xmlns:c16="http://schemas.microsoft.com/office/drawing/2014/chart" uri="{C3380CC4-5D6E-409C-BE32-E72D297353CC}">
              <c16:uniqueId val="{0000001B-DD3B-4594-9ACF-C158048B557E}"/>
            </c:ext>
          </c:extLst>
        </c:ser>
        <c:ser>
          <c:idx val="10"/>
          <c:order val="9"/>
          <c:tx>
            <c:strRef>
              <c:f>'Fig 14. NATO Stocks'!$K$11</c:f>
              <c:strCache>
                <c:ptCount val="1"/>
                <c:pt idx="0">
                  <c:v>Turkey</c:v>
                </c:pt>
              </c:strCache>
            </c:strRef>
          </c:tx>
          <c:spPr>
            <a:solidFill>
              <a:schemeClr val="accent1">
                <a:lumMod val="75000"/>
              </a:schemeClr>
            </a:solidFill>
            <a:ln w="9525">
              <a:solidFill>
                <a:schemeClr val="tx1"/>
              </a:solidFill>
            </a:ln>
            <a:effectLst/>
          </c:spPr>
          <c:invertIfNegative val="0"/>
          <c:dLbls>
            <c:dLbl>
              <c:idx val="0"/>
              <c:tx>
                <c:rich>
                  <a:bodyPr/>
                  <a:lstStyle/>
                  <a:p>
                    <a:fld id="{841FA7C6-6CFD-492F-A87C-6460CAE11EDA}" type="CELLREF">
                      <a:rPr lang="en-US"/>
                      <a:pPr/>
                      <a:t>[ZELLBEZ]</a:t>
                    </a:fld>
                    <a:endParaRPr lang="de-DE"/>
                  </a:p>
                </c:rich>
              </c:tx>
              <c:showLegendKey val="0"/>
              <c:showVal val="1"/>
              <c:showCatName val="0"/>
              <c:showSerName val="0"/>
              <c:showPercent val="0"/>
              <c:showBubbleSize val="0"/>
              <c:extLst>
                <c:ext xmlns:c15="http://schemas.microsoft.com/office/drawing/2012/chart" uri="{CE6537A1-D6FC-4f65-9D91-7224C49458BB}">
                  <c15:dlblFieldTable>
                    <c15:dlblFTEntry>
                      <c15:txfldGUID>{841FA7C6-6CFD-492F-A87C-6460CAE11EDA}</c15:txfldGUID>
                      <c15:f>'Fig 14. NATO Stocks'!$K$21</c15:f>
                      <c15:dlblFieldTableCache>
                        <c:ptCount val="1"/>
                        <c:pt idx="0">
                          <c:v>TUR</c:v>
                        </c:pt>
                      </c15:dlblFieldTableCache>
                    </c15:dlblFTEntry>
                  </c15:dlblFieldTable>
                  <c15:showDataLabelsRange val="0"/>
                </c:ext>
                <c:ext xmlns:c16="http://schemas.microsoft.com/office/drawing/2014/chart" uri="{C3380CC4-5D6E-409C-BE32-E72D297353CC}">
                  <c16:uniqueId val="{0000001C-DD3B-4594-9ACF-C158048B557E}"/>
                </c:ext>
              </c:extLst>
            </c:dLbl>
            <c:dLbl>
              <c:idx val="2"/>
              <c:delete val="1"/>
              <c:extLst>
                <c:ext xmlns:c15="http://schemas.microsoft.com/office/drawing/2012/chart" uri="{CE6537A1-D6FC-4f65-9D91-7224C49458BB}"/>
                <c:ext xmlns:c16="http://schemas.microsoft.com/office/drawing/2014/chart" uri="{C3380CC4-5D6E-409C-BE32-E72D297353CC}">
                  <c16:uniqueId val="{0000001D-DD3B-4594-9ACF-C158048B557E}"/>
                </c:ext>
              </c:extLst>
            </c:dLbl>
            <c:dLbl>
              <c:idx val="3"/>
              <c:tx>
                <c:rich>
                  <a:bodyPr/>
                  <a:lstStyle/>
                  <a:p>
                    <a:fld id="{2B69E580-46CE-49CC-8F5C-E3606F7061CF}" type="CELLREF">
                      <a:rPr lang="en-US"/>
                      <a:pPr/>
                      <a:t>[ZELLBEZ]</a:t>
                    </a:fld>
                    <a:endParaRPr lang="de-DE"/>
                  </a:p>
                </c:rich>
              </c:tx>
              <c:showLegendKey val="0"/>
              <c:showVal val="1"/>
              <c:showCatName val="0"/>
              <c:showSerName val="0"/>
              <c:showPercent val="0"/>
              <c:showBubbleSize val="0"/>
              <c:extLst>
                <c:ext xmlns:c15="http://schemas.microsoft.com/office/drawing/2012/chart" uri="{CE6537A1-D6FC-4f65-9D91-7224C49458BB}">
                  <c15:dlblFieldTable>
                    <c15:dlblFTEntry>
                      <c15:txfldGUID>{2B69E580-46CE-49CC-8F5C-E3606F7061CF}</c15:txfldGUID>
                      <c15:f>'Fig 14. NATO Stocks'!$K$21</c15:f>
                      <c15:dlblFieldTableCache>
                        <c:ptCount val="1"/>
                        <c:pt idx="0">
                          <c:v>TUR</c:v>
                        </c:pt>
                      </c15:dlblFieldTableCache>
                    </c15:dlblFTEntry>
                  </c15:dlblFieldTable>
                  <c15:showDataLabelsRange val="0"/>
                </c:ext>
                <c:ext xmlns:c16="http://schemas.microsoft.com/office/drawing/2014/chart" uri="{C3380CC4-5D6E-409C-BE32-E72D297353CC}">
                  <c16:uniqueId val="{0000001E-DD3B-4594-9ACF-C158048B557E}"/>
                </c:ext>
              </c:extLst>
            </c:dLbl>
            <c:dLbl>
              <c:idx val="6"/>
              <c:delete val="1"/>
              <c:extLst>
                <c:ext xmlns:c15="http://schemas.microsoft.com/office/drawing/2012/chart" uri="{CE6537A1-D6FC-4f65-9D91-7224C49458BB}"/>
                <c:ext xmlns:c16="http://schemas.microsoft.com/office/drawing/2014/chart" uri="{C3380CC4-5D6E-409C-BE32-E72D297353CC}">
                  <c16:uniqueId val="{0000001F-DD3B-4594-9ACF-C158048B557E}"/>
                </c:ext>
              </c:extLst>
            </c:dLbl>
            <c:dLbl>
              <c:idx val="8"/>
              <c:delete val="1"/>
              <c:extLst>
                <c:ext xmlns:c15="http://schemas.microsoft.com/office/drawing/2012/chart" uri="{CE6537A1-D6FC-4f65-9D91-7224C49458BB}"/>
                <c:ext xmlns:c16="http://schemas.microsoft.com/office/drawing/2014/chart" uri="{C3380CC4-5D6E-409C-BE32-E72D297353CC}">
                  <c16:uniqueId val="{00000020-DD3B-4594-9ACF-C158048B557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 14.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14. NATO Stocks'!$K$12:$K$20</c:f>
              <c:numCache>
                <c:formatCode>General</c:formatCode>
                <c:ptCount val="9"/>
                <c:pt idx="0">
                  <c:v>5339</c:v>
                </c:pt>
                <c:pt idx="3">
                  <c:v>1385</c:v>
                </c:pt>
                <c:pt idx="6">
                  <c:v>146</c:v>
                </c:pt>
              </c:numCache>
            </c:numRef>
          </c:val>
          <c:extLst>
            <c:ext xmlns:c16="http://schemas.microsoft.com/office/drawing/2014/chart" uri="{C3380CC4-5D6E-409C-BE32-E72D297353CC}">
              <c16:uniqueId val="{00000021-DD3B-4594-9ACF-C158048B557E}"/>
            </c:ext>
          </c:extLst>
        </c:ser>
        <c:ser>
          <c:idx val="9"/>
          <c:order val="10"/>
          <c:tx>
            <c:strRef>
              <c:f>'Fig 14. NATO Stocks'!$J$11</c:f>
              <c:strCache>
                <c:ptCount val="1"/>
                <c:pt idx="0">
                  <c:v>United States</c:v>
                </c:pt>
              </c:strCache>
            </c:strRef>
          </c:tx>
          <c:spPr>
            <a:solidFill>
              <a:schemeClr val="accent1">
                <a:lumMod val="50000"/>
              </a:schemeClr>
            </a:solidFill>
            <a:ln>
              <a:solidFill>
                <a:schemeClr val="tx1"/>
              </a:solidFill>
            </a:ln>
            <a:effectLst/>
          </c:spPr>
          <c:invertIfNegative val="0"/>
          <c:dLbls>
            <c:dLbl>
              <c:idx val="0"/>
              <c:tx>
                <c:rich>
                  <a:bodyPr/>
                  <a:lstStyle/>
                  <a:p>
                    <a:fld id="{87EA653D-E90C-43C8-BF1B-C459DBEFC21D}" type="CELLREF">
                      <a:rPr lang="en-US"/>
                      <a:pPr/>
                      <a:t>[ZELLBEZ]</a:t>
                    </a:fld>
                    <a:endParaRPr lang="de-DE"/>
                  </a:p>
                </c:rich>
              </c:tx>
              <c:showLegendKey val="0"/>
              <c:showVal val="0"/>
              <c:showCatName val="0"/>
              <c:showSerName val="1"/>
              <c:showPercent val="0"/>
              <c:showBubbleSize val="0"/>
              <c:extLst>
                <c:ext xmlns:c15="http://schemas.microsoft.com/office/drawing/2012/chart" uri="{CE6537A1-D6FC-4f65-9D91-7224C49458BB}">
                  <c15:dlblFieldTable>
                    <c15:dlblFTEntry>
                      <c15:txfldGUID>{87EA653D-E90C-43C8-BF1B-C459DBEFC21D}</c15:txfldGUID>
                      <c15:f>'Fig 14. NATO Stocks'!$J$21</c15:f>
                      <c15:dlblFieldTableCache>
                        <c:ptCount val="1"/>
                        <c:pt idx="0">
                          <c:v>US</c:v>
                        </c:pt>
                      </c15:dlblFieldTableCache>
                    </c15:dlblFTEntry>
                  </c15:dlblFieldTable>
                  <c15:showDataLabelsRange val="0"/>
                </c:ext>
                <c:ext xmlns:c16="http://schemas.microsoft.com/office/drawing/2014/chart" uri="{C3380CC4-5D6E-409C-BE32-E72D297353CC}">
                  <c16:uniqueId val="{00000022-DD3B-4594-9ACF-C158048B557E}"/>
                </c:ext>
              </c:extLst>
            </c:dLbl>
            <c:dLbl>
              <c:idx val="2"/>
              <c:delete val="1"/>
              <c:extLst>
                <c:ext xmlns:c15="http://schemas.microsoft.com/office/drawing/2012/chart" uri="{CE6537A1-D6FC-4f65-9D91-7224C49458BB}"/>
                <c:ext xmlns:c16="http://schemas.microsoft.com/office/drawing/2014/chart" uri="{C3380CC4-5D6E-409C-BE32-E72D297353CC}">
                  <c16:uniqueId val="{00000023-DD3B-4594-9ACF-C158048B557E}"/>
                </c:ext>
              </c:extLst>
            </c:dLbl>
            <c:dLbl>
              <c:idx val="3"/>
              <c:tx>
                <c:rich>
                  <a:bodyPr/>
                  <a:lstStyle/>
                  <a:p>
                    <a:fld id="{2F6135A3-5966-43E2-A5F5-F1B136BE8D6F}" type="CELLREF">
                      <a:rPr lang="en-US"/>
                      <a:pPr/>
                      <a:t>[ZELLBEZ]</a:t>
                    </a:fld>
                    <a:endParaRPr lang="de-DE"/>
                  </a:p>
                </c:rich>
              </c:tx>
              <c:showLegendKey val="0"/>
              <c:showVal val="1"/>
              <c:showCatName val="0"/>
              <c:showSerName val="0"/>
              <c:showPercent val="0"/>
              <c:showBubbleSize val="0"/>
              <c:extLst>
                <c:ext xmlns:c15="http://schemas.microsoft.com/office/drawing/2012/chart" uri="{CE6537A1-D6FC-4f65-9D91-7224C49458BB}">
                  <c15:dlblFieldTable>
                    <c15:dlblFTEntry>
                      <c15:txfldGUID>{2F6135A3-5966-43E2-A5F5-F1B136BE8D6F}</c15:txfldGUID>
                      <c15:f>'Fig 14. NATO Stocks'!$J$21</c15:f>
                      <c15:dlblFieldTableCache>
                        <c:ptCount val="1"/>
                        <c:pt idx="0">
                          <c:v>US</c:v>
                        </c:pt>
                      </c15:dlblFieldTableCache>
                    </c15:dlblFTEntry>
                  </c15:dlblFieldTable>
                  <c15:showDataLabelsRange val="0"/>
                </c:ext>
                <c:ext xmlns:c16="http://schemas.microsoft.com/office/drawing/2014/chart" uri="{C3380CC4-5D6E-409C-BE32-E72D297353CC}">
                  <c16:uniqueId val="{00000024-DD3B-4594-9ACF-C158048B557E}"/>
                </c:ext>
              </c:extLst>
            </c:dLbl>
            <c:dLbl>
              <c:idx val="5"/>
              <c:delete val="1"/>
              <c:extLst>
                <c:ext xmlns:c15="http://schemas.microsoft.com/office/drawing/2012/chart" uri="{CE6537A1-D6FC-4f65-9D91-7224C49458BB}"/>
                <c:ext xmlns:c16="http://schemas.microsoft.com/office/drawing/2014/chart" uri="{C3380CC4-5D6E-409C-BE32-E72D297353CC}">
                  <c16:uniqueId val="{00000025-DD3B-4594-9ACF-C158048B557E}"/>
                </c:ext>
              </c:extLst>
            </c:dLbl>
            <c:dLbl>
              <c:idx val="6"/>
              <c:tx>
                <c:rich>
                  <a:bodyPr/>
                  <a:lstStyle/>
                  <a:p>
                    <a:fld id="{64229069-88EF-4D55-96CD-268D3ACBE5B6}" type="CELLREF">
                      <a:rPr lang="en-US"/>
                      <a:pPr/>
                      <a:t>[ZELLBEZ]</a:t>
                    </a:fld>
                    <a:endParaRPr lang="de-DE"/>
                  </a:p>
                </c:rich>
              </c:tx>
              <c:showLegendKey val="0"/>
              <c:showVal val="1"/>
              <c:showCatName val="0"/>
              <c:showSerName val="0"/>
              <c:showPercent val="0"/>
              <c:showBubbleSize val="0"/>
              <c:extLst>
                <c:ext xmlns:c15="http://schemas.microsoft.com/office/drawing/2012/chart" uri="{CE6537A1-D6FC-4f65-9D91-7224C49458BB}">
                  <c15:dlblFieldTable>
                    <c15:dlblFTEntry>
                      <c15:txfldGUID>{64229069-88EF-4D55-96CD-268D3ACBE5B6}</c15:txfldGUID>
                      <c15:f>'Fig 14. NATO Stocks'!$J$21</c15:f>
                      <c15:dlblFieldTableCache>
                        <c:ptCount val="1"/>
                        <c:pt idx="0">
                          <c:v>US</c:v>
                        </c:pt>
                      </c15:dlblFieldTableCache>
                    </c15:dlblFTEntry>
                  </c15:dlblFieldTable>
                  <c15:showDataLabelsRange val="0"/>
                </c:ext>
                <c:ext xmlns:c16="http://schemas.microsoft.com/office/drawing/2014/chart" uri="{C3380CC4-5D6E-409C-BE32-E72D297353CC}">
                  <c16:uniqueId val="{00000026-DD3B-4594-9ACF-C158048B557E}"/>
                </c:ext>
              </c:extLst>
            </c:dLbl>
            <c:dLbl>
              <c:idx val="8"/>
              <c:delete val="1"/>
              <c:extLst>
                <c:ext xmlns:c15="http://schemas.microsoft.com/office/drawing/2012/chart" uri="{CE6537A1-D6FC-4f65-9D91-7224C49458BB}"/>
                <c:ext xmlns:c16="http://schemas.microsoft.com/office/drawing/2014/chart" uri="{C3380CC4-5D6E-409C-BE32-E72D297353CC}">
                  <c16:uniqueId val="{00000027-DD3B-4594-9ACF-C158048B557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 14.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14. NATO Stocks'!$J$12:$J$20</c:f>
              <c:numCache>
                <c:formatCode>General</c:formatCode>
                <c:ptCount val="9"/>
                <c:pt idx="0">
                  <c:v>6095</c:v>
                </c:pt>
                <c:pt idx="3">
                  <c:v>2538</c:v>
                </c:pt>
                <c:pt idx="6">
                  <c:v>635</c:v>
                </c:pt>
              </c:numCache>
            </c:numRef>
          </c:val>
          <c:extLst>
            <c:ext xmlns:c16="http://schemas.microsoft.com/office/drawing/2014/chart" uri="{C3380CC4-5D6E-409C-BE32-E72D297353CC}">
              <c16:uniqueId val="{00000028-DD3B-4594-9ACF-C158048B557E}"/>
            </c:ext>
          </c:extLst>
        </c:ser>
        <c:ser>
          <c:idx val="14"/>
          <c:order val="11"/>
          <c:tx>
            <c:strRef>
              <c:f>'Fig 14. NATO Stocks'!$O$11</c:f>
              <c:strCache>
                <c:ptCount val="1"/>
                <c:pt idx="0">
                  <c:v>To be delivered to Ukraine</c:v>
                </c:pt>
              </c:strCache>
            </c:strRef>
          </c:tx>
          <c:spPr>
            <a:solidFill>
              <a:schemeClr val="accent2">
                <a:tint val="47000"/>
              </a:schemeClr>
            </a:solidFill>
            <a:ln>
              <a:solidFill>
                <a:sysClr val="windowText" lastClr="000000"/>
              </a:solid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29-DD3B-4594-9ACF-C158048B557E}"/>
                </c:ext>
              </c:extLst>
            </c:dLbl>
            <c:dLbl>
              <c:idx val="5"/>
              <c:delete val="1"/>
              <c:extLst>
                <c:ext xmlns:c15="http://schemas.microsoft.com/office/drawing/2012/chart" uri="{CE6537A1-D6FC-4f65-9D91-7224C49458BB}"/>
                <c:ext xmlns:c16="http://schemas.microsoft.com/office/drawing/2014/chart" uri="{C3380CC4-5D6E-409C-BE32-E72D297353CC}">
                  <c16:uniqueId val="{0000002A-DD3B-4594-9ACF-C158048B557E}"/>
                </c:ext>
              </c:extLst>
            </c:dLbl>
            <c:dLbl>
              <c:idx val="8"/>
              <c:delete val="1"/>
              <c:extLst>
                <c:ext xmlns:c15="http://schemas.microsoft.com/office/drawing/2012/chart" uri="{CE6537A1-D6FC-4f65-9D91-7224C49458BB}"/>
                <c:ext xmlns:c16="http://schemas.microsoft.com/office/drawing/2014/chart" uri="{C3380CC4-5D6E-409C-BE32-E72D297353CC}">
                  <c16:uniqueId val="{0000002B-DD3B-4594-9ACF-C158048B557E}"/>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 14.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14. NATO Stocks'!$O$12:$O$20</c:f>
              <c:numCache>
                <c:formatCode>General</c:formatCode>
                <c:ptCount val="9"/>
                <c:pt idx="2">
                  <c:v>104</c:v>
                </c:pt>
                <c:pt idx="5">
                  <c:v>128</c:v>
                </c:pt>
                <c:pt idx="8" formatCode="0">
                  <c:v>27</c:v>
                </c:pt>
              </c:numCache>
            </c:numRef>
          </c:val>
          <c:extLst>
            <c:ext xmlns:c16="http://schemas.microsoft.com/office/drawing/2014/chart" uri="{C3380CC4-5D6E-409C-BE32-E72D297353CC}">
              <c16:uniqueId val="{0000002C-DD3B-4594-9ACF-C158048B557E}"/>
            </c:ext>
          </c:extLst>
        </c:ser>
        <c:ser>
          <c:idx val="15"/>
          <c:order val="12"/>
          <c:tx>
            <c:strRef>
              <c:f>'Fig 14. NATO Stocks'!$P$11</c:f>
              <c:strCache>
                <c:ptCount val="1"/>
                <c:pt idx="0">
                  <c:v>Delivered to Ukraine</c:v>
                </c:pt>
              </c:strCache>
            </c:strRef>
          </c:tx>
          <c:spPr>
            <a:solidFill>
              <a:schemeClr val="accent2">
                <a:lumMod val="75000"/>
              </a:schemeClr>
            </a:solidFill>
            <a:ln>
              <a:solidFill>
                <a:sysClr val="windowText" lastClr="000000"/>
              </a:solidFill>
            </a:ln>
            <a:effectLst/>
          </c:spPr>
          <c:invertIfNegative val="0"/>
          <c:dLbls>
            <c:dLbl>
              <c:idx val="2"/>
              <c:layout>
                <c:manualLayout>
                  <c:x val="0.1433907365982974"/>
                  <c:y val="4.1203282828282534E-3"/>
                </c:manualLayout>
              </c:layout>
              <c:tx>
                <c:rich>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fld id="{3FE7CE45-FF30-451C-869A-707736D04D85}" type="VALUE">
                      <a:rPr lang="en-US" sz="1400"/>
                      <a:pPr>
                        <a:defRPr/>
                      </a:pPr>
                      <a:t>[WERT]</a:t>
                    </a:fld>
                    <a:r>
                      <a:rPr lang="en-US" sz="1400"/>
                      <a:t> delivered, </a:t>
                    </a:r>
                    <a:fld id="{B3BF6411-7C5C-4F8B-9A83-768E06D92E25}" type="CELLREF">
                      <a:rPr lang="en-US" sz="1400"/>
                      <a:pPr>
                        <a:defRPr/>
                      </a:pPr>
                      <a:t>[ZELLBEZ]</a:t>
                    </a:fld>
                    <a:r>
                      <a:rPr lang="en-US" sz="1400"/>
                      <a:t> to be delivered </a:t>
                    </a:r>
                    <a:br>
                      <a:rPr lang="en-US" sz="1400"/>
                    </a:br>
                    <a:r>
                      <a:rPr lang="en-US" sz="1400"/>
                      <a:t>(</a:t>
                    </a:r>
                    <a:fld id="{7F1F5D44-8B84-4A84-872B-5092672D9E79}" type="CELLREF">
                      <a:rPr lang="en-US" sz="1400"/>
                      <a:pPr>
                        <a:defRPr/>
                      </a:pPr>
                      <a:t>[ZELLBEZ]</a:t>
                    </a:fld>
                    <a:r>
                      <a:rPr lang="en-US" sz="1400"/>
                      <a:t> of NATO + EU stocks)</a:t>
                    </a:r>
                  </a:p>
                </c:rich>
              </c:tx>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showLegendKey val="0"/>
              <c:showVal val="1"/>
              <c:showCatName val="0"/>
              <c:showSerName val="0"/>
              <c:showPercent val="0"/>
              <c:showBubbleSize val="0"/>
              <c:extLst>
                <c:ext xmlns:c15="http://schemas.microsoft.com/office/drawing/2012/chart" uri="{CE6537A1-D6FC-4f65-9D91-7224C49458BB}">
                  <c15:layout>
                    <c:manualLayout>
                      <c:w val="0.26305421998188688"/>
                      <c:h val="8.8632954545454543E-2"/>
                    </c:manualLayout>
                  </c15:layout>
                  <c15:dlblFieldTable>
                    <c15:dlblFTEntry>
                      <c15:txfldGUID>{B3BF6411-7C5C-4F8B-9A83-768E06D92E25}</c15:txfldGUID>
                      <c15:f>'Fig 14. NATO Stocks'!$O$14</c15:f>
                      <c15:dlblFieldTableCache>
                        <c:ptCount val="1"/>
                        <c:pt idx="0">
                          <c:v>104</c:v>
                        </c:pt>
                      </c15:dlblFieldTableCache>
                    </c15:dlblFTEntry>
                    <c15:dlblFTEntry>
                      <c15:txfldGUID>{7F1F5D44-8B84-4A84-872B-5092672D9E79}</c15:txfldGUID>
                      <c15:f>'Fig 14. NATO Stocks'!$R$14</c15:f>
                      <c15:dlblFieldTableCache>
                        <c:ptCount val="1"/>
                        <c:pt idx="0">
                          <c:v>3%</c:v>
                        </c:pt>
                      </c15:dlblFieldTableCache>
                    </c15:dlblFTEntry>
                  </c15:dlblFieldTable>
                  <c15:showDataLabelsRange val="0"/>
                </c:ext>
                <c:ext xmlns:c16="http://schemas.microsoft.com/office/drawing/2014/chart" uri="{C3380CC4-5D6E-409C-BE32-E72D297353CC}">
                  <c16:uniqueId val="{0000002D-DD3B-4594-9ACF-C158048B557E}"/>
                </c:ext>
              </c:extLst>
            </c:dLbl>
            <c:dLbl>
              <c:idx val="5"/>
              <c:layout>
                <c:manualLayout>
                  <c:x val="0.14514450849118363"/>
                  <c:y val="1.8809974747474748E-3"/>
                </c:manualLayout>
              </c:layout>
              <c:tx>
                <c:rich>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fld id="{D1344743-15B7-4805-A03F-0678DB0B11F2}" type="VALUE">
                      <a:rPr lang="en-US" sz="1400"/>
                      <a:pPr>
                        <a:defRPr/>
                      </a:pPr>
                      <a:t>[WERT]</a:t>
                    </a:fld>
                    <a:r>
                      <a:rPr lang="en-US" sz="1400"/>
                      <a:t> delivered, </a:t>
                    </a:r>
                    <a:fld id="{067D363F-8748-4995-9297-4FFF3962C7E1}" type="CELLREF">
                      <a:rPr lang="en-US" sz="1400"/>
                      <a:pPr>
                        <a:defRPr/>
                      </a:pPr>
                      <a:t>[ZELLBEZ]</a:t>
                    </a:fld>
                    <a:r>
                      <a:rPr lang="en-US" sz="1400"/>
                      <a:t> to be delivered </a:t>
                    </a:r>
                    <a:br>
                      <a:rPr lang="en-US" sz="1400"/>
                    </a:br>
                    <a:r>
                      <a:rPr lang="en-US" sz="1400"/>
                      <a:t>(</a:t>
                    </a:r>
                    <a:fld id="{7B3B20FE-AED0-4387-992D-9CCD652867D5}" type="CELLREF">
                      <a:rPr lang="en-US" sz="1400"/>
                      <a:pPr>
                        <a:defRPr/>
                      </a:pPr>
                      <a:t>[ZELLBEZ]</a:t>
                    </a:fld>
                    <a:r>
                      <a:rPr lang="en-US" sz="1400" baseline="0"/>
                      <a:t> </a:t>
                    </a:r>
                    <a:r>
                      <a:rPr lang="en-US" sz="1400"/>
                      <a:t>of NATO +</a:t>
                    </a:r>
                    <a:r>
                      <a:rPr lang="en-US" sz="1400" baseline="0"/>
                      <a:t> EU stocks)</a:t>
                    </a:r>
                  </a:p>
                </c:rich>
              </c:tx>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showLegendKey val="0"/>
              <c:showVal val="1"/>
              <c:showCatName val="0"/>
              <c:showSerName val="0"/>
              <c:showPercent val="0"/>
              <c:showBubbleSize val="0"/>
              <c:extLst>
                <c:ext xmlns:c15="http://schemas.microsoft.com/office/drawing/2012/chart" uri="{CE6537A1-D6FC-4f65-9D91-7224C49458BB}">
                  <c15:layout>
                    <c:manualLayout>
                      <c:w val="0.25100639120724594"/>
                      <c:h val="7.0678505553675081E-2"/>
                    </c:manualLayout>
                  </c15:layout>
                  <c15:dlblFieldTable>
                    <c15:dlblFTEntry>
                      <c15:txfldGUID>{067D363F-8748-4995-9297-4FFF3962C7E1}</c15:txfldGUID>
                      <c15:f>'Fig 14. NATO Stocks'!$O$17</c15:f>
                      <c15:dlblFieldTableCache>
                        <c:ptCount val="1"/>
                        <c:pt idx="0">
                          <c:v>128</c:v>
                        </c:pt>
                      </c15:dlblFieldTableCache>
                    </c15:dlblFTEntry>
                    <c15:dlblFTEntry>
                      <c15:txfldGUID>{7B3B20FE-AED0-4387-992D-9CCD652867D5}</c15:txfldGUID>
                      <c15:f>'Fig 14. NATO Stocks'!$R$17</c15:f>
                      <c15:dlblFieldTableCache>
                        <c:ptCount val="1"/>
                        <c:pt idx="0">
                          <c:v>6%</c:v>
                        </c:pt>
                      </c15:dlblFieldTableCache>
                    </c15:dlblFTEntry>
                  </c15:dlblFieldTable>
                  <c15:showDataLabelsRange val="0"/>
                </c:ext>
                <c:ext xmlns:c16="http://schemas.microsoft.com/office/drawing/2014/chart" uri="{C3380CC4-5D6E-409C-BE32-E72D297353CC}">
                  <c16:uniqueId val="{0000002E-DD3B-4594-9ACF-C158048B557E}"/>
                </c:ext>
              </c:extLst>
            </c:dLbl>
            <c:dLbl>
              <c:idx val="8"/>
              <c:delete val="1"/>
              <c:extLst>
                <c:ext xmlns:c15="http://schemas.microsoft.com/office/drawing/2012/chart" uri="{CE6537A1-D6FC-4f65-9D91-7224C49458BB}"/>
                <c:ext xmlns:c16="http://schemas.microsoft.com/office/drawing/2014/chart" uri="{C3380CC4-5D6E-409C-BE32-E72D297353CC}">
                  <c16:uniqueId val="{0000002F-DD3B-4594-9ACF-C158048B557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 14.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14. NATO Stocks'!$P$12:$P$20</c:f>
              <c:numCache>
                <c:formatCode>General</c:formatCode>
                <c:ptCount val="9"/>
                <c:pt idx="2">
                  <c:v>368</c:v>
                </c:pt>
                <c:pt idx="5">
                  <c:v>287</c:v>
                </c:pt>
                <c:pt idx="8" formatCode="0">
                  <c:v>49</c:v>
                </c:pt>
              </c:numCache>
            </c:numRef>
          </c:val>
          <c:extLst>
            <c:ext xmlns:c16="http://schemas.microsoft.com/office/drawing/2014/chart" uri="{C3380CC4-5D6E-409C-BE32-E72D297353CC}">
              <c16:uniqueId val="{00000030-DD3B-4594-9ACF-C158048B557E}"/>
            </c:ext>
          </c:extLst>
        </c:ser>
        <c:dLbls>
          <c:showLegendKey val="0"/>
          <c:showVal val="0"/>
          <c:showCatName val="0"/>
          <c:showSerName val="0"/>
          <c:showPercent val="0"/>
          <c:showBubbleSize val="0"/>
        </c:dLbls>
        <c:gapWidth val="65"/>
        <c:overlap val="100"/>
        <c:axId val="768358160"/>
        <c:axId val="768358576"/>
      </c:barChart>
      <c:catAx>
        <c:axId val="768358160"/>
        <c:scaling>
          <c:orientation val="maxMin"/>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768358576"/>
        <c:crosses val="autoZero"/>
        <c:auto val="1"/>
        <c:lblAlgn val="ctr"/>
        <c:lblOffset val="100"/>
        <c:noMultiLvlLbl val="0"/>
      </c:catAx>
      <c:valAx>
        <c:axId val="768358576"/>
        <c:scaling>
          <c:orientation val="minMax"/>
          <c:max val="140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7683581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21104419226757437"/>
          <c:y val="1.8404307391091529E-2"/>
          <c:w val="0.74902866398057544"/>
          <c:h val="0.91556218468286177"/>
        </c:manualLayout>
      </c:layout>
      <c:barChart>
        <c:barDir val="bar"/>
        <c:grouping val="stacked"/>
        <c:varyColors val="0"/>
        <c:ser>
          <c:idx val="0"/>
          <c:order val="0"/>
          <c:tx>
            <c:strRef>
              <c:f>'Fig 15. Share of stocks pledged'!$E$11</c:f>
              <c:strCache>
                <c:ptCount val="1"/>
                <c:pt idx="0">
                  <c:v>Average total (delivered)</c:v>
                </c:pt>
              </c:strCache>
            </c:strRef>
          </c:tx>
          <c:spPr>
            <a:solidFill>
              <a:srgbClr val="C65911"/>
            </a:solidFill>
            <a:ln>
              <a:solidFill>
                <a:schemeClr val="tx1"/>
              </a:solidFill>
            </a:ln>
            <a:effectLst/>
          </c:spPr>
          <c:invertIfNegative val="0"/>
          <c:dPt>
            <c:idx val="9"/>
            <c:invertIfNegative val="0"/>
            <c:bubble3D val="0"/>
            <c:spPr>
              <a:solidFill>
                <a:schemeClr val="accent1">
                  <a:lumMod val="75000"/>
                </a:schemeClr>
              </a:solidFill>
              <a:ln>
                <a:solidFill>
                  <a:schemeClr val="tx1"/>
                </a:solidFill>
              </a:ln>
              <a:effectLst/>
            </c:spPr>
            <c:extLst>
              <c:ext xmlns:c16="http://schemas.microsoft.com/office/drawing/2014/chart" uri="{C3380CC4-5D6E-409C-BE32-E72D297353CC}">
                <c16:uniqueId val="{00000001-2847-4E0D-9FBB-F21C6FE243C9}"/>
              </c:ext>
            </c:extLst>
          </c:dPt>
          <c:dPt>
            <c:idx val="13"/>
            <c:invertIfNegative val="0"/>
            <c:bubble3D val="0"/>
            <c:spPr>
              <a:solidFill>
                <a:schemeClr val="accent1">
                  <a:lumMod val="75000"/>
                </a:schemeClr>
              </a:solidFill>
              <a:ln>
                <a:solidFill>
                  <a:schemeClr val="tx1"/>
                </a:solidFill>
              </a:ln>
              <a:effectLst/>
            </c:spPr>
            <c:extLst>
              <c:ext xmlns:c16="http://schemas.microsoft.com/office/drawing/2014/chart" uri="{C3380CC4-5D6E-409C-BE32-E72D297353CC}">
                <c16:uniqueId val="{00000003-2847-4E0D-9FBB-F21C6FE243C9}"/>
              </c:ext>
            </c:extLst>
          </c:dPt>
          <c:dLbls>
            <c:dLbl>
              <c:idx val="0"/>
              <c:layout>
                <c:manualLayout>
                  <c:x val="0.31460648504981437"/>
                  <c:y val="-0.21866527322361909"/>
                </c:manualLayout>
              </c:layout>
              <c:tx>
                <c:rich>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600">
                        <a:solidFill>
                          <a:schemeClr val="bg1"/>
                        </a:solidFill>
                      </a:rPr>
                      <a:t>Delivered</a:t>
                    </a:r>
                  </a:p>
                </c:rich>
              </c:tx>
              <c:spPr>
                <a:solidFill>
                  <a:schemeClr val="accent2">
                    <a:lumMod val="75000"/>
                  </a:schemeClr>
                </a:solid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47-4E0D-9FBB-F21C6FE243C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 15. Share of stocks pledged'!$B$12:$B$29</c:f>
              <c:strCache>
                <c:ptCount val="18"/>
                <c:pt idx="0">
                  <c:v>Czech Republic</c:v>
                </c:pt>
                <c:pt idx="1">
                  <c:v>Norway</c:v>
                </c:pt>
                <c:pt idx="2">
                  <c:v>United Kingdom</c:v>
                </c:pt>
                <c:pt idx="3">
                  <c:v>Poland</c:v>
                </c:pt>
                <c:pt idx="4">
                  <c:v>Germany</c:v>
                </c:pt>
                <c:pt idx="5">
                  <c:v>Slovenia</c:v>
                </c:pt>
                <c:pt idx="6">
                  <c:v>France</c:v>
                </c:pt>
                <c:pt idx="7">
                  <c:v>Italy</c:v>
                </c:pt>
                <c:pt idx="8">
                  <c:v>Denmark</c:v>
                </c:pt>
                <c:pt idx="9">
                  <c:v>Average EU</c:v>
                </c:pt>
                <c:pt idx="10">
                  <c:v>Netherlands</c:v>
                </c:pt>
                <c:pt idx="11">
                  <c:v>Latvia</c:v>
                </c:pt>
                <c:pt idx="12">
                  <c:v>United States</c:v>
                </c:pt>
                <c:pt idx="13">
                  <c:v>Average non-EU-NATO</c:v>
                </c:pt>
                <c:pt idx="14">
                  <c:v>Canada</c:v>
                </c:pt>
                <c:pt idx="15">
                  <c:v>Portugal</c:v>
                </c:pt>
                <c:pt idx="16">
                  <c:v>Slovakia</c:v>
                </c:pt>
                <c:pt idx="17">
                  <c:v>Spain</c:v>
                </c:pt>
              </c:strCache>
            </c:strRef>
          </c:cat>
          <c:val>
            <c:numRef>
              <c:f>'Fig 15. Share of stocks pledged'!$E$12:$E$27</c:f>
              <c:numCache>
                <c:formatCode>0.00</c:formatCode>
                <c:ptCount val="16"/>
                <c:pt idx="0">
                  <c:v>0.17490696438064859</c:v>
                </c:pt>
                <c:pt idx="1">
                  <c:v>0.2279874213836478</c:v>
                </c:pt>
                <c:pt idx="2">
                  <c:v>0.1141983398864133</c:v>
                </c:pt>
                <c:pt idx="3">
                  <c:v>0.19302094544250351</c:v>
                </c:pt>
                <c:pt idx="4">
                  <c:v>7.3057813911472438E-2</c:v>
                </c:pt>
                <c:pt idx="5">
                  <c:v>0.12280701754385964</c:v>
                </c:pt>
                <c:pt idx="6">
                  <c:v>0.1012820512820513</c:v>
                </c:pt>
                <c:pt idx="7">
                  <c:v>0</c:v>
                </c:pt>
                <c:pt idx="8">
                  <c:v>0</c:v>
                </c:pt>
                <c:pt idx="9">
                  <c:v>4.5104392807616238E-2</c:v>
                </c:pt>
                <c:pt idx="10">
                  <c:v>4.7619047619047616E-2</c:v>
                </c:pt>
                <c:pt idx="11">
                  <c:v>4.2553191489361701E-2</c:v>
                </c:pt>
                <c:pt idx="12">
                  <c:v>2.4947413488207591E-2</c:v>
                </c:pt>
                <c:pt idx="13">
                  <c:v>2.3493590419734336E-2</c:v>
                </c:pt>
                <c:pt idx="14">
                  <c:v>3.6036036036036036E-2</c:v>
                </c:pt>
                <c:pt idx="15">
                  <c:v>0</c:v>
                </c:pt>
              </c:numCache>
            </c:numRef>
          </c:val>
          <c:extLst>
            <c:ext xmlns:c16="http://schemas.microsoft.com/office/drawing/2014/chart" uri="{C3380CC4-5D6E-409C-BE32-E72D297353CC}">
              <c16:uniqueId val="{00000006-6780-42D7-A7B7-F96A15CFDA54}"/>
            </c:ext>
          </c:extLst>
        </c:ser>
        <c:ser>
          <c:idx val="1"/>
          <c:order val="1"/>
          <c:tx>
            <c:strRef>
              <c:f>'Fig 15. Share of stocks pledged'!$F$11</c:f>
              <c:strCache>
                <c:ptCount val="1"/>
                <c:pt idx="0">
                  <c:v>Average total (to be delivered)</c:v>
                </c:pt>
              </c:strCache>
            </c:strRef>
          </c:tx>
          <c:spPr>
            <a:solidFill>
              <a:srgbClr val="FCE4D6"/>
            </a:solidFill>
            <a:ln>
              <a:solidFill>
                <a:srgbClr val="000000"/>
              </a:solidFill>
              <a:prstDash val="solid"/>
            </a:ln>
            <a:effectLst/>
          </c:spPr>
          <c:invertIfNegative val="0"/>
          <c:dPt>
            <c:idx val="9"/>
            <c:invertIfNegative val="0"/>
            <c:bubble3D val="0"/>
            <c:spPr>
              <a:solidFill>
                <a:schemeClr val="accent1">
                  <a:lumMod val="20000"/>
                  <a:lumOff val="80000"/>
                </a:schemeClr>
              </a:solidFill>
              <a:ln>
                <a:solidFill>
                  <a:srgbClr val="000000"/>
                </a:solidFill>
                <a:prstDash val="solid"/>
              </a:ln>
              <a:effectLst/>
            </c:spPr>
            <c:extLst>
              <c:ext xmlns:c16="http://schemas.microsoft.com/office/drawing/2014/chart" uri="{C3380CC4-5D6E-409C-BE32-E72D297353CC}">
                <c16:uniqueId val="{00000006-2847-4E0D-9FBB-F21C6FE243C9}"/>
              </c:ext>
            </c:extLst>
          </c:dPt>
          <c:dPt>
            <c:idx val="13"/>
            <c:invertIfNegative val="0"/>
            <c:bubble3D val="0"/>
            <c:spPr>
              <a:solidFill>
                <a:schemeClr val="accent1">
                  <a:lumMod val="20000"/>
                  <a:lumOff val="80000"/>
                </a:schemeClr>
              </a:solidFill>
              <a:ln>
                <a:solidFill>
                  <a:srgbClr val="000000"/>
                </a:solidFill>
                <a:prstDash val="solid"/>
              </a:ln>
              <a:effectLst/>
            </c:spPr>
            <c:extLst>
              <c:ext xmlns:c16="http://schemas.microsoft.com/office/drawing/2014/chart" uri="{C3380CC4-5D6E-409C-BE32-E72D297353CC}">
                <c16:uniqueId val="{00000008-2847-4E0D-9FBB-F21C6FE243C9}"/>
              </c:ext>
            </c:extLst>
          </c:dPt>
          <c:dLbls>
            <c:dLbl>
              <c:idx val="0"/>
              <c:layout>
                <c:manualLayout>
                  <c:x val="0.18788714317798166"/>
                  <c:y val="-5.1962401006587208E-2"/>
                </c:manualLayout>
              </c:layout>
              <c:tx>
                <c:rich>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To be delivered</a:t>
                    </a:r>
                  </a:p>
                </c:rich>
              </c:tx>
              <c:spPr>
                <a:solidFill>
                  <a:schemeClr val="accent2">
                    <a:lumMod val="20000"/>
                    <a:lumOff val="80000"/>
                  </a:schemeClr>
                </a:solid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847-4E0D-9FBB-F21C6FE243C9}"/>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olidFill>
                      <a:round/>
                      <a:headEnd type="triangle" w="med" len="med"/>
                    </a:ln>
                    <a:effectLst/>
                  </c:spPr>
                </c15:leaderLines>
              </c:ext>
            </c:extLst>
          </c:dLbls>
          <c:cat>
            <c:strRef>
              <c:f>'Fig 15. Share of stocks pledged'!$B$12:$B$29</c:f>
              <c:strCache>
                <c:ptCount val="18"/>
                <c:pt idx="0">
                  <c:v>Czech Republic</c:v>
                </c:pt>
                <c:pt idx="1">
                  <c:v>Norway</c:v>
                </c:pt>
                <c:pt idx="2">
                  <c:v>United Kingdom</c:v>
                </c:pt>
                <c:pt idx="3">
                  <c:v>Poland</c:v>
                </c:pt>
                <c:pt idx="4">
                  <c:v>Germany</c:v>
                </c:pt>
                <c:pt idx="5">
                  <c:v>Slovenia</c:v>
                </c:pt>
                <c:pt idx="6">
                  <c:v>France</c:v>
                </c:pt>
                <c:pt idx="7">
                  <c:v>Italy</c:v>
                </c:pt>
                <c:pt idx="8">
                  <c:v>Denmark</c:v>
                </c:pt>
                <c:pt idx="9">
                  <c:v>Average EU</c:v>
                </c:pt>
                <c:pt idx="10">
                  <c:v>Netherlands</c:v>
                </c:pt>
                <c:pt idx="11">
                  <c:v>Latvia</c:v>
                </c:pt>
                <c:pt idx="12">
                  <c:v>United States</c:v>
                </c:pt>
                <c:pt idx="13">
                  <c:v>Average non-EU-NATO</c:v>
                </c:pt>
                <c:pt idx="14">
                  <c:v>Canada</c:v>
                </c:pt>
                <c:pt idx="15">
                  <c:v>Portugal</c:v>
                </c:pt>
                <c:pt idx="16">
                  <c:v>Slovakia</c:v>
                </c:pt>
                <c:pt idx="17">
                  <c:v>Spain</c:v>
                </c:pt>
              </c:strCache>
            </c:strRef>
          </c:cat>
          <c:val>
            <c:numRef>
              <c:f>'Fig 15. Share of stocks pledged'!$F$12:$F$27</c:f>
              <c:numCache>
                <c:formatCode>0.00</c:formatCode>
                <c:ptCount val="16"/>
                <c:pt idx="0">
                  <c:v>0.14354066985645933</c:v>
                </c:pt>
                <c:pt idx="1">
                  <c:v>3.1446540880503138E-2</c:v>
                </c:pt>
                <c:pt idx="2">
                  <c:v>0.14087255077434113</c:v>
                </c:pt>
                <c:pt idx="3">
                  <c:v>0</c:v>
                </c:pt>
                <c:pt idx="4">
                  <c:v>5.3240740740740741E-2</c:v>
                </c:pt>
                <c:pt idx="5">
                  <c:v>0</c:v>
                </c:pt>
                <c:pt idx="6">
                  <c:v>1.6666666666666663E-2</c:v>
                </c:pt>
                <c:pt idx="7">
                  <c:v>7.5930406728885819E-2</c:v>
                </c:pt>
                <c:pt idx="8">
                  <c:v>6.6666666666666666E-2</c:v>
                </c:pt>
                <c:pt idx="9">
                  <c:v>1.5794065584172401E-2</c:v>
                </c:pt>
                <c:pt idx="10">
                  <c:v>0</c:v>
                </c:pt>
                <c:pt idx="11">
                  <c:v>0</c:v>
                </c:pt>
                <c:pt idx="12">
                  <c:v>1.3912622624299622E-2</c:v>
                </c:pt>
                <c:pt idx="13">
                  <c:v>1.474051447111557E-2</c:v>
                </c:pt>
                <c:pt idx="14">
                  <c:v>0</c:v>
                </c:pt>
                <c:pt idx="15">
                  <c:v>3.4722222222222224E-2</c:v>
                </c:pt>
              </c:numCache>
            </c:numRef>
          </c:val>
          <c:extLst>
            <c:ext xmlns:c16="http://schemas.microsoft.com/office/drawing/2014/chart" uri="{C3380CC4-5D6E-409C-BE32-E72D297353CC}">
              <c16:uniqueId val="{00000008-6780-42D7-A7B7-F96A15CFDA54}"/>
            </c:ext>
          </c:extLst>
        </c:ser>
        <c:dLbls>
          <c:showLegendKey val="0"/>
          <c:showVal val="0"/>
          <c:showCatName val="0"/>
          <c:showSerName val="0"/>
          <c:showPercent val="0"/>
          <c:showBubbleSize val="0"/>
        </c:dLbls>
        <c:gapWidth val="182"/>
        <c:overlap val="100"/>
        <c:axId val="1908086544"/>
        <c:axId val="1924747856"/>
        <c:extLst/>
      </c:barChart>
      <c:catAx>
        <c:axId val="1908086544"/>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1924747856"/>
        <c:crosses val="autoZero"/>
        <c:auto val="1"/>
        <c:lblAlgn val="ctr"/>
        <c:lblOffset val="100"/>
        <c:noMultiLvlLbl val="0"/>
      </c:catAx>
      <c:valAx>
        <c:axId val="1924747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ln>
                  <a:noFill/>
                </a:ln>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19080865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096806939830204E-2"/>
          <c:y val="2.1296064197572406E-2"/>
          <c:w val="0.94061664820967128"/>
          <c:h val="0.80628492443196731"/>
        </c:manualLayout>
      </c:layout>
      <c:barChart>
        <c:barDir val="col"/>
        <c:grouping val="stacked"/>
        <c:varyColors val="0"/>
        <c:ser>
          <c:idx val="5"/>
          <c:order val="1"/>
          <c:tx>
            <c:strRef>
              <c:f>'Fig 16. Aid over Time'!$C$11</c:f>
              <c:strCache>
                <c:ptCount val="1"/>
                <c:pt idx="0">
                  <c:v>Financial aid committed (€ billion)</c:v>
                </c:pt>
              </c:strCache>
            </c:strRef>
          </c:tx>
          <c:spPr>
            <a:solidFill>
              <a:srgbClr val="4472C4"/>
            </a:solidFill>
            <a:ln>
              <a:solidFill>
                <a:srgbClr val="000000"/>
              </a:solidFill>
              <a:prstDash val="solid"/>
            </a:ln>
            <a:effectLst/>
          </c:spPr>
          <c:invertIfNegative val="0"/>
          <c:cat>
            <c:strRef>
              <c:f>'Fig 16. Aid over Time'!$B$12:$B$22</c:f>
              <c:strCache>
                <c:ptCount val="11"/>
                <c:pt idx="0">
                  <c:v>February</c:v>
                </c:pt>
                <c:pt idx="1">
                  <c:v>March</c:v>
                </c:pt>
                <c:pt idx="2">
                  <c:v>April</c:v>
                </c:pt>
                <c:pt idx="3">
                  <c:v>May</c:v>
                </c:pt>
                <c:pt idx="4">
                  <c:v>June</c:v>
                </c:pt>
                <c:pt idx="5">
                  <c:v>July</c:v>
                </c:pt>
                <c:pt idx="6">
                  <c:v>August</c:v>
                </c:pt>
                <c:pt idx="7">
                  <c:v>September</c:v>
                </c:pt>
                <c:pt idx="8">
                  <c:v>October</c:v>
                </c:pt>
                <c:pt idx="9">
                  <c:v>November</c:v>
                </c:pt>
                <c:pt idx="10">
                  <c:v>December</c:v>
                </c:pt>
              </c:strCache>
            </c:strRef>
          </c:cat>
          <c:val>
            <c:numRef>
              <c:f>'Fig 16. Aid over Time'!$C$12:$C$22</c:f>
              <c:numCache>
                <c:formatCode>0.00</c:formatCode>
                <c:ptCount val="11"/>
                <c:pt idx="0">
                  <c:v>3.7942378092500326</c:v>
                </c:pt>
                <c:pt idx="1">
                  <c:v>3.4938143034158844</c:v>
                </c:pt>
                <c:pt idx="2">
                  <c:v>2.3185080354067771</c:v>
                </c:pt>
                <c:pt idx="3">
                  <c:v>18.294677517356199</c:v>
                </c:pt>
                <c:pt idx="4">
                  <c:v>0.33986992097349467</c:v>
                </c:pt>
                <c:pt idx="5">
                  <c:v>0.31470732219036301</c:v>
                </c:pt>
                <c:pt idx="6">
                  <c:v>0.31707247395635035</c:v>
                </c:pt>
                <c:pt idx="7">
                  <c:v>4.8344047619047616</c:v>
                </c:pt>
                <c:pt idx="8">
                  <c:v>0.98777509014335219</c:v>
                </c:pt>
                <c:pt idx="9">
                  <c:v>18.122806393833734</c:v>
                </c:pt>
                <c:pt idx="10">
                  <c:v>13.387890869304206</c:v>
                </c:pt>
              </c:numCache>
            </c:numRef>
          </c:val>
          <c:extLst>
            <c:ext xmlns:c16="http://schemas.microsoft.com/office/drawing/2014/chart" uri="{C3380CC4-5D6E-409C-BE32-E72D297353CC}">
              <c16:uniqueId val="{00000005-DF1F-42ED-A10A-F1B308177E80}"/>
            </c:ext>
          </c:extLst>
        </c:ser>
        <c:ser>
          <c:idx val="6"/>
          <c:order val="2"/>
          <c:tx>
            <c:strRef>
              <c:f>'Fig 16. Aid over Time'!$D$11</c:f>
              <c:strCache>
                <c:ptCount val="1"/>
                <c:pt idx="0">
                  <c:v>Humanitarian aid committed (€ billion)</c:v>
                </c:pt>
              </c:strCache>
            </c:strRef>
          </c:tx>
          <c:spPr>
            <a:solidFill>
              <a:srgbClr val="70AD47"/>
            </a:solidFill>
            <a:ln>
              <a:solidFill>
                <a:srgbClr val="000000"/>
              </a:solidFill>
              <a:prstDash val="solid"/>
            </a:ln>
            <a:effectLst/>
          </c:spPr>
          <c:invertIfNegative val="0"/>
          <c:cat>
            <c:strRef>
              <c:f>'Fig 16. Aid over Time'!$B$12:$B$22</c:f>
              <c:strCache>
                <c:ptCount val="11"/>
                <c:pt idx="0">
                  <c:v>February</c:v>
                </c:pt>
                <c:pt idx="1">
                  <c:v>March</c:v>
                </c:pt>
                <c:pt idx="2">
                  <c:v>April</c:v>
                </c:pt>
                <c:pt idx="3">
                  <c:v>May</c:v>
                </c:pt>
                <c:pt idx="4">
                  <c:v>June</c:v>
                </c:pt>
                <c:pt idx="5">
                  <c:v>July</c:v>
                </c:pt>
                <c:pt idx="6">
                  <c:v>August</c:v>
                </c:pt>
                <c:pt idx="7">
                  <c:v>September</c:v>
                </c:pt>
                <c:pt idx="8">
                  <c:v>October</c:v>
                </c:pt>
                <c:pt idx="9">
                  <c:v>November</c:v>
                </c:pt>
                <c:pt idx="10">
                  <c:v>December</c:v>
                </c:pt>
              </c:strCache>
            </c:strRef>
          </c:cat>
          <c:val>
            <c:numRef>
              <c:f>'Fig 16. Aid over Time'!$D$12:$D$22</c:f>
              <c:numCache>
                <c:formatCode>0.00</c:formatCode>
                <c:ptCount val="11"/>
                <c:pt idx="0">
                  <c:v>0.14428778367071288</c:v>
                </c:pt>
                <c:pt idx="1">
                  <c:v>1.3222544875670186</c:v>
                </c:pt>
                <c:pt idx="2">
                  <c:v>1.4626669681196547</c:v>
                </c:pt>
                <c:pt idx="3">
                  <c:v>1.2373305330267179</c:v>
                </c:pt>
                <c:pt idx="4">
                  <c:v>0.99276715478138755</c:v>
                </c:pt>
                <c:pt idx="5">
                  <c:v>0.79514271812728476</c:v>
                </c:pt>
                <c:pt idx="6">
                  <c:v>5.5477116350110052E-2</c:v>
                </c:pt>
                <c:pt idx="7">
                  <c:v>0.82550643945310853</c:v>
                </c:pt>
                <c:pt idx="8">
                  <c:v>0.42244215854929307</c:v>
                </c:pt>
                <c:pt idx="9">
                  <c:v>1.2206710064376367</c:v>
                </c:pt>
                <c:pt idx="10">
                  <c:v>3.5320252846073785</c:v>
                </c:pt>
              </c:numCache>
            </c:numRef>
          </c:val>
          <c:extLst>
            <c:ext xmlns:c16="http://schemas.microsoft.com/office/drawing/2014/chart" uri="{C3380CC4-5D6E-409C-BE32-E72D297353CC}">
              <c16:uniqueId val="{00000006-DF1F-42ED-A10A-F1B308177E80}"/>
            </c:ext>
          </c:extLst>
        </c:ser>
        <c:ser>
          <c:idx val="0"/>
          <c:order val="3"/>
          <c:tx>
            <c:strRef>
              <c:f>'Fig 16. Aid over Time'!$E$11</c:f>
              <c:strCache>
                <c:ptCount val="1"/>
                <c:pt idx="0">
                  <c:v>Military aid committed (€ billion)</c:v>
                </c:pt>
              </c:strCache>
            </c:strRef>
          </c:tx>
          <c:spPr>
            <a:solidFill>
              <a:srgbClr val="C00000"/>
            </a:solidFill>
            <a:ln>
              <a:solidFill>
                <a:srgbClr val="000000"/>
              </a:solidFill>
              <a:prstDash val="solid"/>
            </a:ln>
            <a:effectLst/>
          </c:spPr>
          <c:invertIfNegative val="0"/>
          <c:cat>
            <c:strRef>
              <c:f>'Fig 16. Aid over Time'!$B$12:$B$22</c:f>
              <c:strCache>
                <c:ptCount val="11"/>
                <c:pt idx="0">
                  <c:v>February</c:v>
                </c:pt>
                <c:pt idx="1">
                  <c:v>March</c:v>
                </c:pt>
                <c:pt idx="2">
                  <c:v>April</c:v>
                </c:pt>
                <c:pt idx="3">
                  <c:v>May</c:v>
                </c:pt>
                <c:pt idx="4">
                  <c:v>June</c:v>
                </c:pt>
                <c:pt idx="5">
                  <c:v>July</c:v>
                </c:pt>
                <c:pt idx="6">
                  <c:v>August</c:v>
                </c:pt>
                <c:pt idx="7">
                  <c:v>September</c:v>
                </c:pt>
                <c:pt idx="8">
                  <c:v>October</c:v>
                </c:pt>
                <c:pt idx="9">
                  <c:v>November</c:v>
                </c:pt>
                <c:pt idx="10">
                  <c:v>December</c:v>
                </c:pt>
              </c:strCache>
            </c:strRef>
          </c:cat>
          <c:val>
            <c:numRef>
              <c:f>'Fig 16. Aid over Time'!$E$12:$E$22</c:f>
              <c:numCache>
                <c:formatCode>0.00</c:formatCode>
                <c:ptCount val="11"/>
                <c:pt idx="0">
                  <c:v>1.1681259115415397</c:v>
                </c:pt>
                <c:pt idx="1">
                  <c:v>10.078442073743883</c:v>
                </c:pt>
                <c:pt idx="2">
                  <c:v>11.617609576207695</c:v>
                </c:pt>
                <c:pt idx="3">
                  <c:v>2.7356322470445265</c:v>
                </c:pt>
                <c:pt idx="4">
                  <c:v>3.6798295024333529</c:v>
                </c:pt>
                <c:pt idx="5">
                  <c:v>1.2629729864626957</c:v>
                </c:pt>
                <c:pt idx="6">
                  <c:v>0.44619938468811654</c:v>
                </c:pt>
                <c:pt idx="7">
                  <c:v>6.9191196486717459</c:v>
                </c:pt>
                <c:pt idx="8">
                  <c:v>1.5489703051759225</c:v>
                </c:pt>
                <c:pt idx="9">
                  <c:v>1.130520781674456</c:v>
                </c:pt>
                <c:pt idx="10">
                  <c:v>22.918229312151329</c:v>
                </c:pt>
              </c:numCache>
            </c:numRef>
          </c:val>
          <c:extLst>
            <c:ext xmlns:c16="http://schemas.microsoft.com/office/drawing/2014/chart" uri="{C3380CC4-5D6E-409C-BE32-E72D297353CC}">
              <c16:uniqueId val="{00000008-DF1F-42ED-A10A-F1B308177E80}"/>
            </c:ext>
          </c:extLst>
        </c:ser>
        <c:dLbls>
          <c:showLegendKey val="0"/>
          <c:showVal val="0"/>
          <c:showCatName val="0"/>
          <c:showSerName val="0"/>
          <c:showPercent val="0"/>
          <c:showBubbleSize val="0"/>
        </c:dLbls>
        <c:gapWidth val="152"/>
        <c:overlap val="100"/>
        <c:axId val="450490767"/>
        <c:axId val="450486607"/>
        <c:extLst>
          <c:ext xmlns:c15="http://schemas.microsoft.com/office/drawing/2012/chart" uri="{02D57815-91ED-43cb-92C2-25804820EDAC}">
            <c15:filteredBarSeries>
              <c15:ser>
                <c:idx val="4"/>
                <c:order val="0"/>
                <c:tx>
                  <c:strRef>
                    <c:extLst>
                      <c:ext uri="{02D57815-91ED-43cb-92C2-25804820EDAC}">
                        <c15:formulaRef>
                          <c15:sqref>'[4]Figure 14'!#REF!</c15:sqref>
                        </c15:formulaRef>
                      </c:ext>
                    </c:extLst>
                    <c:strCache>
                      <c:ptCount val="1"/>
                      <c:pt idx="0">
                        <c:v>#BEZUG!</c:v>
                      </c:pt>
                    </c:strCache>
                  </c:strRef>
                </c:tx>
                <c:spPr>
                  <a:solidFill>
                    <a:schemeClr val="accent4">
                      <a:lumMod val="60000"/>
                    </a:schemeClr>
                  </a:solidFill>
                  <a:ln>
                    <a:solidFill>
                      <a:srgbClr val="000000"/>
                    </a:solidFill>
                    <a:prstDash val="solid"/>
                  </a:ln>
                  <a:effectLst/>
                </c:spPr>
                <c:invertIfNegative val="0"/>
                <c:cat>
                  <c:strRef>
                    <c:extLst>
                      <c:ext uri="{02D57815-91ED-43cb-92C2-25804820EDAC}">
                        <c15:formulaRef>
                          <c15:sqref>'Fig 16. Aid over Time'!$B$12:$B$22</c15:sqref>
                        </c15:formulaRef>
                      </c:ext>
                    </c:extLst>
                    <c:strCache>
                      <c:ptCount val="11"/>
                      <c:pt idx="0">
                        <c:v>February</c:v>
                      </c:pt>
                      <c:pt idx="1">
                        <c:v>March</c:v>
                      </c:pt>
                      <c:pt idx="2">
                        <c:v>April</c:v>
                      </c:pt>
                      <c:pt idx="3">
                        <c:v>May</c:v>
                      </c:pt>
                      <c:pt idx="4">
                        <c:v>June</c:v>
                      </c:pt>
                      <c:pt idx="5">
                        <c:v>July</c:v>
                      </c:pt>
                      <c:pt idx="6">
                        <c:v>August</c:v>
                      </c:pt>
                      <c:pt idx="7">
                        <c:v>September</c:v>
                      </c:pt>
                      <c:pt idx="8">
                        <c:v>October</c:v>
                      </c:pt>
                      <c:pt idx="9">
                        <c:v>November</c:v>
                      </c:pt>
                      <c:pt idx="10">
                        <c:v>December</c:v>
                      </c:pt>
                    </c:strCache>
                  </c:strRef>
                </c:cat>
                <c:val>
                  <c:numRef>
                    <c:extLst>
                      <c:ext uri="{02D57815-91ED-43cb-92C2-25804820EDAC}">
                        <c15:formulaRef>
                          <c15:sqref>'[4]Figure 14'!#REF!</c15:sqref>
                        </c15:formulaRef>
                      </c:ext>
                    </c:extLst>
                    <c:numCache>
                      <c:formatCode>0.00</c:formatCode>
                      <c:ptCount val="1"/>
                      <c:pt idx="0">
                        <c:v>1</c:v>
                      </c:pt>
                    </c:numCache>
                  </c:numRef>
                </c:val>
                <c:extLst>
                  <c:ext xmlns:c16="http://schemas.microsoft.com/office/drawing/2014/chart" uri="{C3380CC4-5D6E-409C-BE32-E72D297353CC}">
                    <c16:uniqueId val="{00000004-DF1F-42ED-A10A-F1B308177E80}"/>
                  </c:ext>
                </c:extLst>
              </c15:ser>
            </c15:filteredBarSeries>
          </c:ext>
        </c:extLst>
      </c:barChart>
      <c:catAx>
        <c:axId val="45049076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1"/>
      </c:catAx>
      <c:valAx>
        <c:axId val="45048660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autoZero"/>
        <c:crossBetween val="between"/>
        <c:majorUnit val="5"/>
      </c:valAx>
      <c:spPr>
        <a:noFill/>
        <a:ln>
          <a:noFill/>
        </a:ln>
        <a:effectLst/>
      </c:spPr>
    </c:plotArea>
    <c:legend>
      <c:legendPos val="t"/>
      <c:layout>
        <c:manualLayout>
          <c:xMode val="edge"/>
          <c:yMode val="edge"/>
          <c:x val="7.2560510201849449E-2"/>
          <c:y val="0.12892070719173523"/>
          <c:w val="0.31317612445488041"/>
          <c:h val="0.27624033713819468"/>
        </c:manualLayout>
      </c:layout>
      <c:overlay val="1"/>
      <c:spPr>
        <a:solidFill>
          <a:schemeClr val="bg1"/>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964537037037035E-2"/>
          <c:y val="2.3803600126414605E-4"/>
          <c:w val="0.9390965740740741"/>
          <c:h val="0.91344901164828285"/>
        </c:manualLayout>
      </c:layout>
      <c:barChart>
        <c:barDir val="col"/>
        <c:grouping val="clustered"/>
        <c:varyColors val="0"/>
        <c:ser>
          <c:idx val="4"/>
          <c:order val="0"/>
          <c:tx>
            <c:strRef>
              <c:f>'Fig 17. Financial aid over time'!$C$11</c:f>
              <c:strCache>
                <c:ptCount val="1"/>
                <c:pt idx="0">
                  <c:v>Commitments (committed loans and grants)</c:v>
                </c:pt>
              </c:strCache>
            </c:strRef>
          </c:tx>
          <c:spPr>
            <a:solidFill>
              <a:schemeClr val="accent1">
                <a:lumMod val="75000"/>
              </a:schemeClr>
            </a:solidFill>
            <a:ln>
              <a:solidFill>
                <a:srgbClr val="000000"/>
              </a:solidFill>
              <a:prstDash val="solid"/>
            </a:ln>
            <a:effectLst/>
          </c:spPr>
          <c:invertIfNegative val="0"/>
          <c:cat>
            <c:strRef>
              <c:f>'Fig 17. Financial aid over time'!$B$12:$B$22</c:f>
              <c:strCache>
                <c:ptCount val="11"/>
                <c:pt idx="0">
                  <c:v>February</c:v>
                </c:pt>
                <c:pt idx="1">
                  <c:v>March</c:v>
                </c:pt>
                <c:pt idx="2">
                  <c:v>April</c:v>
                </c:pt>
                <c:pt idx="3">
                  <c:v>May</c:v>
                </c:pt>
                <c:pt idx="4">
                  <c:v>June</c:v>
                </c:pt>
                <c:pt idx="5">
                  <c:v>July</c:v>
                </c:pt>
                <c:pt idx="6">
                  <c:v>August</c:v>
                </c:pt>
                <c:pt idx="7">
                  <c:v>September</c:v>
                </c:pt>
                <c:pt idx="8">
                  <c:v>October</c:v>
                </c:pt>
                <c:pt idx="9">
                  <c:v>November</c:v>
                </c:pt>
                <c:pt idx="10">
                  <c:v>December</c:v>
                </c:pt>
              </c:strCache>
            </c:strRef>
          </c:cat>
          <c:val>
            <c:numRef>
              <c:f>'Fig 17. Financial aid over time'!$C$12:$C$22</c:f>
              <c:numCache>
                <c:formatCode>0.00</c:formatCode>
                <c:ptCount val="11"/>
                <c:pt idx="0">
                  <c:v>2.8418568568690801</c:v>
                </c:pt>
                <c:pt idx="1">
                  <c:v>3.3661952557968369</c:v>
                </c:pt>
                <c:pt idx="2">
                  <c:v>1.427581335172422</c:v>
                </c:pt>
                <c:pt idx="3">
                  <c:v>18.294677517356199</c:v>
                </c:pt>
                <c:pt idx="4">
                  <c:v>0.23986992097349466</c:v>
                </c:pt>
                <c:pt idx="5">
                  <c:v>0.31470732219036301</c:v>
                </c:pt>
                <c:pt idx="6">
                  <c:v>0.31707247395635035</c:v>
                </c:pt>
                <c:pt idx="7">
                  <c:v>4.3582142857142845</c:v>
                </c:pt>
                <c:pt idx="8">
                  <c:v>0.98777509014335219</c:v>
                </c:pt>
                <c:pt idx="9">
                  <c:v>18.122806393833731</c:v>
                </c:pt>
                <c:pt idx="10">
                  <c:v>12.891366924223938</c:v>
                </c:pt>
              </c:numCache>
            </c:numRef>
          </c:val>
          <c:extLst xmlns:c15="http://schemas.microsoft.com/office/drawing/2012/chart">
            <c:ext xmlns:c16="http://schemas.microsoft.com/office/drawing/2014/chart" uri="{C3380CC4-5D6E-409C-BE32-E72D297353CC}">
              <c16:uniqueId val="{00000000-0D43-4817-83E1-2F37121EA36E}"/>
            </c:ext>
          </c:extLst>
        </c:ser>
        <c:ser>
          <c:idx val="5"/>
          <c:order val="1"/>
          <c:tx>
            <c:strRef>
              <c:f>'Fig 17. Financial aid over time'!$D$11</c:f>
              <c:strCache>
                <c:ptCount val="1"/>
                <c:pt idx="0">
                  <c:v>Disbursements</c:v>
                </c:pt>
              </c:strCache>
            </c:strRef>
          </c:tx>
          <c:spPr>
            <a:solidFill>
              <a:schemeClr val="accent1">
                <a:lumMod val="40000"/>
                <a:lumOff val="60000"/>
              </a:schemeClr>
            </a:solidFill>
            <a:ln>
              <a:solidFill>
                <a:srgbClr val="000000"/>
              </a:solidFill>
              <a:prstDash val="solid"/>
            </a:ln>
            <a:effectLst/>
          </c:spPr>
          <c:invertIfNegative val="0"/>
          <c:cat>
            <c:strRef>
              <c:f>'Fig 17. Financial aid over time'!$B$12:$B$22</c:f>
              <c:strCache>
                <c:ptCount val="11"/>
                <c:pt idx="0">
                  <c:v>February</c:v>
                </c:pt>
                <c:pt idx="1">
                  <c:v>March</c:v>
                </c:pt>
                <c:pt idx="2">
                  <c:v>April</c:v>
                </c:pt>
                <c:pt idx="3">
                  <c:v>May</c:v>
                </c:pt>
                <c:pt idx="4">
                  <c:v>June</c:v>
                </c:pt>
                <c:pt idx="5">
                  <c:v>July</c:v>
                </c:pt>
                <c:pt idx="6">
                  <c:v>August</c:v>
                </c:pt>
                <c:pt idx="7">
                  <c:v>September</c:v>
                </c:pt>
                <c:pt idx="8">
                  <c:v>October</c:v>
                </c:pt>
                <c:pt idx="9">
                  <c:v>November</c:v>
                </c:pt>
                <c:pt idx="10">
                  <c:v>December</c:v>
                </c:pt>
              </c:strCache>
            </c:strRef>
          </c:cat>
          <c:val>
            <c:numRef>
              <c:f>'Fig 17. Financial aid over time'!$D$12:$D$22</c:f>
              <c:numCache>
                <c:formatCode>0.00</c:formatCode>
                <c:ptCount val="11"/>
                <c:pt idx="0">
                  <c:v>0</c:v>
                </c:pt>
                <c:pt idx="1">
                  <c:v>0</c:v>
                </c:pt>
                <c:pt idx="2">
                  <c:v>2.1333333333333333</c:v>
                </c:pt>
                <c:pt idx="3">
                  <c:v>0.87428571428571367</c:v>
                </c:pt>
                <c:pt idx="4">
                  <c:v>2.2400000000000002</c:v>
                </c:pt>
                <c:pt idx="5">
                  <c:v>4.742857142857142</c:v>
                </c:pt>
                <c:pt idx="6">
                  <c:v>4.3809523809523814</c:v>
                </c:pt>
                <c:pt idx="7">
                  <c:v>1.4285714285714279</c:v>
                </c:pt>
                <c:pt idx="8">
                  <c:v>2.3047619047619046</c:v>
                </c:pt>
                <c:pt idx="9">
                  <c:v>2.8761904761904757</c:v>
                </c:pt>
                <c:pt idx="10">
                  <c:v>4.7904761904761903</c:v>
                </c:pt>
              </c:numCache>
            </c:numRef>
          </c:val>
          <c:extLst>
            <c:ext xmlns:c16="http://schemas.microsoft.com/office/drawing/2014/chart" uri="{C3380CC4-5D6E-409C-BE32-E72D297353CC}">
              <c16:uniqueId val="{00000001-0D43-4817-83E1-2F37121EA36E}"/>
            </c:ext>
          </c:extLst>
        </c:ser>
        <c:dLbls>
          <c:showLegendKey val="0"/>
          <c:showVal val="0"/>
          <c:showCatName val="0"/>
          <c:showSerName val="0"/>
          <c:showPercent val="0"/>
          <c:showBubbleSize val="0"/>
        </c:dLbls>
        <c:gapWidth val="150"/>
        <c:axId val="450490767"/>
        <c:axId val="450486607"/>
        <c:extLst/>
      </c:barChart>
      <c:catAx>
        <c:axId val="45049076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1"/>
      </c:catAx>
      <c:valAx>
        <c:axId val="45048660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autoZero"/>
        <c:crossBetween val="between"/>
        <c:majorUnit val="5"/>
      </c:valAx>
      <c:spPr>
        <a:noFill/>
        <a:ln>
          <a:noFill/>
        </a:ln>
        <a:effectLst/>
      </c:spPr>
    </c:plotArea>
    <c:legend>
      <c:legendPos val="tr"/>
      <c:layout>
        <c:manualLayout>
          <c:xMode val="edge"/>
          <c:yMode val="edge"/>
          <c:x val="0.36746083429464516"/>
          <c:y val="0.35025571343933665"/>
          <c:w val="0.44586480854389166"/>
          <c:h val="0.17529344205887487"/>
        </c:manualLayout>
      </c:layout>
      <c:overlay val="1"/>
      <c:spPr>
        <a:solidFill>
          <a:schemeClr val="bg1"/>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24371348116696889"/>
          <c:y val="1.8390168701031329E-2"/>
          <c:w val="0.73445096179446223"/>
          <c:h val="0.92632244807501674"/>
        </c:manualLayout>
      </c:layout>
      <c:barChart>
        <c:barDir val="bar"/>
        <c:grouping val="stacked"/>
        <c:varyColors val="0"/>
        <c:ser>
          <c:idx val="0"/>
          <c:order val="0"/>
          <c:tx>
            <c:strRef>
              <c:f>'Fig 18. Comparison WW2 (weap.)'!$D$11</c:f>
              <c:strCache>
                <c:ptCount val="1"/>
                <c:pt idx="0">
                  <c:v>Delivered</c:v>
                </c:pt>
              </c:strCache>
            </c:strRef>
          </c:tx>
          <c:spPr>
            <a:pattFill prst="pct70">
              <a:fgClr>
                <a:srgbClr val="5C8A6A"/>
              </a:fgClr>
              <a:bgClr>
                <a:schemeClr val="bg1"/>
              </a:bgClr>
            </a:pattFill>
            <a:ln>
              <a:solidFill>
                <a:schemeClr val="tx1"/>
              </a:solidFill>
            </a:ln>
            <a:effectLst/>
          </c:spPr>
          <c:invertIfNegative val="0"/>
          <c:dPt>
            <c:idx val="0"/>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5-9387-429E-88DD-291E3D78A13B}"/>
              </c:ext>
            </c:extLst>
          </c:dPt>
          <c:dPt>
            <c:idx val="1"/>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6-9387-429E-88DD-291E3D78A13B}"/>
              </c:ext>
            </c:extLst>
          </c:dPt>
          <c:dPt>
            <c:idx val="2"/>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7-9387-429E-88DD-291E3D78A13B}"/>
              </c:ext>
            </c:extLst>
          </c:dPt>
          <c:dPt>
            <c:idx val="3"/>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8-9387-429E-88DD-291E3D78A13B}"/>
              </c:ext>
            </c:extLst>
          </c:dPt>
          <c:dPt>
            <c:idx val="4"/>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9-9387-429E-88DD-291E3D78A13B}"/>
              </c:ext>
            </c:extLst>
          </c:dPt>
          <c:dPt>
            <c:idx val="5"/>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A-9387-429E-88DD-291E3D78A13B}"/>
              </c:ext>
            </c:extLst>
          </c:dPt>
          <c:dPt>
            <c:idx val="6"/>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B-9387-429E-88DD-291E3D78A13B}"/>
              </c:ext>
            </c:extLst>
          </c:dPt>
          <c:dPt>
            <c:idx val="7"/>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C-9387-429E-88DD-291E3D78A13B}"/>
              </c:ext>
            </c:extLst>
          </c:dPt>
          <c:dPt>
            <c:idx val="8"/>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09-4ED5-44CE-8313-5A264BDC2DE1}"/>
              </c:ext>
            </c:extLst>
          </c:dPt>
          <c:dPt>
            <c:idx val="9"/>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0B-4ED5-44CE-8313-5A264BDC2DE1}"/>
              </c:ext>
            </c:extLst>
          </c:dPt>
          <c:dPt>
            <c:idx val="10"/>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0D-4ED5-44CE-8313-5A264BDC2DE1}"/>
              </c:ext>
            </c:extLst>
          </c:dPt>
          <c:dPt>
            <c:idx val="11"/>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D-9387-429E-88DD-291E3D78A13B}"/>
              </c:ext>
            </c:extLst>
          </c:dPt>
          <c:dPt>
            <c:idx val="12"/>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E-9387-429E-88DD-291E3D78A13B}"/>
              </c:ext>
            </c:extLst>
          </c:dPt>
          <c:dPt>
            <c:idx val="13"/>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F-9387-429E-88DD-291E3D78A13B}"/>
              </c:ext>
            </c:extLst>
          </c:dPt>
          <c:dPt>
            <c:idx val="14"/>
            <c:invertIfNegative val="0"/>
            <c:bubble3D val="0"/>
            <c:spPr>
              <a:solidFill>
                <a:schemeClr val="tx2"/>
              </a:solidFill>
              <a:ln>
                <a:solidFill>
                  <a:schemeClr val="tx1"/>
                </a:solidFill>
              </a:ln>
              <a:effectLst/>
            </c:spPr>
            <c:extLst>
              <c:ext xmlns:c16="http://schemas.microsoft.com/office/drawing/2014/chart" uri="{C3380CC4-5D6E-409C-BE32-E72D297353CC}">
                <c16:uniqueId val="{00000020-9387-429E-88DD-291E3D78A13B}"/>
              </c:ext>
            </c:extLst>
          </c:dPt>
          <c:dPt>
            <c:idx val="15"/>
            <c:invertIfNegative val="0"/>
            <c:bubble3D val="0"/>
            <c:spPr>
              <a:solidFill>
                <a:schemeClr val="accent1">
                  <a:lumMod val="50000"/>
                </a:schemeClr>
              </a:solidFill>
              <a:ln>
                <a:solidFill>
                  <a:schemeClr val="tx1"/>
                </a:solidFill>
              </a:ln>
              <a:effectLst/>
            </c:spPr>
            <c:extLst>
              <c:ext xmlns:c16="http://schemas.microsoft.com/office/drawing/2014/chart" uri="{C3380CC4-5D6E-409C-BE32-E72D297353CC}">
                <c16:uniqueId val="{00000021-9387-429E-88DD-291E3D78A13B}"/>
              </c:ext>
            </c:extLst>
          </c:dPt>
          <c:dPt>
            <c:idx val="16"/>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22-9387-429E-88DD-291E3D78A13B}"/>
              </c:ext>
            </c:extLst>
          </c:dPt>
          <c:cat>
            <c:multiLvlStrRef>
              <c:f>'Fig 18. Comparison WW2 (weap.)'!$B$16:$C$38</c:f>
              <c:multiLvlStrCache>
                <c:ptCount val="17"/>
                <c:lvl>
                  <c:pt idx="0">
                    <c:v>Tanks</c:v>
                  </c:pt>
                  <c:pt idx="1">
                    <c:v>Combat Aircraft</c:v>
                  </c:pt>
                  <c:pt idx="2">
                    <c:v>Artillery</c:v>
                  </c:pt>
                  <c:pt idx="3">
                    <c:v>Mortars</c:v>
                  </c:pt>
                  <c:pt idx="4">
                    <c:v>Combat Aircraft</c:v>
                  </c:pt>
                  <c:pt idx="5">
                    <c:v>Tanks</c:v>
                  </c:pt>
                  <c:pt idx="6">
                    <c:v>Mortars</c:v>
                  </c:pt>
                  <c:pt idx="7">
                    <c:v>Artillery</c:v>
                  </c:pt>
                  <c:pt idx="8">
                    <c:v>Artillery</c:v>
                  </c:pt>
                  <c:pt idx="9">
                    <c:v>Combat Aircraft</c:v>
                  </c:pt>
                  <c:pt idx="10">
                    <c:v>Tanks </c:v>
                  </c:pt>
                  <c:pt idx="11">
                    <c:v>Artillery</c:v>
                  </c:pt>
                  <c:pt idx="12">
                    <c:v>Combat Aircraft</c:v>
                  </c:pt>
                  <c:pt idx="13">
                    <c:v>Tanks </c:v>
                  </c:pt>
                  <c:pt idx="14">
                    <c:v>Tanks </c:v>
                  </c:pt>
                  <c:pt idx="15">
                    <c:v>Howitzer(155mm)</c:v>
                  </c:pt>
                  <c:pt idx="16">
                    <c:v>MLRS</c:v>
                  </c:pt>
                </c:lvl>
                <c:lvl>
                  <c:pt idx="0">
                    <c:v>US to Great Britain
(1941-45)</c:v>
                  </c:pt>
                  <c:pt idx="4">
                    <c:v>US to USSR
 (1941-45)</c:v>
                  </c:pt>
                  <c:pt idx="8">
                    <c:v>Spain (1936-39) Nationalists</c:v>
                  </c:pt>
                  <c:pt idx="11">
                    <c:v>Spain (1936-39) Republicans</c:v>
                  </c:pt>
                  <c:pt idx="14">
                    <c:v>Total supply to Ukraine</c:v>
                  </c:pt>
                </c:lvl>
              </c:multiLvlStrCache>
            </c:multiLvlStrRef>
          </c:cat>
          <c:val>
            <c:numRef>
              <c:f>'Fig 18. Comparison WW2 (weap.)'!$D$16:$D$32</c:f>
              <c:numCache>
                <c:formatCode>General</c:formatCode>
                <c:ptCount val="17"/>
                <c:pt idx="0">
                  <c:v>27751</c:v>
                </c:pt>
                <c:pt idx="1">
                  <c:v>16076</c:v>
                </c:pt>
                <c:pt idx="2">
                  <c:v>4356</c:v>
                </c:pt>
                <c:pt idx="3">
                  <c:v>1162</c:v>
                </c:pt>
                <c:pt idx="4">
                  <c:v>10627</c:v>
                </c:pt>
                <c:pt idx="5">
                  <c:v>7172</c:v>
                </c:pt>
                <c:pt idx="6">
                  <c:v>2540</c:v>
                </c:pt>
                <c:pt idx="7">
                  <c:v>961</c:v>
                </c:pt>
                <c:pt idx="8">
                  <c:v>2639</c:v>
                </c:pt>
                <c:pt idx="9">
                  <c:v>1376</c:v>
                </c:pt>
                <c:pt idx="10">
                  <c:v>234</c:v>
                </c:pt>
                <c:pt idx="11">
                  <c:v>1886</c:v>
                </c:pt>
                <c:pt idx="12">
                  <c:v>648</c:v>
                </c:pt>
                <c:pt idx="13">
                  <c:v>347</c:v>
                </c:pt>
                <c:pt idx="14">
                  <c:v>368</c:v>
                </c:pt>
                <c:pt idx="15">
                  <c:v>275</c:v>
                </c:pt>
                <c:pt idx="16">
                  <c:v>49</c:v>
                </c:pt>
              </c:numCache>
            </c:numRef>
          </c:val>
          <c:extLst>
            <c:ext xmlns:c16="http://schemas.microsoft.com/office/drawing/2014/chart" uri="{C3380CC4-5D6E-409C-BE32-E72D297353CC}">
              <c16:uniqueId val="{00000016-4ED5-44CE-8313-5A264BDC2DE1}"/>
            </c:ext>
          </c:extLst>
        </c:ser>
        <c:ser>
          <c:idx val="1"/>
          <c:order val="1"/>
          <c:tx>
            <c:strRef>
              <c:f>'Fig 18. Comparison WW2 (weap.)'!$E$11</c:f>
              <c:strCache>
                <c:ptCount val="1"/>
                <c:pt idx="0">
                  <c:v>To be delivered</c:v>
                </c:pt>
              </c:strCache>
            </c:strRef>
          </c:tx>
          <c:spPr>
            <a:solidFill>
              <a:srgbClr val="2E75B6"/>
            </a:solidFill>
            <a:ln>
              <a:solidFill>
                <a:schemeClr val="tx1"/>
              </a:solidFill>
            </a:ln>
            <a:effectLst/>
          </c:spPr>
          <c:invertIfNegative val="0"/>
          <c:dPt>
            <c:idx val="8"/>
            <c:invertIfNegative val="0"/>
            <c:bubble3D val="0"/>
            <c:spPr>
              <a:solidFill>
                <a:srgbClr val="2E75B6"/>
              </a:solidFill>
              <a:ln>
                <a:solidFill>
                  <a:schemeClr val="tx1"/>
                </a:solidFill>
              </a:ln>
              <a:effectLst/>
            </c:spPr>
            <c:extLst>
              <c:ext xmlns:c16="http://schemas.microsoft.com/office/drawing/2014/chart" uri="{C3380CC4-5D6E-409C-BE32-E72D297353CC}">
                <c16:uniqueId val="{00000002-4ED5-44CE-8313-5A264BDC2DE1}"/>
              </c:ext>
            </c:extLst>
          </c:dPt>
          <c:dPt>
            <c:idx val="9"/>
            <c:invertIfNegative val="0"/>
            <c:bubble3D val="0"/>
            <c:spPr>
              <a:solidFill>
                <a:srgbClr val="2E75B6"/>
              </a:solidFill>
              <a:ln>
                <a:solidFill>
                  <a:schemeClr val="tx1"/>
                </a:solidFill>
              </a:ln>
              <a:effectLst/>
            </c:spPr>
            <c:extLst>
              <c:ext xmlns:c16="http://schemas.microsoft.com/office/drawing/2014/chart" uri="{C3380CC4-5D6E-409C-BE32-E72D297353CC}">
                <c16:uniqueId val="{00000004-4ED5-44CE-8313-5A264BDC2DE1}"/>
              </c:ext>
            </c:extLst>
          </c:dPt>
          <c:dPt>
            <c:idx val="10"/>
            <c:invertIfNegative val="0"/>
            <c:bubble3D val="0"/>
            <c:spPr>
              <a:solidFill>
                <a:srgbClr val="2E75B6"/>
              </a:solidFill>
              <a:ln>
                <a:solidFill>
                  <a:schemeClr val="tx1"/>
                </a:solidFill>
              </a:ln>
              <a:effectLst/>
            </c:spPr>
            <c:extLst>
              <c:ext xmlns:c16="http://schemas.microsoft.com/office/drawing/2014/chart" uri="{C3380CC4-5D6E-409C-BE32-E72D297353CC}">
                <c16:uniqueId val="{00000006-4ED5-44CE-8313-5A264BDC2DE1}"/>
              </c:ext>
            </c:extLst>
          </c:dPt>
          <c:cat>
            <c:multiLvlStrRef>
              <c:f>'Fig 18. Comparison WW2 (weap.)'!$B$12:$C$38</c:f>
              <c:multiLvlStrCache>
                <c:ptCount val="21"/>
                <c:lvl>
                  <c:pt idx="0">
                    <c:v>Tanks</c:v>
                  </c:pt>
                  <c:pt idx="1">
                    <c:v>Combat Aircraft</c:v>
                  </c:pt>
                  <c:pt idx="2">
                    <c:v>Mortars</c:v>
                  </c:pt>
                  <c:pt idx="3">
                    <c:v>Artillery</c:v>
                  </c:pt>
                  <c:pt idx="4">
                    <c:v>Tanks</c:v>
                  </c:pt>
                  <c:pt idx="5">
                    <c:v>Combat Aircraft</c:v>
                  </c:pt>
                  <c:pt idx="6">
                    <c:v>Artillery</c:v>
                  </c:pt>
                  <c:pt idx="7">
                    <c:v>Mortars</c:v>
                  </c:pt>
                  <c:pt idx="8">
                    <c:v>Combat Aircraft</c:v>
                  </c:pt>
                  <c:pt idx="9">
                    <c:v>Tanks</c:v>
                  </c:pt>
                  <c:pt idx="10">
                    <c:v>Mortars</c:v>
                  </c:pt>
                  <c:pt idx="11">
                    <c:v>Artillery</c:v>
                  </c:pt>
                  <c:pt idx="12">
                    <c:v>Artillery</c:v>
                  </c:pt>
                  <c:pt idx="13">
                    <c:v>Combat Aircraft</c:v>
                  </c:pt>
                  <c:pt idx="14">
                    <c:v>Tanks </c:v>
                  </c:pt>
                  <c:pt idx="15">
                    <c:v>Artillery</c:v>
                  </c:pt>
                  <c:pt idx="16">
                    <c:v>Combat Aircraft</c:v>
                  </c:pt>
                  <c:pt idx="17">
                    <c:v>Tanks </c:v>
                  </c:pt>
                  <c:pt idx="18">
                    <c:v>Tanks </c:v>
                  </c:pt>
                  <c:pt idx="19">
                    <c:v>Howitzer(155mm)</c:v>
                  </c:pt>
                  <c:pt idx="20">
                    <c:v>MLRS</c:v>
                  </c:pt>
                </c:lvl>
                <c:lvl>
                  <c:pt idx="0">
                    <c:v>WW2 lend-lease US total donations</c:v>
                  </c:pt>
                  <c:pt idx="4">
                    <c:v>US to Great Britain
(1941-45)</c:v>
                  </c:pt>
                  <c:pt idx="8">
                    <c:v>US to USSR
 (1941-45)</c:v>
                  </c:pt>
                  <c:pt idx="12">
                    <c:v>Spain (1936-39) Nationalists</c:v>
                  </c:pt>
                  <c:pt idx="15">
                    <c:v>Spain (1936-39) Republicans</c:v>
                  </c:pt>
                  <c:pt idx="18">
                    <c:v>Total supply to Ukraine</c:v>
                  </c:pt>
                </c:lvl>
              </c:multiLvlStrCache>
            </c:multiLvlStrRef>
          </c:cat>
          <c:val>
            <c:numRef>
              <c:f>'Fig 18. Comparison WW2 (weap.)'!$E$16:$E$32</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104</c:v>
                </c:pt>
                <c:pt idx="15">
                  <c:v>151</c:v>
                </c:pt>
                <c:pt idx="16">
                  <c:v>27</c:v>
                </c:pt>
              </c:numCache>
            </c:numRef>
          </c:val>
          <c:extLst>
            <c:ext xmlns:c16="http://schemas.microsoft.com/office/drawing/2014/chart" uri="{C3380CC4-5D6E-409C-BE32-E72D297353CC}">
              <c16:uniqueId val="{00000007-4ED5-44CE-8313-5A264BDC2DE1}"/>
            </c:ext>
          </c:extLst>
        </c:ser>
        <c:dLbls>
          <c:showLegendKey val="0"/>
          <c:showVal val="0"/>
          <c:showCatName val="0"/>
          <c:showSerName val="0"/>
          <c:showPercent val="0"/>
          <c:showBubbleSize val="0"/>
        </c:dLbls>
        <c:gapWidth val="150"/>
        <c:overlap val="100"/>
        <c:axId val="1645473968"/>
        <c:axId val="1645476880"/>
        <c:extLst/>
      </c:barChart>
      <c:catAx>
        <c:axId val="1645473968"/>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1645476880"/>
        <c:crosses val="autoZero"/>
        <c:auto val="0"/>
        <c:lblAlgn val="ctr"/>
        <c:lblOffset val="100"/>
        <c:noMultiLvlLbl val="0"/>
      </c:catAx>
      <c:valAx>
        <c:axId val="164547688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16454739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35994095346313842"/>
          <c:y val="4.4646544178817339E-2"/>
          <c:w val="0.61957788913955025"/>
          <c:h val="0.85483299683486758"/>
        </c:manualLayout>
      </c:layout>
      <c:barChart>
        <c:barDir val="bar"/>
        <c:grouping val="stacked"/>
        <c:varyColors val="0"/>
        <c:ser>
          <c:idx val="1"/>
          <c:order val="0"/>
          <c:tx>
            <c:strRef>
              <c:f>'Fig 19. Comparison WW2 % GDP'!$H$11</c:f>
              <c:strCache>
                <c:ptCount val="1"/>
                <c:pt idx="0">
                  <c:v>Military aid</c:v>
                </c:pt>
              </c:strCache>
            </c:strRef>
          </c:tx>
          <c:spPr>
            <a:pattFill prst="pct70">
              <a:fgClr>
                <a:srgbClr val="5C8A6A"/>
              </a:fgClr>
              <a:bgClr>
                <a:schemeClr val="bg1"/>
              </a:bgClr>
            </a:pattFill>
            <a:ln>
              <a:solidFill>
                <a:sysClr val="windowText" lastClr="000000"/>
              </a:solidFill>
            </a:ln>
            <a:effectLst/>
          </c:spPr>
          <c:invertIfNegative val="0"/>
          <c:dPt>
            <c:idx val="1"/>
            <c:invertIfNegative val="0"/>
            <c:bubble3D val="0"/>
            <c:spPr>
              <a:solidFill>
                <a:schemeClr val="accent1">
                  <a:lumMod val="75000"/>
                </a:schemeClr>
              </a:solidFill>
              <a:ln>
                <a:solidFill>
                  <a:sysClr val="windowText" lastClr="000000"/>
                </a:solidFill>
              </a:ln>
              <a:effectLst/>
            </c:spPr>
            <c:extLst>
              <c:ext xmlns:c16="http://schemas.microsoft.com/office/drawing/2014/chart" uri="{C3380CC4-5D6E-409C-BE32-E72D297353CC}">
                <c16:uniqueId val="{00000001-CA05-4162-89F7-33EFF3B98142}"/>
              </c:ext>
            </c:extLst>
          </c:dPt>
          <c:dPt>
            <c:idx val="4"/>
            <c:invertIfNegative val="0"/>
            <c:bubble3D val="0"/>
            <c:spPr>
              <a:solidFill>
                <a:schemeClr val="accent1">
                  <a:lumMod val="75000"/>
                </a:schemeClr>
              </a:solidFill>
              <a:ln>
                <a:solidFill>
                  <a:sysClr val="windowText" lastClr="000000"/>
                </a:solidFill>
              </a:ln>
              <a:effectLst/>
            </c:spPr>
            <c:extLst>
              <c:ext xmlns:c16="http://schemas.microsoft.com/office/drawing/2014/chart" uri="{C3380CC4-5D6E-409C-BE32-E72D297353CC}">
                <c16:uniqueId val="{00000003-CA05-4162-89F7-33EFF3B98142}"/>
              </c:ext>
            </c:extLst>
          </c:dPt>
          <c:cat>
            <c:strRef>
              <c:f>'Fig 19. Comparison WW2 % GDP'!$F$12:$F$17</c:f>
              <c:strCache>
                <c:ptCount val="6"/>
                <c:pt idx="0">
                  <c:v>US support to UK (1941-45)</c:v>
                </c:pt>
                <c:pt idx="1">
                  <c:v>US military aid to Ukraine (2022)</c:v>
                </c:pt>
                <c:pt idx="2">
                  <c:v>US support to USSR (1941-45)</c:v>
                </c:pt>
                <c:pt idx="3">
                  <c:v>US support to France (1941-45)</c:v>
                </c:pt>
                <c:pt idx="4">
                  <c:v>British military aid to Ukraine (2022)</c:v>
                </c:pt>
                <c:pt idx="5">
                  <c:v>British support to USSR (1941-45)</c:v>
                </c:pt>
              </c:strCache>
            </c:strRef>
          </c:cat>
          <c:val>
            <c:numRef>
              <c:f>'Fig 19. Comparison WW2 % GDP'!$H$12:$H$17</c:f>
              <c:numCache>
                <c:formatCode>0.00</c:formatCode>
                <c:ptCount val="6"/>
                <c:pt idx="0">
                  <c:v>70.330841786274576</c:v>
                </c:pt>
                <c:pt idx="1">
                  <c:v>44.338095238095235</c:v>
                </c:pt>
                <c:pt idx="2">
                  <c:v>31.241307112163462</c:v>
                </c:pt>
                <c:pt idx="3">
                  <c:v>9.413634507209883</c:v>
                </c:pt>
                <c:pt idx="4">
                  <c:v>4.8864927960823152</c:v>
                </c:pt>
                <c:pt idx="5">
                  <c:v>3.6342980356046652</c:v>
                </c:pt>
              </c:numCache>
            </c:numRef>
          </c:val>
          <c:extLst>
            <c:ext xmlns:c16="http://schemas.microsoft.com/office/drawing/2014/chart" uri="{C3380CC4-5D6E-409C-BE32-E72D297353CC}">
              <c16:uniqueId val="{00000004-CA05-4162-89F7-33EFF3B98142}"/>
            </c:ext>
          </c:extLst>
        </c:ser>
        <c:dLbls>
          <c:showLegendKey val="0"/>
          <c:showVal val="0"/>
          <c:showCatName val="0"/>
          <c:showSerName val="0"/>
          <c:showPercent val="0"/>
          <c:showBubbleSize val="0"/>
        </c:dLbls>
        <c:gapWidth val="100"/>
        <c:overlap val="100"/>
        <c:axId val="295516991"/>
        <c:axId val="295508671"/>
        <c:extLst/>
      </c:barChart>
      <c:catAx>
        <c:axId val="295516991"/>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295508671"/>
        <c:crosses val="autoZero"/>
        <c:auto val="1"/>
        <c:lblAlgn val="ctr"/>
        <c:lblOffset val="100"/>
        <c:noMultiLvlLbl val="0"/>
      </c:catAx>
      <c:valAx>
        <c:axId val="295508671"/>
        <c:scaling>
          <c:orientation val="minMax"/>
          <c:max val="8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GB" sz="1800" b="0" i="0" u="none" strike="noStrike" baseline="0">
                    <a:effectLst/>
                  </a:rPr>
                  <a:t>yearly average support</a:t>
                </a:r>
                <a:br>
                  <a:rPr lang="en-GB" sz="1800" b="0" i="0" u="none" strike="noStrike" baseline="0">
                    <a:effectLst/>
                  </a:rPr>
                </a:br>
                <a:r>
                  <a:rPr lang="en-GB" sz="1800" b="0" i="0" u="none" strike="noStrike" baseline="0">
                    <a:effectLst/>
                  </a:rPr>
                  <a:t> in </a:t>
                </a:r>
                <a:r>
                  <a:rPr lang="en-GB" sz="1800"/>
                  <a:t>billion 2022 Euros</a:t>
                </a:r>
                <a:r>
                  <a:rPr lang="en-GB" sz="1800" baseline="0"/>
                  <a:t> (inflation adjusted)</a:t>
                </a:r>
                <a:endParaRPr lang="en-GB" sz="1800"/>
              </a:p>
            </c:rich>
          </c:tx>
          <c:layout>
            <c:manualLayout>
              <c:xMode val="edge"/>
              <c:yMode val="edge"/>
              <c:x val="0.54330256846667346"/>
              <c:y val="0.73504267676767676"/>
            </c:manualLayout>
          </c:layout>
          <c:overlay val="0"/>
          <c:spPr>
            <a:solidFill>
              <a:sysClr val="window" lastClr="FFFFFF"/>
            </a:solidFill>
            <a:ln>
              <a:noFill/>
            </a:ln>
            <a:effectLst/>
          </c:spPr>
          <c:txPr>
            <a:bodyPr rot="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title>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2955169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de-DE"/>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34818613261302012"/>
          <c:y val="2.1195358947737331E-2"/>
          <c:w val="0.63827280924604779"/>
          <c:h val="0.86689409974316733"/>
        </c:manualLayout>
      </c:layout>
      <c:barChart>
        <c:barDir val="bar"/>
        <c:grouping val="stacked"/>
        <c:varyColors val="0"/>
        <c:ser>
          <c:idx val="2"/>
          <c:order val="0"/>
          <c:tx>
            <c:strRef>
              <c:f>'Fig 19. Comparison WW2 % GDP'!$D$11</c:f>
              <c:strCache>
                <c:ptCount val="1"/>
                <c:pt idx="0">
                  <c:v>Military aid</c:v>
                </c:pt>
              </c:strCache>
            </c:strRef>
          </c:tx>
          <c:spPr>
            <a:pattFill prst="pct70">
              <a:fgClr>
                <a:srgbClr val="5C8A6A"/>
              </a:fgClr>
              <a:bgClr>
                <a:schemeClr val="bg1"/>
              </a:bgClr>
            </a:pattFill>
            <a:ln>
              <a:solidFill>
                <a:sysClr val="windowText" lastClr="000000"/>
              </a:solidFill>
            </a:ln>
            <a:effectLst/>
          </c:spPr>
          <c:invertIfNegative val="0"/>
          <c:dPt>
            <c:idx val="4"/>
            <c:invertIfNegative val="0"/>
            <c:bubble3D val="0"/>
            <c:spPr>
              <a:solidFill>
                <a:schemeClr val="accent1">
                  <a:lumMod val="75000"/>
                </a:schemeClr>
              </a:solidFill>
              <a:ln>
                <a:solidFill>
                  <a:sysClr val="windowText" lastClr="000000"/>
                </a:solidFill>
              </a:ln>
              <a:effectLst/>
            </c:spPr>
            <c:extLst>
              <c:ext xmlns:c16="http://schemas.microsoft.com/office/drawing/2014/chart" uri="{C3380CC4-5D6E-409C-BE32-E72D297353CC}">
                <c16:uniqueId val="{00000001-A574-437B-8E1E-ACE6A679A219}"/>
              </c:ext>
            </c:extLst>
          </c:dPt>
          <c:dPt>
            <c:idx val="5"/>
            <c:invertIfNegative val="0"/>
            <c:bubble3D val="0"/>
            <c:spPr>
              <a:solidFill>
                <a:schemeClr val="accent1">
                  <a:lumMod val="75000"/>
                </a:schemeClr>
              </a:solidFill>
              <a:ln>
                <a:solidFill>
                  <a:sysClr val="windowText" lastClr="000000"/>
                </a:solidFill>
              </a:ln>
              <a:effectLst/>
            </c:spPr>
            <c:extLst>
              <c:ext xmlns:c16="http://schemas.microsoft.com/office/drawing/2014/chart" uri="{C3380CC4-5D6E-409C-BE32-E72D297353CC}">
                <c16:uniqueId val="{00000003-A574-437B-8E1E-ACE6A679A219}"/>
              </c:ext>
            </c:extLst>
          </c:dPt>
          <c:cat>
            <c:strRef>
              <c:f>'Fig 19. Comparison WW2 % GDP'!$B$12:$B$17</c:f>
              <c:strCache>
                <c:ptCount val="6"/>
                <c:pt idx="0">
                  <c:v>US support to UK (1941-45)</c:v>
                </c:pt>
                <c:pt idx="1">
                  <c:v>US support to USSR (1941-45)</c:v>
                </c:pt>
                <c:pt idx="2">
                  <c:v>British support to USSR (1941-45)</c:v>
                </c:pt>
                <c:pt idx="3">
                  <c:v>US support to France (1941-45)</c:v>
                </c:pt>
                <c:pt idx="4">
                  <c:v>US military aid to Ukraine (2022)</c:v>
                </c:pt>
                <c:pt idx="5">
                  <c:v>British military aid to Ukraine (2022)</c:v>
                </c:pt>
              </c:strCache>
            </c:strRef>
          </c:cat>
          <c:val>
            <c:numRef>
              <c:f>'Fig 19. Comparison WW2 % GDP'!$D$12:$D$17</c:f>
              <c:numCache>
                <c:formatCode>0.00</c:formatCode>
                <c:ptCount val="6"/>
                <c:pt idx="0">
                  <c:v>3.1566041513497249</c:v>
                </c:pt>
                <c:pt idx="1">
                  <c:v>1.4021791467181386</c:v>
                </c:pt>
                <c:pt idx="2">
                  <c:v>0.82428412049088873</c:v>
                </c:pt>
                <c:pt idx="3">
                  <c:v>0.35508309874754701</c:v>
                </c:pt>
                <c:pt idx="4">
                  <c:v>0.21160708135336626</c:v>
                </c:pt>
                <c:pt idx="5">
                  <c:v>0.17705941037286232</c:v>
                </c:pt>
              </c:numCache>
            </c:numRef>
          </c:val>
          <c:extLst xmlns:c15="http://schemas.microsoft.com/office/drawing/2012/chart">
            <c:ext xmlns:c16="http://schemas.microsoft.com/office/drawing/2014/chart" uri="{C3380CC4-5D6E-409C-BE32-E72D297353CC}">
              <c16:uniqueId val="{00000004-A574-437B-8E1E-ACE6A679A219}"/>
            </c:ext>
          </c:extLst>
        </c:ser>
        <c:dLbls>
          <c:showLegendKey val="0"/>
          <c:showVal val="0"/>
          <c:showCatName val="0"/>
          <c:showSerName val="0"/>
          <c:showPercent val="0"/>
          <c:showBubbleSize val="0"/>
        </c:dLbls>
        <c:gapWidth val="100"/>
        <c:overlap val="100"/>
        <c:axId val="295516991"/>
        <c:axId val="295508671"/>
        <c:extLst/>
      </c:barChart>
      <c:catAx>
        <c:axId val="295516991"/>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295508671"/>
        <c:crosses val="autoZero"/>
        <c:auto val="1"/>
        <c:lblAlgn val="ctr"/>
        <c:lblOffset val="100"/>
        <c:noMultiLvlLbl val="0"/>
      </c:catAx>
      <c:valAx>
        <c:axId val="295508671"/>
        <c:scaling>
          <c:orientation val="minMax"/>
          <c:max val="3.5"/>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GB" sz="1800"/>
                  <a:t>yearly</a:t>
                </a:r>
                <a:r>
                  <a:rPr lang="en-GB" sz="1800" baseline="0"/>
                  <a:t> average support in % of donor GDP</a:t>
                </a:r>
                <a:endParaRPr lang="en-GB" sz="1800"/>
              </a:p>
            </c:rich>
          </c:tx>
          <c:layout>
            <c:manualLayout>
              <c:xMode val="edge"/>
              <c:yMode val="edge"/>
              <c:x val="0.54795565325254547"/>
              <c:y val="0.77694605691668628"/>
            </c:manualLayout>
          </c:layout>
          <c:overlay val="0"/>
          <c:spPr>
            <a:solidFill>
              <a:sysClr val="window" lastClr="FFFFFF"/>
            </a:solidFill>
            <a:ln>
              <a:noFill/>
            </a:ln>
            <a:effectLst/>
          </c:spPr>
          <c:txPr>
            <a:bodyPr rot="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title>
        <c:numFmt formatCode="#,##0.0" sourceLinked="0"/>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295516991"/>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chemeClr val="tx1"/>
          </a:solidFill>
          <a:latin typeface="Times New Roman" panose="02020603050405020304" pitchFamily="18" charset="0"/>
          <a:cs typeface="Times New Roman" panose="02020603050405020304" pitchFamily="18" charset="0"/>
        </a:defRPr>
      </a:pPr>
      <a:endParaRPr lang="de-DE"/>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653400708648207"/>
          <c:y val="0"/>
          <c:w val="0.66569339497161062"/>
          <c:h val="0.91344901164828285"/>
        </c:manualLayout>
      </c:layout>
      <c:barChart>
        <c:barDir val="bar"/>
        <c:grouping val="stacked"/>
        <c:varyColors val="0"/>
        <c:ser>
          <c:idx val="0"/>
          <c:order val="0"/>
          <c:tx>
            <c:strRef>
              <c:f>'Fig 3. Country Groups'!$C$11</c:f>
              <c:strCache>
                <c:ptCount val="1"/>
                <c:pt idx="0">
                  <c:v>Total aid (billion Euros)</c:v>
                </c:pt>
              </c:strCache>
            </c:strRef>
          </c:tx>
          <c:spPr>
            <a:solidFill>
              <a:schemeClr val="accent1">
                <a:lumMod val="75000"/>
              </a:schemeClr>
            </a:solidFill>
            <a:ln>
              <a:solidFill>
                <a:srgbClr val="000000"/>
              </a:solidFill>
              <a:prstDash val="solid"/>
            </a:ln>
            <a:effectLst/>
          </c:spPr>
          <c:invertIfNegative val="0"/>
          <c:cat>
            <c:strRef>
              <c:f>'Fig 3. Country Groups'!$B$12:$B$14</c:f>
              <c:strCache>
                <c:ptCount val="3"/>
                <c:pt idx="0">
                  <c:v>United States</c:v>
                </c:pt>
                <c:pt idx="1">
                  <c:v>EU Members and Institutions</c:v>
                </c:pt>
                <c:pt idx="2">
                  <c:v>Other Donor Countries</c:v>
                </c:pt>
              </c:strCache>
            </c:strRef>
          </c:cat>
          <c:val>
            <c:numRef>
              <c:f>'Fig 3. Country Groups'!$C$12:$C$14</c:f>
              <c:numCache>
                <c:formatCode>0.00</c:formatCode>
                <c:ptCount val="3"/>
                <c:pt idx="0">
                  <c:v>73.176684754285702</c:v>
                </c:pt>
                <c:pt idx="1">
                  <c:v>54.9241523358153</c:v>
                </c:pt>
                <c:pt idx="2">
                  <c:v>15.532262550796812</c:v>
                </c:pt>
              </c:numCache>
            </c:numRef>
          </c:val>
          <c:extLst xmlns:c15="http://schemas.microsoft.com/office/drawing/2012/chart">
            <c:ext xmlns:c16="http://schemas.microsoft.com/office/drawing/2014/chart" uri="{C3380CC4-5D6E-409C-BE32-E72D297353CC}">
              <c16:uniqueId val="{00000006-E4D0-42F5-9EFF-85D449D03968}"/>
            </c:ext>
          </c:extLst>
        </c:ser>
        <c:dLbls>
          <c:showLegendKey val="0"/>
          <c:showVal val="0"/>
          <c:showCatName val="0"/>
          <c:showSerName val="0"/>
          <c:showPercent val="0"/>
          <c:showBubbleSize val="0"/>
        </c:dLbls>
        <c:gapWidth val="105"/>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0"/>
      </c:catAx>
      <c:valAx>
        <c:axId val="450486607"/>
        <c:scaling>
          <c:orientation val="minMax"/>
          <c:max val="80"/>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max"/>
        <c:crossBetween val="between"/>
        <c:majorUnit val="10"/>
      </c:valAx>
      <c:spPr>
        <a:noFill/>
        <a:ln>
          <a:noFill/>
        </a:ln>
        <a:effectLst/>
      </c:spPr>
    </c:plotArea>
    <c:legend>
      <c:legendPos val="r"/>
      <c:layout>
        <c:manualLayout>
          <c:xMode val="edge"/>
          <c:yMode val="edge"/>
          <c:x val="0.54091151194425824"/>
          <c:y val="0.62330682813764959"/>
          <c:w val="0.30269535594042174"/>
          <c:h val="9.6294775467412205E-2"/>
        </c:manualLayout>
      </c:layout>
      <c:overlay val="0"/>
      <c:spPr>
        <a:solidFill>
          <a:schemeClr val="bg1"/>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39074542178404542"/>
          <c:y val="4.4646544178817339E-2"/>
          <c:w val="0.58702286423833328"/>
          <c:h val="0.85483299683486758"/>
        </c:manualLayout>
      </c:layout>
      <c:barChart>
        <c:barDir val="bar"/>
        <c:grouping val="stacked"/>
        <c:varyColors val="0"/>
        <c:ser>
          <c:idx val="2"/>
          <c:order val="0"/>
          <c:tx>
            <c:strRef>
              <c:f>'Fig 20. Comp. with US wars'!$I$11</c:f>
              <c:strCache>
                <c:ptCount val="1"/>
                <c:pt idx="0">
                  <c:v>Military aid</c:v>
                </c:pt>
              </c:strCache>
            </c:strRef>
          </c:tx>
          <c:spPr>
            <a:pattFill prst="pct70">
              <a:fgClr>
                <a:srgbClr val="5C8A6A"/>
              </a:fgClr>
              <a:bgClr>
                <a:schemeClr val="bg1"/>
              </a:bgClr>
            </a:pattFill>
            <a:ln>
              <a:solidFill>
                <a:sysClr val="windowText" lastClr="000000"/>
              </a:solidFill>
            </a:ln>
            <a:effectLst/>
          </c:spPr>
          <c:invertIfNegative val="0"/>
          <c:dPt>
            <c:idx val="3"/>
            <c:invertIfNegative val="0"/>
            <c:bubble3D val="0"/>
            <c:spPr>
              <a:solidFill>
                <a:schemeClr val="accent1">
                  <a:lumMod val="75000"/>
                </a:schemeClr>
              </a:solidFill>
              <a:ln>
                <a:solidFill>
                  <a:sysClr val="windowText" lastClr="000000"/>
                </a:solidFill>
              </a:ln>
              <a:effectLst/>
            </c:spPr>
            <c:extLst>
              <c:ext xmlns:c16="http://schemas.microsoft.com/office/drawing/2014/chart" uri="{C3380CC4-5D6E-409C-BE32-E72D297353CC}">
                <c16:uniqueId val="{00000002-0B31-4E88-ABBD-F008CDEF4909}"/>
              </c:ext>
            </c:extLst>
          </c:dPt>
          <c:dPt>
            <c:idx val="4"/>
            <c:invertIfNegative val="0"/>
            <c:bubble3D val="0"/>
            <c:spPr>
              <a:pattFill prst="pct70">
                <a:fgClr>
                  <a:srgbClr val="5C8A6A"/>
                </a:fgClr>
                <a:bgClr>
                  <a:schemeClr val="bg1"/>
                </a:bgClr>
              </a:pattFill>
              <a:ln>
                <a:solidFill>
                  <a:sysClr val="windowText" lastClr="000000"/>
                </a:solidFill>
              </a:ln>
              <a:effectLst/>
            </c:spPr>
            <c:extLst>
              <c:ext xmlns:c16="http://schemas.microsoft.com/office/drawing/2014/chart" uri="{C3380CC4-5D6E-409C-BE32-E72D297353CC}">
                <c16:uniqueId val="{00000001-E588-4023-A4D9-F37D40B50CD9}"/>
              </c:ext>
            </c:extLst>
          </c:dPt>
          <c:cat>
            <c:strRef>
              <c:f>'Fig 20. Comp. with US wars'!$G$12:$G$16</c:f>
              <c:strCache>
                <c:ptCount val="5"/>
                <c:pt idx="0">
                  <c:v>US in Korea (average mil. exp. 1950-53)</c:v>
                </c:pt>
                <c:pt idx="1">
                  <c:v>US in Iraq (average mil. exp. 2003-2010)</c:v>
                </c:pt>
                <c:pt idx="2">
                  <c:v>US in Vietnam (average mil. exp. 1965-75)</c:v>
                </c:pt>
                <c:pt idx="3">
                  <c:v>US to Ukraine (total military aid 2022)</c:v>
                </c:pt>
                <c:pt idx="4">
                  <c:v>US in Afghanistan (average mil. exp. 2001-10)</c:v>
                </c:pt>
              </c:strCache>
            </c:strRef>
          </c:cat>
          <c:val>
            <c:numRef>
              <c:f>'Fig 20. Comp. with US wars'!$I$12:$I$16</c:f>
              <c:numCache>
                <c:formatCode>0.00</c:formatCode>
                <c:ptCount val="5"/>
                <c:pt idx="0">
                  <c:v>131.64927868559164</c:v>
                </c:pt>
                <c:pt idx="1">
                  <c:v>119.13902402544588</c:v>
                </c:pt>
                <c:pt idx="2">
                  <c:v>86.545720320806296</c:v>
                </c:pt>
                <c:pt idx="3">
                  <c:v>44.338095238095235</c:v>
                </c:pt>
                <c:pt idx="4">
                  <c:v>41.36136986008502</c:v>
                </c:pt>
              </c:numCache>
            </c:numRef>
          </c:val>
          <c:extLst>
            <c:ext xmlns:c16="http://schemas.microsoft.com/office/drawing/2014/chart" uri="{C3380CC4-5D6E-409C-BE32-E72D297353CC}">
              <c16:uniqueId val="{0000000A-DF0F-496B-B56E-6E04411630D0}"/>
            </c:ext>
          </c:extLst>
        </c:ser>
        <c:dLbls>
          <c:showLegendKey val="0"/>
          <c:showVal val="0"/>
          <c:showCatName val="0"/>
          <c:showSerName val="0"/>
          <c:showPercent val="0"/>
          <c:showBubbleSize val="0"/>
        </c:dLbls>
        <c:gapWidth val="120"/>
        <c:overlap val="100"/>
        <c:axId val="295516991"/>
        <c:axId val="295508671"/>
        <c:extLst/>
      </c:barChart>
      <c:catAx>
        <c:axId val="295516991"/>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295508671"/>
        <c:crosses val="autoZero"/>
        <c:auto val="1"/>
        <c:lblAlgn val="ctr"/>
        <c:lblOffset val="100"/>
        <c:noMultiLvlLbl val="0"/>
      </c:catAx>
      <c:valAx>
        <c:axId val="295508671"/>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GB" sz="1800" b="0" i="0" baseline="0">
                    <a:effectLst/>
                  </a:rPr>
                  <a:t>yearly average costs</a:t>
                </a:r>
                <a:br>
                  <a:rPr lang="en-GB" sz="1800" b="0" i="0" baseline="0">
                    <a:effectLst/>
                  </a:rPr>
                </a:br>
                <a:r>
                  <a:rPr lang="en-GB" sz="1800" b="0" i="0" baseline="0">
                    <a:effectLst/>
                  </a:rPr>
                  <a:t> in billion 2022 Euros (inflation adjusted)</a:t>
                </a:r>
                <a:endParaRPr lang="de-DE">
                  <a:effectLst/>
                </a:endParaRPr>
              </a:p>
            </c:rich>
          </c:tx>
          <c:layout>
            <c:manualLayout>
              <c:xMode val="edge"/>
              <c:yMode val="edge"/>
              <c:x val="0.59078572284385433"/>
              <c:y val="0.70496138888888893"/>
            </c:manualLayout>
          </c:layout>
          <c:overlay val="0"/>
          <c:spPr>
            <a:solidFill>
              <a:sysClr val="window" lastClr="FFFFFF"/>
            </a:solidFill>
            <a:ln>
              <a:noFill/>
            </a:ln>
            <a:effectLst/>
          </c:spPr>
          <c:txPr>
            <a:bodyPr rot="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title>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2955169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de-DE"/>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44846367103185614"/>
          <c:y val="4.4646544178817339E-2"/>
          <c:w val="0.52885576792785616"/>
          <c:h val="0.85483299683486758"/>
        </c:manualLayout>
      </c:layout>
      <c:barChart>
        <c:barDir val="bar"/>
        <c:grouping val="stacked"/>
        <c:varyColors val="0"/>
        <c:ser>
          <c:idx val="2"/>
          <c:order val="0"/>
          <c:tx>
            <c:strRef>
              <c:f>'Fig 20. Comp. with US wars'!$D$11</c:f>
              <c:strCache>
                <c:ptCount val="1"/>
                <c:pt idx="0">
                  <c:v>Military aid</c:v>
                </c:pt>
              </c:strCache>
            </c:strRef>
          </c:tx>
          <c:spPr>
            <a:pattFill prst="pct70">
              <a:fgClr>
                <a:srgbClr val="5C8A6A"/>
              </a:fgClr>
              <a:bgClr>
                <a:schemeClr val="bg1"/>
              </a:bgClr>
            </a:pattFill>
            <a:ln>
              <a:solidFill>
                <a:schemeClr val="tx1"/>
              </a:solidFill>
            </a:ln>
            <a:effectLst/>
          </c:spPr>
          <c:invertIfNegative val="0"/>
          <c:dPt>
            <c:idx val="3"/>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0D-97E8-47C9-BAD3-F52AC5D59602}"/>
              </c:ext>
            </c:extLst>
          </c:dPt>
          <c:dPt>
            <c:idx val="4"/>
            <c:invertIfNegative val="0"/>
            <c:bubble3D val="0"/>
            <c:spPr>
              <a:solidFill>
                <a:schemeClr val="accent1">
                  <a:lumMod val="75000"/>
                </a:schemeClr>
              </a:solidFill>
              <a:ln>
                <a:solidFill>
                  <a:schemeClr val="tx1"/>
                </a:solidFill>
              </a:ln>
              <a:effectLst/>
            </c:spPr>
            <c:extLst>
              <c:ext xmlns:c16="http://schemas.microsoft.com/office/drawing/2014/chart" uri="{C3380CC4-5D6E-409C-BE32-E72D297353CC}">
                <c16:uniqueId val="{0000000D-EE61-4F2D-8C33-C53D8049E816}"/>
              </c:ext>
            </c:extLst>
          </c:dPt>
          <c:cat>
            <c:strRef>
              <c:f>'Fig 20. Comp. with US wars'!$B$12:$B$16</c:f>
              <c:strCache>
                <c:ptCount val="5"/>
                <c:pt idx="0">
                  <c:v>US in Korea (average mil. exp. 1950-53)</c:v>
                </c:pt>
                <c:pt idx="1">
                  <c:v>US in Vietnam (average mil. exp. 1965-75)</c:v>
                </c:pt>
                <c:pt idx="2">
                  <c:v>US in Iraq (average mil. exp. 2003-2010)</c:v>
                </c:pt>
                <c:pt idx="3">
                  <c:v>US in Afghanistan (average mil. exp. 2001-10)</c:v>
                </c:pt>
                <c:pt idx="4">
                  <c:v>US to Ukraine (total military aid 2022)</c:v>
                </c:pt>
              </c:strCache>
            </c:strRef>
          </c:cat>
          <c:val>
            <c:numRef>
              <c:f>'Fig 20. Comp. with US wars'!$D$12:$D$16</c:f>
              <c:numCache>
                <c:formatCode>0.00</c:formatCode>
                <c:ptCount val="5"/>
                <c:pt idx="0">
                  <c:v>2.7702269854736219</c:v>
                </c:pt>
                <c:pt idx="1">
                  <c:v>0.95649177707132027</c:v>
                </c:pt>
                <c:pt idx="2">
                  <c:v>0.66802009510332705</c:v>
                </c:pt>
                <c:pt idx="3">
                  <c:v>0.24557769851390659</c:v>
                </c:pt>
                <c:pt idx="4">
                  <c:v>0.21160708135336626</c:v>
                </c:pt>
              </c:numCache>
            </c:numRef>
          </c:val>
          <c:extLst>
            <c:ext xmlns:c16="http://schemas.microsoft.com/office/drawing/2014/chart" uri="{C3380CC4-5D6E-409C-BE32-E72D297353CC}">
              <c16:uniqueId val="{0000000C-97E8-47C9-BAD3-F52AC5D59602}"/>
            </c:ext>
          </c:extLst>
        </c:ser>
        <c:dLbls>
          <c:showLegendKey val="0"/>
          <c:showVal val="0"/>
          <c:showCatName val="0"/>
          <c:showSerName val="0"/>
          <c:showPercent val="0"/>
          <c:showBubbleSize val="0"/>
        </c:dLbls>
        <c:gapWidth val="120"/>
        <c:overlap val="100"/>
        <c:axId val="295516991"/>
        <c:axId val="295508671"/>
        <c:extLst/>
      </c:barChart>
      <c:catAx>
        <c:axId val="295516991"/>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295508671"/>
        <c:crosses val="autoZero"/>
        <c:auto val="1"/>
        <c:lblAlgn val="ctr"/>
        <c:lblOffset val="100"/>
        <c:noMultiLvlLbl val="0"/>
      </c:catAx>
      <c:valAx>
        <c:axId val="295508671"/>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GB" sz="1800" b="0" i="0" u="none" strike="noStrike" kern="1200" baseline="0">
                    <a:solidFill>
                      <a:sysClr val="windowText" lastClr="000000"/>
                    </a:solidFill>
                    <a:effectLst/>
                    <a:latin typeface="Times New Roman" panose="02020603050405020304" pitchFamily="18" charset="0"/>
                    <a:ea typeface="+mn-ea"/>
                    <a:cs typeface="Times New Roman" panose="02020603050405020304" pitchFamily="18" charset="0"/>
                  </a:rPr>
                  <a:t>annual average costs</a:t>
                </a:r>
                <a:br>
                  <a:rPr lang="en-GB" sz="1800" b="0" i="0" u="none" strike="noStrike" kern="1200" baseline="0">
                    <a:solidFill>
                      <a:sysClr val="windowText" lastClr="000000"/>
                    </a:solidFill>
                    <a:effectLst/>
                    <a:latin typeface="Times New Roman" panose="02020603050405020304" pitchFamily="18" charset="0"/>
                    <a:ea typeface="+mn-ea"/>
                    <a:cs typeface="Times New Roman" panose="02020603050405020304" pitchFamily="18" charset="0"/>
                  </a:rPr>
                </a:br>
                <a:r>
                  <a:rPr lang="en-GB" sz="1800" b="0" i="0" u="none" strike="noStrike" kern="1200" baseline="0">
                    <a:solidFill>
                      <a:sysClr val="windowText" lastClr="000000"/>
                    </a:solidFill>
                    <a:effectLst/>
                    <a:latin typeface="Times New Roman" panose="02020603050405020304" pitchFamily="18" charset="0"/>
                    <a:ea typeface="+mn-ea"/>
                    <a:cs typeface="Times New Roman" panose="02020603050405020304" pitchFamily="18" charset="0"/>
                  </a:rPr>
                  <a:t>in % of US GDP</a:t>
                </a:r>
                <a:br>
                  <a:rPr lang="en-GB" sz="1800" b="0" i="0" baseline="0">
                    <a:effectLst/>
                  </a:rPr>
                </a:br>
                <a:endParaRPr lang="en-GB" sz="2000">
                  <a:effectLst/>
                </a:endParaRPr>
              </a:p>
            </c:rich>
          </c:tx>
          <c:layout>
            <c:manualLayout>
              <c:xMode val="edge"/>
              <c:yMode val="edge"/>
              <c:x val="0.72774710758330352"/>
              <c:y val="0.69383601021956365"/>
            </c:manualLayout>
          </c:layout>
          <c:overlay val="0"/>
          <c:spPr>
            <a:solidFill>
              <a:sysClr val="window" lastClr="FFFFFF"/>
            </a:solid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title>
        <c:numFmt formatCode="0.0" sourceLinked="0"/>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2955169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de-DE"/>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675283015349036"/>
          <c:y val="3.5742000365782517E-3"/>
          <c:w val="0.80193009940506166"/>
          <c:h val="0.93323783110852687"/>
        </c:manualLayout>
      </c:layout>
      <c:barChart>
        <c:barDir val="bar"/>
        <c:grouping val="clustered"/>
        <c:varyColors val="0"/>
        <c:ser>
          <c:idx val="2"/>
          <c:order val="0"/>
          <c:tx>
            <c:strRef>
              <c:f>'Fig 21. Comparison Gulf War'!$H$11</c:f>
              <c:strCache>
                <c:ptCount val="1"/>
                <c:pt idx="0">
                  <c:v>Gulf War (1990/91)</c:v>
                </c:pt>
              </c:strCache>
            </c:strRef>
          </c:tx>
          <c:spPr>
            <a:pattFill prst="pct70">
              <a:fgClr>
                <a:srgbClr val="5C8A6A"/>
              </a:fgClr>
              <a:bgClr>
                <a:schemeClr val="bg1"/>
              </a:bgClr>
            </a:pattFill>
            <a:ln w="12700">
              <a:solidFill>
                <a:sysClr val="windowText" lastClr="000000"/>
              </a:solidFill>
            </a:ln>
            <a:effectLst/>
          </c:spPr>
          <c:invertIfNegative val="0"/>
          <c:cat>
            <c:strRef>
              <c:f>'Fig 21. Comparison Gulf War'!$G$12:$G$15</c:f>
              <c:strCache>
                <c:ptCount val="4"/>
                <c:pt idx="0">
                  <c:v>United States</c:v>
                </c:pt>
                <c:pt idx="1">
                  <c:v>Japan</c:v>
                </c:pt>
                <c:pt idx="2">
                  <c:v>Germany</c:v>
                </c:pt>
                <c:pt idx="3">
                  <c:v>South Korea</c:v>
                </c:pt>
              </c:strCache>
            </c:strRef>
          </c:cat>
          <c:val>
            <c:numRef>
              <c:f>'Fig 21. Comparison Gulf War'!$H$12:$H$15</c:f>
              <c:numCache>
                <c:formatCode>0.00</c:formatCode>
                <c:ptCount val="4"/>
                <c:pt idx="0">
                  <c:v>118.42407473809685</c:v>
                </c:pt>
                <c:pt idx="1">
                  <c:v>22.345263938286799</c:v>
                </c:pt>
                <c:pt idx="2">
                  <c:v>19.782211807043009</c:v>
                </c:pt>
                <c:pt idx="3">
                  <c:v>0.68918928741023566</c:v>
                </c:pt>
              </c:numCache>
            </c:numRef>
          </c:val>
          <c:extLst>
            <c:ext xmlns:c16="http://schemas.microsoft.com/office/drawing/2014/chart" uri="{C3380CC4-5D6E-409C-BE32-E72D297353CC}">
              <c16:uniqueId val="{00000000-7E41-49D4-935E-E2ABF5F996E3}"/>
            </c:ext>
          </c:extLst>
        </c:ser>
        <c:ser>
          <c:idx val="1"/>
          <c:order val="1"/>
          <c:tx>
            <c:strRef>
              <c:f>'Fig 21. Comparison Gulf War'!$I$11</c:f>
              <c:strCache>
                <c:ptCount val="1"/>
                <c:pt idx="0">
                  <c:v>Ukraine (2022)</c:v>
                </c:pt>
              </c:strCache>
            </c:strRef>
          </c:tx>
          <c:spPr>
            <a:solidFill>
              <a:srgbClr val="305496"/>
            </a:solidFill>
            <a:ln w="12700">
              <a:solidFill>
                <a:sysClr val="windowText" lastClr="000000"/>
              </a:solidFill>
            </a:ln>
            <a:effectLst/>
          </c:spPr>
          <c:invertIfNegative val="0"/>
          <c:cat>
            <c:strRef>
              <c:f>'Fig 21. Comparison Gulf War'!$G$12:$G$15</c:f>
              <c:strCache>
                <c:ptCount val="4"/>
                <c:pt idx="0">
                  <c:v>United States</c:v>
                </c:pt>
                <c:pt idx="1">
                  <c:v>Japan</c:v>
                </c:pt>
                <c:pt idx="2">
                  <c:v>Germany</c:v>
                </c:pt>
                <c:pt idx="3">
                  <c:v>South Korea</c:v>
                </c:pt>
              </c:strCache>
            </c:strRef>
          </c:cat>
          <c:val>
            <c:numRef>
              <c:f>'Fig 21. Comparison Gulf War'!$I$12:$I$15</c:f>
              <c:numCache>
                <c:formatCode>0.00</c:formatCode>
                <c:ptCount val="4"/>
                <c:pt idx="0">
                  <c:v>73.176684754285702</c:v>
                </c:pt>
                <c:pt idx="1">
                  <c:v>1.051764161904762</c:v>
                </c:pt>
                <c:pt idx="2">
                  <c:v>6.1512000000000002</c:v>
                </c:pt>
                <c:pt idx="3">
                  <c:v>9.8647619047619067E-2</c:v>
                </c:pt>
              </c:numCache>
            </c:numRef>
          </c:val>
          <c:extLst>
            <c:ext xmlns:c16="http://schemas.microsoft.com/office/drawing/2014/chart" uri="{C3380CC4-5D6E-409C-BE32-E72D297353CC}">
              <c16:uniqueId val="{00000001-7E41-49D4-935E-E2ABF5F996E3}"/>
            </c:ext>
          </c:extLst>
        </c:ser>
        <c:dLbls>
          <c:showLegendKey val="0"/>
          <c:showVal val="0"/>
          <c:showCatName val="0"/>
          <c:showSerName val="0"/>
          <c:showPercent val="0"/>
          <c:showBubbleSize val="0"/>
        </c:dLbls>
        <c:gapWidth val="125"/>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max"/>
        <c:crossBetween val="between"/>
      </c:valAx>
      <c:spPr>
        <a:noFill/>
        <a:ln>
          <a:noFill/>
        </a:ln>
        <a:effectLst/>
      </c:spPr>
    </c:plotArea>
    <c:legend>
      <c:legendPos val="r"/>
      <c:layout>
        <c:manualLayout>
          <c:xMode val="edge"/>
          <c:yMode val="edge"/>
          <c:x val="0.4578718498142697"/>
          <c:y val="0.43088799755466423"/>
          <c:w val="0.35130900921607733"/>
          <c:h val="0.19253705920372585"/>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23389959379734"/>
          <c:y val="3.5742000365782517E-3"/>
          <c:w val="0.80613354134800508"/>
          <c:h val="0.93323783110852687"/>
        </c:manualLayout>
      </c:layout>
      <c:barChart>
        <c:barDir val="bar"/>
        <c:grouping val="clustered"/>
        <c:varyColors val="0"/>
        <c:ser>
          <c:idx val="0"/>
          <c:order val="0"/>
          <c:tx>
            <c:strRef>
              <c:f>'Fig 21. Comparison Gulf War'!$C$11</c:f>
              <c:strCache>
                <c:ptCount val="1"/>
                <c:pt idx="0">
                  <c:v>Gulf War (1990/91)</c:v>
                </c:pt>
              </c:strCache>
            </c:strRef>
          </c:tx>
          <c:spPr>
            <a:pattFill prst="pct70">
              <a:fgClr>
                <a:srgbClr val="5C8A6A"/>
              </a:fgClr>
              <a:bgClr>
                <a:schemeClr val="bg1"/>
              </a:bgClr>
            </a:pattFill>
            <a:ln w="12700">
              <a:solidFill>
                <a:sysClr val="windowText" lastClr="000000"/>
              </a:solidFill>
            </a:ln>
            <a:effectLst/>
          </c:spPr>
          <c:invertIfNegative val="0"/>
          <c:cat>
            <c:strRef>
              <c:f>'Fig 21. Comparison Gulf War'!$B$12:$B$15</c:f>
              <c:strCache>
                <c:ptCount val="4"/>
                <c:pt idx="0">
                  <c:v>United States</c:v>
                </c:pt>
                <c:pt idx="1">
                  <c:v>Germany</c:v>
                </c:pt>
                <c:pt idx="2">
                  <c:v>Japan</c:v>
                </c:pt>
                <c:pt idx="3">
                  <c:v>South Korea</c:v>
                </c:pt>
              </c:strCache>
            </c:strRef>
          </c:cat>
          <c:val>
            <c:numRef>
              <c:f>'Fig 21. Comparison Gulf War'!$C$12:$C$15</c:f>
              <c:numCache>
                <c:formatCode>0.00</c:formatCode>
                <c:ptCount val="4"/>
                <c:pt idx="0">
                  <c:v>0.99056060696357617</c:v>
                </c:pt>
                <c:pt idx="1">
                  <c:v>0.54521540145099512</c:v>
                </c:pt>
                <c:pt idx="2">
                  <c:v>0.32111191636080633</c:v>
                </c:pt>
                <c:pt idx="3">
                  <c:v>0.10736475956270405</c:v>
                </c:pt>
              </c:numCache>
            </c:numRef>
          </c:val>
          <c:extLst>
            <c:ext xmlns:c16="http://schemas.microsoft.com/office/drawing/2014/chart" uri="{C3380CC4-5D6E-409C-BE32-E72D297353CC}">
              <c16:uniqueId val="{00000000-3CF6-430F-8934-230559EC154F}"/>
            </c:ext>
          </c:extLst>
        </c:ser>
        <c:ser>
          <c:idx val="3"/>
          <c:order val="1"/>
          <c:tx>
            <c:strRef>
              <c:f>'Fig 21. Comparison Gulf War'!$D$11</c:f>
              <c:strCache>
                <c:ptCount val="1"/>
                <c:pt idx="0">
                  <c:v>Ukraine (2022)</c:v>
                </c:pt>
              </c:strCache>
            </c:strRef>
          </c:tx>
          <c:spPr>
            <a:solidFill>
              <a:srgbClr val="305496"/>
            </a:solidFill>
            <a:ln w="12700">
              <a:solidFill>
                <a:sysClr val="windowText" lastClr="000000"/>
              </a:solidFill>
            </a:ln>
            <a:effectLst/>
          </c:spPr>
          <c:invertIfNegative val="0"/>
          <c:cat>
            <c:strRef>
              <c:f>'Fig 21. Comparison Gulf War'!$B$12:$B$15</c:f>
              <c:strCache>
                <c:ptCount val="4"/>
                <c:pt idx="0">
                  <c:v>United States</c:v>
                </c:pt>
                <c:pt idx="1">
                  <c:v>Germany</c:v>
                </c:pt>
                <c:pt idx="2">
                  <c:v>Japan</c:v>
                </c:pt>
                <c:pt idx="3">
                  <c:v>South Korea</c:v>
                </c:pt>
              </c:strCache>
            </c:strRef>
          </c:cat>
          <c:val>
            <c:numRef>
              <c:f>'Fig 21. Comparison Gulf War'!$D$12:$D$15</c:f>
              <c:numCache>
                <c:formatCode>0.00</c:formatCode>
                <c:ptCount val="4"/>
                <c:pt idx="0">
                  <c:v>0.36670361752930236</c:v>
                </c:pt>
                <c:pt idx="1">
                  <c:v>0.16791640519043149</c:v>
                </c:pt>
                <c:pt idx="2">
                  <c:v>2.1834816145528613E-2</c:v>
                </c:pt>
                <c:pt idx="3">
                  <c:v>6.323967606692558E-3</c:v>
                </c:pt>
              </c:numCache>
            </c:numRef>
          </c:val>
          <c:extLst>
            <c:ext xmlns:c16="http://schemas.microsoft.com/office/drawing/2014/chart" uri="{C3380CC4-5D6E-409C-BE32-E72D297353CC}">
              <c16:uniqueId val="{00000001-3CF6-430F-8934-230559EC154F}"/>
            </c:ext>
          </c:extLst>
        </c:ser>
        <c:dLbls>
          <c:showLegendKey val="0"/>
          <c:showVal val="0"/>
          <c:showCatName val="0"/>
          <c:showSerName val="0"/>
          <c:showPercent val="0"/>
          <c:showBubbleSize val="0"/>
        </c:dLbls>
        <c:gapWidth val="125"/>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ysClr val="windowText" lastClr="000000"/>
            </a:solidFill>
            <a:prstDash val="solid"/>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0"/>
      </c:catAx>
      <c:valAx>
        <c:axId val="450486607"/>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max"/>
        <c:crossBetween val="between"/>
      </c:valAx>
      <c:spPr>
        <a:noFill/>
        <a:ln>
          <a:noFill/>
        </a:ln>
        <a:effectLst/>
      </c:spPr>
    </c:plotArea>
    <c:legend>
      <c:legendPos val="r"/>
      <c:layout>
        <c:manualLayout>
          <c:xMode val="edge"/>
          <c:yMode val="edge"/>
          <c:x val="0.573185717463775"/>
          <c:y val="0.41849845968245764"/>
          <c:w val="0.3100891039956184"/>
          <c:h val="0.20386673560395527"/>
        </c:manualLayout>
      </c:layout>
      <c:overlay val="0"/>
      <c:spPr>
        <a:solidFill>
          <a:srgbClr val="FFFFFF"/>
        </a:solid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8649693637539203"/>
          <c:y val="0"/>
          <c:w val="0.69068672617667271"/>
          <c:h val="0.91344901164828285"/>
        </c:manualLayout>
      </c:layout>
      <c:barChart>
        <c:barDir val="bar"/>
        <c:grouping val="stacked"/>
        <c:varyColors val="0"/>
        <c:ser>
          <c:idx val="0"/>
          <c:order val="0"/>
          <c:tx>
            <c:strRef>
              <c:f>'Fig 22. Comp. European Crises'!$C$11</c:f>
              <c:strCache>
                <c:ptCount val="1"/>
                <c:pt idx="0">
                  <c:v>Total support (€ billion)</c:v>
                </c:pt>
              </c:strCache>
            </c:strRef>
          </c:tx>
          <c:spPr>
            <a:solidFill>
              <a:srgbClr val="FFC000">
                <a:lumMod val="60000"/>
                <a:lumOff val="40000"/>
              </a:srgbClr>
            </a:solidFill>
            <a:ln>
              <a:solidFill>
                <a:sysClr val="windowText" lastClr="000000"/>
              </a:solidFill>
              <a:prstDash val="solid"/>
            </a:ln>
            <a:effectLst/>
          </c:spPr>
          <c:invertIfNegative val="0"/>
          <c:dPt>
            <c:idx val="0"/>
            <c:invertIfNegative val="0"/>
            <c:bubble3D val="0"/>
            <c:spPr>
              <a:solidFill>
                <a:srgbClr val="FFC000">
                  <a:lumMod val="60000"/>
                  <a:lumOff val="40000"/>
                </a:srgbClr>
              </a:solidFill>
              <a:ln>
                <a:solidFill>
                  <a:sysClr val="windowText" lastClr="000000"/>
                </a:solidFill>
                <a:prstDash val="solid"/>
              </a:ln>
              <a:effectLst/>
            </c:spPr>
            <c:extLst>
              <c:ext xmlns:c16="http://schemas.microsoft.com/office/drawing/2014/chart" uri="{C3380CC4-5D6E-409C-BE32-E72D297353CC}">
                <c16:uniqueId val="{00000004-BA81-4A8C-9E65-287A866F22DF}"/>
              </c:ext>
            </c:extLst>
          </c:dPt>
          <c:dPt>
            <c:idx val="1"/>
            <c:invertIfNegative val="0"/>
            <c:bubble3D val="0"/>
            <c:spPr>
              <a:solidFill>
                <a:srgbClr val="FFC000">
                  <a:lumMod val="60000"/>
                  <a:lumOff val="40000"/>
                </a:srgbClr>
              </a:solidFill>
              <a:ln>
                <a:solidFill>
                  <a:sysClr val="windowText" lastClr="000000"/>
                </a:solidFill>
                <a:prstDash val="solid"/>
              </a:ln>
              <a:effectLst/>
            </c:spPr>
            <c:extLst>
              <c:ext xmlns:c16="http://schemas.microsoft.com/office/drawing/2014/chart" uri="{C3380CC4-5D6E-409C-BE32-E72D297353CC}">
                <c16:uniqueId val="{00000005-BA81-4A8C-9E65-287A866F22DF}"/>
              </c:ext>
            </c:extLst>
          </c:dPt>
          <c:dPt>
            <c:idx val="2"/>
            <c:invertIfNegative val="0"/>
            <c:bubble3D val="0"/>
            <c:spPr>
              <a:solidFill>
                <a:srgbClr val="4472C4">
                  <a:lumMod val="75000"/>
                </a:srgbClr>
              </a:solidFill>
              <a:ln>
                <a:solidFill>
                  <a:sysClr val="windowText" lastClr="000000"/>
                </a:solidFill>
                <a:prstDash val="solid"/>
              </a:ln>
              <a:effectLst/>
            </c:spPr>
            <c:extLst>
              <c:ext xmlns:c16="http://schemas.microsoft.com/office/drawing/2014/chart" uri="{C3380CC4-5D6E-409C-BE32-E72D297353CC}">
                <c16:uniqueId val="{00000001-A054-41ED-BA3C-560F80F295BD}"/>
              </c:ext>
            </c:extLst>
          </c:dPt>
          <c:dPt>
            <c:idx val="4"/>
            <c:invertIfNegative val="0"/>
            <c:bubble3D val="0"/>
            <c:spPr>
              <a:solidFill>
                <a:srgbClr val="FFC000">
                  <a:lumMod val="60000"/>
                  <a:lumOff val="40000"/>
                </a:srgbClr>
              </a:solidFill>
              <a:ln>
                <a:solidFill>
                  <a:sysClr val="windowText" lastClr="000000"/>
                </a:solidFill>
                <a:prstDash val="solid"/>
              </a:ln>
              <a:effectLst/>
            </c:spPr>
            <c:extLst>
              <c:ext xmlns:c16="http://schemas.microsoft.com/office/drawing/2014/chart" uri="{C3380CC4-5D6E-409C-BE32-E72D297353CC}">
                <c16:uniqueId val="{00000003-A054-41ED-BA3C-560F80F295BD}"/>
              </c:ext>
            </c:extLst>
          </c:dPt>
          <c:cat>
            <c:strRef>
              <c:f>'Fig 22. Comp. European Crises'!$B$12:$B$14</c:f>
              <c:strCache>
                <c:ptCount val="3"/>
                <c:pt idx="0">
                  <c:v>EU pandemic recover fund
 (Next Generation EU)</c:v>
                </c:pt>
                <c:pt idx="1">
                  <c:v>Eurozone bailouts (2010-2012)</c:v>
                </c:pt>
                <c:pt idx="2">
                  <c:v>EU support to Ukraine</c:v>
                </c:pt>
              </c:strCache>
            </c:strRef>
          </c:cat>
          <c:val>
            <c:numRef>
              <c:f>'Fig 22. Comp. European Crises'!$C$12:$C$14</c:f>
              <c:numCache>
                <c:formatCode>0.00</c:formatCode>
                <c:ptCount val="3"/>
                <c:pt idx="0">
                  <c:v>806.9</c:v>
                </c:pt>
                <c:pt idx="1">
                  <c:v>394.6</c:v>
                </c:pt>
                <c:pt idx="2">
                  <c:v>54.921652335815303</c:v>
                </c:pt>
              </c:numCache>
            </c:numRef>
          </c:val>
          <c:extLst xmlns:c15="http://schemas.microsoft.com/office/drawing/2012/chart">
            <c:ext xmlns:c16="http://schemas.microsoft.com/office/drawing/2014/chart" uri="{C3380CC4-5D6E-409C-BE32-E72D297353CC}">
              <c16:uniqueId val="{00000004-A054-41ED-BA3C-560F80F295BD}"/>
            </c:ext>
          </c:extLst>
        </c:ser>
        <c:dLbls>
          <c:showLegendKey val="0"/>
          <c:showVal val="0"/>
          <c:showCatName val="0"/>
          <c:showSerName val="0"/>
          <c:showPercent val="0"/>
          <c:showBubbleSize val="0"/>
        </c:dLbls>
        <c:gapWidth val="105"/>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0"/>
      </c:catAx>
      <c:valAx>
        <c:axId val="450486607"/>
        <c:scaling>
          <c:orientation val="minMax"/>
          <c:max val="900"/>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max"/>
        <c:crossBetween val="between"/>
        <c:majorUnit val="1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4"/>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740088383838383"/>
          <c:y val="1.2458761997815967E-2"/>
          <c:w val="0.77373547979797985"/>
          <c:h val="0.95575349157997591"/>
        </c:manualLayout>
      </c:layout>
      <c:barChart>
        <c:barDir val="bar"/>
        <c:grouping val="clustered"/>
        <c:varyColors val="0"/>
        <c:ser>
          <c:idx val="0"/>
          <c:order val="0"/>
          <c:tx>
            <c:strRef>
              <c:f>'Fig 23. Domestic Priorities'!$C$11</c:f>
              <c:strCache>
                <c:ptCount val="1"/>
                <c:pt idx="0">
                  <c:v>Fiscal commitments for energy subsidies</c:v>
                </c:pt>
              </c:strCache>
            </c:strRef>
          </c:tx>
          <c:spPr>
            <a:solidFill>
              <a:schemeClr val="accent4">
                <a:lumMod val="60000"/>
                <a:lumOff val="40000"/>
              </a:schemeClr>
            </a:solidFill>
            <a:ln>
              <a:solidFill>
                <a:schemeClr val="tx1"/>
              </a:solidFill>
            </a:ln>
            <a:effectLst/>
          </c:spPr>
          <c:invertIfNegative val="0"/>
          <c:cat>
            <c:strRef>
              <c:f>'Fig 23. Domestic Priorities'!$B$12:$B$18</c:f>
              <c:strCache>
                <c:ptCount val="7"/>
                <c:pt idx="0">
                  <c:v>Germany</c:v>
                </c:pt>
                <c:pt idx="1">
                  <c:v>United Kingdom</c:v>
                </c:pt>
                <c:pt idx="2">
                  <c:v>Italy</c:v>
                </c:pt>
                <c:pt idx="3">
                  <c:v>France</c:v>
                </c:pt>
                <c:pt idx="4">
                  <c:v>Netherlands</c:v>
                </c:pt>
                <c:pt idx="5">
                  <c:v>Spain</c:v>
                </c:pt>
                <c:pt idx="6">
                  <c:v>EU Average</c:v>
                </c:pt>
              </c:strCache>
            </c:strRef>
          </c:cat>
          <c:val>
            <c:numRef>
              <c:f>'Fig 23. Domestic Priorities'!$C$12:$C$18</c:f>
              <c:numCache>
                <c:formatCode>0.00</c:formatCode>
                <c:ptCount val="7"/>
                <c:pt idx="0">
                  <c:v>264.2</c:v>
                </c:pt>
                <c:pt idx="1">
                  <c:v>96.65</c:v>
                </c:pt>
                <c:pt idx="2">
                  <c:v>83.44</c:v>
                </c:pt>
                <c:pt idx="3">
                  <c:v>49.43</c:v>
                </c:pt>
                <c:pt idx="4">
                  <c:v>43.85</c:v>
                </c:pt>
                <c:pt idx="5">
                  <c:v>35.799999999999997</c:v>
                </c:pt>
                <c:pt idx="6">
                  <c:v>21.106661962962956</c:v>
                </c:pt>
              </c:numCache>
            </c:numRef>
          </c:val>
          <c:extLst>
            <c:ext xmlns:c16="http://schemas.microsoft.com/office/drawing/2014/chart" uri="{C3380CC4-5D6E-409C-BE32-E72D297353CC}">
              <c16:uniqueId val="{00000000-21F6-4A63-A842-8F2F145B2FF5}"/>
            </c:ext>
          </c:extLst>
        </c:ser>
        <c:ser>
          <c:idx val="1"/>
          <c:order val="1"/>
          <c:tx>
            <c:strRef>
              <c:f>'Fig 23. Domestic Priorities'!$D$11</c:f>
              <c:strCache>
                <c:ptCount val="1"/>
                <c:pt idx="0">
                  <c:v>Aid for Ukraine (incl. EU share)</c:v>
                </c:pt>
              </c:strCache>
            </c:strRef>
          </c:tx>
          <c:spPr>
            <a:solidFill>
              <a:schemeClr val="accent1">
                <a:lumMod val="75000"/>
              </a:schemeClr>
            </a:solidFill>
            <a:ln>
              <a:solidFill>
                <a:schemeClr val="tx1"/>
              </a:solidFill>
            </a:ln>
            <a:effectLst/>
          </c:spPr>
          <c:invertIfNegative val="0"/>
          <c:cat>
            <c:strRef>
              <c:f>'Fig 23. Domestic Priorities'!$B$12:$B$18</c:f>
              <c:strCache>
                <c:ptCount val="7"/>
                <c:pt idx="0">
                  <c:v>Germany</c:v>
                </c:pt>
                <c:pt idx="1">
                  <c:v>United Kingdom</c:v>
                </c:pt>
                <c:pt idx="2">
                  <c:v>Italy</c:v>
                </c:pt>
                <c:pt idx="3">
                  <c:v>France</c:v>
                </c:pt>
                <c:pt idx="4">
                  <c:v>Netherlands</c:v>
                </c:pt>
                <c:pt idx="5">
                  <c:v>Spain</c:v>
                </c:pt>
                <c:pt idx="6">
                  <c:v>EU Average</c:v>
                </c:pt>
              </c:strCache>
            </c:strRef>
          </c:cat>
          <c:val>
            <c:numRef>
              <c:f>'Fig 23. Domestic Priorities'!$D$12:$D$18</c:f>
              <c:numCache>
                <c:formatCode>0.00</c:formatCode>
                <c:ptCount val="7"/>
                <c:pt idx="0">
                  <c:v>13.331095476972546</c:v>
                </c:pt>
                <c:pt idx="1">
                  <c:v>8.3066789144399067</c:v>
                </c:pt>
                <c:pt idx="2">
                  <c:v>5.4416588898901672</c:v>
                </c:pt>
                <c:pt idx="3">
                  <c:v>7.6574679800366088</c:v>
                </c:pt>
                <c:pt idx="4">
                  <c:v>4.0656486816229274</c:v>
                </c:pt>
                <c:pt idx="5">
                  <c:v>4.4263629622177492</c:v>
                </c:pt>
                <c:pt idx="6">
                  <c:v>2.0333945309561221</c:v>
                </c:pt>
              </c:numCache>
            </c:numRef>
          </c:val>
          <c:extLst>
            <c:ext xmlns:c16="http://schemas.microsoft.com/office/drawing/2014/chart" uri="{C3380CC4-5D6E-409C-BE32-E72D297353CC}">
              <c16:uniqueId val="{00000001-21F6-4A63-A842-8F2F145B2FF5}"/>
            </c:ext>
          </c:extLst>
        </c:ser>
        <c:dLbls>
          <c:showLegendKey val="0"/>
          <c:showVal val="0"/>
          <c:showCatName val="0"/>
          <c:showSerName val="0"/>
          <c:showPercent val="0"/>
          <c:showBubbleSize val="0"/>
        </c:dLbls>
        <c:gapWidth val="7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max"/>
        <c:crossBetween val="between"/>
      </c:valAx>
      <c:spPr>
        <a:noFill/>
        <a:ln>
          <a:noFill/>
        </a:ln>
        <a:effectLst/>
      </c:spPr>
    </c:plotArea>
    <c:legend>
      <c:legendPos val="r"/>
      <c:layout>
        <c:manualLayout>
          <c:xMode val="edge"/>
          <c:yMode val="edge"/>
          <c:x val="0.43677603241208052"/>
          <c:y val="0.43888284797733618"/>
          <c:w val="0.45623495977687495"/>
          <c:h val="0.28137467320261433"/>
        </c:manualLayout>
      </c:layout>
      <c:overlay val="0"/>
      <c:spPr>
        <a:solidFill>
          <a:srgbClr val="FFFFFF"/>
        </a:solid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740088383838383"/>
          <c:y val="1.2458761997815967E-2"/>
          <c:w val="0.7865637626262626"/>
          <c:h val="0.95575349157997591"/>
        </c:manualLayout>
      </c:layout>
      <c:barChart>
        <c:barDir val="bar"/>
        <c:grouping val="clustered"/>
        <c:varyColors val="0"/>
        <c:ser>
          <c:idx val="2"/>
          <c:order val="2"/>
          <c:tx>
            <c:strRef>
              <c:f>'Fig 23. Domestic Priorities'!$H$11</c:f>
              <c:strCache>
                <c:ptCount val="1"/>
                <c:pt idx="0">
                  <c:v>Fiscal commitments for energy subsidies</c:v>
                </c:pt>
              </c:strCache>
            </c:strRef>
          </c:tx>
          <c:spPr>
            <a:solidFill>
              <a:schemeClr val="accent4">
                <a:lumMod val="60000"/>
                <a:lumOff val="40000"/>
              </a:schemeClr>
            </a:solidFill>
            <a:ln>
              <a:solidFill>
                <a:schemeClr val="tx1"/>
              </a:solidFill>
            </a:ln>
            <a:effectLst/>
          </c:spPr>
          <c:invertIfNegative val="0"/>
          <c:cat>
            <c:strRef>
              <c:f>'Fig 23. Domestic Priorities'!$G$12:$G$18</c:f>
              <c:strCache>
                <c:ptCount val="7"/>
                <c:pt idx="0">
                  <c:v>Germany</c:v>
                </c:pt>
                <c:pt idx="1">
                  <c:v>Netherlands</c:v>
                </c:pt>
                <c:pt idx="2">
                  <c:v>Italy</c:v>
                </c:pt>
                <c:pt idx="3">
                  <c:v>EU Average</c:v>
                </c:pt>
                <c:pt idx="4">
                  <c:v>United Kingdom</c:v>
                </c:pt>
                <c:pt idx="5">
                  <c:v>Spain</c:v>
                </c:pt>
                <c:pt idx="6">
                  <c:v>France</c:v>
                </c:pt>
              </c:strCache>
            </c:strRef>
          </c:cat>
          <c:val>
            <c:numRef>
              <c:f>'Fig 23. Domestic Priorities'!$H$12:$H$18</c:f>
              <c:numCache>
                <c:formatCode>0.00</c:formatCode>
                <c:ptCount val="7"/>
                <c:pt idx="0">
                  <c:v>7.2121722999271691</c:v>
                </c:pt>
                <c:pt idx="1">
                  <c:v>5.0382145992177847</c:v>
                </c:pt>
                <c:pt idx="2">
                  <c:v>4.6387230425448607</c:v>
                </c:pt>
                <c:pt idx="3">
                  <c:v>3.9130030073532711</c:v>
                </c:pt>
                <c:pt idx="4">
                  <c:v>3.6771632258559692</c:v>
                </c:pt>
                <c:pt idx="5">
                  <c:v>2.9333164695598697</c:v>
                </c:pt>
                <c:pt idx="6">
                  <c:v>1.9732026822478206</c:v>
                </c:pt>
              </c:numCache>
            </c:numRef>
          </c:val>
          <c:extLst xmlns:c15="http://schemas.microsoft.com/office/drawing/2012/chart">
            <c:ext xmlns:c16="http://schemas.microsoft.com/office/drawing/2014/chart" uri="{C3380CC4-5D6E-409C-BE32-E72D297353CC}">
              <c16:uniqueId val="{00000000-4F13-421F-9422-522727FF35C5}"/>
            </c:ext>
          </c:extLst>
        </c:ser>
        <c:ser>
          <c:idx val="3"/>
          <c:order val="3"/>
          <c:tx>
            <c:strRef>
              <c:f>'Fig 23. Domestic Priorities'!$I$11</c:f>
              <c:strCache>
                <c:ptCount val="1"/>
                <c:pt idx="0">
                  <c:v>Aid for Ukraine (incl. EU shares)</c:v>
                </c:pt>
              </c:strCache>
            </c:strRef>
          </c:tx>
          <c:spPr>
            <a:solidFill>
              <a:schemeClr val="accent1">
                <a:lumMod val="75000"/>
              </a:schemeClr>
            </a:solidFill>
            <a:ln>
              <a:solidFill>
                <a:schemeClr val="tx1"/>
              </a:solidFill>
            </a:ln>
            <a:effectLst/>
          </c:spPr>
          <c:invertIfNegative val="0"/>
          <c:cat>
            <c:strRef>
              <c:f>'Fig 23. Domestic Priorities'!$G$12:$G$18</c:f>
              <c:strCache>
                <c:ptCount val="7"/>
                <c:pt idx="0">
                  <c:v>Germany</c:v>
                </c:pt>
                <c:pt idx="1">
                  <c:v>Netherlands</c:v>
                </c:pt>
                <c:pt idx="2">
                  <c:v>Italy</c:v>
                </c:pt>
                <c:pt idx="3">
                  <c:v>EU Average</c:v>
                </c:pt>
                <c:pt idx="4">
                  <c:v>United Kingdom</c:v>
                </c:pt>
                <c:pt idx="5">
                  <c:v>Spain</c:v>
                </c:pt>
                <c:pt idx="6">
                  <c:v>France</c:v>
                </c:pt>
              </c:strCache>
            </c:strRef>
          </c:cat>
          <c:val>
            <c:numRef>
              <c:f>'Fig 23. Domestic Priorities'!$I$12:$I$18</c:f>
              <c:numCache>
                <c:formatCode>0.00</c:formatCode>
                <c:ptCount val="7"/>
                <c:pt idx="0">
                  <c:v>0.36391429798147529</c:v>
                </c:pt>
                <c:pt idx="1">
                  <c:v>0.46712908878091608</c:v>
                </c:pt>
                <c:pt idx="2">
                  <c:v>0.30252095496407727</c:v>
                </c:pt>
                <c:pt idx="3">
                  <c:v>0.37711209140887864</c:v>
                </c:pt>
                <c:pt idx="4">
                  <c:v>0.31603739506644191</c:v>
                </c:pt>
                <c:pt idx="5">
                  <c:v>0.36267942394757358</c:v>
                </c:pt>
                <c:pt idx="6">
                  <c:v>0.30567947314252558</c:v>
                </c:pt>
              </c:numCache>
            </c:numRef>
          </c:val>
          <c:extLst>
            <c:ext xmlns:c16="http://schemas.microsoft.com/office/drawing/2014/chart" uri="{C3380CC4-5D6E-409C-BE32-E72D297353CC}">
              <c16:uniqueId val="{00000001-4F13-421F-9422-522727FF35C5}"/>
            </c:ext>
          </c:extLst>
        </c:ser>
        <c:dLbls>
          <c:showLegendKey val="0"/>
          <c:showVal val="0"/>
          <c:showCatName val="0"/>
          <c:showSerName val="0"/>
          <c:showPercent val="0"/>
          <c:showBubbleSize val="0"/>
        </c:dLbls>
        <c:gapWidth val="70"/>
        <c:axId val="450490767"/>
        <c:axId val="450486607"/>
        <c:extLst>
          <c:ext xmlns:c15="http://schemas.microsoft.com/office/drawing/2012/chart" uri="{02D57815-91ED-43cb-92C2-25804820EDAC}">
            <c15:filteredBarSeries>
              <c15:ser>
                <c:idx val="0"/>
                <c:order val="0"/>
                <c:tx>
                  <c:strRef>
                    <c:extLst>
                      <c:ext uri="{02D57815-91ED-43cb-92C2-25804820EDAC}">
                        <c15:formulaRef>
                          <c15:sqref>'[5]Figure 21. Aid vs'!#REF!</c15:sqref>
                        </c15:formulaRef>
                      </c:ext>
                    </c:extLst>
                    <c:strCache>
                      <c:ptCount val="1"/>
                      <c:pt idx="0">
                        <c:v>#BEZUG!</c:v>
                      </c:pt>
                    </c:strCache>
                  </c:strRef>
                </c:tx>
                <c:spPr>
                  <a:solidFill>
                    <a:srgbClr val="0070C0"/>
                  </a:solidFill>
                  <a:ln>
                    <a:solidFill>
                      <a:schemeClr val="tx1"/>
                    </a:solidFill>
                  </a:ln>
                  <a:effectLst/>
                </c:spPr>
                <c:invertIfNegative val="0"/>
                <c:cat>
                  <c:strRef>
                    <c:extLst>
                      <c:ext uri="{02D57815-91ED-43cb-92C2-25804820EDAC}">
                        <c15:formulaRef>
                          <c15:sqref>'Fig 23. Domestic Priorities'!$G$12:$G$18</c15:sqref>
                        </c15:formulaRef>
                      </c:ext>
                    </c:extLst>
                    <c:strCache>
                      <c:ptCount val="7"/>
                      <c:pt idx="0">
                        <c:v>Germany</c:v>
                      </c:pt>
                      <c:pt idx="1">
                        <c:v>Netherlands</c:v>
                      </c:pt>
                      <c:pt idx="2">
                        <c:v>Italy</c:v>
                      </c:pt>
                      <c:pt idx="3">
                        <c:v>EU Average</c:v>
                      </c:pt>
                      <c:pt idx="4">
                        <c:v>United Kingdom</c:v>
                      </c:pt>
                      <c:pt idx="5">
                        <c:v>Spain</c:v>
                      </c:pt>
                      <c:pt idx="6">
                        <c:v>France</c:v>
                      </c:pt>
                    </c:strCache>
                  </c:strRef>
                </c:cat>
                <c:val>
                  <c:numRef>
                    <c:extLst>
                      <c:ext uri="{02D57815-91ED-43cb-92C2-25804820EDAC}">
                        <c15:formulaRef>
                          <c15:sqref>'[5]Figure 21. Aid vs'!#REF!</c15:sqref>
                        </c15:formulaRef>
                      </c:ext>
                    </c:extLst>
                    <c:numCache>
                      <c:formatCode>0.00</c:formatCode>
                      <c:ptCount val="1"/>
                      <c:pt idx="0">
                        <c:v>1</c:v>
                      </c:pt>
                    </c:numCache>
                  </c:numRef>
                </c:val>
                <c:extLst>
                  <c:ext xmlns:c16="http://schemas.microsoft.com/office/drawing/2014/chart" uri="{C3380CC4-5D6E-409C-BE32-E72D297353CC}">
                    <c16:uniqueId val="{00000002-4F13-421F-9422-522727FF35C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'[5]Figure 21. Aid vs'!#REF!</c15:sqref>
                        </c15:formulaRef>
                      </c:ext>
                    </c:extLst>
                    <c:strCache>
                      <c:ptCount val="1"/>
                      <c:pt idx="0">
                        <c:v>#BEZUG!</c:v>
                      </c:pt>
                    </c:strCache>
                  </c:strRef>
                </c:tx>
                <c:spPr>
                  <a:solidFill>
                    <a:srgbClr val="92D050"/>
                  </a:solid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'Fig 23. Domestic Priorities'!$G$12:$G$18</c15:sqref>
                        </c15:formulaRef>
                      </c:ext>
                    </c:extLst>
                    <c:strCache>
                      <c:ptCount val="7"/>
                      <c:pt idx="0">
                        <c:v>Germany</c:v>
                      </c:pt>
                      <c:pt idx="1">
                        <c:v>Netherlands</c:v>
                      </c:pt>
                      <c:pt idx="2">
                        <c:v>Italy</c:v>
                      </c:pt>
                      <c:pt idx="3">
                        <c:v>EU Average</c:v>
                      </c:pt>
                      <c:pt idx="4">
                        <c:v>United Kingdom</c:v>
                      </c:pt>
                      <c:pt idx="5">
                        <c:v>Spain</c:v>
                      </c:pt>
                      <c:pt idx="6">
                        <c:v>France</c:v>
                      </c:pt>
                    </c:strCache>
                  </c:strRef>
                </c:cat>
                <c:val>
                  <c:numRef>
                    <c:extLst xmlns:c15="http://schemas.microsoft.com/office/drawing/2012/chart">
                      <c:ext xmlns:c15="http://schemas.microsoft.com/office/drawing/2012/chart" uri="{02D57815-91ED-43cb-92C2-25804820EDAC}">
                        <c15:formulaRef>
                          <c15:sqref>'[5]Figure 21. Aid vs'!#REF!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4F13-421F-9422-522727FF35C5}"/>
                  </c:ext>
                </c:extLst>
              </c15:ser>
            </c15:filteredBarSeries>
          </c:ext>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0"/>
      </c:catAx>
      <c:valAx>
        <c:axId val="450486607"/>
        <c:scaling>
          <c:orientation val="minMax"/>
          <c:max val="8"/>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max"/>
        <c:crossBetween val="between"/>
        <c:majorUnit val="1"/>
        <c:minorUnit val="0.5"/>
      </c:valAx>
      <c:spPr>
        <a:noFill/>
        <a:ln>
          <a:noFill/>
        </a:ln>
        <a:effectLst/>
      </c:spPr>
    </c:plotArea>
    <c:legend>
      <c:legendPos val="r"/>
      <c:layout>
        <c:manualLayout>
          <c:xMode val="edge"/>
          <c:yMode val="edge"/>
          <c:x val="0.64749090909090912"/>
          <c:y val="0.40839555547855988"/>
          <c:w val="0.30685782828282826"/>
          <c:h val="0.27956074074074078"/>
        </c:manualLayout>
      </c:layout>
      <c:overlay val="0"/>
      <c:spPr>
        <a:solidFill>
          <a:srgbClr val="FFFFFF"/>
        </a:solid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34197294391978067"/>
          <c:y val="3.684472387671367E-2"/>
          <c:w val="0.63661760224231723"/>
          <c:h val="0.85483299683486758"/>
        </c:manualLayout>
      </c:layout>
      <c:barChart>
        <c:barDir val="bar"/>
        <c:grouping val="stacked"/>
        <c:varyColors val="0"/>
        <c:ser>
          <c:idx val="1"/>
          <c:order val="0"/>
          <c:tx>
            <c:strRef>
              <c:f>'Fig 24. Priorities Germany'!$C$11</c:f>
              <c:strCache>
                <c:ptCount val="1"/>
                <c:pt idx="0">
                  <c:v>Total bilateral aid</c:v>
                </c:pt>
              </c:strCache>
            </c:strRef>
          </c:tx>
          <c:spPr>
            <a:solidFill>
              <a:schemeClr val="accent5"/>
            </a:solidFill>
            <a:ln>
              <a:solidFill>
                <a:srgbClr val="000000"/>
              </a:solidFill>
              <a:prstDash val="solid"/>
            </a:ln>
            <a:effectLst/>
          </c:spPr>
          <c:invertIfNegative val="0"/>
          <c:dPt>
            <c:idx val="0"/>
            <c:invertIfNegative val="0"/>
            <c:bubble3D val="0"/>
            <c:spPr>
              <a:solidFill>
                <a:schemeClr val="accent2">
                  <a:lumMod val="75000"/>
                </a:schemeClr>
              </a:solidFill>
              <a:ln>
                <a:solidFill>
                  <a:srgbClr val="000000"/>
                </a:solidFill>
                <a:prstDash val="solid"/>
              </a:ln>
              <a:effectLst/>
            </c:spPr>
            <c:extLst>
              <c:ext xmlns:c16="http://schemas.microsoft.com/office/drawing/2014/chart" uri="{C3380CC4-5D6E-409C-BE32-E72D297353CC}">
                <c16:uniqueId val="{00000001-FA53-4A2E-B5BD-5A21D28C41D9}"/>
              </c:ext>
            </c:extLst>
          </c:dPt>
          <c:dPt>
            <c:idx val="1"/>
            <c:invertIfNegative val="0"/>
            <c:bubble3D val="0"/>
            <c:spPr>
              <a:solidFill>
                <a:schemeClr val="accent2">
                  <a:lumMod val="75000"/>
                </a:schemeClr>
              </a:solidFill>
              <a:ln>
                <a:solidFill>
                  <a:srgbClr val="000000"/>
                </a:solidFill>
                <a:prstDash val="solid"/>
              </a:ln>
              <a:effectLst/>
            </c:spPr>
            <c:extLst>
              <c:ext xmlns:c16="http://schemas.microsoft.com/office/drawing/2014/chart" uri="{C3380CC4-5D6E-409C-BE32-E72D297353CC}">
                <c16:uniqueId val="{00000003-FA53-4A2E-B5BD-5A21D28C41D9}"/>
              </c:ext>
            </c:extLst>
          </c:dPt>
          <c:dPt>
            <c:idx val="2"/>
            <c:invertIfNegative val="0"/>
            <c:bubble3D val="0"/>
            <c:spPr>
              <a:solidFill>
                <a:schemeClr val="accent2">
                  <a:lumMod val="75000"/>
                </a:schemeClr>
              </a:solidFill>
              <a:ln>
                <a:solidFill>
                  <a:srgbClr val="000000"/>
                </a:solidFill>
                <a:prstDash val="solid"/>
              </a:ln>
              <a:effectLst/>
            </c:spPr>
            <c:extLst>
              <c:ext xmlns:c16="http://schemas.microsoft.com/office/drawing/2014/chart" uri="{C3380CC4-5D6E-409C-BE32-E72D297353CC}">
                <c16:uniqueId val="{00000005-FA53-4A2E-B5BD-5A21D28C41D9}"/>
              </c:ext>
            </c:extLst>
          </c:dPt>
          <c:dPt>
            <c:idx val="3"/>
            <c:invertIfNegative val="0"/>
            <c:bubble3D val="0"/>
            <c:spPr>
              <a:solidFill>
                <a:schemeClr val="accent1">
                  <a:lumMod val="50000"/>
                </a:schemeClr>
              </a:solidFill>
              <a:ln>
                <a:solidFill>
                  <a:srgbClr val="000000"/>
                </a:solidFill>
                <a:prstDash val="solid"/>
              </a:ln>
              <a:effectLst/>
            </c:spPr>
            <c:extLst>
              <c:ext xmlns:c16="http://schemas.microsoft.com/office/drawing/2014/chart" uri="{C3380CC4-5D6E-409C-BE32-E72D297353CC}">
                <c16:uniqueId val="{00000007-FA53-4A2E-B5BD-5A21D28C41D9}"/>
              </c:ext>
            </c:extLst>
          </c:dPt>
          <c:dPt>
            <c:idx val="4"/>
            <c:invertIfNegative val="0"/>
            <c:bubble3D val="0"/>
            <c:spPr>
              <a:solidFill>
                <a:schemeClr val="accent2">
                  <a:lumMod val="75000"/>
                </a:schemeClr>
              </a:solidFill>
              <a:ln>
                <a:solidFill>
                  <a:srgbClr val="000000"/>
                </a:solidFill>
                <a:prstDash val="solid"/>
              </a:ln>
              <a:effectLst/>
            </c:spPr>
            <c:extLst>
              <c:ext xmlns:c16="http://schemas.microsoft.com/office/drawing/2014/chart" uri="{C3380CC4-5D6E-409C-BE32-E72D297353CC}">
                <c16:uniqueId val="{00000009-FA53-4A2E-B5BD-5A21D28C41D9}"/>
              </c:ext>
            </c:extLst>
          </c:dPt>
          <c:cat>
            <c:strRef>
              <c:f>'Fig 24. Priorities Germany'!$B$12:$B$16</c:f>
              <c:strCache>
                <c:ptCount val="5"/>
                <c:pt idx="0">
                  <c:v>Energy subsidies for households and firms ("Doppelwumms")</c:v>
                </c:pt>
                <c:pt idx="1">
                  <c:v>Special military fund
 ("Sondervermögen Bundeswehr") </c:v>
                </c:pt>
                <c:pt idx="2">
                  <c:v>Rescue of Uniper</c:v>
                </c:pt>
                <c:pt idx="3">
                  <c:v>German aid to Ukraine (incl. EU shares)</c:v>
                </c:pt>
                <c:pt idx="4">
                  <c:v>Transport Subsidies
 ("Tankrabatt" &amp; "9€ Ticket")</c:v>
                </c:pt>
              </c:strCache>
            </c:strRef>
          </c:cat>
          <c:val>
            <c:numRef>
              <c:f>'Fig 24. Priorities Germany'!$C$12:$C$16</c:f>
              <c:numCache>
                <c:formatCode>0.00</c:formatCode>
                <c:ptCount val="5"/>
                <c:pt idx="3">
                  <c:v>6.1512000000000002</c:v>
                </c:pt>
              </c:numCache>
            </c:numRef>
          </c:val>
          <c:extLst>
            <c:ext xmlns:c16="http://schemas.microsoft.com/office/drawing/2014/chart" uri="{C3380CC4-5D6E-409C-BE32-E72D297353CC}">
              <c16:uniqueId val="{00000000-1066-4AFA-ABED-A7936EA25580}"/>
            </c:ext>
          </c:extLst>
        </c:ser>
        <c:ser>
          <c:idx val="0"/>
          <c:order val="1"/>
          <c:tx>
            <c:strRef>
              <c:f>'Fig 24. Priorities Germany'!$D$11</c:f>
              <c:strCache>
                <c:ptCount val="1"/>
                <c:pt idx="0">
                  <c:v>EU aid shares</c:v>
                </c:pt>
              </c:strCache>
            </c:strRef>
          </c:tx>
          <c:spPr>
            <a:solidFill>
              <a:schemeClr val="accent1">
                <a:lumMod val="75000"/>
              </a:schemeClr>
            </a:solidFill>
            <a:ln>
              <a:solidFill>
                <a:schemeClr val="tx1"/>
              </a:solidFill>
            </a:ln>
            <a:effectLst/>
          </c:spPr>
          <c:invertIfNegative val="0"/>
          <c:cat>
            <c:strRef>
              <c:f>'Fig 24. Priorities Germany'!$B$12:$B$16</c:f>
              <c:strCache>
                <c:ptCount val="5"/>
                <c:pt idx="0">
                  <c:v>Energy subsidies for households and firms ("Doppelwumms")</c:v>
                </c:pt>
                <c:pt idx="1">
                  <c:v>Special military fund
 ("Sondervermögen Bundeswehr") </c:v>
                </c:pt>
                <c:pt idx="2">
                  <c:v>Rescue of Uniper</c:v>
                </c:pt>
                <c:pt idx="3">
                  <c:v>German aid to Ukraine (incl. EU shares)</c:v>
                </c:pt>
                <c:pt idx="4">
                  <c:v>Transport Subsidies
 ("Tankrabatt" &amp; "9€ Ticket")</c:v>
                </c:pt>
              </c:strCache>
            </c:strRef>
          </c:cat>
          <c:val>
            <c:numRef>
              <c:f>'Fig 24. Priorities Germany'!$D$12:$D$16</c:f>
              <c:numCache>
                <c:formatCode>0.00</c:formatCode>
                <c:ptCount val="5"/>
                <c:pt idx="3">
                  <c:v>7.1798954769725452</c:v>
                </c:pt>
              </c:numCache>
            </c:numRef>
          </c:val>
          <c:extLst>
            <c:ext xmlns:c16="http://schemas.microsoft.com/office/drawing/2014/chart" uri="{C3380CC4-5D6E-409C-BE32-E72D297353CC}">
              <c16:uniqueId val="{0000000B-1066-4AFA-ABED-A7936EA25580}"/>
            </c:ext>
          </c:extLst>
        </c:ser>
        <c:ser>
          <c:idx val="2"/>
          <c:order val="2"/>
          <c:tx>
            <c:strRef>
              <c:f>'Fig 24. Priorities Germany'!$E$11</c:f>
              <c:strCache>
                <c:ptCount val="1"/>
                <c:pt idx="0">
                  <c:v>Cost</c:v>
                </c:pt>
              </c:strCache>
            </c:strRef>
          </c:tx>
          <c:spPr>
            <a:solidFill>
              <a:schemeClr val="accent4">
                <a:lumMod val="60000"/>
                <a:lumOff val="40000"/>
              </a:schemeClr>
            </a:solidFill>
            <a:ln>
              <a:solidFill>
                <a:schemeClr val="tx1"/>
              </a:solidFill>
            </a:ln>
            <a:effectLst/>
          </c:spPr>
          <c:invertIfNegative val="0"/>
          <c:cat>
            <c:strRef>
              <c:f>'Fig 24. Priorities Germany'!$B$12:$B$16</c:f>
              <c:strCache>
                <c:ptCount val="5"/>
                <c:pt idx="0">
                  <c:v>Energy subsidies for households and firms ("Doppelwumms")</c:v>
                </c:pt>
                <c:pt idx="1">
                  <c:v>Special military fund
 ("Sondervermögen Bundeswehr") </c:v>
                </c:pt>
                <c:pt idx="2">
                  <c:v>Rescue of Uniper</c:v>
                </c:pt>
                <c:pt idx="3">
                  <c:v>German aid to Ukraine (incl. EU shares)</c:v>
                </c:pt>
                <c:pt idx="4">
                  <c:v>Transport Subsidies
 ("Tankrabatt" &amp; "9€ Ticket")</c:v>
                </c:pt>
              </c:strCache>
            </c:strRef>
          </c:cat>
          <c:val>
            <c:numRef>
              <c:f>'Fig 24. Priorities Germany'!$E$12:$E$16</c:f>
              <c:numCache>
                <c:formatCode>0.00</c:formatCode>
                <c:ptCount val="5"/>
                <c:pt idx="0">
                  <c:v>200</c:v>
                </c:pt>
                <c:pt idx="1">
                  <c:v>100</c:v>
                </c:pt>
                <c:pt idx="2">
                  <c:v>34.5</c:v>
                </c:pt>
                <c:pt idx="4">
                  <c:v>5.65</c:v>
                </c:pt>
              </c:numCache>
            </c:numRef>
          </c:val>
          <c:extLst>
            <c:ext xmlns:c16="http://schemas.microsoft.com/office/drawing/2014/chart" uri="{C3380CC4-5D6E-409C-BE32-E72D297353CC}">
              <c16:uniqueId val="{0000000C-1066-4AFA-ABED-A7936EA25580}"/>
            </c:ext>
          </c:extLst>
        </c:ser>
        <c:dLbls>
          <c:showLegendKey val="0"/>
          <c:showVal val="0"/>
          <c:showCatName val="0"/>
          <c:showSerName val="0"/>
          <c:showPercent val="0"/>
          <c:showBubbleSize val="0"/>
        </c:dLbls>
        <c:gapWidth val="100"/>
        <c:overlap val="100"/>
        <c:axId val="295516991"/>
        <c:axId val="295508671"/>
        <c:extLst/>
      </c:barChart>
      <c:catAx>
        <c:axId val="295516991"/>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295508671"/>
        <c:crosses val="autoZero"/>
        <c:auto val="1"/>
        <c:lblAlgn val="ctr"/>
        <c:lblOffset val="100"/>
        <c:noMultiLvlLbl val="0"/>
      </c:catAx>
      <c:valAx>
        <c:axId val="295508671"/>
        <c:scaling>
          <c:orientation val="minMax"/>
          <c:max val="20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24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GB" sz="2000"/>
                  <a:t>billion Euros</a:t>
                </a:r>
              </a:p>
            </c:rich>
          </c:tx>
          <c:layout>
            <c:manualLayout>
              <c:xMode val="edge"/>
              <c:yMode val="edge"/>
              <c:x val="0.80257770382239424"/>
              <c:y val="0.80295226112893858"/>
            </c:manualLayout>
          </c:layout>
          <c:overlay val="0"/>
          <c:spPr>
            <a:solidFill>
              <a:sysClr val="window" lastClr="FFFFFF"/>
            </a:solidFill>
            <a:ln>
              <a:noFill/>
            </a:ln>
            <a:effectLst/>
          </c:spPr>
          <c:txPr>
            <a:bodyPr rot="0" spcFirstLastPara="1" vertOverflow="ellipsis" vert="horz" wrap="square" anchor="ctr" anchorCtr="1"/>
            <a:lstStyle/>
            <a:p>
              <a:pPr>
                <a:defRPr sz="24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title>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295516991"/>
        <c:crosses val="autoZero"/>
        <c:crossBetween val="between"/>
        <c:majorUnit val="5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de-DE"/>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76799207417155"/>
          <c:y val="1.4074447230952877E-2"/>
          <c:w val="0.76291967335531663"/>
          <c:h val="0.94124085444144956"/>
        </c:manualLayout>
      </c:layout>
      <c:barChart>
        <c:barDir val="bar"/>
        <c:grouping val="stacked"/>
        <c:varyColors val="0"/>
        <c:ser>
          <c:idx val="5"/>
          <c:order val="0"/>
          <c:tx>
            <c:strRef>
              <c:f>'Figure A1. Transparency Index'!$C$12</c:f>
              <c:strCache>
                <c:ptCount val="1"/>
                <c:pt idx="0">
                  <c:v>Designated website (1=Yes)</c:v>
                </c:pt>
              </c:strCache>
            </c:strRef>
          </c:tx>
          <c:spPr>
            <a:solidFill>
              <a:schemeClr val="accent6">
                <a:lumMod val="75000"/>
              </a:schemeClr>
            </a:solidFill>
            <a:ln>
              <a:solidFill>
                <a:schemeClr val="tx1"/>
              </a:solidFill>
            </a:ln>
            <a:effectLst/>
          </c:spPr>
          <c:invertIfNegative val="0"/>
          <c:cat>
            <c:strRef>
              <c:f>'Figure A1. Transparency Index'!$B$13:$B$53</c:f>
              <c:strCache>
                <c:ptCount val="41"/>
                <c:pt idx="0">
                  <c:v>Switzerland</c:v>
                </c:pt>
                <c:pt idx="1">
                  <c:v>Denmark</c:v>
                </c:pt>
                <c:pt idx="2">
                  <c:v>United States</c:v>
                </c:pt>
                <c:pt idx="3">
                  <c:v>Sweden</c:v>
                </c:pt>
                <c:pt idx="4">
                  <c:v>Netherlands</c:v>
                </c:pt>
                <c:pt idx="5">
                  <c:v>Australia</c:v>
                </c:pt>
                <c:pt idx="6">
                  <c:v>Finland</c:v>
                </c:pt>
                <c:pt idx="7">
                  <c:v>Canada</c:v>
                </c:pt>
                <c:pt idx="8">
                  <c:v>New Zealand</c:v>
                </c:pt>
                <c:pt idx="9">
                  <c:v>Ireland</c:v>
                </c:pt>
                <c:pt idx="10">
                  <c:v>Norway</c:v>
                </c:pt>
                <c:pt idx="11">
                  <c:v>Estonia</c:v>
                </c:pt>
                <c:pt idx="12">
                  <c:v>Germany</c:v>
                </c:pt>
                <c:pt idx="13">
                  <c:v>EU (Commission and Council)</c:v>
                </c:pt>
                <c:pt idx="14">
                  <c:v>Lithuania</c:v>
                </c:pt>
                <c:pt idx="15">
                  <c:v>Malta</c:v>
                </c:pt>
                <c:pt idx="16">
                  <c:v>Japan</c:v>
                </c:pt>
                <c:pt idx="17">
                  <c:v>Austria</c:v>
                </c:pt>
                <c:pt idx="18">
                  <c:v>Belgium</c:v>
                </c:pt>
                <c:pt idx="19">
                  <c:v>United Kingdom</c:v>
                </c:pt>
                <c:pt idx="20">
                  <c:v>Luxembourg</c:v>
                </c:pt>
                <c:pt idx="21">
                  <c:v>Cyprus</c:v>
                </c:pt>
                <c:pt idx="22">
                  <c:v>South Korea</c:v>
                </c:pt>
                <c:pt idx="23">
                  <c:v>Italy</c:v>
                </c:pt>
                <c:pt idx="24">
                  <c:v>Croatia</c:v>
                </c:pt>
                <c:pt idx="25">
                  <c:v>Bulgaria</c:v>
                </c:pt>
                <c:pt idx="26">
                  <c:v>Czech Republic</c:v>
                </c:pt>
                <c:pt idx="27">
                  <c:v>Latvia</c:v>
                </c:pt>
                <c:pt idx="28">
                  <c:v>France</c:v>
                </c:pt>
                <c:pt idx="29">
                  <c:v>Taiwan</c:v>
                </c:pt>
                <c:pt idx="30">
                  <c:v>Slovakia</c:v>
                </c:pt>
                <c:pt idx="31">
                  <c:v>China</c:v>
                </c:pt>
                <c:pt idx="32">
                  <c:v>Hungary</c:v>
                </c:pt>
                <c:pt idx="33">
                  <c:v>India</c:v>
                </c:pt>
                <c:pt idx="34">
                  <c:v>Slovenia</c:v>
                </c:pt>
                <c:pt idx="35">
                  <c:v>Turkey</c:v>
                </c:pt>
                <c:pt idx="36">
                  <c:v>Poland</c:v>
                </c:pt>
                <c:pt idx="37">
                  <c:v>Romania</c:v>
                </c:pt>
                <c:pt idx="38">
                  <c:v>Greece</c:v>
                </c:pt>
                <c:pt idx="39">
                  <c:v>Spain</c:v>
                </c:pt>
                <c:pt idx="40">
                  <c:v>Portugal</c:v>
                </c:pt>
              </c:strCache>
            </c:strRef>
          </c:cat>
          <c:val>
            <c:numRef>
              <c:f>'Figure A1. Transparency Index'!$C$13:$C$53</c:f>
              <c:numCache>
                <c:formatCode>0</c:formatCode>
                <c:ptCount val="4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0</c:v>
                </c:pt>
                <c:pt idx="19">
                  <c:v>1</c:v>
                </c:pt>
                <c:pt idx="20">
                  <c:v>0</c:v>
                </c:pt>
                <c:pt idx="21">
                  <c:v>0</c:v>
                </c:pt>
                <c:pt idx="22">
                  <c:v>1</c:v>
                </c:pt>
                <c:pt idx="23">
                  <c:v>1</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2E55-4B2E-B86D-0F7BDD3A9D1C}"/>
            </c:ext>
          </c:extLst>
        </c:ser>
        <c:ser>
          <c:idx val="0"/>
          <c:order val="1"/>
          <c:tx>
            <c:strRef>
              <c:f>'Figure A1. Transparency Index'!$D$12</c:f>
              <c:strCache>
                <c:ptCount val="1"/>
                <c:pt idx="0">
                  <c:v>Total value of commitments given (1=Yes)</c:v>
                </c:pt>
              </c:strCache>
            </c:strRef>
          </c:tx>
          <c:spPr>
            <a:solidFill>
              <a:schemeClr val="accent6"/>
            </a:solidFill>
            <a:ln>
              <a:solidFill>
                <a:schemeClr val="tx1"/>
              </a:solidFill>
            </a:ln>
            <a:effectLst/>
          </c:spPr>
          <c:invertIfNegative val="0"/>
          <c:cat>
            <c:strRef>
              <c:f>'Figure A1. Transparency Index'!$B$13:$B$53</c:f>
              <c:strCache>
                <c:ptCount val="41"/>
                <c:pt idx="0">
                  <c:v>Switzerland</c:v>
                </c:pt>
                <c:pt idx="1">
                  <c:v>Denmark</c:v>
                </c:pt>
                <c:pt idx="2">
                  <c:v>United States</c:v>
                </c:pt>
                <c:pt idx="3">
                  <c:v>Sweden</c:v>
                </c:pt>
                <c:pt idx="4">
                  <c:v>Netherlands</c:v>
                </c:pt>
                <c:pt idx="5">
                  <c:v>Australia</c:v>
                </c:pt>
                <c:pt idx="6">
                  <c:v>Finland</c:v>
                </c:pt>
                <c:pt idx="7">
                  <c:v>Canada</c:v>
                </c:pt>
                <c:pt idx="8">
                  <c:v>New Zealand</c:v>
                </c:pt>
                <c:pt idx="9">
                  <c:v>Ireland</c:v>
                </c:pt>
                <c:pt idx="10">
                  <c:v>Norway</c:v>
                </c:pt>
                <c:pt idx="11">
                  <c:v>Estonia</c:v>
                </c:pt>
                <c:pt idx="12">
                  <c:v>Germany</c:v>
                </c:pt>
                <c:pt idx="13">
                  <c:v>EU (Commission and Council)</c:v>
                </c:pt>
                <c:pt idx="14">
                  <c:v>Lithuania</c:v>
                </c:pt>
                <c:pt idx="15">
                  <c:v>Malta</c:v>
                </c:pt>
                <c:pt idx="16">
                  <c:v>Japan</c:v>
                </c:pt>
                <c:pt idx="17">
                  <c:v>Austria</c:v>
                </c:pt>
                <c:pt idx="18">
                  <c:v>Belgium</c:v>
                </c:pt>
                <c:pt idx="19">
                  <c:v>United Kingdom</c:v>
                </c:pt>
                <c:pt idx="20">
                  <c:v>Luxembourg</c:v>
                </c:pt>
                <c:pt idx="21">
                  <c:v>Cyprus</c:v>
                </c:pt>
                <c:pt idx="22">
                  <c:v>South Korea</c:v>
                </c:pt>
                <c:pt idx="23">
                  <c:v>Italy</c:v>
                </c:pt>
                <c:pt idx="24">
                  <c:v>Croatia</c:v>
                </c:pt>
                <c:pt idx="25">
                  <c:v>Bulgaria</c:v>
                </c:pt>
                <c:pt idx="26">
                  <c:v>Czech Republic</c:v>
                </c:pt>
                <c:pt idx="27">
                  <c:v>Latvia</c:v>
                </c:pt>
                <c:pt idx="28">
                  <c:v>France</c:v>
                </c:pt>
                <c:pt idx="29">
                  <c:v>Taiwan</c:v>
                </c:pt>
                <c:pt idx="30">
                  <c:v>Slovakia</c:v>
                </c:pt>
                <c:pt idx="31">
                  <c:v>China</c:v>
                </c:pt>
                <c:pt idx="32">
                  <c:v>Hungary</c:v>
                </c:pt>
                <c:pt idx="33">
                  <c:v>India</c:v>
                </c:pt>
                <c:pt idx="34">
                  <c:v>Slovenia</c:v>
                </c:pt>
                <c:pt idx="35">
                  <c:v>Turkey</c:v>
                </c:pt>
                <c:pt idx="36">
                  <c:v>Poland</c:v>
                </c:pt>
                <c:pt idx="37">
                  <c:v>Romania</c:v>
                </c:pt>
                <c:pt idx="38">
                  <c:v>Greece</c:v>
                </c:pt>
                <c:pt idx="39">
                  <c:v>Spain</c:v>
                </c:pt>
                <c:pt idx="40">
                  <c:v>Portugal</c:v>
                </c:pt>
              </c:strCache>
            </c:strRef>
          </c:cat>
          <c:val>
            <c:numRef>
              <c:f>'Figure A1. Transparency Index'!$D$13:$D$53</c:f>
              <c:numCache>
                <c:formatCode>0</c:formatCode>
                <c:ptCount val="41"/>
                <c:pt idx="0">
                  <c:v>1</c:v>
                </c:pt>
                <c:pt idx="1">
                  <c:v>1</c:v>
                </c:pt>
                <c:pt idx="2">
                  <c:v>1</c:v>
                </c:pt>
                <c:pt idx="3">
                  <c:v>1</c:v>
                </c:pt>
                <c:pt idx="4">
                  <c:v>1</c:v>
                </c:pt>
                <c:pt idx="5">
                  <c:v>1</c:v>
                </c:pt>
                <c:pt idx="6">
                  <c:v>1</c:v>
                </c:pt>
                <c:pt idx="7">
                  <c:v>1</c:v>
                </c:pt>
                <c:pt idx="8">
                  <c:v>1</c:v>
                </c:pt>
                <c:pt idx="9">
                  <c:v>1</c:v>
                </c:pt>
                <c:pt idx="10">
                  <c:v>1</c:v>
                </c:pt>
                <c:pt idx="11">
                  <c:v>1</c:v>
                </c:pt>
                <c:pt idx="12">
                  <c:v>0</c:v>
                </c:pt>
                <c:pt idx="13">
                  <c:v>0</c:v>
                </c:pt>
                <c:pt idx="14">
                  <c:v>1</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1-2E55-4B2E-B86D-0F7BDD3A9D1C}"/>
            </c:ext>
          </c:extLst>
        </c:ser>
        <c:ser>
          <c:idx val="2"/>
          <c:order val="2"/>
          <c:tx>
            <c:strRef>
              <c:f>'Figure A1. Transparency Index'!$E$12</c:f>
              <c:strCache>
                <c:ptCount val="1"/>
                <c:pt idx="0">
                  <c:v>Monetary value of individual items given by source (share)</c:v>
                </c:pt>
              </c:strCache>
            </c:strRef>
          </c:tx>
          <c:spPr>
            <a:solidFill>
              <a:schemeClr val="accent6">
                <a:lumMod val="60000"/>
                <a:lumOff val="40000"/>
              </a:schemeClr>
            </a:solidFill>
            <a:ln>
              <a:solidFill>
                <a:schemeClr val="tx1"/>
              </a:solidFill>
            </a:ln>
            <a:effectLst/>
          </c:spPr>
          <c:invertIfNegative val="0"/>
          <c:cat>
            <c:strRef>
              <c:f>'Figure A1. Transparency Index'!$B$13:$B$53</c:f>
              <c:strCache>
                <c:ptCount val="41"/>
                <c:pt idx="0">
                  <c:v>Switzerland</c:v>
                </c:pt>
                <c:pt idx="1">
                  <c:v>Denmark</c:v>
                </c:pt>
                <c:pt idx="2">
                  <c:v>United States</c:v>
                </c:pt>
                <c:pt idx="3">
                  <c:v>Sweden</c:v>
                </c:pt>
                <c:pt idx="4">
                  <c:v>Netherlands</c:v>
                </c:pt>
                <c:pt idx="5">
                  <c:v>Australia</c:v>
                </c:pt>
                <c:pt idx="6">
                  <c:v>Finland</c:v>
                </c:pt>
                <c:pt idx="7">
                  <c:v>Canada</c:v>
                </c:pt>
                <c:pt idx="8">
                  <c:v>New Zealand</c:v>
                </c:pt>
                <c:pt idx="9">
                  <c:v>Ireland</c:v>
                </c:pt>
                <c:pt idx="10">
                  <c:v>Norway</c:v>
                </c:pt>
                <c:pt idx="11">
                  <c:v>Estonia</c:v>
                </c:pt>
                <c:pt idx="12">
                  <c:v>Germany</c:v>
                </c:pt>
                <c:pt idx="13">
                  <c:v>EU (Commission and Council)</c:v>
                </c:pt>
                <c:pt idx="14">
                  <c:v>Lithuania</c:v>
                </c:pt>
                <c:pt idx="15">
                  <c:v>Malta</c:v>
                </c:pt>
                <c:pt idx="16">
                  <c:v>Japan</c:v>
                </c:pt>
                <c:pt idx="17">
                  <c:v>Austria</c:v>
                </c:pt>
                <c:pt idx="18">
                  <c:v>Belgium</c:v>
                </c:pt>
                <c:pt idx="19">
                  <c:v>United Kingdom</c:v>
                </c:pt>
                <c:pt idx="20">
                  <c:v>Luxembourg</c:v>
                </c:pt>
                <c:pt idx="21">
                  <c:v>Cyprus</c:v>
                </c:pt>
                <c:pt idx="22">
                  <c:v>South Korea</c:v>
                </c:pt>
                <c:pt idx="23">
                  <c:v>Italy</c:v>
                </c:pt>
                <c:pt idx="24">
                  <c:v>Croatia</c:v>
                </c:pt>
                <c:pt idx="25">
                  <c:v>Bulgaria</c:v>
                </c:pt>
                <c:pt idx="26">
                  <c:v>Czech Republic</c:v>
                </c:pt>
                <c:pt idx="27">
                  <c:v>Latvia</c:v>
                </c:pt>
                <c:pt idx="28">
                  <c:v>France</c:v>
                </c:pt>
                <c:pt idx="29">
                  <c:v>Taiwan</c:v>
                </c:pt>
                <c:pt idx="30">
                  <c:v>Slovakia</c:v>
                </c:pt>
                <c:pt idx="31">
                  <c:v>China</c:v>
                </c:pt>
                <c:pt idx="32">
                  <c:v>Hungary</c:v>
                </c:pt>
                <c:pt idx="33">
                  <c:v>India</c:v>
                </c:pt>
                <c:pt idx="34">
                  <c:v>Slovenia</c:v>
                </c:pt>
                <c:pt idx="35">
                  <c:v>Turkey</c:v>
                </c:pt>
                <c:pt idx="36">
                  <c:v>Poland</c:v>
                </c:pt>
                <c:pt idx="37">
                  <c:v>Romania</c:v>
                </c:pt>
                <c:pt idx="38">
                  <c:v>Greece</c:v>
                </c:pt>
                <c:pt idx="39">
                  <c:v>Spain</c:v>
                </c:pt>
                <c:pt idx="40">
                  <c:v>Portugal</c:v>
                </c:pt>
              </c:strCache>
            </c:strRef>
          </c:cat>
          <c:val>
            <c:numRef>
              <c:f>'Figure A1. Transparency Index'!$E$13:$E$53</c:f>
              <c:numCache>
                <c:formatCode>0.00</c:formatCode>
                <c:ptCount val="41"/>
                <c:pt idx="0">
                  <c:v>1</c:v>
                </c:pt>
                <c:pt idx="1">
                  <c:v>1</c:v>
                </c:pt>
                <c:pt idx="2">
                  <c:v>1</c:v>
                </c:pt>
                <c:pt idx="3">
                  <c:v>0.84</c:v>
                </c:pt>
                <c:pt idx="4">
                  <c:v>0.77777777777777779</c:v>
                </c:pt>
                <c:pt idx="5">
                  <c:v>0.96</c:v>
                </c:pt>
                <c:pt idx="6">
                  <c:v>0.47368421052631576</c:v>
                </c:pt>
                <c:pt idx="7">
                  <c:v>0.79166666666666663</c:v>
                </c:pt>
                <c:pt idx="8">
                  <c:v>0.53846153846153844</c:v>
                </c:pt>
                <c:pt idx="9">
                  <c:v>0.36363636363636365</c:v>
                </c:pt>
                <c:pt idx="10">
                  <c:v>0.31578947368421051</c:v>
                </c:pt>
                <c:pt idx="11">
                  <c:v>0.7857142857142857</c:v>
                </c:pt>
                <c:pt idx="12">
                  <c:v>0.96551724137931039</c:v>
                </c:pt>
                <c:pt idx="13">
                  <c:v>0.90909090909090906</c:v>
                </c:pt>
                <c:pt idx="14">
                  <c:v>0.69444444444444442</c:v>
                </c:pt>
                <c:pt idx="15">
                  <c:v>1</c:v>
                </c:pt>
                <c:pt idx="16">
                  <c:v>0.45454545454545453</c:v>
                </c:pt>
                <c:pt idx="17">
                  <c:v>0.38461538461538464</c:v>
                </c:pt>
                <c:pt idx="18">
                  <c:v>1</c:v>
                </c:pt>
                <c:pt idx="19">
                  <c:v>0.59459459459459463</c:v>
                </c:pt>
                <c:pt idx="20">
                  <c:v>0.92592592592592593</c:v>
                </c:pt>
                <c:pt idx="21">
                  <c:v>1</c:v>
                </c:pt>
                <c:pt idx="22">
                  <c:v>1</c:v>
                </c:pt>
                <c:pt idx="23">
                  <c:v>0.23076923076923078</c:v>
                </c:pt>
                <c:pt idx="24">
                  <c:v>1</c:v>
                </c:pt>
                <c:pt idx="25">
                  <c:v>0.7</c:v>
                </c:pt>
                <c:pt idx="26">
                  <c:v>0.78431372549019607</c:v>
                </c:pt>
                <c:pt idx="27">
                  <c:v>0.85</c:v>
                </c:pt>
                <c:pt idx="28">
                  <c:v>0.44776119402985076</c:v>
                </c:pt>
                <c:pt idx="29">
                  <c:v>1</c:v>
                </c:pt>
                <c:pt idx="30">
                  <c:v>0.76190476190476186</c:v>
                </c:pt>
                <c:pt idx="31">
                  <c:v>1</c:v>
                </c:pt>
                <c:pt idx="32">
                  <c:v>0.375</c:v>
                </c:pt>
                <c:pt idx="33">
                  <c:v>0</c:v>
                </c:pt>
                <c:pt idx="34">
                  <c:v>0.83333333333333337</c:v>
                </c:pt>
                <c:pt idx="35">
                  <c:v>0</c:v>
                </c:pt>
                <c:pt idx="36">
                  <c:v>0.65217391304347827</c:v>
                </c:pt>
                <c:pt idx="37">
                  <c:v>0.33333333333333331</c:v>
                </c:pt>
                <c:pt idx="38">
                  <c:v>0</c:v>
                </c:pt>
                <c:pt idx="39">
                  <c:v>0.19444444444444445</c:v>
                </c:pt>
                <c:pt idx="40">
                  <c:v>0.2</c:v>
                </c:pt>
              </c:numCache>
            </c:numRef>
          </c:val>
          <c:extLst>
            <c:ext xmlns:c16="http://schemas.microsoft.com/office/drawing/2014/chart" uri="{C3380CC4-5D6E-409C-BE32-E72D297353CC}">
              <c16:uniqueId val="{00000002-24DE-408F-BDF6-6CC450291597}"/>
            </c:ext>
          </c:extLst>
        </c:ser>
        <c:ser>
          <c:idx val="3"/>
          <c:order val="3"/>
          <c:tx>
            <c:strRef>
              <c:f>'Figure A1. Transparency Index'!$F$12</c:f>
              <c:strCache>
                <c:ptCount val="1"/>
                <c:pt idx="0">
                  <c:v>Government information on individual items (share)</c:v>
                </c:pt>
              </c:strCache>
            </c:strRef>
          </c:tx>
          <c:spPr>
            <a:solidFill>
              <a:schemeClr val="accent6">
                <a:lumMod val="40000"/>
                <a:lumOff val="60000"/>
              </a:schemeClr>
            </a:solidFill>
            <a:ln>
              <a:solidFill>
                <a:schemeClr val="tx1"/>
              </a:solidFill>
            </a:ln>
            <a:effectLst/>
          </c:spPr>
          <c:invertIfNegative val="0"/>
          <c:cat>
            <c:strRef>
              <c:f>'Figure A1. Transparency Index'!$B$13:$B$53</c:f>
              <c:strCache>
                <c:ptCount val="41"/>
                <c:pt idx="0">
                  <c:v>Switzerland</c:v>
                </c:pt>
                <c:pt idx="1">
                  <c:v>Denmark</c:v>
                </c:pt>
                <c:pt idx="2">
                  <c:v>United States</c:v>
                </c:pt>
                <c:pt idx="3">
                  <c:v>Sweden</c:v>
                </c:pt>
                <c:pt idx="4">
                  <c:v>Netherlands</c:v>
                </c:pt>
                <c:pt idx="5">
                  <c:v>Australia</c:v>
                </c:pt>
                <c:pt idx="6">
                  <c:v>Finland</c:v>
                </c:pt>
                <c:pt idx="7">
                  <c:v>Canada</c:v>
                </c:pt>
                <c:pt idx="8">
                  <c:v>New Zealand</c:v>
                </c:pt>
                <c:pt idx="9">
                  <c:v>Ireland</c:v>
                </c:pt>
                <c:pt idx="10">
                  <c:v>Norway</c:v>
                </c:pt>
                <c:pt idx="11">
                  <c:v>Estonia</c:v>
                </c:pt>
                <c:pt idx="12">
                  <c:v>Germany</c:v>
                </c:pt>
                <c:pt idx="13">
                  <c:v>EU (Commission and Council)</c:v>
                </c:pt>
                <c:pt idx="14">
                  <c:v>Lithuania</c:v>
                </c:pt>
                <c:pt idx="15">
                  <c:v>Malta</c:v>
                </c:pt>
                <c:pt idx="16">
                  <c:v>Japan</c:v>
                </c:pt>
                <c:pt idx="17">
                  <c:v>Austria</c:v>
                </c:pt>
                <c:pt idx="18">
                  <c:v>Belgium</c:v>
                </c:pt>
                <c:pt idx="19">
                  <c:v>United Kingdom</c:v>
                </c:pt>
                <c:pt idx="20">
                  <c:v>Luxembourg</c:v>
                </c:pt>
                <c:pt idx="21">
                  <c:v>Cyprus</c:v>
                </c:pt>
                <c:pt idx="22">
                  <c:v>South Korea</c:v>
                </c:pt>
                <c:pt idx="23">
                  <c:v>Italy</c:v>
                </c:pt>
                <c:pt idx="24">
                  <c:v>Croatia</c:v>
                </c:pt>
                <c:pt idx="25">
                  <c:v>Bulgaria</c:v>
                </c:pt>
                <c:pt idx="26">
                  <c:v>Czech Republic</c:v>
                </c:pt>
                <c:pt idx="27">
                  <c:v>Latvia</c:v>
                </c:pt>
                <c:pt idx="28">
                  <c:v>France</c:v>
                </c:pt>
                <c:pt idx="29">
                  <c:v>Taiwan</c:v>
                </c:pt>
                <c:pt idx="30">
                  <c:v>Slovakia</c:v>
                </c:pt>
                <c:pt idx="31">
                  <c:v>China</c:v>
                </c:pt>
                <c:pt idx="32">
                  <c:v>Hungary</c:v>
                </c:pt>
                <c:pt idx="33">
                  <c:v>India</c:v>
                </c:pt>
                <c:pt idx="34">
                  <c:v>Slovenia</c:v>
                </c:pt>
                <c:pt idx="35">
                  <c:v>Turkey</c:v>
                </c:pt>
                <c:pt idx="36">
                  <c:v>Poland</c:v>
                </c:pt>
                <c:pt idx="37">
                  <c:v>Romania</c:v>
                </c:pt>
                <c:pt idx="38">
                  <c:v>Greece</c:v>
                </c:pt>
                <c:pt idx="39">
                  <c:v>Spain</c:v>
                </c:pt>
                <c:pt idx="40">
                  <c:v>Portugal</c:v>
                </c:pt>
              </c:strCache>
            </c:strRef>
          </c:cat>
          <c:val>
            <c:numRef>
              <c:f>'Figure A1. Transparency Index'!$F$13:$F$53</c:f>
              <c:numCache>
                <c:formatCode>0.00</c:formatCode>
                <c:ptCount val="41"/>
                <c:pt idx="0">
                  <c:v>1</c:v>
                </c:pt>
                <c:pt idx="1">
                  <c:v>1</c:v>
                </c:pt>
                <c:pt idx="2">
                  <c:v>1</c:v>
                </c:pt>
                <c:pt idx="3">
                  <c:v>0.96</c:v>
                </c:pt>
                <c:pt idx="4">
                  <c:v>0.86111111111111116</c:v>
                </c:pt>
                <c:pt idx="5">
                  <c:v>1</c:v>
                </c:pt>
                <c:pt idx="6">
                  <c:v>0.94736842105263153</c:v>
                </c:pt>
                <c:pt idx="7">
                  <c:v>0.9375</c:v>
                </c:pt>
                <c:pt idx="8">
                  <c:v>0.92307692307692313</c:v>
                </c:pt>
                <c:pt idx="9">
                  <c:v>0.72727272727272729</c:v>
                </c:pt>
                <c:pt idx="10">
                  <c:v>1</c:v>
                </c:pt>
                <c:pt idx="11">
                  <c:v>0.97619047619047616</c:v>
                </c:pt>
                <c:pt idx="12">
                  <c:v>0.97241379310344822</c:v>
                </c:pt>
                <c:pt idx="13">
                  <c:v>0.90909090909090906</c:v>
                </c:pt>
                <c:pt idx="14">
                  <c:v>0.69444444444444442</c:v>
                </c:pt>
                <c:pt idx="15">
                  <c:v>0.5</c:v>
                </c:pt>
                <c:pt idx="16">
                  <c:v>0.68181818181818177</c:v>
                </c:pt>
                <c:pt idx="17">
                  <c:v>1</c:v>
                </c:pt>
                <c:pt idx="18">
                  <c:v>0.75</c:v>
                </c:pt>
                <c:pt idx="19">
                  <c:v>0.82432432432432434</c:v>
                </c:pt>
                <c:pt idx="20">
                  <c:v>1</c:v>
                </c:pt>
                <c:pt idx="21">
                  <c:v>0.875</c:v>
                </c:pt>
                <c:pt idx="22">
                  <c:v>0.36363636363636365</c:v>
                </c:pt>
                <c:pt idx="23">
                  <c:v>0.73076923076923073</c:v>
                </c:pt>
                <c:pt idx="24">
                  <c:v>0.83333333333333337</c:v>
                </c:pt>
                <c:pt idx="25">
                  <c:v>0.6</c:v>
                </c:pt>
                <c:pt idx="26">
                  <c:v>0.45098039215686275</c:v>
                </c:pt>
                <c:pt idx="27">
                  <c:v>0.95</c:v>
                </c:pt>
                <c:pt idx="28">
                  <c:v>0.88059701492537312</c:v>
                </c:pt>
                <c:pt idx="29">
                  <c:v>0.1111111111111111</c:v>
                </c:pt>
                <c:pt idx="30">
                  <c:v>0.5714285714285714</c:v>
                </c:pt>
                <c:pt idx="31">
                  <c:v>0</c:v>
                </c:pt>
                <c:pt idx="32">
                  <c:v>0.625</c:v>
                </c:pt>
                <c:pt idx="33">
                  <c:v>1</c:v>
                </c:pt>
                <c:pt idx="34">
                  <c:v>0.58333333333333337</c:v>
                </c:pt>
                <c:pt idx="35">
                  <c:v>0.77777777777777779</c:v>
                </c:pt>
                <c:pt idx="36">
                  <c:v>0.43478260869565216</c:v>
                </c:pt>
                <c:pt idx="37">
                  <c:v>0.77777777777777779</c:v>
                </c:pt>
                <c:pt idx="38">
                  <c:v>0.53333333333333333</c:v>
                </c:pt>
                <c:pt idx="39">
                  <c:v>0.52777777777777779</c:v>
                </c:pt>
                <c:pt idx="40">
                  <c:v>0.55000000000000004</c:v>
                </c:pt>
              </c:numCache>
            </c:numRef>
          </c:val>
          <c:extLst>
            <c:ext xmlns:c16="http://schemas.microsoft.com/office/drawing/2014/chart" uri="{C3380CC4-5D6E-409C-BE32-E72D297353CC}">
              <c16:uniqueId val="{00000003-24DE-408F-BDF6-6CC450291597}"/>
            </c:ext>
          </c:extLst>
        </c:ser>
        <c:ser>
          <c:idx val="4"/>
          <c:order val="4"/>
          <c:tx>
            <c:strRef>
              <c:f>'Figure A1. Transparency Index'!$G$12</c:f>
              <c:strCache>
                <c:ptCount val="1"/>
                <c:pt idx="0">
                  <c:v>Numbers of military items known (share)</c:v>
                </c:pt>
              </c:strCache>
            </c:strRef>
          </c:tx>
          <c:spPr>
            <a:solidFill>
              <a:schemeClr val="accent6">
                <a:lumMod val="20000"/>
                <a:lumOff val="80000"/>
              </a:schemeClr>
            </a:solidFill>
            <a:ln>
              <a:solidFill>
                <a:srgbClr val="000000"/>
              </a:solidFill>
              <a:prstDash val="solid"/>
            </a:ln>
            <a:effectLst/>
          </c:spPr>
          <c:invertIfNegative val="0"/>
          <c:cat>
            <c:strRef>
              <c:f>'Figure A1. Transparency Index'!$B$13:$B$53</c:f>
              <c:strCache>
                <c:ptCount val="41"/>
                <c:pt idx="0">
                  <c:v>Switzerland</c:v>
                </c:pt>
                <c:pt idx="1">
                  <c:v>Denmark</c:v>
                </c:pt>
                <c:pt idx="2">
                  <c:v>United States</c:v>
                </c:pt>
                <c:pt idx="3">
                  <c:v>Sweden</c:v>
                </c:pt>
                <c:pt idx="4">
                  <c:v>Netherlands</c:v>
                </c:pt>
                <c:pt idx="5">
                  <c:v>Australia</c:v>
                </c:pt>
                <c:pt idx="6">
                  <c:v>Finland</c:v>
                </c:pt>
                <c:pt idx="7">
                  <c:v>Canada</c:v>
                </c:pt>
                <c:pt idx="8">
                  <c:v>New Zealand</c:v>
                </c:pt>
                <c:pt idx="9">
                  <c:v>Ireland</c:v>
                </c:pt>
                <c:pt idx="10">
                  <c:v>Norway</c:v>
                </c:pt>
                <c:pt idx="11">
                  <c:v>Estonia</c:v>
                </c:pt>
                <c:pt idx="12">
                  <c:v>Germany</c:v>
                </c:pt>
                <c:pt idx="13">
                  <c:v>EU (Commission and Council)</c:v>
                </c:pt>
                <c:pt idx="14">
                  <c:v>Lithuania</c:v>
                </c:pt>
                <c:pt idx="15">
                  <c:v>Malta</c:v>
                </c:pt>
                <c:pt idx="16">
                  <c:v>Japan</c:v>
                </c:pt>
                <c:pt idx="17">
                  <c:v>Austria</c:v>
                </c:pt>
                <c:pt idx="18">
                  <c:v>Belgium</c:v>
                </c:pt>
                <c:pt idx="19">
                  <c:v>United Kingdom</c:v>
                </c:pt>
                <c:pt idx="20">
                  <c:v>Luxembourg</c:v>
                </c:pt>
                <c:pt idx="21">
                  <c:v>Cyprus</c:v>
                </c:pt>
                <c:pt idx="22">
                  <c:v>South Korea</c:v>
                </c:pt>
                <c:pt idx="23">
                  <c:v>Italy</c:v>
                </c:pt>
                <c:pt idx="24">
                  <c:v>Croatia</c:v>
                </c:pt>
                <c:pt idx="25">
                  <c:v>Bulgaria</c:v>
                </c:pt>
                <c:pt idx="26">
                  <c:v>Czech Republic</c:v>
                </c:pt>
                <c:pt idx="27">
                  <c:v>Latvia</c:v>
                </c:pt>
                <c:pt idx="28">
                  <c:v>France</c:v>
                </c:pt>
                <c:pt idx="29">
                  <c:v>Taiwan</c:v>
                </c:pt>
                <c:pt idx="30">
                  <c:v>Slovakia</c:v>
                </c:pt>
                <c:pt idx="31">
                  <c:v>China</c:v>
                </c:pt>
                <c:pt idx="32">
                  <c:v>Hungary</c:v>
                </c:pt>
                <c:pt idx="33">
                  <c:v>India</c:v>
                </c:pt>
                <c:pt idx="34">
                  <c:v>Slovenia</c:v>
                </c:pt>
                <c:pt idx="35">
                  <c:v>Turkey</c:v>
                </c:pt>
                <c:pt idx="36">
                  <c:v>Poland</c:v>
                </c:pt>
                <c:pt idx="37">
                  <c:v>Romania</c:v>
                </c:pt>
                <c:pt idx="38">
                  <c:v>Greece</c:v>
                </c:pt>
                <c:pt idx="39">
                  <c:v>Spain</c:v>
                </c:pt>
                <c:pt idx="40">
                  <c:v>Portugal</c:v>
                </c:pt>
              </c:strCache>
            </c:strRef>
          </c:cat>
          <c:val>
            <c:numRef>
              <c:f>'Figure A1. Transparency Index'!$G$13:$G$53</c:f>
              <c:numCache>
                <c:formatCode>0.00</c:formatCode>
                <c:ptCount val="41"/>
                <c:pt idx="0">
                  <c:v>1</c:v>
                </c:pt>
                <c:pt idx="1">
                  <c:v>0.6875</c:v>
                </c:pt>
                <c:pt idx="2">
                  <c:v>0.61414790996784574</c:v>
                </c:pt>
                <c:pt idx="3">
                  <c:v>0.72727272727272729</c:v>
                </c:pt>
                <c:pt idx="4">
                  <c:v>0.82608695652173914</c:v>
                </c:pt>
                <c:pt idx="5">
                  <c:v>0.5</c:v>
                </c:pt>
                <c:pt idx="6">
                  <c:v>1</c:v>
                </c:pt>
                <c:pt idx="7">
                  <c:v>0.59375</c:v>
                </c:pt>
                <c:pt idx="8">
                  <c:v>0.85714285714285721</c:v>
                </c:pt>
                <c:pt idx="9">
                  <c:v>1</c:v>
                </c:pt>
                <c:pt idx="10">
                  <c:v>0.61538461538461542</c:v>
                </c:pt>
                <c:pt idx="11">
                  <c:v>0.13888888888888884</c:v>
                </c:pt>
                <c:pt idx="12">
                  <c:v>0.89312977099236646</c:v>
                </c:pt>
                <c:pt idx="13">
                  <c:v>1</c:v>
                </c:pt>
                <c:pt idx="14">
                  <c:v>0.39130434782608692</c:v>
                </c:pt>
                <c:pt idx="15">
                  <c:v>1</c:v>
                </c:pt>
                <c:pt idx="16">
                  <c:v>0.25</c:v>
                </c:pt>
                <c:pt idx="17">
                  <c:v>1</c:v>
                </c:pt>
                <c:pt idx="18">
                  <c:v>0.4</c:v>
                </c:pt>
                <c:pt idx="19">
                  <c:v>0.70175438596491224</c:v>
                </c:pt>
                <c:pt idx="20">
                  <c:v>1</c:v>
                </c:pt>
                <c:pt idx="21">
                  <c:v>1</c:v>
                </c:pt>
                <c:pt idx="22">
                  <c:v>0.33333333333333337</c:v>
                </c:pt>
                <c:pt idx="23">
                  <c:v>0.69230769230769229</c:v>
                </c:pt>
                <c:pt idx="24">
                  <c:v>0.5</c:v>
                </c:pt>
                <c:pt idx="25">
                  <c:v>1</c:v>
                </c:pt>
                <c:pt idx="26">
                  <c:v>0.97499999999999998</c:v>
                </c:pt>
                <c:pt idx="27">
                  <c:v>0.4</c:v>
                </c:pt>
                <c:pt idx="28">
                  <c:v>0.7857142857142857</c:v>
                </c:pt>
                <c:pt idx="29">
                  <c:v>1</c:v>
                </c:pt>
                <c:pt idx="30">
                  <c:v>0.66666666666666674</c:v>
                </c:pt>
                <c:pt idx="31">
                  <c:v>1</c:v>
                </c:pt>
                <c:pt idx="32">
                  <c:v>1</c:v>
                </c:pt>
                <c:pt idx="33">
                  <c:v>1</c:v>
                </c:pt>
                <c:pt idx="34">
                  <c:v>0.4</c:v>
                </c:pt>
                <c:pt idx="35">
                  <c:v>1</c:v>
                </c:pt>
                <c:pt idx="36">
                  <c:v>0.6875</c:v>
                </c:pt>
                <c:pt idx="37">
                  <c:v>0.5</c:v>
                </c:pt>
                <c:pt idx="38">
                  <c:v>1</c:v>
                </c:pt>
                <c:pt idx="39">
                  <c:v>0.73076923076923084</c:v>
                </c:pt>
                <c:pt idx="40">
                  <c:v>0.46153846153846156</c:v>
                </c:pt>
              </c:numCache>
            </c:numRef>
          </c:val>
          <c:extLst>
            <c:ext xmlns:c16="http://schemas.microsoft.com/office/drawing/2014/chart" uri="{C3380CC4-5D6E-409C-BE32-E72D297353CC}">
              <c16:uniqueId val="{00000004-24DE-408F-BDF6-6CC450291597}"/>
            </c:ext>
          </c:extLst>
        </c:ser>
        <c:dLbls>
          <c:showLegendKey val="0"/>
          <c:showVal val="0"/>
          <c:showCatName val="0"/>
          <c:showSerName val="0"/>
          <c:showPercent val="0"/>
          <c:showBubbleSize val="0"/>
        </c:dLbls>
        <c:gapWidth val="7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0"/>
      </c:catAx>
      <c:valAx>
        <c:axId val="450486607"/>
        <c:scaling>
          <c:orientation val="minMax"/>
          <c:max val="5"/>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max"/>
        <c:crossBetween val="between"/>
        <c:minorUnit val="0.5"/>
      </c:valAx>
      <c:spPr>
        <a:noFill/>
        <a:ln>
          <a:noFill/>
        </a:ln>
        <a:effectLst/>
      </c:spPr>
    </c:plotArea>
    <c:legend>
      <c:legendPos val="r"/>
      <c:layout>
        <c:manualLayout>
          <c:xMode val="edge"/>
          <c:yMode val="edge"/>
          <c:x val="0.52794856630824372"/>
          <c:y val="0.7031899074074075"/>
          <c:w val="0.45272087813620082"/>
          <c:h val="0.21723018518518519"/>
        </c:manualLayout>
      </c:layout>
      <c:overlay val="0"/>
      <c:spPr>
        <a:solidFill>
          <a:srgbClr val="FFFFFF"/>
        </a:solid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567436993400062"/>
          <c:y val="1.0674297941238312E-2"/>
          <c:w val="0.821398012502082"/>
          <c:h val="0.94825241232928181"/>
        </c:manualLayout>
      </c:layout>
      <c:barChart>
        <c:barDir val="bar"/>
        <c:grouping val="stacked"/>
        <c:varyColors val="0"/>
        <c:ser>
          <c:idx val="0"/>
          <c:order val="0"/>
          <c:tx>
            <c:strRef>
              <c:f>'Figure A2.  Ranking % GDP + EU'!$C$11</c:f>
              <c:strCache>
                <c:ptCount val="1"/>
                <c:pt idx="0">
                  <c:v>Total bilateral commitments</c:v>
                </c:pt>
              </c:strCache>
            </c:strRef>
          </c:tx>
          <c:spPr>
            <a:solidFill>
              <a:schemeClr val="accent5">
                <a:lumMod val="75000"/>
              </a:schemeClr>
            </a:solidFill>
            <a:ln>
              <a:solidFill>
                <a:srgbClr val="000000"/>
              </a:solidFill>
              <a:prstDash val="solid"/>
            </a:ln>
            <a:effectLst/>
          </c:spPr>
          <c:invertIfNegative val="0"/>
          <c:cat>
            <c:strRef>
              <c:f>'Figure A2.  Ranking % GDP + EU'!$B$12:$B$51</c:f>
              <c:strCache>
                <c:ptCount val="40"/>
                <c:pt idx="0">
                  <c:v>Estonia</c:v>
                </c:pt>
                <c:pt idx="1">
                  <c:v>Latvia</c:v>
                </c:pt>
                <c:pt idx="2">
                  <c:v>Poland</c:v>
                </c:pt>
                <c:pt idx="3">
                  <c:v>Lithuania</c:v>
                </c:pt>
                <c:pt idx="4">
                  <c:v>Bulgaria</c:v>
                </c:pt>
                <c:pt idx="5">
                  <c:v>Slovakia</c:v>
                </c:pt>
                <c:pt idx="6">
                  <c:v>Denmark</c:v>
                </c:pt>
                <c:pt idx="7">
                  <c:v>Netherlands</c:v>
                </c:pt>
                <c:pt idx="8">
                  <c:v>Czech Republic</c:v>
                </c:pt>
                <c:pt idx="9">
                  <c:v>Portugal</c:v>
                </c:pt>
                <c:pt idx="10">
                  <c:v>Austria</c:v>
                </c:pt>
                <c:pt idx="11">
                  <c:v>Sweden</c:v>
                </c:pt>
                <c:pt idx="12">
                  <c:v>Greece</c:v>
                </c:pt>
                <c:pt idx="13">
                  <c:v>United States</c:v>
                </c:pt>
                <c:pt idx="14">
                  <c:v>Slovenia</c:v>
                </c:pt>
                <c:pt idx="15">
                  <c:v>Germany</c:v>
                </c:pt>
                <c:pt idx="16">
                  <c:v>Finland</c:v>
                </c:pt>
                <c:pt idx="17">
                  <c:v>Spain</c:v>
                </c:pt>
                <c:pt idx="18">
                  <c:v>Norway</c:v>
                </c:pt>
                <c:pt idx="19">
                  <c:v>United Kingdom</c:v>
                </c:pt>
                <c:pt idx="20">
                  <c:v>Croatia</c:v>
                </c:pt>
                <c:pt idx="21">
                  <c:v>France</c:v>
                </c:pt>
                <c:pt idx="22">
                  <c:v>Hungary</c:v>
                </c:pt>
                <c:pt idx="23">
                  <c:v>Italy</c:v>
                </c:pt>
                <c:pt idx="24">
                  <c:v>Belgium</c:v>
                </c:pt>
                <c:pt idx="25">
                  <c:v>Luxembourg</c:v>
                </c:pt>
                <c:pt idx="26">
                  <c:v>Canada</c:v>
                </c:pt>
                <c:pt idx="27">
                  <c:v>Cyprus</c:v>
                </c:pt>
                <c:pt idx="28">
                  <c:v>Romania</c:v>
                </c:pt>
                <c:pt idx="29">
                  <c:v>Malta</c:v>
                </c:pt>
                <c:pt idx="30">
                  <c:v>Ireland</c:v>
                </c:pt>
                <c:pt idx="31">
                  <c:v>Australia</c:v>
                </c:pt>
                <c:pt idx="32">
                  <c:v>Switzerland</c:v>
                </c:pt>
                <c:pt idx="33">
                  <c:v>Japan</c:v>
                </c:pt>
                <c:pt idx="34">
                  <c:v>Taiwan</c:v>
                </c:pt>
                <c:pt idx="35">
                  <c:v>New Zealand</c:v>
                </c:pt>
                <c:pt idx="36">
                  <c:v>Turkey</c:v>
                </c:pt>
                <c:pt idx="37">
                  <c:v>South Korea</c:v>
                </c:pt>
                <c:pt idx="38">
                  <c:v>India</c:v>
                </c:pt>
                <c:pt idx="39">
                  <c:v>China</c:v>
                </c:pt>
              </c:strCache>
            </c:strRef>
          </c:cat>
          <c:val>
            <c:numRef>
              <c:f>'Figure A2.  Ranking % GDP + EU'!$C$12:$C$51</c:f>
              <c:numCache>
                <c:formatCode>0.00</c:formatCode>
                <c:ptCount val="40"/>
                <c:pt idx="0">
                  <c:v>1.0714702516680921</c:v>
                </c:pt>
                <c:pt idx="1">
                  <c:v>0.97530930817809547</c:v>
                </c:pt>
                <c:pt idx="2">
                  <c:v>0.62629240486194215</c:v>
                </c:pt>
                <c:pt idx="3">
                  <c:v>0.65175917502903802</c:v>
                </c:pt>
                <c:pt idx="4">
                  <c:v>0.36056136389535975</c:v>
                </c:pt>
                <c:pt idx="5">
                  <c:v>0.22369549234134833</c:v>
                </c:pt>
                <c:pt idx="6">
                  <c:v>0.2122186724732939</c:v>
                </c:pt>
                <c:pt idx="7">
                  <c:v>0.16304488604120476</c:v>
                </c:pt>
                <c:pt idx="8">
                  <c:v>0.24401173304736024</c:v>
                </c:pt>
                <c:pt idx="9">
                  <c:v>0.21250619097011536</c:v>
                </c:pt>
                <c:pt idx="10">
                  <c:v>0.15156942553252337</c:v>
                </c:pt>
                <c:pt idx="11">
                  <c:v>0.1560201905102156</c:v>
                </c:pt>
                <c:pt idx="12">
                  <c:v>0.10158985634034334</c:v>
                </c:pt>
                <c:pt idx="13">
                  <c:v>0.36670361752930236</c:v>
                </c:pt>
                <c:pt idx="14">
                  <c:v>0.12092412980552034</c:v>
                </c:pt>
                <c:pt idx="15">
                  <c:v>0.16791640519043149</c:v>
                </c:pt>
                <c:pt idx="16">
                  <c:v>0.13218725299739614</c:v>
                </c:pt>
                <c:pt idx="17">
                  <c:v>3.1743111359855275E-2</c:v>
                </c:pt>
                <c:pt idx="18">
                  <c:v>0.35881458597507954</c:v>
                </c:pt>
                <c:pt idx="19">
                  <c:v>0.31603739506644191</c:v>
                </c:pt>
                <c:pt idx="20">
                  <c:v>4.751612804745621E-2</c:v>
                </c:pt>
                <c:pt idx="21">
                  <c:v>6.6849255151842313E-2</c:v>
                </c:pt>
                <c:pt idx="22">
                  <c:v>3.1865036188883679E-2</c:v>
                </c:pt>
                <c:pt idx="23">
                  <c:v>5.6879145193287982E-2</c:v>
                </c:pt>
                <c:pt idx="24">
                  <c:v>4.9236359339854457E-2</c:v>
                </c:pt>
                <c:pt idx="25">
                  <c:v>0.11308310906433033</c:v>
                </c:pt>
                <c:pt idx="26">
                  <c:v>0.25632117619333006</c:v>
                </c:pt>
                <c:pt idx="27">
                  <c:v>1.2798296810786326E-2</c:v>
                </c:pt>
                <c:pt idx="28">
                  <c:v>4.5117974874776083E-3</c:v>
                </c:pt>
                <c:pt idx="29">
                  <c:v>1.2186479766347293E-2</c:v>
                </c:pt>
                <c:pt idx="30">
                  <c:v>1.6901668275066981E-2</c:v>
                </c:pt>
                <c:pt idx="31">
                  <c:v>3.3783675894588923E-2</c:v>
                </c:pt>
                <c:pt idx="32">
                  <c:v>3.3774324203310994E-2</c:v>
                </c:pt>
                <c:pt idx="33">
                  <c:v>2.1834816145528613E-2</c:v>
                </c:pt>
                <c:pt idx="34">
                  <c:v>1.1189738764522157E-2</c:v>
                </c:pt>
                <c:pt idx="35">
                  <c:v>1.033595062238561E-2</c:v>
                </c:pt>
                <c:pt idx="36">
                  <c:v>8.9827208669556458E-3</c:v>
                </c:pt>
                <c:pt idx="37">
                  <c:v>6.323967606692558E-3</c:v>
                </c:pt>
                <c:pt idx="38">
                  <c:v>7.3198138435895518E-5</c:v>
                </c:pt>
                <c:pt idx="39">
                  <c:v>1.4848696966057873E-5</c:v>
                </c:pt>
              </c:numCache>
            </c:numRef>
          </c:val>
          <c:extLst>
            <c:ext xmlns:c16="http://schemas.microsoft.com/office/drawing/2014/chart" uri="{C3380CC4-5D6E-409C-BE32-E72D297353CC}">
              <c16:uniqueId val="{00000001-D943-4AE8-8D06-4F0FEAED122E}"/>
            </c:ext>
          </c:extLst>
        </c:ser>
        <c:ser>
          <c:idx val="1"/>
          <c:order val="1"/>
          <c:tx>
            <c:strRef>
              <c:f>'Figure A2.  Ranking % GDP + EU'!$D$11</c:f>
              <c:strCache>
                <c:ptCount val="1"/>
                <c:pt idx="0">
                  <c:v>Share of EU commitments (includes Commission and Council, EPF and EIB)</c:v>
                </c:pt>
              </c:strCache>
            </c:strRef>
          </c:tx>
          <c:spPr>
            <a:solidFill>
              <a:schemeClr val="accent2"/>
            </a:solidFill>
            <a:ln>
              <a:solidFill>
                <a:srgbClr val="000000"/>
              </a:solidFill>
              <a:prstDash val="solid"/>
            </a:ln>
            <a:effectLst/>
          </c:spPr>
          <c:invertIfNegative val="0"/>
          <c:cat>
            <c:strRef>
              <c:f>'Figure A2.  Ranking % GDP + EU'!$B$12:$B$51</c:f>
              <c:strCache>
                <c:ptCount val="40"/>
                <c:pt idx="0">
                  <c:v>Estonia</c:v>
                </c:pt>
                <c:pt idx="1">
                  <c:v>Latvia</c:v>
                </c:pt>
                <c:pt idx="2">
                  <c:v>Poland</c:v>
                </c:pt>
                <c:pt idx="3">
                  <c:v>Lithuania</c:v>
                </c:pt>
                <c:pt idx="4">
                  <c:v>Bulgaria</c:v>
                </c:pt>
                <c:pt idx="5">
                  <c:v>Slovakia</c:v>
                </c:pt>
                <c:pt idx="6">
                  <c:v>Denmark</c:v>
                </c:pt>
                <c:pt idx="7">
                  <c:v>Netherlands</c:v>
                </c:pt>
                <c:pt idx="8">
                  <c:v>Czech Republic</c:v>
                </c:pt>
                <c:pt idx="9">
                  <c:v>Portugal</c:v>
                </c:pt>
                <c:pt idx="10">
                  <c:v>Austria</c:v>
                </c:pt>
                <c:pt idx="11">
                  <c:v>Sweden</c:v>
                </c:pt>
                <c:pt idx="12">
                  <c:v>Greece</c:v>
                </c:pt>
                <c:pt idx="13">
                  <c:v>United States</c:v>
                </c:pt>
                <c:pt idx="14">
                  <c:v>Slovenia</c:v>
                </c:pt>
                <c:pt idx="15">
                  <c:v>Germany</c:v>
                </c:pt>
                <c:pt idx="16">
                  <c:v>Finland</c:v>
                </c:pt>
                <c:pt idx="17">
                  <c:v>Spain</c:v>
                </c:pt>
                <c:pt idx="18">
                  <c:v>Norway</c:v>
                </c:pt>
                <c:pt idx="19">
                  <c:v>United Kingdom</c:v>
                </c:pt>
                <c:pt idx="20">
                  <c:v>Croatia</c:v>
                </c:pt>
                <c:pt idx="21">
                  <c:v>France</c:v>
                </c:pt>
                <c:pt idx="22">
                  <c:v>Hungary</c:v>
                </c:pt>
                <c:pt idx="23">
                  <c:v>Italy</c:v>
                </c:pt>
                <c:pt idx="24">
                  <c:v>Belgium</c:v>
                </c:pt>
                <c:pt idx="25">
                  <c:v>Luxembourg</c:v>
                </c:pt>
                <c:pt idx="26">
                  <c:v>Canada</c:v>
                </c:pt>
                <c:pt idx="27">
                  <c:v>Cyprus</c:v>
                </c:pt>
                <c:pt idx="28">
                  <c:v>Romania</c:v>
                </c:pt>
                <c:pt idx="29">
                  <c:v>Malta</c:v>
                </c:pt>
                <c:pt idx="30">
                  <c:v>Ireland</c:v>
                </c:pt>
                <c:pt idx="31">
                  <c:v>Australia</c:v>
                </c:pt>
                <c:pt idx="32">
                  <c:v>Switzerland</c:v>
                </c:pt>
                <c:pt idx="33">
                  <c:v>Japan</c:v>
                </c:pt>
                <c:pt idx="34">
                  <c:v>Taiwan</c:v>
                </c:pt>
                <c:pt idx="35">
                  <c:v>New Zealand</c:v>
                </c:pt>
                <c:pt idx="36">
                  <c:v>Turkey</c:v>
                </c:pt>
                <c:pt idx="37">
                  <c:v>South Korea</c:v>
                </c:pt>
                <c:pt idx="38">
                  <c:v>India</c:v>
                </c:pt>
                <c:pt idx="39">
                  <c:v>China</c:v>
                </c:pt>
              </c:strCache>
            </c:strRef>
          </c:cat>
          <c:val>
            <c:numRef>
              <c:f>'Figure A2.  Ranking % GDP + EU'!$D$12:$D$51</c:f>
              <c:numCache>
                <c:formatCode>0.00</c:formatCode>
                <c:ptCount val="40"/>
                <c:pt idx="0">
                  <c:v>0.23106711849871622</c:v>
                </c:pt>
                <c:pt idx="1">
                  <c:v>0.21813826848953735</c:v>
                </c:pt>
                <c:pt idx="2">
                  <c:v>0.25681325336297217</c:v>
                </c:pt>
                <c:pt idx="3">
                  <c:v>0.20849774929901219</c:v>
                </c:pt>
                <c:pt idx="4">
                  <c:v>0.30850272607156165</c:v>
                </c:pt>
                <c:pt idx="5">
                  <c:v>0.30426408224138396</c:v>
                </c:pt>
                <c:pt idx="6">
                  <c:v>0.2614546729905553</c:v>
                </c:pt>
                <c:pt idx="7">
                  <c:v>0.30408420273971132</c:v>
                </c:pt>
                <c:pt idx="8">
                  <c:v>0.2159708895866066</c:v>
                </c:pt>
                <c:pt idx="9">
                  <c:v>0.22820961948992199</c:v>
                </c:pt>
                <c:pt idx="10">
                  <c:v>0.24613713349178065</c:v>
                </c:pt>
                <c:pt idx="11">
                  <c:v>0.22913143515945184</c:v>
                </c:pt>
                <c:pt idx="12">
                  <c:v>0.27636155913822197</c:v>
                </c:pt>
                <c:pt idx="13">
                  <c:v>0</c:v>
                </c:pt>
                <c:pt idx="14">
                  <c:v>0.24305855892359984</c:v>
                </c:pt>
                <c:pt idx="15">
                  <c:v>0.19599789279104377</c:v>
                </c:pt>
                <c:pt idx="16">
                  <c:v>0.23161638274785495</c:v>
                </c:pt>
                <c:pt idx="17">
                  <c:v>0.33093631258771833</c:v>
                </c:pt>
                <c:pt idx="18">
                  <c:v>0</c:v>
                </c:pt>
                <c:pt idx="19">
                  <c:v>0</c:v>
                </c:pt>
                <c:pt idx="20">
                  <c:v>0.26758588416939416</c:v>
                </c:pt>
                <c:pt idx="21">
                  <c:v>0.23883021799068327</c:v>
                </c:pt>
                <c:pt idx="22">
                  <c:v>0.27100087153601654</c:v>
                </c:pt>
                <c:pt idx="23">
                  <c:v>0.24564180977078928</c:v>
                </c:pt>
                <c:pt idx="24">
                  <c:v>0.25261415241110075</c:v>
                </c:pt>
                <c:pt idx="25">
                  <c:v>0.15563589871911321</c:v>
                </c:pt>
                <c:pt idx="26">
                  <c:v>0</c:v>
                </c:pt>
                <c:pt idx="27">
                  <c:v>0.23160702676227576</c:v>
                </c:pt>
                <c:pt idx="28">
                  <c:v>0.23569846946103734</c:v>
                </c:pt>
                <c:pt idx="29">
                  <c:v>0.20506521629879182</c:v>
                </c:pt>
                <c:pt idx="30">
                  <c:v>0.16832675507869263</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3-D943-4AE8-8D06-4F0FEAED122E}"/>
            </c:ext>
          </c:extLst>
        </c:ser>
        <c:dLbls>
          <c:showLegendKey val="0"/>
          <c:showVal val="0"/>
          <c:showCatName val="0"/>
          <c:showSerName val="0"/>
          <c:showPercent val="0"/>
          <c:showBubbleSize val="0"/>
        </c:dLbls>
        <c:gapWidth val="85"/>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max"/>
        <c:crossBetween val="between"/>
      </c:valAx>
      <c:spPr>
        <a:noFill/>
        <a:ln>
          <a:noFill/>
        </a:ln>
        <a:effectLst/>
      </c:spPr>
    </c:plotArea>
    <c:legend>
      <c:legendPos val="r"/>
      <c:layout>
        <c:manualLayout>
          <c:xMode val="edge"/>
          <c:yMode val="edge"/>
          <c:x val="0.48788277777777778"/>
          <c:y val="0.40434166666666665"/>
          <c:w val="0.35219129629629625"/>
          <c:h val="0.1549364583333333"/>
        </c:manualLayout>
      </c:layout>
      <c:overlay val="1"/>
      <c:spPr>
        <a:solidFill>
          <a:sysClr val="window" lastClr="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75776083460296"/>
          <c:y val="1.2458761997815967E-2"/>
          <c:w val="0.83620091743863123"/>
          <c:h val="0.95575349157997591"/>
        </c:manualLayout>
      </c:layout>
      <c:barChart>
        <c:barDir val="bar"/>
        <c:grouping val="stacked"/>
        <c:varyColors val="0"/>
        <c:ser>
          <c:idx val="0"/>
          <c:order val="0"/>
          <c:tx>
            <c:strRef>
              <c:f>'Fig 4. Ranking (€)'!$C$11</c:f>
              <c:strCache>
                <c:ptCount val="1"/>
                <c:pt idx="0">
                  <c:v>Financial</c:v>
                </c:pt>
              </c:strCache>
            </c:strRef>
          </c:tx>
          <c:spPr>
            <a:solidFill>
              <a:srgbClr val="0070C0"/>
            </a:solidFill>
            <a:ln>
              <a:solidFill>
                <a:schemeClr val="tx1"/>
              </a:solidFill>
            </a:ln>
            <a:effectLst/>
          </c:spPr>
          <c:invertIfNegative val="0"/>
          <c:cat>
            <c:strRef>
              <c:f>'Fig 4. Ranking (€)'!$B$12:$B$52</c:f>
              <c:strCache>
                <c:ptCount val="41"/>
                <c:pt idx="0">
                  <c:v>United States</c:v>
                </c:pt>
                <c:pt idx="1">
                  <c:v>EU Institutions</c:v>
                </c:pt>
                <c:pt idx="2">
                  <c:v>United Kingdom</c:v>
                </c:pt>
                <c:pt idx="3">
                  <c:v>Germany</c:v>
                </c:pt>
                <c:pt idx="4">
                  <c:v>Canada</c:v>
                </c:pt>
                <c:pt idx="5">
                  <c:v>Poland</c:v>
                </c:pt>
                <c:pt idx="6">
                  <c:v>France</c:v>
                </c:pt>
                <c:pt idx="7">
                  <c:v>Netherlands</c:v>
                </c:pt>
                <c:pt idx="8">
                  <c:v>Norway</c:v>
                </c:pt>
                <c:pt idx="9">
                  <c:v>Japan</c:v>
                </c:pt>
                <c:pt idx="10">
                  <c:v>Italy</c:v>
                </c:pt>
                <c:pt idx="11">
                  <c:v>Sweden</c:v>
                </c:pt>
                <c:pt idx="12">
                  <c:v>Denmark</c:v>
                </c:pt>
                <c:pt idx="13">
                  <c:v>Austria</c:v>
                </c:pt>
                <c:pt idx="14">
                  <c:v>Czech Republic</c:v>
                </c:pt>
                <c:pt idx="15">
                  <c:v>Portugal</c:v>
                </c:pt>
                <c:pt idx="16">
                  <c:v>Australia</c:v>
                </c:pt>
                <c:pt idx="17">
                  <c:v>Spain</c:v>
                </c:pt>
                <c:pt idx="18">
                  <c:v>Lithuania</c:v>
                </c:pt>
                <c:pt idx="19">
                  <c:v>Finland</c:v>
                </c:pt>
                <c:pt idx="20">
                  <c:v>Latvia</c:v>
                </c:pt>
                <c:pt idx="21">
                  <c:v>Estonia</c:v>
                </c:pt>
                <c:pt idx="22">
                  <c:v>Belgium</c:v>
                </c:pt>
                <c:pt idx="23">
                  <c:v>Switzerland</c:v>
                </c:pt>
                <c:pt idx="24">
                  <c:v>Bulgaria</c:v>
                </c:pt>
                <c:pt idx="25">
                  <c:v>Slovakia</c:v>
                </c:pt>
                <c:pt idx="26">
                  <c:v>Greece</c:v>
                </c:pt>
                <c:pt idx="27">
                  <c:v>South Korea</c:v>
                </c:pt>
                <c:pt idx="28">
                  <c:v>Luxembourg</c:v>
                </c:pt>
                <c:pt idx="29">
                  <c:v>Ireland</c:v>
                </c:pt>
                <c:pt idx="30">
                  <c:v>Taiwan</c:v>
                </c:pt>
                <c:pt idx="31">
                  <c:v>Slovenia</c:v>
                </c:pt>
                <c:pt idx="32">
                  <c:v>Turkey</c:v>
                </c:pt>
                <c:pt idx="33">
                  <c:v>Hungary</c:v>
                </c:pt>
                <c:pt idx="34">
                  <c:v>Croatia</c:v>
                </c:pt>
                <c:pt idx="35">
                  <c:v>New Zealand</c:v>
                </c:pt>
                <c:pt idx="36">
                  <c:v>Romania</c:v>
                </c:pt>
                <c:pt idx="37">
                  <c:v>Cyprus</c:v>
                </c:pt>
                <c:pt idx="38">
                  <c:v>China</c:v>
                </c:pt>
                <c:pt idx="39">
                  <c:v>India</c:v>
                </c:pt>
                <c:pt idx="40">
                  <c:v>Malta</c:v>
                </c:pt>
              </c:strCache>
            </c:strRef>
          </c:cat>
          <c:val>
            <c:numRef>
              <c:f>'Fig 4. Ranking (€)'!$C$12:$C$52</c:f>
              <c:numCache>
                <c:formatCode>0.00</c:formatCode>
                <c:ptCount val="41"/>
                <c:pt idx="0">
                  <c:v>25.114285714285714</c:v>
                </c:pt>
                <c:pt idx="1">
                  <c:v>30.322500000000002</c:v>
                </c:pt>
                <c:pt idx="2">
                  <c:v>3.0199781887370349</c:v>
                </c:pt>
                <c:pt idx="3">
                  <c:v>1.3</c:v>
                </c:pt>
                <c:pt idx="4">
                  <c:v>2.3804811525281488</c:v>
                </c:pt>
                <c:pt idx="5">
                  <c:v>0.95884326632016348</c:v>
                </c:pt>
                <c:pt idx="6">
                  <c:v>0.69940000000000002</c:v>
                </c:pt>
                <c:pt idx="7">
                  <c:v>0.34849999999999998</c:v>
                </c:pt>
                <c:pt idx="8">
                  <c:v>0.32207512522473153</c:v>
                </c:pt>
                <c:pt idx="9">
                  <c:v>0.57142857142857151</c:v>
                </c:pt>
                <c:pt idx="10">
                  <c:v>0.31</c:v>
                </c:pt>
                <c:pt idx="11">
                  <c:v>0.15034541943038915</c:v>
                </c:pt>
                <c:pt idx="12">
                  <c:v>5.7500000000000002E-2</c:v>
                </c:pt>
                <c:pt idx="13">
                  <c:v>0.03</c:v>
                </c:pt>
                <c:pt idx="14">
                  <c:v>0</c:v>
                </c:pt>
                <c:pt idx="15">
                  <c:v>0.25</c:v>
                </c:pt>
                <c:pt idx="16">
                  <c:v>0</c:v>
                </c:pt>
                <c:pt idx="17">
                  <c:v>0.20449999999999999</c:v>
                </c:pt>
                <c:pt idx="18">
                  <c:v>0.01</c:v>
                </c:pt>
                <c:pt idx="19">
                  <c:v>8.1500000000000003E-2</c:v>
                </c:pt>
                <c:pt idx="20">
                  <c:v>1.4999999999999999E-2</c:v>
                </c:pt>
                <c:pt idx="21">
                  <c:v>0</c:v>
                </c:pt>
                <c:pt idx="22">
                  <c:v>4.96E-3</c:v>
                </c:pt>
                <c:pt idx="23">
                  <c:v>5.8967059780398533E-2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1-567E-4641-BA75-DBEB8C073A6A}"/>
            </c:ext>
          </c:extLst>
        </c:ser>
        <c:ser>
          <c:idx val="1"/>
          <c:order val="1"/>
          <c:tx>
            <c:strRef>
              <c:f>'Fig 4. Ranking (€)'!$D$11</c:f>
              <c:strCache>
                <c:ptCount val="1"/>
                <c:pt idx="0">
                  <c:v>Humanitarian</c:v>
                </c:pt>
              </c:strCache>
            </c:strRef>
          </c:tx>
          <c:spPr>
            <a:solidFill>
              <a:srgbClr val="92D050"/>
            </a:solidFill>
            <a:ln>
              <a:solidFill>
                <a:schemeClr val="tx1"/>
              </a:solidFill>
            </a:ln>
            <a:effectLst/>
          </c:spPr>
          <c:invertIfNegative val="0"/>
          <c:cat>
            <c:strRef>
              <c:f>'Fig 4. Ranking (€)'!$B$12:$B$52</c:f>
              <c:strCache>
                <c:ptCount val="41"/>
                <c:pt idx="0">
                  <c:v>United States</c:v>
                </c:pt>
                <c:pt idx="1">
                  <c:v>EU Institutions</c:v>
                </c:pt>
                <c:pt idx="2">
                  <c:v>United Kingdom</c:v>
                </c:pt>
                <c:pt idx="3">
                  <c:v>Germany</c:v>
                </c:pt>
                <c:pt idx="4">
                  <c:v>Canada</c:v>
                </c:pt>
                <c:pt idx="5">
                  <c:v>Poland</c:v>
                </c:pt>
                <c:pt idx="6">
                  <c:v>France</c:v>
                </c:pt>
                <c:pt idx="7">
                  <c:v>Netherlands</c:v>
                </c:pt>
                <c:pt idx="8">
                  <c:v>Norway</c:v>
                </c:pt>
                <c:pt idx="9">
                  <c:v>Japan</c:v>
                </c:pt>
                <c:pt idx="10">
                  <c:v>Italy</c:v>
                </c:pt>
                <c:pt idx="11">
                  <c:v>Sweden</c:v>
                </c:pt>
                <c:pt idx="12">
                  <c:v>Denmark</c:v>
                </c:pt>
                <c:pt idx="13">
                  <c:v>Austria</c:v>
                </c:pt>
                <c:pt idx="14">
                  <c:v>Czech Republic</c:v>
                </c:pt>
                <c:pt idx="15">
                  <c:v>Portugal</c:v>
                </c:pt>
                <c:pt idx="16">
                  <c:v>Australia</c:v>
                </c:pt>
                <c:pt idx="17">
                  <c:v>Spain</c:v>
                </c:pt>
                <c:pt idx="18">
                  <c:v>Lithuania</c:v>
                </c:pt>
                <c:pt idx="19">
                  <c:v>Finland</c:v>
                </c:pt>
                <c:pt idx="20">
                  <c:v>Latvia</c:v>
                </c:pt>
                <c:pt idx="21">
                  <c:v>Estonia</c:v>
                </c:pt>
                <c:pt idx="22">
                  <c:v>Belgium</c:v>
                </c:pt>
                <c:pt idx="23">
                  <c:v>Switzerland</c:v>
                </c:pt>
                <c:pt idx="24">
                  <c:v>Bulgaria</c:v>
                </c:pt>
                <c:pt idx="25">
                  <c:v>Slovakia</c:v>
                </c:pt>
                <c:pt idx="26">
                  <c:v>Greece</c:v>
                </c:pt>
                <c:pt idx="27">
                  <c:v>South Korea</c:v>
                </c:pt>
                <c:pt idx="28">
                  <c:v>Luxembourg</c:v>
                </c:pt>
                <c:pt idx="29">
                  <c:v>Ireland</c:v>
                </c:pt>
                <c:pt idx="30">
                  <c:v>Taiwan</c:v>
                </c:pt>
                <c:pt idx="31">
                  <c:v>Slovenia</c:v>
                </c:pt>
                <c:pt idx="32">
                  <c:v>Turkey</c:v>
                </c:pt>
                <c:pt idx="33">
                  <c:v>Hungary</c:v>
                </c:pt>
                <c:pt idx="34">
                  <c:v>Croatia</c:v>
                </c:pt>
                <c:pt idx="35">
                  <c:v>New Zealand</c:v>
                </c:pt>
                <c:pt idx="36">
                  <c:v>Romania</c:v>
                </c:pt>
                <c:pt idx="37">
                  <c:v>Cyprus</c:v>
                </c:pt>
                <c:pt idx="38">
                  <c:v>China</c:v>
                </c:pt>
                <c:pt idx="39">
                  <c:v>India</c:v>
                </c:pt>
                <c:pt idx="40">
                  <c:v>Malta</c:v>
                </c:pt>
              </c:strCache>
            </c:strRef>
          </c:cat>
          <c:val>
            <c:numRef>
              <c:f>'Fig 4. Ranking (€)'!$D$12:$D$52</c:f>
              <c:numCache>
                <c:formatCode>0.00</c:formatCode>
                <c:ptCount val="41"/>
                <c:pt idx="0">
                  <c:v>3.7243038019047616</c:v>
                </c:pt>
                <c:pt idx="1">
                  <c:v>1.6</c:v>
                </c:pt>
                <c:pt idx="2">
                  <c:v>0.4002079296205569</c:v>
                </c:pt>
                <c:pt idx="3">
                  <c:v>2.496</c:v>
                </c:pt>
                <c:pt idx="4">
                  <c:v>0.34687740401426675</c:v>
                </c:pt>
                <c:pt idx="5">
                  <c:v>0.17200476190476188</c:v>
                </c:pt>
                <c:pt idx="6">
                  <c:v>0.3155896343657143</c:v>
                </c:pt>
                <c:pt idx="7">
                  <c:v>0.21205790476190478</c:v>
                </c:pt>
                <c:pt idx="8">
                  <c:v>0.32351725265111086</c:v>
                </c:pt>
                <c:pt idx="9">
                  <c:v>0.47800035238095234</c:v>
                </c:pt>
                <c:pt idx="10">
                  <c:v>5.220712857142857E-2</c:v>
                </c:pt>
                <c:pt idx="11">
                  <c:v>0.10746886715780089</c:v>
                </c:pt>
                <c:pt idx="12">
                  <c:v>9.9200785326233124E-2</c:v>
                </c:pt>
                <c:pt idx="13">
                  <c:v>0.59200000000000008</c:v>
                </c:pt>
                <c:pt idx="14">
                  <c:v>0.10596323263127799</c:v>
                </c:pt>
                <c:pt idx="15">
                  <c:v>0.16838809523809523</c:v>
                </c:pt>
                <c:pt idx="16">
                  <c:v>6.9014631619836855E-2</c:v>
                </c:pt>
                <c:pt idx="17">
                  <c:v>9.9788875333333332E-2</c:v>
                </c:pt>
                <c:pt idx="18">
                  <c:v>6.0999999999999999E-2</c:v>
                </c:pt>
                <c:pt idx="19">
                  <c:v>5.1200000000000002E-2</c:v>
                </c:pt>
                <c:pt idx="20">
                  <c:v>3.0970529999999998E-3</c:v>
                </c:pt>
                <c:pt idx="21">
                  <c:v>4.9702280000000001E-3</c:v>
                </c:pt>
                <c:pt idx="22">
                  <c:v>9.4799999999999995E-2</c:v>
                </c:pt>
                <c:pt idx="23">
                  <c:v>0.18300122000813338</c:v>
                </c:pt>
                <c:pt idx="24">
                  <c:v>7.0600000000000003E-4</c:v>
                </c:pt>
                <c:pt idx="25">
                  <c:v>8.9999999999999993E-3</c:v>
                </c:pt>
                <c:pt idx="26">
                  <c:v>0</c:v>
                </c:pt>
                <c:pt idx="27">
                  <c:v>9.5238095238095261E-2</c:v>
                </c:pt>
                <c:pt idx="28">
                  <c:v>4.0000000000000001E-3</c:v>
                </c:pt>
                <c:pt idx="29">
                  <c:v>6.8554615238095237E-2</c:v>
                </c:pt>
                <c:pt idx="30">
                  <c:v>6.5238095238095234E-2</c:v>
                </c:pt>
                <c:pt idx="31">
                  <c:v>4.3E-3</c:v>
                </c:pt>
                <c:pt idx="32">
                  <c:v>2.3622095238095238E-4</c:v>
                </c:pt>
                <c:pt idx="33">
                  <c:v>4.7284205515557245E-2</c:v>
                </c:pt>
                <c:pt idx="34">
                  <c:v>6.4410636604774535E-3</c:v>
                </c:pt>
                <c:pt idx="35">
                  <c:v>2.4055809477988932E-3</c:v>
                </c:pt>
                <c:pt idx="36">
                  <c:v>7.6871827960629645E-3</c:v>
                </c:pt>
                <c:pt idx="37">
                  <c:v>3.0000000000000001E-3</c:v>
                </c:pt>
                <c:pt idx="38">
                  <c:v>2.0820320632937745E-3</c:v>
                </c:pt>
                <c:pt idx="39">
                  <c:v>1.8545238095238094E-3</c:v>
                </c:pt>
                <c:pt idx="40">
                  <c:v>1.6999999999999999E-3</c:v>
                </c:pt>
              </c:numCache>
            </c:numRef>
          </c:val>
          <c:extLst>
            <c:ext xmlns:c16="http://schemas.microsoft.com/office/drawing/2014/chart" uri="{C3380CC4-5D6E-409C-BE32-E72D297353CC}">
              <c16:uniqueId val="{00000003-567E-4641-BA75-DBEB8C073A6A}"/>
            </c:ext>
          </c:extLst>
        </c:ser>
        <c:ser>
          <c:idx val="2"/>
          <c:order val="2"/>
          <c:tx>
            <c:strRef>
              <c:f>'Fig 4. Ranking (€)'!$E$11</c:f>
              <c:strCache>
                <c:ptCount val="1"/>
                <c:pt idx="0">
                  <c:v>Military</c:v>
                </c:pt>
              </c:strCache>
            </c:strRef>
          </c:tx>
          <c:spPr>
            <a:solidFill>
              <a:srgbClr val="C00000"/>
            </a:solidFill>
            <a:ln>
              <a:solidFill>
                <a:schemeClr val="tx1"/>
              </a:solidFill>
            </a:ln>
            <a:effectLst/>
          </c:spPr>
          <c:invertIfNegative val="0"/>
          <c:cat>
            <c:strRef>
              <c:f>'Fig 4. Ranking (€)'!$B$12:$B$52</c:f>
              <c:strCache>
                <c:ptCount val="41"/>
                <c:pt idx="0">
                  <c:v>United States</c:v>
                </c:pt>
                <c:pt idx="1">
                  <c:v>EU Institutions</c:v>
                </c:pt>
                <c:pt idx="2">
                  <c:v>United Kingdom</c:v>
                </c:pt>
                <c:pt idx="3">
                  <c:v>Germany</c:v>
                </c:pt>
                <c:pt idx="4">
                  <c:v>Canada</c:v>
                </c:pt>
                <c:pt idx="5">
                  <c:v>Poland</c:v>
                </c:pt>
                <c:pt idx="6">
                  <c:v>France</c:v>
                </c:pt>
                <c:pt idx="7">
                  <c:v>Netherlands</c:v>
                </c:pt>
                <c:pt idx="8">
                  <c:v>Norway</c:v>
                </c:pt>
                <c:pt idx="9">
                  <c:v>Japan</c:v>
                </c:pt>
                <c:pt idx="10">
                  <c:v>Italy</c:v>
                </c:pt>
                <c:pt idx="11">
                  <c:v>Sweden</c:v>
                </c:pt>
                <c:pt idx="12">
                  <c:v>Denmark</c:v>
                </c:pt>
                <c:pt idx="13">
                  <c:v>Austria</c:v>
                </c:pt>
                <c:pt idx="14">
                  <c:v>Czech Republic</c:v>
                </c:pt>
                <c:pt idx="15">
                  <c:v>Portugal</c:v>
                </c:pt>
                <c:pt idx="16">
                  <c:v>Australia</c:v>
                </c:pt>
                <c:pt idx="17">
                  <c:v>Spain</c:v>
                </c:pt>
                <c:pt idx="18">
                  <c:v>Lithuania</c:v>
                </c:pt>
                <c:pt idx="19">
                  <c:v>Finland</c:v>
                </c:pt>
                <c:pt idx="20">
                  <c:v>Latvia</c:v>
                </c:pt>
                <c:pt idx="21">
                  <c:v>Estonia</c:v>
                </c:pt>
                <c:pt idx="22">
                  <c:v>Belgium</c:v>
                </c:pt>
                <c:pt idx="23">
                  <c:v>Switzerland</c:v>
                </c:pt>
                <c:pt idx="24">
                  <c:v>Bulgaria</c:v>
                </c:pt>
                <c:pt idx="25">
                  <c:v>Slovakia</c:v>
                </c:pt>
                <c:pt idx="26">
                  <c:v>Greece</c:v>
                </c:pt>
                <c:pt idx="27">
                  <c:v>South Korea</c:v>
                </c:pt>
                <c:pt idx="28">
                  <c:v>Luxembourg</c:v>
                </c:pt>
                <c:pt idx="29">
                  <c:v>Ireland</c:v>
                </c:pt>
                <c:pt idx="30">
                  <c:v>Taiwan</c:v>
                </c:pt>
                <c:pt idx="31">
                  <c:v>Slovenia</c:v>
                </c:pt>
                <c:pt idx="32">
                  <c:v>Turkey</c:v>
                </c:pt>
                <c:pt idx="33">
                  <c:v>Hungary</c:v>
                </c:pt>
                <c:pt idx="34">
                  <c:v>Croatia</c:v>
                </c:pt>
                <c:pt idx="35">
                  <c:v>New Zealand</c:v>
                </c:pt>
                <c:pt idx="36">
                  <c:v>Romania</c:v>
                </c:pt>
                <c:pt idx="37">
                  <c:v>Cyprus</c:v>
                </c:pt>
                <c:pt idx="38">
                  <c:v>China</c:v>
                </c:pt>
                <c:pt idx="39">
                  <c:v>India</c:v>
                </c:pt>
                <c:pt idx="40">
                  <c:v>Malta</c:v>
                </c:pt>
              </c:strCache>
            </c:strRef>
          </c:cat>
          <c:val>
            <c:numRef>
              <c:f>'Fig 4. Ranking (€)'!$E$12:$E$52</c:f>
              <c:numCache>
                <c:formatCode>0.00</c:formatCode>
                <c:ptCount val="41"/>
                <c:pt idx="0">
                  <c:v>44.338095238095235</c:v>
                </c:pt>
                <c:pt idx="1">
                  <c:v>3.1</c:v>
                </c:pt>
                <c:pt idx="2">
                  <c:v>4.8864927960823152</c:v>
                </c:pt>
                <c:pt idx="3">
                  <c:v>2.3552</c:v>
                </c:pt>
                <c:pt idx="4">
                  <c:v>1.2893734795265364</c:v>
                </c:pt>
                <c:pt idx="5">
                  <c:v>2.4278310691428571</c:v>
                </c:pt>
                <c:pt idx="6">
                  <c:v>0.65962732814080649</c:v>
                </c:pt>
                <c:pt idx="7">
                  <c:v>0.85850000000000004</c:v>
                </c:pt>
                <c:pt idx="8">
                  <c:v>0.59214133326908946</c:v>
                </c:pt>
                <c:pt idx="9">
                  <c:v>2.3352380952380951E-3</c:v>
                </c:pt>
                <c:pt idx="10">
                  <c:v>0.66091838062565367</c:v>
                </c:pt>
                <c:pt idx="11">
                  <c:v>0.54638815978467004</c:v>
                </c:pt>
                <c:pt idx="12">
                  <c:v>0.56299310419019966</c:v>
                </c:pt>
                <c:pt idx="13">
                  <c:v>3.4165467142857142E-3</c:v>
                </c:pt>
                <c:pt idx="14">
                  <c:v>0.46418603077692083</c:v>
                </c:pt>
                <c:pt idx="15">
                  <c:v>4.4144784553516107E-2</c:v>
                </c:pt>
                <c:pt idx="16">
                  <c:v>0.35821571928007251</c:v>
                </c:pt>
                <c:pt idx="17">
                  <c:v>8.3123597366324242E-2</c:v>
                </c:pt>
                <c:pt idx="18">
                  <c:v>0.28000000000000003</c:v>
                </c:pt>
                <c:pt idx="19">
                  <c:v>0.20669999999999999</c:v>
                </c:pt>
                <c:pt idx="20">
                  <c:v>0.29499878461654938</c:v>
                </c:pt>
                <c:pt idx="21">
                  <c:v>0.30780000000000002</c:v>
                </c:pt>
                <c:pt idx="22">
                  <c:v>0.14495</c:v>
                </c:pt>
                <c:pt idx="23">
                  <c:v>0</c:v>
                </c:pt>
                <c:pt idx="24">
                  <c:v>0.23928827078433376</c:v>
                </c:pt>
                <c:pt idx="25">
                  <c:v>0.2150631199047619</c:v>
                </c:pt>
                <c:pt idx="26">
                  <c:v>0.18270229371428573</c:v>
                </c:pt>
                <c:pt idx="27">
                  <c:v>3.4095238095238093E-3</c:v>
                </c:pt>
                <c:pt idx="28">
                  <c:v>7.4999999999999997E-2</c:v>
                </c:pt>
                <c:pt idx="29">
                  <c:v>0</c:v>
                </c:pt>
                <c:pt idx="30">
                  <c:v>0</c:v>
                </c:pt>
                <c:pt idx="31">
                  <c:v>5.7416922906666668E-2</c:v>
                </c:pt>
                <c:pt idx="32">
                  <c:v>6.1355714285714284E-2</c:v>
                </c:pt>
                <c:pt idx="33">
                  <c:v>0</c:v>
                </c:pt>
                <c:pt idx="34">
                  <c:v>1.9445623342175065E-2</c:v>
                </c:pt>
                <c:pt idx="35">
                  <c:v>1.8335310205390792E-2</c:v>
                </c:pt>
                <c:pt idx="36">
                  <c:v>3.0000000000000001E-3</c:v>
                </c:pt>
                <c:pt idx="37">
                  <c:v>0</c:v>
                </c:pt>
                <c:pt idx="38">
                  <c:v>0</c:v>
                </c:pt>
                <c:pt idx="39">
                  <c:v>0</c:v>
                </c:pt>
                <c:pt idx="40">
                  <c:v>0</c:v>
                </c:pt>
              </c:numCache>
            </c:numRef>
          </c:val>
          <c:extLst>
            <c:ext xmlns:c16="http://schemas.microsoft.com/office/drawing/2014/chart" uri="{C3380CC4-5D6E-409C-BE32-E72D297353CC}">
              <c16:uniqueId val="{00000005-567E-4641-BA75-DBEB8C073A6A}"/>
            </c:ext>
          </c:extLst>
        </c:ser>
        <c:dLbls>
          <c:showLegendKey val="0"/>
          <c:showVal val="0"/>
          <c:showCatName val="0"/>
          <c:showSerName val="0"/>
          <c:showPercent val="0"/>
          <c:showBubbleSize val="0"/>
        </c:dLbls>
        <c:gapWidth val="7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max"/>
        <c:crossBetween val="between"/>
      </c:valAx>
      <c:spPr>
        <a:noFill/>
        <a:ln>
          <a:noFill/>
        </a:ln>
        <a:effectLst/>
      </c:spPr>
    </c:plotArea>
    <c:legend>
      <c:legendPos val="r"/>
      <c:layout>
        <c:manualLayout>
          <c:xMode val="edge"/>
          <c:yMode val="edge"/>
          <c:x val="0.43896749119725659"/>
          <c:y val="0.21136960900133561"/>
          <c:w val="0.22441000045299089"/>
          <c:h val="0.14485265239849607"/>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677049407020098E-2"/>
          <c:y val="2.3803600126414605E-4"/>
          <c:w val="0.90667021187345387"/>
          <c:h val="0.91344901164828285"/>
        </c:manualLayout>
      </c:layout>
      <c:barChart>
        <c:barDir val="col"/>
        <c:grouping val="stacked"/>
        <c:varyColors val="0"/>
        <c:ser>
          <c:idx val="3"/>
          <c:order val="0"/>
          <c:tx>
            <c:strRef>
              <c:f>'Figure A3. In-kind over Time'!$F$11</c:f>
              <c:strCache>
                <c:ptCount val="1"/>
                <c:pt idx="0">
                  <c:v>Commitments by other countries</c:v>
                </c:pt>
              </c:strCache>
            </c:strRef>
          </c:tx>
          <c:spPr>
            <a:solidFill>
              <a:schemeClr val="accent6">
                <a:lumMod val="40000"/>
                <a:lumOff val="60000"/>
              </a:schemeClr>
            </a:solidFill>
            <a:ln>
              <a:solidFill>
                <a:schemeClr val="tx1"/>
              </a:solidFill>
            </a:ln>
            <a:effectLst/>
          </c:spPr>
          <c:invertIfNegative val="0"/>
          <c:cat>
            <c:strRef>
              <c:f>'Figure A3. In-kind over Time'!$B$12:$B$22</c:f>
              <c:strCache>
                <c:ptCount val="11"/>
                <c:pt idx="0">
                  <c:v>February</c:v>
                </c:pt>
                <c:pt idx="1">
                  <c:v>March</c:v>
                </c:pt>
                <c:pt idx="2">
                  <c:v>April</c:v>
                </c:pt>
                <c:pt idx="3">
                  <c:v>May</c:v>
                </c:pt>
                <c:pt idx="4">
                  <c:v>June</c:v>
                </c:pt>
                <c:pt idx="5">
                  <c:v>July</c:v>
                </c:pt>
                <c:pt idx="6">
                  <c:v>August</c:v>
                </c:pt>
                <c:pt idx="7">
                  <c:v>September</c:v>
                </c:pt>
                <c:pt idx="8">
                  <c:v>October</c:v>
                </c:pt>
                <c:pt idx="9">
                  <c:v>November</c:v>
                </c:pt>
                <c:pt idx="10">
                  <c:v>December</c:v>
                </c:pt>
              </c:strCache>
            </c:strRef>
          </c:cat>
          <c:val>
            <c:numRef>
              <c:f>'Figure A3. In-kind over Time'!$F$12:$F$22</c:f>
              <c:numCache>
                <c:formatCode>0.00</c:formatCode>
                <c:ptCount val="11"/>
                <c:pt idx="0">
                  <c:v>0</c:v>
                </c:pt>
                <c:pt idx="1">
                  <c:v>7.9122968652694789E-2</c:v>
                </c:pt>
                <c:pt idx="2">
                  <c:v>7.0326956236031454E-2</c:v>
                </c:pt>
                <c:pt idx="3">
                  <c:v>4.0551493066474292E-2</c:v>
                </c:pt>
                <c:pt idx="4">
                  <c:v>0</c:v>
                </c:pt>
                <c:pt idx="5">
                  <c:v>5.1469636151754497E-2</c:v>
                </c:pt>
                <c:pt idx="6">
                  <c:v>6.8571428571428567E-5</c:v>
                </c:pt>
                <c:pt idx="7">
                  <c:v>0</c:v>
                </c:pt>
                <c:pt idx="8">
                  <c:v>0.12041952609089732</c:v>
                </c:pt>
                <c:pt idx="9">
                  <c:v>1.1125811883569881E-3</c:v>
                </c:pt>
                <c:pt idx="10">
                  <c:v>0</c:v>
                </c:pt>
              </c:numCache>
            </c:numRef>
          </c:val>
          <c:extLst>
            <c:ext xmlns:c16="http://schemas.microsoft.com/office/drawing/2014/chart" uri="{C3380CC4-5D6E-409C-BE32-E72D297353CC}">
              <c16:uniqueId val="{00000000-9136-415A-8E19-522995DA30EC}"/>
            </c:ext>
          </c:extLst>
        </c:ser>
        <c:ser>
          <c:idx val="2"/>
          <c:order val="1"/>
          <c:tx>
            <c:strRef>
              <c:f>'Figure A3. In-kind over Time'!$E$11</c:f>
              <c:strCache>
                <c:ptCount val="1"/>
                <c:pt idx="0">
                  <c:v>Commitments by EU countries</c:v>
                </c:pt>
              </c:strCache>
            </c:strRef>
          </c:tx>
          <c:spPr>
            <a:solidFill>
              <a:schemeClr val="accent2">
                <a:lumMod val="75000"/>
              </a:schemeClr>
            </a:solidFill>
            <a:ln>
              <a:solidFill>
                <a:schemeClr val="tx1"/>
              </a:solidFill>
            </a:ln>
            <a:effectLst/>
          </c:spPr>
          <c:invertIfNegative val="0"/>
          <c:cat>
            <c:strRef>
              <c:f>'Figure A3. In-kind over Time'!$B$12:$B$22</c:f>
              <c:strCache>
                <c:ptCount val="11"/>
                <c:pt idx="0">
                  <c:v>February</c:v>
                </c:pt>
                <c:pt idx="1">
                  <c:v>March</c:v>
                </c:pt>
                <c:pt idx="2">
                  <c:v>April</c:v>
                </c:pt>
                <c:pt idx="3">
                  <c:v>May</c:v>
                </c:pt>
                <c:pt idx="4">
                  <c:v>June</c:v>
                </c:pt>
                <c:pt idx="5">
                  <c:v>July</c:v>
                </c:pt>
                <c:pt idx="6">
                  <c:v>August</c:v>
                </c:pt>
                <c:pt idx="7">
                  <c:v>September</c:v>
                </c:pt>
                <c:pt idx="8">
                  <c:v>October</c:v>
                </c:pt>
                <c:pt idx="9">
                  <c:v>November</c:v>
                </c:pt>
                <c:pt idx="10">
                  <c:v>December</c:v>
                </c:pt>
              </c:strCache>
            </c:strRef>
          </c:cat>
          <c:val>
            <c:numRef>
              <c:f>'Figure A3. In-kind over Time'!$E$12:$E$22</c:f>
              <c:numCache>
                <c:formatCode>0.00</c:formatCode>
                <c:ptCount val="11"/>
                <c:pt idx="0">
                  <c:v>0.45999640984367646</c:v>
                </c:pt>
                <c:pt idx="1">
                  <c:v>0.17201558096937641</c:v>
                </c:pt>
                <c:pt idx="2">
                  <c:v>2.9107872850811987</c:v>
                </c:pt>
                <c:pt idx="3">
                  <c:v>0.65179621460891923</c:v>
                </c:pt>
                <c:pt idx="4">
                  <c:v>2.2136358707031487</c:v>
                </c:pt>
                <c:pt idx="5">
                  <c:v>0.63702959913522939</c:v>
                </c:pt>
                <c:pt idx="6">
                  <c:v>0.25444176564049759</c:v>
                </c:pt>
                <c:pt idx="7">
                  <c:v>0.23555663958634362</c:v>
                </c:pt>
                <c:pt idx="8">
                  <c:v>0.45655194530796278</c:v>
                </c:pt>
                <c:pt idx="9">
                  <c:v>0.58712615096779375</c:v>
                </c:pt>
                <c:pt idx="10">
                  <c:v>0.9527381716208202</c:v>
                </c:pt>
              </c:numCache>
            </c:numRef>
          </c:val>
          <c:extLst>
            <c:ext xmlns:c16="http://schemas.microsoft.com/office/drawing/2014/chart" uri="{C3380CC4-5D6E-409C-BE32-E72D297353CC}">
              <c16:uniqueId val="{00000001-9136-415A-8E19-522995DA30EC}"/>
            </c:ext>
          </c:extLst>
        </c:ser>
        <c:ser>
          <c:idx val="5"/>
          <c:order val="2"/>
          <c:tx>
            <c:strRef>
              <c:f>'Figure A3. In-kind over Time'!$H$11</c:f>
              <c:strCache>
                <c:ptCount val="1"/>
                <c:pt idx="0">
                  <c:v>Commitments by other non-EU NATO countries</c:v>
                </c:pt>
              </c:strCache>
            </c:strRef>
          </c:tx>
          <c:spPr>
            <a:solidFill>
              <a:schemeClr val="accent1">
                <a:lumMod val="60000"/>
                <a:lumOff val="40000"/>
              </a:schemeClr>
            </a:solidFill>
            <a:ln>
              <a:solidFill>
                <a:schemeClr val="tx1"/>
              </a:solidFill>
            </a:ln>
            <a:effectLst/>
          </c:spPr>
          <c:invertIfNegative val="0"/>
          <c:val>
            <c:numRef>
              <c:f>'Figure A3. In-kind over Time'!$H$12:$H$22</c:f>
              <c:numCache>
                <c:formatCode>0.00</c:formatCode>
                <c:ptCount val="11"/>
                <c:pt idx="0">
                  <c:v>0.16224952372025275</c:v>
                </c:pt>
                <c:pt idx="1">
                  <c:v>0.72569063937205058</c:v>
                </c:pt>
                <c:pt idx="2">
                  <c:v>0.6201948059098914</c:v>
                </c:pt>
                <c:pt idx="3">
                  <c:v>1.543284539369133</c:v>
                </c:pt>
                <c:pt idx="4">
                  <c:v>1.4049445012644997</c:v>
                </c:pt>
                <c:pt idx="5">
                  <c:v>1.5831498399999998E-2</c:v>
                </c:pt>
                <c:pt idx="6">
                  <c:v>0.18168904761904761</c:v>
                </c:pt>
                <c:pt idx="7">
                  <c:v>1.4185142857142452E-2</c:v>
                </c:pt>
                <c:pt idx="8">
                  <c:v>0.34199883377706225</c:v>
                </c:pt>
                <c:pt idx="9">
                  <c:v>0.46146161525451146</c:v>
                </c:pt>
                <c:pt idx="10">
                  <c:v>2.6919711959081383E-2</c:v>
                </c:pt>
              </c:numCache>
            </c:numRef>
          </c:val>
          <c:extLst>
            <c:ext xmlns:c16="http://schemas.microsoft.com/office/drawing/2014/chart" uri="{C3380CC4-5D6E-409C-BE32-E72D297353CC}">
              <c16:uniqueId val="{00000002-9136-415A-8E19-522995DA30EC}"/>
            </c:ext>
          </c:extLst>
        </c:ser>
        <c:ser>
          <c:idx val="4"/>
          <c:order val="3"/>
          <c:tx>
            <c:strRef>
              <c:f>'Figure A3. In-kind over Time'!$G$11</c:f>
              <c:strCache>
                <c:ptCount val="1"/>
                <c:pt idx="0">
                  <c:v>Commitments by the US</c:v>
                </c:pt>
              </c:strCache>
            </c:strRef>
          </c:tx>
          <c:spPr>
            <a:solidFill>
              <a:schemeClr val="accent1">
                <a:lumMod val="75000"/>
              </a:schemeClr>
            </a:solidFill>
            <a:ln>
              <a:solidFill>
                <a:schemeClr val="tx1"/>
              </a:solidFill>
            </a:ln>
            <a:effectLst/>
          </c:spPr>
          <c:invertIfNegative val="0"/>
          <c:val>
            <c:numRef>
              <c:f>'Figure A3. In-kind over Time'!$G$12:$G$22</c:f>
              <c:numCache>
                <c:formatCode>0.00</c:formatCode>
                <c:ptCount val="11"/>
                <c:pt idx="0">
                  <c:v>0</c:v>
                </c:pt>
                <c:pt idx="1">
                  <c:v>8.5952380952380949</c:v>
                </c:pt>
                <c:pt idx="2">
                  <c:v>7.4733333333333327</c:v>
                </c:pt>
                <c:pt idx="3">
                  <c:v>0</c:v>
                </c:pt>
                <c:pt idx="4">
                  <c:v>0</c:v>
                </c:pt>
                <c:pt idx="5">
                  <c:v>0</c:v>
                </c:pt>
                <c:pt idx="6">
                  <c:v>0</c:v>
                </c:pt>
                <c:pt idx="7">
                  <c:v>6.3809523809523814</c:v>
                </c:pt>
                <c:pt idx="8">
                  <c:v>0</c:v>
                </c:pt>
                <c:pt idx="9">
                  <c:v>0</c:v>
                </c:pt>
                <c:pt idx="10">
                  <c:v>21.888571428571428</c:v>
                </c:pt>
              </c:numCache>
            </c:numRef>
          </c:val>
          <c:extLst>
            <c:ext xmlns:c16="http://schemas.microsoft.com/office/drawing/2014/chart" uri="{C3380CC4-5D6E-409C-BE32-E72D297353CC}">
              <c16:uniqueId val="{00000003-9136-415A-8E19-522995DA30EC}"/>
            </c:ext>
          </c:extLst>
        </c:ser>
        <c:dLbls>
          <c:showLegendKey val="0"/>
          <c:showVal val="0"/>
          <c:showCatName val="0"/>
          <c:showSerName val="0"/>
          <c:showPercent val="0"/>
          <c:showBubbleSize val="0"/>
        </c:dLbls>
        <c:gapWidth val="150"/>
        <c:overlap val="100"/>
        <c:axId val="450490767"/>
        <c:axId val="450486607"/>
        <c:extLst>
          <c:ext xmlns:c15="http://schemas.microsoft.com/office/drawing/2012/chart" uri="{02D57815-91ED-43cb-92C2-25804820EDAC}">
            <c15:filteredBarSeries>
              <c15:ser>
                <c:idx val="1"/>
                <c:order val="4"/>
                <c:tx>
                  <c:strRef>
                    <c:extLst>
                      <c:ext uri="{02D57815-91ED-43cb-92C2-25804820EDAC}">
                        <c15:formulaRef>
                          <c15:sqref>'Figure A3. In-kind over Time'!$D$11</c15:sqref>
                        </c15:formulaRef>
                      </c:ext>
                    </c:extLst>
                    <c:strCache>
                      <c:ptCount val="1"/>
                      <c:pt idx="0">
                        <c:v>Commitments by non-EU NATO countries</c:v>
                      </c:pt>
                    </c:strCache>
                  </c:strRef>
                </c:tx>
                <c:spPr>
                  <a:solidFill>
                    <a:schemeClr val="accent1">
                      <a:lumMod val="75000"/>
                    </a:schemeClr>
                  </a:solidFill>
                  <a:ln>
                    <a:solidFill>
                      <a:schemeClr val="tx1"/>
                    </a:solidFill>
                  </a:ln>
                  <a:effectLst/>
                </c:spPr>
                <c:invertIfNegative val="0"/>
                <c:cat>
                  <c:strRef>
                    <c:extLst>
                      <c:ext uri="{02D57815-91ED-43cb-92C2-25804820EDAC}">
                        <c15:formulaRef>
                          <c15:sqref>'Figure A3. In-kind over Time'!$B$12:$B$22</c15:sqref>
                        </c15:formulaRef>
                      </c:ext>
                    </c:extLst>
                    <c:strCache>
                      <c:ptCount val="11"/>
                      <c:pt idx="0">
                        <c:v>February</c:v>
                      </c:pt>
                      <c:pt idx="1">
                        <c:v>March</c:v>
                      </c:pt>
                      <c:pt idx="2">
                        <c:v>April</c:v>
                      </c:pt>
                      <c:pt idx="3">
                        <c:v>May</c:v>
                      </c:pt>
                      <c:pt idx="4">
                        <c:v>June</c:v>
                      </c:pt>
                      <c:pt idx="5">
                        <c:v>July</c:v>
                      </c:pt>
                      <c:pt idx="6">
                        <c:v>August</c:v>
                      </c:pt>
                      <c:pt idx="7">
                        <c:v>September</c:v>
                      </c:pt>
                      <c:pt idx="8">
                        <c:v>October</c:v>
                      </c:pt>
                      <c:pt idx="9">
                        <c:v>November</c:v>
                      </c:pt>
                      <c:pt idx="10">
                        <c:v>December</c:v>
                      </c:pt>
                    </c:strCache>
                  </c:strRef>
                </c:cat>
                <c:val>
                  <c:numRef>
                    <c:extLst>
                      <c:ext uri="{02D57815-91ED-43cb-92C2-25804820EDAC}">
                        <c15:formulaRef>
                          <c15:sqref>'Figure A3. In-kind over Time'!$D$12:$D$22</c15:sqref>
                        </c15:formulaRef>
                      </c:ext>
                    </c:extLst>
                    <c:numCache>
                      <c:formatCode>0.00</c:formatCode>
                      <c:ptCount val="11"/>
                      <c:pt idx="0">
                        <c:v>0.16224952372025275</c:v>
                      </c:pt>
                      <c:pt idx="1">
                        <c:v>9.3209287346101455</c:v>
                      </c:pt>
                      <c:pt idx="2">
                        <c:v>8.0935281392432241</c:v>
                      </c:pt>
                      <c:pt idx="3">
                        <c:v>1.543284539369133</c:v>
                      </c:pt>
                      <c:pt idx="4">
                        <c:v>1.4049445012644997</c:v>
                      </c:pt>
                      <c:pt idx="5">
                        <c:v>1.5831498399999998E-2</c:v>
                      </c:pt>
                      <c:pt idx="6">
                        <c:v>0.18168904761904761</c:v>
                      </c:pt>
                      <c:pt idx="7">
                        <c:v>6.3951375238095238</c:v>
                      </c:pt>
                      <c:pt idx="8">
                        <c:v>0.34199883377706225</c:v>
                      </c:pt>
                      <c:pt idx="9">
                        <c:v>0.46146161525451146</c:v>
                      </c:pt>
                      <c:pt idx="10">
                        <c:v>21.915491140530509</c:v>
                      </c:pt>
                    </c:numCache>
                  </c:numRef>
                </c:val>
                <c:extLst>
                  <c:ext xmlns:c16="http://schemas.microsoft.com/office/drawing/2014/chart" uri="{C3380CC4-5D6E-409C-BE32-E72D297353CC}">
                    <c16:uniqueId val="{00000004-9136-415A-8E19-522995DA30EC}"/>
                  </c:ext>
                </c:extLst>
              </c15:ser>
            </c15:filteredBarSeries>
            <c15:filteredBarSeries>
              <c15:ser>
                <c:idx val="0"/>
                <c:order val="5"/>
                <c:tx>
                  <c:strRef>
                    <c:extLst xmlns:c15="http://schemas.microsoft.com/office/drawing/2012/chart">
                      <c:ext xmlns:c15="http://schemas.microsoft.com/office/drawing/2012/chart" uri="{02D57815-91ED-43cb-92C2-25804820EDAC}">
                        <c15:formulaRef>
                          <c15:sqref>'Figure A3. In-kind over Time'!$C$11</c15:sqref>
                        </c15:formulaRef>
                      </c:ext>
                    </c:extLst>
                    <c:strCache>
                      <c:ptCount val="1"/>
                      <c:pt idx="0">
                        <c:v>Total commitments</c:v>
                      </c:pt>
                    </c:strCache>
                  </c:strRef>
                </c:tx>
                <c:spPr>
                  <a:solidFill>
                    <a:schemeClr val="accent2"/>
                  </a:solidFill>
                  <a:ln>
                    <a:solidFill>
                      <a:srgbClr val="18488B"/>
                    </a:solidFill>
                  </a:ln>
                  <a:effectLst/>
                </c:spPr>
                <c:invertIfNegative val="0"/>
                <c:cat>
                  <c:strRef>
                    <c:extLst xmlns:c15="http://schemas.microsoft.com/office/drawing/2012/chart">
                      <c:ext xmlns:c15="http://schemas.microsoft.com/office/drawing/2012/chart" uri="{02D57815-91ED-43cb-92C2-25804820EDAC}">
                        <c15:formulaRef>
                          <c15:sqref>'Figure A3. In-kind over Time'!$B$12:$B$22</c15:sqref>
                        </c15:formulaRef>
                      </c:ext>
                    </c:extLst>
                    <c:strCache>
                      <c:ptCount val="11"/>
                      <c:pt idx="0">
                        <c:v>February</c:v>
                      </c:pt>
                      <c:pt idx="1">
                        <c:v>March</c:v>
                      </c:pt>
                      <c:pt idx="2">
                        <c:v>April</c:v>
                      </c:pt>
                      <c:pt idx="3">
                        <c:v>May</c:v>
                      </c:pt>
                      <c:pt idx="4">
                        <c:v>June</c:v>
                      </c:pt>
                      <c:pt idx="5">
                        <c:v>July</c:v>
                      </c:pt>
                      <c:pt idx="6">
                        <c:v>August</c:v>
                      </c:pt>
                      <c:pt idx="7">
                        <c:v>September</c:v>
                      </c:pt>
                      <c:pt idx="8">
                        <c:v>October</c:v>
                      </c:pt>
                      <c:pt idx="9">
                        <c:v>November</c:v>
                      </c:pt>
                      <c:pt idx="10">
                        <c:v>December</c:v>
                      </c:pt>
                    </c:strCache>
                  </c:strRef>
                </c:cat>
                <c:val>
                  <c:numRef>
                    <c:extLst xmlns:c15="http://schemas.microsoft.com/office/drawing/2012/chart">
                      <c:ext xmlns:c15="http://schemas.microsoft.com/office/drawing/2012/chart" uri="{02D57815-91ED-43cb-92C2-25804820EDAC}">
                        <c15:formulaRef>
                          <c15:sqref>'Figure A3. In-kind over Time'!$C$12:$C$22</c15:sqref>
                        </c15:formulaRef>
                      </c:ext>
                    </c:extLst>
                    <c:numCache>
                      <c:formatCode>0.00</c:formatCode>
                      <c:ptCount val="11"/>
                      <c:pt idx="0">
                        <c:v>0.62224593356392921</c:v>
                      </c:pt>
                      <c:pt idx="1">
                        <c:v>9.572067284232217</c:v>
                      </c:pt>
                      <c:pt idx="2">
                        <c:v>11.074642380560455</c:v>
                      </c:pt>
                      <c:pt idx="3">
                        <c:v>2.2356322470445265</c:v>
                      </c:pt>
                      <c:pt idx="4">
                        <c:v>3.6185803719676484</c:v>
                      </c:pt>
                      <c:pt idx="5">
                        <c:v>0.70433073368698385</c:v>
                      </c:pt>
                      <c:pt idx="6">
                        <c:v>0.43619938468811659</c:v>
                      </c:pt>
                      <c:pt idx="7">
                        <c:v>6.6306941633958676</c:v>
                      </c:pt>
                      <c:pt idx="8">
                        <c:v>0.91897030517592238</c:v>
                      </c:pt>
                      <c:pt idx="9">
                        <c:v>1.0497003474106621</c:v>
                      </c:pt>
                      <c:pt idx="10">
                        <c:v>22.868229312151332</c:v>
                      </c:pt>
                    </c:numCache>
                  </c:numRef>
                </c:val>
                <c:extLst xmlns:c15="http://schemas.microsoft.com/office/drawing/2012/chart">
                  <c:ext xmlns:c16="http://schemas.microsoft.com/office/drawing/2014/chart" uri="{C3380CC4-5D6E-409C-BE32-E72D297353CC}">
                    <c16:uniqueId val="{00000005-9136-415A-8E19-522995DA30EC}"/>
                  </c:ext>
                </c:extLst>
              </c15:ser>
            </c15:filteredBarSeries>
          </c:ext>
        </c:extLst>
      </c:barChart>
      <c:catAx>
        <c:axId val="45049076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0"/>
      </c:catAx>
      <c:valAx>
        <c:axId val="4504866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autoZero"/>
        <c:crossBetween val="between"/>
      </c:valAx>
      <c:spPr>
        <a:noFill/>
        <a:ln>
          <a:noFill/>
        </a:ln>
        <a:effectLst/>
      </c:spPr>
    </c:plotArea>
    <c:legend>
      <c:legendPos val="r"/>
      <c:layout>
        <c:manualLayout>
          <c:xMode val="edge"/>
          <c:yMode val="edge"/>
          <c:x val="0.43547157846760531"/>
          <c:y val="0.20449230258516951"/>
          <c:w val="0.45880190632833634"/>
          <c:h val="0.35104901960784313"/>
        </c:manualLayout>
      </c:layout>
      <c:overlay val="0"/>
      <c:spPr>
        <a:solidFill>
          <a:schemeClr val="bg1"/>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818568084490336E-2"/>
          <c:y val="3.300121527777778E-2"/>
          <c:w val="0.93266980324330973"/>
          <c:h val="0.75493854166666663"/>
        </c:manualLayout>
      </c:layout>
      <c:barChart>
        <c:barDir val="col"/>
        <c:grouping val="stacked"/>
        <c:varyColors val="0"/>
        <c:ser>
          <c:idx val="0"/>
          <c:order val="0"/>
          <c:tx>
            <c:strRef>
              <c:f>'Figure A4. Units over Time'!$D$11</c:f>
              <c:strCache>
                <c:ptCount val="1"/>
                <c:pt idx="0">
                  <c:v>Commitments by EU countries</c:v>
                </c:pt>
              </c:strCache>
            </c:strRef>
          </c:tx>
          <c:spPr>
            <a:solidFill>
              <a:schemeClr val="accent1"/>
            </a:solidFill>
            <a:ln>
              <a:solidFill>
                <a:schemeClr val="tx1"/>
              </a:solidFill>
            </a:ln>
            <a:effectLst/>
          </c:spPr>
          <c:invertIfNegative val="0"/>
          <c:dPt>
            <c:idx val="6"/>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1-283C-450D-AEB0-1D4A28A78BB8}"/>
              </c:ext>
            </c:extLst>
          </c:dPt>
          <c:dPt>
            <c:idx val="7"/>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3-283C-450D-AEB0-1D4A28A78BB8}"/>
              </c:ext>
            </c:extLst>
          </c:dPt>
          <c:dPt>
            <c:idx val="8"/>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05-283C-450D-AEB0-1D4A28A78BB8}"/>
              </c:ext>
            </c:extLst>
          </c:dPt>
          <c:dPt>
            <c:idx val="10"/>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3-E6FF-410F-BFF6-3807D41619A9}"/>
              </c:ext>
            </c:extLst>
          </c:dPt>
          <c:dPt>
            <c:idx val="12"/>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9-283C-450D-AEB0-1D4A28A78BB8}"/>
              </c:ext>
            </c:extLst>
          </c:dPt>
          <c:dPt>
            <c:idx val="13"/>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7-E6FF-410F-BFF6-3807D41619A9}"/>
              </c:ext>
            </c:extLst>
          </c:dPt>
          <c:dPt>
            <c:idx val="15"/>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3C-E6FF-410F-BFF6-3807D41619A9}"/>
              </c:ext>
            </c:extLst>
          </c:dPt>
          <c:dPt>
            <c:idx val="16"/>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9-E6FF-410F-BFF6-3807D41619A9}"/>
              </c:ext>
            </c:extLst>
          </c:dPt>
          <c:dPt>
            <c:idx val="17"/>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11-283C-450D-AEB0-1D4A28A78BB8}"/>
              </c:ext>
            </c:extLst>
          </c:dPt>
          <c:dPt>
            <c:idx val="19"/>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D-E6FF-410F-BFF6-3807D41619A9}"/>
              </c:ext>
            </c:extLst>
          </c:dPt>
          <c:dPt>
            <c:idx val="21"/>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5-283C-450D-AEB0-1D4A28A78BB8}"/>
              </c:ext>
            </c:extLst>
          </c:dPt>
          <c:dPt>
            <c:idx val="22"/>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11-E6FF-410F-BFF6-3807D41619A9}"/>
              </c:ext>
            </c:extLst>
          </c:dPt>
          <c:dPt>
            <c:idx val="23"/>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19-283C-450D-AEB0-1D4A28A78BB8}"/>
              </c:ext>
            </c:extLst>
          </c:dPt>
          <c:dPt>
            <c:idx val="24"/>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3-E6FF-410F-BFF6-3807D41619A9}"/>
              </c:ext>
            </c:extLst>
          </c:dPt>
          <c:dPt>
            <c:idx val="25"/>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15-E6FF-410F-BFF6-3807D41619A9}"/>
              </c:ext>
            </c:extLst>
          </c:dPt>
          <c:dPt>
            <c:idx val="27"/>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9-E6FF-410F-BFF6-3807D41619A9}"/>
              </c:ext>
            </c:extLst>
          </c:dPt>
          <c:dPt>
            <c:idx val="28"/>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1B-E6FF-410F-BFF6-3807D41619A9}"/>
              </c:ext>
            </c:extLst>
          </c:dPt>
          <c:dPt>
            <c:idx val="29"/>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23-283C-450D-AEB0-1D4A28A78BB8}"/>
              </c:ext>
            </c:extLst>
          </c:dPt>
          <c:dPt>
            <c:idx val="31"/>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1F-E6FF-410F-BFF6-3807D41619A9}"/>
              </c:ext>
            </c:extLst>
          </c:dPt>
          <c:cat>
            <c:multiLvlStrRef>
              <c:f>'Figure A4. Units over Time'!$B$12:$C$44</c:f>
              <c:multiLvlStrCache>
                <c:ptCount val="33"/>
                <c:lvl>
                  <c:pt idx="0">
                    <c:v>MLRS</c:v>
                  </c:pt>
                  <c:pt idx="1">
                    <c:v>Howitzers</c:v>
                  </c:pt>
                  <c:pt idx="2">
                    <c:v>Tanks</c:v>
                  </c:pt>
                  <c:pt idx="3">
                    <c:v>MLRS</c:v>
                  </c:pt>
                  <c:pt idx="4">
                    <c:v>Howitzers</c:v>
                  </c:pt>
                  <c:pt idx="5">
                    <c:v>Tanks</c:v>
                  </c:pt>
                  <c:pt idx="6">
                    <c:v>MLRS</c:v>
                  </c:pt>
                  <c:pt idx="7">
                    <c:v>Howitzers</c:v>
                  </c:pt>
                  <c:pt idx="8">
                    <c:v>Tanks</c:v>
                  </c:pt>
                  <c:pt idx="9">
                    <c:v>MLRS</c:v>
                  </c:pt>
                  <c:pt idx="10">
                    <c:v>Howitzers</c:v>
                  </c:pt>
                  <c:pt idx="11">
                    <c:v>Tanks</c:v>
                  </c:pt>
                  <c:pt idx="12">
                    <c:v>MLRS</c:v>
                  </c:pt>
                  <c:pt idx="13">
                    <c:v>Howitzers</c:v>
                  </c:pt>
                  <c:pt idx="14">
                    <c:v>Tanks</c:v>
                  </c:pt>
                  <c:pt idx="15">
                    <c:v>MLRS</c:v>
                  </c:pt>
                  <c:pt idx="16">
                    <c:v>Howitzers</c:v>
                  </c:pt>
                  <c:pt idx="17">
                    <c:v>Tanks</c:v>
                  </c:pt>
                  <c:pt idx="18">
                    <c:v>MLRS</c:v>
                  </c:pt>
                  <c:pt idx="19">
                    <c:v>Howitzers</c:v>
                  </c:pt>
                  <c:pt idx="20">
                    <c:v>Tanks</c:v>
                  </c:pt>
                  <c:pt idx="21">
                    <c:v>MLRS</c:v>
                  </c:pt>
                  <c:pt idx="22">
                    <c:v>Howitzers</c:v>
                  </c:pt>
                  <c:pt idx="23">
                    <c:v>Tanks</c:v>
                  </c:pt>
                  <c:pt idx="24">
                    <c:v>MLRS</c:v>
                  </c:pt>
                  <c:pt idx="25">
                    <c:v>Howitzers</c:v>
                  </c:pt>
                  <c:pt idx="26">
                    <c:v>Tanks</c:v>
                  </c:pt>
                  <c:pt idx="27">
                    <c:v>MLRS</c:v>
                  </c:pt>
                  <c:pt idx="28">
                    <c:v>Howitzers</c:v>
                  </c:pt>
                  <c:pt idx="29">
                    <c:v>Tanks</c:v>
                  </c:pt>
                  <c:pt idx="30">
                    <c:v>MLRS</c:v>
                  </c:pt>
                  <c:pt idx="31">
                    <c:v>Howitzers</c:v>
                  </c:pt>
                  <c:pt idx="32">
                    <c:v>Tanks</c:v>
                  </c:pt>
                </c:lvl>
                <c:lvl>
                  <c:pt idx="0">
                    <c:v>February</c:v>
                  </c:pt>
                  <c:pt idx="3">
                    <c:v>March</c:v>
                  </c:pt>
                  <c:pt idx="6">
                    <c:v>April</c:v>
                  </c:pt>
                  <c:pt idx="9">
                    <c:v>May</c:v>
                  </c:pt>
                  <c:pt idx="12">
                    <c:v>June</c:v>
                  </c:pt>
                  <c:pt idx="15">
                    <c:v>July</c:v>
                  </c:pt>
                  <c:pt idx="18">
                    <c:v>August</c:v>
                  </c:pt>
                  <c:pt idx="21">
                    <c:v>September</c:v>
                  </c:pt>
                  <c:pt idx="24">
                    <c:v>October</c:v>
                  </c:pt>
                  <c:pt idx="27">
                    <c:v>November</c:v>
                  </c:pt>
                  <c:pt idx="30">
                    <c:v>December</c:v>
                  </c:pt>
                </c:lvl>
              </c:multiLvlStrCache>
            </c:multiLvlStrRef>
          </c:cat>
          <c:val>
            <c:numRef>
              <c:f>'Figure A4. Units over Time'!$D$12:$D$44</c:f>
              <c:numCache>
                <c:formatCode>0</c:formatCode>
                <c:ptCount val="33"/>
                <c:pt idx="0">
                  <c:v>0</c:v>
                </c:pt>
                <c:pt idx="1">
                  <c:v>0</c:v>
                </c:pt>
                <c:pt idx="2">
                  <c:v>0</c:v>
                </c:pt>
                <c:pt idx="3">
                  <c:v>0</c:v>
                </c:pt>
                <c:pt idx="4">
                  <c:v>0</c:v>
                </c:pt>
                <c:pt idx="5">
                  <c:v>0</c:v>
                </c:pt>
                <c:pt idx="6">
                  <c:v>20</c:v>
                </c:pt>
                <c:pt idx="7">
                  <c:v>24</c:v>
                </c:pt>
                <c:pt idx="8">
                  <c:v>280</c:v>
                </c:pt>
                <c:pt idx="9">
                  <c:v>0</c:v>
                </c:pt>
                <c:pt idx="10">
                  <c:v>5</c:v>
                </c:pt>
                <c:pt idx="11">
                  <c:v>0</c:v>
                </c:pt>
                <c:pt idx="12">
                  <c:v>3</c:v>
                </c:pt>
                <c:pt idx="13">
                  <c:v>27</c:v>
                </c:pt>
                <c:pt idx="14">
                  <c:v>0</c:v>
                </c:pt>
                <c:pt idx="15">
                  <c:v>0</c:v>
                </c:pt>
                <c:pt idx="16">
                  <c:v>3</c:v>
                </c:pt>
                <c:pt idx="17">
                  <c:v>60</c:v>
                </c:pt>
                <c:pt idx="18">
                  <c:v>0</c:v>
                </c:pt>
                <c:pt idx="19">
                  <c:v>11</c:v>
                </c:pt>
                <c:pt idx="20">
                  <c:v>0</c:v>
                </c:pt>
                <c:pt idx="21">
                  <c:v>2</c:v>
                </c:pt>
                <c:pt idx="22">
                  <c:v>4</c:v>
                </c:pt>
                <c:pt idx="23">
                  <c:v>28</c:v>
                </c:pt>
                <c:pt idx="24">
                  <c:v>2</c:v>
                </c:pt>
                <c:pt idx="25">
                  <c:v>41</c:v>
                </c:pt>
                <c:pt idx="26">
                  <c:v>0</c:v>
                </c:pt>
                <c:pt idx="27">
                  <c:v>2</c:v>
                </c:pt>
                <c:pt idx="28">
                  <c:v>6</c:v>
                </c:pt>
                <c:pt idx="29">
                  <c:v>90</c:v>
                </c:pt>
                <c:pt idx="30">
                  <c:v>0</c:v>
                </c:pt>
                <c:pt idx="31">
                  <c:v>54</c:v>
                </c:pt>
                <c:pt idx="32">
                  <c:v>0</c:v>
                </c:pt>
              </c:numCache>
            </c:numRef>
          </c:val>
          <c:extLst>
            <c:ext xmlns:c16="http://schemas.microsoft.com/office/drawing/2014/chart" uri="{C3380CC4-5D6E-409C-BE32-E72D297353CC}">
              <c16:uniqueId val="{00000024-E6FF-410F-BFF6-3807D41619A9}"/>
            </c:ext>
          </c:extLst>
        </c:ser>
        <c:ser>
          <c:idx val="1"/>
          <c:order val="1"/>
          <c:tx>
            <c:strRef>
              <c:f>'Figure A4. Units over Time'!$E$11</c:f>
              <c:strCache>
                <c:ptCount val="1"/>
                <c:pt idx="0">
                  <c:v>Commitments by non-EU NATO countries</c:v>
                </c:pt>
              </c:strCache>
            </c:strRef>
          </c:tx>
          <c:spPr>
            <a:solidFill>
              <a:schemeClr val="accent2"/>
            </a:solidFill>
            <a:ln>
              <a:solidFill>
                <a:schemeClr val="tx1"/>
              </a:solidFill>
            </a:ln>
            <a:effectLst/>
          </c:spPr>
          <c:invertIfNegative val="0"/>
          <c:dPt>
            <c:idx val="7"/>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27-283C-450D-AEB0-1D4A28A78BB8}"/>
              </c:ext>
            </c:extLst>
          </c:dPt>
          <c:dPt>
            <c:idx val="10"/>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26-E6FF-410F-BFF6-3807D41619A9}"/>
              </c:ext>
            </c:extLst>
          </c:dPt>
          <c:dPt>
            <c:idx val="12"/>
            <c:invertIfNegative val="0"/>
            <c:bubble3D val="0"/>
            <c:spPr>
              <a:solidFill>
                <a:schemeClr val="accent4">
                  <a:lumMod val="60000"/>
                  <a:lumOff val="40000"/>
                </a:schemeClr>
              </a:solidFill>
              <a:ln>
                <a:solidFill>
                  <a:schemeClr val="tx1"/>
                </a:solidFill>
              </a:ln>
              <a:effectLst/>
            </c:spPr>
            <c:extLst>
              <c:ext xmlns:c16="http://schemas.microsoft.com/office/drawing/2014/chart" uri="{C3380CC4-5D6E-409C-BE32-E72D297353CC}">
                <c16:uniqueId val="{0000002B-283C-450D-AEB0-1D4A28A78BB8}"/>
              </c:ext>
            </c:extLst>
          </c:dPt>
          <c:dPt>
            <c:idx val="13"/>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28-E6FF-410F-BFF6-3807D41619A9}"/>
              </c:ext>
            </c:extLst>
          </c:dPt>
          <c:dPt>
            <c:idx val="15"/>
            <c:invertIfNegative val="0"/>
            <c:bubble3D val="0"/>
            <c:spPr>
              <a:solidFill>
                <a:schemeClr val="accent4">
                  <a:lumMod val="60000"/>
                  <a:lumOff val="40000"/>
                </a:schemeClr>
              </a:solidFill>
              <a:ln>
                <a:solidFill>
                  <a:schemeClr val="tx1"/>
                </a:solidFill>
              </a:ln>
              <a:effectLst/>
            </c:spPr>
            <c:extLst>
              <c:ext xmlns:c16="http://schemas.microsoft.com/office/drawing/2014/chart" uri="{C3380CC4-5D6E-409C-BE32-E72D297353CC}">
                <c16:uniqueId val="{0000002A-E6FF-410F-BFF6-3807D41619A9}"/>
              </c:ext>
            </c:extLst>
          </c:dPt>
          <c:dPt>
            <c:idx val="18"/>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2E-E6FF-410F-BFF6-3807D41619A9}"/>
              </c:ext>
            </c:extLst>
          </c:dPt>
          <c:dPt>
            <c:idx val="21"/>
            <c:invertIfNegative val="0"/>
            <c:bubble3D val="0"/>
            <c:spPr>
              <a:solidFill>
                <a:schemeClr val="accent4">
                  <a:lumMod val="60000"/>
                  <a:lumOff val="40000"/>
                </a:schemeClr>
              </a:solidFill>
              <a:ln>
                <a:solidFill>
                  <a:schemeClr val="tx1"/>
                </a:solidFill>
              </a:ln>
              <a:effectLst/>
            </c:spPr>
            <c:extLst>
              <c:ext xmlns:c16="http://schemas.microsoft.com/office/drawing/2014/chart" uri="{C3380CC4-5D6E-409C-BE32-E72D297353CC}">
                <c16:uniqueId val="{00000030-E6FF-410F-BFF6-3807D41619A9}"/>
              </c:ext>
            </c:extLst>
          </c:dPt>
          <c:dPt>
            <c:idx val="24"/>
            <c:invertIfNegative val="0"/>
            <c:bubble3D val="0"/>
            <c:spPr>
              <a:solidFill>
                <a:schemeClr val="accent4">
                  <a:lumMod val="60000"/>
                  <a:lumOff val="40000"/>
                </a:schemeClr>
              </a:solidFill>
              <a:ln>
                <a:solidFill>
                  <a:schemeClr val="tx1"/>
                </a:solidFill>
              </a:ln>
              <a:effectLst/>
            </c:spPr>
            <c:extLst>
              <c:ext xmlns:c16="http://schemas.microsoft.com/office/drawing/2014/chart" uri="{C3380CC4-5D6E-409C-BE32-E72D297353CC}">
                <c16:uniqueId val="{00000032-E6FF-410F-BFF6-3807D41619A9}"/>
              </c:ext>
            </c:extLst>
          </c:dPt>
          <c:dPt>
            <c:idx val="25"/>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37-283C-450D-AEB0-1D4A28A78BB8}"/>
              </c:ext>
            </c:extLst>
          </c:dPt>
          <c:cat>
            <c:multiLvlStrRef>
              <c:f>'Figure A4. Units over Time'!$B$12:$C$44</c:f>
              <c:multiLvlStrCache>
                <c:ptCount val="33"/>
                <c:lvl>
                  <c:pt idx="0">
                    <c:v>MLRS</c:v>
                  </c:pt>
                  <c:pt idx="1">
                    <c:v>Howitzers</c:v>
                  </c:pt>
                  <c:pt idx="2">
                    <c:v>Tanks</c:v>
                  </c:pt>
                  <c:pt idx="3">
                    <c:v>MLRS</c:v>
                  </c:pt>
                  <c:pt idx="4">
                    <c:v>Howitzers</c:v>
                  </c:pt>
                  <c:pt idx="5">
                    <c:v>Tanks</c:v>
                  </c:pt>
                  <c:pt idx="6">
                    <c:v>MLRS</c:v>
                  </c:pt>
                  <c:pt idx="7">
                    <c:v>Howitzers</c:v>
                  </c:pt>
                  <c:pt idx="8">
                    <c:v>Tanks</c:v>
                  </c:pt>
                  <c:pt idx="9">
                    <c:v>MLRS</c:v>
                  </c:pt>
                  <c:pt idx="10">
                    <c:v>Howitzers</c:v>
                  </c:pt>
                  <c:pt idx="11">
                    <c:v>Tanks</c:v>
                  </c:pt>
                  <c:pt idx="12">
                    <c:v>MLRS</c:v>
                  </c:pt>
                  <c:pt idx="13">
                    <c:v>Howitzers</c:v>
                  </c:pt>
                  <c:pt idx="14">
                    <c:v>Tanks</c:v>
                  </c:pt>
                  <c:pt idx="15">
                    <c:v>MLRS</c:v>
                  </c:pt>
                  <c:pt idx="16">
                    <c:v>Howitzers</c:v>
                  </c:pt>
                  <c:pt idx="17">
                    <c:v>Tanks</c:v>
                  </c:pt>
                  <c:pt idx="18">
                    <c:v>MLRS</c:v>
                  </c:pt>
                  <c:pt idx="19">
                    <c:v>Howitzers</c:v>
                  </c:pt>
                  <c:pt idx="20">
                    <c:v>Tanks</c:v>
                  </c:pt>
                  <c:pt idx="21">
                    <c:v>MLRS</c:v>
                  </c:pt>
                  <c:pt idx="22">
                    <c:v>Howitzers</c:v>
                  </c:pt>
                  <c:pt idx="23">
                    <c:v>Tanks</c:v>
                  </c:pt>
                  <c:pt idx="24">
                    <c:v>MLRS</c:v>
                  </c:pt>
                  <c:pt idx="25">
                    <c:v>Howitzers</c:v>
                  </c:pt>
                  <c:pt idx="26">
                    <c:v>Tanks</c:v>
                  </c:pt>
                  <c:pt idx="27">
                    <c:v>MLRS</c:v>
                  </c:pt>
                  <c:pt idx="28">
                    <c:v>Howitzers</c:v>
                  </c:pt>
                  <c:pt idx="29">
                    <c:v>Tanks</c:v>
                  </c:pt>
                  <c:pt idx="30">
                    <c:v>MLRS</c:v>
                  </c:pt>
                  <c:pt idx="31">
                    <c:v>Howitzers</c:v>
                  </c:pt>
                  <c:pt idx="32">
                    <c:v>Tanks</c:v>
                  </c:pt>
                </c:lvl>
                <c:lvl>
                  <c:pt idx="0">
                    <c:v>February</c:v>
                  </c:pt>
                  <c:pt idx="3">
                    <c:v>March</c:v>
                  </c:pt>
                  <c:pt idx="6">
                    <c:v>April</c:v>
                  </c:pt>
                  <c:pt idx="9">
                    <c:v>May</c:v>
                  </c:pt>
                  <c:pt idx="12">
                    <c:v>June</c:v>
                  </c:pt>
                  <c:pt idx="15">
                    <c:v>July</c:v>
                  </c:pt>
                  <c:pt idx="18">
                    <c:v>August</c:v>
                  </c:pt>
                  <c:pt idx="21">
                    <c:v>September</c:v>
                  </c:pt>
                  <c:pt idx="24">
                    <c:v>October</c:v>
                  </c:pt>
                  <c:pt idx="27">
                    <c:v>November</c:v>
                  </c:pt>
                  <c:pt idx="30">
                    <c:v>December</c:v>
                  </c:pt>
                </c:lvl>
              </c:multiLvlStrCache>
            </c:multiLvlStrRef>
          </c:cat>
          <c:val>
            <c:numRef>
              <c:f>'Figure A4. Units over Time'!$E$12:$E$44</c:f>
              <c:numCache>
                <c:formatCode>0</c:formatCode>
                <c:ptCount val="33"/>
                <c:pt idx="0">
                  <c:v>0</c:v>
                </c:pt>
                <c:pt idx="1">
                  <c:v>0</c:v>
                </c:pt>
                <c:pt idx="2">
                  <c:v>0</c:v>
                </c:pt>
                <c:pt idx="3">
                  <c:v>0</c:v>
                </c:pt>
                <c:pt idx="4">
                  <c:v>0</c:v>
                </c:pt>
                <c:pt idx="5">
                  <c:v>0</c:v>
                </c:pt>
                <c:pt idx="6">
                  <c:v>0</c:v>
                </c:pt>
                <c:pt idx="7">
                  <c:v>94</c:v>
                </c:pt>
                <c:pt idx="8">
                  <c:v>0</c:v>
                </c:pt>
                <c:pt idx="9">
                  <c:v>0</c:v>
                </c:pt>
                <c:pt idx="10">
                  <c:v>18</c:v>
                </c:pt>
                <c:pt idx="11">
                  <c:v>0</c:v>
                </c:pt>
                <c:pt idx="12">
                  <c:v>14</c:v>
                </c:pt>
                <c:pt idx="13">
                  <c:v>41</c:v>
                </c:pt>
                <c:pt idx="14">
                  <c:v>0</c:v>
                </c:pt>
                <c:pt idx="15">
                  <c:v>8</c:v>
                </c:pt>
                <c:pt idx="16">
                  <c:v>0</c:v>
                </c:pt>
                <c:pt idx="17">
                  <c:v>0</c:v>
                </c:pt>
                <c:pt idx="18">
                  <c:v>3</c:v>
                </c:pt>
                <c:pt idx="19">
                  <c:v>0</c:v>
                </c:pt>
                <c:pt idx="20">
                  <c:v>0</c:v>
                </c:pt>
                <c:pt idx="21">
                  <c:v>18</c:v>
                </c:pt>
                <c:pt idx="22">
                  <c:v>0</c:v>
                </c:pt>
                <c:pt idx="23">
                  <c:v>0</c:v>
                </c:pt>
                <c:pt idx="24">
                  <c:v>4</c:v>
                </c:pt>
                <c:pt idx="25">
                  <c:v>5</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3B-E6FF-410F-BFF6-3807D41619A9}"/>
            </c:ext>
          </c:extLst>
        </c:ser>
        <c:ser>
          <c:idx val="6"/>
          <c:order val="2"/>
          <c:tx>
            <c:v>Tanks comitted by EU countries</c:v>
          </c:tx>
          <c:spPr>
            <a:solidFill>
              <a:schemeClr val="accent6">
                <a:lumMod val="75000"/>
              </a:schemeClr>
            </a:solidFill>
            <a:ln>
              <a:solidFill>
                <a:schemeClr val="tx1"/>
              </a:solidFill>
            </a:ln>
            <a:effectLst/>
          </c:spPr>
          <c:invertIfNegative val="0"/>
          <c:val>
            <c:numLit>
              <c:formatCode>General</c:formatCode>
              <c:ptCount val="1"/>
              <c:pt idx="0">
                <c:v>0</c:v>
              </c:pt>
            </c:numLit>
          </c:val>
          <c:extLst>
            <c:ext xmlns:c16="http://schemas.microsoft.com/office/drawing/2014/chart" uri="{C3380CC4-5D6E-409C-BE32-E72D297353CC}">
              <c16:uniqueId val="{0000003C-795C-4B2C-A626-FA00660CF168}"/>
            </c:ext>
          </c:extLst>
        </c:ser>
        <c:ser>
          <c:idx val="5"/>
          <c:order val="3"/>
          <c:tx>
            <c:v>Howitzers comitted by non-EU NATO countries</c:v>
          </c:tx>
          <c:spPr>
            <a:solidFill>
              <a:schemeClr val="accent2">
                <a:lumMod val="60000"/>
                <a:lumOff val="40000"/>
              </a:schemeClr>
            </a:solidFill>
            <a:ln>
              <a:solidFill>
                <a:schemeClr val="tx1"/>
              </a:solidFill>
            </a:ln>
            <a:effectLst/>
          </c:spPr>
          <c:invertIfNegative val="0"/>
          <c:val>
            <c:numLit>
              <c:formatCode>General</c:formatCode>
              <c:ptCount val="1"/>
              <c:pt idx="0">
                <c:v>0</c:v>
              </c:pt>
            </c:numLit>
          </c:val>
          <c:extLst>
            <c:ext xmlns:c16="http://schemas.microsoft.com/office/drawing/2014/chart" uri="{C3380CC4-5D6E-409C-BE32-E72D297353CC}">
              <c16:uniqueId val="{0000003B-795C-4B2C-A626-FA00660CF168}"/>
            </c:ext>
          </c:extLst>
        </c:ser>
        <c:ser>
          <c:idx val="4"/>
          <c:order val="4"/>
          <c:tx>
            <c:v>Howitzers comitted by EU countries</c:v>
          </c:tx>
          <c:spPr>
            <a:solidFill>
              <a:schemeClr val="accent2">
                <a:lumMod val="75000"/>
              </a:schemeClr>
            </a:solidFill>
            <a:ln>
              <a:solidFill>
                <a:schemeClr val="tx1"/>
              </a:solidFill>
            </a:ln>
            <a:effectLst/>
          </c:spPr>
          <c:invertIfNegative val="0"/>
          <c:val>
            <c:numLit>
              <c:formatCode>General</c:formatCode>
              <c:ptCount val="1"/>
              <c:pt idx="0">
                <c:v>0</c:v>
              </c:pt>
            </c:numLit>
          </c:val>
          <c:extLst>
            <c:ext xmlns:c16="http://schemas.microsoft.com/office/drawing/2014/chart" uri="{C3380CC4-5D6E-409C-BE32-E72D297353CC}">
              <c16:uniqueId val="{0000003A-795C-4B2C-A626-FA00660CF168}"/>
            </c:ext>
          </c:extLst>
        </c:ser>
        <c:ser>
          <c:idx val="3"/>
          <c:order val="5"/>
          <c:tx>
            <c:v>MLRS comitted by non-EU NATO countries </c:v>
          </c:tx>
          <c:spPr>
            <a:solidFill>
              <a:schemeClr val="accent4">
                <a:lumMod val="60000"/>
                <a:lumOff val="40000"/>
              </a:schemeClr>
            </a:solidFill>
            <a:ln>
              <a:solidFill>
                <a:schemeClr val="tx1"/>
              </a:solidFill>
            </a:ln>
            <a:effectLst/>
          </c:spPr>
          <c:invertIfNegative val="0"/>
          <c:val>
            <c:numLit>
              <c:formatCode>General</c:formatCode>
              <c:ptCount val="1"/>
              <c:pt idx="0">
                <c:v>0</c:v>
              </c:pt>
            </c:numLit>
          </c:val>
          <c:extLst>
            <c:ext xmlns:c16="http://schemas.microsoft.com/office/drawing/2014/chart" uri="{C3380CC4-5D6E-409C-BE32-E72D297353CC}">
              <c16:uniqueId val="{00000039-795C-4B2C-A626-FA00660CF168}"/>
            </c:ext>
          </c:extLst>
        </c:ser>
        <c:ser>
          <c:idx val="2"/>
          <c:order val="6"/>
          <c:tx>
            <c:v>MLRS comitted by EU countries </c:v>
          </c:tx>
          <c:spPr>
            <a:solidFill>
              <a:schemeClr val="accent4">
                <a:lumMod val="75000"/>
              </a:schemeClr>
            </a:solidFill>
            <a:ln>
              <a:solidFill>
                <a:schemeClr val="tx1"/>
              </a:solidFill>
            </a:ln>
            <a:effectLst/>
          </c:spPr>
          <c:invertIfNegative val="0"/>
          <c:val>
            <c:numLit>
              <c:formatCode>General</c:formatCode>
              <c:ptCount val="1"/>
              <c:pt idx="0">
                <c:v>0</c:v>
              </c:pt>
            </c:numLit>
          </c:val>
          <c:extLst>
            <c:ext xmlns:c16="http://schemas.microsoft.com/office/drawing/2014/chart" uri="{C3380CC4-5D6E-409C-BE32-E72D297353CC}">
              <c16:uniqueId val="{00000038-795C-4B2C-A626-FA00660CF168}"/>
            </c:ext>
          </c:extLst>
        </c:ser>
        <c:dLbls>
          <c:showLegendKey val="0"/>
          <c:showVal val="0"/>
          <c:showCatName val="0"/>
          <c:showSerName val="0"/>
          <c:showPercent val="0"/>
          <c:showBubbleSize val="0"/>
        </c:dLbls>
        <c:gapWidth val="54"/>
        <c:overlap val="100"/>
        <c:axId val="124051647"/>
        <c:axId val="124056223"/>
      </c:barChart>
      <c:catAx>
        <c:axId val="124051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124056223"/>
        <c:crosses val="autoZero"/>
        <c:auto val="1"/>
        <c:lblAlgn val="ctr"/>
        <c:lblOffset val="100"/>
        <c:tickLblSkip val="1"/>
        <c:tickMarkSkip val="1"/>
        <c:noMultiLvlLbl val="0"/>
      </c:catAx>
      <c:valAx>
        <c:axId val="1240562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124051647"/>
        <c:crossesAt val="1"/>
        <c:crossBetween val="between"/>
      </c:valAx>
      <c:spPr>
        <a:noFill/>
        <a:ln>
          <a:noFill/>
        </a:ln>
        <a:effectLst/>
      </c:spPr>
    </c:plotArea>
    <c:legend>
      <c:legendPos val="r"/>
      <c:legendEntry>
        <c:idx val="5"/>
        <c:delete val="1"/>
      </c:legendEntry>
      <c:legendEntry>
        <c:idx val="6"/>
        <c:delete val="1"/>
      </c:legendEntry>
      <c:layout>
        <c:manualLayout>
          <c:xMode val="edge"/>
          <c:yMode val="edge"/>
          <c:x val="0.57864953703703714"/>
          <c:y val="5.8505403668391798E-2"/>
          <c:w val="0.24281361729306436"/>
          <c:h val="0.57345760526251366"/>
        </c:manualLayout>
      </c:layout>
      <c:overlay val="0"/>
      <c:spPr>
        <a:solidFill>
          <a:sysClr val="window" lastClr="FFFFFF"/>
        </a:solid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638458251868861"/>
          <c:y val="3.1941248680511895E-2"/>
          <c:w val="0.77759305555555558"/>
          <c:h val="0.90079642808453064"/>
        </c:manualLayout>
      </c:layout>
      <c:barChart>
        <c:barDir val="bar"/>
        <c:grouping val="stacked"/>
        <c:varyColors val="0"/>
        <c:ser>
          <c:idx val="0"/>
          <c:order val="0"/>
          <c:tx>
            <c:strRef>
              <c:f>'Figure A5. Weapon Delivery'!$E$11</c:f>
              <c:strCache>
                <c:ptCount val="1"/>
                <c:pt idx="0">
                  <c:v>Delivered units</c:v>
                </c:pt>
              </c:strCache>
            </c:strRef>
          </c:tx>
          <c:spPr>
            <a:solidFill>
              <a:schemeClr val="accent1"/>
            </a:solidFill>
            <a:ln>
              <a:solidFill>
                <a:schemeClr val="tx1"/>
              </a:solidFill>
            </a:ln>
            <a:effectLst/>
          </c:spPr>
          <c:invertIfNegative val="0"/>
          <c:dPt>
            <c:idx val="0"/>
            <c:invertIfNegative val="0"/>
            <c:bubble3D val="0"/>
            <c:spPr>
              <a:solidFill>
                <a:srgbClr val="2E75B6"/>
              </a:solidFill>
              <a:ln>
                <a:solidFill>
                  <a:schemeClr val="tx1"/>
                </a:solidFill>
              </a:ln>
              <a:effectLst/>
            </c:spPr>
            <c:extLst>
              <c:ext xmlns:c16="http://schemas.microsoft.com/office/drawing/2014/chart" uri="{C3380CC4-5D6E-409C-BE32-E72D297353CC}">
                <c16:uniqueId val="{00000001-3EBC-4BA3-9567-54E446A8065B}"/>
              </c:ext>
            </c:extLst>
          </c:dPt>
          <c:dPt>
            <c:idx val="1"/>
            <c:invertIfNegative val="0"/>
            <c:bubble3D val="0"/>
            <c:spPr>
              <a:solidFill>
                <a:schemeClr val="accent5">
                  <a:lumMod val="75000"/>
                </a:schemeClr>
              </a:solidFill>
              <a:ln>
                <a:solidFill>
                  <a:schemeClr val="tx1"/>
                </a:solidFill>
              </a:ln>
              <a:effectLst/>
            </c:spPr>
            <c:extLst>
              <c:ext xmlns:c16="http://schemas.microsoft.com/office/drawing/2014/chart" uri="{C3380CC4-5D6E-409C-BE32-E72D297353CC}">
                <c16:uniqueId val="{00000003-3EBC-4BA3-9567-54E446A8065B}"/>
              </c:ext>
            </c:extLst>
          </c:dPt>
          <c:dPt>
            <c:idx val="4"/>
            <c:invertIfNegative val="0"/>
            <c:bubble3D val="0"/>
            <c:spPr>
              <a:solidFill>
                <a:srgbClr val="C55A11"/>
              </a:solidFill>
              <a:ln>
                <a:solidFill>
                  <a:schemeClr val="tx1"/>
                </a:solidFill>
              </a:ln>
              <a:effectLst/>
            </c:spPr>
            <c:extLst>
              <c:ext xmlns:c16="http://schemas.microsoft.com/office/drawing/2014/chart" uri="{C3380CC4-5D6E-409C-BE32-E72D297353CC}">
                <c16:uniqueId val="{00000009-3EBC-4BA3-9567-54E446A8065B}"/>
              </c:ext>
            </c:extLst>
          </c:dPt>
          <c:dPt>
            <c:idx val="5"/>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B-3EBC-4BA3-9567-54E446A8065B}"/>
              </c:ext>
            </c:extLst>
          </c:dPt>
          <c:dPt>
            <c:idx val="6"/>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D-3EBC-4BA3-9567-54E446A8065B}"/>
              </c:ext>
            </c:extLst>
          </c:dPt>
          <c:dPt>
            <c:idx val="7"/>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B-5C86-4B0A-916E-B9536B87AF48}"/>
              </c:ext>
            </c:extLst>
          </c:dPt>
          <c:dPt>
            <c:idx val="8"/>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D-5C86-4B0A-916E-B9536B87AF48}"/>
              </c:ext>
            </c:extLst>
          </c:dPt>
          <c:dPt>
            <c:idx val="9"/>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F-3EBC-4BA3-9567-54E446A8065B}"/>
              </c:ext>
            </c:extLst>
          </c:dPt>
          <c:dPt>
            <c:idx val="10"/>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1-3EBC-4BA3-9567-54E446A8065B}"/>
              </c:ext>
            </c:extLst>
          </c:dPt>
          <c:dPt>
            <c:idx val="11"/>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3-3EBC-4BA3-9567-54E446A8065B}"/>
              </c:ext>
            </c:extLst>
          </c:dPt>
          <c:dPt>
            <c:idx val="12"/>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5-3EBC-4BA3-9567-54E446A8065B}"/>
              </c:ext>
            </c:extLst>
          </c:dPt>
          <c:dPt>
            <c:idx val="13"/>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7-3EBC-4BA3-9567-54E446A8065B}"/>
              </c:ext>
            </c:extLst>
          </c:dPt>
          <c:cat>
            <c:multiLvlStrRef>
              <c:f>'Figure A5. Weapon Delivery'!$B$12:$C$25</c:f>
              <c:multiLvlStrCache>
                <c:ptCount val="14"/>
                <c:lvl>
                  <c:pt idx="0">
                    <c:v>Poland</c:v>
                  </c:pt>
                  <c:pt idx="1">
                    <c:v>Czech Republic</c:v>
                  </c:pt>
                  <c:pt idx="2">
                    <c:v>Slovenia</c:v>
                  </c:pt>
                  <c:pt idx="3">
                    <c:v>United Kingdom</c:v>
                  </c:pt>
                  <c:pt idx="4">
                    <c:v>United States</c:v>
                  </c:pt>
                  <c:pt idx="5">
                    <c:v>United Kingdom</c:v>
                  </c:pt>
                  <c:pt idx="6">
                    <c:v>Poland</c:v>
                  </c:pt>
                  <c:pt idx="7">
                    <c:v>Germany</c:v>
                  </c:pt>
                  <c:pt idx="8">
                    <c:v>Italy</c:v>
                  </c:pt>
                  <c:pt idx="9">
                    <c:v>United States</c:v>
                  </c:pt>
                  <c:pt idx="10">
                    <c:v>Czech Republic</c:v>
                  </c:pt>
                  <c:pt idx="11">
                    <c:v>United Kingdom</c:v>
                  </c:pt>
                  <c:pt idx="12">
                    <c:v>Germany</c:v>
                  </c:pt>
                  <c:pt idx="13">
                    <c:v>Norway</c:v>
                  </c:pt>
                </c:lvl>
                <c:lvl>
                  <c:pt idx="0">
                    <c:v>Tanks </c:v>
                  </c:pt>
                  <c:pt idx="4">
                    <c:v>Howitzers (155mm)</c:v>
                  </c:pt>
                  <c:pt idx="9">
                    <c:v>MLRS</c:v>
                  </c:pt>
                </c:lvl>
              </c:multiLvlStrCache>
            </c:multiLvlStrRef>
          </c:cat>
          <c:val>
            <c:numRef>
              <c:f>'Figure A5. Weapon Delivery'!$E$12:$E$25</c:f>
              <c:numCache>
                <c:formatCode>General</c:formatCode>
                <c:ptCount val="14"/>
                <c:pt idx="0">
                  <c:v>300</c:v>
                </c:pt>
                <c:pt idx="1">
                  <c:v>40</c:v>
                </c:pt>
                <c:pt idx="2">
                  <c:v>28</c:v>
                </c:pt>
                <c:pt idx="3">
                  <c:v>0</c:v>
                </c:pt>
                <c:pt idx="4">
                  <c:v>126</c:v>
                </c:pt>
                <c:pt idx="5">
                  <c:v>28</c:v>
                </c:pt>
                <c:pt idx="6">
                  <c:v>54</c:v>
                </c:pt>
                <c:pt idx="7">
                  <c:v>14</c:v>
                </c:pt>
                <c:pt idx="8">
                  <c:v>0</c:v>
                </c:pt>
                <c:pt idx="9">
                  <c:v>16</c:v>
                </c:pt>
                <c:pt idx="10">
                  <c:v>20</c:v>
                </c:pt>
                <c:pt idx="11">
                  <c:v>3</c:v>
                </c:pt>
                <c:pt idx="12">
                  <c:v>5</c:v>
                </c:pt>
                <c:pt idx="13">
                  <c:v>3</c:v>
                </c:pt>
              </c:numCache>
            </c:numRef>
          </c:val>
          <c:extLst>
            <c:ext xmlns:c16="http://schemas.microsoft.com/office/drawing/2014/chart" uri="{C3380CC4-5D6E-409C-BE32-E72D297353CC}">
              <c16:uniqueId val="{00000022-3EBC-4BA3-9567-54E446A8065B}"/>
            </c:ext>
          </c:extLst>
        </c:ser>
        <c:ser>
          <c:idx val="1"/>
          <c:order val="1"/>
          <c:tx>
            <c:strRef>
              <c:f>'Figure A5. Weapon Delivery'!$F$11</c:f>
              <c:strCache>
                <c:ptCount val="1"/>
                <c:pt idx="0">
                  <c:v>To be delivered</c:v>
                </c:pt>
              </c:strCache>
            </c:strRef>
          </c:tx>
          <c:spPr>
            <a:solidFill>
              <a:schemeClr val="accent4">
                <a:lumMod val="40000"/>
                <a:lumOff val="60000"/>
              </a:schemeClr>
            </a:solidFill>
            <a:ln>
              <a:solidFill>
                <a:schemeClr val="tx1"/>
              </a:solidFill>
            </a:ln>
            <a:effectLst/>
          </c:spPr>
          <c:invertIfNegative val="0"/>
          <c:dPt>
            <c:idx val="1"/>
            <c:invertIfNegative val="0"/>
            <c:bubble3D val="0"/>
            <c:spPr>
              <a:solidFill>
                <a:schemeClr val="accent5">
                  <a:lumMod val="60000"/>
                  <a:lumOff val="40000"/>
                </a:schemeClr>
              </a:solidFill>
              <a:ln>
                <a:solidFill>
                  <a:schemeClr val="tx1"/>
                </a:solidFill>
              </a:ln>
              <a:effectLst/>
            </c:spPr>
            <c:extLst>
              <c:ext xmlns:c16="http://schemas.microsoft.com/office/drawing/2014/chart" uri="{C3380CC4-5D6E-409C-BE32-E72D297353CC}">
                <c16:uniqueId val="{00000026-3EBC-4BA3-9567-54E446A8065B}"/>
              </c:ext>
            </c:extLst>
          </c:dPt>
          <c:dPt>
            <c:idx val="3"/>
            <c:invertIfNegative val="0"/>
            <c:bubble3D val="0"/>
            <c:spPr>
              <a:solidFill>
                <a:schemeClr val="accent5">
                  <a:lumMod val="60000"/>
                  <a:lumOff val="40000"/>
                </a:schemeClr>
              </a:solidFill>
              <a:ln>
                <a:solidFill>
                  <a:schemeClr val="tx1"/>
                </a:solidFill>
              </a:ln>
              <a:effectLst/>
            </c:spPr>
            <c:extLst>
              <c:ext xmlns:c16="http://schemas.microsoft.com/office/drawing/2014/chart" uri="{C3380CC4-5D6E-409C-BE32-E72D297353CC}">
                <c16:uniqueId val="{0000002A-3EBC-4BA3-9567-54E446A8065B}"/>
              </c:ext>
            </c:extLst>
          </c:dPt>
          <c:dPt>
            <c:idx val="4"/>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2C-3EBC-4BA3-9567-54E446A8065B}"/>
              </c:ext>
            </c:extLst>
          </c:dPt>
          <c:dPt>
            <c:idx val="5"/>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1F-5C86-4B0A-916E-B9536B87AF48}"/>
              </c:ext>
            </c:extLst>
          </c:dPt>
          <c:dPt>
            <c:idx val="6"/>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2E-3EBC-4BA3-9567-54E446A8065B}"/>
              </c:ext>
            </c:extLst>
          </c:dPt>
          <c:dPt>
            <c:idx val="7"/>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23-5C86-4B0A-916E-B9536B87AF48}"/>
              </c:ext>
            </c:extLst>
          </c:dPt>
          <c:dPt>
            <c:idx val="8"/>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30-3EBC-4BA3-9567-54E446A8065B}"/>
              </c:ext>
            </c:extLst>
          </c:dPt>
          <c:cat>
            <c:multiLvlStrRef>
              <c:f>'Figure A5. Weapon Delivery'!$B$12:$C$25</c:f>
              <c:multiLvlStrCache>
                <c:ptCount val="14"/>
                <c:lvl>
                  <c:pt idx="0">
                    <c:v>Poland</c:v>
                  </c:pt>
                  <c:pt idx="1">
                    <c:v>Czech Republic</c:v>
                  </c:pt>
                  <c:pt idx="2">
                    <c:v>Slovenia</c:v>
                  </c:pt>
                  <c:pt idx="3">
                    <c:v>United Kingdom</c:v>
                  </c:pt>
                  <c:pt idx="4">
                    <c:v>United States</c:v>
                  </c:pt>
                  <c:pt idx="5">
                    <c:v>United Kingdom</c:v>
                  </c:pt>
                  <c:pt idx="6">
                    <c:v>Poland</c:v>
                  </c:pt>
                  <c:pt idx="7">
                    <c:v>Germany</c:v>
                  </c:pt>
                  <c:pt idx="8">
                    <c:v>Italy</c:v>
                  </c:pt>
                  <c:pt idx="9">
                    <c:v>United States</c:v>
                  </c:pt>
                  <c:pt idx="10">
                    <c:v>Czech Republic</c:v>
                  </c:pt>
                  <c:pt idx="11">
                    <c:v>United Kingdom</c:v>
                  </c:pt>
                  <c:pt idx="12">
                    <c:v>Germany</c:v>
                  </c:pt>
                  <c:pt idx="13">
                    <c:v>Norway</c:v>
                  </c:pt>
                </c:lvl>
                <c:lvl>
                  <c:pt idx="0">
                    <c:v>Tanks </c:v>
                  </c:pt>
                  <c:pt idx="4">
                    <c:v>Howitzers (155mm)</c:v>
                  </c:pt>
                  <c:pt idx="9">
                    <c:v>MLRS</c:v>
                  </c:pt>
                </c:lvl>
              </c:multiLvlStrCache>
            </c:multiLvlStrRef>
          </c:cat>
          <c:val>
            <c:numRef>
              <c:f>'Figure A5. Weapon Delivery'!$F$12:$F$25</c:f>
              <c:numCache>
                <c:formatCode>0</c:formatCode>
                <c:ptCount val="14"/>
                <c:pt idx="0">
                  <c:v>0</c:v>
                </c:pt>
                <c:pt idx="1">
                  <c:v>90</c:v>
                </c:pt>
                <c:pt idx="2">
                  <c:v>0</c:v>
                </c:pt>
                <c:pt idx="3">
                  <c:v>14</c:v>
                </c:pt>
                <c:pt idx="4">
                  <c:v>18</c:v>
                </c:pt>
                <c:pt idx="5">
                  <c:v>30</c:v>
                </c:pt>
                <c:pt idx="6">
                  <c:v>0</c:v>
                </c:pt>
                <c:pt idx="7">
                  <c:v>23</c:v>
                </c:pt>
                <c:pt idx="8">
                  <c:v>36</c:v>
                </c:pt>
                <c:pt idx="9">
                  <c:v>22</c:v>
                </c:pt>
                <c:pt idx="10">
                  <c:v>0</c:v>
                </c:pt>
                <c:pt idx="11">
                  <c:v>3</c:v>
                </c:pt>
                <c:pt idx="12">
                  <c:v>0</c:v>
                </c:pt>
                <c:pt idx="13">
                  <c:v>0</c:v>
                </c:pt>
              </c:numCache>
            </c:numRef>
          </c:val>
          <c:extLst>
            <c:ext xmlns:c16="http://schemas.microsoft.com/office/drawing/2014/chart" uri="{C3380CC4-5D6E-409C-BE32-E72D297353CC}">
              <c16:uniqueId val="{0000003B-3EBC-4BA3-9567-54E446A8065B}"/>
            </c:ext>
          </c:extLst>
        </c:ser>
        <c:dLbls>
          <c:showLegendKey val="0"/>
          <c:showVal val="0"/>
          <c:showCatName val="0"/>
          <c:showSerName val="0"/>
          <c:showPercent val="0"/>
          <c:showBubbleSize val="0"/>
        </c:dLbls>
        <c:gapWidth val="110"/>
        <c:overlap val="100"/>
        <c:axId val="825191296"/>
        <c:axId val="825182560"/>
        <c:extLst/>
      </c:barChart>
      <c:catAx>
        <c:axId val="825191296"/>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825182560"/>
        <c:crosses val="autoZero"/>
        <c:auto val="1"/>
        <c:lblAlgn val="ctr"/>
        <c:lblOffset val="100"/>
        <c:noMultiLvlLbl val="0"/>
      </c:catAx>
      <c:valAx>
        <c:axId val="825182560"/>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825191296"/>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638458251868861"/>
          <c:y val="3.1941248680511895E-2"/>
          <c:w val="0.77759305555555558"/>
          <c:h val="0.90079642808453064"/>
        </c:manualLayout>
      </c:layout>
      <c:barChart>
        <c:barDir val="bar"/>
        <c:grouping val="stacked"/>
        <c:varyColors val="0"/>
        <c:ser>
          <c:idx val="0"/>
          <c:order val="0"/>
          <c:tx>
            <c:strRef>
              <c:f>'Figure A5. Weapon Delivery'!$E$11</c:f>
              <c:strCache>
                <c:ptCount val="1"/>
                <c:pt idx="0">
                  <c:v>Delivered units</c:v>
                </c:pt>
              </c:strCache>
            </c:strRef>
          </c:tx>
          <c:spPr>
            <a:solidFill>
              <a:schemeClr val="accent1"/>
            </a:solidFill>
            <a:ln>
              <a:solidFill>
                <a:schemeClr val="tx1"/>
              </a:solidFill>
            </a:ln>
            <a:effectLst/>
          </c:spPr>
          <c:invertIfNegative val="0"/>
          <c:dPt>
            <c:idx val="0"/>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1-C51F-4251-BAC3-9AD9C84DBB67}"/>
              </c:ext>
            </c:extLst>
          </c:dPt>
          <c:dPt>
            <c:idx val="1"/>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3-C51F-4251-BAC3-9AD9C84DBB67}"/>
              </c:ext>
            </c:extLst>
          </c:dPt>
          <c:dPt>
            <c:idx val="2"/>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5-C51F-4251-BAC3-9AD9C84DBB67}"/>
              </c:ext>
            </c:extLst>
          </c:dPt>
          <c:dPt>
            <c:idx val="3"/>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7-C51F-4251-BAC3-9AD9C84DBB67}"/>
              </c:ext>
            </c:extLst>
          </c:dPt>
          <c:dPt>
            <c:idx val="4"/>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9-C51F-4251-BAC3-9AD9C84DBB67}"/>
              </c:ext>
            </c:extLst>
          </c:dPt>
          <c:cat>
            <c:multiLvlStrRef>
              <c:f>'Figure A5. Weapon Delivery'!$B$21:$C$25</c:f>
              <c:multiLvlStrCache>
                <c:ptCount val="5"/>
                <c:lvl>
                  <c:pt idx="0">
                    <c:v>United States</c:v>
                  </c:pt>
                  <c:pt idx="1">
                    <c:v>Czech Republic</c:v>
                  </c:pt>
                  <c:pt idx="2">
                    <c:v>United Kingdom</c:v>
                  </c:pt>
                  <c:pt idx="3">
                    <c:v>Germany</c:v>
                  </c:pt>
                  <c:pt idx="4">
                    <c:v>Norway</c:v>
                  </c:pt>
                </c:lvl>
                <c:lvl>
                  <c:pt idx="0">
                    <c:v>MLRS</c:v>
                  </c:pt>
                </c:lvl>
              </c:multiLvlStrCache>
            </c:multiLvlStrRef>
          </c:cat>
          <c:val>
            <c:numRef>
              <c:f>'Figure A5. Weapon Delivery'!$E$21:$E$25</c:f>
              <c:numCache>
                <c:formatCode>General</c:formatCode>
                <c:ptCount val="5"/>
                <c:pt idx="0">
                  <c:v>16</c:v>
                </c:pt>
                <c:pt idx="1">
                  <c:v>20</c:v>
                </c:pt>
                <c:pt idx="2">
                  <c:v>3</c:v>
                </c:pt>
                <c:pt idx="3">
                  <c:v>5</c:v>
                </c:pt>
                <c:pt idx="4">
                  <c:v>3</c:v>
                </c:pt>
              </c:numCache>
            </c:numRef>
          </c:val>
          <c:extLst>
            <c:ext xmlns:c16="http://schemas.microsoft.com/office/drawing/2014/chart" uri="{C3380CC4-5D6E-409C-BE32-E72D297353CC}">
              <c16:uniqueId val="{0000000A-C51F-4251-BAC3-9AD9C84DBB67}"/>
            </c:ext>
          </c:extLst>
        </c:ser>
        <c:ser>
          <c:idx val="1"/>
          <c:order val="1"/>
          <c:tx>
            <c:strRef>
              <c:f>'Figure A5. Weapon Delivery'!$F$11</c:f>
              <c:strCache>
                <c:ptCount val="1"/>
                <c:pt idx="0">
                  <c:v>To be delivered</c:v>
                </c:pt>
              </c:strCache>
            </c:strRef>
          </c:tx>
          <c:spPr>
            <a:solidFill>
              <a:schemeClr val="accent4">
                <a:lumMod val="40000"/>
                <a:lumOff val="60000"/>
              </a:schemeClr>
            </a:solidFill>
            <a:ln>
              <a:solidFill>
                <a:schemeClr val="tx1"/>
              </a:solidFill>
            </a:ln>
            <a:effectLst/>
          </c:spPr>
          <c:invertIfNegative val="0"/>
          <c:cat>
            <c:multiLvlStrRef>
              <c:f>'Figure A5. Weapon Delivery'!$B$21:$C$25</c:f>
              <c:multiLvlStrCache>
                <c:ptCount val="5"/>
                <c:lvl>
                  <c:pt idx="0">
                    <c:v>United States</c:v>
                  </c:pt>
                  <c:pt idx="1">
                    <c:v>Czech Republic</c:v>
                  </c:pt>
                  <c:pt idx="2">
                    <c:v>United Kingdom</c:v>
                  </c:pt>
                  <c:pt idx="3">
                    <c:v>Germany</c:v>
                  </c:pt>
                  <c:pt idx="4">
                    <c:v>Norway</c:v>
                  </c:pt>
                </c:lvl>
                <c:lvl>
                  <c:pt idx="0">
                    <c:v>MLRS</c:v>
                  </c:pt>
                </c:lvl>
              </c:multiLvlStrCache>
            </c:multiLvlStrRef>
          </c:cat>
          <c:val>
            <c:numRef>
              <c:f>'Figure A5. Weapon Delivery'!$F$21:$F$25</c:f>
              <c:numCache>
                <c:formatCode>0</c:formatCode>
                <c:ptCount val="5"/>
                <c:pt idx="0">
                  <c:v>22</c:v>
                </c:pt>
                <c:pt idx="1">
                  <c:v>0</c:v>
                </c:pt>
                <c:pt idx="2">
                  <c:v>3</c:v>
                </c:pt>
                <c:pt idx="3">
                  <c:v>0</c:v>
                </c:pt>
                <c:pt idx="4">
                  <c:v>0</c:v>
                </c:pt>
              </c:numCache>
            </c:numRef>
          </c:val>
          <c:extLst>
            <c:ext xmlns:c16="http://schemas.microsoft.com/office/drawing/2014/chart" uri="{C3380CC4-5D6E-409C-BE32-E72D297353CC}">
              <c16:uniqueId val="{0000000B-C51F-4251-BAC3-9AD9C84DBB67}"/>
            </c:ext>
          </c:extLst>
        </c:ser>
        <c:dLbls>
          <c:showLegendKey val="0"/>
          <c:showVal val="0"/>
          <c:showCatName val="0"/>
          <c:showSerName val="0"/>
          <c:showPercent val="0"/>
          <c:showBubbleSize val="0"/>
        </c:dLbls>
        <c:gapWidth val="110"/>
        <c:overlap val="100"/>
        <c:axId val="825191296"/>
        <c:axId val="825182560"/>
        <c:extLst/>
      </c:barChart>
      <c:catAx>
        <c:axId val="825191296"/>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825182560"/>
        <c:crosses val="autoZero"/>
        <c:auto val="1"/>
        <c:lblAlgn val="ctr"/>
        <c:lblOffset val="100"/>
        <c:noMultiLvlLbl val="0"/>
      </c:catAx>
      <c:valAx>
        <c:axId val="825182560"/>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high"/>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825191296"/>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605123578302713"/>
          <c:y val="1.4074447230952877E-2"/>
          <c:w val="0.74722440944881896"/>
          <c:h val="0.94124085444144956"/>
        </c:manualLayout>
      </c:layout>
      <c:barChart>
        <c:barDir val="bar"/>
        <c:grouping val="stacked"/>
        <c:varyColors val="0"/>
        <c:ser>
          <c:idx val="0"/>
          <c:order val="0"/>
          <c:tx>
            <c:strRef>
              <c:f>'Data Transparency Index'!$C$12</c:f>
              <c:strCache>
                <c:ptCount val="1"/>
                <c:pt idx="0">
                  <c:v>Designated Website (1=Yes)</c:v>
                </c:pt>
              </c:strCache>
            </c:strRef>
          </c:tx>
          <c:spPr>
            <a:solidFill>
              <a:schemeClr val="accent6">
                <a:lumMod val="75000"/>
              </a:schemeClr>
            </a:solidFill>
            <a:ln>
              <a:solidFill>
                <a:schemeClr val="tx1"/>
              </a:solidFill>
            </a:ln>
            <a:effectLst/>
          </c:spPr>
          <c:invertIfNegative val="0"/>
          <c:cat>
            <c:strRef>
              <c:f>'Data Transparency Index'!$B$14:$B$54</c:f>
              <c:strCache>
                <c:ptCount val="41"/>
                <c:pt idx="0">
                  <c:v>Switzerland</c:v>
                </c:pt>
                <c:pt idx="1">
                  <c:v>Denmark</c:v>
                </c:pt>
                <c:pt idx="2">
                  <c:v>United States</c:v>
                </c:pt>
                <c:pt idx="3">
                  <c:v>Australia</c:v>
                </c:pt>
                <c:pt idx="4">
                  <c:v>Sweden</c:v>
                </c:pt>
                <c:pt idx="5">
                  <c:v>Netherlands</c:v>
                </c:pt>
                <c:pt idx="6">
                  <c:v>Finland</c:v>
                </c:pt>
                <c:pt idx="7">
                  <c:v>Canada</c:v>
                </c:pt>
                <c:pt idx="8">
                  <c:v>New Zealand</c:v>
                </c:pt>
                <c:pt idx="9">
                  <c:v>Ireland</c:v>
                </c:pt>
                <c:pt idx="10">
                  <c:v>Norway</c:v>
                </c:pt>
                <c:pt idx="11">
                  <c:v>Estonia</c:v>
                </c:pt>
                <c:pt idx="12">
                  <c:v>Germany</c:v>
                </c:pt>
                <c:pt idx="13">
                  <c:v>EU (Commission and Council)</c:v>
                </c:pt>
                <c:pt idx="14">
                  <c:v>Lithuania</c:v>
                </c:pt>
                <c:pt idx="15">
                  <c:v>Malta</c:v>
                </c:pt>
                <c:pt idx="16">
                  <c:v>Japan</c:v>
                </c:pt>
                <c:pt idx="17">
                  <c:v>Austria</c:v>
                </c:pt>
                <c:pt idx="18">
                  <c:v>United Kingdom</c:v>
                </c:pt>
                <c:pt idx="19">
                  <c:v>Luxembourg</c:v>
                </c:pt>
                <c:pt idx="20">
                  <c:v>Cyprus</c:v>
                </c:pt>
                <c:pt idx="21">
                  <c:v>South Korea</c:v>
                </c:pt>
                <c:pt idx="22">
                  <c:v>Belgium</c:v>
                </c:pt>
                <c:pt idx="23">
                  <c:v>Italy</c:v>
                </c:pt>
                <c:pt idx="24">
                  <c:v>Croatia</c:v>
                </c:pt>
                <c:pt idx="25">
                  <c:v>Latvia</c:v>
                </c:pt>
                <c:pt idx="26">
                  <c:v>Bulgaria</c:v>
                </c:pt>
                <c:pt idx="27">
                  <c:v>Czech Republic</c:v>
                </c:pt>
                <c:pt idx="28">
                  <c:v>Romania</c:v>
                </c:pt>
                <c:pt idx="29">
                  <c:v>Taiwan</c:v>
                </c:pt>
                <c:pt idx="30">
                  <c:v>France</c:v>
                </c:pt>
                <c:pt idx="31">
                  <c:v>Slovakia</c:v>
                </c:pt>
                <c:pt idx="32">
                  <c:v>China</c:v>
                </c:pt>
                <c:pt idx="33">
                  <c:v>Hungary</c:v>
                </c:pt>
                <c:pt idx="34">
                  <c:v>India</c:v>
                </c:pt>
                <c:pt idx="35">
                  <c:v>Slovenia</c:v>
                </c:pt>
                <c:pt idx="36">
                  <c:v>Turkey</c:v>
                </c:pt>
                <c:pt idx="37">
                  <c:v>Poland</c:v>
                </c:pt>
                <c:pt idx="38">
                  <c:v>Greece</c:v>
                </c:pt>
                <c:pt idx="39">
                  <c:v>Spain</c:v>
                </c:pt>
                <c:pt idx="40">
                  <c:v>Portugal</c:v>
                </c:pt>
              </c:strCache>
            </c:strRef>
          </c:cat>
          <c:val>
            <c:numRef>
              <c:f>'Data Transparency Index'!$C$14:$C$54</c:f>
              <c:numCache>
                <c:formatCode>0</c:formatCode>
                <c:ptCount val="4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0</c:v>
                </c:pt>
                <c:pt idx="20">
                  <c:v>0</c:v>
                </c:pt>
                <c:pt idx="21">
                  <c:v>1</c:v>
                </c:pt>
                <c:pt idx="22">
                  <c:v>0</c:v>
                </c:pt>
                <c:pt idx="23">
                  <c:v>1</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DFFC-C14D-8B46-820556A630F5}"/>
            </c:ext>
          </c:extLst>
        </c:ser>
        <c:ser>
          <c:idx val="1"/>
          <c:order val="1"/>
          <c:tx>
            <c:strRef>
              <c:f>'Data Transparency Index'!$D$12</c:f>
              <c:strCache>
                <c:ptCount val="1"/>
                <c:pt idx="0">
                  <c:v>Total value of commitments given (1=Yes)</c:v>
                </c:pt>
              </c:strCache>
            </c:strRef>
          </c:tx>
          <c:spPr>
            <a:solidFill>
              <a:schemeClr val="accent6"/>
            </a:solidFill>
            <a:ln>
              <a:solidFill>
                <a:schemeClr val="tx1"/>
              </a:solidFill>
            </a:ln>
            <a:effectLst/>
          </c:spPr>
          <c:invertIfNegative val="0"/>
          <c:cat>
            <c:strRef>
              <c:f>'Data Transparency Index'!$B$14:$B$54</c:f>
              <c:strCache>
                <c:ptCount val="41"/>
                <c:pt idx="0">
                  <c:v>Switzerland</c:v>
                </c:pt>
                <c:pt idx="1">
                  <c:v>Denmark</c:v>
                </c:pt>
                <c:pt idx="2">
                  <c:v>United States</c:v>
                </c:pt>
                <c:pt idx="3">
                  <c:v>Australia</c:v>
                </c:pt>
                <c:pt idx="4">
                  <c:v>Sweden</c:v>
                </c:pt>
                <c:pt idx="5">
                  <c:v>Netherlands</c:v>
                </c:pt>
                <c:pt idx="6">
                  <c:v>Finland</c:v>
                </c:pt>
                <c:pt idx="7">
                  <c:v>Canada</c:v>
                </c:pt>
                <c:pt idx="8">
                  <c:v>New Zealand</c:v>
                </c:pt>
                <c:pt idx="9">
                  <c:v>Ireland</c:v>
                </c:pt>
                <c:pt idx="10">
                  <c:v>Norway</c:v>
                </c:pt>
                <c:pt idx="11">
                  <c:v>Estonia</c:v>
                </c:pt>
                <c:pt idx="12">
                  <c:v>Germany</c:v>
                </c:pt>
                <c:pt idx="13">
                  <c:v>EU (Commission and Council)</c:v>
                </c:pt>
                <c:pt idx="14">
                  <c:v>Lithuania</c:v>
                </c:pt>
                <c:pt idx="15">
                  <c:v>Malta</c:v>
                </c:pt>
                <c:pt idx="16">
                  <c:v>Japan</c:v>
                </c:pt>
                <c:pt idx="17">
                  <c:v>Austria</c:v>
                </c:pt>
                <c:pt idx="18">
                  <c:v>United Kingdom</c:v>
                </c:pt>
                <c:pt idx="19">
                  <c:v>Luxembourg</c:v>
                </c:pt>
                <c:pt idx="20">
                  <c:v>Cyprus</c:v>
                </c:pt>
                <c:pt idx="21">
                  <c:v>South Korea</c:v>
                </c:pt>
                <c:pt idx="22">
                  <c:v>Belgium</c:v>
                </c:pt>
                <c:pt idx="23">
                  <c:v>Italy</c:v>
                </c:pt>
                <c:pt idx="24">
                  <c:v>Croatia</c:v>
                </c:pt>
                <c:pt idx="25">
                  <c:v>Latvia</c:v>
                </c:pt>
                <c:pt idx="26">
                  <c:v>Bulgaria</c:v>
                </c:pt>
                <c:pt idx="27">
                  <c:v>Czech Republic</c:v>
                </c:pt>
                <c:pt idx="28">
                  <c:v>Romania</c:v>
                </c:pt>
                <c:pt idx="29">
                  <c:v>Taiwan</c:v>
                </c:pt>
                <c:pt idx="30">
                  <c:v>France</c:v>
                </c:pt>
                <c:pt idx="31">
                  <c:v>Slovakia</c:v>
                </c:pt>
                <c:pt idx="32">
                  <c:v>China</c:v>
                </c:pt>
                <c:pt idx="33">
                  <c:v>Hungary</c:v>
                </c:pt>
                <c:pt idx="34">
                  <c:v>India</c:v>
                </c:pt>
                <c:pt idx="35">
                  <c:v>Slovenia</c:v>
                </c:pt>
                <c:pt idx="36">
                  <c:v>Turkey</c:v>
                </c:pt>
                <c:pt idx="37">
                  <c:v>Poland</c:v>
                </c:pt>
                <c:pt idx="38">
                  <c:v>Greece</c:v>
                </c:pt>
                <c:pt idx="39">
                  <c:v>Spain</c:v>
                </c:pt>
                <c:pt idx="40">
                  <c:v>Portugal</c:v>
                </c:pt>
              </c:strCache>
            </c:strRef>
          </c:cat>
          <c:val>
            <c:numRef>
              <c:f>'Data Transparency Index'!$D$14:$D$54</c:f>
              <c:numCache>
                <c:formatCode>0</c:formatCode>
                <c:ptCount val="41"/>
                <c:pt idx="0">
                  <c:v>1</c:v>
                </c:pt>
                <c:pt idx="1">
                  <c:v>1</c:v>
                </c:pt>
                <c:pt idx="2">
                  <c:v>1</c:v>
                </c:pt>
                <c:pt idx="3">
                  <c:v>1</c:v>
                </c:pt>
                <c:pt idx="4">
                  <c:v>1</c:v>
                </c:pt>
                <c:pt idx="5">
                  <c:v>1</c:v>
                </c:pt>
                <c:pt idx="6">
                  <c:v>1</c:v>
                </c:pt>
                <c:pt idx="7">
                  <c:v>1</c:v>
                </c:pt>
                <c:pt idx="8">
                  <c:v>1</c:v>
                </c:pt>
                <c:pt idx="9">
                  <c:v>1</c:v>
                </c:pt>
                <c:pt idx="10">
                  <c:v>1</c:v>
                </c:pt>
                <c:pt idx="11">
                  <c:v>1</c:v>
                </c:pt>
                <c:pt idx="12">
                  <c:v>0</c:v>
                </c:pt>
                <c:pt idx="13">
                  <c:v>0</c:v>
                </c:pt>
                <c:pt idx="14">
                  <c:v>1</c:v>
                </c:pt>
                <c:pt idx="15">
                  <c:v>0</c:v>
                </c:pt>
                <c:pt idx="16">
                  <c:v>1</c:v>
                </c:pt>
                <c:pt idx="17">
                  <c:v>0</c:v>
                </c:pt>
                <c:pt idx="18">
                  <c:v>0</c:v>
                </c:pt>
                <c:pt idx="19">
                  <c:v>0</c:v>
                </c:pt>
                <c:pt idx="20">
                  <c:v>0</c:v>
                </c:pt>
                <c:pt idx="21">
                  <c:v>0</c:v>
                </c:pt>
                <c:pt idx="22">
                  <c:v>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1-DFFC-C14D-8B46-820556A630F5}"/>
            </c:ext>
          </c:extLst>
        </c:ser>
        <c:ser>
          <c:idx val="2"/>
          <c:order val="2"/>
          <c:tx>
            <c:strRef>
              <c:f>'Data Transparency Index'!$E$12</c:f>
              <c:strCache>
                <c:ptCount val="1"/>
                <c:pt idx="0">
                  <c:v>Monetary value of individual items given by source (share)</c:v>
                </c:pt>
              </c:strCache>
            </c:strRef>
          </c:tx>
          <c:spPr>
            <a:solidFill>
              <a:schemeClr val="accent6">
                <a:lumMod val="60000"/>
                <a:lumOff val="40000"/>
              </a:schemeClr>
            </a:solidFill>
            <a:ln>
              <a:solidFill>
                <a:schemeClr val="tx1"/>
              </a:solidFill>
            </a:ln>
            <a:effectLst/>
          </c:spPr>
          <c:invertIfNegative val="0"/>
          <c:cat>
            <c:strRef>
              <c:f>'Data Transparency Index'!$B$14:$B$54</c:f>
              <c:strCache>
                <c:ptCount val="41"/>
                <c:pt idx="0">
                  <c:v>Switzerland</c:v>
                </c:pt>
                <c:pt idx="1">
                  <c:v>Denmark</c:v>
                </c:pt>
                <c:pt idx="2">
                  <c:v>United States</c:v>
                </c:pt>
                <c:pt idx="3">
                  <c:v>Australia</c:v>
                </c:pt>
                <c:pt idx="4">
                  <c:v>Sweden</c:v>
                </c:pt>
                <c:pt idx="5">
                  <c:v>Netherlands</c:v>
                </c:pt>
                <c:pt idx="6">
                  <c:v>Finland</c:v>
                </c:pt>
                <c:pt idx="7">
                  <c:v>Canada</c:v>
                </c:pt>
                <c:pt idx="8">
                  <c:v>New Zealand</c:v>
                </c:pt>
                <c:pt idx="9">
                  <c:v>Ireland</c:v>
                </c:pt>
                <c:pt idx="10">
                  <c:v>Norway</c:v>
                </c:pt>
                <c:pt idx="11">
                  <c:v>Estonia</c:v>
                </c:pt>
                <c:pt idx="12">
                  <c:v>Germany</c:v>
                </c:pt>
                <c:pt idx="13">
                  <c:v>EU (Commission and Council)</c:v>
                </c:pt>
                <c:pt idx="14">
                  <c:v>Lithuania</c:v>
                </c:pt>
                <c:pt idx="15">
                  <c:v>Malta</c:v>
                </c:pt>
                <c:pt idx="16">
                  <c:v>Japan</c:v>
                </c:pt>
                <c:pt idx="17">
                  <c:v>Austria</c:v>
                </c:pt>
                <c:pt idx="18">
                  <c:v>United Kingdom</c:v>
                </c:pt>
                <c:pt idx="19">
                  <c:v>Luxembourg</c:v>
                </c:pt>
                <c:pt idx="20">
                  <c:v>Cyprus</c:v>
                </c:pt>
                <c:pt idx="21">
                  <c:v>South Korea</c:v>
                </c:pt>
                <c:pt idx="22">
                  <c:v>Belgium</c:v>
                </c:pt>
                <c:pt idx="23">
                  <c:v>Italy</c:v>
                </c:pt>
                <c:pt idx="24">
                  <c:v>Croatia</c:v>
                </c:pt>
                <c:pt idx="25">
                  <c:v>Latvia</c:v>
                </c:pt>
                <c:pt idx="26">
                  <c:v>Bulgaria</c:v>
                </c:pt>
                <c:pt idx="27">
                  <c:v>Czech Republic</c:v>
                </c:pt>
                <c:pt idx="28">
                  <c:v>Romania</c:v>
                </c:pt>
                <c:pt idx="29">
                  <c:v>Taiwan</c:v>
                </c:pt>
                <c:pt idx="30">
                  <c:v>France</c:v>
                </c:pt>
                <c:pt idx="31">
                  <c:v>Slovakia</c:v>
                </c:pt>
                <c:pt idx="32">
                  <c:v>China</c:v>
                </c:pt>
                <c:pt idx="33">
                  <c:v>Hungary</c:v>
                </c:pt>
                <c:pt idx="34">
                  <c:v>India</c:v>
                </c:pt>
                <c:pt idx="35">
                  <c:v>Slovenia</c:v>
                </c:pt>
                <c:pt idx="36">
                  <c:v>Turkey</c:v>
                </c:pt>
                <c:pt idx="37">
                  <c:v>Poland</c:v>
                </c:pt>
                <c:pt idx="38">
                  <c:v>Greece</c:v>
                </c:pt>
                <c:pt idx="39">
                  <c:v>Spain</c:v>
                </c:pt>
                <c:pt idx="40">
                  <c:v>Portugal</c:v>
                </c:pt>
              </c:strCache>
            </c:strRef>
          </c:cat>
          <c:val>
            <c:numRef>
              <c:f>'Data Transparency Index'!$E$14:$E$54</c:f>
              <c:numCache>
                <c:formatCode>0.00</c:formatCode>
                <c:ptCount val="41"/>
                <c:pt idx="0">
                  <c:v>1</c:v>
                </c:pt>
                <c:pt idx="1">
                  <c:v>1</c:v>
                </c:pt>
                <c:pt idx="2">
                  <c:v>1</c:v>
                </c:pt>
                <c:pt idx="3">
                  <c:v>0.96</c:v>
                </c:pt>
                <c:pt idx="4">
                  <c:v>0.84</c:v>
                </c:pt>
                <c:pt idx="5">
                  <c:v>0.77777777777777779</c:v>
                </c:pt>
                <c:pt idx="6">
                  <c:v>0.47368421052631576</c:v>
                </c:pt>
                <c:pt idx="7">
                  <c:v>0.79166666666666663</c:v>
                </c:pt>
                <c:pt idx="8">
                  <c:v>0.53846153846153844</c:v>
                </c:pt>
                <c:pt idx="9">
                  <c:v>0.36363636363636365</c:v>
                </c:pt>
                <c:pt idx="10">
                  <c:v>0.31578947368421051</c:v>
                </c:pt>
                <c:pt idx="11">
                  <c:v>0.7857142857142857</c:v>
                </c:pt>
                <c:pt idx="12">
                  <c:v>0.96551724137931039</c:v>
                </c:pt>
                <c:pt idx="13">
                  <c:v>0.90909090909090906</c:v>
                </c:pt>
                <c:pt idx="14">
                  <c:v>0.69444444444444442</c:v>
                </c:pt>
                <c:pt idx="15">
                  <c:v>1</c:v>
                </c:pt>
                <c:pt idx="16">
                  <c:v>0.45454545454545453</c:v>
                </c:pt>
                <c:pt idx="17">
                  <c:v>0.38461538461538464</c:v>
                </c:pt>
                <c:pt idx="18">
                  <c:v>0.59459459459459463</c:v>
                </c:pt>
                <c:pt idx="19">
                  <c:v>0.92592592592592593</c:v>
                </c:pt>
                <c:pt idx="20">
                  <c:v>1</c:v>
                </c:pt>
                <c:pt idx="21">
                  <c:v>1</c:v>
                </c:pt>
                <c:pt idx="22">
                  <c:v>1</c:v>
                </c:pt>
                <c:pt idx="23">
                  <c:v>0.23076923076923078</c:v>
                </c:pt>
                <c:pt idx="24">
                  <c:v>1</c:v>
                </c:pt>
                <c:pt idx="25">
                  <c:v>0.85</c:v>
                </c:pt>
                <c:pt idx="26">
                  <c:v>0.7</c:v>
                </c:pt>
                <c:pt idx="27">
                  <c:v>0.78431372549019607</c:v>
                </c:pt>
                <c:pt idx="28">
                  <c:v>0.33333333333333331</c:v>
                </c:pt>
                <c:pt idx="29">
                  <c:v>1</c:v>
                </c:pt>
                <c:pt idx="30">
                  <c:v>0.44776119402985076</c:v>
                </c:pt>
                <c:pt idx="31">
                  <c:v>0.76190476190476186</c:v>
                </c:pt>
                <c:pt idx="32">
                  <c:v>1</c:v>
                </c:pt>
                <c:pt idx="33">
                  <c:v>0.375</c:v>
                </c:pt>
                <c:pt idx="34">
                  <c:v>0</c:v>
                </c:pt>
                <c:pt idx="35">
                  <c:v>0.83333333333333337</c:v>
                </c:pt>
                <c:pt idx="36">
                  <c:v>0</c:v>
                </c:pt>
                <c:pt idx="37">
                  <c:v>0.65217391304347827</c:v>
                </c:pt>
                <c:pt idx="38">
                  <c:v>0</c:v>
                </c:pt>
                <c:pt idx="39">
                  <c:v>0.19444444444444445</c:v>
                </c:pt>
                <c:pt idx="40">
                  <c:v>0.2</c:v>
                </c:pt>
              </c:numCache>
            </c:numRef>
          </c:val>
          <c:extLst>
            <c:ext xmlns:c16="http://schemas.microsoft.com/office/drawing/2014/chart" uri="{C3380CC4-5D6E-409C-BE32-E72D297353CC}">
              <c16:uniqueId val="{00000002-DFFC-C14D-8B46-820556A630F5}"/>
            </c:ext>
          </c:extLst>
        </c:ser>
        <c:ser>
          <c:idx val="3"/>
          <c:order val="3"/>
          <c:tx>
            <c:strRef>
              <c:f>'Data Transparency Index'!$F$12</c:f>
              <c:strCache>
                <c:ptCount val="1"/>
                <c:pt idx="0">
                  <c:v>Government information on individual items (share)</c:v>
                </c:pt>
              </c:strCache>
            </c:strRef>
          </c:tx>
          <c:spPr>
            <a:solidFill>
              <a:schemeClr val="accent6">
                <a:lumMod val="40000"/>
                <a:lumOff val="60000"/>
              </a:schemeClr>
            </a:solidFill>
            <a:ln>
              <a:solidFill>
                <a:schemeClr val="tx1"/>
              </a:solidFill>
            </a:ln>
            <a:effectLst/>
          </c:spPr>
          <c:invertIfNegative val="0"/>
          <c:cat>
            <c:strRef>
              <c:f>'Data Transparency Index'!$B$14:$B$54</c:f>
              <c:strCache>
                <c:ptCount val="41"/>
                <c:pt idx="0">
                  <c:v>Switzerland</c:v>
                </c:pt>
                <c:pt idx="1">
                  <c:v>Denmark</c:v>
                </c:pt>
                <c:pt idx="2">
                  <c:v>United States</c:v>
                </c:pt>
                <c:pt idx="3">
                  <c:v>Australia</c:v>
                </c:pt>
                <c:pt idx="4">
                  <c:v>Sweden</c:v>
                </c:pt>
                <c:pt idx="5">
                  <c:v>Netherlands</c:v>
                </c:pt>
                <c:pt idx="6">
                  <c:v>Finland</c:v>
                </c:pt>
                <c:pt idx="7">
                  <c:v>Canada</c:v>
                </c:pt>
                <c:pt idx="8">
                  <c:v>New Zealand</c:v>
                </c:pt>
                <c:pt idx="9">
                  <c:v>Ireland</c:v>
                </c:pt>
                <c:pt idx="10">
                  <c:v>Norway</c:v>
                </c:pt>
                <c:pt idx="11">
                  <c:v>Estonia</c:v>
                </c:pt>
                <c:pt idx="12">
                  <c:v>Germany</c:v>
                </c:pt>
                <c:pt idx="13">
                  <c:v>EU (Commission and Council)</c:v>
                </c:pt>
                <c:pt idx="14">
                  <c:v>Lithuania</c:v>
                </c:pt>
                <c:pt idx="15">
                  <c:v>Malta</c:v>
                </c:pt>
                <c:pt idx="16">
                  <c:v>Japan</c:v>
                </c:pt>
                <c:pt idx="17">
                  <c:v>Austria</c:v>
                </c:pt>
                <c:pt idx="18">
                  <c:v>United Kingdom</c:v>
                </c:pt>
                <c:pt idx="19">
                  <c:v>Luxembourg</c:v>
                </c:pt>
                <c:pt idx="20">
                  <c:v>Cyprus</c:v>
                </c:pt>
                <c:pt idx="21">
                  <c:v>South Korea</c:v>
                </c:pt>
                <c:pt idx="22">
                  <c:v>Belgium</c:v>
                </c:pt>
                <c:pt idx="23">
                  <c:v>Italy</c:v>
                </c:pt>
                <c:pt idx="24">
                  <c:v>Croatia</c:v>
                </c:pt>
                <c:pt idx="25">
                  <c:v>Latvia</c:v>
                </c:pt>
                <c:pt idx="26">
                  <c:v>Bulgaria</c:v>
                </c:pt>
                <c:pt idx="27">
                  <c:v>Czech Republic</c:v>
                </c:pt>
                <c:pt idx="28">
                  <c:v>Romania</c:v>
                </c:pt>
                <c:pt idx="29">
                  <c:v>Taiwan</c:v>
                </c:pt>
                <c:pt idx="30">
                  <c:v>France</c:v>
                </c:pt>
                <c:pt idx="31">
                  <c:v>Slovakia</c:v>
                </c:pt>
                <c:pt idx="32">
                  <c:v>China</c:v>
                </c:pt>
                <c:pt idx="33">
                  <c:v>Hungary</c:v>
                </c:pt>
                <c:pt idx="34">
                  <c:v>India</c:v>
                </c:pt>
                <c:pt idx="35">
                  <c:v>Slovenia</c:v>
                </c:pt>
                <c:pt idx="36">
                  <c:v>Turkey</c:v>
                </c:pt>
                <c:pt idx="37">
                  <c:v>Poland</c:v>
                </c:pt>
                <c:pt idx="38">
                  <c:v>Greece</c:v>
                </c:pt>
                <c:pt idx="39">
                  <c:v>Spain</c:v>
                </c:pt>
                <c:pt idx="40">
                  <c:v>Portugal</c:v>
                </c:pt>
              </c:strCache>
            </c:strRef>
          </c:cat>
          <c:val>
            <c:numRef>
              <c:f>'Data Transparency Index'!$F$14:$F$54</c:f>
              <c:numCache>
                <c:formatCode>0.00</c:formatCode>
                <c:ptCount val="41"/>
                <c:pt idx="0">
                  <c:v>1</c:v>
                </c:pt>
                <c:pt idx="1">
                  <c:v>1</c:v>
                </c:pt>
                <c:pt idx="2">
                  <c:v>1</c:v>
                </c:pt>
                <c:pt idx="3">
                  <c:v>1</c:v>
                </c:pt>
                <c:pt idx="4">
                  <c:v>0.96</c:v>
                </c:pt>
                <c:pt idx="5">
                  <c:v>0.86111111111111116</c:v>
                </c:pt>
                <c:pt idx="6">
                  <c:v>0.94736842105263153</c:v>
                </c:pt>
                <c:pt idx="7">
                  <c:v>0.9375</c:v>
                </c:pt>
                <c:pt idx="8">
                  <c:v>0.92307692307692313</c:v>
                </c:pt>
                <c:pt idx="9">
                  <c:v>0.72727272727272729</c:v>
                </c:pt>
                <c:pt idx="10">
                  <c:v>1</c:v>
                </c:pt>
                <c:pt idx="11">
                  <c:v>0.97619047619047616</c:v>
                </c:pt>
                <c:pt idx="12">
                  <c:v>0.97241379310344822</c:v>
                </c:pt>
                <c:pt idx="13">
                  <c:v>0.90909090909090906</c:v>
                </c:pt>
                <c:pt idx="14">
                  <c:v>0.69444444444444442</c:v>
                </c:pt>
                <c:pt idx="15">
                  <c:v>0.5</c:v>
                </c:pt>
                <c:pt idx="16">
                  <c:v>0.68181818181818177</c:v>
                </c:pt>
                <c:pt idx="17">
                  <c:v>1</c:v>
                </c:pt>
                <c:pt idx="18">
                  <c:v>0.82432432432432434</c:v>
                </c:pt>
                <c:pt idx="19">
                  <c:v>1</c:v>
                </c:pt>
                <c:pt idx="20">
                  <c:v>0.875</c:v>
                </c:pt>
                <c:pt idx="21">
                  <c:v>0.36363636363636365</c:v>
                </c:pt>
                <c:pt idx="22">
                  <c:v>0.75</c:v>
                </c:pt>
                <c:pt idx="23">
                  <c:v>0.73076923076923073</c:v>
                </c:pt>
                <c:pt idx="24">
                  <c:v>0.83333333333333337</c:v>
                </c:pt>
                <c:pt idx="25">
                  <c:v>0.95</c:v>
                </c:pt>
                <c:pt idx="26">
                  <c:v>0.6</c:v>
                </c:pt>
                <c:pt idx="27">
                  <c:v>0.45098039215686275</c:v>
                </c:pt>
                <c:pt idx="28">
                  <c:v>0.77777777777777779</c:v>
                </c:pt>
                <c:pt idx="29">
                  <c:v>0.1111111111111111</c:v>
                </c:pt>
                <c:pt idx="30">
                  <c:v>0.88059701492537312</c:v>
                </c:pt>
                <c:pt idx="31">
                  <c:v>0.5714285714285714</c:v>
                </c:pt>
                <c:pt idx="32">
                  <c:v>0</c:v>
                </c:pt>
                <c:pt idx="33">
                  <c:v>0.625</c:v>
                </c:pt>
                <c:pt idx="34">
                  <c:v>1</c:v>
                </c:pt>
                <c:pt idx="35">
                  <c:v>0.58333333333333337</c:v>
                </c:pt>
                <c:pt idx="36">
                  <c:v>0.77777777777777779</c:v>
                </c:pt>
                <c:pt idx="37">
                  <c:v>0.43478260869565216</c:v>
                </c:pt>
                <c:pt idx="38">
                  <c:v>0.53333333333333333</c:v>
                </c:pt>
                <c:pt idx="39">
                  <c:v>0.52777777777777779</c:v>
                </c:pt>
                <c:pt idx="40">
                  <c:v>0.55000000000000004</c:v>
                </c:pt>
              </c:numCache>
            </c:numRef>
          </c:val>
          <c:extLst>
            <c:ext xmlns:c16="http://schemas.microsoft.com/office/drawing/2014/chart" uri="{C3380CC4-5D6E-409C-BE32-E72D297353CC}">
              <c16:uniqueId val="{00000003-DFFC-C14D-8B46-820556A630F5}"/>
            </c:ext>
          </c:extLst>
        </c:ser>
        <c:ser>
          <c:idx val="4"/>
          <c:order val="4"/>
          <c:tx>
            <c:strRef>
              <c:f>'Data Transparency Index'!$G$12</c:f>
              <c:strCache>
                <c:ptCount val="1"/>
                <c:pt idx="0">
                  <c:v>Numbers of military items known (share)</c:v>
                </c:pt>
              </c:strCache>
            </c:strRef>
          </c:tx>
          <c:spPr>
            <a:solidFill>
              <a:schemeClr val="accent6">
                <a:lumMod val="20000"/>
                <a:lumOff val="80000"/>
              </a:schemeClr>
            </a:solidFill>
            <a:ln>
              <a:solidFill>
                <a:srgbClr val="000000"/>
              </a:solidFill>
              <a:prstDash val="solid"/>
            </a:ln>
            <a:effectLst/>
          </c:spPr>
          <c:invertIfNegative val="0"/>
          <c:cat>
            <c:strRef>
              <c:f>'Data Transparency Index'!$B$14:$B$54</c:f>
              <c:strCache>
                <c:ptCount val="41"/>
                <c:pt idx="0">
                  <c:v>Switzerland</c:v>
                </c:pt>
                <c:pt idx="1">
                  <c:v>Denmark</c:v>
                </c:pt>
                <c:pt idx="2">
                  <c:v>United States</c:v>
                </c:pt>
                <c:pt idx="3">
                  <c:v>Australia</c:v>
                </c:pt>
                <c:pt idx="4">
                  <c:v>Sweden</c:v>
                </c:pt>
                <c:pt idx="5">
                  <c:v>Netherlands</c:v>
                </c:pt>
                <c:pt idx="6">
                  <c:v>Finland</c:v>
                </c:pt>
                <c:pt idx="7">
                  <c:v>Canada</c:v>
                </c:pt>
                <c:pt idx="8">
                  <c:v>New Zealand</c:v>
                </c:pt>
                <c:pt idx="9">
                  <c:v>Ireland</c:v>
                </c:pt>
                <c:pt idx="10">
                  <c:v>Norway</c:v>
                </c:pt>
                <c:pt idx="11">
                  <c:v>Estonia</c:v>
                </c:pt>
                <c:pt idx="12">
                  <c:v>Germany</c:v>
                </c:pt>
                <c:pt idx="13">
                  <c:v>EU (Commission and Council)</c:v>
                </c:pt>
                <c:pt idx="14">
                  <c:v>Lithuania</c:v>
                </c:pt>
                <c:pt idx="15">
                  <c:v>Malta</c:v>
                </c:pt>
                <c:pt idx="16">
                  <c:v>Japan</c:v>
                </c:pt>
                <c:pt idx="17">
                  <c:v>Austria</c:v>
                </c:pt>
                <c:pt idx="18">
                  <c:v>United Kingdom</c:v>
                </c:pt>
                <c:pt idx="19">
                  <c:v>Luxembourg</c:v>
                </c:pt>
                <c:pt idx="20">
                  <c:v>Cyprus</c:v>
                </c:pt>
                <c:pt idx="21">
                  <c:v>South Korea</c:v>
                </c:pt>
                <c:pt idx="22">
                  <c:v>Belgium</c:v>
                </c:pt>
                <c:pt idx="23">
                  <c:v>Italy</c:v>
                </c:pt>
                <c:pt idx="24">
                  <c:v>Croatia</c:v>
                </c:pt>
                <c:pt idx="25">
                  <c:v>Latvia</c:v>
                </c:pt>
                <c:pt idx="26">
                  <c:v>Bulgaria</c:v>
                </c:pt>
                <c:pt idx="27">
                  <c:v>Czech Republic</c:v>
                </c:pt>
                <c:pt idx="28">
                  <c:v>Romania</c:v>
                </c:pt>
                <c:pt idx="29">
                  <c:v>Taiwan</c:v>
                </c:pt>
                <c:pt idx="30">
                  <c:v>France</c:v>
                </c:pt>
                <c:pt idx="31">
                  <c:v>Slovakia</c:v>
                </c:pt>
                <c:pt idx="32">
                  <c:v>China</c:v>
                </c:pt>
                <c:pt idx="33">
                  <c:v>Hungary</c:v>
                </c:pt>
                <c:pt idx="34">
                  <c:v>India</c:v>
                </c:pt>
                <c:pt idx="35">
                  <c:v>Slovenia</c:v>
                </c:pt>
                <c:pt idx="36">
                  <c:v>Turkey</c:v>
                </c:pt>
                <c:pt idx="37">
                  <c:v>Poland</c:v>
                </c:pt>
                <c:pt idx="38">
                  <c:v>Greece</c:v>
                </c:pt>
                <c:pt idx="39">
                  <c:v>Spain</c:v>
                </c:pt>
                <c:pt idx="40">
                  <c:v>Portugal</c:v>
                </c:pt>
              </c:strCache>
            </c:strRef>
          </c:cat>
          <c:val>
            <c:numRef>
              <c:f>'Data Transparency Index'!$G$14:$G$54</c:f>
              <c:numCache>
                <c:formatCode>0.00</c:formatCode>
                <c:ptCount val="41"/>
                <c:pt idx="0">
                  <c:v>1</c:v>
                </c:pt>
                <c:pt idx="1">
                  <c:v>0.6875</c:v>
                </c:pt>
                <c:pt idx="2">
                  <c:v>0.61414790996784574</c:v>
                </c:pt>
                <c:pt idx="3">
                  <c:v>0.5</c:v>
                </c:pt>
                <c:pt idx="4">
                  <c:v>0.72727272727272729</c:v>
                </c:pt>
                <c:pt idx="5">
                  <c:v>0.82608695652173914</c:v>
                </c:pt>
                <c:pt idx="6">
                  <c:v>1</c:v>
                </c:pt>
                <c:pt idx="7">
                  <c:v>0.59375</c:v>
                </c:pt>
                <c:pt idx="8">
                  <c:v>0.85714285714285721</c:v>
                </c:pt>
                <c:pt idx="9">
                  <c:v>1</c:v>
                </c:pt>
                <c:pt idx="10">
                  <c:v>0.61538461538461542</c:v>
                </c:pt>
                <c:pt idx="11">
                  <c:v>0.13888888888888884</c:v>
                </c:pt>
                <c:pt idx="12">
                  <c:v>0.89312977099236646</c:v>
                </c:pt>
                <c:pt idx="13">
                  <c:v>1</c:v>
                </c:pt>
                <c:pt idx="14">
                  <c:v>0.39130434782608692</c:v>
                </c:pt>
                <c:pt idx="15">
                  <c:v>1</c:v>
                </c:pt>
                <c:pt idx="16">
                  <c:v>0.25</c:v>
                </c:pt>
                <c:pt idx="17">
                  <c:v>1</c:v>
                </c:pt>
                <c:pt idx="18">
                  <c:v>0.70175438596491224</c:v>
                </c:pt>
                <c:pt idx="19">
                  <c:v>1</c:v>
                </c:pt>
                <c:pt idx="20">
                  <c:v>1</c:v>
                </c:pt>
                <c:pt idx="21">
                  <c:v>0.33333333333333337</c:v>
                </c:pt>
                <c:pt idx="22">
                  <c:v>0.4</c:v>
                </c:pt>
                <c:pt idx="23">
                  <c:v>0.69230769230769229</c:v>
                </c:pt>
                <c:pt idx="24">
                  <c:v>0.5</c:v>
                </c:pt>
                <c:pt idx="25">
                  <c:v>0.4</c:v>
                </c:pt>
                <c:pt idx="26">
                  <c:v>1</c:v>
                </c:pt>
                <c:pt idx="27">
                  <c:v>0.97499999999999998</c:v>
                </c:pt>
                <c:pt idx="28">
                  <c:v>0.5</c:v>
                </c:pt>
                <c:pt idx="29">
                  <c:v>1</c:v>
                </c:pt>
                <c:pt idx="30">
                  <c:v>0.7857142857142857</c:v>
                </c:pt>
                <c:pt idx="31">
                  <c:v>0.66666666666666674</c:v>
                </c:pt>
                <c:pt idx="32">
                  <c:v>1</c:v>
                </c:pt>
                <c:pt idx="33">
                  <c:v>1</c:v>
                </c:pt>
                <c:pt idx="34">
                  <c:v>1</c:v>
                </c:pt>
                <c:pt idx="35">
                  <c:v>0.4</c:v>
                </c:pt>
                <c:pt idx="36">
                  <c:v>1</c:v>
                </c:pt>
                <c:pt idx="37">
                  <c:v>0.6875</c:v>
                </c:pt>
                <c:pt idx="38">
                  <c:v>1</c:v>
                </c:pt>
                <c:pt idx="39">
                  <c:v>0.73076923076923084</c:v>
                </c:pt>
                <c:pt idx="40">
                  <c:v>0.46153846153846156</c:v>
                </c:pt>
              </c:numCache>
            </c:numRef>
          </c:val>
          <c:extLst>
            <c:ext xmlns:c16="http://schemas.microsoft.com/office/drawing/2014/chart" uri="{C3380CC4-5D6E-409C-BE32-E72D297353CC}">
              <c16:uniqueId val="{00000004-DFFC-C14D-8B46-820556A630F5}"/>
            </c:ext>
          </c:extLst>
        </c:ser>
        <c:dLbls>
          <c:showLegendKey val="0"/>
          <c:showVal val="0"/>
          <c:showCatName val="0"/>
          <c:showSerName val="0"/>
          <c:showPercent val="0"/>
          <c:showBubbleSize val="0"/>
        </c:dLbls>
        <c:gapWidth val="7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0"/>
      </c:catAx>
      <c:valAx>
        <c:axId val="450486607"/>
        <c:scaling>
          <c:orientation val="minMax"/>
          <c:max val="5"/>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max"/>
        <c:crossBetween val="between"/>
        <c:minorUnit val="0.5"/>
      </c:valAx>
      <c:spPr>
        <a:noFill/>
        <a:ln>
          <a:noFill/>
        </a:ln>
        <a:effectLst/>
      </c:spPr>
    </c:plotArea>
    <c:legend>
      <c:legendPos val="r"/>
      <c:layout>
        <c:manualLayout>
          <c:xMode val="edge"/>
          <c:yMode val="edge"/>
          <c:x val="0.57355432160575304"/>
          <c:y val="0.57602342761743064"/>
          <c:w val="0.41133166446679714"/>
          <c:h val="0.21282166781282832"/>
        </c:manualLayout>
      </c:layout>
      <c:overlay val="0"/>
      <c:spPr>
        <a:solidFill>
          <a:srgbClr val="FFFFFF"/>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7636330211227189"/>
          <c:y val="1.1900739518751594E-2"/>
          <c:w val="0.78088857127162992"/>
          <c:h val="0.94360485987555798"/>
        </c:manualLayout>
      </c:layout>
      <c:barChart>
        <c:barDir val="bar"/>
        <c:grouping val="stacked"/>
        <c:varyColors val="0"/>
        <c:ser>
          <c:idx val="0"/>
          <c:order val="0"/>
          <c:tx>
            <c:strRef>
              <c:f>'Fig 5. Ranking (%)'!$C$11</c:f>
              <c:strCache>
                <c:ptCount val="1"/>
                <c:pt idx="0">
                  <c:v>Total bilateral commitments</c:v>
                </c:pt>
              </c:strCache>
            </c:strRef>
          </c:tx>
          <c:spPr>
            <a:solidFill>
              <a:schemeClr val="accent5">
                <a:lumMod val="75000"/>
              </a:schemeClr>
            </a:solidFill>
            <a:ln>
              <a:solidFill>
                <a:srgbClr val="000000"/>
              </a:solidFill>
              <a:prstDash val="solid"/>
            </a:ln>
            <a:effectLst/>
          </c:spPr>
          <c:invertIfNegative val="0"/>
          <c:cat>
            <c:strRef>
              <c:f>'Fig 5. Ranking (%)'!$B$12:$B$51</c:f>
              <c:strCache>
                <c:ptCount val="40"/>
                <c:pt idx="0">
                  <c:v>Estonia</c:v>
                </c:pt>
                <c:pt idx="1">
                  <c:v>Latvia</c:v>
                </c:pt>
                <c:pt idx="2">
                  <c:v>Lithuania</c:v>
                </c:pt>
                <c:pt idx="3">
                  <c:v>Poland</c:v>
                </c:pt>
                <c:pt idx="4">
                  <c:v>United States</c:v>
                </c:pt>
                <c:pt idx="5">
                  <c:v>Bulgaria</c:v>
                </c:pt>
                <c:pt idx="6">
                  <c:v>Norway</c:v>
                </c:pt>
                <c:pt idx="7">
                  <c:v>United Kingdom</c:v>
                </c:pt>
                <c:pt idx="8">
                  <c:v>Canada</c:v>
                </c:pt>
                <c:pt idx="9">
                  <c:v>Czech Republic</c:v>
                </c:pt>
                <c:pt idx="10">
                  <c:v>Slovakia</c:v>
                </c:pt>
                <c:pt idx="11">
                  <c:v>Portugal</c:v>
                </c:pt>
                <c:pt idx="12">
                  <c:v>Denmark</c:v>
                </c:pt>
                <c:pt idx="13">
                  <c:v>Germany</c:v>
                </c:pt>
                <c:pt idx="14">
                  <c:v>Netherlands</c:v>
                </c:pt>
                <c:pt idx="15">
                  <c:v>Sweden</c:v>
                </c:pt>
                <c:pt idx="16">
                  <c:v>Austria</c:v>
                </c:pt>
                <c:pt idx="17">
                  <c:v>Finland</c:v>
                </c:pt>
                <c:pt idx="18">
                  <c:v>Slovenia</c:v>
                </c:pt>
                <c:pt idx="19">
                  <c:v>Luxembourg</c:v>
                </c:pt>
                <c:pt idx="20">
                  <c:v>Greece</c:v>
                </c:pt>
                <c:pt idx="21">
                  <c:v>France</c:v>
                </c:pt>
                <c:pt idx="22">
                  <c:v>Italy</c:v>
                </c:pt>
                <c:pt idx="23">
                  <c:v>Belgium</c:v>
                </c:pt>
                <c:pt idx="24">
                  <c:v>Croatia</c:v>
                </c:pt>
                <c:pt idx="25">
                  <c:v>Australia</c:v>
                </c:pt>
                <c:pt idx="26">
                  <c:v>Switzerland</c:v>
                </c:pt>
                <c:pt idx="27">
                  <c:v>Hungary</c:v>
                </c:pt>
                <c:pt idx="28">
                  <c:v>Spain</c:v>
                </c:pt>
                <c:pt idx="29">
                  <c:v>Japan</c:v>
                </c:pt>
                <c:pt idx="30">
                  <c:v>Ireland</c:v>
                </c:pt>
                <c:pt idx="31">
                  <c:v>Cyprus</c:v>
                </c:pt>
                <c:pt idx="32">
                  <c:v>Malta</c:v>
                </c:pt>
                <c:pt idx="33">
                  <c:v>Taiwan</c:v>
                </c:pt>
                <c:pt idx="34">
                  <c:v>New Zealand</c:v>
                </c:pt>
                <c:pt idx="35">
                  <c:v>Turkey</c:v>
                </c:pt>
                <c:pt idx="36">
                  <c:v>South Korea</c:v>
                </c:pt>
                <c:pt idx="37">
                  <c:v>Romania</c:v>
                </c:pt>
                <c:pt idx="38">
                  <c:v>India</c:v>
                </c:pt>
                <c:pt idx="39">
                  <c:v>China</c:v>
                </c:pt>
              </c:strCache>
            </c:strRef>
          </c:cat>
          <c:val>
            <c:numRef>
              <c:f>'Fig 5. Ranking (%)'!$C$12:$C$51</c:f>
              <c:numCache>
                <c:formatCode>0.00</c:formatCode>
                <c:ptCount val="40"/>
                <c:pt idx="0">
                  <c:v>1.0714702516680921</c:v>
                </c:pt>
                <c:pt idx="1">
                  <c:v>0.97530930817809547</c:v>
                </c:pt>
                <c:pt idx="2">
                  <c:v>0.65175917502903802</c:v>
                </c:pt>
                <c:pt idx="3">
                  <c:v>0.62629240486194215</c:v>
                </c:pt>
                <c:pt idx="4">
                  <c:v>0.36670361752930236</c:v>
                </c:pt>
                <c:pt idx="5">
                  <c:v>0.36056136389535975</c:v>
                </c:pt>
                <c:pt idx="6">
                  <c:v>0.35881458597507954</c:v>
                </c:pt>
                <c:pt idx="7">
                  <c:v>0.31603739506644191</c:v>
                </c:pt>
                <c:pt idx="8">
                  <c:v>0.25632117619333006</c:v>
                </c:pt>
                <c:pt idx="9">
                  <c:v>0.24401173304736024</c:v>
                </c:pt>
                <c:pt idx="10">
                  <c:v>0.22369549234134833</c:v>
                </c:pt>
                <c:pt idx="11">
                  <c:v>0.21250619097011536</c:v>
                </c:pt>
                <c:pt idx="12">
                  <c:v>0.2122186724732939</c:v>
                </c:pt>
                <c:pt idx="13">
                  <c:v>0.16791640519043149</c:v>
                </c:pt>
                <c:pt idx="14">
                  <c:v>0.16304488604120476</c:v>
                </c:pt>
                <c:pt idx="15">
                  <c:v>0.1560201905102156</c:v>
                </c:pt>
                <c:pt idx="16">
                  <c:v>0.15156942553252337</c:v>
                </c:pt>
                <c:pt idx="17">
                  <c:v>0.13218725299739614</c:v>
                </c:pt>
                <c:pt idx="18">
                  <c:v>0.12092412980552034</c:v>
                </c:pt>
                <c:pt idx="19">
                  <c:v>0.11308310906433033</c:v>
                </c:pt>
                <c:pt idx="20">
                  <c:v>0.10158985634034334</c:v>
                </c:pt>
                <c:pt idx="21">
                  <c:v>6.6849255151842313E-2</c:v>
                </c:pt>
                <c:pt idx="22">
                  <c:v>5.6879145193287982E-2</c:v>
                </c:pt>
                <c:pt idx="23">
                  <c:v>4.9236359339854457E-2</c:v>
                </c:pt>
                <c:pt idx="24">
                  <c:v>4.751612804745621E-2</c:v>
                </c:pt>
                <c:pt idx="25">
                  <c:v>3.3783675894588923E-2</c:v>
                </c:pt>
                <c:pt idx="26">
                  <c:v>3.3774324203310994E-2</c:v>
                </c:pt>
                <c:pt idx="27">
                  <c:v>3.1865036188883679E-2</c:v>
                </c:pt>
                <c:pt idx="28">
                  <c:v>3.1743111359855275E-2</c:v>
                </c:pt>
                <c:pt idx="29">
                  <c:v>2.1834816145528613E-2</c:v>
                </c:pt>
                <c:pt idx="30">
                  <c:v>1.6901668275066981E-2</c:v>
                </c:pt>
                <c:pt idx="31">
                  <c:v>1.2798296810786326E-2</c:v>
                </c:pt>
                <c:pt idx="32">
                  <c:v>1.2186479766347293E-2</c:v>
                </c:pt>
                <c:pt idx="33">
                  <c:v>1.1189738764522157E-2</c:v>
                </c:pt>
                <c:pt idx="34">
                  <c:v>1.033595062238561E-2</c:v>
                </c:pt>
                <c:pt idx="35">
                  <c:v>8.9827208669556458E-3</c:v>
                </c:pt>
                <c:pt idx="36">
                  <c:v>6.323967606692558E-3</c:v>
                </c:pt>
                <c:pt idx="37">
                  <c:v>4.5117974874776083E-3</c:v>
                </c:pt>
                <c:pt idx="38">
                  <c:v>7.3198138435895518E-5</c:v>
                </c:pt>
                <c:pt idx="39">
                  <c:v>1.4848696966057873E-5</c:v>
                </c:pt>
              </c:numCache>
            </c:numRef>
          </c:val>
          <c:extLst>
            <c:ext xmlns:c16="http://schemas.microsoft.com/office/drawing/2014/chart" uri="{C3380CC4-5D6E-409C-BE32-E72D297353CC}">
              <c16:uniqueId val="{00000001-2317-4DDD-BF28-F18A2360D8DB}"/>
            </c:ext>
          </c:extLst>
        </c:ser>
        <c:dLbls>
          <c:showLegendKey val="0"/>
          <c:showVal val="0"/>
          <c:showCatName val="0"/>
          <c:showSerName val="0"/>
          <c:showPercent val="0"/>
          <c:showBubbleSize val="0"/>
        </c:dLbls>
        <c:gapWidth val="85"/>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max"/>
        <c:crossBetween val="between"/>
      </c:valAx>
      <c:spPr>
        <a:noFill/>
        <a:ln>
          <a:noFill/>
        </a:ln>
        <a:effectLst/>
      </c:spPr>
    </c:plotArea>
    <c:legend>
      <c:legendPos val="r"/>
      <c:layout>
        <c:manualLayout>
          <c:xMode val="edge"/>
          <c:yMode val="edge"/>
          <c:x val="0.47472876543031162"/>
          <c:y val="0.27491150354333288"/>
          <c:w val="0.32388546296296294"/>
          <c:h val="3.6337931803534E-2"/>
        </c:manualLayout>
      </c:layout>
      <c:overlay val="0"/>
      <c:spPr>
        <a:solidFill>
          <a:schemeClr val="bg1"/>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25534697436178"/>
          <c:y val="1.9685692273540438E-2"/>
          <c:w val="0.81567817344631233"/>
          <c:h val="0.94149057860304775"/>
        </c:manualLayout>
      </c:layout>
      <c:barChart>
        <c:barDir val="bar"/>
        <c:grouping val="stacked"/>
        <c:varyColors val="0"/>
        <c:ser>
          <c:idx val="0"/>
          <c:order val="0"/>
          <c:tx>
            <c:strRef>
              <c:f>'Fig 6. Ranking (€ bn.+ EU)'!$C$11</c:f>
              <c:strCache>
                <c:ptCount val="1"/>
                <c:pt idx="0">
                  <c:v>Total bilateral commitments</c:v>
                </c:pt>
              </c:strCache>
            </c:strRef>
          </c:tx>
          <c:spPr>
            <a:solidFill>
              <a:schemeClr val="accent5">
                <a:lumMod val="75000"/>
              </a:schemeClr>
            </a:solidFill>
            <a:ln>
              <a:solidFill>
                <a:schemeClr val="tx1"/>
              </a:solidFill>
            </a:ln>
            <a:effectLst/>
          </c:spPr>
          <c:invertIfNegative val="0"/>
          <c:cat>
            <c:strRef>
              <c:f>'Fig 6. Ranking (€ bn.+ EU)'!$B$12:$B$51</c:f>
              <c:strCache>
                <c:ptCount val="40"/>
                <c:pt idx="0">
                  <c:v>United States</c:v>
                </c:pt>
                <c:pt idx="1">
                  <c:v>Germany</c:v>
                </c:pt>
                <c:pt idx="2">
                  <c:v>United Kingdom</c:v>
                </c:pt>
                <c:pt idx="3">
                  <c:v>France</c:v>
                </c:pt>
                <c:pt idx="4">
                  <c:v>Italy</c:v>
                </c:pt>
                <c:pt idx="5">
                  <c:v>Poland</c:v>
                </c:pt>
                <c:pt idx="6">
                  <c:v>Spain</c:v>
                </c:pt>
                <c:pt idx="7">
                  <c:v>Netherlands</c:v>
                </c:pt>
                <c:pt idx="8">
                  <c:v>Canada</c:v>
                </c:pt>
                <c:pt idx="9">
                  <c:v>Sweden</c:v>
                </c:pt>
                <c:pt idx="10">
                  <c:v>Austria</c:v>
                </c:pt>
                <c:pt idx="11">
                  <c:v>Denmark</c:v>
                </c:pt>
                <c:pt idx="12">
                  <c:v>Belgium</c:v>
                </c:pt>
                <c:pt idx="13">
                  <c:v>Norway</c:v>
                </c:pt>
                <c:pt idx="14">
                  <c:v>Czech Republic</c:v>
                </c:pt>
                <c:pt idx="15">
                  <c:v>Japan</c:v>
                </c:pt>
                <c:pt idx="16">
                  <c:v>Portugal</c:v>
                </c:pt>
                <c:pt idx="17">
                  <c:v>Finland</c:v>
                </c:pt>
                <c:pt idx="18">
                  <c:v>Ireland</c:v>
                </c:pt>
                <c:pt idx="19">
                  <c:v>Greece</c:v>
                </c:pt>
                <c:pt idx="20">
                  <c:v>Romania</c:v>
                </c:pt>
                <c:pt idx="21">
                  <c:v>Slovakia</c:v>
                </c:pt>
                <c:pt idx="22">
                  <c:v>Lithuania</c:v>
                </c:pt>
                <c:pt idx="23">
                  <c:v>Hungary</c:v>
                </c:pt>
                <c:pt idx="24">
                  <c:v>Bulgaria</c:v>
                </c:pt>
                <c:pt idx="25">
                  <c:v>Australia</c:v>
                </c:pt>
                <c:pt idx="26">
                  <c:v>Latvia</c:v>
                </c:pt>
                <c:pt idx="27">
                  <c:v>Estonia</c:v>
                </c:pt>
                <c:pt idx="28">
                  <c:v>Switzerland</c:v>
                </c:pt>
                <c:pt idx="29">
                  <c:v>Luxembourg</c:v>
                </c:pt>
                <c:pt idx="30">
                  <c:v>Slovenia</c:v>
                </c:pt>
                <c:pt idx="31">
                  <c:v>Croatia</c:v>
                </c:pt>
                <c:pt idx="32">
                  <c:v>South Korea</c:v>
                </c:pt>
                <c:pt idx="33">
                  <c:v>Taiwan</c:v>
                </c:pt>
                <c:pt idx="34">
                  <c:v>Turkey</c:v>
                </c:pt>
                <c:pt idx="35">
                  <c:v>Cyprus</c:v>
                </c:pt>
                <c:pt idx="36">
                  <c:v>Malta</c:v>
                </c:pt>
                <c:pt idx="37">
                  <c:v>New Zealand</c:v>
                </c:pt>
                <c:pt idx="38">
                  <c:v>China</c:v>
                </c:pt>
                <c:pt idx="39">
                  <c:v>India</c:v>
                </c:pt>
              </c:strCache>
            </c:strRef>
          </c:cat>
          <c:val>
            <c:numRef>
              <c:f>'Fig 6. Ranking (€ bn.+ EU)'!$C$12:$C$51</c:f>
              <c:numCache>
                <c:formatCode>0.00</c:formatCode>
                <c:ptCount val="40"/>
                <c:pt idx="0">
                  <c:v>73.176684754285702</c:v>
                </c:pt>
                <c:pt idx="1">
                  <c:v>6.1512000000000002</c:v>
                </c:pt>
                <c:pt idx="2">
                  <c:v>8.3066789144399067</c:v>
                </c:pt>
                <c:pt idx="3">
                  <c:v>1.6746169625065208</c:v>
                </c:pt>
                <c:pt idx="4">
                  <c:v>1.0231255091970821</c:v>
                </c:pt>
                <c:pt idx="5">
                  <c:v>3.5586790973677824</c:v>
                </c:pt>
                <c:pt idx="6">
                  <c:v>0.38741247269965756</c:v>
                </c:pt>
                <c:pt idx="7">
                  <c:v>1.4190579047619047</c:v>
                </c:pt>
                <c:pt idx="8">
                  <c:v>4.0167320360689516</c:v>
                </c:pt>
                <c:pt idx="9">
                  <c:v>0.80420244637286009</c:v>
                </c:pt>
                <c:pt idx="10">
                  <c:v>0.62541654671428581</c:v>
                </c:pt>
                <c:pt idx="11">
                  <c:v>0.71969388951643276</c:v>
                </c:pt>
                <c:pt idx="12">
                  <c:v>0.24470999999999998</c:v>
                </c:pt>
                <c:pt idx="13">
                  <c:v>1.2377337111449318</c:v>
                </c:pt>
                <c:pt idx="14">
                  <c:v>0.57014926340819883</c:v>
                </c:pt>
                <c:pt idx="15">
                  <c:v>1.051764161904762</c:v>
                </c:pt>
                <c:pt idx="16">
                  <c:v>0.46253287979161134</c:v>
                </c:pt>
                <c:pt idx="17">
                  <c:v>0.33940000000000003</c:v>
                </c:pt>
                <c:pt idx="18">
                  <c:v>6.8554615238095237E-2</c:v>
                </c:pt>
                <c:pt idx="19">
                  <c:v>0.18270229371428573</c:v>
                </c:pt>
                <c:pt idx="20">
                  <c:v>1.0687182796062965E-2</c:v>
                </c:pt>
                <c:pt idx="21">
                  <c:v>0.22406311990476191</c:v>
                </c:pt>
                <c:pt idx="22">
                  <c:v>0.35100000000000003</c:v>
                </c:pt>
                <c:pt idx="23">
                  <c:v>4.7284205515557245E-2</c:v>
                </c:pt>
                <c:pt idx="24">
                  <c:v>0.23999427078433377</c:v>
                </c:pt>
                <c:pt idx="25">
                  <c:v>0.42723035089990935</c:v>
                </c:pt>
                <c:pt idx="26">
                  <c:v>0.31309583761654936</c:v>
                </c:pt>
                <c:pt idx="27">
                  <c:v>0.31277022800000004</c:v>
                </c:pt>
                <c:pt idx="28">
                  <c:v>0.24196827978853191</c:v>
                </c:pt>
                <c:pt idx="29">
                  <c:v>7.9000000000000001E-2</c:v>
                </c:pt>
                <c:pt idx="30">
                  <c:v>6.1716922906666666E-2</c:v>
                </c:pt>
                <c:pt idx="31">
                  <c:v>2.5886687002652519E-2</c:v>
                </c:pt>
                <c:pt idx="32">
                  <c:v>9.8647619047619067E-2</c:v>
                </c:pt>
                <c:pt idx="33">
                  <c:v>6.5238095238095234E-2</c:v>
                </c:pt>
                <c:pt idx="34">
                  <c:v>6.1591935238095238E-2</c:v>
                </c:pt>
                <c:pt idx="35">
                  <c:v>3.0000000000000001E-3</c:v>
                </c:pt>
                <c:pt idx="36">
                  <c:v>1.6999999999999999E-3</c:v>
                </c:pt>
                <c:pt idx="37">
                  <c:v>2.0740891153189684E-2</c:v>
                </c:pt>
                <c:pt idx="38">
                  <c:v>2.0820320632937745E-3</c:v>
                </c:pt>
                <c:pt idx="39">
                  <c:v>1.8545238095238094E-3</c:v>
                </c:pt>
              </c:numCache>
            </c:numRef>
          </c:val>
          <c:extLst>
            <c:ext xmlns:c16="http://schemas.microsoft.com/office/drawing/2014/chart" uri="{C3380CC4-5D6E-409C-BE32-E72D297353CC}">
              <c16:uniqueId val="{00000001-2093-46D4-A034-48A3B2AA5057}"/>
            </c:ext>
          </c:extLst>
        </c:ser>
        <c:ser>
          <c:idx val="1"/>
          <c:order val="1"/>
          <c:tx>
            <c:strRef>
              <c:f>'Fig 6. Ranking (€ bn.+ EU)'!$D$11</c:f>
              <c:strCache>
                <c:ptCount val="1"/>
                <c:pt idx="0">
                  <c:v>Share in EU commitments (including MFA, EPF, EIB)</c:v>
                </c:pt>
              </c:strCache>
            </c:strRef>
          </c:tx>
          <c:spPr>
            <a:solidFill>
              <a:schemeClr val="accent2"/>
            </a:solidFill>
            <a:ln>
              <a:solidFill>
                <a:srgbClr val="000000"/>
              </a:solidFill>
              <a:prstDash val="solid"/>
            </a:ln>
            <a:effectLst/>
          </c:spPr>
          <c:invertIfNegative val="0"/>
          <c:cat>
            <c:strRef>
              <c:f>'Fig 6. Ranking (€ bn.+ EU)'!$B$12:$B$51</c:f>
              <c:strCache>
                <c:ptCount val="40"/>
                <c:pt idx="0">
                  <c:v>United States</c:v>
                </c:pt>
                <c:pt idx="1">
                  <c:v>Germany</c:v>
                </c:pt>
                <c:pt idx="2">
                  <c:v>United Kingdom</c:v>
                </c:pt>
                <c:pt idx="3">
                  <c:v>France</c:v>
                </c:pt>
                <c:pt idx="4">
                  <c:v>Italy</c:v>
                </c:pt>
                <c:pt idx="5">
                  <c:v>Poland</c:v>
                </c:pt>
                <c:pt idx="6">
                  <c:v>Spain</c:v>
                </c:pt>
                <c:pt idx="7">
                  <c:v>Netherlands</c:v>
                </c:pt>
                <c:pt idx="8">
                  <c:v>Canada</c:v>
                </c:pt>
                <c:pt idx="9">
                  <c:v>Sweden</c:v>
                </c:pt>
                <c:pt idx="10">
                  <c:v>Austria</c:v>
                </c:pt>
                <c:pt idx="11">
                  <c:v>Denmark</c:v>
                </c:pt>
                <c:pt idx="12">
                  <c:v>Belgium</c:v>
                </c:pt>
                <c:pt idx="13">
                  <c:v>Norway</c:v>
                </c:pt>
                <c:pt idx="14">
                  <c:v>Czech Republic</c:v>
                </c:pt>
                <c:pt idx="15">
                  <c:v>Japan</c:v>
                </c:pt>
                <c:pt idx="16">
                  <c:v>Portugal</c:v>
                </c:pt>
                <c:pt idx="17">
                  <c:v>Finland</c:v>
                </c:pt>
                <c:pt idx="18">
                  <c:v>Ireland</c:v>
                </c:pt>
                <c:pt idx="19">
                  <c:v>Greece</c:v>
                </c:pt>
                <c:pt idx="20">
                  <c:v>Romania</c:v>
                </c:pt>
                <c:pt idx="21">
                  <c:v>Slovakia</c:v>
                </c:pt>
                <c:pt idx="22">
                  <c:v>Lithuania</c:v>
                </c:pt>
                <c:pt idx="23">
                  <c:v>Hungary</c:v>
                </c:pt>
                <c:pt idx="24">
                  <c:v>Bulgaria</c:v>
                </c:pt>
                <c:pt idx="25">
                  <c:v>Australia</c:v>
                </c:pt>
                <c:pt idx="26">
                  <c:v>Latvia</c:v>
                </c:pt>
                <c:pt idx="27">
                  <c:v>Estonia</c:v>
                </c:pt>
                <c:pt idx="28">
                  <c:v>Switzerland</c:v>
                </c:pt>
                <c:pt idx="29">
                  <c:v>Luxembourg</c:v>
                </c:pt>
                <c:pt idx="30">
                  <c:v>Slovenia</c:v>
                </c:pt>
                <c:pt idx="31">
                  <c:v>Croatia</c:v>
                </c:pt>
                <c:pt idx="32">
                  <c:v>South Korea</c:v>
                </c:pt>
                <c:pt idx="33">
                  <c:v>Taiwan</c:v>
                </c:pt>
                <c:pt idx="34">
                  <c:v>Turkey</c:v>
                </c:pt>
                <c:pt idx="35">
                  <c:v>Cyprus</c:v>
                </c:pt>
                <c:pt idx="36">
                  <c:v>Malta</c:v>
                </c:pt>
                <c:pt idx="37">
                  <c:v>New Zealand</c:v>
                </c:pt>
                <c:pt idx="38">
                  <c:v>China</c:v>
                </c:pt>
                <c:pt idx="39">
                  <c:v>India</c:v>
                </c:pt>
              </c:strCache>
            </c:strRef>
          </c:cat>
          <c:val>
            <c:numRef>
              <c:f>'Fig 6. Ranking (€ bn.+ EU)'!$D$12:$D$51</c:f>
              <c:numCache>
                <c:formatCode>0.00</c:formatCode>
                <c:ptCount val="40"/>
                <c:pt idx="0">
                  <c:v>0</c:v>
                </c:pt>
                <c:pt idx="1">
                  <c:v>7.1798954769725452</c:v>
                </c:pt>
                <c:pt idx="2">
                  <c:v>0</c:v>
                </c:pt>
                <c:pt idx="3">
                  <c:v>5.9828510175300877</c:v>
                </c:pt>
                <c:pt idx="4">
                  <c:v>4.4185333806930851</c:v>
                </c:pt>
                <c:pt idx="5">
                  <c:v>1.4592480278781061</c:v>
                </c:pt>
                <c:pt idx="6">
                  <c:v>4.0389504895180917</c:v>
                </c:pt>
                <c:pt idx="7">
                  <c:v>2.6465907768610224</c:v>
                </c:pt>
                <c:pt idx="8">
                  <c:v>0</c:v>
                </c:pt>
                <c:pt idx="9">
                  <c:v>1.1810526579512821</c:v>
                </c:pt>
                <c:pt idx="10">
                  <c:v>1.0156285511127108</c:v>
                </c:pt>
                <c:pt idx="11">
                  <c:v>0.88666717374032766</c:v>
                </c:pt>
                <c:pt idx="12">
                  <c:v>1.2555194995191776</c:v>
                </c:pt>
                <c:pt idx="13">
                  <c:v>0</c:v>
                </c:pt>
                <c:pt idx="14">
                  <c:v>0.50463001134260133</c:v>
                </c:pt>
                <c:pt idx="15">
                  <c:v>0</c:v>
                </c:pt>
                <c:pt idx="16">
                  <c:v>0.49671236408197406</c:v>
                </c:pt>
                <c:pt idx="17">
                  <c:v>0.59469123173450378</c:v>
                </c:pt>
                <c:pt idx="18">
                  <c:v>0.68274774660675541</c:v>
                </c:pt>
                <c:pt idx="19">
                  <c:v>0.49701705040169497</c:v>
                </c:pt>
                <c:pt idx="20">
                  <c:v>0.55830356634438194</c:v>
                </c:pt>
                <c:pt idx="21">
                  <c:v>0.30476411852739893</c:v>
                </c:pt>
                <c:pt idx="22">
                  <c:v>0.11228489418763113</c:v>
                </c:pt>
                <c:pt idx="23">
                  <c:v>0.40213545745397272</c:v>
                </c:pt>
                <c:pt idx="24">
                  <c:v>0.20534337339596564</c:v>
                </c:pt>
                <c:pt idx="25">
                  <c:v>0</c:v>
                </c:pt>
                <c:pt idx="26">
                  <c:v>7.0027204002121451E-2</c:v>
                </c:pt>
                <c:pt idx="27">
                  <c:v>6.7450230394762056E-2</c:v>
                </c:pt>
                <c:pt idx="28">
                  <c:v>0</c:v>
                </c:pt>
                <c:pt idx="29">
                  <c:v>0.10872743153723756</c:v>
                </c:pt>
                <c:pt idx="30">
                  <c:v>0.12405155502891618</c:v>
                </c:pt>
                <c:pt idx="31">
                  <c:v>0.14578022903934768</c:v>
                </c:pt>
                <c:pt idx="32">
                  <c:v>0</c:v>
                </c:pt>
                <c:pt idx="33">
                  <c:v>0</c:v>
                </c:pt>
                <c:pt idx="34">
                  <c:v>0</c:v>
                </c:pt>
                <c:pt idx="35">
                  <c:v>5.4290120830862147E-2</c:v>
                </c:pt>
                <c:pt idx="36">
                  <c:v>2.860636331343426E-2</c:v>
                </c:pt>
                <c:pt idx="37">
                  <c:v>0</c:v>
                </c:pt>
                <c:pt idx="38">
                  <c:v>0</c:v>
                </c:pt>
                <c:pt idx="39">
                  <c:v>0</c:v>
                </c:pt>
              </c:numCache>
            </c:numRef>
          </c:val>
          <c:extLst>
            <c:ext xmlns:c16="http://schemas.microsoft.com/office/drawing/2014/chart" uri="{C3380CC4-5D6E-409C-BE32-E72D297353CC}">
              <c16:uniqueId val="{00000003-2093-46D4-A034-48A3B2AA5057}"/>
            </c:ext>
          </c:extLst>
        </c:ser>
        <c:dLbls>
          <c:showLegendKey val="0"/>
          <c:showVal val="0"/>
          <c:showCatName val="0"/>
          <c:showSerName val="0"/>
          <c:showPercent val="0"/>
          <c:showBubbleSize val="0"/>
        </c:dLbls>
        <c:gapWidth val="11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tickLblSkip val="1"/>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max"/>
        <c:crossBetween val="between"/>
      </c:valAx>
      <c:spPr>
        <a:noFill/>
        <a:ln>
          <a:noFill/>
        </a:ln>
        <a:effectLst/>
      </c:spPr>
    </c:plotArea>
    <c:legend>
      <c:legendPos val="r"/>
      <c:layout>
        <c:manualLayout>
          <c:xMode val="edge"/>
          <c:yMode val="edge"/>
          <c:x val="0.23918936852582298"/>
          <c:y val="0.23581195940313254"/>
          <c:w val="0.60124475065616811"/>
          <c:h val="0.11182097550306212"/>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47821886847479"/>
          <c:y val="1.7897313247991778E-2"/>
          <c:w val="0.83262631233595796"/>
          <c:h val="0.9440185914260717"/>
        </c:manualLayout>
      </c:layout>
      <c:barChart>
        <c:barDir val="bar"/>
        <c:grouping val="stacked"/>
        <c:varyColors val="0"/>
        <c:ser>
          <c:idx val="0"/>
          <c:order val="0"/>
          <c:tx>
            <c:strRef>
              <c:f>'Fig 7. With Refugee Support, €'!$C$11</c:f>
              <c:strCache>
                <c:ptCount val="1"/>
                <c:pt idx="0">
                  <c:v>Financial</c:v>
                </c:pt>
              </c:strCache>
            </c:strRef>
          </c:tx>
          <c:spPr>
            <a:solidFill>
              <a:srgbClr val="0070C0"/>
            </a:solidFill>
            <a:ln>
              <a:solidFill>
                <a:srgbClr val="000000"/>
              </a:solidFill>
              <a:prstDash val="solid"/>
            </a:ln>
            <a:effectLst/>
          </c:spPr>
          <c:invertIfNegative val="0"/>
          <c:cat>
            <c:strRef>
              <c:f>'Fig 7. With Refugee Support, €'!$B$12:$B$51</c:f>
              <c:strCache>
                <c:ptCount val="40"/>
                <c:pt idx="0">
                  <c:v>United States</c:v>
                </c:pt>
                <c:pt idx="1">
                  <c:v>Germany</c:v>
                </c:pt>
                <c:pt idx="2">
                  <c:v>Poland</c:v>
                </c:pt>
                <c:pt idx="3">
                  <c:v>United Kingdom</c:v>
                </c:pt>
                <c:pt idx="4">
                  <c:v>Canada</c:v>
                </c:pt>
                <c:pt idx="5">
                  <c:v>Czech Republic</c:v>
                </c:pt>
                <c:pt idx="6">
                  <c:v>France</c:v>
                </c:pt>
                <c:pt idx="7">
                  <c:v>Netherlands</c:v>
                </c:pt>
                <c:pt idx="8">
                  <c:v>Italy</c:v>
                </c:pt>
                <c:pt idx="9">
                  <c:v>Spain</c:v>
                </c:pt>
                <c:pt idx="10">
                  <c:v>Norway</c:v>
                </c:pt>
                <c:pt idx="11">
                  <c:v>Austria</c:v>
                </c:pt>
                <c:pt idx="12">
                  <c:v>Sweden</c:v>
                </c:pt>
                <c:pt idx="13">
                  <c:v>Japan</c:v>
                </c:pt>
                <c:pt idx="14">
                  <c:v>Romania</c:v>
                </c:pt>
                <c:pt idx="15">
                  <c:v>Denmark</c:v>
                </c:pt>
                <c:pt idx="16">
                  <c:v>Switzerland</c:v>
                </c:pt>
                <c:pt idx="17">
                  <c:v>Slovakia</c:v>
                </c:pt>
                <c:pt idx="18">
                  <c:v>Belgium</c:v>
                </c:pt>
                <c:pt idx="19">
                  <c:v>Portugal</c:v>
                </c:pt>
                <c:pt idx="20">
                  <c:v>Lithuania</c:v>
                </c:pt>
                <c:pt idx="21">
                  <c:v>Finland</c:v>
                </c:pt>
                <c:pt idx="22">
                  <c:v>Estonia</c:v>
                </c:pt>
                <c:pt idx="23">
                  <c:v>Bulgaria</c:v>
                </c:pt>
                <c:pt idx="24">
                  <c:v>Australia</c:v>
                </c:pt>
                <c:pt idx="25">
                  <c:v>Latvia</c:v>
                </c:pt>
                <c:pt idx="26">
                  <c:v>Hungary</c:v>
                </c:pt>
                <c:pt idx="27">
                  <c:v>Ireland</c:v>
                </c:pt>
                <c:pt idx="28">
                  <c:v>Turkey</c:v>
                </c:pt>
                <c:pt idx="29">
                  <c:v>Greece</c:v>
                </c:pt>
                <c:pt idx="30">
                  <c:v>Luxembourg</c:v>
                </c:pt>
                <c:pt idx="31">
                  <c:v>Slovenia</c:v>
                </c:pt>
                <c:pt idx="32">
                  <c:v>Croatia</c:v>
                </c:pt>
                <c:pt idx="33">
                  <c:v>South Korea</c:v>
                </c:pt>
                <c:pt idx="34">
                  <c:v>Cyprus</c:v>
                </c:pt>
                <c:pt idx="35">
                  <c:v>Taiwan</c:v>
                </c:pt>
                <c:pt idx="36">
                  <c:v>Malta</c:v>
                </c:pt>
                <c:pt idx="37">
                  <c:v>New Zealand</c:v>
                </c:pt>
                <c:pt idx="38">
                  <c:v>China</c:v>
                </c:pt>
                <c:pt idx="39">
                  <c:v>India</c:v>
                </c:pt>
              </c:strCache>
            </c:strRef>
          </c:cat>
          <c:val>
            <c:numRef>
              <c:f>'Fig 7. With Refugee Support, €'!$C$12:$C$51</c:f>
              <c:numCache>
                <c:formatCode>0.00</c:formatCode>
                <c:ptCount val="40"/>
                <c:pt idx="0">
                  <c:v>25.114285714285714</c:v>
                </c:pt>
                <c:pt idx="1">
                  <c:v>1.3</c:v>
                </c:pt>
                <c:pt idx="2">
                  <c:v>0.95884326632016348</c:v>
                </c:pt>
                <c:pt idx="3">
                  <c:v>3.0199781887370349</c:v>
                </c:pt>
                <c:pt idx="4">
                  <c:v>2.3804811525281488</c:v>
                </c:pt>
                <c:pt idx="5">
                  <c:v>0</c:v>
                </c:pt>
                <c:pt idx="6">
                  <c:v>0.69940000000000002</c:v>
                </c:pt>
                <c:pt idx="7">
                  <c:v>0.34849999999999998</c:v>
                </c:pt>
                <c:pt idx="8">
                  <c:v>0.31</c:v>
                </c:pt>
                <c:pt idx="9">
                  <c:v>0.20449999999999999</c:v>
                </c:pt>
                <c:pt idx="10">
                  <c:v>0.32207512522473153</c:v>
                </c:pt>
                <c:pt idx="11">
                  <c:v>0.03</c:v>
                </c:pt>
                <c:pt idx="12">
                  <c:v>0.15034541943038915</c:v>
                </c:pt>
                <c:pt idx="13">
                  <c:v>0.57142857142857151</c:v>
                </c:pt>
                <c:pt idx="14">
                  <c:v>0</c:v>
                </c:pt>
                <c:pt idx="15">
                  <c:v>5.7500000000000002E-2</c:v>
                </c:pt>
                <c:pt idx="16">
                  <c:v>5.8967059780398533E-2</c:v>
                </c:pt>
                <c:pt idx="17">
                  <c:v>0</c:v>
                </c:pt>
                <c:pt idx="18">
                  <c:v>4.96E-3</c:v>
                </c:pt>
                <c:pt idx="19">
                  <c:v>0.25</c:v>
                </c:pt>
                <c:pt idx="20">
                  <c:v>0.01</c:v>
                </c:pt>
                <c:pt idx="21">
                  <c:v>8.1500000000000003E-2</c:v>
                </c:pt>
                <c:pt idx="22">
                  <c:v>0</c:v>
                </c:pt>
                <c:pt idx="23">
                  <c:v>0</c:v>
                </c:pt>
                <c:pt idx="24">
                  <c:v>0</c:v>
                </c:pt>
                <c:pt idx="25">
                  <c:v>1.4999999999999999E-2</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B7D5-41AA-83CC-9F02B8636453}"/>
            </c:ext>
          </c:extLst>
        </c:ser>
        <c:ser>
          <c:idx val="1"/>
          <c:order val="1"/>
          <c:tx>
            <c:strRef>
              <c:f>'Fig 7. With Refugee Support, €'!$D$11</c:f>
              <c:strCache>
                <c:ptCount val="1"/>
                <c:pt idx="0">
                  <c:v>Humanitarian</c:v>
                </c:pt>
              </c:strCache>
            </c:strRef>
          </c:tx>
          <c:spPr>
            <a:solidFill>
              <a:srgbClr val="92D050"/>
            </a:solidFill>
            <a:ln>
              <a:solidFill>
                <a:srgbClr val="000000"/>
              </a:solidFill>
              <a:prstDash val="solid"/>
            </a:ln>
            <a:effectLst/>
          </c:spPr>
          <c:invertIfNegative val="0"/>
          <c:cat>
            <c:strRef>
              <c:f>'Fig 7. With Refugee Support, €'!$B$12:$B$51</c:f>
              <c:strCache>
                <c:ptCount val="40"/>
                <c:pt idx="0">
                  <c:v>United States</c:v>
                </c:pt>
                <c:pt idx="1">
                  <c:v>Germany</c:v>
                </c:pt>
                <c:pt idx="2">
                  <c:v>Poland</c:v>
                </c:pt>
                <c:pt idx="3">
                  <c:v>United Kingdom</c:v>
                </c:pt>
                <c:pt idx="4">
                  <c:v>Canada</c:v>
                </c:pt>
                <c:pt idx="5">
                  <c:v>Czech Republic</c:v>
                </c:pt>
                <c:pt idx="6">
                  <c:v>France</c:v>
                </c:pt>
                <c:pt idx="7">
                  <c:v>Netherlands</c:v>
                </c:pt>
                <c:pt idx="8">
                  <c:v>Italy</c:v>
                </c:pt>
                <c:pt idx="9">
                  <c:v>Spain</c:v>
                </c:pt>
                <c:pt idx="10">
                  <c:v>Norway</c:v>
                </c:pt>
                <c:pt idx="11">
                  <c:v>Austria</c:v>
                </c:pt>
                <c:pt idx="12">
                  <c:v>Sweden</c:v>
                </c:pt>
                <c:pt idx="13">
                  <c:v>Japan</c:v>
                </c:pt>
                <c:pt idx="14">
                  <c:v>Romania</c:v>
                </c:pt>
                <c:pt idx="15">
                  <c:v>Denmark</c:v>
                </c:pt>
                <c:pt idx="16">
                  <c:v>Switzerland</c:v>
                </c:pt>
                <c:pt idx="17">
                  <c:v>Slovakia</c:v>
                </c:pt>
                <c:pt idx="18">
                  <c:v>Belgium</c:v>
                </c:pt>
                <c:pt idx="19">
                  <c:v>Portugal</c:v>
                </c:pt>
                <c:pt idx="20">
                  <c:v>Lithuania</c:v>
                </c:pt>
                <c:pt idx="21">
                  <c:v>Finland</c:v>
                </c:pt>
                <c:pt idx="22">
                  <c:v>Estonia</c:v>
                </c:pt>
                <c:pt idx="23">
                  <c:v>Bulgaria</c:v>
                </c:pt>
                <c:pt idx="24">
                  <c:v>Australia</c:v>
                </c:pt>
                <c:pt idx="25">
                  <c:v>Latvia</c:v>
                </c:pt>
                <c:pt idx="26">
                  <c:v>Hungary</c:v>
                </c:pt>
                <c:pt idx="27">
                  <c:v>Ireland</c:v>
                </c:pt>
                <c:pt idx="28">
                  <c:v>Turkey</c:v>
                </c:pt>
                <c:pt idx="29">
                  <c:v>Greece</c:v>
                </c:pt>
                <c:pt idx="30">
                  <c:v>Luxembourg</c:v>
                </c:pt>
                <c:pt idx="31">
                  <c:v>Slovenia</c:v>
                </c:pt>
                <c:pt idx="32">
                  <c:v>Croatia</c:v>
                </c:pt>
                <c:pt idx="33">
                  <c:v>South Korea</c:v>
                </c:pt>
                <c:pt idx="34">
                  <c:v>Cyprus</c:v>
                </c:pt>
                <c:pt idx="35">
                  <c:v>Taiwan</c:v>
                </c:pt>
                <c:pt idx="36">
                  <c:v>Malta</c:v>
                </c:pt>
                <c:pt idx="37">
                  <c:v>New Zealand</c:v>
                </c:pt>
                <c:pt idx="38">
                  <c:v>China</c:v>
                </c:pt>
                <c:pt idx="39">
                  <c:v>India</c:v>
                </c:pt>
              </c:strCache>
            </c:strRef>
          </c:cat>
          <c:val>
            <c:numRef>
              <c:f>'Fig 7. With Refugee Support, €'!$D$12:$D$51</c:f>
              <c:numCache>
                <c:formatCode>0.00</c:formatCode>
                <c:ptCount val="40"/>
                <c:pt idx="0">
                  <c:v>3.7243038019047616</c:v>
                </c:pt>
                <c:pt idx="1">
                  <c:v>2.496</c:v>
                </c:pt>
                <c:pt idx="2">
                  <c:v>0.17200476190476188</c:v>
                </c:pt>
                <c:pt idx="3">
                  <c:v>0.4002079296205569</c:v>
                </c:pt>
                <c:pt idx="4">
                  <c:v>0.34687740401426675</c:v>
                </c:pt>
                <c:pt idx="5">
                  <c:v>0.10596323263127799</c:v>
                </c:pt>
                <c:pt idx="6">
                  <c:v>0.3155896343657143</c:v>
                </c:pt>
                <c:pt idx="7">
                  <c:v>0.21205790476190478</c:v>
                </c:pt>
                <c:pt idx="8">
                  <c:v>5.220712857142857E-2</c:v>
                </c:pt>
                <c:pt idx="9">
                  <c:v>9.9788875333333332E-2</c:v>
                </c:pt>
                <c:pt idx="10">
                  <c:v>0.32351725265111086</c:v>
                </c:pt>
                <c:pt idx="11">
                  <c:v>0.59200000000000008</c:v>
                </c:pt>
                <c:pt idx="12">
                  <c:v>0.10746886715780089</c:v>
                </c:pt>
                <c:pt idx="13">
                  <c:v>0.47800035238095234</c:v>
                </c:pt>
                <c:pt idx="14">
                  <c:v>7.6871827960629645E-3</c:v>
                </c:pt>
                <c:pt idx="15">
                  <c:v>9.9200785326233124E-2</c:v>
                </c:pt>
                <c:pt idx="16">
                  <c:v>0.18300122000813338</c:v>
                </c:pt>
                <c:pt idx="17">
                  <c:v>8.9999999999999993E-3</c:v>
                </c:pt>
                <c:pt idx="18">
                  <c:v>9.4799999999999995E-2</c:v>
                </c:pt>
                <c:pt idx="19">
                  <c:v>0.16838809523809523</c:v>
                </c:pt>
                <c:pt idx="20">
                  <c:v>6.0999999999999999E-2</c:v>
                </c:pt>
                <c:pt idx="21">
                  <c:v>5.1200000000000002E-2</c:v>
                </c:pt>
                <c:pt idx="22">
                  <c:v>4.9702280000000001E-3</c:v>
                </c:pt>
                <c:pt idx="23">
                  <c:v>7.0600000000000003E-4</c:v>
                </c:pt>
                <c:pt idx="24">
                  <c:v>6.9014631619836855E-2</c:v>
                </c:pt>
                <c:pt idx="25">
                  <c:v>3.0970529999999998E-3</c:v>
                </c:pt>
                <c:pt idx="26">
                  <c:v>4.7284205515557245E-2</c:v>
                </c:pt>
                <c:pt idx="27">
                  <c:v>6.8554615238095237E-2</c:v>
                </c:pt>
                <c:pt idx="28">
                  <c:v>2.3622095238095238E-4</c:v>
                </c:pt>
                <c:pt idx="29">
                  <c:v>0</c:v>
                </c:pt>
                <c:pt idx="30">
                  <c:v>4.0000000000000001E-3</c:v>
                </c:pt>
                <c:pt idx="31">
                  <c:v>4.3E-3</c:v>
                </c:pt>
                <c:pt idx="32">
                  <c:v>6.4410636604774535E-3</c:v>
                </c:pt>
                <c:pt idx="33">
                  <c:v>9.5238095238095261E-2</c:v>
                </c:pt>
                <c:pt idx="34">
                  <c:v>3.0000000000000001E-3</c:v>
                </c:pt>
                <c:pt idx="35">
                  <c:v>6.5238095238095234E-2</c:v>
                </c:pt>
                <c:pt idx="36">
                  <c:v>1.6999999999999999E-3</c:v>
                </c:pt>
                <c:pt idx="37">
                  <c:v>2.4055809477988932E-3</c:v>
                </c:pt>
                <c:pt idx="38">
                  <c:v>2.0820320632937745E-3</c:v>
                </c:pt>
                <c:pt idx="39">
                  <c:v>1.8545238095238094E-3</c:v>
                </c:pt>
              </c:numCache>
            </c:numRef>
          </c:val>
          <c:extLst>
            <c:ext xmlns:c16="http://schemas.microsoft.com/office/drawing/2014/chart" uri="{C3380CC4-5D6E-409C-BE32-E72D297353CC}">
              <c16:uniqueId val="{00000001-B7D5-41AA-83CC-9F02B8636453}"/>
            </c:ext>
          </c:extLst>
        </c:ser>
        <c:ser>
          <c:idx val="2"/>
          <c:order val="2"/>
          <c:tx>
            <c:strRef>
              <c:f>'Fig 7. With Refugee Support, €'!$E$11</c:f>
              <c:strCache>
                <c:ptCount val="1"/>
                <c:pt idx="0">
                  <c:v>Military</c:v>
                </c:pt>
              </c:strCache>
            </c:strRef>
          </c:tx>
          <c:spPr>
            <a:solidFill>
              <a:srgbClr val="C00000"/>
            </a:solidFill>
            <a:ln>
              <a:solidFill>
                <a:srgbClr val="000000"/>
              </a:solidFill>
              <a:prstDash val="solid"/>
            </a:ln>
            <a:effectLst/>
          </c:spPr>
          <c:invertIfNegative val="0"/>
          <c:cat>
            <c:strRef>
              <c:f>'Fig 7. With Refugee Support, €'!$B$12:$B$51</c:f>
              <c:strCache>
                <c:ptCount val="40"/>
                <c:pt idx="0">
                  <c:v>United States</c:v>
                </c:pt>
                <c:pt idx="1">
                  <c:v>Germany</c:v>
                </c:pt>
                <c:pt idx="2">
                  <c:v>Poland</c:v>
                </c:pt>
                <c:pt idx="3">
                  <c:v>United Kingdom</c:v>
                </c:pt>
                <c:pt idx="4">
                  <c:v>Canada</c:v>
                </c:pt>
                <c:pt idx="5">
                  <c:v>Czech Republic</c:v>
                </c:pt>
                <c:pt idx="6">
                  <c:v>France</c:v>
                </c:pt>
                <c:pt idx="7">
                  <c:v>Netherlands</c:v>
                </c:pt>
                <c:pt idx="8">
                  <c:v>Italy</c:v>
                </c:pt>
                <c:pt idx="9">
                  <c:v>Spain</c:v>
                </c:pt>
                <c:pt idx="10">
                  <c:v>Norway</c:v>
                </c:pt>
                <c:pt idx="11">
                  <c:v>Austria</c:v>
                </c:pt>
                <c:pt idx="12">
                  <c:v>Sweden</c:v>
                </c:pt>
                <c:pt idx="13">
                  <c:v>Japan</c:v>
                </c:pt>
                <c:pt idx="14">
                  <c:v>Romania</c:v>
                </c:pt>
                <c:pt idx="15">
                  <c:v>Denmark</c:v>
                </c:pt>
                <c:pt idx="16">
                  <c:v>Switzerland</c:v>
                </c:pt>
                <c:pt idx="17">
                  <c:v>Slovakia</c:v>
                </c:pt>
                <c:pt idx="18">
                  <c:v>Belgium</c:v>
                </c:pt>
                <c:pt idx="19">
                  <c:v>Portugal</c:v>
                </c:pt>
                <c:pt idx="20">
                  <c:v>Lithuania</c:v>
                </c:pt>
                <c:pt idx="21">
                  <c:v>Finland</c:v>
                </c:pt>
                <c:pt idx="22">
                  <c:v>Estonia</c:v>
                </c:pt>
                <c:pt idx="23">
                  <c:v>Bulgaria</c:v>
                </c:pt>
                <c:pt idx="24">
                  <c:v>Australia</c:v>
                </c:pt>
                <c:pt idx="25">
                  <c:v>Latvia</c:v>
                </c:pt>
                <c:pt idx="26">
                  <c:v>Hungary</c:v>
                </c:pt>
                <c:pt idx="27">
                  <c:v>Ireland</c:v>
                </c:pt>
                <c:pt idx="28">
                  <c:v>Turkey</c:v>
                </c:pt>
                <c:pt idx="29">
                  <c:v>Greece</c:v>
                </c:pt>
                <c:pt idx="30">
                  <c:v>Luxembourg</c:v>
                </c:pt>
                <c:pt idx="31">
                  <c:v>Slovenia</c:v>
                </c:pt>
                <c:pt idx="32">
                  <c:v>Croatia</c:v>
                </c:pt>
                <c:pt idx="33">
                  <c:v>South Korea</c:v>
                </c:pt>
                <c:pt idx="34">
                  <c:v>Cyprus</c:v>
                </c:pt>
                <c:pt idx="35">
                  <c:v>Taiwan</c:v>
                </c:pt>
                <c:pt idx="36">
                  <c:v>Malta</c:v>
                </c:pt>
                <c:pt idx="37">
                  <c:v>New Zealand</c:v>
                </c:pt>
                <c:pt idx="38">
                  <c:v>China</c:v>
                </c:pt>
                <c:pt idx="39">
                  <c:v>India</c:v>
                </c:pt>
              </c:strCache>
            </c:strRef>
          </c:cat>
          <c:val>
            <c:numRef>
              <c:f>'Fig 7. With Refugee Support, €'!$E$12:$E$51</c:f>
              <c:numCache>
                <c:formatCode>0.00</c:formatCode>
                <c:ptCount val="40"/>
                <c:pt idx="0">
                  <c:v>44.338095238095235</c:v>
                </c:pt>
                <c:pt idx="1">
                  <c:v>2.3552</c:v>
                </c:pt>
                <c:pt idx="2">
                  <c:v>2.4278310691428571</c:v>
                </c:pt>
                <c:pt idx="3">
                  <c:v>4.8864927960823152</c:v>
                </c:pt>
                <c:pt idx="4">
                  <c:v>1.2893734795265364</c:v>
                </c:pt>
                <c:pt idx="5">
                  <c:v>0.46418603077692083</c:v>
                </c:pt>
                <c:pt idx="6">
                  <c:v>0.65962732814080649</c:v>
                </c:pt>
                <c:pt idx="7">
                  <c:v>0.85850000000000004</c:v>
                </c:pt>
                <c:pt idx="8">
                  <c:v>0.66091838062565367</c:v>
                </c:pt>
                <c:pt idx="9">
                  <c:v>8.3123597366324242E-2</c:v>
                </c:pt>
                <c:pt idx="10">
                  <c:v>0.59214133326908946</c:v>
                </c:pt>
                <c:pt idx="11">
                  <c:v>3.4165467142857142E-3</c:v>
                </c:pt>
                <c:pt idx="12">
                  <c:v>0.54638815978467004</c:v>
                </c:pt>
                <c:pt idx="13">
                  <c:v>2.3352380952380951E-3</c:v>
                </c:pt>
                <c:pt idx="14">
                  <c:v>3.0000000000000001E-3</c:v>
                </c:pt>
                <c:pt idx="15">
                  <c:v>0.56299310419019966</c:v>
                </c:pt>
                <c:pt idx="16">
                  <c:v>0</c:v>
                </c:pt>
                <c:pt idx="17">
                  <c:v>0.2150631199047619</c:v>
                </c:pt>
                <c:pt idx="18">
                  <c:v>0.14495</c:v>
                </c:pt>
                <c:pt idx="19">
                  <c:v>4.4144784553516107E-2</c:v>
                </c:pt>
                <c:pt idx="20">
                  <c:v>0.28000000000000003</c:v>
                </c:pt>
                <c:pt idx="21">
                  <c:v>0.20669999999999999</c:v>
                </c:pt>
                <c:pt idx="22">
                  <c:v>0.30780000000000002</c:v>
                </c:pt>
                <c:pt idx="23">
                  <c:v>0.23928827078433376</c:v>
                </c:pt>
                <c:pt idx="24">
                  <c:v>0.35821571928007251</c:v>
                </c:pt>
                <c:pt idx="25">
                  <c:v>0.29499878461654938</c:v>
                </c:pt>
                <c:pt idx="26">
                  <c:v>0</c:v>
                </c:pt>
                <c:pt idx="27">
                  <c:v>0</c:v>
                </c:pt>
                <c:pt idx="28">
                  <c:v>6.1355714285714284E-2</c:v>
                </c:pt>
                <c:pt idx="29">
                  <c:v>0.18270229371428573</c:v>
                </c:pt>
                <c:pt idx="30">
                  <c:v>7.4999999999999997E-2</c:v>
                </c:pt>
                <c:pt idx="31">
                  <c:v>5.7416922906666668E-2</c:v>
                </c:pt>
                <c:pt idx="32">
                  <c:v>1.9445623342175065E-2</c:v>
                </c:pt>
                <c:pt idx="33">
                  <c:v>3.4095238095238093E-3</c:v>
                </c:pt>
                <c:pt idx="34">
                  <c:v>0</c:v>
                </c:pt>
                <c:pt idx="35">
                  <c:v>0</c:v>
                </c:pt>
                <c:pt idx="36">
                  <c:v>0</c:v>
                </c:pt>
                <c:pt idx="37">
                  <c:v>1.8335310205390792E-2</c:v>
                </c:pt>
                <c:pt idx="38">
                  <c:v>0</c:v>
                </c:pt>
                <c:pt idx="39">
                  <c:v>0</c:v>
                </c:pt>
              </c:numCache>
            </c:numRef>
          </c:val>
          <c:extLst>
            <c:ext xmlns:c16="http://schemas.microsoft.com/office/drawing/2014/chart" uri="{C3380CC4-5D6E-409C-BE32-E72D297353CC}">
              <c16:uniqueId val="{00000002-B7D5-41AA-83CC-9F02B8636453}"/>
            </c:ext>
          </c:extLst>
        </c:ser>
        <c:ser>
          <c:idx val="5"/>
          <c:order val="4"/>
          <c:tx>
            <c:strRef>
              <c:f>'Fig 7. With Refugee Support, €'!$F$11</c:f>
              <c:strCache>
                <c:ptCount val="1"/>
                <c:pt idx="0">
                  <c:v>Refugee cost estimation</c:v>
                </c:pt>
              </c:strCache>
            </c:strRef>
          </c:tx>
          <c:spPr>
            <a:solidFill>
              <a:schemeClr val="accent4"/>
            </a:solidFill>
            <a:ln>
              <a:solidFill>
                <a:schemeClr val="tx1"/>
              </a:solidFill>
            </a:ln>
            <a:effectLst/>
          </c:spPr>
          <c:invertIfNegative val="0"/>
          <c:cat>
            <c:strRef>
              <c:f>'Fig 7. With Refugee Support, €'!$B$12:$B$51</c:f>
              <c:strCache>
                <c:ptCount val="40"/>
                <c:pt idx="0">
                  <c:v>United States</c:v>
                </c:pt>
                <c:pt idx="1">
                  <c:v>Germany</c:v>
                </c:pt>
                <c:pt idx="2">
                  <c:v>Poland</c:v>
                </c:pt>
                <c:pt idx="3">
                  <c:v>United Kingdom</c:v>
                </c:pt>
                <c:pt idx="4">
                  <c:v>Canada</c:v>
                </c:pt>
                <c:pt idx="5">
                  <c:v>Czech Republic</c:v>
                </c:pt>
                <c:pt idx="6">
                  <c:v>France</c:v>
                </c:pt>
                <c:pt idx="7">
                  <c:v>Netherlands</c:v>
                </c:pt>
                <c:pt idx="8">
                  <c:v>Italy</c:v>
                </c:pt>
                <c:pt idx="9">
                  <c:v>Spain</c:v>
                </c:pt>
                <c:pt idx="10">
                  <c:v>Norway</c:v>
                </c:pt>
                <c:pt idx="11">
                  <c:v>Austria</c:v>
                </c:pt>
                <c:pt idx="12">
                  <c:v>Sweden</c:v>
                </c:pt>
                <c:pt idx="13">
                  <c:v>Japan</c:v>
                </c:pt>
                <c:pt idx="14">
                  <c:v>Romania</c:v>
                </c:pt>
                <c:pt idx="15">
                  <c:v>Denmark</c:v>
                </c:pt>
                <c:pt idx="16">
                  <c:v>Switzerland</c:v>
                </c:pt>
                <c:pt idx="17">
                  <c:v>Slovakia</c:v>
                </c:pt>
                <c:pt idx="18">
                  <c:v>Belgium</c:v>
                </c:pt>
                <c:pt idx="19">
                  <c:v>Portugal</c:v>
                </c:pt>
                <c:pt idx="20">
                  <c:v>Lithuania</c:v>
                </c:pt>
                <c:pt idx="21">
                  <c:v>Finland</c:v>
                </c:pt>
                <c:pt idx="22">
                  <c:v>Estonia</c:v>
                </c:pt>
                <c:pt idx="23">
                  <c:v>Bulgaria</c:v>
                </c:pt>
                <c:pt idx="24">
                  <c:v>Australia</c:v>
                </c:pt>
                <c:pt idx="25">
                  <c:v>Latvia</c:v>
                </c:pt>
                <c:pt idx="26">
                  <c:v>Hungary</c:v>
                </c:pt>
                <c:pt idx="27">
                  <c:v>Ireland</c:v>
                </c:pt>
                <c:pt idx="28">
                  <c:v>Turkey</c:v>
                </c:pt>
                <c:pt idx="29">
                  <c:v>Greece</c:v>
                </c:pt>
                <c:pt idx="30">
                  <c:v>Luxembourg</c:v>
                </c:pt>
                <c:pt idx="31">
                  <c:v>Slovenia</c:v>
                </c:pt>
                <c:pt idx="32">
                  <c:v>Croatia</c:v>
                </c:pt>
                <c:pt idx="33">
                  <c:v>South Korea</c:v>
                </c:pt>
                <c:pt idx="34">
                  <c:v>Cyprus</c:v>
                </c:pt>
                <c:pt idx="35">
                  <c:v>Taiwan</c:v>
                </c:pt>
                <c:pt idx="36">
                  <c:v>Malta</c:v>
                </c:pt>
                <c:pt idx="37">
                  <c:v>New Zealand</c:v>
                </c:pt>
                <c:pt idx="38">
                  <c:v>China</c:v>
                </c:pt>
                <c:pt idx="39">
                  <c:v>India</c:v>
                </c:pt>
              </c:strCache>
            </c:strRef>
          </c:cat>
          <c:val>
            <c:numRef>
              <c:f>'Fig 7. With Refugee Support, €'!$F$12:$F$51</c:f>
              <c:numCache>
                <c:formatCode>0.00</c:formatCode>
                <c:ptCount val="40"/>
                <c:pt idx="0">
                  <c:v>0</c:v>
                </c:pt>
                <c:pt idx="1">
                  <c:v>6.8079999999999998</c:v>
                </c:pt>
                <c:pt idx="2">
                  <c:v>8.36</c:v>
                </c:pt>
                <c:pt idx="3">
                  <c:v>0.20699999999999999</c:v>
                </c:pt>
                <c:pt idx="4">
                  <c:v>0</c:v>
                </c:pt>
                <c:pt idx="5">
                  <c:v>1.9570000000000001</c:v>
                </c:pt>
                <c:pt idx="6">
                  <c:v>0.70599999999999996</c:v>
                </c:pt>
                <c:pt idx="7">
                  <c:v>0.48799999999999999</c:v>
                </c:pt>
                <c:pt idx="8">
                  <c:v>0.73699999999999999</c:v>
                </c:pt>
                <c:pt idx="9">
                  <c:v>1.359</c:v>
                </c:pt>
                <c:pt idx="10">
                  <c:v>0.23599999999999999</c:v>
                </c:pt>
                <c:pt idx="11">
                  <c:v>0.59199999999999997</c:v>
                </c:pt>
                <c:pt idx="12">
                  <c:v>0.32500000000000001</c:v>
                </c:pt>
                <c:pt idx="13">
                  <c:v>0</c:v>
                </c:pt>
                <c:pt idx="14">
                  <c:v>1.002</c:v>
                </c:pt>
                <c:pt idx="15">
                  <c:v>0.25700000000000001</c:v>
                </c:pt>
                <c:pt idx="16">
                  <c:v>0.71399999999999997</c:v>
                </c:pt>
                <c:pt idx="17">
                  <c:v>0.64200000000000002</c:v>
                </c:pt>
                <c:pt idx="18">
                  <c:v>0.58899999999999997</c:v>
                </c:pt>
                <c:pt idx="19">
                  <c:v>0.16800000000000001</c:v>
                </c:pt>
                <c:pt idx="20">
                  <c:v>0.223</c:v>
                </c:pt>
                <c:pt idx="21">
                  <c:v>0.16600000000000001</c:v>
                </c:pt>
                <c:pt idx="22">
                  <c:v>0.16600000000000001</c:v>
                </c:pt>
                <c:pt idx="23">
                  <c:v>0.20699999999999999</c:v>
                </c:pt>
                <c:pt idx="24">
                  <c:v>0</c:v>
                </c:pt>
                <c:pt idx="25">
                  <c:v>0.107</c:v>
                </c:pt>
                <c:pt idx="26">
                  <c:v>0.372</c:v>
                </c:pt>
                <c:pt idx="27">
                  <c:v>0.29699999999999999</c:v>
                </c:pt>
                <c:pt idx="28">
                  <c:v>0.20699999999999999</c:v>
                </c:pt>
                <c:pt idx="29">
                  <c:v>7.8E-2</c:v>
                </c:pt>
                <c:pt idx="30">
                  <c:v>6.3E-2</c:v>
                </c:pt>
                <c:pt idx="31">
                  <c:v>5.2999999999999999E-2</c:v>
                </c:pt>
                <c:pt idx="32">
                  <c:v>8.4000000000000005E-2</c:v>
                </c:pt>
                <c:pt idx="33">
                  <c:v>0</c:v>
                </c:pt>
                <c:pt idx="34">
                  <c:v>8.4000000000000005E-2</c:v>
                </c:pt>
                <c:pt idx="35">
                  <c:v>0</c:v>
                </c:pt>
                <c:pt idx="36">
                  <c:v>6.3E-2</c:v>
                </c:pt>
                <c:pt idx="37">
                  <c:v>0</c:v>
                </c:pt>
                <c:pt idx="38">
                  <c:v>0</c:v>
                </c:pt>
                <c:pt idx="39">
                  <c:v>0</c:v>
                </c:pt>
              </c:numCache>
            </c:numRef>
          </c:val>
          <c:extLst>
            <c:ext xmlns:c16="http://schemas.microsoft.com/office/drawing/2014/chart" uri="{C3380CC4-5D6E-409C-BE32-E72D297353CC}">
              <c16:uniqueId val="{00000001-1CF5-45F5-91AA-1830476D8225}"/>
            </c:ext>
          </c:extLst>
        </c:ser>
        <c:dLbls>
          <c:showLegendKey val="0"/>
          <c:showVal val="0"/>
          <c:showCatName val="0"/>
          <c:showSerName val="0"/>
          <c:showPercent val="0"/>
          <c:showBubbleSize val="0"/>
        </c:dLbls>
        <c:gapWidth val="70"/>
        <c:overlap val="100"/>
        <c:axId val="450490767"/>
        <c:axId val="450486607"/>
        <c:extLst>
          <c:ext xmlns:c15="http://schemas.microsoft.com/office/drawing/2012/chart" uri="{02D57815-91ED-43cb-92C2-25804820EDAC}">
            <c15:filteredBarSeries>
              <c15:ser>
                <c:idx val="4"/>
                <c:order val="3"/>
                <c:tx>
                  <c:strRef>
                    <c:extLst>
                      <c:ext uri="{02D57815-91ED-43cb-92C2-25804820EDAC}">
                        <c15:formulaRef>
                          <c15:sqref>'[2]Figure 7'!#REF!</c15:sqref>
                        </c15:formulaRef>
                      </c:ext>
                    </c:extLst>
                    <c:strCache>
                      <c:ptCount val="1"/>
                      <c:pt idx="0">
                        <c:v>#BEZUG!</c:v>
                      </c:pt>
                    </c:strCache>
                  </c:strRef>
                </c:tx>
                <c:spPr>
                  <a:solidFill>
                    <a:schemeClr val="accent4">
                      <a:lumMod val="60000"/>
                    </a:schemeClr>
                  </a:solidFill>
                  <a:ln>
                    <a:noFill/>
                  </a:ln>
                  <a:effectLst/>
                </c:spPr>
                <c:invertIfNegative val="0"/>
                <c:cat>
                  <c:strRef>
                    <c:extLst>
                      <c:ext uri="{02D57815-91ED-43cb-92C2-25804820EDAC}">
                        <c15:formulaRef>
                          <c15:sqref>'Fig 7. With Refugee Support, €'!$B$12:$B$51</c15:sqref>
                        </c15:formulaRef>
                      </c:ext>
                    </c:extLst>
                    <c:strCache>
                      <c:ptCount val="40"/>
                      <c:pt idx="0">
                        <c:v>United States</c:v>
                      </c:pt>
                      <c:pt idx="1">
                        <c:v>Germany</c:v>
                      </c:pt>
                      <c:pt idx="2">
                        <c:v>Poland</c:v>
                      </c:pt>
                      <c:pt idx="3">
                        <c:v>United Kingdom</c:v>
                      </c:pt>
                      <c:pt idx="4">
                        <c:v>Canada</c:v>
                      </c:pt>
                      <c:pt idx="5">
                        <c:v>Czech Republic</c:v>
                      </c:pt>
                      <c:pt idx="6">
                        <c:v>France</c:v>
                      </c:pt>
                      <c:pt idx="7">
                        <c:v>Netherlands</c:v>
                      </c:pt>
                      <c:pt idx="8">
                        <c:v>Italy</c:v>
                      </c:pt>
                      <c:pt idx="9">
                        <c:v>Spain</c:v>
                      </c:pt>
                      <c:pt idx="10">
                        <c:v>Norway</c:v>
                      </c:pt>
                      <c:pt idx="11">
                        <c:v>Austria</c:v>
                      </c:pt>
                      <c:pt idx="12">
                        <c:v>Sweden</c:v>
                      </c:pt>
                      <c:pt idx="13">
                        <c:v>Japan</c:v>
                      </c:pt>
                      <c:pt idx="14">
                        <c:v>Romania</c:v>
                      </c:pt>
                      <c:pt idx="15">
                        <c:v>Denmark</c:v>
                      </c:pt>
                      <c:pt idx="16">
                        <c:v>Switzerland</c:v>
                      </c:pt>
                      <c:pt idx="17">
                        <c:v>Slovakia</c:v>
                      </c:pt>
                      <c:pt idx="18">
                        <c:v>Belgium</c:v>
                      </c:pt>
                      <c:pt idx="19">
                        <c:v>Portugal</c:v>
                      </c:pt>
                      <c:pt idx="20">
                        <c:v>Lithuania</c:v>
                      </c:pt>
                      <c:pt idx="21">
                        <c:v>Finland</c:v>
                      </c:pt>
                      <c:pt idx="22">
                        <c:v>Estonia</c:v>
                      </c:pt>
                      <c:pt idx="23">
                        <c:v>Bulgaria</c:v>
                      </c:pt>
                      <c:pt idx="24">
                        <c:v>Australia</c:v>
                      </c:pt>
                      <c:pt idx="25">
                        <c:v>Latvia</c:v>
                      </c:pt>
                      <c:pt idx="26">
                        <c:v>Hungary</c:v>
                      </c:pt>
                      <c:pt idx="27">
                        <c:v>Ireland</c:v>
                      </c:pt>
                      <c:pt idx="28">
                        <c:v>Turkey</c:v>
                      </c:pt>
                      <c:pt idx="29">
                        <c:v>Greece</c:v>
                      </c:pt>
                      <c:pt idx="30">
                        <c:v>Luxembourg</c:v>
                      </c:pt>
                      <c:pt idx="31">
                        <c:v>Slovenia</c:v>
                      </c:pt>
                      <c:pt idx="32">
                        <c:v>Croatia</c:v>
                      </c:pt>
                      <c:pt idx="33">
                        <c:v>South Korea</c:v>
                      </c:pt>
                      <c:pt idx="34">
                        <c:v>Cyprus</c:v>
                      </c:pt>
                      <c:pt idx="35">
                        <c:v>Taiwan</c:v>
                      </c:pt>
                      <c:pt idx="36">
                        <c:v>Malta</c:v>
                      </c:pt>
                      <c:pt idx="37">
                        <c:v>New Zealand</c:v>
                      </c:pt>
                      <c:pt idx="38">
                        <c:v>China</c:v>
                      </c:pt>
                      <c:pt idx="39">
                        <c:v>India</c:v>
                      </c:pt>
                    </c:strCache>
                  </c:strRef>
                </c:cat>
                <c:val>
                  <c:numRef>
                    <c:extLst>
                      <c:ext uri="{02D57815-91ED-43cb-92C2-25804820EDAC}">
                        <c15:formulaRef>
                          <c15:sqref>'[2]Figure 7'!#REF!</c15:sqref>
                        </c15:formulaRef>
                      </c:ext>
                    </c:extLst>
                    <c:numCache>
                      <c:formatCode>#,##0</c:formatCode>
                      <c:ptCount val="1"/>
                      <c:pt idx="0">
                        <c:v>1</c:v>
                      </c:pt>
                    </c:numCache>
                  </c:numRef>
                </c:val>
                <c:extLst>
                  <c:ext xmlns:c16="http://schemas.microsoft.com/office/drawing/2014/chart" uri="{C3380CC4-5D6E-409C-BE32-E72D297353CC}">
                    <c16:uniqueId val="{00000000-1CF5-45F5-91AA-1830476D8225}"/>
                  </c:ext>
                </c:extLst>
              </c15:ser>
            </c15:filteredBarSeries>
          </c:ext>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max"/>
        <c:crossBetween val="between"/>
        <c:majorUnit val="5"/>
      </c:valAx>
      <c:spPr>
        <a:noFill/>
        <a:ln>
          <a:noFill/>
        </a:ln>
        <a:effectLst/>
      </c:spPr>
    </c:plotArea>
    <c:legend>
      <c:legendPos val="r"/>
      <c:layout>
        <c:manualLayout>
          <c:xMode val="edge"/>
          <c:yMode val="edge"/>
          <c:x val="0.41237346555092713"/>
          <c:y val="0.16177002697889301"/>
          <c:w val="0.3432256481481481"/>
          <c:h val="0.27076249064319713"/>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4611361960587999"/>
          <c:y val="1.9085050156401683E-2"/>
          <c:w val="0.83093765643841966"/>
          <c:h val="0.93378313648293965"/>
        </c:manualLayout>
      </c:layout>
      <c:barChart>
        <c:barDir val="bar"/>
        <c:grouping val="stacked"/>
        <c:varyColors val="0"/>
        <c:ser>
          <c:idx val="0"/>
          <c:order val="0"/>
          <c:tx>
            <c:strRef>
              <c:f>'Fig 8. With Refugee Support, %'!$C$11</c:f>
              <c:strCache>
                <c:ptCount val="1"/>
                <c:pt idx="0">
                  <c:v>Total bilateral commitments</c:v>
                </c:pt>
              </c:strCache>
            </c:strRef>
          </c:tx>
          <c:spPr>
            <a:solidFill>
              <a:schemeClr val="accent5">
                <a:lumMod val="75000"/>
              </a:schemeClr>
            </a:solidFill>
            <a:ln>
              <a:solidFill>
                <a:srgbClr val="000000"/>
              </a:solidFill>
              <a:prstDash val="solid"/>
            </a:ln>
            <a:effectLst/>
          </c:spPr>
          <c:invertIfNegative val="0"/>
          <c:cat>
            <c:strRef>
              <c:f>'Fig 8. With Refugee Support, %'!$B$12:$B$51</c:f>
              <c:strCache>
                <c:ptCount val="40"/>
                <c:pt idx="0">
                  <c:v>Poland</c:v>
                </c:pt>
                <c:pt idx="1">
                  <c:v>Estonia</c:v>
                </c:pt>
                <c:pt idx="2">
                  <c:v>Latvia</c:v>
                </c:pt>
                <c:pt idx="3">
                  <c:v>Czech Republic</c:v>
                </c:pt>
                <c:pt idx="4">
                  <c:v>Lithuania</c:v>
                </c:pt>
                <c:pt idx="5">
                  <c:v>Slovakia</c:v>
                </c:pt>
                <c:pt idx="6">
                  <c:v>Bulgaria</c:v>
                </c:pt>
                <c:pt idx="7">
                  <c:v>Malta</c:v>
                </c:pt>
                <c:pt idx="8">
                  <c:v>Romania</c:v>
                </c:pt>
                <c:pt idx="9">
                  <c:v>Norway</c:v>
                </c:pt>
                <c:pt idx="10">
                  <c:v>Cyprus</c:v>
                </c:pt>
                <c:pt idx="11">
                  <c:v>United States</c:v>
                </c:pt>
                <c:pt idx="12">
                  <c:v>Germany</c:v>
                </c:pt>
                <c:pt idx="13">
                  <c:v>United Kingdom</c:v>
                </c:pt>
                <c:pt idx="14">
                  <c:v>Austria</c:v>
                </c:pt>
                <c:pt idx="15">
                  <c:v>Portugal</c:v>
                </c:pt>
                <c:pt idx="16">
                  <c:v>Denmark</c:v>
                </c:pt>
                <c:pt idx="17">
                  <c:v>Hungary</c:v>
                </c:pt>
                <c:pt idx="18">
                  <c:v>Canada</c:v>
                </c:pt>
                <c:pt idx="19">
                  <c:v>Slovenia</c:v>
                </c:pt>
                <c:pt idx="20">
                  <c:v>Netherlands</c:v>
                </c:pt>
                <c:pt idx="21">
                  <c:v>Sweden</c:v>
                </c:pt>
                <c:pt idx="22">
                  <c:v>Luxembourg</c:v>
                </c:pt>
                <c:pt idx="23">
                  <c:v>Croatia</c:v>
                </c:pt>
                <c:pt idx="24">
                  <c:v>Finland</c:v>
                </c:pt>
                <c:pt idx="25">
                  <c:v>Belgium</c:v>
                </c:pt>
                <c:pt idx="26">
                  <c:v>Greece</c:v>
                </c:pt>
                <c:pt idx="27">
                  <c:v>Spain</c:v>
                </c:pt>
                <c:pt idx="28">
                  <c:v>Switzerland</c:v>
                </c:pt>
                <c:pt idx="29">
                  <c:v>Italy</c:v>
                </c:pt>
                <c:pt idx="30">
                  <c:v>France</c:v>
                </c:pt>
                <c:pt idx="31">
                  <c:v>Ireland</c:v>
                </c:pt>
                <c:pt idx="32">
                  <c:v>Turkey</c:v>
                </c:pt>
                <c:pt idx="33">
                  <c:v>Australia</c:v>
                </c:pt>
                <c:pt idx="34">
                  <c:v>Japan</c:v>
                </c:pt>
                <c:pt idx="35">
                  <c:v>Taiwan</c:v>
                </c:pt>
                <c:pt idx="36">
                  <c:v>New Zealand</c:v>
                </c:pt>
                <c:pt idx="37">
                  <c:v>South Korea</c:v>
                </c:pt>
                <c:pt idx="38">
                  <c:v>India</c:v>
                </c:pt>
                <c:pt idx="39">
                  <c:v>China</c:v>
                </c:pt>
              </c:strCache>
            </c:strRef>
          </c:cat>
          <c:val>
            <c:numRef>
              <c:f>'Fig 8. With Refugee Support, %'!$C$12:$C$51</c:f>
              <c:numCache>
                <c:formatCode>0.00</c:formatCode>
                <c:ptCount val="40"/>
                <c:pt idx="0">
                  <c:v>0.62629240486194215</c:v>
                </c:pt>
                <c:pt idx="1">
                  <c:v>1.0714702516680921</c:v>
                </c:pt>
                <c:pt idx="2">
                  <c:v>0.97530930817809547</c:v>
                </c:pt>
                <c:pt idx="3">
                  <c:v>0.24401173304736024</c:v>
                </c:pt>
                <c:pt idx="4">
                  <c:v>0.65175917502903802</c:v>
                </c:pt>
                <c:pt idx="5">
                  <c:v>0.22369549234134833</c:v>
                </c:pt>
                <c:pt idx="6">
                  <c:v>0.36056136389535975</c:v>
                </c:pt>
                <c:pt idx="7">
                  <c:v>1.2186479766347293E-2</c:v>
                </c:pt>
                <c:pt idx="8">
                  <c:v>4.5117974874776083E-3</c:v>
                </c:pt>
                <c:pt idx="9">
                  <c:v>0.35881458597507954</c:v>
                </c:pt>
                <c:pt idx="10">
                  <c:v>1.2798296810786326E-2</c:v>
                </c:pt>
                <c:pt idx="11">
                  <c:v>0.36670361752930236</c:v>
                </c:pt>
                <c:pt idx="12">
                  <c:v>0.16791640519043149</c:v>
                </c:pt>
                <c:pt idx="13">
                  <c:v>0.31603739506644191</c:v>
                </c:pt>
                <c:pt idx="14">
                  <c:v>0.15156942553252337</c:v>
                </c:pt>
                <c:pt idx="15">
                  <c:v>0.21250619097011536</c:v>
                </c:pt>
                <c:pt idx="16">
                  <c:v>0.2122186724732939</c:v>
                </c:pt>
                <c:pt idx="17">
                  <c:v>3.1865036188883679E-2</c:v>
                </c:pt>
                <c:pt idx="18">
                  <c:v>0.25632117619333006</c:v>
                </c:pt>
                <c:pt idx="19">
                  <c:v>0.12092412980552034</c:v>
                </c:pt>
                <c:pt idx="20">
                  <c:v>0.16304488604120476</c:v>
                </c:pt>
                <c:pt idx="21">
                  <c:v>0.1560201905102156</c:v>
                </c:pt>
                <c:pt idx="22">
                  <c:v>0.11308310906433033</c:v>
                </c:pt>
                <c:pt idx="23">
                  <c:v>4.751612804745621E-2</c:v>
                </c:pt>
                <c:pt idx="24">
                  <c:v>0.13218725299739614</c:v>
                </c:pt>
                <c:pt idx="25">
                  <c:v>4.9236359339854457E-2</c:v>
                </c:pt>
                <c:pt idx="26">
                  <c:v>0.10158985634034334</c:v>
                </c:pt>
                <c:pt idx="27">
                  <c:v>3.1743111359855275E-2</c:v>
                </c:pt>
                <c:pt idx="28">
                  <c:v>3.3774324203310994E-2</c:v>
                </c:pt>
                <c:pt idx="29">
                  <c:v>5.6879145193287982E-2</c:v>
                </c:pt>
                <c:pt idx="30">
                  <c:v>6.6849255151842313E-2</c:v>
                </c:pt>
                <c:pt idx="31">
                  <c:v>1.6901668275066981E-2</c:v>
                </c:pt>
                <c:pt idx="32">
                  <c:v>8.9827208669556458E-3</c:v>
                </c:pt>
                <c:pt idx="33">
                  <c:v>3.3783675894588923E-2</c:v>
                </c:pt>
                <c:pt idx="34">
                  <c:v>2.1834816145528613E-2</c:v>
                </c:pt>
                <c:pt idx="35">
                  <c:v>1.1189738764522157E-2</c:v>
                </c:pt>
                <c:pt idx="36">
                  <c:v>1.033595062238561E-2</c:v>
                </c:pt>
                <c:pt idx="37">
                  <c:v>6.323967606692558E-3</c:v>
                </c:pt>
                <c:pt idx="38">
                  <c:v>7.3198138435895518E-5</c:v>
                </c:pt>
                <c:pt idx="39">
                  <c:v>1.4848696966057873E-5</c:v>
                </c:pt>
              </c:numCache>
            </c:numRef>
          </c:val>
          <c:extLst>
            <c:ext xmlns:c16="http://schemas.microsoft.com/office/drawing/2014/chart" uri="{C3380CC4-5D6E-409C-BE32-E72D297353CC}">
              <c16:uniqueId val="{00000000-C87D-4FC8-BF56-3949AA19737F}"/>
            </c:ext>
          </c:extLst>
        </c:ser>
        <c:ser>
          <c:idx val="1"/>
          <c:order val="1"/>
          <c:tx>
            <c:strRef>
              <c:f>'Fig 8. With Refugee Support, %'!$D$11</c:f>
              <c:strCache>
                <c:ptCount val="1"/>
                <c:pt idx="0">
                  <c:v>Refugee cost estimation</c:v>
                </c:pt>
              </c:strCache>
            </c:strRef>
          </c:tx>
          <c:spPr>
            <a:solidFill>
              <a:schemeClr val="accent4"/>
            </a:solidFill>
            <a:ln>
              <a:solidFill>
                <a:srgbClr val="000000"/>
              </a:solidFill>
              <a:prstDash val="solid"/>
            </a:ln>
            <a:effectLst/>
          </c:spPr>
          <c:invertIfNegative val="0"/>
          <c:cat>
            <c:strRef>
              <c:f>'Fig 8. With Refugee Support, %'!$B$12:$B$51</c:f>
              <c:strCache>
                <c:ptCount val="40"/>
                <c:pt idx="0">
                  <c:v>Poland</c:v>
                </c:pt>
                <c:pt idx="1">
                  <c:v>Estonia</c:v>
                </c:pt>
                <c:pt idx="2">
                  <c:v>Latvia</c:v>
                </c:pt>
                <c:pt idx="3">
                  <c:v>Czech Republic</c:v>
                </c:pt>
                <c:pt idx="4">
                  <c:v>Lithuania</c:v>
                </c:pt>
                <c:pt idx="5">
                  <c:v>Slovakia</c:v>
                </c:pt>
                <c:pt idx="6">
                  <c:v>Bulgaria</c:v>
                </c:pt>
                <c:pt idx="7">
                  <c:v>Malta</c:v>
                </c:pt>
                <c:pt idx="8">
                  <c:v>Romania</c:v>
                </c:pt>
                <c:pt idx="9">
                  <c:v>Norway</c:v>
                </c:pt>
                <c:pt idx="10">
                  <c:v>Cyprus</c:v>
                </c:pt>
                <c:pt idx="11">
                  <c:v>United States</c:v>
                </c:pt>
                <c:pt idx="12">
                  <c:v>Germany</c:v>
                </c:pt>
                <c:pt idx="13">
                  <c:v>United Kingdom</c:v>
                </c:pt>
                <c:pt idx="14">
                  <c:v>Austria</c:v>
                </c:pt>
                <c:pt idx="15">
                  <c:v>Portugal</c:v>
                </c:pt>
                <c:pt idx="16">
                  <c:v>Denmark</c:v>
                </c:pt>
                <c:pt idx="17">
                  <c:v>Hungary</c:v>
                </c:pt>
                <c:pt idx="18">
                  <c:v>Canada</c:v>
                </c:pt>
                <c:pt idx="19">
                  <c:v>Slovenia</c:v>
                </c:pt>
                <c:pt idx="20">
                  <c:v>Netherlands</c:v>
                </c:pt>
                <c:pt idx="21">
                  <c:v>Sweden</c:v>
                </c:pt>
                <c:pt idx="22">
                  <c:v>Luxembourg</c:v>
                </c:pt>
                <c:pt idx="23">
                  <c:v>Croatia</c:v>
                </c:pt>
                <c:pt idx="24">
                  <c:v>Finland</c:v>
                </c:pt>
                <c:pt idx="25">
                  <c:v>Belgium</c:v>
                </c:pt>
                <c:pt idx="26">
                  <c:v>Greece</c:v>
                </c:pt>
                <c:pt idx="27">
                  <c:v>Spain</c:v>
                </c:pt>
                <c:pt idx="28">
                  <c:v>Switzerland</c:v>
                </c:pt>
                <c:pt idx="29">
                  <c:v>Italy</c:v>
                </c:pt>
                <c:pt idx="30">
                  <c:v>France</c:v>
                </c:pt>
                <c:pt idx="31">
                  <c:v>Ireland</c:v>
                </c:pt>
                <c:pt idx="32">
                  <c:v>Turkey</c:v>
                </c:pt>
                <c:pt idx="33">
                  <c:v>Australia</c:v>
                </c:pt>
                <c:pt idx="34">
                  <c:v>Japan</c:v>
                </c:pt>
                <c:pt idx="35">
                  <c:v>Taiwan</c:v>
                </c:pt>
                <c:pt idx="36">
                  <c:v>New Zealand</c:v>
                </c:pt>
                <c:pt idx="37">
                  <c:v>South Korea</c:v>
                </c:pt>
                <c:pt idx="38">
                  <c:v>India</c:v>
                </c:pt>
                <c:pt idx="39">
                  <c:v>China</c:v>
                </c:pt>
              </c:strCache>
            </c:strRef>
          </c:cat>
          <c:val>
            <c:numRef>
              <c:f>'Fig 8. With Refugee Support, %'!$D$12:$D$51</c:f>
              <c:numCache>
                <c:formatCode>0.00</c:formatCode>
                <c:ptCount val="40"/>
                <c:pt idx="0">
                  <c:v>1.4712775053301543</c:v>
                </c:pt>
                <c:pt idx="1">
                  <c:v>0.56867324909487005</c:v>
                </c:pt>
                <c:pt idx="2">
                  <c:v>0.33331039074005286</c:v>
                </c:pt>
                <c:pt idx="3">
                  <c:v>0.83755429011542071</c:v>
                </c:pt>
                <c:pt idx="4">
                  <c:v>0.41408061547428909</c:v>
                </c:pt>
                <c:pt idx="5">
                  <c:v>0.64094664996268991</c:v>
                </c:pt>
                <c:pt idx="6">
                  <c:v>0.31099160026786582</c:v>
                </c:pt>
                <c:pt idx="7">
                  <c:v>0.45161660310581148</c:v>
                </c:pt>
                <c:pt idx="8">
                  <c:v>0.42301335803089118</c:v>
                </c:pt>
                <c:pt idx="9">
                  <c:v>6.841555782769107E-2</c:v>
                </c:pt>
                <c:pt idx="10">
                  <c:v>0.35835231070201712</c:v>
                </c:pt>
                <c:pt idx="11">
                  <c:v>0</c:v>
                </c:pt>
                <c:pt idx="12">
                  <c:v>0.18584583277026556</c:v>
                </c:pt>
                <c:pt idx="13">
                  <c:v>7.875559107627373E-3</c:v>
                </c:pt>
                <c:pt idx="14">
                  <c:v>0.14347094010649117</c:v>
                </c:pt>
                <c:pt idx="15">
                  <c:v>7.7185950756763627E-2</c:v>
                </c:pt>
                <c:pt idx="16">
                  <c:v>7.5782495336013583E-2</c:v>
                </c:pt>
                <c:pt idx="17">
                  <c:v>0.25069245286070518</c:v>
                </c:pt>
                <c:pt idx="18">
                  <c:v>0</c:v>
                </c:pt>
                <c:pt idx="19">
                  <c:v>0.1038447572861783</c:v>
                </c:pt>
                <c:pt idx="20">
                  <c:v>5.6069526212503502E-2</c:v>
                </c:pt>
                <c:pt idx="21">
                  <c:v>6.305198665400541E-2</c:v>
                </c:pt>
                <c:pt idx="22">
                  <c:v>9.0180200899402665E-2</c:v>
                </c:pt>
                <c:pt idx="23">
                  <c:v>0.15418561500656078</c:v>
                </c:pt>
                <c:pt idx="24">
                  <c:v>6.4652575125420622E-2</c:v>
                </c:pt>
                <c:pt idx="25">
                  <c:v>0.11850850251797751</c:v>
                </c:pt>
                <c:pt idx="26">
                  <c:v>4.3371151141312639E-2</c:v>
                </c:pt>
                <c:pt idx="27">
                  <c:v>0.11135131514334812</c:v>
                </c:pt>
                <c:pt idx="28">
                  <c:v>9.9661275859130094E-2</c:v>
                </c:pt>
                <c:pt idx="29">
                  <c:v>4.0972421888249788E-2</c:v>
                </c:pt>
                <c:pt idx="30">
                  <c:v>2.8182907013290744E-2</c:v>
                </c:pt>
                <c:pt idx="31">
                  <c:v>7.3223304663891306E-2</c:v>
                </c:pt>
                <c:pt idx="32">
                  <c:v>3.0189394313912488E-2</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1-C87D-4FC8-BF56-3949AA19737F}"/>
            </c:ext>
          </c:extLst>
        </c:ser>
        <c:dLbls>
          <c:showLegendKey val="0"/>
          <c:showVal val="0"/>
          <c:showCatName val="0"/>
          <c:showSerName val="0"/>
          <c:showPercent val="0"/>
          <c:showBubbleSize val="0"/>
        </c:dLbls>
        <c:gapWidth val="85"/>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max"/>
        <c:crossBetween val="between"/>
      </c:valAx>
      <c:spPr>
        <a:noFill/>
        <a:ln>
          <a:noFill/>
        </a:ln>
        <a:effectLst/>
      </c:spPr>
    </c:plotArea>
    <c:legend>
      <c:legendPos val="r"/>
      <c:layout>
        <c:manualLayout>
          <c:xMode val="edge"/>
          <c:yMode val="edge"/>
          <c:x val="0.45750857079662327"/>
          <c:y val="0.32312160878029639"/>
          <c:w val="0.32947487742839238"/>
          <c:h val="8.7190565326383876E-2"/>
        </c:manualLayout>
      </c:layout>
      <c:overlay val="0"/>
      <c:spPr>
        <a:solidFill>
          <a:schemeClr val="bg1"/>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67574074074073"/>
          <c:y val="1.7897272369283346E-2"/>
          <c:w val="0.81730435185185191"/>
          <c:h val="0.94156885161080517"/>
        </c:manualLayout>
      </c:layout>
      <c:barChart>
        <c:barDir val="bar"/>
        <c:grouping val="stacked"/>
        <c:varyColors val="0"/>
        <c:ser>
          <c:idx val="0"/>
          <c:order val="0"/>
          <c:tx>
            <c:strRef>
              <c:f>'Fig 9. Financial Aid'!$C$11</c:f>
              <c:strCache>
                <c:ptCount val="1"/>
                <c:pt idx="0">
                  <c:v>Loan</c:v>
                </c:pt>
              </c:strCache>
            </c:strRef>
          </c:tx>
          <c:spPr>
            <a:solidFill>
              <a:srgbClr val="0070C0"/>
            </a:solidFill>
            <a:ln>
              <a:solidFill>
                <a:srgbClr val="000000"/>
              </a:solidFill>
              <a:prstDash val="solid"/>
            </a:ln>
            <a:effectLst/>
          </c:spPr>
          <c:invertIfNegative val="0"/>
          <c:cat>
            <c:strRef>
              <c:f>'Fig 9. Financial Aid'!$B$12:$B$31</c:f>
              <c:strCache>
                <c:ptCount val="20"/>
                <c:pt idx="0">
                  <c:v>EU Institutions</c:v>
                </c:pt>
                <c:pt idx="1">
                  <c:v>United States</c:v>
                </c:pt>
                <c:pt idx="2">
                  <c:v>United Kingdom</c:v>
                </c:pt>
                <c:pt idx="3">
                  <c:v>Canada</c:v>
                </c:pt>
                <c:pt idx="4">
                  <c:v>Germany</c:v>
                </c:pt>
                <c:pt idx="5">
                  <c:v>Poland</c:v>
                </c:pt>
                <c:pt idx="6">
                  <c:v>France</c:v>
                </c:pt>
                <c:pt idx="7">
                  <c:v>Norway</c:v>
                </c:pt>
                <c:pt idx="8">
                  <c:v>Austria</c:v>
                </c:pt>
                <c:pt idx="9">
                  <c:v>Japan</c:v>
                </c:pt>
                <c:pt idx="10">
                  <c:v>Netherlands</c:v>
                </c:pt>
                <c:pt idx="11">
                  <c:v>Italy</c:v>
                </c:pt>
                <c:pt idx="12">
                  <c:v>Sweden</c:v>
                </c:pt>
                <c:pt idx="13">
                  <c:v>Spain</c:v>
                </c:pt>
                <c:pt idx="14">
                  <c:v>Portugal</c:v>
                </c:pt>
                <c:pt idx="15">
                  <c:v>Finland</c:v>
                </c:pt>
                <c:pt idx="16">
                  <c:v>Switzerland</c:v>
                </c:pt>
                <c:pt idx="17">
                  <c:v>Denmark</c:v>
                </c:pt>
                <c:pt idx="18">
                  <c:v>Lithuania</c:v>
                </c:pt>
                <c:pt idx="19">
                  <c:v>Latvia</c:v>
                </c:pt>
              </c:strCache>
            </c:strRef>
          </c:cat>
          <c:val>
            <c:numRef>
              <c:f>'Fig 9. Financial Aid'!$C$12:$C$31</c:f>
              <c:numCache>
                <c:formatCode>0.00</c:formatCode>
                <c:ptCount val="20"/>
                <c:pt idx="0">
                  <c:v>30.2</c:v>
                </c:pt>
                <c:pt idx="1">
                  <c:v>0</c:v>
                </c:pt>
                <c:pt idx="2">
                  <c:v>0.58008678098243494</c:v>
                </c:pt>
                <c:pt idx="3">
                  <c:v>1.6784390516819359</c:v>
                </c:pt>
                <c:pt idx="4">
                  <c:v>0.3</c:v>
                </c:pt>
                <c:pt idx="5">
                  <c:v>0</c:v>
                </c:pt>
                <c:pt idx="6">
                  <c:v>0.69940000000000002</c:v>
                </c:pt>
                <c:pt idx="7">
                  <c:v>0</c:v>
                </c:pt>
                <c:pt idx="8">
                  <c:v>0</c:v>
                </c:pt>
                <c:pt idx="9">
                  <c:v>0.57142857142857151</c:v>
                </c:pt>
                <c:pt idx="10">
                  <c:v>0.2</c:v>
                </c:pt>
                <c:pt idx="11">
                  <c:v>0.2</c:v>
                </c:pt>
                <c:pt idx="12">
                  <c:v>0</c:v>
                </c:pt>
                <c:pt idx="13">
                  <c:v>0</c:v>
                </c:pt>
                <c:pt idx="14">
                  <c:v>0</c:v>
                </c:pt>
                <c:pt idx="15">
                  <c:v>0</c:v>
                </c:pt>
                <c:pt idx="16">
                  <c:v>0</c:v>
                </c:pt>
                <c:pt idx="17">
                  <c:v>0</c:v>
                </c:pt>
                <c:pt idx="18">
                  <c:v>0</c:v>
                </c:pt>
                <c:pt idx="19">
                  <c:v>0.01</c:v>
                </c:pt>
              </c:numCache>
            </c:numRef>
          </c:val>
          <c:extLst>
            <c:ext xmlns:c16="http://schemas.microsoft.com/office/drawing/2014/chart" uri="{C3380CC4-5D6E-409C-BE32-E72D297353CC}">
              <c16:uniqueId val="{00000001-9082-4ED4-9BAD-CAF3B51EE262}"/>
            </c:ext>
          </c:extLst>
        </c:ser>
        <c:ser>
          <c:idx val="1"/>
          <c:order val="1"/>
          <c:tx>
            <c:strRef>
              <c:f>'Fig 9. Financial Aid'!$D$11</c:f>
              <c:strCache>
                <c:ptCount val="1"/>
                <c:pt idx="0">
                  <c:v>Grant</c:v>
                </c:pt>
              </c:strCache>
            </c:strRef>
          </c:tx>
          <c:spPr>
            <a:solidFill>
              <a:srgbClr val="92D050"/>
            </a:solidFill>
            <a:ln>
              <a:solidFill>
                <a:schemeClr val="tx1"/>
              </a:solidFill>
            </a:ln>
            <a:effectLst/>
          </c:spPr>
          <c:invertIfNegative val="0"/>
          <c:cat>
            <c:strRef>
              <c:f>'Fig 9. Financial Aid'!$B$12:$B$31</c:f>
              <c:strCache>
                <c:ptCount val="20"/>
                <c:pt idx="0">
                  <c:v>EU Institutions</c:v>
                </c:pt>
                <c:pt idx="1">
                  <c:v>United States</c:v>
                </c:pt>
                <c:pt idx="2">
                  <c:v>United Kingdom</c:v>
                </c:pt>
                <c:pt idx="3">
                  <c:v>Canada</c:v>
                </c:pt>
                <c:pt idx="4">
                  <c:v>Germany</c:v>
                </c:pt>
                <c:pt idx="5">
                  <c:v>Poland</c:v>
                </c:pt>
                <c:pt idx="6">
                  <c:v>France</c:v>
                </c:pt>
                <c:pt idx="7">
                  <c:v>Norway</c:v>
                </c:pt>
                <c:pt idx="8">
                  <c:v>Austria</c:v>
                </c:pt>
                <c:pt idx="9">
                  <c:v>Japan</c:v>
                </c:pt>
                <c:pt idx="10">
                  <c:v>Netherlands</c:v>
                </c:pt>
                <c:pt idx="11">
                  <c:v>Italy</c:v>
                </c:pt>
                <c:pt idx="12">
                  <c:v>Sweden</c:v>
                </c:pt>
                <c:pt idx="13">
                  <c:v>Spain</c:v>
                </c:pt>
                <c:pt idx="14">
                  <c:v>Portugal</c:v>
                </c:pt>
                <c:pt idx="15">
                  <c:v>Finland</c:v>
                </c:pt>
                <c:pt idx="16">
                  <c:v>Switzerland</c:v>
                </c:pt>
                <c:pt idx="17">
                  <c:v>Denmark</c:v>
                </c:pt>
                <c:pt idx="18">
                  <c:v>Lithuania</c:v>
                </c:pt>
                <c:pt idx="19">
                  <c:v>Latvia</c:v>
                </c:pt>
              </c:strCache>
            </c:strRef>
          </c:cat>
          <c:val>
            <c:numRef>
              <c:f>'Fig 9. Financial Aid'!$D$12:$D$31</c:f>
              <c:numCache>
                <c:formatCode>0.00</c:formatCode>
                <c:ptCount val="20"/>
                <c:pt idx="0">
                  <c:v>0.1225</c:v>
                </c:pt>
                <c:pt idx="1">
                  <c:v>25.114285714285714</c:v>
                </c:pt>
                <c:pt idx="2">
                  <c:v>0.65798635856876564</c:v>
                </c:pt>
                <c:pt idx="3">
                  <c:v>0.78246730540597254</c:v>
                </c:pt>
                <c:pt idx="4">
                  <c:v>1.2</c:v>
                </c:pt>
                <c:pt idx="5">
                  <c:v>6.4623139392111671E-3</c:v>
                </c:pt>
                <c:pt idx="6">
                  <c:v>0</c:v>
                </c:pt>
                <c:pt idx="7">
                  <c:v>0.61050061050061044</c:v>
                </c:pt>
                <c:pt idx="8">
                  <c:v>7.1900000000000006E-2</c:v>
                </c:pt>
                <c:pt idx="9">
                  <c:v>0</c:v>
                </c:pt>
                <c:pt idx="10">
                  <c:v>0.2485</c:v>
                </c:pt>
                <c:pt idx="11">
                  <c:v>0.127</c:v>
                </c:pt>
                <c:pt idx="12">
                  <c:v>0.21615892824371449</c:v>
                </c:pt>
                <c:pt idx="13">
                  <c:v>0.1545</c:v>
                </c:pt>
                <c:pt idx="14">
                  <c:v>0.25</c:v>
                </c:pt>
                <c:pt idx="15">
                  <c:v>8.1500000000000003E-2</c:v>
                </c:pt>
                <c:pt idx="16">
                  <c:v>3.8633590890605932E-2</c:v>
                </c:pt>
                <c:pt idx="17">
                  <c:v>5.7500000000000002E-2</c:v>
                </c:pt>
                <c:pt idx="18">
                  <c:v>2.1999999999999999E-2</c:v>
                </c:pt>
                <c:pt idx="19">
                  <c:v>5.3559999999999997E-3</c:v>
                </c:pt>
              </c:numCache>
            </c:numRef>
          </c:val>
          <c:extLst>
            <c:ext xmlns:c16="http://schemas.microsoft.com/office/drawing/2014/chart" uri="{C3380CC4-5D6E-409C-BE32-E72D297353CC}">
              <c16:uniqueId val="{00000003-9082-4ED4-9BAD-CAF3B51EE262}"/>
            </c:ext>
          </c:extLst>
        </c:ser>
        <c:ser>
          <c:idx val="2"/>
          <c:order val="2"/>
          <c:tx>
            <c:strRef>
              <c:f>'Fig 9. Financial Aid'!$E$11</c:f>
              <c:strCache>
                <c:ptCount val="1"/>
                <c:pt idx="0">
                  <c:v>Guarantee</c:v>
                </c:pt>
              </c:strCache>
            </c:strRef>
          </c:tx>
          <c:spPr>
            <a:solidFill>
              <a:schemeClr val="accent3">
                <a:lumMod val="60000"/>
                <a:lumOff val="40000"/>
              </a:schemeClr>
            </a:solidFill>
            <a:ln>
              <a:solidFill>
                <a:schemeClr val="tx1"/>
              </a:solidFill>
            </a:ln>
            <a:effectLst/>
          </c:spPr>
          <c:invertIfNegative val="0"/>
          <c:cat>
            <c:strRef>
              <c:f>'Fig 9. Financial Aid'!$B$12:$B$31</c:f>
              <c:strCache>
                <c:ptCount val="20"/>
                <c:pt idx="0">
                  <c:v>EU Institutions</c:v>
                </c:pt>
                <c:pt idx="1">
                  <c:v>United States</c:v>
                </c:pt>
                <c:pt idx="2">
                  <c:v>United Kingdom</c:v>
                </c:pt>
                <c:pt idx="3">
                  <c:v>Canada</c:v>
                </c:pt>
                <c:pt idx="4">
                  <c:v>Germany</c:v>
                </c:pt>
                <c:pt idx="5">
                  <c:v>Poland</c:v>
                </c:pt>
                <c:pt idx="6">
                  <c:v>France</c:v>
                </c:pt>
                <c:pt idx="7">
                  <c:v>Norway</c:v>
                </c:pt>
                <c:pt idx="8">
                  <c:v>Austria</c:v>
                </c:pt>
                <c:pt idx="9">
                  <c:v>Japan</c:v>
                </c:pt>
                <c:pt idx="10">
                  <c:v>Netherlands</c:v>
                </c:pt>
                <c:pt idx="11">
                  <c:v>Italy</c:v>
                </c:pt>
                <c:pt idx="12">
                  <c:v>Sweden</c:v>
                </c:pt>
                <c:pt idx="13">
                  <c:v>Spain</c:v>
                </c:pt>
                <c:pt idx="14">
                  <c:v>Portugal</c:v>
                </c:pt>
                <c:pt idx="15">
                  <c:v>Finland</c:v>
                </c:pt>
                <c:pt idx="16">
                  <c:v>Switzerland</c:v>
                </c:pt>
                <c:pt idx="17">
                  <c:v>Denmark</c:v>
                </c:pt>
                <c:pt idx="18">
                  <c:v>Lithuania</c:v>
                </c:pt>
                <c:pt idx="19">
                  <c:v>Latvia</c:v>
                </c:pt>
              </c:strCache>
            </c:strRef>
          </c:cat>
          <c:val>
            <c:numRef>
              <c:f>'Fig 9. Financial Aid'!$E$12:$E$31</c:f>
              <c:numCache>
                <c:formatCode>0.00</c:formatCode>
                <c:ptCount val="20"/>
                <c:pt idx="0">
                  <c:v>0</c:v>
                </c:pt>
                <c:pt idx="1">
                  <c:v>0</c:v>
                </c:pt>
                <c:pt idx="2">
                  <c:v>1.7993076526153073</c:v>
                </c:pt>
                <c:pt idx="3">
                  <c:v>0</c:v>
                </c:pt>
                <c:pt idx="4">
                  <c:v>0</c:v>
                </c:pt>
                <c:pt idx="5">
                  <c:v>0</c:v>
                </c:pt>
                <c:pt idx="6">
                  <c:v>0</c:v>
                </c:pt>
                <c:pt idx="7">
                  <c:v>0</c:v>
                </c:pt>
                <c:pt idx="8">
                  <c:v>0.5</c:v>
                </c:pt>
                <c:pt idx="9">
                  <c:v>0</c:v>
                </c:pt>
                <c:pt idx="10">
                  <c:v>0.08</c:v>
                </c:pt>
                <c:pt idx="11">
                  <c:v>0</c:v>
                </c:pt>
                <c:pt idx="12">
                  <c:v>9.1619047619047614E-2</c:v>
                </c:pt>
                <c:pt idx="13">
                  <c:v>0.1</c:v>
                </c:pt>
                <c:pt idx="14">
                  <c:v>0</c:v>
                </c:pt>
                <c:pt idx="15">
                  <c:v>0</c:v>
                </c:pt>
                <c:pt idx="16">
                  <c:v>2.0333468889792598E-2</c:v>
                </c:pt>
                <c:pt idx="17">
                  <c:v>0</c:v>
                </c:pt>
                <c:pt idx="18">
                  <c:v>0</c:v>
                </c:pt>
                <c:pt idx="19">
                  <c:v>0</c:v>
                </c:pt>
              </c:numCache>
            </c:numRef>
          </c:val>
          <c:extLst>
            <c:ext xmlns:c16="http://schemas.microsoft.com/office/drawing/2014/chart" uri="{C3380CC4-5D6E-409C-BE32-E72D297353CC}">
              <c16:uniqueId val="{00000000-08E0-BA4D-91A7-02F4E6DBECC7}"/>
            </c:ext>
          </c:extLst>
        </c:ser>
        <c:ser>
          <c:idx val="3"/>
          <c:order val="3"/>
          <c:tx>
            <c:strRef>
              <c:f>'Fig 9. Financial Aid'!$F$11</c:f>
              <c:strCache>
                <c:ptCount val="1"/>
                <c:pt idx="0">
                  <c:v>Central bank swap line</c:v>
                </c:pt>
              </c:strCache>
            </c:strRef>
          </c:tx>
          <c:spPr>
            <a:solidFill>
              <a:srgbClr val="C00000"/>
            </a:solidFill>
            <a:ln>
              <a:solidFill>
                <a:schemeClr val="tx1"/>
              </a:solidFill>
            </a:ln>
            <a:effectLst/>
          </c:spPr>
          <c:invertIfNegative val="0"/>
          <c:cat>
            <c:strRef>
              <c:f>'Fig 9. Financial Aid'!$B$12:$B$31</c:f>
              <c:strCache>
                <c:ptCount val="20"/>
                <c:pt idx="0">
                  <c:v>EU Institutions</c:v>
                </c:pt>
                <c:pt idx="1">
                  <c:v>United States</c:v>
                </c:pt>
                <c:pt idx="2">
                  <c:v>United Kingdom</c:v>
                </c:pt>
                <c:pt idx="3">
                  <c:v>Canada</c:v>
                </c:pt>
                <c:pt idx="4">
                  <c:v>Germany</c:v>
                </c:pt>
                <c:pt idx="5">
                  <c:v>Poland</c:v>
                </c:pt>
                <c:pt idx="6">
                  <c:v>France</c:v>
                </c:pt>
                <c:pt idx="7">
                  <c:v>Norway</c:v>
                </c:pt>
                <c:pt idx="8">
                  <c:v>Austria</c:v>
                </c:pt>
                <c:pt idx="9">
                  <c:v>Japan</c:v>
                </c:pt>
                <c:pt idx="10">
                  <c:v>Netherlands</c:v>
                </c:pt>
                <c:pt idx="11">
                  <c:v>Italy</c:v>
                </c:pt>
                <c:pt idx="12">
                  <c:v>Sweden</c:v>
                </c:pt>
                <c:pt idx="13">
                  <c:v>Spain</c:v>
                </c:pt>
                <c:pt idx="14">
                  <c:v>Portugal</c:v>
                </c:pt>
                <c:pt idx="15">
                  <c:v>Finland</c:v>
                </c:pt>
                <c:pt idx="16">
                  <c:v>Switzerland</c:v>
                </c:pt>
                <c:pt idx="17">
                  <c:v>Denmark</c:v>
                </c:pt>
                <c:pt idx="18">
                  <c:v>Lithuania</c:v>
                </c:pt>
                <c:pt idx="19">
                  <c:v>Latvia</c:v>
                </c:pt>
              </c:strCache>
            </c:strRef>
          </c:cat>
          <c:val>
            <c:numRef>
              <c:f>'Fig 9. Financial Aid'!$F$12:$F$31</c:f>
              <c:numCache>
                <c:formatCode>0.00</c:formatCode>
                <c:ptCount val="20"/>
                <c:pt idx="0">
                  <c:v>0</c:v>
                </c:pt>
                <c:pt idx="1">
                  <c:v>0</c:v>
                </c:pt>
                <c:pt idx="2">
                  <c:v>0</c:v>
                </c:pt>
                <c:pt idx="3">
                  <c:v>0</c:v>
                </c:pt>
                <c:pt idx="4">
                  <c:v>0</c:v>
                </c:pt>
                <c:pt idx="5">
                  <c:v>0.95238095238095233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08E0-BA4D-91A7-02F4E6DBECC7}"/>
            </c:ext>
          </c:extLst>
        </c:ser>
        <c:dLbls>
          <c:showLegendKey val="0"/>
          <c:showVal val="0"/>
          <c:showCatName val="0"/>
          <c:showSerName val="0"/>
          <c:showPercent val="0"/>
          <c:showBubbleSize val="0"/>
        </c:dLbls>
        <c:gapWidth val="7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max"/>
        <c:crossBetween val="between"/>
      </c:valAx>
      <c:spPr>
        <a:noFill/>
        <a:ln>
          <a:noFill/>
        </a:ln>
        <a:effectLst/>
      </c:spPr>
    </c:plotArea>
    <c:legend>
      <c:legendPos val="r"/>
      <c:layout>
        <c:manualLayout>
          <c:xMode val="edge"/>
          <c:yMode val="edge"/>
          <c:x val="0.43240879534094478"/>
          <c:y val="0.23450525530730851"/>
          <c:w val="0.2640240397091615"/>
          <c:h val="0.24091740048485591"/>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solidFill>
        <a:schemeClr val="bg1"/>
      </a:solid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871805555555557"/>
          <c:y val="3.5742000365782517E-3"/>
          <c:w val="0.70481898148148148"/>
          <c:h val="0.93323783110852687"/>
        </c:manualLayout>
      </c:layout>
      <c:barChart>
        <c:barDir val="bar"/>
        <c:grouping val="clustered"/>
        <c:varyColors val="0"/>
        <c:ser>
          <c:idx val="0"/>
          <c:order val="0"/>
          <c:tx>
            <c:strRef>
              <c:f>'Fig 10. Budget Support'!$C$11</c:f>
              <c:strCache>
                <c:ptCount val="1"/>
                <c:pt idx="0">
                  <c:v>Commitments (committed loans and grants)</c:v>
                </c:pt>
              </c:strCache>
            </c:strRef>
          </c:tx>
          <c:spPr>
            <a:solidFill>
              <a:srgbClr val="0070C0"/>
            </a:solidFill>
            <a:ln>
              <a:solidFill>
                <a:srgbClr val="000000"/>
              </a:solidFill>
              <a:prstDash val="solid"/>
            </a:ln>
            <a:effectLst/>
          </c:spPr>
          <c:invertIfNegative val="0"/>
          <c:cat>
            <c:strRef>
              <c:f>'Fig 10. Budget Support'!$B$12:$B$29</c:f>
              <c:strCache>
                <c:ptCount val="18"/>
                <c:pt idx="0">
                  <c:v>EU Institutions (MFA and EIB)</c:v>
                </c:pt>
                <c:pt idx="1">
                  <c:v>United States</c:v>
                </c:pt>
                <c:pt idx="2">
                  <c:v>Canada</c:v>
                </c:pt>
                <c:pt idx="3">
                  <c:v>Germany</c:v>
                </c:pt>
                <c:pt idx="4">
                  <c:v>United Kingdom</c:v>
                </c:pt>
                <c:pt idx="5">
                  <c:v>Japan</c:v>
                </c:pt>
                <c:pt idx="6">
                  <c:v>France</c:v>
                </c:pt>
                <c:pt idx="7">
                  <c:v>Italy</c:v>
                </c:pt>
                <c:pt idx="8">
                  <c:v>Netherlands</c:v>
                </c:pt>
                <c:pt idx="9">
                  <c:v>Denmark</c:v>
                </c:pt>
                <c:pt idx="10">
                  <c:v>Sweden</c:v>
                </c:pt>
                <c:pt idx="11">
                  <c:v>Norway</c:v>
                </c:pt>
                <c:pt idx="12">
                  <c:v>Lithuania</c:v>
                </c:pt>
                <c:pt idx="13">
                  <c:v>Latvia</c:v>
                </c:pt>
                <c:pt idx="14">
                  <c:v>Austria</c:v>
                </c:pt>
                <c:pt idx="15">
                  <c:v>Portugal</c:v>
                </c:pt>
                <c:pt idx="16">
                  <c:v>Spain</c:v>
                </c:pt>
                <c:pt idx="17">
                  <c:v>Finland</c:v>
                </c:pt>
              </c:strCache>
            </c:strRef>
          </c:cat>
          <c:val>
            <c:numRef>
              <c:f>'Fig 10. Budget Support'!$C$12:$C$29</c:f>
              <c:numCache>
                <c:formatCode>0.00</c:formatCode>
                <c:ptCount val="18"/>
                <c:pt idx="0">
                  <c:v>30.322500000000002</c:v>
                </c:pt>
                <c:pt idx="1">
                  <c:v>25.114285714285714</c:v>
                </c:pt>
                <c:pt idx="2">
                  <c:v>2.4609063570879082</c:v>
                </c:pt>
                <c:pt idx="3">
                  <c:v>1.5</c:v>
                </c:pt>
                <c:pt idx="4">
                  <c:v>1.2380731395512006</c:v>
                </c:pt>
                <c:pt idx="5">
                  <c:v>0.57142857142857151</c:v>
                </c:pt>
                <c:pt idx="6">
                  <c:v>0.69940000000000002</c:v>
                </c:pt>
                <c:pt idx="7">
                  <c:v>0.32700000000000001</c:v>
                </c:pt>
                <c:pt idx="8">
                  <c:v>0.44850000000000001</c:v>
                </c:pt>
                <c:pt idx="9">
                  <c:v>5.7500000000000002E-2</c:v>
                </c:pt>
                <c:pt idx="10">
                  <c:v>0.21615892824371449</c:v>
                </c:pt>
                <c:pt idx="11">
                  <c:v>0.61050061050061044</c:v>
                </c:pt>
                <c:pt idx="12">
                  <c:v>2.1999999999999999E-2</c:v>
                </c:pt>
                <c:pt idx="13">
                  <c:v>1.5356E-2</c:v>
                </c:pt>
                <c:pt idx="14">
                  <c:v>7.1900000000000006E-2</c:v>
                </c:pt>
                <c:pt idx="15">
                  <c:v>0.25</c:v>
                </c:pt>
                <c:pt idx="16">
                  <c:v>0.1545</c:v>
                </c:pt>
                <c:pt idx="17">
                  <c:v>8.1500000000000003E-2</c:v>
                </c:pt>
              </c:numCache>
            </c:numRef>
          </c:val>
          <c:extLst>
            <c:ext xmlns:c16="http://schemas.microsoft.com/office/drawing/2014/chart" uri="{C3380CC4-5D6E-409C-BE32-E72D297353CC}">
              <c16:uniqueId val="{00000001-B9AC-42AA-B512-61996F98D584}"/>
            </c:ext>
          </c:extLst>
        </c:ser>
        <c:ser>
          <c:idx val="1"/>
          <c:order val="1"/>
          <c:tx>
            <c:strRef>
              <c:f>'Fig 10. Budget Support'!$D$11</c:f>
              <c:strCache>
                <c:ptCount val="1"/>
                <c:pt idx="0">
                  <c:v>Disbursements</c:v>
                </c:pt>
              </c:strCache>
            </c:strRef>
          </c:tx>
          <c:spPr>
            <a:solidFill>
              <a:srgbClr val="002060"/>
            </a:solidFill>
            <a:ln>
              <a:solidFill>
                <a:srgbClr val="000000"/>
              </a:solidFill>
              <a:prstDash val="solid"/>
            </a:ln>
            <a:effectLst/>
          </c:spPr>
          <c:invertIfNegative val="0"/>
          <c:cat>
            <c:strRef>
              <c:f>'Fig 10. Budget Support'!$B$12:$B$29</c:f>
              <c:strCache>
                <c:ptCount val="18"/>
                <c:pt idx="0">
                  <c:v>EU Institutions (MFA and EIB)</c:v>
                </c:pt>
                <c:pt idx="1">
                  <c:v>United States</c:v>
                </c:pt>
                <c:pt idx="2">
                  <c:v>Canada</c:v>
                </c:pt>
                <c:pt idx="3">
                  <c:v>Germany</c:v>
                </c:pt>
                <c:pt idx="4">
                  <c:v>United Kingdom</c:v>
                </c:pt>
                <c:pt idx="5">
                  <c:v>Japan</c:v>
                </c:pt>
                <c:pt idx="6">
                  <c:v>France</c:v>
                </c:pt>
                <c:pt idx="7">
                  <c:v>Italy</c:v>
                </c:pt>
                <c:pt idx="8">
                  <c:v>Netherlands</c:v>
                </c:pt>
                <c:pt idx="9">
                  <c:v>Denmark</c:v>
                </c:pt>
                <c:pt idx="10">
                  <c:v>Sweden</c:v>
                </c:pt>
                <c:pt idx="11">
                  <c:v>Norway</c:v>
                </c:pt>
                <c:pt idx="12">
                  <c:v>Lithuania</c:v>
                </c:pt>
                <c:pt idx="13">
                  <c:v>Latvia</c:v>
                </c:pt>
                <c:pt idx="14">
                  <c:v>Austria</c:v>
                </c:pt>
                <c:pt idx="15">
                  <c:v>Portugal</c:v>
                </c:pt>
                <c:pt idx="16">
                  <c:v>Spain</c:v>
                </c:pt>
                <c:pt idx="17">
                  <c:v>Finland</c:v>
                </c:pt>
              </c:strCache>
            </c:strRef>
          </c:cat>
          <c:val>
            <c:numRef>
              <c:f>'Fig 10. Budget Support'!$D$12:$D$29</c:f>
              <c:numCache>
                <c:formatCode>0.00</c:formatCode>
                <c:ptCount val="18"/>
                <c:pt idx="0">
                  <c:v>12.845095238095238</c:v>
                </c:pt>
                <c:pt idx="1">
                  <c:v>12.062857142857142</c:v>
                </c:pt>
                <c:pt idx="2">
                  <c:v>1.799047619047619</c:v>
                </c:pt>
                <c:pt idx="3">
                  <c:v>1.5047619047619047</c:v>
                </c:pt>
                <c:pt idx="4">
                  <c:v>1.0247619047619048</c:v>
                </c:pt>
                <c:pt idx="5">
                  <c:v>0.55333333333333323</c:v>
                </c:pt>
                <c:pt idx="6">
                  <c:v>0.41619047619047617</c:v>
                </c:pt>
                <c:pt idx="7">
                  <c:v>0.31428571428571428</c:v>
                </c:pt>
                <c:pt idx="8">
                  <c:v>0.30285714285714282</c:v>
                </c:pt>
                <c:pt idx="9">
                  <c:v>5.0476190476190473E-2</c:v>
                </c:pt>
                <c:pt idx="10">
                  <c:v>4.6666666666666669E-2</c:v>
                </c:pt>
                <c:pt idx="11">
                  <c:v>2.0952380952380951E-2</c:v>
                </c:pt>
                <c:pt idx="12">
                  <c:v>2.0952380952380951E-2</c:v>
                </c:pt>
                <c:pt idx="13">
                  <c:v>1.5238095238095238E-2</c:v>
                </c:pt>
                <c:pt idx="14">
                  <c:v>1.0476190476190476E-2</c:v>
                </c:pt>
                <c:pt idx="15">
                  <c:v>0</c:v>
                </c:pt>
                <c:pt idx="16">
                  <c:v>0</c:v>
                </c:pt>
                <c:pt idx="17">
                  <c:v>0</c:v>
                </c:pt>
              </c:numCache>
            </c:numRef>
          </c:val>
          <c:extLst>
            <c:ext xmlns:c16="http://schemas.microsoft.com/office/drawing/2014/chart" uri="{C3380CC4-5D6E-409C-BE32-E72D297353CC}">
              <c16:uniqueId val="{00000000-82AD-4251-AB7C-E6E83E1979DD}"/>
            </c:ext>
          </c:extLst>
        </c:ser>
        <c:dLbls>
          <c:showLegendKey val="0"/>
          <c:showVal val="0"/>
          <c:showCatName val="0"/>
          <c:showSerName val="0"/>
          <c:showPercent val="0"/>
          <c:showBubbleSize val="0"/>
        </c:dLbls>
        <c:gapWidth val="7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max"/>
        <c:crossBetween val="between"/>
      </c:valAx>
      <c:spPr>
        <a:noFill/>
        <a:ln>
          <a:noFill/>
        </a:ln>
        <a:effectLst/>
      </c:spPr>
    </c:plotArea>
    <c:legend>
      <c:legendPos val="r"/>
      <c:layout>
        <c:manualLayout>
          <c:xMode val="edge"/>
          <c:yMode val="edge"/>
          <c:x val="0.43728"/>
          <c:y val="0.32451194444444442"/>
          <c:w val="0.46216880201159793"/>
          <c:h val="0.14897871511286254"/>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userShapes r:id="rId3"/>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withinLinear" id="15">
  <a:schemeClr val="accent2"/>
</cs:colorStyle>
</file>

<file path=xl/charts/colors13.xml><?xml version="1.0" encoding="utf-8"?>
<cs:colorStyle xmlns:cs="http://schemas.microsoft.com/office/drawing/2012/chartStyle" xmlns:a="http://schemas.openxmlformats.org/drawingml/2006/main" meth="withinLinearReversed" id="22">
  <a:schemeClr val="accent2"/>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 id="15">
  <a:schemeClr val="accent2"/>
</cs:colorStyle>
</file>

<file path=xl/charts/colors17.xml><?xml version="1.0" encoding="utf-8"?>
<cs:colorStyle xmlns:cs="http://schemas.microsoft.com/office/drawing/2012/chartStyle" xmlns:a="http://schemas.openxmlformats.org/drawingml/2006/main" meth="withinLinearReversed" id="25">
  <a:schemeClr val="accent5"/>
</cs:colorStyle>
</file>

<file path=xl/charts/colors18.xml><?xml version="1.0" encoding="utf-8"?>
<cs:colorStyle xmlns:cs="http://schemas.microsoft.com/office/drawing/2012/chartStyle" xmlns:a="http://schemas.openxmlformats.org/drawingml/2006/main" meth="withinLinearReversed" id="25">
  <a:schemeClr val="accent5"/>
</cs:colorStyle>
</file>

<file path=xl/charts/colors19.xml><?xml version="1.0" encoding="utf-8"?>
<cs:colorStyle xmlns:cs="http://schemas.microsoft.com/office/drawing/2012/chartStyle" xmlns:a="http://schemas.openxmlformats.org/drawingml/2006/main" meth="withinLinearReversed" id="25">
  <a:schemeClr val="accent5"/>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Reversed" id="25">
  <a:schemeClr val="accent5"/>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withinLinearReversed" id="25">
  <a:schemeClr val="accent5"/>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 id="15">
  <a:schemeClr val="accent2"/>
</cs:colorStyle>
</file>

<file path=xl/charts/colors2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5">
  <a:schemeClr val="accent2"/>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5">
  <a:schemeClr val="accent2"/>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4</xdr:col>
      <xdr:colOff>28575</xdr:colOff>
      <xdr:row>11</xdr:row>
      <xdr:rowOff>66675</xdr:rowOff>
    </xdr:from>
    <xdr:to>
      <xdr:col>19</xdr:col>
      <xdr:colOff>0</xdr:colOff>
      <xdr:row>67</xdr:row>
      <xdr:rowOff>66675</xdr:rowOff>
    </xdr:to>
    <xdr:graphicFrame macro="">
      <xdr:nvGraphicFramePr>
        <xdr:cNvPr id="2" name="Diagram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25399</xdr:colOff>
      <xdr:row>10</xdr:row>
      <xdr:rowOff>292099</xdr:rowOff>
    </xdr:from>
    <xdr:to>
      <xdr:col>22</xdr:col>
      <xdr:colOff>411399</xdr:colOff>
      <xdr:row>66</xdr:row>
      <xdr:rowOff>140799</xdr:rowOff>
    </xdr:to>
    <xdr:graphicFrame macro="">
      <xdr:nvGraphicFramePr>
        <xdr:cNvPr id="2" name="Diagram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0.81336</cdr:x>
      <cdr:y>0.91092</cdr:y>
    </cdr:from>
    <cdr:to>
      <cdr:x>0.95097</cdr:x>
      <cdr:y>0.95472</cdr:y>
    </cdr:to>
    <cdr:sp macro="" textlink="">
      <cdr:nvSpPr>
        <cdr:cNvPr id="2" name="Textfeld 1"/>
        <cdr:cNvSpPr txBox="1"/>
      </cdr:nvSpPr>
      <cdr:spPr>
        <a:xfrm xmlns:a="http://schemas.openxmlformats.org/drawingml/2006/main">
          <a:off x="8825607" y="10326052"/>
          <a:ext cx="1493144" cy="496511"/>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 Euros</a:t>
          </a:r>
        </a:p>
      </cdr:txBody>
    </cdr:sp>
  </cdr:relSizeAnchor>
  <cdr:relSizeAnchor xmlns:cdr="http://schemas.openxmlformats.org/drawingml/2006/chartDrawing">
    <cdr:from>
      <cdr:x>0.2672</cdr:x>
      <cdr:y>0.50663</cdr:y>
    </cdr:from>
    <cdr:to>
      <cdr:x>0.86406</cdr:x>
      <cdr:y>0.60772</cdr:y>
    </cdr:to>
    <cdr:sp macro="" textlink="">
      <cdr:nvSpPr>
        <cdr:cNvPr id="4" name="Textfeld 1">
          <a:extLst xmlns:a="http://schemas.openxmlformats.org/drawingml/2006/main">
            <a:ext uri="{FF2B5EF4-FFF2-40B4-BE49-F238E27FC236}">
              <a16:creationId xmlns:a16="http://schemas.microsoft.com/office/drawing/2014/main" id="{14EEFC85-6355-4ED2-89E3-513C8C2583B8}"/>
            </a:ext>
          </a:extLst>
        </cdr:cNvPr>
        <cdr:cNvSpPr txBox="1"/>
      </cdr:nvSpPr>
      <cdr:spPr>
        <a:xfrm xmlns:a="http://schemas.openxmlformats.org/drawingml/2006/main">
          <a:off x="2899334" y="5746299"/>
          <a:ext cx="6476442" cy="1146627"/>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Does not include private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donations, support for refugees outside of Ukraine, and aid by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international organisations. For information on data quality and transparency</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please see our data transparency index.</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8</xdr:col>
      <xdr:colOff>11389</xdr:colOff>
      <xdr:row>11</xdr:row>
      <xdr:rowOff>47490</xdr:rowOff>
    </xdr:from>
    <xdr:to>
      <xdr:col>24</xdr:col>
      <xdr:colOff>346589</xdr:colOff>
      <xdr:row>67</xdr:row>
      <xdr:rowOff>188290</xdr:rowOff>
    </xdr:to>
    <xdr:graphicFrame macro="">
      <xdr:nvGraphicFramePr>
        <xdr:cNvPr id="2" name="Diagram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0.83088</cdr:x>
      <cdr:y>0.91938</cdr:y>
    </cdr:from>
    <cdr:to>
      <cdr:x>0.9661</cdr:x>
      <cdr:y>0.95334</cdr:y>
    </cdr:to>
    <cdr:sp macro="" textlink="">
      <cdr:nvSpPr>
        <cdr:cNvPr id="2" name="Textfeld 1"/>
        <cdr:cNvSpPr txBox="1"/>
      </cdr:nvSpPr>
      <cdr:spPr>
        <a:xfrm xmlns:a="http://schemas.openxmlformats.org/drawingml/2006/main">
          <a:off x="8973450" y="10591298"/>
          <a:ext cx="1460376" cy="39116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2000" baseline="0">
              <a:latin typeface="Times New Roman" panose="02020603050405020304" pitchFamily="18" charset="0"/>
              <a:cs typeface="Times New Roman" panose="02020603050405020304" pitchFamily="18" charset="0"/>
            </a:rPr>
            <a:t> Euros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0.26242</cdr:x>
      <cdr:y>0.60606</cdr:y>
    </cdr:from>
    <cdr:to>
      <cdr:x>0.94481</cdr:x>
      <cdr:y>0.71887</cdr:y>
    </cdr:to>
    <cdr:sp macro="" textlink="">
      <cdr:nvSpPr>
        <cdr:cNvPr id="7"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2847467" y="6874054"/>
          <a:ext cx="7404477" cy="1279481"/>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and cost estimates for refugees. Refugee costs</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are taken from the OECD Migration Report 2022. Does not include private donations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and aid by international organizations. </a:t>
          </a:r>
          <a:r>
            <a:rPr lang="en-US" sz="1600">
              <a:effectLst/>
              <a:latin typeface="Times New Roman" panose="02020603050405020304" pitchFamily="18" charset="0"/>
              <a:ea typeface="+mn-ea"/>
              <a:cs typeface="Times New Roman" panose="02020603050405020304" pitchFamily="18" charset="0"/>
            </a:rPr>
            <a:t>Financial commitments that are made explicitly</a:t>
          </a:r>
          <a:br>
            <a:rPr lang="en-US" sz="1600">
              <a:effectLst/>
              <a:latin typeface="Times New Roman" panose="02020603050405020304" pitchFamily="18" charset="0"/>
              <a:ea typeface="+mn-ea"/>
              <a:cs typeface="Times New Roman" panose="02020603050405020304" pitchFamily="18" charset="0"/>
            </a:rPr>
          </a:br>
          <a:r>
            <a:rPr lang="en-US" sz="1600">
              <a:effectLst/>
              <a:latin typeface="Times New Roman" panose="02020603050405020304" pitchFamily="18" charset="0"/>
              <a:ea typeface="+mn-ea"/>
              <a:cs typeface="Times New Roman" panose="02020603050405020304" pitchFamily="18" charset="0"/>
            </a:rPr>
            <a:t>for military and weapons purchases are counted as military aid.</a:t>
          </a:r>
          <a:r>
            <a:rPr lang="de-DE" sz="1600" b="0" baseline="0">
              <a:latin typeface="Times New Roman" panose="02020603050405020304" pitchFamily="18" charset="0"/>
              <a:cs typeface="Times New Roman" panose="02020603050405020304" pitchFamily="18" charset="0"/>
            </a:rPr>
            <a:t>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For information on data quality and transparency please see our data transparency index.</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5</xdr:col>
      <xdr:colOff>1027794</xdr:colOff>
      <xdr:row>11</xdr:row>
      <xdr:rowOff>14966</xdr:rowOff>
    </xdr:from>
    <xdr:to>
      <xdr:col>25</xdr:col>
      <xdr:colOff>138489</xdr:colOff>
      <xdr:row>66</xdr:row>
      <xdr:rowOff>181166</xdr:rowOff>
    </xdr:to>
    <xdr:graphicFrame macro="">
      <xdr:nvGraphicFramePr>
        <xdr:cNvPr id="2" name="Diagram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536575</xdr:colOff>
      <xdr:row>40</xdr:row>
      <xdr:rowOff>19050</xdr:rowOff>
    </xdr:from>
    <xdr:to>
      <xdr:col>21</xdr:col>
      <xdr:colOff>152235</xdr:colOff>
      <xdr:row>42</xdr:row>
      <xdr:rowOff>110102</xdr:rowOff>
    </xdr:to>
    <xdr:sp macro="" textlink="">
      <xdr:nvSpPr>
        <xdr:cNvPr id="3" name="Textfeld 48">
          <a:extLst>
            <a:ext uri="{FF2B5EF4-FFF2-40B4-BE49-F238E27FC236}">
              <a16:creationId xmlns:a16="http://schemas.microsoft.com/office/drawing/2014/main" id="{00000000-0008-0000-0C00-000003000000}"/>
            </a:ext>
          </a:extLst>
        </xdr:cNvPr>
        <xdr:cNvSpPr txBox="1"/>
      </xdr:nvSpPr>
      <xdr:spPr>
        <a:xfrm>
          <a:off x="14538325" y="8248650"/>
          <a:ext cx="4216235" cy="491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Source: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twoCellAnchor editAs="oneCell">
    <xdr:from>
      <xdr:col>25</xdr:col>
      <xdr:colOff>0</xdr:colOff>
      <xdr:row>46</xdr:row>
      <xdr:rowOff>0</xdr:rowOff>
    </xdr:from>
    <xdr:to>
      <xdr:col>25</xdr:col>
      <xdr:colOff>304800</xdr:colOff>
      <xdr:row>47</xdr:row>
      <xdr:rowOff>79376</xdr:rowOff>
    </xdr:to>
    <xdr:sp macro="" textlink="">
      <xdr:nvSpPr>
        <xdr:cNvPr id="30721" name="AutoShape 1" descr="data:image/png;charset=utf-8;base64,iVBORw0KGgoAAAANSUhEUgAAAocAAAAyCAYAAAAujHENAAAAAXNSR0IArs4c6QAAAARnQU1BAACxjwv8YQUAAAAJcEhZcwAADsMAAA7DAcdvqGQAABF6SURBVHhe7Z3tdea2EYXXhaSLVLCO00E6SAWpQAXkaP1fFWwHbsAlbAVbgStIZsAhCYAXGAAEqfeV7nPOPbbFAQkMBoPhh+QvhBBCCCGEEEIIIYQQQgghhBBCCCGEEEIIIYQQQgghhBBCCCGEEEIIIYQQQgghhBBCCCGEEEIIIYQQQgghhBBCCCGEEEIIIYQQQgghhBBCCCGEEEIIIYQQQgghhBBCCCGEEEIIIYQQQgghhBBCCCGEEEIIIYQQQgghhBBCCCHkk/D193/98uu3/5X1+qdZltFzfP32XWx/gPY/9RxBX7+9WosPg47pOOZIE8e8+BFcw6TzYKbvwsP378a5moH06SXr33c7dB8z8sMH5tFj/mH4x+vfQ/zSH8M8W/4iz87J5C82b8c2Jb3+sGYfhjsX7MMXXywOp/LL19c/4v59+fXbf+zQfZzMDx+dR4/5d+ef//2b+GHbIz69P07wbPmLPDsnkr8cT59seHqPJx8Xc+eCZXF4jmdLrlIc/hX3T5++2KH7OJEfPgMsDgtoUajrLY/hz+qPCTxb/iLPzonkL8d+4jZFvVjTD8OdC/bhiy8Wh/P4+vtvaf9ef9qRezmRHz4Djx7zt1MoCj+tPybyVPmLfABGk/9h8/L1ERPDnQv24YsvFofTkP68//eGymh++CSwOEyhP67jmfIX+cx4m4bcOSaJQF+JyV2l/deHgQt2h8XhPB7ie0PFW+efvDgkKSwOr4N7DXkK3ED99dubmX5ouGB3WBzO4yG+N1RYHJIOWBxeB/ca8hQwUBfohx0Wh5N4lO8NFRaHpAMWh9fBvYbcS0fyd4Ozoi9fX/9d+kg5qPZNlf6NLNTGVH3l5nwbefZ13dCCDX/eAf1NyEyZT6YlXn29L+PW88NzhnmSn+v11T+NnwNM618vS3y8Ha8vPtYx2HV1LtLjmVqT60X+W5FzuN8bJseBzOwAso1lZjsd+SFm8Q2yj/X6I/aN+h/bLTIzs4vXz+tPfQ1fXMs6hqWNzFVt3YXjOp9vmq+sdRWzB+dahGK+2iaOQfGN/ExiQezj3Kn/ruMdXU+aE3d/gF8qVB/pNaUvYmutiiznyc/RqjR+ln4hu0Vm9lAxANH9bs1JcN/r87Hi+SacKyfEUG28JpBjDix59kX9jM+5/k3jPt8dzxNpHVOIWblu4ku71nu9VfnwdCR/NzgrssVZ2TDKT0fkeP1P5mhSKCDHq217N+4c1ydgwVpQY/tVsCCot1Mfm2mR0F+YrCpa7N88X83oXy+u/1eFhOb8TU4wVzlX+m/F+rq1RxtefBzJzA4g21hmttORH1ba5iQtDBWvndnUis70ryGEvnf/RYVIkpOcmB2J+WqbNQa9m+lN4v/WHBZulBtyz0EyVxU/jJ1zVX9x+GgxECNttHjqyw9B4gcv1rx1tcZORNPceIWhxJfj84KC392/UHJsF0nHtBSG2KfyczsNmU5YPMDpm+YVh3Y3BY+rSncA0gf3zqeUIPONNpG3KBpwfZItWL0mtItV6Je30KvJJdz1NdxBVhUSZfEu91T/BmjyZY9Act24wX8rahe3Q+siPo5kZgeQbSwz2+nIDwF9ogrtYh0LQ0X9j+1NzvHknE39aFPxaZSg40dtVqGYr7bRGOzuezYHALGr32C3CX5H7vmgrr7i8BFjIBAKqMpe06hqrDX4xkwD8t/De82Grv+hYjeWzHFhf1Zwm01vzvU/xe82vA8dyd8NzorWJCnnK97FwYWhiw7Y5iotqlpgnXptYPQsWPlvP0FXFquXhNFGFNDC5vQCN+mdWqHAGe7fAGdisagsuW7c5L9AKELjNviJempzlJkdQLaxzGynIz/ouLBNLFwYKv5aqsxBvG7cPndK56zU54GYr7cZuwFB11mR4x3/FytHID95Pqirtzh8vBhY9qizN467ynvZfXtNwHmY06fKuof2ptp8i9CNM5lFR/J3g7OiNXnJv5cTFQpWWSjQNhd6tVzbrHSxT6B5wbaMw1msXhIubRAzE9ciWeiA0f51cyigJilKrjF3+S+Qx0khJhIbIDM7gGxjmdlOa37QteYk8jDu0gYruGupIr2+nUbOc/4JDhB8PTYS816bIaH8p0zd4BflN9XnxtNZHFb0bjFwwbVQ0eP6ZuJeM/WGeFfhyTO09VWKeTKJ1uQvnFy4S5KsPl04PiXpWXj5xiM/q909TXkc3bRgWzZOb7EKXhLefBzjJgrxudhsvtN/hjb173RCm4yh/g0g52p5EvKyjUnH05Lo1uQac6P/FI2DJrvIBsnMDiDbWGa205IfZMzyT6eArheGiruWioqK7dAXZBNJN5U8Fv15nnZD5LUZUuFmV65VjcOQd6KiSv89j8Gj0jx9bjyzisN3igF3faikXVxQhz3Q8RnYD1zfzNxr/Bj4MxlTKCalf861YdEL7FqU36SQ2bQkf0BToBbQxQLbiJLgaVnkkfKNtLYAdRGZ2Ska/PB9xmJVvISic2mmG9KmvDnohlLasN07x2OiHOnfCNUxqVDstTxBAe3u9J+SXw8lUyW2QTKzA8g2lpntNOQHHQs+tkrGWvJThLuWdu2Fv24QeVzpMf2ZzrmeM2x0oZ/Lb7QWWGzg9YLMLMFtg9dktU2Q9nOd+6WYcJ9eB9sYr9hB68SQ49UbsNLGPOKPmGeLAT0XsttViH35WegLbLMoX/uub2btNZq7UNtNuCYIqL9hm02HhzLABkgLbNuzl/65v+hCziIL6DgRsa4oDstP9JICz72Ty5QtemgThL/jGsH1g6dagZGhcwHPYTokyLCpYFtT9empl/jyfnf3b4SQVPH5V5X8qQkG2W/KY/Zm/x2TcjlOU7ujzOwAso1lZjtufvDVOu9Na6mSV4bQOdA8427y2KcjMe+10eNmuuNu2Mf+dcdfzGDsj/gj5tliANnEqo53uaYUc+KzUNjJuHT/0zZgbpp8U1PjXiO21e8VSzcGK8uYcFsZK3iogOwideyRZCYSiHBCNs0vDnWiYRtVdGdTXqzlO64tiOrjSu46vISWy5oFTi9YVc1XEV4/80QkP/M/Sj6h4/XObQxN+PEKn8gpvTErP7vVf4ebocpdfmIHZGYHkG0sM9tx/d2iypOGiJa1lD9N6WYZz4v6VmMlP39NdoaEkZh322iBAJB29SdN2bXqm/RZFfaFkzngqWLAK6C1qJlIi29cZTkOUd5358gus4FsElXyILmSZaHgSQm6oDgUigG4LqhKAbm8KsCJb02stf7lycVLaLmsWcD1Q4t0zA0JrzfxTulbRfkmdnZjaGIwXpXemL3df2GzKh+Pie2QzOwAso1lZjuuv9vkPW1QfH+XC/8iy2uuN217PF+f7IwJIzE/uk562yGbecJPtUfHtvJUMeCujbabolam5KOGvcabw7M67r/YblVL7iBXMBjgbqDKcTPFyMYH24mkT7/Zgj4et+JRzp9spNHx8Gq5HODH8fQuBmsWmLJgVQ13R14/D5vDrL6VlM1xb/+GOJGQXX/k47nff03fGyqxHZKZHUC2scxsx/V3q/xPOfz5KX8rdiDkj/qTtl7ZmRNGYn6kjdLbDtnMlF0mYXRsK08VA+7aeMDiUOXsNd4cnlVvnIr9lN8PIL0MBri/iJ3iUNBCD7bdHvmDY2tgl4pHUfWpI3ga07sYrFnA9UOH3MTZmXhn9g0qm+Pe/g0xGK+K6498PHf6TwrB9Fj9lVRiC2RmB5BtLDPbcf3docy/Ob3zU0JsW36b3SQxq+cN43TiFzAS86PrpLcdspkpu0zC6NhWnioGgj22W/SgxaGoNg+eD86qN07NjNzOYIDPWMRiU3z6Vyoc40fMxeKydF4R+rC1dzFYs0DfgvVea9STiddPsOjq38w1zFEPvf0bwv1Q/sZvDmf6L3+S7jwhSWyBUJz7vktjO+Dmh1hOfGvBi/pl9M4PpKW/eoMJYtGNX8BIzI+uk952xfxoMrOpjI5t5aliwL2O87R8e4ih1xQtY38J/QJPy1zfJBrfazT34DaLkN/OgK4Ry8zI7fgBfllx6F/7KGsZ0AWObIrShABYFiewL8iaBZoXrF1brlX/qLz6nVln4j1RSI3Q3T+hxX9muoFsYpUKEB0vst+Ux+yN/tP4yM5f/VMNme1B8Al5w3ox053mNSq+0M3Ou0ZhDSrqf9hmVUNOaRhj0a8yhvraBAzF/EAbpbedv8nP/5ZrdGwrzxYDyCZW9fu+yqdVpuQ3wl3frLI15o6lsNfIMe8X8ap/paEXcP5EZkZux03+FxaHghfAifKnKZVXy0iXJMOWBRtviG5CkLvNcnEzshHVE0QpWW/91GuKdJw6p2pfaDPUvwb/memGt+mFfubItaFtLNDuLv/l1xGb6nc2Xr/0qdF2naVoa9pYgn1Mi9+sMAz2+etxoNLY3D6C+clZ/A3ampDvFTnm/ma6mSaMXG+8j53t/FyDnx5pvIQbKY2xELvpn1mpfgs7NraVZ4uBxU/YdlHFx96T3WyduL5RzdhrvDVceQOg11/GpXGjbwBDn4tPQ5XD+TOZGbkdmTQ0IbuuLg7bvw0JySnDW2CbNKAvwPfD8fWgLkpou6rgu7DgkL0JJb2G/v0Vrpdu7g1zcoyLS/onMtMdN+mJ4jGpfUucAL/f4r88GTfEqufrUdnpd/z8cNhgxB/Ok5vrcorvFylk401KbzC9mw2TtUjwrgdjfqCN0t1O5sWPe5mLuF244Xbyk6jYR3+9/LHFi56jtwB6tBhoyUVDPgb5tcW3Ge51Cv7U60P7TbLu4/1Y/Om3EYHrQbtIZkZuR4IWTciu6xJ5wLtLiZRvQopcx31VZpr6KHxlyA8NCUX9YtYb3uJLElCEtHPubjulxcuk/rn+E5lpglzL3cC6VYjZy/2XxwNI8jli5z7lGJGdfmckPzSs6WRjMYbWUkbrJj8iu0TCUMyPr+P+dqEQwfYnVMylcqwvLrM5/YgxMCKZy8NTtiHfDO41YQ27Nxa9wp/hYNtdZkZuZyT5CzMW8YoGDTxHrNKG2Zj80GKbwagfZMzOHR28CxzaVHTsMxd66Toj/XP9JzLTlCs2vVLMXuw/uW5+g+P/r6EaCjAoZxx29p3x/OA9PURPHM/nFLe/47IrJAzF/OA6Hm7XfgPdIDzfG+EJEmpXVN93dQ8YA+EJ7cQbSHTjpIz6RvrWvdcEGgrLZukNMXi4o0D7SGZGbsddSNcXh013N4UFo/gbt2xEFzHsh5YxZ8le5wLZrSptDoEZBY4ucCnK7IwHRvrn+k9kpgekbeemp/2rJPFazF7oP43P2E6vZYeqtPgukfrLaWOn3hnMD03Fa+Zvdzy1+YkI40Ttq9JXjfUbDhi/IzE/uI5H2yljPsmkRURhg4/x+pkqjZ9njIHApAKxvs8N+mZgr9loaOsre42fgdvsMjNyOxIUaEJ23VAchoUFzhGplpQaEoH/JGaQM34Q3zqvRtPH8DoX2G5RbXMIqJ9HNwlpB18/RIz0z/WfyEwhLe1N4QlFtY9ezF7hv7yI0gKyA2njf9+4FLVhDXj+CieNGcwPiusrHWvkE69vetxMXdxrx9K5sfxivsJ2II8MxfzgOh5ttxEKn5HPMbLvyzxCPm8tlK4pDpW7YiAm9L/eviDxg3NTeMY3/rzjV74BvTF2Yg9K/aB9Mr+WgG0jmRm5ncHkfyZQERJIle9EyhtQwLvbc4qaM5zyQ8sdXZSUvQXqbg4rS0Hysvi8lMTlWsucvLT6b6R/rv9EZlpmGY8USflYQn/ekgKk1sfWmJ3pvzwGpI0daUfXcNgI8w0gjDW5vudvM9sZzA+BxU+gTSTdlA03FlrnZyVsaiAuwuat8yPny+ZG+5PYJjq+gTAfA9tFMOYH2iij7Q4s+VL9ojEKChmNo3CtN7W1Vn2EAlG/PyxeY1kf2Zw+YwxAYh+jwiy+vlMUrpzyTedeA1Ffhj64Y/oezuUUhSuH82QyM0IIIYQQQmbw5cv/Ac2/kbuWGPJNAAAAAElFTkSuQmCC">
          <a:extLst>
            <a:ext uri="{FF2B5EF4-FFF2-40B4-BE49-F238E27FC236}">
              <a16:creationId xmlns:a16="http://schemas.microsoft.com/office/drawing/2014/main" id="{00000000-0008-0000-0C00-000001780000}"/>
            </a:ext>
          </a:extLst>
        </xdr:cNvPr>
        <xdr:cNvSpPr>
          <a:spLocks noChangeAspect="1" noChangeArrowheads="1"/>
        </xdr:cNvSpPr>
      </xdr:nvSpPr>
      <xdr:spPr bwMode="auto">
        <a:xfrm>
          <a:off x="28003500" y="8048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c:userShapes xmlns:c="http://schemas.openxmlformats.org/drawingml/2006/chart">
  <cdr:relSizeAnchor xmlns:cdr="http://schemas.openxmlformats.org/drawingml/2006/chartDrawing">
    <cdr:from>
      <cdr:x>0.8144</cdr:x>
      <cdr:y>0.90624</cdr:y>
    </cdr:from>
    <cdr:to>
      <cdr:x>0.9689</cdr:x>
      <cdr:y>0.94072</cdr:y>
    </cdr:to>
    <cdr:sp macro="" textlink="">
      <cdr:nvSpPr>
        <cdr:cNvPr id="2" name="Textfeld 1"/>
        <cdr:cNvSpPr txBox="1"/>
      </cdr:nvSpPr>
      <cdr:spPr>
        <a:xfrm xmlns:a="http://schemas.openxmlformats.org/drawingml/2006/main">
          <a:off x="8836931" y="10275878"/>
          <a:ext cx="1676400" cy="390970"/>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baseline="0">
              <a:latin typeface="Times New Roman" panose="02020603050405020304" pitchFamily="18" charset="0"/>
              <a:cs typeface="Times New Roman" panose="02020603050405020304" pitchFamily="18" charset="0"/>
            </a:rPr>
            <a:t>Percent of GDP</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0.24491</cdr:x>
      <cdr:y>0.55785</cdr:y>
    </cdr:from>
    <cdr:to>
      <cdr:x>0.86292</cdr:x>
      <cdr:y>0.6455</cdr:y>
    </cdr:to>
    <cdr:sp macro="" textlink="">
      <cdr:nvSpPr>
        <cdr:cNvPr id="4"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3085866" y="6170320"/>
          <a:ext cx="7786875" cy="96948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 bilateral commitments to Ukraine and cost estimates for refugees. Refugee costs</a:t>
          </a:r>
          <a:br>
            <a:rPr lang="de-DE" sz="1600" b="0">
              <a:latin typeface="Times New Roman" panose="02020603050405020304" pitchFamily="18" charset="0"/>
              <a:cs typeface="Times New Roman" panose="02020603050405020304" pitchFamily="18" charset="0"/>
            </a:rPr>
          </a:br>
          <a:r>
            <a:rPr lang="de-DE" sz="1600" b="0">
              <a:latin typeface="Times New Roman" panose="02020603050405020304" pitchFamily="18" charset="0"/>
              <a:cs typeface="Times New Roman" panose="02020603050405020304" pitchFamily="18" charset="0"/>
            </a:rPr>
            <a:t>are taken from the OECD Migration Report 2022</a:t>
          </a:r>
          <a:r>
            <a:rPr lang="de-DE" sz="1600" b="0" baseline="0">
              <a:latin typeface="Times New Roman" panose="02020603050405020304" pitchFamily="18" charset="0"/>
              <a:cs typeface="Times New Roman" panose="02020603050405020304" pitchFamily="18" charset="0"/>
            </a:rPr>
            <a:t>. Does not include private donations, and</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aid by international organisations.</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16.xml><?xml version="1.0" encoding="utf-8"?>
<xdr:wsDr xmlns:xdr="http://schemas.openxmlformats.org/drawingml/2006/spreadsheetDrawing" xmlns:a="http://schemas.openxmlformats.org/drawingml/2006/main">
  <xdr:twoCellAnchor>
    <xdr:from>
      <xdr:col>8</xdr:col>
      <xdr:colOff>19050</xdr:colOff>
      <xdr:row>11</xdr:row>
      <xdr:rowOff>0</xdr:rowOff>
    </xdr:from>
    <xdr:to>
      <xdr:col>24</xdr:col>
      <xdr:colOff>405050</xdr:colOff>
      <xdr:row>49</xdr:row>
      <xdr:rowOff>77750</xdr:rowOff>
    </xdr:to>
    <xdr:graphicFrame macro="">
      <xdr:nvGraphicFramePr>
        <xdr:cNvPr id="2" name="Diagramm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0.82337</cdr:x>
      <cdr:y>0.8913</cdr:y>
    </cdr:from>
    <cdr:to>
      <cdr:x>0.96033</cdr:x>
      <cdr:y>0.9351</cdr:y>
    </cdr:to>
    <cdr:sp macro="" textlink="">
      <cdr:nvSpPr>
        <cdr:cNvPr id="2" name="Textfeld 1"/>
        <cdr:cNvSpPr txBox="1"/>
      </cdr:nvSpPr>
      <cdr:spPr>
        <a:xfrm xmlns:a="http://schemas.openxmlformats.org/drawingml/2006/main">
          <a:off x="8934254" y="6951593"/>
          <a:ext cx="1486096" cy="34161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2000" baseline="0">
              <a:latin typeface="Times New Roman" panose="02020603050405020304" pitchFamily="18" charset="0"/>
              <a:cs typeface="Times New Roman" panose="02020603050405020304" pitchFamily="18" charset="0"/>
            </a:rPr>
            <a:t> Euros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0.30704</cdr:x>
      <cdr:y>0.57446</cdr:y>
    </cdr:from>
    <cdr:to>
      <cdr:x>0.91937</cdr:x>
      <cdr:y>0.74139</cdr:y>
    </cdr:to>
    <cdr:sp macro="" textlink="">
      <cdr:nvSpPr>
        <cdr:cNvPr id="7"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3331584" y="4480409"/>
          <a:ext cx="6644266" cy="1301945"/>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Does not include private donations,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support for refugees outside of Ukraine, and aid by international organisations.</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Commitments by EU Institutions include Commission and Council, EPF and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EIB. For information on data quality and transparency please see our data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transparency index.</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7</xdr:col>
      <xdr:colOff>57150</xdr:colOff>
      <xdr:row>11</xdr:row>
      <xdr:rowOff>57149</xdr:rowOff>
    </xdr:from>
    <xdr:to>
      <xdr:col>23</xdr:col>
      <xdr:colOff>341550</xdr:colOff>
      <xdr:row>47</xdr:row>
      <xdr:rowOff>56249</xdr:rowOff>
    </xdr:to>
    <xdr:graphicFrame macro="">
      <xdr:nvGraphicFramePr>
        <xdr:cNvPr id="2" name="Diagram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0.30774</cdr:x>
      <cdr:y>0.5749</cdr:y>
    </cdr:from>
    <cdr:to>
      <cdr:x>0.91722</cdr:x>
      <cdr:y>0.76632</cdr:y>
    </cdr:to>
    <cdr:sp macro="" textlink="">
      <cdr:nvSpPr>
        <cdr:cNvPr id="7"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3323592" y="4139280"/>
          <a:ext cx="6582408" cy="137822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a:latin typeface="Times New Roman" panose="02020603050405020304" pitchFamily="18" charset="0"/>
              <a:cs typeface="Times New Roman" panose="02020603050405020304" pitchFamily="18" charset="0"/>
            </a:rPr>
            <a:t>Financial commitments include</a:t>
          </a:r>
          <a:r>
            <a:rPr lang="de-DE" sz="1600" b="0" baseline="0">
              <a:latin typeface="Times New Roman" panose="02020603050405020304" pitchFamily="18" charset="0"/>
              <a:cs typeface="Times New Roman" panose="02020603050405020304" pitchFamily="18" charset="0"/>
            </a:rPr>
            <a:t> loans and grants. </a:t>
          </a:r>
          <a:r>
            <a:rPr lang="de-DE" sz="1600" b="0">
              <a:latin typeface="Times New Roman" panose="02020603050405020304" pitchFamily="18" charset="0"/>
              <a:cs typeface="Times New Roman" panose="02020603050405020304" pitchFamily="18" charset="0"/>
            </a:rPr>
            <a:t>Information on</a:t>
          </a:r>
          <a:r>
            <a:rPr lang="de-DE" sz="1600" b="0" baseline="0">
              <a:latin typeface="Times New Roman" panose="02020603050405020304" pitchFamily="18" charset="0"/>
              <a:cs typeface="Times New Roman" panose="02020603050405020304" pitchFamily="18" charset="0"/>
            </a:rPr>
            <a:t> disbursement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are disclosed by the Ministry of Finance of Ukraine. Does not include financial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aid by international organisation, private donations, or aid for refugees. For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information on data quality and transparency please see our data transparency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index.</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0.83491</cdr:x>
      <cdr:y>0.87971</cdr:y>
    </cdr:from>
    <cdr:to>
      <cdr:x>0.97216</cdr:x>
      <cdr:y>0.92351</cdr:y>
    </cdr:to>
    <cdr:sp macro="" textlink="">
      <cdr:nvSpPr>
        <cdr:cNvPr id="4" name="Textfeld 1">
          <a:extLst xmlns:a="http://schemas.openxmlformats.org/drawingml/2006/main">
            <a:ext uri="{FF2B5EF4-FFF2-40B4-BE49-F238E27FC236}">
              <a16:creationId xmlns:a16="http://schemas.microsoft.com/office/drawing/2014/main" id="{B58884D1-0C77-4B7E-107C-8B975B6D02A0}"/>
            </a:ext>
          </a:extLst>
        </cdr:cNvPr>
        <cdr:cNvSpPr txBox="1"/>
      </cdr:nvSpPr>
      <cdr:spPr>
        <a:xfrm xmlns:a="http://schemas.openxmlformats.org/drawingml/2006/main">
          <a:off x="9017031" y="6333888"/>
          <a:ext cx="1482300" cy="31536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2000" baseline="0">
              <a:latin typeface="Times New Roman" panose="02020603050405020304" pitchFamily="18" charset="0"/>
              <a:cs typeface="Times New Roman" panose="02020603050405020304" pitchFamily="18" charset="0"/>
            </a:rPr>
            <a:t> Euros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0.35215</cdr:x>
      <cdr:y>0.12901</cdr:y>
    </cdr:from>
    <cdr:to>
      <cdr:x>0.41874</cdr:x>
      <cdr:y>0.15863</cdr:y>
    </cdr:to>
    <cdr:sp macro="" textlink="">
      <cdr:nvSpPr>
        <cdr:cNvPr id="2" name="TextBox 1">
          <a:extLst xmlns:a="http://schemas.openxmlformats.org/drawingml/2006/main">
            <a:ext uri="{FF2B5EF4-FFF2-40B4-BE49-F238E27FC236}">
              <a16:creationId xmlns:a16="http://schemas.microsoft.com/office/drawing/2014/main" id="{4186E62D-5A27-4846-E47C-8249887A2A7E}"/>
            </a:ext>
          </a:extLst>
        </cdr:cNvPr>
        <cdr:cNvSpPr txBox="1"/>
      </cdr:nvSpPr>
      <cdr:spPr>
        <a:xfrm xmlns:a="http://schemas.openxmlformats.org/drawingml/2006/main">
          <a:off x="4029983" y="1027339"/>
          <a:ext cx="762000" cy="235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2.xml><?xml version="1.0" encoding="utf-8"?>
<c:userShapes xmlns:c="http://schemas.openxmlformats.org/drawingml/2006/chart">
  <cdr:relSizeAnchor xmlns:cdr="http://schemas.openxmlformats.org/drawingml/2006/chartDrawing">
    <cdr:from>
      <cdr:x>0.83399</cdr:x>
      <cdr:y>0.90333</cdr:y>
    </cdr:from>
    <cdr:to>
      <cdr:x>0.96998</cdr:x>
      <cdr:y>0.94302</cdr:y>
    </cdr:to>
    <cdr:sp macro="" textlink="">
      <cdr:nvSpPr>
        <cdr:cNvPr id="2" name="Textfeld 1"/>
        <cdr:cNvSpPr txBox="1"/>
      </cdr:nvSpPr>
      <cdr:spPr>
        <a:xfrm xmlns:a="http://schemas.openxmlformats.org/drawingml/2006/main">
          <a:off x="8820215" y="10279173"/>
          <a:ext cx="1438209" cy="45164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Index points</a:t>
          </a:r>
        </a:p>
      </cdr:txBody>
    </cdr:sp>
  </cdr:relSizeAnchor>
</c:userShapes>
</file>

<file path=xl/drawings/drawing20.xml><?xml version="1.0" encoding="utf-8"?>
<xdr:wsDr xmlns:xdr="http://schemas.openxmlformats.org/drawingml/2006/spreadsheetDrawing" xmlns:a="http://schemas.openxmlformats.org/drawingml/2006/main">
  <xdr:twoCellAnchor>
    <xdr:from>
      <xdr:col>4</xdr:col>
      <xdr:colOff>75046</xdr:colOff>
      <xdr:row>11</xdr:row>
      <xdr:rowOff>13277</xdr:rowOff>
    </xdr:from>
    <xdr:to>
      <xdr:col>20</xdr:col>
      <xdr:colOff>359446</xdr:colOff>
      <xdr:row>47</xdr:row>
      <xdr:rowOff>12377</xdr:rowOff>
    </xdr:to>
    <xdr:graphicFrame macro="">
      <xdr:nvGraphicFramePr>
        <xdr:cNvPr id="10" name="Diagramm 1">
          <a:extLst>
            <a:ext uri="{FF2B5EF4-FFF2-40B4-BE49-F238E27FC236}">
              <a16:creationId xmlns:a16="http://schemas.microsoft.com/office/drawing/2014/main" id="{00000000-0008-0000-0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0.81589</cdr:x>
      <cdr:y>0.87043</cdr:y>
    </cdr:from>
    <cdr:to>
      <cdr:x>0.95687</cdr:x>
      <cdr:y>0.9268</cdr:y>
    </cdr:to>
    <cdr:sp macro="" textlink="">
      <cdr:nvSpPr>
        <cdr:cNvPr id="2" name="Textfeld 1"/>
        <cdr:cNvSpPr txBox="1"/>
      </cdr:nvSpPr>
      <cdr:spPr>
        <a:xfrm xmlns:a="http://schemas.openxmlformats.org/drawingml/2006/main">
          <a:off x="8786768" y="6207411"/>
          <a:ext cx="1518287" cy="40199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2000" baseline="0">
              <a:latin typeface="Times New Roman" panose="02020603050405020304" pitchFamily="18" charset="0"/>
              <a:cs typeface="Times New Roman" panose="02020603050405020304" pitchFamily="18" charset="0"/>
            </a:rPr>
            <a:t> Euros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0.24199</cdr:x>
      <cdr:y>0.61245</cdr:y>
    </cdr:from>
    <cdr:to>
      <cdr:x>0.86037</cdr:x>
      <cdr:y>0.73016</cdr:y>
    </cdr:to>
    <cdr:sp macro="" textlink="">
      <cdr:nvSpPr>
        <cdr:cNvPr id="3" name="Textfeld 1">
          <a:extLst xmlns:a="http://schemas.openxmlformats.org/drawingml/2006/main">
            <a:ext uri="{FF2B5EF4-FFF2-40B4-BE49-F238E27FC236}">
              <a16:creationId xmlns:a16="http://schemas.microsoft.com/office/drawing/2014/main" id="{8908946A-70BF-46D9-8B67-C503A115E53F}"/>
            </a:ext>
          </a:extLst>
        </cdr:cNvPr>
        <cdr:cNvSpPr txBox="1"/>
      </cdr:nvSpPr>
      <cdr:spPr>
        <a:xfrm xmlns:a="http://schemas.openxmlformats.org/drawingml/2006/main">
          <a:off x="2625785" y="6513345"/>
          <a:ext cx="6709869" cy="125183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Does not include private donations,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support for refugees outside of Ukraine, and aid by international organisations.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For information on data quality and transparency please see our data trans-</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parency index.</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4</xdr:col>
      <xdr:colOff>75046</xdr:colOff>
      <xdr:row>11</xdr:row>
      <xdr:rowOff>13277</xdr:rowOff>
    </xdr:from>
    <xdr:to>
      <xdr:col>20</xdr:col>
      <xdr:colOff>359446</xdr:colOff>
      <xdr:row>47</xdr:row>
      <xdr:rowOff>12377</xdr:rowOff>
    </xdr:to>
    <xdr:graphicFrame macro="">
      <xdr:nvGraphicFramePr>
        <xdr:cNvPr id="2" name="Diagramm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0.81589</cdr:x>
      <cdr:y>0.87043</cdr:y>
    </cdr:from>
    <cdr:to>
      <cdr:x>0.95687</cdr:x>
      <cdr:y>0.9268</cdr:y>
    </cdr:to>
    <cdr:sp macro="" textlink="">
      <cdr:nvSpPr>
        <cdr:cNvPr id="2" name="Textfeld 1"/>
        <cdr:cNvSpPr txBox="1"/>
      </cdr:nvSpPr>
      <cdr:spPr>
        <a:xfrm xmlns:a="http://schemas.openxmlformats.org/drawingml/2006/main">
          <a:off x="8786768" y="6207411"/>
          <a:ext cx="1518287" cy="40199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2000" baseline="0">
              <a:latin typeface="Times New Roman" panose="02020603050405020304" pitchFamily="18" charset="0"/>
              <a:cs typeface="Times New Roman" panose="02020603050405020304" pitchFamily="18" charset="0"/>
            </a:rPr>
            <a:t> Euros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0.24199</cdr:x>
      <cdr:y>0.61245</cdr:y>
    </cdr:from>
    <cdr:to>
      <cdr:x>0.89587</cdr:x>
      <cdr:y>0.80328</cdr:y>
    </cdr:to>
    <cdr:sp macro="" textlink="">
      <cdr:nvSpPr>
        <cdr:cNvPr id="3" name="Textfeld 1">
          <a:extLst xmlns:a="http://schemas.openxmlformats.org/drawingml/2006/main">
            <a:ext uri="{FF2B5EF4-FFF2-40B4-BE49-F238E27FC236}">
              <a16:creationId xmlns:a16="http://schemas.microsoft.com/office/drawing/2014/main" id="{8908946A-70BF-46D9-8B67-C503A115E53F}"/>
            </a:ext>
          </a:extLst>
        </cdr:cNvPr>
        <cdr:cNvSpPr txBox="1"/>
      </cdr:nvSpPr>
      <cdr:spPr>
        <a:xfrm xmlns:a="http://schemas.openxmlformats.org/drawingml/2006/main">
          <a:off x="2614414" y="4409640"/>
          <a:ext cx="7064395" cy="137399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Does not include ammunition of any kind, smaller arms and equipment, and </a:t>
          </a:r>
          <a:br>
            <a:rPr lang="de-DE" sz="1600" b="0">
              <a:latin typeface="Times New Roman" panose="02020603050405020304" pitchFamily="18" charset="0"/>
              <a:cs typeface="Times New Roman" panose="02020603050405020304" pitchFamily="18" charset="0"/>
            </a:rPr>
          </a:br>
          <a:r>
            <a:rPr lang="de-DE" sz="1600" b="0">
              <a:latin typeface="Times New Roman" panose="02020603050405020304" pitchFamily="18" charset="0"/>
              <a:cs typeface="Times New Roman" panose="02020603050405020304" pitchFamily="18" charset="0"/>
            </a:rPr>
            <a:t>large amounts of US funds committed for future weapons purchases. Heavy</a:t>
          </a:r>
          <a:r>
            <a:rPr lang="de-DE" sz="1600" b="0" baseline="0">
              <a:latin typeface="Times New Roman" panose="02020603050405020304" pitchFamily="18" charset="0"/>
              <a:cs typeface="Times New Roman" panose="02020603050405020304" pitchFamily="18" charset="0"/>
            </a:rPr>
            <a:t> weapons</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 include armored vehicles, tanks, 155mm and 152mm howitzers, and MLRS.</a:t>
          </a:r>
          <a:br>
            <a:rPr lang="de-DE" sz="1600" b="0">
              <a:latin typeface="Times New Roman" panose="02020603050405020304" pitchFamily="18" charset="0"/>
              <a:cs typeface="Times New Roman" panose="02020603050405020304" pitchFamily="18" charset="0"/>
            </a:rPr>
          </a:br>
          <a:r>
            <a:rPr lang="de-DE" sz="1600" b="0">
              <a:latin typeface="Times New Roman" panose="02020603050405020304" pitchFamily="18" charset="0"/>
              <a:cs typeface="Times New Roman" panose="02020603050405020304" pitchFamily="18" charset="0"/>
            </a:rPr>
            <a:t>The commitment values are calculated</a:t>
          </a:r>
          <a:r>
            <a:rPr lang="de-DE" sz="1600" b="0" baseline="0">
              <a:latin typeface="Times New Roman" panose="02020603050405020304" pitchFamily="18" charset="0"/>
              <a:cs typeface="Times New Roman" panose="02020603050405020304" pitchFamily="18" charset="0"/>
            </a:rPr>
            <a:t> based on </a:t>
          </a:r>
          <a:r>
            <a:rPr lang="de-DE" sz="1600" b="0">
              <a:latin typeface="Times New Roman" panose="02020603050405020304" pitchFamily="18" charset="0"/>
              <a:cs typeface="Times New Roman" panose="02020603050405020304" pitchFamily="18" charset="0"/>
            </a:rPr>
            <a:t>our own value and price estimates</a:t>
          </a:r>
          <a:br>
            <a:rPr lang="de-DE" sz="1600" b="0">
              <a:latin typeface="Times New Roman" panose="02020603050405020304" pitchFamily="18" charset="0"/>
              <a:cs typeface="Times New Roman" panose="02020603050405020304" pitchFamily="18" charset="0"/>
            </a:rPr>
          </a:br>
          <a:r>
            <a:rPr lang="de-DE" sz="1600" b="0">
              <a:latin typeface="Times New Roman" panose="02020603050405020304" pitchFamily="18" charset="0"/>
              <a:cs typeface="Times New Roman" panose="02020603050405020304" pitchFamily="18" charset="0"/>
            </a:rPr>
            <a:t>for</a:t>
          </a:r>
          <a:r>
            <a:rPr lang="de-DE" sz="1600" b="0" baseline="0">
              <a:latin typeface="Times New Roman" panose="02020603050405020304" pitchFamily="18" charset="0"/>
              <a:cs typeface="Times New Roman" panose="02020603050405020304" pitchFamily="18" charset="0"/>
            </a:rPr>
            <a:t> heavy weaponry.</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8</xdr:col>
      <xdr:colOff>962930</xdr:colOff>
      <xdr:row>11</xdr:row>
      <xdr:rowOff>65767</xdr:rowOff>
    </xdr:from>
    <xdr:to>
      <xdr:col>26</xdr:col>
      <xdr:colOff>281940</xdr:colOff>
      <xdr:row>52</xdr:row>
      <xdr:rowOff>15240</xdr:rowOff>
    </xdr:to>
    <xdr:graphicFrame macro="">
      <xdr:nvGraphicFramePr>
        <xdr:cNvPr id="3" name="Chart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0.77759</cdr:x>
      <cdr:y>0.14806</cdr:y>
    </cdr:from>
    <cdr:to>
      <cdr:x>0.97394</cdr:x>
      <cdr:y>0.19323</cdr:y>
    </cdr:to>
    <cdr:sp macro="" textlink="">
      <cdr:nvSpPr>
        <cdr:cNvPr id="2" name="Textfeld 12">
          <a:extLst xmlns:a="http://schemas.openxmlformats.org/drawingml/2006/main">
            <a:ext uri="{FF2B5EF4-FFF2-40B4-BE49-F238E27FC236}">
              <a16:creationId xmlns:a16="http://schemas.microsoft.com/office/drawing/2014/main" id="{00000000-0008-0000-1200-000008000000}"/>
            </a:ext>
          </a:extLst>
        </cdr:cNvPr>
        <cdr:cNvSpPr txBox="1"/>
      </cdr:nvSpPr>
      <cdr:spPr>
        <a:xfrm xmlns:a="http://schemas.openxmlformats.org/drawingml/2006/main">
          <a:off x="8938959" y="1212142"/>
          <a:ext cx="2257194" cy="369793"/>
        </a:xfrm>
        <a:prstGeom xmlns:a="http://schemas.openxmlformats.org/drawingml/2006/main" prst="rect">
          <a:avLst/>
        </a:prstGeom>
        <a:solidFill xmlns:a="http://schemas.openxmlformats.org/drawingml/2006/main">
          <a:schemeClr val="bg2"/>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de-DE" sz="2200">
              <a:latin typeface="Times New Roman" panose="02020603050405020304" pitchFamily="18" charset="0"/>
              <a:cs typeface="Times New Roman" panose="02020603050405020304" pitchFamily="18" charset="0"/>
            </a:rPr>
            <a:t>Tanks</a:t>
          </a:r>
        </a:p>
      </cdr:txBody>
    </cdr:sp>
  </cdr:relSizeAnchor>
  <cdr:relSizeAnchor xmlns:cdr="http://schemas.openxmlformats.org/drawingml/2006/chartDrawing">
    <cdr:from>
      <cdr:x>0.71656</cdr:x>
      <cdr:y>0.37158</cdr:y>
    </cdr:from>
    <cdr:to>
      <cdr:x>0.94612</cdr:x>
      <cdr:y>0.45575</cdr:y>
    </cdr:to>
    <cdr:sp macro="" textlink="">
      <cdr:nvSpPr>
        <cdr:cNvPr id="3" name="Textfeld 12">
          <a:extLst xmlns:a="http://schemas.openxmlformats.org/drawingml/2006/main">
            <a:ext uri="{FF2B5EF4-FFF2-40B4-BE49-F238E27FC236}">
              <a16:creationId xmlns:a16="http://schemas.microsoft.com/office/drawing/2014/main" id="{00000000-0008-0000-1200-000007000000}"/>
            </a:ext>
          </a:extLst>
        </cdr:cNvPr>
        <cdr:cNvSpPr txBox="1"/>
      </cdr:nvSpPr>
      <cdr:spPr>
        <a:xfrm xmlns:a="http://schemas.openxmlformats.org/drawingml/2006/main">
          <a:off x="8237354" y="3041985"/>
          <a:ext cx="2638969" cy="689074"/>
        </a:xfrm>
        <a:prstGeom xmlns:a="http://schemas.openxmlformats.org/drawingml/2006/main" prst="rect">
          <a:avLst/>
        </a:prstGeom>
        <a:solidFill xmlns:a="http://schemas.openxmlformats.org/drawingml/2006/main">
          <a:schemeClr val="bg2"/>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de-DE" sz="2200">
              <a:latin typeface="Times New Roman" panose="02020603050405020304" pitchFamily="18" charset="0"/>
              <a:cs typeface="Times New Roman" panose="02020603050405020304" pitchFamily="18" charset="0"/>
            </a:rPr>
            <a:t>Howitzers</a:t>
          </a:r>
          <a:br>
            <a:rPr lang="de-DE" sz="2200">
              <a:latin typeface="Times New Roman" panose="02020603050405020304" pitchFamily="18" charset="0"/>
              <a:cs typeface="Times New Roman" panose="02020603050405020304" pitchFamily="18" charset="0"/>
            </a:rPr>
          </a:br>
          <a:r>
            <a:rPr lang="de-DE" sz="2200">
              <a:latin typeface="Times New Roman" panose="02020603050405020304" pitchFamily="18" charset="0"/>
              <a:cs typeface="Times New Roman" panose="02020603050405020304" pitchFamily="18" charset="0"/>
            </a:rPr>
            <a:t>(155/152 mm)</a:t>
          </a:r>
        </a:p>
      </cdr:txBody>
    </cdr:sp>
  </cdr:relSizeAnchor>
  <cdr:relSizeAnchor xmlns:cdr="http://schemas.openxmlformats.org/drawingml/2006/chartDrawing">
    <cdr:from>
      <cdr:x>0.57769</cdr:x>
      <cdr:y>0.67627</cdr:y>
    </cdr:from>
    <cdr:to>
      <cdr:x>0.95401</cdr:x>
      <cdr:y>0.73623</cdr:y>
    </cdr:to>
    <cdr:sp macro="" textlink="">
      <cdr:nvSpPr>
        <cdr:cNvPr id="4" name="Textfeld 13">
          <a:extLst xmlns:a="http://schemas.openxmlformats.org/drawingml/2006/main">
            <a:ext uri="{FF2B5EF4-FFF2-40B4-BE49-F238E27FC236}">
              <a16:creationId xmlns:a16="http://schemas.microsoft.com/office/drawing/2014/main" id="{00000000-0008-0000-1200-000006000000}"/>
            </a:ext>
          </a:extLst>
        </cdr:cNvPr>
        <cdr:cNvSpPr txBox="1"/>
      </cdr:nvSpPr>
      <cdr:spPr>
        <a:xfrm xmlns:a="http://schemas.openxmlformats.org/drawingml/2006/main">
          <a:off x="6640951" y="5536451"/>
          <a:ext cx="4326088" cy="490874"/>
        </a:xfrm>
        <a:prstGeom xmlns:a="http://schemas.openxmlformats.org/drawingml/2006/main" prst="rect">
          <a:avLst/>
        </a:prstGeom>
        <a:solidFill xmlns:a="http://schemas.openxmlformats.org/drawingml/2006/main">
          <a:schemeClr val="bg2"/>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de-DE" sz="2200">
              <a:latin typeface="Times New Roman" panose="02020603050405020304" pitchFamily="18" charset="0"/>
              <a:cs typeface="Times New Roman" panose="02020603050405020304" pitchFamily="18" charset="0"/>
            </a:rPr>
            <a:t>Multiple</a:t>
          </a:r>
          <a:r>
            <a:rPr lang="de-DE" sz="2200" baseline="0">
              <a:latin typeface="Times New Roman" panose="02020603050405020304" pitchFamily="18" charset="0"/>
              <a:cs typeface="Times New Roman" panose="02020603050405020304" pitchFamily="18" charset="0"/>
            </a:rPr>
            <a:t> Launch Rocket Systems</a:t>
          </a:r>
          <a:endParaRPr lang="de-DE" sz="22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0.29639</cdr:x>
      <cdr:y>0.19854</cdr:y>
    </cdr:from>
    <cdr:to>
      <cdr:x>0.4229</cdr:x>
      <cdr:y>0.24507</cdr:y>
    </cdr:to>
    <cdr:sp macro="" textlink="">
      <cdr:nvSpPr>
        <cdr:cNvPr id="8" name="TextBox 11">
          <a:extLst xmlns:a="http://schemas.openxmlformats.org/drawingml/2006/main">
            <a:ext uri="{FF2B5EF4-FFF2-40B4-BE49-F238E27FC236}">
              <a16:creationId xmlns:a16="http://schemas.microsoft.com/office/drawing/2014/main" id="{00000000-0008-0000-1200-00000C000000}"/>
            </a:ext>
          </a:extLst>
        </cdr:cNvPr>
        <cdr:cNvSpPr txBox="1"/>
      </cdr:nvSpPr>
      <cdr:spPr>
        <a:xfrm xmlns:a="http://schemas.openxmlformats.org/drawingml/2006/main">
          <a:off x="3407211" y="1625386"/>
          <a:ext cx="1454330" cy="38092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700">
              <a:solidFill>
                <a:schemeClr val="bg1"/>
              </a:solidFill>
              <a:latin typeface="Times New Roman" panose="02020603050405020304" pitchFamily="18" charset="0"/>
              <a:cs typeface="Times New Roman" panose="02020603050405020304" pitchFamily="18" charset="0"/>
            </a:rPr>
            <a:t>UKR</a:t>
          </a:r>
          <a:r>
            <a:rPr lang="en-GB" sz="1700" baseline="0">
              <a:solidFill>
                <a:schemeClr val="bg1"/>
              </a:solidFill>
              <a:latin typeface="Times New Roman" panose="02020603050405020304" pitchFamily="18" charset="0"/>
              <a:cs typeface="Times New Roman" panose="02020603050405020304" pitchFamily="18" charset="0"/>
            </a:rPr>
            <a:t> pre-war</a:t>
          </a:r>
          <a:endParaRPr lang="en-GB" sz="1700">
            <a:solidFill>
              <a:schemeClr val="bg1"/>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0.28613</cdr:x>
      <cdr:y>0.48732</cdr:y>
    </cdr:from>
    <cdr:to>
      <cdr:x>0.41265</cdr:x>
      <cdr:y>0.53385</cdr:y>
    </cdr:to>
    <cdr:sp macro="" textlink="">
      <cdr:nvSpPr>
        <cdr:cNvPr id="9" name="TextBox 11">
          <a:extLst xmlns:a="http://schemas.openxmlformats.org/drawingml/2006/main">
            <a:ext uri="{FF2B5EF4-FFF2-40B4-BE49-F238E27FC236}">
              <a16:creationId xmlns:a16="http://schemas.microsoft.com/office/drawing/2014/main" id="{201B63C4-7F9E-4B75-AE91-0B74ADCA62AB}"/>
            </a:ext>
          </a:extLst>
        </cdr:cNvPr>
        <cdr:cNvSpPr txBox="1"/>
      </cdr:nvSpPr>
      <cdr:spPr>
        <a:xfrm xmlns:a="http://schemas.openxmlformats.org/drawingml/2006/main">
          <a:off x="3289281" y="3989552"/>
          <a:ext cx="1454444" cy="38092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700">
              <a:solidFill>
                <a:schemeClr val="bg1"/>
              </a:solidFill>
              <a:latin typeface="Times New Roman" panose="02020603050405020304" pitchFamily="18" charset="0"/>
              <a:cs typeface="Times New Roman" panose="02020603050405020304" pitchFamily="18" charset="0"/>
            </a:rPr>
            <a:t>UKR</a:t>
          </a:r>
          <a:r>
            <a:rPr lang="en-GB" sz="1700" baseline="0">
              <a:solidFill>
                <a:schemeClr val="bg1"/>
              </a:solidFill>
              <a:latin typeface="Times New Roman" panose="02020603050405020304" pitchFamily="18" charset="0"/>
              <a:cs typeface="Times New Roman" panose="02020603050405020304" pitchFamily="18" charset="0"/>
            </a:rPr>
            <a:t> pre-war</a:t>
          </a:r>
          <a:endParaRPr lang="en-GB" sz="1700">
            <a:solidFill>
              <a:schemeClr val="bg1"/>
            </a:solidFill>
            <a:latin typeface="Times New Roman" panose="02020603050405020304" pitchFamily="18" charset="0"/>
            <a:cs typeface="Times New Roman" panose="02020603050405020304" pitchFamily="18"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20</xdr:col>
      <xdr:colOff>217713</xdr:colOff>
      <xdr:row>24</xdr:row>
      <xdr:rowOff>41729</xdr:rowOff>
    </xdr:from>
    <xdr:to>
      <xdr:col>21</xdr:col>
      <xdr:colOff>63500</xdr:colOff>
      <xdr:row>25</xdr:row>
      <xdr:rowOff>57151</xdr:rowOff>
    </xdr:to>
    <xdr:sp macro="" textlink="">
      <xdr:nvSpPr>
        <xdr:cNvPr id="2" name="TextBox 1">
          <a:extLst>
            <a:ext uri="{FF2B5EF4-FFF2-40B4-BE49-F238E27FC236}">
              <a16:creationId xmlns:a16="http://schemas.microsoft.com/office/drawing/2014/main" id="{00000000-0008-0000-1200-000002000000}"/>
            </a:ext>
          </a:extLst>
        </xdr:cNvPr>
        <xdr:cNvSpPr txBox="1"/>
      </xdr:nvSpPr>
      <xdr:spPr>
        <a:xfrm>
          <a:off x="13298713" y="4766129"/>
          <a:ext cx="499837" cy="2122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bg1"/>
              </a:solidFill>
              <a:latin typeface="Times New Roman" panose="02020603050405020304" pitchFamily="18" charset="0"/>
              <a:cs typeface="Times New Roman" panose="02020603050405020304" pitchFamily="18" charset="0"/>
            </a:rPr>
            <a:t>OTR</a:t>
          </a:r>
        </a:p>
      </xdr:txBody>
    </xdr:sp>
    <xdr:clientData/>
  </xdr:twoCellAnchor>
  <xdr:twoCellAnchor>
    <xdr:from>
      <xdr:col>20</xdr:col>
      <xdr:colOff>344713</xdr:colOff>
      <xdr:row>16</xdr:row>
      <xdr:rowOff>92529</xdr:rowOff>
    </xdr:from>
    <xdr:to>
      <xdr:col>21</xdr:col>
      <xdr:colOff>190500</xdr:colOff>
      <xdr:row>17</xdr:row>
      <xdr:rowOff>107951</xdr:rowOff>
    </xdr:to>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13425713" y="3242129"/>
          <a:ext cx="499837" cy="2122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bg1"/>
              </a:solidFill>
              <a:latin typeface="Times New Roman" panose="02020603050405020304" pitchFamily="18" charset="0"/>
              <a:cs typeface="Times New Roman" panose="02020603050405020304" pitchFamily="18" charset="0"/>
            </a:rPr>
            <a:t>OTR</a:t>
          </a:r>
        </a:p>
      </xdr:txBody>
    </xdr:sp>
    <xdr:clientData/>
  </xdr:twoCellAnchor>
  <xdr:twoCellAnchor>
    <xdr:from>
      <xdr:col>19</xdr:col>
      <xdr:colOff>61425</xdr:colOff>
      <xdr:row>11</xdr:row>
      <xdr:rowOff>132697</xdr:rowOff>
    </xdr:from>
    <xdr:to>
      <xdr:col>35</xdr:col>
      <xdr:colOff>283928</xdr:colOff>
      <xdr:row>50</xdr:row>
      <xdr:rowOff>4072</xdr:rowOff>
    </xdr:to>
    <xdr:grpSp>
      <xdr:nvGrpSpPr>
        <xdr:cNvPr id="4" name="Group 3">
          <a:extLst>
            <a:ext uri="{FF2B5EF4-FFF2-40B4-BE49-F238E27FC236}">
              <a16:creationId xmlns:a16="http://schemas.microsoft.com/office/drawing/2014/main" id="{00000000-0008-0000-1200-000004000000}"/>
            </a:ext>
          </a:extLst>
        </xdr:cNvPr>
        <xdr:cNvGrpSpPr/>
      </xdr:nvGrpSpPr>
      <xdr:grpSpPr>
        <a:xfrm>
          <a:off x="22045125" y="2561572"/>
          <a:ext cx="10738103" cy="7672350"/>
          <a:chOff x="11510634" y="766199"/>
          <a:chExt cx="12663023" cy="5396637"/>
        </a:xfrm>
      </xdr:grpSpPr>
      <xdr:grpSp>
        <xdr:nvGrpSpPr>
          <xdr:cNvPr id="5" name="Group 4">
            <a:extLst>
              <a:ext uri="{FF2B5EF4-FFF2-40B4-BE49-F238E27FC236}">
                <a16:creationId xmlns:a16="http://schemas.microsoft.com/office/drawing/2014/main" id="{00000000-0008-0000-1200-000005000000}"/>
              </a:ext>
            </a:extLst>
          </xdr:cNvPr>
          <xdr:cNvGrpSpPr/>
        </xdr:nvGrpSpPr>
        <xdr:grpSpPr>
          <a:xfrm>
            <a:off x="11510634" y="766199"/>
            <a:ext cx="12663023" cy="5396637"/>
            <a:chOff x="11498121" y="1400132"/>
            <a:chExt cx="9724159" cy="5396637"/>
          </a:xfrm>
        </xdr:grpSpPr>
        <xdr:graphicFrame macro="">
          <xdr:nvGraphicFramePr>
            <xdr:cNvPr id="9" name="Chart 8">
              <a:extLst>
                <a:ext uri="{FF2B5EF4-FFF2-40B4-BE49-F238E27FC236}">
                  <a16:creationId xmlns:a16="http://schemas.microsoft.com/office/drawing/2014/main" id="{00000000-0008-0000-1200-000009000000}"/>
                </a:ext>
              </a:extLst>
            </xdr:cNvPr>
            <xdr:cNvGraphicFramePr>
              <a:graphicFrameLocks/>
            </xdr:cNvGraphicFramePr>
          </xdr:nvGraphicFramePr>
          <xdr:xfrm>
            <a:off x="11498121" y="1400132"/>
            <a:ext cx="9724159" cy="5396637"/>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10" name="Straight Connector 9">
              <a:extLst>
                <a:ext uri="{FF2B5EF4-FFF2-40B4-BE49-F238E27FC236}">
                  <a16:creationId xmlns:a16="http://schemas.microsoft.com/office/drawing/2014/main" id="{00000000-0008-0000-1200-00000A000000}"/>
                </a:ext>
              </a:extLst>
            </xdr:cNvPr>
            <xdr:cNvCxnSpPr/>
          </xdr:nvCxnSpPr>
          <xdr:spPr>
            <a:xfrm>
              <a:off x="13621991" y="6471734"/>
              <a:ext cx="7541059" cy="0"/>
            </a:xfrm>
            <a:prstGeom prst="line">
              <a:avLst/>
            </a:prstGeom>
            <a:ln w="9525"/>
          </xdr:spPr>
          <xdr:style>
            <a:lnRef idx="1">
              <a:schemeClr val="dk1"/>
            </a:lnRef>
            <a:fillRef idx="0">
              <a:schemeClr val="dk1"/>
            </a:fillRef>
            <a:effectRef idx="0">
              <a:schemeClr val="dk1"/>
            </a:effectRef>
            <a:fontRef idx="minor">
              <a:schemeClr val="tx1"/>
            </a:fontRef>
          </xdr:style>
        </xdr:cxnSp>
      </xdr:grpSp>
      <xdr:sp macro="" textlink="">
        <xdr:nvSpPr>
          <xdr:cNvPr id="6" name="Textfeld 13">
            <a:extLst>
              <a:ext uri="{FF2B5EF4-FFF2-40B4-BE49-F238E27FC236}">
                <a16:creationId xmlns:a16="http://schemas.microsoft.com/office/drawing/2014/main" id="{00000000-0008-0000-1200-000006000000}"/>
              </a:ext>
            </a:extLst>
          </xdr:cNvPr>
          <xdr:cNvSpPr txBox="1"/>
        </xdr:nvSpPr>
        <xdr:spPr>
          <a:xfrm>
            <a:off x="16751286" y="4925251"/>
            <a:ext cx="4144109" cy="250159"/>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800">
                <a:latin typeface="Times New Roman" panose="02020603050405020304" pitchFamily="18" charset="0"/>
                <a:cs typeface="Times New Roman" panose="02020603050405020304" pitchFamily="18" charset="0"/>
              </a:rPr>
              <a:t>Multiple</a:t>
            </a:r>
            <a:r>
              <a:rPr lang="de-DE" sz="1800" baseline="0">
                <a:latin typeface="Times New Roman" panose="02020603050405020304" pitchFamily="18" charset="0"/>
                <a:cs typeface="Times New Roman" panose="02020603050405020304" pitchFamily="18" charset="0"/>
              </a:rPr>
              <a:t> Launch Rocket Systems</a:t>
            </a:r>
            <a:endParaRPr lang="de-DE" sz="1800">
              <a:latin typeface="Times New Roman" panose="02020603050405020304" pitchFamily="18" charset="0"/>
              <a:cs typeface="Times New Roman" panose="02020603050405020304" pitchFamily="18" charset="0"/>
            </a:endParaRPr>
          </a:p>
        </xdr:txBody>
      </xdr:sp>
      <xdr:sp macro="" textlink="">
        <xdr:nvSpPr>
          <xdr:cNvPr id="7" name="Textfeld 12">
            <a:extLst>
              <a:ext uri="{FF2B5EF4-FFF2-40B4-BE49-F238E27FC236}">
                <a16:creationId xmlns:a16="http://schemas.microsoft.com/office/drawing/2014/main" id="{00000000-0008-0000-1200-000007000000}"/>
              </a:ext>
            </a:extLst>
          </xdr:cNvPr>
          <xdr:cNvSpPr txBox="1"/>
        </xdr:nvSpPr>
        <xdr:spPr>
          <a:xfrm>
            <a:off x="18428189" y="3136427"/>
            <a:ext cx="3120595" cy="449159"/>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DE" sz="1800">
                <a:latin typeface="Times New Roman" panose="02020603050405020304" pitchFamily="18" charset="0"/>
                <a:cs typeface="Times New Roman" panose="02020603050405020304" pitchFamily="18" charset="0"/>
              </a:rPr>
              <a:t>Howitzers</a:t>
            </a:r>
            <a:br>
              <a:rPr lang="de-DE" sz="1800">
                <a:latin typeface="Times New Roman" panose="02020603050405020304" pitchFamily="18" charset="0"/>
                <a:cs typeface="Times New Roman" panose="02020603050405020304" pitchFamily="18" charset="0"/>
              </a:rPr>
            </a:br>
            <a:r>
              <a:rPr lang="de-DE" sz="1800">
                <a:latin typeface="Times New Roman" panose="02020603050405020304" pitchFamily="18" charset="0"/>
                <a:cs typeface="Times New Roman" panose="02020603050405020304" pitchFamily="18" charset="0"/>
              </a:rPr>
              <a:t>(155/152 mm)</a:t>
            </a:r>
          </a:p>
        </xdr:txBody>
      </xdr:sp>
      <xdr:sp macro="" textlink="">
        <xdr:nvSpPr>
          <xdr:cNvPr id="8" name="Textfeld 12">
            <a:extLst>
              <a:ext uri="{FF2B5EF4-FFF2-40B4-BE49-F238E27FC236}">
                <a16:creationId xmlns:a16="http://schemas.microsoft.com/office/drawing/2014/main" id="{00000000-0008-0000-1200-000008000000}"/>
              </a:ext>
            </a:extLst>
          </xdr:cNvPr>
          <xdr:cNvSpPr txBox="1"/>
        </xdr:nvSpPr>
        <xdr:spPr>
          <a:xfrm>
            <a:off x="20929107" y="1754684"/>
            <a:ext cx="2669184" cy="262419"/>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DE" sz="1800">
                <a:latin typeface="Times New Roman" panose="02020603050405020304" pitchFamily="18" charset="0"/>
                <a:cs typeface="Times New Roman" panose="02020603050405020304" pitchFamily="18" charset="0"/>
              </a:rPr>
              <a:t>Tanks</a:t>
            </a:r>
          </a:p>
        </xdr:txBody>
      </xdr:sp>
    </xdr:grpSp>
    <xdr:clientData/>
  </xdr:twoCellAnchor>
  <xdr:twoCellAnchor>
    <xdr:from>
      <xdr:col>28</xdr:col>
      <xdr:colOff>297122</xdr:colOff>
      <xdr:row>33</xdr:row>
      <xdr:rowOff>95943</xdr:rowOff>
    </xdr:from>
    <xdr:to>
      <xdr:col>35</xdr:col>
      <xdr:colOff>327660</xdr:colOff>
      <xdr:row>38</xdr:row>
      <xdr:rowOff>167641</xdr:rowOff>
    </xdr:to>
    <xdr:sp macro="" textlink="">
      <xdr:nvSpPr>
        <xdr:cNvPr id="11" name="Textfeld 8">
          <a:extLst>
            <a:ext uri="{FF2B5EF4-FFF2-40B4-BE49-F238E27FC236}">
              <a16:creationId xmlns:a16="http://schemas.microsoft.com/office/drawing/2014/main" id="{00000000-0008-0000-1200-00000B000000}"/>
            </a:ext>
          </a:extLst>
        </xdr:cNvPr>
        <xdr:cNvSpPr txBox="1"/>
      </xdr:nvSpPr>
      <xdr:spPr>
        <a:xfrm>
          <a:off x="28155842" y="6862503"/>
          <a:ext cx="4617778" cy="10622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600">
              <a:latin typeface="Times New Roman" panose="02020603050405020304" pitchFamily="18" charset="0"/>
              <a:cs typeface="Times New Roman" panose="02020603050405020304" pitchFamily="18" charset="0"/>
            </a:rPr>
            <a:t>Note: Weapon stock estimates of tanks, howitzers, and MRLS compared with donations to Ukraine. </a:t>
          </a:r>
          <a:br>
            <a:rPr lang="de-DE" sz="1600">
              <a:latin typeface="Times New Roman" panose="02020603050405020304" pitchFamily="18" charset="0"/>
              <a:cs typeface="Times New Roman" panose="02020603050405020304" pitchFamily="18" charset="0"/>
            </a:rPr>
          </a:br>
          <a:r>
            <a:rPr lang="de-DE" sz="1600">
              <a:latin typeface="Times New Roman" panose="02020603050405020304" pitchFamily="18" charset="0"/>
              <a:cs typeface="Times New Roman" panose="02020603050405020304" pitchFamily="18" charset="0"/>
            </a:rPr>
            <a:t>The data on stock comes from IISS, Military Balance (2022) and considers only weapons ready to use. </a:t>
          </a:r>
        </a:p>
      </xdr:txBody>
    </xdr:sp>
    <xdr:clientData/>
  </xdr:twoCellAnchor>
  <xdr:twoCellAnchor>
    <xdr:from>
      <xdr:col>31</xdr:col>
      <xdr:colOff>619126</xdr:colOff>
      <xdr:row>45</xdr:row>
      <xdr:rowOff>14432</xdr:rowOff>
    </xdr:from>
    <xdr:to>
      <xdr:col>34</xdr:col>
      <xdr:colOff>514350</xdr:colOff>
      <xdr:row>47</xdr:row>
      <xdr:rowOff>1732</xdr:rowOff>
    </xdr:to>
    <xdr:sp macro="" textlink="">
      <xdr:nvSpPr>
        <xdr:cNvPr id="12" name="TextBox 11">
          <a:extLst>
            <a:ext uri="{FF2B5EF4-FFF2-40B4-BE49-F238E27FC236}">
              <a16:creationId xmlns:a16="http://schemas.microsoft.com/office/drawing/2014/main" id="{00000000-0008-0000-1200-00000C000000}"/>
            </a:ext>
          </a:extLst>
        </xdr:cNvPr>
        <xdr:cNvSpPr txBox="1"/>
      </xdr:nvSpPr>
      <xdr:spPr>
        <a:xfrm>
          <a:off x="30489526" y="9244157"/>
          <a:ext cx="1866899" cy="38735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a:latin typeface="Times New Roman" panose="02020603050405020304" pitchFamily="18" charset="0"/>
              <a:cs typeface="Times New Roman" panose="02020603050405020304" pitchFamily="18" charset="0"/>
            </a:rPr>
            <a:t>number</a:t>
          </a:r>
          <a:r>
            <a:rPr lang="en-GB" sz="2000" baseline="0">
              <a:latin typeface="Times New Roman" panose="02020603050405020304" pitchFamily="18" charset="0"/>
              <a:cs typeface="Times New Roman" panose="02020603050405020304" pitchFamily="18" charset="0"/>
            </a:rPr>
            <a:t> of items</a:t>
          </a:r>
          <a:endParaRPr lang="en-GB" sz="2000">
            <a:latin typeface="Times New Roman" panose="02020603050405020304" pitchFamily="18" charset="0"/>
            <a:cs typeface="Times New Roman" panose="02020603050405020304" pitchFamily="18" charset="0"/>
          </a:endParaRPr>
        </a:p>
      </xdr:txBody>
    </xdr:sp>
    <xdr:clientData/>
  </xdr:twoCellAnchor>
</xdr:wsDr>
</file>

<file path=xl/drawings/drawing27.xml><?xml version="1.0" encoding="utf-8"?>
<c:userShapes xmlns:c="http://schemas.openxmlformats.org/drawingml/2006/chart">
  <cdr:relSizeAnchor xmlns:cdr="http://schemas.openxmlformats.org/drawingml/2006/chartDrawing">
    <cdr:from>
      <cdr:x>0.30019</cdr:x>
      <cdr:y>0.58964</cdr:y>
    </cdr:from>
    <cdr:to>
      <cdr:x>0.46436</cdr:x>
      <cdr:y>0.6686</cdr:y>
    </cdr:to>
    <cdr:sp macro="" textlink="">
      <cdr:nvSpPr>
        <cdr:cNvPr id="3" name="TextBox 2">
          <a:extLst xmlns:a="http://schemas.openxmlformats.org/drawingml/2006/main">
            <a:ext uri="{FF2B5EF4-FFF2-40B4-BE49-F238E27FC236}">
              <a16:creationId xmlns:a16="http://schemas.microsoft.com/office/drawing/2014/main" id="{1B642954-8D80-9B17-0731-08923331B3DA}"/>
            </a:ext>
          </a:extLst>
        </cdr:cNvPr>
        <cdr:cNvSpPr txBox="1"/>
      </cdr:nvSpPr>
      <cdr:spPr>
        <a:xfrm xmlns:a="http://schemas.openxmlformats.org/drawingml/2006/main">
          <a:off x="3192951" y="4742101"/>
          <a:ext cx="1746250" cy="635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28.xml><?xml version="1.0" encoding="utf-8"?>
<xdr:wsDr xmlns:xdr="http://schemas.openxmlformats.org/drawingml/2006/spreadsheetDrawing" xmlns:a="http://schemas.openxmlformats.org/drawingml/2006/main">
  <xdr:twoCellAnchor>
    <xdr:from>
      <xdr:col>15</xdr:col>
      <xdr:colOff>187323</xdr:colOff>
      <xdr:row>11</xdr:row>
      <xdr:rowOff>126999</xdr:rowOff>
    </xdr:from>
    <xdr:to>
      <xdr:col>31</xdr:col>
      <xdr:colOff>164755</xdr:colOff>
      <xdr:row>50</xdr:row>
      <xdr:rowOff>122199</xdr:rowOff>
    </xdr:to>
    <xdr:grpSp>
      <xdr:nvGrpSpPr>
        <xdr:cNvPr id="13" name="Group 12">
          <a:extLst>
            <a:ext uri="{FF2B5EF4-FFF2-40B4-BE49-F238E27FC236}">
              <a16:creationId xmlns:a16="http://schemas.microsoft.com/office/drawing/2014/main" id="{00000000-0008-0000-1300-00000D000000}"/>
            </a:ext>
          </a:extLst>
        </xdr:cNvPr>
        <xdr:cNvGrpSpPr/>
      </xdr:nvGrpSpPr>
      <xdr:grpSpPr>
        <a:xfrm>
          <a:off x="32562798" y="2555874"/>
          <a:ext cx="10978807" cy="7796175"/>
          <a:chOff x="9668357" y="494193"/>
          <a:chExt cx="8648973" cy="6385043"/>
        </a:xfrm>
      </xdr:grpSpPr>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9668357" y="494193"/>
          <a:ext cx="8648973" cy="638504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0" name="Textfeld 4">
            <a:extLst>
              <a:ext uri="{FF2B5EF4-FFF2-40B4-BE49-F238E27FC236}">
                <a16:creationId xmlns:a16="http://schemas.microsoft.com/office/drawing/2014/main" id="{00000000-0008-0000-1300-00000A000000}"/>
              </a:ext>
            </a:extLst>
          </xdr:cNvPr>
          <xdr:cNvSpPr txBox="1"/>
        </xdr:nvSpPr>
        <xdr:spPr>
          <a:xfrm>
            <a:off x="13647828" y="3589848"/>
            <a:ext cx="4054052" cy="10901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600" i="0">
                <a:latin typeface="Times New Roman" panose="02020603050405020304" pitchFamily="18" charset="0"/>
                <a:cs typeface="Times New Roman" panose="02020603050405020304" pitchFamily="18" charset="0"/>
              </a:rPr>
              <a:t>Average share of heavy weapon stocks sent to Ukraine by country (average of tanks, howitzers (155, 152 mm), and MRLS shares sent). Stocks</a:t>
            </a:r>
            <a:r>
              <a:rPr lang="de-DE" sz="1600" i="0" baseline="0">
                <a:latin typeface="Times New Roman" panose="02020603050405020304" pitchFamily="18" charset="0"/>
                <a:cs typeface="Times New Roman" panose="02020603050405020304" pitchFamily="18" charset="0"/>
              </a:rPr>
              <a:t> numbers are taken from</a:t>
            </a:r>
            <a:r>
              <a:rPr lang="de-DE" sz="1600" i="0">
                <a:latin typeface="Times New Roman" panose="02020603050405020304" pitchFamily="18" charset="0"/>
                <a:cs typeface="Times New Roman" panose="02020603050405020304" pitchFamily="18" charset="0"/>
              </a:rPr>
              <a:t> IISS (2022) estimates</a:t>
            </a:r>
            <a:r>
              <a:rPr lang="de-DE" sz="1600" i="0" baseline="0">
                <a:latin typeface="Times New Roman" panose="02020603050405020304" pitchFamily="18" charset="0"/>
                <a:cs typeface="Times New Roman" panose="02020603050405020304" pitchFamily="18" charset="0"/>
              </a:rPr>
              <a:t> and</a:t>
            </a:r>
            <a:r>
              <a:rPr lang="de-DE" sz="1600" i="0">
                <a:latin typeface="Times New Roman" panose="02020603050405020304" pitchFamily="18" charset="0"/>
                <a:cs typeface="Times New Roman" panose="02020603050405020304" pitchFamily="18" charset="0"/>
              </a:rPr>
              <a:t> consider only  weapons ready to use.</a:t>
            </a:r>
            <a:r>
              <a:rPr lang="de-DE" sz="1600" i="0" baseline="0">
                <a:latin typeface="Times New Roman" panose="02020603050405020304" pitchFamily="18" charset="0"/>
                <a:cs typeface="Times New Roman" panose="02020603050405020304" pitchFamily="18" charset="0"/>
              </a:rPr>
              <a:t> There is no</a:t>
            </a:r>
            <a:r>
              <a:rPr lang="de-DE" sz="1600" i="0">
                <a:latin typeface="Times New Roman" panose="02020603050405020304" pitchFamily="18" charset="0"/>
                <a:cs typeface="Times New Roman" panose="02020603050405020304" pitchFamily="18" charset="0"/>
              </a:rPr>
              <a:t> differentiation</a:t>
            </a:r>
            <a:r>
              <a:rPr lang="de-DE" sz="1600" i="0" baseline="0">
                <a:latin typeface="Times New Roman" panose="02020603050405020304" pitchFamily="18" charset="0"/>
                <a:cs typeface="Times New Roman" panose="02020603050405020304" pitchFamily="18" charset="0"/>
              </a:rPr>
              <a:t> </a:t>
            </a:r>
            <a:r>
              <a:rPr lang="de-DE" sz="1600" i="0">
                <a:latin typeface="Times New Roman" panose="02020603050405020304" pitchFamily="18" charset="0"/>
                <a:cs typeface="Times New Roman" panose="02020603050405020304" pitchFamily="18" charset="0"/>
              </a:rPr>
              <a:t>by quality/cost/age of weapons. </a:t>
            </a:r>
          </a:p>
          <a:p>
            <a:br>
              <a:rPr lang="de-DE" sz="1600" i="0">
                <a:latin typeface="Times New Roman" panose="02020603050405020304" pitchFamily="18" charset="0"/>
                <a:cs typeface="Times New Roman" panose="02020603050405020304" pitchFamily="18" charset="0"/>
              </a:rPr>
            </a:br>
            <a:endParaRPr lang="de-DE" sz="1600" i="0">
              <a:latin typeface="Times New Roman" panose="02020603050405020304" pitchFamily="18" charset="0"/>
              <a:cs typeface="Times New Roman" panose="02020603050405020304" pitchFamily="18" charset="0"/>
            </a:endParaRPr>
          </a:p>
        </xdr:txBody>
      </xdr:sp>
    </xdr:grpSp>
    <xdr:clientData/>
  </xdr:twoCellAnchor>
  <xdr:twoCellAnchor>
    <xdr:from>
      <xdr:col>25</xdr:col>
      <xdr:colOff>200026</xdr:colOff>
      <xdr:row>44</xdr:row>
      <xdr:rowOff>144030</xdr:rowOff>
    </xdr:from>
    <xdr:to>
      <xdr:col>30</xdr:col>
      <xdr:colOff>247650</xdr:colOff>
      <xdr:row>47</xdr:row>
      <xdr:rowOff>19050</xdr:rowOff>
    </xdr:to>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39166801" y="9173730"/>
          <a:ext cx="3819524" cy="4750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de-DE" sz="2000" b="0" i="0" baseline="0">
              <a:solidFill>
                <a:schemeClr val="dk1"/>
              </a:solidFill>
              <a:effectLst/>
              <a:latin typeface="Times New Roman" panose="02020603050405020304" pitchFamily="18" charset="0"/>
              <a:ea typeface="+mn-ea"/>
              <a:cs typeface="Times New Roman" panose="02020603050405020304" pitchFamily="18" charset="0"/>
            </a:rPr>
            <a:t>Share of stocks donated to Ukraine</a:t>
          </a:r>
          <a:endParaRPr lang="en-GB" sz="2000">
            <a:effectLst/>
            <a:latin typeface="Times New Roman" panose="02020603050405020304" pitchFamily="18" charset="0"/>
            <a:cs typeface="Times New Roman" panose="02020603050405020304" pitchFamily="18" charset="0"/>
          </a:endParaRPr>
        </a:p>
      </xdr:txBody>
    </xdr:sp>
    <xdr:clientData/>
  </xdr:twoCellAnchor>
</xdr:wsDr>
</file>

<file path=xl/drawings/drawing29.xml><?xml version="1.0" encoding="utf-8"?>
<c:userShapes xmlns:c="http://schemas.openxmlformats.org/drawingml/2006/chart">
  <cdr:relSizeAnchor xmlns:cdr="http://schemas.openxmlformats.org/drawingml/2006/chartDrawing">
    <cdr:from>
      <cdr:x>0.62366</cdr:x>
      <cdr:y>0.22026</cdr:y>
    </cdr:from>
    <cdr:to>
      <cdr:x>0.70618</cdr:x>
      <cdr:y>0.24562</cdr:y>
    </cdr:to>
    <cdr:cxnSp macro="">
      <cdr:nvCxnSpPr>
        <cdr:cNvPr id="3" name="Straight Arrow Connector 2">
          <a:extLst xmlns:a="http://schemas.openxmlformats.org/drawingml/2006/main">
            <a:ext uri="{FF2B5EF4-FFF2-40B4-BE49-F238E27FC236}">
              <a16:creationId xmlns:a16="http://schemas.microsoft.com/office/drawing/2014/main" id="{B175491A-C59E-55AE-3F51-6E5A93EFB05E}"/>
            </a:ext>
          </a:extLst>
        </cdr:cNvPr>
        <cdr:cNvCxnSpPr/>
      </cdr:nvCxnSpPr>
      <cdr:spPr>
        <a:xfrm xmlns:a="http://schemas.openxmlformats.org/drawingml/2006/main" flipH="1" flipV="1">
          <a:off x="6829259" y="1700825"/>
          <a:ext cx="903613" cy="195827"/>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0.21058</cdr:x>
      <cdr:y>0.93326</cdr:y>
    </cdr:from>
    <cdr:to>
      <cdr:x>0.9768</cdr:x>
      <cdr:y>0.93326</cdr:y>
    </cdr:to>
    <cdr:cxnSp macro="">
      <cdr:nvCxnSpPr>
        <cdr:cNvPr id="4" name="Straight Connector 3">
          <a:extLst xmlns:a="http://schemas.openxmlformats.org/drawingml/2006/main">
            <a:ext uri="{FF2B5EF4-FFF2-40B4-BE49-F238E27FC236}">
              <a16:creationId xmlns:a16="http://schemas.microsoft.com/office/drawing/2014/main" id="{2CD3864D-F567-58D3-0696-056DA3F7257C}"/>
            </a:ext>
          </a:extLst>
        </cdr:cNvPr>
        <cdr:cNvCxnSpPr/>
      </cdr:nvCxnSpPr>
      <cdr:spPr>
        <a:xfrm xmlns:a="http://schemas.openxmlformats.org/drawingml/2006/main">
          <a:off x="2301877" y="7391401"/>
          <a:ext cx="8375650" cy="0"/>
        </a:xfrm>
        <a:prstGeom xmlns:a="http://schemas.openxmlformats.org/drawingml/2006/main" prst="line">
          <a:avLst/>
        </a:prstGeom>
        <a:ln xmlns:a="http://schemas.openxmlformats.org/drawingml/2006/main" w="12700">
          <a:solidFill>
            <a:sysClr val="windowText" lastClr="000000"/>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1028700</xdr:colOff>
      <xdr:row>11</xdr:row>
      <xdr:rowOff>161925</xdr:rowOff>
    </xdr:from>
    <xdr:to>
      <xdr:col>19</xdr:col>
      <xdr:colOff>209550</xdr:colOff>
      <xdr:row>36</xdr:row>
      <xdr:rowOff>85725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2573000" y="2590800"/>
          <a:ext cx="8772525" cy="49244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6</xdr:col>
      <xdr:colOff>1005417</xdr:colOff>
      <xdr:row>11</xdr:row>
      <xdr:rowOff>0</xdr:rowOff>
    </xdr:from>
    <xdr:to>
      <xdr:col>22</xdr:col>
      <xdr:colOff>110066</xdr:colOff>
      <xdr:row>47</xdr:row>
      <xdr:rowOff>144780</xdr:rowOff>
    </xdr:to>
    <xdr:graphicFrame macro="">
      <xdr:nvGraphicFramePr>
        <xdr:cNvPr id="3" name="Diagramm 1">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0.06754</cdr:x>
      <cdr:y>0.03401</cdr:y>
    </cdr:from>
    <cdr:to>
      <cdr:x>0.19159</cdr:x>
      <cdr:y>0.09698</cdr:y>
    </cdr:to>
    <cdr:sp macro="" textlink="">
      <cdr:nvSpPr>
        <cdr:cNvPr id="2" name="Textfeld 1"/>
        <cdr:cNvSpPr txBox="1"/>
      </cdr:nvSpPr>
      <cdr:spPr>
        <a:xfrm xmlns:a="http://schemas.openxmlformats.org/drawingml/2006/main">
          <a:off x="703046" y="161596"/>
          <a:ext cx="1291278" cy="29914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1800">
              <a:latin typeface="Times New Roman" panose="02020603050405020304" pitchFamily="18" charset="0"/>
              <a:cs typeface="Times New Roman" panose="02020603050405020304" pitchFamily="18" charset="0"/>
            </a:rPr>
            <a:t> Euros</a:t>
          </a:r>
        </a:p>
      </cdr:txBody>
    </cdr:sp>
  </cdr:relSizeAnchor>
  <cdr:relSizeAnchor xmlns:cdr="http://schemas.openxmlformats.org/drawingml/2006/chartDrawing">
    <cdr:from>
      <cdr:x>0.43785</cdr:x>
      <cdr:y>0.10814</cdr:y>
    </cdr:from>
    <cdr:to>
      <cdr:x>0.85091</cdr:x>
      <cdr:y>0.36085</cdr:y>
    </cdr:to>
    <cdr:sp macro="" textlink="">
      <cdr:nvSpPr>
        <cdr:cNvPr id="3" name="Textfeld 1">
          <a:extLst xmlns:a="http://schemas.openxmlformats.org/drawingml/2006/main">
            <a:ext uri="{FF2B5EF4-FFF2-40B4-BE49-F238E27FC236}">
              <a16:creationId xmlns:a16="http://schemas.microsoft.com/office/drawing/2014/main" id="{489DBD5C-B2C2-4CE5-A4B6-DBD4D46BF3C6}"/>
            </a:ext>
          </a:extLst>
        </cdr:cNvPr>
        <cdr:cNvSpPr txBox="1"/>
      </cdr:nvSpPr>
      <cdr:spPr>
        <a:xfrm xmlns:a="http://schemas.openxmlformats.org/drawingml/2006/main">
          <a:off x="6440141" y="732609"/>
          <a:ext cx="6075708" cy="171193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a:effectLst/>
              <a:latin typeface="Times New Roman" panose="02020603050405020304" pitchFamily="18" charset="0"/>
              <a:ea typeface="+mn-ea"/>
              <a:cs typeface="Times New Roman" panose="02020603050405020304" pitchFamily="18" charset="0"/>
            </a:rPr>
            <a:t>Includes</a:t>
          </a:r>
          <a:r>
            <a:rPr lang="de-DE" sz="1600" b="0" baseline="0">
              <a:effectLst/>
              <a:latin typeface="Times New Roman" panose="02020603050405020304" pitchFamily="18" charset="0"/>
              <a:ea typeface="+mn-ea"/>
              <a:cs typeface="Times New Roman" panose="02020603050405020304" pitchFamily="18" charset="0"/>
            </a:rPr>
            <a:t> bilateral commitments to Ukraine. Does not include private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donations, support for refugees outside of Ukraine, and aid by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international organizations. Commitments of the European Union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include the EU Commission and Council, EPF, and EIB.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For information on data quality and transparency please see</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our data transparency index.</a:t>
          </a:r>
          <a:endParaRPr lang="de-DE" sz="1600" b="0" baseline="0">
            <a:latin typeface="Times New Roman" panose="02020603050405020304" pitchFamily="18" charset="0"/>
            <a:ea typeface="+mn-ea"/>
            <a:cs typeface="Times New Roman" panose="02020603050405020304" pitchFamily="18" charset="0"/>
          </a:endParaRPr>
        </a:p>
      </cdr:txBody>
    </cdr:sp>
  </cdr:relSizeAnchor>
</c:userShapes>
</file>

<file path=xl/drawings/drawing32.xml><?xml version="1.0" encoding="utf-8"?>
<xdr:wsDr xmlns:xdr="http://schemas.openxmlformats.org/drawingml/2006/spreadsheetDrawing" xmlns:a="http://schemas.openxmlformats.org/drawingml/2006/main">
  <xdr:twoCellAnchor>
    <xdr:from>
      <xdr:col>5</xdr:col>
      <xdr:colOff>24822</xdr:colOff>
      <xdr:row>11</xdr:row>
      <xdr:rowOff>0</xdr:rowOff>
    </xdr:from>
    <xdr:to>
      <xdr:col>10</xdr:col>
      <xdr:colOff>1553822</xdr:colOff>
      <xdr:row>41</xdr:row>
      <xdr:rowOff>332</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0.05694</cdr:x>
      <cdr:y>0.02676</cdr:y>
    </cdr:from>
    <cdr:to>
      <cdr:x>0.19843</cdr:x>
      <cdr:y>0.08973</cdr:y>
    </cdr:to>
    <cdr:sp macro="" textlink="">
      <cdr:nvSpPr>
        <cdr:cNvPr id="2" name="Textfeld 1"/>
        <cdr:cNvSpPr txBox="1"/>
      </cdr:nvSpPr>
      <cdr:spPr>
        <a:xfrm xmlns:a="http://schemas.openxmlformats.org/drawingml/2006/main">
          <a:off x="614274" y="164143"/>
          <a:ext cx="1526254" cy="38621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 Euros</a:t>
          </a:r>
        </a:p>
      </cdr:txBody>
    </cdr:sp>
  </cdr:relSizeAnchor>
  <cdr:relSizeAnchor xmlns:cdr="http://schemas.openxmlformats.org/drawingml/2006/chartDrawing">
    <cdr:from>
      <cdr:x>0.40477</cdr:x>
      <cdr:y>0.12271</cdr:y>
    </cdr:from>
    <cdr:to>
      <cdr:x>0.60405</cdr:x>
      <cdr:y>0.39901</cdr:y>
    </cdr:to>
    <cdr:sp macro="" textlink="">
      <cdr:nvSpPr>
        <cdr:cNvPr id="4" name="TextBox 3">
          <a:extLst xmlns:a="http://schemas.openxmlformats.org/drawingml/2006/main">
            <a:ext uri="{FF2B5EF4-FFF2-40B4-BE49-F238E27FC236}">
              <a16:creationId xmlns:a16="http://schemas.microsoft.com/office/drawing/2014/main" id="{A38AF858-40CD-7A29-021A-4B832147FADC}"/>
            </a:ext>
          </a:extLst>
        </cdr:cNvPr>
        <cdr:cNvSpPr txBox="1"/>
      </cdr:nvSpPr>
      <cdr:spPr>
        <a:xfrm xmlns:a="http://schemas.openxmlformats.org/drawingml/2006/main">
          <a:off x="4569445" y="737261"/>
          <a:ext cx="2249714" cy="16600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0.41687</cdr:x>
      <cdr:y>0.01057</cdr:y>
    </cdr:from>
    <cdr:to>
      <cdr:x>0.81736</cdr:x>
      <cdr:y>0.28232</cdr:y>
    </cdr:to>
    <cdr:sp macro="" textlink="">
      <cdr:nvSpPr>
        <cdr:cNvPr id="5" name="TextBox 4">
          <a:extLst xmlns:a="http://schemas.openxmlformats.org/drawingml/2006/main">
            <a:ext uri="{FF2B5EF4-FFF2-40B4-BE49-F238E27FC236}">
              <a16:creationId xmlns:a16="http://schemas.microsoft.com/office/drawing/2014/main" id="{DBF6BF54-957D-9A13-3072-67E9DF20E1F2}"/>
            </a:ext>
          </a:extLst>
        </cdr:cNvPr>
        <cdr:cNvSpPr txBox="1"/>
      </cdr:nvSpPr>
      <cdr:spPr>
        <a:xfrm xmlns:a="http://schemas.openxmlformats.org/drawingml/2006/main">
          <a:off x="4480977" y="63834"/>
          <a:ext cx="4304947" cy="1641141"/>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de-DE" sz="1600" b="0">
              <a:effectLst/>
              <a:latin typeface="Times New Roman" panose="02020603050405020304" pitchFamily="18" charset="0"/>
              <a:ea typeface="+mn-ea"/>
              <a:cs typeface="Times New Roman" panose="02020603050405020304" pitchFamily="18" charset="0"/>
            </a:rPr>
            <a:t>Financial commitments include loans and grants.</a:t>
          </a:r>
          <a:r>
            <a:rPr lang="de-DE" sz="1600" b="0" baseline="0">
              <a:effectLst/>
              <a:latin typeface="Times New Roman" panose="02020603050405020304" pitchFamily="18" charset="0"/>
              <a:ea typeface="+mn-ea"/>
              <a:cs typeface="Times New Roman" panose="02020603050405020304" pitchFamily="18" charset="0"/>
            </a:rPr>
            <a:t> </a:t>
          </a:r>
          <a:r>
            <a:rPr lang="de-DE" sz="1600" b="0">
              <a:effectLst/>
              <a:latin typeface="Times New Roman" panose="02020603050405020304" pitchFamily="18" charset="0"/>
              <a:ea typeface="+mn-ea"/>
              <a:cs typeface="Times New Roman" panose="02020603050405020304" pitchFamily="18" charset="0"/>
            </a:rPr>
            <a:t>Information on disbursement are disclosed by the Ukrainian Ministry of Finance. Does not include</a:t>
          </a:r>
          <a:br>
            <a:rPr lang="de-DE" sz="1600" b="0">
              <a:effectLst/>
              <a:latin typeface="Times New Roman" panose="02020603050405020304" pitchFamily="18" charset="0"/>
              <a:ea typeface="+mn-ea"/>
              <a:cs typeface="Times New Roman" panose="02020603050405020304" pitchFamily="18" charset="0"/>
            </a:rPr>
          </a:br>
          <a:r>
            <a:rPr lang="de-DE" sz="1600" b="0">
              <a:effectLst/>
              <a:latin typeface="Times New Roman" panose="02020603050405020304" pitchFamily="18" charset="0"/>
              <a:ea typeface="+mn-ea"/>
              <a:cs typeface="Times New Roman" panose="02020603050405020304" pitchFamily="18" charset="0"/>
            </a:rPr>
            <a:t>financial aid by international organisation, private donations, or aid for refugees. For information on data quality and transparency please see our data transparency index.</a:t>
          </a:r>
          <a:endParaRPr lang="en-GB" sz="1600">
            <a:effectLst/>
            <a:latin typeface="Times New Roman" panose="02020603050405020304" pitchFamily="18" charset="0"/>
            <a:cs typeface="Times New Roman" panose="02020603050405020304" pitchFamily="18" charset="0"/>
          </a:endParaRPr>
        </a:p>
        <a:p xmlns:a="http://schemas.openxmlformats.org/drawingml/2006/main">
          <a:endParaRPr lang="en-GB" sz="1600">
            <a:latin typeface="Times New Roman" panose="02020603050405020304" pitchFamily="18" charset="0"/>
            <a:cs typeface="Times New Roman" panose="02020603050405020304" pitchFamily="18" charset="0"/>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6</xdr:col>
      <xdr:colOff>118619</xdr:colOff>
      <xdr:row>12</xdr:row>
      <xdr:rowOff>121920</xdr:rowOff>
    </xdr:from>
    <xdr:to>
      <xdr:col>20</xdr:col>
      <xdr:colOff>520494</xdr:colOff>
      <xdr:row>64</xdr:row>
      <xdr:rowOff>68580</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0.77076</cdr:x>
      <cdr:y>0.89112</cdr:y>
    </cdr:from>
    <cdr:to>
      <cdr:x>0.94926</cdr:x>
      <cdr:y>0.92454</cdr:y>
    </cdr:to>
    <cdr:sp macro="" textlink="">
      <cdr:nvSpPr>
        <cdr:cNvPr id="2" name="TextBox 5">
          <a:extLst xmlns:a="http://schemas.openxmlformats.org/drawingml/2006/main">
            <a:ext uri="{FF2B5EF4-FFF2-40B4-BE49-F238E27FC236}">
              <a16:creationId xmlns:a16="http://schemas.microsoft.com/office/drawing/2014/main" id="{82D0A0A8-0BA9-935B-28F8-2191CDC0BEDC}"/>
            </a:ext>
          </a:extLst>
        </cdr:cNvPr>
        <cdr:cNvSpPr txBox="1"/>
      </cdr:nvSpPr>
      <cdr:spPr>
        <a:xfrm xmlns:a="http://schemas.openxmlformats.org/drawingml/2006/main">
          <a:off x="8303162" y="9133000"/>
          <a:ext cx="1922926" cy="342518"/>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2000">
              <a:latin typeface="Times New Roman" panose="02020603050405020304" pitchFamily="18" charset="0"/>
              <a:cs typeface="Times New Roman" panose="02020603050405020304" pitchFamily="18" charset="0"/>
            </a:rPr>
            <a:t>number</a:t>
          </a:r>
          <a:r>
            <a:rPr lang="en-GB" sz="2000" baseline="0">
              <a:latin typeface="Times New Roman" panose="02020603050405020304" pitchFamily="18" charset="0"/>
              <a:cs typeface="Times New Roman" panose="02020603050405020304" pitchFamily="18" charset="0"/>
            </a:rPr>
            <a:t> of items</a:t>
          </a:r>
        </a:p>
      </cdr:txBody>
    </cdr:sp>
  </cdr:relSizeAnchor>
  <cdr:relSizeAnchor xmlns:cdr="http://schemas.openxmlformats.org/drawingml/2006/chartDrawing">
    <cdr:from>
      <cdr:x>0.22216</cdr:x>
      <cdr:y>0.94482</cdr:y>
    </cdr:from>
    <cdr:to>
      <cdr:x>0.96663</cdr:x>
      <cdr:y>0.94482</cdr:y>
    </cdr:to>
    <cdr:cxnSp macro="">
      <cdr:nvCxnSpPr>
        <cdr:cNvPr id="4" name="Straight Connector 3">
          <a:extLst xmlns:a="http://schemas.openxmlformats.org/drawingml/2006/main">
            <a:ext uri="{FF2B5EF4-FFF2-40B4-BE49-F238E27FC236}">
              <a16:creationId xmlns:a16="http://schemas.microsoft.com/office/drawing/2014/main" id="{A3B411B4-92EE-0A0A-D292-9EE19468AC12}"/>
            </a:ext>
          </a:extLst>
        </cdr:cNvPr>
        <cdr:cNvCxnSpPr/>
      </cdr:nvCxnSpPr>
      <cdr:spPr>
        <a:xfrm xmlns:a="http://schemas.openxmlformats.org/drawingml/2006/main">
          <a:off x="2723062" y="8901935"/>
          <a:ext cx="9124957" cy="0"/>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0.51823</cdr:x>
      <cdr:y>0.31797</cdr:y>
    </cdr:from>
    <cdr:to>
      <cdr:x>0.83441</cdr:x>
      <cdr:y>0.38885</cdr:y>
    </cdr:to>
    <cdr:sp macro="" textlink="">
      <cdr:nvSpPr>
        <cdr:cNvPr id="6" name="Textfeld 2"/>
        <cdr:cNvSpPr txBox="1"/>
      </cdr:nvSpPr>
      <cdr:spPr>
        <a:xfrm xmlns:a="http://schemas.openxmlformats.org/drawingml/2006/main">
          <a:off x="5593590" y="3226738"/>
          <a:ext cx="3412741" cy="719285"/>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Lend-Lease commitments by the US to the USSR during WW2</a:t>
          </a:r>
        </a:p>
      </cdr:txBody>
    </cdr:sp>
  </cdr:relSizeAnchor>
  <cdr:relSizeAnchor xmlns:cdr="http://schemas.openxmlformats.org/drawingml/2006/chartDrawing">
    <cdr:from>
      <cdr:x>0.47411</cdr:x>
      <cdr:y>0.49244</cdr:y>
    </cdr:from>
    <cdr:to>
      <cdr:x>0.80357</cdr:x>
      <cdr:y>0.56034</cdr:y>
    </cdr:to>
    <cdr:sp macro="" textlink="">
      <cdr:nvSpPr>
        <cdr:cNvPr id="7" name="Textfeld 2"/>
        <cdr:cNvSpPr txBox="1"/>
      </cdr:nvSpPr>
      <cdr:spPr>
        <a:xfrm xmlns:a="http://schemas.openxmlformats.org/drawingml/2006/main">
          <a:off x="5117340" y="5095784"/>
          <a:ext cx="3556076" cy="702626"/>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Commitments </a:t>
          </a:r>
          <a:r>
            <a:rPr lang="de-DE" sz="1800" baseline="0">
              <a:solidFill>
                <a:schemeClr val="tx1"/>
              </a:solidFill>
              <a:effectLst/>
              <a:latin typeface="Times New Roman" panose="02020603050405020304" pitchFamily="18" charset="0"/>
              <a:ea typeface="+mn-ea"/>
              <a:cs typeface="Times New Roman" panose="02020603050405020304" pitchFamily="18" charset="0"/>
            </a:rPr>
            <a:t>to the Nationalists in Spain (</a:t>
          </a:r>
          <a:r>
            <a:rPr lang="de-DE" sz="1800">
              <a:latin typeface="Times New Roman" panose="02020603050405020304" pitchFamily="18" charset="0"/>
              <a:cs typeface="Times New Roman" panose="02020603050405020304" pitchFamily="18" charset="0"/>
            </a:rPr>
            <a:t>by Fascist</a:t>
          </a:r>
          <a:r>
            <a:rPr lang="de-DE" sz="1800" baseline="0">
              <a:latin typeface="Times New Roman" panose="02020603050405020304" pitchFamily="18" charset="0"/>
              <a:cs typeface="Times New Roman" panose="02020603050405020304" pitchFamily="18" charset="0"/>
            </a:rPr>
            <a:t> Italy / Germany)</a:t>
          </a:r>
          <a:endParaRPr lang="de-DE" sz="18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0.42981</cdr:x>
      <cdr:y>0.65113</cdr:y>
    </cdr:from>
    <cdr:to>
      <cdr:x>0.74881</cdr:x>
      <cdr:y>0.7235</cdr:y>
    </cdr:to>
    <cdr:sp macro="" textlink="">
      <cdr:nvSpPr>
        <cdr:cNvPr id="8" name="Textfeld 2"/>
        <cdr:cNvSpPr txBox="1"/>
      </cdr:nvSpPr>
      <cdr:spPr>
        <a:xfrm xmlns:a="http://schemas.openxmlformats.org/drawingml/2006/main">
          <a:off x="4639230" y="6607586"/>
          <a:ext cx="3443176" cy="734407"/>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Commitments to the Republicans</a:t>
          </a:r>
          <a:r>
            <a:rPr lang="de-DE" sz="1800" baseline="0">
              <a:latin typeface="Times New Roman" panose="02020603050405020304" pitchFamily="18" charset="0"/>
              <a:cs typeface="Times New Roman" panose="02020603050405020304" pitchFamily="18" charset="0"/>
            </a:rPr>
            <a:t> in Spain (mostly from USSR)</a:t>
          </a:r>
          <a:endParaRPr lang="de-DE" sz="18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0.38346</cdr:x>
      <cdr:y>0.8342</cdr:y>
    </cdr:from>
    <cdr:to>
      <cdr:x>0.73414</cdr:x>
      <cdr:y>0.86911</cdr:y>
    </cdr:to>
    <cdr:sp macro="" textlink="">
      <cdr:nvSpPr>
        <cdr:cNvPr id="9" name="Textfeld 2"/>
        <cdr:cNvSpPr txBox="1"/>
      </cdr:nvSpPr>
      <cdr:spPr>
        <a:xfrm xmlns:a="http://schemas.openxmlformats.org/drawingml/2006/main">
          <a:off x="4138980" y="8632234"/>
          <a:ext cx="3785117" cy="361247"/>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Total commitments to Ukraine in 2022</a:t>
          </a:r>
        </a:p>
      </cdr:txBody>
    </cdr:sp>
  </cdr:relSizeAnchor>
  <cdr:relSizeAnchor xmlns:cdr="http://schemas.openxmlformats.org/drawingml/2006/chartDrawing">
    <cdr:from>
      <cdr:x>0.56772</cdr:x>
      <cdr:y>0.13172</cdr:y>
    </cdr:from>
    <cdr:to>
      <cdr:x>0.8653</cdr:x>
      <cdr:y>0.2026</cdr:y>
    </cdr:to>
    <cdr:sp macro="" textlink="">
      <cdr:nvSpPr>
        <cdr:cNvPr id="10" name="Textfeld 2">
          <a:extLst xmlns:a="http://schemas.openxmlformats.org/drawingml/2006/main">
            <a:ext uri="{FF2B5EF4-FFF2-40B4-BE49-F238E27FC236}">
              <a16:creationId xmlns:a16="http://schemas.microsoft.com/office/drawing/2014/main" id="{9DC59C61-754C-41A7-9CC8-AE588CDDDE23}"/>
            </a:ext>
          </a:extLst>
        </cdr:cNvPr>
        <cdr:cNvSpPr txBox="1"/>
      </cdr:nvSpPr>
      <cdr:spPr>
        <a:xfrm xmlns:a="http://schemas.openxmlformats.org/drawingml/2006/main">
          <a:off x="6127750" y="1336675"/>
          <a:ext cx="3211956" cy="719285"/>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Lend-Lease commitments by th</a:t>
          </a:r>
          <a:r>
            <a:rPr lang="de-DE" sz="1800" baseline="0">
              <a:latin typeface="Times New Roman" panose="02020603050405020304" pitchFamily="18" charset="0"/>
              <a:cs typeface="Times New Roman" panose="02020603050405020304" pitchFamily="18" charset="0"/>
            </a:rPr>
            <a:t>e US to the UK during WW2</a:t>
          </a:r>
          <a:endParaRPr lang="de-DE" sz="1800">
            <a:latin typeface="Times New Roman" panose="02020603050405020304" pitchFamily="18" charset="0"/>
            <a:cs typeface="Times New Roman" panose="02020603050405020304" pitchFamily="18" charset="0"/>
          </a:endParaRPr>
        </a:p>
      </cdr:txBody>
    </cdr:sp>
  </cdr:relSizeAnchor>
</c:userShapes>
</file>

<file path=xl/drawings/drawing36.xml><?xml version="1.0" encoding="utf-8"?>
<xdr:wsDr xmlns:xdr="http://schemas.openxmlformats.org/drawingml/2006/spreadsheetDrawing" xmlns:a="http://schemas.openxmlformats.org/drawingml/2006/main">
  <xdr:twoCellAnchor>
    <xdr:from>
      <xdr:col>5</xdr:col>
      <xdr:colOff>14438</xdr:colOff>
      <xdr:row>23</xdr:row>
      <xdr:rowOff>112395</xdr:rowOff>
    </xdr:from>
    <xdr:to>
      <xdr:col>12</xdr:col>
      <xdr:colOff>47625</xdr:colOff>
      <xdr:row>43</xdr:row>
      <xdr:rowOff>71895</xdr:rowOff>
    </xdr:to>
    <xdr:graphicFrame macro="">
      <xdr:nvGraphicFramePr>
        <xdr:cNvPr id="2" name="Chart 1">
          <a:extLst>
            <a:ext uri="{FF2B5EF4-FFF2-40B4-BE49-F238E27FC236}">
              <a16:creationId xmlns:a16="http://schemas.microsoft.com/office/drawing/2014/main" id="{84CCDE9D-F09D-493B-A216-CC981CB076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1242060</xdr:colOff>
      <xdr:row>24</xdr:row>
      <xdr:rowOff>78566</xdr:rowOff>
    </xdr:from>
    <xdr:to>
      <xdr:col>4</xdr:col>
      <xdr:colOff>1400743</xdr:colOff>
      <xdr:row>44</xdr:row>
      <xdr:rowOff>30273</xdr:rowOff>
    </xdr:to>
    <xdr:graphicFrame macro="">
      <xdr:nvGraphicFramePr>
        <xdr:cNvPr id="3" name="Chart 1">
          <a:extLst>
            <a:ext uri="{FF2B5EF4-FFF2-40B4-BE49-F238E27FC236}">
              <a16:creationId xmlns:a16="http://schemas.microsoft.com/office/drawing/2014/main" id="{0666C170-4640-404A-B304-83969D68E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0.36017</cdr:x>
      <cdr:y>0.89771</cdr:y>
    </cdr:from>
    <cdr:to>
      <cdr:x>0.97913</cdr:x>
      <cdr:y>0.8982</cdr:y>
    </cdr:to>
    <cdr:cxnSp macro="">
      <cdr:nvCxnSpPr>
        <cdr:cNvPr id="4" name="Straight Connector 2">
          <a:extLst xmlns:a="http://schemas.openxmlformats.org/drawingml/2006/main">
            <a:ext uri="{FF2B5EF4-FFF2-40B4-BE49-F238E27FC236}">
              <a16:creationId xmlns:a16="http://schemas.microsoft.com/office/drawing/2014/main" id="{DEF05A23-B79A-4F84-A0CA-8CF982D74DA7}"/>
            </a:ext>
          </a:extLst>
        </cdr:cNvPr>
        <cdr:cNvCxnSpPr/>
      </cdr:nvCxnSpPr>
      <cdr:spPr>
        <a:xfrm xmlns:a="http://schemas.openxmlformats.org/drawingml/2006/main">
          <a:off x="3247069" y="3554950"/>
          <a:ext cx="5580000" cy="1941"/>
        </a:xfrm>
        <a:prstGeom xmlns:a="http://schemas.openxmlformats.org/drawingml/2006/main" prst="line">
          <a:avLst/>
        </a:prstGeom>
        <a:ln xmlns:a="http://schemas.openxmlformats.org/drawingml/2006/main" w="952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8.xml><?xml version="1.0" encoding="utf-8"?>
<c:userShapes xmlns:c="http://schemas.openxmlformats.org/drawingml/2006/chart">
  <cdr:relSizeAnchor xmlns:cdr="http://schemas.openxmlformats.org/drawingml/2006/chartDrawing">
    <cdr:from>
      <cdr:x>0.3475</cdr:x>
      <cdr:y>0.88473</cdr:y>
    </cdr:from>
    <cdr:to>
      <cdr:x>0.98468</cdr:x>
      <cdr:y>0.8856</cdr:y>
    </cdr:to>
    <cdr:cxnSp macro="">
      <cdr:nvCxnSpPr>
        <cdr:cNvPr id="3" name="Straight Connector 2">
          <a:extLst xmlns:a="http://schemas.openxmlformats.org/drawingml/2006/main">
            <a:ext uri="{FF2B5EF4-FFF2-40B4-BE49-F238E27FC236}">
              <a16:creationId xmlns:a16="http://schemas.microsoft.com/office/drawing/2014/main" id="{057BB0A1-67E5-9DEF-FBA8-6141E03221E9}"/>
            </a:ext>
          </a:extLst>
        </cdr:cNvPr>
        <cdr:cNvCxnSpPr/>
      </cdr:nvCxnSpPr>
      <cdr:spPr>
        <a:xfrm xmlns:a="http://schemas.openxmlformats.org/drawingml/2006/main" flipV="1">
          <a:off x="3259173" y="3496636"/>
          <a:ext cx="5976000" cy="3438"/>
        </a:xfrm>
        <a:prstGeom xmlns:a="http://schemas.openxmlformats.org/drawingml/2006/main" prst="line">
          <a:avLst/>
        </a:prstGeom>
        <a:ln xmlns:a="http://schemas.openxmlformats.org/drawingml/2006/main" w="952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9.xml><?xml version="1.0" encoding="utf-8"?>
<xdr:wsDr xmlns:xdr="http://schemas.openxmlformats.org/drawingml/2006/spreadsheetDrawing" xmlns:a="http://schemas.openxmlformats.org/drawingml/2006/main">
  <xdr:twoCellAnchor>
    <xdr:from>
      <xdr:col>5</xdr:col>
      <xdr:colOff>918792</xdr:colOff>
      <xdr:row>23</xdr:row>
      <xdr:rowOff>166891</xdr:rowOff>
    </xdr:from>
    <xdr:to>
      <xdr:col>12</xdr:col>
      <xdr:colOff>495300</xdr:colOff>
      <xdr:row>41</xdr:row>
      <xdr:rowOff>166441</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481965</xdr:colOff>
      <xdr:row>23</xdr:row>
      <xdr:rowOff>168797</xdr:rowOff>
    </xdr:from>
    <xdr:to>
      <xdr:col>4</xdr:col>
      <xdr:colOff>935354</xdr:colOff>
      <xdr:row>41</xdr:row>
      <xdr:rowOff>168347</xdr:rowOff>
    </xdr:to>
    <xdr:graphicFrame macro="">
      <xdr:nvGraphicFramePr>
        <xdr:cNvPr id="3" name="Chart 1">
          <a:extLst>
            <a:ext uri="{FF2B5EF4-FFF2-40B4-BE49-F238E27FC236}">
              <a16:creationId xmlns:a16="http://schemas.microsoft.com/office/drawing/2014/main" id="{42284BBC-1A02-434C-8092-438B8CC4B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53974</xdr:colOff>
      <xdr:row>11</xdr:row>
      <xdr:rowOff>15969</xdr:rowOff>
    </xdr:from>
    <xdr:to>
      <xdr:col>20</xdr:col>
      <xdr:colOff>324519</xdr:colOff>
      <xdr:row>33</xdr:row>
      <xdr:rowOff>123969</xdr:rowOff>
    </xdr:to>
    <xdr:graphicFrame macro="">
      <xdr:nvGraphicFramePr>
        <xdr:cNvPr id="2" name="Diagram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645318</xdr:colOff>
      <xdr:row>39</xdr:row>
      <xdr:rowOff>99378</xdr:rowOff>
    </xdr:from>
    <xdr:to>
      <xdr:col>47</xdr:col>
      <xdr:colOff>40315</xdr:colOff>
      <xdr:row>41</xdr:row>
      <xdr:rowOff>190430</xdr:rowOff>
    </xdr:to>
    <xdr:sp macro="" textlink="">
      <xdr:nvSpPr>
        <xdr:cNvPr id="3" name="Textfeld 48">
          <a:extLst>
            <a:ext uri="{FF2B5EF4-FFF2-40B4-BE49-F238E27FC236}">
              <a16:creationId xmlns:a16="http://schemas.microsoft.com/office/drawing/2014/main" id="{00000000-0008-0000-0700-000003000000}"/>
            </a:ext>
          </a:extLst>
        </xdr:cNvPr>
        <xdr:cNvSpPr txBox="1"/>
      </xdr:nvSpPr>
      <xdr:spPr>
        <a:xfrm>
          <a:off x="55795068" y="7052628"/>
          <a:ext cx="5529097" cy="491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Source: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0.38396</cdr:x>
      <cdr:y>0.89706</cdr:y>
    </cdr:from>
    <cdr:to>
      <cdr:x>0.97729</cdr:x>
      <cdr:y>0.89706</cdr:y>
    </cdr:to>
    <cdr:cxnSp macro="">
      <cdr:nvCxnSpPr>
        <cdr:cNvPr id="4" name="Straight Connector 2">
          <a:extLst xmlns:a="http://schemas.openxmlformats.org/drawingml/2006/main">
            <a:ext uri="{FF2B5EF4-FFF2-40B4-BE49-F238E27FC236}">
              <a16:creationId xmlns:a16="http://schemas.microsoft.com/office/drawing/2014/main" id="{57F2C44B-44D7-415F-B735-C5686CC1B9B7}"/>
            </a:ext>
          </a:extLst>
        </cdr:cNvPr>
        <cdr:cNvCxnSpPr/>
      </cdr:nvCxnSpPr>
      <cdr:spPr>
        <a:xfrm xmlns:a="http://schemas.openxmlformats.org/drawingml/2006/main">
          <a:off x="4146735" y="3229416"/>
          <a:ext cx="6408000" cy="0"/>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1.xml><?xml version="1.0" encoding="utf-8"?>
<c:userShapes xmlns:c="http://schemas.openxmlformats.org/drawingml/2006/chart">
  <cdr:relSizeAnchor xmlns:cdr="http://schemas.openxmlformats.org/drawingml/2006/chartDrawing">
    <cdr:from>
      <cdr:x>0.44766</cdr:x>
      <cdr:y>0.8999</cdr:y>
    </cdr:from>
    <cdr:to>
      <cdr:x>0.98298</cdr:x>
      <cdr:y>0.8999</cdr:y>
    </cdr:to>
    <cdr:cxnSp macro="">
      <cdr:nvCxnSpPr>
        <cdr:cNvPr id="3" name="Straight Connector 2">
          <a:extLst xmlns:a="http://schemas.openxmlformats.org/drawingml/2006/main">
            <a:ext uri="{FF2B5EF4-FFF2-40B4-BE49-F238E27FC236}">
              <a16:creationId xmlns:a16="http://schemas.microsoft.com/office/drawing/2014/main" id="{CB6AB6A0-E5C5-ED50-7D16-2E875E3FFC04}"/>
            </a:ext>
          </a:extLst>
        </cdr:cNvPr>
        <cdr:cNvCxnSpPr/>
      </cdr:nvCxnSpPr>
      <cdr:spPr>
        <a:xfrm xmlns:a="http://schemas.openxmlformats.org/drawingml/2006/main">
          <a:off x="4008120" y="3208768"/>
          <a:ext cx="4792980" cy="0"/>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2.xml><?xml version="1.0" encoding="utf-8"?>
<xdr:wsDr xmlns:xdr="http://schemas.openxmlformats.org/drawingml/2006/spreadsheetDrawing" xmlns:a="http://schemas.openxmlformats.org/drawingml/2006/main">
  <xdr:twoCellAnchor>
    <xdr:from>
      <xdr:col>5</xdr:col>
      <xdr:colOff>1142999</xdr:colOff>
      <xdr:row>24</xdr:row>
      <xdr:rowOff>28574</xdr:rowOff>
    </xdr:from>
    <xdr:to>
      <xdr:col>12</xdr:col>
      <xdr:colOff>161925</xdr:colOff>
      <xdr:row>49</xdr:row>
      <xdr:rowOff>28575</xdr:rowOff>
    </xdr:to>
    <xdr:graphicFrame macro="">
      <xdr:nvGraphicFramePr>
        <xdr:cNvPr id="2" name="Diagram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276223</xdr:colOff>
      <xdr:row>24</xdr:row>
      <xdr:rowOff>84902</xdr:rowOff>
    </xdr:from>
    <xdr:to>
      <xdr:col>4</xdr:col>
      <xdr:colOff>1295400</xdr:colOff>
      <xdr:row>48</xdr:row>
      <xdr:rowOff>2402</xdr:rowOff>
    </xdr:to>
    <xdr:graphicFrame macro="">
      <xdr:nvGraphicFramePr>
        <xdr:cNvPr id="3" name="Diagramm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0.58098</cdr:x>
      <cdr:y>0.74814</cdr:y>
    </cdr:from>
    <cdr:to>
      <cdr:x>0.96191</cdr:x>
      <cdr:y>0.89297</cdr:y>
    </cdr:to>
    <cdr:sp macro="" textlink="">
      <cdr:nvSpPr>
        <cdr:cNvPr id="4" name="Textfeld 1">
          <a:extLst xmlns:a="http://schemas.openxmlformats.org/drawingml/2006/main">
            <a:ext uri="{FF2B5EF4-FFF2-40B4-BE49-F238E27FC236}">
              <a16:creationId xmlns:a16="http://schemas.microsoft.com/office/drawing/2014/main" id="{B58884D1-0C77-4B7E-107C-8B975B6D02A0}"/>
            </a:ext>
          </a:extLst>
        </cdr:cNvPr>
        <cdr:cNvSpPr txBox="1"/>
      </cdr:nvSpPr>
      <cdr:spPr>
        <a:xfrm xmlns:a="http://schemas.openxmlformats.org/drawingml/2006/main">
          <a:off x="4701539" y="3206311"/>
          <a:ext cx="3082602" cy="62069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de-DE" sz="1800" b="0" i="0" baseline="0">
              <a:effectLst/>
              <a:latin typeface="Times New Roman" panose="02020603050405020304" pitchFamily="18" charset="0"/>
              <a:ea typeface="+mn-ea"/>
              <a:cs typeface="Times New Roman" panose="02020603050405020304" pitchFamily="18" charset="0"/>
            </a:rPr>
            <a:t>total support/costs </a:t>
          </a:r>
          <a:r>
            <a:rPr lang="en-GB" sz="1800" b="0" i="0" baseline="0">
              <a:effectLst/>
              <a:latin typeface="Times New Roman" panose="02020603050405020304" pitchFamily="18" charset="0"/>
              <a:ea typeface="+mn-ea"/>
              <a:cs typeface="Times New Roman" panose="02020603050405020304" pitchFamily="18" charset="0"/>
            </a:rPr>
            <a:t>in billion </a:t>
          </a:r>
          <a:br>
            <a:rPr lang="en-GB" sz="1800" b="0" i="0" baseline="0">
              <a:effectLst/>
              <a:latin typeface="Times New Roman" panose="02020603050405020304" pitchFamily="18" charset="0"/>
              <a:ea typeface="+mn-ea"/>
              <a:cs typeface="Times New Roman" panose="02020603050405020304" pitchFamily="18" charset="0"/>
            </a:rPr>
          </a:br>
          <a:r>
            <a:rPr lang="en-GB" sz="1800" b="0" i="0" baseline="0">
              <a:effectLst/>
              <a:latin typeface="Times New Roman" panose="02020603050405020304" pitchFamily="18" charset="0"/>
              <a:ea typeface="+mn-ea"/>
              <a:cs typeface="Times New Roman" panose="02020603050405020304" pitchFamily="18" charset="0"/>
            </a:rPr>
            <a:t>2022 Euros (inflation adjusted)</a:t>
          </a:r>
          <a:endParaRPr lang="de-DE" sz="1800">
            <a:effectLst/>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0.35215</cdr:x>
      <cdr:y>0.12901</cdr:y>
    </cdr:from>
    <cdr:to>
      <cdr:x>0.41874</cdr:x>
      <cdr:y>0.15863</cdr:y>
    </cdr:to>
    <cdr:sp macro="" textlink="">
      <cdr:nvSpPr>
        <cdr:cNvPr id="2" name="TextBox 1">
          <a:extLst xmlns:a="http://schemas.openxmlformats.org/drawingml/2006/main">
            <a:ext uri="{FF2B5EF4-FFF2-40B4-BE49-F238E27FC236}">
              <a16:creationId xmlns:a16="http://schemas.microsoft.com/office/drawing/2014/main" id="{4186E62D-5A27-4846-E47C-8249887A2A7E}"/>
            </a:ext>
          </a:extLst>
        </cdr:cNvPr>
        <cdr:cNvSpPr txBox="1"/>
      </cdr:nvSpPr>
      <cdr:spPr>
        <a:xfrm xmlns:a="http://schemas.openxmlformats.org/drawingml/2006/main">
          <a:off x="4029983" y="1027339"/>
          <a:ext cx="762000" cy="235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44.xml><?xml version="1.0" encoding="utf-8"?>
<c:userShapes xmlns:c="http://schemas.openxmlformats.org/drawingml/2006/chart">
  <cdr:relSizeAnchor xmlns:cdr="http://schemas.openxmlformats.org/drawingml/2006/chartDrawing">
    <cdr:from>
      <cdr:x>0.45036</cdr:x>
      <cdr:y>0.81239</cdr:y>
    </cdr:from>
    <cdr:to>
      <cdr:x>0.96318</cdr:x>
      <cdr:y>0.88144</cdr:y>
    </cdr:to>
    <cdr:sp macro="" textlink="">
      <cdr:nvSpPr>
        <cdr:cNvPr id="4" name="Textfeld 1">
          <a:extLst xmlns:a="http://schemas.openxmlformats.org/drawingml/2006/main">
            <a:ext uri="{FF2B5EF4-FFF2-40B4-BE49-F238E27FC236}">
              <a16:creationId xmlns:a16="http://schemas.microsoft.com/office/drawing/2014/main" id="{B58884D1-0C77-4B7E-107C-8B975B6D02A0}"/>
            </a:ext>
          </a:extLst>
        </cdr:cNvPr>
        <cdr:cNvSpPr txBox="1"/>
      </cdr:nvSpPr>
      <cdr:spPr>
        <a:xfrm xmlns:a="http://schemas.openxmlformats.org/drawingml/2006/main">
          <a:off x="3543302" y="3801984"/>
          <a:ext cx="4034643" cy="32316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total support/costs as percent of GDP</a:t>
          </a:r>
        </a:p>
        <a:p xmlns:a="http://schemas.openxmlformats.org/drawingml/2006/main">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0.35215</cdr:x>
      <cdr:y>0.12901</cdr:y>
    </cdr:from>
    <cdr:to>
      <cdr:x>0.41874</cdr:x>
      <cdr:y>0.15863</cdr:y>
    </cdr:to>
    <cdr:sp macro="" textlink="">
      <cdr:nvSpPr>
        <cdr:cNvPr id="2" name="TextBox 1">
          <a:extLst xmlns:a="http://schemas.openxmlformats.org/drawingml/2006/main">
            <a:ext uri="{FF2B5EF4-FFF2-40B4-BE49-F238E27FC236}">
              <a16:creationId xmlns:a16="http://schemas.microsoft.com/office/drawing/2014/main" id="{4186E62D-5A27-4846-E47C-8249887A2A7E}"/>
            </a:ext>
          </a:extLst>
        </cdr:cNvPr>
        <cdr:cNvSpPr txBox="1"/>
      </cdr:nvSpPr>
      <cdr:spPr>
        <a:xfrm xmlns:a="http://schemas.openxmlformats.org/drawingml/2006/main">
          <a:off x="4029983" y="1027339"/>
          <a:ext cx="762000" cy="235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45.xml><?xml version="1.0" encoding="utf-8"?>
<xdr:wsDr xmlns:xdr="http://schemas.openxmlformats.org/drawingml/2006/spreadsheetDrawing" xmlns:a="http://schemas.openxmlformats.org/drawingml/2006/main">
  <xdr:twoCellAnchor>
    <xdr:from>
      <xdr:col>4</xdr:col>
      <xdr:colOff>0</xdr:colOff>
      <xdr:row>11</xdr:row>
      <xdr:rowOff>95250</xdr:rowOff>
    </xdr:from>
    <xdr:to>
      <xdr:col>19</xdr:col>
      <xdr:colOff>7619</xdr:colOff>
      <xdr:row>37</xdr:row>
      <xdr:rowOff>96235</xdr:rowOff>
    </xdr:to>
    <xdr:graphicFrame macro="">
      <xdr:nvGraphicFramePr>
        <xdr:cNvPr id="2" name="Diagramm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0.85042</cdr:x>
      <cdr:y>0.81042</cdr:y>
    </cdr:from>
    <cdr:to>
      <cdr:x>0.96607</cdr:x>
      <cdr:y>0.88222</cdr:y>
    </cdr:to>
    <cdr:sp macro="" textlink="">
      <cdr:nvSpPr>
        <cdr:cNvPr id="2" name="Textfeld 1"/>
        <cdr:cNvSpPr txBox="1"/>
      </cdr:nvSpPr>
      <cdr:spPr>
        <a:xfrm xmlns:a="http://schemas.openxmlformats.org/drawingml/2006/main">
          <a:off x="11411698" y="4215489"/>
          <a:ext cx="1551827" cy="37347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 Euros</a:t>
          </a:r>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647699</xdr:colOff>
      <xdr:row>24</xdr:row>
      <xdr:rowOff>53975</xdr:rowOff>
    </xdr:from>
    <xdr:to>
      <xdr:col>5</xdr:col>
      <xdr:colOff>299999</xdr:colOff>
      <xdr:row>53</xdr:row>
      <xdr:rowOff>13250</xdr:rowOff>
    </xdr:to>
    <xdr:graphicFrame macro="">
      <xdr:nvGraphicFramePr>
        <xdr:cNvPr id="2" name="Diagramm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57150</xdr:colOff>
      <xdr:row>23</xdr:row>
      <xdr:rowOff>152400</xdr:rowOff>
    </xdr:from>
    <xdr:to>
      <xdr:col>10</xdr:col>
      <xdr:colOff>776250</xdr:colOff>
      <xdr:row>52</xdr:row>
      <xdr:rowOff>111675</xdr:rowOff>
    </xdr:to>
    <xdr:graphicFrame macro="">
      <xdr:nvGraphicFramePr>
        <xdr:cNvPr id="3" name="Diagramm 2">
          <a:extLst>
            <a:ext uri="{FF2B5EF4-FFF2-40B4-BE49-F238E27FC236}">
              <a16:creationId xmlns:a16="http://schemas.microsoft.com/office/drawing/2014/main" id="{9CE9D96D-3716-4F62-8F6C-21EF7A17B5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0.77668</cdr:x>
      <cdr:y>0.84846</cdr:y>
    </cdr:from>
    <cdr:to>
      <cdr:x>0.9513</cdr:x>
      <cdr:y>0.91116</cdr:y>
    </cdr:to>
    <cdr:sp macro="" textlink="">
      <cdr:nvSpPr>
        <cdr:cNvPr id="2" name="Textfeld 1"/>
        <cdr:cNvSpPr txBox="1"/>
      </cdr:nvSpPr>
      <cdr:spPr>
        <a:xfrm xmlns:a="http://schemas.openxmlformats.org/drawingml/2006/main">
          <a:off x="6151324" y="4887155"/>
          <a:ext cx="1382952" cy="36115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2000" baseline="0">
              <a:latin typeface="Times New Roman" panose="02020603050405020304" pitchFamily="18" charset="0"/>
              <a:cs typeface="Times New Roman" panose="02020603050405020304" pitchFamily="18" charset="0"/>
            </a:rPr>
            <a:t> Euros</a:t>
          </a:r>
          <a:endParaRPr lang="de-DE" sz="2000">
            <a:latin typeface="Times New Roman" panose="02020603050405020304" pitchFamily="18" charset="0"/>
            <a:cs typeface="Times New Roman" panose="02020603050405020304" pitchFamily="18"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0.75266</cdr:x>
      <cdr:y>0.85178</cdr:y>
    </cdr:from>
    <cdr:to>
      <cdr:x>0.97655</cdr:x>
      <cdr:y>0.91669</cdr:y>
    </cdr:to>
    <cdr:sp macro="" textlink="">
      <cdr:nvSpPr>
        <cdr:cNvPr id="2" name="Textfeld 1"/>
        <cdr:cNvSpPr txBox="1"/>
      </cdr:nvSpPr>
      <cdr:spPr>
        <a:xfrm xmlns:a="http://schemas.openxmlformats.org/drawingml/2006/main">
          <a:off x="5961080" y="4906274"/>
          <a:ext cx="1773220" cy="373881"/>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Percent of GDP</a:t>
          </a:r>
        </a:p>
      </cdr:txBody>
    </cdr:sp>
  </cdr:relSizeAnchor>
</c:userShapes>
</file>

<file path=xl/drawings/drawing5.xml><?xml version="1.0" encoding="utf-8"?>
<c:userShapes xmlns:c="http://schemas.openxmlformats.org/drawingml/2006/chart">
  <cdr:relSizeAnchor xmlns:cdr="http://schemas.openxmlformats.org/drawingml/2006/chartDrawing">
    <cdr:from>
      <cdr:x>0.79727</cdr:x>
      <cdr:y>0.82102</cdr:y>
    </cdr:from>
    <cdr:to>
      <cdr:x>0.93428</cdr:x>
      <cdr:y>0.89282</cdr:y>
    </cdr:to>
    <cdr:sp macro="" textlink="">
      <cdr:nvSpPr>
        <cdr:cNvPr id="2" name="Textfeld 1"/>
        <cdr:cNvSpPr txBox="1"/>
      </cdr:nvSpPr>
      <cdr:spPr>
        <a:xfrm xmlns:a="http://schemas.openxmlformats.org/drawingml/2006/main">
          <a:off x="8558993" y="3758976"/>
          <a:ext cx="1470833" cy="32872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 Euros</a:t>
          </a:r>
        </a:p>
      </cdr:txBody>
    </cdr:sp>
  </cdr:relSizeAnchor>
</c:userShapes>
</file>

<file path=xl/drawings/drawing50.xml><?xml version="1.0" encoding="utf-8"?>
<xdr:wsDr xmlns:xdr="http://schemas.openxmlformats.org/drawingml/2006/spreadsheetDrawing" xmlns:a="http://schemas.openxmlformats.org/drawingml/2006/main">
  <xdr:twoCellAnchor>
    <xdr:from>
      <xdr:col>6</xdr:col>
      <xdr:colOff>104774</xdr:colOff>
      <xdr:row>11</xdr:row>
      <xdr:rowOff>19050</xdr:rowOff>
    </xdr:from>
    <xdr:to>
      <xdr:col>16</xdr:col>
      <xdr:colOff>716280</xdr:colOff>
      <xdr:row>37</xdr:row>
      <xdr:rowOff>123825</xdr:rowOff>
    </xdr:to>
    <xdr:graphicFrame macro="">
      <xdr:nvGraphicFramePr>
        <xdr:cNvPr id="3" name="Chart 1">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0.40302</cdr:x>
      <cdr:y>0.89268</cdr:y>
    </cdr:from>
    <cdr:to>
      <cdr:x>0.97473</cdr:x>
      <cdr:y>0.89268</cdr:y>
    </cdr:to>
    <cdr:cxnSp macro="">
      <cdr:nvCxnSpPr>
        <cdr:cNvPr id="3" name="Straight Connector 2">
          <a:extLst xmlns:a="http://schemas.openxmlformats.org/drawingml/2006/main">
            <a:ext uri="{FF2B5EF4-FFF2-40B4-BE49-F238E27FC236}">
              <a16:creationId xmlns:a16="http://schemas.microsoft.com/office/drawing/2014/main" id="{CB6AB6A0-E5C5-ED50-7D16-2E875E3FFC04}"/>
            </a:ext>
          </a:extLst>
        </cdr:cNvPr>
        <cdr:cNvCxnSpPr/>
      </cdr:nvCxnSpPr>
      <cdr:spPr>
        <a:xfrm xmlns:a="http://schemas.openxmlformats.org/drawingml/2006/main">
          <a:off x="3705217" y="4736050"/>
          <a:ext cx="5256000" cy="0"/>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xdr:wsDr xmlns:xdr="http://schemas.openxmlformats.org/drawingml/2006/spreadsheetDrawing" xmlns:a="http://schemas.openxmlformats.org/drawingml/2006/main">
  <xdr:twoCellAnchor>
    <xdr:from>
      <xdr:col>20</xdr:col>
      <xdr:colOff>153334</xdr:colOff>
      <xdr:row>39</xdr:row>
      <xdr:rowOff>99695</xdr:rowOff>
    </xdr:from>
    <xdr:to>
      <xdr:col>26</xdr:col>
      <xdr:colOff>415947</xdr:colOff>
      <xdr:row>42</xdr:row>
      <xdr:rowOff>247</xdr:rowOff>
    </xdr:to>
    <xdr:sp macro="" textlink="">
      <xdr:nvSpPr>
        <xdr:cNvPr id="3" name="Textfeld 48">
          <a:extLst>
            <a:ext uri="{FF2B5EF4-FFF2-40B4-BE49-F238E27FC236}">
              <a16:creationId xmlns:a16="http://schemas.microsoft.com/office/drawing/2014/main" id="{00000000-0008-0000-2000-000003000000}"/>
            </a:ext>
          </a:extLst>
        </xdr:cNvPr>
        <xdr:cNvSpPr txBox="1"/>
      </xdr:nvSpPr>
      <xdr:spPr>
        <a:xfrm>
          <a:off x="23232409" y="8329295"/>
          <a:ext cx="4205963" cy="5006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Source: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twoCellAnchor>
    <xdr:from>
      <xdr:col>10</xdr:col>
      <xdr:colOff>106892</xdr:colOff>
      <xdr:row>11</xdr:row>
      <xdr:rowOff>131937</xdr:rowOff>
    </xdr:from>
    <xdr:to>
      <xdr:col>27</xdr:col>
      <xdr:colOff>126452</xdr:colOff>
      <xdr:row>65</xdr:row>
      <xdr:rowOff>119157</xdr:rowOff>
    </xdr:to>
    <xdr:graphicFrame macro="">
      <xdr:nvGraphicFramePr>
        <xdr:cNvPr id="4" name="Diagramm 1">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0.86215</cdr:x>
      <cdr:y>0.91716</cdr:y>
    </cdr:from>
    <cdr:to>
      <cdr:x>0.97848</cdr:x>
      <cdr:y>0.95309</cdr:y>
    </cdr:to>
    <cdr:sp macro="" textlink="">
      <cdr:nvSpPr>
        <cdr:cNvPr id="2" name="Textfeld 1"/>
        <cdr:cNvSpPr txBox="1"/>
      </cdr:nvSpPr>
      <cdr:spPr>
        <a:xfrm xmlns:a="http://schemas.openxmlformats.org/drawingml/2006/main">
          <a:off x="9328768" y="10026933"/>
          <a:ext cx="1258728" cy="39280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Index</a:t>
          </a:r>
          <a:r>
            <a:rPr lang="de-DE" sz="1800" baseline="0">
              <a:latin typeface="Times New Roman" panose="02020603050405020304" pitchFamily="18" charset="0"/>
              <a:cs typeface="Times New Roman" panose="02020603050405020304" pitchFamily="18" charset="0"/>
            </a:rPr>
            <a:t> points</a:t>
          </a:r>
        </a:p>
      </cdr:txBody>
    </cdr:sp>
  </cdr:relSizeAnchor>
</c:userShapes>
</file>

<file path=xl/drawings/drawing54.xml><?xml version="1.0" encoding="utf-8"?>
<xdr:wsDr xmlns:xdr="http://schemas.openxmlformats.org/drawingml/2006/spreadsheetDrawing" xmlns:a="http://schemas.openxmlformats.org/drawingml/2006/main">
  <xdr:twoCellAnchor>
    <xdr:from>
      <xdr:col>6</xdr:col>
      <xdr:colOff>76199</xdr:colOff>
      <xdr:row>11</xdr:row>
      <xdr:rowOff>19050</xdr:rowOff>
    </xdr:from>
    <xdr:to>
      <xdr:col>22</xdr:col>
      <xdr:colOff>411399</xdr:colOff>
      <xdr:row>67</xdr:row>
      <xdr:rowOff>159850</xdr:rowOff>
    </xdr:to>
    <xdr:graphicFrame macro="">
      <xdr:nvGraphicFramePr>
        <xdr:cNvPr id="2" name="Diagramm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153334</xdr:colOff>
      <xdr:row>40</xdr:row>
      <xdr:rowOff>99695</xdr:rowOff>
    </xdr:from>
    <xdr:to>
      <xdr:col>26</xdr:col>
      <xdr:colOff>415947</xdr:colOff>
      <xdr:row>43</xdr:row>
      <xdr:rowOff>247</xdr:rowOff>
    </xdr:to>
    <xdr:sp macro="" textlink="">
      <xdr:nvSpPr>
        <xdr:cNvPr id="9" name="Textfeld 48">
          <a:extLst>
            <a:ext uri="{FF2B5EF4-FFF2-40B4-BE49-F238E27FC236}">
              <a16:creationId xmlns:a16="http://schemas.microsoft.com/office/drawing/2014/main" id="{00000000-0008-0000-2100-000009000000}"/>
            </a:ext>
          </a:extLst>
        </xdr:cNvPr>
        <xdr:cNvSpPr txBox="1"/>
      </xdr:nvSpPr>
      <xdr:spPr>
        <a:xfrm>
          <a:off x="27375784" y="7033895"/>
          <a:ext cx="5520413" cy="472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Source: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wsDr>
</file>

<file path=xl/drawings/drawing55.xml><?xml version="1.0" encoding="utf-8"?>
<c:userShapes xmlns:c="http://schemas.openxmlformats.org/drawingml/2006/chart">
  <cdr:relSizeAnchor xmlns:cdr="http://schemas.openxmlformats.org/drawingml/2006/chartDrawing">
    <cdr:from>
      <cdr:x>0.81323</cdr:x>
      <cdr:y>0.91877</cdr:y>
    </cdr:from>
    <cdr:to>
      <cdr:x>0.96955</cdr:x>
      <cdr:y>0.95787</cdr:y>
    </cdr:to>
    <cdr:sp macro="" textlink="">
      <cdr:nvSpPr>
        <cdr:cNvPr id="2" name="Textfeld 1"/>
        <cdr:cNvSpPr txBox="1"/>
      </cdr:nvSpPr>
      <cdr:spPr>
        <a:xfrm xmlns:a="http://schemas.openxmlformats.org/drawingml/2006/main">
          <a:off x="8782887" y="10584216"/>
          <a:ext cx="1688263" cy="450432"/>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baseline="0">
              <a:latin typeface="Times New Roman" panose="02020603050405020304" pitchFamily="18" charset="0"/>
              <a:cs typeface="Times New Roman" panose="02020603050405020304" pitchFamily="18" charset="0"/>
            </a:rPr>
            <a:t>Percent of GDP</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0.34837</cdr:x>
      <cdr:y>0.62711</cdr:y>
    </cdr:from>
    <cdr:to>
      <cdr:x>0.96268</cdr:x>
      <cdr:y>0.74304</cdr:y>
    </cdr:to>
    <cdr:sp macro="" textlink="">
      <cdr:nvSpPr>
        <cdr:cNvPr id="4"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3762402" y="7224363"/>
          <a:ext cx="6634548" cy="1335437"/>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Does not include private donations,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support for refugees outside of Ukraine, and aid by international organisations.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Share of EU commitments is based on the financing shares of the instruments.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For information on data quality and transparency please see our data trans-</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parency index.</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56.xml><?xml version="1.0" encoding="utf-8"?>
<xdr:wsDr xmlns:xdr="http://schemas.openxmlformats.org/drawingml/2006/spreadsheetDrawing" xmlns:a="http://schemas.openxmlformats.org/drawingml/2006/main">
  <xdr:twoCellAnchor>
    <xdr:from>
      <xdr:col>9</xdr:col>
      <xdr:colOff>68118</xdr:colOff>
      <xdr:row>11</xdr:row>
      <xdr:rowOff>0</xdr:rowOff>
    </xdr:from>
    <xdr:to>
      <xdr:col>14</xdr:col>
      <xdr:colOff>902518</xdr:colOff>
      <xdr:row>40</xdr:row>
      <xdr:rowOff>147534</xdr:rowOff>
    </xdr:to>
    <xdr:graphicFrame macro="">
      <xdr:nvGraphicFramePr>
        <xdr:cNvPr id="2" name="Diagramm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0.08015</cdr:x>
      <cdr:y>0.02879</cdr:y>
    </cdr:from>
    <cdr:to>
      <cdr:x>0.23737</cdr:x>
      <cdr:y>0.09176</cdr:y>
    </cdr:to>
    <cdr:sp macro="" textlink="">
      <cdr:nvSpPr>
        <cdr:cNvPr id="2" name="Textfeld 1"/>
        <cdr:cNvSpPr txBox="1"/>
      </cdr:nvSpPr>
      <cdr:spPr>
        <a:xfrm xmlns:a="http://schemas.openxmlformats.org/drawingml/2006/main">
          <a:off x="808888" y="176178"/>
          <a:ext cx="1586794" cy="38537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 Euros</a:t>
          </a:r>
        </a:p>
      </cdr:txBody>
    </cdr:sp>
  </cdr:relSizeAnchor>
  <cdr:relSizeAnchor xmlns:cdr="http://schemas.openxmlformats.org/drawingml/2006/chartDrawing">
    <cdr:from>
      <cdr:x>0.09114</cdr:x>
      <cdr:y>0.09787</cdr:y>
    </cdr:from>
    <cdr:to>
      <cdr:x>0.44814</cdr:x>
      <cdr:y>0.4654</cdr:y>
    </cdr:to>
    <cdr:sp macro="" textlink="">
      <cdr:nvSpPr>
        <cdr:cNvPr id="5" name="Rectangle 4">
          <a:extLst xmlns:a="http://schemas.openxmlformats.org/drawingml/2006/main">
            <a:ext uri="{FF2B5EF4-FFF2-40B4-BE49-F238E27FC236}">
              <a16:creationId xmlns:a16="http://schemas.microsoft.com/office/drawing/2014/main" id="{25DE9DE1-AD90-D816-C17B-59ED2FD1C480}"/>
            </a:ext>
          </a:extLst>
        </cdr:cNvPr>
        <cdr:cNvSpPr/>
      </cdr:nvSpPr>
      <cdr:spPr>
        <a:xfrm xmlns:a="http://schemas.openxmlformats.org/drawingml/2006/main">
          <a:off x="919807" y="598962"/>
          <a:ext cx="3603125" cy="2249304"/>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de-DE" sz="1600" b="0">
              <a:solidFill>
                <a:sysClr val="windowText" lastClr="000000"/>
              </a:solidFill>
              <a:effectLst/>
              <a:latin typeface="Times New Roman" panose="02020603050405020304" pitchFamily="18" charset="0"/>
              <a:ea typeface="+mn-ea"/>
              <a:cs typeface="Times New Roman" panose="02020603050405020304" pitchFamily="18" charset="0"/>
            </a:rPr>
            <a:t>Includes</a:t>
          </a:r>
          <a:r>
            <a:rPr lang="de-DE" sz="1600" b="0" baseline="0">
              <a:solidFill>
                <a:sysClr val="windowText" lastClr="000000"/>
              </a:solidFill>
              <a:effectLst/>
              <a:latin typeface="Times New Roman" panose="02020603050405020304" pitchFamily="18" charset="0"/>
              <a:ea typeface="+mn-ea"/>
              <a:cs typeface="Times New Roman" panose="02020603050405020304" pitchFamily="18" charset="0"/>
            </a:rPr>
            <a:t> bilateral commitments of in-kind military aid to Ukraine. Does not include private donations, support for refugees outside of Ukraine, and aid by international organizations. Commitments of the European Union include those of the EU Commission and Council, MFA, EPF, and EIB funds. </a:t>
          </a:r>
          <a:endParaRPr lang="en-US" sz="1600"/>
        </a:p>
      </cdr:txBody>
    </cdr:sp>
  </cdr:relSizeAnchor>
</c:userShapes>
</file>

<file path=xl/drawings/drawing58.xml><?xml version="1.0" encoding="utf-8"?>
<xdr:wsDr xmlns:xdr="http://schemas.openxmlformats.org/drawingml/2006/spreadsheetDrawing" xmlns:a="http://schemas.openxmlformats.org/drawingml/2006/main">
  <xdr:twoCellAnchor>
    <xdr:from>
      <xdr:col>9</xdr:col>
      <xdr:colOff>60325</xdr:colOff>
      <xdr:row>11</xdr:row>
      <xdr:rowOff>0</xdr:rowOff>
    </xdr:from>
    <xdr:to>
      <xdr:col>11</xdr:col>
      <xdr:colOff>2402125</xdr:colOff>
      <xdr:row>39</xdr:row>
      <xdr:rowOff>104961</xdr:rowOff>
    </xdr:to>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0.05292</cdr:x>
      <cdr:y>0.01451</cdr:y>
    </cdr:from>
    <cdr:to>
      <cdr:x>0.22391</cdr:x>
      <cdr:y>0.08583</cdr:y>
    </cdr:to>
    <cdr:sp macro="" textlink="">
      <cdr:nvSpPr>
        <cdr:cNvPr id="3" name="Textfeld 1">
          <a:extLst xmlns:a="http://schemas.openxmlformats.org/drawingml/2006/main">
            <a:ext uri="{FF2B5EF4-FFF2-40B4-BE49-F238E27FC236}">
              <a16:creationId xmlns:a16="http://schemas.microsoft.com/office/drawing/2014/main" id="{50F5836D-CF5C-425A-9617-9ACA46512E22}"/>
            </a:ext>
          </a:extLst>
        </cdr:cNvPr>
        <cdr:cNvSpPr txBox="1"/>
      </cdr:nvSpPr>
      <cdr:spPr>
        <a:xfrm xmlns:a="http://schemas.openxmlformats.org/drawingml/2006/main">
          <a:off x="571500" y="88900"/>
          <a:ext cx="1846692" cy="43694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number</a:t>
          </a:r>
          <a:r>
            <a:rPr lang="de-DE" sz="2000" baseline="0">
              <a:latin typeface="Times New Roman" panose="02020603050405020304" pitchFamily="18" charset="0"/>
              <a:cs typeface="Times New Roman" panose="02020603050405020304" pitchFamily="18" charset="0"/>
            </a:rPr>
            <a:t> of items</a:t>
          </a:r>
        </a:p>
      </cdr:txBody>
    </cdr:sp>
  </cdr:relSizeAnchor>
</c:userShapes>
</file>

<file path=xl/drawings/drawing6.xml><?xml version="1.0" encoding="utf-8"?>
<xdr:wsDr xmlns:xdr="http://schemas.openxmlformats.org/drawingml/2006/spreadsheetDrawing" xmlns:a="http://schemas.openxmlformats.org/drawingml/2006/main">
  <xdr:twoCellAnchor>
    <xdr:from>
      <xdr:col>7</xdr:col>
      <xdr:colOff>45892</xdr:colOff>
      <xdr:row>11</xdr:row>
      <xdr:rowOff>52243</xdr:rowOff>
    </xdr:from>
    <xdr:to>
      <xdr:col>23</xdr:col>
      <xdr:colOff>381092</xdr:colOff>
      <xdr:row>67</xdr:row>
      <xdr:rowOff>193043</xdr:rowOff>
    </xdr:to>
    <xdr:graphicFrame macro="">
      <xdr:nvGraphicFramePr>
        <xdr:cNvPr id="2" name="Diagram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49306</xdr:colOff>
      <xdr:row>39</xdr:row>
      <xdr:rowOff>34552</xdr:rowOff>
    </xdr:from>
    <xdr:to>
      <xdr:col>36</xdr:col>
      <xdr:colOff>338813</xdr:colOff>
      <xdr:row>41</xdr:row>
      <xdr:rowOff>125604</xdr:rowOff>
    </xdr:to>
    <xdr:sp macro="" textlink="">
      <xdr:nvSpPr>
        <xdr:cNvPr id="21" name="Textfeld 48">
          <a:extLst>
            <a:ext uri="{FF2B5EF4-FFF2-40B4-BE49-F238E27FC236}">
              <a16:creationId xmlns:a16="http://schemas.microsoft.com/office/drawing/2014/main" id="{00000000-0008-0000-0800-000015000000}"/>
            </a:ext>
          </a:extLst>
        </xdr:cNvPr>
        <xdr:cNvSpPr txBox="1"/>
      </xdr:nvSpPr>
      <xdr:spPr>
        <a:xfrm>
          <a:off x="31403365" y="6791699"/>
          <a:ext cx="5533860" cy="472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Quelle: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18</xdr:col>
      <xdr:colOff>67235</xdr:colOff>
      <xdr:row>14</xdr:row>
      <xdr:rowOff>179294</xdr:rowOff>
    </xdr:from>
    <xdr:to>
      <xdr:col>20</xdr:col>
      <xdr:colOff>478116</xdr:colOff>
      <xdr:row>17</xdr:row>
      <xdr:rowOff>74706</xdr:rowOff>
    </xdr:to>
    <xdr:sp macro="" textlink="">
      <xdr:nvSpPr>
        <xdr:cNvPr id="2" name="Rectangle 1">
          <a:extLst>
            <a:ext uri="{FF2B5EF4-FFF2-40B4-BE49-F238E27FC236}">
              <a16:creationId xmlns:a16="http://schemas.microsoft.com/office/drawing/2014/main" id="{00000000-0008-0000-2200-000002000000}"/>
            </a:ext>
          </a:extLst>
        </xdr:cNvPr>
        <xdr:cNvSpPr/>
      </xdr:nvSpPr>
      <xdr:spPr>
        <a:xfrm>
          <a:off x="16501035" y="3239994"/>
          <a:ext cx="1718981" cy="505012"/>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a:solidFill>
                <a:sysClr val="windowText" lastClr="000000"/>
              </a:solidFill>
              <a:latin typeface="Times New Roman" panose="02020603050405020304" pitchFamily="18" charset="0"/>
              <a:cs typeface="Times New Roman" panose="02020603050405020304" pitchFamily="18" charset="0"/>
            </a:rPr>
            <a:t>To</a:t>
          </a:r>
          <a:r>
            <a:rPr lang="en-GB" sz="1800" baseline="0">
              <a:solidFill>
                <a:sysClr val="windowText" lastClr="000000"/>
              </a:solidFill>
              <a:latin typeface="Times New Roman" panose="02020603050405020304" pitchFamily="18" charset="0"/>
              <a:cs typeface="Times New Roman" panose="02020603050405020304" pitchFamily="18" charset="0"/>
            </a:rPr>
            <a:t> be delivered</a:t>
          </a:r>
          <a:endParaRPr lang="en-GB" sz="1800">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16</xdr:col>
      <xdr:colOff>104588</xdr:colOff>
      <xdr:row>13</xdr:row>
      <xdr:rowOff>119530</xdr:rowOff>
    </xdr:from>
    <xdr:to>
      <xdr:col>18</xdr:col>
      <xdr:colOff>67235</xdr:colOff>
      <xdr:row>16</xdr:row>
      <xdr:rowOff>26147</xdr:rowOff>
    </xdr:to>
    <xdr:cxnSp macro="">
      <xdr:nvCxnSpPr>
        <xdr:cNvPr id="3" name="Straight Arrow Connector 2">
          <a:extLst>
            <a:ext uri="{FF2B5EF4-FFF2-40B4-BE49-F238E27FC236}">
              <a16:creationId xmlns:a16="http://schemas.microsoft.com/office/drawing/2014/main" id="{00000000-0008-0000-2200-000003000000}"/>
            </a:ext>
          </a:extLst>
        </xdr:cNvPr>
        <xdr:cNvCxnSpPr>
          <a:stCxn id="2" idx="1"/>
        </xdr:cNvCxnSpPr>
      </xdr:nvCxnSpPr>
      <xdr:spPr>
        <a:xfrm flipH="1" flipV="1">
          <a:off x="15230288" y="2977030"/>
          <a:ext cx="1270747" cy="51621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567765</xdr:colOff>
      <xdr:row>15</xdr:row>
      <xdr:rowOff>156882</xdr:rowOff>
    </xdr:from>
    <xdr:to>
      <xdr:col>16</xdr:col>
      <xdr:colOff>321234</xdr:colOff>
      <xdr:row>18</xdr:row>
      <xdr:rowOff>52294</xdr:rowOff>
    </xdr:to>
    <xdr:sp macro="" textlink="">
      <xdr:nvSpPr>
        <xdr:cNvPr id="4" name="Rectangle 3">
          <a:extLst>
            <a:ext uri="{FF2B5EF4-FFF2-40B4-BE49-F238E27FC236}">
              <a16:creationId xmlns:a16="http://schemas.microsoft.com/office/drawing/2014/main" id="{00000000-0008-0000-2200-000004000000}"/>
            </a:ext>
          </a:extLst>
        </xdr:cNvPr>
        <xdr:cNvSpPr/>
      </xdr:nvSpPr>
      <xdr:spPr>
        <a:xfrm>
          <a:off x="13731315" y="3420782"/>
          <a:ext cx="1715619" cy="505012"/>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a:solidFill>
                <a:schemeClr val="bg1"/>
              </a:solidFill>
              <a:latin typeface="Times New Roman" panose="02020603050405020304" pitchFamily="18" charset="0"/>
              <a:cs typeface="Times New Roman" panose="02020603050405020304" pitchFamily="18" charset="0"/>
            </a:rPr>
            <a:t>D</a:t>
          </a:r>
          <a:r>
            <a:rPr lang="en-GB" sz="1800" baseline="0">
              <a:solidFill>
                <a:schemeClr val="bg1"/>
              </a:solidFill>
              <a:latin typeface="Times New Roman" panose="02020603050405020304" pitchFamily="18" charset="0"/>
              <a:cs typeface="Times New Roman" panose="02020603050405020304" pitchFamily="18" charset="0"/>
            </a:rPr>
            <a:t>elivered</a:t>
          </a:r>
          <a:endParaRPr lang="en-GB" sz="1800">
            <a:solidFill>
              <a:schemeClr val="bg1"/>
            </a:solidFill>
            <a:latin typeface="Times New Roman" panose="02020603050405020304" pitchFamily="18" charset="0"/>
            <a:cs typeface="Times New Roman" panose="02020603050405020304" pitchFamily="18" charset="0"/>
          </a:endParaRPr>
        </a:p>
      </xdr:txBody>
    </xdr:sp>
    <xdr:clientData/>
  </xdr:twoCellAnchor>
  <xdr:twoCellAnchor>
    <xdr:from>
      <xdr:col>11</xdr:col>
      <xdr:colOff>605118</xdr:colOff>
      <xdr:row>14</xdr:row>
      <xdr:rowOff>97118</xdr:rowOff>
    </xdr:from>
    <xdr:to>
      <xdr:col>13</xdr:col>
      <xdr:colOff>567765</xdr:colOff>
      <xdr:row>17</xdr:row>
      <xdr:rowOff>3735</xdr:rowOff>
    </xdr:to>
    <xdr:cxnSp macro="">
      <xdr:nvCxnSpPr>
        <xdr:cNvPr id="5" name="Straight Arrow Connector 4">
          <a:extLst>
            <a:ext uri="{FF2B5EF4-FFF2-40B4-BE49-F238E27FC236}">
              <a16:creationId xmlns:a16="http://schemas.microsoft.com/office/drawing/2014/main" id="{00000000-0008-0000-2200-000005000000}"/>
            </a:ext>
          </a:extLst>
        </xdr:cNvPr>
        <xdr:cNvCxnSpPr>
          <a:stCxn id="4" idx="1"/>
        </xdr:cNvCxnSpPr>
      </xdr:nvCxnSpPr>
      <xdr:spPr>
        <a:xfrm flipH="1" flipV="1">
          <a:off x="12460568" y="3157818"/>
          <a:ext cx="1270747" cy="51621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216155</xdr:colOff>
      <xdr:row>11</xdr:row>
      <xdr:rowOff>23654</xdr:rowOff>
    </xdr:from>
    <xdr:to>
      <xdr:col>23</xdr:col>
      <xdr:colOff>551355</xdr:colOff>
      <xdr:row>51</xdr:row>
      <xdr:rowOff>17720</xdr:rowOff>
    </xdr:to>
    <xdr:grpSp>
      <xdr:nvGrpSpPr>
        <xdr:cNvPr id="6" name="Group 5">
          <a:extLst>
            <a:ext uri="{FF2B5EF4-FFF2-40B4-BE49-F238E27FC236}">
              <a16:creationId xmlns:a16="http://schemas.microsoft.com/office/drawing/2014/main" id="{00000000-0008-0000-2200-000006000000}"/>
            </a:ext>
          </a:extLst>
        </xdr:cNvPr>
        <xdr:cNvGrpSpPr/>
      </xdr:nvGrpSpPr>
      <xdr:grpSpPr>
        <a:xfrm>
          <a:off x="9464930" y="2452529"/>
          <a:ext cx="10850800" cy="7995066"/>
          <a:chOff x="9403248" y="2452355"/>
          <a:chExt cx="10785486" cy="7772425"/>
        </a:xfrm>
      </xdr:grpSpPr>
      <xdr:graphicFrame macro="">
        <xdr:nvGraphicFramePr>
          <xdr:cNvPr id="7" name="Chart 6">
            <a:extLst>
              <a:ext uri="{FF2B5EF4-FFF2-40B4-BE49-F238E27FC236}">
                <a16:creationId xmlns:a16="http://schemas.microsoft.com/office/drawing/2014/main" id="{00000000-0008-0000-2200-000007000000}"/>
              </a:ext>
            </a:extLst>
          </xdr:cNvPr>
          <xdr:cNvGraphicFramePr>
            <a:graphicFrameLocks/>
          </xdr:cNvGraphicFramePr>
        </xdr:nvGraphicFramePr>
        <xdr:xfrm>
          <a:off x="9403248" y="2452355"/>
          <a:ext cx="10785486" cy="777242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 name="Chart 7">
            <a:extLst>
              <a:ext uri="{FF2B5EF4-FFF2-40B4-BE49-F238E27FC236}">
                <a16:creationId xmlns:a16="http://schemas.microsoft.com/office/drawing/2014/main" id="{00000000-0008-0000-2200-000008000000}"/>
              </a:ext>
            </a:extLst>
          </xdr:cNvPr>
          <xdr:cNvGraphicFramePr>
            <a:graphicFrameLocks/>
          </xdr:cNvGraphicFramePr>
        </xdr:nvGraphicFramePr>
        <xdr:xfrm>
          <a:off x="13328195" y="6132286"/>
          <a:ext cx="6068786" cy="27305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61.xml><?xml version="1.0" encoding="utf-8"?>
<c:userShapes xmlns:c="http://schemas.openxmlformats.org/drawingml/2006/chart">
  <cdr:relSizeAnchor xmlns:cdr="http://schemas.openxmlformats.org/drawingml/2006/chartDrawing">
    <cdr:from>
      <cdr:x>0.76372</cdr:x>
      <cdr:y>0.86365</cdr:y>
    </cdr:from>
    <cdr:to>
      <cdr:x>0.93471</cdr:x>
      <cdr:y>0.91882</cdr:y>
    </cdr:to>
    <cdr:sp macro="" textlink="">
      <cdr:nvSpPr>
        <cdr:cNvPr id="2" name="Textfeld 1">
          <a:extLst xmlns:a="http://schemas.openxmlformats.org/drawingml/2006/main">
            <a:ext uri="{FF2B5EF4-FFF2-40B4-BE49-F238E27FC236}">
              <a16:creationId xmlns:a16="http://schemas.microsoft.com/office/drawing/2014/main" id="{F8F0429B-4BB4-486F-55E0-E2E4B189B823}"/>
            </a:ext>
          </a:extLst>
        </cdr:cNvPr>
        <cdr:cNvSpPr txBox="1"/>
      </cdr:nvSpPr>
      <cdr:spPr>
        <a:xfrm xmlns:a="http://schemas.openxmlformats.org/drawingml/2006/main">
          <a:off x="8248176" y="6840108"/>
          <a:ext cx="1846692" cy="436917"/>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baseline="0">
              <a:latin typeface="Times New Roman" panose="02020603050405020304" pitchFamily="18" charset="0"/>
              <a:cs typeface="Times New Roman" panose="02020603050405020304" pitchFamily="18" charset="0"/>
            </a:rPr>
            <a:t>number of items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0.17749</cdr:x>
      <cdr:y>0.93221</cdr:y>
    </cdr:from>
    <cdr:to>
      <cdr:x>0.96301</cdr:x>
      <cdr:y>0.93221</cdr:y>
    </cdr:to>
    <cdr:cxnSp macro="">
      <cdr:nvCxnSpPr>
        <cdr:cNvPr id="4" name="Straight Connector 3">
          <a:extLst xmlns:a="http://schemas.openxmlformats.org/drawingml/2006/main">
            <a:ext uri="{FF2B5EF4-FFF2-40B4-BE49-F238E27FC236}">
              <a16:creationId xmlns:a16="http://schemas.microsoft.com/office/drawing/2014/main" id="{4EE41A0A-67C7-D067-6033-FCCFFCFBC5EA}"/>
            </a:ext>
          </a:extLst>
        </cdr:cNvPr>
        <cdr:cNvCxnSpPr/>
      </cdr:nvCxnSpPr>
      <cdr:spPr>
        <a:xfrm xmlns:a="http://schemas.openxmlformats.org/drawingml/2006/main">
          <a:off x="1912563" y="7318328"/>
          <a:ext cx="8464352" cy="0"/>
        </a:xfrm>
        <a:prstGeom xmlns:a="http://schemas.openxmlformats.org/drawingml/2006/main" prst="line">
          <a:avLst/>
        </a:prstGeom>
        <a:ln xmlns:a="http://schemas.openxmlformats.org/drawingml/2006/main" w="952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0.22103</cdr:x>
      <cdr:y>0.62138</cdr:y>
    </cdr:from>
    <cdr:to>
      <cdr:x>0.3569</cdr:x>
      <cdr:y>0.78333</cdr:y>
    </cdr:to>
    <cdr:cxnSp macro="">
      <cdr:nvCxnSpPr>
        <cdr:cNvPr id="5" name="Straight Arrow Connector 4">
          <a:extLst xmlns:a="http://schemas.openxmlformats.org/drawingml/2006/main">
            <a:ext uri="{FF2B5EF4-FFF2-40B4-BE49-F238E27FC236}">
              <a16:creationId xmlns:a16="http://schemas.microsoft.com/office/drawing/2014/main" id="{3689BC25-7E76-7277-A5A6-83025FC195F7}"/>
            </a:ext>
          </a:extLst>
        </cdr:cNvPr>
        <cdr:cNvCxnSpPr/>
      </cdr:nvCxnSpPr>
      <cdr:spPr>
        <a:xfrm xmlns:a="http://schemas.openxmlformats.org/drawingml/2006/main" flipH="1">
          <a:off x="2375850" y="4994488"/>
          <a:ext cx="1460500" cy="130175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2.xml><?xml version="1.0" encoding="utf-8"?>
<c:userShapes xmlns:c="http://schemas.openxmlformats.org/drawingml/2006/chart">
  <cdr:relSizeAnchor xmlns:cdr="http://schemas.openxmlformats.org/drawingml/2006/chartDrawing">
    <cdr:from>
      <cdr:x>0.3223</cdr:x>
      <cdr:y>0.86746</cdr:y>
    </cdr:from>
    <cdr:to>
      <cdr:x>0.96581</cdr:x>
      <cdr:y>0.86746</cdr:y>
    </cdr:to>
    <cdr:cxnSp macro="">
      <cdr:nvCxnSpPr>
        <cdr:cNvPr id="4" name="Straight Connector 3">
          <a:extLst xmlns:a="http://schemas.openxmlformats.org/drawingml/2006/main">
            <a:ext uri="{FF2B5EF4-FFF2-40B4-BE49-F238E27FC236}">
              <a16:creationId xmlns:a16="http://schemas.microsoft.com/office/drawing/2014/main" id="{4EE41A0A-67C7-D067-6033-FCCFFCFBC5EA}"/>
            </a:ext>
          </a:extLst>
        </cdr:cNvPr>
        <cdr:cNvCxnSpPr/>
      </cdr:nvCxnSpPr>
      <cdr:spPr>
        <a:xfrm xmlns:a="http://schemas.openxmlformats.org/drawingml/2006/main">
          <a:off x="1949397" y="2450950"/>
          <a:ext cx="3892206" cy="0"/>
        </a:xfrm>
        <a:prstGeom xmlns:a="http://schemas.openxmlformats.org/drawingml/2006/main" prst="line">
          <a:avLst/>
        </a:prstGeom>
        <a:ln xmlns:a="http://schemas.openxmlformats.org/drawingml/2006/main" w="952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3.xml><?xml version="1.0" encoding="utf-8"?>
<xdr:wsDr xmlns:xdr="http://schemas.openxmlformats.org/drawingml/2006/spreadsheetDrawing" xmlns:a="http://schemas.openxmlformats.org/drawingml/2006/main">
  <xdr:twoCellAnchor>
    <xdr:from>
      <xdr:col>10</xdr:col>
      <xdr:colOff>40217</xdr:colOff>
      <xdr:row>11</xdr:row>
      <xdr:rowOff>58912</xdr:rowOff>
    </xdr:from>
    <xdr:to>
      <xdr:col>26</xdr:col>
      <xdr:colOff>375417</xdr:colOff>
      <xdr:row>66</xdr:row>
      <xdr:rowOff>196537</xdr:rowOff>
    </xdr:to>
    <xdr:graphicFrame macro="">
      <xdr:nvGraphicFramePr>
        <xdr:cNvPr id="3" name="Diagramm 1">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0.84173</cdr:x>
      <cdr:y>0.90949</cdr:y>
    </cdr:from>
    <cdr:to>
      <cdr:x>0.95806</cdr:x>
      <cdr:y>0.94542</cdr:y>
    </cdr:to>
    <cdr:sp macro="" textlink="">
      <cdr:nvSpPr>
        <cdr:cNvPr id="2" name="Textfeld 1"/>
        <cdr:cNvSpPr txBox="1"/>
      </cdr:nvSpPr>
      <cdr:spPr>
        <a:xfrm xmlns:a="http://schemas.openxmlformats.org/drawingml/2006/main">
          <a:off x="9246855" y="8318664"/>
          <a:ext cx="1277916" cy="32862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Index</a:t>
          </a:r>
          <a:r>
            <a:rPr lang="de-DE" sz="1800" baseline="0">
              <a:latin typeface="Times New Roman" panose="02020603050405020304" pitchFamily="18" charset="0"/>
              <a:cs typeface="Times New Roman" panose="02020603050405020304" pitchFamily="18" charset="0"/>
            </a:rPr>
            <a:t> points</a:t>
          </a:r>
        </a:p>
      </cdr:txBody>
    </cdr:sp>
  </cdr:relSizeAnchor>
</c:userShapes>
</file>

<file path=xl/drawings/drawing7.xml><?xml version="1.0" encoding="utf-8"?>
<c:userShapes xmlns:c="http://schemas.openxmlformats.org/drawingml/2006/chart">
  <cdr:relSizeAnchor xmlns:cdr="http://schemas.openxmlformats.org/drawingml/2006/chartDrawing">
    <cdr:from>
      <cdr:x>0.82179</cdr:x>
      <cdr:y>0.92539</cdr:y>
    </cdr:from>
    <cdr:to>
      <cdr:x>0.95362</cdr:x>
      <cdr:y>0.96615</cdr:y>
    </cdr:to>
    <cdr:sp macro="" textlink="">
      <cdr:nvSpPr>
        <cdr:cNvPr id="2" name="Textfeld 1"/>
        <cdr:cNvSpPr txBox="1"/>
      </cdr:nvSpPr>
      <cdr:spPr>
        <a:xfrm xmlns:a="http://schemas.openxmlformats.org/drawingml/2006/main">
          <a:off x="8875280" y="10660495"/>
          <a:ext cx="1423858" cy="46957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2000" baseline="0">
              <a:latin typeface="Times New Roman" panose="02020603050405020304" pitchFamily="18" charset="0"/>
              <a:cs typeface="Times New Roman" panose="02020603050405020304" pitchFamily="18" charset="0"/>
            </a:rPr>
            <a:t> Euros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0.26757</cdr:x>
      <cdr:y>0.5413</cdr:y>
    </cdr:from>
    <cdr:to>
      <cdr:x>0.88594</cdr:x>
      <cdr:y>0.70576</cdr:y>
    </cdr:to>
    <cdr:sp macro="" textlink="">
      <cdr:nvSpPr>
        <cdr:cNvPr id="7"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2872456" y="6098286"/>
          <a:ext cx="6638401" cy="185280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Does not include private donations,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ea typeface="+mn-ea"/>
              <a:cs typeface="Times New Roman" panose="02020603050405020304" pitchFamily="18" charset="0"/>
            </a:rPr>
            <a:t>support for refugees outside of Ukraine, and aid by international organisations.</a:t>
          </a:r>
          <a:br>
            <a:rPr lang="de-DE" sz="1600" b="0" baseline="0">
              <a:latin typeface="Times New Roman" panose="02020603050405020304" pitchFamily="18" charset="0"/>
              <a:ea typeface="+mn-ea"/>
              <a:cs typeface="Times New Roman" panose="02020603050405020304" pitchFamily="18" charset="0"/>
            </a:rPr>
          </a:br>
          <a:r>
            <a:rPr lang="de-DE" sz="1600" b="0" baseline="0">
              <a:latin typeface="Times New Roman" panose="02020603050405020304" pitchFamily="18" charset="0"/>
              <a:ea typeface="+mn-ea"/>
              <a:cs typeface="Times New Roman" panose="02020603050405020304" pitchFamily="18" charset="0"/>
            </a:rPr>
            <a:t>Commitments by EU Institutions include Commission and Council, EPF and </a:t>
          </a:r>
          <a:br>
            <a:rPr lang="de-DE" sz="1600" b="0" baseline="0">
              <a:latin typeface="Times New Roman" panose="02020603050405020304" pitchFamily="18" charset="0"/>
              <a:ea typeface="+mn-ea"/>
              <a:cs typeface="Times New Roman" panose="02020603050405020304" pitchFamily="18" charset="0"/>
            </a:rPr>
          </a:br>
          <a:r>
            <a:rPr lang="de-DE" sz="1600" b="0" baseline="0">
              <a:latin typeface="Times New Roman" panose="02020603050405020304" pitchFamily="18" charset="0"/>
              <a:ea typeface="+mn-ea"/>
              <a:cs typeface="Times New Roman" panose="02020603050405020304" pitchFamily="18" charset="0"/>
            </a:rPr>
            <a:t>EIB. </a:t>
          </a:r>
          <a:r>
            <a:rPr lang="en-US" sz="1600" b="0" baseline="0">
              <a:latin typeface="Times New Roman" panose="02020603050405020304" pitchFamily="18" charset="0"/>
              <a:ea typeface="+mn-ea"/>
              <a:cs typeface="Times New Roman" panose="02020603050405020304" pitchFamily="18" charset="0"/>
            </a:rPr>
            <a:t>Financial commitments that are made explicitly for military </a:t>
          </a:r>
          <a:br>
            <a:rPr lang="en-US" sz="1600" b="0" baseline="0">
              <a:latin typeface="Times New Roman" panose="02020603050405020304" pitchFamily="18" charset="0"/>
              <a:ea typeface="+mn-ea"/>
              <a:cs typeface="Times New Roman" panose="02020603050405020304" pitchFamily="18" charset="0"/>
            </a:rPr>
          </a:br>
          <a:r>
            <a:rPr lang="en-US" sz="1600" b="0" baseline="0">
              <a:latin typeface="Times New Roman" panose="02020603050405020304" pitchFamily="18" charset="0"/>
              <a:ea typeface="+mn-ea"/>
              <a:cs typeface="Times New Roman" panose="02020603050405020304" pitchFamily="18" charset="0"/>
            </a:rPr>
            <a:t>and weapons purchases are counted as military aid.</a:t>
          </a:r>
          <a:r>
            <a:rPr lang="de-DE" sz="1600" b="0" baseline="0">
              <a:latin typeface="Times New Roman" panose="02020603050405020304" pitchFamily="18" charset="0"/>
              <a:ea typeface="+mn-ea"/>
              <a:cs typeface="Times New Roman" panose="02020603050405020304" pitchFamily="18" charset="0"/>
            </a:rPr>
            <a:t> </a:t>
          </a:r>
          <a:br>
            <a:rPr lang="de-DE" sz="1600" b="0" baseline="0">
              <a:latin typeface="Times New Roman" panose="02020603050405020304" pitchFamily="18" charset="0"/>
              <a:ea typeface="+mn-ea"/>
              <a:cs typeface="Times New Roman" panose="02020603050405020304" pitchFamily="18" charset="0"/>
            </a:rPr>
          </a:br>
          <a:r>
            <a:rPr lang="de-DE" sz="1600" b="0" baseline="0">
              <a:latin typeface="Times New Roman" panose="02020603050405020304" pitchFamily="18" charset="0"/>
              <a:ea typeface="+mn-ea"/>
              <a:cs typeface="Times New Roman" panose="02020603050405020304" pitchFamily="18" charset="0"/>
            </a:rPr>
            <a:t>For information on data quality and transparency </a:t>
          </a:r>
          <a:br>
            <a:rPr lang="de-DE" sz="1600" b="0" baseline="0">
              <a:latin typeface="Times New Roman" panose="02020603050405020304" pitchFamily="18" charset="0"/>
              <a:ea typeface="+mn-ea"/>
              <a:cs typeface="Times New Roman" panose="02020603050405020304" pitchFamily="18" charset="0"/>
            </a:rPr>
          </a:br>
          <a:r>
            <a:rPr lang="de-DE" sz="1600" b="0" baseline="0">
              <a:latin typeface="Times New Roman" panose="02020603050405020304" pitchFamily="18" charset="0"/>
              <a:ea typeface="+mn-ea"/>
              <a:cs typeface="Times New Roman" panose="02020603050405020304" pitchFamily="18" charset="0"/>
            </a:rPr>
            <a:t>please see our data transparency index.</a:t>
          </a:r>
        </a:p>
      </cdr:txBody>
    </cdr:sp>
  </cdr:relSizeAnchor>
</c:userShapes>
</file>

<file path=xl/drawings/drawing8.xml><?xml version="1.0" encoding="utf-8"?>
<xdr:wsDr xmlns:xdr="http://schemas.openxmlformats.org/drawingml/2006/spreadsheetDrawing" xmlns:a="http://schemas.openxmlformats.org/drawingml/2006/main">
  <xdr:twoCellAnchor>
    <xdr:from>
      <xdr:col>4</xdr:col>
      <xdr:colOff>66674</xdr:colOff>
      <xdr:row>11</xdr:row>
      <xdr:rowOff>47624</xdr:rowOff>
    </xdr:from>
    <xdr:to>
      <xdr:col>20</xdr:col>
      <xdr:colOff>401874</xdr:colOff>
      <xdr:row>67</xdr:row>
      <xdr:rowOff>188424</xdr:rowOff>
    </xdr:to>
    <xdr:graphicFrame macro="">
      <xdr:nvGraphicFramePr>
        <xdr:cNvPr id="2" name="Diagram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0.78269</cdr:x>
      <cdr:y>0.90887</cdr:y>
    </cdr:from>
    <cdr:to>
      <cdr:x>0.93656</cdr:x>
      <cdr:y>0.94702</cdr:y>
    </cdr:to>
    <cdr:sp macro="" textlink="">
      <cdr:nvSpPr>
        <cdr:cNvPr id="2" name="Textfeld 1"/>
        <cdr:cNvSpPr txBox="1"/>
      </cdr:nvSpPr>
      <cdr:spPr>
        <a:xfrm xmlns:a="http://schemas.openxmlformats.org/drawingml/2006/main">
          <a:off x="8463902" y="9815796"/>
          <a:ext cx="1663922" cy="412032"/>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baseline="0">
              <a:latin typeface="Times New Roman" panose="02020603050405020304" pitchFamily="18" charset="0"/>
              <a:cs typeface="Times New Roman" panose="02020603050405020304" pitchFamily="18" charset="0"/>
            </a:rPr>
            <a:t>Percent of GDP</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0.32179</cdr:x>
      <cdr:y>0.39346</cdr:y>
    </cdr:from>
    <cdr:to>
      <cdr:x>0.93532</cdr:x>
      <cdr:y>0.5333</cdr:y>
    </cdr:to>
    <cdr:sp macro="" textlink="">
      <cdr:nvSpPr>
        <cdr:cNvPr id="4"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3475332" y="4532659"/>
          <a:ext cx="6626124" cy="1610967"/>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effectLst/>
              <a:latin typeface="Times New Roman" panose="02020603050405020304" pitchFamily="18" charset="0"/>
              <a:ea typeface="+mn-ea"/>
              <a:cs typeface="Times New Roman" panose="02020603050405020304" pitchFamily="18" charset="0"/>
            </a:rPr>
            <a:t>Includes</a:t>
          </a:r>
          <a:r>
            <a:rPr lang="de-DE" sz="1600" b="0" baseline="0">
              <a:effectLst/>
              <a:latin typeface="Times New Roman" panose="02020603050405020304" pitchFamily="18" charset="0"/>
              <a:ea typeface="+mn-ea"/>
              <a:cs typeface="Times New Roman" panose="02020603050405020304" pitchFamily="18" charset="0"/>
            </a:rPr>
            <a:t> bilateral commitments to Ukraine. Does not include private donations,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support for refugees outside of Ukraine, and aid by international organisations.</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Commitments by EU Institutions include Commission and Council, EPF and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EIB. </a:t>
          </a:r>
          <a:r>
            <a:rPr lang="en-US" sz="1600" b="0" baseline="0">
              <a:effectLst/>
              <a:latin typeface="Times New Roman" panose="02020603050405020304" pitchFamily="18" charset="0"/>
              <a:ea typeface="+mn-ea"/>
              <a:cs typeface="Times New Roman" panose="02020603050405020304" pitchFamily="18" charset="0"/>
            </a:rPr>
            <a:t>Financial commitments that are made explicitly for military and weapons </a:t>
          </a:r>
          <a:br>
            <a:rPr lang="en-US" sz="1600" b="0" baseline="0">
              <a:effectLst/>
              <a:latin typeface="Times New Roman" panose="02020603050405020304" pitchFamily="18" charset="0"/>
              <a:ea typeface="+mn-ea"/>
              <a:cs typeface="Times New Roman" panose="02020603050405020304" pitchFamily="18" charset="0"/>
            </a:rPr>
          </a:br>
          <a:r>
            <a:rPr lang="en-US" sz="1600" b="0" baseline="0">
              <a:effectLst/>
              <a:latin typeface="Times New Roman" panose="02020603050405020304" pitchFamily="18" charset="0"/>
              <a:ea typeface="+mn-ea"/>
              <a:cs typeface="Times New Roman" panose="02020603050405020304" pitchFamily="18" charset="0"/>
            </a:rPr>
            <a:t>purchases are counted as military aid.</a:t>
          </a:r>
          <a:r>
            <a:rPr lang="de-DE" sz="1600" b="0" baseline="0">
              <a:effectLst/>
              <a:latin typeface="Times New Roman" panose="02020603050405020304" pitchFamily="18" charset="0"/>
              <a:ea typeface="+mn-ea"/>
              <a:cs typeface="Times New Roman" panose="02020603050405020304" pitchFamily="18" charset="0"/>
            </a:rPr>
            <a:t> For information on data quality and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transparency please see our data transparency index.</a:t>
          </a:r>
          <a:endParaRPr lang="de-DE" sz="1600">
            <a:effectLst/>
            <a:latin typeface="Times New Roman" panose="02020603050405020304" pitchFamily="18" charset="0"/>
            <a:cs typeface="Times New Roman" panose="02020603050405020304" pitchFamily="18" charset="0"/>
          </a:endParaRPr>
        </a:p>
      </cdr:txBody>
    </cdr:sp>
  </cdr:relSizeAnchor>
</c:userShape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522" Type="http://schemas.openxmlformats.org/officeDocument/2006/relationships/hyperlink" Target="https://www.keeptalkinggreece.com/2022/03/18/greece-rebuild-maternity-hospital-mariupol/" TargetMode="External"/><Relationship Id="rId1827" Type="http://schemas.openxmlformats.org/officeDocument/2006/relationships/hyperlink" Target="https://appropriations.house.gov/sites/democrats.appropriations.house.gov/files/Ukraine%20Supplemental%20Summary.pdf" TargetMode="External"/><Relationship Id="rId21" Type="http://schemas.openxmlformats.org/officeDocument/2006/relationships/hyperlink" Target="https://www.repubblica.it/politica/2022/03/01/news/armi_ucraina_di_governo_oggi_camere-339750246/" TargetMode="External"/><Relationship Id="rId2089" Type="http://schemas.openxmlformats.org/officeDocument/2006/relationships/hyperlink" Target="https://crsreports.congress.gov/product/pdf/IF/IF12040" TargetMode="External"/><Relationship Id="rId170" Type="http://schemas.openxmlformats.org/officeDocument/2006/relationships/hyperlink" Target="https://www.vlada.cz/cz/media-centrum/aktualne/vlada-petra-fialy-schvalila-dalsi-vojenskou-pomoc-bojujici-ukrajine-194603/" TargetMode="External"/><Relationship Id="rId2296" Type="http://schemas.openxmlformats.org/officeDocument/2006/relationships/hyperlink" Target="https://appropriations.house.gov/sites/democrats.appropriations.house.gov/files/Ukraine%20Supplemental%20Summary%20FY23.pdf" TargetMode="External"/><Relationship Id="rId268" Type="http://schemas.openxmlformats.org/officeDocument/2006/relationships/hyperlink" Target="https://www.mfat.govt.nz/en/countries-and-regions/europe/ukraine/russian-invasion-of-ukraine/" TargetMode="External"/><Relationship Id="rId475" Type="http://schemas.openxmlformats.org/officeDocument/2006/relationships/hyperlink" Target="https://www.rferl.org/a/czech-republic-poland-new-military-aid-ukraine/31873938.html" TargetMode="External"/><Relationship Id="rId682" Type="http://schemas.openxmlformats.org/officeDocument/2006/relationships/hyperlink" Target="https://www.usnews.com/news/world/articles/2022-06-16/slovaks-give-mi-helicopters-grad-rockets-to-ukraine" TargetMode="External"/><Relationship Id="rId2156" Type="http://schemas.openxmlformats.org/officeDocument/2006/relationships/hyperlink" Target="https://crsreports.congress.gov/product/pdf/IF/IF12040" TargetMode="External"/><Relationship Id="rId2363" Type="http://schemas.openxmlformats.org/officeDocument/2006/relationships/hyperlink" Target="https://crsreports.congress.gov/product/pdf/IF/IF12040" TargetMode="External"/><Relationship Id="rId2570" Type="http://schemas.openxmlformats.org/officeDocument/2006/relationships/hyperlink" Target="https://www.whitehouse.gov/briefing-room/press-briefings/2022/04/04/press-briefing-by-press-secretary-jen-psaki-and-national-security-advisor-jake-sullivan/" TargetMode="External"/><Relationship Id="rId128" Type="http://schemas.openxmlformats.org/officeDocument/2006/relationships/hyperlink" Target="https://www.aa.com.tr/en/europe/spain-to-send-weapons-to-ukrainian-forces/2520902" TargetMode="External"/><Relationship Id="rId335" Type="http://schemas.openxmlformats.org/officeDocument/2006/relationships/hyperlink" Target="https://today.rtl.lu/news/luxembourg/a/1881929.html" TargetMode="External"/><Relationship Id="rId542" Type="http://schemas.openxmlformats.org/officeDocument/2006/relationships/hyperlink" Target="https://www.rferl.org/a/czech-republic-poland-new-military-aid-ukraine/31873938.html" TargetMode="External"/><Relationship Id="rId987" Type="http://schemas.openxmlformats.org/officeDocument/2006/relationships/hyperlink" Target="https://twitter.com/alexanderdecroo/status/1497542000228417537" TargetMode="External"/><Relationship Id="rId1172" Type="http://schemas.openxmlformats.org/officeDocument/2006/relationships/hyperlink" Target="https://ua.usembassy.gov/625-million-in-additional-u-s-military-assistance-for-ukraine/" TargetMode="External"/><Relationship Id="rId2016" Type="http://schemas.openxmlformats.org/officeDocument/2006/relationships/hyperlink" Target="https://crsreports.congress.gov/product/pdf/IF/IF12040" TargetMode="External"/><Relationship Id="rId2223"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30" Type="http://schemas.openxmlformats.org/officeDocument/2006/relationships/hyperlink" Target="https://appropriations.house.gov/sites/democrats.appropriations.house.gov/files/Ukraine%20Supplemental%20Summary%20FY23.pdf" TargetMode="External"/><Relationship Id="rId2668" Type="http://schemas.openxmlformats.org/officeDocument/2006/relationships/hyperlink" Target="https://www.defense.gov/News/Releases/Release/Article/2987119/defense-department-announces-300-million-in-additional-assistance-for-ukraine/" TargetMode="External"/><Relationship Id="rId2875" Type="http://schemas.openxmlformats.org/officeDocument/2006/relationships/hyperlink" Target="https://appropriations.house.gov/sites/democrats.appropriations.house.gov/files/Additional%20Ukraine%20Suplemental%20Appropriations%20Act%20Summary.pdf" TargetMode="External"/><Relationship Id="rId402" Type="http://schemas.openxmlformats.org/officeDocument/2006/relationships/hyperlink" Target="https://www.armyrecognition.com/defense_news_march_2022_global_security_army_industry/sweden_to_provide_another_batch_of_5000_at4_anti-tank_weapons_to_ukraine.html" TargetMode="External"/><Relationship Id="rId847" Type="http://schemas.openxmlformats.org/officeDocument/2006/relationships/hyperlink" Target="https://www.defense.gov/News/Releases/Release/Article/3173378/11-billion-in-additional-security-assistance-for-ukraine/" TargetMode="External"/><Relationship Id="rId1032" Type="http://schemas.openxmlformats.org/officeDocument/2006/relationships/hyperlink" Target="https://www.reuters.com/article/idUSO9N2XQ01K" TargetMode="External"/><Relationship Id="rId1477" Type="http://schemas.openxmlformats.org/officeDocument/2006/relationships/hyperlink" Target="https://www.armyrecognition.com/defense_news_may_2022_global_security_army_industry/poland_delivers_to_ukraine_18_krab_155mm_self-propelled_howitzers.html" TargetMode="External"/><Relationship Id="rId1684" Type="http://schemas.openxmlformats.org/officeDocument/2006/relationships/hyperlink" Target="https://www.gov.si/en/news/2022-12-30-minister-fajon-hands-over-two-ambulances-for-ukraine/" TargetMode="External"/><Relationship Id="rId1891" Type="http://schemas.openxmlformats.org/officeDocument/2006/relationships/hyperlink" Target="https://appropriations.house.gov/sites/democrats.appropriations.house.gov/files/Additional%20Ukraine%20Suplemental%20Appropriations%20Act%20Summary.pdf" TargetMode="External"/><Relationship Id="rId2528" Type="http://schemas.openxmlformats.org/officeDocument/2006/relationships/hyperlink" Target="https://www.19fortyfive.com/2022/04/switchblade-the-drone-giving-ukraine-a-big-edge-against-russia/" TargetMode="External"/><Relationship Id="rId2735" Type="http://schemas.openxmlformats.org/officeDocument/2006/relationships/hyperlink" Target="https://www.whitehouse.gov/briefing-room/press-briefings/2022/04/04/press-briefing-by-press-secretary-jen-psaki-and-national-security-advisor-jake-sullivan/" TargetMode="External"/><Relationship Id="rId2942" Type="http://schemas.openxmlformats.org/officeDocument/2006/relationships/hyperlink" Target="https://ue.delegfrance.org/bilan-de-l-aide-apportee-par-la" TargetMode="External"/><Relationship Id="rId707" Type="http://schemas.openxmlformats.org/officeDocument/2006/relationships/hyperlink" Target="https://www.diplomatie.gouv.fr/en/country-files/ukraine/news/article/france-donates-a-mobile-dna-analysis-laboratory-to-ukraine-joint-press-release" TargetMode="External"/><Relationship Id="rId914" Type="http://schemas.openxmlformats.org/officeDocument/2006/relationships/hyperlink" Target="https://www.euronews.com/2022/09/29/cargo-ship-with-1000-tonnes-of-ukraine-aid-sets-sail-from-marseille" TargetMode="External"/><Relationship Id="rId1337" Type="http://schemas.openxmlformats.org/officeDocument/2006/relationships/hyperlink" Target="https://twitter.com/a_anusauskas/status/1594701256463110144" TargetMode="External"/><Relationship Id="rId1544" Type="http://schemas.openxmlformats.org/officeDocument/2006/relationships/hyperlink" Target="https://www.bundesregierung.de/resource/blob/975226/2155792/c3dbab706421f63d3d612091e7ecad4c/2022-12-27-unterstuetzung-ukraine-breg-data.pdf?download=1%20Guten" TargetMode="External"/><Relationship Id="rId1751" Type="http://schemas.openxmlformats.org/officeDocument/2006/relationships/hyperlink" Target="https://appropriations.house.gov/sites/democrats.appropriations.house.gov/files/Ukraine%20Supplemental%20Summary.pdf" TargetMode="External"/><Relationship Id="rId1989" Type="http://schemas.openxmlformats.org/officeDocument/2006/relationships/hyperlink" Target="https://appropriations.house.gov/sites/democrats.appropriations.house.gov/files/Additional%20Ukraine%20Suplemental%20Appropriations%20Act%20Summary.pdf" TargetMode="External"/><Relationship Id="rId2802" Type="http://schemas.openxmlformats.org/officeDocument/2006/relationships/hyperlink" Target="https://crsreports.congress.gov/product/pdf/IF/IF12040" TargetMode="External"/><Relationship Id="rId43" Type="http://schemas.openxmlformats.org/officeDocument/2006/relationships/hyperlink" Target="https://www.reuters.com/markets/europe/japan-offers-ukraine-100-mln-loans-show-support-2022-02-15/" TargetMode="External"/><Relationship Id="rId1404" Type="http://schemas.openxmlformats.org/officeDocument/2006/relationships/hyperlink" Target="https://www.euractiv.com/section/politics/news/france-increases-military-aid-to-ukraine-with-more-tanks/" TargetMode="External"/><Relationship Id="rId1611" Type="http://schemas.openxmlformats.org/officeDocument/2006/relationships/hyperlink" Target="https://twitter.com/UAWeapons/status/1530575142115495937" TargetMode="External"/><Relationship Id="rId1849" Type="http://schemas.openxmlformats.org/officeDocument/2006/relationships/hyperlink" Target="https://appropriations.house.gov/sites/democrats.appropriations.house.gov/files/Ukraine%20Supplemental%20Summary.pdf" TargetMode="External"/><Relationship Id="rId192" Type="http://schemas.openxmlformats.org/officeDocument/2006/relationships/hyperlink" Target="https://twitter.com/MinPres/status/1516393082148773892" TargetMode="External"/><Relationship Id="rId1709" Type="http://schemas.openxmlformats.org/officeDocument/2006/relationships/hyperlink" Target="https://www.euronews.com/2022/09/29/cargo-ship-with-1000-tonnes-of-ukraine-aid-sets-sail-from-marseille" TargetMode="External"/><Relationship Id="rId1916" Type="http://schemas.openxmlformats.org/officeDocument/2006/relationships/hyperlink" Target="https://appropriations.house.gov/sites/democrats.appropriations.house.gov/files/Additional%20Ukraine%20Suplemental%20Appropriations%20Act%20Summary.pdf" TargetMode="External"/><Relationship Id="rId497" Type="http://schemas.openxmlformats.org/officeDocument/2006/relationships/hyperlink" Target="https://www.theportugalnews.com/news/2022-04-12/portugal-sending-over-99-tonnes-of-medical-and-military-materials/66356" TargetMode="External"/><Relationship Id="rId2080" Type="http://schemas.openxmlformats.org/officeDocument/2006/relationships/hyperlink" Target="https://crsreports.congress.gov/product/pdf/IF/IF12040" TargetMode="External"/><Relationship Id="rId2178"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85" Type="http://schemas.openxmlformats.org/officeDocument/2006/relationships/hyperlink" Target="https://crsreports.congress.gov/product/pdf/IF/IF12040" TargetMode="External"/><Relationship Id="rId357" Type="http://schemas.openxmlformats.org/officeDocument/2006/relationships/hyperlink" Target="https://www.reuters.com/world/europe/ukraine-receives-harpoon-missiles-howitzers-says-defence-minister-2022-05-28/" TargetMode="External"/><Relationship Id="rId1194" Type="http://schemas.openxmlformats.org/officeDocument/2006/relationships/hyperlink" Target="https://edition.cnn.com/europe/live-news/russia-ukraine-war-news-08-25-22/index.html" TargetMode="External"/><Relationship Id="rId2038" Type="http://schemas.openxmlformats.org/officeDocument/2006/relationships/hyperlink" Target="https://crsreports.congress.gov/product/pdf/IF/IF12040" TargetMode="External"/><Relationship Id="rId2592" Type="http://schemas.openxmlformats.org/officeDocument/2006/relationships/hyperlink" Target="https://www.whitehouse.gov/briefing-room/press-briefings/2022/04/04/press-briefing-by-press-secretary-jen-psaki-and-national-security-advisor-jake-sullivan/" TargetMode="External"/><Relationship Id="rId2897" Type="http://schemas.openxmlformats.org/officeDocument/2006/relationships/hyperlink" Target="https://appropriations.house.gov/sites/democrats.appropriations.house.gov/files/Additional%20Ukraine%20Suplemental%20Appropriations%20Act%20Summary.pdf" TargetMode="External"/><Relationship Id="rId217" Type="http://schemas.openxmlformats.org/officeDocument/2006/relationships/hyperlink" Target="https://www.globalcitizen.org/en/content/stand-up-for-ukraine-impact-report/" TargetMode="External"/><Relationship Id="rId564" Type="http://schemas.openxmlformats.org/officeDocument/2006/relationships/hyperlink" Target="https://intermin.fi/en/ukraine/civilian-assistance-to-ukraine" TargetMode="External"/><Relationship Id="rId771" Type="http://schemas.openxmlformats.org/officeDocument/2006/relationships/hyperlink" Target="https://www.bbc.com/news/uk-61990479" TargetMode="External"/><Relationship Id="rId869" Type="http://schemas.openxmlformats.org/officeDocument/2006/relationships/hyperlink" Target="https://www.kmu.gov.ua/en/news/ukraina-otrymala-vid-kanady-450-mln-kanadskykh-dolariv" TargetMode="External"/><Relationship Id="rId1499" Type="http://schemas.openxmlformats.org/officeDocument/2006/relationships/hyperlink" Target="https://www.thehindu.com/news/national/ukraine-expects-india-to-participate-actively-in-post-war-construction/article65491977.ece" TargetMode="External"/><Relationship Id="rId2245"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52" Type="http://schemas.openxmlformats.org/officeDocument/2006/relationships/hyperlink" Target="https://appropriations.house.gov/sites/democrats.appropriations.house.gov/files/Ukraine%20Supplemental%20Summary.pdf" TargetMode="External"/><Relationship Id="rId424" Type="http://schemas.openxmlformats.org/officeDocument/2006/relationships/hyperlink" Target="https://twitter.com/vonderleyen/status/1512525016910471170" TargetMode="External"/><Relationship Id="rId631" Type="http://schemas.openxmlformats.org/officeDocument/2006/relationships/hyperlink" Target="https://www.wsj.com/livecoverage/russia-ukraine-latest-news-2022-04-29/card/poland-has-sent-more-than-200-tanks-to-ukraine-Krwar3DCPzHJJk4UMVh4" TargetMode="External"/><Relationship Id="rId729" Type="http://schemas.openxmlformats.org/officeDocument/2006/relationships/hyperlink" Target="https://www.minister.defence.gov.au/minister/rmarles/media-releases/australia-increases-support-ukraine" TargetMode="External"/><Relationship Id="rId1054" Type="http://schemas.openxmlformats.org/officeDocument/2006/relationships/hyperlink" Target="https://www.beehive.govt.nz/release/assistance-ukraine-extended-and-enhanced" TargetMode="External"/><Relationship Id="rId1261" Type="http://schemas.openxmlformats.org/officeDocument/2006/relationships/hyperlink" Target="https://www.facebook.com/watch/?v=830836764592255" TargetMode="External"/><Relationship Id="rId1359" Type="http://schemas.openxmlformats.org/officeDocument/2006/relationships/hyperlink" Target="https://www.euractiv.com/section/politics/short_news/dutch-to-send-extra-war-efforts-to-ukraine/" TargetMode="External"/><Relationship Id="rId2105" Type="http://schemas.openxmlformats.org/officeDocument/2006/relationships/hyperlink" Target="https://crsreports.congress.gov/product/pdf/IF/IF12040" TargetMode="External"/><Relationship Id="rId2312" Type="http://schemas.openxmlformats.org/officeDocument/2006/relationships/hyperlink" Target="https://appropriations.house.gov/sites/democrats.appropriations.house.gov/files/Ukraine%20Supplemental%20Summary%20FY23.pdf" TargetMode="External"/><Relationship Id="rId2757" Type="http://schemas.openxmlformats.org/officeDocument/2006/relationships/hyperlink" Target="https://www.whitehouse.gov/briefing-room/press-briefings/2022/04/04/press-briefing-by-press-secretary-jen-psaki-and-national-security-advisor-jake-sullivan/" TargetMode="External"/><Relationship Id="rId936" Type="http://schemas.openxmlformats.org/officeDocument/2006/relationships/hyperlink" Target="https://twitter.com/oleksiireznikov/status/1569670474841427971" TargetMode="External"/><Relationship Id="rId1121" Type="http://schemas.openxmlformats.org/officeDocument/2006/relationships/hyperlink" Target="https://www.canada.ca/en/department-national-defence/campaigns/canadian-military-support-to-ukraine.html" TargetMode="External"/><Relationship Id="rId1219" Type="http://schemas.openxmlformats.org/officeDocument/2006/relationships/hyperlink" Target="https://news.err.ee/1608742171/estonia-sends-more-ammunition-protective-equipment-to-ukraine" TargetMode="External"/><Relationship Id="rId1566" Type="http://schemas.openxmlformats.org/officeDocument/2006/relationships/hyperlink" Target="https://www.reuters.com/world/europe/germany-allocates-extra-1-bln-euros-ukraine-cyber-defence-documenting-war-crimes-2022-11-11/" TargetMode="External"/><Relationship Id="rId1773" Type="http://schemas.openxmlformats.org/officeDocument/2006/relationships/hyperlink" Target="https://appropriations.house.gov/sites/democrats.appropriations.house.gov/files/Ukraine%20Supplemental%20Summary.pdf" TargetMode="External"/><Relationship Id="rId1980" Type="http://schemas.openxmlformats.org/officeDocument/2006/relationships/hyperlink" Target="https://appropriations.house.gov/sites/democrats.appropriations.house.gov/files/Additional%20Ukraine%20Suplemental%20Appropriations%20Act%20Summary.pdf" TargetMode="External"/><Relationship Id="rId2617" Type="http://schemas.openxmlformats.org/officeDocument/2006/relationships/hyperlink" Target="https://www.defense.gov/News/Releases/Release/Article/2988565/readout-of-secretary-of-defense-lloyd-j-austin-iiis-call-with-ukraines-minister/" TargetMode="External"/><Relationship Id="rId2824" Type="http://schemas.openxmlformats.org/officeDocument/2006/relationships/hyperlink" Target="https://appropriations.house.gov/sites/democrats.appropriations.house.gov/files/Ukraine%20Supplemental%20Summary.pdf" TargetMode="External"/><Relationship Id="rId65" Type="http://schemas.openxmlformats.org/officeDocument/2006/relationships/hyperlink" Target="https://www.netnewsledger.com/2022/01/26/government-of-canada-announces-340-million-for-ukraine/" TargetMode="External"/><Relationship Id="rId1426" Type="http://schemas.openxmlformats.org/officeDocument/2006/relationships/hyperlink" Target="https://www.mosr.sk/52244-en/bvp-1-pre-ukrajinu-su-odovzdane-leopardy-pre-nasu-obranu-pridu-uz-coskoro/" TargetMode="External"/><Relationship Id="rId1633" Type="http://schemas.openxmlformats.org/officeDocument/2006/relationships/hyperlink" Target="https://twitter.com/a_anusauskas/status/1586273232511848449" TargetMode="External"/><Relationship Id="rId1840" Type="http://schemas.openxmlformats.org/officeDocument/2006/relationships/hyperlink" Target="https://appropriations.house.gov/sites/democrats.appropriations.house.gov/files/Ukraine%20Supplemental%20Summary.pdf" TargetMode="External"/><Relationship Id="rId1700" Type="http://schemas.openxmlformats.org/officeDocument/2006/relationships/hyperlink" Target="https://www.kmu.gov.ua/en/news/ukraina-otrymala-100-mln-ievro-vid-frantsii" TargetMode="External"/><Relationship Id="rId1938" Type="http://schemas.openxmlformats.org/officeDocument/2006/relationships/hyperlink" Target="https://appropriations.house.gov/sites/democrats.appropriations.house.gov/files/Additional%20Ukraine%20Suplemental%20Appropriations%20Act%20Summary.pdf" TargetMode="External"/><Relationship Id="rId281" Type="http://schemas.openxmlformats.org/officeDocument/2006/relationships/hyperlink" Target="https://mil.in.ua/en/news/south-korea-will-be-providing-ukraine-with-additional-aid-worth-1-6-million/" TargetMode="External"/><Relationship Id="rId141" Type="http://schemas.openxmlformats.org/officeDocument/2006/relationships/hyperlink" Target="https://www.gov.uk/government/speeches/pm-statement-at-ukraine-press-conference-1-february-2022" TargetMode="External"/><Relationship Id="rId379" Type="http://schemas.openxmlformats.org/officeDocument/2006/relationships/hyperlink" Target="https://www.whitehouse.gov/briefing-room/statements-releases/2022/05/06/statement-by-president-joe-biden-on-additional-security-assistance-to-ukraine/" TargetMode="External"/><Relationship Id="rId586" Type="http://schemas.openxmlformats.org/officeDocument/2006/relationships/hyperlink" Target="https://www.cbc.ca/news/politics/nato-arms-canada-1.6506611" TargetMode="External"/><Relationship Id="rId793" Type="http://schemas.openxmlformats.org/officeDocument/2006/relationships/hyperlink" Target="https://www.connexionfrance.com/article/French-news/Humanitarian-ship-for-Ukraine-leaves-French-port-with-8m-of-aid" TargetMode="External"/><Relationship Id="rId2267" Type="http://schemas.openxmlformats.org/officeDocument/2006/relationships/hyperlink" Target="https://appropriations.house.gov/sites/democrats.appropriations.house.gov/files/Ukraine%20Supplemental%20Summary%20FY23.pdf" TargetMode="External"/><Relationship Id="rId2474" Type="http://schemas.openxmlformats.org/officeDocument/2006/relationships/hyperlink" Target="https://appropriations.house.gov/sites/democrats.appropriations.house.gov/files/Additional%20Ukraine%20Suplemental%20Appropriations%20Act%20Summary.pdf" TargetMode="External"/><Relationship Id="rId2681" Type="http://schemas.openxmlformats.org/officeDocument/2006/relationships/hyperlink" Target="https://www.defense.gov/News/Releases/Release/Article/2987119/defense-department-announces-300-million-in-additional-assistance-for-ukraine/" TargetMode="External"/><Relationship Id="rId7" Type="http://schemas.openxmlformats.org/officeDocument/2006/relationships/hyperlink" Target="https://www.independent.com.mt/articles/2022-02-25/local-news/Malta-to-send-humanitarian-aid-to-Ukrainian-people-6736240942" TargetMode="External"/><Relationship Id="rId239" Type="http://schemas.openxmlformats.org/officeDocument/2006/relationships/hyperlink" Target="https://www.regjeringen.no/en/topics/foreign-affairs/humanitarian-efforts/neighbour_support/id2908141/" TargetMode="External"/><Relationship Id="rId446" Type="http://schemas.openxmlformats.org/officeDocument/2006/relationships/hyperlink" Target="https://english.almayadeen.net/news/politics/canada-sends-lethal-weapons-to-ukraine" TargetMode="External"/><Relationship Id="rId653" Type="http://schemas.openxmlformats.org/officeDocument/2006/relationships/hyperlink" Target="https://www.euractiv.com/section/politics/short_news/slovenia-sends-military-aid-including-weapons-to-ukraine/" TargetMode="External"/><Relationship Id="rId1076" Type="http://schemas.openxmlformats.org/officeDocument/2006/relationships/hyperlink" Target="https://www.defense.gouv.fr/terre/actualites/uiisc-1-3e-convoi-solidarite-lukraine" TargetMode="External"/><Relationship Id="rId1283" Type="http://schemas.openxmlformats.org/officeDocument/2006/relationships/hyperlink" Target="https://twitter.com/a_anusauskas/status/1546202214003269635" TargetMode="External"/><Relationship Id="rId1490" Type="http://schemas.openxmlformats.org/officeDocument/2006/relationships/hyperlink" Target="https://timesofindia.indiatimes.com/india/india-hands-over-12th-consignment-of-humanitarian-aid-to-ukraine/articleshow/94157783.cms" TargetMode="External"/><Relationship Id="rId2127" Type="http://schemas.openxmlformats.org/officeDocument/2006/relationships/hyperlink" Target="https://crsreports.congress.gov/product/pdf/IF/IF12040" TargetMode="External"/><Relationship Id="rId2334" Type="http://schemas.openxmlformats.org/officeDocument/2006/relationships/hyperlink" Target="https://crsreports.congress.gov/product/pdf/IF/IF12040" TargetMode="External"/><Relationship Id="rId2779" Type="http://schemas.openxmlformats.org/officeDocument/2006/relationships/hyperlink" Target="https://crsreports.congress.gov/product/pdf/IF/IF12040" TargetMode="External"/><Relationship Id="rId306" Type="http://schemas.openxmlformats.org/officeDocument/2006/relationships/hyperlink" Target="https://www.peterdutton.com.au/joint-media-release-australia-to-provide-additional-support-to-ukraine/" TargetMode="External"/><Relationship Id="rId860" Type="http://schemas.openxmlformats.org/officeDocument/2006/relationships/hyperlink" Target="https://www.defense.gov/News/Releases/Release/Article/3160503/600-million-in-additional-security-assistance-for-ukraine/" TargetMode="External"/><Relationship Id="rId958" Type="http://schemas.openxmlformats.org/officeDocument/2006/relationships/hyperlink" Target="https://www.kyivpost.com/russias-war/japan-to-provide-vans-drones-to-ukraine.html" TargetMode="External"/><Relationship Id="rId1143" Type="http://schemas.openxmlformats.org/officeDocument/2006/relationships/hyperlink" Target="https://www.gov.uk/government/news/uk-provides-increased-support-for-ukraines-energy-sector" TargetMode="External"/><Relationship Id="rId1588" Type="http://schemas.openxmlformats.org/officeDocument/2006/relationships/hyperlink" Target="https://projects.worldbank.org/en/projects-operations/project-detail/P179875" TargetMode="External"/><Relationship Id="rId1795" Type="http://schemas.openxmlformats.org/officeDocument/2006/relationships/hyperlink" Target="https://appropriations.house.gov/sites/democrats.appropriations.house.gov/files/Ukraine%20Supplemental%20Summary.pdf" TargetMode="External"/><Relationship Id="rId2541" Type="http://schemas.openxmlformats.org/officeDocument/2006/relationships/hyperlink" Target="https://www.19fortyfive.com/2022/04/switchblade-the-drone-giving-ukraine-a-big-edge-against-russia/" TargetMode="External"/><Relationship Id="rId2639" Type="http://schemas.openxmlformats.org/officeDocument/2006/relationships/hyperlink" Target="https://www.defense.gov/News/Releases/Release/Article/2988565/readout-of-secretary-of-defense-lloyd-j-austin-iiis-call-with-ukraines-minister/" TargetMode="External"/><Relationship Id="rId2846" Type="http://schemas.openxmlformats.org/officeDocument/2006/relationships/hyperlink" Target="https://appropriations.house.gov/sites/democrats.appropriations.house.gov/files/Ukraine%20Supplemental%20Summary.pdf" TargetMode="External"/><Relationship Id="rId87" Type="http://schemas.openxmlformats.org/officeDocument/2006/relationships/hyperlink" Target="https://edition.cnn.com/europe/live-news/ukraine-russia-putin-news-03-13-22/h_025dcb1758c374a11f208c39d687f1b0" TargetMode="External"/><Relationship Id="rId513" Type="http://schemas.openxmlformats.org/officeDocument/2006/relationships/hyperlink" Target="https://www-regjeringen-no.translate.goog/no/aktuelt/norge-har-donert-artilleriskyts-til-ukraina/id2917760/?_x_tr_sl=auto&amp;_x_tr_tl=auto&amp;_x_tr_hl=de" TargetMode="External"/><Relationship Id="rId720" Type="http://schemas.openxmlformats.org/officeDocument/2006/relationships/hyperlink" Target="https://www.regjeringen.no/no/aktuelt/norge-donerer-pansrede-patruljekjoretoy-til-ukraina/id2923198/" TargetMode="External"/><Relationship Id="rId818" Type="http://schemas.openxmlformats.org/officeDocument/2006/relationships/hyperlink" Target="https://www.defense.gov/News/Releases/Release/Article/3152071/675-million-in-additional-security-assistance-for-ukraine/" TargetMode="External"/><Relationship Id="rId1350" Type="http://schemas.openxmlformats.org/officeDocument/2006/relationships/hyperlink" Target="https://gouvernement.lu/en/actualites/toutes_actualites/communiques/2022/02-fevrier/28-bausch-ukraine.html" TargetMode="External"/><Relationship Id="rId1448" Type="http://schemas.openxmlformats.org/officeDocument/2006/relationships/hyperlink" Target="https://appropriations.house.gov/sites/democrats.appropriations.house.gov/files/Ukraine%20Supplemental%20Summary.pdf" TargetMode="External"/><Relationship Id="rId1655" Type="http://schemas.openxmlformats.org/officeDocument/2006/relationships/hyperlink" Target="https://www.dnevnik.bg/politika/2022/12/16/4429086_bulgariia_shte_izprati_voenna_pomosht_za_ukraina_za_20/" TargetMode="External"/><Relationship Id="rId2401" Type="http://schemas.openxmlformats.org/officeDocument/2006/relationships/hyperlink" Target="https://crsreports.congress.gov/product/pdf/IF/IF12040" TargetMode="External"/><Relationship Id="rId2706" Type="http://schemas.openxmlformats.org/officeDocument/2006/relationships/hyperlink" Target="https://www.defense.gov/News/Releases/Release/Article/2987119/defense-department-announces-300-million-in-additional-assistance-for-ukraine/" TargetMode="External"/><Relationship Id="rId1003" Type="http://schemas.openxmlformats.org/officeDocument/2006/relationships/hyperlink" Target="https://www.armyrecognition.com/defense_news_april_2022_global_security_army_industry/denmark_approves_delivery_of_m113_tracked_armored_vehicles_and_ammunition_to_ukraine.html" TargetMode="External"/><Relationship Id="rId1210" Type="http://schemas.openxmlformats.org/officeDocument/2006/relationships/hyperlink" Target="https://kaitseministeerium.ee/en/news/estonia-increase-defence-aid-ukraine" TargetMode="External"/><Relationship Id="rId1308" Type="http://schemas.openxmlformats.org/officeDocument/2006/relationships/hyperlink" Target="https://breakingdefense.com/2022/11/uk-delays-defense-spending-increase-raising-fears-3-gdp-target-will-be-axed/" TargetMode="External"/><Relationship Id="rId1862" Type="http://schemas.openxmlformats.org/officeDocument/2006/relationships/hyperlink" Target="https://appropriations.house.gov/sites/democrats.appropriations.house.gov/files/Ukraine%20Supplemental%20Summary.pdf" TargetMode="External"/><Relationship Id="rId2913" Type="http://schemas.openxmlformats.org/officeDocument/2006/relationships/hyperlink" Target="https://appropriations.house.gov/sites/democrats.appropriations.house.gov/files/Ukraine%20Supplemental%20Summary%20FY23.pdf" TargetMode="External"/><Relationship Id="rId1515" Type="http://schemas.openxmlformats.org/officeDocument/2006/relationships/hyperlink" Target="https://www.gov.ie/en/press-release/b80b7-government-ministers-announce-irish-support-for-ukrainian-health-service/?msclkid=07ab0901b05a11ec8239ca04bfcdbb9d" TargetMode="External"/><Relationship Id="rId1722" Type="http://schemas.openxmlformats.org/officeDocument/2006/relationships/hyperlink" Target="https://www.defense.gov/News/Releases/Release/Article/3261263/more-than-3-billion-in-additional-security-assistance-for-ukraine/" TargetMode="External"/><Relationship Id="rId14" Type="http://schemas.openxmlformats.org/officeDocument/2006/relationships/hyperlink" Target="https://www.politico.com/news/2022/03/22/ukraine-weapons-military-aid-00019104?msclkid=cf80c503ab8311eca021beb4b2336415" TargetMode="External"/><Relationship Id="rId2191" Type="http://schemas.openxmlformats.org/officeDocument/2006/relationships/hyperlink" Target="https://appropriations.house.gov/sites/democrats.appropriations.house.gov/files/Summary%20Continuing%20Appropriations%20and%20Ukraine%20Supplemental%20Appropriations%20Act%202023.pdf" TargetMode="External"/><Relationship Id="rId163" Type="http://schemas.openxmlformats.org/officeDocument/2006/relationships/hyperlink" Target="https://www.defense.gov/News/Releases/Release/Article/3007664/fact-sheet-on-us-security-assistance-for-ukraine-roll-up-as-of-april-21-2022/" TargetMode="External"/><Relationship Id="rId370" Type="http://schemas.openxmlformats.org/officeDocument/2006/relationships/hyperlink" Target="https://www.gazzettaufficiale.it/atto/serie_generale/caricaDettaglioAtto/originario?atto.dataPubblicazioneGazzetta=2022-05-13&amp;atto.codiceRedazionale=22A02976&amp;elenco30giorni=false" TargetMode="External"/><Relationship Id="rId2051" Type="http://schemas.openxmlformats.org/officeDocument/2006/relationships/hyperlink" Target="https://crsreports.congress.gov/product/pdf/IF/IF12040" TargetMode="External"/><Relationship Id="rId2289" Type="http://schemas.openxmlformats.org/officeDocument/2006/relationships/hyperlink" Target="https://appropriations.house.gov/sites/democrats.appropriations.house.gov/files/Ukraine%20Supplemental%20Summary%20FY23.pdf" TargetMode="External"/><Relationship Id="rId2496" Type="http://schemas.openxmlformats.org/officeDocument/2006/relationships/hyperlink" Target="https://crsreports.congress.gov/product/pdf/IF/IF12040" TargetMode="External"/><Relationship Id="rId230" Type="http://schemas.openxmlformats.org/officeDocument/2006/relationships/hyperlink" Target="https://hit-logo-klingelton.com/uk-announces-additional-230-million-in-aid-for-ukraine/?msclkid=0f934a89cf8011ec82b90a2bac4d5bea" TargetMode="External"/><Relationship Id="rId468" Type="http://schemas.openxmlformats.org/officeDocument/2006/relationships/hyperlink" Target="https://www.vlada.cz/cz/media-centrum/aktualne/vlada-schvalila-dalsi-dar-v-podobe-vojenskeho-materialu-ukrajine-194585/" TargetMode="External"/><Relationship Id="rId675" Type="http://schemas.openxmlformats.org/officeDocument/2006/relationships/hyperlink" Target="https://www.19fortyfive.com/2022/04/switchblade-the-drone-giving-ukraine-a-big-edge-against-russia/" TargetMode="External"/><Relationship Id="rId882" Type="http://schemas.openxmlformats.org/officeDocument/2006/relationships/hyperlink" Target="https://en.interfax.com.ua/news/general/859303.html" TargetMode="External"/><Relationship Id="rId1098" Type="http://schemas.openxmlformats.org/officeDocument/2006/relationships/hyperlink" Target="https://www.ukrinform.net/rubric-ato/3604150-italy-provides-ukraine-with-two-m270-systems-six-pzh-2000-about-30-selfpropelled-howitzers-media.html" TargetMode="External"/><Relationship Id="rId2149" Type="http://schemas.openxmlformats.org/officeDocument/2006/relationships/hyperlink" Target="https://crsreports.congress.gov/product/pdf/IF/IF12040" TargetMode="External"/><Relationship Id="rId2356" Type="http://schemas.openxmlformats.org/officeDocument/2006/relationships/hyperlink" Target="https://crsreports.congress.gov/product/pdf/IF/IF12040" TargetMode="External"/><Relationship Id="rId2563" Type="http://schemas.openxmlformats.org/officeDocument/2006/relationships/hyperlink" Target="https://www.19fortyfive.com/2022/04/switchblade-the-drone-giving-ukraine-a-big-edge-against-russia/" TargetMode="External"/><Relationship Id="rId2770" Type="http://schemas.openxmlformats.org/officeDocument/2006/relationships/hyperlink" Target="https://crsreports.congress.gov/product/pdf/IF/IF12040" TargetMode="External"/><Relationship Id="rId328" Type="http://schemas.openxmlformats.org/officeDocument/2006/relationships/hyperlink" Target="https://www.kmu.gov.ua/en/news/ukrayina-otrimaye-vid-yaponiyi-kredit-u-rozmiri-100-mln-dol-ssha-ta-grant-23-mln-dol-ssha" TargetMode="External"/><Relationship Id="rId535" Type="http://schemas.openxmlformats.org/officeDocument/2006/relationships/hyperlink" Target="https://www.techopital.com/la-france-envoie-28-tonnes-de-materiel-medical-en-ukraine-NS_6281.html" TargetMode="External"/><Relationship Id="rId742" Type="http://schemas.openxmlformats.org/officeDocument/2006/relationships/hyperlink" Target="https://www.kyivpost.com/world/netherlands-allocates-eur-200m-loan-for-ukraine.html" TargetMode="External"/><Relationship Id="rId1165" Type="http://schemas.openxmlformats.org/officeDocument/2006/relationships/hyperlink" Target="https://en.kriseinformation.dk/denmarks-reactions/denmarks-contributions" TargetMode="External"/><Relationship Id="rId1372" Type="http://schemas.openxmlformats.org/officeDocument/2006/relationships/hyperlink" Target="https://commonslibrary.parliament.uk/research-briefings/cbp-9477/" TargetMode="External"/><Relationship Id="rId2009" Type="http://schemas.openxmlformats.org/officeDocument/2006/relationships/hyperlink" Target="https://appropriations.house.gov/sites/democrats.appropriations.house.gov/files/Additional%20Ukraine%20Suplemental%20Appropriations%20Act%20Summary.pdf" TargetMode="External"/><Relationship Id="rId2216"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23"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30" Type="http://schemas.openxmlformats.org/officeDocument/2006/relationships/hyperlink" Target="https://www.defense.gov/News/Releases/Release/Article/2988565/readout-of-secretary-of-defense-lloyd-j-austin-iiis-call-with-ukraines-minister/" TargetMode="External"/><Relationship Id="rId2868" Type="http://schemas.openxmlformats.org/officeDocument/2006/relationships/hyperlink" Target="https://appropriations.house.gov/sites/democrats.appropriations.house.gov/files/Additional%20Ukraine%20Suplemental%20Appropriations%20Act%20Summary.pdf" TargetMode="External"/><Relationship Id="rId602" Type="http://schemas.openxmlformats.org/officeDocument/2006/relationships/hyperlink" Target="https://ec.europa.eu/commission/presscorner/detail/en/speech_22_2807" TargetMode="External"/><Relationship Id="rId1025" Type="http://schemas.openxmlformats.org/officeDocument/2006/relationships/hyperlink" Target="https://valtioneuvosto.fi/en/-/finland-to-send-arms-assistance-to-ukraine" TargetMode="External"/><Relationship Id="rId1232" Type="http://schemas.openxmlformats.org/officeDocument/2006/relationships/hyperlink" Target="https://www.aa.com.tr/en/europe/spain-announces-increase-in-military-aid-to-ukraine/2668809" TargetMode="External"/><Relationship Id="rId1677" Type="http://schemas.openxmlformats.org/officeDocument/2006/relationships/hyperlink" Target="http://web.archive.org/web/20221018175112/https:/www.government.se/press-releases/2022/06/additional-amending-budget-with-further-support-to-ukraine/" TargetMode="External"/><Relationship Id="rId1884" Type="http://schemas.openxmlformats.org/officeDocument/2006/relationships/hyperlink" Target="https://appropriations.house.gov/sites/democrats.appropriations.house.gov/files/Additional%20Ukraine%20Suplemental%20Appropriations%20Act%20Summary.pdf" TargetMode="External"/><Relationship Id="rId2728" Type="http://schemas.openxmlformats.org/officeDocument/2006/relationships/hyperlink" Target="https://www.whitehouse.gov/briefing-room/press-briefings/2022/04/04/press-briefing-by-press-secretary-jen-psaki-and-national-security-advisor-jake-sullivan/" TargetMode="External"/><Relationship Id="rId2935" Type="http://schemas.openxmlformats.org/officeDocument/2006/relationships/hyperlink" Target="https://uk.ambafrance.org/France-grants-EUR300-million-loan-to-Ukraine" TargetMode="External"/><Relationship Id="rId907" Type="http://schemas.openxmlformats.org/officeDocument/2006/relationships/hyperlink" Target="https://www.euronews.com/2022/09/29/cargo-ship-with-1000-tonnes-of-ukraine-aid-sets-sail-from-marseille" TargetMode="External"/><Relationship Id="rId1537" Type="http://schemas.openxmlformats.org/officeDocument/2006/relationships/hyperlink" Target="https://telex.hu/kulfold/2022/02/27/magyarorszag-100-ezer-liter-uzemanyagot-adomanyozott-karpataljanak" TargetMode="External"/><Relationship Id="rId1744" Type="http://schemas.openxmlformats.org/officeDocument/2006/relationships/hyperlink" Target="https://appropriations.house.gov/sites/democrats.appropriations.house.gov/files/Ukraine%20Supplemental%20Summary.pdf" TargetMode="External"/><Relationship Id="rId1951" Type="http://schemas.openxmlformats.org/officeDocument/2006/relationships/hyperlink" Target="https://appropriations.house.gov/sites/democrats.appropriations.house.gov/files/Additional%20Ukraine%20Suplemental%20Appropriations%20Act%20Summary.pdf" TargetMode="External"/><Relationship Id="rId36" Type="http://schemas.openxmlformats.org/officeDocument/2006/relationships/hyperlink" Target="https://www.vlada.cz/cz/media-centrum/aktualne/vlada-kvuli-migracni-krizi-vyhlasila-od-patku-nouzovy-stav--schvalila-i-dalsi-pomoc-pro-ukrajinu-a-navrh-na-zvyseni-vydaju-na-obranu-194695/" TargetMode="External"/><Relationship Id="rId1604"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185" Type="http://schemas.openxmlformats.org/officeDocument/2006/relationships/hyperlink" Target="https://www.ukrinform.net/rubric-ato/3462246-japan-to-extend-300-million-in-loans-to-ukraine.html" TargetMode="External"/><Relationship Id="rId1811" Type="http://schemas.openxmlformats.org/officeDocument/2006/relationships/hyperlink" Target="https://appropriations.house.gov/sites/democrats.appropriations.house.gov/files/Ukraine%20Supplemental%20Summary.pdf" TargetMode="External"/><Relationship Id="rId1909" Type="http://schemas.openxmlformats.org/officeDocument/2006/relationships/hyperlink" Target="https://appropriations.house.gov/sites/democrats.appropriations.house.gov/files/Additional%20Ukraine%20Suplemental%20Appropriations%20Act%20Summary.pdf" TargetMode="External"/><Relationship Id="rId392" Type="http://schemas.openxmlformats.org/officeDocument/2006/relationships/hyperlink" Target="https://www.cbc.ca/news/politics/canada-ukraine-artillery-1.6426132" TargetMode="External"/><Relationship Id="rId697" Type="http://schemas.openxmlformats.org/officeDocument/2006/relationships/hyperlink" Target="https://twitter.com/a_anusauskas/status/1549776944295809028" TargetMode="External"/><Relationship Id="rId2073" Type="http://schemas.openxmlformats.org/officeDocument/2006/relationships/hyperlink" Target="https://crsreports.congress.gov/product/pdf/IF/IF12040" TargetMode="External"/><Relationship Id="rId2280" Type="http://schemas.openxmlformats.org/officeDocument/2006/relationships/hyperlink" Target="https://appropriations.house.gov/sites/democrats.appropriations.house.gov/files/Ukraine%20Supplemental%20Summary%20FY23.pdf" TargetMode="External"/><Relationship Id="rId2378" Type="http://schemas.openxmlformats.org/officeDocument/2006/relationships/hyperlink" Target="https://crsreports.congress.gov/product/pdf/IF/IF12040" TargetMode="External"/><Relationship Id="rId252" Type="http://schemas.openxmlformats.org/officeDocument/2006/relationships/hyperlink" Target="https://www.admin.ch/gov/en/start/documentation/media-releases.msg-id-87488.html" TargetMode="External"/><Relationship Id="rId1187" Type="http://schemas.openxmlformats.org/officeDocument/2006/relationships/hyperlink" Target="https://www.austria.org/ukraine" TargetMode="External"/><Relationship Id="rId2140" Type="http://schemas.openxmlformats.org/officeDocument/2006/relationships/hyperlink" Target="https://crsreports.congress.gov/product/pdf/IF/IF12040" TargetMode="External"/><Relationship Id="rId2585" Type="http://schemas.openxmlformats.org/officeDocument/2006/relationships/hyperlink" Target="https://www.whitehouse.gov/briefing-room/press-briefings/2022/04/04/press-briefing-by-press-secretary-jen-psaki-and-national-security-advisor-jake-sullivan/" TargetMode="External"/><Relationship Id="rId2792" Type="http://schemas.openxmlformats.org/officeDocument/2006/relationships/hyperlink" Target="https://crsreports.congress.gov/product/pdf/IF/IF12040" TargetMode="External"/><Relationship Id="rId112" Type="http://schemas.openxmlformats.org/officeDocument/2006/relationships/hyperlink" Target="https://www.telegraph.co.uk/world-news/2022/03/24/ukraine-morning-briefing-five-developments-britain-agrees-send/" TargetMode="External"/><Relationship Id="rId557" Type="http://schemas.openxmlformats.org/officeDocument/2006/relationships/hyperlink" Target="https://www.gov.uk/government/news/prime-minister-pledges-uks-unwavering-support-to-ukraine-on-visit-to-kyiv-9-april-2022" TargetMode="External"/><Relationship Id="rId764" Type="http://schemas.openxmlformats.org/officeDocument/2006/relationships/hyperlink" Target="https://twitter.com/oleksiireznikov/status/1565001295177687045" TargetMode="External"/><Relationship Id="rId971" Type="http://schemas.openxmlformats.org/officeDocument/2006/relationships/hyperlink" Target="https://www.bbc.com/ukrainian/live/62300872?ns_mchannel=social&amp;ns_source=twitter&amp;ns_campaign=bbc_live&amp;ns_linkname=62f3fd302ea3472fbde8330b%26%D0%91%D1%80%D0%B8%D1%82%D0%B0%D0%BD%D1%96%D1%8F%20%D0%BD%D0%B0%D0%B4%D1%81%D0%B8%D0%BB%D0%B0%D1%94%20%D0%BD%D0%BE%D0%B2%D1%96%20%D1%81%D0%B8%D1%81%D1%82%D0%B5%D0%BC%D0%B8%20%D0%B7%D0%B0%D0%BB%D0%BF%D0%BE%D0%B2%D0%BE%D0%B3%D0%BE%20%D0%B2%D0%BE%D0%B3%D0%BD%D1%8E%20%D0%B4%D0%BB%D1%8F%20%D0%A3%D0%BA%D1%80%D0%B0%D1%97%D0%BD%D0%B8%262022-08-10T18%3A59%3A13.398Z&amp;ns_fee=0&amp;pinned_post_locator=urn:asset:cea8dcb7-dd1a-4a71-b0a4-54ce84646b98&amp;pinned_post_asset_id=62f3fd302ea3472fbde8330b&amp;pinned_post_type=share" TargetMode="External"/><Relationship Id="rId1394" Type="http://schemas.openxmlformats.org/officeDocument/2006/relationships/hyperlink" Target="https://www.elysee.fr/emmanuel-macron/2022/12/13/solidaires-du-peuple-ukrainien" TargetMode="External"/><Relationship Id="rId1699" Type="http://schemas.openxmlformats.org/officeDocument/2006/relationships/hyperlink" Target="http://www.mof.gov.ua/uk/news/ukraine_received_eur_100_million_loan_from_france-3760" TargetMode="External"/><Relationship Id="rId2000" Type="http://schemas.openxmlformats.org/officeDocument/2006/relationships/hyperlink" Target="https://appropriations.house.gov/sites/democrats.appropriations.house.gov/files/Additional%20Ukraine%20Suplemental%20Appropriations%20Act%20Summary.pdf" TargetMode="External"/><Relationship Id="rId2238"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45" Type="http://schemas.openxmlformats.org/officeDocument/2006/relationships/hyperlink" Target="https://appropriations.house.gov/sites/democrats.appropriations.house.gov/files/Ukraine%20Supplemental%20Summary%20FY23.pdf" TargetMode="External"/><Relationship Id="rId2652" Type="http://schemas.openxmlformats.org/officeDocument/2006/relationships/hyperlink" Target="https://www.defense.gov/News/Releases/Release/Article/2988565/readout-of-secretary-of-defense-lloyd-j-austin-iiis-call-with-ukraines-minister/" TargetMode="External"/><Relationship Id="rId417" Type="http://schemas.openxmlformats.org/officeDocument/2006/relationships/hyperlink" Target="https://www.bbc.com/news/world-europe-61482305" TargetMode="External"/><Relationship Id="rId624" Type="http://schemas.openxmlformats.org/officeDocument/2006/relationships/hyperlink" Target="https://www.diplomatie.gouv.fr/en/country-files/ukraine/news/article/ukraine-france-mobilised-to-support-ukraine-through-medical-care-for-war" TargetMode="External"/><Relationship Id="rId831" Type="http://schemas.openxmlformats.org/officeDocument/2006/relationships/hyperlink" Target="https://www.defense.gov/News/Releases/Release/Article/3160503/600-million-in-additional-security-assistance-for-ukraine/" TargetMode="External"/><Relationship Id="rId1047" Type="http://schemas.openxmlformats.org/officeDocument/2006/relationships/hyperlink" Target="https://www.asahi.com/ajw/articles/14608909" TargetMode="External"/><Relationship Id="rId1254" Type="http://schemas.openxmlformats.org/officeDocument/2006/relationships/hyperlink" Target="https://www.leparisien.fr/politique/sebastien-lecornu-nous-allons-former-jusqua-2000-soldats-ukrainiens-en-france-15-10-2022-SBLM6EKPOFELNHN3GHGA7IAESY.php" TargetMode="External"/><Relationship Id="rId1461" Type="http://schemas.openxmlformats.org/officeDocument/2006/relationships/hyperlink" Target="https://www.defense.gov/News/Releases/Release/Article/3227217/400-million-in-additional-assistance-for-ukraine/" TargetMode="External"/><Relationship Id="rId2305" Type="http://schemas.openxmlformats.org/officeDocument/2006/relationships/hyperlink" Target="https://appropriations.house.gov/sites/democrats.appropriations.house.gov/files/Ukraine%20Supplemental%20Summary%20FY23.pdf" TargetMode="External"/><Relationship Id="rId2512" Type="http://schemas.openxmlformats.org/officeDocument/2006/relationships/hyperlink" Target="https://www.eurointegration.com.ua/eng/news/2022/12/27/7153213/" TargetMode="External"/><Relationship Id="rId929" Type="http://schemas.openxmlformats.org/officeDocument/2006/relationships/hyperlink" Target="https://news.err.ee/1608727414/estonia-sends-12-buses-to-ukraine-s-zhytomyr-region" TargetMode="External"/><Relationship Id="rId1114" Type="http://schemas.openxmlformats.org/officeDocument/2006/relationships/hyperlink" Target="https://gemeindebund.at/gemeinden-blaulichtorganisationen-und-unternehmen-helfen-der-ukraine/" TargetMode="External"/><Relationship Id="rId1321"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1559" Type="http://schemas.openxmlformats.org/officeDocument/2006/relationships/hyperlink" Target="https://www.bundesregierung.de/breg-en/news/military-support-ukraine-2054992" TargetMode="External"/><Relationship Id="rId1766" Type="http://schemas.openxmlformats.org/officeDocument/2006/relationships/hyperlink" Target="https://appropriations.house.gov/sites/democrats.appropriations.house.gov/files/Ukraine%20Supplemental%20Summary.pdf" TargetMode="External"/><Relationship Id="rId1973" Type="http://schemas.openxmlformats.org/officeDocument/2006/relationships/hyperlink" Target="https://appropriations.house.gov/sites/democrats.appropriations.house.gov/files/Additional%20Ukraine%20Suplemental%20Appropriations%20Act%20Summary.pdf" TargetMode="External"/><Relationship Id="rId2817" Type="http://schemas.openxmlformats.org/officeDocument/2006/relationships/hyperlink" Target="https://appropriations.house.gov/sites/democrats.appropriations.house.gov/files/Ukraine%20Supplemental%20Summary.pdf" TargetMode="External"/><Relationship Id="rId58" Type="http://schemas.openxmlformats.org/officeDocument/2006/relationships/hyperlink" Target="https://www.bnnbloomberg.ca/imf-creates-new-account-to-help-ukraine-as-canada-pledges-funds-1.1749951" TargetMode="External"/><Relationship Id="rId1419" Type="http://schemas.openxmlformats.org/officeDocument/2006/relationships/hyperlink" Target="https://kyivindependent.com/news-feed/slovakia-considers-producing-ammunition-for-ukraine" TargetMode="External"/><Relationship Id="rId1626" Type="http://schemas.openxmlformats.org/officeDocument/2006/relationships/hyperlink" Target="https://um.dk/en/foreign-policy/danish-support-for-ukraine" TargetMode="External"/><Relationship Id="rId1833" Type="http://schemas.openxmlformats.org/officeDocument/2006/relationships/hyperlink" Target="https://appropriations.house.gov/sites/democrats.appropriations.house.gov/files/Ukraine%20Supplemental%20Summary.pdf" TargetMode="External"/><Relationship Id="rId1900" Type="http://schemas.openxmlformats.org/officeDocument/2006/relationships/hyperlink" Target="https://appropriations.house.gov/sites/democrats.appropriations.house.gov/files/Additional%20Ukraine%20Suplemental%20Appropriations%20Act%20Summary.pdf" TargetMode="External"/><Relationship Id="rId2095" Type="http://schemas.openxmlformats.org/officeDocument/2006/relationships/hyperlink" Target="https://crsreports.congress.gov/product/pdf/IF/IF12040" TargetMode="External"/><Relationship Id="rId274" Type="http://schemas.openxmlformats.org/officeDocument/2006/relationships/hyperlink" Target="https://www.mfat.govt.nz/en/countries-and-regions/europe/ukraine/russian-invasion-of-ukraine/" TargetMode="External"/><Relationship Id="rId481" Type="http://schemas.openxmlformats.org/officeDocument/2006/relationships/hyperlink" Target="https://www.foreignminister.gov.au/minister/marise-payne/media-release/additional-support-ukraine" TargetMode="External"/><Relationship Id="rId2162" Type="http://schemas.openxmlformats.org/officeDocument/2006/relationships/hyperlink" Target="https://appropriations.house.gov/sites/democrats.appropriations.house.gov/files/Ukraine%20Supplemental%20Summary.pdf" TargetMode="External"/><Relationship Id="rId134" Type="http://schemas.openxmlformats.org/officeDocument/2006/relationships/hyperlink" Target="https://www.lamoncloa.gob.es/lang/en/gobierno/news/Paginas/2022/20220226_humanitarian-aid.aspx" TargetMode="External"/><Relationship Id="rId579" Type="http://schemas.openxmlformats.org/officeDocument/2006/relationships/hyperlink" Target="https://bulgarianmilitary.com/2022/06/20/ukraine-gets-australian-m113as4-with-12-7mm-browning-m2hb-qcb-355hp/" TargetMode="External"/><Relationship Id="rId786" Type="http://schemas.openxmlformats.org/officeDocument/2006/relationships/hyperlink" Target="https://www.brusselstimes.com/290771/belgium-to-give-e12-million-in-military-aid-to-ukraine" TargetMode="External"/><Relationship Id="rId993" Type="http://schemas.openxmlformats.org/officeDocument/2006/relationships/hyperlink" Target="https://www.forbes.com/sites/sebastienroblin/2022/10/28/czech-super-t-72m4-tanks-seen-headed-towards-ukraine/?sh=679ee5423ce7" TargetMode="External"/><Relationship Id="rId2467" Type="http://schemas.openxmlformats.org/officeDocument/2006/relationships/hyperlink" Target="https://appropriations.house.gov/sites/democrats.appropriations.house.gov/files/Ukraine%20Supplemental%20Summary.pdf" TargetMode="External"/><Relationship Id="rId2674" Type="http://schemas.openxmlformats.org/officeDocument/2006/relationships/hyperlink" Target="https://www.defense.gov/News/Releases/Release/Article/2987119/defense-department-announces-300-million-in-additional-assistance-for-ukraine/" TargetMode="External"/><Relationship Id="rId341" Type="http://schemas.openxmlformats.org/officeDocument/2006/relationships/hyperlink" Target="https://www.youtube.com/watch?v=A1nTsblXabc" TargetMode="External"/><Relationship Id="rId439" Type="http://schemas.openxmlformats.org/officeDocument/2006/relationships/hyperlink" Target="https://www.consilium.europa.eu/en/press/press-releases/2022/05/24/eu-support-to-ukraine-council-agrees-on-further-increase-of-support-under-the-european-peace-facility/" TargetMode="External"/><Relationship Id="rId646" Type="http://schemas.openxmlformats.org/officeDocument/2006/relationships/hyperlink" Target="https://radar.rp.pl/przemysl-obronny/art35751811-pioruny-drony-i-amunicja-polskie-uzbrojenie-w-drodze-na-ukraine" TargetMode="External"/><Relationship Id="rId1069" Type="http://schemas.openxmlformats.org/officeDocument/2006/relationships/hyperlink" Target="https://www.interieur.gouv.fr/actualites/dossiers/situation-en-ukraine/solidarite-nationale-envers-lukraine-second-convoi-de" TargetMode="External"/><Relationship Id="rId1276" Type="http://schemas.openxmlformats.org/officeDocument/2006/relationships/hyperlink" Target="https://www.regjeringen.no/en/topics/foreign-affairs/humanitarian-efforts/neighbour_support/id2908141/" TargetMode="External"/><Relationship Id="rId1483" Type="http://schemas.openxmlformats.org/officeDocument/2006/relationships/hyperlink" Target="https://www.defense.gov/News/Releases/Release/Article/3252782/185-billion-in-additional-security-assistance-for-ukraine/" TargetMode="External"/><Relationship Id="rId2022" Type="http://schemas.openxmlformats.org/officeDocument/2006/relationships/hyperlink" Target="https://crsreports.congress.gov/product/pdf/IF/IF12040" TargetMode="External"/><Relationship Id="rId2327" Type="http://schemas.openxmlformats.org/officeDocument/2006/relationships/hyperlink" Target="https://crsreports.congress.gov/product/pdf/IF/IF12040" TargetMode="External"/><Relationship Id="rId2881" Type="http://schemas.openxmlformats.org/officeDocument/2006/relationships/hyperlink" Target="https://appropriations.house.gov/sites/democrats.appropriations.house.gov/files/Additional%20Ukraine%20Suplemental%20Appropriations%20Act%20Summary.pdf" TargetMode="External"/><Relationship Id="rId201" Type="http://schemas.openxmlformats.org/officeDocument/2006/relationships/hyperlink" Target="https://www.businesstoday.in/crypto/story/finland-set-to-donate-over-eu70-million-worth-of-crypto-to-war-torn-ukraine-331795-2022-04-29" TargetMode="External"/><Relationship Id="rId506" Type="http://schemas.openxmlformats.org/officeDocument/2006/relationships/hyperlink" Target="https://www.armyrecognition.com/defense_news_may_2022_global_security_army_industry/lithuania_prepares_a_shipment_of_20_m113_tracked_apcs_to_ukraine.html" TargetMode="External"/><Relationship Id="rId853" Type="http://schemas.openxmlformats.org/officeDocument/2006/relationships/hyperlink" Target="https://www.defense.gov/News/Releases/Release/Article/3173378/11-billion-in-additional-security-assistance-for-ukraine/" TargetMode="External"/><Relationship Id="rId1136" Type="http://schemas.openxmlformats.org/officeDocument/2006/relationships/hyperlink" Target="https://www.youtube.com/watch?v=D59VdvNdPwo&amp;t=2s&amp;ab_channel=NATONews" TargetMode="External"/><Relationship Id="rId1690" Type="http://schemas.openxmlformats.org/officeDocument/2006/relationships/hyperlink" Target="https://www.reuters.com/world/europe/russia-pounds-ukraine-civil-infrastructure-powers-meet-provide-aid-2022-12-13/" TargetMode="External"/><Relationship Id="rId1788" Type="http://schemas.openxmlformats.org/officeDocument/2006/relationships/hyperlink" Target="https://appropriations.house.gov/sites/democrats.appropriations.house.gov/files/Ukraine%20Supplemental%20Summary.pdf" TargetMode="External"/><Relationship Id="rId1995" Type="http://schemas.openxmlformats.org/officeDocument/2006/relationships/hyperlink" Target="https://appropriations.house.gov/sites/democrats.appropriations.house.gov/files/Additional%20Ukraine%20Suplemental%20Appropriations%20Act%20Summary.pdf" TargetMode="External"/><Relationship Id="rId2534" Type="http://schemas.openxmlformats.org/officeDocument/2006/relationships/hyperlink" Target="https://www.19fortyfive.com/2022/04/switchblade-the-drone-giving-ukraine-a-big-edge-against-russia/" TargetMode="External"/><Relationship Id="rId2741" Type="http://schemas.openxmlformats.org/officeDocument/2006/relationships/hyperlink" Target="https://www.whitehouse.gov/briefing-room/press-briefings/2022/04/04/press-briefing-by-press-secretary-jen-psaki-and-national-security-advisor-jake-sullivan/" TargetMode="External"/><Relationship Id="rId2839" Type="http://schemas.openxmlformats.org/officeDocument/2006/relationships/hyperlink" Target="https://appropriations.house.gov/sites/democrats.appropriations.house.gov/files/Ukraine%20Supplemental%20Summary.pdf" TargetMode="External"/><Relationship Id="rId713" Type="http://schemas.openxmlformats.org/officeDocument/2006/relationships/hyperlink" Target="https://www.ilfattoquotidiano.it/2022/07/27/armi-allucraina-ok-del-copasir-al-quarto-decreto-sullinvio-aderente-alle-indicazioni-del-parlamento-la-lista-e-sempre-segreta/6744667/" TargetMode="External"/><Relationship Id="rId920" Type="http://schemas.openxmlformats.org/officeDocument/2006/relationships/hyperlink" Target="https://www.diplomatie.gouv.fr/en/country-files/ukraine/news/article/ukraine-catherine-colonna-to-attend-the-launch-of-solidarity-operation-un" TargetMode="External"/><Relationship Id="rId1343" Type="http://schemas.openxmlformats.org/officeDocument/2006/relationships/hyperlink" Target="https://twitter.com/a_anusauskas/status/1594701256463110144" TargetMode="External"/><Relationship Id="rId1550" Type="http://schemas.openxmlformats.org/officeDocument/2006/relationships/hyperlink" Target="https://www.bundesregierung.de/breg-en/news/military-support-ukraine-2054992" TargetMode="External"/><Relationship Id="rId1648" Type="http://schemas.openxmlformats.org/officeDocument/2006/relationships/hyperlink" Target="https://www.canada.ca/en/department-national-defence/campaigns/canadian-military-support-to-ukraine.html" TargetMode="External"/><Relationship Id="rId2601" Type="http://schemas.openxmlformats.org/officeDocument/2006/relationships/hyperlink" Target="https://www.whitehouse.gov/briefing-room/press-briefings/2022/04/04/press-briefing-by-press-secretary-jen-psaki-and-national-security-advisor-jake-sullivan/" TargetMode="External"/><Relationship Id="rId1203" Type="http://schemas.openxmlformats.org/officeDocument/2006/relationships/hyperlink" Target="https://twitter.com/kyivindependent/status/1520462556338569216?lang=en" TargetMode="External"/><Relationship Id="rId1410" Type="http://schemas.openxmlformats.org/officeDocument/2006/relationships/hyperlink" Target="https://english.nv.ua/nation/italy-to-transfer-samp-t-air-defense-battery-to-ukraine-news-50297426.html" TargetMode="External"/><Relationship Id="rId1508" Type="http://schemas.openxmlformats.org/officeDocument/2006/relationships/hyperlink" Target="https://www.republicworld.com/world-news/russia-ukraine-crisis/greece-delivered-unbelievable-amount-of-military-equipment-to-ukraine-report-articleshow.html" TargetMode="External"/><Relationship Id="rId1855" Type="http://schemas.openxmlformats.org/officeDocument/2006/relationships/hyperlink" Target="https://appropriations.house.gov/sites/democrats.appropriations.house.gov/files/Ukraine%20Supplemental%20Summary.pdf" TargetMode="External"/><Relationship Id="rId2906" Type="http://schemas.openxmlformats.org/officeDocument/2006/relationships/hyperlink" Target="https://appropriations.house.gov/sites/democrats.appropriations.house.gov/files/Ukraine%20Supplemental%20Summary%20FY23.pdf" TargetMode="External"/><Relationship Id="rId1715" Type="http://schemas.openxmlformats.org/officeDocument/2006/relationships/hyperlink" Target="https://www.thedefensepost.com/2023/01/24/italy-air-defense-system-ukraine/" TargetMode="External"/><Relationship Id="rId1922" Type="http://schemas.openxmlformats.org/officeDocument/2006/relationships/hyperlink" Target="https://appropriations.house.gov/sites/democrats.appropriations.house.gov/files/Additional%20Ukraine%20Suplemental%20Appropriations%20Act%20Summary.pdf" TargetMode="External"/><Relationship Id="rId296" Type="http://schemas.openxmlformats.org/officeDocument/2006/relationships/hyperlink" Target="https://www.gov.uk/government/publications/world-bank-spring-meetings-2022-uk-governors-statement/world-bank-spring-meetings-2022-uk-governors-statement" TargetMode="External"/><Relationship Id="rId2184"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91" Type="http://schemas.openxmlformats.org/officeDocument/2006/relationships/hyperlink" Target="https://crsreports.congress.gov/product/pdf/IF/IF12040" TargetMode="External"/><Relationship Id="rId156" Type="http://schemas.openxmlformats.org/officeDocument/2006/relationships/hyperlink" Target="https://twitter.com/Defensagob/status/1508877933242372096" TargetMode="External"/><Relationship Id="rId363" Type="http://schemas.openxmlformats.org/officeDocument/2006/relationships/hyperlink" Target="https://www.esteri.it/en/politica-estera-e-cooperazione-allo-sviluppo/aree_geografiche/europa/litalia-a-sostegno-dellucraina/" TargetMode="External"/><Relationship Id="rId570" Type="http://schemas.openxmlformats.org/officeDocument/2006/relationships/hyperlink" Target="https://intermin.fi/en/ukraine/civilian-assistance-to-ukraine" TargetMode="External"/><Relationship Id="rId2044" Type="http://schemas.openxmlformats.org/officeDocument/2006/relationships/hyperlink" Target="https://crsreports.congress.gov/product/pdf/IF/IF12040" TargetMode="External"/><Relationship Id="rId2251" Type="http://schemas.openxmlformats.org/officeDocument/2006/relationships/hyperlink" Target="https://appropriations.house.gov/sites/democrats.appropriations.house.gov/files/Ukraine%20Supplemental%20Summary%20FY23.pdf" TargetMode="External"/><Relationship Id="rId2489" Type="http://schemas.openxmlformats.org/officeDocument/2006/relationships/hyperlink" Target="https://crsreports.congress.gov/product/pdf/IF/IF12040" TargetMode="External"/><Relationship Id="rId2696" Type="http://schemas.openxmlformats.org/officeDocument/2006/relationships/hyperlink" Target="https://www.defense.gov/News/Releases/Release/Article/2987119/defense-department-announces-300-million-in-additional-assistance-for-ukraine/" TargetMode="External"/><Relationship Id="rId223" Type="http://schemas.openxmlformats.org/officeDocument/2006/relationships/hyperlink" Target="https://sloveniatimes.com/slovenia-sending-eur-100000-aid-to-ukraine/" TargetMode="External"/><Relationship Id="rId430" Type="http://schemas.openxmlformats.org/officeDocument/2006/relationships/hyperlink" Target="https://www.eib.org/en/press/news/donation-ukraine" TargetMode="External"/><Relationship Id="rId668" Type="http://schemas.openxmlformats.org/officeDocument/2006/relationships/hyperlink" Target="https://focustaiwan.tw/politics/202206030014" TargetMode="External"/><Relationship Id="rId875" Type="http://schemas.openxmlformats.org/officeDocument/2006/relationships/hyperlink" Target="https://www.brusselstimes.com/278107/belgium-provides-e8-million-for-non-lethal-help-to-ukraine" TargetMode="External"/><Relationship Id="rId1060" Type="http://schemas.openxmlformats.org/officeDocument/2006/relationships/hyperlink" Target="https://www.swissinfo.ch/eng/politics/swiss-to-send-chf100-million-in-aid-to-help-ukraine-get-through-winter/48025666" TargetMode="External"/><Relationship Id="rId1298" Type="http://schemas.openxmlformats.org/officeDocument/2006/relationships/hyperlink" Target="https://www.defensa.gob.es/gabinete/notasPrensa/2022/10/DGC-221006-envio-ucrania.html" TargetMode="External"/><Relationship Id="rId2111" Type="http://schemas.openxmlformats.org/officeDocument/2006/relationships/hyperlink" Target="https://crsreports.congress.gov/product/pdf/IF/IF12040" TargetMode="External"/><Relationship Id="rId2349" Type="http://schemas.openxmlformats.org/officeDocument/2006/relationships/hyperlink" Target="https://crsreports.congress.gov/product/pdf/IF/IF12040" TargetMode="External"/><Relationship Id="rId2556" Type="http://schemas.openxmlformats.org/officeDocument/2006/relationships/hyperlink" Target="https://www.19fortyfive.com/2022/04/switchblade-the-drone-giving-ukraine-a-big-edge-against-russia/" TargetMode="External"/><Relationship Id="rId2763" Type="http://schemas.openxmlformats.org/officeDocument/2006/relationships/hyperlink" Target="https://crsreports.congress.gov/product/pdf/IF/IF12040" TargetMode="External"/><Relationship Id="rId528" Type="http://schemas.openxmlformats.org/officeDocument/2006/relationships/hyperlink" Target="https://mil.in.ua/en/news/the-netherlands-italy-and-belgium-have-agreed-to-transfer-the-additional-155-mm-caliber-acs-to-ukraine/" TargetMode="External"/><Relationship Id="rId735" Type="http://schemas.openxmlformats.org/officeDocument/2006/relationships/hyperlink" Target="https://thediplomatinspain.com/en/2022/07/spain-announces-250-million-euros-for-agriculture-and-renewables-in-ukraine/" TargetMode="External"/><Relationship Id="rId942" Type="http://schemas.openxmlformats.org/officeDocument/2006/relationships/hyperlink" Target="https://mil.in.ua/en/news/estonia-handed-over-the-second-modern-mobile-hospital-to-the-ukrainian-army/" TargetMode="External"/><Relationship Id="rId1158" Type="http://schemas.openxmlformats.org/officeDocument/2006/relationships/hyperlink" Target="https://breakingdefense.com/2022/11/uk-delays-defense-spending-increase-raising-fears-3-gdp-target-will-be-axed/" TargetMode="External"/><Relationship Id="rId1365" Type="http://schemas.openxmlformats.org/officeDocument/2006/relationships/hyperlink" Target="https://www.defensie.nl/onderwerpen/oostflank-navo-gebied/militaire-steun-aan-oekraine" TargetMode="External"/><Relationship Id="rId1572" Type="http://schemas.openxmlformats.org/officeDocument/2006/relationships/hyperlink" Target="https://www.bloomberg.com/news/articles/2022-05-19/germany-to-contribute-1-billion-euros-of-grants-to-ukraine" TargetMode="External"/><Relationship Id="rId2209"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16"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23" Type="http://schemas.openxmlformats.org/officeDocument/2006/relationships/hyperlink" Target="https://www.defense.gov/News/Releases/Release/Article/2988565/readout-of-secretary-of-defense-lloyd-j-austin-iiis-call-with-ukraines-minister/" TargetMode="External"/><Relationship Id="rId1018" Type="http://schemas.openxmlformats.org/officeDocument/2006/relationships/hyperlink" Target="https://um.dk/en/foreign-policy/danish-support-for-ukraine" TargetMode="External"/><Relationship Id="rId1225" Type="http://schemas.openxmlformats.org/officeDocument/2006/relationships/hyperlink" Target="https://www.republicworld.com/world-news/russia-ukraine-crisis/estonia-confirms-relief-package-to-aid-war-torn-ukraine-articleshow.html" TargetMode="External"/><Relationship Id="rId1432" Type="http://schemas.openxmlformats.org/officeDocument/2006/relationships/hyperlink" Target="https://www.euractiv.com/section/politics/news/finland-sends-11th-military-aid-package-to-ukraine/" TargetMode="External"/><Relationship Id="rId1877" Type="http://schemas.openxmlformats.org/officeDocument/2006/relationships/hyperlink" Target="https://appropriations.house.gov/sites/democrats.appropriations.house.gov/files/Additional%20Ukraine%20Suplemental%20Appropriations%20Act%20Summary.pdf" TargetMode="External"/><Relationship Id="rId2830" Type="http://schemas.openxmlformats.org/officeDocument/2006/relationships/hyperlink" Target="https://appropriations.house.gov/sites/democrats.appropriations.house.gov/files/Ukraine%20Supplemental%20Summary.pdf" TargetMode="External"/><Relationship Id="rId2928" Type="http://schemas.openxmlformats.org/officeDocument/2006/relationships/hyperlink" Target="https://www.eda.admin.ch/eda/de/home/das-eda/aktuell/newsuebersicht/2022/02/ukraine.html" TargetMode="External"/><Relationship Id="rId71" Type="http://schemas.openxmlformats.org/officeDocument/2006/relationships/hyperlink" Target="https://www.vlada.cz/cz/media-centrum/aktualne/vlada-petra-fialy-schvalila-dalsi-vojenskou-pomoc-bojujici-ukrajine-194603/" TargetMode="External"/><Relationship Id="rId802" Type="http://schemas.openxmlformats.org/officeDocument/2006/relationships/hyperlink" Target="https://www.defense.gov/News/Releases/Release/Article/3134457/775-million-in-additional-security-assistance-for-ukraine/" TargetMode="External"/><Relationship Id="rId1737" Type="http://schemas.openxmlformats.org/officeDocument/2006/relationships/hyperlink" Target="https://appropriations.house.gov/sites/democrats.appropriations.house.gov/files/Ukraine%20Supplemental%20Summary.pdf" TargetMode="External"/><Relationship Id="rId1944" Type="http://schemas.openxmlformats.org/officeDocument/2006/relationships/hyperlink" Target="https://appropriations.house.gov/sites/democrats.appropriations.house.gov/files/Additional%20Ukraine%20Suplemental%20Appropriations%20Act%20Summary.pdf" TargetMode="External"/><Relationship Id="rId29" Type="http://schemas.openxmlformats.org/officeDocument/2006/relationships/hyperlink" Target="https://ba.n1info.com/english/news/croatia-sends-emergency-aid-worth-e1-2m-to-ukraine-in-wake-of-russias-invasion/" TargetMode="External"/><Relationship Id="rId178" Type="http://schemas.openxmlformats.org/officeDocument/2006/relationships/hyperlink" Target="https://www.worldbank.org/en/news/press-release/2022/03/07/world-bank-mobilizes-an-emergency-financing-package-of-over-700-million-for-ukraine" TargetMode="External"/><Relationship Id="rId1804" Type="http://schemas.openxmlformats.org/officeDocument/2006/relationships/hyperlink" Target="https://appropriations.house.gov/sites/democrats.appropriations.house.gov/files/Ukraine%20Supplemental%20Summary.pdf" TargetMode="External"/><Relationship Id="rId385" Type="http://schemas.openxmlformats.org/officeDocument/2006/relationships/hyperlink" Target="https://mil.in.ua/en/news/portugal-is-preparing-to-hand-over-m113-armored-personnel-carriers-to-ukraine-media/" TargetMode="External"/><Relationship Id="rId592" Type="http://schemas.openxmlformats.org/officeDocument/2006/relationships/hyperlink" Target="https://www.government.nl/topics/russia-and-ukraine/news/2022/02/18/the-netherlands-intends-to-supply-military-goods-to-ukraine" TargetMode="External"/><Relationship Id="rId2066" Type="http://schemas.openxmlformats.org/officeDocument/2006/relationships/hyperlink" Target="https://crsreports.congress.gov/product/pdf/IF/IF12040" TargetMode="External"/><Relationship Id="rId2273" Type="http://schemas.openxmlformats.org/officeDocument/2006/relationships/hyperlink" Target="https://appropriations.house.gov/sites/democrats.appropriations.house.gov/files/Ukraine%20Supplemental%20Summary%20FY23.pdf" TargetMode="External"/><Relationship Id="rId2480" Type="http://schemas.openxmlformats.org/officeDocument/2006/relationships/hyperlink" Target="https://appropriations.house.gov/sites/democrats.appropriations.house.gov/files/Additional%20Ukraine%20Suplemental%20Appropriations%20Act%20Summary.pdf" TargetMode="External"/><Relationship Id="rId245" Type="http://schemas.openxmlformats.org/officeDocument/2006/relationships/hyperlink" Target="https://twitter.com/AFADTurkey/status/1503080333205700608" TargetMode="External"/><Relationship Id="rId452" Type="http://schemas.openxmlformats.org/officeDocument/2006/relationships/hyperlink" Target="https://twitter.com/edgarsrinkevics/status/1511694357560180745?ref_src=twsrc%5Etfw%7Ctwcamp%5Etweetembed%7Ctwterm%5E1511694357560180745%7Ctwgr%5E%7Ctwcon%5Es1_&amp;ref_url=https%3A%2F%2Fwww.redditmedia.com%2Fmediaembed%2Ftxqhaq%3Fresponsive%3Dtrueis_nightmode%3Dfalse" TargetMode="External"/><Relationship Id="rId897" Type="http://schemas.openxmlformats.org/officeDocument/2006/relationships/hyperlink" Target="https://cyprus-mail.com/2022/04/06/aid-for-ukraine-now-tops-e2-million/" TargetMode="External"/><Relationship Id="rId1082" Type="http://schemas.openxmlformats.org/officeDocument/2006/relationships/hyperlink" Target="https://www.defense.gouv.fr/terre/actualites/uiisc-1-3e-convoi-solidarite-lukraine" TargetMode="External"/><Relationship Id="rId2133" Type="http://schemas.openxmlformats.org/officeDocument/2006/relationships/hyperlink" Target="https://crsreports.congress.gov/product/pdf/IF/IF12040" TargetMode="External"/><Relationship Id="rId2340" Type="http://schemas.openxmlformats.org/officeDocument/2006/relationships/hyperlink" Target="https://crsreports.congress.gov/product/pdf/IF/IF12040" TargetMode="External"/><Relationship Id="rId2578" Type="http://schemas.openxmlformats.org/officeDocument/2006/relationships/hyperlink" Target="https://www.whitehouse.gov/briefing-room/press-briefings/2022/04/04/press-briefing-by-press-secretary-jen-psaki-and-national-security-advisor-jake-sullivan/" TargetMode="External"/><Relationship Id="rId2785" Type="http://schemas.openxmlformats.org/officeDocument/2006/relationships/hyperlink" Target="https://crsreports.congress.gov/product/pdf/IF/IF12040" TargetMode="External"/><Relationship Id="rId105" Type="http://schemas.openxmlformats.org/officeDocument/2006/relationships/hyperlink" Target="https://www.romania-insider.com/ro-aid-ukraine-sanctions-feb-28-2022" TargetMode="External"/><Relationship Id="rId312" Type="http://schemas.openxmlformats.org/officeDocument/2006/relationships/hyperlink" Target="https://english.news.cn/northamerica/20220521/316cc7dea3444c36b011aa19617629ac/c.html" TargetMode="External"/><Relationship Id="rId757" Type="http://schemas.openxmlformats.org/officeDocument/2006/relationships/hyperlink" Target="https://www.mod.gov.lv/lv/zinas/latvija-ukrainas-armijai-piegadajusi-helikopterus-mi-17-un-mi-2" TargetMode="External"/><Relationship Id="rId964" Type="http://schemas.openxmlformats.org/officeDocument/2006/relationships/hyperlink" Target="https://www.euronews.com/2022/09/29/cargo-ship-with-1000-tonnes-of-ukraine-aid-sets-sail-from-marseille" TargetMode="External"/><Relationship Id="rId1387" Type="http://schemas.openxmlformats.org/officeDocument/2006/relationships/hyperlink" Target="https://kaitseministeerium.ee/et/uudised/eesti-saadab-ukrainale-taas-sojavarustust" TargetMode="External"/><Relationship Id="rId1594" Type="http://schemas.openxmlformats.org/officeDocument/2006/relationships/hyperlink" Target="https://diplomatie.belgium.be/en/policy/policy-areas/highlighted/civilian-aid-ukraine-overview" TargetMode="External"/><Relationship Id="rId2200"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38" Type="http://schemas.openxmlformats.org/officeDocument/2006/relationships/hyperlink" Target="https://appropriations.house.gov/sites/democrats.appropriations.house.gov/files/Ukraine%20Supplemental%20Summary%20FY23.pdf" TargetMode="External"/><Relationship Id="rId2645" Type="http://schemas.openxmlformats.org/officeDocument/2006/relationships/hyperlink" Target="https://www.defense.gov/News/Releases/Release/Article/2988565/readout-of-secretary-of-defense-lloyd-j-austin-iiis-call-with-ukraines-minister/" TargetMode="External"/><Relationship Id="rId2852" Type="http://schemas.openxmlformats.org/officeDocument/2006/relationships/hyperlink" Target="https://appropriations.house.gov/sites/democrats.appropriations.house.gov/files/Additional%20Ukraine%20Suplemental%20Appropriations%20Act%20Summary.pdf" TargetMode="External"/><Relationship Id="rId93" Type="http://schemas.openxmlformats.org/officeDocument/2006/relationships/hyperlink" Target="https://twitter.com/eduardheger/status/1497624801497821188" TargetMode="External"/><Relationship Id="rId617" Type="http://schemas.openxmlformats.org/officeDocument/2006/relationships/hyperlink" Target="https://www.ctvnews.ca/politics/canada-pledges-more-aid-and-loans-to-ukraine-as-g7-targets-russian-oil-1.5965947" TargetMode="External"/><Relationship Id="rId824" Type="http://schemas.openxmlformats.org/officeDocument/2006/relationships/hyperlink" Target="https://www.defense.gov/News/Releases/Release/Article/3160503/600-million-in-additional-security-assistance-for-ukraine/" TargetMode="External"/><Relationship Id="rId1247" Type="http://schemas.openxmlformats.org/officeDocument/2006/relationships/hyperlink" Target="https://www.lejdd.fr/International/sebastien-lecornu-ministre-des-armees-nous-navons-pas-a-rougir-de-notre-aide-a-lukraine-4148779" TargetMode="External"/><Relationship Id="rId1454" Type="http://schemas.openxmlformats.org/officeDocument/2006/relationships/hyperlink" Target="https://www.defense.gov/News/Releases/Release/Article/3252782/185-billion-in-additional-security-assistance-for-ukraine/" TargetMode="External"/><Relationship Id="rId1661" Type="http://schemas.openxmlformats.org/officeDocument/2006/relationships/hyperlink" Target="https://www.mod.bg/bg/news.php?&amp;fn_page=2" TargetMode="External"/><Relationship Id="rId1899" Type="http://schemas.openxmlformats.org/officeDocument/2006/relationships/hyperlink" Target="https://appropriations.house.gov/sites/democrats.appropriations.house.gov/files/Additional%20Ukraine%20Suplemental%20Appropriations%20Act%20Summary.pdf" TargetMode="External"/><Relationship Id="rId2505" Type="http://schemas.openxmlformats.org/officeDocument/2006/relationships/hyperlink" Target="https://crsreports.congress.gov/product/pdf/IF/IF12040" TargetMode="External"/><Relationship Id="rId2712" Type="http://schemas.openxmlformats.org/officeDocument/2006/relationships/hyperlink" Target="https://www.whitehouse.gov/briefing-room/press-briefings/2022/04/04/press-briefing-by-press-secretary-jen-psaki-and-national-security-advisor-jake-sullivan/" TargetMode="External"/><Relationship Id="rId1107" Type="http://schemas.openxmlformats.org/officeDocument/2006/relationships/hyperlink" Target="https://odessa-journal.com/portugal-will-send-russian-made-helicopters-to-ukraine/" TargetMode="External"/><Relationship Id="rId1314" Type="http://schemas.openxmlformats.org/officeDocument/2006/relationships/hyperlink" Target="https://www.bmeia.gv.at/ministerium/presse/aktuelles/2022/12/aussenminister-schallenberg-empfaengt-seinen-litauischen-amtskollegen-landsbergis/" TargetMode="External"/><Relationship Id="rId1521" Type="http://schemas.openxmlformats.org/officeDocument/2006/relationships/hyperlink" Target="https://twitter.com/PrimeministerGR/status/1504800257447706626?ref_src=twsrc%5Etfw%7Ctwcamp%5Etweetembed%7Ctwterm%5E1504800257447706626%7Ctwgr%5E%7Ctwcon%5Es1_&amp;ref_url=https%3A%2F%2Fwww.keeptalkinggreece.com%2F2022%2F03%2F18%2Fgreece-rebuild-maternity-hospital-mariupol%2F" TargetMode="External"/><Relationship Id="rId1759" Type="http://schemas.openxmlformats.org/officeDocument/2006/relationships/hyperlink" Target="https://appropriations.house.gov/sites/democrats.appropriations.house.gov/files/Ukraine%20Supplemental%20Summary.pdf" TargetMode="External"/><Relationship Id="rId1966" Type="http://schemas.openxmlformats.org/officeDocument/2006/relationships/hyperlink" Target="https://appropriations.house.gov/sites/democrats.appropriations.house.gov/files/Additional%20Ukraine%20Suplemental%20Appropriations%20Act%20Summary.pdf" TargetMode="External"/><Relationship Id="rId1619" Type="http://schemas.openxmlformats.org/officeDocument/2006/relationships/hyperlink" Target="https://www.theguardian.com/australia-news/2022/oct/25/defence-spending-october-budget-2022-ukraine-veterans-pacific-aid-increase-albanese-labor-australia-federal-government" TargetMode="External"/><Relationship Id="rId1826" Type="http://schemas.openxmlformats.org/officeDocument/2006/relationships/hyperlink" Target="https://appropriations.house.gov/sites/democrats.appropriations.house.gov/files/Ukraine%20Supplemental%20Summary.pdf" TargetMode="External"/><Relationship Id="rId20" Type="http://schemas.openxmlformats.org/officeDocument/2006/relationships/hyperlink" Target="https://www.diplomatie.gouv.fr/en/country-files/ukraine/news/article/ukraine-france-mobilizes-to-deliver-emergency-medical-aid-to-victims-of-the" TargetMode="External"/><Relationship Id="rId2088" Type="http://schemas.openxmlformats.org/officeDocument/2006/relationships/hyperlink" Target="https://crsreports.congress.gov/product/pdf/IF/IF12040" TargetMode="External"/><Relationship Id="rId2295" Type="http://schemas.openxmlformats.org/officeDocument/2006/relationships/hyperlink" Target="https://appropriations.house.gov/sites/democrats.appropriations.house.gov/files/Ukraine%20Supplemental%20Summary%20FY23.pdf" TargetMode="External"/><Relationship Id="rId267" Type="http://schemas.openxmlformats.org/officeDocument/2006/relationships/hyperlink" Target="https://www.regjeringen.no/en/aktuelt/ukrainefund/id2909840/" TargetMode="External"/><Relationship Id="rId474" Type="http://schemas.openxmlformats.org/officeDocument/2006/relationships/hyperlink" Target="https://www.rferl.org/a/czech-republic-poland-new-military-aid-ukraine/31873938.html" TargetMode="External"/><Relationship Id="rId2155" Type="http://schemas.openxmlformats.org/officeDocument/2006/relationships/hyperlink" Target="https://crsreports.congress.gov/product/pdf/IF/IF12040" TargetMode="External"/><Relationship Id="rId127" Type="http://schemas.openxmlformats.org/officeDocument/2006/relationships/hyperlink" Target="https://twitter.com/AnnLinde/status/1498002914362728455?ref_src=twsrc%5Etfw%7Ctwcamp%5Etweetembed%7Ctwterm%5E1498002914362728455%7Ctwgr%5E%7Ctwcon%5Es1_&amp;ref_url=https%3A%2F%2Fwww.republicworld.com%2Fworld-news%2Frussia-ukraine-crisis%2Frussia-ukraine-war-sweden-ignores-putins-threat-announces-military-aid-to-kyiv-articleshow.html" TargetMode="External"/><Relationship Id="rId681" Type="http://schemas.openxmlformats.org/officeDocument/2006/relationships/hyperlink" Target="https://www.gov.si/en/news/2022-02-26-humanitarian-contribution-of-the-republic-of-slovenia-to-the-people-of-ukraine/" TargetMode="External"/><Relationship Id="rId779" Type="http://schemas.openxmlformats.org/officeDocument/2006/relationships/hyperlink" Target="https://www.regjeringen.no/en/aktuelt/donerer-hellfire-missiler-og-nattoptikk-til-ukraina/id2926713/" TargetMode="External"/><Relationship Id="rId986" Type="http://schemas.openxmlformats.org/officeDocument/2006/relationships/hyperlink" Target="https://www.minister.defence.gov.au/media-releases/2022-10-27/additional-support-ukraine" TargetMode="External"/><Relationship Id="rId2362" Type="http://schemas.openxmlformats.org/officeDocument/2006/relationships/hyperlink" Target="https://crsreports.congress.gov/product/pdf/IF/IF12040" TargetMode="External"/><Relationship Id="rId2667" Type="http://schemas.openxmlformats.org/officeDocument/2006/relationships/hyperlink" Target="https://www.defense.gov/News/Releases/Release/Article/2987119/defense-department-announces-300-million-in-additional-assistance-for-ukraine/" TargetMode="External"/><Relationship Id="rId334" Type="http://schemas.openxmlformats.org/officeDocument/2006/relationships/hyperlink" Target="https://www.lrt.lt/en/news-in-english/19/1702086/lithuania-to-hand-over-eur15-5-million-worth-of-armoured-vehicles-trucks-suvs-to-ukraine" TargetMode="External"/><Relationship Id="rId541" Type="http://schemas.openxmlformats.org/officeDocument/2006/relationships/hyperlink" Target="https://www.rferl.org/a/czech-republic-poland-new-military-aid-ukraine/31873938.html" TargetMode="External"/><Relationship Id="rId639" Type="http://schemas.openxmlformats.org/officeDocument/2006/relationships/hyperlink" Target="https://kyivindependent.com/uncategorized/poland-has-provided-ukraine-with-weapons-worth-1-6-billion/" TargetMode="External"/><Relationship Id="rId1171" Type="http://schemas.openxmlformats.org/officeDocument/2006/relationships/hyperlink" Target="https://appropriations.house.gov/sites/democrats.appropriations.house.gov/files/Additional%20Ukraine%20Suplemental%20Appropriations%20Act%20Summary.pdf" TargetMode="External"/><Relationship Id="rId1269" Type="http://schemas.openxmlformats.org/officeDocument/2006/relationships/hyperlink" Target="https://ec.europa.eu/commission/presscorner/detail/en/ip_22_6699" TargetMode="External"/><Relationship Id="rId1476" Type="http://schemas.openxmlformats.org/officeDocument/2006/relationships/hyperlink" Target="https://polskieradio24.pl/5/1222/Artykul/2968446,Polskie-armatohaubice-KRAB-trafily-do-ukrainskiej-armii?utm_source=polskieradio.pl&amp;utm_medium=mozaika&amp;utm_campaign=mozaika" TargetMode="External"/><Relationship Id="rId2015" Type="http://schemas.openxmlformats.org/officeDocument/2006/relationships/hyperlink" Target="https://crsreports.congress.gov/product/pdf/IF/IF12040" TargetMode="External"/><Relationship Id="rId2222" Type="http://schemas.openxmlformats.org/officeDocument/2006/relationships/hyperlink" Target="https://appropriations.house.gov/sites/democrats.appropriations.house.gov/files/Summary%20Continuing%20Appropriations%20and%20Ukraine%20Supplemental%20Appropriations%20Act%202023.pdf" TargetMode="External"/><Relationship Id="rId2874" Type="http://schemas.openxmlformats.org/officeDocument/2006/relationships/hyperlink" Target="https://appropriations.house.gov/sites/democrats.appropriations.house.gov/files/Additional%20Ukraine%20Suplemental%20Appropriations%20Act%20Summary.pdf" TargetMode="External"/><Relationship Id="rId401" Type="http://schemas.openxmlformats.org/officeDocument/2006/relationships/hyperlink" Target="https://news.err.ee/1608555886/estonia-s-220-million-military-aid-to-ukraine-substantially-diversified" TargetMode="External"/><Relationship Id="rId846" Type="http://schemas.openxmlformats.org/officeDocument/2006/relationships/hyperlink" Target="https://www.defense.gov/News/Releases/Release/Article/3173378/11-billion-in-additional-security-assistance-for-ukraine/" TargetMode="External"/><Relationship Id="rId1031" Type="http://schemas.openxmlformats.org/officeDocument/2006/relationships/hyperlink" Target="https://www.defmin.fi/en/topical/press_releases_and_news/finland_to_deliver_more_defence_materiel_assistance_to_ukraine.13055.news" TargetMode="External"/><Relationship Id="rId1129" Type="http://schemas.openxmlformats.org/officeDocument/2006/relationships/hyperlink" Target="https://gouvernement.lu/en/actualites/toutes_actualites/communiques/2022/10-octobre/04-bausch-warsaw-security-forum.html" TargetMode="External"/><Relationship Id="rId1683" Type="http://schemas.openxmlformats.org/officeDocument/2006/relationships/hyperlink" Target="https://www.gov.si/en/news/2022-12-30-minister-fajon-hands-over-two-ambulances-for-ukraine/" TargetMode="External"/><Relationship Id="rId1890" Type="http://schemas.openxmlformats.org/officeDocument/2006/relationships/hyperlink" Target="https://appropriations.house.gov/sites/democrats.appropriations.house.gov/files/Additional%20Ukraine%20Suplemental%20Appropriations%20Act%20Summary.pdf" TargetMode="External"/><Relationship Id="rId1988" Type="http://schemas.openxmlformats.org/officeDocument/2006/relationships/hyperlink" Target="https://appropriations.house.gov/sites/democrats.appropriations.house.gov/files/Additional%20Ukraine%20Suplemental%20Appropriations%20Act%20Summary.pdf" TargetMode="External"/><Relationship Id="rId2527" Type="http://schemas.openxmlformats.org/officeDocument/2006/relationships/hyperlink" Target="https://www.19fortyfive.com/2022/04/switchblade-the-drone-giving-ukraine-a-big-edge-against-russia/" TargetMode="External"/><Relationship Id="rId2734" Type="http://schemas.openxmlformats.org/officeDocument/2006/relationships/hyperlink" Target="https://www.whitehouse.gov/briefing-room/press-briefings/2022/04/04/press-briefing-by-press-secretary-jen-psaki-and-national-security-advisor-jake-sullivan/" TargetMode="External"/><Relationship Id="rId2941" Type="http://schemas.openxmlformats.org/officeDocument/2006/relationships/hyperlink" Target="https://interfax.com/newsroom/top-stories/86161/" TargetMode="External"/><Relationship Id="rId706" Type="http://schemas.openxmlformats.org/officeDocument/2006/relationships/hyperlink" Target="https://www.reuters.com/world/europe/lithuania-transfer-crowdfunded-bayraktar-drone-ukraine-wednesday-2022-07-06/" TargetMode="External"/><Relationship Id="rId913" Type="http://schemas.openxmlformats.org/officeDocument/2006/relationships/hyperlink" Target="https://www.diplomatie.gouv.fr/en/country-files/ukraine/news/article/ukraine-catherine-colonna-to-attend-the-launch-of-solidarity-operation-un" TargetMode="External"/><Relationship Id="rId1336" Type="http://schemas.openxmlformats.org/officeDocument/2006/relationships/hyperlink" Target="https://twitter.com/a_anusauskas/status/1594701256463110144" TargetMode="External"/><Relationship Id="rId1543" Type="http://schemas.openxmlformats.org/officeDocument/2006/relationships/hyperlink" Target="https://www.bundesregierung.de/resource/blob/975226/2155792/c3dbab706421f63d3d612091e7ecad4c/2022-12-27-unterstuetzung-ukraine-breg-data.pdf?download=1%20Guten" TargetMode="External"/><Relationship Id="rId1750" Type="http://schemas.openxmlformats.org/officeDocument/2006/relationships/hyperlink" Target="https://appropriations.house.gov/sites/democrats.appropriations.house.gov/files/Ukraine%20Supplemental%20Summary.pdf" TargetMode="External"/><Relationship Id="rId2801" Type="http://schemas.openxmlformats.org/officeDocument/2006/relationships/hyperlink" Target="https://crsreports.congress.gov/product/pdf/IF/IF12040" TargetMode="External"/><Relationship Id="rId42" Type="http://schemas.openxmlformats.org/officeDocument/2006/relationships/hyperlink" Target="https://twitter.com/alexanderdecroo/status/1497542000228417537" TargetMode="External"/><Relationship Id="rId1403" Type="http://schemas.openxmlformats.org/officeDocument/2006/relationships/hyperlink" Target="https://www.nwaonline.com/news/2022/dec/29/french-vow-more-aid-for-ukraines-military/" TargetMode="External"/><Relationship Id="rId1610" Type="http://schemas.openxmlformats.org/officeDocument/2006/relationships/hyperlink" Target="https://twitter.com/UAWeapons/status/1530575142115495937" TargetMode="External"/><Relationship Id="rId1848" Type="http://schemas.openxmlformats.org/officeDocument/2006/relationships/hyperlink" Target="https://appropriations.house.gov/sites/democrats.appropriations.house.gov/files/Ukraine%20Supplemental%20Summary.pdf" TargetMode="External"/><Relationship Id="rId191" Type="http://schemas.openxmlformats.org/officeDocument/2006/relationships/hyperlink" Target="https://www.canada.ca/en/department-national-defence/news/2022/04/canada-announces-artillery-and-other-additional-military-aid-for-ukraine.html" TargetMode="External"/><Relationship Id="rId1708" Type="http://schemas.openxmlformats.org/officeDocument/2006/relationships/hyperlink" Target="https://www.connexionfrance.com/article/French-news/Humanitarian-ship-for-Ukraine-leaves-French-port-with-8m-of-aid" TargetMode="External"/><Relationship Id="rId1915" Type="http://schemas.openxmlformats.org/officeDocument/2006/relationships/hyperlink" Target="https://appropriations.house.gov/sites/democrats.appropriations.house.gov/files/Additional%20Ukraine%20Suplemental%20Appropriations%20Act%20Summary.pdf" TargetMode="External"/><Relationship Id="rId289" Type="http://schemas.openxmlformats.org/officeDocument/2006/relationships/hyperlink" Target="https://www.beehive.govt.nz/release/nz-provide-non-lethal-military-assistance-ukraine" TargetMode="External"/><Relationship Id="rId496" Type="http://schemas.openxmlformats.org/officeDocument/2006/relationships/hyperlink" Target="https://www.portugal.gov.pt/en/gc22/communication/announcement?i=assistance-to-ukraine" TargetMode="External"/><Relationship Id="rId2177" Type="http://schemas.openxmlformats.org/officeDocument/2006/relationships/hyperlink" Target="https://appropriations.house.gov/sites/democrats.appropriations.house.gov/files/Ukraine%20Supplemental%20Summary%20FY23.pdf" TargetMode="External"/><Relationship Id="rId2384" Type="http://schemas.openxmlformats.org/officeDocument/2006/relationships/hyperlink" Target="https://crsreports.congress.gov/product/pdf/IF/IF12040" TargetMode="External"/><Relationship Id="rId2591" Type="http://schemas.openxmlformats.org/officeDocument/2006/relationships/hyperlink" Target="https://www.whitehouse.gov/briefing-room/press-briefings/2022/04/04/press-briefing-by-press-secretary-jen-psaki-and-national-security-advisor-jake-sullivan/" TargetMode="External"/><Relationship Id="rId149" Type="http://schemas.openxmlformats.org/officeDocument/2006/relationships/hyperlink" Target="https://twitter.com/sanidadgob/status/1503783624969265161" TargetMode="External"/><Relationship Id="rId356" Type="http://schemas.openxmlformats.org/officeDocument/2006/relationships/hyperlink" Target="https://mil.in.ua/en/news/ukraine-received-senator-apc-armored-vehicles/" TargetMode="External"/><Relationship Id="rId563" Type="http://schemas.openxmlformats.org/officeDocument/2006/relationships/hyperlink" Target="https://www.youtube.com/watch?v=vzENx6dTpqY" TargetMode="External"/><Relationship Id="rId770" Type="http://schemas.openxmlformats.org/officeDocument/2006/relationships/hyperlink" Target="https://pm.gc.ca/en/news/news-releases/2022/08/23/prime-minister-announces-additional-support-ukraine" TargetMode="External"/><Relationship Id="rId1193" Type="http://schemas.openxmlformats.org/officeDocument/2006/relationships/hyperlink" Target="https://www.defensa.gob.es/gabinete/notasPrensa/2022/10/DGC-221006-envio-ucrania.html" TargetMode="External"/><Relationship Id="rId2037" Type="http://schemas.openxmlformats.org/officeDocument/2006/relationships/hyperlink" Target="https://crsreports.congress.gov/product/pdf/IF/IF12040" TargetMode="External"/><Relationship Id="rId2244"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51" Type="http://schemas.openxmlformats.org/officeDocument/2006/relationships/hyperlink" Target="https://crsreports.congress.gov/product/pdf/IF/IF12305" TargetMode="External"/><Relationship Id="rId2689" Type="http://schemas.openxmlformats.org/officeDocument/2006/relationships/hyperlink" Target="https://www.defense.gov/News/Releases/Release/Article/2987119/defense-department-announces-300-million-in-additional-assistance-for-ukraine/" TargetMode="External"/><Relationship Id="rId2896" Type="http://schemas.openxmlformats.org/officeDocument/2006/relationships/hyperlink" Target="https://appropriations.house.gov/sites/democrats.appropriations.house.gov/files/Additional%20Ukraine%20Suplemental%20Appropriations%20Act%20Summary.pdf" TargetMode="External"/><Relationship Id="rId216" Type="http://schemas.openxmlformats.org/officeDocument/2006/relationships/hyperlink" Target="https://www.youtube.com/watch?v=xsRCOOin-0U" TargetMode="External"/><Relationship Id="rId423" Type="http://schemas.openxmlformats.org/officeDocument/2006/relationships/hyperlink" Target="https://www.europarl.europa.eu/RegData/etudes/ATAG/2022/729301/EPRS_ATA(2022)729301_EN.pdf" TargetMode="External"/><Relationship Id="rId868" Type="http://schemas.openxmlformats.org/officeDocument/2006/relationships/hyperlink" Target="https://twitter.com/hadjalahbib/status/1562721777649799170?ref_src=twsrc%5Etfw%7Ctwcamp%5Etweetembed%7Ctwterm%5E1562721777649799170%7Ctwgr%5E69cb6a35c6fc5375ee1777ba5e3491bf84fd300f%7Ctwcon%5Es1_&amp;ref_url=https%3A%2F%2Fbabel.ua%2Fen%2Fnews%2F83487-belgium-allocated-8-million-for-non-lethal-aid-to-ukraine" TargetMode="External"/><Relationship Id="rId1053" Type="http://schemas.openxmlformats.org/officeDocument/2006/relationships/hyperlink" Target="https://www.wfp.org/news/japan-provides-us28-million-humanitarian-food-assistance-ukraine" TargetMode="External"/><Relationship Id="rId1260" Type="http://schemas.openxmlformats.org/officeDocument/2006/relationships/hyperlink" Target="https://t.me/zedigital/2613" TargetMode="External"/><Relationship Id="rId1498" Type="http://schemas.openxmlformats.org/officeDocument/2006/relationships/hyperlink" Target="https://www.ukrinform.net/rubric-society/3477447-india-donates-total-of-187-tonnes-of-humanitarian-aid-to-ukrainian-hospitals.html" TargetMode="External"/><Relationship Id="rId2104" Type="http://schemas.openxmlformats.org/officeDocument/2006/relationships/hyperlink" Target="https://crsreports.congress.gov/product/pdf/IF/IF12040" TargetMode="External"/><Relationship Id="rId2549" Type="http://schemas.openxmlformats.org/officeDocument/2006/relationships/hyperlink" Target="https://www.19fortyfive.com/2022/04/switchblade-the-drone-giving-ukraine-a-big-edge-against-russia/" TargetMode="External"/><Relationship Id="rId2756" Type="http://schemas.openxmlformats.org/officeDocument/2006/relationships/hyperlink" Target="https://www.whitehouse.gov/briefing-room/press-briefings/2022/04/04/press-briefing-by-press-secretary-jen-psaki-and-national-security-advisor-jake-sullivan/" TargetMode="External"/><Relationship Id="rId630" Type="http://schemas.openxmlformats.org/officeDocument/2006/relationships/hyperlink" Target="https://twitter.com/michaldworczyk/status/1494357415915048962?s=21&amp;t=L7Uw2JWRBlkceKl-kFEvSQ" TargetMode="External"/><Relationship Id="rId728" Type="http://schemas.openxmlformats.org/officeDocument/2006/relationships/hyperlink" Target="https://www.pm.gov.au/media/visit-kyiv-and-further-australian-support-ukraine" TargetMode="External"/><Relationship Id="rId935" Type="http://schemas.openxmlformats.org/officeDocument/2006/relationships/hyperlink" Target="https://twitter.com/oleksiireznikov/status/1569670474841427971" TargetMode="External"/><Relationship Id="rId1358" Type="http://schemas.openxmlformats.org/officeDocument/2006/relationships/hyperlink" Target="https://www.government.nl/latest/news/2022/08/22/extra-dutch-support-for-ukrainian-war-effort-and-reconstruction" TargetMode="External"/><Relationship Id="rId1565" Type="http://schemas.openxmlformats.org/officeDocument/2006/relationships/hyperlink" Target="https://www.reuters.com/world/europe/germany-pledges-199-mln-aid-displaced-people-ukraine-minister-2022-09-03/" TargetMode="External"/><Relationship Id="rId1772" Type="http://schemas.openxmlformats.org/officeDocument/2006/relationships/hyperlink" Target="https://appropriations.house.gov/sites/democrats.appropriations.house.gov/files/Ukraine%20Supplemental%20Summary.pdf" TargetMode="External"/><Relationship Id="rId2311" Type="http://schemas.openxmlformats.org/officeDocument/2006/relationships/hyperlink" Target="https://appropriations.house.gov/sites/democrats.appropriations.house.gov/files/Ukraine%20Supplemental%20Summary%20FY23.pdf" TargetMode="External"/><Relationship Id="rId2409"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16" Type="http://schemas.openxmlformats.org/officeDocument/2006/relationships/hyperlink" Target="https://www.whitehouse.gov/briefing-room/press-briefings/2022/04/04/press-briefing-by-press-secretary-jen-psaki-and-national-security-advisor-jake-sullivan/" TargetMode="External"/><Relationship Id="rId64" Type="http://schemas.openxmlformats.org/officeDocument/2006/relationships/hyperlink" Target="https://www.theglobeandmail.com/canada/article-federal-budget-2022-ukraine-russia-1-billion-loan/" TargetMode="External"/><Relationship Id="rId1120" Type="http://schemas.openxmlformats.org/officeDocument/2006/relationships/hyperlink" Target="https://www.canada.ca/en/department-finance/programs/financial-sector-policy/ukraine-sovereignty-bond.html" TargetMode="External"/><Relationship Id="rId1218" Type="http://schemas.openxmlformats.org/officeDocument/2006/relationships/hyperlink" Target="https://news.err.ee/1608742171/estonia-sends-more-ammunition-protective-equipment-to-ukraine" TargetMode="External"/><Relationship Id="rId1425" Type="http://schemas.openxmlformats.org/officeDocument/2006/relationships/hyperlink" Target="https://www.eurointegration.com.ua/news/2022/12/8/7152129/" TargetMode="External"/><Relationship Id="rId2823" Type="http://schemas.openxmlformats.org/officeDocument/2006/relationships/hyperlink" Target="https://appropriations.house.gov/sites/democrats.appropriations.house.gov/files/Ukraine%20Supplemental%20Summary.pdf" TargetMode="External"/><Relationship Id="rId1632" Type="http://schemas.openxmlformats.org/officeDocument/2006/relationships/hyperlink" Target="https://www.facebook.com/UkraineMFA/videos/440959088009136/" TargetMode="External"/><Relationship Id="rId1937" Type="http://schemas.openxmlformats.org/officeDocument/2006/relationships/hyperlink" Target="https://appropriations.house.gov/sites/democrats.appropriations.house.gov/files/Additional%20Ukraine%20Suplemental%20Appropriations%20Act%20Summary.pdf" TargetMode="External"/><Relationship Id="rId2199" Type="http://schemas.openxmlformats.org/officeDocument/2006/relationships/hyperlink" Target="https://appropriations.house.gov/sites/democrats.appropriations.house.gov/files/Summary%20Continuing%20Appropriations%20and%20Ukraine%20Supplemental%20Appropriations%20Act%202023.pdf" TargetMode="External"/><Relationship Id="rId280" Type="http://schemas.openxmlformats.org/officeDocument/2006/relationships/hyperlink" Target="http://www.koreaherald.com/view.php?ud=20220228000968" TargetMode="External"/><Relationship Id="rId140" Type="http://schemas.openxmlformats.org/officeDocument/2006/relationships/hyperlink" Target="https://www.gov.uk/government/speeches/pm-statement-at-ukraine-press-conference-1-february-2022" TargetMode="External"/><Relationship Id="rId378" Type="http://schemas.openxmlformats.org/officeDocument/2006/relationships/hyperlink" Target="https://apnews.com/article/russia-ukraine-janet-yellen-christian-lindner-91b5272f3c3381f340c6916653ddfa6a" TargetMode="External"/><Relationship Id="rId585" Type="http://schemas.openxmlformats.org/officeDocument/2006/relationships/hyperlink" Target="https://www.regjeringen.no/en/topics/foreign-affairs/humanitarian-efforts/neighbour_support/id2908141/" TargetMode="External"/><Relationship Id="rId792" Type="http://schemas.openxmlformats.org/officeDocument/2006/relationships/hyperlink" Target="https://www.connexionfrance.com/article/French-news/Humanitarian-ship-for-Ukraine-leaves-French-port-with-8m-of-aid" TargetMode="External"/><Relationship Id="rId2059" Type="http://schemas.openxmlformats.org/officeDocument/2006/relationships/hyperlink" Target="https://crsreports.congress.gov/product/pdf/IF/IF12040" TargetMode="External"/><Relationship Id="rId2266" Type="http://schemas.openxmlformats.org/officeDocument/2006/relationships/hyperlink" Target="https://appropriations.house.gov/sites/democrats.appropriations.house.gov/files/Ukraine%20Supplemental%20Summary%20FY23.pdf" TargetMode="External"/><Relationship Id="rId2473" Type="http://schemas.openxmlformats.org/officeDocument/2006/relationships/hyperlink" Target="https://appropriations.house.gov/sites/democrats.appropriations.house.gov/files/Additional%20Ukraine%20Suplemental%20Appropriations%20Act%20Summary.pdf" TargetMode="External"/><Relationship Id="rId2680" Type="http://schemas.openxmlformats.org/officeDocument/2006/relationships/hyperlink" Target="https://www.defense.gov/News/Releases/Release/Article/2987119/defense-department-announces-300-million-in-additional-assistance-for-ukraine/" TargetMode="External"/><Relationship Id="rId6" Type="http://schemas.openxmlformats.org/officeDocument/2006/relationships/hyperlink" Target="https://www.lefigaro.fr/flash-actu/la-france-a-envoye-33-tonnes-d-aide-humanitaire-pour-l-ukraine-20220228" TargetMode="External"/><Relationship Id="rId238" Type="http://schemas.openxmlformats.org/officeDocument/2006/relationships/hyperlink" Target="https://www.kmu.gov.ua/en/news/70-000-tonn-vugillya-nadast-ukrayini-avstraliya-german-galushchenko" TargetMode="External"/><Relationship Id="rId445" Type="http://schemas.openxmlformats.org/officeDocument/2006/relationships/hyperlink" Target="https://www.cmfmag.ca/canadian-government-sends-lethal-weapons-to-ukraine/" TargetMode="External"/><Relationship Id="rId652" Type="http://schemas.openxmlformats.org/officeDocument/2006/relationships/hyperlink" Target="https://n1info.si/novice/svet/slovenija-ukrajini-ze-poslala-puske-streliva-in-celade/" TargetMode="External"/><Relationship Id="rId1075" Type="http://schemas.openxmlformats.org/officeDocument/2006/relationships/hyperlink" Target="https://www.defense.gouv.fr/terre/actualites/uiisc-1-3e-convoi-solidarite-lukraine" TargetMode="External"/><Relationship Id="rId1282" Type="http://schemas.openxmlformats.org/officeDocument/2006/relationships/hyperlink" Target="https://twitter.com/a_anusauskas/status/1546202214003269635" TargetMode="External"/><Relationship Id="rId2126" Type="http://schemas.openxmlformats.org/officeDocument/2006/relationships/hyperlink" Target="https://crsreports.congress.gov/product/pdf/IF/IF12040" TargetMode="External"/><Relationship Id="rId2333" Type="http://schemas.openxmlformats.org/officeDocument/2006/relationships/hyperlink" Target="https://crsreports.congress.gov/product/pdf/IF/IF12040" TargetMode="External"/><Relationship Id="rId2540" Type="http://schemas.openxmlformats.org/officeDocument/2006/relationships/hyperlink" Target="https://www.19fortyfive.com/2022/04/switchblade-the-drone-giving-ukraine-a-big-edge-against-russia/" TargetMode="External"/><Relationship Id="rId2778" Type="http://schemas.openxmlformats.org/officeDocument/2006/relationships/hyperlink" Target="https://crsreports.congress.gov/product/pdf/IF/IF12040" TargetMode="External"/><Relationship Id="rId305" Type="http://schemas.openxmlformats.org/officeDocument/2006/relationships/hyperlink" Target="https://www.dw.com/bg/%D0%BF%D0%B0%D1%80%D0%BB%D0%B0%D0%BC%D0%B5%D0%BD%D1%82%D1%8A%D1%82-%D1%80%D0%B5%D1%88%D0%B8-%D0%B1%D1%8A%D0%BB%D0%B3%D0%B0%D1%80%D0%B8%D1%8F-%D1%89%D0%B5-%D0%BE%D0%BA%D0%B0%D0%B6%D0%B5-%D0%B2%D0%BE%D0%B5%D0%BD%D0%BD%D0%BE-%D1%82%D0%B5%D1%85%D0%BD%D0%B8%D1%87%D0%B5%D1%81%D0%BA%D0%B0-%D0%BF%D0%BE%D0%BC%D0%BE%D1%89-%D0%BD%D0%B0-%D1%83%D0%BA%D1%80%D0%B0%D0%B9%D0%BD%D0%B0/a-61683857" TargetMode="External"/><Relationship Id="rId512" Type="http://schemas.openxmlformats.org/officeDocument/2006/relationships/hyperlink" Target="https://www-regjeringen-no.translate.goog/no/aktuelt/norge-har-donert-artilleriskyts-til-ukraina/id2917760/?_x_tr_sl=auto&amp;_x_tr_tl=auto&amp;_x_tr_hl=de" TargetMode="External"/><Relationship Id="rId957" Type="http://schemas.openxmlformats.org/officeDocument/2006/relationships/hyperlink" Target="https://www.mod.go.jp/j/press/news/2022/08/04a.html" TargetMode="External"/><Relationship Id="rId1142" Type="http://schemas.openxmlformats.org/officeDocument/2006/relationships/hyperlink" Target="https://www.gov.uk/government/news/hundreds-more-mobile-generators-to-provide-vital-power-for-ukraine" TargetMode="External"/><Relationship Id="rId1587" Type="http://schemas.openxmlformats.org/officeDocument/2006/relationships/hyperlink" Target="https://news.err.ee/1608793648/estonia-s-total-military-aid-to-ukraine-to-date-approaching-300-million" TargetMode="External"/><Relationship Id="rId1794" Type="http://schemas.openxmlformats.org/officeDocument/2006/relationships/hyperlink" Target="https://appropriations.house.gov/sites/democrats.appropriations.house.gov/files/Ukraine%20Supplemental%20Summary.pdf" TargetMode="External"/><Relationship Id="rId2400" Type="http://schemas.openxmlformats.org/officeDocument/2006/relationships/hyperlink" Target="https://crsreports.congress.gov/product/pdf/IF/IF12040" TargetMode="External"/><Relationship Id="rId2638" Type="http://schemas.openxmlformats.org/officeDocument/2006/relationships/hyperlink" Target="https://www.defense.gov/News/Releases/Release/Article/2988565/readout-of-secretary-of-defense-lloyd-j-austin-iiis-call-with-ukraines-minister/" TargetMode="External"/><Relationship Id="rId2845" Type="http://schemas.openxmlformats.org/officeDocument/2006/relationships/hyperlink" Target="https://appropriations.house.gov/sites/democrats.appropriations.house.gov/files/Ukraine%20Supplemental%20Summary.pdf" TargetMode="External"/><Relationship Id="rId86" Type="http://schemas.openxmlformats.org/officeDocument/2006/relationships/hyperlink" Target="https://www.vlada.cz/cz/media-centrum/aktualne/informace-v-souvislosti-s-invazi-ruska-na-ukrajinu-194507/" TargetMode="External"/><Relationship Id="rId817" Type="http://schemas.openxmlformats.org/officeDocument/2006/relationships/hyperlink" Target="https://www.defense.gov/News/Releases/Release/Article/3152071/675-million-in-additional-security-assistance-for-ukraine/" TargetMode="External"/><Relationship Id="rId1002" Type="http://schemas.openxmlformats.org/officeDocument/2006/relationships/hyperlink" Target="https://cphpost.dk/?p=133294" TargetMode="External"/><Relationship Id="rId1447" Type="http://schemas.openxmlformats.org/officeDocument/2006/relationships/hyperlink" Target="https://appropriations.house.gov/sites/democrats.appropriations.house.gov/files/Ukraine%20Supplemental%20Summary%20FY23.pdf" TargetMode="External"/><Relationship Id="rId1654" Type="http://schemas.openxmlformats.org/officeDocument/2006/relationships/hyperlink" Target="https://ec.europa.eu/commission/presscorner/detail/en/ip_22_7320" TargetMode="External"/><Relationship Id="rId1861" Type="http://schemas.openxmlformats.org/officeDocument/2006/relationships/hyperlink" Target="https://appropriations.house.gov/sites/democrats.appropriations.house.gov/files/Ukraine%20Supplemental%20Summary.pdf" TargetMode="External"/><Relationship Id="rId2705" Type="http://schemas.openxmlformats.org/officeDocument/2006/relationships/hyperlink" Target="https://www.defense.gov/News/Releases/Release/Article/2987119/defense-department-announces-300-million-in-additional-assistance-for-ukraine/" TargetMode="External"/><Relationship Id="rId2912" Type="http://schemas.openxmlformats.org/officeDocument/2006/relationships/hyperlink" Target="https://appropriations.house.gov/sites/democrats.appropriations.house.gov/files/Ukraine%20Supplemental%20Summary%20FY23.pdf" TargetMode="External"/><Relationship Id="rId1307" Type="http://schemas.openxmlformats.org/officeDocument/2006/relationships/hyperlink" Target="https://www.gov.uk/government/news/uk-to-send-scores-of-artillery-guns-and-hundreds-of-drones-to-ukraine" TargetMode="External"/><Relationship Id="rId1514" Type="http://schemas.openxmlformats.org/officeDocument/2006/relationships/hyperlink" Target="https://telex.hu/kulfold/2022/02/27/magyarorszag-100-ezer-liter-uzemanyagot-adomanyozott-karpataljanak" TargetMode="External"/><Relationship Id="rId1721" Type="http://schemas.openxmlformats.org/officeDocument/2006/relationships/hyperlink" Target="https://appropriations.house.gov/sites/democrats.appropriations.house.gov/files/Ukraine%20Supplemental%20Summary%20FY23.pdf" TargetMode="External"/><Relationship Id="rId1959" Type="http://schemas.openxmlformats.org/officeDocument/2006/relationships/hyperlink" Target="https://appropriations.house.gov/sites/democrats.appropriations.house.gov/files/Additional%20Ukraine%20Suplemental%20Appropriations%20Act%20Summary.pdf" TargetMode="External"/><Relationship Id="rId13" Type="http://schemas.openxmlformats.org/officeDocument/2006/relationships/hyperlink" Target="https://vlada.gov.hr/news/croatia-had-sided-with-freedom-and-democracy-and-with-the-ukrainian-people-which-is-the-only-right-way/34979" TargetMode="External"/><Relationship Id="rId1819" Type="http://schemas.openxmlformats.org/officeDocument/2006/relationships/hyperlink" Target="https://appropriations.house.gov/sites/democrats.appropriations.house.gov/files/Ukraine%20Supplemental%20Summary.pdf" TargetMode="External"/><Relationship Id="rId2190" Type="http://schemas.openxmlformats.org/officeDocument/2006/relationships/hyperlink" Target="https://appropriations.house.gov/sites/democrats.appropriations.house.gov/files/Summary%20Continuing%20Appropriations%20and%20Ukraine%20Supplemental%20Appropriations%20Act%202023.pdf" TargetMode="External"/><Relationship Id="rId2288" Type="http://schemas.openxmlformats.org/officeDocument/2006/relationships/hyperlink" Target="https://appropriations.house.gov/sites/democrats.appropriations.house.gov/files/Ukraine%20Supplemental%20Summary%20FY23.pdf" TargetMode="External"/><Relationship Id="rId2495" Type="http://schemas.openxmlformats.org/officeDocument/2006/relationships/hyperlink" Target="https://crsreports.congress.gov/product/pdf/IF/IF12040" TargetMode="External"/><Relationship Id="rId162" Type="http://schemas.openxmlformats.org/officeDocument/2006/relationships/hyperlink" Target="https://www.defense.gov/News/Releases/Release/Article/3007664/fact-sheet-on-us-security-assistance-for-ukraine-roll-up-as-of-april-21-2022/" TargetMode="External"/><Relationship Id="rId467" Type="http://schemas.openxmlformats.org/officeDocument/2006/relationships/hyperlink" Target="https://cyprus-mail.com/2022/06/03/third-humanitarian-aid-shipment-heading-to-ukraine/" TargetMode="External"/><Relationship Id="rId1097" Type="http://schemas.openxmlformats.org/officeDocument/2006/relationships/hyperlink" Target="https://www.ukrinform.net/rubric-ato/3604150-italy-provides-ukraine-with-two-m270-systems-six-pzh-2000-about-30-selfpropelled-howitzers-media.html" TargetMode="External"/><Relationship Id="rId2050" Type="http://schemas.openxmlformats.org/officeDocument/2006/relationships/hyperlink" Target="https://crsreports.congress.gov/product/pdf/IF/IF12040" TargetMode="External"/><Relationship Id="rId2148" Type="http://schemas.openxmlformats.org/officeDocument/2006/relationships/hyperlink" Target="https://crsreports.congress.gov/product/pdf/IF/IF12040" TargetMode="External"/><Relationship Id="rId674" Type="http://schemas.openxmlformats.org/officeDocument/2006/relationships/hyperlink" Target="https://www.defense.gov/News/Releases/Release/Article/2987119/defense-department-announces-300-million-in-additional-assistance-for-ukraine/" TargetMode="External"/><Relationship Id="rId881" Type="http://schemas.openxmlformats.org/officeDocument/2006/relationships/hyperlink" Target="https://en.interfax.com.ua/news/general/859303.html" TargetMode="External"/><Relationship Id="rId979" Type="http://schemas.openxmlformats.org/officeDocument/2006/relationships/hyperlink" Target="https://www.regjeringen.no/en/aktuelt/norge-og-storbritannia-gir-langtrekkende-rakettartilleri-til-ukraina/id2921395/" TargetMode="External"/><Relationship Id="rId2355" Type="http://schemas.openxmlformats.org/officeDocument/2006/relationships/hyperlink" Target="https://crsreports.congress.gov/product/pdf/IF/IF12040" TargetMode="External"/><Relationship Id="rId2562" Type="http://schemas.openxmlformats.org/officeDocument/2006/relationships/hyperlink" Target="https://www.19fortyfive.com/2022/04/switchblade-the-drone-giving-ukraine-a-big-edge-against-russia/" TargetMode="External"/><Relationship Id="rId327" Type="http://schemas.openxmlformats.org/officeDocument/2006/relationships/hyperlink" Target="https://www3.nhk.or.jp/nhkworld/en/news/20220519_02/" TargetMode="External"/><Relationship Id="rId534" Type="http://schemas.openxmlformats.org/officeDocument/2006/relationships/hyperlink" Target="https://www.diplomatie.gouv.fr/en/country-files/ukraine/news/article/ukraine-special-delivery-of-emergency-medical-aid-by-france-joint-communique" TargetMode="External"/><Relationship Id="rId741" Type="http://schemas.openxmlformats.org/officeDocument/2006/relationships/hyperlink" Target="https://www.rtvslo.si/slovenija/sarec-zaveze-natu-ostajajo-zmanjsevanja-sredstev-za-obrambo-ne-bo/631221" TargetMode="External"/><Relationship Id="rId839" Type="http://schemas.openxmlformats.org/officeDocument/2006/relationships/hyperlink" Target="https://www.defense.gov/News/Releases/Release/Article/3138105/nearly-3-billion-in-additional-security-assistance-for-ukraine/" TargetMode="External"/><Relationship Id="rId1164" Type="http://schemas.openxmlformats.org/officeDocument/2006/relationships/hyperlink" Target="https://twitter.com/DanishMFA/status/1557711944626438145" TargetMode="External"/><Relationship Id="rId1371" Type="http://schemas.openxmlformats.org/officeDocument/2006/relationships/hyperlink" Target="https://www.energy-community.org/news/Energy-Community-News/2023/01/11.html" TargetMode="External"/><Relationship Id="rId1469" Type="http://schemas.openxmlformats.org/officeDocument/2006/relationships/hyperlink" Target="https://www.reuters.com/world/biden-authorizes-new-275-mln-military-aid-ukraine-white-house-2022-12-09/" TargetMode="External"/><Relationship Id="rId2008" Type="http://schemas.openxmlformats.org/officeDocument/2006/relationships/hyperlink" Target="https://appropriations.house.gov/sites/democrats.appropriations.house.gov/files/Additional%20Ukraine%20Suplemental%20Appropriations%20Act%20Summary.pdf" TargetMode="External"/><Relationship Id="rId2215"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22" Type="http://schemas.openxmlformats.org/officeDocument/2006/relationships/hyperlink" Target="https://appropriations.house.gov/sites/democrats.appropriations.house.gov/files/Summary%20Continuing%20Appropriations%20and%20Ukraine%20Supplemental%20Appropriations%20Act%202023.pdf" TargetMode="External"/><Relationship Id="rId2867" Type="http://schemas.openxmlformats.org/officeDocument/2006/relationships/hyperlink" Target="https://appropriations.house.gov/sites/democrats.appropriations.house.gov/files/Additional%20Ukraine%20Suplemental%20Appropriations%20Act%20Summary.pdf" TargetMode="External"/><Relationship Id="rId601" Type="http://schemas.openxmlformats.org/officeDocument/2006/relationships/hyperlink" Target="https://www.peterdutton.com.au/australia-to-provide-armoured-personnel-carriers-and-more-bushmasters-to-ukraine/" TargetMode="External"/><Relationship Id="rId1024" Type="http://schemas.openxmlformats.org/officeDocument/2006/relationships/hyperlink" Target="https://valtioneuvosto.fi/en/-/10616/finland-sends-additional-aid-to-ukraine" TargetMode="External"/><Relationship Id="rId1231" Type="http://schemas.openxmlformats.org/officeDocument/2006/relationships/hyperlink" Target="https://news.err.ee/1608793648/estonia-s-total-military-aid-to-ukraine-to-date-approaching-300-million" TargetMode="External"/><Relationship Id="rId1676" Type="http://schemas.openxmlformats.org/officeDocument/2006/relationships/hyperlink" Target="https://twitter.com/oleksiireznikov/status/1598696930720116736?cxt=HHwWgMCjseyY268sAAAA" TargetMode="External"/><Relationship Id="rId1883" Type="http://schemas.openxmlformats.org/officeDocument/2006/relationships/hyperlink" Target="https://appropriations.house.gov/sites/democrats.appropriations.house.gov/files/Additional%20Ukraine%20Suplemental%20Appropriations%20Act%20Summary.pdf" TargetMode="External"/><Relationship Id="rId2727" Type="http://schemas.openxmlformats.org/officeDocument/2006/relationships/hyperlink" Target="https://www.whitehouse.gov/briefing-room/press-briefings/2022/04/04/press-briefing-by-press-secretary-jen-psaki-and-national-security-advisor-jake-sullivan/" TargetMode="External"/><Relationship Id="rId2934" Type="http://schemas.openxmlformats.org/officeDocument/2006/relationships/hyperlink" Target="https://www.theglobeandmail.com/politics/article-canada-to-fund-repairs-to-kyivs-power-grid-with-revenue-from-russian/" TargetMode="External"/><Relationship Id="rId906" Type="http://schemas.openxmlformats.org/officeDocument/2006/relationships/hyperlink" Target="https://www.connexionfrance.com/article/French-news/Humanitarian-ship-for-Ukraine-leaves-French-port-with-8m-of-aid" TargetMode="External"/><Relationship Id="rId1329" Type="http://schemas.openxmlformats.org/officeDocument/2006/relationships/hyperlink" Target="https://pm.gc.ca/en/news/news-releases/2022/11/14/prime-minister-announces-additional-military-assistance-ukraine-and" TargetMode="External"/><Relationship Id="rId1536" Type="http://schemas.openxmlformats.org/officeDocument/2006/relationships/hyperlink" Target="https://abouthungary.hu/news-in-brief/hungary-to-make-another-shipment-of-humanitarian-aid-to-ukraine?msclkid=ca53d542ab8b11ec95fbf81dabb45ae9" TargetMode="External"/><Relationship Id="rId1743" Type="http://schemas.openxmlformats.org/officeDocument/2006/relationships/hyperlink" Target="https://appropriations.house.gov/sites/democrats.appropriations.house.gov/files/Ukraine%20Supplemental%20Summary.pdf" TargetMode="External"/><Relationship Id="rId1950" Type="http://schemas.openxmlformats.org/officeDocument/2006/relationships/hyperlink" Target="https://appropriations.house.gov/sites/democrats.appropriations.house.gov/files/Additional%20Ukraine%20Suplemental%20Appropriations%20Act%20Summary.pdf" TargetMode="External"/><Relationship Id="rId35" Type="http://schemas.openxmlformats.org/officeDocument/2006/relationships/hyperlink" Target="https://www.government.nl/topics/russia-and-ukraine/dutch-aid-for-ukraine" TargetMode="External"/><Relationship Id="rId1603"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1810" Type="http://schemas.openxmlformats.org/officeDocument/2006/relationships/hyperlink" Target="https://appropriations.house.gov/sites/democrats.appropriations.house.gov/files/Ukraine%20Supplemental%20Summary.pdf" TargetMode="External"/><Relationship Id="rId184" Type="http://schemas.openxmlformats.org/officeDocument/2006/relationships/hyperlink" Target="https://www.reuters.com/world/europe/japan-trebles-loans-ukraine-300-mln-pm-kishida-other-leaders-2022-04-19/" TargetMode="External"/><Relationship Id="rId391" Type="http://schemas.openxmlformats.org/officeDocument/2006/relationships/hyperlink" Target="https://eurasiantimes.com/from-britain-with-love-uks-new-game-changing-missiles-to-ukraine-has-potential-to-turn-tables-on-belligerent-russia/" TargetMode="External"/><Relationship Id="rId1908" Type="http://schemas.openxmlformats.org/officeDocument/2006/relationships/hyperlink" Target="https://appropriations.house.gov/sites/democrats.appropriations.house.gov/files/Additional%20Ukraine%20Suplemental%20Appropriations%20Act%20Summary.pdf" TargetMode="External"/><Relationship Id="rId2072" Type="http://schemas.openxmlformats.org/officeDocument/2006/relationships/hyperlink" Target="https://crsreports.congress.gov/product/pdf/IF/IF12040" TargetMode="External"/><Relationship Id="rId251" Type="http://schemas.openxmlformats.org/officeDocument/2006/relationships/hyperlink" Target="https://www.mfat.govt.nz/en/countries-and-regions/europe/ukraine/russian-invasion-of-ukraine/" TargetMode="External"/><Relationship Id="rId489" Type="http://schemas.openxmlformats.org/officeDocument/2006/relationships/hyperlink" Target="https://www.rnz.co.nz/news/national/464762/first-shipment-of-nz-defence-equipment-arrives-to-aid-ukraine" TargetMode="External"/><Relationship Id="rId696" Type="http://schemas.openxmlformats.org/officeDocument/2006/relationships/hyperlink" Target="https://twitter.com/a_anusauskas/status/1546202214003269635" TargetMode="External"/><Relationship Id="rId2377" Type="http://schemas.openxmlformats.org/officeDocument/2006/relationships/hyperlink" Target="https://crsreports.congress.gov/product/pdf/IF/IF12040" TargetMode="External"/><Relationship Id="rId2584" Type="http://schemas.openxmlformats.org/officeDocument/2006/relationships/hyperlink" Target="https://www.whitehouse.gov/briefing-room/press-briefings/2022/04/04/press-briefing-by-press-secretary-jen-psaki-and-national-security-advisor-jake-sullivan/" TargetMode="External"/><Relationship Id="rId2791" Type="http://schemas.openxmlformats.org/officeDocument/2006/relationships/hyperlink" Target="https://crsreports.congress.gov/product/pdf/IF/IF12040" TargetMode="External"/><Relationship Id="rId349" Type="http://schemas.openxmlformats.org/officeDocument/2006/relationships/hyperlink" Target="https://en.interfax.com.ua/news/general/829822.html" TargetMode="External"/><Relationship Id="rId556" Type="http://schemas.openxmlformats.org/officeDocument/2006/relationships/hyperlink" Target="https://www.gov.uk/government/speeches/pm-opening-remarks-at-press-conference-with-german-chancellor-olaf-scholz-8-april-2022" TargetMode="External"/><Relationship Id="rId763" Type="http://schemas.openxmlformats.org/officeDocument/2006/relationships/hyperlink" Target="https://www.reuters.com/world/europe/swedish-pm-sets-out-further-military-aid-package-ukraine-2022-08-29/" TargetMode="External"/><Relationship Id="rId1186" Type="http://schemas.openxmlformats.org/officeDocument/2006/relationships/hyperlink" Target="https://www.austria.org/ukraine" TargetMode="External"/><Relationship Id="rId1393" Type="http://schemas.openxmlformats.org/officeDocument/2006/relationships/hyperlink" Target="https://english.nv.ua/nation/estonia-approves-new-military-aid-package-for-ukraine-news-50292956.html" TargetMode="External"/><Relationship Id="rId2237"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44" Type="http://schemas.openxmlformats.org/officeDocument/2006/relationships/hyperlink" Target="https://appropriations.house.gov/sites/democrats.appropriations.house.gov/files/Ukraine%20Supplemental%20Summary%20FY23.pdf" TargetMode="External"/><Relationship Id="rId2889" Type="http://schemas.openxmlformats.org/officeDocument/2006/relationships/hyperlink" Target="https://appropriations.house.gov/sites/democrats.appropriations.house.gov/files/Additional%20Ukraine%20Suplemental%20Appropriations%20Act%20Summary.pdf" TargetMode="External"/><Relationship Id="rId111" Type="http://schemas.openxmlformats.org/officeDocument/2006/relationships/hyperlink" Target="https://www.wsj.com/livecoverage/russia-ukraine-latest-news-2022-03-24/card/u-k-to-send-extra-missiles-to-ukraine-prime-minister-says-wVycdL1VQIo91y4wGFxo" TargetMode="External"/><Relationship Id="rId209" Type="http://schemas.openxmlformats.org/officeDocument/2006/relationships/hyperlink" Target="https://www.aa.com.tr/en/europe/france-to-deliver-caesar-artillery-guns-shells-to-ukraine/2570644" TargetMode="External"/><Relationship Id="rId416" Type="http://schemas.openxmlformats.org/officeDocument/2006/relationships/hyperlink" Target="https://www.bbc.com/news/world-europe-61482305" TargetMode="External"/><Relationship Id="rId970" Type="http://schemas.openxmlformats.org/officeDocument/2006/relationships/hyperlink" Target="https://www.defense.gov/News/Releases/Release/Article/3064556/joint-statement-by-the-united-states-department-of-defense-the-ministry-of-defe/" TargetMode="External"/><Relationship Id="rId1046" Type="http://schemas.openxmlformats.org/officeDocument/2006/relationships/hyperlink" Target="https://www.ukrinform.net/rubric-ato/3424220-japan-sends-military-protective-equipment-to-ukraine.html" TargetMode="External"/><Relationship Id="rId1253" Type="http://schemas.openxmlformats.org/officeDocument/2006/relationships/hyperlink" Target="https://www.france24.com/en/europe/20221007-macron-announces-%E2%82%AC100-million-fund-for-ukraine-to-buy-arms" TargetMode="External"/><Relationship Id="rId1698" Type="http://schemas.openxmlformats.org/officeDocument/2006/relationships/hyperlink" Target="https://edition.cnn.com/europe/live-news/russia-ukraine-war-news-12-13-22/h_f789fb6727fdf749c8a193449f27be5a" TargetMode="External"/><Relationship Id="rId2651" Type="http://schemas.openxmlformats.org/officeDocument/2006/relationships/hyperlink" Target="https://www.defense.gov/News/Releases/Release/Article/2988565/readout-of-secretary-of-defense-lloyd-j-austin-iiis-call-with-ukraines-minister/" TargetMode="External"/><Relationship Id="rId2749" Type="http://schemas.openxmlformats.org/officeDocument/2006/relationships/hyperlink" Target="https://www.whitehouse.gov/briefing-room/press-briefings/2022/04/04/press-briefing-by-press-secretary-jen-psaki-and-national-security-advisor-jake-sullivan/" TargetMode="External"/><Relationship Id="rId623" Type="http://schemas.openxmlformats.org/officeDocument/2006/relationships/hyperlink" Target="https://www.diplomatie.gouv.fr/en/country-files/ukraine/news/article/ukraine-exceptional-delivery-of-emergency-medical-assistance-by-france-28-jun" TargetMode="External"/><Relationship Id="rId830" Type="http://schemas.openxmlformats.org/officeDocument/2006/relationships/hyperlink" Target="https://www.defense.gov/News/Releases/Release/Article/3160503/600-million-in-additional-security-assistance-for-ukraine/" TargetMode="External"/><Relationship Id="rId928" Type="http://schemas.openxmlformats.org/officeDocument/2006/relationships/hyperlink" Target="https://www.vm.ee/en/news/estonia-donates-12-buses-zhytomyr-oblast-ukraine-help-restore-transport-links" TargetMode="External"/><Relationship Id="rId1460" Type="http://schemas.openxmlformats.org/officeDocument/2006/relationships/hyperlink" Target="https://www.defense.gov/News/Releases/Release/Article/3227217/400-million-in-additional-assistance-for-ukraine/" TargetMode="External"/><Relationship Id="rId1558" Type="http://schemas.openxmlformats.org/officeDocument/2006/relationships/hyperlink" Target="https://www.bundesregierung.de/breg-en/news/military-support-ukraine-2054992" TargetMode="External"/><Relationship Id="rId1765" Type="http://schemas.openxmlformats.org/officeDocument/2006/relationships/hyperlink" Target="https://appropriations.house.gov/sites/democrats.appropriations.house.gov/files/Ukraine%20Supplemental%20Summary.pdf" TargetMode="External"/><Relationship Id="rId2304" Type="http://schemas.openxmlformats.org/officeDocument/2006/relationships/hyperlink" Target="https://appropriations.house.gov/sites/democrats.appropriations.house.gov/files/Ukraine%20Supplemental%20Summary%20FY23.pdf" TargetMode="External"/><Relationship Id="rId2511" Type="http://schemas.openxmlformats.org/officeDocument/2006/relationships/hyperlink" Target="https://appropriations.house.gov/sites/democrats.appropriations.house.gov/files/Additional%20Ukraine%20Suplemental%20Appropriations%20Act%20Summary.pdf" TargetMode="External"/><Relationship Id="rId2609" Type="http://schemas.openxmlformats.org/officeDocument/2006/relationships/hyperlink" Target="https://www.whitehouse.gov/briefing-room/press-briefings/2022/04/04/press-briefing-by-press-secretary-jen-psaki-and-national-security-advisor-jake-sullivan/" TargetMode="External"/><Relationship Id="rId57" Type="http://schemas.openxmlformats.org/officeDocument/2006/relationships/hyperlink" Target="https://www.globalcitizen.org/en/content/stand-up-for-ukraine-impact-report/" TargetMode="External"/><Relationship Id="rId1113" Type="http://schemas.openxmlformats.org/officeDocument/2006/relationships/hyperlink" Target="https://gemeindebund.at/gemeinden-blaulichtorganisationen-und-unternehmen-helfen-der-ukraine/" TargetMode="External"/><Relationship Id="rId1320" Type="http://schemas.openxmlformats.org/officeDocument/2006/relationships/hyperlink" Target="https://www.lesoir.be/479361/article/2022-11-25/la-belgique-va-envoyer-des-laboratoires-mobiles-et-des-drones-sous-marins" TargetMode="External"/><Relationship Id="rId1418" Type="http://schemas.openxmlformats.org/officeDocument/2006/relationships/hyperlink" Target="https://spectator.sme.sk/c/23092666/slovaka-will-provide-winter-package-for-ukraine.html" TargetMode="External"/><Relationship Id="rId1972" Type="http://schemas.openxmlformats.org/officeDocument/2006/relationships/hyperlink" Target="https://appropriations.house.gov/sites/democrats.appropriations.house.gov/files/Additional%20Ukraine%20Suplemental%20Appropriations%20Act%20Summary.pdf" TargetMode="External"/><Relationship Id="rId2816" Type="http://schemas.openxmlformats.org/officeDocument/2006/relationships/hyperlink" Target="https://appropriations.house.gov/sites/democrats.appropriations.house.gov/files/Ukraine%20Supplemental%20Summary.pdf" TargetMode="External"/><Relationship Id="rId1625" Type="http://schemas.openxmlformats.org/officeDocument/2006/relationships/hyperlink" Target="https://www.reuters.com/world/europe/denmark-donates-43-mln-military-aid-ukraine-2022-12-21/" TargetMode="External"/><Relationship Id="rId1832" Type="http://schemas.openxmlformats.org/officeDocument/2006/relationships/hyperlink" Target="https://appropriations.house.gov/sites/democrats.appropriations.house.gov/files/Ukraine%20Supplemental%20Summary.pdf" TargetMode="External"/><Relationship Id="rId2094" Type="http://schemas.openxmlformats.org/officeDocument/2006/relationships/hyperlink" Target="https://crsreports.congress.gov/product/pdf/IF/IF12040" TargetMode="External"/><Relationship Id="rId273" Type="http://schemas.openxmlformats.org/officeDocument/2006/relationships/hyperlink" Target="https://www.mfat.govt.nz/en/countries-and-regions/europe/ukraine/russian-invasion-of-ukraine/" TargetMode="External"/><Relationship Id="rId480" Type="http://schemas.openxmlformats.org/officeDocument/2006/relationships/hyperlink" Target="https://www.theguardian.com/australia-news/2022/feb/27/labor-warns-china-it-should-not-take-comfort-from-russian-invasion-of-ukraine" TargetMode="External"/><Relationship Id="rId2161" Type="http://schemas.openxmlformats.org/officeDocument/2006/relationships/hyperlink" Target="https://crsreports.congress.gov/product/pdf/IN/IN11882" TargetMode="External"/><Relationship Id="rId2399" Type="http://schemas.openxmlformats.org/officeDocument/2006/relationships/hyperlink" Target="https://crsreports.congress.gov/product/pdf/IF/IF12040" TargetMode="External"/><Relationship Id="rId133" Type="http://schemas.openxmlformats.org/officeDocument/2006/relationships/hyperlink" Target="https://edition.cnn.com/2022/04/09/europe/ukraine-uk-boris-johnson-intl-gbr/index.html" TargetMode="External"/><Relationship Id="rId340" Type="http://schemas.openxmlformats.org/officeDocument/2006/relationships/hyperlink" Target="https://www.youtube.com/watch?v=A1nTsblXabc" TargetMode="External"/><Relationship Id="rId578" Type="http://schemas.openxmlformats.org/officeDocument/2006/relationships/hyperlink" Target="https://www.globalcitizen.org/en/content/australia-ukraine-aid-follow-up/" TargetMode="External"/><Relationship Id="rId785" Type="http://schemas.openxmlformats.org/officeDocument/2006/relationships/hyperlink" Target="https://www.brusselstimes.com/290771/belgium-to-give-e12-million-in-military-aid-to-ukraine" TargetMode="External"/><Relationship Id="rId992" Type="http://schemas.openxmlformats.org/officeDocument/2006/relationships/hyperlink" Target="https://echo24.cz/a/SrjYb/cesko-poslalo-na-ukrajinu-desitky-tanku-t-72-a-bvp" TargetMode="External"/><Relationship Id="rId2021" Type="http://schemas.openxmlformats.org/officeDocument/2006/relationships/hyperlink" Target="https://crsreports.congress.gov/product/pdf/IF/IF12040" TargetMode="External"/><Relationship Id="rId2259" Type="http://schemas.openxmlformats.org/officeDocument/2006/relationships/hyperlink" Target="https://appropriations.house.gov/sites/democrats.appropriations.house.gov/files/Ukraine%20Supplemental%20Summary%20FY23.pdf" TargetMode="External"/><Relationship Id="rId2466" Type="http://schemas.openxmlformats.org/officeDocument/2006/relationships/hyperlink" Target="https://appropriations.house.gov/sites/democrats.appropriations.house.gov/files/Ukraine%20Supplemental%20Summary.pdf" TargetMode="External"/><Relationship Id="rId2673" Type="http://schemas.openxmlformats.org/officeDocument/2006/relationships/hyperlink" Target="https://www.defense.gov/News/Releases/Release/Article/2987119/defense-department-announces-300-million-in-additional-assistance-for-ukraine/" TargetMode="External"/><Relationship Id="rId2880" Type="http://schemas.openxmlformats.org/officeDocument/2006/relationships/hyperlink" Target="https://appropriations.house.gov/sites/democrats.appropriations.house.gov/files/Additional%20Ukraine%20Suplemental%20Appropriations%20Act%20Summary.pdf" TargetMode="External"/><Relationship Id="rId200" Type="http://schemas.openxmlformats.org/officeDocument/2006/relationships/hyperlink" Target="https://www.euronews.com/next/2022/04/28/finland-to-sell-confiscated-bitcoin-worth-75-million-to-support-ukraine-s-war-effort" TargetMode="External"/><Relationship Id="rId438" Type="http://schemas.openxmlformats.org/officeDocument/2006/relationships/hyperlink" Target="https://euneighbourseast.eu/news-and-stories/latest-news/council-adopts-e500-million-eu-support-to-ukraine-under-european-peace-facility/" TargetMode="External"/><Relationship Id="rId645" Type="http://schemas.openxmlformats.org/officeDocument/2006/relationships/hyperlink" Target="https://mezha.media/en/2022/04/25/the-warmate-uav-a-polish-alternative-to-the-switchblades-kamikaze-drone-already-in-ukraine/" TargetMode="External"/><Relationship Id="rId852" Type="http://schemas.openxmlformats.org/officeDocument/2006/relationships/hyperlink" Target="https://www.defense.gov/News/Releases/Release/Article/3173378/11-billion-in-additional-security-assistance-for-ukraine/" TargetMode="External"/><Relationship Id="rId1068" Type="http://schemas.openxmlformats.org/officeDocument/2006/relationships/hyperlink" Target="https://www.reuters.com/world/europe/czechs-plan-train-4000-ukrainian-troops-2022-11-16/" TargetMode="External"/><Relationship Id="rId1275" Type="http://schemas.openxmlformats.org/officeDocument/2006/relationships/hyperlink" Target="https://reliefweb.int/report/ukraine/norway-increase-support-humanitarian-efforts-and-government-administration-ukraine" TargetMode="External"/><Relationship Id="rId1482" Type="http://schemas.openxmlformats.org/officeDocument/2006/relationships/hyperlink" Target="https://www.defense.gov/News/Releases/Release/Article/3252782/185-billion-in-additional-security-assistance-for-ukraine/" TargetMode="External"/><Relationship Id="rId2119" Type="http://schemas.openxmlformats.org/officeDocument/2006/relationships/hyperlink" Target="https://crsreports.congress.gov/product/pdf/IF/IF12040" TargetMode="External"/><Relationship Id="rId2326" Type="http://schemas.openxmlformats.org/officeDocument/2006/relationships/hyperlink" Target="https://crsreports.congress.gov/product/pdf/IF/IF12040" TargetMode="External"/><Relationship Id="rId2533" Type="http://schemas.openxmlformats.org/officeDocument/2006/relationships/hyperlink" Target="https://www.19fortyfive.com/2022/04/switchblade-the-drone-giving-ukraine-a-big-edge-against-russia/" TargetMode="External"/><Relationship Id="rId2740" Type="http://schemas.openxmlformats.org/officeDocument/2006/relationships/hyperlink" Target="https://www.whitehouse.gov/briefing-room/press-briefings/2022/04/04/press-briefing-by-press-secretary-jen-psaki-and-national-security-advisor-jake-sullivan/" TargetMode="External"/><Relationship Id="rId505" Type="http://schemas.openxmlformats.org/officeDocument/2006/relationships/hyperlink" Target="https://www.romania-insider.com/romania-donates-ambulances-ukraine-2022" TargetMode="External"/><Relationship Id="rId712" Type="http://schemas.openxmlformats.org/officeDocument/2006/relationships/hyperlink" Target="https://www.globaldefensecorp.com/2022/07/31/czech-republic-donates-mi-24-helicopters-to-ukraine/" TargetMode="External"/><Relationship Id="rId1135" Type="http://schemas.openxmlformats.org/officeDocument/2006/relationships/hyperlink" Target="https://www.aa.com.tr/en/europe/spain-announces-increase-in-military-aid-to-ukraine/2668809" TargetMode="External"/><Relationship Id="rId1342" Type="http://schemas.openxmlformats.org/officeDocument/2006/relationships/hyperlink" Target="https://twitter.com/a_anusauskas/status/1601586263811031040" TargetMode="External"/><Relationship Id="rId1787" Type="http://schemas.openxmlformats.org/officeDocument/2006/relationships/hyperlink" Target="https://appropriations.house.gov/sites/democrats.appropriations.house.gov/files/Ukraine%20Supplemental%20Summary.pdf" TargetMode="External"/><Relationship Id="rId1994" Type="http://schemas.openxmlformats.org/officeDocument/2006/relationships/hyperlink" Target="https://appropriations.house.gov/sites/democrats.appropriations.house.gov/files/Additional%20Ukraine%20Suplemental%20Appropriations%20Act%20Summary.pdf" TargetMode="External"/><Relationship Id="rId2838" Type="http://schemas.openxmlformats.org/officeDocument/2006/relationships/hyperlink" Target="https://appropriations.house.gov/sites/democrats.appropriations.house.gov/files/Ukraine%20Supplemental%20Summary.pdf" TargetMode="External"/><Relationship Id="rId79" Type="http://schemas.openxmlformats.org/officeDocument/2006/relationships/hyperlink" Target="https://www.vlada.cz/cz/media-centrum/aktualne/informace-v-souvislosti-s-invazi-ruska-na-ukrajinu-194507/" TargetMode="External"/><Relationship Id="rId1202" Type="http://schemas.openxmlformats.org/officeDocument/2006/relationships/hyperlink" Target="https://twitter.com/kyivindependent/status/1520462556338569216?lang=en" TargetMode="External"/><Relationship Id="rId1647" Type="http://schemas.openxmlformats.org/officeDocument/2006/relationships/hyperlink" Target="https://www.defensie.nl/onderwerpen/oostflank-navo-gebied/nieuws/2022/12/01/nederland-doneert-met-noorwegen-en-estland-veldhospitaal-aan-oekraine" TargetMode="External"/><Relationship Id="rId1854" Type="http://schemas.openxmlformats.org/officeDocument/2006/relationships/hyperlink" Target="https://appropriations.house.gov/sites/democrats.appropriations.house.gov/files/Ukraine%20Supplemental%20Summary.pdf" TargetMode="External"/><Relationship Id="rId2600" Type="http://schemas.openxmlformats.org/officeDocument/2006/relationships/hyperlink" Target="https://www.whitehouse.gov/briefing-room/press-briefings/2022/04/04/press-briefing-by-press-secretary-jen-psaki-and-national-security-advisor-jake-sullivan/" TargetMode="External"/><Relationship Id="rId2905" Type="http://schemas.openxmlformats.org/officeDocument/2006/relationships/hyperlink" Target="https://appropriations.house.gov/sites/democrats.appropriations.house.gov/files/Summary%20Continuing%20Appropriations%20and%20Ukraine%20Supplemental%20Appropriations%20Act%202023.pdf" TargetMode="External"/><Relationship Id="rId1507" Type="http://schemas.openxmlformats.org/officeDocument/2006/relationships/hyperlink" Target="https://twitter.com/visegrad24/status/1533567105110507521" TargetMode="External"/><Relationship Id="rId1714" Type="http://schemas.openxmlformats.org/officeDocument/2006/relationships/hyperlink" Target="https://mva.gov.ua/ua/news/poshta-portugaliyi-peredala-50-tisyach-yevro-z-prodazhu-marki-solidarnosti-na-vidbudovu-borodyanka-centru" TargetMode="External"/><Relationship Id="rId295" Type="http://schemas.openxmlformats.org/officeDocument/2006/relationships/hyperlink" Target="https://www.worldbank.org/en/news/press-release/2022/03/07/world-bank-mobilizes-an-emergency-financing-package-of-over-700-million-for-ukraine" TargetMode="External"/><Relationship Id="rId1921" Type="http://schemas.openxmlformats.org/officeDocument/2006/relationships/hyperlink" Target="https://appropriations.house.gov/sites/democrats.appropriations.house.gov/files/Additional%20Ukraine%20Suplemental%20Appropriations%20Act%20Summary.pdf" TargetMode="External"/><Relationship Id="rId2183"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90" Type="http://schemas.openxmlformats.org/officeDocument/2006/relationships/hyperlink" Target="https://crsreports.congress.gov/product/pdf/IF/IF12040" TargetMode="External"/><Relationship Id="rId2488" Type="http://schemas.openxmlformats.org/officeDocument/2006/relationships/hyperlink" Target="https://appropriations.house.gov/sites/democrats.appropriations.house.gov/files/Additional%20Ukraine%20Suplemental%20Appropriations%20Act%20Summary.pdf" TargetMode="External"/><Relationship Id="rId155" Type="http://schemas.openxmlformats.org/officeDocument/2006/relationships/hyperlink" Target="https://twitter.com/desdelamoncloa/status/1497563071761453057" TargetMode="External"/><Relationship Id="rId362" Type="http://schemas.openxmlformats.org/officeDocument/2006/relationships/hyperlink" Target="https://www.youtube.com/watch?v=xsRCOOin-0U" TargetMode="External"/><Relationship Id="rId1297" Type="http://schemas.openxmlformats.org/officeDocument/2006/relationships/hyperlink" Target="https://www.defensa.gob.es/gabinete/notasPrensa/2022/10/DGC-221006-envio-ucrania.html" TargetMode="External"/><Relationship Id="rId2043" Type="http://schemas.openxmlformats.org/officeDocument/2006/relationships/hyperlink" Target="https://crsreports.congress.gov/product/pdf/IF/IF12040" TargetMode="External"/><Relationship Id="rId2250" Type="http://schemas.openxmlformats.org/officeDocument/2006/relationships/hyperlink" Target="https://appropriations.house.gov/sites/democrats.appropriations.house.gov/files/Ukraine%20Supplemental%20Summary%20FY23.pdf" TargetMode="External"/><Relationship Id="rId2695" Type="http://schemas.openxmlformats.org/officeDocument/2006/relationships/hyperlink" Target="https://www.defense.gov/News/Releases/Release/Article/2987119/defense-department-announces-300-million-in-additional-assistance-for-ukraine/" TargetMode="External"/><Relationship Id="rId222" Type="http://schemas.openxmlformats.org/officeDocument/2006/relationships/hyperlink" Target="https://www.youtube.com/watch?v=vzENx6dTpqY" TargetMode="External"/><Relationship Id="rId667" Type="http://schemas.openxmlformats.org/officeDocument/2006/relationships/hyperlink" Target="https://www.defense.gov/News/Releases/Release/Article/3066864/fact-sheet-on-us-security-assistance-to-ukraine/" TargetMode="External"/><Relationship Id="rId874" Type="http://schemas.openxmlformats.org/officeDocument/2006/relationships/hyperlink" Target="https://www.brusselstimes.com/278107/belgium-provides-e8-million-for-non-lethal-help-to-ukraine" TargetMode="External"/><Relationship Id="rId2110" Type="http://schemas.openxmlformats.org/officeDocument/2006/relationships/hyperlink" Target="https://crsreports.congress.gov/product/pdf/IF/IF12040" TargetMode="External"/><Relationship Id="rId2348" Type="http://schemas.openxmlformats.org/officeDocument/2006/relationships/hyperlink" Target="https://crsreports.congress.gov/product/pdf/IF/IF12040" TargetMode="External"/><Relationship Id="rId2555" Type="http://schemas.openxmlformats.org/officeDocument/2006/relationships/hyperlink" Target="https://www.19fortyfive.com/2022/04/switchblade-the-drone-giving-ukraine-a-big-edge-against-russia/" TargetMode="External"/><Relationship Id="rId2762" Type="http://schemas.openxmlformats.org/officeDocument/2006/relationships/hyperlink" Target="https://crsreports.congress.gov/product/pdf/IF/IF12040" TargetMode="External"/><Relationship Id="rId527" Type="http://schemas.openxmlformats.org/officeDocument/2006/relationships/hyperlink" Target="https://www.reuters.com/world/europe/sweden-supply-more-military-aid-including-anti-ship-missiles-ukraine-2022-06-02/" TargetMode="External"/><Relationship Id="rId734" Type="http://schemas.openxmlformats.org/officeDocument/2006/relationships/hyperlink" Target="https://ua.interfax.com.ua/news/general/844172.html" TargetMode="External"/><Relationship Id="rId941" Type="http://schemas.openxmlformats.org/officeDocument/2006/relationships/hyperlink" Target="https://twitter.com/oleksiireznikov/status/1569670474841427971" TargetMode="External"/><Relationship Id="rId1157" Type="http://schemas.openxmlformats.org/officeDocument/2006/relationships/hyperlink" Target="https://www.gov.uk/government/news/uk-to-offer-major-training-programme-for-ukrainian-forces-as-prime-minister-hails-their-victorious-determination" TargetMode="External"/><Relationship Id="rId1364" Type="http://schemas.openxmlformats.org/officeDocument/2006/relationships/hyperlink" Target="https://www.defensie.nl/onderwerpen/oostflank-navo-gebied/wat-doet-nederland" TargetMode="External"/><Relationship Id="rId1571" Type="http://schemas.openxmlformats.org/officeDocument/2006/relationships/hyperlink" Target="https://www.bundesregierung.de/resource/blob/975226/2155792/c3dbab706421f63d3d612091e7ecad4c/2022-12-27-unterstuetzung-ukraine-breg-data.pdf?download=1%20Guten" TargetMode="External"/><Relationship Id="rId2208"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15"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22" Type="http://schemas.openxmlformats.org/officeDocument/2006/relationships/hyperlink" Target="https://www.defense.gov/News/Releases/Release/Article/2988565/readout-of-secretary-of-defense-lloyd-j-austin-iiis-call-with-ukraines-minister/" TargetMode="External"/><Relationship Id="rId70" Type="http://schemas.openxmlformats.org/officeDocument/2006/relationships/hyperlink" Target="https://cyprus-mail.com/2022/04/06/aid-for-ukraine-now-tops-e2-million/" TargetMode="External"/><Relationship Id="rId801" Type="http://schemas.openxmlformats.org/officeDocument/2006/relationships/hyperlink" Target="https://www.defense.gov/News/Releases/Release/Article/3134457/775-million-in-additional-security-assistance-for-ukraine/" TargetMode="External"/><Relationship Id="rId1017" Type="http://schemas.openxmlformats.org/officeDocument/2006/relationships/hyperlink" Target="https://um.dk/en/danida/countries-and-regions/ukraine" TargetMode="External"/><Relationship Id="rId1224" Type="http://schemas.openxmlformats.org/officeDocument/2006/relationships/hyperlink" Target="https://www.republicworld.com/world-news/russia-ukraine-crisis/estonia-confirms-relief-package-to-aid-war-torn-ukraine-articleshow.html" TargetMode="External"/><Relationship Id="rId1431" Type="http://schemas.openxmlformats.org/officeDocument/2006/relationships/hyperlink" Target="https://www.euractiv.com/section/politics/news/finland-sends-11th-military-aid-package-to-ukraine/" TargetMode="External"/><Relationship Id="rId1669" Type="http://schemas.openxmlformats.org/officeDocument/2006/relationships/hyperlink" Target="https://researchbriefings.files.parliament.uk/documents/CBP-9477/CBP-9477.pdf" TargetMode="External"/><Relationship Id="rId1876" Type="http://schemas.openxmlformats.org/officeDocument/2006/relationships/hyperlink" Target="https://appropriations.house.gov/sites/democrats.appropriations.house.gov/files/Additional%20Ukraine%20Suplemental%20Appropriations%20Act%20Summary.pdf" TargetMode="External"/><Relationship Id="rId2927" Type="http://schemas.openxmlformats.org/officeDocument/2006/relationships/hyperlink" Target="https://www.eda.admin.ch/eda/de/home/das-eda/aktuell/newsuebersicht/2022/02/ukraine.html" TargetMode="External"/><Relationship Id="rId1529" Type="http://schemas.openxmlformats.org/officeDocument/2006/relationships/hyperlink" Target="https://bbj.hu/politics/foreign-affairs/ukraine-crisis/ukraine-crisis-hungary-to-send-additional-medical-supplies-to-ukraine" TargetMode="External"/><Relationship Id="rId1736" Type="http://schemas.openxmlformats.org/officeDocument/2006/relationships/hyperlink" Target="https://appropriations.house.gov/sites/democrats.appropriations.house.gov/files/Ukraine%20Supplemental%20Summary.pdf" TargetMode="External"/><Relationship Id="rId1943" Type="http://schemas.openxmlformats.org/officeDocument/2006/relationships/hyperlink" Target="https://appropriations.house.gov/sites/democrats.appropriations.house.gov/files/Additional%20Ukraine%20Suplemental%20Appropriations%20Act%20Summary.pdf" TargetMode="External"/><Relationship Id="rId28" Type="http://schemas.openxmlformats.org/officeDocument/2006/relationships/hyperlink" Target="https://hr.n1info.com/english/news/croatia-sends-emergency-aid-worth-e1-2m-to-ukraine-in-wake-of-russias-invasion/" TargetMode="External"/><Relationship Id="rId1803" Type="http://schemas.openxmlformats.org/officeDocument/2006/relationships/hyperlink" Target="https://appropriations.house.gov/sites/democrats.appropriations.house.gov/files/Ukraine%20Supplemental%20Summary.pdf" TargetMode="External"/><Relationship Id="rId177" Type="http://schemas.openxmlformats.org/officeDocument/2006/relationships/hyperlink" Target="https://twitter.com/SweMFA/status/1517445238142521346" TargetMode="External"/><Relationship Id="rId384" Type="http://schemas.openxmlformats.org/officeDocument/2006/relationships/hyperlink" Target="https://www-rtp-pt.translate.goog/noticias/politica/ajuda-financeira-a-ucrania-primeiros-100-milhoes-de-euros-serao-entregues-ainda-este-ano_v1406838?_x_tr_sl=pt&amp;_x_tr_tl=it&amp;_x_tr_hl=it&amp;_x_tr_pto=op,sc" TargetMode="External"/><Relationship Id="rId591" Type="http://schemas.openxmlformats.org/officeDocument/2006/relationships/hyperlink" Target="https://english.defensie.nl/latest/news/2022/04/06/a-look-at-the-defence-news-28-march---3-april" TargetMode="External"/><Relationship Id="rId2065" Type="http://schemas.openxmlformats.org/officeDocument/2006/relationships/hyperlink" Target="https://crsreports.congress.gov/product/pdf/IF/IF12040" TargetMode="External"/><Relationship Id="rId2272" Type="http://schemas.openxmlformats.org/officeDocument/2006/relationships/hyperlink" Target="https://appropriations.house.gov/sites/democrats.appropriations.house.gov/files/Ukraine%20Supplemental%20Summary%20FY23.pdf" TargetMode="External"/><Relationship Id="rId244" Type="http://schemas.openxmlformats.org/officeDocument/2006/relationships/hyperlink" Target="https://twitter.com/AFADTurkey/status/1497633720068714497" TargetMode="External"/><Relationship Id="rId689" Type="http://schemas.openxmlformats.org/officeDocument/2006/relationships/hyperlink" Target="https://www.total-croatia-news.com/politics/63404-vukovar-srijem-county-sends-humanitarian-aid-to-ukraine" TargetMode="External"/><Relationship Id="rId896" Type="http://schemas.openxmlformats.org/officeDocument/2006/relationships/hyperlink" Target="https://mfa.gov.cy/press-releases/2022/03/09/cyprus-humanitarian-aid-to-ukraine/" TargetMode="External"/><Relationship Id="rId1081" Type="http://schemas.openxmlformats.org/officeDocument/2006/relationships/hyperlink" Target="https://www.defense.gouv.fr/terre/actualites/uiisc-1-3e-convoi-solidarite-lukraine" TargetMode="External"/><Relationship Id="rId2577" Type="http://schemas.openxmlformats.org/officeDocument/2006/relationships/hyperlink" Target="https://www.whitehouse.gov/briefing-room/press-briefings/2022/04/04/press-briefing-by-press-secretary-jen-psaki-and-national-security-advisor-jake-sullivan/" TargetMode="External"/><Relationship Id="rId2784" Type="http://schemas.openxmlformats.org/officeDocument/2006/relationships/hyperlink" Target="https://crsreports.congress.gov/product/pdf/IF/IF12040" TargetMode="External"/><Relationship Id="rId451" Type="http://schemas.openxmlformats.org/officeDocument/2006/relationships/hyperlink" Target="https://twitter.com/edgarsrinkevics/status/1511694357560180745?ref_src=twsrc%5Etfw%7Ctwcamp%5Etweetembed%7Ctwterm%5E1511694357560180745%7Ctwgr%5E%7Ctwcon%5Es1_&amp;ref_url=https%3A%2F%2Fwww.redditmedia.com%2Fmediaembed%2Ftxqhaq%3Fresponsive%3Dtrueis_nightmode%3Dfalse" TargetMode="External"/><Relationship Id="rId549" Type="http://schemas.openxmlformats.org/officeDocument/2006/relationships/hyperlink" Target="https://www.lefigaro.fr/flash-actu/la-france-a-envoye-33-tonnes-d-aide-humanitaire-pour-l-ukraine-20220228" TargetMode="External"/><Relationship Id="rId756" Type="http://schemas.openxmlformats.org/officeDocument/2006/relationships/hyperlink" Target="https://twitter.com/Pabriks/status/1559196940167962624?s=20&amp;t=8mX0LWVPGMqpt7LQ8N__qA" TargetMode="External"/><Relationship Id="rId1179" Type="http://schemas.openxmlformats.org/officeDocument/2006/relationships/hyperlink" Target="https://www.defense.gov/News/Releases/Release/Article/3216287/400-million-in-additional-assistance-for-ukraine/" TargetMode="External"/><Relationship Id="rId1386" Type="http://schemas.openxmlformats.org/officeDocument/2006/relationships/hyperlink" Target="https://kaitseministeerium.ee/et/uudised/eesti-saadab-ukrainale-taas-sojavarustust" TargetMode="External"/><Relationship Id="rId1593" Type="http://schemas.openxmlformats.org/officeDocument/2006/relationships/hyperlink" Target="https://diplomatie.belgium.be/en/policy/policy-areas/highlighted/civilian-aid-ukraine-overview" TargetMode="External"/><Relationship Id="rId2132" Type="http://schemas.openxmlformats.org/officeDocument/2006/relationships/hyperlink" Target="https://crsreports.congress.gov/product/pdf/IF/IF12040" TargetMode="External"/><Relationship Id="rId2437" Type="http://schemas.openxmlformats.org/officeDocument/2006/relationships/hyperlink" Target="https://appropriations.house.gov/sites/democrats.appropriations.house.gov/files/Ukraine%20Supplemental%20Summary%20FY23.pdf" TargetMode="External"/><Relationship Id="rId104" Type="http://schemas.openxmlformats.org/officeDocument/2006/relationships/hyperlink" Target="https://www.rtvslo.si/radio-si/news/slovenia-sending-more-aid-to-ukraine/616960" TargetMode="External"/><Relationship Id="rId311" Type="http://schemas.openxmlformats.org/officeDocument/2006/relationships/hyperlink" Target="https://www.canada.ca/en/department-finance/news/2022/05/canada-provides-additional-financial-support-to-ukraine.html" TargetMode="External"/><Relationship Id="rId409" Type="http://schemas.openxmlformats.org/officeDocument/2006/relationships/hyperlink" Target="https://www.thelocal.es/20220421/spain-sends-200-tonnes-of-military-material-to-ukraine-pm/" TargetMode="External"/><Relationship Id="rId963" Type="http://schemas.openxmlformats.org/officeDocument/2006/relationships/hyperlink" Target="https://www.thedefensepost.com/2022/10/03/germany-denmark-norway-howitzers-ukraine/" TargetMode="External"/><Relationship Id="rId1039" Type="http://schemas.openxmlformats.org/officeDocument/2006/relationships/hyperlink" Target="https://www.defmin.fi/ajankohtaista/tiedotteet_ja_uutiset/suomi_toimittaa_lisaa_puolustustarvikeapua_ukrainaan.13184.news" TargetMode="External"/><Relationship Id="rId1246" Type="http://schemas.openxmlformats.org/officeDocument/2006/relationships/hyperlink" Target="https://www.leparisien.fr/politique/sebastien-lecornu-nous-allons-former-jusqua-2000-soldats-ukrainiens-en-france-15-10-2022-SBLM6EKPOFELNHN3GHGA7IAESY.php" TargetMode="External"/><Relationship Id="rId1898" Type="http://schemas.openxmlformats.org/officeDocument/2006/relationships/hyperlink" Target="https://appropriations.house.gov/sites/democrats.appropriations.house.gov/files/Additional%20Ukraine%20Suplemental%20Appropriations%20Act%20Summary.pdf" TargetMode="External"/><Relationship Id="rId2644" Type="http://schemas.openxmlformats.org/officeDocument/2006/relationships/hyperlink" Target="https://www.defense.gov/News/Releases/Release/Article/2988565/readout-of-secretary-of-defense-lloyd-j-austin-iiis-call-with-ukraines-minister/" TargetMode="External"/><Relationship Id="rId2851" Type="http://schemas.openxmlformats.org/officeDocument/2006/relationships/hyperlink" Target="https://appropriations.house.gov/sites/democrats.appropriations.house.gov/files/Ukraine%20Supplemental%20Summary.pdf" TargetMode="External"/><Relationship Id="rId2949" Type="http://schemas.openxmlformats.org/officeDocument/2006/relationships/printerSettings" Target="../printerSettings/printerSettings3.bin"/><Relationship Id="rId92" Type="http://schemas.openxmlformats.org/officeDocument/2006/relationships/hyperlink" Target="https://gov.ro/ro/stiri/declaratii-de-presa-sustinute-de-purtatorul-de-cuvant-al-guvernului-dan-carbunaru-privind-masurile-luate-de-executiv-in-cadrul-edintei-task-force-pentru-gestionarea-situatiei-generate-de-agresiunea-militara-rusa-din-ucraina&amp;page=2" TargetMode="External"/><Relationship Id="rId616" Type="http://schemas.openxmlformats.org/officeDocument/2006/relationships/hyperlink" Target="https://pm.gc.ca/en/news/backgrounders/2022/06/28/additional-canadian-support-ukraine-announced-2022-g7-summit" TargetMode="External"/><Relationship Id="rId823" Type="http://schemas.openxmlformats.org/officeDocument/2006/relationships/hyperlink" Target="https://www.defense.gov/News/Releases/Release/Article/3160503/600-million-in-additional-security-assistance-for-ukraine/" TargetMode="External"/><Relationship Id="rId1453" Type="http://schemas.openxmlformats.org/officeDocument/2006/relationships/hyperlink" Target="https://www.defense.gov/News/Releases/Release/Article/3252782/185-billion-in-additional-security-assistance-for-ukraine/" TargetMode="External"/><Relationship Id="rId1660" Type="http://schemas.openxmlformats.org/officeDocument/2006/relationships/hyperlink" Target="https://www.mod.bg/bg/news.php?&amp;fn_page=2" TargetMode="External"/><Relationship Id="rId1758" Type="http://schemas.openxmlformats.org/officeDocument/2006/relationships/hyperlink" Target="https://appropriations.house.gov/sites/democrats.appropriations.house.gov/files/Ukraine%20Supplemental%20Summary.pdf" TargetMode="External"/><Relationship Id="rId2504" Type="http://schemas.openxmlformats.org/officeDocument/2006/relationships/hyperlink" Target="https://crsreports.congress.gov/product/pdf/IF/IF12040" TargetMode="External"/><Relationship Id="rId2711" Type="http://schemas.openxmlformats.org/officeDocument/2006/relationships/hyperlink" Target="https://www.whitehouse.gov/briefing-room/press-briefings/2022/04/04/press-briefing-by-press-secretary-jen-psaki-and-national-security-advisor-jake-sullivan/" TargetMode="External"/><Relationship Id="rId2809" Type="http://schemas.openxmlformats.org/officeDocument/2006/relationships/hyperlink" Target="https://appropriations.house.gov/sites/democrats.appropriations.house.gov/files/Ukraine%20Supplemental%20Summary.pdf" TargetMode="External"/><Relationship Id="rId1106" Type="http://schemas.openxmlformats.org/officeDocument/2006/relationships/hyperlink" Target="https://www.ukrinform.net/rubric-ato/3604150-italy-provides-ukraine-with-two-m270-systems-six-pzh-2000-about-30-selfpropelled-howitzers-media.html" TargetMode="External"/><Relationship Id="rId1313" Type="http://schemas.openxmlformats.org/officeDocument/2006/relationships/hyperlink" Target="https://www.kmu.gov.ua/en/news/avstriia-pererakhuie-5-mln-ievro-u-fond-enerhetychnoi-pidtrymky-ukrainy" TargetMode="External"/><Relationship Id="rId1520" Type="http://schemas.openxmlformats.org/officeDocument/2006/relationships/hyperlink" Target="https://cyprus-digest.com/nikos-dendias-arrives-in-odessa-as-head-of-a-humanitarian-mission/" TargetMode="External"/><Relationship Id="rId1965" Type="http://schemas.openxmlformats.org/officeDocument/2006/relationships/hyperlink" Target="https://appropriations.house.gov/sites/democrats.appropriations.house.gov/files/Additional%20Ukraine%20Suplemental%20Appropriations%20Act%20Summary.pdf" TargetMode="External"/><Relationship Id="rId1618" Type="http://schemas.openxmlformats.org/officeDocument/2006/relationships/hyperlink" Target="https://twitter.com/Lithuanian_MoD/status/1567446474312540160?ref_src=twsrc%5Etfw%7Ctwcamp%5Etweetembed%7Ctwterm%5E1567446474312540160%7Ctwgr%5E4672a6b5ec4c4f6cf0f7166371f51fb78182c17f%7Ctwcon%5Es1_&amp;ref_url=https%3A%2F%2Fwww.eurointegration.com.ua%2Fnews%2F2022%2F09%2F7%2F7146332%2F" TargetMode="External"/><Relationship Id="rId1825" Type="http://schemas.openxmlformats.org/officeDocument/2006/relationships/hyperlink" Target="https://appropriations.house.gov/sites/democrats.appropriations.house.gov/files/Ukraine%20Supplemental%20Summary.pdf" TargetMode="External"/><Relationship Id="rId199" Type="http://schemas.openxmlformats.org/officeDocument/2006/relationships/hyperlink" Target="https://twitter.com/AnnikaSaarikko/status/1519361293823746049?s=20&amp;t=bCGlZWqdKQAC7geTzWxcRw" TargetMode="External"/><Relationship Id="rId2087" Type="http://schemas.openxmlformats.org/officeDocument/2006/relationships/hyperlink" Target="https://crsreports.congress.gov/product/pdf/IF/IF12040" TargetMode="External"/><Relationship Id="rId2294" Type="http://schemas.openxmlformats.org/officeDocument/2006/relationships/hyperlink" Target="https://appropriations.house.gov/sites/democrats.appropriations.house.gov/files/Ukraine%20Supplemental%20Summary%20FY23.pdf" TargetMode="External"/><Relationship Id="rId266" Type="http://schemas.openxmlformats.org/officeDocument/2006/relationships/hyperlink" Target="https://www.regjeringen.no/en/topics/foreign-affairs/humanitarian-efforts/neighbour_support/id2908141/" TargetMode="External"/><Relationship Id="rId473" Type="http://schemas.openxmlformats.org/officeDocument/2006/relationships/hyperlink" Target="https://www.rferl.org/a/czech-republic-poland-new-military-aid-ukraine/31873938.html" TargetMode="External"/><Relationship Id="rId680" Type="http://schemas.openxmlformats.org/officeDocument/2006/relationships/hyperlink" Target="https://www.gov.si/en/news/2022-03-01-minister-logar-announces-eur-1-1-million-in-humanitarian-aid-for-ukraine/" TargetMode="External"/><Relationship Id="rId2154" Type="http://schemas.openxmlformats.org/officeDocument/2006/relationships/hyperlink" Target="https://crsreports.congress.gov/product/pdf/IF/IF12040" TargetMode="External"/><Relationship Id="rId2361" Type="http://schemas.openxmlformats.org/officeDocument/2006/relationships/hyperlink" Target="https://crsreports.congress.gov/product/pdf/IF/IF12040" TargetMode="External"/><Relationship Id="rId2599" Type="http://schemas.openxmlformats.org/officeDocument/2006/relationships/hyperlink" Target="https://www.whitehouse.gov/briefing-room/press-briefings/2022/04/04/press-briefing-by-press-secretary-jen-psaki-and-national-security-advisor-jake-sullivan/" TargetMode="External"/><Relationship Id="rId126" Type="http://schemas.openxmlformats.org/officeDocument/2006/relationships/hyperlink" Target="https://www.reuters.com/world/europe/sweden-send-military-aid-ukraine-pm-andersson-2022-02-27/" TargetMode="External"/><Relationship Id="rId333" Type="http://schemas.openxmlformats.org/officeDocument/2006/relationships/hyperlink" Target="https://interfax.com/newsroom/top-stories/79528/" TargetMode="External"/><Relationship Id="rId540" Type="http://schemas.openxmlformats.org/officeDocument/2006/relationships/hyperlink" Target="https://hr.n1info.com/svijet/ek-daje-200-mil-eura-za-ukrajince-plenkovic-hrvatska-ce-pomagati-iz-principa/" TargetMode="External"/><Relationship Id="rId778" Type="http://schemas.openxmlformats.org/officeDocument/2006/relationships/hyperlink" Target="https://www.regjeringen.no/en/aktuelt/donerer-hellfire-missiler-og-nattoptikk-til-ukraina/id2926713/" TargetMode="External"/><Relationship Id="rId985" Type="http://schemas.openxmlformats.org/officeDocument/2006/relationships/hyperlink" Target="https://www.armyrecognition.com/defense_news_may_2022_global_security_army_industry/australia_announces_delivery_of_14_m113_tracked_apcs_and_20_bushmaster_armored_vehicles_to_ukraine.html" TargetMode="External"/><Relationship Id="rId1170" Type="http://schemas.openxmlformats.org/officeDocument/2006/relationships/hyperlink" Target="https://appropriations.house.gov/sites/democrats.appropriations.house.gov/files/Ukraine%20Supplemental%20Summary.pdf" TargetMode="External"/><Relationship Id="rId2014" Type="http://schemas.openxmlformats.org/officeDocument/2006/relationships/hyperlink" Target="https://crsreports.congress.gov/product/pdf/IF/IF12040" TargetMode="External"/><Relationship Id="rId2221"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59" Type="http://schemas.openxmlformats.org/officeDocument/2006/relationships/hyperlink" Target="https://appropriations.house.gov/sites/democrats.appropriations.house.gov/files/Ukraine%20Supplemental%20Summary.pdf" TargetMode="External"/><Relationship Id="rId2666" Type="http://schemas.openxmlformats.org/officeDocument/2006/relationships/hyperlink" Target="https://www.defense.gov/News/Releases/Release/Article/2987119/defense-department-announces-300-million-in-additional-assistance-for-ukraine/" TargetMode="External"/><Relationship Id="rId2873" Type="http://schemas.openxmlformats.org/officeDocument/2006/relationships/hyperlink" Target="https://appropriations.house.gov/sites/democrats.appropriations.house.gov/files/Additional%20Ukraine%20Suplemental%20Appropriations%20Act%20Summary.pdf" TargetMode="External"/><Relationship Id="rId638" Type="http://schemas.openxmlformats.org/officeDocument/2006/relationships/hyperlink" Target="https://radar.rp.pl/przemysl-obronny/art35751811-pioruny-drony-i-amunicja-polskie-uzbrojenie-w-drodze-na-ukraine" TargetMode="External"/><Relationship Id="rId845" Type="http://schemas.openxmlformats.org/officeDocument/2006/relationships/hyperlink" Target="https://www.defense.gov/News/Releases/Release/Article/3173378/11-billion-in-additional-security-assistance-for-ukraine/" TargetMode="External"/><Relationship Id="rId1030" Type="http://schemas.openxmlformats.org/officeDocument/2006/relationships/hyperlink" Target="https://www.defmin.fi/en/topical/press_releases_and_news/finland_sends_more_defence_materiel_assistance_to_ukraine.12834.news" TargetMode="External"/><Relationship Id="rId1268" Type="http://schemas.openxmlformats.org/officeDocument/2006/relationships/hyperlink" Target="https://www.mil.gov.ua/en/news/2022/11/15/russia-is-told-about-peace-it-responds-with-missiles-address-by-the-president-of-ukraine/" TargetMode="External"/><Relationship Id="rId1475" Type="http://schemas.openxmlformats.org/officeDocument/2006/relationships/hyperlink" Target="https://t.me/ermaka2022/990" TargetMode="External"/><Relationship Id="rId1682" Type="http://schemas.openxmlformats.org/officeDocument/2006/relationships/hyperlink" Target="https://sloveniatimes.com/slovenia-stands-firm-by-ukraine/" TargetMode="External"/><Relationship Id="rId2319" Type="http://schemas.openxmlformats.org/officeDocument/2006/relationships/hyperlink" Target="https://crsreports.congress.gov/product/pdf/IF/IF12040" TargetMode="External"/><Relationship Id="rId2526" Type="http://schemas.openxmlformats.org/officeDocument/2006/relationships/hyperlink" Target="https://www.19fortyfive.com/2022/04/switchblade-the-drone-giving-ukraine-a-big-edge-against-russia/" TargetMode="External"/><Relationship Id="rId2733" Type="http://schemas.openxmlformats.org/officeDocument/2006/relationships/hyperlink" Target="https://www.whitehouse.gov/briefing-room/press-briefings/2022/04/04/press-briefing-by-press-secretary-jen-psaki-and-national-security-advisor-jake-sullivan/" TargetMode="External"/><Relationship Id="rId400" Type="http://schemas.openxmlformats.org/officeDocument/2006/relationships/hyperlink" Target="https://twitter.com/UAWeapons/status/1530575142115495937" TargetMode="External"/><Relationship Id="rId705" Type="http://schemas.openxmlformats.org/officeDocument/2006/relationships/hyperlink" Target="https://www.reuters.com/business/aerospace-defense/britain-send-stormer-armoured-vehicles-ukraine-2022-04-25/" TargetMode="External"/><Relationship Id="rId1128" Type="http://schemas.openxmlformats.org/officeDocument/2006/relationships/hyperlink" Target="https://twitter.com/a_anusauskas/status/1575131983499362304" TargetMode="External"/><Relationship Id="rId1335" Type="http://schemas.openxmlformats.org/officeDocument/2006/relationships/hyperlink" Target="https://www.mfa.gov.lv/en/article/foreign-ministry-awards-grants-development-cooperation-projects-2022-2023" TargetMode="External"/><Relationship Id="rId1542" Type="http://schemas.openxmlformats.org/officeDocument/2006/relationships/hyperlink" Target="https://www.thedefensepost.com/2022/10/03/germany-denmark-norway-howitzers-ukraine/" TargetMode="External"/><Relationship Id="rId1987" Type="http://schemas.openxmlformats.org/officeDocument/2006/relationships/hyperlink" Target="https://appropriations.house.gov/sites/democrats.appropriations.house.gov/files/Additional%20Ukraine%20Suplemental%20Appropriations%20Act%20Summary.pdf" TargetMode="External"/><Relationship Id="rId2940" Type="http://schemas.openxmlformats.org/officeDocument/2006/relationships/hyperlink" Target="https://interfax.com/newsroom/top-stories/86161/" TargetMode="External"/><Relationship Id="rId912" Type="http://schemas.openxmlformats.org/officeDocument/2006/relationships/hyperlink" Target="https://www.euronews.com/2022/09/29/cargo-ship-with-1000-tonnes-of-ukraine-aid-sets-sail-from-marseille" TargetMode="External"/><Relationship Id="rId1847" Type="http://schemas.openxmlformats.org/officeDocument/2006/relationships/hyperlink" Target="https://appropriations.house.gov/sites/democrats.appropriations.house.gov/files/Ukraine%20Supplemental%20Summary.pdf" TargetMode="External"/><Relationship Id="rId2800" Type="http://schemas.openxmlformats.org/officeDocument/2006/relationships/hyperlink" Target="https://crsreports.congress.gov/product/pdf/IF/IF12040" TargetMode="External"/><Relationship Id="rId41" Type="http://schemas.openxmlformats.org/officeDocument/2006/relationships/hyperlink" Target="https://twitter.com/alexanderdecroo/status/1497914776063594502" TargetMode="External"/><Relationship Id="rId1402" Type="http://schemas.openxmlformats.org/officeDocument/2006/relationships/hyperlink" Target="https://www.france24.com/en/live-news/20230104-macron-promises-first-western-tanks-for-ukraine" TargetMode="External"/><Relationship Id="rId1707" Type="http://schemas.openxmlformats.org/officeDocument/2006/relationships/hyperlink" Target="https://ua.ambafrance.org/Dostavka-1000-t-francuz-koyi-gumaniitarnoyi-dopomogi-ukrayins-kim-adresatam-v" TargetMode="External"/><Relationship Id="rId190" Type="http://schemas.openxmlformats.org/officeDocument/2006/relationships/hyperlink" Target="https://medinlive.at/gesellschaft/oesterreich-unterstuetzt-ukraine-mit-ueber-80-millionen-euro" TargetMode="External"/><Relationship Id="rId288" Type="http://schemas.openxmlformats.org/officeDocument/2006/relationships/hyperlink" Target="https://www.france24.com/en/live-news/20220411-zelensky-says-he-believes-tens-of-thousands-killed-in-mariupol" TargetMode="External"/><Relationship Id="rId1914" Type="http://schemas.openxmlformats.org/officeDocument/2006/relationships/hyperlink" Target="https://appropriations.house.gov/sites/democrats.appropriations.house.gov/files/Additional%20Ukraine%20Suplemental%20Appropriations%20Act%20Summary.pdf" TargetMode="External"/><Relationship Id="rId495" Type="http://schemas.openxmlformats.org/officeDocument/2006/relationships/hyperlink" Target="https://mobile.twitter.com/AAhronheim/status/1498004573528772608" TargetMode="External"/><Relationship Id="rId2176"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83" Type="http://schemas.openxmlformats.org/officeDocument/2006/relationships/hyperlink" Target="https://crsreports.congress.gov/product/pdf/IF/IF12040" TargetMode="External"/><Relationship Id="rId2590" Type="http://schemas.openxmlformats.org/officeDocument/2006/relationships/hyperlink" Target="https://www.whitehouse.gov/briefing-room/press-briefings/2022/04/04/press-briefing-by-press-secretary-jen-psaki-and-national-security-advisor-jake-sullivan/" TargetMode="External"/><Relationship Id="rId148" Type="http://schemas.openxmlformats.org/officeDocument/2006/relationships/hyperlink" Target="https://www.romania-insider.com/ro-ukraine-eu-civil-protection-feb-2022" TargetMode="External"/><Relationship Id="rId355" Type="http://schemas.openxmlformats.org/officeDocument/2006/relationships/hyperlink" Target="https://techartica.com/this-is-the-first-view-of-the-mistral-antiaircraft-system-in-ukraine-it-shows-how-civilian-cars-are-used-at-war-front/" TargetMode="External"/><Relationship Id="rId562" Type="http://schemas.openxmlformats.org/officeDocument/2006/relationships/hyperlink" Target="https://www.kmu.gov.ua/en/news/portugaliya-nadast-ukrayini-do-250-mln-yevro-finansovoyi-pidtrimki-denis-shmigal" TargetMode="External"/><Relationship Id="rId1192" Type="http://schemas.openxmlformats.org/officeDocument/2006/relationships/hyperlink" Target="https://edition.cnn.com/europe/live-news/russia-ukraine-war-news-08-25-22/index.html" TargetMode="External"/><Relationship Id="rId2036" Type="http://schemas.openxmlformats.org/officeDocument/2006/relationships/hyperlink" Target="https://crsreports.congress.gov/product/pdf/IF/IF12040" TargetMode="External"/><Relationship Id="rId2243"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50" Type="http://schemas.openxmlformats.org/officeDocument/2006/relationships/hyperlink" Target="https://www.usaid.gov/news-information/press-releases/nov-22-2022-united-states-contributes-45-billion-support-government-ukraine" TargetMode="External"/><Relationship Id="rId2688" Type="http://schemas.openxmlformats.org/officeDocument/2006/relationships/hyperlink" Target="https://www.defense.gov/News/Releases/Release/Article/2987119/defense-department-announces-300-million-in-additional-assistance-for-ukraine/" TargetMode="External"/><Relationship Id="rId2895" Type="http://schemas.openxmlformats.org/officeDocument/2006/relationships/hyperlink" Target="https://appropriations.house.gov/sites/democrats.appropriations.house.gov/files/Additional%20Ukraine%20Suplemental%20Appropriations%20Act%20Summary.pdf" TargetMode="External"/><Relationship Id="rId215" Type="http://schemas.openxmlformats.org/officeDocument/2006/relationships/hyperlink" Target="https://www.reuters.com/world/europe/france-strengthen-military-humanitarian-aid-ukraine-elysee-2022-04-30/" TargetMode="External"/><Relationship Id="rId422" Type="http://schemas.openxmlformats.org/officeDocument/2006/relationships/hyperlink" Target="https://www.europarl.europa.eu/RegData/etudes/ATAG/2022/729301/EPRS_ATA(2022)729301_EN.pdf" TargetMode="External"/><Relationship Id="rId867" Type="http://schemas.openxmlformats.org/officeDocument/2006/relationships/hyperlink" Target="https://odessa-journal.com/ukraine-and-austria-agreed-on-economic-cooperation-in-the-development-of-projects/" TargetMode="External"/><Relationship Id="rId1052" Type="http://schemas.openxmlformats.org/officeDocument/2006/relationships/hyperlink" Target="https://www.nippon.com/en/news/kd927892413712449536/" TargetMode="External"/><Relationship Id="rId1497" Type="http://schemas.openxmlformats.org/officeDocument/2006/relationships/hyperlink" Target="https://www.hindustantimes.com/india-news/india-provides-7-725-kg-of-humanitarian-aid-to-ukraine-101651854620406.html" TargetMode="External"/><Relationship Id="rId2103" Type="http://schemas.openxmlformats.org/officeDocument/2006/relationships/hyperlink" Target="https://crsreports.congress.gov/product/pdf/IF/IF12040" TargetMode="External"/><Relationship Id="rId2310" Type="http://schemas.openxmlformats.org/officeDocument/2006/relationships/hyperlink" Target="https://appropriations.house.gov/sites/democrats.appropriations.house.gov/files/Ukraine%20Supplemental%20Summary%20FY23.pdf" TargetMode="External"/><Relationship Id="rId2548" Type="http://schemas.openxmlformats.org/officeDocument/2006/relationships/hyperlink" Target="https://www.19fortyfive.com/2022/04/switchblade-the-drone-giving-ukraine-a-big-edge-against-russia/" TargetMode="External"/><Relationship Id="rId2755" Type="http://schemas.openxmlformats.org/officeDocument/2006/relationships/hyperlink" Target="https://www.whitehouse.gov/briefing-room/press-briefings/2022/04/04/press-briefing-by-press-secretary-jen-psaki-and-national-security-advisor-jake-sullivan/" TargetMode="External"/><Relationship Id="rId727" Type="http://schemas.openxmlformats.org/officeDocument/2006/relationships/hyperlink" Target="https://www.pm.gov.au/media/visit-kyiv-and-further-australian-support-ukraine" TargetMode="External"/><Relationship Id="rId934" Type="http://schemas.openxmlformats.org/officeDocument/2006/relationships/hyperlink" Target="https://www.thedefensepost.com/2022/08/19/estonia-aid-weapons-ukraine/" TargetMode="External"/><Relationship Id="rId1357" Type="http://schemas.openxmlformats.org/officeDocument/2006/relationships/hyperlink" Target="https://twitter.com/Defense_lu/status/1598610977364115462?t=6bU22e0y0z-S3WKot0R3BA&amp;s=19" TargetMode="External"/><Relationship Id="rId1564" Type="http://schemas.openxmlformats.org/officeDocument/2006/relationships/hyperlink" Target="https://www.dw.com/en/russia-ukraine-updates-germany-pledges-200-million-in-new-aid-report/a-63013436" TargetMode="External"/><Relationship Id="rId1771" Type="http://schemas.openxmlformats.org/officeDocument/2006/relationships/hyperlink" Target="https://appropriations.house.gov/sites/democrats.appropriations.house.gov/files/Ukraine%20Supplemental%20Summary.pdf" TargetMode="External"/><Relationship Id="rId2408"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15" Type="http://schemas.openxmlformats.org/officeDocument/2006/relationships/hyperlink" Target="https://www.whitehouse.gov/briefing-room/press-briefings/2022/04/04/press-briefing-by-press-secretary-jen-psaki-and-national-security-advisor-jake-sullivan/" TargetMode="External"/><Relationship Id="rId2822" Type="http://schemas.openxmlformats.org/officeDocument/2006/relationships/hyperlink" Target="https://appropriations.house.gov/sites/democrats.appropriations.house.gov/files/Ukraine%20Supplemental%20Summary.pdf" TargetMode="External"/><Relationship Id="rId63" Type="http://schemas.openxmlformats.org/officeDocument/2006/relationships/hyperlink" Target="https://www.canada.ca/en/department-finance/news/2022/02/canada-pledges-additional-support-for-ukraine.html" TargetMode="External"/><Relationship Id="rId1217" Type="http://schemas.openxmlformats.org/officeDocument/2006/relationships/hyperlink" Target="https://kaitseministeerium.ee/en/news/estonia-sending-ukraine-ammunition-and-equipment" TargetMode="External"/><Relationship Id="rId1424" Type="http://schemas.openxmlformats.org/officeDocument/2006/relationships/hyperlink" Target="https://www.eurointegration.com.ua/news/2022/12/8/7152129/" TargetMode="External"/><Relationship Id="rId1631" Type="http://schemas.openxmlformats.org/officeDocument/2006/relationships/hyperlink" Target="https://lvportals.lv/dienaskartiba/341367-valsts-ugunsdzesibas-un-glabsanas-dienests-atbalstot-ukrainu-nodod-dalu-no-materialtehniskas-bazes-2022" TargetMode="External"/><Relationship Id="rId1869" Type="http://schemas.openxmlformats.org/officeDocument/2006/relationships/hyperlink" Target="https://appropriations.house.gov/sites/democrats.appropriations.house.gov/files/Ukraine%20Supplemental%20Summary.pdf" TargetMode="External"/><Relationship Id="rId1729" Type="http://schemas.openxmlformats.org/officeDocument/2006/relationships/hyperlink" Target="https://appropriations.house.gov/sites/democrats.appropriations.house.gov/files/Ukraine%20Supplemental%20Summary.pdf" TargetMode="External"/><Relationship Id="rId1936" Type="http://schemas.openxmlformats.org/officeDocument/2006/relationships/hyperlink" Target="https://appropriations.house.gov/sites/democrats.appropriations.house.gov/files/Additional%20Ukraine%20Suplemental%20Appropriations%20Act%20Summary.pdf" TargetMode="External"/><Relationship Id="rId2198" Type="http://schemas.openxmlformats.org/officeDocument/2006/relationships/hyperlink" Target="https://appropriations.house.gov/sites/democrats.appropriations.house.gov/files/Summary%20Continuing%20Appropriations%20and%20Ukraine%20Supplemental%20Appropriations%20Act%202023.pdf" TargetMode="External"/><Relationship Id="rId377" Type="http://schemas.openxmlformats.org/officeDocument/2006/relationships/hyperlink" Target="https://www.cbc.ca/news/politics/ukraine-m777-howitzer-russia-heavy-artillery-1.6427762" TargetMode="External"/><Relationship Id="rId584" Type="http://schemas.openxmlformats.org/officeDocument/2006/relationships/hyperlink" Target="https://www.regjeringen.no/en/aktuelt/first-wounded-soldiers-from-ukraine-arrive/id2918391/" TargetMode="External"/><Relationship Id="rId2058" Type="http://schemas.openxmlformats.org/officeDocument/2006/relationships/hyperlink" Target="https://crsreports.congress.gov/product/pdf/IF/IF12040" TargetMode="External"/><Relationship Id="rId2265" Type="http://schemas.openxmlformats.org/officeDocument/2006/relationships/hyperlink" Target="https://appropriations.house.gov/sites/democrats.appropriations.house.gov/files/Ukraine%20Supplemental%20Summary%20FY23.pdf" TargetMode="External"/><Relationship Id="rId5" Type="http://schemas.openxmlformats.org/officeDocument/2006/relationships/hyperlink" Target="https://www.delfi.lt/en/politics/kasciunas-lithuania-provides-ukraine-with-military-aid-worth-eur-29-mln.d?id=89718941" TargetMode="External"/><Relationship Id="rId237" Type="http://schemas.openxmlformats.org/officeDocument/2006/relationships/hyperlink" Target="https://www.abc.net.au/news/rural/2022-03-22/cost-sending-70000-tonnes-of-coal-to-ukraine/100929070" TargetMode="External"/><Relationship Id="rId791" Type="http://schemas.openxmlformats.org/officeDocument/2006/relationships/hyperlink" Target="https://www.connexionfrance.com/article/French-news/Humanitarian-ship-for-Ukraine-leaves-French-port-with-8m-of-aid" TargetMode="External"/><Relationship Id="rId889" Type="http://schemas.openxmlformats.org/officeDocument/2006/relationships/hyperlink" Target="https://en.interfax.com.ua/news/general/859303.html" TargetMode="External"/><Relationship Id="rId1074" Type="http://schemas.openxmlformats.org/officeDocument/2006/relationships/hyperlink" Target="https://www.defense.gouv.fr/terre/actualites/uiisc-1-3e-convoi-solidarite-lukraine" TargetMode="External"/><Relationship Id="rId2472" Type="http://schemas.openxmlformats.org/officeDocument/2006/relationships/hyperlink" Target="https://appropriations.house.gov/sites/democrats.appropriations.house.gov/files/Ukraine%20Supplemental%20Summary.pdf" TargetMode="External"/><Relationship Id="rId2777" Type="http://schemas.openxmlformats.org/officeDocument/2006/relationships/hyperlink" Target="https://crsreports.congress.gov/product/pdf/IF/IF12040" TargetMode="External"/><Relationship Id="rId444" Type="http://schemas.openxmlformats.org/officeDocument/2006/relationships/hyperlink" Target="https://www.weekend.at/chronik/200000-liter-diesel-aus-oesterreich-fuer-ukraine" TargetMode="External"/><Relationship Id="rId651" Type="http://schemas.openxmlformats.org/officeDocument/2006/relationships/hyperlink" Target="https://www.defensenews.com/global/europe/2022/04/11/slovakia-could-sell-howitzers-to-ukraine-and-repair-its-tanks-vehicles/" TargetMode="External"/><Relationship Id="rId749" Type="http://schemas.openxmlformats.org/officeDocument/2006/relationships/hyperlink" Target="https://um.fi/press-releases/-/asset_publisher/ued5t2wDmr1C/content/suomelta-humanitaarista-apua-valiaikaisia-asuntoja-seka-julkisen-hallinnon-tukea-ukrainaan/35732" TargetMode="External"/><Relationship Id="rId1281" Type="http://schemas.openxmlformats.org/officeDocument/2006/relationships/hyperlink" Target="https://twitter.com/a_anusauskas/status/1592084804501401604" TargetMode="External"/><Relationship Id="rId1379" Type="http://schemas.openxmlformats.org/officeDocument/2006/relationships/hyperlink" Target="https://cyprus-mail.com/2022/12/14/cyprus-sends-largest-aid-package-in-its-history-to-ukraine/" TargetMode="External"/><Relationship Id="rId1586" Type="http://schemas.openxmlformats.org/officeDocument/2006/relationships/hyperlink" Target="https://news.err.ee/1608793648/estonia-s-total-military-aid-to-ukraine-to-date-approaching-300-million" TargetMode="External"/><Relationship Id="rId2125" Type="http://schemas.openxmlformats.org/officeDocument/2006/relationships/hyperlink" Target="https://crsreports.congress.gov/product/pdf/IF/IF12040" TargetMode="External"/><Relationship Id="rId2332" Type="http://schemas.openxmlformats.org/officeDocument/2006/relationships/hyperlink" Target="https://crsreports.congress.gov/product/pdf/IF/IF12040" TargetMode="External"/><Relationship Id="rId304" Type="http://schemas.openxmlformats.org/officeDocument/2006/relationships/hyperlink" Target="https://bntnews.bg/news/kakva-tochno-pomosht-shte-predostavi-balgariya-na-ukraina-1193662news.html" TargetMode="External"/><Relationship Id="rId511" Type="http://schemas.openxmlformats.org/officeDocument/2006/relationships/hyperlink" Target="https://www.forces.net/technology/weapons-and-kit/latest-military-aid-being-sent-ukraine-west" TargetMode="External"/><Relationship Id="rId609" Type="http://schemas.openxmlformats.org/officeDocument/2006/relationships/hyperlink" Target="https://www.vlada.cz/cz/media-centrum/aktualne/informace-v-souvislosti-s-invazi-ruska-na-ukrajinu-194507/" TargetMode="External"/><Relationship Id="rId956" Type="http://schemas.openxmlformats.org/officeDocument/2006/relationships/hyperlink" Target="https://www.defensenews.com/global/europe/2022/08/23/germany-slovakia-sign-tank-swap-deal-to-arm-ukraine/" TargetMode="External"/><Relationship Id="rId1141" Type="http://schemas.openxmlformats.org/officeDocument/2006/relationships/hyperlink" Target="https://www.gov.uk/government/news/uk-government-and-nobel-prize-winner-launch-global-code-to-tackle-conflict-related-sexual-violence" TargetMode="External"/><Relationship Id="rId1239" Type="http://schemas.openxmlformats.org/officeDocument/2006/relationships/hyperlink" Target="https://www.france24.com/en/europe/20221007-macron-announces-%E2%82%AC100-million-fund-for-ukraine-to-buy-arms" TargetMode="External"/><Relationship Id="rId1793" Type="http://schemas.openxmlformats.org/officeDocument/2006/relationships/hyperlink" Target="https://appropriations.house.gov/sites/democrats.appropriations.house.gov/files/Ukraine%20Supplemental%20Summary.pdf" TargetMode="External"/><Relationship Id="rId2637" Type="http://schemas.openxmlformats.org/officeDocument/2006/relationships/hyperlink" Target="https://www.defense.gov/News/Releases/Release/Article/2988565/readout-of-secretary-of-defense-lloyd-j-austin-iiis-call-with-ukraines-minister/" TargetMode="External"/><Relationship Id="rId2844" Type="http://schemas.openxmlformats.org/officeDocument/2006/relationships/hyperlink" Target="https://appropriations.house.gov/sites/democrats.appropriations.house.gov/files/Ukraine%20Supplemental%20Summary.pdf" TargetMode="External"/><Relationship Id="rId85" Type="http://schemas.openxmlformats.org/officeDocument/2006/relationships/hyperlink" Target="https://www.vlada.cz/cz/media-centrum/aktualne/vlada-schvalila-dalsi-dar-v-podobe-vojenskeho-materialu-ukrajine-194585/" TargetMode="External"/><Relationship Id="rId816" Type="http://schemas.openxmlformats.org/officeDocument/2006/relationships/hyperlink" Target="https://www.defense.gov/News/Releases/Release/Article/3152071/675-million-in-additional-security-assistance-for-ukraine/" TargetMode="External"/><Relationship Id="rId1001" Type="http://schemas.openxmlformats.org/officeDocument/2006/relationships/hyperlink" Target="https://um.dk/en/danida/countries-and-regions/ukraine" TargetMode="External"/><Relationship Id="rId1446" Type="http://schemas.openxmlformats.org/officeDocument/2006/relationships/hyperlink" Target="https://appropriations.house.gov/sites/democrats.appropriations.house.gov/files/Additional%20Ukraine%20Suplemental%20Appropriations%20Act%20Summary.pdf" TargetMode="External"/><Relationship Id="rId1653" Type="http://schemas.openxmlformats.org/officeDocument/2006/relationships/hyperlink" Target="https://www.gov.uk/government/news/pm-accelerates-ukraine-support-ahead-of-anniversary-of-putins-war" TargetMode="External"/><Relationship Id="rId1860" Type="http://schemas.openxmlformats.org/officeDocument/2006/relationships/hyperlink" Target="https://appropriations.house.gov/sites/democrats.appropriations.house.gov/files/Ukraine%20Supplemental%20Summary.pdf" TargetMode="External"/><Relationship Id="rId2704" Type="http://schemas.openxmlformats.org/officeDocument/2006/relationships/hyperlink" Target="https://www.defense.gov/News/Releases/Release/Article/2987119/defense-department-announces-300-million-in-additional-assistance-for-ukraine/" TargetMode="External"/><Relationship Id="rId2911" Type="http://schemas.openxmlformats.org/officeDocument/2006/relationships/hyperlink" Target="https://appropriations.house.gov/sites/democrats.appropriations.house.gov/files/Summary%20Continuing%20Appropriations%20and%20Ukraine%20Supplemental%20Appropriations%20Act%202023.pdf" TargetMode="External"/><Relationship Id="rId1306" Type="http://schemas.openxmlformats.org/officeDocument/2006/relationships/hyperlink" Target="https://www.gov.uk/government/news/uk-to-send-scores-of-artillery-guns-and-hundreds-of-drones-to-ukraine" TargetMode="External"/><Relationship Id="rId1513" Type="http://schemas.openxmlformats.org/officeDocument/2006/relationships/hyperlink" Target="https://abouthungary.hu/news-in-brief/hungary-to-make-another-shipment-of-humanitarian-aid-to-ukraine?msclkid=ca53d542ab8b11ec95fbf81dabb45ae9" TargetMode="External"/><Relationship Id="rId1720" Type="http://schemas.openxmlformats.org/officeDocument/2006/relationships/hyperlink" Target="https://appropriations.house.gov/sites/democrats.appropriations.house.gov/files/Summary%20Continuing%20Appropriations%20and%20Ukraine%20Supplemental%20Appropriations%20Act%202023.pdf" TargetMode="External"/><Relationship Id="rId1958" Type="http://schemas.openxmlformats.org/officeDocument/2006/relationships/hyperlink" Target="https://appropriations.house.gov/sites/democrats.appropriations.house.gov/files/Additional%20Ukraine%20Suplemental%20Appropriations%20Act%20Summary.pdf" TargetMode="External"/><Relationship Id="rId12" Type="http://schemas.openxmlformats.org/officeDocument/2006/relationships/hyperlink" Target="https://vlada.gov.hr/news/croatia-sending-emergency-aid-to-ukraine/33960" TargetMode="External"/><Relationship Id="rId1818" Type="http://schemas.openxmlformats.org/officeDocument/2006/relationships/hyperlink" Target="https://appropriations.house.gov/sites/democrats.appropriations.house.gov/files/Ukraine%20Supplemental%20Summary.pdf" TargetMode="External"/><Relationship Id="rId161" Type="http://schemas.openxmlformats.org/officeDocument/2006/relationships/hyperlink" Target="https://www.defense.gov/News/Releases/Release/Article/3007664/fact-sheet-on-us-security-assistance-for-ukraine-roll-up-as-of-april-21-2022/" TargetMode="External"/><Relationship Id="rId399" Type="http://schemas.openxmlformats.org/officeDocument/2006/relationships/hyperlink" Target="https://news.err.ee/1608555886/estonia-s-220-million-military-aid-to-ukraine-substantially-diversified" TargetMode="External"/><Relationship Id="rId2287" Type="http://schemas.openxmlformats.org/officeDocument/2006/relationships/hyperlink" Target="https://appropriations.house.gov/sites/democrats.appropriations.house.gov/files/Ukraine%20Supplemental%20Summary%20FY23.pdf" TargetMode="External"/><Relationship Id="rId2494" Type="http://schemas.openxmlformats.org/officeDocument/2006/relationships/hyperlink" Target="https://crsreports.congress.gov/product/pdf/IF/IF12040" TargetMode="External"/><Relationship Id="rId259" Type="http://schemas.openxmlformats.org/officeDocument/2006/relationships/hyperlink" Target="https://www.regjeringen.no/en/aktuelt/norway-provides-additional-weapons-to-ukraine/id2906254/" TargetMode="External"/><Relationship Id="rId466" Type="http://schemas.openxmlformats.org/officeDocument/2006/relationships/hyperlink" Target="https://in-cyprus.philenews.com/cyprus-third-humanitarian-aid-package-to-war-torn-ukraine-ready-to-be-shipped-photos/" TargetMode="External"/><Relationship Id="rId673" Type="http://schemas.openxmlformats.org/officeDocument/2006/relationships/hyperlink" Target="https://focustaiwan.tw/politics/202206030014" TargetMode="External"/><Relationship Id="rId880" Type="http://schemas.openxmlformats.org/officeDocument/2006/relationships/hyperlink" Target="https://en.interfax.com.ua/news/general/859303.html" TargetMode="External"/><Relationship Id="rId1096" Type="http://schemas.openxmlformats.org/officeDocument/2006/relationships/hyperlink" Target="https://www.ukrinform.net/rubric-ato/3604150-italy-provides-ukraine-with-two-m270-systems-six-pzh-2000-about-30-selfpropelled-howitzers-media.html" TargetMode="External"/><Relationship Id="rId2147" Type="http://schemas.openxmlformats.org/officeDocument/2006/relationships/hyperlink" Target="https://crsreports.congress.gov/product/pdf/IF/IF12040" TargetMode="External"/><Relationship Id="rId2354" Type="http://schemas.openxmlformats.org/officeDocument/2006/relationships/hyperlink" Target="https://crsreports.congress.gov/product/pdf/IF/IF12040" TargetMode="External"/><Relationship Id="rId2561" Type="http://schemas.openxmlformats.org/officeDocument/2006/relationships/hyperlink" Target="https://www.19fortyfive.com/2022/04/switchblade-the-drone-giving-ukraine-a-big-edge-against-russia/" TargetMode="External"/><Relationship Id="rId2799" Type="http://schemas.openxmlformats.org/officeDocument/2006/relationships/hyperlink" Target="https://crsreports.congress.gov/product/pdf/IF/IF12040" TargetMode="External"/><Relationship Id="rId119" Type="http://schemas.openxmlformats.org/officeDocument/2006/relationships/hyperlink" Target="https://www.gov.uk/government/news/pm-announces-major-new-military-support-package-for-ukraine-24-march-2022" TargetMode="External"/><Relationship Id="rId326" Type="http://schemas.openxmlformats.org/officeDocument/2006/relationships/hyperlink" Target="https://www.business-standard.com/article/international/japan-will-double-financial-aid-for-ukraine-to-600-million-pm-kishida-122051900737_1.html" TargetMode="External"/><Relationship Id="rId533" Type="http://schemas.openxmlformats.org/officeDocument/2006/relationships/hyperlink" Target="https://www.vlada.cz/cz/media-centrum/aktualne/informace-v-souvislosti-s-invazi-ruska-na-ukrajinu-194507/" TargetMode="External"/><Relationship Id="rId978" Type="http://schemas.openxmlformats.org/officeDocument/2006/relationships/hyperlink" Target="https://www.ukrinform.net/rubric-ato/3502204-norway-donates-22-m109-howitzers-to-ukraine.html" TargetMode="External"/><Relationship Id="rId1163" Type="http://schemas.openxmlformats.org/officeDocument/2006/relationships/hyperlink" Target="https://www.fmn.dk/en/news/2022/130-danish-soldiers-will-train-ukrainian-colleagues/" TargetMode="External"/><Relationship Id="rId1370" Type="http://schemas.openxmlformats.org/officeDocument/2006/relationships/hyperlink" Target="https://ua.interfax.com.ua/news/general/844172.html" TargetMode="External"/><Relationship Id="rId2007" Type="http://schemas.openxmlformats.org/officeDocument/2006/relationships/hyperlink" Target="https://appropriations.house.gov/sites/democrats.appropriations.house.gov/files/Additional%20Ukraine%20Suplemental%20Appropriations%20Act%20Summary.pdf" TargetMode="External"/><Relationship Id="rId2214"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59" Type="http://schemas.openxmlformats.org/officeDocument/2006/relationships/hyperlink" Target="https://www.defense.gov/News/Releases/Release/Article/2988565/readout-of-secretary-of-defense-lloyd-j-austin-iiis-call-with-ukraines-minister/" TargetMode="External"/><Relationship Id="rId2866" Type="http://schemas.openxmlformats.org/officeDocument/2006/relationships/hyperlink" Target="https://appropriations.house.gov/sites/democrats.appropriations.house.gov/files/Additional%20Ukraine%20Suplemental%20Appropriations%20Act%20Summary.pdf" TargetMode="External"/><Relationship Id="rId740" Type="http://schemas.openxmlformats.org/officeDocument/2006/relationships/hyperlink" Target="https://www.rtvslo.si/slovenija/sarec-zaveze-natu-ostajajo-zmanjsevanja-sredstev-za-obrambo-ne-bo/631221" TargetMode="External"/><Relationship Id="rId838" Type="http://schemas.openxmlformats.org/officeDocument/2006/relationships/hyperlink" Target="https://www.defense.gov/News/Releases/Release/Article/3138105/nearly-3-billion-in-additional-security-assistance-for-ukraine/" TargetMode="External"/><Relationship Id="rId1023" Type="http://schemas.openxmlformats.org/officeDocument/2006/relationships/hyperlink" Target="https://www.youtube.com/watch?v=vzENx6dTpqY" TargetMode="External"/><Relationship Id="rId1468" Type="http://schemas.openxmlformats.org/officeDocument/2006/relationships/hyperlink" Target="https://www.reuters.com/world/biden-authorizes-new-275-mln-military-aid-ukraine-white-house-2022-12-09/" TargetMode="External"/><Relationship Id="rId1675" Type="http://schemas.openxmlformats.org/officeDocument/2006/relationships/hyperlink" Target="https://twitter.com/oleksiireznikov/status/1598696930720116736?cxt=HHwWgMCjseyY268sAAAA" TargetMode="External"/><Relationship Id="rId1882" Type="http://schemas.openxmlformats.org/officeDocument/2006/relationships/hyperlink" Target="https://appropriations.house.gov/sites/democrats.appropriations.house.gov/files/Additional%20Ukraine%20Suplemental%20Appropriations%20Act%20Summary.pdf" TargetMode="External"/><Relationship Id="rId2421" Type="http://schemas.openxmlformats.org/officeDocument/2006/relationships/hyperlink" Target="https://appropriations.house.gov/sites/democrats.appropriations.house.gov/files/Summary%20Continuing%20Appropriations%20and%20Ukraine%20Supplemental%20Appropriations%20Act%202023.pdf" TargetMode="External"/><Relationship Id="rId2519" Type="http://schemas.openxmlformats.org/officeDocument/2006/relationships/hyperlink" Target="https://www.whitehouse.gov/briefing-room/press-briefings/2022/04/04/press-briefing-by-press-secretary-jen-psaki-and-national-security-advisor-jake-sullivan/" TargetMode="External"/><Relationship Id="rId2726" Type="http://schemas.openxmlformats.org/officeDocument/2006/relationships/hyperlink" Target="https://www.whitehouse.gov/briefing-room/press-briefings/2022/04/04/press-briefing-by-press-secretary-jen-psaki-and-national-security-advisor-jake-sullivan/" TargetMode="External"/><Relationship Id="rId600" Type="http://schemas.openxmlformats.org/officeDocument/2006/relationships/hyperlink" Target="https://www.independent.ie/irish-news/news/10-hse-ambulances-sent-to-ukraine-to-help-in-humanitarian-effort-41789730.html" TargetMode="External"/><Relationship Id="rId1230" Type="http://schemas.openxmlformats.org/officeDocument/2006/relationships/hyperlink" Target="https://news.err.ee/1608793648/estonia-s-total-military-aid-to-ukraine-to-date-approaching-300-million" TargetMode="External"/><Relationship Id="rId1328" Type="http://schemas.openxmlformats.org/officeDocument/2006/relationships/hyperlink" Target="https://www.canada.ca/en/department-finance/news/2022/12/canada-disburses-500-million-loan-to-ukraine-from-ukraine-sovereignty-bond-proceeds.html" TargetMode="External"/><Relationship Id="rId1535" Type="http://schemas.openxmlformats.org/officeDocument/2006/relationships/hyperlink" Target="https://www.gov.ie/en/press-release/b80b7-government-ministers-announce-irish-support-for-ukrainian-health-service/?msclkid=07ab0901b05a11ec8239ca04bfcdbb9d" TargetMode="External"/><Relationship Id="rId2933" Type="http://schemas.openxmlformats.org/officeDocument/2006/relationships/hyperlink" Target="https://www.canada.ca/en/department-finance/news/2022/12/canada-provides-ukraine-115-million-from-russian-and-belarusian-tariff-revenues-to-repair-kyivs-power-grid.html" TargetMode="External"/><Relationship Id="rId905" Type="http://schemas.openxmlformats.org/officeDocument/2006/relationships/hyperlink" Target="https://www.diplomatie.gouv.fr/en/country-files/ukraine/news/article/ukraine-catherine-colonna-to-attend-the-launch-of-solidarity-operation-un" TargetMode="External"/><Relationship Id="rId1742" Type="http://schemas.openxmlformats.org/officeDocument/2006/relationships/hyperlink" Target="https://appropriations.house.gov/sites/democrats.appropriations.house.gov/files/Ukraine%20Supplemental%20Summary.pdf" TargetMode="External"/><Relationship Id="rId34" Type="http://schemas.openxmlformats.org/officeDocument/2006/relationships/hyperlink" Target="https://netherlandsnewslive.com/the-netherlands-supplies-medicines-and-medical-supplies-to-ukraine/373516/" TargetMode="External"/><Relationship Id="rId1602" Type="http://schemas.openxmlformats.org/officeDocument/2006/relationships/hyperlink" Target="https://www.lefigaro.fr/international/guerre-en-ukraine-sebastien-lecornu-en-visite-a-kiev-20221228" TargetMode="External"/><Relationship Id="rId183" Type="http://schemas.openxmlformats.org/officeDocument/2006/relationships/hyperlink" Target="https://www.worldbank.org/en/news/press-release/2022/03/14/world-bank-announces-additional-200-million-in-financing-for-ukraine" TargetMode="External"/><Relationship Id="rId390" Type="http://schemas.openxmlformats.org/officeDocument/2006/relationships/hyperlink" Target="https://defence-blog.com/dutch-ypr-765-infantry-vehicles-arrived-in-ukraine/" TargetMode="External"/><Relationship Id="rId1907" Type="http://schemas.openxmlformats.org/officeDocument/2006/relationships/hyperlink" Target="https://appropriations.house.gov/sites/democrats.appropriations.house.gov/files/Additional%20Ukraine%20Suplemental%20Appropriations%20Act%20Summary.pdf" TargetMode="External"/><Relationship Id="rId2071" Type="http://schemas.openxmlformats.org/officeDocument/2006/relationships/hyperlink" Target="https://crsreports.congress.gov/product/pdf/IF/IF12040" TargetMode="External"/><Relationship Id="rId250" Type="http://schemas.openxmlformats.org/officeDocument/2006/relationships/hyperlink" Target="https://www.youtube.com/watch?v=vzENx6dTpqY" TargetMode="External"/><Relationship Id="rId488" Type="http://schemas.openxmlformats.org/officeDocument/2006/relationships/hyperlink" Target="https://pmtranscripts.pmc.gov.au/release/transcript-43925" TargetMode="External"/><Relationship Id="rId695" Type="http://schemas.openxmlformats.org/officeDocument/2006/relationships/hyperlink" Target="https://twitter.com/a_anusauskas/status/1546202214003269635" TargetMode="External"/><Relationship Id="rId2169" Type="http://schemas.openxmlformats.org/officeDocument/2006/relationships/hyperlink" Target="https://appropriations.house.gov/sites/democrats.appropriations.house.gov/files/Additional%20Ukraine%20Suplemental%20Appropriations%20Act%20Summary.pdf" TargetMode="External"/><Relationship Id="rId2376" Type="http://schemas.openxmlformats.org/officeDocument/2006/relationships/hyperlink" Target="https://crsreports.congress.gov/product/pdf/IF/IF12040" TargetMode="External"/><Relationship Id="rId2583" Type="http://schemas.openxmlformats.org/officeDocument/2006/relationships/hyperlink" Target="https://www.whitehouse.gov/briefing-room/press-briefings/2022/04/04/press-briefing-by-press-secretary-jen-psaki-and-national-security-advisor-jake-sullivan/" TargetMode="External"/><Relationship Id="rId2790" Type="http://schemas.openxmlformats.org/officeDocument/2006/relationships/hyperlink" Target="https://crsreports.congress.gov/product/pdf/IF/IF12040" TargetMode="External"/><Relationship Id="rId110" Type="http://schemas.openxmlformats.org/officeDocument/2006/relationships/hyperlink" Target="https://www.reuters.com/world/europe/uk-provide-6000-missiles-ukraine-new-support-2022-03-23/" TargetMode="External"/><Relationship Id="rId348" Type="http://schemas.openxmlformats.org/officeDocument/2006/relationships/hyperlink" Target="https://www.government.se/press-releases/2022/05/sweden-and-poland-co-host-international-donors-conference-to-support-ukrainian-people/" TargetMode="External"/><Relationship Id="rId555" Type="http://schemas.openxmlformats.org/officeDocument/2006/relationships/hyperlink" Target="https://www.gov.uk/government/news/uk-to-bolster-defensive-aid-to-ukraine-with-new-100m-package" TargetMode="External"/><Relationship Id="rId762" Type="http://schemas.openxmlformats.org/officeDocument/2006/relationships/hyperlink" Target="https://www.government.se/press-releases/2022/08/prime-minister-magdalena-andersson-to-receive-ukrainian-minister-for-foreign-affairs-dmytro-kuleba/" TargetMode="External"/><Relationship Id="rId1185" Type="http://schemas.openxmlformats.org/officeDocument/2006/relationships/hyperlink" Target="https://www.nippon.com/en/news/kd927892413712449536/" TargetMode="External"/><Relationship Id="rId1392" Type="http://schemas.openxmlformats.org/officeDocument/2006/relationships/hyperlink" Target="https://english.nv.ua/nation/estonia-approves-new-military-aid-package-for-ukraine-news-50292956.html" TargetMode="External"/><Relationship Id="rId2029" Type="http://schemas.openxmlformats.org/officeDocument/2006/relationships/hyperlink" Target="https://crsreports.congress.gov/product/pdf/IF/IF12040" TargetMode="External"/><Relationship Id="rId2236"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43" Type="http://schemas.openxmlformats.org/officeDocument/2006/relationships/hyperlink" Target="https://appropriations.house.gov/sites/democrats.appropriations.house.gov/files/Ukraine%20Supplemental%20Summary%20FY23.pdf" TargetMode="External"/><Relationship Id="rId2650" Type="http://schemas.openxmlformats.org/officeDocument/2006/relationships/hyperlink" Target="https://www.defense.gov/News/Releases/Release/Article/2988565/readout-of-secretary-of-defense-lloyd-j-austin-iiis-call-with-ukraines-minister/" TargetMode="External"/><Relationship Id="rId2888" Type="http://schemas.openxmlformats.org/officeDocument/2006/relationships/hyperlink" Target="https://appropriations.house.gov/sites/democrats.appropriations.house.gov/files/Additional%20Ukraine%20Suplemental%20Appropriations%20Act%20Summary.pdf" TargetMode="External"/><Relationship Id="rId208" Type="http://schemas.openxmlformats.org/officeDocument/2006/relationships/hyperlink" Target="https://www.arout.net/france-sends-dozens-of-fire-engines-and-ambulances-to-ukraine-to-support-the-war-against-russia/" TargetMode="External"/><Relationship Id="rId415" Type="http://schemas.openxmlformats.org/officeDocument/2006/relationships/hyperlink" Target="https://www.bbc.com/news/world-europe-61482305" TargetMode="External"/><Relationship Id="rId622" Type="http://schemas.openxmlformats.org/officeDocument/2006/relationships/hyperlink" Target="https://www.diplomatie.gouv.fr/en/country-files/ukraine/news/article/ukraine-france-mobilised-to-support-ukraine-through-medical-care-for-war" TargetMode="External"/><Relationship Id="rId1045" Type="http://schemas.openxmlformats.org/officeDocument/2006/relationships/hyperlink" Target="https://www.mofa.go.jp/press/release/press4e_003098.html" TargetMode="External"/><Relationship Id="rId1252" Type="http://schemas.openxmlformats.org/officeDocument/2006/relationships/hyperlink" Target="https://www.lemonde.fr/en/international/article/2022/10/12/macron-promises-air-defense-systems-for-ukraine-calls-for-putin-to-discuss-peace_6000130_4.html" TargetMode="External"/><Relationship Id="rId1697" Type="http://schemas.openxmlformats.org/officeDocument/2006/relationships/hyperlink" Target="https://www.reuters.com/world/europe/russia-pounds-ukraine-civil-infrastructure-powers-meet-provide-aid-2022-12-13/" TargetMode="External"/><Relationship Id="rId2303" Type="http://schemas.openxmlformats.org/officeDocument/2006/relationships/hyperlink" Target="https://appropriations.house.gov/sites/democrats.appropriations.house.gov/files/Ukraine%20Supplemental%20Summary%20FY23.pdf" TargetMode="External"/><Relationship Id="rId2510" Type="http://schemas.openxmlformats.org/officeDocument/2006/relationships/hyperlink" Target="https://appropriations.house.gov/sites/democrats.appropriations.house.gov/files/Ukraine%20Supplemental%20Summary.pdf" TargetMode="External"/><Relationship Id="rId2748" Type="http://schemas.openxmlformats.org/officeDocument/2006/relationships/hyperlink" Target="https://www.whitehouse.gov/briefing-room/press-briefings/2022/04/04/press-briefing-by-press-secretary-jen-psaki-and-national-security-advisor-jake-sullivan/" TargetMode="External"/><Relationship Id="rId927" Type="http://schemas.openxmlformats.org/officeDocument/2006/relationships/hyperlink" Target="https://www.vm.ee/en/news/estonia-donates-12-buses-zhytomyr-oblast-ukraine-help-restore-transport-links" TargetMode="External"/><Relationship Id="rId1112" Type="http://schemas.openxmlformats.org/officeDocument/2006/relationships/hyperlink" Target="https://www.facebook.com/ukremb.at/posts/2254397241403945" TargetMode="External"/><Relationship Id="rId1557" Type="http://schemas.openxmlformats.org/officeDocument/2006/relationships/hyperlink" Target="https://www.bundesregierung.de/breg-en/news/military-support-ukraine-2054992" TargetMode="External"/><Relationship Id="rId1764" Type="http://schemas.openxmlformats.org/officeDocument/2006/relationships/hyperlink" Target="https://appropriations.house.gov/sites/democrats.appropriations.house.gov/files/Ukraine%20Supplemental%20Summary.pdf" TargetMode="External"/><Relationship Id="rId1971" Type="http://schemas.openxmlformats.org/officeDocument/2006/relationships/hyperlink" Target="https://appropriations.house.gov/sites/democrats.appropriations.house.gov/files/Additional%20Ukraine%20Suplemental%20Appropriations%20Act%20Summary.pdf" TargetMode="External"/><Relationship Id="rId2608" Type="http://schemas.openxmlformats.org/officeDocument/2006/relationships/hyperlink" Target="https://www.whitehouse.gov/briefing-room/press-briefings/2022/04/04/press-briefing-by-press-secretary-jen-psaki-and-national-security-advisor-jake-sullivan/" TargetMode="External"/><Relationship Id="rId2815" Type="http://schemas.openxmlformats.org/officeDocument/2006/relationships/hyperlink" Target="https://appropriations.house.gov/sites/democrats.appropriations.house.gov/files/Ukraine%20Supplemental%20Summary.pdf" TargetMode="External"/><Relationship Id="rId56" Type="http://schemas.openxmlformats.org/officeDocument/2006/relationships/hyperlink" Target="https://www.canada.ca/en/global-affairs/news/2022/03/canadas-humanitarian-assistance-for-ukraine.html" TargetMode="External"/><Relationship Id="rId1417" Type="http://schemas.openxmlformats.org/officeDocument/2006/relationships/hyperlink" Target="https://www.euractiv.com/section/politics/news/portugal-helps-ukraine-keep-heat-and-lights-on/" TargetMode="External"/><Relationship Id="rId1624" Type="http://schemas.openxmlformats.org/officeDocument/2006/relationships/hyperlink" Target="https://um.dk/en/foreign-policy/danish-support-for-ukraine" TargetMode="External"/><Relationship Id="rId1831" Type="http://schemas.openxmlformats.org/officeDocument/2006/relationships/hyperlink" Target="https://appropriations.house.gov/sites/democrats.appropriations.house.gov/files/Ukraine%20Supplemental%20Summary.pdf" TargetMode="External"/><Relationship Id="rId1929" Type="http://schemas.openxmlformats.org/officeDocument/2006/relationships/hyperlink" Target="https://appropriations.house.gov/sites/democrats.appropriations.house.gov/files/Additional%20Ukraine%20Suplemental%20Appropriations%20Act%20Summary.pdf" TargetMode="External"/><Relationship Id="rId2093" Type="http://schemas.openxmlformats.org/officeDocument/2006/relationships/hyperlink" Target="https://crsreports.congress.gov/product/pdf/IF/IF12040" TargetMode="External"/><Relationship Id="rId2398" Type="http://schemas.openxmlformats.org/officeDocument/2006/relationships/hyperlink" Target="https://crsreports.congress.gov/product/pdf/IF/IF12040" TargetMode="External"/><Relationship Id="rId272" Type="http://schemas.openxmlformats.org/officeDocument/2006/relationships/hyperlink" Target="https://www.defensenews.com/global/asia-pacific/2022/04/13/new-zealand-bolsters-support-for-ukraine/" TargetMode="External"/><Relationship Id="rId577" Type="http://schemas.openxmlformats.org/officeDocument/2006/relationships/hyperlink" Target="https://pmtranscripts.pmc.gov.au/release/transcript-43868" TargetMode="External"/><Relationship Id="rId2160" Type="http://schemas.openxmlformats.org/officeDocument/2006/relationships/hyperlink" Target="https://appropriations.house.gov/sites/democrats.appropriations.house.gov/files/Additional%20Ukraine%20Suplemental%20Appropriations%20Act%20Summary.pdf" TargetMode="External"/><Relationship Id="rId2258" Type="http://schemas.openxmlformats.org/officeDocument/2006/relationships/hyperlink" Target="https://appropriations.house.gov/sites/democrats.appropriations.house.gov/files/Ukraine%20Supplemental%20Summary%20FY23.pdf" TargetMode="External"/><Relationship Id="rId132" Type="http://schemas.openxmlformats.org/officeDocument/2006/relationships/hyperlink" Target="https://www.gov.uk/government/news/prime-minister-pledges-uks-unwavering-support-to-ukraine-on-visit-to-kyiv-9-april-2022" TargetMode="External"/><Relationship Id="rId784" Type="http://schemas.openxmlformats.org/officeDocument/2006/relationships/hyperlink" Target="https://www.brusselstimes.com/290771/belgium-to-give-e12-million-in-military-aid-to-ukraine" TargetMode="External"/><Relationship Id="rId991" Type="http://schemas.openxmlformats.org/officeDocument/2006/relationships/hyperlink" Target="https://echo24.cz/a/SrjYb/cesko-poslalo-na-ukrajinu-desitky-tanku-t-72-a-bvp" TargetMode="External"/><Relationship Id="rId1067" Type="http://schemas.openxmlformats.org/officeDocument/2006/relationships/hyperlink" Target="https://www.defensenews.com/pentagon/2022/11/04/us-netherlands-go-dutch-to-refurbish-czech-tanks-for-ukraine/" TargetMode="External"/><Relationship Id="rId2020" Type="http://schemas.openxmlformats.org/officeDocument/2006/relationships/hyperlink" Target="https://crsreports.congress.gov/product/pdf/IF/IF12040" TargetMode="External"/><Relationship Id="rId2465" Type="http://schemas.openxmlformats.org/officeDocument/2006/relationships/hyperlink" Target="https://appropriations.house.gov/sites/democrats.appropriations.house.gov/files/Ukraine%20Supplemental%20Summary.pdf" TargetMode="External"/><Relationship Id="rId2672" Type="http://schemas.openxmlformats.org/officeDocument/2006/relationships/hyperlink" Target="https://www.defense.gov/News/Releases/Release/Article/2987119/defense-department-announces-300-million-in-additional-assistance-for-ukraine/" TargetMode="External"/><Relationship Id="rId437" Type="http://schemas.openxmlformats.org/officeDocument/2006/relationships/hyperlink" Target="https://twitter.com/ZelenskyyUa/status/1527221083979620352" TargetMode="External"/><Relationship Id="rId644" Type="http://schemas.openxmlformats.org/officeDocument/2006/relationships/hyperlink" Target="https://www.wsj.com/livecoverage/russia-ukraine-latest-news-2022-04-29/card/poland-has-sent-more-than-200-tanks-to-ukraine-Krwar3DCPzHJJk4UMVh4" TargetMode="External"/><Relationship Id="rId851" Type="http://schemas.openxmlformats.org/officeDocument/2006/relationships/hyperlink" Target="https://www.defense.gov/News/Releases/Release/Article/3173378/11-billion-in-additional-security-assistance-for-ukraine/" TargetMode="External"/><Relationship Id="rId1274" Type="http://schemas.openxmlformats.org/officeDocument/2006/relationships/hyperlink" Target="https://www.regjeringen.no/en/topics/foreign-affairs/humanitarian-efforts/neighbour_support/id2908141/" TargetMode="External"/><Relationship Id="rId1481" Type="http://schemas.openxmlformats.org/officeDocument/2006/relationships/hyperlink" Target="https://www.spiegel.de/international/poland-s-prime-minister-on-ukraine-war-and-energy-crisis-a-aabb65a3-e0ba-4ba8-9f0c-1c967874e8b5" TargetMode="External"/><Relationship Id="rId1579" Type="http://schemas.openxmlformats.org/officeDocument/2006/relationships/hyperlink" Target="https://www.gov.uk/government/speeches/defence-secretary-oral-statement-on-war-in-ukraine--2" TargetMode="External"/><Relationship Id="rId2118" Type="http://schemas.openxmlformats.org/officeDocument/2006/relationships/hyperlink" Target="https://crsreports.congress.gov/product/pdf/IF/IF12040" TargetMode="External"/><Relationship Id="rId2325" Type="http://schemas.openxmlformats.org/officeDocument/2006/relationships/hyperlink" Target="https://crsreports.congress.gov/product/pdf/IF/IF12040" TargetMode="External"/><Relationship Id="rId2532" Type="http://schemas.openxmlformats.org/officeDocument/2006/relationships/hyperlink" Target="https://www.19fortyfive.com/2022/04/switchblade-the-drone-giving-ukraine-a-big-edge-against-russia/" TargetMode="External"/><Relationship Id="rId504" Type="http://schemas.openxmlformats.org/officeDocument/2006/relationships/hyperlink" Target="https://government.se/press-releases/2022/04/sweden-supporting-ukraine-with-equipment-to-secure-the-countrys-energy-supply/" TargetMode="External"/><Relationship Id="rId711" Type="http://schemas.openxmlformats.org/officeDocument/2006/relationships/hyperlink" Target="https://mobile.twitter.com/EU_Commission/status/1551598152041603072" TargetMode="External"/><Relationship Id="rId949" Type="http://schemas.openxmlformats.org/officeDocument/2006/relationships/hyperlink" Target="https://www.gov.uk/government/news/uk-and-allies-agree-expanded-international-fund-for-ukraine-support" TargetMode="External"/><Relationship Id="rId1134" Type="http://schemas.openxmlformats.org/officeDocument/2006/relationships/hyperlink" Target="https://www.aa.com.tr/en/europe/spain-announces-increase-in-military-aid-to-ukraine/2668809" TargetMode="External"/><Relationship Id="rId1341" Type="http://schemas.openxmlformats.org/officeDocument/2006/relationships/hyperlink" Target="https://twitter.com/a_anusauskas/status/1594701256463110144" TargetMode="External"/><Relationship Id="rId1786" Type="http://schemas.openxmlformats.org/officeDocument/2006/relationships/hyperlink" Target="https://appropriations.house.gov/sites/democrats.appropriations.house.gov/files/Ukraine%20Supplemental%20Summary.pdf" TargetMode="External"/><Relationship Id="rId1993" Type="http://schemas.openxmlformats.org/officeDocument/2006/relationships/hyperlink" Target="https://appropriations.house.gov/sites/democrats.appropriations.house.gov/files/Additional%20Ukraine%20Suplemental%20Appropriations%20Act%20Summary.pdf" TargetMode="External"/><Relationship Id="rId2837" Type="http://schemas.openxmlformats.org/officeDocument/2006/relationships/hyperlink" Target="https://appropriations.house.gov/sites/democrats.appropriations.house.gov/files/Ukraine%20Supplemental%20Summary.pdf" TargetMode="External"/><Relationship Id="rId78" Type="http://schemas.openxmlformats.org/officeDocument/2006/relationships/hyperlink" Target="https://www.vlada.cz/cz/media-centrum/aktualne/informace-v-souvislosti-s-invazi-ruska-na-ukrajinu-194507/" TargetMode="External"/><Relationship Id="rId809" Type="http://schemas.openxmlformats.org/officeDocument/2006/relationships/hyperlink" Target="https://www.defense.gov/News/Releases/Release/Article/3134457/775-million-in-additional-security-assistance-for-ukraine/" TargetMode="External"/><Relationship Id="rId1201" Type="http://schemas.openxmlformats.org/officeDocument/2006/relationships/hyperlink" Target="https://www.defensa.gob.es/gabinete/notasPrensa/2022/11/DGC-221110-sesion-ucrania.html" TargetMode="External"/><Relationship Id="rId1439" Type="http://schemas.openxmlformats.org/officeDocument/2006/relationships/hyperlink" Target="https://www.regjeringen.no/en/aktuelt/eumam/id2948545/" TargetMode="External"/><Relationship Id="rId1646" Type="http://schemas.openxmlformats.org/officeDocument/2006/relationships/hyperlink" Target="https://www.defensie.nl/onderwerpen/oostflank-navo-gebied/militaire-steun-aan-oekraine" TargetMode="External"/><Relationship Id="rId1853" Type="http://schemas.openxmlformats.org/officeDocument/2006/relationships/hyperlink" Target="https://appropriations.house.gov/sites/democrats.appropriations.house.gov/files/Ukraine%20Supplemental%20Summary.pdf" TargetMode="External"/><Relationship Id="rId2904" Type="http://schemas.openxmlformats.org/officeDocument/2006/relationships/hyperlink" Target="https://crsreports.congress.gov/product/pdf/IF/IF12040" TargetMode="External"/><Relationship Id="rId1506" Type="http://schemas.openxmlformats.org/officeDocument/2006/relationships/hyperlink" Target="https://www.stripes.com/theaters/us/2022-05-23/ukraine-russia-war-military-weapons-6104132.html" TargetMode="External"/><Relationship Id="rId1713" Type="http://schemas.openxmlformats.org/officeDocument/2006/relationships/hyperlink" Target="https://ua.ambafrance.org/Dostavka-1000-t-francuz-koyi-gumaniitarnoyi-dopomogi-ukrayins-kim-adresatam-v" TargetMode="External"/><Relationship Id="rId1920" Type="http://schemas.openxmlformats.org/officeDocument/2006/relationships/hyperlink" Target="https://appropriations.house.gov/sites/democrats.appropriations.house.gov/files/Additional%20Ukraine%20Suplemental%20Appropriations%20Act%20Summary.pdf" TargetMode="External"/><Relationship Id="rId294" Type="http://schemas.openxmlformats.org/officeDocument/2006/relationships/hyperlink" Target="https://mof.gov.ua/en/news/ukraines_state_budget_financing_since_the_beginning_of_the_full-scale_war-3435" TargetMode="External"/><Relationship Id="rId2182" Type="http://schemas.openxmlformats.org/officeDocument/2006/relationships/hyperlink" Target="https://appropriations.house.gov/sites/democrats.appropriations.house.gov/files/Summary%20Continuing%20Appropriations%20and%20Ukraine%20Supplemental%20Appropriations%20Act%202023.pdf" TargetMode="External"/><Relationship Id="rId154" Type="http://schemas.openxmlformats.org/officeDocument/2006/relationships/hyperlink" Target="https://www.gov.si/en/news/2022-04-06-eu-directors-general-for-development-cooperation-on-coordination-of-assistance-for-ukraine/" TargetMode="External"/><Relationship Id="rId361" Type="http://schemas.openxmlformats.org/officeDocument/2006/relationships/hyperlink" Target="https://www.thedefensepost.com/2022/05/31/france-boost-arms-supplies-ukraine/" TargetMode="External"/><Relationship Id="rId599" Type="http://schemas.openxmlformats.org/officeDocument/2006/relationships/hyperlink" Target="https://www.gov.ie/en/press-release/e6e61-ireland-donates-ambulances-and-other-life-saving-equipment-to-ukraine/" TargetMode="External"/><Relationship Id="rId2042" Type="http://schemas.openxmlformats.org/officeDocument/2006/relationships/hyperlink" Target="https://crsreports.congress.gov/product/pdf/IF/IF12040" TargetMode="External"/><Relationship Id="rId2487" Type="http://schemas.openxmlformats.org/officeDocument/2006/relationships/hyperlink" Target="https://appropriations.house.gov/sites/democrats.appropriations.house.gov/files/Additional%20Ukraine%20Suplemental%20Appropriations%20Act%20Summary.pdf" TargetMode="External"/><Relationship Id="rId2694" Type="http://schemas.openxmlformats.org/officeDocument/2006/relationships/hyperlink" Target="https://www.defense.gov/News/Releases/Release/Article/2987119/defense-department-announces-300-million-in-additional-assistance-for-ukraine/" TargetMode="External"/><Relationship Id="rId459" Type="http://schemas.openxmlformats.org/officeDocument/2006/relationships/hyperlink" Target="https://www.brusselstimes.com/208911/belgium-to-send-e3-4-million-medical-supplies-to-ukraine" TargetMode="External"/><Relationship Id="rId666" Type="http://schemas.openxmlformats.org/officeDocument/2006/relationships/hyperlink" Target="https://appropriations.house.gov/sites/democrats.appropriations.house.gov/files/Additional%20Ukraine%20Suplemental%20Appropriations%20Act%20Summary.pdf" TargetMode="External"/><Relationship Id="rId873" Type="http://schemas.openxmlformats.org/officeDocument/2006/relationships/hyperlink" Target="https://www.euractiv.com/section/politics/short_news/belgium-to-provide-e8-million-for-non-lethal-aid-to-ukraines-armed-forces/" TargetMode="External"/><Relationship Id="rId1089" Type="http://schemas.openxmlformats.org/officeDocument/2006/relationships/hyperlink" Target="https://www.lejdd.fr/International/sebastien-lecornu-ministre-des-armees-nous-navons-pas-a-rougir-de-notre-aide-a-lukraine-4148779" TargetMode="External"/><Relationship Id="rId1296" Type="http://schemas.openxmlformats.org/officeDocument/2006/relationships/hyperlink" Target="https://www.defensa.gob.es/gabinete/notasPrensa/2022/10/DGC-221006-envio-ucrania.html" TargetMode="External"/><Relationship Id="rId2347" Type="http://schemas.openxmlformats.org/officeDocument/2006/relationships/hyperlink" Target="https://crsreports.congress.gov/product/pdf/IF/IF12040" TargetMode="External"/><Relationship Id="rId2554" Type="http://schemas.openxmlformats.org/officeDocument/2006/relationships/hyperlink" Target="https://www.19fortyfive.com/2022/04/switchblade-the-drone-giving-ukraine-a-big-edge-against-russia/" TargetMode="External"/><Relationship Id="rId221" Type="http://schemas.openxmlformats.org/officeDocument/2006/relationships/hyperlink" Target="https://polskatimes.pl/polska-przekazala-ukraincom-pomoc-humanitarna-o-wartosci-300-milionow-zlotych/ar/c1-16217063" TargetMode="External"/><Relationship Id="rId319" Type="http://schemas.openxmlformats.org/officeDocument/2006/relationships/hyperlink" Target="https://www.cbc.ca/news/politics/anand-biggest-military-donation-ukraine-1.6463915" TargetMode="External"/><Relationship Id="rId526" Type="http://schemas.openxmlformats.org/officeDocument/2006/relationships/hyperlink" Target="https://www.reuters.com/world/europe/sweden-supply-more-military-aid-including-anti-ship-missiles-ukraine-2022-06-02/" TargetMode="External"/><Relationship Id="rId1156" Type="http://schemas.openxmlformats.org/officeDocument/2006/relationships/hyperlink" Target="https://www.bbc.com/news/uk-61990479" TargetMode="External"/><Relationship Id="rId1363" Type="http://schemas.openxmlformats.org/officeDocument/2006/relationships/hyperlink" Target="https://www.defensie.nl/onderwerpen/oostflank-navo-gebied/wat-doet-nederland" TargetMode="External"/><Relationship Id="rId2207" Type="http://schemas.openxmlformats.org/officeDocument/2006/relationships/hyperlink" Target="https://appropriations.house.gov/sites/democrats.appropriations.house.gov/files/Summary%20Continuing%20Appropriations%20and%20Ukraine%20Supplemental%20Appropriations%20Act%202023.pdf" TargetMode="External"/><Relationship Id="rId2761" Type="http://schemas.openxmlformats.org/officeDocument/2006/relationships/hyperlink" Target="https://crsreports.congress.gov/product/pdf/IF/IF12040" TargetMode="External"/><Relationship Id="rId2859" Type="http://schemas.openxmlformats.org/officeDocument/2006/relationships/hyperlink" Target="https://appropriations.house.gov/sites/democrats.appropriations.house.gov/files/Additional%20Ukraine%20Suplemental%20Appropriations%20Act%20Summary.pdf" TargetMode="External"/><Relationship Id="rId733" Type="http://schemas.openxmlformats.org/officeDocument/2006/relationships/hyperlink" Target="https://ua.interfax.com.ua/news/general/844172.html" TargetMode="External"/><Relationship Id="rId940" Type="http://schemas.openxmlformats.org/officeDocument/2006/relationships/hyperlink" Target="https://kaitseministeerium.ee/en/news/estonia-increase-defence-aid-ukraine" TargetMode="External"/><Relationship Id="rId1016" Type="http://schemas.openxmlformats.org/officeDocument/2006/relationships/hyperlink" Target="https://www.worldbank.org/en/news/press-release/2022/03/07/world-bank-mobilizes-an-emergency-financing-package-of-over-700-million-for-ukraine" TargetMode="External"/><Relationship Id="rId1570" Type="http://schemas.openxmlformats.org/officeDocument/2006/relationships/hyperlink" Target="https://www.bundesregierung.de/resource/blob/975226/2155792/c3dbab706421f63d3d612091e7ecad4c/2022-12-27-unterstuetzung-ukraine-breg-data.pdf?download=1%20Guten" TargetMode="External"/><Relationship Id="rId1668" Type="http://schemas.openxmlformats.org/officeDocument/2006/relationships/hyperlink" Target="https://www.reuters.com/world/europe/germany-netherlands-supply-six-more-howitzers-kyiv-2022-06-28/" TargetMode="External"/><Relationship Id="rId1875" Type="http://schemas.openxmlformats.org/officeDocument/2006/relationships/hyperlink" Target="https://appropriations.house.gov/sites/democrats.appropriations.house.gov/files/Additional%20Ukraine%20Suplemental%20Appropriations%20Act%20Summary.pdf" TargetMode="External"/><Relationship Id="rId2414"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21" Type="http://schemas.openxmlformats.org/officeDocument/2006/relationships/hyperlink" Target="https://www.defense.gov/News/Releases/Release/Article/2988565/readout-of-secretary-of-defense-lloyd-j-austin-iiis-call-with-ukraines-minister/" TargetMode="External"/><Relationship Id="rId2719" Type="http://schemas.openxmlformats.org/officeDocument/2006/relationships/hyperlink" Target="https://www.whitehouse.gov/briefing-room/press-briefings/2022/04/04/press-briefing-by-press-secretary-jen-psaki-and-national-security-advisor-jake-sullivan/" TargetMode="External"/><Relationship Id="rId800" Type="http://schemas.openxmlformats.org/officeDocument/2006/relationships/hyperlink" Target="https://www.defense.gov/News/Releases/Release/Article/3134457/775-million-in-additional-security-assistance-for-ukraine/" TargetMode="External"/><Relationship Id="rId1223" Type="http://schemas.openxmlformats.org/officeDocument/2006/relationships/hyperlink" Target="https://www.republicworld.com/world-news/russia-ukraine-crisis/estonia-confirms-relief-package-to-aid-war-torn-ukraine-articleshow.html" TargetMode="External"/><Relationship Id="rId1430" Type="http://schemas.openxmlformats.org/officeDocument/2006/relationships/hyperlink" Target="https://www.defmin.fi/ajankohtaista/tiedotteet_ja_uutiset/tiedotearkisto/tiedotteet_2022/suomi_jatkaa_ukrainan_tukemista.13289.news" TargetMode="External"/><Relationship Id="rId1528" Type="http://schemas.openxmlformats.org/officeDocument/2006/relationships/hyperlink" Target="https://dailynewshungary.com/hungary-can-be-of-far-greater-help-if-it-remains-an-island-of-peace-together-with-transcarpathia-says-official/" TargetMode="External"/><Relationship Id="rId2926" Type="http://schemas.openxmlformats.org/officeDocument/2006/relationships/hyperlink" Target="https://www.eda.admin.ch/content/dam/eda/de/documents/aktuell/news/2022/20221215-ukraine-engagement-schweiz-themen_de.pdf" TargetMode="External"/><Relationship Id="rId1735" Type="http://schemas.openxmlformats.org/officeDocument/2006/relationships/hyperlink" Target="https://appropriations.house.gov/sites/democrats.appropriations.house.gov/files/Ukraine%20Supplemental%20Summary.pdf" TargetMode="External"/><Relationship Id="rId1942" Type="http://schemas.openxmlformats.org/officeDocument/2006/relationships/hyperlink" Target="https://appropriations.house.gov/sites/democrats.appropriations.house.gov/files/Additional%20Ukraine%20Suplemental%20Appropriations%20Act%20Summary.pdf" TargetMode="External"/><Relationship Id="rId27" Type="http://schemas.openxmlformats.org/officeDocument/2006/relationships/hyperlink" Target="https://www.vindobona.org/article/attack-on-ukraine-austria-extends-aid-from-foreign-disaster-fund-to-a-total-of-17-5-million-euros" TargetMode="External"/><Relationship Id="rId1802" Type="http://schemas.openxmlformats.org/officeDocument/2006/relationships/hyperlink" Target="https://appropriations.house.gov/sites/democrats.appropriations.house.gov/files/Ukraine%20Supplemental%20Summary.pdf" TargetMode="External"/><Relationship Id="rId176" Type="http://schemas.openxmlformats.org/officeDocument/2006/relationships/hyperlink" Target="https://valtioneuvosto.fi/en/-/1410869/finland-sent-additional-civilian-material-assistance-to-ukraine-and-moldova" TargetMode="External"/><Relationship Id="rId383" Type="http://schemas.openxmlformats.org/officeDocument/2006/relationships/hyperlink" Target="https://www.bvinet.com/2022/05/21/ukraine-will-receive-250-million-euros-of-financial-assistance-from-portugal/" TargetMode="External"/><Relationship Id="rId590" Type="http://schemas.openxmlformats.org/officeDocument/2006/relationships/hyperlink" Target="https://nltimes.nl/2022/03/31/netherlands-already-supplied-50-million-euros-worth-weapons-ukraine" TargetMode="External"/><Relationship Id="rId2064" Type="http://schemas.openxmlformats.org/officeDocument/2006/relationships/hyperlink" Target="https://crsreports.congress.gov/product/pdf/IF/IF12040" TargetMode="External"/><Relationship Id="rId2271" Type="http://schemas.openxmlformats.org/officeDocument/2006/relationships/hyperlink" Target="https://appropriations.house.gov/sites/democrats.appropriations.house.gov/files/Ukraine%20Supplemental%20Summary%20FY23.pdf" TargetMode="External"/><Relationship Id="rId243" Type="http://schemas.openxmlformats.org/officeDocument/2006/relationships/hyperlink" Target="https://nordicmonitor.com/2022/03/turkey-deployed-personnel-to-operate-armed-drones-in-targeting-russian-military/" TargetMode="External"/><Relationship Id="rId450" Type="http://schemas.openxmlformats.org/officeDocument/2006/relationships/hyperlink" Target="https://twitter.com/visegrad24/status/1503313508980637696" TargetMode="External"/><Relationship Id="rId688" Type="http://schemas.openxmlformats.org/officeDocument/2006/relationships/hyperlink" Target="https://balkaninsight.com/2022/06/07/we-have-done-enough-bulgaria-rejects-ukraines-plea-for-heavy-weapons/" TargetMode="External"/><Relationship Id="rId895" Type="http://schemas.openxmlformats.org/officeDocument/2006/relationships/hyperlink" Target="https://mfa.gov.cy/press-releases/2022/03/09/cyprus-humanitarian-aid-to-ukraine/" TargetMode="External"/><Relationship Id="rId1080" Type="http://schemas.openxmlformats.org/officeDocument/2006/relationships/hyperlink" Target="https://www.defense.gouv.fr/terre/actualites/uiisc-1-3e-convoi-solidarite-lukraine" TargetMode="External"/><Relationship Id="rId2131" Type="http://schemas.openxmlformats.org/officeDocument/2006/relationships/hyperlink" Target="https://crsreports.congress.gov/product/pdf/IF/IF12040" TargetMode="External"/><Relationship Id="rId2369" Type="http://schemas.openxmlformats.org/officeDocument/2006/relationships/hyperlink" Target="https://crsreports.congress.gov/product/pdf/IF/IF12040" TargetMode="External"/><Relationship Id="rId2576" Type="http://schemas.openxmlformats.org/officeDocument/2006/relationships/hyperlink" Target="https://www.whitehouse.gov/briefing-room/press-briefings/2022/04/04/press-briefing-by-press-secretary-jen-psaki-and-national-security-advisor-jake-sullivan/" TargetMode="External"/><Relationship Id="rId2783" Type="http://schemas.openxmlformats.org/officeDocument/2006/relationships/hyperlink" Target="https://crsreports.congress.gov/product/pdf/IF/IF12040" TargetMode="External"/><Relationship Id="rId103" Type="http://schemas.openxmlformats.org/officeDocument/2006/relationships/hyperlink" Target="https://www.centralbanking.com/central-banks/financial-stability/7933406/poland-offers-ukraine-swap-line-as-nbu-suspends-forex-transactions" TargetMode="External"/><Relationship Id="rId310" Type="http://schemas.openxmlformats.org/officeDocument/2006/relationships/hyperlink" Target="https://www.stuff.co.nz/national/300597643/new-zealand-soldiers-excited-to-assist-ukraine-with-light-gun-training" TargetMode="External"/><Relationship Id="rId548" Type="http://schemas.openxmlformats.org/officeDocument/2006/relationships/hyperlink" Target="https://www.diplomatie.gouv.fr/en/country-files/ukraine/news/article/ukraine-france-mobilizes-to-deliver-emergency-medical-aid-to-victims-of-the" TargetMode="External"/><Relationship Id="rId755" Type="http://schemas.openxmlformats.org/officeDocument/2006/relationships/hyperlink" Target="https://www.mod.gov.lv/lv/zinas/latvija-ukrainas-armijai-piegadajusi-helikopterus-mi-17-un-mi-2" TargetMode="External"/><Relationship Id="rId962" Type="http://schemas.openxmlformats.org/officeDocument/2006/relationships/hyperlink" Target="https://www.army-technology.com/news/germany-norway-denmark-zuzana2-ukraine/" TargetMode="External"/><Relationship Id="rId1178" Type="http://schemas.openxmlformats.org/officeDocument/2006/relationships/hyperlink" Target="https://www.defense.gov/News/Releases/Release/Article/3203509/275-million-in-additional-presidential-drawdown-security-assistance-for-ukraine/" TargetMode="External"/><Relationship Id="rId1385" Type="http://schemas.openxmlformats.org/officeDocument/2006/relationships/hyperlink" Target="https://kaitseministeerium.ee/et/uudised/eesti-saadab-ukrainale-taas-sojavarustust" TargetMode="External"/><Relationship Id="rId1592" Type="http://schemas.openxmlformats.org/officeDocument/2006/relationships/hyperlink" Target="https://news.err.ee/1608793648/estonia-s-total-military-aid-to-ukraine-to-date-approaching-300-million" TargetMode="External"/><Relationship Id="rId2229"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36" Type="http://schemas.openxmlformats.org/officeDocument/2006/relationships/hyperlink" Target="https://appropriations.house.gov/sites/democrats.appropriations.house.gov/files/Ukraine%20Supplemental%20Summary%20FY23.pdf" TargetMode="External"/><Relationship Id="rId2643" Type="http://schemas.openxmlformats.org/officeDocument/2006/relationships/hyperlink" Target="https://www.defense.gov/News/Releases/Release/Article/2988565/readout-of-secretary-of-defense-lloyd-j-austin-iiis-call-with-ukraines-minister/" TargetMode="External"/><Relationship Id="rId2850" Type="http://schemas.openxmlformats.org/officeDocument/2006/relationships/hyperlink" Target="https://appropriations.house.gov/sites/democrats.appropriations.house.gov/files/Ukraine%20Supplemental%20Summary.pdf" TargetMode="External"/><Relationship Id="rId91" Type="http://schemas.openxmlformats.org/officeDocument/2006/relationships/hyperlink" Target="https://www.czdefence.com/article/czech-republic-donates-artillery-ammunition-worth-czk-366-million-to-ukraine" TargetMode="External"/><Relationship Id="rId408" Type="http://schemas.openxmlformats.org/officeDocument/2006/relationships/hyperlink" Target="https://pledgetimes.com/spain-sends-an-armored-ambulance-and-more-weapons-to-ukraine/" TargetMode="External"/><Relationship Id="rId615" Type="http://schemas.openxmlformats.org/officeDocument/2006/relationships/hyperlink" Target="https://www.rferl.org/a/czech-republic-poland-new-military-aid-ukraine/31873938.html" TargetMode="External"/><Relationship Id="rId822" Type="http://schemas.openxmlformats.org/officeDocument/2006/relationships/hyperlink" Target="https://www.defense.gov/News/Releases/Release/Article/3152071/675-million-in-additional-security-assistance-for-ukraine/" TargetMode="External"/><Relationship Id="rId1038" Type="http://schemas.openxmlformats.org/officeDocument/2006/relationships/hyperlink" Target="https://www.ukrinform.net/rubric-ato/3585945-finland-preparing-new-military-aid-package-for-ukraine.html" TargetMode="External"/><Relationship Id="rId1245" Type="http://schemas.openxmlformats.org/officeDocument/2006/relationships/hyperlink" Target="https://www.france24.com/en/europe/20221007-macron-announces-%E2%82%AC100-million-fund-for-ukraine-to-buy-arms" TargetMode="External"/><Relationship Id="rId1452" Type="http://schemas.openxmlformats.org/officeDocument/2006/relationships/hyperlink" Target="https://www.reuters.com/world/biden-authorizes-new-275-mln-military-aid-ukraine-white-house-2022-12-09/" TargetMode="External"/><Relationship Id="rId1897" Type="http://schemas.openxmlformats.org/officeDocument/2006/relationships/hyperlink" Target="https://appropriations.house.gov/sites/democrats.appropriations.house.gov/files/Additional%20Ukraine%20Suplemental%20Appropriations%20Act%20Summary.pdf" TargetMode="External"/><Relationship Id="rId2503" Type="http://schemas.openxmlformats.org/officeDocument/2006/relationships/hyperlink" Target="https://crsreports.congress.gov/product/pdf/IF/IF12040" TargetMode="External"/><Relationship Id="rId2948" Type="http://schemas.openxmlformats.org/officeDocument/2006/relationships/hyperlink" Target="https://japan.kantei.go.jp/ongoingtopics/_00002.html" TargetMode="External"/><Relationship Id="rId1105" Type="http://schemas.openxmlformats.org/officeDocument/2006/relationships/hyperlink" Target="https://www.reuters.com/world/europe/italy-open-supplying-air-defence-systems-ukraine-official-2022-11-08/" TargetMode="External"/><Relationship Id="rId1312" Type="http://schemas.openxmlformats.org/officeDocument/2006/relationships/hyperlink" Target="https://www.kmu.gov.ua/en/news/premier-ministr-ievrokomisiia-oholosyla-pro-vydilennia-ukraini-5-mlrd-ievro-makrofinansovoi-dopomohy" TargetMode="External"/><Relationship Id="rId1757" Type="http://schemas.openxmlformats.org/officeDocument/2006/relationships/hyperlink" Target="https://appropriations.house.gov/sites/democrats.appropriations.house.gov/files/Ukraine%20Supplemental%20Summary.pdf" TargetMode="External"/><Relationship Id="rId1964" Type="http://schemas.openxmlformats.org/officeDocument/2006/relationships/hyperlink" Target="https://appropriations.house.gov/sites/democrats.appropriations.house.gov/files/Additional%20Ukraine%20Suplemental%20Appropriations%20Act%20Summary.pdf" TargetMode="External"/><Relationship Id="rId2710" Type="http://schemas.openxmlformats.org/officeDocument/2006/relationships/hyperlink" Target="https://www.defense.gov/News/Releases/Release/Article/2987119/defense-department-announces-300-million-in-additional-assistance-for-ukraine/" TargetMode="External"/><Relationship Id="rId2808" Type="http://schemas.openxmlformats.org/officeDocument/2006/relationships/hyperlink" Target="https://appropriations.house.gov/sites/democrats.appropriations.house.gov/files/Ukraine%20Supplemental%20Summary.pdf" TargetMode="External"/><Relationship Id="rId49" Type="http://schemas.openxmlformats.org/officeDocument/2006/relationships/hyperlink" Target="https://lrv.lt/en/news/lithuania-allocates-1-8-mln-euro-worth-aid-to-ukraine?msclkid=2f9d4bd4b05c11ecbef1f3a571834d09" TargetMode="External"/><Relationship Id="rId1617" Type="http://schemas.openxmlformats.org/officeDocument/2006/relationships/hyperlink" Target="https://twitter.com/Lithuanian_MoD/status/1567446474312540160?ref_src=twsrc%5Etfw%7Ctwcamp%5Etweetembed%7Ctwterm%5E1567446474312540160%7Ctwgr%5E4672a6b5ec4c4f6cf0f7166371f51fb78182c17f%7Ctwcon%5Es1_&amp;ref_url=https%3A%2F%2Fwww.eurointegration.com.ua%2Fnews%2F2022%2F09%2F7%2F7146332%2F" TargetMode="External"/><Relationship Id="rId1824" Type="http://schemas.openxmlformats.org/officeDocument/2006/relationships/hyperlink" Target="https://appropriations.house.gov/sites/democrats.appropriations.house.gov/files/Ukraine%20Supplemental%20Summary.pdf" TargetMode="External"/><Relationship Id="rId198" Type="http://schemas.openxmlformats.org/officeDocument/2006/relationships/hyperlink" Target="https://www.youtube.com/watch?v=vzENx6dTpqY" TargetMode="External"/><Relationship Id="rId2086" Type="http://schemas.openxmlformats.org/officeDocument/2006/relationships/hyperlink" Target="https://crsreports.congress.gov/product/pdf/IF/IF12040" TargetMode="External"/><Relationship Id="rId2293" Type="http://schemas.openxmlformats.org/officeDocument/2006/relationships/hyperlink" Target="https://appropriations.house.gov/sites/democrats.appropriations.house.gov/files/Ukraine%20Supplemental%20Summary%20FY23.pdf" TargetMode="External"/><Relationship Id="rId2598" Type="http://schemas.openxmlformats.org/officeDocument/2006/relationships/hyperlink" Target="https://www.whitehouse.gov/briefing-room/press-briefings/2022/04/04/press-briefing-by-press-secretary-jen-psaki-and-national-security-advisor-jake-sullivan/" TargetMode="External"/><Relationship Id="rId265" Type="http://schemas.openxmlformats.org/officeDocument/2006/relationships/hyperlink" Target="https://norwaytoday.info/news/norway-is-giving-200-million-kroner-to-ukrainian-teachers-and-government-employees/" TargetMode="External"/><Relationship Id="rId472" Type="http://schemas.openxmlformats.org/officeDocument/2006/relationships/hyperlink" Target="https://www.rferl.org/a/czech-republic-poland-new-military-aid-ukraine/31873938.html" TargetMode="External"/><Relationship Id="rId2153" Type="http://schemas.openxmlformats.org/officeDocument/2006/relationships/hyperlink" Target="https://crsreports.congress.gov/product/pdf/IF/IF12040" TargetMode="External"/><Relationship Id="rId2360" Type="http://schemas.openxmlformats.org/officeDocument/2006/relationships/hyperlink" Target="https://crsreports.congress.gov/product/pdf/IF/IF12040" TargetMode="External"/><Relationship Id="rId125" Type="http://schemas.openxmlformats.org/officeDocument/2006/relationships/hyperlink" Target="https://twitter.com/AnnLinde/status/1506663502865485844?msclkid=7276d96ab5d011ecb3f22619c3297e84" TargetMode="External"/><Relationship Id="rId332" Type="http://schemas.openxmlformats.org/officeDocument/2006/relationships/hyperlink" Target="https://www.mfa.gov.lv/en/article/latvian-foreign-ministry-channel-eur-24000000-towards-assistance-ukraine" TargetMode="External"/><Relationship Id="rId777" Type="http://schemas.openxmlformats.org/officeDocument/2006/relationships/hyperlink" Target="https://www.regjeringen.no/en/aktuelt/donerer-hellfire-missiler-og-nattoptikk-til-ukraina/id2926713/" TargetMode="External"/><Relationship Id="rId984" Type="http://schemas.openxmlformats.org/officeDocument/2006/relationships/hyperlink" Target="https://www.minister.defence.gov.au/minister/rmarles/media-releases/australia-increases-support-ukraine" TargetMode="External"/><Relationship Id="rId2013" Type="http://schemas.openxmlformats.org/officeDocument/2006/relationships/hyperlink" Target="https://crsreports.congress.gov/product/pdf/IF/IF12040" TargetMode="External"/><Relationship Id="rId2220"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58" Type="http://schemas.openxmlformats.org/officeDocument/2006/relationships/hyperlink" Target="https://appropriations.house.gov/sites/democrats.appropriations.house.gov/files/Ukraine%20Supplemental%20Summary.pdf" TargetMode="External"/><Relationship Id="rId2665" Type="http://schemas.openxmlformats.org/officeDocument/2006/relationships/hyperlink" Target="https://www.defense.gov/News/Releases/Release/Article/2987119/defense-department-announces-300-million-in-additional-assistance-for-ukraine/" TargetMode="External"/><Relationship Id="rId2872" Type="http://schemas.openxmlformats.org/officeDocument/2006/relationships/hyperlink" Target="https://appropriations.house.gov/sites/democrats.appropriations.house.gov/files/Additional%20Ukraine%20Suplemental%20Appropriations%20Act%20Summary.pdf" TargetMode="External"/><Relationship Id="rId637" Type="http://schemas.openxmlformats.org/officeDocument/2006/relationships/hyperlink" Target="https://kyivindependent.com/uncategorized/poland-has-provided-ukraine-with-weapons-worth-1-6-billion/" TargetMode="External"/><Relationship Id="rId844" Type="http://schemas.openxmlformats.org/officeDocument/2006/relationships/hyperlink" Target="https://www.defense.gov/News/Releases/Release/Article/3173378/11-billion-in-additional-security-assistance-for-ukraine/" TargetMode="External"/><Relationship Id="rId1267" Type="http://schemas.openxmlformats.org/officeDocument/2006/relationships/hyperlink" Target="https://www.mil.gov.ua/en/news/2022/11/15/russia-is-told-about-peace-it-responds-with-missiles-address-by-the-president-of-ukraine/" TargetMode="External"/><Relationship Id="rId1474" Type="http://schemas.openxmlformats.org/officeDocument/2006/relationships/hyperlink" Target="https://t.me/ermaka2022/990" TargetMode="External"/><Relationship Id="rId1681" Type="http://schemas.openxmlformats.org/officeDocument/2006/relationships/hyperlink" Target="https://sloveniatimes.com/new-slovenian-donations-to-ukraine/" TargetMode="External"/><Relationship Id="rId2318" Type="http://schemas.openxmlformats.org/officeDocument/2006/relationships/hyperlink" Target="https://crsreports.congress.gov/product/pdf/IF/IF12040" TargetMode="External"/><Relationship Id="rId2525" Type="http://schemas.openxmlformats.org/officeDocument/2006/relationships/hyperlink" Target="https://www.19fortyfive.com/2022/04/switchblade-the-drone-giving-ukraine-a-big-edge-against-russia/" TargetMode="External"/><Relationship Id="rId2732" Type="http://schemas.openxmlformats.org/officeDocument/2006/relationships/hyperlink" Target="https://www.whitehouse.gov/briefing-room/press-briefings/2022/04/04/press-briefing-by-press-secretary-jen-psaki-and-national-security-advisor-jake-sullivan/" TargetMode="External"/><Relationship Id="rId704" Type="http://schemas.openxmlformats.org/officeDocument/2006/relationships/hyperlink" Target="https://www.gov.uk/government/news/uk-to-send-scores-of-artillery-guns-and-hundreds-of-drones-to-ukraine" TargetMode="External"/><Relationship Id="rId911" Type="http://schemas.openxmlformats.org/officeDocument/2006/relationships/hyperlink" Target="https://www.connexionfrance.com/article/French-news/Humanitarian-ship-for-Ukraine-leaves-French-port-with-8m-of-aid" TargetMode="External"/><Relationship Id="rId1127" Type="http://schemas.openxmlformats.org/officeDocument/2006/relationships/hyperlink" Target="https://twitter.com/a_anusauskas/status/1592084804501401604" TargetMode="External"/><Relationship Id="rId1334" Type="http://schemas.openxmlformats.org/officeDocument/2006/relationships/hyperlink" Target="https://myc.news/en/politika/latviya_vydelit_56__tysyach_evro_na_pokupku_generatorov_dlya_ukrainskih_smi" TargetMode="External"/><Relationship Id="rId1541" Type="http://schemas.openxmlformats.org/officeDocument/2006/relationships/hyperlink" Target="https://www.army-technology.com/news/germany-norway-denmark-zuzana2-ukraine/" TargetMode="External"/><Relationship Id="rId1779" Type="http://schemas.openxmlformats.org/officeDocument/2006/relationships/hyperlink" Target="https://appropriations.house.gov/sites/democrats.appropriations.house.gov/files/Ukraine%20Supplemental%20Summary.pdf" TargetMode="External"/><Relationship Id="rId1986" Type="http://schemas.openxmlformats.org/officeDocument/2006/relationships/hyperlink" Target="https://appropriations.house.gov/sites/democrats.appropriations.house.gov/files/Additional%20Ukraine%20Suplemental%20Appropriations%20Act%20Summary.pdf" TargetMode="External"/><Relationship Id="rId40" Type="http://schemas.openxmlformats.org/officeDocument/2006/relationships/hyperlink" Target="https://www.vlada.cz/cz/media-centrum/aktualne/informace-v-souvislosti-s-invazi-ruska-na-ukrajinu-194507/" TargetMode="External"/><Relationship Id="rId1401" Type="http://schemas.openxmlformats.org/officeDocument/2006/relationships/hyperlink" Target="https://www.euronews.com/2022/12/29/french-defence-chief-pledges-fresh-support-for-ukraine-in-visit-to-kyiv" TargetMode="External"/><Relationship Id="rId1639" Type="http://schemas.openxmlformats.org/officeDocument/2006/relationships/hyperlink" Target="https://delano.lu/article/zelenskyy-thanks-luxembourg-fo" TargetMode="External"/><Relationship Id="rId1846" Type="http://schemas.openxmlformats.org/officeDocument/2006/relationships/hyperlink" Target="https://appropriations.house.gov/sites/democrats.appropriations.house.gov/files/Ukraine%20Supplemental%20Summary.pdf" TargetMode="External"/><Relationship Id="rId1706" Type="http://schemas.openxmlformats.org/officeDocument/2006/relationships/hyperlink" Target="https://ua.ambafrance.org/Dostavka-1000-t-francuz-koyi-gumaniitarnoyi-dopomogi-ukrayins-kim-adresatam-v" TargetMode="External"/><Relationship Id="rId1913" Type="http://schemas.openxmlformats.org/officeDocument/2006/relationships/hyperlink" Target="https://appropriations.house.gov/sites/democrats.appropriations.house.gov/files/Additional%20Ukraine%20Suplemental%20Appropriations%20Act%20Summary.pdf" TargetMode="External"/><Relationship Id="rId287" Type="http://schemas.openxmlformats.org/officeDocument/2006/relationships/hyperlink" Target="https://www.reuters.com/world/europe/ukraines-zelenskiy-says-tens-thousands-killed-mariupol-seeks-military-aid-skorea-2022-04-11/" TargetMode="External"/><Relationship Id="rId494" Type="http://schemas.openxmlformats.org/officeDocument/2006/relationships/hyperlink" Target="https://www.theportugalnews.com/news/2022-04-07/portugal-to-send-more-military-material-to-ukraine/66259" TargetMode="External"/><Relationship Id="rId2175" Type="http://schemas.openxmlformats.org/officeDocument/2006/relationships/hyperlink" Target="https://crsreports.congress.gov/product/pdf/IF/IF12040" TargetMode="External"/><Relationship Id="rId2382" Type="http://schemas.openxmlformats.org/officeDocument/2006/relationships/hyperlink" Target="https://crsreports.congress.gov/product/pdf/IF/IF12040" TargetMode="External"/><Relationship Id="rId147" Type="http://schemas.openxmlformats.org/officeDocument/2006/relationships/hyperlink" Target="https://ec.europa.eu/commission/presscorner/detail/en/ip_22_1222" TargetMode="External"/><Relationship Id="rId354" Type="http://schemas.openxmlformats.org/officeDocument/2006/relationships/hyperlink" Target="https://news.defence.gov.au/international/working-together-ukraine" TargetMode="External"/><Relationship Id="rId799" Type="http://schemas.openxmlformats.org/officeDocument/2006/relationships/hyperlink" Target="https://www.defense.gov/News/Releases/Release/Article/3134457/775-million-in-additional-security-assistance-for-ukraine/" TargetMode="External"/><Relationship Id="rId1191" Type="http://schemas.openxmlformats.org/officeDocument/2006/relationships/hyperlink" Target="https://www.defensa.gob.es/gabinete/notasPrensa/2022/10/DGC-221006-envio-ucrania.html" TargetMode="External"/><Relationship Id="rId2035" Type="http://schemas.openxmlformats.org/officeDocument/2006/relationships/hyperlink" Target="https://crsreports.congress.gov/product/pdf/IF/IF12040" TargetMode="External"/><Relationship Id="rId2687" Type="http://schemas.openxmlformats.org/officeDocument/2006/relationships/hyperlink" Target="https://www.defense.gov/News/Releases/Release/Article/2987119/defense-department-announces-300-million-in-additional-assistance-for-ukraine/" TargetMode="External"/><Relationship Id="rId2894" Type="http://schemas.openxmlformats.org/officeDocument/2006/relationships/hyperlink" Target="https://appropriations.house.gov/sites/democrats.appropriations.house.gov/files/Additional%20Ukraine%20Suplemental%20Appropriations%20Act%20Summary.pdf" TargetMode="External"/><Relationship Id="rId561" Type="http://schemas.openxmlformats.org/officeDocument/2006/relationships/hyperlink" Target="https://www.portugal.gov.pt/pt/gc23/comunicacao/noticia?i=portugal-doa-21-milhoes-de-euros-a-ucrania" TargetMode="External"/><Relationship Id="rId659" Type="http://schemas.openxmlformats.org/officeDocument/2006/relationships/hyperlink" Target="https://focustaiwan.tw/politics/202206030014" TargetMode="External"/><Relationship Id="rId866" Type="http://schemas.openxmlformats.org/officeDocument/2006/relationships/hyperlink" Target="https://www.dfat.gov.au/crisis-hub/invasion-ukraine-russia" TargetMode="External"/><Relationship Id="rId1289" Type="http://schemas.openxmlformats.org/officeDocument/2006/relationships/hyperlink" Target="https://www.defensa.gob.es/gabinete/notasPrensa/2022/08/DGC-220831-envio-armamento-ucrania.html" TargetMode="External"/><Relationship Id="rId1496" Type="http://schemas.openxmlformats.org/officeDocument/2006/relationships/hyperlink" Target="https://www.mod.mil.gr/en/transfer-of-40-bmp-1-ifvs-from-greece-to-ukraine/" TargetMode="External"/><Relationship Id="rId2242" Type="http://schemas.openxmlformats.org/officeDocument/2006/relationships/hyperlink" Target="https://appropriations.house.gov/sites/democrats.appropriations.house.gov/files/Summary%20Continuing%20Appropriations%20and%20Ukraine%20Supplemental%20Appropriations%20Act%202023.pdf" TargetMode="External"/><Relationship Id="rId2547" Type="http://schemas.openxmlformats.org/officeDocument/2006/relationships/hyperlink" Target="https://www.19fortyfive.com/2022/04/switchblade-the-drone-giving-ukraine-a-big-edge-against-russia/" TargetMode="External"/><Relationship Id="rId214" Type="http://schemas.openxmlformats.org/officeDocument/2006/relationships/hyperlink" Target="https://www.reuters.com/article/ukraine-crisis-france-loan-idUSL5N2VX4PT" TargetMode="External"/><Relationship Id="rId421" Type="http://schemas.openxmlformats.org/officeDocument/2006/relationships/hyperlink" Target="https://euneighbourseast.eu/news-and-stories/latest-news/ukraine-eu-announces-new-aid-worth-e200-million-for-displaced-people/" TargetMode="External"/><Relationship Id="rId519" Type="http://schemas.openxmlformats.org/officeDocument/2006/relationships/hyperlink" Target="https://www.theportugalnews.com/news/2022-04-07/portugal-to-send-more-military-material-to-ukraine/66259" TargetMode="External"/><Relationship Id="rId1051" Type="http://schemas.openxmlformats.org/officeDocument/2006/relationships/hyperlink" Target="https://www.nippon.com/en/news/kd927892413712449536/" TargetMode="External"/><Relationship Id="rId1149" Type="http://schemas.openxmlformats.org/officeDocument/2006/relationships/hyperlink" Target="https://www.gov.uk/government/news/prime-minister-pledges-uks-unwavering-support-to-ukraine-on-visit-to-kyiv-9-april-2022" TargetMode="External"/><Relationship Id="rId1356" Type="http://schemas.openxmlformats.org/officeDocument/2006/relationships/hyperlink" Target="https://www.dw.com/en/ukraine-updates-zelenskyy-hints-he-is-open-to-talks-with-russia/a-63679013" TargetMode="External"/><Relationship Id="rId2102" Type="http://schemas.openxmlformats.org/officeDocument/2006/relationships/hyperlink" Target="https://crsreports.congress.gov/product/pdf/IF/IF12040" TargetMode="External"/><Relationship Id="rId2754" Type="http://schemas.openxmlformats.org/officeDocument/2006/relationships/hyperlink" Target="https://www.whitehouse.gov/briefing-room/press-briefings/2022/04/04/press-briefing-by-press-secretary-jen-psaki-and-national-security-advisor-jake-sullivan/" TargetMode="External"/><Relationship Id="rId726" Type="http://schemas.openxmlformats.org/officeDocument/2006/relationships/hyperlink" Target="https://www.mof.gov.ua/uk/news/minfin_ukraina_otrimaie_vid_kanadi_dodatkovikh_450_mln_kanadskikh_dolariv-3544" TargetMode="External"/><Relationship Id="rId933" Type="http://schemas.openxmlformats.org/officeDocument/2006/relationships/hyperlink" Target="https://twitter.com/mod_estonia/status/1507641039745605634?lang=en" TargetMode="External"/><Relationship Id="rId1009" Type="http://schemas.openxmlformats.org/officeDocument/2006/relationships/hyperlink" Target="https://tyrkiet.um.dk/en/news/independence-day-of-ukraine-six-months-since-the-russia-invasion" TargetMode="External"/><Relationship Id="rId1563" Type="http://schemas.openxmlformats.org/officeDocument/2006/relationships/hyperlink" Target="https://www.bundesregierung.de/resource/blob/975226/2155792/c3dbab706421f63d3d612091e7ecad4c/2022-12-27-unterstuetzung-ukraine-breg-data.pdf?download=1%20Guten" TargetMode="External"/><Relationship Id="rId1770" Type="http://schemas.openxmlformats.org/officeDocument/2006/relationships/hyperlink" Target="https://appropriations.house.gov/sites/democrats.appropriations.house.gov/files/Ukraine%20Supplemental%20Summary.pdf" TargetMode="External"/><Relationship Id="rId1868" Type="http://schemas.openxmlformats.org/officeDocument/2006/relationships/hyperlink" Target="https://appropriations.house.gov/sites/democrats.appropriations.house.gov/files/Ukraine%20Supplemental%20Summary.pdf" TargetMode="External"/><Relationship Id="rId2407"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14" Type="http://schemas.openxmlformats.org/officeDocument/2006/relationships/hyperlink" Target="https://www.whitehouse.gov/briefing-room/press-briefings/2022/04/04/press-briefing-by-press-secretary-jen-psaki-and-national-security-advisor-jake-sullivan/" TargetMode="External"/><Relationship Id="rId2821" Type="http://schemas.openxmlformats.org/officeDocument/2006/relationships/hyperlink" Target="https://appropriations.house.gov/sites/democrats.appropriations.house.gov/files/Ukraine%20Supplemental%20Summary.pdf" TargetMode="External"/><Relationship Id="rId62" Type="http://schemas.openxmlformats.org/officeDocument/2006/relationships/hyperlink" Target="https://www.canada.ca/en/department-national-defence/news/2022/02/canada-commits-lethal-weapons-and-ammunition-in-support-of-ukraine.html" TargetMode="External"/><Relationship Id="rId1216" Type="http://schemas.openxmlformats.org/officeDocument/2006/relationships/hyperlink" Target="https://kaitseministeerium.ee/en/news/estonia-sending-ukraine-ammunition-and-equipment" TargetMode="External"/><Relationship Id="rId1423" Type="http://schemas.openxmlformats.org/officeDocument/2006/relationships/hyperlink" Target="https://kyivindependent.com/news-feed/slovakia-considers-producing-ammunition-for-ukraine" TargetMode="External"/><Relationship Id="rId1630" Type="http://schemas.openxmlformats.org/officeDocument/2006/relationships/hyperlink" Target="https://www.vm.gov.lv/lv/jaunums/latvija-ziedos-ukrainai-zales-un-medicinas-ierices-14-miljonu-eiro-apmera" TargetMode="External"/><Relationship Id="rId2919" Type="http://schemas.openxmlformats.org/officeDocument/2006/relationships/hyperlink" Target="https://crsreports.congress.gov/product/pdf/IF/IF12040" TargetMode="External"/><Relationship Id="rId1728" Type="http://schemas.openxmlformats.org/officeDocument/2006/relationships/hyperlink" Target="https://crsreports.congress.gov/product/pdf/IF/IF12040" TargetMode="External"/><Relationship Id="rId1935" Type="http://schemas.openxmlformats.org/officeDocument/2006/relationships/hyperlink" Target="https://appropriations.house.gov/sites/democrats.appropriations.house.gov/files/Additional%20Ukraine%20Suplemental%20Appropriations%20Act%20Summary.pdf" TargetMode="External"/><Relationship Id="rId2197" Type="http://schemas.openxmlformats.org/officeDocument/2006/relationships/hyperlink" Target="https://appropriations.house.gov/sites/democrats.appropriations.house.gov/files/Summary%20Continuing%20Appropriations%20and%20Ukraine%20Supplemental%20Appropriations%20Act%202023.pdf" TargetMode="External"/><Relationship Id="rId169" Type="http://schemas.openxmlformats.org/officeDocument/2006/relationships/hyperlink" Target="https://cyprus-mail.com/2022/04/06/aid-for-ukraine-now-tops-e2-million/" TargetMode="External"/><Relationship Id="rId376" Type="http://schemas.openxmlformats.org/officeDocument/2006/relationships/hyperlink" Target="https://tfiglobalnews.com/2022/03/21/canada-wanted-to-supply-weapons-to-ukraine-turns-out-it-didnt-have-any/" TargetMode="External"/><Relationship Id="rId583" Type="http://schemas.openxmlformats.org/officeDocument/2006/relationships/hyperlink" Target="https://www.regjeringen.no/en/aktuelt/norge-og-storbritannia-gir-langtrekkende-rakettartilleri-til-ukraina/id2921395/" TargetMode="External"/><Relationship Id="rId790" Type="http://schemas.openxmlformats.org/officeDocument/2006/relationships/hyperlink" Target="https://www.connexionfrance.com/article/French-news/Humanitarian-ship-for-Ukraine-leaves-French-port-with-8m-of-aid" TargetMode="External"/><Relationship Id="rId2057" Type="http://schemas.openxmlformats.org/officeDocument/2006/relationships/hyperlink" Target="https://crsreports.congress.gov/product/pdf/IF/IF12040" TargetMode="External"/><Relationship Id="rId2264" Type="http://schemas.openxmlformats.org/officeDocument/2006/relationships/hyperlink" Target="https://appropriations.house.gov/sites/democrats.appropriations.house.gov/files/Ukraine%20Supplemental%20Summary%20FY23.pdf" TargetMode="External"/><Relationship Id="rId2471" Type="http://schemas.openxmlformats.org/officeDocument/2006/relationships/hyperlink" Target="https://appropriations.house.gov/sites/democrats.appropriations.house.gov/files/Ukraine%20Supplemental%20Summary.pdf" TargetMode="External"/><Relationship Id="rId4" Type="http://schemas.openxmlformats.org/officeDocument/2006/relationships/hyperlink" Target="https://www.mfa.gov.lv/en/article/latvian-foreign-ministry-channel-eur-24000000-towards-assistance-ukraine" TargetMode="External"/><Relationship Id="rId236" Type="http://schemas.openxmlformats.org/officeDocument/2006/relationships/hyperlink" Target="https://www.minister.industry.gov.au/ministers/pitt/media-releases/whitehaven-assist-ukraine-request-provide-energy-security" TargetMode="External"/><Relationship Id="rId443" Type="http://schemas.openxmlformats.org/officeDocument/2006/relationships/hyperlink" Target="https://www.bmi.gv.at/news.aspx?id=69543149763057644C4C633D" TargetMode="External"/><Relationship Id="rId650" Type="http://schemas.openxmlformats.org/officeDocument/2006/relationships/hyperlink" Target="https://www.nytimes.com/2022/04/14/world/europe/ukraine-russia-nato-s300.html" TargetMode="External"/><Relationship Id="rId888" Type="http://schemas.openxmlformats.org/officeDocument/2006/relationships/hyperlink" Target="https://www.brusselstimes.com/290771/belgium-to-give-e12-million-in-military-aid-to-ukraine" TargetMode="External"/><Relationship Id="rId1073" Type="http://schemas.openxmlformats.org/officeDocument/2006/relationships/hyperlink" Target="https://www.interieur.gouv.fr/actualites/dossiers/situation-en-ukraine/solidarite-nationale-envers-lukraine-second-convoi-de" TargetMode="External"/><Relationship Id="rId1280" Type="http://schemas.openxmlformats.org/officeDocument/2006/relationships/hyperlink" Target="https://twitter.com/a_anusauskas/status/1592084804501401604" TargetMode="External"/><Relationship Id="rId2124" Type="http://schemas.openxmlformats.org/officeDocument/2006/relationships/hyperlink" Target="https://crsreports.congress.gov/product/pdf/IF/IF12040" TargetMode="External"/><Relationship Id="rId2331" Type="http://schemas.openxmlformats.org/officeDocument/2006/relationships/hyperlink" Target="https://crsreports.congress.gov/product/pdf/IF/IF12040" TargetMode="External"/><Relationship Id="rId2569" Type="http://schemas.openxmlformats.org/officeDocument/2006/relationships/hyperlink" Target="https://www.19fortyfive.com/2022/04/switchblade-the-drone-giving-ukraine-a-big-edge-against-russia/" TargetMode="External"/><Relationship Id="rId2776" Type="http://schemas.openxmlformats.org/officeDocument/2006/relationships/hyperlink" Target="https://crsreports.congress.gov/product/pdf/IF/IF12040" TargetMode="External"/><Relationship Id="rId303" Type="http://schemas.openxmlformats.org/officeDocument/2006/relationships/hyperlink" Target="https://www-puterea-ro.translate.goog/romania-ofera-ucrainei-o-noua-contributie-de-asistenta-umanitara/?_x_tr_sl=ro&amp;_x_tr_tl=en&amp;_x_tr_hl=en&amp;_x_tr_pto=sc" TargetMode="External"/><Relationship Id="rId748" Type="http://schemas.openxmlformats.org/officeDocument/2006/relationships/hyperlink" Target="https://www.kmu.gov.ua/news/ukraina-i-avstriia-domovylys-pro-ekonomichnu-spivpratsiu-u-rozvytku-proektiv" TargetMode="External"/><Relationship Id="rId955" Type="http://schemas.openxmlformats.org/officeDocument/2006/relationships/hyperlink" Target="https://www.defense.gov/News/Releases/Release/Article/3120059/1-billion-in-additional-security-assistance-for-ukraine/" TargetMode="External"/><Relationship Id="rId1140" Type="http://schemas.openxmlformats.org/officeDocument/2006/relationships/hyperlink" Target="https://www.gov.uk/government/speeches/poland-foreign-secretarys-statement-to-warsaw-press-conference" TargetMode="External"/><Relationship Id="rId1378" Type="http://schemas.openxmlformats.org/officeDocument/2006/relationships/hyperlink" Target="https://mfa.gov.cy/el/press-releases/2022/12/30/press-statement-poland-ua-generators/" TargetMode="External"/><Relationship Id="rId1585" Type="http://schemas.openxmlformats.org/officeDocument/2006/relationships/hyperlink" Target="https://www.gov.uk/government/news/uk-to-give-air-defence-missiles-to-help-ukraine-defend-against-rockets" TargetMode="External"/><Relationship Id="rId1792" Type="http://schemas.openxmlformats.org/officeDocument/2006/relationships/hyperlink" Target="https://appropriations.house.gov/sites/democrats.appropriations.house.gov/files/Ukraine%20Supplemental%20Summary.pdf" TargetMode="External"/><Relationship Id="rId2429" Type="http://schemas.openxmlformats.org/officeDocument/2006/relationships/hyperlink" Target="https://appropriations.house.gov/sites/democrats.appropriations.house.gov/files/Ukraine%20Supplemental%20Summary%20FY23.pdf" TargetMode="External"/><Relationship Id="rId2636" Type="http://schemas.openxmlformats.org/officeDocument/2006/relationships/hyperlink" Target="https://www.defense.gov/News/Releases/Release/Article/2988565/readout-of-secretary-of-defense-lloyd-j-austin-iiis-call-with-ukraines-minister/" TargetMode="External"/><Relationship Id="rId2843" Type="http://schemas.openxmlformats.org/officeDocument/2006/relationships/hyperlink" Target="https://appropriations.house.gov/sites/democrats.appropriations.house.gov/files/Ukraine%20Supplemental%20Summary.pdf" TargetMode="External"/><Relationship Id="rId84" Type="http://schemas.openxmlformats.org/officeDocument/2006/relationships/hyperlink" Target="https://www.vlada.cz/cz/media-centrum/aktualne/informace-v-souvislosti-s-invazi-ruska-na-ukrajinu-194507/" TargetMode="External"/><Relationship Id="rId510" Type="http://schemas.openxmlformats.org/officeDocument/2006/relationships/hyperlink" Target="https://www.repubblica.it/esteri/2022/04/28/news/guerra_russia_ucraina_armi_italiane-347273567/" TargetMode="External"/><Relationship Id="rId608" Type="http://schemas.openxmlformats.org/officeDocument/2006/relationships/hyperlink" Target="https://www.czdefence.com/article/ukrainian-armoured-vehicles-will-be-repaired-in-the-czech-republic" TargetMode="External"/><Relationship Id="rId815" Type="http://schemas.openxmlformats.org/officeDocument/2006/relationships/hyperlink" Target="https://www.defense.gov/News/Releases/Release/Article/3152071/675-million-in-additional-security-assistance-for-ukraine/" TargetMode="External"/><Relationship Id="rId1238" Type="http://schemas.openxmlformats.org/officeDocument/2006/relationships/hyperlink" Target="https://ec.europa.eu/commission/presscorner/detail/es/ip_22_6263" TargetMode="External"/><Relationship Id="rId1445" Type="http://schemas.openxmlformats.org/officeDocument/2006/relationships/hyperlink" Target="https://appropriations.house.gov/sites/democrats.appropriations.house.gov/files/Ukraine%20Supplemental%20Summary.pdf" TargetMode="External"/><Relationship Id="rId1652" Type="http://schemas.openxmlformats.org/officeDocument/2006/relationships/hyperlink" Target="https://www.gov.uk/government/news/pm-accelerates-ukraine-support-ahead-of-anniversary-of-putins-war" TargetMode="External"/><Relationship Id="rId1000" Type="http://schemas.openxmlformats.org/officeDocument/2006/relationships/hyperlink" Target="https://um.dk/danida/lande-og-regioner/ukraine" TargetMode="External"/><Relationship Id="rId1305" Type="http://schemas.openxmlformats.org/officeDocument/2006/relationships/hyperlink" Target="https://www.gov.uk/government/news/uk-to-send-scores-of-artillery-guns-and-hundreds-of-drones-to-ukraine" TargetMode="External"/><Relationship Id="rId1957" Type="http://schemas.openxmlformats.org/officeDocument/2006/relationships/hyperlink" Target="https://appropriations.house.gov/sites/democrats.appropriations.house.gov/files/Additional%20Ukraine%20Suplemental%20Appropriations%20Act%20Summary.pdf" TargetMode="External"/><Relationship Id="rId2703" Type="http://schemas.openxmlformats.org/officeDocument/2006/relationships/hyperlink" Target="https://www.defense.gov/News/Releases/Release/Article/2987119/defense-department-announces-300-million-in-additional-assistance-for-ukraine/" TargetMode="External"/><Relationship Id="rId2910" Type="http://schemas.openxmlformats.org/officeDocument/2006/relationships/hyperlink" Target="https://appropriations.house.gov/sites/democrats.appropriations.house.gov/files/Summary%20Continuing%20Appropriations%20and%20Ukraine%20Supplemental%20Appropriations%20Act%202023.pdf" TargetMode="External"/><Relationship Id="rId1512" Type="http://schemas.openxmlformats.org/officeDocument/2006/relationships/hyperlink" Target="https://www.stripes.com/theaters/us/2022-05-23/ukraine-russia-war-military-weapons-6104132.html" TargetMode="External"/><Relationship Id="rId1817" Type="http://schemas.openxmlformats.org/officeDocument/2006/relationships/hyperlink" Target="https://appropriations.house.gov/sites/democrats.appropriations.house.gov/files/Ukraine%20Supplemental%20Summary.pdf" TargetMode="External"/><Relationship Id="rId11" Type="http://schemas.openxmlformats.org/officeDocument/2006/relationships/hyperlink" Target="https://um.dk/danida/lande-og-regioner/ukraine" TargetMode="External"/><Relationship Id="rId398" Type="http://schemas.openxmlformats.org/officeDocument/2006/relationships/hyperlink" Target="https://www.france24.com/en/live-news/20220601-arms-for-ukraine-who-has-sent-what" TargetMode="External"/><Relationship Id="rId2079" Type="http://schemas.openxmlformats.org/officeDocument/2006/relationships/hyperlink" Target="https://crsreports.congress.gov/product/pdf/IF/IF12040" TargetMode="External"/><Relationship Id="rId160" Type="http://schemas.openxmlformats.org/officeDocument/2006/relationships/hyperlink" Target="https://twitter.com/MZZRS/status/1511723242939105281" TargetMode="External"/><Relationship Id="rId2286" Type="http://schemas.openxmlformats.org/officeDocument/2006/relationships/hyperlink" Target="https://appropriations.house.gov/sites/democrats.appropriations.house.gov/files/Ukraine%20Supplemental%20Summary%20FY23.pdf" TargetMode="External"/><Relationship Id="rId2493" Type="http://schemas.openxmlformats.org/officeDocument/2006/relationships/hyperlink" Target="https://crsreports.congress.gov/product/pdf/IF/IF12040" TargetMode="External"/><Relationship Id="rId258" Type="http://schemas.openxmlformats.org/officeDocument/2006/relationships/hyperlink" Target="https://www.regjeringen.no/en/aktuelt/air-defense-system-to-ukraine/id2908807/" TargetMode="External"/><Relationship Id="rId465" Type="http://schemas.openxmlformats.org/officeDocument/2006/relationships/hyperlink" Target="https://www.euractiv.com/section/politics/short_news/bulgaria-sends-helmets-to-ukrain%D0%B5/" TargetMode="External"/><Relationship Id="rId672" Type="http://schemas.openxmlformats.org/officeDocument/2006/relationships/hyperlink" Target="https://www.defense.gov/News/Releases/Release/Article/3081993/820-million-in-additional-security-assistance-for-ukraine/" TargetMode="External"/><Relationship Id="rId1095" Type="http://schemas.openxmlformats.org/officeDocument/2006/relationships/hyperlink" Target="https://www.ukrinform.net/rubric-ato/3604150-italy-provides-ukraine-with-two-m270-systems-six-pzh-2000-about-30-selfpropelled-howitzers-media.html" TargetMode="External"/><Relationship Id="rId2146" Type="http://schemas.openxmlformats.org/officeDocument/2006/relationships/hyperlink" Target="https://crsreports.congress.gov/product/pdf/IF/IF12040" TargetMode="External"/><Relationship Id="rId2353" Type="http://schemas.openxmlformats.org/officeDocument/2006/relationships/hyperlink" Target="https://crsreports.congress.gov/product/pdf/IF/IF12040" TargetMode="External"/><Relationship Id="rId2560" Type="http://schemas.openxmlformats.org/officeDocument/2006/relationships/hyperlink" Target="https://www.19fortyfive.com/2022/04/switchblade-the-drone-giving-ukraine-a-big-edge-against-russia/" TargetMode="External"/><Relationship Id="rId2798" Type="http://schemas.openxmlformats.org/officeDocument/2006/relationships/hyperlink" Target="https://crsreports.congress.gov/product/pdf/IF/IF12040" TargetMode="External"/><Relationship Id="rId118" Type="http://schemas.openxmlformats.org/officeDocument/2006/relationships/hyperlink" Target="https://www.gov.uk/government/speeches/ukraine-foreign-secretary-statement-to-parliament-28-march-2022" TargetMode="External"/><Relationship Id="rId325" Type="http://schemas.openxmlformats.org/officeDocument/2006/relationships/hyperlink" Target="https://japantoday.com/category/politics/japan-to-double-ukraine-aid-to-600-million" TargetMode="External"/><Relationship Id="rId532" Type="http://schemas.openxmlformats.org/officeDocument/2006/relationships/hyperlink" Target="https://www.vlada.cz/cz/media-centrum/aktualne/bezpecnostni-rada-statu-se-zabyvala-aktualni-bezpecnostni-situaci-po-napadeni-nezavisle-ukrajiny-vojsky-ruske-federace-194513/" TargetMode="External"/><Relationship Id="rId977" Type="http://schemas.openxmlformats.org/officeDocument/2006/relationships/hyperlink" Target="https://www-regjeringen-no.translate.goog/no/aktuelt/norge-har-donert-artilleriskyts-til-ukraina/id2917760/?_x_tr_sl=auto&amp;_x_tr_tl=auto&amp;_x_tr_hl=de" TargetMode="External"/><Relationship Id="rId1162" Type="http://schemas.openxmlformats.org/officeDocument/2006/relationships/hyperlink" Target="https://www.regeringen.dk/nyheder/2022/ny-massiv-donationspakke-til-ukraine/" TargetMode="External"/><Relationship Id="rId2006" Type="http://schemas.openxmlformats.org/officeDocument/2006/relationships/hyperlink" Target="https://appropriations.house.gov/sites/democrats.appropriations.house.gov/files/Additional%20Ukraine%20Suplemental%20Appropriations%20Act%20Summary.pdf" TargetMode="External"/><Relationship Id="rId2213"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20"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58" Type="http://schemas.openxmlformats.org/officeDocument/2006/relationships/hyperlink" Target="https://www.defense.gov/News/Releases/Release/Article/2988565/readout-of-secretary-of-defense-lloyd-j-austin-iiis-call-with-ukraines-minister/" TargetMode="External"/><Relationship Id="rId2865" Type="http://schemas.openxmlformats.org/officeDocument/2006/relationships/hyperlink" Target="https://appropriations.house.gov/sites/democrats.appropriations.house.gov/files/Additional%20Ukraine%20Suplemental%20Appropriations%20Act%20Summary.pdf" TargetMode="External"/><Relationship Id="rId837" Type="http://schemas.openxmlformats.org/officeDocument/2006/relationships/hyperlink" Target="https://www.defense.gov/News/Releases/Release/Article/3138105/nearly-3-billion-in-additional-security-assistance-for-ukraine/" TargetMode="External"/><Relationship Id="rId1022" Type="http://schemas.openxmlformats.org/officeDocument/2006/relationships/hyperlink" Target="https://www.defmin.fi/en/topical/press_releases_and_news/finland_sends_more_defence_materiel_assistance_to_ukraine.12692.news" TargetMode="External"/><Relationship Id="rId1467" Type="http://schemas.openxmlformats.org/officeDocument/2006/relationships/hyperlink" Target="https://www.reuters.com/world/biden-authorizes-new-275-mln-military-aid-ukraine-white-house-2022-12-09/" TargetMode="External"/><Relationship Id="rId1674" Type="http://schemas.openxmlformats.org/officeDocument/2006/relationships/hyperlink" Target="https://twitter.com/oleksiireznikov/status/1598696930720116736?cxt=HHwWgMCjseyY268sAAAA" TargetMode="External"/><Relationship Id="rId1881" Type="http://schemas.openxmlformats.org/officeDocument/2006/relationships/hyperlink" Target="https://appropriations.house.gov/sites/democrats.appropriations.house.gov/files/Additional%20Ukraine%20Suplemental%20Appropriations%20Act%20Summary.pdf" TargetMode="External"/><Relationship Id="rId2518" Type="http://schemas.openxmlformats.org/officeDocument/2006/relationships/hyperlink" Target="https://www.defense.gov/News/Releases/Release/Article/2987119/defense-department-announces-300-million-in-additional-assistance-for-ukraine/" TargetMode="External"/><Relationship Id="rId2725" Type="http://schemas.openxmlformats.org/officeDocument/2006/relationships/hyperlink" Target="https://www.whitehouse.gov/briefing-room/press-briefings/2022/04/04/press-briefing-by-press-secretary-jen-psaki-and-national-security-advisor-jake-sullivan/" TargetMode="External"/><Relationship Id="rId2932" Type="http://schemas.openxmlformats.org/officeDocument/2006/relationships/hyperlink" Target="https://www.thenationalherald.com/russias-ukraine-invasion-sees-greece-taking-bigger-nato-role/" TargetMode="External"/><Relationship Id="rId904" Type="http://schemas.openxmlformats.org/officeDocument/2006/relationships/hyperlink" Target="https://www.euronews.com/2022/09/29/cargo-ship-with-1000-tonnes-of-ukraine-aid-sets-sail-from-marseille" TargetMode="External"/><Relationship Id="rId1327" Type="http://schemas.openxmlformats.org/officeDocument/2006/relationships/hyperlink" Target="https://pm.gc.ca/en/news/news-releases/2022/10/28/prime-minister-announces-new-measures-support-ukraine" TargetMode="External"/><Relationship Id="rId1534" Type="http://schemas.openxmlformats.org/officeDocument/2006/relationships/hyperlink" Target="https://www.gov.ie/en/press-release/b80b7-government-ministers-announce-irish-support-for-ukrainian-health-service/?msclkid=07ab0901b05a11ec8239ca04bfcdbb9d" TargetMode="External"/><Relationship Id="rId1741" Type="http://schemas.openxmlformats.org/officeDocument/2006/relationships/hyperlink" Target="https://appropriations.house.gov/sites/democrats.appropriations.house.gov/files/Ukraine%20Supplemental%20Summary.pdf" TargetMode="External"/><Relationship Id="rId1979" Type="http://schemas.openxmlformats.org/officeDocument/2006/relationships/hyperlink" Target="https://appropriations.house.gov/sites/democrats.appropriations.house.gov/files/Additional%20Ukraine%20Suplemental%20Appropriations%20Act%20Summary.pdf" TargetMode="External"/><Relationship Id="rId33" Type="http://schemas.openxmlformats.org/officeDocument/2006/relationships/hyperlink" Target="https://www.mofa.go.jp/press/kaiken/kaiken24e_000113.html" TargetMode="External"/><Relationship Id="rId1601" Type="http://schemas.openxmlformats.org/officeDocument/2006/relationships/hyperlink" Target="https://crsreports.congress.gov/product/pdf/IF/IF12305" TargetMode="External"/><Relationship Id="rId1839" Type="http://schemas.openxmlformats.org/officeDocument/2006/relationships/hyperlink" Target="https://appropriations.house.gov/sites/democrats.appropriations.house.gov/files/Ukraine%20Supplemental%20Summary.pdf" TargetMode="External"/><Relationship Id="rId182" Type="http://schemas.openxmlformats.org/officeDocument/2006/relationships/hyperlink" Target="https://www.worldbank.org/en/news/press-release/2022/03/07/world-bank-mobilizes-an-emergency-financing-package-of-over-700-million-for-ukraine" TargetMode="External"/><Relationship Id="rId1906" Type="http://schemas.openxmlformats.org/officeDocument/2006/relationships/hyperlink" Target="https://appropriations.house.gov/sites/democrats.appropriations.house.gov/files/Additional%20Ukraine%20Suplemental%20Appropriations%20Act%20Summary.pdf" TargetMode="External"/><Relationship Id="rId487" Type="http://schemas.openxmlformats.org/officeDocument/2006/relationships/hyperlink" Target="https://www.armyrecognition.com/defense_news_may_2022_global_security_army_industry/australia_announces_delivery_of_14_m113_tracked_apcs_and_20_bushmaster_armored_vehicles_to_ukraine.html" TargetMode="External"/><Relationship Id="rId694" Type="http://schemas.openxmlformats.org/officeDocument/2006/relationships/hyperlink" Target="https://www.ukrinform.ua/rubric-world/3523885-egils-levits-prezident-latvii.html" TargetMode="External"/><Relationship Id="rId2070" Type="http://schemas.openxmlformats.org/officeDocument/2006/relationships/hyperlink" Target="https://crsreports.congress.gov/product/pdf/IF/IF12040" TargetMode="External"/><Relationship Id="rId2168" Type="http://schemas.openxmlformats.org/officeDocument/2006/relationships/hyperlink" Target="https://appropriations.house.gov/sites/democrats.appropriations.house.gov/files/Ukraine%20Supplemental%20Summary.pdf" TargetMode="External"/><Relationship Id="rId2375" Type="http://schemas.openxmlformats.org/officeDocument/2006/relationships/hyperlink" Target="https://crsreports.congress.gov/product/pdf/IF/IF12040" TargetMode="External"/><Relationship Id="rId347" Type="http://schemas.openxmlformats.org/officeDocument/2006/relationships/hyperlink" Target="https://www.government.se/articles/2022/03/sweden-planning-additional-support-to-ukraine-through-world-bank/" TargetMode="External"/><Relationship Id="rId999" Type="http://schemas.openxmlformats.org/officeDocument/2006/relationships/hyperlink" Target="https://sum.dk/nyheder/2022/marts/danmark-donerer-medicin-og-medicinsk-udstyr-til-ukraine" TargetMode="External"/><Relationship Id="rId1184" Type="http://schemas.openxmlformats.org/officeDocument/2006/relationships/hyperlink" Target="https://www.gov.uk/government/news/uk-to-send-scores-of-artillery-guns-and-hundreds-of-drones-to-ukraine" TargetMode="External"/><Relationship Id="rId2028" Type="http://schemas.openxmlformats.org/officeDocument/2006/relationships/hyperlink" Target="https://crsreports.congress.gov/product/pdf/IF/IF12040" TargetMode="External"/><Relationship Id="rId2582" Type="http://schemas.openxmlformats.org/officeDocument/2006/relationships/hyperlink" Target="https://www.whitehouse.gov/briefing-room/press-briefings/2022/04/04/press-briefing-by-press-secretary-jen-psaki-and-national-security-advisor-jake-sullivan/" TargetMode="External"/><Relationship Id="rId2887" Type="http://schemas.openxmlformats.org/officeDocument/2006/relationships/hyperlink" Target="https://appropriations.house.gov/sites/democrats.appropriations.house.gov/files/Additional%20Ukraine%20Suplemental%20Appropriations%20Act%20Summary.pdf" TargetMode="External"/><Relationship Id="rId554" Type="http://schemas.openxmlformats.org/officeDocument/2006/relationships/hyperlink" Target="https://www.gov.uk/government/speeches/defence-secretary-statement-to-the-house-of-commons-on-ukraine-9-march-2022" TargetMode="External"/><Relationship Id="rId761" Type="http://schemas.openxmlformats.org/officeDocument/2006/relationships/hyperlink" Target="https://www.government.nl/latest/news/2022/08/22/extra-dutch-support-for-ukrainian-war-effort-and-reconstruction" TargetMode="External"/><Relationship Id="rId859" Type="http://schemas.openxmlformats.org/officeDocument/2006/relationships/hyperlink" Target="https://www.ukrinform.net/rubric-society/3474985-austria-allocates-another-42m-in-humanitarian-aid-to-ukraine.html" TargetMode="External"/><Relationship Id="rId1391" Type="http://schemas.openxmlformats.org/officeDocument/2006/relationships/hyperlink" Target="https://kyivindependent.com/news-feed/estonia-to-send-ukraine-new-military-aid-package" TargetMode="External"/><Relationship Id="rId1489" Type="http://schemas.openxmlformats.org/officeDocument/2006/relationships/hyperlink" Target="https://theprint.in/world/india-sends-7725-kilograms-of-humanitarian-aid-to-ukraine/1125936/" TargetMode="External"/><Relationship Id="rId1696" Type="http://schemas.openxmlformats.org/officeDocument/2006/relationships/hyperlink" Target="https://www.nytimes.com/2022/12/13/world/europe/paris-ukraine-infrastructure-donors.html" TargetMode="External"/><Relationship Id="rId2235"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42" Type="http://schemas.openxmlformats.org/officeDocument/2006/relationships/hyperlink" Target="https://appropriations.house.gov/sites/democrats.appropriations.house.gov/files/Ukraine%20Supplemental%20Summary%20FY23.pdf" TargetMode="External"/><Relationship Id="rId207" Type="http://schemas.openxmlformats.org/officeDocument/2006/relationships/hyperlink" Target="https://ec.europa.eu/echo/news-stories/news/ukraine-eu-delivers-additional-assistance-rescue-vehicles-and-emergency-equipment-2022-03-25_de" TargetMode="External"/><Relationship Id="rId414" Type="http://schemas.openxmlformats.org/officeDocument/2006/relationships/hyperlink" Target="https://www.bbc.com/news/world-europe-61482305" TargetMode="External"/><Relationship Id="rId621" Type="http://schemas.openxmlformats.org/officeDocument/2006/relationships/hyperlink" Target="https://www.diplomatie.gouv.fr/en/country-files/ukraine/news/article/ukraine-exceptional-assistance-from-france-to-bolster-food-security-for-the" TargetMode="External"/><Relationship Id="rId1044" Type="http://schemas.openxmlformats.org/officeDocument/2006/relationships/hyperlink" Target="https://english.kyodonews.net/news/2022/04/00e4cd64dc1c-japan-to-offer-protective-masks-clothing-drones-to-ukraine.html" TargetMode="External"/><Relationship Id="rId1251" Type="http://schemas.openxmlformats.org/officeDocument/2006/relationships/hyperlink" Target="https://www.lejdd.fr/International/sebastien-lecornu-ministre-des-armees-nous-navons-pas-a-rougir-de-notre-aide-a-lukraine-4148779" TargetMode="External"/><Relationship Id="rId1349" Type="http://schemas.openxmlformats.org/officeDocument/2006/relationships/hyperlink" Target="https://www.worldbank.org/en/programs/urtf/partners" TargetMode="External"/><Relationship Id="rId2302" Type="http://schemas.openxmlformats.org/officeDocument/2006/relationships/hyperlink" Target="https://appropriations.house.gov/sites/democrats.appropriations.house.gov/files/Ukraine%20Supplemental%20Summary%20FY23.pdf" TargetMode="External"/><Relationship Id="rId2747" Type="http://schemas.openxmlformats.org/officeDocument/2006/relationships/hyperlink" Target="https://www.whitehouse.gov/briefing-room/press-briefings/2022/04/04/press-briefing-by-press-secretary-jen-psaki-and-national-security-advisor-jake-sullivan/" TargetMode="External"/><Relationship Id="rId719" Type="http://schemas.openxmlformats.org/officeDocument/2006/relationships/hyperlink" Target="https://www.regjeringen.no/en/aktuelt/norwegian-support-for-farmers/id2911804/" TargetMode="External"/><Relationship Id="rId926" Type="http://schemas.openxmlformats.org/officeDocument/2006/relationships/hyperlink" Target="https://rubryka.com/en/2022/06/17/buses-estonia-vyshneve/" TargetMode="External"/><Relationship Id="rId1111" Type="http://schemas.openxmlformats.org/officeDocument/2006/relationships/hyperlink" Target="https://www.facebook.com/ukremb.at/posts/2254397241403945" TargetMode="External"/><Relationship Id="rId1556" Type="http://schemas.openxmlformats.org/officeDocument/2006/relationships/hyperlink" Target="https://www.bundesregierung.de/breg-en/news/military-support-ukraine-2054992" TargetMode="External"/><Relationship Id="rId1763" Type="http://schemas.openxmlformats.org/officeDocument/2006/relationships/hyperlink" Target="https://appropriations.house.gov/sites/democrats.appropriations.house.gov/files/Ukraine%20Supplemental%20Summary.pdf" TargetMode="External"/><Relationship Id="rId1970" Type="http://schemas.openxmlformats.org/officeDocument/2006/relationships/hyperlink" Target="https://appropriations.house.gov/sites/democrats.appropriations.house.gov/files/Additional%20Ukraine%20Suplemental%20Appropriations%20Act%20Summary.pdf" TargetMode="External"/><Relationship Id="rId2607" Type="http://schemas.openxmlformats.org/officeDocument/2006/relationships/hyperlink" Target="https://www.whitehouse.gov/briefing-room/press-briefings/2022/04/04/press-briefing-by-press-secretary-jen-psaki-and-national-security-advisor-jake-sullivan/" TargetMode="External"/><Relationship Id="rId2814" Type="http://schemas.openxmlformats.org/officeDocument/2006/relationships/hyperlink" Target="https://appropriations.house.gov/sites/democrats.appropriations.house.gov/files/Ukraine%20Supplemental%20Summary.pdf" TargetMode="External"/><Relationship Id="rId55" Type="http://schemas.openxmlformats.org/officeDocument/2006/relationships/hyperlink" Target="https://www.txtreport.com/news/2022-03-10-canada-will-provide-%24-50-million-in-military-assistance-to-ukraine.S1BRwmvb5.html" TargetMode="External"/><Relationship Id="rId1209" Type="http://schemas.openxmlformats.org/officeDocument/2006/relationships/hyperlink" Target="https://www.mofa.go.jp/press/release/press4e_003098.html" TargetMode="External"/><Relationship Id="rId1416" Type="http://schemas.openxmlformats.org/officeDocument/2006/relationships/hyperlink" Target="https://www.euractiv.com/section/politics/news/portugal-helps-ukraine-keep-heat-and-lights-on/" TargetMode="External"/><Relationship Id="rId1623" Type="http://schemas.openxmlformats.org/officeDocument/2006/relationships/hyperlink" Target="https://www.reuters.com/world/europe/denmark-donates-43-mln-military-aid-ukraine-2022-12-21/" TargetMode="External"/><Relationship Id="rId1830" Type="http://schemas.openxmlformats.org/officeDocument/2006/relationships/hyperlink" Target="https://appropriations.house.gov/sites/democrats.appropriations.house.gov/files/Ukraine%20Supplemental%20Summary.pdf" TargetMode="External"/><Relationship Id="rId1928" Type="http://schemas.openxmlformats.org/officeDocument/2006/relationships/hyperlink" Target="https://appropriations.house.gov/sites/democrats.appropriations.house.gov/files/Additional%20Ukraine%20Suplemental%20Appropriations%20Act%20Summary.pdf" TargetMode="External"/><Relationship Id="rId2092" Type="http://schemas.openxmlformats.org/officeDocument/2006/relationships/hyperlink" Target="https://crsreports.congress.gov/product/pdf/IF/IF12040" TargetMode="External"/><Relationship Id="rId271" Type="http://schemas.openxmlformats.org/officeDocument/2006/relationships/hyperlink" Target="https://www.aa.com.tr/en/russia-ukraine-war/new-zealand-announces-13m-additional-aid-for-ukraine/2560551" TargetMode="External"/><Relationship Id="rId2397" Type="http://schemas.openxmlformats.org/officeDocument/2006/relationships/hyperlink" Target="https://crsreports.congress.gov/product/pdf/IF/IF12040" TargetMode="External"/><Relationship Id="rId131" Type="http://schemas.openxmlformats.org/officeDocument/2006/relationships/hyperlink" Target="https://www.aa.com.tr/en/russia-ukraine-crisis/slovakia-to-send-more-military-supplies-to-ukraine-premier-says/2518136" TargetMode="External"/><Relationship Id="rId369" Type="http://schemas.openxmlformats.org/officeDocument/2006/relationships/hyperlink" Target="https://www.fanpage.it/politica/armi-allucraina-arriva-il-terzo-decreto-del-governo-lelenco-e-secretato-come-i-precedenti/" TargetMode="External"/><Relationship Id="rId576" Type="http://schemas.openxmlformats.org/officeDocument/2006/relationships/hyperlink" Target="https://www.peterdutton.com.au/joint-media-release-australia-to-provide-additional-support-to-ukraine/" TargetMode="External"/><Relationship Id="rId783" Type="http://schemas.openxmlformats.org/officeDocument/2006/relationships/hyperlink" Target="https://lahbib.belgium.be/en/belgium-provide-8-million-eur-non-lethal-support-ukrainian-armed-forces" TargetMode="External"/><Relationship Id="rId990" Type="http://schemas.openxmlformats.org/officeDocument/2006/relationships/hyperlink" Target="https://www.thebulletin.be/belgium-send-more-weapons-and-fuel-ukraine" TargetMode="External"/><Relationship Id="rId2257" Type="http://schemas.openxmlformats.org/officeDocument/2006/relationships/hyperlink" Target="https://appropriations.house.gov/sites/democrats.appropriations.house.gov/files/Ukraine%20Supplemental%20Summary%20FY23.pdf" TargetMode="External"/><Relationship Id="rId2464" Type="http://schemas.openxmlformats.org/officeDocument/2006/relationships/hyperlink" Target="https://appropriations.house.gov/sites/democrats.appropriations.house.gov/files/Ukraine%20Supplemental%20Summary.pdf" TargetMode="External"/><Relationship Id="rId2671" Type="http://schemas.openxmlformats.org/officeDocument/2006/relationships/hyperlink" Target="https://www.defense.gov/News/Releases/Release/Article/2987119/defense-department-announces-300-million-in-additional-assistance-for-ukraine/" TargetMode="External"/><Relationship Id="rId229" Type="http://schemas.openxmlformats.org/officeDocument/2006/relationships/hyperlink" Target="https://www.gov.uk/government/news/uk-sets-out-new-multi-million-dollar-economic-package-of-support-for-ukraine" TargetMode="External"/><Relationship Id="rId436" Type="http://schemas.openxmlformats.org/officeDocument/2006/relationships/hyperlink" Target="https://ec.europa.eu/commission/presscorner/detail/en/ip_22_3121" TargetMode="External"/><Relationship Id="rId643" Type="http://schemas.openxmlformats.org/officeDocument/2006/relationships/hyperlink" Target="https://kyivindependent.com/uncategorized/poland-has-provided-ukraine-with-weapons-worth-1-6-billion/" TargetMode="External"/><Relationship Id="rId1066" Type="http://schemas.openxmlformats.org/officeDocument/2006/relationships/hyperlink" Target="https://www.thedrive.com/the-war-zone/ukraine-to-get-90-t-72b-tanks-from-czech-republic" TargetMode="External"/><Relationship Id="rId1273" Type="http://schemas.openxmlformats.org/officeDocument/2006/relationships/hyperlink" Target="https://crsreports.congress.gov/product/pdf/IF/IF12040" TargetMode="External"/><Relationship Id="rId1480" Type="http://schemas.openxmlformats.org/officeDocument/2006/relationships/hyperlink" Target="https://www.youtube.com/watch?v=iw2OnEkr_Do&amp;ab_channel=%D0%A4%D0%B0%D0%BA%D1%82%D0%B8ICTV" TargetMode="External"/><Relationship Id="rId2117" Type="http://schemas.openxmlformats.org/officeDocument/2006/relationships/hyperlink" Target="https://crsreports.congress.gov/product/pdf/IF/IF12040" TargetMode="External"/><Relationship Id="rId2324" Type="http://schemas.openxmlformats.org/officeDocument/2006/relationships/hyperlink" Target="https://crsreports.congress.gov/product/pdf/IF/IF12040" TargetMode="External"/><Relationship Id="rId2769" Type="http://schemas.openxmlformats.org/officeDocument/2006/relationships/hyperlink" Target="https://crsreports.congress.gov/product/pdf/IF/IF12040" TargetMode="External"/><Relationship Id="rId850" Type="http://schemas.openxmlformats.org/officeDocument/2006/relationships/hyperlink" Target="https://www.defense.gov/News/Releases/Release/Article/3173378/11-billion-in-additional-security-assistance-for-ukraine/" TargetMode="External"/><Relationship Id="rId948" Type="http://schemas.openxmlformats.org/officeDocument/2006/relationships/hyperlink" Target="https://www.gov.uk/government/news/prime-minister-tells-ukraine-they-will-win-as-he-marks-independence-day-24-august-2022" TargetMode="External"/><Relationship Id="rId1133" Type="http://schemas.openxmlformats.org/officeDocument/2006/relationships/hyperlink" Target="https://www.aa.com.tr/en/europe/spain-announces-increase-in-military-aid-to-ukraine/2668809" TargetMode="External"/><Relationship Id="rId1578" Type="http://schemas.openxmlformats.org/officeDocument/2006/relationships/hyperlink" Target="https://www.gov.uk/government/speeches/defence-secretary-oral-statement-on-war-in-ukraine--2" TargetMode="External"/><Relationship Id="rId1785" Type="http://schemas.openxmlformats.org/officeDocument/2006/relationships/hyperlink" Target="https://appropriations.house.gov/sites/democrats.appropriations.house.gov/files/Ukraine%20Supplemental%20Summary.pdf" TargetMode="External"/><Relationship Id="rId1992" Type="http://schemas.openxmlformats.org/officeDocument/2006/relationships/hyperlink" Target="https://appropriations.house.gov/sites/democrats.appropriations.house.gov/files/Additional%20Ukraine%20Suplemental%20Appropriations%20Act%20Summary.pdf" TargetMode="External"/><Relationship Id="rId2531" Type="http://schemas.openxmlformats.org/officeDocument/2006/relationships/hyperlink" Target="https://www.19fortyfive.com/2022/04/switchblade-the-drone-giving-ukraine-a-big-edge-against-russia/" TargetMode="External"/><Relationship Id="rId2629" Type="http://schemas.openxmlformats.org/officeDocument/2006/relationships/hyperlink" Target="https://www.defense.gov/News/Releases/Release/Article/2988565/readout-of-secretary-of-defense-lloyd-j-austin-iiis-call-with-ukraines-minister/" TargetMode="External"/><Relationship Id="rId2836" Type="http://schemas.openxmlformats.org/officeDocument/2006/relationships/hyperlink" Target="https://appropriations.house.gov/sites/democrats.appropriations.house.gov/files/Ukraine%20Supplemental%20Summary.pdf" TargetMode="External"/><Relationship Id="rId77" Type="http://schemas.openxmlformats.org/officeDocument/2006/relationships/hyperlink" Target="https://www.vlada.cz/cz/media-centrum/aktualne/vlada-schvalila-dalsi-dar-v-podobe-vojenskeho-materialu-ukrajine-194585/" TargetMode="External"/><Relationship Id="rId503" Type="http://schemas.openxmlformats.org/officeDocument/2006/relationships/hyperlink" Target="https://www.sulinformacao.pt/en/2022/03/ucrania-portugal-envia-medicamentos-material-medico-e-equipamento-de-emergencia-humanitaria/" TargetMode="External"/><Relationship Id="rId710" Type="http://schemas.openxmlformats.org/officeDocument/2006/relationships/hyperlink" Target="https://twitter.com/DmytroKuleba/status/1552292097566380033?ref_src=twsrc%5Etfw" TargetMode="External"/><Relationship Id="rId808" Type="http://schemas.openxmlformats.org/officeDocument/2006/relationships/hyperlink" Target="https://www.defense.gov/News/Releases/Release/Article/3134457/775-million-in-additional-security-assistance-for-ukraine/" TargetMode="External"/><Relationship Id="rId1340" Type="http://schemas.openxmlformats.org/officeDocument/2006/relationships/hyperlink" Target="https://twitter.com/a_anusauskas/status/1594701256463110144" TargetMode="External"/><Relationship Id="rId1438" Type="http://schemas.openxmlformats.org/officeDocument/2006/relationships/hyperlink" Target="https://www.defence.govt.nz/what-we-do/diplomacy-and-deployments/deployment-map/support-to-ukraine/" TargetMode="External"/><Relationship Id="rId1645" Type="http://schemas.openxmlformats.org/officeDocument/2006/relationships/hyperlink" Target="https://www.dw.com/en/germany-netherlands-promise-additional-howitzers-to-ukraine/a-62294789" TargetMode="External"/><Relationship Id="rId1200" Type="http://schemas.openxmlformats.org/officeDocument/2006/relationships/hyperlink" Target="https://www.defensa.gob.es/gabinete/notasPrensa/2022/11/DGC-221110-sesion-ucrania.html" TargetMode="External"/><Relationship Id="rId1852" Type="http://schemas.openxmlformats.org/officeDocument/2006/relationships/hyperlink" Target="https://appropriations.house.gov/sites/democrats.appropriations.house.gov/files/Ukraine%20Supplemental%20Summary.pdf" TargetMode="External"/><Relationship Id="rId2903" Type="http://schemas.openxmlformats.org/officeDocument/2006/relationships/hyperlink" Target="https://appropriations.house.gov/sites/democrats.appropriations.house.gov/files/Ukraine%20Supplemental%20Summary%20FY23.pdf" TargetMode="External"/><Relationship Id="rId1505" Type="http://schemas.openxmlformats.org/officeDocument/2006/relationships/hyperlink" Target="https://twitter.com/visegrad24/status/1504145180647170060?cxt=HHwWmIC58dGE5t8pAAAA" TargetMode="External"/><Relationship Id="rId1712" Type="http://schemas.openxmlformats.org/officeDocument/2006/relationships/hyperlink" Target="https://ua.ambafrance.org/Dostavka-1000-t-francuz-koyi-gumaniitarnoyi-dopomogi-ukrayins-kim-adresatam-v" TargetMode="External"/><Relationship Id="rId293" Type="http://schemas.openxmlformats.org/officeDocument/2006/relationships/hyperlink" Target="https://pm.gc.ca/en/news/news-releases/2022/05/08/prime-minister-visits-kyiv-ukraine" TargetMode="External"/><Relationship Id="rId2181" Type="http://schemas.openxmlformats.org/officeDocument/2006/relationships/hyperlink" Target="https://appropriations.house.gov/sites/democrats.appropriations.house.gov/files/Summary%20Continuing%20Appropriations%20and%20Ukraine%20Supplemental%20Appropriations%20Act%202023.pdf" TargetMode="External"/><Relationship Id="rId153" Type="http://schemas.openxmlformats.org/officeDocument/2006/relationships/hyperlink" Target="https://twitter.com/eduardheger/status/1495764246780645377" TargetMode="External"/><Relationship Id="rId360" Type="http://schemas.openxmlformats.org/officeDocument/2006/relationships/hyperlink" Target="https://twitter.com/MinColonna/status/1531344296191868928" TargetMode="External"/><Relationship Id="rId598" Type="http://schemas.openxmlformats.org/officeDocument/2006/relationships/hyperlink" Target="https://www.reuters.com/world/europe/dutch-others-will-continue-deliver-weapons-ukraine-dutch-minister-2022-03-16/" TargetMode="External"/><Relationship Id="rId2041" Type="http://schemas.openxmlformats.org/officeDocument/2006/relationships/hyperlink" Target="https://crsreports.congress.gov/product/pdf/IF/IF12040" TargetMode="External"/><Relationship Id="rId2279" Type="http://schemas.openxmlformats.org/officeDocument/2006/relationships/hyperlink" Target="https://appropriations.house.gov/sites/democrats.appropriations.house.gov/files/Ukraine%20Supplemental%20Summary%20FY23.pdf" TargetMode="External"/><Relationship Id="rId2486" Type="http://schemas.openxmlformats.org/officeDocument/2006/relationships/hyperlink" Target="https://appropriations.house.gov/sites/democrats.appropriations.house.gov/files/Additional%20Ukraine%20Suplemental%20Appropriations%20Act%20Summary.pdf" TargetMode="External"/><Relationship Id="rId2693" Type="http://schemas.openxmlformats.org/officeDocument/2006/relationships/hyperlink" Target="https://www.defense.gov/News/Releases/Release/Article/2987119/defense-department-announces-300-million-in-additional-assistance-for-ukraine/" TargetMode="External"/><Relationship Id="rId220" Type="http://schemas.openxmlformats.org/officeDocument/2006/relationships/hyperlink" Target="https://twitter.com/PremierRP_en/status/1510971075936542726" TargetMode="External"/><Relationship Id="rId458" Type="http://schemas.openxmlformats.org/officeDocument/2006/relationships/hyperlink" Target="https://www.bundeskanzleramt.gv.at/bundeskanzleramt/nachrichten-der-bundesregierung/2022/06/bundeskanzler-nehammer-wir-helfen-dort-wo-es-uns-als-neutrales-oesterreich-moeglich-ist.html" TargetMode="External"/><Relationship Id="rId665" Type="http://schemas.openxmlformats.org/officeDocument/2006/relationships/hyperlink" Target="https://www.vestnesis.lv/op/2022/118.11" TargetMode="External"/><Relationship Id="rId872" Type="http://schemas.openxmlformats.org/officeDocument/2006/relationships/hyperlink" Target="https://www.euractiv.com/section/politics/short_news/belgium-to-provide-e8-million-for-non-lethal-aid-to-ukraines-armed-forces/" TargetMode="External"/><Relationship Id="rId1088" Type="http://schemas.openxmlformats.org/officeDocument/2006/relationships/hyperlink" Target="https://www.euractiv.com/section/all/short_news/france-announces-increased-military-aid-to-ukraine/" TargetMode="External"/><Relationship Id="rId1295" Type="http://schemas.openxmlformats.org/officeDocument/2006/relationships/hyperlink" Target="https://www.defensa.gob.es/gabinete/notasPrensa/2022/10/DGC-221006-envio-ucrania.html" TargetMode="External"/><Relationship Id="rId2139" Type="http://schemas.openxmlformats.org/officeDocument/2006/relationships/hyperlink" Target="https://crsreports.congress.gov/product/pdf/IF/IF12040" TargetMode="External"/><Relationship Id="rId2346" Type="http://schemas.openxmlformats.org/officeDocument/2006/relationships/hyperlink" Target="https://crsreports.congress.gov/product/pdf/IF/IF12040" TargetMode="External"/><Relationship Id="rId2553" Type="http://schemas.openxmlformats.org/officeDocument/2006/relationships/hyperlink" Target="https://www.19fortyfive.com/2022/04/switchblade-the-drone-giving-ukraine-a-big-edge-against-russia/" TargetMode="External"/><Relationship Id="rId2760" Type="http://schemas.openxmlformats.org/officeDocument/2006/relationships/hyperlink" Target="https://crsreports.congress.gov/product/pdf/IF/IF12040" TargetMode="External"/><Relationship Id="rId318" Type="http://schemas.openxmlformats.org/officeDocument/2006/relationships/hyperlink" Target="https://mil.in.ua/en/news/canada-is-set-to-hand-over-eight-armored-vehicles-to-ukraine/" TargetMode="External"/><Relationship Id="rId525" Type="http://schemas.openxmlformats.org/officeDocument/2006/relationships/hyperlink" Target="https://www.reuters.com/world/europe/sweden-supply-more-military-aid-including-anti-ship-missiles-ukraine-2022-06-02/" TargetMode="External"/><Relationship Id="rId732" Type="http://schemas.openxmlformats.org/officeDocument/2006/relationships/hyperlink" Target="https://thediplomatinspain.com/en/2022/07/spain-announces-250-million-euros-for-agriculture-and-renewables-in-ukraine/" TargetMode="External"/><Relationship Id="rId1155" Type="http://schemas.openxmlformats.org/officeDocument/2006/relationships/hyperlink" Target="https://www.bbc.com/news/uk-61990479" TargetMode="External"/><Relationship Id="rId1362" Type="http://schemas.openxmlformats.org/officeDocument/2006/relationships/hyperlink" Target="https://www.defensie.nl/actueel/nieuws/2022/12/16/waarde-van-militaire-steun-aan-oekraine-nadert-1-miljard" TargetMode="External"/><Relationship Id="rId2206"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13"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20" Type="http://schemas.openxmlformats.org/officeDocument/2006/relationships/hyperlink" Target="https://www.defense.gov/News/Releases/Release/Article/2988565/readout-of-secretary-of-defense-lloyd-j-austin-iiis-call-with-ukraines-minister/" TargetMode="External"/><Relationship Id="rId2858" Type="http://schemas.openxmlformats.org/officeDocument/2006/relationships/hyperlink" Target="https://appropriations.house.gov/sites/democrats.appropriations.house.gov/files/Additional%20Ukraine%20Suplemental%20Appropriations%20Act%20Summary.pdf" TargetMode="External"/><Relationship Id="rId99" Type="http://schemas.openxmlformats.org/officeDocument/2006/relationships/hyperlink" Target="https://www.nbp.pl/homen.aspx?f=/en/aktualnosci/2022/24.02-2.html" TargetMode="External"/><Relationship Id="rId1015" Type="http://schemas.openxmlformats.org/officeDocument/2006/relationships/hyperlink" Target="https://um.dk/en/foreign-policy/danish-support-for-ukraine" TargetMode="External"/><Relationship Id="rId1222" Type="http://schemas.openxmlformats.org/officeDocument/2006/relationships/hyperlink" Target="https://www.republicworld.com/world-news/russia-ukraine-crisis/estonia-confirms-relief-package-to-aid-war-torn-ukraine-articleshow.html" TargetMode="External"/><Relationship Id="rId1667" Type="http://schemas.openxmlformats.org/officeDocument/2006/relationships/hyperlink" Target="https://nextcloud.auf.bundeswehr.de/s/AqqWmDg3m5kxg5o" TargetMode="External"/><Relationship Id="rId1874" Type="http://schemas.openxmlformats.org/officeDocument/2006/relationships/hyperlink" Target="https://appropriations.house.gov/sites/democrats.appropriations.house.gov/files/Additional%20Ukraine%20Suplemental%20Appropriations%20Act%20Summary.pdf" TargetMode="External"/><Relationship Id="rId2718" Type="http://schemas.openxmlformats.org/officeDocument/2006/relationships/hyperlink" Target="https://www.whitehouse.gov/briefing-room/press-briefings/2022/04/04/press-briefing-by-press-secretary-jen-psaki-and-national-security-advisor-jake-sullivan/" TargetMode="External"/><Relationship Id="rId2925" Type="http://schemas.openxmlformats.org/officeDocument/2006/relationships/hyperlink" Target="https://www.eda.admin.ch/content/dam/eda/de/documents/aktuell/news/2022/20221215-ukraine-engagement-schweiz-themen_de.pdf" TargetMode="External"/><Relationship Id="rId1527" Type="http://schemas.openxmlformats.org/officeDocument/2006/relationships/hyperlink" Target="https://www.irishtimes.com/news/ireland/irish-news/irish-government-provides-10-million-in-humanitarian-support-for-ukraine-1.4810982" TargetMode="External"/><Relationship Id="rId1734" Type="http://schemas.openxmlformats.org/officeDocument/2006/relationships/hyperlink" Target="https://appropriations.house.gov/sites/democrats.appropriations.house.gov/files/Ukraine%20Supplemental%20Summary.pdf" TargetMode="External"/><Relationship Id="rId1941" Type="http://schemas.openxmlformats.org/officeDocument/2006/relationships/hyperlink" Target="https://appropriations.house.gov/sites/democrats.appropriations.house.gov/files/Additional%20Ukraine%20Suplemental%20Appropriations%20Act%20Summary.pdf" TargetMode="External"/><Relationship Id="rId26" Type="http://schemas.openxmlformats.org/officeDocument/2006/relationships/hyperlink" Target="https://www.slobodenpecat.mk/en/bugarija-kje-isprati-humanitarna-i-voeno-logistichka-pomosh-na-ukraina/" TargetMode="External"/><Relationship Id="rId175" Type="http://schemas.openxmlformats.org/officeDocument/2006/relationships/hyperlink" Target="https://twitter.com/ua_minfin/status/1514313544795361280?ref_src=twsrc%5Etfw%7Ctwcamp%5Etweetembed%7Ctwterm%5E1514313544795361280%7Ctwgr%5E%7Ctwcon%5Es1_&amp;ref_url=https%3A%2F%2Fwww.republicworld.com%2Fworld-news%2Frussia-ukraine-crisis%2Fcanada-to-provide-ukraine-with-398-dollars-million-concessional-loan-amid-russian-invasion-articleshow.html" TargetMode="External"/><Relationship Id="rId1801" Type="http://schemas.openxmlformats.org/officeDocument/2006/relationships/hyperlink" Target="https://appropriations.house.gov/sites/democrats.appropriations.house.gov/files/Ukraine%20Supplemental%20Summary.pdf" TargetMode="External"/><Relationship Id="rId382" Type="http://schemas.openxmlformats.org/officeDocument/2006/relationships/hyperlink" Target="https://www.ukrinform.net/rubric-polytics/3488816-portugal-will-provide-financial-assistance-to-ukraine.html" TargetMode="External"/><Relationship Id="rId687" Type="http://schemas.openxmlformats.org/officeDocument/2006/relationships/hyperlink" Target="https://www.reuters.com/world/europe/bulgaria-approves-repairs-ukrainian-military-equipment-not-military-aid-2022-05-04/" TargetMode="External"/><Relationship Id="rId2063" Type="http://schemas.openxmlformats.org/officeDocument/2006/relationships/hyperlink" Target="https://crsreports.congress.gov/product/pdf/IF/IF12040" TargetMode="External"/><Relationship Id="rId2270" Type="http://schemas.openxmlformats.org/officeDocument/2006/relationships/hyperlink" Target="https://appropriations.house.gov/sites/democrats.appropriations.house.gov/files/Ukraine%20Supplemental%20Summary%20FY23.pdf" TargetMode="External"/><Relationship Id="rId2368" Type="http://schemas.openxmlformats.org/officeDocument/2006/relationships/hyperlink" Target="https://crsreports.congress.gov/product/pdf/IF/IF12040" TargetMode="External"/><Relationship Id="rId242" Type="http://schemas.openxmlformats.org/officeDocument/2006/relationships/hyperlink" Target="https://www.regjeringen.no/en/topics/foreign-affairs/humanitarian-efforts/neighbour_support/id2908141/" TargetMode="External"/><Relationship Id="rId894" Type="http://schemas.openxmlformats.org/officeDocument/2006/relationships/hyperlink" Target="https://www.euractiv.com/section/politics/short_news/croatia-to-send-weapons-to-ukraine-provide-health-care-to-refugees/" TargetMode="External"/><Relationship Id="rId1177" Type="http://schemas.openxmlformats.org/officeDocument/2006/relationships/hyperlink" Target="https://ua.usembassy.gov/625-million-in-additional-u-s-military-assistance-for-ukraine/" TargetMode="External"/><Relationship Id="rId2130" Type="http://schemas.openxmlformats.org/officeDocument/2006/relationships/hyperlink" Target="https://crsreports.congress.gov/product/pdf/IF/IF12040" TargetMode="External"/><Relationship Id="rId2575" Type="http://schemas.openxmlformats.org/officeDocument/2006/relationships/hyperlink" Target="https://www.whitehouse.gov/briefing-room/press-briefings/2022/04/04/press-briefing-by-press-secretary-jen-psaki-and-national-security-advisor-jake-sullivan/" TargetMode="External"/><Relationship Id="rId2782" Type="http://schemas.openxmlformats.org/officeDocument/2006/relationships/hyperlink" Target="https://crsreports.congress.gov/product/pdf/IF/IF12040" TargetMode="External"/><Relationship Id="rId102" Type="http://schemas.openxmlformats.org/officeDocument/2006/relationships/hyperlink" Target="https://www.euronews.com/next/2022/03/21/ukraine-crisis-poland-cenbank" TargetMode="External"/><Relationship Id="rId547" Type="http://schemas.openxmlformats.org/officeDocument/2006/relationships/hyperlink" Target="https://www.armyrecognition.com/ukraine_-_russia_conflict_war_2022/mamba_mk_2_4x4_armored_vehicles_formerly_from_estonian_army_now_used_by_ukrainian_soldiers.html?jampmain" TargetMode="External"/><Relationship Id="rId754" Type="http://schemas.openxmlformats.org/officeDocument/2006/relationships/hyperlink" Target="https://www.mod.gov.lv/lv/zinas/latvija-ukrainas-armijai-piegadajusi-helikopterus-mi-17-un-mi-2" TargetMode="External"/><Relationship Id="rId961" Type="http://schemas.openxmlformats.org/officeDocument/2006/relationships/hyperlink" Target="https://www.tagesschau.de/inland/bericht-aus-berlin-lambrecht-haubitzen-101.html" TargetMode="External"/><Relationship Id="rId1384" Type="http://schemas.openxmlformats.org/officeDocument/2006/relationships/hyperlink" Target="https://kaitseministeerium.ee/en/news/joint-statement-ministry-defence-republic-estonia-ministry-defence-kingdom-norway-and-ministry" TargetMode="External"/><Relationship Id="rId1591" Type="http://schemas.openxmlformats.org/officeDocument/2006/relationships/hyperlink" Target="https://mof.gov.ua/uk/news/ukraine_will_receive_usd_500_million_from_the_uk_through_the_world_bank_project-3781" TargetMode="External"/><Relationship Id="rId1689" Type="http://schemas.openxmlformats.org/officeDocument/2006/relationships/hyperlink" Target="https://www.euractiv.com/section/all/short_news/france-announces-increased-military-aid-to-ukraine/" TargetMode="External"/><Relationship Id="rId2228"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35" Type="http://schemas.openxmlformats.org/officeDocument/2006/relationships/hyperlink" Target="https://appropriations.house.gov/sites/democrats.appropriations.house.gov/files/Ukraine%20Supplemental%20Summary%20FY23.pdf" TargetMode="External"/><Relationship Id="rId2642" Type="http://schemas.openxmlformats.org/officeDocument/2006/relationships/hyperlink" Target="https://www.defense.gov/News/Releases/Release/Article/2988565/readout-of-secretary-of-defense-lloyd-j-austin-iiis-call-with-ukraines-minister/" TargetMode="External"/><Relationship Id="rId90" Type="http://schemas.openxmlformats.org/officeDocument/2006/relationships/hyperlink" Target="https://czechdaily.cz/the-czech-republic-is-sending-thousands-of-artillery-shells-to-ukraine/" TargetMode="External"/><Relationship Id="rId407" Type="http://schemas.openxmlformats.org/officeDocument/2006/relationships/hyperlink" Target="https://euroweeklynews.com/2022/03/05/spanish-grenade-launchers-sent-to-ukraine/" TargetMode="External"/><Relationship Id="rId614" Type="http://schemas.openxmlformats.org/officeDocument/2006/relationships/hyperlink" Target="https://en.defence-ua.com/industries/czechia_sends_ukraine_mi_24_attack_helicopters-3051.html" TargetMode="External"/><Relationship Id="rId821" Type="http://schemas.openxmlformats.org/officeDocument/2006/relationships/hyperlink" Target="https://www.defense.gov/News/Releases/Release/Article/3152071/675-million-in-additional-security-assistance-for-ukraine/" TargetMode="External"/><Relationship Id="rId1037" Type="http://schemas.openxmlformats.org/officeDocument/2006/relationships/hyperlink" Target="https://yle.fi/novyny/3-12649451" TargetMode="External"/><Relationship Id="rId1244" Type="http://schemas.openxmlformats.org/officeDocument/2006/relationships/hyperlink" Target="https://www.lemonde.fr/en/international/article/2022/10/12/macron-promises-air-defense-systems-for-ukraine-calls-for-putin-to-discuss-peace_6000130_4.html" TargetMode="External"/><Relationship Id="rId1451" Type="http://schemas.openxmlformats.org/officeDocument/2006/relationships/hyperlink" Target="https://www.defense.gov/News/Releases/Release/Article/3227217/400-million-in-additional-assistance-for-ukraine/" TargetMode="External"/><Relationship Id="rId1896" Type="http://schemas.openxmlformats.org/officeDocument/2006/relationships/hyperlink" Target="https://appropriations.house.gov/sites/democrats.appropriations.house.gov/files/Additional%20Ukraine%20Suplemental%20Appropriations%20Act%20Summary.pdf" TargetMode="External"/><Relationship Id="rId2502" Type="http://schemas.openxmlformats.org/officeDocument/2006/relationships/hyperlink" Target="https://crsreports.congress.gov/product/pdf/IF/IF12040" TargetMode="External"/><Relationship Id="rId2947" Type="http://schemas.openxmlformats.org/officeDocument/2006/relationships/hyperlink" Target="https://japan.kantei.go.jp/ongoingtopics/pdf/jp_stands_with_ukraine_eng.pdf" TargetMode="External"/><Relationship Id="rId919" Type="http://schemas.openxmlformats.org/officeDocument/2006/relationships/hyperlink" Target="https://www.euronews.com/2022/09/29/cargo-ship-with-1000-tonnes-of-ukraine-aid-sets-sail-from-marseille" TargetMode="External"/><Relationship Id="rId1104" Type="http://schemas.openxmlformats.org/officeDocument/2006/relationships/hyperlink" Target="https://www.reuters.com/world/europe/italy-open-supplying-air-defence-systems-ukraine-official-2022-11-08/" TargetMode="External"/><Relationship Id="rId1311" Type="http://schemas.openxmlformats.org/officeDocument/2006/relationships/hyperlink" Target="https://www.gov.uk/government/news/uk-to-send-scores-of-artillery-guns-and-hundreds-of-drones-to-ukraine" TargetMode="External"/><Relationship Id="rId1549" Type="http://schemas.openxmlformats.org/officeDocument/2006/relationships/hyperlink" Target="https://www.bundesregierung.de/breg-en/news/military-support-ukraine-2054992" TargetMode="External"/><Relationship Id="rId1756" Type="http://schemas.openxmlformats.org/officeDocument/2006/relationships/hyperlink" Target="https://appropriations.house.gov/sites/democrats.appropriations.house.gov/files/Ukraine%20Supplemental%20Summary.pdf" TargetMode="External"/><Relationship Id="rId1963" Type="http://schemas.openxmlformats.org/officeDocument/2006/relationships/hyperlink" Target="https://appropriations.house.gov/sites/democrats.appropriations.house.gov/files/Additional%20Ukraine%20Suplemental%20Appropriations%20Act%20Summary.pdf" TargetMode="External"/><Relationship Id="rId2807" Type="http://schemas.openxmlformats.org/officeDocument/2006/relationships/hyperlink" Target="https://appropriations.house.gov/sites/democrats.appropriations.house.gov/files/Ukraine%20Supplemental%20Summary.pdf" TargetMode="External"/><Relationship Id="rId48" Type="http://schemas.openxmlformats.org/officeDocument/2006/relationships/hyperlink" Target="https://www.globalcitizen.org/en/content/stand-up-for-ukraine-impact-report/" TargetMode="External"/><Relationship Id="rId1409" Type="http://schemas.openxmlformats.org/officeDocument/2006/relationships/hyperlink" Target="https://en.interfax.com.ua/news/general/884303.html" TargetMode="External"/><Relationship Id="rId1616" Type="http://schemas.openxmlformats.org/officeDocument/2006/relationships/hyperlink" Target="https://twitter.com/a_anusauskas/status/1574471610807062542?cxt=HHwWnMC88dHl0tkrAAAA" TargetMode="External"/><Relationship Id="rId1823" Type="http://schemas.openxmlformats.org/officeDocument/2006/relationships/hyperlink" Target="https://appropriations.house.gov/sites/democrats.appropriations.house.gov/files/Ukraine%20Supplemental%20Summary.pdf" TargetMode="External"/><Relationship Id="rId197" Type="http://schemas.openxmlformats.org/officeDocument/2006/relationships/hyperlink" Target="https://www.txtreport.com/news/2022-04-21-lithuania-has-provided-ukraine-with-large-mortars.Sk8DYtC45.html" TargetMode="External"/><Relationship Id="rId2085" Type="http://schemas.openxmlformats.org/officeDocument/2006/relationships/hyperlink" Target="https://crsreports.congress.gov/product/pdf/IF/IF12040" TargetMode="External"/><Relationship Id="rId2292" Type="http://schemas.openxmlformats.org/officeDocument/2006/relationships/hyperlink" Target="https://appropriations.house.gov/sites/democrats.appropriations.house.gov/files/Ukraine%20Supplemental%20Summary%20FY23.pdf" TargetMode="External"/><Relationship Id="rId264" Type="http://schemas.openxmlformats.org/officeDocument/2006/relationships/hyperlink" Target="https://www.regjeringen.no/en/topics/foreign-affairs/humanitarian-efforts/neighbour_support/id2908141/" TargetMode="External"/><Relationship Id="rId471" Type="http://schemas.openxmlformats.org/officeDocument/2006/relationships/hyperlink" Target="https://admin.globalcitizen.org/en/content/australia-aid-ukraine/?edit" TargetMode="External"/><Relationship Id="rId2152" Type="http://schemas.openxmlformats.org/officeDocument/2006/relationships/hyperlink" Target="https://crsreports.congress.gov/product/pdf/IF/IF12040" TargetMode="External"/><Relationship Id="rId2597" Type="http://schemas.openxmlformats.org/officeDocument/2006/relationships/hyperlink" Target="https://www.whitehouse.gov/briefing-room/press-briefings/2022/04/04/press-briefing-by-press-secretary-jen-psaki-and-national-security-advisor-jake-sullivan/" TargetMode="External"/><Relationship Id="rId124" Type="http://schemas.openxmlformats.org/officeDocument/2006/relationships/hyperlink" Target="https://twitter.com/AnnLinde/status/1498002914362728455?ref_src=twsrc%5Etfw%7Ctwcamp%5Etweetembed%7Ctwterm%5E1498002914362728455%7Ctwgr%5E%7Ctwcon%5Es1_&amp;ref_url=https%3A%2F%2Fwww.republicworld.com%2Fworld-news%2Frussia-ukraine-crisis%2Frussia-ukraine-war-sweden-ignores-putins-threat-announces-military-aid-to-kyiv-articleshow.html" TargetMode="External"/><Relationship Id="rId569" Type="http://schemas.openxmlformats.org/officeDocument/2006/relationships/hyperlink" Target="https://intermin.fi/en/ukraine/civilian-assistance-to-ukraine" TargetMode="External"/><Relationship Id="rId776" Type="http://schemas.openxmlformats.org/officeDocument/2006/relationships/hyperlink" Target="https://www.regjeringen.no/en/aktuelt/donerer-hellfire-missiler-og-nattoptikk-til-ukraina/id2926713/" TargetMode="External"/><Relationship Id="rId983" Type="http://schemas.openxmlformats.org/officeDocument/2006/relationships/hyperlink" Target="https://www.pm.gov.au/media/visit-kyiv-and-further-australian-support-ukraine" TargetMode="External"/><Relationship Id="rId1199" Type="http://schemas.openxmlformats.org/officeDocument/2006/relationships/hyperlink" Target="https://www.defensa.gob.es/gabinete/notasPrensa/2022/11/DGC-221110-sesion-ucrania.html" TargetMode="External"/><Relationship Id="rId2457" Type="http://schemas.openxmlformats.org/officeDocument/2006/relationships/hyperlink" Target="https://crsreports.congress.gov/product/pdf/IF/IF12040" TargetMode="External"/><Relationship Id="rId2664" Type="http://schemas.openxmlformats.org/officeDocument/2006/relationships/hyperlink" Target="https://www.defense.gov/News/Releases/Release/Article/2987119/defense-department-announces-300-million-in-additional-assistance-for-ukraine/" TargetMode="External"/><Relationship Id="rId331" Type="http://schemas.openxmlformats.org/officeDocument/2006/relationships/hyperlink" Target="https://eng.lsm.lv/article/society/defense/latvia-training-ukrainian-drone-pilots.a452320/" TargetMode="External"/><Relationship Id="rId429" Type="http://schemas.openxmlformats.org/officeDocument/2006/relationships/hyperlink" Target="https://www.eib.org/en/press/news/joint-statement-of-heads-of-international-financial-institutions-with-programs-in-ukraine-and-neighboring-countries" TargetMode="External"/><Relationship Id="rId636" Type="http://schemas.openxmlformats.org/officeDocument/2006/relationships/hyperlink" Target="https://kyivindependent.com/uncategorized/poland-has-provided-ukraine-with-weapons-worth-1-6-billion/" TargetMode="External"/><Relationship Id="rId1059" Type="http://schemas.openxmlformats.org/officeDocument/2006/relationships/hyperlink" Target="https://www.admin.ch/gov/en/start/documentation/media-releases.msg-id-91098.html" TargetMode="External"/><Relationship Id="rId1266" Type="http://schemas.openxmlformats.org/officeDocument/2006/relationships/hyperlink" Target="https://www.defmin.fi/ajankohtaista/tiedotteet_ja_uutiset/suomi_toimittaa_lisaa_puolustustarvikeapua_ukrainaan.13184.news" TargetMode="External"/><Relationship Id="rId1473" Type="http://schemas.openxmlformats.org/officeDocument/2006/relationships/hyperlink" Target="https://gagadget.com/en/149656-poland-transferred-40-bmp-1-combat-vehicles-to-ukraine/" TargetMode="External"/><Relationship Id="rId2012" Type="http://schemas.openxmlformats.org/officeDocument/2006/relationships/hyperlink" Target="https://appropriations.house.gov/sites/democrats.appropriations.house.gov/files/Additional%20Ukraine%20Suplemental%20Appropriations%20Act%20Summary.pdf" TargetMode="External"/><Relationship Id="rId2317" Type="http://schemas.openxmlformats.org/officeDocument/2006/relationships/hyperlink" Target="https://crsreports.congress.gov/product/pdf/IF/IF12040" TargetMode="External"/><Relationship Id="rId2871" Type="http://schemas.openxmlformats.org/officeDocument/2006/relationships/hyperlink" Target="https://appropriations.house.gov/sites/democrats.appropriations.house.gov/files/Additional%20Ukraine%20Suplemental%20Appropriations%20Act%20Summary.pdf" TargetMode="External"/><Relationship Id="rId843" Type="http://schemas.openxmlformats.org/officeDocument/2006/relationships/hyperlink" Target="https://www.defense.gov/News/Releases/Release/Article/3138105/nearly-3-billion-in-additional-security-assistance-for-ukraine/" TargetMode="External"/><Relationship Id="rId1126" Type="http://schemas.openxmlformats.org/officeDocument/2006/relationships/hyperlink" Target="https://twitter.com/a_anusauskas/status/1592084804501401604" TargetMode="External"/><Relationship Id="rId1680" Type="http://schemas.openxmlformats.org/officeDocument/2006/relationships/hyperlink" Target="https://www.gov.si/en/news/2022-12-30-minister-fajon-hands-over-two-ambulances-for-ukraine/" TargetMode="External"/><Relationship Id="rId1778" Type="http://schemas.openxmlformats.org/officeDocument/2006/relationships/hyperlink" Target="https://appropriations.house.gov/sites/democrats.appropriations.house.gov/files/Ukraine%20Supplemental%20Summary.pdf" TargetMode="External"/><Relationship Id="rId1901" Type="http://schemas.openxmlformats.org/officeDocument/2006/relationships/hyperlink" Target="https://appropriations.house.gov/sites/democrats.appropriations.house.gov/files/Additional%20Ukraine%20Suplemental%20Appropriations%20Act%20Summary.pdf" TargetMode="External"/><Relationship Id="rId1985" Type="http://schemas.openxmlformats.org/officeDocument/2006/relationships/hyperlink" Target="https://appropriations.house.gov/sites/democrats.appropriations.house.gov/files/Additional%20Ukraine%20Suplemental%20Appropriations%20Act%20Summary.pdf" TargetMode="External"/><Relationship Id="rId2524" Type="http://schemas.openxmlformats.org/officeDocument/2006/relationships/hyperlink" Target="https://www.19fortyfive.com/2022/04/switchblade-the-drone-giving-ukraine-a-big-edge-against-russia/" TargetMode="External"/><Relationship Id="rId2731" Type="http://schemas.openxmlformats.org/officeDocument/2006/relationships/hyperlink" Target="https://www.whitehouse.gov/briefing-room/press-briefings/2022/04/04/press-briefing-by-press-secretary-jen-psaki-and-national-security-advisor-jake-sullivan/" TargetMode="External"/><Relationship Id="rId2829" Type="http://schemas.openxmlformats.org/officeDocument/2006/relationships/hyperlink" Target="https://appropriations.house.gov/sites/democrats.appropriations.house.gov/files/Ukraine%20Supplemental%20Summary.pdf" TargetMode="External"/><Relationship Id="rId275" Type="http://schemas.openxmlformats.org/officeDocument/2006/relationships/hyperlink" Target="https://www.rnz.co.nz/news/world/462443/new-zealand-pledges-2m-for-ukraine-aid" TargetMode="External"/><Relationship Id="rId482" Type="http://schemas.openxmlformats.org/officeDocument/2006/relationships/hyperlink" Target="https://www.globalcitizen.org/en/content/australia-ukraine-aid-follow-up/" TargetMode="External"/><Relationship Id="rId703" Type="http://schemas.openxmlformats.org/officeDocument/2006/relationships/hyperlink" Target="https://www.gov.uk/government/news/uk-to-send-scores-of-artillery-guns-and-hundreds-of-drones-to-ukraine" TargetMode="External"/><Relationship Id="rId910" Type="http://schemas.openxmlformats.org/officeDocument/2006/relationships/hyperlink" Target="https://www.diplomatie.gouv.fr/en/country-files/ukraine/news/article/ukraine-catherine-colonna-to-attend-the-launch-of-solidarity-operation-un" TargetMode="External"/><Relationship Id="rId1333" Type="http://schemas.openxmlformats.org/officeDocument/2006/relationships/hyperlink" Target="https://rus.delfi.lv/news/daily/latvia/latviya-vydelit-550-tysyach-evro-na-pokupku-generatorov-dlya-ukrainskih-mass-media.d?id=55050546" TargetMode="External"/><Relationship Id="rId1540" Type="http://schemas.openxmlformats.org/officeDocument/2006/relationships/hyperlink" Target="https://www.tagesschau.de/inland/bericht-aus-berlin-lambrecht-haubitzen-101.html" TargetMode="External"/><Relationship Id="rId1638" Type="http://schemas.openxmlformats.org/officeDocument/2006/relationships/hyperlink" Target="https://www.luxtimes.lu/en/luxembourg/luxembourg-bought-soviet-era-weapons-for-ukraine-62cfbed9de135b9236a64dd4" TargetMode="External"/><Relationship Id="rId2163" Type="http://schemas.openxmlformats.org/officeDocument/2006/relationships/hyperlink" Target="https://appropriations.house.gov/sites/democrats.appropriations.house.gov/files/Additional%20Ukraine%20Suplemental%20Appropriations%20Act%20Summary.pdf" TargetMode="External"/><Relationship Id="rId2370" Type="http://schemas.openxmlformats.org/officeDocument/2006/relationships/hyperlink" Target="https://crsreports.congress.gov/product/pdf/IF/IF12040" TargetMode="External"/><Relationship Id="rId135" Type="http://schemas.openxmlformats.org/officeDocument/2006/relationships/hyperlink" Target="https://www.lamoncloa.gob.es/lang/en/gobierno/news/Paginas/2022/20220227_aid-to-ukraine.aspx" TargetMode="External"/><Relationship Id="rId342" Type="http://schemas.openxmlformats.org/officeDocument/2006/relationships/hyperlink" Target="https://twitter.com/Defensagob/status/1512424894881017857" TargetMode="External"/><Relationship Id="rId787" Type="http://schemas.openxmlformats.org/officeDocument/2006/relationships/hyperlink" Target="https://www.brusselstimes.com/290771/belgium-to-give-e12-million-in-military-aid-to-ukraine" TargetMode="External"/><Relationship Id="rId994" Type="http://schemas.openxmlformats.org/officeDocument/2006/relationships/hyperlink" Target="https://www.forbes.com/sites/sebastienroblin/2022/10/28/czech-super-t-72m4-tanks-seen-headed-towards-ukraine/?sh=679ee5423ce7" TargetMode="External"/><Relationship Id="rId1400" Type="http://schemas.openxmlformats.org/officeDocument/2006/relationships/hyperlink" Target="https://www.defense.gouv.fr/sites/default/files/ministere-armees/13.01.23%20Entretien%20de%20S%C3%A9bastien%20Lecornu%2C%20ministre%20des%20Arm%C3%A9es%2C%20avec%20Oleksii%20Reznikov.pdf" TargetMode="External"/><Relationship Id="rId1845" Type="http://schemas.openxmlformats.org/officeDocument/2006/relationships/hyperlink" Target="https://appropriations.house.gov/sites/democrats.appropriations.house.gov/files/Ukraine%20Supplemental%20Summary.pdf" TargetMode="External"/><Relationship Id="rId2023" Type="http://schemas.openxmlformats.org/officeDocument/2006/relationships/hyperlink" Target="https://crsreports.congress.gov/product/pdf/IF/IF12040" TargetMode="External"/><Relationship Id="rId2230"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68" Type="http://schemas.openxmlformats.org/officeDocument/2006/relationships/hyperlink" Target="https://appropriations.house.gov/sites/democrats.appropriations.house.gov/files/Ukraine%20Supplemental%20Summary.pdf" TargetMode="External"/><Relationship Id="rId2675" Type="http://schemas.openxmlformats.org/officeDocument/2006/relationships/hyperlink" Target="https://www.defense.gov/News/Releases/Release/Article/2987119/defense-department-announces-300-million-in-additional-assistance-for-ukraine/" TargetMode="External"/><Relationship Id="rId2882" Type="http://schemas.openxmlformats.org/officeDocument/2006/relationships/hyperlink" Target="https://appropriations.house.gov/sites/democrats.appropriations.house.gov/files/Additional%20Ukraine%20Suplemental%20Appropriations%20Act%20Summary.pdf" TargetMode="External"/><Relationship Id="rId202" Type="http://schemas.openxmlformats.org/officeDocument/2006/relationships/hyperlink" Target="https://www.bmi.gv.at/news.aspx?id=69543149763057644C4C633D" TargetMode="External"/><Relationship Id="rId647" Type="http://schemas.openxmlformats.org/officeDocument/2006/relationships/hyperlink" Target="https://twitter.com/eduardheger/status/1512386024399376389" TargetMode="External"/><Relationship Id="rId854" Type="http://schemas.openxmlformats.org/officeDocument/2006/relationships/hyperlink" Target="https://www.defense.gov/News/Releases/Release/Article/3173378/11-billion-in-additional-security-assistance-for-ukraine/" TargetMode="External"/><Relationship Id="rId1277" Type="http://schemas.openxmlformats.org/officeDocument/2006/relationships/hyperlink" Target="https://reliefweb.int/report/ukraine/norway-increase-support-humanitarian-efforts-and-government-administration-ukraine" TargetMode="External"/><Relationship Id="rId1484" Type="http://schemas.openxmlformats.org/officeDocument/2006/relationships/hyperlink" Target="https://www.defense.gov/News/Releases/Release/Article/3252782/185-billion-in-additional-security-assistance-for-ukraine/" TargetMode="External"/><Relationship Id="rId1691" Type="http://schemas.openxmlformats.org/officeDocument/2006/relationships/hyperlink" Target="https://www.reuters.com/world/europe/russia-pounds-ukraine-civil-infrastructure-powers-meet-provide-aid-2022-12-13/" TargetMode="External"/><Relationship Id="rId1705" Type="http://schemas.openxmlformats.org/officeDocument/2006/relationships/hyperlink" Target="https://ua.ambafrance.org/Dostavka-1000-t-francuz-koyi-gumaniitarnoyi-dopomogi-ukrayins-kim-adresatam-v" TargetMode="External"/><Relationship Id="rId1912" Type="http://schemas.openxmlformats.org/officeDocument/2006/relationships/hyperlink" Target="https://appropriations.house.gov/sites/democrats.appropriations.house.gov/files/Additional%20Ukraine%20Suplemental%20Appropriations%20Act%20Summary.pdf" TargetMode="External"/><Relationship Id="rId2328" Type="http://schemas.openxmlformats.org/officeDocument/2006/relationships/hyperlink" Target="https://crsreports.congress.gov/product/pdf/IF/IF12040" TargetMode="External"/><Relationship Id="rId2535" Type="http://schemas.openxmlformats.org/officeDocument/2006/relationships/hyperlink" Target="https://www.19fortyfive.com/2022/04/switchblade-the-drone-giving-ukraine-a-big-edge-against-russia/" TargetMode="External"/><Relationship Id="rId2742" Type="http://schemas.openxmlformats.org/officeDocument/2006/relationships/hyperlink" Target="https://www.whitehouse.gov/briefing-room/press-briefings/2022/04/04/press-briefing-by-press-secretary-jen-psaki-and-national-security-advisor-jake-sullivan/" TargetMode="External"/><Relationship Id="rId286" Type="http://schemas.openxmlformats.org/officeDocument/2006/relationships/hyperlink" Target="https://english.alarabiya.net/News/world/2022/04/11/Zelenskyy-believes-tens-of-thousands-killed-in-Ukraine-s-Mariupol" TargetMode="External"/><Relationship Id="rId493" Type="http://schemas.openxmlformats.org/officeDocument/2006/relationships/hyperlink" Target="https://en.yna.co.kr/view/AEN20220526005300325" TargetMode="External"/><Relationship Id="rId507" Type="http://schemas.openxmlformats.org/officeDocument/2006/relationships/hyperlink" Target="https://english.radio.cz/czech-republic-sends-further-humanitarian-aid-ukraine-8752601" TargetMode="External"/><Relationship Id="rId714" Type="http://schemas.openxmlformats.org/officeDocument/2006/relationships/hyperlink" Target="https://twitter.com/oleksiireznikov/status/1553647959501414401?s=20&amp;t=sxJyy3lEqeaMPa3O1ayEDw" TargetMode="External"/><Relationship Id="rId921" Type="http://schemas.openxmlformats.org/officeDocument/2006/relationships/hyperlink" Target="https://www.connexionfrance.com/article/French-news/Humanitarian-ship-for-Ukraine-leaves-French-port-with-8m-of-aid" TargetMode="External"/><Relationship Id="rId1137" Type="http://schemas.openxmlformats.org/officeDocument/2006/relationships/hyperlink" Target="https://twitter.com/oleksiireznikov/status/1589571269363904512?cxt=HHwWgMDR-bippY8sAAAA" TargetMode="External"/><Relationship Id="rId1344" Type="http://schemas.openxmlformats.org/officeDocument/2006/relationships/hyperlink" Target="https://twitter.com/a_anusauskas/status/1601586263811031040" TargetMode="External"/><Relationship Id="rId1551" Type="http://schemas.openxmlformats.org/officeDocument/2006/relationships/hyperlink" Target="https://www.bundesregierung.de/resource/blob/975226/2155792/c3dbab706421f63d3d612091e7ecad4c/2022-12-27-unterstuetzung-ukraine-breg-data.pdf?download=1%20Guten" TargetMode="External"/><Relationship Id="rId1789" Type="http://schemas.openxmlformats.org/officeDocument/2006/relationships/hyperlink" Target="https://appropriations.house.gov/sites/democrats.appropriations.house.gov/files/Ukraine%20Supplemental%20Summary.pdf" TargetMode="External"/><Relationship Id="rId1996" Type="http://schemas.openxmlformats.org/officeDocument/2006/relationships/hyperlink" Target="https://appropriations.house.gov/sites/democrats.appropriations.house.gov/files/Additional%20Ukraine%20Suplemental%20Appropriations%20Act%20Summary.pdf" TargetMode="External"/><Relationship Id="rId2174" Type="http://schemas.openxmlformats.org/officeDocument/2006/relationships/hyperlink" Target="https://crsreports.congress.gov/product/pdf/IF/IF12040" TargetMode="External"/><Relationship Id="rId2381" Type="http://schemas.openxmlformats.org/officeDocument/2006/relationships/hyperlink" Target="https://appropriations.house.gov/sites/democrats.appropriations.house.gov/files/Ukraine%20Supplemental%20Summary%20FY23.pdf" TargetMode="External"/><Relationship Id="rId2602" Type="http://schemas.openxmlformats.org/officeDocument/2006/relationships/hyperlink" Target="https://www.whitehouse.gov/briefing-room/press-briefings/2022/04/04/press-briefing-by-press-secretary-jen-psaki-and-national-security-advisor-jake-sullivan/" TargetMode="External"/><Relationship Id="rId50" Type="http://schemas.openxmlformats.org/officeDocument/2006/relationships/hyperlink" Target="https://bmi.gv.at/news.aspx?id=44786F67485A5049462F493D" TargetMode="External"/><Relationship Id="rId146" Type="http://schemas.openxmlformats.org/officeDocument/2006/relationships/hyperlink" Target="https://gov.ro/en/news/medical-equipment-and-medicines-donated-by-romania-in-support-of-ukraine&amp;page=13" TargetMode="External"/><Relationship Id="rId353" Type="http://schemas.openxmlformats.org/officeDocument/2006/relationships/hyperlink" Target="https://news.defence.gov.au/international/working-together-ukraine" TargetMode="External"/><Relationship Id="rId560" Type="http://schemas.openxmlformats.org/officeDocument/2006/relationships/hyperlink" Target="https://www.irishmirror.ie/news/irish-news/politics/goal-opens-new-support-offices-27021322" TargetMode="External"/><Relationship Id="rId798" Type="http://schemas.openxmlformats.org/officeDocument/2006/relationships/hyperlink" Target="https://www.defense.gov/News/Releases/Release/Article/3134457/775-million-in-additional-security-assistance-for-ukraine/" TargetMode="External"/><Relationship Id="rId1190" Type="http://schemas.openxmlformats.org/officeDocument/2006/relationships/hyperlink" Target="https://www.dw.com/en/ukraine-updates-zelenskyy-hints-he-is-open-to-talks-with-russia/a-63679013" TargetMode="External"/><Relationship Id="rId1204" Type="http://schemas.openxmlformats.org/officeDocument/2006/relationships/hyperlink" Target="https://www.wfp.org/news/japan-provides-us28-million-humanitarian-food-assistance-ukraine" TargetMode="External"/><Relationship Id="rId1411" Type="http://schemas.openxmlformats.org/officeDocument/2006/relationships/hyperlink" Target="https://www.assemblee-nationale.fr/dyn/16/comptes-rendus/cion_def/l16cion_def2223020_compte-rendu" TargetMode="External"/><Relationship Id="rId1649" Type="http://schemas.openxmlformats.org/officeDocument/2006/relationships/hyperlink" Target="https://www.canada.ca/en/department-national-defence/campaigns/canadian-military-support-to-ukraine.html" TargetMode="External"/><Relationship Id="rId1856" Type="http://schemas.openxmlformats.org/officeDocument/2006/relationships/hyperlink" Target="https://appropriations.house.gov/sites/democrats.appropriations.house.gov/files/Ukraine%20Supplemental%20Summary.pdf" TargetMode="External"/><Relationship Id="rId2034" Type="http://schemas.openxmlformats.org/officeDocument/2006/relationships/hyperlink" Target="https://crsreports.congress.gov/product/pdf/IF/IF12040" TargetMode="External"/><Relationship Id="rId2241"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79" Type="http://schemas.openxmlformats.org/officeDocument/2006/relationships/hyperlink" Target="https://appropriations.house.gov/sites/democrats.appropriations.house.gov/files/Additional%20Ukraine%20Suplemental%20Appropriations%20Act%20Summary.pdf" TargetMode="External"/><Relationship Id="rId2686" Type="http://schemas.openxmlformats.org/officeDocument/2006/relationships/hyperlink" Target="https://www.defense.gov/News/Releases/Release/Article/2987119/defense-department-announces-300-million-in-additional-assistance-for-ukraine/" TargetMode="External"/><Relationship Id="rId2893" Type="http://schemas.openxmlformats.org/officeDocument/2006/relationships/hyperlink" Target="https://appropriations.house.gov/sites/democrats.appropriations.house.gov/files/Additional%20Ukraine%20Suplemental%20Appropriations%20Act%20Summary.pdf" TargetMode="External"/><Relationship Id="rId2907" Type="http://schemas.openxmlformats.org/officeDocument/2006/relationships/hyperlink" Target="https://crsreports.congress.gov/product/pdf/IF/IF12040" TargetMode="External"/><Relationship Id="rId213" Type="http://schemas.openxmlformats.org/officeDocument/2006/relationships/hyperlink" Target="https://www.aa.com.tr/en/europe/france-to-offer-300m-worth-of-aid-military-equipment-to-ukraine/2515343" TargetMode="External"/><Relationship Id="rId420" Type="http://schemas.openxmlformats.org/officeDocument/2006/relationships/hyperlink" Target="https://www.globalcitizen.org/en/content/stand-up-for-ukraine-impact-report/" TargetMode="External"/><Relationship Id="rId658" Type="http://schemas.openxmlformats.org/officeDocument/2006/relationships/hyperlink" Target="https://focustaiwan.tw/politics/202206030014" TargetMode="External"/><Relationship Id="rId865" Type="http://schemas.openxmlformats.org/officeDocument/2006/relationships/hyperlink" Target="https://www.dfat.gov.au/crisis-hub/invasion-ukraine-russia" TargetMode="External"/><Relationship Id="rId1050" Type="http://schemas.openxmlformats.org/officeDocument/2006/relationships/hyperlink" Target="https://mil.in.ua/en/news/the-ministry-of-defense-of-japan-will-hand-over-vans-and-drones-to-ukraine/" TargetMode="External"/><Relationship Id="rId1288" Type="http://schemas.openxmlformats.org/officeDocument/2006/relationships/hyperlink" Target="https://www.regjeringen.no/en/aktuelt/norway-to-increase-support-to-ukraine-and-provide-military-equipment/id2902406/" TargetMode="External"/><Relationship Id="rId1495" Type="http://schemas.openxmlformats.org/officeDocument/2006/relationships/hyperlink" Target="https://twitter.com/IndiainUkraine/status/1569230165460537344?ref_src=twsrc%5Etfw%7Ctwcamp%5Etweetembed%7Ctwterm%5E1569230165460537344%7Ctwgr%5E0194295d916b4923f831841754378e309799059f%7Ctwcon%5Es1_&amp;ref_url=https%3A%2F%2Fwww.livemint.com%2Fnews%2Fworld%2Findia-sends-7-725-kilograms-of-humanitarian-aid-to-ukraine-amid-war-read-here-11662994122487.html" TargetMode="External"/><Relationship Id="rId1509" Type="http://schemas.openxmlformats.org/officeDocument/2006/relationships/hyperlink" Target="https://tass.com/world/1439267?utm_source=google.com&amp;utm_medium=organic&amp;utm_campaign=google.com&amp;utm_referrer=google.com" TargetMode="External"/><Relationship Id="rId1716" Type="http://schemas.openxmlformats.org/officeDocument/2006/relationships/hyperlink" Target="https://www.auswaertiges-amt.de/de/aussenpolitik/laender/ukraine-node/baerbock-in-charkiw/2572792" TargetMode="External"/><Relationship Id="rId1923" Type="http://schemas.openxmlformats.org/officeDocument/2006/relationships/hyperlink" Target="https://appropriations.house.gov/sites/democrats.appropriations.house.gov/files/Additional%20Ukraine%20Suplemental%20Appropriations%20Act%20Summary.pdf" TargetMode="External"/><Relationship Id="rId2101" Type="http://schemas.openxmlformats.org/officeDocument/2006/relationships/hyperlink" Target="https://crsreports.congress.gov/product/pdf/IF/IF12040" TargetMode="External"/><Relationship Id="rId2339" Type="http://schemas.openxmlformats.org/officeDocument/2006/relationships/hyperlink" Target="https://crsreports.congress.gov/product/pdf/IF/IF12040" TargetMode="External"/><Relationship Id="rId2546" Type="http://schemas.openxmlformats.org/officeDocument/2006/relationships/hyperlink" Target="https://www.19fortyfive.com/2022/04/switchblade-the-drone-giving-ukraine-a-big-edge-against-russia/" TargetMode="External"/><Relationship Id="rId2753" Type="http://schemas.openxmlformats.org/officeDocument/2006/relationships/hyperlink" Target="https://www.whitehouse.gov/briefing-room/press-briefings/2022/04/04/press-briefing-by-press-secretary-jen-psaki-and-national-security-advisor-jake-sullivan/" TargetMode="External"/><Relationship Id="rId297" Type="http://schemas.openxmlformats.org/officeDocument/2006/relationships/hyperlink" Target="https://www.usaid.gov/news-information/press-releases/mar-10-2022-united-states-announces-additional-humanitarian-assistance?msclkid=fc0f8e8dae8611ecaad8dc70eab615cc" TargetMode="External"/><Relationship Id="rId518" Type="http://schemas.openxmlformats.org/officeDocument/2006/relationships/hyperlink" Target="https://www.faz.net/aktuell/politik/waffen-fuer-die-ukraine-norwegen-liefert-haubitzen-18089553.html" TargetMode="External"/><Relationship Id="rId725" Type="http://schemas.openxmlformats.org/officeDocument/2006/relationships/hyperlink" Target="https://www.dw.com/uk/ukraina-rozrakhovuie-otrymaty-protyminni-korabli-vid-velykobrytanii/a-62669465" TargetMode="External"/><Relationship Id="rId932" Type="http://schemas.openxmlformats.org/officeDocument/2006/relationships/hyperlink" Target="https://twitter.com/mod_estonia/status/1507641039745605634?lang=en" TargetMode="External"/><Relationship Id="rId1148" Type="http://schemas.openxmlformats.org/officeDocument/2006/relationships/hyperlink" Target="https://www.gov.uk/government/news/uk-to-send-scores-of-artillery-guns-and-hundreds-of-drones-to-ukraine" TargetMode="External"/><Relationship Id="rId1355" Type="http://schemas.openxmlformats.org/officeDocument/2006/relationships/hyperlink" Target="https://twitter.com/Defense_lu/status/1598610977364115462?t=6bU22e0y0z-S3WKot0R3BA&amp;s=19" TargetMode="External"/><Relationship Id="rId1562" Type="http://schemas.openxmlformats.org/officeDocument/2006/relationships/hyperlink" Target="https://www.bundesregierung.de/resource/blob/975226/2155792/c3dbab706421f63d3d612091e7ecad4c/2022-12-27-unterstuetzung-ukraine-breg-data.pdf?download=1%20Guten" TargetMode="External"/><Relationship Id="rId2185"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92" Type="http://schemas.openxmlformats.org/officeDocument/2006/relationships/hyperlink" Target="https://crsreports.congress.gov/product/pdf/IF/IF12040" TargetMode="External"/><Relationship Id="rId2406"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13" Type="http://schemas.openxmlformats.org/officeDocument/2006/relationships/hyperlink" Target="https://www.whitehouse.gov/briefing-room/press-briefings/2022/04/04/press-briefing-by-press-secretary-jen-psaki-and-national-security-advisor-jake-sullivan/" TargetMode="External"/><Relationship Id="rId157" Type="http://schemas.openxmlformats.org/officeDocument/2006/relationships/hyperlink" Target="https://www.gov.uk/government/news/uk-to-bolster-defensive-aid-to-ukraine-with-new-100m-package" TargetMode="External"/><Relationship Id="rId364" Type="http://schemas.openxmlformats.org/officeDocument/2006/relationships/hyperlink" Target="https://www.esteri.it/en/politica-estera-e-cooperazione-allo-sviluppo/aree_geografiche/europa/litalia-a-sostegno-dellucraina/" TargetMode="External"/><Relationship Id="rId1008" Type="http://schemas.openxmlformats.org/officeDocument/2006/relationships/hyperlink" Target="https://militaryleak.com/2022/05/01/denmark-to-send-m113-armored-personnel-carriers-and-weapons-to-ukraine/" TargetMode="External"/><Relationship Id="rId1215" Type="http://schemas.openxmlformats.org/officeDocument/2006/relationships/hyperlink" Target="https://kaitseministeerium.ee/en/news/estonia-sending-ukraine-ammunition-and-equipment" TargetMode="External"/><Relationship Id="rId1422" Type="http://schemas.openxmlformats.org/officeDocument/2006/relationships/hyperlink" Target="https://kyivindependent.com/news-feed/slovakia-considers-producing-ammunition-for-ukraine" TargetMode="External"/><Relationship Id="rId1867" Type="http://schemas.openxmlformats.org/officeDocument/2006/relationships/hyperlink" Target="https://appropriations.house.gov/sites/democrats.appropriations.house.gov/files/Ukraine%20Supplemental%20Summary.pdf" TargetMode="External"/><Relationship Id="rId2045" Type="http://schemas.openxmlformats.org/officeDocument/2006/relationships/hyperlink" Target="https://crsreports.congress.gov/product/pdf/IF/IF12040" TargetMode="External"/><Relationship Id="rId2697" Type="http://schemas.openxmlformats.org/officeDocument/2006/relationships/hyperlink" Target="https://www.defense.gov/News/Releases/Release/Article/2987119/defense-department-announces-300-million-in-additional-assistance-for-ukraine/" TargetMode="External"/><Relationship Id="rId2820" Type="http://schemas.openxmlformats.org/officeDocument/2006/relationships/hyperlink" Target="https://appropriations.house.gov/sites/democrats.appropriations.house.gov/files/Ukraine%20Supplemental%20Summary.pdf" TargetMode="External"/><Relationship Id="rId2918" Type="http://schemas.openxmlformats.org/officeDocument/2006/relationships/hyperlink" Target="https://crsreports.congress.gov/product/pdf/IF/IF12040" TargetMode="External"/><Relationship Id="rId61" Type="http://schemas.openxmlformats.org/officeDocument/2006/relationships/hyperlink" Target="https://www.canada.ca/en/department-national-defence/news/2022/01/canada-extends-and-expands-military-and-other-support-for-the-security-of-ukraine.html" TargetMode="External"/><Relationship Id="rId571" Type="http://schemas.openxmlformats.org/officeDocument/2006/relationships/hyperlink" Target="https://intermin.fi/en/ukraine/civilian-assistance-to-ukraine" TargetMode="External"/><Relationship Id="rId669" Type="http://schemas.openxmlformats.org/officeDocument/2006/relationships/hyperlink" Target="https://www.rferl.org/a/czech-republic-poland-new-military-aid-ukraine/31873938.html" TargetMode="External"/><Relationship Id="rId876" Type="http://schemas.openxmlformats.org/officeDocument/2006/relationships/hyperlink" Target="https://www.brusselstimes.com/278107/belgium-provides-e8-million-for-non-lethal-help-to-ukraine" TargetMode="External"/><Relationship Id="rId1299" Type="http://schemas.openxmlformats.org/officeDocument/2006/relationships/hyperlink" Target="https://twitter.com/oleksiireznikov/status/1589571269363904512?cxt=HHwWgMDR-bippY8sAAAA" TargetMode="External"/><Relationship Id="rId1727" Type="http://schemas.openxmlformats.org/officeDocument/2006/relationships/hyperlink" Target="https://appropriations.house.gov/sites/democrats.appropriations.house.gov/files/Additional%20Ukraine%20Suplemental%20Appropriations%20Act%20Summary.pdf" TargetMode="External"/><Relationship Id="rId1934" Type="http://schemas.openxmlformats.org/officeDocument/2006/relationships/hyperlink" Target="https://appropriations.house.gov/sites/democrats.appropriations.house.gov/files/Additional%20Ukraine%20Suplemental%20Appropriations%20Act%20Summary.pdf" TargetMode="External"/><Relationship Id="rId2252" Type="http://schemas.openxmlformats.org/officeDocument/2006/relationships/hyperlink" Target="https://appropriations.house.gov/sites/democrats.appropriations.house.gov/files/Ukraine%20Supplemental%20Summary%20FY23.pdf" TargetMode="External"/><Relationship Id="rId2557" Type="http://schemas.openxmlformats.org/officeDocument/2006/relationships/hyperlink" Target="https://www.19fortyfive.com/2022/04/switchblade-the-drone-giving-ukraine-a-big-edge-against-russia/" TargetMode="External"/><Relationship Id="rId19" Type="http://schemas.openxmlformats.org/officeDocument/2006/relationships/hyperlink" Target="https://www.government.nl/topics/russia-and-ukraine/dutch-aid-for-ukraine" TargetMode="External"/><Relationship Id="rId224" Type="http://schemas.openxmlformats.org/officeDocument/2006/relationships/hyperlink" Target="https://english.sta.si/3031756/slovenia-to-send-additional-material-aid-to-ukraine" TargetMode="External"/><Relationship Id="rId431" Type="http://schemas.openxmlformats.org/officeDocument/2006/relationships/hyperlink" Target="https://www.eib.org/en/projects/regions/eastern-neighbours/ukraine/eib-solidarity.htm?sortColumn=StartDate&amp;sortDir=desc&amp;pageNumber=0&amp;itemPerPage=10&amp;pageable=true&amp;language=EN&amp;defaultLanguage=EN&amp;tags=ukraine-solidarity&amp;ortags=true" TargetMode="External"/><Relationship Id="rId529" Type="http://schemas.openxmlformats.org/officeDocument/2006/relationships/hyperlink" Target="https://pmtranscripts.pmc.gov.au/release/transcript-43831" TargetMode="External"/><Relationship Id="rId736" Type="http://schemas.openxmlformats.org/officeDocument/2006/relationships/hyperlink" Target="https://thediplomatinspain.com/en/2022/07/spain-announces-250-million-euros-for-agriculture-and-renewables-in-ukraine/" TargetMode="External"/><Relationship Id="rId1061" Type="http://schemas.openxmlformats.org/officeDocument/2006/relationships/hyperlink" Target="https://www.taiwan.gov.tw/news.php" TargetMode="External"/><Relationship Id="rId1159" Type="http://schemas.openxmlformats.org/officeDocument/2006/relationships/hyperlink" Target="https://breakingdefense.com/2022/11/uk-delays-defense-spending-increase-raising-fears-3-gdp-target-will-be-axed/" TargetMode="External"/><Relationship Id="rId1366" Type="http://schemas.openxmlformats.org/officeDocument/2006/relationships/hyperlink" Target="https://twitter.com/LSchreinemacher/status/1580222344538169346?ref_src=twsrc%5Etfw%7Ctwcamp%5Etweetembed%7Ctwterm%5E1580222344538169346%7Ctwgr%5Eda5480de56b54594938272c57ded09082863f933%7Ctwcon%5Es1_&amp;ref_url=https%3A%2F%2Fwww.eurointegration.com.ua%2Fnews%2F2022%2F10%2F13%2F7148653%2F" TargetMode="External"/><Relationship Id="rId2112" Type="http://schemas.openxmlformats.org/officeDocument/2006/relationships/hyperlink" Target="https://crsreports.congress.gov/product/pdf/IF/IF12040" TargetMode="External"/><Relationship Id="rId2196"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17" Type="http://schemas.openxmlformats.org/officeDocument/2006/relationships/hyperlink" Target="https://appropriations.house.gov/sites/democrats.appropriations.house.gov/files/Summary%20Continuing%20Appropriations%20and%20Ukraine%20Supplemental%20Appropriations%20Act%202023.pdf" TargetMode="External"/><Relationship Id="rId2764" Type="http://schemas.openxmlformats.org/officeDocument/2006/relationships/hyperlink" Target="https://crsreports.congress.gov/product/pdf/IF/IF12040" TargetMode="External"/><Relationship Id="rId168" Type="http://schemas.openxmlformats.org/officeDocument/2006/relationships/hyperlink" Target="https://mfa.gov.cy/press-releases/2022/03/09/cyprus-humanitarian-aid-to-ukraine/" TargetMode="External"/><Relationship Id="rId943" Type="http://schemas.openxmlformats.org/officeDocument/2006/relationships/hyperlink" Target="https://mil.in.ua/en/news/estonia-handed-over-the-second-modern-mobile-hospital-to-the-ukrainian-army/" TargetMode="External"/><Relationship Id="rId1019" Type="http://schemas.openxmlformats.org/officeDocument/2006/relationships/hyperlink" Target="https://www.worldbank.org/en/news/press-release/2022/09/30/world-bank-mobilizes-additional-530-million-in-support-to-ukraine" TargetMode="External"/><Relationship Id="rId1573" Type="http://schemas.openxmlformats.org/officeDocument/2006/relationships/hyperlink" Target="https://www.sueddeutsche.de/politik/g7-deutschland-gibt-ukraine-rund-eine-milliarde-euro-dpa.urn-newsml-dpa-com-20090101-220519-99-355600" TargetMode="External"/><Relationship Id="rId1780" Type="http://schemas.openxmlformats.org/officeDocument/2006/relationships/hyperlink" Target="https://appropriations.house.gov/sites/democrats.appropriations.house.gov/files/Ukraine%20Supplemental%20Summary.pdf" TargetMode="External"/><Relationship Id="rId1878" Type="http://schemas.openxmlformats.org/officeDocument/2006/relationships/hyperlink" Target="https://appropriations.house.gov/sites/democrats.appropriations.house.gov/files/Additional%20Ukraine%20Suplemental%20Appropriations%20Act%20Summary.pdf" TargetMode="External"/><Relationship Id="rId2624" Type="http://schemas.openxmlformats.org/officeDocument/2006/relationships/hyperlink" Target="https://www.defense.gov/News/Releases/Release/Article/2988565/readout-of-secretary-of-defense-lloyd-j-austin-iiis-call-with-ukraines-minister/" TargetMode="External"/><Relationship Id="rId2831" Type="http://schemas.openxmlformats.org/officeDocument/2006/relationships/hyperlink" Target="https://appropriations.house.gov/sites/democrats.appropriations.house.gov/files/Ukraine%20Supplemental%20Summary.pdf" TargetMode="External"/><Relationship Id="rId2929" Type="http://schemas.openxmlformats.org/officeDocument/2006/relationships/hyperlink" Target="https://www.eda.admin.ch/eda/de/home/das-eda/aktuell/newsuebersicht/2022/02/ukraine.html" TargetMode="External"/><Relationship Id="rId72" Type="http://schemas.openxmlformats.org/officeDocument/2006/relationships/hyperlink" Target="https://www.vlada.cz/cz/media-centrum/aktualne/vlada-schvalila-dalsi-materialni-pomoc-pro-ukrajinu-a-opatreni-na-pomoc-se-zvladnutim-migracni-krize-194727/" TargetMode="External"/><Relationship Id="rId375" Type="http://schemas.openxmlformats.org/officeDocument/2006/relationships/hyperlink" Target="https://tfiglobalnews.com/2022/03/21/canada-wanted-to-supply-weapons-to-ukraine-turns-out-it-didnt-have-any/" TargetMode="External"/><Relationship Id="rId582" Type="http://schemas.openxmlformats.org/officeDocument/2006/relationships/hyperlink" Target="https://www.regjeringen.no/en/aktuelt/norge-og-storbritannia-gir-langtrekkende-rakettartilleri-til-ukraina/id2921395/" TargetMode="External"/><Relationship Id="rId803" Type="http://schemas.openxmlformats.org/officeDocument/2006/relationships/hyperlink" Target="https://www.defense.gov/News/Releases/Release/Article/3134457/775-million-in-additional-security-assistance-for-ukraine/" TargetMode="External"/><Relationship Id="rId1226" Type="http://schemas.openxmlformats.org/officeDocument/2006/relationships/hyperlink" Target="https://kaitseministeerium.ee/en/news/estonia-sending-ukraine-ammunition-and-equipment" TargetMode="External"/><Relationship Id="rId1433" Type="http://schemas.openxmlformats.org/officeDocument/2006/relationships/hyperlink" Target="https://japan.kantei.go.jp/ongoingtopics/pdf/jp_stands_with_ukraine_eng.pdf" TargetMode="External"/><Relationship Id="rId1640" Type="http://schemas.openxmlformats.org/officeDocument/2006/relationships/hyperlink" Target="https://gouvernement.lu/en/actualites/toutes_actualites/communiques/2022/02-fevrier/28-bausch-ukraine.html" TargetMode="External"/><Relationship Id="rId1738" Type="http://schemas.openxmlformats.org/officeDocument/2006/relationships/hyperlink" Target="https://appropriations.house.gov/sites/democrats.appropriations.house.gov/files/Ukraine%20Supplemental%20Summary.pdf" TargetMode="External"/><Relationship Id="rId2056" Type="http://schemas.openxmlformats.org/officeDocument/2006/relationships/hyperlink" Target="https://crsreports.congress.gov/product/pdf/IF/IF12040" TargetMode="External"/><Relationship Id="rId2263" Type="http://schemas.openxmlformats.org/officeDocument/2006/relationships/hyperlink" Target="https://appropriations.house.gov/sites/democrats.appropriations.house.gov/files/Ukraine%20Supplemental%20Summary%20FY23.pdf" TargetMode="External"/><Relationship Id="rId2470" Type="http://schemas.openxmlformats.org/officeDocument/2006/relationships/hyperlink" Target="https://appropriations.house.gov/sites/democrats.appropriations.house.gov/files/Ukraine%20Supplemental%20Summary.pdf" TargetMode="External"/><Relationship Id="rId3" Type="http://schemas.openxmlformats.org/officeDocument/2006/relationships/hyperlink" Target="https://foreignandeu.gov.mt/en/Government/Press%20Releases/Pages/The-Government-of-Malta-is-committed-to-providing-official-aid-to-address-the-humanitarian-needs-of-the-people-of-Ukraine.aspx" TargetMode="External"/><Relationship Id="rId235" Type="http://schemas.openxmlformats.org/officeDocument/2006/relationships/hyperlink" Target="https://kaitseministeerium.ee/en/news/estonia-donated-missiles-anti-tank-weapon-system-javelin-ukraine" TargetMode="External"/><Relationship Id="rId442" Type="http://schemas.openxmlformats.org/officeDocument/2006/relationships/hyperlink" Target="https://www.bmi.gv.at/news.aspx?id=69543149763057644C4C633D" TargetMode="External"/><Relationship Id="rId887" Type="http://schemas.openxmlformats.org/officeDocument/2006/relationships/hyperlink" Target="https://fakty.com.ua/en/ukraine/20220926-lytva-postavyla-ukrayini-50-btr-m113-glava-minoborony/" TargetMode="External"/><Relationship Id="rId1072" Type="http://schemas.openxmlformats.org/officeDocument/2006/relationships/hyperlink" Target="https://www.interieur.gouv.fr/actualites/dossiers/situation-en-ukraine/solidarite-nationale-envers-lukraine-second-convoi-de" TargetMode="External"/><Relationship Id="rId1500" Type="http://schemas.openxmlformats.org/officeDocument/2006/relationships/hyperlink" Target="https://www.youtube.com/watch?v=vzENx6dTpqY" TargetMode="External"/><Relationship Id="rId1945" Type="http://schemas.openxmlformats.org/officeDocument/2006/relationships/hyperlink" Target="https://appropriations.house.gov/sites/democrats.appropriations.house.gov/files/Additional%20Ukraine%20Suplemental%20Appropriations%20Act%20Summary.pdf" TargetMode="External"/><Relationship Id="rId2123" Type="http://schemas.openxmlformats.org/officeDocument/2006/relationships/hyperlink" Target="https://crsreports.congress.gov/product/pdf/IF/IF12040" TargetMode="External"/><Relationship Id="rId2330" Type="http://schemas.openxmlformats.org/officeDocument/2006/relationships/hyperlink" Target="https://crsreports.congress.gov/product/pdf/IF/IF12040" TargetMode="External"/><Relationship Id="rId2568" Type="http://schemas.openxmlformats.org/officeDocument/2006/relationships/hyperlink" Target="https://www.19fortyfive.com/2022/04/switchblade-the-drone-giving-ukraine-a-big-edge-against-russia/" TargetMode="External"/><Relationship Id="rId2775" Type="http://schemas.openxmlformats.org/officeDocument/2006/relationships/hyperlink" Target="https://crsreports.congress.gov/product/pdf/IF/IF12040" TargetMode="External"/><Relationship Id="rId302" Type="http://schemas.openxmlformats.org/officeDocument/2006/relationships/hyperlink" Target="https://meta-defense.fr/en/2022/04/22/france-will-deliver-caesar-mobile-artillery-systems-to-ukraine/" TargetMode="External"/><Relationship Id="rId747" Type="http://schemas.openxmlformats.org/officeDocument/2006/relationships/hyperlink" Target="https://vm.ee/en/humanitarian-aid-ukraine" TargetMode="External"/><Relationship Id="rId954" Type="http://schemas.openxmlformats.org/officeDocument/2006/relationships/hyperlink" Target="https://www.defense.gov/News/Releases/Release/Article/3120059/1-billion-in-additional-security-assistance-for-ukraine/" TargetMode="External"/><Relationship Id="rId1377" Type="http://schemas.openxmlformats.org/officeDocument/2006/relationships/hyperlink" Target="https://mfa.gov.cy/el/press-releases/2022/12/30/press-statement-poland-ua-generators/" TargetMode="External"/><Relationship Id="rId1584" Type="http://schemas.openxmlformats.org/officeDocument/2006/relationships/hyperlink" Target="https://www.gov.uk/government/speeches/defence-secretary-oral-statement-on-war-in-ukraine--2" TargetMode="External"/><Relationship Id="rId1791" Type="http://schemas.openxmlformats.org/officeDocument/2006/relationships/hyperlink" Target="https://appropriations.house.gov/sites/democrats.appropriations.house.gov/files/Ukraine%20Supplemental%20Summary.pdf" TargetMode="External"/><Relationship Id="rId1805" Type="http://schemas.openxmlformats.org/officeDocument/2006/relationships/hyperlink" Target="https://appropriations.house.gov/sites/democrats.appropriations.house.gov/files/Ukraine%20Supplemental%20Summary.pdf" TargetMode="External"/><Relationship Id="rId2428" Type="http://schemas.openxmlformats.org/officeDocument/2006/relationships/hyperlink" Target="https://appropriations.house.gov/sites/democrats.appropriations.house.gov/files/Ukraine%20Supplemental%20Summary%20FY23.pdf" TargetMode="External"/><Relationship Id="rId2635" Type="http://schemas.openxmlformats.org/officeDocument/2006/relationships/hyperlink" Target="https://www.defense.gov/News/Releases/Release/Article/2988565/readout-of-secretary-of-defense-lloyd-j-austin-iiis-call-with-ukraines-minister/" TargetMode="External"/><Relationship Id="rId2842" Type="http://schemas.openxmlformats.org/officeDocument/2006/relationships/hyperlink" Target="https://appropriations.house.gov/sites/democrats.appropriations.house.gov/files/Ukraine%20Supplemental%20Summary.pdf" TargetMode="External"/><Relationship Id="rId83" Type="http://schemas.openxmlformats.org/officeDocument/2006/relationships/hyperlink" Target="https://english.radio.cz/czech-republic-send-more-arms-ukraine-8745032" TargetMode="External"/><Relationship Id="rId179" Type="http://schemas.openxmlformats.org/officeDocument/2006/relationships/hyperlink" Target="https://www.worldbank.org/en/news/press-release/2022/03/07/world-bank-mobilizes-an-emergency-financing-package-of-over-700-million-for-ukraine" TargetMode="External"/><Relationship Id="rId386" Type="http://schemas.openxmlformats.org/officeDocument/2006/relationships/hyperlink" Target="https://en.defence-ua.com/weapon_and_tech/portugal_to_send_howitzers_and_apcs_to_ukraine-2846.html" TargetMode="External"/><Relationship Id="rId593" Type="http://schemas.openxmlformats.org/officeDocument/2006/relationships/hyperlink" Target="https://www.volkskrant.nl/nieuws-achtergrond/nederland-levert-militaire-goederen-en-wapens-aan-oekraine-ter-waarde-van-7-4-miljoen-euro~be2a2004/?referrer=https%3A%2F%2Fen.wikipedia.org%2F" TargetMode="External"/><Relationship Id="rId607" Type="http://schemas.openxmlformats.org/officeDocument/2006/relationships/hyperlink" Target="https://www.kmu.gov.ua/en/news/minfin-ukrayina-otrimala-1-mlrd-kanadskih-dolariv-vid-kanadi" TargetMode="External"/><Relationship Id="rId814" Type="http://schemas.openxmlformats.org/officeDocument/2006/relationships/hyperlink" Target="https://www.defense.gov/News/Releases/Release/Article/3152071/675-million-in-additional-security-assistance-for-ukraine/" TargetMode="External"/><Relationship Id="rId1237" Type="http://schemas.openxmlformats.org/officeDocument/2006/relationships/hyperlink" Target="https://www.consilium.europa.eu/en/policies/european-peace-facility/timeline-european-peace-facility/" TargetMode="External"/><Relationship Id="rId1444" Type="http://schemas.openxmlformats.org/officeDocument/2006/relationships/hyperlink" Target="https://www.reuters.com/world/europe/sweden-promises-287-mln-military-aid-package-ukraine-including-air-defence-2022-11-16/" TargetMode="External"/><Relationship Id="rId1651" Type="http://schemas.openxmlformats.org/officeDocument/2006/relationships/hyperlink" Target="https://www.gov.uk/government/news/uk-to-give-artillery-rounds-and-helicopters-to-help-defend-ukraine" TargetMode="External"/><Relationship Id="rId1889" Type="http://schemas.openxmlformats.org/officeDocument/2006/relationships/hyperlink" Target="https://appropriations.house.gov/sites/democrats.appropriations.house.gov/files/Additional%20Ukraine%20Suplemental%20Appropriations%20Act%20Summary.pdf" TargetMode="External"/><Relationship Id="rId2067" Type="http://schemas.openxmlformats.org/officeDocument/2006/relationships/hyperlink" Target="https://crsreports.congress.gov/product/pdf/IF/IF12040" TargetMode="External"/><Relationship Id="rId2274" Type="http://schemas.openxmlformats.org/officeDocument/2006/relationships/hyperlink" Target="https://appropriations.house.gov/sites/democrats.appropriations.house.gov/files/Ukraine%20Supplemental%20Summary%20FY23.pdf" TargetMode="External"/><Relationship Id="rId2481" Type="http://schemas.openxmlformats.org/officeDocument/2006/relationships/hyperlink" Target="https://appropriations.house.gov/sites/democrats.appropriations.house.gov/files/Additional%20Ukraine%20Suplemental%20Appropriations%20Act%20Summary.pdf" TargetMode="External"/><Relationship Id="rId2702" Type="http://schemas.openxmlformats.org/officeDocument/2006/relationships/hyperlink" Target="https://www.defense.gov/News/Releases/Release/Article/2987119/defense-department-announces-300-million-in-additional-assistance-for-ukraine/" TargetMode="External"/><Relationship Id="rId246" Type="http://schemas.openxmlformats.org/officeDocument/2006/relationships/hyperlink" Target="https://www.youtube.com/watch?v=vzENx6dTpqY" TargetMode="External"/><Relationship Id="rId453" Type="http://schemas.openxmlformats.org/officeDocument/2006/relationships/hyperlink" Target="https://www.reuters.com/world/europe/spain-deliver-anti-aircraft-missiles-tanks-ukraine-el-pais-2022-06-05/" TargetMode="External"/><Relationship Id="rId660" Type="http://schemas.openxmlformats.org/officeDocument/2006/relationships/hyperlink" Target="https://focustaiwan.tw/politics/202206200021" TargetMode="External"/><Relationship Id="rId898" Type="http://schemas.openxmlformats.org/officeDocument/2006/relationships/hyperlink" Target="https://www.kaitseinvesteeringud.ee/en/estonian-military-aid-to-ukraine-has-been-substantially-diversified/" TargetMode="External"/><Relationship Id="rId1083" Type="http://schemas.openxmlformats.org/officeDocument/2006/relationships/hyperlink" Target="https://www.defense.gouv.fr/terre/actualites/uiisc-1-3e-convoi-solidarite-lukraine" TargetMode="External"/><Relationship Id="rId1290" Type="http://schemas.openxmlformats.org/officeDocument/2006/relationships/hyperlink" Target="https://www.defensa.gob.es/gabinete/notasPrensa/2022/08/DGC-220831-envio-armamento-ucrania.html" TargetMode="External"/><Relationship Id="rId1304" Type="http://schemas.openxmlformats.org/officeDocument/2006/relationships/hyperlink" Target="https://www.gov.uk/government/news/uk-to-send-scores-of-artillery-guns-and-hundreds-of-drones-to-ukraine" TargetMode="External"/><Relationship Id="rId1511" Type="http://schemas.openxmlformats.org/officeDocument/2006/relationships/hyperlink" Target="https://www.thenationalherald.com/russias-ukraine-invasion-sees-greece-taking-bigger-nato-role/" TargetMode="External"/><Relationship Id="rId1749" Type="http://schemas.openxmlformats.org/officeDocument/2006/relationships/hyperlink" Target="https://appropriations.house.gov/sites/democrats.appropriations.house.gov/files/Ukraine%20Supplemental%20Summary.pdf" TargetMode="External"/><Relationship Id="rId1956" Type="http://schemas.openxmlformats.org/officeDocument/2006/relationships/hyperlink" Target="https://appropriations.house.gov/sites/democrats.appropriations.house.gov/files/Additional%20Ukraine%20Suplemental%20Appropriations%20Act%20Summary.pdf" TargetMode="External"/><Relationship Id="rId2134" Type="http://schemas.openxmlformats.org/officeDocument/2006/relationships/hyperlink" Target="https://crsreports.congress.gov/product/pdf/IF/IF12040" TargetMode="External"/><Relationship Id="rId2341" Type="http://schemas.openxmlformats.org/officeDocument/2006/relationships/hyperlink" Target="https://crsreports.congress.gov/product/pdf/IF/IF12040" TargetMode="External"/><Relationship Id="rId2579" Type="http://schemas.openxmlformats.org/officeDocument/2006/relationships/hyperlink" Target="https://www.whitehouse.gov/briefing-room/press-briefings/2022/04/04/press-briefing-by-press-secretary-jen-psaki-and-national-security-advisor-jake-sullivan/" TargetMode="External"/><Relationship Id="rId2786" Type="http://schemas.openxmlformats.org/officeDocument/2006/relationships/hyperlink" Target="https://crsreports.congress.gov/product/pdf/IF/IF12040" TargetMode="External"/><Relationship Id="rId106" Type="http://schemas.openxmlformats.org/officeDocument/2006/relationships/hyperlink" Target="https://www.reuters.com/world/europe/romania-send-fuel-ammunition-ukraine-2022-02-27/" TargetMode="External"/><Relationship Id="rId313" Type="http://schemas.openxmlformats.org/officeDocument/2006/relationships/hyperlink" Target="https://www.republicworld.com/world-news/russia-ukraine-crisis/canada-announces-additional-loan-of-250mn-for-ukraine-as-russian-invasion-enters-day-87-articleshow.html" TargetMode="External"/><Relationship Id="rId758" Type="http://schemas.openxmlformats.org/officeDocument/2006/relationships/hyperlink" Targe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TargetMode="External"/><Relationship Id="rId965" Type="http://schemas.openxmlformats.org/officeDocument/2006/relationships/hyperlink" Target="https://www.connexionfrance.com/article/French-news/Humanitarian-ship-for-Ukraine-leaves-French-port-with-8m-of-aid" TargetMode="External"/><Relationship Id="rId1150" Type="http://schemas.openxmlformats.org/officeDocument/2006/relationships/hyperlink" Target="https://edition.cnn.com/2022/04/09/europe/ukraine-uk-boris-johnson-intl-gbr/index.html" TargetMode="External"/><Relationship Id="rId1388" Type="http://schemas.openxmlformats.org/officeDocument/2006/relationships/hyperlink" Target="https://news.err.ee/1608829969/estonia-sends-more-military-equipment-to-ukraine" TargetMode="External"/><Relationship Id="rId1595" Type="http://schemas.openxmlformats.org/officeDocument/2006/relationships/hyperlink" Target="https://www.cbc.ca/news/politics/nato-arms-canada-1.6506611" TargetMode="External"/><Relationship Id="rId1609"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1816" Type="http://schemas.openxmlformats.org/officeDocument/2006/relationships/hyperlink" Target="https://appropriations.house.gov/sites/democrats.appropriations.house.gov/files/Ukraine%20Supplemental%20Summary.pdf" TargetMode="External"/><Relationship Id="rId2439" Type="http://schemas.openxmlformats.org/officeDocument/2006/relationships/hyperlink" Target="https://appropriations.house.gov/sites/democrats.appropriations.house.gov/files/Ukraine%20Supplemental%20Summary%20FY23.pdf" TargetMode="External"/><Relationship Id="rId2646" Type="http://schemas.openxmlformats.org/officeDocument/2006/relationships/hyperlink" Target="https://www.defense.gov/News/Releases/Release/Article/2988565/readout-of-secretary-of-defense-lloyd-j-austin-iiis-call-with-ukraines-minister/" TargetMode="External"/><Relationship Id="rId2853" Type="http://schemas.openxmlformats.org/officeDocument/2006/relationships/hyperlink" Target="https://appropriations.house.gov/sites/democrats.appropriations.house.gov/files/Additional%20Ukraine%20Suplemental%20Appropriations%20Act%20Summary.pdf" TargetMode="External"/><Relationship Id="rId10" Type="http://schemas.openxmlformats.org/officeDocument/2006/relationships/hyperlink" Target="https://um.dk/danida/lande-og-regioner/ukraine" TargetMode="External"/><Relationship Id="rId94" Type="http://schemas.openxmlformats.org/officeDocument/2006/relationships/hyperlink" Target="https://twitter.com/eduardheger/status/1498055152045015046" TargetMode="External"/><Relationship Id="rId397" Type="http://schemas.openxmlformats.org/officeDocument/2006/relationships/hyperlink" Target="https://www.france24.com/en/live-news/20220601-arms-for-ukraine-who-has-sent-what" TargetMode="External"/><Relationship Id="rId520" Type="http://schemas.openxmlformats.org/officeDocument/2006/relationships/hyperlink" Target="https://www.government.se/press-releases/2022/06/additional-amending-budget-with-further-support-to-ukraine/" TargetMode="External"/><Relationship Id="rId618" Type="http://schemas.openxmlformats.org/officeDocument/2006/relationships/hyperlink" Target="https://pm.gc.ca/en/news/backgrounders/2022/06/28/additional-canadian-support-ukraine-announced-2022-g7-summit" TargetMode="External"/><Relationship Id="rId825" Type="http://schemas.openxmlformats.org/officeDocument/2006/relationships/hyperlink" Target="https://www.defense.gov/News/Releases/Release/Article/3160503/600-million-in-additional-security-assistance-for-ukraine/" TargetMode="External"/><Relationship Id="rId1248" Type="http://schemas.openxmlformats.org/officeDocument/2006/relationships/hyperlink" Target="https://www.lemonde.fr/en/international/article/2022/10/12/macron-promises-air-defense-systems-for-ukraine-calls-for-putin-to-discuss-peace_6000130_4.html" TargetMode="External"/><Relationship Id="rId1455" Type="http://schemas.openxmlformats.org/officeDocument/2006/relationships/hyperlink" Target="https://twitter.com/GermanyDiplo/status/1602648786886598662?s=20&amp;t=p24pfJZTEUQw2bq9Nf96bQ" TargetMode="External"/><Relationship Id="rId1662" Type="http://schemas.openxmlformats.org/officeDocument/2006/relationships/hyperlink" Target="https://www.facebook.com/mvs.gov.ua/posts/pfbid02LXuUQLc6ZaXcYPVEMcmZXjCKNVq9N94fPzdcbuYSHhfSJfcE8tj931VXECuesHkCl" TargetMode="External"/><Relationship Id="rId2078" Type="http://schemas.openxmlformats.org/officeDocument/2006/relationships/hyperlink" Target="https://crsreports.congress.gov/product/pdf/IF/IF12040" TargetMode="External"/><Relationship Id="rId2201" Type="http://schemas.openxmlformats.org/officeDocument/2006/relationships/hyperlink" Target="https://appropriations.house.gov/sites/democrats.appropriations.house.gov/files/Summary%20Continuing%20Appropriations%20and%20Ukraine%20Supplemental%20Appropriations%20Act%202023.pdf" TargetMode="External"/><Relationship Id="rId2285" Type="http://schemas.openxmlformats.org/officeDocument/2006/relationships/hyperlink" Target="https://appropriations.house.gov/sites/democrats.appropriations.house.gov/files/Ukraine%20Supplemental%20Summary%20FY23.pdf" TargetMode="External"/><Relationship Id="rId2492" Type="http://schemas.openxmlformats.org/officeDocument/2006/relationships/hyperlink" Target="https://crsreports.congress.gov/product/pdf/IF/IF12040" TargetMode="External"/><Relationship Id="rId2506" Type="http://schemas.openxmlformats.org/officeDocument/2006/relationships/hyperlink" Target="https://www.defense.gov/News/Releases/Release/Article/2988565/readout-of-secretary-of-defense-lloyd-j-austin-iiis-call-with-ukraines-minister/" TargetMode="External"/><Relationship Id="rId257" Type="http://schemas.openxmlformats.org/officeDocument/2006/relationships/hyperlink" Target="https://www.regjeringen.no/en/aktuelt/air-defense-system-to-ukraine/id2908807/" TargetMode="External"/><Relationship Id="rId464" Type="http://schemas.openxmlformats.org/officeDocument/2006/relationships/hyperlink" Target="https://www.kmu.gov.ua/en/news/denis-shmigal-ukrayina-vdyachna-bolgariyi-shcho-spilno-z-mizhnarodnoyu-spilnotoyu-bere-uchast-u-pidtrimci-nashoyi-krayini" TargetMode="External"/><Relationship Id="rId1010" Type="http://schemas.openxmlformats.org/officeDocument/2006/relationships/hyperlink" Target="https://um.dk/en/foreign-policy/danish-support-for-ukraine" TargetMode="External"/><Relationship Id="rId1094" Type="http://schemas.openxmlformats.org/officeDocument/2006/relationships/hyperlink" Target="https://euromaidanpress.com/2022/11/05/italy-set-to-approve-sixth-military-aid-package-for-ukraine-italian-defense-minister/" TargetMode="External"/><Relationship Id="rId1108" Type="http://schemas.openxmlformats.org/officeDocument/2006/relationships/hyperlink" Target="https://babel.ua/en/news/78825-portugal-will-hand-over-another-160-tons-of-military-aid-to-ukraine" TargetMode="External"/><Relationship Id="rId1315" Type="http://schemas.openxmlformats.org/officeDocument/2006/relationships/hyperlink" Target="https://thestoriest.com/world/228255.html" TargetMode="External"/><Relationship Id="rId1967" Type="http://schemas.openxmlformats.org/officeDocument/2006/relationships/hyperlink" Target="https://appropriations.house.gov/sites/democrats.appropriations.house.gov/files/Additional%20Ukraine%20Suplemental%20Appropriations%20Act%20Summary.pdf" TargetMode="External"/><Relationship Id="rId2145" Type="http://schemas.openxmlformats.org/officeDocument/2006/relationships/hyperlink" Target="https://crsreports.congress.gov/product/pdf/IF/IF12040" TargetMode="External"/><Relationship Id="rId2713" Type="http://schemas.openxmlformats.org/officeDocument/2006/relationships/hyperlink" Target="https://www.whitehouse.gov/briefing-room/press-briefings/2022/04/04/press-briefing-by-press-secretary-jen-psaki-and-national-security-advisor-jake-sullivan/" TargetMode="External"/><Relationship Id="rId2797" Type="http://schemas.openxmlformats.org/officeDocument/2006/relationships/hyperlink" Target="https://crsreports.congress.gov/product/pdf/IF/IF12040" TargetMode="External"/><Relationship Id="rId2920" Type="http://schemas.openxmlformats.org/officeDocument/2006/relationships/hyperlink" Target="https://crsreports.congress.gov/product/pdf/IF/IF12040" TargetMode="External"/><Relationship Id="rId117" Type="http://schemas.openxmlformats.org/officeDocument/2006/relationships/hyperlink" Target="https://www.barrons.com/news/spain-to-send-more-weapons-to-ukraine-01647003007" TargetMode="External"/><Relationship Id="rId671" Type="http://schemas.openxmlformats.org/officeDocument/2006/relationships/hyperlink" Target="https://www.defense.gov/News/Releases/Release/Article/3081993/820-million-in-additional-security-assistance-for-ukraine/" TargetMode="External"/><Relationship Id="rId769" Type="http://schemas.openxmlformats.org/officeDocument/2006/relationships/hyperlink" Target="https://minagro.gov.ua/news/kanada-nadaye-40-miljoniv-dolariv-ssha-dlya-zabezpechennya-24-miljona-tonn-shovishch?fbclid=IwAR0tOKhcjlcnwj5Wvpqe3fr0kwd_90iCZAxzUMMeqqvk45emy4e0lakzOQ0" TargetMode="External"/><Relationship Id="rId976" Type="http://schemas.openxmlformats.org/officeDocument/2006/relationships/hyperlink" Target="https://www-regjeringen-no.translate.goog/no/aktuelt/norge-har-donert-artilleriskyts-til-ukraina/id2917760/?_x_tr_sl=auto&amp;_x_tr_tl=auto&amp;_x_tr_hl=de" TargetMode="External"/><Relationship Id="rId1399" Type="http://schemas.openxmlformats.org/officeDocument/2006/relationships/hyperlink" Target="https://www.defense.gouv.fr/sites/default/files/ministere-armees/13.01.23%20Entretien%20de%20S%C3%A9bastien%20Lecornu%2C%20ministre%20des%20Arm%C3%A9es%2C%20avec%20Oleksii%20Reznikov.pdf" TargetMode="External"/><Relationship Id="rId2352" Type="http://schemas.openxmlformats.org/officeDocument/2006/relationships/hyperlink" Target="https://crsreports.congress.gov/product/pdf/IF/IF12040" TargetMode="External"/><Relationship Id="rId2657" Type="http://schemas.openxmlformats.org/officeDocument/2006/relationships/hyperlink" Target="https://www.defense.gov/News/Releases/Release/Article/2988565/readout-of-secretary-of-defense-lloyd-j-austin-iiis-call-with-ukraines-minister/" TargetMode="External"/><Relationship Id="rId324" Type="http://schemas.openxmlformats.org/officeDocument/2006/relationships/hyperlink" Target="https://um.fi/press-releases/-/asset_publisher/ued5t2wDmr1C/content/suomi-myontaa-4-miljoonaa-euroa-lisatukea-ukrainalle-kehitysyhteistyon-ja-humanitaarisen-avun-kautta/35732" TargetMode="External"/><Relationship Id="rId531" Type="http://schemas.openxmlformats.org/officeDocument/2006/relationships/hyperlink" Target="https://czechdaily.cz/the-government-will-send-to-ukraine-czk-300-million-in-aid/" TargetMode="External"/><Relationship Id="rId629" Type="http://schemas.openxmlformats.org/officeDocument/2006/relationships/hyperlink" Target="https://www.ukrinform.net/rubric-ato/3491327-canada-to-give-ukraine-over-20000-155-mm-shells.html" TargetMode="External"/><Relationship Id="rId1161" Type="http://schemas.openxmlformats.org/officeDocument/2006/relationships/hyperlink" Target="https://www.gov.uk/government/news/pm-announces-new-air-defence-for-ukraine-on-first-visit-to-kyiv" TargetMode="External"/><Relationship Id="rId1259" Type="http://schemas.openxmlformats.org/officeDocument/2006/relationships/hyperlink" Target="https://www.lejdd.fr/International/sebastien-lecornu-ministre-des-armees-nous-navons-pas-a-rougir-de-notre-aide-a-lukraine-4148779" TargetMode="External"/><Relationship Id="rId1466" Type="http://schemas.openxmlformats.org/officeDocument/2006/relationships/hyperlink" Target="https://www.defense.gov/News/Releases/Release/Article/3227217/400-million-in-additional-assistance-for-ukraine/" TargetMode="External"/><Relationship Id="rId2005" Type="http://schemas.openxmlformats.org/officeDocument/2006/relationships/hyperlink" Target="https://appropriations.house.gov/sites/democrats.appropriations.house.gov/files/Additional%20Ukraine%20Suplemental%20Appropriations%20Act%20Summary.pdf" TargetMode="External"/><Relationship Id="rId2212" Type="http://schemas.openxmlformats.org/officeDocument/2006/relationships/hyperlink" Target="https://appropriations.house.gov/sites/democrats.appropriations.house.gov/files/Summary%20Continuing%20Appropriations%20and%20Ukraine%20Supplemental%20Appropriations%20Act%202023.pdf" TargetMode="External"/><Relationship Id="rId2864" Type="http://schemas.openxmlformats.org/officeDocument/2006/relationships/hyperlink" Target="https://appropriations.house.gov/sites/democrats.appropriations.house.gov/files/Additional%20Ukraine%20Suplemental%20Appropriations%20Act%20Summary.pdf" TargetMode="External"/><Relationship Id="rId836" Type="http://schemas.openxmlformats.org/officeDocument/2006/relationships/hyperlink" Target="https://www.defense.gov/News/Releases/Release/Article/3138105/nearly-3-billion-in-additional-security-assistance-for-ukraine/" TargetMode="External"/><Relationship Id="rId1021" Type="http://schemas.openxmlformats.org/officeDocument/2006/relationships/hyperlink" Target="https://via.ritzau.dk/embedded/release/danmark-stiller-garanti-pa-280-mio-kr-til-ukraines-hardt-ramte-okonomi?publisherId=2012662&amp;releaseId=13652977&amp;lang=da" TargetMode="External"/><Relationship Id="rId1119" Type="http://schemas.openxmlformats.org/officeDocument/2006/relationships/hyperlink" Target="https://twitter.com/KGeorgieva/status/1590600147368656896" TargetMode="External"/><Relationship Id="rId1673" Type="http://schemas.openxmlformats.org/officeDocument/2006/relationships/hyperlink" Target="https://www.gov.si/en/news/2022-11-28-in-kiev-minister-sarec-expresses-slovenias-support-and-solidarity-to-ukraine/" TargetMode="External"/><Relationship Id="rId1880" Type="http://schemas.openxmlformats.org/officeDocument/2006/relationships/hyperlink" Target="https://appropriations.house.gov/sites/democrats.appropriations.house.gov/files/Additional%20Ukraine%20Suplemental%20Appropriations%20Act%20Summary.pdf" TargetMode="External"/><Relationship Id="rId1978" Type="http://schemas.openxmlformats.org/officeDocument/2006/relationships/hyperlink" Target="https://appropriations.house.gov/sites/democrats.appropriations.house.gov/files/Additional%20Ukraine%20Suplemental%20Appropriations%20Act%20Summary.pdf" TargetMode="External"/><Relationship Id="rId2517" Type="http://schemas.openxmlformats.org/officeDocument/2006/relationships/hyperlink" Target="https://www.defense.gov/News/Releases/Release/Article/2988565/readout-of-secretary-of-defense-lloyd-j-austin-iiis-call-with-ukraines-minister/" TargetMode="External"/><Relationship Id="rId2724" Type="http://schemas.openxmlformats.org/officeDocument/2006/relationships/hyperlink" Target="https://www.whitehouse.gov/briefing-room/press-briefings/2022/04/04/press-briefing-by-press-secretary-jen-psaki-and-national-security-advisor-jake-sullivan/" TargetMode="External"/><Relationship Id="rId2931" Type="http://schemas.openxmlformats.org/officeDocument/2006/relationships/hyperlink" Target="https://www.forces.net/ukraine/uk/what-armoured-vehicles-are-uk-sending-ukraine" TargetMode="External"/><Relationship Id="rId903" Type="http://schemas.openxmlformats.org/officeDocument/2006/relationships/hyperlink" Target="https://www.diplomatie.gouv.fr/en/country-files/ukraine/news/article/ukraine-catherine-colonna-to-attend-the-launch-of-solidarity-operation-un" TargetMode="External"/><Relationship Id="rId1326" Type="http://schemas.openxmlformats.org/officeDocument/2006/relationships/hyperlink" Target="https://www.canada.ca/en/department-finance/programs/financial-sector-policy/ukraine-sovereignty-bond.html" TargetMode="External"/><Relationship Id="rId1533" Type="http://schemas.openxmlformats.org/officeDocument/2006/relationships/hyperlink" Target="https://www.irishtimes.com/news/health/thousands-of-blood-bags-and-protective-suits-among-irish-aid-sent-to-ukraine-1.4824403" TargetMode="External"/><Relationship Id="rId1740" Type="http://schemas.openxmlformats.org/officeDocument/2006/relationships/hyperlink" Target="https://appropriations.house.gov/sites/democrats.appropriations.house.gov/files/Ukraine%20Supplemental%20Summary.pdf" TargetMode="External"/><Relationship Id="rId32" Type="http://schemas.openxmlformats.org/officeDocument/2006/relationships/hyperlink" Target="https://www.reuters.com/world/europe/france-offer-100-mln-euros-humanitarian-aid-ukraine-2022-03-01/" TargetMode="External"/><Relationship Id="rId1600" Type="http://schemas.openxmlformats.org/officeDocument/2006/relationships/hyperlink" Target="https://mocr.army.cz/informacni-servis/zpravodajstvi/jednani-ministryne-s-ceskymi-zbrojari--ocenuji-podporu-exportu-i-ceskych-zakazek-239387/" TargetMode="External"/><Relationship Id="rId1838" Type="http://schemas.openxmlformats.org/officeDocument/2006/relationships/hyperlink" Target="https://appropriations.house.gov/sites/democrats.appropriations.house.gov/files/Ukraine%20Supplemental%20Summary.pdf" TargetMode="External"/><Relationship Id="rId181" Type="http://schemas.openxmlformats.org/officeDocument/2006/relationships/hyperlink" Target="https://www.worldbank.org/en/news/press-release/2022/03/07/world-bank-mobilizes-an-emergency-financing-package-of-over-700-million-for-ukraine" TargetMode="External"/><Relationship Id="rId1905" Type="http://schemas.openxmlformats.org/officeDocument/2006/relationships/hyperlink" Target="https://appropriations.house.gov/sites/democrats.appropriations.house.gov/files/Additional%20Ukraine%20Suplemental%20Appropriations%20Act%20Summary.pdf" TargetMode="External"/><Relationship Id="rId279" Type="http://schemas.openxmlformats.org/officeDocument/2006/relationships/hyperlink" Target="https://www.reuters.com/world/europe/ukraines-zelenskiy-says-tens-thousands-killed-mariupol-seeks-military-aid-skorea-2022-04-11/" TargetMode="External"/><Relationship Id="rId486" Type="http://schemas.openxmlformats.org/officeDocument/2006/relationships/hyperlink" Target="https://www.armyrecognition.com/defense_news_may_2022_global_security_army_industry/australia_announces_delivery_of_14_m113_tracked_apcs_and_20_bushmaster_armored_vehicles_to_ukraine.html" TargetMode="External"/><Relationship Id="rId693" Type="http://schemas.openxmlformats.org/officeDocument/2006/relationships/hyperlink" Target="https://www.ukrinform.ua/rubric-world/3523885-egils-levits-prezident-latvii.html" TargetMode="External"/><Relationship Id="rId2167" Type="http://schemas.openxmlformats.org/officeDocument/2006/relationships/hyperlink" Target="https://crsreports.congress.gov/product/pdf/IN/IN11882" TargetMode="External"/><Relationship Id="rId2374" Type="http://schemas.openxmlformats.org/officeDocument/2006/relationships/hyperlink" Target="https://crsreports.congress.gov/product/pdf/IF/IF12040" TargetMode="External"/><Relationship Id="rId2581" Type="http://schemas.openxmlformats.org/officeDocument/2006/relationships/hyperlink" Target="https://www.whitehouse.gov/briefing-room/press-briefings/2022/04/04/press-briefing-by-press-secretary-jen-psaki-and-national-security-advisor-jake-sullivan/" TargetMode="External"/><Relationship Id="rId139" Type="http://schemas.openxmlformats.org/officeDocument/2006/relationships/hyperlink" Target="https://www.gov.uk/government/news/uk-sets-out-new-multi-million-dollar-economic-package-of-support-for-ukraine" TargetMode="External"/><Relationship Id="rId346" Type="http://schemas.openxmlformats.org/officeDocument/2006/relationships/hyperlink" Target="https://www.lamoncloa.gob.es/lang/en/presidente/news/paginas/2022/20220421_visit-to-ukraine.aspx" TargetMode="External"/><Relationship Id="rId553" Type="http://schemas.openxmlformats.org/officeDocument/2006/relationships/hyperlink" Target="https://www.fanpage.it/politica/armi-allucraina-arriva-il-terzo-decreto-del-governo-lelenco-e-secretato-come-i-precedenti/" TargetMode="External"/><Relationship Id="rId760" Type="http://schemas.openxmlformats.org/officeDocument/2006/relationships/hyperlink" Target="https://twitter.com/Lithuanian_MoD/status/1567446474312540160?ref_src=twsrc%5Etfw%7Ctwcamp%5Etweetembed%7Ctwterm%5E1567446474312540160%7Ctwgr%5E4672a6b5ec4c4f6cf0f7166371f51fb78182c17f%7Ctwcon%5Es1_&amp;ref_url=https%3A%2F%2Fwww.eurointegration.com.ua%2Fnews%2F2022%2F09%2F7%2F7146332%2F" TargetMode="External"/><Relationship Id="rId998" Type="http://schemas.openxmlformats.org/officeDocument/2006/relationships/hyperlink" Target="https://www.forbes.com/sites/sebastienroblin/2022/10/28/czech-super-t-72m4-tanks-seen-headed-towards-ukraine/?sh=679ee5423ce7" TargetMode="External"/><Relationship Id="rId1183" Type="http://schemas.openxmlformats.org/officeDocument/2006/relationships/hyperlink" Target="https://suomenkuvalehti.fi/paajutut/viela-vuoden-alussa-aseapu-ukrainalle-oli-tabu-sitten-lannen-mitta-tayttyi-kaannamme-maat-ja-taivaat-venajan-lyomiseksi/?shared=1219900-dfafb371-500" TargetMode="External"/><Relationship Id="rId1390" Type="http://schemas.openxmlformats.org/officeDocument/2006/relationships/hyperlink" Target="https://kyivindependent.com/news-feed/estonia-to-send-ukraine-new-military-aid-package" TargetMode="External"/><Relationship Id="rId2027" Type="http://schemas.openxmlformats.org/officeDocument/2006/relationships/hyperlink" Target="https://crsreports.congress.gov/product/pdf/IF/IF12040" TargetMode="External"/><Relationship Id="rId2234"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41" Type="http://schemas.openxmlformats.org/officeDocument/2006/relationships/hyperlink" Target="https://appropriations.house.gov/sites/democrats.appropriations.house.gov/files/Ukraine%20Supplemental%20Summary%20FY23.pdf" TargetMode="External"/><Relationship Id="rId2679" Type="http://schemas.openxmlformats.org/officeDocument/2006/relationships/hyperlink" Target="https://www.defense.gov/News/Releases/Release/Article/2987119/defense-department-announces-300-million-in-additional-assistance-for-ukraine/" TargetMode="External"/><Relationship Id="rId2886" Type="http://schemas.openxmlformats.org/officeDocument/2006/relationships/hyperlink" Target="https://appropriations.house.gov/sites/democrats.appropriations.house.gov/files/Additional%20Ukraine%20Suplemental%20Appropriations%20Act%20Summary.pdf" TargetMode="External"/><Relationship Id="rId206" Type="http://schemas.openxmlformats.org/officeDocument/2006/relationships/hyperlink" Target="https://twitter.com/kajakallas/status/1522215001934557186" TargetMode="External"/><Relationship Id="rId413" Type="http://schemas.openxmlformats.org/officeDocument/2006/relationships/hyperlink" Target="https://mil.in.ua/en/news/ukraine-has-received-two-temporary-bridges-for-civilian-transport-from-the-czech-republic/" TargetMode="External"/><Relationship Id="rId858" Type="http://schemas.openxmlformats.org/officeDocument/2006/relationships/hyperlink" Target="https://pmtranscripts.pmc.gov.au/release/transcript-43868" TargetMode="External"/><Relationship Id="rId1043" Type="http://schemas.openxmlformats.org/officeDocument/2006/relationships/hyperlink" Target="https://cxtvnews.com/military/2022/03/07/japan-decides-to-send-military-supplies-to-ukraine/" TargetMode="External"/><Relationship Id="rId1488" Type="http://schemas.openxmlformats.org/officeDocument/2006/relationships/hyperlink" Target="https://www.facebook.com/UkraineMFA/videos/667551908260597/?extid=NS-UNK-UNK-UNK-IOS_GK0T-GK1C" TargetMode="External"/><Relationship Id="rId1695" Type="http://schemas.openxmlformats.org/officeDocument/2006/relationships/hyperlink" Target="https://www.elysee.fr/emmanuel-macron/2022/12/13/solidaires-du-peuple-ukrainien" TargetMode="External"/><Relationship Id="rId2539" Type="http://schemas.openxmlformats.org/officeDocument/2006/relationships/hyperlink" Target="https://www.19fortyfive.com/2022/04/switchblade-the-drone-giving-ukraine-a-big-edge-against-russia/" TargetMode="External"/><Relationship Id="rId2746" Type="http://schemas.openxmlformats.org/officeDocument/2006/relationships/hyperlink" Target="https://www.whitehouse.gov/briefing-room/press-briefings/2022/04/04/press-briefing-by-press-secretary-jen-psaki-and-national-security-advisor-jake-sullivan/" TargetMode="External"/><Relationship Id="rId620" Type="http://schemas.openxmlformats.org/officeDocument/2006/relationships/hyperlink" Target="https://pm.gc.ca/en/news/backgrounders/2022/06/28/additional-canadian-support-ukraine-announced-2022-g7-summit" TargetMode="External"/><Relationship Id="rId718" Type="http://schemas.openxmlformats.org/officeDocument/2006/relationships/hyperlink" Target="https://www.defense.gov/News/Releases/Release/Article/3007664/fact-sheet-on-us-security-assistance-for-ukraine-roll-up-as-of-april-21-2022/" TargetMode="External"/><Relationship Id="rId925" Type="http://schemas.openxmlformats.org/officeDocument/2006/relationships/hyperlink" Target="https://www.kmu.gov.ua/en/news/ukraina-otrymaie-vid-svitovoho-banku-dodatkove-finansuvannia-na-5299-mln-dol-ssha-dlia-nahalnykh-potreb" TargetMode="External"/><Relationship Id="rId1250" Type="http://schemas.openxmlformats.org/officeDocument/2006/relationships/hyperlink" Target="https://www.leparisien.fr/politique/sebastien-lecornu-nous-allons-former-jusqua-2000-soldats-ukrainiens-en-france-15-10-2022-SBLM6EKPOFELNHN3GHGA7IAESY.php" TargetMode="External"/><Relationship Id="rId1348" Type="http://schemas.openxmlformats.org/officeDocument/2006/relationships/hyperlink" Target="https://twitter.com/a_anusauskas/status/1596869391974813698" TargetMode="External"/><Relationship Id="rId1555" Type="http://schemas.openxmlformats.org/officeDocument/2006/relationships/hyperlink" Target="https://www.bundesregierung.de/resource/blob/975226/2155792/c3dbab706421f63d3d612091e7ecad4c/2022-12-27-unterstuetzung-ukraine-breg-data.pdf?download=1%20Guten" TargetMode="External"/><Relationship Id="rId1762" Type="http://schemas.openxmlformats.org/officeDocument/2006/relationships/hyperlink" Target="https://appropriations.house.gov/sites/democrats.appropriations.house.gov/files/Ukraine%20Supplemental%20Summary.pdf" TargetMode="External"/><Relationship Id="rId2301" Type="http://schemas.openxmlformats.org/officeDocument/2006/relationships/hyperlink" Target="https://appropriations.house.gov/sites/democrats.appropriations.house.gov/files/Ukraine%20Supplemental%20Summary%20FY23.pdf" TargetMode="External"/><Relationship Id="rId2606" Type="http://schemas.openxmlformats.org/officeDocument/2006/relationships/hyperlink" Target="https://www.whitehouse.gov/briefing-room/press-briefings/2022/04/04/press-briefing-by-press-secretary-jen-psaki-and-national-security-advisor-jake-sullivan/" TargetMode="External"/><Relationship Id="rId1110" Type="http://schemas.openxmlformats.org/officeDocument/2006/relationships/hyperlink" Target="https://www.facebook.com/ukremb.at/posts/2254397241403945" TargetMode="External"/><Relationship Id="rId1208" Type="http://schemas.openxmlformats.org/officeDocument/2006/relationships/hyperlink" Target="https://mocr.army.cz/informacni-servis/zpravodajstvi/jednani-ministryne-s-ceskymi-zbrojari--ocenuji-podporu-exportu-i-ceskych-zakazek-239387/" TargetMode="External"/><Relationship Id="rId1415" Type="http://schemas.openxmlformats.org/officeDocument/2006/relationships/hyperlink" Target="https://www.lusa.pt/article/39993895/portugal-ukraine-aid-to-include-generators-haters-led-bulbs" TargetMode="External"/><Relationship Id="rId2813" Type="http://schemas.openxmlformats.org/officeDocument/2006/relationships/hyperlink" Target="https://appropriations.house.gov/sites/democrats.appropriations.house.gov/files/Ukraine%20Supplemental%20Summary.pdf" TargetMode="External"/><Relationship Id="rId54" Type="http://schemas.openxmlformats.org/officeDocument/2006/relationships/hyperlink" Target="https://www.ctvnews.ca/politics/ukraine-can-t-negotiate-with-gun-to-head-says-joly-as-trudeau-presses-allies-1.5811832" TargetMode="External"/><Relationship Id="rId1622" Type="http://schemas.openxmlformats.org/officeDocument/2006/relationships/hyperlink" Target="https://www.minister.defence.gov.au/media-releases/2022-10-27/additional-support-ukraine" TargetMode="External"/><Relationship Id="rId1927" Type="http://schemas.openxmlformats.org/officeDocument/2006/relationships/hyperlink" Target="https://appropriations.house.gov/sites/democrats.appropriations.house.gov/files/Additional%20Ukraine%20Suplemental%20Appropriations%20Act%20Summary.pdf" TargetMode="External"/><Relationship Id="rId2091" Type="http://schemas.openxmlformats.org/officeDocument/2006/relationships/hyperlink" Target="https://crsreports.congress.gov/product/pdf/IF/IF12040" TargetMode="External"/><Relationship Id="rId2189" Type="http://schemas.openxmlformats.org/officeDocument/2006/relationships/hyperlink" Target="https://appropriations.house.gov/sites/democrats.appropriations.house.gov/files/Summary%20Continuing%20Appropriations%20and%20Ukraine%20Supplemental%20Appropriations%20Act%202023.pdf" TargetMode="External"/><Relationship Id="rId270" Type="http://schemas.openxmlformats.org/officeDocument/2006/relationships/hyperlink" Target="https://www.reuters.com/world/new-zealand-provide-ukraine-with-non-lethal-military-assistance-2022-03-21/" TargetMode="External"/><Relationship Id="rId2396" Type="http://schemas.openxmlformats.org/officeDocument/2006/relationships/hyperlink" Target="https://crsreports.congress.gov/product/pdf/IF/IF12040" TargetMode="External"/><Relationship Id="rId130" Type="http://schemas.openxmlformats.org/officeDocument/2006/relationships/hyperlink" Target="https://spectator.sme.sk/c/22850259/slovakia-will-send-more-military-aid-to-ukraine.html" TargetMode="External"/><Relationship Id="rId368" Type="http://schemas.openxmlformats.org/officeDocument/2006/relationships/hyperlink" Target="https://www.gazzettaufficiale.it/eli/id/2022/04/27/22A02651/sg" TargetMode="External"/><Relationship Id="rId575" Type="http://schemas.openxmlformats.org/officeDocument/2006/relationships/hyperlink" Target="https://www.swissinfo.ch/eng/switzerland-approves-chf80-million-in-emergency-aid-for-ukraine/47423096?utm_campaign=teaser-in-article&amp;utm_source=swissinfoch&amp;utm_content=o&amp;utm_medium=display" TargetMode="External"/><Relationship Id="rId782" Type="http://schemas.openxmlformats.org/officeDocument/2006/relationships/hyperlink" Target="https://lahbib.belgium.be/en/belgium-provide-8-million-eur-non-lethal-support-ukrainian-armed-forces" TargetMode="External"/><Relationship Id="rId2049" Type="http://schemas.openxmlformats.org/officeDocument/2006/relationships/hyperlink" Target="https://crsreports.congress.gov/product/pdf/IF/IF12040" TargetMode="External"/><Relationship Id="rId2256" Type="http://schemas.openxmlformats.org/officeDocument/2006/relationships/hyperlink" Target="https://appropriations.house.gov/sites/democrats.appropriations.house.gov/files/Ukraine%20Supplemental%20Summary%20FY23.pdf" TargetMode="External"/><Relationship Id="rId2463" Type="http://schemas.openxmlformats.org/officeDocument/2006/relationships/hyperlink" Target="https://appropriations.house.gov/sites/democrats.appropriations.house.gov/files/Ukraine%20Supplemental%20Summary.pdf" TargetMode="External"/><Relationship Id="rId2670" Type="http://schemas.openxmlformats.org/officeDocument/2006/relationships/hyperlink" Target="https://www.defense.gov/News/Releases/Release/Article/2987119/defense-department-announces-300-million-in-additional-assistance-for-ukraine/" TargetMode="External"/><Relationship Id="rId228" Type="http://schemas.openxmlformats.org/officeDocument/2006/relationships/hyperlink" Target="https://reliefweb.int/report/ukraine/uk-pledges-another-80-million-aid-help-ukraine-deal-humanitarian-crisis" TargetMode="External"/><Relationship Id="rId435" Type="http://schemas.openxmlformats.org/officeDocument/2006/relationships/hyperlink" Target="https://euneighbourseast.eu/news-and-stories/latest-news/ukraine-eu-announces-e120-million-grant-to-support-societal-and-state-resilience/" TargetMode="External"/><Relationship Id="rId642" Type="http://schemas.openxmlformats.org/officeDocument/2006/relationships/hyperlink" Target="https://kyivindependent.com/uncategorized/poland-has-provided-ukraine-with-weapons-worth-1-6-billion/" TargetMode="External"/><Relationship Id="rId1065" Type="http://schemas.openxmlformats.org/officeDocument/2006/relationships/hyperlink" Target="https://english.nv.ua/nation/czech-republic-prepares-new-military-aid-package-for-ukraine-50278050.html" TargetMode="External"/><Relationship Id="rId1272" Type="http://schemas.openxmlformats.org/officeDocument/2006/relationships/hyperlink" Target="https://appropriations.house.gov/sites/democrats.appropriations.house.gov/files/Additional%20Ukraine%20Suplemental%20Appropriations%20Act%20Summary.pdf" TargetMode="External"/><Relationship Id="rId2116" Type="http://schemas.openxmlformats.org/officeDocument/2006/relationships/hyperlink" Target="https://crsreports.congress.gov/product/pdf/IF/IF12040" TargetMode="External"/><Relationship Id="rId2323" Type="http://schemas.openxmlformats.org/officeDocument/2006/relationships/hyperlink" Target="https://crsreports.congress.gov/product/pdf/IF/IF12040" TargetMode="External"/><Relationship Id="rId2530" Type="http://schemas.openxmlformats.org/officeDocument/2006/relationships/hyperlink" Target="https://www.19fortyfive.com/2022/04/switchblade-the-drone-giving-ukraine-a-big-edge-against-russia/" TargetMode="External"/><Relationship Id="rId2768" Type="http://schemas.openxmlformats.org/officeDocument/2006/relationships/hyperlink" Target="https://crsreports.congress.gov/product/pdf/IF/IF12040" TargetMode="External"/><Relationship Id="rId502" Type="http://schemas.openxmlformats.org/officeDocument/2006/relationships/hyperlink" Target="https://www.theportugalnews.com/news/2022-03-04/portugal-sends-ukraine-100000-of-medical-supplies/65610" TargetMode="External"/><Relationship Id="rId947" Type="http://schemas.openxmlformats.org/officeDocument/2006/relationships/hyperlink" Target="https://news.err.ee/1608731662/economic-minister-estonia-can-set-an-example-for-rebuilding-ukraine" TargetMode="External"/><Relationship Id="rId1132" Type="http://schemas.openxmlformats.org/officeDocument/2006/relationships/hyperlink" Target="https://www.aa.com.tr/en/europe/spain-announces-increase-in-military-aid-to-ukraine/2668809" TargetMode="External"/><Relationship Id="rId1577" Type="http://schemas.openxmlformats.org/officeDocument/2006/relationships/hyperlink" Target="https://www.gov.uk/government/speeches/defence-secretary-oral-statement-on-war-in-ukraine--2" TargetMode="External"/><Relationship Id="rId1784" Type="http://schemas.openxmlformats.org/officeDocument/2006/relationships/hyperlink" Target="https://appropriations.house.gov/sites/democrats.appropriations.house.gov/files/Ukraine%20Supplemental%20Summary.pdf" TargetMode="External"/><Relationship Id="rId1991" Type="http://schemas.openxmlformats.org/officeDocument/2006/relationships/hyperlink" Target="https://appropriations.house.gov/sites/democrats.appropriations.house.gov/files/Additional%20Ukraine%20Suplemental%20Appropriations%20Act%20Summary.pdf" TargetMode="External"/><Relationship Id="rId2628" Type="http://schemas.openxmlformats.org/officeDocument/2006/relationships/hyperlink" Target="https://www.defense.gov/News/Releases/Release/Article/2988565/readout-of-secretary-of-defense-lloyd-j-austin-iiis-call-with-ukraines-minister/" TargetMode="External"/><Relationship Id="rId2835" Type="http://schemas.openxmlformats.org/officeDocument/2006/relationships/hyperlink" Target="https://appropriations.house.gov/sites/democrats.appropriations.house.gov/files/Ukraine%20Supplemental%20Summary.pdf" TargetMode="External"/><Relationship Id="rId76" Type="http://schemas.openxmlformats.org/officeDocument/2006/relationships/hyperlink" Target="https://www.reuters.com/article/ukraine-crisis-czech-arms-idUSL2N2VG078" TargetMode="External"/><Relationship Id="rId807" Type="http://schemas.openxmlformats.org/officeDocument/2006/relationships/hyperlink" Target="https://www.defense.gov/News/Releases/Release/Article/3134457/775-million-in-additional-security-assistance-for-ukraine/" TargetMode="External"/><Relationship Id="rId1437" Type="http://schemas.openxmlformats.org/officeDocument/2006/relationships/hyperlink" Target="https://babel.ua/en/news/88860-japan-plans-to-provide-ukraine-with-an-additional-500-million-in-aid" TargetMode="External"/><Relationship Id="rId1644" Type="http://schemas.openxmlformats.org/officeDocument/2006/relationships/hyperlink" Target="https://www.reuters.com/world/europe/germany-netherlands-supply-six-more-howitzers-kyiv-2022-06-28/" TargetMode="External"/><Relationship Id="rId1851" Type="http://schemas.openxmlformats.org/officeDocument/2006/relationships/hyperlink" Target="https://appropriations.house.gov/sites/democrats.appropriations.house.gov/files/Ukraine%20Supplemental%20Summary.pdf" TargetMode="External"/><Relationship Id="rId2902" Type="http://schemas.openxmlformats.org/officeDocument/2006/relationships/hyperlink" Target="https://appropriations.house.gov/sites/democrats.appropriations.house.gov/files/Summary%20Continuing%20Appropriations%20and%20Ukraine%20Supplemental%20Appropriations%20Act%202023.pdf" TargetMode="External"/><Relationship Id="rId1504" Type="http://schemas.openxmlformats.org/officeDocument/2006/relationships/hyperlink" Target="https://www.ekathimerini.com/news/1179620/greek-role-within-nato-is-upgraded/" TargetMode="External"/><Relationship Id="rId1711" Type="http://schemas.openxmlformats.org/officeDocument/2006/relationships/hyperlink" Target="https://www.euronews.com/2022/09/29/cargo-ship-with-1000-tonnes-of-ukraine-aid-sets-sail-from-marseille" TargetMode="External"/><Relationship Id="rId1949" Type="http://schemas.openxmlformats.org/officeDocument/2006/relationships/hyperlink" Target="https://appropriations.house.gov/sites/democrats.appropriations.house.gov/files/Additional%20Ukraine%20Suplemental%20Appropriations%20Act%20Summary.pdf" TargetMode="External"/><Relationship Id="rId292" Type="http://schemas.openxmlformats.org/officeDocument/2006/relationships/hyperlink" Target="https://www.cbc.ca/news/politics/ukraine-m777-howitzer-russia-heavy-artillery-1.6427762" TargetMode="External"/><Relationship Id="rId1809" Type="http://schemas.openxmlformats.org/officeDocument/2006/relationships/hyperlink" Target="https://appropriations.house.gov/sites/democrats.appropriations.house.gov/files/Ukraine%20Supplemental%20Summary.pdf" TargetMode="External"/><Relationship Id="rId597" Type="http://schemas.openxmlformats.org/officeDocument/2006/relationships/hyperlink" Target="https://www.rijksoverheid.nl/documenten/kamerstukken/2022/02/27/kamerbrief-update-afgifte-vergunning-voor-de-export-van-militaire-goederen-aan-oekraine" TargetMode="External"/><Relationship Id="rId2180" Type="http://schemas.openxmlformats.org/officeDocument/2006/relationships/hyperlink" Target="https://crsreports.congress.gov/product/pdf/IF/IF12040" TargetMode="External"/><Relationship Id="rId2278" Type="http://schemas.openxmlformats.org/officeDocument/2006/relationships/hyperlink" Target="https://appropriations.house.gov/sites/democrats.appropriations.house.gov/files/Ukraine%20Supplemental%20Summary%20FY23.pdf" TargetMode="External"/><Relationship Id="rId2485" Type="http://schemas.openxmlformats.org/officeDocument/2006/relationships/hyperlink" Target="https://appropriations.house.gov/sites/democrats.appropriations.house.gov/files/Additional%20Ukraine%20Suplemental%20Appropriations%20Act%20Summary.pdf" TargetMode="External"/><Relationship Id="rId152" Type="http://schemas.openxmlformats.org/officeDocument/2006/relationships/hyperlink" Target="https://ukranews.com/en/news/850937-romania-will-transfer-lethal-weapons-from-its-own-reserves-to-ukraine-media" TargetMode="External"/><Relationship Id="rId457" Type="http://schemas.openxmlformats.org/officeDocument/2006/relationships/hyperlink" Target="https://www.krone.at/2724936" TargetMode="External"/><Relationship Id="rId1087" Type="http://schemas.openxmlformats.org/officeDocument/2006/relationships/hyperlink" Target="https://www.defense.gouv.fr/terre/actualites/uiisc-1-3e-convoi-solidarite-lukraine" TargetMode="External"/><Relationship Id="rId1294" Type="http://schemas.openxmlformats.org/officeDocument/2006/relationships/hyperlink" Target="https://www.defensa.gob.es/gabinete/notasPrensa/2022/10/DGC-221006-envio-ucrania.html" TargetMode="External"/><Relationship Id="rId2040" Type="http://schemas.openxmlformats.org/officeDocument/2006/relationships/hyperlink" Target="https://crsreports.congress.gov/product/pdf/IF/IF12040" TargetMode="External"/><Relationship Id="rId2138" Type="http://schemas.openxmlformats.org/officeDocument/2006/relationships/hyperlink" Target="https://crsreports.congress.gov/product/pdf/IF/IF12040" TargetMode="External"/><Relationship Id="rId2692" Type="http://schemas.openxmlformats.org/officeDocument/2006/relationships/hyperlink" Target="https://www.defense.gov/News/Releases/Release/Article/2987119/defense-department-announces-300-million-in-additional-assistance-for-ukraine/" TargetMode="External"/><Relationship Id="rId664" Type="http://schemas.openxmlformats.org/officeDocument/2006/relationships/hyperlink" Target="https://www.gov.uk/government/news/uk-to-gift-multiple-launch-rocket-systems-to-ukraine" TargetMode="External"/><Relationship Id="rId871" Type="http://schemas.openxmlformats.org/officeDocument/2006/relationships/hyperlink" Target="https://www.euractiv.com/section/politics/short_news/belgium-to-provide-e8-million-for-non-lethal-aid-to-ukraines-armed-forces/" TargetMode="External"/><Relationship Id="rId969" Type="http://schemas.openxmlformats.org/officeDocument/2006/relationships/hyperlink" Target="https://www.gov.uk/government/news/uk-to-give-more-multiple-launch-rocket-systems-and-guided-missiles-to-ukraine" TargetMode="External"/><Relationship Id="rId1599" Type="http://schemas.openxmlformats.org/officeDocument/2006/relationships/hyperlink" Target="https://mocr.army.cz/informacni-servis/zpravodajstvi/jednani-ministryne-s-ceskymi-zbrojari--ocenuji-podporu-exportu-i-ceskych-zakazek-239387/" TargetMode="External"/><Relationship Id="rId2345" Type="http://schemas.openxmlformats.org/officeDocument/2006/relationships/hyperlink" Target="https://crsreports.congress.gov/product/pdf/IF/IF12040" TargetMode="External"/><Relationship Id="rId2552" Type="http://schemas.openxmlformats.org/officeDocument/2006/relationships/hyperlink" Target="https://www.19fortyfive.com/2022/04/switchblade-the-drone-giving-ukraine-a-big-edge-against-russia/" TargetMode="External"/><Relationship Id="rId317" Type="http://schemas.openxmlformats.org/officeDocument/2006/relationships/hyperlink" Target="https://globalnews.ca/news/8788360/ukraine-war-canada-armoured-vehicles/" TargetMode="External"/><Relationship Id="rId524" Type="http://schemas.openxmlformats.org/officeDocument/2006/relationships/hyperlink" Target="https://twitter.com/AnnLinde/status/1532316643254226945?ref_src=twsrc%5Etfw%7Ctwcamp%5Etweetembed%7Ctwterm%5E1532316643254226945%7Ctwgr%5E%7Ctwcon%5Es1_&amp;ref_url=https%3A%2F%2Fmezha.media%2Fen%2F2022%2F06%2F03%2Frbs-17-swedish-short-range-anti-ship-missile%2F" TargetMode="External"/><Relationship Id="rId731" Type="http://schemas.openxmlformats.org/officeDocument/2006/relationships/hyperlink" Target="https://ua.interfax.com.ua/news/general/844172.html" TargetMode="External"/><Relationship Id="rId1154" Type="http://schemas.openxmlformats.org/officeDocument/2006/relationships/hyperlink" Target="https://www.bbc.com/news/uk-61990479" TargetMode="External"/><Relationship Id="rId1361" Type="http://schemas.openxmlformats.org/officeDocument/2006/relationships/hyperlink" Target="https://www.rtlnieuws.nl/nieuws/politiek/artikel/5344701/kabinet-120-miljoen-extra-militaire-steun-voor-oekraine" TargetMode="External"/><Relationship Id="rId1459" Type="http://schemas.openxmlformats.org/officeDocument/2006/relationships/hyperlink" Target="https://www.defense.gov/News/Releases/Release/Article/3227217/400-million-in-additional-assistance-for-ukraine/" TargetMode="External"/><Relationship Id="rId2205"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12" Type="http://schemas.openxmlformats.org/officeDocument/2006/relationships/hyperlink" Target="https://appropriations.house.gov/sites/democrats.appropriations.house.gov/files/Summary%20Continuing%20Appropriations%20and%20Ukraine%20Supplemental%20Appropriations%20Act%202023.pdf" TargetMode="External"/><Relationship Id="rId2857" Type="http://schemas.openxmlformats.org/officeDocument/2006/relationships/hyperlink" Target="https://appropriations.house.gov/sites/democrats.appropriations.house.gov/files/Additional%20Ukraine%20Suplemental%20Appropriations%20Act%20Summary.pdf" TargetMode="External"/><Relationship Id="rId98" Type="http://schemas.openxmlformats.org/officeDocument/2006/relationships/hyperlink" Target="https://www.reuters.com/world/europe/uk-provide-6000-missiles-ukraine-new-support-2022-03-23/" TargetMode="External"/><Relationship Id="rId829" Type="http://schemas.openxmlformats.org/officeDocument/2006/relationships/hyperlink" Target="https://www.defense.gov/News/Releases/Release/Article/3160503/600-million-in-additional-security-assistance-for-ukraine/" TargetMode="External"/><Relationship Id="rId1014" Type="http://schemas.openxmlformats.org/officeDocument/2006/relationships/hyperlink" Target="https://www.armyrecognition.com/defense_news_april_2022_global_security_army_industry/denmark_approves_delivery_of_m113_tracked_armored_vehicles_and_ammunition_to_ukraine.html" TargetMode="External"/><Relationship Id="rId1221" Type="http://schemas.openxmlformats.org/officeDocument/2006/relationships/hyperlink" Target="https://news.err.ee/1608742171/estonia-sends-more-ammunition-protective-equipment-to-ukraine" TargetMode="External"/><Relationship Id="rId1666" Type="http://schemas.openxmlformats.org/officeDocument/2006/relationships/hyperlink" Target="https://www.dw.com/en/ukraine-updates-zelenskyy-hints-he-is-open-to-talks-with-russia/a-63679013" TargetMode="External"/><Relationship Id="rId1873" Type="http://schemas.openxmlformats.org/officeDocument/2006/relationships/hyperlink" Target="https://appropriations.house.gov/sites/democrats.appropriations.house.gov/files/Additional%20Ukraine%20Suplemental%20Appropriations%20Act%20Summary.pdf" TargetMode="External"/><Relationship Id="rId2717" Type="http://schemas.openxmlformats.org/officeDocument/2006/relationships/hyperlink" Target="https://www.whitehouse.gov/briefing-room/press-briefings/2022/04/04/press-briefing-by-press-secretary-jen-psaki-and-national-security-advisor-jake-sullivan/" TargetMode="External"/><Relationship Id="rId2924" Type="http://schemas.openxmlformats.org/officeDocument/2006/relationships/hyperlink" Target="https://www.eda.admin.ch/content/dam/eda/de/documents/aktuell/news/2022/20221215-ukraine-engagement-schweiz-themen_de.pdf" TargetMode="External"/><Relationship Id="rId1319"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1526" Type="http://schemas.openxmlformats.org/officeDocument/2006/relationships/hyperlink" Target="https://www.gov.ie/en/press-release/2e59c-update-on-medical-humanitarian-support-to-ukraine/" TargetMode="External"/><Relationship Id="rId1733" Type="http://schemas.openxmlformats.org/officeDocument/2006/relationships/hyperlink" Target="https://appropriations.house.gov/sites/democrats.appropriations.house.gov/files/Ukraine%20Supplemental%20Summary.pdf" TargetMode="External"/><Relationship Id="rId1940" Type="http://schemas.openxmlformats.org/officeDocument/2006/relationships/hyperlink" Target="https://appropriations.house.gov/sites/democrats.appropriations.house.gov/files/Additional%20Ukraine%20Suplemental%20Appropriations%20Act%20Summary.pdf" TargetMode="External"/><Relationship Id="rId25" Type="http://schemas.openxmlformats.org/officeDocument/2006/relationships/hyperlink" Target="https://ua.interfax.com.ua/news/general/804360.html" TargetMode="External"/><Relationship Id="rId1800" Type="http://schemas.openxmlformats.org/officeDocument/2006/relationships/hyperlink" Target="https://appropriations.house.gov/sites/democrats.appropriations.house.gov/files/Ukraine%20Supplemental%20Summary.pdf" TargetMode="External"/><Relationship Id="rId174" Type="http://schemas.openxmlformats.org/officeDocument/2006/relationships/hyperlink" Target="https://civilna-zastita.gov.hr/vijesti/dostavljena-zurna-humanitarna-pomoc-ukrajini-u-organizaciji-ravnateljstva-civilne-zastite/5634" TargetMode="External"/><Relationship Id="rId381" Type="http://schemas.openxmlformats.org/officeDocument/2006/relationships/hyperlink" Target="https://www.france24.com/en/live-news/20220601-arms-for-ukraine-who-has-sent-what" TargetMode="External"/><Relationship Id="rId2062" Type="http://schemas.openxmlformats.org/officeDocument/2006/relationships/hyperlink" Target="https://crsreports.congress.gov/product/pdf/IF/IF12040" TargetMode="External"/><Relationship Id="rId241" Type="http://schemas.openxmlformats.org/officeDocument/2006/relationships/hyperlink" Target="https://www.regjeringen.no/en/topics/foreign-affairs/humanitarian-efforts/neighbour_support/id2908141/" TargetMode="External"/><Relationship Id="rId479" Type="http://schemas.openxmlformats.org/officeDocument/2006/relationships/hyperlink" Target="https://www.rferl.org/a/czech-republic-poland-new-military-aid-ukraine/31873938.html" TargetMode="External"/><Relationship Id="rId686" Type="http://schemas.openxmlformats.org/officeDocument/2006/relationships/hyperlink" Target="https://www.brusselstimes.com/255904/belgium-to-send-new-huge-aid-shipment-to-ukraine" TargetMode="External"/><Relationship Id="rId893" Type="http://schemas.openxmlformats.org/officeDocument/2006/relationships/hyperlink" Target="https://www.reuters.com/world/europe/slovakia-donate-30-infantry-fighting-vehicles-ukraine-minister-2022-08-23/" TargetMode="External"/><Relationship Id="rId2367" Type="http://schemas.openxmlformats.org/officeDocument/2006/relationships/hyperlink" Target="https://crsreports.congress.gov/product/pdf/IF/IF12040" TargetMode="External"/><Relationship Id="rId2574" Type="http://schemas.openxmlformats.org/officeDocument/2006/relationships/hyperlink" Target="https://www.whitehouse.gov/briefing-room/press-briefings/2022/04/04/press-briefing-by-press-secretary-jen-psaki-and-national-security-advisor-jake-sullivan/" TargetMode="External"/><Relationship Id="rId2781" Type="http://schemas.openxmlformats.org/officeDocument/2006/relationships/hyperlink" Target="https://crsreports.congress.gov/product/pdf/IF/IF12040" TargetMode="External"/><Relationship Id="rId339" Type="http://schemas.openxmlformats.org/officeDocument/2006/relationships/hyperlink" Target="https://www.youtube.com/watch?v=A1nTsblXabc" TargetMode="External"/><Relationship Id="rId546" Type="http://schemas.openxmlformats.org/officeDocument/2006/relationships/hyperlink" Target="https://www.ukrinform.net/rubric-polytics/3501933-estonia-has-provided-240m-in-military-aid-to-ukraine-korniyenko.html" TargetMode="External"/><Relationship Id="rId753" Type="http://schemas.openxmlformats.org/officeDocument/2006/relationships/hyperlink" Target="https://twitter.com/Pabriks/status/1559196940167962624?s=20&amp;t=8mX0LWVPGMqpt7LQ8N__qA" TargetMode="External"/><Relationship Id="rId1176" Type="http://schemas.openxmlformats.org/officeDocument/2006/relationships/hyperlink" Target="https://www.defense.gov/News/Releases/Release/Article/3189571/725-million-in-additional-security-assistance-for-ukraine/" TargetMode="External"/><Relationship Id="rId1383" Type="http://schemas.openxmlformats.org/officeDocument/2006/relationships/hyperlink" Target="https://kaitseministeerium.ee/et/uudised/eesti-annetab-koostoos-hollandi-ja-norraga-ukrainale-kolmanda-valihaigla" TargetMode="External"/><Relationship Id="rId2227"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34" Type="http://schemas.openxmlformats.org/officeDocument/2006/relationships/hyperlink" Target="https://appropriations.house.gov/sites/democrats.appropriations.house.gov/files/Ukraine%20Supplemental%20Summary%20FY23.pdf" TargetMode="External"/><Relationship Id="rId2879" Type="http://schemas.openxmlformats.org/officeDocument/2006/relationships/hyperlink" Target="https://appropriations.house.gov/sites/democrats.appropriations.house.gov/files/Additional%20Ukraine%20Suplemental%20Appropriations%20Act%20Summary.pdf" TargetMode="External"/><Relationship Id="rId101" Type="http://schemas.openxmlformats.org/officeDocument/2006/relationships/hyperlink" Target="https://www.reuters.com/world/europe/spain-send-grenade-launchers-machine-guns-ukraine-minister-says-2022-03-02/" TargetMode="External"/><Relationship Id="rId406" Type="http://schemas.openxmlformats.org/officeDocument/2006/relationships/hyperlink" Target="https://www.reuters.com/world/europe/slovakia-says-it-delivered-air-defence-anti-tank-rockets-ukraine-2022-02-28/" TargetMode="External"/><Relationship Id="rId960" Type="http://schemas.openxmlformats.org/officeDocument/2006/relationships/hyperlink" Target="https://www.regjeringen.no/en/aktuelt/statement-by-the-norwegian-german-slovakian-and-danish-ministers-of-defence/id2930329/" TargetMode="External"/><Relationship Id="rId1036" Type="http://schemas.openxmlformats.org/officeDocument/2006/relationships/hyperlink" Target="https://intermin.fi/en/ukraine/civilian-assistance-to-ukraine" TargetMode="External"/><Relationship Id="rId1243" Type="http://schemas.openxmlformats.org/officeDocument/2006/relationships/hyperlink" Target="https://www.lejdd.fr/International/sebastien-lecornu-ministre-des-armees-nous-navons-pas-a-rougir-de-notre-aide-a-lukraine-4148779" TargetMode="External"/><Relationship Id="rId1590" Type="http://schemas.openxmlformats.org/officeDocument/2006/relationships/hyperlink" Target="https://projects.worldbank.org/en/projects-operations/project-detail/P180453" TargetMode="External"/><Relationship Id="rId1688" Type="http://schemas.openxmlformats.org/officeDocument/2006/relationships/hyperlink" Target="https://www.ukrainianworldcongress.org/slovakia-approves-a-new-package-of-military-aid-to-ukraine/" TargetMode="External"/><Relationship Id="rId1895" Type="http://schemas.openxmlformats.org/officeDocument/2006/relationships/hyperlink" Target="https://appropriations.house.gov/sites/democrats.appropriations.house.gov/files/Additional%20Ukraine%20Suplemental%20Appropriations%20Act%20Summary.pdf" TargetMode="External"/><Relationship Id="rId2641" Type="http://schemas.openxmlformats.org/officeDocument/2006/relationships/hyperlink" Target="https://www.defense.gov/News/Releases/Release/Article/2988565/readout-of-secretary-of-defense-lloyd-j-austin-iiis-call-with-ukraines-minister/" TargetMode="External"/><Relationship Id="rId2739" Type="http://schemas.openxmlformats.org/officeDocument/2006/relationships/hyperlink" Target="https://www.whitehouse.gov/briefing-room/press-briefings/2022/04/04/press-briefing-by-press-secretary-jen-psaki-and-national-security-advisor-jake-sullivan/" TargetMode="External"/><Relationship Id="rId2946" Type="http://schemas.openxmlformats.org/officeDocument/2006/relationships/hyperlink" Target="https://japan.kantei.go.jp/ongoingtopics/_00002.html" TargetMode="External"/><Relationship Id="rId613" Type="http://schemas.openxmlformats.org/officeDocument/2006/relationships/hyperlink" Target="https://www.flightglobal.com/helicopters/czech-republic-sending-attack-helicopters-to-ukraine/148770.article" TargetMode="External"/><Relationship Id="rId820" Type="http://schemas.openxmlformats.org/officeDocument/2006/relationships/hyperlink" Target="https://www.defense.gov/News/Releases/Release/Article/3152071/675-million-in-additional-security-assistance-for-ukraine/" TargetMode="External"/><Relationship Id="rId918" Type="http://schemas.openxmlformats.org/officeDocument/2006/relationships/hyperlink" Target="https://www.diplomatie.gouv.fr/en/country-files/ukraine/news/article/ukraine-catherine-colonna-to-attend-the-launch-of-solidarity-operation-un" TargetMode="External"/><Relationship Id="rId1450" Type="http://schemas.openxmlformats.org/officeDocument/2006/relationships/hyperlink" Target="https://appropriations.house.gov/sites/democrats.appropriations.house.gov/files/Ukraine%20Supplemental%20Summary%20FY23.pdf" TargetMode="External"/><Relationship Id="rId1548" Type="http://schemas.openxmlformats.org/officeDocument/2006/relationships/hyperlink" Target="https://www.bundesregierung.de/resource/blob/975226/2155792/c3dbab706421f63d3d612091e7ecad4c/2022-12-27-unterstuetzung-ukraine-breg-data.pdf?download=1%20Guten" TargetMode="External"/><Relationship Id="rId1755" Type="http://schemas.openxmlformats.org/officeDocument/2006/relationships/hyperlink" Target="https://appropriations.house.gov/sites/democrats.appropriations.house.gov/files/Ukraine%20Supplemental%20Summary.pdf" TargetMode="External"/><Relationship Id="rId2501" Type="http://schemas.openxmlformats.org/officeDocument/2006/relationships/hyperlink" Target="https://crsreports.congress.gov/product/pdf/IF/IF12040" TargetMode="External"/><Relationship Id="rId1103" Type="http://schemas.openxmlformats.org/officeDocument/2006/relationships/hyperlink" Target="https://www.reuters.com/world/europe/italy-open-supplying-air-defence-systems-ukraine-official-2022-11-08/" TargetMode="External"/><Relationship Id="rId1310" Type="http://schemas.openxmlformats.org/officeDocument/2006/relationships/hyperlink" Target="https://www.gov.uk/government/news/uk-to-send-scores-of-artillery-guns-and-hundreds-of-drones-to-ukraine" TargetMode="External"/><Relationship Id="rId1408" Type="http://schemas.openxmlformats.org/officeDocument/2006/relationships/hyperlink" Target="https://www.ansa.it/english/news/general_news/2023/01/11/italy-set-to-send-aid-for-ukraine-power-emergency_dc0fd37c-3162-4596-a62e-cc3680424566.html" TargetMode="External"/><Relationship Id="rId1962" Type="http://schemas.openxmlformats.org/officeDocument/2006/relationships/hyperlink" Target="https://appropriations.house.gov/sites/democrats.appropriations.house.gov/files/Additional%20Ukraine%20Suplemental%20Appropriations%20Act%20Summary.pdf" TargetMode="External"/><Relationship Id="rId2806" Type="http://schemas.openxmlformats.org/officeDocument/2006/relationships/hyperlink" Target="https://appropriations.house.gov/sites/democrats.appropriations.house.gov/files/Ukraine%20Supplemental%20Summary.pdf" TargetMode="External"/><Relationship Id="rId47" Type="http://schemas.openxmlformats.org/officeDocument/2006/relationships/hyperlink" Target="https://www.lrt.lt/en/news-in-english/19/1628536/lithuania-to-send-eur4-million-medical-military-assistance-to-ukraine" TargetMode="External"/><Relationship Id="rId1615" Type="http://schemas.openxmlformats.org/officeDocument/2006/relationships/hyperlink" Target="https://twitter.com/a_anusauskas/status/1574471610807062542?cxt=HHwWnMC88dHl0tkrAAAA" TargetMode="External"/><Relationship Id="rId1822" Type="http://schemas.openxmlformats.org/officeDocument/2006/relationships/hyperlink" Target="https://appropriations.house.gov/sites/democrats.appropriations.house.gov/files/Ukraine%20Supplemental%20Summary.pdf" TargetMode="External"/><Relationship Id="rId196" Type="http://schemas.openxmlformats.org/officeDocument/2006/relationships/hyperlink" Target="https://news.az/news/lithuania-supplies-another-batch-of-weapons-to-ukraine" TargetMode="External"/><Relationship Id="rId2084" Type="http://schemas.openxmlformats.org/officeDocument/2006/relationships/hyperlink" Target="https://crsreports.congress.gov/product/pdf/IF/IF12040" TargetMode="External"/><Relationship Id="rId2291" Type="http://schemas.openxmlformats.org/officeDocument/2006/relationships/hyperlink" Target="https://appropriations.house.gov/sites/democrats.appropriations.house.gov/files/Ukraine%20Supplemental%20Summary%20FY23.pdf" TargetMode="External"/><Relationship Id="rId263" Type="http://schemas.openxmlformats.org/officeDocument/2006/relationships/hyperlink" Target="https://twitter.com/norwayeu/with_replies" TargetMode="External"/><Relationship Id="rId470" Type="http://schemas.openxmlformats.org/officeDocument/2006/relationships/hyperlink" Target="https://pmtranscripts.pmc.gov.au/release/transcript-43831" TargetMode="External"/><Relationship Id="rId2151" Type="http://schemas.openxmlformats.org/officeDocument/2006/relationships/hyperlink" Target="https://crsreports.congress.gov/product/pdf/IF/IF12040" TargetMode="External"/><Relationship Id="rId2389" Type="http://schemas.openxmlformats.org/officeDocument/2006/relationships/hyperlink" Target="https://crsreports.congress.gov/product/pdf/IF/IF12040" TargetMode="External"/><Relationship Id="rId2596" Type="http://schemas.openxmlformats.org/officeDocument/2006/relationships/hyperlink" Target="https://www.whitehouse.gov/briefing-room/press-briefings/2022/04/04/press-briefing-by-press-secretary-jen-psaki-and-national-security-advisor-jake-sullivan/" TargetMode="External"/><Relationship Id="rId123" Type="http://schemas.openxmlformats.org/officeDocument/2006/relationships/hyperlink" Target="https://ua.interfax.com.ua/news/general/807284.html" TargetMode="External"/><Relationship Id="rId330" Type="http://schemas.openxmlformats.org/officeDocument/2006/relationships/hyperlink" Target="https://twitter.com/edgarsrinkevics/status/1511694357560180745?ref_src=twsrc%5Etfw%7Ctwcamp%5Etweetembed%7Ctwterm%5E1511694357560180745%7Ctwgr%5E%7Ctwcon%5Es1_&amp;ref_url=https%3A%2F%2Fwww.redditmedia.com%2Fmediaembed%2Ftxqhaq%3Fresponsive%3Dtrueis_nightmode%3Dfalse" TargetMode="External"/><Relationship Id="rId568" Type="http://schemas.openxmlformats.org/officeDocument/2006/relationships/hyperlink" Target="https://intermin.fi/en/ukraine/civilian-assistance-to-ukraine" TargetMode="External"/><Relationship Id="rId775" Type="http://schemas.openxmlformats.org/officeDocument/2006/relationships/hyperlink" Target="https://twitter.com/oleksiireznikov/status/1557992937006448640?ref_src=twsrc%5Etfw%7Ctwcamp%5Etweetembed%7Ctwterm%5E1557992937006448640%7Ctwgr%5E16758fa5587714e685f2d4c6e1ff01d7fa7e3e2e%7Ctwcon%5Es1_&amp;ref_url=https%3A%2F%2Fwww.slovoidilo.ua%2F2022%2F08%2F12%2Fnovyna%2Fbezpeka%2Fukrayinu-prybuly-novi-rszv-m270-brytaniyi" TargetMode="External"/><Relationship Id="rId982" Type="http://schemas.openxmlformats.org/officeDocument/2006/relationships/hyperlink" Target="https://www.defense.gov/News/Releases/Release/Article/3134457/775-million-in-additional-security-assistance-for-ukraine/" TargetMode="External"/><Relationship Id="rId1198" Type="http://schemas.openxmlformats.org/officeDocument/2006/relationships/hyperlink" Target="https://www.defensa.gob.es/gabinete/notasPrensa/2022/11/DGC-221110-sesion-ucrania.html" TargetMode="External"/><Relationship Id="rId2011" Type="http://schemas.openxmlformats.org/officeDocument/2006/relationships/hyperlink" Target="https://appropriations.house.gov/sites/democrats.appropriations.house.gov/files/Additional%20Ukraine%20Suplemental%20Appropriations%20Act%20Summary.pdf" TargetMode="External"/><Relationship Id="rId2249" Type="http://schemas.openxmlformats.org/officeDocument/2006/relationships/hyperlink" Target="https://appropriations.house.gov/sites/democrats.appropriations.house.gov/files/Ukraine%20Supplemental%20Summary%20FY23.pdf" TargetMode="External"/><Relationship Id="rId2456" Type="http://schemas.openxmlformats.org/officeDocument/2006/relationships/hyperlink" Target="https://appropriations.house.gov/sites/democrats.appropriations.house.gov/files/Additional%20Ukraine%20Suplemental%20Appropriations%20Act%20Summary.pdf" TargetMode="External"/><Relationship Id="rId2663" Type="http://schemas.openxmlformats.org/officeDocument/2006/relationships/hyperlink" Target="https://www.defense.gov/News/Releases/Release/Article/2988565/readout-of-secretary-of-defense-lloyd-j-austin-iiis-call-with-ukraines-minister/" TargetMode="External"/><Relationship Id="rId2870" Type="http://schemas.openxmlformats.org/officeDocument/2006/relationships/hyperlink" Target="https://appropriations.house.gov/sites/democrats.appropriations.house.gov/files/Additional%20Ukraine%20Suplemental%20Appropriations%20Act%20Summary.pdf" TargetMode="External"/><Relationship Id="rId428" Type="http://schemas.openxmlformats.org/officeDocument/2006/relationships/hyperlink" Target="https://www.eib.org/en/press/all/2022-124-first-payments-under-eib-ukraine-solidarity-urgent-response-reach-ukraine-as-part-of-european-union-immediate-support-to-the-country" TargetMode="External"/><Relationship Id="rId635" Type="http://schemas.openxmlformats.org/officeDocument/2006/relationships/hyperlink" Target="https://rmx.news/poland/polish-army-to-order-additional-piorun-anti-air-missiles-after-the-weapon-outperforms-on-ukrainian-battlefield/" TargetMode="External"/><Relationship Id="rId842" Type="http://schemas.openxmlformats.org/officeDocument/2006/relationships/hyperlink" Target="https://www.defense.gov/News/Releases/Release/Article/3138105/nearly-3-billion-in-additional-security-assistance-for-ukraine/" TargetMode="External"/><Relationship Id="rId1058" Type="http://schemas.openxmlformats.org/officeDocument/2006/relationships/hyperlink" Target="https://www.admin.ch/gov/en/start/documentation/media-releases.msg-id-89923.html" TargetMode="External"/><Relationship Id="rId1265" Type="http://schemas.openxmlformats.org/officeDocument/2006/relationships/hyperlink" Target="https://www.defmin.fi/ajankohtaista/tiedotteet_ja_uutiset/suomi_toimittaa_lisaa_puolustustarvikeapua_ukrainaan.13184.news" TargetMode="External"/><Relationship Id="rId1472" Type="http://schemas.openxmlformats.org/officeDocument/2006/relationships/hyperlink" Target="https://defence24.com/industry/polish-weapons-defending-ukraine-analysis" TargetMode="External"/><Relationship Id="rId2109" Type="http://schemas.openxmlformats.org/officeDocument/2006/relationships/hyperlink" Target="https://crsreports.congress.gov/product/pdf/IF/IF12040" TargetMode="External"/><Relationship Id="rId2316" Type="http://schemas.openxmlformats.org/officeDocument/2006/relationships/hyperlink" Target="https://crsreports.congress.gov/product/pdf/IF/IF12040" TargetMode="External"/><Relationship Id="rId2523" Type="http://schemas.openxmlformats.org/officeDocument/2006/relationships/hyperlink" Target="https://www.19fortyfive.com/2022/04/switchblade-the-drone-giving-ukraine-a-big-edge-against-russia/" TargetMode="External"/><Relationship Id="rId2730" Type="http://schemas.openxmlformats.org/officeDocument/2006/relationships/hyperlink" Target="https://www.whitehouse.gov/briefing-room/press-briefings/2022/04/04/press-briefing-by-press-secretary-jen-psaki-and-national-security-advisor-jake-sullivan/" TargetMode="External"/><Relationship Id="rId702" Type="http://schemas.openxmlformats.org/officeDocument/2006/relationships/hyperlink" Target="https://www.reuters.com/world/europe/sweden-supply-more-military-aid-including-anti-ship-missiles-ukraine-2022-06-02/" TargetMode="External"/><Relationship Id="rId1125" Type="http://schemas.openxmlformats.org/officeDocument/2006/relationships/hyperlink" Target="https://twitter.com/a_anusauskas/status/1592084804501401604" TargetMode="External"/><Relationship Id="rId1332" Type="http://schemas.openxmlformats.org/officeDocument/2006/relationships/hyperlink" Target="https://www.canada.ca/en/department-national-defence/news/2023/01/defence-minister-anita-anand-announces-air-defence-system-donation-to-ukraine.html" TargetMode="External"/><Relationship Id="rId1777" Type="http://schemas.openxmlformats.org/officeDocument/2006/relationships/hyperlink" Target="https://appropriations.house.gov/sites/democrats.appropriations.house.gov/files/Ukraine%20Supplemental%20Summary.pdf" TargetMode="External"/><Relationship Id="rId1984" Type="http://schemas.openxmlformats.org/officeDocument/2006/relationships/hyperlink" Target="https://appropriations.house.gov/sites/democrats.appropriations.house.gov/files/Additional%20Ukraine%20Suplemental%20Appropriations%20Act%20Summary.pdf" TargetMode="External"/><Relationship Id="rId2828" Type="http://schemas.openxmlformats.org/officeDocument/2006/relationships/hyperlink" Target="https://appropriations.house.gov/sites/democrats.appropriations.house.gov/files/Ukraine%20Supplemental%20Summary.pdf" TargetMode="External"/><Relationship Id="rId69" Type="http://schemas.openxmlformats.org/officeDocument/2006/relationships/hyperlink" Target="https://mfa.gov.cy/press-releases/2022/03/09/cyprus-humanitarian-aid-to-ukraine/" TargetMode="External"/><Relationship Id="rId1637" Type="http://schemas.openxmlformats.org/officeDocument/2006/relationships/hyperlink" Target="https://finmin.lrv.lt/lt/naujienos/lietuva-per-pasaulio-banka-skiria-5-mln-euru-skubiems-ukrainos-atstatymo-darbams" TargetMode="External"/><Relationship Id="rId1844" Type="http://schemas.openxmlformats.org/officeDocument/2006/relationships/hyperlink" Target="https://appropriations.house.gov/sites/democrats.appropriations.house.gov/files/Ukraine%20Supplemental%20Summary.pdf" TargetMode="External"/><Relationship Id="rId1704" Type="http://schemas.openxmlformats.org/officeDocument/2006/relationships/hyperlink" Target="https://ua.ambafrance.org/Dostavka-1000-t-francuz-koyi-gumaniitarnoyi-dopomogi-ukrayins-kim-adresatam-v" TargetMode="External"/><Relationship Id="rId285" Type="http://schemas.openxmlformats.org/officeDocument/2006/relationships/hyperlink" Target="https://www.usnews.com/news/world/articles/2022-04-11/ukraines-zelenskiy-says-tens-of-thousands-killed-in-mariupol-seeks-military-aid-from-s-korea" TargetMode="External"/><Relationship Id="rId1911" Type="http://schemas.openxmlformats.org/officeDocument/2006/relationships/hyperlink" Target="https://appropriations.house.gov/sites/democrats.appropriations.house.gov/files/Additional%20Ukraine%20Suplemental%20Appropriations%20Act%20Summary.pdf" TargetMode="External"/><Relationship Id="rId492" Type="http://schemas.openxmlformats.org/officeDocument/2006/relationships/hyperlink" Target="https://www.tellerreport.com/news/2022-05-26-south-korea-to-provide-ukraine-with-chemical-defense-equipment-worth-1-5-billion-won.HJuNwyTvc.html" TargetMode="External"/><Relationship Id="rId797" Type="http://schemas.openxmlformats.org/officeDocument/2006/relationships/hyperlink" Target="https://www.defensenews.com/land/2022/08/22/turkey-sends-50-mine-resistant-vehicles-to-ukraine-with-more-expected/" TargetMode="External"/><Relationship Id="rId2173" Type="http://schemas.openxmlformats.org/officeDocument/2006/relationships/hyperlink" Target="https://crsreports.congress.gov/product/pdf/IN/IN11882" TargetMode="External"/><Relationship Id="rId2380"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78" Type="http://schemas.openxmlformats.org/officeDocument/2006/relationships/hyperlink" Target="https://appropriations.house.gov/sites/democrats.appropriations.house.gov/files/Additional%20Ukraine%20Suplemental%20Appropriations%20Act%20Summary.pdf" TargetMode="External"/><Relationship Id="rId145" Type="http://schemas.openxmlformats.org/officeDocument/2006/relationships/hyperlink" Target="https://www.gov.si/en/news/2022-03-07-eu-development-ministers-on-emergency-humanitarian-aid-to-ukraine/" TargetMode="External"/><Relationship Id="rId352" Type="http://schemas.openxmlformats.org/officeDocument/2006/relationships/hyperlink" Target="https://www.government.se/articles/2022/05/sweden-and-poland-mobilised-humanitarian-support-for-ukraine/" TargetMode="External"/><Relationship Id="rId1287" Type="http://schemas.openxmlformats.org/officeDocument/2006/relationships/hyperlink" Target="https://www.regjeringen.no/en/aktuelt/norway-to-increase-support-to-ukraine-and-provide-military-equipment/id2902406/" TargetMode="External"/><Relationship Id="rId2033" Type="http://schemas.openxmlformats.org/officeDocument/2006/relationships/hyperlink" Target="https://crsreports.congress.gov/product/pdf/IF/IF12040" TargetMode="External"/><Relationship Id="rId2240"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85" Type="http://schemas.openxmlformats.org/officeDocument/2006/relationships/hyperlink" Target="https://www.defense.gov/News/Releases/Release/Article/2987119/defense-department-announces-300-million-in-additional-assistance-for-ukraine/" TargetMode="External"/><Relationship Id="rId2892" Type="http://schemas.openxmlformats.org/officeDocument/2006/relationships/hyperlink" Target="https://appropriations.house.gov/sites/democrats.appropriations.house.gov/files/Additional%20Ukraine%20Suplemental%20Appropriations%20Act%20Summary.pdf" TargetMode="External"/><Relationship Id="rId212" Type="http://schemas.openxmlformats.org/officeDocument/2006/relationships/hyperlink" Target="https://www.diplomatie.gouv.fr/en/country-files/ukraine/news/article/ukraine-conversation-between-jean-yves-le-drian-and-his-ukrainian-counterpart" TargetMode="External"/><Relationship Id="rId657" Type="http://schemas.openxmlformats.org/officeDocument/2006/relationships/hyperlink" Target="https://focustaiwan.tw/politics/202204220023" TargetMode="External"/><Relationship Id="rId864" Type="http://schemas.openxmlformats.org/officeDocument/2006/relationships/hyperlink" Target="https://www.minister.defence.gov.au/statements/2022-04-08/australia-gift-20-bushmasters-government-ukraine" TargetMode="External"/><Relationship Id="rId1494" Type="http://schemas.openxmlformats.org/officeDocument/2006/relationships/hyperlink" Target="https://www.livemint.com/news/world/india-sends-7-725-kilograms-of-humanitarian-aid-to-ukraine-amid-war-read-here-11662994122487.html" TargetMode="External"/><Relationship Id="rId1799" Type="http://schemas.openxmlformats.org/officeDocument/2006/relationships/hyperlink" Target="https://appropriations.house.gov/sites/democrats.appropriations.house.gov/files/Ukraine%20Supplemental%20Summary.pdf" TargetMode="External"/><Relationship Id="rId2100" Type="http://schemas.openxmlformats.org/officeDocument/2006/relationships/hyperlink" Target="https://crsreports.congress.gov/product/pdf/IF/IF12040" TargetMode="External"/><Relationship Id="rId2338" Type="http://schemas.openxmlformats.org/officeDocument/2006/relationships/hyperlink" Target="https://crsreports.congress.gov/product/pdf/IF/IF12040" TargetMode="External"/><Relationship Id="rId2545" Type="http://schemas.openxmlformats.org/officeDocument/2006/relationships/hyperlink" Target="https://www.19fortyfive.com/2022/04/switchblade-the-drone-giving-ukraine-a-big-edge-against-russia/" TargetMode="External"/><Relationship Id="rId2752" Type="http://schemas.openxmlformats.org/officeDocument/2006/relationships/hyperlink" Target="https://www.whitehouse.gov/briefing-room/press-briefings/2022/04/04/press-briefing-by-press-secretary-jen-psaki-and-national-security-advisor-jake-sullivan/" TargetMode="External"/><Relationship Id="rId517" Type="http://schemas.openxmlformats.org/officeDocument/2006/relationships/hyperlink" Target="https://www.ukrinform.net/rubric-ato/3500636-sweden-to-provide-ukraine-with-ag-90-antimateriel-sniper-rifles-at4-antitank-weapons.html" TargetMode="External"/><Relationship Id="rId724" Type="http://schemas.openxmlformats.org/officeDocument/2006/relationships/hyperlink" Target="https://www.ukrinform.net/rubric-defense/3535335-uk-to-train-10000-ukrainians-with-little-to-no-military-experience-training.html" TargetMode="External"/><Relationship Id="rId931" Type="http://schemas.openxmlformats.org/officeDocument/2006/relationships/hyperlink" Target="https://kyiv.mfa.ee/en/2022/02/estonia-and-germany-to-donate-military-field-hospital-to-ukraine/" TargetMode="External"/><Relationship Id="rId1147" Type="http://schemas.openxmlformats.org/officeDocument/2006/relationships/hyperlink" Target="https://www.gov.uk/government/news/prime-minister-pledges-uks-unwavering-support-to-ukraine-on-visit-to-kyiv-9-april-2022" TargetMode="External"/><Relationship Id="rId1354" Type="http://schemas.openxmlformats.org/officeDocument/2006/relationships/hyperlink" Target="https://twitter.com/Defense_lu/status/1598610977364115462?t=6bU22e0y0z-S3WKot0R3BA&amp;s=19" TargetMode="External"/><Relationship Id="rId1561" Type="http://schemas.openxmlformats.org/officeDocument/2006/relationships/hyperlink" Target="https://www.deutschland.de/en/news/ticker-solidarity-with-ukraine" TargetMode="External"/><Relationship Id="rId2405"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12" Type="http://schemas.openxmlformats.org/officeDocument/2006/relationships/hyperlink" Target="https://www.whitehouse.gov/briefing-room/press-briefings/2022/04/04/press-briefing-by-press-secretary-jen-psaki-and-national-security-advisor-jake-sullivan/" TargetMode="External"/><Relationship Id="rId60" Type="http://schemas.openxmlformats.org/officeDocument/2006/relationships/hyperlink" Target="https://www.canada.ca/en/department-national-defence/news/2022/01/canada-extends-and-expands-military-and-other-support-for-the-security-of-ukraine.html" TargetMode="External"/><Relationship Id="rId1007" Type="http://schemas.openxmlformats.org/officeDocument/2006/relationships/hyperlink" Target="https://en.kriseinformation.dk/denmarks-reactions/denmarks-contributions" TargetMode="External"/><Relationship Id="rId1214" Type="http://schemas.openxmlformats.org/officeDocument/2006/relationships/hyperlink" Target="https://kaitseministeerium.ee/en/news/estonia-sending-ukraine-ammunition-and-equipment" TargetMode="External"/><Relationship Id="rId1421" Type="http://schemas.openxmlformats.org/officeDocument/2006/relationships/hyperlink" Target="https://spectator.sme.sk/c/23092666/slovaka-will-provide-winter-package-for-ukraine.html" TargetMode="External"/><Relationship Id="rId1659" Type="http://schemas.openxmlformats.org/officeDocument/2006/relationships/hyperlink" Target="https://www.investor.bg/a/527-svyat/366246-balgariya-e-otpusnala-na-ukrayna-pomosht-za-448-mln-lv-ot-nachaloto-na-voynata" TargetMode="External"/><Relationship Id="rId1866" Type="http://schemas.openxmlformats.org/officeDocument/2006/relationships/hyperlink" Target="https://appropriations.house.gov/sites/democrats.appropriations.house.gov/files/Ukraine%20Supplemental%20Summary.pdf" TargetMode="External"/><Relationship Id="rId2917" Type="http://schemas.openxmlformats.org/officeDocument/2006/relationships/hyperlink" Target="https://crsreports.congress.gov/product/pdf/IF/IF12040" TargetMode="External"/><Relationship Id="rId1519" Type="http://schemas.openxmlformats.org/officeDocument/2006/relationships/hyperlink" Target="https://www.mfa.gr/en/current-affairs/statements-speeches/delivery-of-greek-humanitarian-aid-to-the-ukrainian-people-including-diaspora-greeks-in-odessa-11042022-and-departure-of-the-4th-humanitarian-mission-of-the-hellenic-red-cross-to-ukraine-odessa-12042022.html" TargetMode="External"/><Relationship Id="rId1726" Type="http://schemas.openxmlformats.org/officeDocument/2006/relationships/hyperlink" Target="https://appropriations.house.gov/sites/democrats.appropriations.house.gov/files/Ukraine%20Supplemental%20Summary.pdf" TargetMode="External"/><Relationship Id="rId1933" Type="http://schemas.openxmlformats.org/officeDocument/2006/relationships/hyperlink" Target="https://appropriations.house.gov/sites/democrats.appropriations.house.gov/files/Additional%20Ukraine%20Suplemental%20Appropriations%20Act%20Summary.pdf" TargetMode="External"/><Relationship Id="rId18" Type="http://schemas.openxmlformats.org/officeDocument/2006/relationships/hyperlink" Target="https://www.esteri.it/it/sala_stampa/archivionotizie/comunicati/2022/03/fornitura-di-beni-umanitari-in-favore-della-popolazione-ucraina/" TargetMode="External"/><Relationship Id="rId2195" Type="http://schemas.openxmlformats.org/officeDocument/2006/relationships/hyperlink" Target="https://appropriations.house.gov/sites/democrats.appropriations.house.gov/files/Summary%20Continuing%20Appropriations%20and%20Ukraine%20Supplemental%20Appropriations%20Act%202023.pdf" TargetMode="External"/><Relationship Id="rId167" Type="http://schemas.openxmlformats.org/officeDocument/2006/relationships/hyperlink" Target="https://www.canada.ca/en/department-national-defence/news/2022/03/defence-minister-anand-announces-additional-military-support-to-ukraine.html" TargetMode="External"/><Relationship Id="rId374" Type="http://schemas.openxmlformats.org/officeDocument/2006/relationships/hyperlink" Target="https://tfiglobalnews.com/2022/03/21/canada-wanted-to-supply-weapons-to-ukraine-turns-out-it-didnt-have-any/" TargetMode="External"/><Relationship Id="rId581" Type="http://schemas.openxmlformats.org/officeDocument/2006/relationships/hyperlink" Target="https://www.mfat.govt.nz/en/countries-and-regions/europe/ukraine/russian-invasion-of-ukraine/" TargetMode="External"/><Relationship Id="rId2055" Type="http://schemas.openxmlformats.org/officeDocument/2006/relationships/hyperlink" Target="https://crsreports.congress.gov/product/pdf/IF/IF12040" TargetMode="External"/><Relationship Id="rId2262" Type="http://schemas.openxmlformats.org/officeDocument/2006/relationships/hyperlink" Target="https://appropriations.house.gov/sites/democrats.appropriations.house.gov/files/Ukraine%20Supplemental%20Summary%20FY23.pdf" TargetMode="External"/><Relationship Id="rId234" Type="http://schemas.openxmlformats.org/officeDocument/2006/relationships/hyperlink" Target="https://kaitseministeerium.ee/en/news/estonia-donated-missiles-anti-tank-weapon-system-javelin-ukraine" TargetMode="External"/><Relationship Id="rId679" Type="http://schemas.openxmlformats.org/officeDocument/2006/relationships/hyperlink" Target="https://www.gov.si/en/news/2022-03-07-eu-development-ministers-on-emergency-humanitarian-aid-to-ukraine/" TargetMode="External"/><Relationship Id="rId886" Type="http://schemas.openxmlformats.org/officeDocument/2006/relationships/hyperlink" Target="https://defence-blog.com/lithuania-to-send-more-armored-vehicles-to-ukraine/" TargetMode="External"/><Relationship Id="rId2567" Type="http://schemas.openxmlformats.org/officeDocument/2006/relationships/hyperlink" Target="https://www.19fortyfive.com/2022/04/switchblade-the-drone-giving-ukraine-a-big-edge-against-russia/" TargetMode="External"/><Relationship Id="rId2774" Type="http://schemas.openxmlformats.org/officeDocument/2006/relationships/hyperlink" Target="https://crsreports.congress.gov/product/pdf/IF/IF12040" TargetMode="External"/><Relationship Id="rId2" Type="http://schemas.openxmlformats.org/officeDocument/2006/relationships/hyperlink" Target="https://japan.kantei.go.jp/ongoingtopics/pdf/jp_stands_with_ukraine_eng.pdf" TargetMode="External"/><Relationship Id="rId441" Type="http://schemas.openxmlformats.org/officeDocument/2006/relationships/hyperlink" Target="https://www.bmi.gv.at/news.aspx?id=69543149763057644C4C633D" TargetMode="External"/><Relationship Id="rId539" Type="http://schemas.openxmlformats.org/officeDocument/2006/relationships/hyperlink" Target="https://www.thebulletin.be/belgium-send-more-weapons-and-fuel-ukraine" TargetMode="External"/><Relationship Id="rId746" Type="http://schemas.openxmlformats.org/officeDocument/2006/relationships/hyperlink" Target="https://www.mod.gov.lv/en/news/latvia-delivers-stinger-anti-aircraft-missile-system-ukraine" TargetMode="External"/><Relationship Id="rId1071" Type="http://schemas.openxmlformats.org/officeDocument/2006/relationships/hyperlink" Target="https://www.interieur.gouv.fr/actualites/dossiers/situation-en-ukraine/solidarite-nationale-envers-lukraine-second-convoi-de" TargetMode="External"/><Relationship Id="rId1169" Type="http://schemas.openxmlformats.org/officeDocument/2006/relationships/hyperlink" Target="https://media.defense.gov/2022/Nov/04/2003108893/-1/-1/0/USAI-7-CZE-TANKS-US-NLD-CZE-PRESS-STATEMENT.PDF" TargetMode="External"/><Relationship Id="rId1376" Type="http://schemas.openxmlformats.org/officeDocument/2006/relationships/hyperlink" Target="https://apnews.com/article/politics-bulgaria-moscow-rumen-radev-ukraine-government-125de4ab26d01dfd89421ffbf9c7b8d2" TargetMode="External"/><Relationship Id="rId1583" Type="http://schemas.openxmlformats.org/officeDocument/2006/relationships/hyperlink" Target="https://www.gov.uk/government/speeches/defence-secretary-oral-statement-on-war-in-ukraine--2" TargetMode="External"/><Relationship Id="rId2122" Type="http://schemas.openxmlformats.org/officeDocument/2006/relationships/hyperlink" Target="https://crsreports.congress.gov/product/pdf/IF/IF12040" TargetMode="External"/><Relationship Id="rId2427" Type="http://schemas.openxmlformats.org/officeDocument/2006/relationships/hyperlink" Target="https://appropriations.house.gov/sites/democrats.appropriations.house.gov/files/Ukraine%20Supplemental%20Summary%20FY23.pdf" TargetMode="External"/><Relationship Id="rId301" Type="http://schemas.openxmlformats.org/officeDocument/2006/relationships/hyperlink" Target="https://news.err.ee/1608589426/estonia-s-military-aid-to-ukraine-totals-230-million" TargetMode="External"/><Relationship Id="rId953" Type="http://schemas.openxmlformats.org/officeDocument/2006/relationships/hyperlink" Target="https://www.bbc.com/news/uk-61990479" TargetMode="External"/><Relationship Id="rId1029" Type="http://schemas.openxmlformats.org/officeDocument/2006/relationships/hyperlink" Target="https://www.tasnimnews.com/en/news/2022/05/06/2706116/finland-to-send-more-defense-aid-to-ukraine" TargetMode="External"/><Relationship Id="rId1236" Type="http://schemas.openxmlformats.org/officeDocument/2006/relationships/hyperlink" Target="https://www.consilium.europa.eu/en/press/press-releases/2022/10/17/ukraine-council-agrees-on-further-support-under-the-european-peace-facility/" TargetMode="External"/><Relationship Id="rId1790" Type="http://schemas.openxmlformats.org/officeDocument/2006/relationships/hyperlink" Target="https://appropriations.house.gov/sites/democrats.appropriations.house.gov/files/Ukraine%20Supplemental%20Summary.pdf" TargetMode="External"/><Relationship Id="rId1888" Type="http://schemas.openxmlformats.org/officeDocument/2006/relationships/hyperlink" Target="https://appropriations.house.gov/sites/democrats.appropriations.house.gov/files/Additional%20Ukraine%20Suplemental%20Appropriations%20Act%20Summary.pdf" TargetMode="External"/><Relationship Id="rId2634" Type="http://schemas.openxmlformats.org/officeDocument/2006/relationships/hyperlink" Target="https://www.defense.gov/News/Releases/Release/Article/2988565/readout-of-secretary-of-defense-lloyd-j-austin-iiis-call-with-ukraines-minister/" TargetMode="External"/><Relationship Id="rId2841" Type="http://schemas.openxmlformats.org/officeDocument/2006/relationships/hyperlink" Target="https://appropriations.house.gov/sites/democrats.appropriations.house.gov/files/Ukraine%20Supplemental%20Summary.pdf" TargetMode="External"/><Relationship Id="rId2939" Type="http://schemas.openxmlformats.org/officeDocument/2006/relationships/hyperlink" Target="https://ua.interfax.com.ua/news/economic/796996.html" TargetMode="External"/><Relationship Id="rId82" Type="http://schemas.openxmlformats.org/officeDocument/2006/relationships/hyperlink" Target="https://www.vlada.cz/cz/media-centrum/aktualne/informace-v-souvislosti-s-invazi-ruska-na-ukrajinu-194507/" TargetMode="External"/><Relationship Id="rId606" Type="http://schemas.openxmlformats.org/officeDocument/2006/relationships/hyperlink" Target="https://www.reuters.com/world/china/china-says-it-will-offer-10-mln-yuan-more-humanitarian-aid-ukraine-2022-03-21/" TargetMode="External"/><Relationship Id="rId813" Type="http://schemas.openxmlformats.org/officeDocument/2006/relationships/hyperlink" Target="https://www.defense.gov/News/Releases/Release/Article/3152071/675-million-in-additional-security-assistance-for-ukraine/" TargetMode="External"/><Relationship Id="rId1443" Type="http://schemas.openxmlformats.org/officeDocument/2006/relationships/hyperlink" Target="https://en.yna.co.kr/view/AEN20221209008700325" TargetMode="External"/><Relationship Id="rId1650" Type="http://schemas.openxmlformats.org/officeDocument/2006/relationships/hyperlink" Target="https://www.gov.uk/government/news/uk-to-give-artillery-rounds-and-helicopters-to-help-defend-ukraine" TargetMode="External"/><Relationship Id="rId1748" Type="http://schemas.openxmlformats.org/officeDocument/2006/relationships/hyperlink" Target="https://appropriations.house.gov/sites/democrats.appropriations.house.gov/files/Ukraine%20Supplemental%20Summary.pdf" TargetMode="External"/><Relationship Id="rId2701" Type="http://schemas.openxmlformats.org/officeDocument/2006/relationships/hyperlink" Target="https://www.defense.gov/News/Releases/Release/Article/2987119/defense-department-announces-300-million-in-additional-assistance-for-ukraine/" TargetMode="External"/><Relationship Id="rId1303" Type="http://schemas.openxmlformats.org/officeDocument/2006/relationships/hyperlink" Target="https://www.gov.uk/government/news/uk-funding-to-help-repair-ukraines-damaged-energy-systems-and-get-power-back-to-ukrainian-people" TargetMode="External"/><Relationship Id="rId1510" Type="http://schemas.openxmlformats.org/officeDocument/2006/relationships/hyperlink" Target="https://twitter.com/visegrad24/status/1504145180647170060?cxt=HHwWmIC58dGE5t8pAAAA" TargetMode="External"/><Relationship Id="rId1955" Type="http://schemas.openxmlformats.org/officeDocument/2006/relationships/hyperlink" Target="https://appropriations.house.gov/sites/democrats.appropriations.house.gov/files/Additional%20Ukraine%20Suplemental%20Appropriations%20Act%20Summary.pdf" TargetMode="External"/><Relationship Id="rId1608"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1815" Type="http://schemas.openxmlformats.org/officeDocument/2006/relationships/hyperlink" Target="https://appropriations.house.gov/sites/democrats.appropriations.house.gov/files/Ukraine%20Supplemental%20Summary.pdf" TargetMode="External"/><Relationship Id="rId189" Type="http://schemas.openxmlformats.org/officeDocument/2006/relationships/hyperlink" Target="https://www.euractiv.com/section/politics/short_news/austria-more-than-doubles-financial-support-for-ukraine-with-citizen-donations/" TargetMode="External"/><Relationship Id="rId396" Type="http://schemas.openxmlformats.org/officeDocument/2006/relationships/hyperlink" Target="https://www.france24.com/en/live-news/20220601-arms-for-ukraine-who-has-sent-what" TargetMode="External"/><Relationship Id="rId2077" Type="http://schemas.openxmlformats.org/officeDocument/2006/relationships/hyperlink" Target="https://crsreports.congress.gov/product/pdf/IF/IF12040" TargetMode="External"/><Relationship Id="rId2284" Type="http://schemas.openxmlformats.org/officeDocument/2006/relationships/hyperlink" Target="https://appropriations.house.gov/sites/democrats.appropriations.house.gov/files/Ukraine%20Supplemental%20Summary%20FY23.pdf" TargetMode="External"/><Relationship Id="rId2491" Type="http://schemas.openxmlformats.org/officeDocument/2006/relationships/hyperlink" Target="https://crsreports.congress.gov/product/pdf/IF/IF12040" TargetMode="External"/><Relationship Id="rId256" Type="http://schemas.openxmlformats.org/officeDocument/2006/relationships/hyperlink" Target="https://www.regjeringen.no/en/aktuelt/ukrainefund/id2909840/" TargetMode="External"/><Relationship Id="rId463" Type="http://schemas.openxmlformats.org/officeDocument/2006/relationships/hyperlink" Target="https://interfax.com/newsroom/top-stories/78780/" TargetMode="External"/><Relationship Id="rId670" Type="http://schemas.openxmlformats.org/officeDocument/2006/relationships/hyperlink" Target="https://www.bbc.com/news/world-europe-61482305" TargetMode="External"/><Relationship Id="rId1093" Type="http://schemas.openxmlformats.org/officeDocument/2006/relationships/hyperlink" Target="https://euromaidanpress.com/2022/10/30/italy-allegedly-supplied-many-heavy-weapons-to-ukraine-but-didnt-disclose-it-earlier-la-repubblica/" TargetMode="External"/><Relationship Id="rId2144" Type="http://schemas.openxmlformats.org/officeDocument/2006/relationships/hyperlink" Target="https://crsreports.congress.gov/product/pdf/IF/IF12040" TargetMode="External"/><Relationship Id="rId2351" Type="http://schemas.openxmlformats.org/officeDocument/2006/relationships/hyperlink" Target="https://crsreports.congress.gov/product/pdf/IF/IF12040" TargetMode="External"/><Relationship Id="rId2589" Type="http://schemas.openxmlformats.org/officeDocument/2006/relationships/hyperlink" Target="https://www.whitehouse.gov/briefing-room/press-briefings/2022/04/04/press-briefing-by-press-secretary-jen-psaki-and-national-security-advisor-jake-sullivan/" TargetMode="External"/><Relationship Id="rId2796" Type="http://schemas.openxmlformats.org/officeDocument/2006/relationships/hyperlink" Target="https://crsreports.congress.gov/product/pdf/IF/IF12040" TargetMode="External"/><Relationship Id="rId116" Type="http://schemas.openxmlformats.org/officeDocument/2006/relationships/hyperlink" Target="https://www.thelocal.es/20220311/spain-to-send-more-weapons-to-ukraine/" TargetMode="External"/><Relationship Id="rId323" Type="http://schemas.openxmlformats.org/officeDocument/2006/relationships/hyperlink" Target="https://www.reuters.com/article/us-ukraine-crisis-harpoon-idUKKCN2N91YC" TargetMode="External"/><Relationship Id="rId530" Type="http://schemas.openxmlformats.org/officeDocument/2006/relationships/hyperlink" Target="https://www.abc.net.au/news/2022-02-27/australia-send-weapons-nato-ukraine-war-russia/100865712" TargetMode="External"/><Relationship Id="rId768" Type="http://schemas.openxmlformats.org/officeDocument/2006/relationships/hyperlink" Target="https://twitter.com/Denys_Shmyhal/status/1559962571230380032" TargetMode="External"/><Relationship Id="rId975" Type="http://schemas.openxmlformats.org/officeDocument/2006/relationships/hyperlink" Target="https://www.regjeringen.no/en/aktuelt/norge-og-storbritannia-gir-langtrekkende-rakettartilleri-til-ukraina/id2921395/" TargetMode="External"/><Relationship Id="rId1160" Type="http://schemas.openxmlformats.org/officeDocument/2006/relationships/hyperlink" Target="https://www.gov.uk/government/news/uk-to-provide-1000-more-surface-to-air-missiles-to-ukraine" TargetMode="External"/><Relationship Id="rId1398" Type="http://schemas.openxmlformats.org/officeDocument/2006/relationships/hyperlink" Target="https://report.az/en/other-countries/france-to-provide-ukraine-with-arms-worth-200m-euros/" TargetMode="External"/><Relationship Id="rId2004" Type="http://schemas.openxmlformats.org/officeDocument/2006/relationships/hyperlink" Target="https://appropriations.house.gov/sites/democrats.appropriations.house.gov/files/Additional%20Ukraine%20Suplemental%20Appropriations%20Act%20Summary.pdf" TargetMode="External"/><Relationship Id="rId2211"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49" Type="http://schemas.openxmlformats.org/officeDocument/2006/relationships/hyperlink" Target="https://appropriations.house.gov/sites/democrats.appropriations.house.gov/files/Additional%20Ukraine%20Suplemental%20Appropriations%20Act%20Summary.pdf" TargetMode="External"/><Relationship Id="rId2656" Type="http://schemas.openxmlformats.org/officeDocument/2006/relationships/hyperlink" Target="https://www.defense.gov/News/Releases/Release/Article/2988565/readout-of-secretary-of-defense-lloyd-j-austin-iiis-call-with-ukraines-minister/" TargetMode="External"/><Relationship Id="rId2863" Type="http://schemas.openxmlformats.org/officeDocument/2006/relationships/hyperlink" Target="https://appropriations.house.gov/sites/democrats.appropriations.house.gov/files/Additional%20Ukraine%20Suplemental%20Appropriations%20Act%20Summary.pdf" TargetMode="External"/><Relationship Id="rId628" Type="http://schemas.openxmlformats.org/officeDocument/2006/relationships/hyperlink" Target="https://www.cbc.ca/news/politics/anand-biggest-military-donation-ukraine-1.6463915" TargetMode="External"/><Relationship Id="rId835" Type="http://schemas.openxmlformats.org/officeDocument/2006/relationships/hyperlink" Target="https://www.defense.gov/News/Releases/Release/Article/3138105/nearly-3-billion-in-additional-security-assistance-for-ukraine/" TargetMode="External"/><Relationship Id="rId1258" Type="http://schemas.openxmlformats.org/officeDocument/2006/relationships/hyperlink" Target="https://www.lejdd.fr/International/sebastien-lecornu-ministre-des-armees-nous-navons-pas-a-rougir-de-notre-aide-a-lukraine-4148779" TargetMode="External"/><Relationship Id="rId1465" Type="http://schemas.openxmlformats.org/officeDocument/2006/relationships/hyperlink" Target="https://www.defense.gov/News/Releases/Release/Article/3227217/400-million-in-additional-assistance-for-ukraine/" TargetMode="External"/><Relationship Id="rId1672" Type="http://schemas.openxmlformats.org/officeDocument/2006/relationships/hyperlink" Target="https://www.gov.si/en/news/2022-11-25-ministry-of-foreign-affairs-to-provide-funds-to-complete-the-reconstruction-of-a-rehabilitation-home-in-ukraine/" TargetMode="External"/><Relationship Id="rId2309" Type="http://schemas.openxmlformats.org/officeDocument/2006/relationships/hyperlink" Target="https://appropriations.house.gov/sites/democrats.appropriations.house.gov/files/Ukraine%20Supplemental%20Summary%20FY23.pdf" TargetMode="External"/><Relationship Id="rId2516" Type="http://schemas.openxmlformats.org/officeDocument/2006/relationships/hyperlink" Target="https://appropriations.house.gov/sites/democrats.appropriations.house.gov/files/Ukraine%20Supplemental%20Summary.pdf" TargetMode="External"/><Relationship Id="rId2723" Type="http://schemas.openxmlformats.org/officeDocument/2006/relationships/hyperlink" Target="https://www.whitehouse.gov/briefing-room/press-briefings/2022/04/04/press-briefing-by-press-secretary-jen-psaki-and-national-security-advisor-jake-sullivan/" TargetMode="External"/><Relationship Id="rId1020" Type="http://schemas.openxmlformats.org/officeDocument/2006/relationships/hyperlink" Target="https://um.dk/en/foreign-policy/danish-support-for-ukraine" TargetMode="External"/><Relationship Id="rId1118" Type="http://schemas.openxmlformats.org/officeDocument/2006/relationships/hyperlink" Target="https://www.austria.org/ukraine" TargetMode="External"/><Relationship Id="rId1325" Type="http://schemas.openxmlformats.org/officeDocument/2006/relationships/hyperlink" Target="https://diplomatie.belgium.be/en/policy/policy-areas/highlighted/civilian-aid-ukraine-overview" TargetMode="External"/><Relationship Id="rId1532" Type="http://schemas.openxmlformats.org/officeDocument/2006/relationships/hyperlink" Target="https://www.karpatinfo.net/2022/2/27/szijjarto-magyarorszag-szerepet-vallal-humanitarius-katasztrofa-enyhiteseben-200055995" TargetMode="External"/><Relationship Id="rId1977" Type="http://schemas.openxmlformats.org/officeDocument/2006/relationships/hyperlink" Target="https://appropriations.house.gov/sites/democrats.appropriations.house.gov/files/Additional%20Ukraine%20Suplemental%20Appropriations%20Act%20Summary.pdf" TargetMode="External"/><Relationship Id="rId2930" Type="http://schemas.openxmlformats.org/officeDocument/2006/relationships/hyperlink" Target="https://www.forces.net/ukraine/uk/what-armoured-vehicles-are-uk-sending-ukraine" TargetMode="External"/><Relationship Id="rId902" Type="http://schemas.openxmlformats.org/officeDocument/2006/relationships/hyperlink" Target="https://www.euronews.com/2022/09/29/cargo-ship-with-1000-tonnes-of-ukraine-aid-sets-sail-from-marseille" TargetMode="External"/><Relationship Id="rId1837" Type="http://schemas.openxmlformats.org/officeDocument/2006/relationships/hyperlink" Target="https://appropriations.house.gov/sites/democrats.appropriations.house.gov/files/Ukraine%20Supplemental%20Summary.pdf" TargetMode="External"/><Relationship Id="rId31" Type="http://schemas.openxmlformats.org/officeDocument/2006/relationships/hyperlink" Target="https://www.jutarnji.hr/vijesti/hrvatska/donesen-paket-mjera-za-ukrajinu-hrvatska-salje-opremu-i-naoruzanje-u-vrijednosti-124-milijuna-kuna-15163892" TargetMode="External"/><Relationship Id="rId2099" Type="http://schemas.openxmlformats.org/officeDocument/2006/relationships/hyperlink" Target="https://crsreports.congress.gov/product/pdf/IF/IF12040" TargetMode="External"/><Relationship Id="rId180" Type="http://schemas.openxmlformats.org/officeDocument/2006/relationships/hyperlink" Target="https://eng.lsm.lv/article/economy/economy/latvia-directs-additional-five-million-euros-to-ukraine.a446989/" TargetMode="External"/><Relationship Id="rId278" Type="http://schemas.openxmlformats.org/officeDocument/2006/relationships/hyperlink" Target="https://reliefweb.int/report/ukraine/korea-provide-humanitarian-assistance-people-ukraine" TargetMode="External"/><Relationship Id="rId1904" Type="http://schemas.openxmlformats.org/officeDocument/2006/relationships/hyperlink" Target="https://appropriations.house.gov/sites/democrats.appropriations.house.gov/files/Additional%20Ukraine%20Suplemental%20Appropriations%20Act%20Summary.pdf" TargetMode="External"/><Relationship Id="rId485" Type="http://schemas.openxmlformats.org/officeDocument/2006/relationships/hyperlink" Target="https://pmtranscripts.pmc.gov.au/release/transcript-43950" TargetMode="External"/><Relationship Id="rId692" Type="http://schemas.openxmlformats.org/officeDocument/2006/relationships/hyperlink" Target="https://www.defense.gov/News/News-Stories/Article/Article/3072692/president-authorizes-another-450-million-drawdown-to-support-ukraine/" TargetMode="External"/><Relationship Id="rId2166" Type="http://schemas.openxmlformats.org/officeDocument/2006/relationships/hyperlink" Target="https://appropriations.house.gov/sites/democrats.appropriations.house.gov/files/Additional%20Ukraine%20Suplemental%20Appropriations%20Act%20Summary.pdf" TargetMode="External"/><Relationship Id="rId2373" Type="http://schemas.openxmlformats.org/officeDocument/2006/relationships/hyperlink" Target="https://crsreports.congress.gov/product/pdf/IF/IF12040" TargetMode="External"/><Relationship Id="rId2580" Type="http://schemas.openxmlformats.org/officeDocument/2006/relationships/hyperlink" Target="https://www.whitehouse.gov/briefing-room/press-briefings/2022/04/04/press-briefing-by-press-secretary-jen-psaki-and-national-security-advisor-jake-sullivan/" TargetMode="External"/><Relationship Id="rId138" Type="http://schemas.openxmlformats.org/officeDocument/2006/relationships/hyperlink" Target="https://www.defensa.gob.es/gabinete/notasPrensa/2022/04/DGC-220408-visita-centro-militar-farmacia.html" TargetMode="External"/><Relationship Id="rId345" Type="http://schemas.openxmlformats.org/officeDocument/2006/relationships/hyperlink" Target="https://www.ukrinform.net/rubric-defense/3463928-spain-sends-new-military-aid-batch-to-ukraine.html" TargetMode="External"/><Relationship Id="rId552" Type="http://schemas.openxmlformats.org/officeDocument/2006/relationships/hyperlink" Target="https://www.gazzettaufficiale.it/atto/serie_generale/caricaDettaglioAtto/originario?atto.dataPubblicazioneGazzetta=2022-05-13&amp;atto.codiceRedazionale=22A02976&amp;elenco30giorni=false" TargetMode="External"/><Relationship Id="rId997" Type="http://schemas.openxmlformats.org/officeDocument/2006/relationships/hyperlink" Target="https://www.reuters.com/world/europe/czech-republic-sends-tanks-ukraine-czech-tv-reports-2022-04-05/" TargetMode="External"/><Relationship Id="rId1182" Type="http://schemas.openxmlformats.org/officeDocument/2006/relationships/hyperlink" Target="https://www.reuters.com/world/europe/spains-pm-sanchez-denmarks-pm-frederiksen-visit-kyiv-2022-04-21/" TargetMode="External"/><Relationship Id="rId2026" Type="http://schemas.openxmlformats.org/officeDocument/2006/relationships/hyperlink" Target="https://crsreports.congress.gov/product/pdf/IF/IF12040" TargetMode="External"/><Relationship Id="rId2233"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40" Type="http://schemas.openxmlformats.org/officeDocument/2006/relationships/hyperlink" Target="https://appropriations.house.gov/sites/democrats.appropriations.house.gov/files/Ukraine%20Supplemental%20Summary%20FY23.pdf" TargetMode="External"/><Relationship Id="rId2678" Type="http://schemas.openxmlformats.org/officeDocument/2006/relationships/hyperlink" Target="https://www.defense.gov/News/Releases/Release/Article/2987119/defense-department-announces-300-million-in-additional-assistance-for-ukraine/" TargetMode="External"/><Relationship Id="rId2885" Type="http://schemas.openxmlformats.org/officeDocument/2006/relationships/hyperlink" Target="https://appropriations.house.gov/sites/democrats.appropriations.house.gov/files/Additional%20Ukraine%20Suplemental%20Appropriations%20Act%20Summary.pdf" TargetMode="External"/><Relationship Id="rId205" Type="http://schemas.openxmlformats.org/officeDocument/2006/relationships/hyperlink" Target="https://www.youtube.com/watch?v=vzENx6dTpqY" TargetMode="External"/><Relationship Id="rId412" Type="http://schemas.openxmlformats.org/officeDocument/2006/relationships/hyperlink" Target="https://www.newyorker.com/magazine/2022/05/16/the-turkish-drone-that-changed-the-nature-of-warfare" TargetMode="External"/><Relationship Id="rId857" Type="http://schemas.openxmlformats.org/officeDocument/2006/relationships/hyperlink" Target="https://pmtranscripts.pmc.gov.au/release/transcript-43947" TargetMode="External"/><Relationship Id="rId1042" Type="http://schemas.openxmlformats.org/officeDocument/2006/relationships/hyperlink" Target="https://www.wsj.com/livecoverage/russia-ukraine-latest-news-2022-03-04/card/japan-will-send-the-ukrainian-military-basic-supplies-VOtpnPjTX2ooK8dqQ8o8?msclkid=8d9aa20aaf4811eca75cd52c21f47675" TargetMode="External"/><Relationship Id="rId1487" Type="http://schemas.openxmlformats.org/officeDocument/2006/relationships/hyperlink" Target="https://hirado.hu/kulfold/cikk/2022/11/10/felujitott-ovodat-adott-at-magyar-levente-karpataljan" TargetMode="External"/><Relationship Id="rId1694" Type="http://schemas.openxmlformats.org/officeDocument/2006/relationships/hyperlink" Target="https://www.reuters.com/world/europe/russia-pounds-ukraine-civil-infrastructure-powers-meet-provide-aid-2022-12-13/" TargetMode="External"/><Relationship Id="rId2300" Type="http://schemas.openxmlformats.org/officeDocument/2006/relationships/hyperlink" Target="https://appropriations.house.gov/sites/democrats.appropriations.house.gov/files/Ukraine%20Supplemental%20Summary%20FY23.pdf" TargetMode="External"/><Relationship Id="rId2538" Type="http://schemas.openxmlformats.org/officeDocument/2006/relationships/hyperlink" Target="https://www.19fortyfive.com/2022/04/switchblade-the-drone-giving-ukraine-a-big-edge-against-russia/" TargetMode="External"/><Relationship Id="rId2745" Type="http://schemas.openxmlformats.org/officeDocument/2006/relationships/hyperlink" Target="https://www.whitehouse.gov/briefing-room/press-briefings/2022/04/04/press-briefing-by-press-secretary-jen-psaki-and-national-security-advisor-jake-sullivan/" TargetMode="External"/><Relationship Id="rId717" Type="http://schemas.openxmlformats.org/officeDocument/2006/relationships/hyperlink" Target="https://crsreports.congress.gov/product/pdf/IF/IF12040" TargetMode="External"/><Relationship Id="rId924" Type="http://schemas.openxmlformats.org/officeDocument/2006/relationships/hyperlink" Target="https://www.worldbank.org/en/news/press-release/2022/09/30/world-bank-mobilizes-additional-530-million-in-support-to-ukraine" TargetMode="External"/><Relationship Id="rId1347" Type="http://schemas.openxmlformats.org/officeDocument/2006/relationships/hyperlink" Target="https://www.delfi.lt/en/politics/lithuania-provides-eur-5-mln-to-help-ukraine-rebuild-energy-infrastructure.d?id=91786261" TargetMode="External"/><Relationship Id="rId1554" Type="http://schemas.openxmlformats.org/officeDocument/2006/relationships/hyperlink" Target="https://www.bundesregierung.de/breg-en/news/military-support-ukraine-2054992" TargetMode="External"/><Relationship Id="rId1761" Type="http://schemas.openxmlformats.org/officeDocument/2006/relationships/hyperlink" Target="https://appropriations.house.gov/sites/democrats.appropriations.house.gov/files/Ukraine%20Supplemental%20Summary.pdf" TargetMode="External"/><Relationship Id="rId1999" Type="http://schemas.openxmlformats.org/officeDocument/2006/relationships/hyperlink" Target="https://appropriations.house.gov/sites/democrats.appropriations.house.gov/files/Additional%20Ukraine%20Suplemental%20Appropriations%20Act%20Summary.pdf" TargetMode="External"/><Relationship Id="rId2605" Type="http://schemas.openxmlformats.org/officeDocument/2006/relationships/hyperlink" Target="https://www.whitehouse.gov/briefing-room/press-briefings/2022/04/04/press-briefing-by-press-secretary-jen-psaki-and-national-security-advisor-jake-sullivan/" TargetMode="External"/><Relationship Id="rId2812" Type="http://schemas.openxmlformats.org/officeDocument/2006/relationships/hyperlink" Target="https://appropriations.house.gov/sites/democrats.appropriations.house.gov/files/Ukraine%20Supplemental%20Summary.pdf" TargetMode="External"/><Relationship Id="rId53" Type="http://schemas.openxmlformats.org/officeDocument/2006/relationships/hyperlink" Target="https://www.canada.ca/en/global-affairs/news/2022/02/canada-sending-additional-25m-military-aid-to-support-ukraine.html" TargetMode="External"/><Relationship Id="rId1207" Type="http://schemas.openxmlformats.org/officeDocument/2006/relationships/hyperlink" Target="https://www.wfp.org/news/japan-provides-us28-million-humanitarian-food-assistance-ukraine" TargetMode="External"/><Relationship Id="rId1414" Type="http://schemas.openxmlformats.org/officeDocument/2006/relationships/hyperlink" Target="https://www.lusa.pt/article/39993895/portugal-ukraine-aid-to-include-generators-haters-led-bulbs" TargetMode="External"/><Relationship Id="rId1621" Type="http://schemas.openxmlformats.org/officeDocument/2006/relationships/hyperlink" Target="https://www.theguardian.com/australia-news/2022/oct/25/defence-spending-october-budget-2022-ukraine-veterans-pacific-aid-increase-albanese-labor-australia-federal-government" TargetMode="External"/><Relationship Id="rId1859" Type="http://schemas.openxmlformats.org/officeDocument/2006/relationships/hyperlink" Target="https://appropriations.house.gov/sites/democrats.appropriations.house.gov/files/Ukraine%20Supplemental%20Summary.pdf" TargetMode="External"/><Relationship Id="rId1719" Type="http://schemas.openxmlformats.org/officeDocument/2006/relationships/hyperlink" Target="https://appropriations.house.gov/sites/democrats.appropriations.house.gov/files/Additional%20Ukraine%20Suplemental%20Appropriations%20Act%20Summary.pdf" TargetMode="External"/><Relationship Id="rId1926" Type="http://schemas.openxmlformats.org/officeDocument/2006/relationships/hyperlink" Target="https://appropriations.house.gov/sites/democrats.appropriations.house.gov/files/Additional%20Ukraine%20Suplemental%20Appropriations%20Act%20Summary.pdf" TargetMode="External"/><Relationship Id="rId2090" Type="http://schemas.openxmlformats.org/officeDocument/2006/relationships/hyperlink" Target="https://crsreports.congress.gov/product/pdf/IF/IF12040" TargetMode="External"/><Relationship Id="rId2188"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95" Type="http://schemas.openxmlformats.org/officeDocument/2006/relationships/hyperlink" Target="https://crsreports.congress.gov/product/pdf/IF/IF12040" TargetMode="External"/><Relationship Id="rId367" Type="http://schemas.openxmlformats.org/officeDocument/2006/relationships/hyperlink" Target="https://www.onuitalia.com/2022/04/20/ucraina-sereni-da-italia-26-milioni-di-aiuti-umanitari/" TargetMode="External"/><Relationship Id="rId574" Type="http://schemas.openxmlformats.org/officeDocument/2006/relationships/hyperlink" Target="https://intermin.fi/en/ukraine/civilian-assistance-to-ukraine" TargetMode="External"/><Relationship Id="rId2048" Type="http://schemas.openxmlformats.org/officeDocument/2006/relationships/hyperlink" Target="https://crsreports.congress.gov/product/pdf/IF/IF12040" TargetMode="External"/><Relationship Id="rId2255" Type="http://schemas.openxmlformats.org/officeDocument/2006/relationships/hyperlink" Target="https://appropriations.house.gov/sites/democrats.appropriations.house.gov/files/Ukraine%20Supplemental%20Summary%20FY23.pdf" TargetMode="External"/><Relationship Id="rId227" Type="http://schemas.openxmlformats.org/officeDocument/2006/relationships/hyperlink" Target="https://www.gov.uk/government/news/pm-announces-further-humanitarian-aid-to-ukraine" TargetMode="External"/><Relationship Id="rId781" Type="http://schemas.openxmlformats.org/officeDocument/2006/relationships/hyperlink" Target="https://lahbib.belgium.be/en/belgium-provide-8-million-eur-non-lethal-support-ukrainian-armed-forces" TargetMode="External"/><Relationship Id="rId879" Type="http://schemas.openxmlformats.org/officeDocument/2006/relationships/hyperlink" Target="https://en.interfax.com.ua/news/general/859303.html" TargetMode="External"/><Relationship Id="rId2462" Type="http://schemas.openxmlformats.org/officeDocument/2006/relationships/hyperlink" Target="https://appropriations.house.gov/sites/democrats.appropriations.house.gov/files/Ukraine%20Supplemental%20Summary.pdf" TargetMode="External"/><Relationship Id="rId2767" Type="http://schemas.openxmlformats.org/officeDocument/2006/relationships/hyperlink" Target="https://crsreports.congress.gov/product/pdf/IF/IF12040" TargetMode="External"/><Relationship Id="rId434" Type="http://schemas.openxmlformats.org/officeDocument/2006/relationships/hyperlink" Target="https://ec.europa.eu/info/strategy/priorities-2019-2024/stronger-europe-world/eu-solidarity-ukraine/eu-assistance-ukraine_en?msclkid=23e9b3c1d14011ecaaeca792ec66a4ed" TargetMode="External"/><Relationship Id="rId641" Type="http://schemas.openxmlformats.org/officeDocument/2006/relationships/hyperlink" Target="https://kyivindependent.com/uncategorized/poland-has-provided-ukraine-with-weapons-worth-1-6-billion/" TargetMode="External"/><Relationship Id="rId739" Type="http://schemas.openxmlformats.org/officeDocument/2006/relationships/hyperlink" Target="https://mil.in.ua/en/news/slovenia-handed-over-35-m80a-infantry-fighting-vehicles-to-ukraine/" TargetMode="External"/><Relationship Id="rId1064" Type="http://schemas.openxmlformats.org/officeDocument/2006/relationships/hyperlink" Target="https://english.nv.ua/nation/czech-republic-prepares-new-military-aid-package-for-ukraine-50278050.html" TargetMode="External"/><Relationship Id="rId1271" Type="http://schemas.openxmlformats.org/officeDocument/2006/relationships/hyperlink" Target="https://appropriations.house.gov/sites/democrats.appropriations.house.gov/files/Ukraine%20Supplemental%20Summary.pdf" TargetMode="External"/><Relationship Id="rId1369" Type="http://schemas.openxmlformats.org/officeDocument/2006/relationships/hyperlink" Target="https://www.tweedekamer.nl/kamerstukken/brieven_regering/detail?id=2022Z24701&amp;did=2022D53048" TargetMode="External"/><Relationship Id="rId1576" Type="http://schemas.openxmlformats.org/officeDocument/2006/relationships/hyperlink" Target="https://www.gov.uk/government/speeches/defence-secretary-oral-statement-on-war-in-ukraine--2" TargetMode="External"/><Relationship Id="rId2115" Type="http://schemas.openxmlformats.org/officeDocument/2006/relationships/hyperlink" Target="https://crsreports.congress.gov/product/pdf/IF/IF12040" TargetMode="External"/><Relationship Id="rId2322" Type="http://schemas.openxmlformats.org/officeDocument/2006/relationships/hyperlink" Target="https://crsreports.congress.gov/product/pdf/IF/IF12040" TargetMode="External"/><Relationship Id="rId501" Type="http://schemas.openxmlformats.org/officeDocument/2006/relationships/hyperlink" Target="https://europe-cities.com/2022/04/30/us-pressuring-portugal-to-cede-armored-vehicles-to-ukraine/" TargetMode="External"/><Relationship Id="rId946" Type="http://schemas.openxmlformats.org/officeDocument/2006/relationships/hyperlink" Target="https://twitter.com/OlekKorn/status/1574691048378765312?ref_src=twsrc%5Etfw%7Ctwcamp%5Etweetembed%7Ctwterm%5E1574764099644301314%7Ctwgr%5E32aa61244c5816ffc71c7af61a0a966f6f6a69a4%7Ctwcon%5Es3_&amp;ref_url=https%3A%2F%2Fnews.err.ee%2F1608731662%2Feconomic-minister-estonia-can-set-an-example-for-rebuilding-ukraine" TargetMode="External"/><Relationship Id="rId1131" Type="http://schemas.openxmlformats.org/officeDocument/2006/relationships/hyperlink" Target="https://edition.cnn.com/europe/live-news/russia-ukraine-war-news-08-25-22/index.html" TargetMode="External"/><Relationship Id="rId1229" Type="http://schemas.openxmlformats.org/officeDocument/2006/relationships/hyperlink" Target="https://news.err.ee/1608793648/estonia-s-total-military-aid-to-ukraine-to-date-approaching-300-million" TargetMode="External"/><Relationship Id="rId1783" Type="http://schemas.openxmlformats.org/officeDocument/2006/relationships/hyperlink" Target="https://appropriations.house.gov/sites/democrats.appropriations.house.gov/files/Ukraine%20Supplemental%20Summary.pdf" TargetMode="External"/><Relationship Id="rId1990" Type="http://schemas.openxmlformats.org/officeDocument/2006/relationships/hyperlink" Target="https://appropriations.house.gov/sites/democrats.appropriations.house.gov/files/Additional%20Ukraine%20Suplemental%20Appropriations%20Act%20Summary.pdf" TargetMode="External"/><Relationship Id="rId2627" Type="http://schemas.openxmlformats.org/officeDocument/2006/relationships/hyperlink" Target="https://www.defense.gov/News/Releases/Release/Article/2988565/readout-of-secretary-of-defense-lloyd-j-austin-iiis-call-with-ukraines-minister/" TargetMode="External"/><Relationship Id="rId2834" Type="http://schemas.openxmlformats.org/officeDocument/2006/relationships/hyperlink" Target="https://appropriations.house.gov/sites/democrats.appropriations.house.gov/files/Ukraine%20Supplemental%20Summary.pdf" TargetMode="External"/><Relationship Id="rId75" Type="http://schemas.openxmlformats.org/officeDocument/2006/relationships/hyperlink" Target="https://english.radio.cz/czech-republic-send-more-arms-ukraine-8745032" TargetMode="External"/><Relationship Id="rId806" Type="http://schemas.openxmlformats.org/officeDocument/2006/relationships/hyperlink" Target="https://www.defense.gov/News/Releases/Release/Article/3134457/775-million-in-additional-security-assistance-for-ukraine/" TargetMode="External"/><Relationship Id="rId1436" Type="http://schemas.openxmlformats.org/officeDocument/2006/relationships/hyperlink" Target="https://interfax.com.ua/news/general/881342.html" TargetMode="External"/><Relationship Id="rId1643" Type="http://schemas.openxmlformats.org/officeDocument/2006/relationships/hyperlink" Target="https://delano.lu/article/luxembourg-delivering-substant" TargetMode="External"/><Relationship Id="rId1850" Type="http://schemas.openxmlformats.org/officeDocument/2006/relationships/hyperlink" Target="https://appropriations.house.gov/sites/democrats.appropriations.house.gov/files/Ukraine%20Supplemental%20Summary.pdf" TargetMode="External"/><Relationship Id="rId2901" Type="http://schemas.openxmlformats.org/officeDocument/2006/relationships/hyperlink" Target="https://crsreports.congress.gov/product/pdf/IF/IF12040" TargetMode="External"/><Relationship Id="rId1503"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1710" Type="http://schemas.openxmlformats.org/officeDocument/2006/relationships/hyperlink" Target="https://www.diplomatie.gouv.fr/en/country-files/ukraine/news/article/ukraine-catherine-colonna-to-attend-the-launch-of-solidarity-operation-un" TargetMode="External"/><Relationship Id="rId1948" Type="http://schemas.openxmlformats.org/officeDocument/2006/relationships/hyperlink" Target="https://appropriations.house.gov/sites/democrats.appropriations.house.gov/files/Additional%20Ukraine%20Suplemental%20Appropriations%20Act%20Summary.pdf" TargetMode="External"/><Relationship Id="rId291" Type="http://schemas.openxmlformats.org/officeDocument/2006/relationships/hyperlink" Target="https://www.canada.ca/en/department-national-defence/news/2022/04/canada-announces-artillery-and-other-additional-military-aid-for-ukraine.html" TargetMode="External"/><Relationship Id="rId1808" Type="http://schemas.openxmlformats.org/officeDocument/2006/relationships/hyperlink" Target="https://appropriations.house.gov/sites/democrats.appropriations.house.gov/files/Ukraine%20Supplemental%20Summary.pdf" TargetMode="External"/><Relationship Id="rId151" Type="http://schemas.openxmlformats.org/officeDocument/2006/relationships/hyperlink" Target="https://ua.interfax.com.ua/news/general/825450.html" TargetMode="External"/><Relationship Id="rId389" Type="http://schemas.openxmlformats.org/officeDocument/2006/relationships/hyperlink" Target="https://twitter.com/oleksiireznikov/status/1539234531764486149" TargetMode="External"/><Relationship Id="rId596" Type="http://schemas.openxmlformats.org/officeDocument/2006/relationships/hyperlink" Target="https://www.defensie.nl/actueel/nieuws/2022/02/26/ook-antitankwapens-van-nederland-naar-oekraine" TargetMode="External"/><Relationship Id="rId2277" Type="http://schemas.openxmlformats.org/officeDocument/2006/relationships/hyperlink" Target="https://appropriations.house.gov/sites/democrats.appropriations.house.gov/files/Ukraine%20Supplemental%20Summary%20FY23.pdf" TargetMode="External"/><Relationship Id="rId2484" Type="http://schemas.openxmlformats.org/officeDocument/2006/relationships/hyperlink" Target="https://appropriations.house.gov/sites/democrats.appropriations.house.gov/files/Additional%20Ukraine%20Suplemental%20Appropriations%20Act%20Summary.pdf" TargetMode="External"/><Relationship Id="rId2691" Type="http://schemas.openxmlformats.org/officeDocument/2006/relationships/hyperlink" Target="https://www.defense.gov/News/Releases/Release/Article/2987119/defense-department-announces-300-million-in-additional-assistance-for-ukraine/" TargetMode="External"/><Relationship Id="rId249" Type="http://schemas.openxmlformats.org/officeDocument/2006/relationships/hyperlink" Target="https://www.24sata.hr/news/solidarnost-hrvatska-donirala-5-mil-eura-za-pomoc-ukrajini-833624" TargetMode="External"/><Relationship Id="rId456" Type="http://schemas.openxmlformats.org/officeDocument/2006/relationships/hyperlink" Target="https://www.government.se/press-releases/2022/06/additional-amending-budget-with-further-support-to-ukraine/" TargetMode="External"/><Relationship Id="rId663" Type="http://schemas.openxmlformats.org/officeDocument/2006/relationships/hyperlink" Target="https://www.gov.uk/government/news/uk-to-gift-multiple-launch-rocket-systems-to-ukraine" TargetMode="External"/><Relationship Id="rId870" Type="http://schemas.openxmlformats.org/officeDocument/2006/relationships/hyperlink" Target="https://www.euractiv.com/section/politics/short_news/belgium-to-provide-e8-million-for-non-lethal-aid-to-ukraines-armed-forces/" TargetMode="External"/><Relationship Id="rId1086" Type="http://schemas.openxmlformats.org/officeDocument/2006/relationships/hyperlink" Target="https://www.defense.gouv.fr/terre/actualites/uiisc-1-3e-convoi-solidarite-lukraine" TargetMode="External"/><Relationship Id="rId1293" Type="http://schemas.openxmlformats.org/officeDocument/2006/relationships/hyperlink" Target="https://www.defensa.gob.es/gabinete/notasPrensa/2022/08/DGC-220831-envio-armamento-ucrania.html" TargetMode="External"/><Relationship Id="rId2137" Type="http://schemas.openxmlformats.org/officeDocument/2006/relationships/hyperlink" Target="https://crsreports.congress.gov/product/pdf/IF/IF12040" TargetMode="External"/><Relationship Id="rId2344" Type="http://schemas.openxmlformats.org/officeDocument/2006/relationships/hyperlink" Target="https://crsreports.congress.gov/product/pdf/IF/IF12040" TargetMode="External"/><Relationship Id="rId2551" Type="http://schemas.openxmlformats.org/officeDocument/2006/relationships/hyperlink" Target="https://www.19fortyfive.com/2022/04/switchblade-the-drone-giving-ukraine-a-big-edge-against-russia/" TargetMode="External"/><Relationship Id="rId2789" Type="http://schemas.openxmlformats.org/officeDocument/2006/relationships/hyperlink" Target="https://crsreports.congress.gov/product/pdf/IF/IF12040" TargetMode="External"/><Relationship Id="rId109" Type="http://schemas.openxmlformats.org/officeDocument/2006/relationships/hyperlink" Target="https://www.gov.uk/government/news/pm-announces-major-new-military-support-package-for-ukraine-24-march-2022" TargetMode="External"/><Relationship Id="rId316" Type="http://schemas.openxmlformats.org/officeDocument/2006/relationships/hyperlink" Target="https://www.canada.ca/en/department-national-defence/news/2022/04/canada-announces-artillery-and-other-additional-military-aid-for-ukraine.html" TargetMode="External"/><Relationship Id="rId523" Type="http://schemas.openxmlformats.org/officeDocument/2006/relationships/hyperlink" Target="https://twitter.com/AnnLinde/status/1532316643254226945?ref_src=twsrc%5Etfw%7Ctwcamp%5Etweetembed%7Ctwterm%5E1532316643254226945%7Ctwgr%5E%7Ctwcon%5Es1_&amp;ref_url=https%3A%2F%2Fmezha.media%2Fen%2F2022%2F06%2F03%2Frbs-17-swedish-short-range-anti-ship-missile%2F" TargetMode="External"/><Relationship Id="rId968" Type="http://schemas.openxmlformats.org/officeDocument/2006/relationships/hyperlink" Target="https://appropriations.house.gov/sites/democrats.appropriations.house.gov/files/Additional%20Ukraine%20Suplemental%20Appropriations%20Act%20Summary.pdf" TargetMode="External"/><Relationship Id="rId1153" Type="http://schemas.openxmlformats.org/officeDocument/2006/relationships/hyperlink" Target="https://gagadget.com/en/138343-the-uk-bought-and-repaired-more-than-20-m109-self-propelled-guns-now-they-are-being-sent-to-ukraine/" TargetMode="External"/><Relationship Id="rId1598" Type="http://schemas.openxmlformats.org/officeDocument/2006/relationships/hyperlink" Target="https://twitter.com/JustinTrudeau/status/1586090019496022016" TargetMode="External"/><Relationship Id="rId2204"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49" Type="http://schemas.openxmlformats.org/officeDocument/2006/relationships/hyperlink" Target="https://www.defense.gov/News/Releases/Release/Article/2988565/readout-of-secretary-of-defense-lloyd-j-austin-iiis-call-with-ukraines-minister/" TargetMode="External"/><Relationship Id="rId2856" Type="http://schemas.openxmlformats.org/officeDocument/2006/relationships/hyperlink" Target="https://appropriations.house.gov/sites/democrats.appropriations.house.gov/files/Additional%20Ukraine%20Suplemental%20Appropriations%20Act%20Summary.pdf" TargetMode="External"/><Relationship Id="rId97" Type="http://schemas.openxmlformats.org/officeDocument/2006/relationships/hyperlink" Target="https://www.aa.com.tr/en/russia-ukraine-crisis/slovakia-to-send-more-military-supplies-to-ukraine-premier-says/2518136" TargetMode="External"/><Relationship Id="rId730" Type="http://schemas.openxmlformats.org/officeDocument/2006/relationships/hyperlink" Target="https://www.minister.defence.gov.au/minister/rmarles/media-releases/australia-increases-support-ukraine" TargetMode="External"/><Relationship Id="rId828" Type="http://schemas.openxmlformats.org/officeDocument/2006/relationships/hyperlink" Target="https://www.defense.gov/News/Releases/Release/Article/3160503/600-million-in-additional-security-assistance-for-ukraine/" TargetMode="External"/><Relationship Id="rId1013" Type="http://schemas.openxmlformats.org/officeDocument/2006/relationships/hyperlink" Target="https://www.armyrecognition.com/defense_news_april_2022_global_security_army_industry/denmark_approves_delivery_of_m113_tracked_armored_vehicles_and_ammunition_to_ukraine.html" TargetMode="External"/><Relationship Id="rId1360" Type="http://schemas.openxmlformats.org/officeDocument/2006/relationships/hyperlink" Target="https://www.defensie.nl/actueel/nieuws/2022/11/04/nederlands-militair-steunpakket-voor-oekraine" TargetMode="External"/><Relationship Id="rId1458" Type="http://schemas.openxmlformats.org/officeDocument/2006/relationships/hyperlink" Target="https://www.defense.gov/News/Releases/Release/Article/3227217/400-million-in-additional-assistance-for-ukraine/" TargetMode="External"/><Relationship Id="rId1665" Type="http://schemas.openxmlformats.org/officeDocument/2006/relationships/hyperlink" Target="https://twitter.com/Defense_lu/status/1598610977364115462?t=6bU22e0y0z-S3WKot0R3BA&amp;s=19" TargetMode="External"/><Relationship Id="rId1872" Type="http://schemas.openxmlformats.org/officeDocument/2006/relationships/hyperlink" Target="https://appropriations.house.gov/sites/democrats.appropriations.house.gov/files/Additional%20Ukraine%20Suplemental%20Appropriations%20Act%20Summary.pdf" TargetMode="External"/><Relationship Id="rId2411" Type="http://schemas.openxmlformats.org/officeDocument/2006/relationships/hyperlink" Target="https://appropriations.house.gov/sites/democrats.appropriations.house.gov/files/Summary%20Continuing%20Appropriations%20and%20Ukraine%20Supplemental%20Appropriations%20Act%202023.pdf" TargetMode="External"/><Relationship Id="rId2509" Type="http://schemas.openxmlformats.org/officeDocument/2006/relationships/hyperlink" Target="https://crsreports.congress.gov/product/pdf/IF/IF12040" TargetMode="External"/><Relationship Id="rId2716" Type="http://schemas.openxmlformats.org/officeDocument/2006/relationships/hyperlink" Target="https://www.whitehouse.gov/briefing-room/press-briefings/2022/04/04/press-briefing-by-press-secretary-jen-psaki-and-national-security-advisor-jake-sullivan/" TargetMode="External"/><Relationship Id="rId1220" Type="http://schemas.openxmlformats.org/officeDocument/2006/relationships/hyperlink" Target="https://news.err.ee/1608742171/estonia-sends-more-ammunition-protective-equipment-to-ukraine" TargetMode="External"/><Relationship Id="rId1318" Type="http://schemas.openxmlformats.org/officeDocument/2006/relationships/hyperlink" Target="https://www.lesoir.be/479361/article/2022-11-25/la-belgique-va-envoyer-des-laboratoires-mobiles-et-des-drones-sous-marins" TargetMode="External"/><Relationship Id="rId1525" Type="http://schemas.openxmlformats.org/officeDocument/2006/relationships/hyperlink" Target="https://www.gov.ie/en/press-release/2e59c-update-on-medical-humanitarian-support-to-ukraine/" TargetMode="External"/><Relationship Id="rId2923" Type="http://schemas.openxmlformats.org/officeDocument/2006/relationships/hyperlink" Target="https://www.eda.admin.ch/content/dam/eda/de/documents/aktuell/news/2022/20221215-ukraine-engagement-schweiz-themen_de.pdf" TargetMode="External"/><Relationship Id="rId1732" Type="http://schemas.openxmlformats.org/officeDocument/2006/relationships/hyperlink" Target="https://appropriations.house.gov/sites/democrats.appropriations.house.gov/files/Ukraine%20Supplemental%20Summary.pdf" TargetMode="External"/><Relationship Id="rId24" Type="http://schemas.openxmlformats.org/officeDocument/2006/relationships/hyperlink" Target="https://eng.lsm.lv/article/society/society/latvia-has-sent-14-loads-of-donations-to-ukraine.a448977/" TargetMode="External"/><Relationship Id="rId2299" Type="http://schemas.openxmlformats.org/officeDocument/2006/relationships/hyperlink" Target="https://appropriations.house.gov/sites/democrats.appropriations.house.gov/files/Ukraine%20Supplemental%20Summary%20FY23.pdf" TargetMode="External"/><Relationship Id="rId173" Type="http://schemas.openxmlformats.org/officeDocument/2006/relationships/hyperlink" Target="https://mup.gov.hr/UserDocsImages/2022/4/112_8.pdf" TargetMode="External"/><Relationship Id="rId380" Type="http://schemas.openxmlformats.org/officeDocument/2006/relationships/hyperlink" Target="https://www.defense.gov/News/News-Stories/Article/Article/3038121/additional-100-million-in-howitzers-tactical-vehicles-radars-headed-to-ukraine/source/additional-100-million-in-howitzers-tactical-vehicles-radars-headed-to-ukraine/" TargetMode="External"/><Relationship Id="rId2061" Type="http://schemas.openxmlformats.org/officeDocument/2006/relationships/hyperlink" Target="https://crsreports.congress.gov/product/pdf/IF/IF12040" TargetMode="External"/><Relationship Id="rId240" Type="http://schemas.openxmlformats.org/officeDocument/2006/relationships/hyperlink" Target="https://www.regjeringen.no/en/aktuelt/norway-to-increase-support-to-ukraine-and-provide-military-equipment/id2902406/" TargetMode="External"/><Relationship Id="rId478" Type="http://schemas.openxmlformats.org/officeDocument/2006/relationships/hyperlink" Target="https://www.rferl.org/a/czech-republic-poland-new-military-aid-ukraine/31873938.html" TargetMode="External"/><Relationship Id="rId685" Type="http://schemas.openxmlformats.org/officeDocument/2006/relationships/hyperlink" Target="https://twitter.com/JaroNad/status/1537194189066223616?ref_src=twsrc%5Etfw%7Ctwcamp%5Etweetembed%7Ctwterm%5E1537194189066223616%7Ctwgr%5E%7Ctwcon%5Es1_&amp;ref_url=https%3A%2F%2Fgagadget.com%2Fen%2F138212-slovakia-handed-over-to-ukraine-mi-17-and-mi-2-helicopters-as-well-as-ammunition-for-the-grad-mlrs%2F" TargetMode="External"/><Relationship Id="rId892" Type="http://schemas.openxmlformats.org/officeDocument/2006/relationships/hyperlink" Target="https://www.facebook.com/mosr.sk/videos/5722932787787796" TargetMode="External"/><Relationship Id="rId2159" Type="http://schemas.openxmlformats.org/officeDocument/2006/relationships/hyperlink" Target="https://appropriations.house.gov/sites/democrats.appropriations.house.gov/files/Ukraine%20Supplemental%20Summary.pdf" TargetMode="External"/><Relationship Id="rId2366" Type="http://schemas.openxmlformats.org/officeDocument/2006/relationships/hyperlink" Target="https://crsreports.congress.gov/product/pdf/IF/IF12040" TargetMode="External"/><Relationship Id="rId2573" Type="http://schemas.openxmlformats.org/officeDocument/2006/relationships/hyperlink" Target="https://www.whitehouse.gov/briefing-room/press-briefings/2022/04/04/press-briefing-by-press-secretary-jen-psaki-and-national-security-advisor-jake-sullivan/" TargetMode="External"/><Relationship Id="rId2780" Type="http://schemas.openxmlformats.org/officeDocument/2006/relationships/hyperlink" Target="https://crsreports.congress.gov/product/pdf/IF/IF12040" TargetMode="External"/><Relationship Id="rId100" Type="http://schemas.openxmlformats.org/officeDocument/2006/relationships/hyperlink" Target="https://www.reuters.com/article/ukraine-crisis-slovakia-defence-idUSL2N2V626W" TargetMode="External"/><Relationship Id="rId338" Type="http://schemas.openxmlformats.org/officeDocument/2006/relationships/hyperlink" Target="https://www.youtube.com/watch?v=A1nTsblXabc" TargetMode="External"/><Relationship Id="rId545" Type="http://schemas.openxmlformats.org/officeDocument/2006/relationships/hyperlink" Target="https://news.err.ee/1608589426/estonia-s-military-aid-to-ukraine-totals-230-million" TargetMode="External"/><Relationship Id="rId752" Type="http://schemas.openxmlformats.org/officeDocument/2006/relationships/hyperlink" Target="https://www.mod.gov.lv/lv/zinas/latvija-ukrainas-armijai-piegadajusi-helikopterus-mi-17-un-mi-2" TargetMode="External"/><Relationship Id="rId1175" Type="http://schemas.openxmlformats.org/officeDocument/2006/relationships/hyperlink" Target="https://www.defense.gov/News/Releases/Release/Article/3216287/400-million-in-additional-assistance-for-ukraine/" TargetMode="External"/><Relationship Id="rId1382" Type="http://schemas.openxmlformats.org/officeDocument/2006/relationships/hyperlink" Target="https://twitter.com/Ukrainene/status/1612563073126076416" TargetMode="External"/><Relationship Id="rId2019" Type="http://schemas.openxmlformats.org/officeDocument/2006/relationships/hyperlink" Target="https://crsreports.congress.gov/product/pdf/IF/IF12040" TargetMode="External"/><Relationship Id="rId2226"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33" Type="http://schemas.openxmlformats.org/officeDocument/2006/relationships/hyperlink" Target="https://appropriations.house.gov/sites/democrats.appropriations.house.gov/files/Ukraine%20Supplemental%20Summary%20FY23.pdf" TargetMode="External"/><Relationship Id="rId2640" Type="http://schemas.openxmlformats.org/officeDocument/2006/relationships/hyperlink" Target="https://www.defense.gov/News/Releases/Release/Article/2988565/readout-of-secretary-of-defense-lloyd-j-austin-iiis-call-with-ukraines-minister/" TargetMode="External"/><Relationship Id="rId2878" Type="http://schemas.openxmlformats.org/officeDocument/2006/relationships/hyperlink" Target="https://appropriations.house.gov/sites/democrats.appropriations.house.gov/files/Additional%20Ukraine%20Suplemental%20Appropriations%20Act%20Summary.pdf" TargetMode="External"/><Relationship Id="rId405" Type="http://schemas.openxmlformats.org/officeDocument/2006/relationships/hyperlink" Target="https://www.reuters.com/world/europe/slovakia-says-it-delivered-air-defence-anti-tank-rockets-ukraine-2022-02-28/" TargetMode="External"/><Relationship Id="rId612" Type="http://schemas.openxmlformats.org/officeDocument/2006/relationships/hyperlink" Target="https://mezha.media/en/2022/04/15/new-weapon-deliveries-from-the-czech-republic-dana-self-propelled-artillery-and-rm-70-multiple-rocket-launcher/" TargetMode="External"/><Relationship Id="rId1035" Type="http://schemas.openxmlformats.org/officeDocument/2006/relationships/hyperlink" Target="https://intermin.fi/en/ukraine/civilian-assistance-to-ukraine" TargetMode="External"/><Relationship Id="rId1242" Type="http://schemas.openxmlformats.org/officeDocument/2006/relationships/hyperlink" Target="https://www.leparisien.fr/politique/sebastien-lecornu-nous-allons-former-jusqua-2000-soldats-ukrainiens-en-france-15-10-2022-SBLM6EKPOFELNHN3GHGA7IAESY.php" TargetMode="External"/><Relationship Id="rId1687" Type="http://schemas.openxmlformats.org/officeDocument/2006/relationships/hyperlink" Target="https://www.ukrainianworldcongress.org/slovakia-approves-a-new-package-of-military-aid-to-ukraine/" TargetMode="External"/><Relationship Id="rId1894" Type="http://schemas.openxmlformats.org/officeDocument/2006/relationships/hyperlink" Target="https://appropriations.house.gov/sites/democrats.appropriations.house.gov/files/Additional%20Ukraine%20Suplemental%20Appropriations%20Act%20Summary.pdf" TargetMode="External"/><Relationship Id="rId2500" Type="http://schemas.openxmlformats.org/officeDocument/2006/relationships/hyperlink" Target="https://crsreports.congress.gov/product/pdf/IF/IF12040" TargetMode="External"/><Relationship Id="rId2738" Type="http://schemas.openxmlformats.org/officeDocument/2006/relationships/hyperlink" Target="https://www.whitehouse.gov/briefing-room/press-briefings/2022/04/04/press-briefing-by-press-secretary-jen-psaki-and-national-security-advisor-jake-sullivan/" TargetMode="External"/><Relationship Id="rId2945" Type="http://schemas.openxmlformats.org/officeDocument/2006/relationships/hyperlink" Target="https://japan.kantei.go.jp/ongoingtopics/pdf/jp_stands_with_ukraine_eng.pdf" TargetMode="External"/><Relationship Id="rId917" Type="http://schemas.openxmlformats.org/officeDocument/2006/relationships/hyperlink" Target="https://www.euronews.com/2022/09/29/cargo-ship-with-1000-tonnes-of-ukraine-aid-sets-sail-from-marseille" TargetMode="External"/><Relationship Id="rId1102" Type="http://schemas.openxmlformats.org/officeDocument/2006/relationships/hyperlink" Target="https://www.reuters.com/world/europe/italy-open-supplying-air-defence-systems-ukraine-official-2022-11-08/" TargetMode="External"/><Relationship Id="rId1547" Type="http://schemas.openxmlformats.org/officeDocument/2006/relationships/hyperlink" Target="https://www.bundesregierung.de/resource/blob/975226/2155792/c3dbab706421f63d3d612091e7ecad4c/2022-12-27-unterstuetzung-ukraine-breg-data.pdf?download=1%20Guten" TargetMode="External"/><Relationship Id="rId1754" Type="http://schemas.openxmlformats.org/officeDocument/2006/relationships/hyperlink" Target="https://appropriations.house.gov/sites/democrats.appropriations.house.gov/files/Ukraine%20Supplemental%20Summary.pdf" TargetMode="External"/><Relationship Id="rId1961" Type="http://schemas.openxmlformats.org/officeDocument/2006/relationships/hyperlink" Target="https://appropriations.house.gov/sites/democrats.appropriations.house.gov/files/Additional%20Ukraine%20Suplemental%20Appropriations%20Act%20Summary.pdf" TargetMode="External"/><Relationship Id="rId2805" Type="http://schemas.openxmlformats.org/officeDocument/2006/relationships/hyperlink" Target="https://appropriations.house.gov/sites/democrats.appropriations.house.gov/files/Ukraine%20Supplemental%20Summary.pdf" TargetMode="External"/><Relationship Id="rId46" Type="http://schemas.openxmlformats.org/officeDocument/2006/relationships/hyperlink" Target="https://www.teletrader.com/lithuania-to-give-ukraine-10m-in-military-aid/news/details/57547008?internal=1&amp;ts=1650527739811" TargetMode="External"/><Relationship Id="rId1407" Type="http://schemas.openxmlformats.org/officeDocument/2006/relationships/hyperlink" Target="https://www.ukrinform.net/rubric-ato/3650513-italy-ready-to-send-more-weapons-to-ukraine-foreign-minister.html" TargetMode="External"/><Relationship Id="rId1614" Type="http://schemas.openxmlformats.org/officeDocument/2006/relationships/hyperlink" Target="https://twitter.com/a_anusauskas/status/1574471610807062542?cxt=HHwWnMC88dHl0tkrAAAA" TargetMode="External"/><Relationship Id="rId1821" Type="http://schemas.openxmlformats.org/officeDocument/2006/relationships/hyperlink" Target="https://appropriations.house.gov/sites/democrats.appropriations.house.gov/files/Ukraine%20Supplemental%20Summary.pdf" TargetMode="External"/><Relationship Id="rId195" Type="http://schemas.openxmlformats.org/officeDocument/2006/relationships/hyperlink" Target="https://www.youtube.com/watch?v=vzENx6dTpqY" TargetMode="External"/><Relationship Id="rId1919" Type="http://schemas.openxmlformats.org/officeDocument/2006/relationships/hyperlink" Target="https://appropriations.house.gov/sites/democrats.appropriations.house.gov/files/Additional%20Ukraine%20Suplemental%20Appropriations%20Act%20Summary.pdf" TargetMode="External"/><Relationship Id="rId2083" Type="http://schemas.openxmlformats.org/officeDocument/2006/relationships/hyperlink" Target="https://crsreports.congress.gov/product/pdf/IF/IF12040" TargetMode="External"/><Relationship Id="rId2290" Type="http://schemas.openxmlformats.org/officeDocument/2006/relationships/hyperlink" Target="https://appropriations.house.gov/sites/democrats.appropriations.house.gov/files/Ukraine%20Supplemental%20Summary%20FY23.pdf" TargetMode="External"/><Relationship Id="rId2388" Type="http://schemas.openxmlformats.org/officeDocument/2006/relationships/hyperlink" Target="https://crsreports.congress.gov/product/pdf/IF/IF12040" TargetMode="External"/><Relationship Id="rId2595" Type="http://schemas.openxmlformats.org/officeDocument/2006/relationships/hyperlink" Target="https://www.whitehouse.gov/briefing-room/press-briefings/2022/04/04/press-briefing-by-press-secretary-jen-psaki-and-national-security-advisor-jake-sullivan/" TargetMode="External"/><Relationship Id="rId262" Type="http://schemas.openxmlformats.org/officeDocument/2006/relationships/hyperlink" Target="https://www.regjeringen.no/en/topics/foreign-affairs/humanitarian-efforts/neighbour_support/id2908141/" TargetMode="External"/><Relationship Id="rId567" Type="http://schemas.openxmlformats.org/officeDocument/2006/relationships/hyperlink" Target="https://intermin.fi/en/ukraine/civilian-assistance-to-ukraine" TargetMode="External"/><Relationship Id="rId1197" Type="http://schemas.openxmlformats.org/officeDocument/2006/relationships/hyperlink" Target="https://www.defensa.gob.es/gabinete/notasPrensa/2022/10/DGC-221006-envio-ucrania.html" TargetMode="External"/><Relationship Id="rId2150" Type="http://schemas.openxmlformats.org/officeDocument/2006/relationships/hyperlink" Target="https://crsreports.congress.gov/product/pdf/IF/IF12040" TargetMode="External"/><Relationship Id="rId2248" Type="http://schemas.openxmlformats.org/officeDocument/2006/relationships/hyperlink" Target="https://appropriations.house.gov/sites/democrats.appropriations.house.gov/files/Ukraine%20Supplemental%20Summary%20FY23.pdf" TargetMode="External"/><Relationship Id="rId122" Type="http://schemas.openxmlformats.org/officeDocument/2006/relationships/hyperlink" Target="https://www.government.se/articles/2022/02/sweden-to-provide-direct-support-and-defence-materiel-to-ukraine/" TargetMode="External"/><Relationship Id="rId774" Type="http://schemas.openxmlformats.org/officeDocument/2006/relationships/hyperlink" Target="https://www.gov.uk/government/news/prime-minister-tells-ukraine-they-will-win-as-he-marks-independence-day-24-august-2022" TargetMode="External"/><Relationship Id="rId981" Type="http://schemas.openxmlformats.org/officeDocument/2006/relationships/hyperlink" Target="https://www.defense.gov/News/Releases/Release/Article/3066864/fact-sheet-on-us-security-assistance-to-ukraine/" TargetMode="External"/><Relationship Id="rId1057" Type="http://schemas.openxmlformats.org/officeDocument/2006/relationships/hyperlink" Target="https://www.government.se/articles/2022/11/government-to-send-record-support-package-to-ukraine/" TargetMode="External"/><Relationship Id="rId2010" Type="http://schemas.openxmlformats.org/officeDocument/2006/relationships/hyperlink" Target="https://appropriations.house.gov/sites/democrats.appropriations.house.gov/files/Additional%20Ukraine%20Suplemental%20Appropriations%20Act%20Summary.pdf" TargetMode="External"/><Relationship Id="rId2455" Type="http://schemas.openxmlformats.org/officeDocument/2006/relationships/hyperlink" Target="https://appropriations.house.gov/sites/democrats.appropriations.house.gov/files/Ukraine%20Supplemental%20Summary.pdf" TargetMode="External"/><Relationship Id="rId2662" Type="http://schemas.openxmlformats.org/officeDocument/2006/relationships/hyperlink" Target="https://www.defense.gov/News/Releases/Release/Article/2988565/readout-of-secretary-of-defense-lloyd-j-austin-iiis-call-with-ukraines-minister/" TargetMode="External"/><Relationship Id="rId427" Type="http://schemas.openxmlformats.org/officeDocument/2006/relationships/hyperlink" Target="https://www.youtube.com/watch?v=vzENx6dTpqY" TargetMode="External"/><Relationship Id="rId634" Type="http://schemas.openxmlformats.org/officeDocument/2006/relationships/hyperlink" Target="https://300gospodarka.pl/news/dworczyk-wartosc-polskiej-pomocy-militarnej-dla-ukrainy-to-juz-18-mld-euro" TargetMode="External"/><Relationship Id="rId841" Type="http://schemas.openxmlformats.org/officeDocument/2006/relationships/hyperlink" Target="https://www.defense.gov/News/Releases/Release/Article/3138105/nearly-3-billion-in-additional-security-assistance-for-ukraine/" TargetMode="External"/><Relationship Id="rId1264" Type="http://schemas.openxmlformats.org/officeDocument/2006/relationships/hyperlink" Target="https://www.defmin.fi/ajankohtaista/tiedotteet_ja_uutiset/suomi_toimittaa_lisaa_puolustustarvikeapua_ukrainaan.13184.news" TargetMode="External"/><Relationship Id="rId1471" Type="http://schemas.openxmlformats.org/officeDocument/2006/relationships/hyperlink" Target="https://www.polskieradio.pl/398/9724/Artykul/2948128," TargetMode="External"/><Relationship Id="rId1569" Type="http://schemas.openxmlformats.org/officeDocument/2006/relationships/hyperlink" Target="https://www.energy-community.org/news/Energy-Community-News/2022/12/14.html" TargetMode="External"/><Relationship Id="rId2108" Type="http://schemas.openxmlformats.org/officeDocument/2006/relationships/hyperlink" Target="https://crsreports.congress.gov/product/pdf/IF/IF12040" TargetMode="External"/><Relationship Id="rId2315" Type="http://schemas.openxmlformats.org/officeDocument/2006/relationships/hyperlink" Target="https://crsreports.congress.gov/product/pdf/IF/IF12040" TargetMode="External"/><Relationship Id="rId2522" Type="http://schemas.openxmlformats.org/officeDocument/2006/relationships/hyperlink" Target="https://appropriations.house.gov/sites/democrats.appropriations.house.gov/files/Additional%20Ukraine%20Suplemental%20Appropriations%20Act%20Summary.pdf" TargetMode="External"/><Relationship Id="rId701" Type="http://schemas.openxmlformats.org/officeDocument/2006/relationships/hyperlink" Target="https://twitter.com/AnnLinde/status/1532316643254226945?ref_src=twsrc%5Etfw%7Ctwcamp%5Etweetembed%7Ctwterm%5E1532316643254226945%7Ctwgr%5E%7Ctwcon%5Es1_&amp;ref_url=https%3A%2F%2Fmezha.media%2Fen%2F2022%2F06%2F03%2Frbs-17-swedish-short-range-anti-ship-missile%2F" TargetMode="External"/><Relationship Id="rId939" Type="http://schemas.openxmlformats.org/officeDocument/2006/relationships/hyperlink" Target="https://twitter.com/oleksiireznikov/status/1569670474841427971" TargetMode="External"/><Relationship Id="rId1124" Type="http://schemas.openxmlformats.org/officeDocument/2006/relationships/hyperlink" Target="https://twitter.com/a_anusauskas/status/1592084804501401604" TargetMode="External"/><Relationship Id="rId1331" Type="http://schemas.openxmlformats.org/officeDocument/2006/relationships/hyperlink" Target="https://pm.gc.ca/en/news/news-releases/2022/11/14/prime-minister-announces-additional-military-assistance-ukraine-and" TargetMode="External"/><Relationship Id="rId1776" Type="http://schemas.openxmlformats.org/officeDocument/2006/relationships/hyperlink" Target="https://appropriations.house.gov/sites/democrats.appropriations.house.gov/files/Ukraine%20Supplemental%20Summary.pdf" TargetMode="External"/><Relationship Id="rId1983" Type="http://schemas.openxmlformats.org/officeDocument/2006/relationships/hyperlink" Target="https://appropriations.house.gov/sites/democrats.appropriations.house.gov/files/Additional%20Ukraine%20Suplemental%20Appropriations%20Act%20Summary.pdf" TargetMode="External"/><Relationship Id="rId2827" Type="http://schemas.openxmlformats.org/officeDocument/2006/relationships/hyperlink" Target="https://appropriations.house.gov/sites/democrats.appropriations.house.gov/files/Ukraine%20Supplemental%20Summary.pdf" TargetMode="External"/><Relationship Id="rId68" Type="http://schemas.openxmlformats.org/officeDocument/2006/relationships/hyperlink" Target="https://www.canada.ca/en/department-national-defence/news/2022/03/defence-minister-anand-announces-additional-military-support-to-ukraine.html?msclkid=50865665ab9011ecbb2d77d3ecd6e3a6" TargetMode="External"/><Relationship Id="rId1429" Type="http://schemas.openxmlformats.org/officeDocument/2006/relationships/hyperlink" Target="https://um.fi/current-affairs/-/asset_publisher/gc654PySnjTX/content/suomi-tukee-sodan-tuhojen-korjaamista-ja-vihreaa-jalleenrakennusta-ukrainassa" TargetMode="External"/><Relationship Id="rId1636" Type="http://schemas.openxmlformats.org/officeDocument/2006/relationships/hyperlink" Target="https://twitter.com/a_anusauskas/status/1597973635004010496" TargetMode="External"/><Relationship Id="rId1843" Type="http://schemas.openxmlformats.org/officeDocument/2006/relationships/hyperlink" Target="https://appropriations.house.gov/sites/democrats.appropriations.house.gov/files/Ukraine%20Supplemental%20Summary.pdf" TargetMode="External"/><Relationship Id="rId1703" Type="http://schemas.openxmlformats.org/officeDocument/2006/relationships/hyperlink" Target="https://www.kmu.gov.ua/en/news/ukraina-otrymala-100-mln-ievro-vid-frantsii" TargetMode="External"/><Relationship Id="rId1910" Type="http://schemas.openxmlformats.org/officeDocument/2006/relationships/hyperlink" Target="https://appropriations.house.gov/sites/democrats.appropriations.house.gov/files/Additional%20Ukraine%20Suplemental%20Appropriations%20Act%20Summary.pdf" TargetMode="External"/><Relationship Id="rId284" Type="http://schemas.openxmlformats.org/officeDocument/2006/relationships/hyperlink" Target="https://twitter.com/KyivIndependent/status/1516621305608552451?ref_src=twsrc%5Etfw" TargetMode="External"/><Relationship Id="rId491" Type="http://schemas.openxmlformats.org/officeDocument/2006/relationships/hyperlink" Target="https://see.news/south-korea-to-send-non-lethal-aid-to-ukraine/" TargetMode="External"/><Relationship Id="rId2172" Type="http://schemas.openxmlformats.org/officeDocument/2006/relationships/hyperlink" Target="https://appropriations.house.gov/sites/democrats.appropriations.house.gov/files/Additional%20Ukraine%20Suplemental%20Appropriations%20Act%20Summary.pdf" TargetMode="External"/><Relationship Id="rId144" Type="http://schemas.openxmlformats.org/officeDocument/2006/relationships/hyperlink" Target="https://www.gov.si/en/news/2022-03-01-minister-logar-announces-eur-1-1-million-in-humanitarian-aid-for-ukraine/" TargetMode="External"/><Relationship Id="rId589" Type="http://schemas.openxmlformats.org/officeDocument/2006/relationships/hyperlink" Target="https://www.lrt.lt/en/news-in-english/19/1702318/lithuania-among-top-15-of-ukraine-s-military-donors-mp" TargetMode="External"/><Relationship Id="rId796" Type="http://schemas.openxmlformats.org/officeDocument/2006/relationships/hyperlink" Target="https://www.defensenews.com/land/2022/08/22/turkey-sends-50-mine-resistant-vehicles-to-ukraine-with-more-expected/" TargetMode="External"/><Relationship Id="rId2477" Type="http://schemas.openxmlformats.org/officeDocument/2006/relationships/hyperlink" Target="https://appropriations.house.gov/sites/democrats.appropriations.house.gov/files/Additional%20Ukraine%20Suplemental%20Appropriations%20Act%20Summary.pdf" TargetMode="External"/><Relationship Id="rId2684" Type="http://schemas.openxmlformats.org/officeDocument/2006/relationships/hyperlink" Target="https://www.defense.gov/News/Releases/Release/Article/2987119/defense-department-announces-300-million-in-additional-assistance-for-ukraine/" TargetMode="External"/><Relationship Id="rId351" Type="http://schemas.openxmlformats.org/officeDocument/2006/relationships/hyperlink" Target="https://government.se/press-releases/2022/05/sweden-and-poland-co-host-international-donors-conference-to-support-ukrainian-people/" TargetMode="External"/><Relationship Id="rId449" Type="http://schemas.openxmlformats.org/officeDocument/2006/relationships/hyperlink" Target="https://torontosun.com/news/national/canada-shipping-20000-rounds-of-artillery-ammunition-to-ukraine" TargetMode="External"/><Relationship Id="rId656" Type="http://schemas.openxmlformats.org/officeDocument/2006/relationships/hyperlink" Target="https://twitter.com/AFADTurkiye/status/1537845513671917570?s=20&amp;t=s9akAL75RoX8Zs9Cn_sKtQ" TargetMode="External"/><Relationship Id="rId863" Type="http://schemas.openxmlformats.org/officeDocument/2006/relationships/hyperlink" Target="https://www.defense.gov/News/Releases/Release/Article/3173378/11-billion-in-additional-security-assistance-for-ukraine/" TargetMode="External"/><Relationship Id="rId1079" Type="http://schemas.openxmlformats.org/officeDocument/2006/relationships/hyperlink" Target="https://www.defense.gouv.fr/terre/actualites/uiisc-1-3e-convoi-solidarite-lukraine" TargetMode="External"/><Relationship Id="rId1286" Type="http://schemas.openxmlformats.org/officeDocument/2006/relationships/hyperlink" Target="https://www.regjeringen.no/en/topics/foreign-affairs/humanitarian-efforts/neighbour_support/id2908141/" TargetMode="External"/><Relationship Id="rId1493" Type="http://schemas.openxmlformats.org/officeDocument/2006/relationships/hyperlink" Target="https://twitter.com/IndiainUkraine/status/1569230165460537344?ref_src=twsrc%5Etfw%7Ctwcamp%5Etweetembed%7Ctwterm%5E1569230165460537344%7Ctwgr%5E0194295d916b4923f831841754378e309799059f%7Ctwcon%5Es1_&amp;ref_url=https%3A%2F%2Fwww.livemint.com%2Fnews%2Fworld%2Findia-sends-7-725-kilograms-of-humanitarian-aid-to-ukraine-amid-war-read-here-11662994122487.html" TargetMode="External"/><Relationship Id="rId2032" Type="http://schemas.openxmlformats.org/officeDocument/2006/relationships/hyperlink" Target="https://crsreports.congress.gov/product/pdf/IF/IF12040" TargetMode="External"/><Relationship Id="rId2337" Type="http://schemas.openxmlformats.org/officeDocument/2006/relationships/hyperlink" Target="https://crsreports.congress.gov/product/pdf/IF/IF12040" TargetMode="External"/><Relationship Id="rId2544" Type="http://schemas.openxmlformats.org/officeDocument/2006/relationships/hyperlink" Target="https://www.19fortyfive.com/2022/04/switchblade-the-drone-giving-ukraine-a-big-edge-against-russia/" TargetMode="External"/><Relationship Id="rId2891" Type="http://schemas.openxmlformats.org/officeDocument/2006/relationships/hyperlink" Target="https://appropriations.house.gov/sites/democrats.appropriations.house.gov/files/Additional%20Ukraine%20Suplemental%20Appropriations%20Act%20Summary.pdf" TargetMode="External"/><Relationship Id="rId211" Type="http://schemas.openxmlformats.org/officeDocument/2006/relationships/hyperlink" Target="https://twitter.com/florence_parly/status/1514275166158790666" TargetMode="External"/><Relationship Id="rId309" Type="http://schemas.openxmlformats.org/officeDocument/2006/relationships/hyperlink" Target="https://www.beehive.govt.nz/release/nz-provide-additional-deployment-support-ukraine" TargetMode="External"/><Relationship Id="rId516" Type="http://schemas.openxmlformats.org/officeDocument/2006/relationships/hyperlink" Target="https://www.reuters.com/world/europe/sweden-provide-ukraine-with-5000-more-anti-tank-weapons-tt-news-agency-2022-03-23/" TargetMode="External"/><Relationship Id="rId1146" Type="http://schemas.openxmlformats.org/officeDocument/2006/relationships/hyperlink" Target="https://www.gov.uk/government/speeches/pm-opening-remarks-at-press-conference-with-german-chancellor-olaf-scholz-8-april-2022" TargetMode="External"/><Relationship Id="rId1798" Type="http://schemas.openxmlformats.org/officeDocument/2006/relationships/hyperlink" Target="https://appropriations.house.gov/sites/democrats.appropriations.house.gov/files/Ukraine%20Supplemental%20Summary.pdf" TargetMode="External"/><Relationship Id="rId2751" Type="http://schemas.openxmlformats.org/officeDocument/2006/relationships/hyperlink" Target="https://www.whitehouse.gov/briefing-room/press-briefings/2022/04/04/press-briefing-by-press-secretary-jen-psaki-and-national-security-advisor-jake-sullivan/" TargetMode="External"/><Relationship Id="rId2849" Type="http://schemas.openxmlformats.org/officeDocument/2006/relationships/hyperlink" Target="https://appropriations.house.gov/sites/democrats.appropriations.house.gov/files/Ukraine%20Supplemental%20Summary.pdf" TargetMode="External"/><Relationship Id="rId723" Type="http://schemas.openxmlformats.org/officeDocument/2006/relationships/hyperlink" Target="https://www.reuters.com/world/europe/spain-says-its-mothballed-german-made-tanks-no-fit-state-send-ukraine-2022-08-02/" TargetMode="External"/><Relationship Id="rId930" Type="http://schemas.openxmlformats.org/officeDocument/2006/relationships/hyperlink" Target="https://balticguide.ee/en/estonia-donates-12-buses-to-ukraine-to-help-restore-transport-links-in-the-country/" TargetMode="External"/><Relationship Id="rId1006" Type="http://schemas.openxmlformats.org/officeDocument/2006/relationships/hyperlink" Target="https://www.globaldefensecorp.com/2022/03/04/denmark-delivered-2700-anti-tank-rockets-and-300-stinger-missiles-to-ukraine/" TargetMode="External"/><Relationship Id="rId1353" Type="http://schemas.openxmlformats.org/officeDocument/2006/relationships/hyperlink" Target="https://delano.lu/article/luxembourg-delivering-substant" TargetMode="External"/><Relationship Id="rId1560" Type="http://schemas.openxmlformats.org/officeDocument/2006/relationships/hyperlink" Target="https://www.bmz.de/de/laender/ukraine" TargetMode="External"/><Relationship Id="rId1658" Type="http://schemas.openxmlformats.org/officeDocument/2006/relationships/hyperlink" Target="https://www.investor.bg/a/527-svyat/366246-balgariya-e-otpusnala-na-ukrayna-pomosht-za-448-mln-lv-ot-nachaloto-na-voynata" TargetMode="External"/><Relationship Id="rId1865" Type="http://schemas.openxmlformats.org/officeDocument/2006/relationships/hyperlink" Target="https://appropriations.house.gov/sites/democrats.appropriations.house.gov/files/Ukraine%20Supplemental%20Summary.pdf" TargetMode="External"/><Relationship Id="rId2404"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11" Type="http://schemas.openxmlformats.org/officeDocument/2006/relationships/hyperlink" Target="https://www.whitehouse.gov/briefing-room/press-briefings/2022/04/04/press-briefing-by-press-secretary-jen-psaki-and-national-security-advisor-jake-sullivan/" TargetMode="External"/><Relationship Id="rId2709" Type="http://schemas.openxmlformats.org/officeDocument/2006/relationships/hyperlink" Target="https://www.defense.gov/News/Releases/Release/Article/2987119/defense-department-announces-300-million-in-additional-assistance-for-ukraine/" TargetMode="External"/><Relationship Id="rId1213" Type="http://schemas.openxmlformats.org/officeDocument/2006/relationships/hyperlink" Target="https://www.kyivpost.com/russias-war/estonia-to-boost-military-assistance-for-ukraine.html" TargetMode="External"/><Relationship Id="rId1420" Type="http://schemas.openxmlformats.org/officeDocument/2006/relationships/hyperlink" Target="https://spectator.sme.sk/c/23092666/slovaka-will-provide-winter-package-for-ukraine.html" TargetMode="External"/><Relationship Id="rId1518" Type="http://schemas.openxmlformats.org/officeDocument/2006/relationships/hyperlink" Target="https://hellenicaid.mfa.gr/en/epikairotita/anakoinoseis/episkepse-upourgou-exoterikon-nikou.html" TargetMode="External"/><Relationship Id="rId2916" Type="http://schemas.openxmlformats.org/officeDocument/2006/relationships/hyperlink" Target="https://crsreports.congress.gov/product/pdf/IF/IF12040" TargetMode="External"/><Relationship Id="rId1725" Type="http://schemas.openxmlformats.org/officeDocument/2006/relationships/hyperlink" Target="https://appropriations.house.gov/sites/democrats.appropriations.house.gov/files/Summary%20Continuing%20Appropriations%20and%20Ukraine%20Supplemental%20Appropriations%20Act%202023.pdf" TargetMode="External"/><Relationship Id="rId1932" Type="http://schemas.openxmlformats.org/officeDocument/2006/relationships/hyperlink" Target="https://appropriations.house.gov/sites/democrats.appropriations.house.gov/files/Additional%20Ukraine%20Suplemental%20Appropriations%20Act%20Summary.pdf" TargetMode="External"/><Relationship Id="rId17" Type="http://schemas.openxmlformats.org/officeDocument/2006/relationships/hyperlink" Target="https://sofiaglobe.com/2022/02/27/bulgaria-to-provide-humanitarian-military-logistical-aid-to-ukraine/?msclkid=2fb3d8c7b05511ec86aca56bb6424b21" TargetMode="External"/><Relationship Id="rId2194" Type="http://schemas.openxmlformats.org/officeDocument/2006/relationships/hyperlink" Target="https://appropriations.house.gov/sites/democrats.appropriations.house.gov/files/Summary%20Continuing%20Appropriations%20and%20Ukraine%20Supplemental%20Appropriations%20Act%202023.pdf" TargetMode="External"/><Relationship Id="rId166" Type="http://schemas.openxmlformats.org/officeDocument/2006/relationships/hyperlink" Target="https://www.canada.ca/en/department-national-defence/news/2022/03/defence-minister-anand-announces-additional-military-support-to-ukraine.html?msclkid=50865665ab9011ecbb2d77d3ecd6e3a6" TargetMode="External"/><Relationship Id="rId373" Type="http://schemas.openxmlformats.org/officeDocument/2006/relationships/hyperlink" Target="https://tfiglobalnews.com/2022/03/21/canada-wanted-to-supply-weapons-to-ukraine-turns-out-it-didnt-have-any/" TargetMode="External"/><Relationship Id="rId580" Type="http://schemas.openxmlformats.org/officeDocument/2006/relationships/hyperlink" Target="https://www.beehive.govt.nz/release/further-aotearoa-new-zealand-support-ukraine" TargetMode="External"/><Relationship Id="rId2054" Type="http://schemas.openxmlformats.org/officeDocument/2006/relationships/hyperlink" Target="https://crsreports.congress.gov/product/pdf/IF/IF12040" TargetMode="External"/><Relationship Id="rId2261" Type="http://schemas.openxmlformats.org/officeDocument/2006/relationships/hyperlink" Target="https://appropriations.house.gov/sites/democrats.appropriations.house.gov/files/Ukraine%20Supplemental%20Summary%20FY23.pdf" TargetMode="External"/><Relationship Id="rId2499" Type="http://schemas.openxmlformats.org/officeDocument/2006/relationships/hyperlink" Target="https://crsreports.congress.gov/product/pdf/IF/IF12040" TargetMode="External"/><Relationship Id="rId1" Type="http://schemas.openxmlformats.org/officeDocument/2006/relationships/hyperlink" Target="https://www.diplomatie.gouv.fr/en/country-files/ukraine/news/article/ukraine-france-steps-up-humanitarian-relief-efforts-for-ukraine-10-mar-2022" TargetMode="External"/><Relationship Id="rId233" Type="http://schemas.openxmlformats.org/officeDocument/2006/relationships/hyperlink" Target="https://vm.ee/en/humanitarian-aid-ukraine" TargetMode="External"/><Relationship Id="rId440" Type="http://schemas.openxmlformats.org/officeDocument/2006/relationships/hyperlink" Target="https://ec.europa.eu/info/strategy/priorities-2019-2024/stronger-europe-world/eu-solidarity-ukraine/eu-assistance-ukraine_en" TargetMode="External"/><Relationship Id="rId678" Type="http://schemas.openxmlformats.org/officeDocument/2006/relationships/hyperlink" Target="https://en.defence-ua.com/weapon_and_tech/ukrainian_defense_forces_will_get_several_alvis_apc_from_estonia-2973.html" TargetMode="External"/><Relationship Id="rId885" Type="http://schemas.openxmlformats.org/officeDocument/2006/relationships/hyperlink" Target="https://twitter.com/a_anusauskas/status/1549776944295809028" TargetMode="External"/><Relationship Id="rId1070" Type="http://schemas.openxmlformats.org/officeDocument/2006/relationships/hyperlink" Target="https://www.interieur.gouv.fr/actualites/dossiers/situation-en-ukraine/solidarite-nationale-envers-lukraine-second-convoi-de" TargetMode="External"/><Relationship Id="rId2121" Type="http://schemas.openxmlformats.org/officeDocument/2006/relationships/hyperlink" Target="https://crsreports.congress.gov/product/pdf/IF/IF12040" TargetMode="External"/><Relationship Id="rId2359" Type="http://schemas.openxmlformats.org/officeDocument/2006/relationships/hyperlink" Target="https://crsreports.congress.gov/product/pdf/IF/IF12040" TargetMode="External"/><Relationship Id="rId2566" Type="http://schemas.openxmlformats.org/officeDocument/2006/relationships/hyperlink" Target="https://www.19fortyfive.com/2022/04/switchblade-the-drone-giving-ukraine-a-big-edge-against-russia/" TargetMode="External"/><Relationship Id="rId2773" Type="http://schemas.openxmlformats.org/officeDocument/2006/relationships/hyperlink" Target="https://crsreports.congress.gov/product/pdf/IF/IF12040" TargetMode="External"/><Relationship Id="rId300" Type="http://schemas.openxmlformats.org/officeDocument/2006/relationships/hyperlink" Target="https://www.gov.uk/government/publications/world-bank-spring-meetings-2022-uk-governors-statement/world-bank-spring-meetings-2022-uk-governors-statement" TargetMode="External"/><Relationship Id="rId538" Type="http://schemas.openxmlformats.org/officeDocument/2006/relationships/hyperlink" Target="https://www.thebulletin.be/belgium-send-more-weapons-and-fuel-ukraine" TargetMode="External"/><Relationship Id="rId745" Type="http://schemas.openxmlformats.org/officeDocument/2006/relationships/hyperlink" Target="https://www.mfa.gov.lv/en/article/latvian-foreign-ministry-channel-eur-24000000-towards-assistance-ukraine" TargetMode="External"/><Relationship Id="rId952" Type="http://schemas.openxmlformats.org/officeDocument/2006/relationships/hyperlink" Target="https://www.bbc.com/news/uk-61990479" TargetMode="External"/><Relationship Id="rId1168" Type="http://schemas.openxmlformats.org/officeDocument/2006/relationships/hyperlink" Target="https://www.facebook.com/LVIVDSNS/posts/pfbid0Kh4LzoSej4TroK3tNk9nUGzRfwB9sFeaRPgWP94cdzQsv1ChVf42NgPiSmZBK6wMl" TargetMode="External"/><Relationship Id="rId1375" Type="http://schemas.openxmlformats.org/officeDocument/2006/relationships/hyperlink" Target="https://abcnews.go.com/International/wireStory/bulgarian-parliament-approves-military-aid-ukraine-94859655" TargetMode="External"/><Relationship Id="rId1582" Type="http://schemas.openxmlformats.org/officeDocument/2006/relationships/hyperlink" Target="https://www.gov.uk/government/speeches/defence-secretary-oral-statement-on-war-in-ukraine--2" TargetMode="External"/><Relationship Id="rId2219"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26" Type="http://schemas.openxmlformats.org/officeDocument/2006/relationships/hyperlink" Target="https://appropriations.house.gov/sites/democrats.appropriations.house.gov/files/Ukraine%20Supplemental%20Summary%20FY23.pdf" TargetMode="External"/><Relationship Id="rId2633" Type="http://schemas.openxmlformats.org/officeDocument/2006/relationships/hyperlink" Target="https://www.defense.gov/News/Releases/Release/Article/2988565/readout-of-secretary-of-defense-lloyd-j-austin-iiis-call-with-ukraines-minister/" TargetMode="External"/><Relationship Id="rId81" Type="http://schemas.openxmlformats.org/officeDocument/2006/relationships/hyperlink" Target="https://www.vlada.cz/cz/media-centrum/aktualne/vlada-kvuli-migracni-krizi-vyhlasila-od-patku-nouzovy-stav--schvalila-i-dalsi-pomoc-pro-ukrajinu-a-navrh-na-zvyseni-vydaju-na-obranu-194695/" TargetMode="External"/><Relationship Id="rId605" Type="http://schemas.openxmlformats.org/officeDocument/2006/relationships/hyperlink" Target="https://www.reuters.com/world/china-provide-5-mln-yuan-worth-humanitarian-assistance-ukraine-2022-03-09/" TargetMode="External"/><Relationship Id="rId812" Type="http://schemas.openxmlformats.org/officeDocument/2006/relationships/hyperlink" Target="https://www.defense.gov/News/Releases/Release/Article/3152071/675-million-in-additional-security-assistance-for-ukraine/" TargetMode="External"/><Relationship Id="rId1028" Type="http://schemas.openxmlformats.org/officeDocument/2006/relationships/hyperlink" Target="https://www.army-technology.com/news/finland-sends-additional-defence-aid-ukraine/" TargetMode="External"/><Relationship Id="rId1235" Type="http://schemas.openxmlformats.org/officeDocument/2006/relationships/hyperlink" Target="https://www.defensa.gob.es/gabinete/notasPrensa/2022/11/DGC-221110-sesion-ucrania.html" TargetMode="External"/><Relationship Id="rId1442" Type="http://schemas.openxmlformats.org/officeDocument/2006/relationships/hyperlink" Target="https://www.koreaherald.com/view.php?ud=20221209000551" TargetMode="External"/><Relationship Id="rId1887" Type="http://schemas.openxmlformats.org/officeDocument/2006/relationships/hyperlink" Target="https://appropriations.house.gov/sites/democrats.appropriations.house.gov/files/Additional%20Ukraine%20Suplemental%20Appropriations%20Act%20Summary.pdf" TargetMode="External"/><Relationship Id="rId2840" Type="http://schemas.openxmlformats.org/officeDocument/2006/relationships/hyperlink" Target="https://appropriations.house.gov/sites/democrats.appropriations.house.gov/files/Ukraine%20Supplemental%20Summary.pdf" TargetMode="External"/><Relationship Id="rId2938" Type="http://schemas.openxmlformats.org/officeDocument/2006/relationships/hyperlink" Target="https://www.kmu.gov.ua/en/news/vbachaiemo-velyki-perspektyvy-u-zaluchenni-frantsuzkoho-biznesu-do-rannoi-vidbudovy-ukrainy-iuliia-svyrydenko-na-zustrichi-z-medef" TargetMode="External"/><Relationship Id="rId1302" Type="http://schemas.openxmlformats.org/officeDocument/2006/relationships/hyperlink" Target="https://edition.cnn.com/europe/live-news/russia-ukraine-war-news-08-29-22/h_21f066995f2c6fe12ab6605c48c1b9d1" TargetMode="External"/><Relationship Id="rId1747" Type="http://schemas.openxmlformats.org/officeDocument/2006/relationships/hyperlink" Target="https://appropriations.house.gov/sites/democrats.appropriations.house.gov/files/Ukraine%20Supplemental%20Summary.pdf" TargetMode="External"/><Relationship Id="rId1954" Type="http://schemas.openxmlformats.org/officeDocument/2006/relationships/hyperlink" Target="https://appropriations.house.gov/sites/democrats.appropriations.house.gov/files/Additional%20Ukraine%20Suplemental%20Appropriations%20Act%20Summary.pdf" TargetMode="External"/><Relationship Id="rId2700" Type="http://schemas.openxmlformats.org/officeDocument/2006/relationships/hyperlink" Target="https://www.defense.gov/News/Releases/Release/Article/2987119/defense-department-announces-300-million-in-additional-assistance-for-ukraine/" TargetMode="External"/><Relationship Id="rId39" Type="http://schemas.openxmlformats.org/officeDocument/2006/relationships/hyperlink" Target="https://www.vlada.cz/cz/media-centrum/aktualne/vlada-kvuli-migracni-krizi-vyhlasila-od-patku-nouzovy-stav--schvalila-i-dalsi-pomoc-pro-ukrajinu-a-navrh-na-zvyseni-vydaju-na-obranu-194695/" TargetMode="External"/><Relationship Id="rId1607"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1814" Type="http://schemas.openxmlformats.org/officeDocument/2006/relationships/hyperlink" Target="https://appropriations.house.gov/sites/democrats.appropriations.house.gov/files/Ukraine%20Supplemental%20Summary.pdf" TargetMode="External"/><Relationship Id="rId188" Type="http://schemas.openxmlformats.org/officeDocument/2006/relationships/hyperlink" Target="https://www.youtube.com/watch?v=NdYiLiivIgs" TargetMode="External"/><Relationship Id="rId395" Type="http://schemas.openxmlformats.org/officeDocument/2006/relationships/hyperlink" Target="https://www.teletrader.com/lithuania-to-give-ukraine-10m-in-military-aid/news/details/57547008?internal=1&amp;ts=1654245351379" TargetMode="External"/><Relationship Id="rId2076" Type="http://schemas.openxmlformats.org/officeDocument/2006/relationships/hyperlink" Target="https://crsreports.congress.gov/product/pdf/IF/IF12040" TargetMode="External"/><Relationship Id="rId2283" Type="http://schemas.openxmlformats.org/officeDocument/2006/relationships/hyperlink" Target="https://appropriations.house.gov/sites/democrats.appropriations.house.gov/files/Ukraine%20Supplemental%20Summary%20FY23.pdf" TargetMode="External"/><Relationship Id="rId2490" Type="http://schemas.openxmlformats.org/officeDocument/2006/relationships/hyperlink" Target="https://crsreports.congress.gov/product/pdf/IF/IF12040" TargetMode="External"/><Relationship Id="rId2588" Type="http://schemas.openxmlformats.org/officeDocument/2006/relationships/hyperlink" Target="https://www.whitehouse.gov/briefing-room/press-briefings/2022/04/04/press-briefing-by-press-secretary-jen-psaki-and-national-security-advisor-jake-sullivan/" TargetMode="External"/><Relationship Id="rId255" Type="http://schemas.openxmlformats.org/officeDocument/2006/relationships/hyperlink" Target="https://www.regjeringen.no/en/aktuelt/norway-to-provide-weapons-to-ukraine/id2902587/" TargetMode="External"/><Relationship Id="rId462" Type="http://schemas.openxmlformats.org/officeDocument/2006/relationships/hyperlink" Target="https://www.ukrinform.net/rubric-ato/3470180-bulgaria-to-give-ukraine-humanitarian-aid-worth-over-eur-700000-shmyhal.html" TargetMode="External"/><Relationship Id="rId1092" Type="http://schemas.openxmlformats.org/officeDocument/2006/relationships/hyperlink" Target="https://www.ukrinform.net/rubric-ato/3604150-italy-provides-ukraine-with-two-m270-systems-six-pzh-2000-about-30-selfpropelled-howitzers-media.html" TargetMode="External"/><Relationship Id="rId1397" Type="http://schemas.openxmlformats.org/officeDocument/2006/relationships/hyperlink" Target="https://twitter.com/EmmanuelMacron/status/1602661511700389888?ref_src=twsrc%5Etfw%7Ctwcamp%5Etweetembed%7Ctwterm%5E1602661511700389888%7Ctwgr%5E339bcba22bc63bfdb282e6d9427211ad1ddf282a%7Ctwcon%5Es1_&amp;ref_url=https%3A%2F%2Fwww.elysee.fr%2Femmanuel-macron%2F2022%2F12%2F13%2Fsolidaires-du-peuple-ukrainien" TargetMode="External"/><Relationship Id="rId2143" Type="http://schemas.openxmlformats.org/officeDocument/2006/relationships/hyperlink" Target="https://crsreports.congress.gov/product/pdf/IF/IF12040" TargetMode="External"/><Relationship Id="rId2350" Type="http://schemas.openxmlformats.org/officeDocument/2006/relationships/hyperlink" Target="https://crsreports.congress.gov/product/pdf/IF/IF12040" TargetMode="External"/><Relationship Id="rId2795" Type="http://schemas.openxmlformats.org/officeDocument/2006/relationships/hyperlink" Target="https://crsreports.congress.gov/product/pdf/IF/IF12040" TargetMode="External"/><Relationship Id="rId115" Type="http://schemas.openxmlformats.org/officeDocument/2006/relationships/hyperlink" Target="https://ukdefencejournal.org.uk/britain-sending-anti-aircraft-and-javelin-missiles-to-ukraine/" TargetMode="External"/><Relationship Id="rId322" Type="http://schemas.openxmlformats.org/officeDocument/2006/relationships/hyperlink" Target="https://mil.in.ua/en/news/harpoon-what-is-known-about-danish-coastal-missile-systems/" TargetMode="External"/><Relationship Id="rId767" Type="http://schemas.openxmlformats.org/officeDocument/2006/relationships/hyperlink" Target="https://www.reuters.com/world/europe/swedish-pm-sets-out-further-military-aid-package-ukraine-2022-08-29/" TargetMode="External"/><Relationship Id="rId974" Type="http://schemas.openxmlformats.org/officeDocument/2006/relationships/hyperlink" Target="https://www.regjeringen.no/en/aktuelt/norge-og-storbritannia-gir-langtrekkende-rakettartilleri-til-ukraina/id2921395/" TargetMode="External"/><Relationship Id="rId2003" Type="http://schemas.openxmlformats.org/officeDocument/2006/relationships/hyperlink" Target="https://appropriations.house.gov/sites/democrats.appropriations.house.gov/files/Additional%20Ukraine%20Suplemental%20Appropriations%20Act%20Summary.pdf" TargetMode="External"/><Relationship Id="rId2210"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48"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55" Type="http://schemas.openxmlformats.org/officeDocument/2006/relationships/hyperlink" Target="https://www.defense.gov/News/Releases/Release/Article/2988565/readout-of-secretary-of-defense-lloyd-j-austin-iiis-call-with-ukraines-minister/" TargetMode="External"/><Relationship Id="rId2862" Type="http://schemas.openxmlformats.org/officeDocument/2006/relationships/hyperlink" Target="https://appropriations.house.gov/sites/democrats.appropriations.house.gov/files/Additional%20Ukraine%20Suplemental%20Appropriations%20Act%20Summary.pdf" TargetMode="External"/><Relationship Id="rId627" Type="http://schemas.openxmlformats.org/officeDocument/2006/relationships/hyperlink" Target="https://torontosun.com/news/national/canada-shipping-20000-rounds-of-artillery-ammunition-to-ukraine" TargetMode="External"/><Relationship Id="rId834" Type="http://schemas.openxmlformats.org/officeDocument/2006/relationships/hyperlink" Target="https://www.defense.gov/News/Releases/Release/Article/3160503/600-million-in-additional-security-assistance-for-ukraine/" TargetMode="External"/><Relationship Id="rId1257" Type="http://schemas.openxmlformats.org/officeDocument/2006/relationships/hyperlink" Target="https://www.lejdd.fr/International/sebastien-lecornu-ministre-des-armees-nous-navons-pas-a-rougir-de-notre-aide-a-lukraine-4148779" TargetMode="External"/><Relationship Id="rId1464" Type="http://schemas.openxmlformats.org/officeDocument/2006/relationships/hyperlink" Target="https://www.defense.gov/News/Releases/Release/Article/3227217/400-million-in-additional-assistance-for-ukraine/" TargetMode="External"/><Relationship Id="rId1671" Type="http://schemas.openxmlformats.org/officeDocument/2006/relationships/hyperlink" Target="https://www.gov.si/en/news/2022-12-05-slovenia-allocates-additional-funds-for-humanitarian-aid-to-ukrainian-families-ahead-of-winter/" TargetMode="External"/><Relationship Id="rId2308" Type="http://schemas.openxmlformats.org/officeDocument/2006/relationships/hyperlink" Target="https://appropriations.house.gov/sites/democrats.appropriations.house.gov/files/Ukraine%20Supplemental%20Summary%20FY23.pdf" TargetMode="External"/><Relationship Id="rId2515" Type="http://schemas.openxmlformats.org/officeDocument/2006/relationships/hyperlink" Target="https://www.defense.gov/News/Releases/Release/Article/3210297/400-million-in-additional-security-assistance-for-ukraine/" TargetMode="External"/><Relationship Id="rId2722" Type="http://schemas.openxmlformats.org/officeDocument/2006/relationships/hyperlink" Target="https://www.whitehouse.gov/briefing-room/press-briefings/2022/04/04/press-briefing-by-press-secretary-jen-psaki-and-national-security-advisor-jake-sullivan/" TargetMode="External"/><Relationship Id="rId901" Type="http://schemas.openxmlformats.org/officeDocument/2006/relationships/hyperlink" Target="https://www.connexionfrance.com/article/French-news/Humanitarian-ship-for-Ukraine-leaves-French-port-with-8m-of-aid" TargetMode="External"/><Relationship Id="rId1117" Type="http://schemas.openxmlformats.org/officeDocument/2006/relationships/hyperlink" Target="https://www.austria.org/ukraine" TargetMode="External"/><Relationship Id="rId1324" Type="http://schemas.openxmlformats.org/officeDocument/2006/relationships/hyperlink" Target="https://www.globalcitizen.org/en/content/stand-up-for-ukraine-impact-report/" TargetMode="External"/><Relationship Id="rId1531" Type="http://schemas.openxmlformats.org/officeDocument/2006/relationships/hyperlink" Target="https://dailynewshungary.com/hungary-to-send-shipment-of-medical-equipment-to-ukraine/" TargetMode="External"/><Relationship Id="rId1769" Type="http://schemas.openxmlformats.org/officeDocument/2006/relationships/hyperlink" Target="https://appropriations.house.gov/sites/democrats.appropriations.house.gov/files/Ukraine%20Supplemental%20Summary.pdf" TargetMode="External"/><Relationship Id="rId1976" Type="http://schemas.openxmlformats.org/officeDocument/2006/relationships/hyperlink" Target="https://appropriations.house.gov/sites/democrats.appropriations.house.gov/files/Additional%20Ukraine%20Suplemental%20Appropriations%20Act%20Summary.pdf" TargetMode="External"/><Relationship Id="rId30" Type="http://schemas.openxmlformats.org/officeDocument/2006/relationships/hyperlink" Target="https://www.total-croatia-news.com/politics/60689-support-measures-for-ukraine" TargetMode="External"/><Relationship Id="rId1629" Type="http://schemas.openxmlformats.org/officeDocument/2006/relationships/hyperlink" Target="https://www.vm.gov.lv/lv/jaunums/ziedos-aprikojumu-ukrainas-asins-centriem" TargetMode="External"/><Relationship Id="rId1836" Type="http://schemas.openxmlformats.org/officeDocument/2006/relationships/hyperlink" Target="https://appropriations.house.gov/sites/democrats.appropriations.house.gov/files/Ukraine%20Supplemental%20Summary.pdf" TargetMode="External"/><Relationship Id="rId1903" Type="http://schemas.openxmlformats.org/officeDocument/2006/relationships/hyperlink" Target="https://appropriations.house.gov/sites/democrats.appropriations.house.gov/files/Additional%20Ukraine%20Suplemental%20Appropriations%20Act%20Summary.pdf" TargetMode="External"/><Relationship Id="rId2098" Type="http://schemas.openxmlformats.org/officeDocument/2006/relationships/hyperlink" Target="https://crsreports.congress.gov/product/pdf/IF/IF12040" TargetMode="External"/><Relationship Id="rId277" Type="http://schemas.openxmlformats.org/officeDocument/2006/relationships/hyperlink" Target="https://www.aa.com.tr/en/russia-ukraine-war/new-zealand-announces-13m-additional-aid-for-ukraine/2560551" TargetMode="External"/><Relationship Id="rId484" Type="http://schemas.openxmlformats.org/officeDocument/2006/relationships/hyperlink" Target="https://www.abc.net.au/news/2022-03-31/more-military-aid-defence-weapons-ukraine-zelenskyy/100955544" TargetMode="External"/><Relationship Id="rId2165" Type="http://schemas.openxmlformats.org/officeDocument/2006/relationships/hyperlink" Target="https://appropriations.house.gov/sites/democrats.appropriations.house.gov/files/Ukraine%20Supplemental%20Summary.pdf" TargetMode="External"/><Relationship Id="rId137" Type="http://schemas.openxmlformats.org/officeDocument/2006/relationships/hyperlink" Target="https://twitter.com/Defensagob/status/1512424894881017857" TargetMode="External"/><Relationship Id="rId344" Type="http://schemas.openxmlformats.org/officeDocument/2006/relationships/hyperlink" Target="https://www.lamoncloa.gob.es/lang/en/gobierno/news/Paginas/2022/20220411_health-shipment.aspx" TargetMode="External"/><Relationship Id="rId691" Type="http://schemas.openxmlformats.org/officeDocument/2006/relationships/hyperlink" Target="https://en.defence-ua.com/weapon_and_tech/portuguese_m113_apc_are_on_their_way_to_ukraine-3615.html" TargetMode="External"/><Relationship Id="rId789" Type="http://schemas.openxmlformats.org/officeDocument/2006/relationships/hyperlink" Target="https://www.brusselstimes.com/290771/belgium-to-give-e12-million-in-military-aid-to-ukraine" TargetMode="External"/><Relationship Id="rId996" Type="http://schemas.openxmlformats.org/officeDocument/2006/relationships/hyperlink" Target="https://echo24.cz/a/SrjYb/cesko-poslalo-na-ukrajinu-desitky-tanku-t-72-a-bvp" TargetMode="External"/><Relationship Id="rId2025" Type="http://schemas.openxmlformats.org/officeDocument/2006/relationships/hyperlink" Target="https://crsreports.congress.gov/product/pdf/IF/IF12040" TargetMode="External"/><Relationship Id="rId2372" Type="http://schemas.openxmlformats.org/officeDocument/2006/relationships/hyperlink" Target="https://crsreports.congress.gov/product/pdf/IF/IF12040" TargetMode="External"/><Relationship Id="rId2677" Type="http://schemas.openxmlformats.org/officeDocument/2006/relationships/hyperlink" Target="https://www.defense.gov/News/Releases/Release/Article/2987119/defense-department-announces-300-million-in-additional-assistance-for-ukraine/" TargetMode="External"/><Relationship Id="rId2884" Type="http://schemas.openxmlformats.org/officeDocument/2006/relationships/hyperlink" Target="https://appropriations.house.gov/sites/democrats.appropriations.house.gov/files/Additional%20Ukraine%20Suplemental%20Appropriations%20Act%20Summary.pdf" TargetMode="External"/><Relationship Id="rId551" Type="http://schemas.openxmlformats.org/officeDocument/2006/relationships/hyperlink" Target="https://ec.europa.eu/echo/news-stories/news/ukraine-eu-delivers-additional-assistance-rescue-vehicles-and-emergency-equipment-2022-03-25_de" TargetMode="External"/><Relationship Id="rId649" Type="http://schemas.openxmlformats.org/officeDocument/2006/relationships/hyperlink" Target="https://spectator.sme.sk/c/22895899/slovakia-donates-military-equipment-to-ukraine.html" TargetMode="External"/><Relationship Id="rId856" Type="http://schemas.openxmlformats.org/officeDocument/2006/relationships/hyperlink" Target="https://www.minister.defence.gov.au/minister/rmarles/media-releases/australia-increases-support-ukraine" TargetMode="External"/><Relationship Id="rId1181" Type="http://schemas.openxmlformats.org/officeDocument/2006/relationships/hyperlink" Target="https://www.lemonde.fr/en/international/article/2022/10/11/what-weapons-is-france-sending-to-ukraine_5999916_4.html" TargetMode="External"/><Relationship Id="rId1279" Type="http://schemas.openxmlformats.org/officeDocument/2006/relationships/hyperlink" Target="https://twitter.com/a_anusauskas/status/1592084804501401604" TargetMode="External"/><Relationship Id="rId1486" Type="http://schemas.openxmlformats.org/officeDocument/2006/relationships/hyperlink" Target="https://kormany.hu/hirek/sztaray-peter-allamtitkar-reszvetele-az-ukrajna-szolidaritasi-nemzetkozi-konferencian" TargetMode="External"/><Relationship Id="rId2232" Type="http://schemas.openxmlformats.org/officeDocument/2006/relationships/hyperlink" Target="https://appropriations.house.gov/sites/democrats.appropriations.house.gov/files/Summary%20Continuing%20Appropriations%20and%20Ukraine%20Supplemental%20Appropriations%20Act%202023.pdf" TargetMode="External"/><Relationship Id="rId2537" Type="http://schemas.openxmlformats.org/officeDocument/2006/relationships/hyperlink" Target="https://www.19fortyfive.com/2022/04/switchblade-the-drone-giving-ukraine-a-big-edge-against-russia/" TargetMode="External"/><Relationship Id="rId204" Type="http://schemas.openxmlformats.org/officeDocument/2006/relationships/hyperlink" Target="https://www.vlada.cz/cz/media-centrum/aktualne/informace-v-souvislosti-s-invazi-ruska-na-ukrajinu-194507/" TargetMode="External"/><Relationship Id="rId411" Type="http://schemas.openxmlformats.org/officeDocument/2006/relationships/hyperlink" Target="https://www.reuters.com/world/europe/sweden-provide-ukraine-with-5000-more-anti-tank-weapons-tt-news-agency-2022-03-23/" TargetMode="External"/><Relationship Id="rId509" Type="http://schemas.openxmlformats.org/officeDocument/2006/relationships/hyperlink" Target="https://www.ukrinform.net/rubric-polytics/3501933-estonia-has-provided-240m-in-military-aid-to-ukraine-korniyenko.html" TargetMode="External"/><Relationship Id="rId1041" Type="http://schemas.openxmlformats.org/officeDocument/2006/relationships/hyperlink" Target="https://yle.fi/a/3-12678466" TargetMode="External"/><Relationship Id="rId1139" Type="http://schemas.openxmlformats.org/officeDocument/2006/relationships/hyperlink" Target="https://www.youtube.com/watch?v=D59VdvNdPwo&amp;t=2s&amp;ab_channel=NATONews" TargetMode="External"/><Relationship Id="rId1346" Type="http://schemas.openxmlformats.org/officeDocument/2006/relationships/hyperlink" Target="https://twitter.com/a_anusauskas/status/1596869391974813698" TargetMode="External"/><Relationship Id="rId1693" Type="http://schemas.openxmlformats.org/officeDocument/2006/relationships/hyperlink" Target="https://www.nytimes.com/2022/12/13/world/europe/paris-ukraine-infrastructure-donors.html" TargetMode="External"/><Relationship Id="rId1998" Type="http://schemas.openxmlformats.org/officeDocument/2006/relationships/hyperlink" Target="https://appropriations.house.gov/sites/democrats.appropriations.house.gov/files/Additional%20Ukraine%20Suplemental%20Appropriations%20Act%20Summary.pdf" TargetMode="External"/><Relationship Id="rId2744" Type="http://schemas.openxmlformats.org/officeDocument/2006/relationships/hyperlink" Target="https://www.whitehouse.gov/briefing-room/press-briefings/2022/04/04/press-briefing-by-press-secretary-jen-psaki-and-national-security-advisor-jake-sullivan/" TargetMode="External"/><Relationship Id="rId716" Type="http://schemas.openxmlformats.org/officeDocument/2006/relationships/hyperlink" Target="https://www.state.gov/biden-harris-administration-announces-550-million-in-new-u-s-military-assistance-for-ukraine/" TargetMode="External"/><Relationship Id="rId923" Type="http://schemas.openxmlformats.org/officeDocument/2006/relationships/hyperlink" Target="https://www.diplomatie.gouv.fr/en/country-files/ukraine/news/article/ukraine-catherine-colonna-to-attend-the-launch-of-solidarity-operation-un" TargetMode="External"/><Relationship Id="rId1553" Type="http://schemas.openxmlformats.org/officeDocument/2006/relationships/hyperlink" Target="https://www.bundesregierung.de/breg-en/news/military-support-ukraine-2054992" TargetMode="External"/><Relationship Id="rId1760" Type="http://schemas.openxmlformats.org/officeDocument/2006/relationships/hyperlink" Target="https://appropriations.house.gov/sites/democrats.appropriations.house.gov/files/Ukraine%20Supplemental%20Summary.pdf" TargetMode="External"/><Relationship Id="rId1858" Type="http://schemas.openxmlformats.org/officeDocument/2006/relationships/hyperlink" Target="https://appropriations.house.gov/sites/democrats.appropriations.house.gov/files/Ukraine%20Supplemental%20Summary.pdf" TargetMode="External"/><Relationship Id="rId2604" Type="http://schemas.openxmlformats.org/officeDocument/2006/relationships/hyperlink" Target="https://www.whitehouse.gov/briefing-room/press-briefings/2022/04/04/press-briefing-by-press-secretary-jen-psaki-and-national-security-advisor-jake-sullivan/" TargetMode="External"/><Relationship Id="rId2811" Type="http://schemas.openxmlformats.org/officeDocument/2006/relationships/hyperlink" Target="https://appropriations.house.gov/sites/democrats.appropriations.house.gov/files/Ukraine%20Supplemental%20Summary.pdf" TargetMode="External"/><Relationship Id="rId52" Type="http://schemas.openxmlformats.org/officeDocument/2006/relationships/hyperlink" Target="https://www.canada.ca/en/department-national-defence/news/2022/03/defence-minister-anand-announces-additional-military-support-to-ukraine.html?msclkid=50865665ab9011ecbb2d77d3ecd6e3a6" TargetMode="External"/><Relationship Id="rId1206" Type="http://schemas.openxmlformats.org/officeDocument/2006/relationships/hyperlink" Target="https://www.wfp.org/news/japan-provides-us28-million-humanitarian-food-assistance-ukraine" TargetMode="External"/><Relationship Id="rId1413" Type="http://schemas.openxmlformats.org/officeDocument/2006/relationships/hyperlink" Target="https://www.maltatoday.com.mt/news/national/120300/ian_borg_malta_has_given_ukraine_17_million_in_emergency_aid_since_march" TargetMode="External"/><Relationship Id="rId1620" Type="http://schemas.openxmlformats.org/officeDocument/2006/relationships/hyperlink" Target="https://www.minister.defence.gov.au/media-releases/2022-10-27/additional-support-ukraine" TargetMode="External"/><Relationship Id="rId2909" Type="http://schemas.openxmlformats.org/officeDocument/2006/relationships/hyperlink" Target="https://appropriations.house.gov/sites/democrats.appropriations.house.gov/files/Summary%20Continuing%20Appropriations%20and%20Ukraine%20Supplemental%20Appropriations%20Act%202023.pdf" TargetMode="External"/><Relationship Id="rId1718" Type="http://schemas.openxmlformats.org/officeDocument/2006/relationships/hyperlink" Target="https://crsreports.congress.gov/product/pdf/IF/IF12305" TargetMode="External"/><Relationship Id="rId1925" Type="http://schemas.openxmlformats.org/officeDocument/2006/relationships/hyperlink" Target="https://appropriations.house.gov/sites/democrats.appropriations.house.gov/files/Additional%20Ukraine%20Suplemental%20Appropriations%20Act%20Summary.pdf" TargetMode="External"/><Relationship Id="rId299" Type="http://schemas.openxmlformats.org/officeDocument/2006/relationships/hyperlink" Target="https://www.gov.uk/government/publications/world-bank-spring-meetings-2022-uk-governors-statement/world-bank-spring-meetings-2022-uk-governors-statement" TargetMode="External"/><Relationship Id="rId2187"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94" Type="http://schemas.openxmlformats.org/officeDocument/2006/relationships/hyperlink" Target="https://crsreports.congress.gov/product/pdf/IF/IF12040" TargetMode="External"/><Relationship Id="rId159" Type="http://schemas.openxmlformats.org/officeDocument/2006/relationships/hyperlink" Target="https://www.gov.uk/government/speeches/pm-opening-remarks-at-press-conference-with-german-chancellor-olaf-scholz-8-april-2022" TargetMode="External"/><Relationship Id="rId366" Type="http://schemas.openxmlformats.org/officeDocument/2006/relationships/hyperlink" Target="https://www.padovaoggi.it/cronaca/vigili-fuoco-mezzi-ucraina-padova-14-aprile-2022.html" TargetMode="External"/><Relationship Id="rId573" Type="http://schemas.openxmlformats.org/officeDocument/2006/relationships/hyperlink" Target="https://intermin.fi/en/ukraine/civilian-assistance-to-ukraine" TargetMode="External"/><Relationship Id="rId780" Type="http://schemas.openxmlformats.org/officeDocument/2006/relationships/hyperlink" Target="https://lahbib.belgium.be/en/belgium-provide-8-million-eur-non-lethal-support-ukrainian-armed-forces" TargetMode="External"/><Relationship Id="rId2047" Type="http://schemas.openxmlformats.org/officeDocument/2006/relationships/hyperlink" Target="https://crsreports.congress.gov/product/pdf/IF/IF12040" TargetMode="External"/><Relationship Id="rId2254" Type="http://schemas.openxmlformats.org/officeDocument/2006/relationships/hyperlink" Target="https://appropriations.house.gov/sites/democrats.appropriations.house.gov/files/Ukraine%20Supplemental%20Summary%20FY23.pdf" TargetMode="External"/><Relationship Id="rId2461" Type="http://schemas.openxmlformats.org/officeDocument/2006/relationships/hyperlink" Target="https://appropriations.house.gov/sites/democrats.appropriations.house.gov/files/Ukraine%20Supplemental%20Summary.pdf" TargetMode="External"/><Relationship Id="rId2699" Type="http://schemas.openxmlformats.org/officeDocument/2006/relationships/hyperlink" Target="https://www.defense.gov/News/Releases/Release/Article/2987119/defense-department-announces-300-million-in-additional-assistance-for-ukraine/" TargetMode="External"/><Relationship Id="rId226" Type="http://schemas.openxmlformats.org/officeDocument/2006/relationships/hyperlink" Target="https://babel.ua/en/news/78193-slovenia-will-provide-180-000-in-financial-assistance-to-ukraine" TargetMode="External"/><Relationship Id="rId433" Type="http://schemas.openxmlformats.org/officeDocument/2006/relationships/hyperlink" Target="https://ec.europa.eu/info/business-economy-euro/economic-and-fiscal-policy-coordination/international-economic-relations/enlargement-and-neighbouring-countries/neighbouring-countries-eu/neighbourhood-countries/ukraine_en" TargetMode="External"/><Relationship Id="rId878" Type="http://schemas.openxmlformats.org/officeDocument/2006/relationships/hyperlink" Target="https://www.lecho.be/dossiers/conflit-ukraine-russie/ludivine-dedonder-la-belgique-va-octroyer-une-nouvelle-aide-militaire-a-l-ukraine/10414118.html" TargetMode="External"/><Relationship Id="rId1063" Type="http://schemas.openxmlformats.org/officeDocument/2006/relationships/hyperlink" Target="https://mil.in.ua/en/news/czech-republic-to-transfer-heavy-equipment-and-weapons-to-ukraine/" TargetMode="External"/><Relationship Id="rId1270" Type="http://schemas.openxmlformats.org/officeDocument/2006/relationships/hyperlink" Target="https://pm.gc.ca/en/news/news-releases/2022/10/28/prime-minister-announces-new-measures-support-ukraine" TargetMode="External"/><Relationship Id="rId2114" Type="http://schemas.openxmlformats.org/officeDocument/2006/relationships/hyperlink" Target="https://crsreports.congress.gov/product/pdf/IF/IF12040" TargetMode="External"/><Relationship Id="rId2559" Type="http://schemas.openxmlformats.org/officeDocument/2006/relationships/hyperlink" Target="https://www.19fortyfive.com/2022/04/switchblade-the-drone-giving-ukraine-a-big-edge-against-russia/" TargetMode="External"/><Relationship Id="rId2766" Type="http://schemas.openxmlformats.org/officeDocument/2006/relationships/hyperlink" Target="https://crsreports.congress.gov/product/pdf/IF/IF12040" TargetMode="External"/><Relationship Id="rId640" Type="http://schemas.openxmlformats.org/officeDocument/2006/relationships/hyperlink" Target="https://kyivindependent.com/uncategorized/poland-has-provided-ukraine-with-weapons-worth-1-6-billion/" TargetMode="External"/><Relationship Id="rId738" Type="http://schemas.openxmlformats.org/officeDocument/2006/relationships/hyperlink" Target="https://twitter.com/a_anusauskas/status/1546202214003269635" TargetMode="External"/><Relationship Id="rId945" Type="http://schemas.openxmlformats.org/officeDocument/2006/relationships/hyperlink" Target="https://news.err.ee/1608674068/estonian-fm-visits-ukraine-lays-new-kindergarten-cornerstone-in-zhytomyr" TargetMode="External"/><Relationship Id="rId1368" Type="http://schemas.openxmlformats.org/officeDocument/2006/relationships/hyperlink" Target="https://twitter.com/LSchreinemacher/status/1591089465719926784" TargetMode="External"/><Relationship Id="rId1575" Type="http://schemas.openxmlformats.org/officeDocument/2006/relationships/hyperlink" Target="https://www.gov.uk/government/speeches/defence-secretary-oral-statement-on-war-in-ukraine--2" TargetMode="External"/><Relationship Id="rId1782" Type="http://schemas.openxmlformats.org/officeDocument/2006/relationships/hyperlink" Target="https://appropriations.house.gov/sites/democrats.appropriations.house.gov/files/Ukraine%20Supplemental%20Summary.pdf" TargetMode="External"/><Relationship Id="rId2321" Type="http://schemas.openxmlformats.org/officeDocument/2006/relationships/hyperlink" Target="https://crsreports.congress.gov/product/pdf/IF/IF12040" TargetMode="External"/><Relationship Id="rId2419"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26" Type="http://schemas.openxmlformats.org/officeDocument/2006/relationships/hyperlink" Target="https://www.defense.gov/News/Releases/Release/Article/2988565/readout-of-secretary-of-defense-lloyd-j-austin-iiis-call-with-ukraines-minister/" TargetMode="External"/><Relationship Id="rId2833" Type="http://schemas.openxmlformats.org/officeDocument/2006/relationships/hyperlink" Target="https://appropriations.house.gov/sites/democrats.appropriations.house.gov/files/Ukraine%20Supplemental%20Summary.pdf" TargetMode="External"/><Relationship Id="rId74" Type="http://schemas.openxmlformats.org/officeDocument/2006/relationships/hyperlink" Target="https://english.radio.cz/czech-republic-sending-more-arms-ukraine-8743811" TargetMode="External"/><Relationship Id="rId500" Type="http://schemas.openxmlformats.org/officeDocument/2006/relationships/hyperlink" Target="https://www.armyrecognition.com/defense_news_may_2022_global_security_army_industry/us_pushing_portugal_to_cede_some_m113_apcs_to_ukraine.html" TargetMode="External"/><Relationship Id="rId805" Type="http://schemas.openxmlformats.org/officeDocument/2006/relationships/hyperlink" Target="https://www.defense.gov/News/Releases/Release/Article/3134457/775-million-in-additional-security-assistance-for-ukraine/" TargetMode="External"/><Relationship Id="rId1130" Type="http://schemas.openxmlformats.org/officeDocument/2006/relationships/hyperlink" Target="https://www.dw.com/en/ukraine-updates-zelenskyy-hints-he-is-open-to-talks-with-russia/a-63679013" TargetMode="External"/><Relationship Id="rId1228" Type="http://schemas.openxmlformats.org/officeDocument/2006/relationships/hyperlink" Target="https://news.err.ee/1608793648/estonia-s-total-military-aid-to-ukraine-to-date-approaching-300-million" TargetMode="External"/><Relationship Id="rId1435" Type="http://schemas.openxmlformats.org/officeDocument/2006/relationships/hyperlink" Target="https://japan.kantei.go.jp/ongoingtopics/pdf/jp_stands_with_ukraine_eng.pdf" TargetMode="External"/><Relationship Id="rId1642" Type="http://schemas.openxmlformats.org/officeDocument/2006/relationships/hyperlink" Target="https://delano.lu/article/luxembourg-delivering-substant" TargetMode="External"/><Relationship Id="rId1947" Type="http://schemas.openxmlformats.org/officeDocument/2006/relationships/hyperlink" Target="https://appropriations.house.gov/sites/democrats.appropriations.house.gov/files/Additional%20Ukraine%20Suplemental%20Appropriations%20Act%20Summary.pdf" TargetMode="External"/><Relationship Id="rId2900" Type="http://schemas.openxmlformats.org/officeDocument/2006/relationships/hyperlink" Target="https://appropriations.house.gov/sites/democrats.appropriations.house.gov/files/Ukraine%20Supplemental%20Summary%20FY23.pdf" TargetMode="External"/><Relationship Id="rId1502" Type="http://schemas.openxmlformats.org/officeDocument/2006/relationships/hyperlink" Target="https://abouthungary.hu/news-in-brief/government-donates-huf-66-million-to-help-berehove-water-supply" TargetMode="External"/><Relationship Id="rId1807" Type="http://schemas.openxmlformats.org/officeDocument/2006/relationships/hyperlink" Target="https://appropriations.house.gov/sites/democrats.appropriations.house.gov/files/Ukraine%20Supplemental%20Summary.pdf" TargetMode="External"/><Relationship Id="rId290" Type="http://schemas.openxmlformats.org/officeDocument/2006/relationships/hyperlink" Target="https://www.reuters.com/world/new-zealand-provide-ukraine-with-non-lethal-military-assistance-2022-03-21/" TargetMode="External"/><Relationship Id="rId388" Type="http://schemas.openxmlformats.org/officeDocument/2006/relationships/hyperlink" Target="https://geopolitiki.com/italian-fh70-howitzers-ukraine-against-russians/" TargetMode="External"/><Relationship Id="rId2069" Type="http://schemas.openxmlformats.org/officeDocument/2006/relationships/hyperlink" Target="https://crsreports.congress.gov/product/pdf/IF/IF12040" TargetMode="External"/><Relationship Id="rId150" Type="http://schemas.openxmlformats.org/officeDocument/2006/relationships/hyperlink" Target="https://www.bgk.pl/aktualnosc/bgk-polish-development-bank-has-donated-pln-30-million-to-help-ukraine/" TargetMode="External"/><Relationship Id="rId595" Type="http://schemas.openxmlformats.org/officeDocument/2006/relationships/hyperlink" Target="https://english.defensie.nl/latest/news/2022/04/06/a-look-at-the-defence-news-28-march---3-april" TargetMode="External"/><Relationship Id="rId2276" Type="http://schemas.openxmlformats.org/officeDocument/2006/relationships/hyperlink" Target="https://appropriations.house.gov/sites/democrats.appropriations.house.gov/files/Ukraine%20Supplemental%20Summary%20FY23.pdf" TargetMode="External"/><Relationship Id="rId2483" Type="http://schemas.openxmlformats.org/officeDocument/2006/relationships/hyperlink" Target="https://appropriations.house.gov/sites/democrats.appropriations.house.gov/files/Additional%20Ukraine%20Suplemental%20Appropriations%20Act%20Summary.pdf" TargetMode="External"/><Relationship Id="rId2690" Type="http://schemas.openxmlformats.org/officeDocument/2006/relationships/hyperlink" Target="https://www.defense.gov/News/Releases/Release/Article/2987119/defense-department-announces-300-million-in-additional-assistance-for-ukraine/" TargetMode="External"/><Relationship Id="rId248" Type="http://schemas.openxmlformats.org/officeDocument/2006/relationships/hyperlink" Target="https://cde.news/belgium-explores-new-avenues-of-assistance-for-ukraine/" TargetMode="External"/><Relationship Id="rId455" Type="http://schemas.openxmlformats.org/officeDocument/2006/relationships/hyperlink" Target="https://www.faz.net/aktuell/politik/inland/spanien-erwaegt-lieferung-deutscher-kampfpanzer-an-die-ukraine-18084152.html" TargetMode="External"/><Relationship Id="rId662" Type="http://schemas.openxmlformats.org/officeDocument/2006/relationships/hyperlink" Target="https://inews.co.uk/news/brimstone-missile-what-uk-plans-long-range-weapons-ukraine-how-work-explained-1607595" TargetMode="External"/><Relationship Id="rId1085" Type="http://schemas.openxmlformats.org/officeDocument/2006/relationships/hyperlink" Target="https://www.defense.gouv.fr/terre/actualites/uiisc-1-3e-convoi-solidarite-lukraine" TargetMode="External"/><Relationship Id="rId1292" Type="http://schemas.openxmlformats.org/officeDocument/2006/relationships/hyperlink" Target="https://www.defensa.gob.es/gabinete/notasPrensa/2022/08/DGC-220831-envio-armamento-ucrania.html" TargetMode="External"/><Relationship Id="rId2136" Type="http://schemas.openxmlformats.org/officeDocument/2006/relationships/hyperlink" Target="https://crsreports.congress.gov/product/pdf/IF/IF12040" TargetMode="External"/><Relationship Id="rId2343" Type="http://schemas.openxmlformats.org/officeDocument/2006/relationships/hyperlink" Target="https://crsreports.congress.gov/product/pdf/IF/IF12040" TargetMode="External"/><Relationship Id="rId2550" Type="http://schemas.openxmlformats.org/officeDocument/2006/relationships/hyperlink" Target="https://www.19fortyfive.com/2022/04/switchblade-the-drone-giving-ukraine-a-big-edge-against-russia/" TargetMode="External"/><Relationship Id="rId2788" Type="http://schemas.openxmlformats.org/officeDocument/2006/relationships/hyperlink" Target="https://crsreports.congress.gov/product/pdf/IF/IF12040" TargetMode="External"/><Relationship Id="rId108" Type="http://schemas.openxmlformats.org/officeDocument/2006/relationships/hyperlink" Target="https://www.aa.com.tr/en/europe/spain-to-send-weapons-to-ukrainian-forces/2520902" TargetMode="External"/><Relationship Id="rId315" Type="http://schemas.openxmlformats.org/officeDocument/2006/relationships/hyperlink" Target="https://www.ukrinform.net/rubric-ato/3488287-canada-to-provide-cad-9m-in-humanitarian-aid-to-ukraine.html" TargetMode="External"/><Relationship Id="rId522" Type="http://schemas.openxmlformats.org/officeDocument/2006/relationships/hyperlink" Target="https://twitter.com/AnnLinde/status/1532316643254226945?ref_src=twsrc%5Etfw%7Ctwcamp%5Etweetembed%7Ctwterm%5E1532316643254226945%7Ctwgr%5E%7Ctwcon%5Es1_&amp;ref_url=https%3A%2F%2Fmezha.media%2Fen%2F2022%2F06%2F03%2Frbs-17-swedish-short-range-anti-ship-missile%2F" TargetMode="External"/><Relationship Id="rId967" Type="http://schemas.openxmlformats.org/officeDocument/2006/relationships/hyperlink" Target="https://www.diplomatie.gouv.fr/en/country-files/ukraine/news/article/ukraine-catherine-colonna-to-attend-the-launch-of-solidarity-operation-un" TargetMode="External"/><Relationship Id="rId1152" Type="http://schemas.openxmlformats.org/officeDocument/2006/relationships/hyperlink" Target="https://edition.cnn.com/2022/04/09/europe/ukraine-uk-boris-johnson-intl-gbr/index.html" TargetMode="External"/><Relationship Id="rId1597" Type="http://schemas.openxmlformats.org/officeDocument/2006/relationships/hyperlink" Target="https://twitter.com/JustinTrudeau/status/1586090019496022016" TargetMode="External"/><Relationship Id="rId2203"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10"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48" Type="http://schemas.openxmlformats.org/officeDocument/2006/relationships/hyperlink" Target="https://www.defense.gov/News/Releases/Release/Article/2988565/readout-of-secretary-of-defense-lloyd-j-austin-iiis-call-with-ukraines-minister/" TargetMode="External"/><Relationship Id="rId2855" Type="http://schemas.openxmlformats.org/officeDocument/2006/relationships/hyperlink" Target="https://appropriations.house.gov/sites/democrats.appropriations.house.gov/files/Additional%20Ukraine%20Suplemental%20Appropriations%20Act%20Summary.pdf" TargetMode="External"/><Relationship Id="rId96" Type="http://schemas.openxmlformats.org/officeDocument/2006/relationships/hyperlink" Target="https://spectator.sme.sk/c/22850259/slovakia-will-send-more-military-aid-to-ukraine.html" TargetMode="External"/><Relationship Id="rId827" Type="http://schemas.openxmlformats.org/officeDocument/2006/relationships/hyperlink" Target="https://www.defense.gov/News/Releases/Release/Article/3160503/600-million-in-additional-security-assistance-for-ukraine/" TargetMode="External"/><Relationship Id="rId1012" Type="http://schemas.openxmlformats.org/officeDocument/2006/relationships/hyperlink" Target="https://um.dk/en/foreign-policy/danish-support-for-ukraine" TargetMode="External"/><Relationship Id="rId1457" Type="http://schemas.openxmlformats.org/officeDocument/2006/relationships/hyperlink" Target="https://www.defense.gov/News/Releases/Release/Article/3227217/400-million-in-additional-assistance-for-ukraine/" TargetMode="External"/><Relationship Id="rId1664" Type="http://schemas.openxmlformats.org/officeDocument/2006/relationships/hyperlink" Target="https://twitter.com/Defense_lu/status/1598610977364115462?t=6bU22e0y0z-S3WKot0R3BA&amp;s=19" TargetMode="External"/><Relationship Id="rId1871" Type="http://schemas.openxmlformats.org/officeDocument/2006/relationships/hyperlink" Target="https://appropriations.house.gov/sites/democrats.appropriations.house.gov/files/Additional%20Ukraine%20Suplemental%20Appropriations%20Act%20Summary.pdf" TargetMode="External"/><Relationship Id="rId2508" Type="http://schemas.openxmlformats.org/officeDocument/2006/relationships/hyperlink" Target="https://www.whitehouse.gov/briefing-room/press-briefings/2022/04/04/press-briefing-by-press-secretary-jen-psaki-and-national-security-advisor-jake-sullivan/" TargetMode="External"/><Relationship Id="rId2715" Type="http://schemas.openxmlformats.org/officeDocument/2006/relationships/hyperlink" Target="https://www.whitehouse.gov/briefing-room/press-briefings/2022/04/04/press-briefing-by-press-secretary-jen-psaki-and-national-security-advisor-jake-sullivan/" TargetMode="External"/><Relationship Id="rId2922" Type="http://schemas.openxmlformats.org/officeDocument/2006/relationships/hyperlink" Target="https://appropriations.house.gov/sites/democrats.appropriations.house.gov/files/Summary%20Continuing%20Appropriations%20and%20Ukraine%20Supplemental%20Appropriations%20Act%202023.pdf" TargetMode="External"/><Relationship Id="rId1317" Type="http://schemas.openxmlformats.org/officeDocument/2006/relationships/hyperlink" Target="https://www.worldbank.org/en/programs/urtf/partners" TargetMode="External"/><Relationship Id="rId1524" Type="http://schemas.openxmlformats.org/officeDocument/2006/relationships/hyperlink" Target="https://www.gov.ie/en/press-release/2e59c-update-on-medical-humanitarian-support-to-ukraine/" TargetMode="External"/><Relationship Id="rId1731" Type="http://schemas.openxmlformats.org/officeDocument/2006/relationships/hyperlink" Target="https://appropriations.house.gov/sites/democrats.appropriations.house.gov/files/Ukraine%20Supplemental%20Summary.pdf" TargetMode="External"/><Relationship Id="rId1969" Type="http://schemas.openxmlformats.org/officeDocument/2006/relationships/hyperlink" Target="https://appropriations.house.gov/sites/democrats.appropriations.house.gov/files/Additional%20Ukraine%20Suplemental%20Appropriations%20Act%20Summary.pdf" TargetMode="External"/><Relationship Id="rId23" Type="http://schemas.openxmlformats.org/officeDocument/2006/relationships/hyperlink" Target="https://www.termometropolitico.it/1600183_guerra-russia-ucraina-litalia-invia-armi-e-mezzi-i-dettagli-delloperazione.html" TargetMode="External"/><Relationship Id="rId1829" Type="http://schemas.openxmlformats.org/officeDocument/2006/relationships/hyperlink" Target="https://appropriations.house.gov/sites/democrats.appropriations.house.gov/files/Ukraine%20Supplemental%20Summary.pdf" TargetMode="External"/><Relationship Id="rId2298" Type="http://schemas.openxmlformats.org/officeDocument/2006/relationships/hyperlink" Target="https://appropriations.house.gov/sites/democrats.appropriations.house.gov/files/Ukraine%20Supplemental%20Summary%20FY23.pdf" TargetMode="External"/><Relationship Id="rId172" Type="http://schemas.openxmlformats.org/officeDocument/2006/relationships/hyperlink" Target="https://www.politico.com/news/2022/03/22/ukraine-weapons-military-aid-00019104" TargetMode="External"/><Relationship Id="rId477" Type="http://schemas.openxmlformats.org/officeDocument/2006/relationships/hyperlink" Target="https://www.rferl.org/a/czech-republic-poland-new-military-aid-ukraine/31873938.html" TargetMode="External"/><Relationship Id="rId684" Type="http://schemas.openxmlformats.org/officeDocument/2006/relationships/hyperlink" Target="https://kyivindependent.com/news-feed/slovakia-supplies-5-helicopters-ammunition-for-grad-multiple-rocket-launchers" TargetMode="External"/><Relationship Id="rId2060" Type="http://schemas.openxmlformats.org/officeDocument/2006/relationships/hyperlink" Target="https://crsreports.congress.gov/product/pdf/IF/IF12040" TargetMode="External"/><Relationship Id="rId2158" Type="http://schemas.openxmlformats.org/officeDocument/2006/relationships/hyperlink" Target="https://crsreports.congress.gov/product/pdf/IN/IN11882" TargetMode="External"/><Relationship Id="rId2365" Type="http://schemas.openxmlformats.org/officeDocument/2006/relationships/hyperlink" Target="https://crsreports.congress.gov/product/pdf/IF/IF12040" TargetMode="External"/><Relationship Id="rId337" Type="http://schemas.openxmlformats.org/officeDocument/2006/relationships/hyperlink" Target="https://www.youtube.com/watch?v=A1nTsblXabc" TargetMode="External"/><Relationship Id="rId891" Type="http://schemas.openxmlformats.org/officeDocument/2006/relationships/hyperlink" Target="https://en.interfax.com.ua/news/general/859303.html" TargetMode="External"/><Relationship Id="rId989" Type="http://schemas.openxmlformats.org/officeDocument/2006/relationships/hyperlink" Target="https://mil.in.ua/en/news/belgium-made-a-decision-to-hand-over-artillery-to-ukraine-the-media/" TargetMode="External"/><Relationship Id="rId2018" Type="http://schemas.openxmlformats.org/officeDocument/2006/relationships/hyperlink" Target="https://crsreports.congress.gov/product/pdf/IF/IF12040" TargetMode="External"/><Relationship Id="rId2572" Type="http://schemas.openxmlformats.org/officeDocument/2006/relationships/hyperlink" Target="https://www.whitehouse.gov/briefing-room/press-briefings/2022/04/04/press-briefing-by-press-secretary-jen-psaki-and-national-security-advisor-jake-sullivan/" TargetMode="External"/><Relationship Id="rId2877" Type="http://schemas.openxmlformats.org/officeDocument/2006/relationships/hyperlink" Target="https://appropriations.house.gov/sites/democrats.appropriations.house.gov/files/Additional%20Ukraine%20Suplemental%20Appropriations%20Act%20Summary.pdf" TargetMode="External"/><Relationship Id="rId544" Type="http://schemas.openxmlformats.org/officeDocument/2006/relationships/hyperlink" Target="https://kaitseministeerium.ee/en/news/estonia-donated-missiles-anti-tank-weapon-system-javelin-ukraine" TargetMode="External"/><Relationship Id="rId751" Type="http://schemas.openxmlformats.org/officeDocument/2006/relationships/hyperlink" Target="https://intermin.fi/en/-/finland-continued-to-support-ukraine-through-civilian-material-assistance-during-the-summer" TargetMode="External"/><Relationship Id="rId849" Type="http://schemas.openxmlformats.org/officeDocument/2006/relationships/hyperlink" Target="https://www.defense.gov/News/Releases/Release/Article/3173378/11-billion-in-additional-security-assistance-for-ukraine/" TargetMode="External"/><Relationship Id="rId1174" Type="http://schemas.openxmlformats.org/officeDocument/2006/relationships/hyperlink" Target="https://www.defense.gov/News/Releases/Release/Article/3203509/275-million-in-additional-presidential-drawdown-security-assistance-for-ukraine/" TargetMode="External"/><Relationship Id="rId1381" Type="http://schemas.openxmlformats.org/officeDocument/2006/relationships/hyperlink" Target="https://ukranews.com/en/news/907501-czech-republic-preparing-new-batch-of-tanks-for-ukraine-prime-minister-fiala-signed-one-of-them" TargetMode="External"/><Relationship Id="rId1479" Type="http://schemas.openxmlformats.org/officeDocument/2006/relationships/hyperlink" Target="https://www.youtube.com/watch?v=iw2OnEkr_Do&amp;ab_channel=%D0%A4%D0%B0%D0%BA%D1%82%D0%B8ICTV" TargetMode="External"/><Relationship Id="rId1686" Type="http://schemas.openxmlformats.org/officeDocument/2006/relationships/hyperlink" Target="https://www.ukrainianworldcongress.org/slovakia-approves-a-new-package-of-military-aid-to-ukraine/" TargetMode="External"/><Relationship Id="rId2225"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32" Type="http://schemas.openxmlformats.org/officeDocument/2006/relationships/hyperlink" Target="https://appropriations.house.gov/sites/democrats.appropriations.house.gov/files/Ukraine%20Supplemental%20Summary%20FY23.pdf" TargetMode="External"/><Relationship Id="rId404" Type="http://schemas.openxmlformats.org/officeDocument/2006/relationships/hyperlink" Target="https://www.aa.com.tr/en/russia-ukraine-war/norway-sends-roughly-100-anti-aircraft-missiles-to-ukraine/2568447" TargetMode="External"/><Relationship Id="rId611" Type="http://schemas.openxmlformats.org/officeDocument/2006/relationships/hyperlink" Target="https://gagadget.com/en/129425-they-will-pour-armed-forces-of-ukraine-have-already-received-czech-multiple-launch-rocket-systems-rm-70/" TargetMode="External"/><Relationship Id="rId1034" Type="http://schemas.openxmlformats.org/officeDocument/2006/relationships/hyperlink" Target="https://yle.fi/news/3-12487455" TargetMode="External"/><Relationship Id="rId1241" Type="http://schemas.openxmlformats.org/officeDocument/2006/relationships/hyperlink" Target="https://www.france24.com/en/europe/20221007-macron-announces-%E2%82%AC100-million-fund-for-ukraine-to-buy-arms" TargetMode="External"/><Relationship Id="rId1339" Type="http://schemas.openxmlformats.org/officeDocument/2006/relationships/hyperlink" Target="https://twitter.com/a_anusauskas/status/1598967997879955457" TargetMode="External"/><Relationship Id="rId1893" Type="http://schemas.openxmlformats.org/officeDocument/2006/relationships/hyperlink" Target="https://appropriations.house.gov/sites/democrats.appropriations.house.gov/files/Additional%20Ukraine%20Suplemental%20Appropriations%20Act%20Summary.pdf" TargetMode="External"/><Relationship Id="rId2737" Type="http://schemas.openxmlformats.org/officeDocument/2006/relationships/hyperlink" Target="https://www.whitehouse.gov/briefing-room/press-briefings/2022/04/04/press-briefing-by-press-secretary-jen-psaki-and-national-security-advisor-jake-sullivan/" TargetMode="External"/><Relationship Id="rId2944" Type="http://schemas.openxmlformats.org/officeDocument/2006/relationships/hyperlink" Target="https://www.lefigaro.fr/international/guerre-en-ukraine-sebastien-lecornu-en-visite-a-kiev-20221228" TargetMode="External"/><Relationship Id="rId709" Type="http://schemas.openxmlformats.org/officeDocument/2006/relationships/hyperlink" Target="https://www.kyivpost.com/russias-war/slovenia-to-provide-mine-sweeping-equipment-to-ukraine.html" TargetMode="External"/><Relationship Id="rId916" Type="http://schemas.openxmlformats.org/officeDocument/2006/relationships/hyperlink" Target="https://www.connexionfrance.com/article/French-news/Humanitarian-ship-for-Ukraine-leaves-French-port-with-8m-of-aid" TargetMode="External"/><Relationship Id="rId1101" Type="http://schemas.openxmlformats.org/officeDocument/2006/relationships/hyperlink" Target="https://www.ukrinform.net/rubric-ato/3604150-italy-provides-ukraine-with-two-m270-systems-six-pzh-2000-about-30-selfpropelled-howitzers-media.html" TargetMode="External"/><Relationship Id="rId1546" Type="http://schemas.openxmlformats.org/officeDocument/2006/relationships/hyperlink" Target="https://www.bundesregierung.de/breg-en/news/military-support-ukraine-2054992" TargetMode="External"/><Relationship Id="rId1753" Type="http://schemas.openxmlformats.org/officeDocument/2006/relationships/hyperlink" Target="https://appropriations.house.gov/sites/democrats.appropriations.house.gov/files/Ukraine%20Supplemental%20Summary.pdf" TargetMode="External"/><Relationship Id="rId1960" Type="http://schemas.openxmlformats.org/officeDocument/2006/relationships/hyperlink" Target="https://appropriations.house.gov/sites/democrats.appropriations.house.gov/files/Additional%20Ukraine%20Suplemental%20Appropriations%20Act%20Summary.pdf" TargetMode="External"/><Relationship Id="rId2804" Type="http://schemas.openxmlformats.org/officeDocument/2006/relationships/hyperlink" Target="https://crsreports.congress.gov/product/pdf/IF/IF12040" TargetMode="External"/><Relationship Id="rId45" Type="http://schemas.openxmlformats.org/officeDocument/2006/relationships/hyperlink" Target="https://www.lrt.lt/en/news-in-english/19/1652048/lithuania-to-provide-eur10m-in-military-aid-to-ukraine" TargetMode="External"/><Relationship Id="rId1406" Type="http://schemas.openxmlformats.org/officeDocument/2006/relationships/hyperlink" Target="https://www.washingtonexaminer.com/policy/defense-national-security/france-tanks-ukraine-contrast-biden-germany" TargetMode="External"/><Relationship Id="rId1613" Type="http://schemas.openxmlformats.org/officeDocument/2006/relationships/hyperlink" Target="https://twitter.com/a_anusauskas/status/1574471610807062542?cxt=HHwWnMC88dHl0tkrAAAA" TargetMode="External"/><Relationship Id="rId1820" Type="http://schemas.openxmlformats.org/officeDocument/2006/relationships/hyperlink" Target="https://appropriations.house.gov/sites/democrats.appropriations.house.gov/files/Ukraine%20Supplemental%20Summary.pdf" TargetMode="External"/><Relationship Id="rId194" Type="http://schemas.openxmlformats.org/officeDocument/2006/relationships/hyperlink" Target="https://www.oryxspioenkop.com/2022/04/beyond-call-dutch-arms-deliveries-to.html" TargetMode="External"/><Relationship Id="rId1918" Type="http://schemas.openxmlformats.org/officeDocument/2006/relationships/hyperlink" Target="https://appropriations.house.gov/sites/democrats.appropriations.house.gov/files/Additional%20Ukraine%20Suplemental%20Appropriations%20Act%20Summary.pdf" TargetMode="External"/><Relationship Id="rId2082" Type="http://schemas.openxmlformats.org/officeDocument/2006/relationships/hyperlink" Target="https://crsreports.congress.gov/product/pdf/IF/IF12040" TargetMode="External"/><Relationship Id="rId261" Type="http://schemas.openxmlformats.org/officeDocument/2006/relationships/hyperlink" Target="https://www.regjeringen.no/en/aktuelt/ukrainefund/id2909840/" TargetMode="External"/><Relationship Id="rId499" Type="http://schemas.openxmlformats.org/officeDocument/2006/relationships/hyperlink" Target="https://www.macaubusiness.com/portugal-country-to-send-further-99-t-medical-military-equipment-to-ukraine/" TargetMode="External"/><Relationship Id="rId2387" Type="http://schemas.openxmlformats.org/officeDocument/2006/relationships/hyperlink" Target="https://crsreports.congress.gov/product/pdf/IF/IF12040" TargetMode="External"/><Relationship Id="rId2594" Type="http://schemas.openxmlformats.org/officeDocument/2006/relationships/hyperlink" Target="https://www.whitehouse.gov/briefing-room/press-briefings/2022/04/04/press-briefing-by-press-secretary-jen-psaki-and-national-security-advisor-jake-sullivan/" TargetMode="External"/><Relationship Id="rId359" Type="http://schemas.openxmlformats.org/officeDocument/2006/relationships/hyperlink" Target="https://vm.ee/en/humanitarian-aid-ukraine" TargetMode="External"/><Relationship Id="rId566" Type="http://schemas.openxmlformats.org/officeDocument/2006/relationships/hyperlink" Target="https://intermin.fi/en/ukraine/civilian-assistance-to-ukraine" TargetMode="External"/><Relationship Id="rId773" Type="http://schemas.openxmlformats.org/officeDocument/2006/relationships/hyperlink" Target="https://www.gov.uk/government/news/prime-minister-tells-ukraine-they-will-win-as-he-marks-independence-day-24-august-2022" TargetMode="External"/><Relationship Id="rId1196" Type="http://schemas.openxmlformats.org/officeDocument/2006/relationships/hyperlink" Target="https://edition.cnn.com/europe/live-news/russia-ukraine-war-news-08-25-22/index.html" TargetMode="External"/><Relationship Id="rId2247" Type="http://schemas.openxmlformats.org/officeDocument/2006/relationships/hyperlink" Target="https://appropriations.house.gov/sites/democrats.appropriations.house.gov/files/Ukraine%20Supplemental%20Summary%20FY23.pdf" TargetMode="External"/><Relationship Id="rId2454" Type="http://schemas.openxmlformats.org/officeDocument/2006/relationships/hyperlink" Target="https://crsreports.congress.gov/product/pdf/IF/IF12040" TargetMode="External"/><Relationship Id="rId2899" Type="http://schemas.openxmlformats.org/officeDocument/2006/relationships/hyperlink" Target="https://appropriations.house.gov/sites/democrats.appropriations.house.gov/files/Summary%20Continuing%20Appropriations%20and%20Ukraine%20Supplemental%20Appropriations%20Act%202023.pdf" TargetMode="External"/><Relationship Id="rId121" Type="http://schemas.openxmlformats.org/officeDocument/2006/relationships/hyperlink" Target="https://www.reuters.com/world/europe/sweden-send-military-aid-ukraine-pm-andersson-2022-02-27/" TargetMode="External"/><Relationship Id="rId219" Type="http://schemas.openxmlformats.org/officeDocument/2006/relationships/hyperlink" Target="https://tvn24.pl/polska/ukraina-pomoc-humanitarna-z-polski-dotarla-na-ukraine-5660490" TargetMode="External"/><Relationship Id="rId426" Type="http://schemas.openxmlformats.org/officeDocument/2006/relationships/hyperlink" Target="https://tvpworld.com/59620451/eu-allocates-additional-eur-500-million-to-aid-ukraine" TargetMode="External"/><Relationship Id="rId633" Type="http://schemas.openxmlformats.org/officeDocument/2006/relationships/hyperlink" Target="https://cxtvnews.com/military/2022/02/26/polish-military-aid-equipment-has-arrived-in-ukraine/" TargetMode="External"/><Relationship Id="rId980" Type="http://schemas.openxmlformats.org/officeDocument/2006/relationships/hyperlink" Target="https://www.defense.gov/News/Releases/Release/Article/3102984/270-million-in-additional-security-assistance-for-ukraine/" TargetMode="External"/><Relationship Id="rId1056" Type="http://schemas.openxmlformats.org/officeDocument/2006/relationships/hyperlink" Target="https://www.regjeringen.no/en/aktuelt/regjeringen-vil-gi-3-milliarder-kroner-i-militar-stotte-til-ukraina/id2929594/" TargetMode="External"/><Relationship Id="rId1263" Type="http://schemas.openxmlformats.org/officeDocument/2006/relationships/hyperlink" Target="https://valtioneuvosto.fi/-/10616/hallitus-antoi-eduskunnalle-lisatalousarvioesityksen-2" TargetMode="External"/><Relationship Id="rId2107" Type="http://schemas.openxmlformats.org/officeDocument/2006/relationships/hyperlink" Target="https://crsreports.congress.gov/product/pdf/IF/IF12040" TargetMode="External"/><Relationship Id="rId2314" Type="http://schemas.openxmlformats.org/officeDocument/2006/relationships/hyperlink" Target="https://crsreports.congress.gov/product/pdf/IF/IF12040" TargetMode="External"/><Relationship Id="rId2661" Type="http://schemas.openxmlformats.org/officeDocument/2006/relationships/hyperlink" Target="https://www.defense.gov/News/Releases/Release/Article/2988565/readout-of-secretary-of-defense-lloyd-j-austin-iiis-call-with-ukraines-minister/" TargetMode="External"/><Relationship Id="rId2759" Type="http://schemas.openxmlformats.org/officeDocument/2006/relationships/hyperlink" Target="https://crsreports.congress.gov/product/pdf/IF/IF12040" TargetMode="External"/><Relationship Id="rId840" Type="http://schemas.openxmlformats.org/officeDocument/2006/relationships/hyperlink" Target="https://www.defense.gov/News/Releases/Release/Article/3138105/nearly-3-billion-in-additional-security-assistance-for-ukraine/" TargetMode="External"/><Relationship Id="rId938" Type="http://schemas.openxmlformats.org/officeDocument/2006/relationships/hyperlink" Target="https://www.thedefensepost.com/2022/08/19/estonia-aid-weapons-ukraine/" TargetMode="External"/><Relationship Id="rId1470" Type="http://schemas.openxmlformats.org/officeDocument/2006/relationships/hyperlink" Target="https://gagadget.com/en/149656-poland-transferred-40-bmp-1-combat-vehicles-to-ukraine/" TargetMode="External"/><Relationship Id="rId1568" Type="http://schemas.openxmlformats.org/officeDocument/2006/relationships/hyperlink" Target="https://www.bundesregierung.de/resource/blob/975226/2155792/c3dbab706421f63d3d612091e7ecad4c/2022-12-27-unterstuetzung-ukraine-breg-data.pdf?download=1%20Guten" TargetMode="External"/><Relationship Id="rId1775" Type="http://schemas.openxmlformats.org/officeDocument/2006/relationships/hyperlink" Target="https://appropriations.house.gov/sites/democrats.appropriations.house.gov/files/Ukraine%20Supplemental%20Summary.pdf" TargetMode="External"/><Relationship Id="rId2521" Type="http://schemas.openxmlformats.org/officeDocument/2006/relationships/hyperlink" Target="https://appropriations.house.gov/sites/democrats.appropriations.house.gov/files/Ukraine%20Supplemental%20Summary.pdf" TargetMode="External"/><Relationship Id="rId2619" Type="http://schemas.openxmlformats.org/officeDocument/2006/relationships/hyperlink" Target="https://www.defense.gov/News/Releases/Release/Article/2988565/readout-of-secretary-of-defense-lloyd-j-austin-iiis-call-with-ukraines-minister/" TargetMode="External"/><Relationship Id="rId2826" Type="http://schemas.openxmlformats.org/officeDocument/2006/relationships/hyperlink" Target="https://appropriations.house.gov/sites/democrats.appropriations.house.gov/files/Ukraine%20Supplemental%20Summary.pdf" TargetMode="External"/><Relationship Id="rId67" Type="http://schemas.openxmlformats.org/officeDocument/2006/relationships/hyperlink" Target="https://www.canada.ca/en/department-national-defence/news/2022/03/defence-minister-anand-announces-additional-military-support-to-ukraine.html" TargetMode="External"/><Relationship Id="rId700" Type="http://schemas.openxmlformats.org/officeDocument/2006/relationships/hyperlink" Target="https://bank.gov.ua/en/news/all/uryad-shvetsiyi-pererahuvav-5777-mln-shvedskih-kron-na-dopomogu-zbroynim-silam-ukrayini?fbclid=IwAR2GXaFc3IMIbZSXOY8F7GKajhqkPjM9F5GjMl1cFhI_X1DeYZjIVLKXbdg" TargetMode="External"/><Relationship Id="rId1123" Type="http://schemas.openxmlformats.org/officeDocument/2006/relationships/hyperlink" Target="https://twitter.com/a_anusauskas/status/1592084804501401604" TargetMode="External"/><Relationship Id="rId1330" Type="http://schemas.openxmlformats.org/officeDocument/2006/relationships/hyperlink" Target="https://www.canada.ca/en/department-national-defence/news/2023/01/defence-minister-anita-anand-announces-air-defence-system-donation-to-ukraine.html" TargetMode="External"/><Relationship Id="rId1428" Type="http://schemas.openxmlformats.org/officeDocument/2006/relationships/hyperlink" Target="https://um.dk/en/foreign-policy/danish-support-for-ukraine" TargetMode="External"/><Relationship Id="rId1635" Type="http://schemas.openxmlformats.org/officeDocument/2006/relationships/hyperlink" Target="https://twitter.com/a_anusauskas/status/1601586263811031040" TargetMode="External"/><Relationship Id="rId1982" Type="http://schemas.openxmlformats.org/officeDocument/2006/relationships/hyperlink" Target="https://appropriations.house.gov/sites/democrats.appropriations.house.gov/files/Additional%20Ukraine%20Suplemental%20Appropriations%20Act%20Summary.pdf" TargetMode="External"/><Relationship Id="rId1842" Type="http://schemas.openxmlformats.org/officeDocument/2006/relationships/hyperlink" Target="https://appropriations.house.gov/sites/democrats.appropriations.house.gov/files/Ukraine%20Supplemental%20Summary.pdf" TargetMode="External"/><Relationship Id="rId1702" Type="http://schemas.openxmlformats.org/officeDocument/2006/relationships/hyperlink" Target="https://ukranews.com/en/news/901542-ukraine-receives-eur-100-million-of-preferential-loan-from-france" TargetMode="External"/><Relationship Id="rId283" Type="http://schemas.openxmlformats.org/officeDocument/2006/relationships/hyperlink" Target="https://consent.yahoo.com/v2/collectConsent?sessionId=3_cc-session_a65137b7-2008-4f6a-9d84-5817bf1a558b" TargetMode="External"/><Relationship Id="rId490" Type="http://schemas.openxmlformats.org/officeDocument/2006/relationships/hyperlink" Target="https://www-forsvaret-no.translate.goog/aktuelt-og-presse/aktuelt/sender-militaerutstyr-og-vapen-til-ukraina?_x_tr_sl=auto&amp;_x_tr_tl=auto&amp;_x_tr_hl=de" TargetMode="External"/><Relationship Id="rId2171" Type="http://schemas.openxmlformats.org/officeDocument/2006/relationships/hyperlink" Target="https://appropriations.house.gov/sites/democrats.appropriations.house.gov/files/Ukraine%20Supplemental%20Summary.pdf" TargetMode="External"/><Relationship Id="rId143" Type="http://schemas.openxmlformats.org/officeDocument/2006/relationships/hyperlink" Target="https://www.gov.si/en/news/2022-02-26-humanitarian-contribution-of-the-republic-of-slovenia-to-the-people-of-ukraine/" TargetMode="External"/><Relationship Id="rId350" Type="http://schemas.openxmlformats.org/officeDocument/2006/relationships/hyperlink" Target="https://www.news.az/news/sweden-pledges-additional-23-million-for-humanitarian-actions-in-ukraine" TargetMode="External"/><Relationship Id="rId588" Type="http://schemas.openxmlformats.org/officeDocument/2006/relationships/hyperlink" Target="https://mil.in.ua/en/news/harpoon-what-is-known-about-danish-coastal-missile-systems/" TargetMode="External"/><Relationship Id="rId795" Type="http://schemas.openxmlformats.org/officeDocument/2006/relationships/hyperlink" Target="https://www.kmu.gov.ua/en/news/minfin-ukraina-otrymala-200-mln-ievro-vid-italii" TargetMode="External"/><Relationship Id="rId2031" Type="http://schemas.openxmlformats.org/officeDocument/2006/relationships/hyperlink" Target="https://crsreports.congress.gov/product/pdf/IF/IF12040" TargetMode="External"/><Relationship Id="rId2269" Type="http://schemas.openxmlformats.org/officeDocument/2006/relationships/hyperlink" Target="https://appropriations.house.gov/sites/democrats.appropriations.house.gov/files/Ukraine%20Supplemental%20Summary%20FY23.pdf" TargetMode="External"/><Relationship Id="rId2476" Type="http://schemas.openxmlformats.org/officeDocument/2006/relationships/hyperlink" Target="https://appropriations.house.gov/sites/democrats.appropriations.house.gov/files/Additional%20Ukraine%20Suplemental%20Appropriations%20Act%20Summary.pdf" TargetMode="External"/><Relationship Id="rId2683" Type="http://schemas.openxmlformats.org/officeDocument/2006/relationships/hyperlink" Target="https://www.defense.gov/News/Releases/Release/Article/2987119/defense-department-announces-300-million-in-additional-assistance-for-ukraine/" TargetMode="External"/><Relationship Id="rId2890" Type="http://schemas.openxmlformats.org/officeDocument/2006/relationships/hyperlink" Target="https://appropriations.house.gov/sites/democrats.appropriations.house.gov/files/Additional%20Ukraine%20Suplemental%20Appropriations%20Act%20Summary.pdf" TargetMode="External"/><Relationship Id="rId9" Type="http://schemas.openxmlformats.org/officeDocument/2006/relationships/hyperlink" Target="https://um.dk/danida/lande-og-regioner/ukraine" TargetMode="External"/><Relationship Id="rId210" Type="http://schemas.openxmlformats.org/officeDocument/2006/relationships/hyperlink" Target="https://www.lesechos.fr/monde/enjeux-internationaux/la-france-renforce-son-soutien-militaire-a-lukraine-1389929" TargetMode="External"/><Relationship Id="rId448" Type="http://schemas.openxmlformats.org/officeDocument/2006/relationships/hyperlink" Target="https://www.youtube.com/watch?v=EKzlhntZigE&amp;t=888s" TargetMode="External"/><Relationship Id="rId655" Type="http://schemas.openxmlformats.org/officeDocument/2006/relationships/hyperlink" Target="https://n1info.si/novice/svet/slovenija-ukrajini-ze-poslala-puske-streliva-in-celade/" TargetMode="External"/><Relationship Id="rId862" Type="http://schemas.openxmlformats.org/officeDocument/2006/relationships/hyperlink" Target="https://www.defense.gov/News/Releases/Release/Article/3152071/675-million-in-additional-security-assistance-for-ukraine/" TargetMode="External"/><Relationship Id="rId1078" Type="http://schemas.openxmlformats.org/officeDocument/2006/relationships/hyperlink" Target="https://www.defense.gouv.fr/terre/actualites/uiisc-1-3e-convoi-solidarite-lukraine" TargetMode="External"/><Relationship Id="rId1285" Type="http://schemas.openxmlformats.org/officeDocument/2006/relationships/hyperlink" Target="https://www.regjeringen.no/en/topics/foreign-affairs/humanitarian-efforts/neighbour_support/id2908141/" TargetMode="External"/><Relationship Id="rId1492" Type="http://schemas.openxmlformats.org/officeDocument/2006/relationships/hyperlink" Target="https://neoskosmos.com/en/2022/09/19/news/greece/greek-tanks-on-route-to-ukraine/" TargetMode="External"/><Relationship Id="rId2129" Type="http://schemas.openxmlformats.org/officeDocument/2006/relationships/hyperlink" Target="https://crsreports.congress.gov/product/pdf/IF/IF12040" TargetMode="External"/><Relationship Id="rId2336" Type="http://schemas.openxmlformats.org/officeDocument/2006/relationships/hyperlink" Target="https://crsreports.congress.gov/product/pdf/IF/IF12040" TargetMode="External"/><Relationship Id="rId2543" Type="http://schemas.openxmlformats.org/officeDocument/2006/relationships/hyperlink" Target="https://www.19fortyfive.com/2022/04/switchblade-the-drone-giving-ukraine-a-big-edge-against-russia/" TargetMode="External"/><Relationship Id="rId2750" Type="http://schemas.openxmlformats.org/officeDocument/2006/relationships/hyperlink" Target="https://www.whitehouse.gov/briefing-room/press-briefings/2022/04/04/press-briefing-by-press-secretary-jen-psaki-and-national-security-advisor-jake-sullivan/" TargetMode="External"/><Relationship Id="rId308" Type="http://schemas.openxmlformats.org/officeDocument/2006/relationships/hyperlink" Target="https://war.ukraine.ua/news/19207/" TargetMode="External"/><Relationship Id="rId515" Type="http://schemas.openxmlformats.org/officeDocument/2006/relationships/hyperlink" Target="https://twitter.com/TheEconomist/status/1506413311272886276" TargetMode="External"/><Relationship Id="rId722" Type="http://schemas.openxmlformats.org/officeDocument/2006/relationships/hyperlink" Target="https://www.ukrinform.net/rubric-ato/3538884-lithuanian-president-announces-new-package-of-military-aid-to-ukraine.html" TargetMode="External"/><Relationship Id="rId1145" Type="http://schemas.openxmlformats.org/officeDocument/2006/relationships/hyperlink" Target="https://www.gov.uk/government/news/uk-to-bolster-defensive-aid-to-ukraine-with-new-100m-package" TargetMode="External"/><Relationship Id="rId1352" Type="http://schemas.openxmlformats.org/officeDocument/2006/relationships/hyperlink" Target="https://delano.lu/article/luxembourg-gives-50m-in-milita" TargetMode="External"/><Relationship Id="rId1797" Type="http://schemas.openxmlformats.org/officeDocument/2006/relationships/hyperlink" Target="https://appropriations.house.gov/sites/democrats.appropriations.house.gov/files/Ukraine%20Supplemental%20Summary.pdf" TargetMode="External"/><Relationship Id="rId2403" Type="http://schemas.openxmlformats.org/officeDocument/2006/relationships/hyperlink" Target="https://crsreports.congress.gov/product/pdf/IF/IF12040" TargetMode="External"/><Relationship Id="rId2848" Type="http://schemas.openxmlformats.org/officeDocument/2006/relationships/hyperlink" Target="https://appropriations.house.gov/sites/democrats.appropriations.house.gov/files/Ukraine%20Supplemental%20Summary.pdf" TargetMode="External"/><Relationship Id="rId89" Type="http://schemas.openxmlformats.org/officeDocument/2006/relationships/hyperlink" Target="https://www.politico.com/news/2022/03/22/ukraine-weapons-military-aid-00019104" TargetMode="External"/><Relationship Id="rId1005" Type="http://schemas.openxmlformats.org/officeDocument/2006/relationships/hyperlink" Target="https://www.youtube.com/watch?v=S4G4kaNLqbk" TargetMode="External"/><Relationship Id="rId1212" Type="http://schemas.openxmlformats.org/officeDocument/2006/relationships/hyperlink" Target="https://www.kyivpost.com/russias-war/estonia-to-boost-military-assistance-for-ukraine.html" TargetMode="External"/><Relationship Id="rId1657" Type="http://schemas.openxmlformats.org/officeDocument/2006/relationships/hyperlink" Target="https://www.mod.bg/bg/news.php?&amp;fn_page=2" TargetMode="External"/><Relationship Id="rId1864" Type="http://schemas.openxmlformats.org/officeDocument/2006/relationships/hyperlink" Target="https://appropriations.house.gov/sites/democrats.appropriations.house.gov/files/Ukraine%20Supplemental%20Summary.pdf" TargetMode="External"/><Relationship Id="rId2610" Type="http://schemas.openxmlformats.org/officeDocument/2006/relationships/hyperlink" Target="https://www.whitehouse.gov/briefing-room/press-briefings/2022/04/04/press-briefing-by-press-secretary-jen-psaki-and-national-security-advisor-jake-sullivan/" TargetMode="External"/><Relationship Id="rId2708" Type="http://schemas.openxmlformats.org/officeDocument/2006/relationships/hyperlink" Target="https://www.defense.gov/News/Releases/Release/Article/2987119/defense-department-announces-300-million-in-additional-assistance-for-ukraine/" TargetMode="External"/><Relationship Id="rId2915" Type="http://schemas.openxmlformats.org/officeDocument/2006/relationships/hyperlink" Target="https://appropriations.house.gov/sites/democrats.appropriations.house.gov/files/Ukraine%20Supplemental%20Summary%20FY23.pdf" TargetMode="External"/><Relationship Id="rId1517" Type="http://schemas.openxmlformats.org/officeDocument/2006/relationships/hyperlink" Target="https://www.mod.mil.gr/en/deputy-defence-minister-nikolaos-chardalias-accompanies-a-humanitarian-aid-cargo/" TargetMode="External"/><Relationship Id="rId1724" Type="http://schemas.openxmlformats.org/officeDocument/2006/relationships/hyperlink" Target="https://appropriations.house.gov/sites/democrats.appropriations.house.gov/files/Ukraine%20Supplemental%20Summary.pdf" TargetMode="External"/><Relationship Id="rId16" Type="http://schemas.openxmlformats.org/officeDocument/2006/relationships/hyperlink" Target="https://eng.lsm.lv/article/society/defense/30-truckloads-of-equipment-heading-from-latvia-to-ukraine.a445455/" TargetMode="External"/><Relationship Id="rId1931" Type="http://schemas.openxmlformats.org/officeDocument/2006/relationships/hyperlink" Target="https://appropriations.house.gov/sites/democrats.appropriations.house.gov/files/Additional%20Ukraine%20Suplemental%20Appropriations%20Act%20Summary.pdf" TargetMode="External"/><Relationship Id="rId2193"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98" Type="http://schemas.openxmlformats.org/officeDocument/2006/relationships/hyperlink" Target="https://crsreports.congress.gov/product/pdf/IF/IF12040" TargetMode="External"/><Relationship Id="rId165" Type="http://schemas.openxmlformats.org/officeDocument/2006/relationships/hyperlink" Target="https://bmi.gv.at/news.aspx?id=44786F67485A5049462F493D" TargetMode="External"/><Relationship Id="rId372" Type="http://schemas.openxmlformats.org/officeDocument/2006/relationships/hyperlink" Target="https://tfiglobalnews.com/2022/03/21/canada-wanted-to-supply-weapons-to-ukraine-turns-out-it-didnt-have-any/" TargetMode="External"/><Relationship Id="rId677" Type="http://schemas.openxmlformats.org/officeDocument/2006/relationships/hyperlink" Target="https://www.whitehouse.gov/briefing-room/press-briefings/2022/04/04/press-briefing-by-press-secretary-jen-psaki-and-national-security-advisor-jake-sullivan/" TargetMode="External"/><Relationship Id="rId2053" Type="http://schemas.openxmlformats.org/officeDocument/2006/relationships/hyperlink" Target="https://crsreports.congress.gov/product/pdf/IF/IF12040" TargetMode="External"/><Relationship Id="rId2260" Type="http://schemas.openxmlformats.org/officeDocument/2006/relationships/hyperlink" Target="https://appropriations.house.gov/sites/democrats.appropriations.house.gov/files/Ukraine%20Supplemental%20Summary%20FY23.pdf" TargetMode="External"/><Relationship Id="rId2358" Type="http://schemas.openxmlformats.org/officeDocument/2006/relationships/hyperlink" Target="https://crsreports.congress.gov/product/pdf/IF/IF12040" TargetMode="External"/><Relationship Id="rId232" Type="http://schemas.openxmlformats.org/officeDocument/2006/relationships/hyperlink" Target="https://vm.ee/en/humanitarian-aid-ukraine" TargetMode="External"/><Relationship Id="rId884" Type="http://schemas.openxmlformats.org/officeDocument/2006/relationships/hyperlink" Target="https://en.interfax.com.ua/news/general/859303.html" TargetMode="External"/><Relationship Id="rId2120" Type="http://schemas.openxmlformats.org/officeDocument/2006/relationships/hyperlink" Target="https://crsreports.congress.gov/product/pdf/IF/IF12040" TargetMode="External"/><Relationship Id="rId2565" Type="http://schemas.openxmlformats.org/officeDocument/2006/relationships/hyperlink" Target="https://www.19fortyfive.com/2022/04/switchblade-the-drone-giving-ukraine-a-big-edge-against-russia/" TargetMode="External"/><Relationship Id="rId2772" Type="http://schemas.openxmlformats.org/officeDocument/2006/relationships/hyperlink" Target="https://crsreports.congress.gov/product/pdf/IF/IF12040" TargetMode="External"/><Relationship Id="rId537" Type="http://schemas.openxmlformats.org/officeDocument/2006/relationships/hyperlink" Target="https://www.ilmessaggero.it/mondo/armi_italia_ucraina_inviate_quali_sono_guerra_russia_ultime_notizie-6743279.html" TargetMode="External"/><Relationship Id="rId744" Type="http://schemas.openxmlformats.org/officeDocument/2006/relationships/hyperlink" Target="https://twitter.com/edgarsrinkevics/status/1511694357560180745?ref_src=twsrc%5Etfw%7Ctwcamp%5Etweetembed%7Ctwterm%5E1511694357560180745%7Ctwgr%5E%7Ctwcon%5Es1_&amp;ref_url=https%3A%2F%2Fwww.redditmedia.com%2Fmediaembed%2Ftxqhaq%3Fresponsive%3Dtrueis_nightmode%3Dfalse" TargetMode="External"/><Relationship Id="rId951" Type="http://schemas.openxmlformats.org/officeDocument/2006/relationships/hyperlink" Target="https://www.reuters.com/world/europe/denmark-will-contribute-additional-110-mln-euros-ukraine-pm-2022-08-11/" TargetMode="External"/><Relationship Id="rId1167" Type="http://schemas.openxmlformats.org/officeDocument/2006/relationships/hyperlink" Target="https://www.facebook.com/LVIVDSNS/posts/pfbid0Kh4LzoSej4TroK3tNk9nUGzRfwB9sFeaRPgWP94cdzQsv1ChVf42NgPiSmZBK6wMl" TargetMode="External"/><Relationship Id="rId1374" Type="http://schemas.openxmlformats.org/officeDocument/2006/relationships/hyperlink" Target="https://www.reuters.com/world/europe/bulgaria-send-its-first-military-aid-ukraine-2022-12-09/" TargetMode="External"/><Relationship Id="rId1581" Type="http://schemas.openxmlformats.org/officeDocument/2006/relationships/hyperlink" Target="https://www.gov.uk/government/speeches/defence-secretary-oral-statement-on-war-in-ukraine--2" TargetMode="External"/><Relationship Id="rId1679" Type="http://schemas.openxmlformats.org/officeDocument/2006/relationships/hyperlink" Target="http://web.archive.org/web/20221018175112/https:/www.government.se/press-releases/2022/06/additional-amending-budget-with-further-support-to-ukraine/" TargetMode="External"/><Relationship Id="rId2218"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25"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32" Type="http://schemas.openxmlformats.org/officeDocument/2006/relationships/hyperlink" Target="https://www.defense.gov/News/Releases/Release/Article/2988565/readout-of-secretary-of-defense-lloyd-j-austin-iiis-call-with-ukraines-minister/" TargetMode="External"/><Relationship Id="rId80" Type="http://schemas.openxmlformats.org/officeDocument/2006/relationships/hyperlink" Target="https://www.vlada.cz/cz/media-centrum/aktualne/informace-v-souvislosti-s-invazi-ruska-na-ukrajinu-194507/" TargetMode="External"/><Relationship Id="rId604" Type="http://schemas.openxmlformats.org/officeDocument/2006/relationships/hyperlink" Target="https://www.koreatimes.co.kr/www/nation/2022/06/113_330680.html" TargetMode="External"/><Relationship Id="rId811" Type="http://schemas.openxmlformats.org/officeDocument/2006/relationships/hyperlink" Target="https://www.defense.gov/News/Releases/Release/Article/3134457/775-million-in-additional-security-assistance-for-ukraine/" TargetMode="External"/><Relationship Id="rId1027" Type="http://schemas.openxmlformats.org/officeDocument/2006/relationships/hyperlink" Target="https://www.helsinkitimes.fi/finland/finland-news/domestic/21086-finland-commits-military-protective-equipment-to-ukraine.html" TargetMode="External"/><Relationship Id="rId1234" Type="http://schemas.openxmlformats.org/officeDocument/2006/relationships/hyperlink" Target="https://www.defensa.gob.es/gabinete/notasPrensa/2022/10/DGC-221006-envio-ucrania.html" TargetMode="External"/><Relationship Id="rId1441" Type="http://schemas.openxmlformats.org/officeDocument/2006/relationships/hyperlink" Target="https://www.regjeringen.no/en/topics/foreign-affairs/humanitarian-efforts/neighbour_support/id2908141/?expand=factbox2947779" TargetMode="External"/><Relationship Id="rId1886" Type="http://schemas.openxmlformats.org/officeDocument/2006/relationships/hyperlink" Target="https://appropriations.house.gov/sites/democrats.appropriations.house.gov/files/Additional%20Ukraine%20Suplemental%20Appropriations%20Act%20Summary.pdf" TargetMode="External"/><Relationship Id="rId2937" Type="http://schemas.openxmlformats.org/officeDocument/2006/relationships/hyperlink" Target="https://www.wsj.com/articles/ukraine-quietly-receives-tanks-from-czech-republic-to-support-war-effort-11649160666" TargetMode="External"/><Relationship Id="rId909" Type="http://schemas.openxmlformats.org/officeDocument/2006/relationships/hyperlink" Target="https://www.euronews.com/2022/09/29/cargo-ship-with-1000-tonnes-of-ukraine-aid-sets-sail-from-marseille" TargetMode="External"/><Relationship Id="rId1301" Type="http://schemas.openxmlformats.org/officeDocument/2006/relationships/hyperlink" Target="https://edition.cnn.com/europe/live-news/russia-ukraine-war-news-08-29-22/h_21f066995f2c6fe12ab6605c48c1b9d1" TargetMode="External"/><Relationship Id="rId1539" Type="http://schemas.openxmlformats.org/officeDocument/2006/relationships/hyperlink" Target="https://www.regjeringen.no/en/aktuelt/statement-by-the-norwegian-german-slovakian-and-danish-ministers-of-defence/id2930329/" TargetMode="External"/><Relationship Id="rId1746" Type="http://schemas.openxmlformats.org/officeDocument/2006/relationships/hyperlink" Target="https://appropriations.house.gov/sites/democrats.appropriations.house.gov/files/Ukraine%20Supplemental%20Summary.pdf" TargetMode="External"/><Relationship Id="rId1953" Type="http://schemas.openxmlformats.org/officeDocument/2006/relationships/hyperlink" Target="https://appropriations.house.gov/sites/democrats.appropriations.house.gov/files/Additional%20Ukraine%20Suplemental%20Appropriations%20Act%20Summary.pdf" TargetMode="External"/><Relationship Id="rId38" Type="http://schemas.openxmlformats.org/officeDocument/2006/relationships/hyperlink" Target="https://www.vlada.cz/cz/media-centrum/aktualne/vlada-kvuli-migracni-krizi-vyhlasila-od-patku-nouzovy-stav--schvalila-i-dalsi-pomoc-pro-ukrajinu-a-navrh-na-zvyseni-vydaju-na-obranu-194695/" TargetMode="External"/><Relationship Id="rId1606"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1813" Type="http://schemas.openxmlformats.org/officeDocument/2006/relationships/hyperlink" Target="https://appropriations.house.gov/sites/democrats.appropriations.house.gov/files/Ukraine%20Supplemental%20Summary.pdf" TargetMode="External"/><Relationship Id="rId187" Type="http://schemas.openxmlformats.org/officeDocument/2006/relationships/hyperlink" Target="https://www.aa.com.tr/en/europe/france-to-deliver-caesar-artillery-guns-shells-to-ukraine/2570644" TargetMode="External"/><Relationship Id="rId394" Type="http://schemas.openxmlformats.org/officeDocument/2006/relationships/hyperlink" Target="https://spectator.sme.sk/c/22842829/slovakia-will-send-mine-clearance-systems-and-healthcare-material-to-ukraine.html" TargetMode="External"/><Relationship Id="rId2075" Type="http://schemas.openxmlformats.org/officeDocument/2006/relationships/hyperlink" Target="https://crsreports.congress.gov/product/pdf/IF/IF12040" TargetMode="External"/><Relationship Id="rId2282" Type="http://schemas.openxmlformats.org/officeDocument/2006/relationships/hyperlink" Target="https://appropriations.house.gov/sites/democrats.appropriations.house.gov/files/Ukraine%20Supplemental%20Summary%20FY23.pdf" TargetMode="External"/><Relationship Id="rId254" Type="http://schemas.openxmlformats.org/officeDocument/2006/relationships/hyperlink" Target="https://www.admin.ch/gov/en/start/documentation/media-releases.msg-id-87418.html" TargetMode="External"/><Relationship Id="rId699" Type="http://schemas.openxmlformats.org/officeDocument/2006/relationships/hyperlink" Target="https://www.infodefensa.com/texto-diario/mostrar/3822103/defensa-da-luz-verde-donacion-10-carros-combate-leopard-2a4-20-m113-ucrania" TargetMode="External"/><Relationship Id="rId1091" Type="http://schemas.openxmlformats.org/officeDocument/2006/relationships/hyperlink" Target="https://report.az/en/other-countries/france-to-provide-ukraine-with-arms-worth-200m-euros/" TargetMode="External"/><Relationship Id="rId2587" Type="http://schemas.openxmlformats.org/officeDocument/2006/relationships/hyperlink" Target="https://www.whitehouse.gov/briefing-room/press-briefings/2022/04/04/press-briefing-by-press-secretary-jen-psaki-and-national-security-advisor-jake-sullivan/" TargetMode="External"/><Relationship Id="rId2794" Type="http://schemas.openxmlformats.org/officeDocument/2006/relationships/hyperlink" Target="https://crsreports.congress.gov/product/pdf/IF/IF12040" TargetMode="External"/><Relationship Id="rId114" Type="http://schemas.openxmlformats.org/officeDocument/2006/relationships/hyperlink" Target="https://www.thedefensepost.com/2022/03/10/uk-starstreak-missiles-ukraine/" TargetMode="External"/><Relationship Id="rId461" Type="http://schemas.openxmlformats.org/officeDocument/2006/relationships/hyperlink" Target="https://mil.in.ua/en/news/belgium-made-a-decision-to-hand-over-artillery-to-ukraine-the-media/" TargetMode="External"/><Relationship Id="rId559" Type="http://schemas.openxmlformats.org/officeDocument/2006/relationships/hyperlink" Target="https://www.whitehouse.gov/briefing-room/statements-releases/2022/05/06/statement-by-president-joe-biden-on-additional-security-assistance-to-ukraine/" TargetMode="External"/><Relationship Id="rId766" Type="http://schemas.openxmlformats.org/officeDocument/2006/relationships/hyperlink" Target="https://www.government.se/press-releases/2022/08/prime-minister-magdalena-andersson-to-receive-ukrainian-minister-for-foreign-affairs-dmytro-kuleba/" TargetMode="External"/><Relationship Id="rId1189" Type="http://schemas.openxmlformats.org/officeDocument/2006/relationships/hyperlink" Target="https://um.dk/en/foreign-policy/danish-support-for-ukraine" TargetMode="External"/><Relationship Id="rId1396" Type="http://schemas.openxmlformats.org/officeDocument/2006/relationships/hyperlink" Target="https://edition.cnn.com/europe/live-news/russia-ukraine-war-news-12-13-22/h_f789fb6727fdf749c8a193449f27be5a" TargetMode="External"/><Relationship Id="rId2142" Type="http://schemas.openxmlformats.org/officeDocument/2006/relationships/hyperlink" Target="https://crsreports.congress.gov/product/pdf/IF/IF12040" TargetMode="External"/><Relationship Id="rId2447" Type="http://schemas.openxmlformats.org/officeDocument/2006/relationships/hyperlink" Target="https://appropriations.house.gov/sites/democrats.appropriations.house.gov/files/Ukraine%20Supplemental%20Summary%20FY23.pdf" TargetMode="External"/><Relationship Id="rId321" Type="http://schemas.openxmlformats.org/officeDocument/2006/relationships/hyperlink" Target="https://www.maritime-executive.com/article/denmark-pledges-to-provide-ukraine-with-harpoon-anti-ship-missiles" TargetMode="External"/><Relationship Id="rId419" Type="http://schemas.openxmlformats.org/officeDocument/2006/relationships/hyperlink" Target="https://ec.europa.eu/commission/presscorner/detail/en/speech_22_1483" TargetMode="External"/><Relationship Id="rId626" Type="http://schemas.openxmlformats.org/officeDocument/2006/relationships/hyperlink" Target="https://www.canada.ca/en/department-national-defence/news/2022/04/canada-announces-artillery-and-other-additional-military-aid-for-ukraine.html" TargetMode="External"/><Relationship Id="rId973" Type="http://schemas.openxmlformats.org/officeDocument/2006/relationships/hyperlink" Target="https://www.regjeringen.no/en/aktuelt/norge-og-storbritannia-gir-langtrekkende-rakettartilleri-til-ukraina/id2921395/" TargetMode="External"/><Relationship Id="rId1049" Type="http://schemas.openxmlformats.org/officeDocument/2006/relationships/hyperlink" Target="https://www.kyivpost.com/russias-war/japan-to-provide-vans-drones-to-ukraine.html" TargetMode="External"/><Relationship Id="rId1256" Type="http://schemas.openxmlformats.org/officeDocument/2006/relationships/hyperlink" Target="https://www.lejdd.fr/International/sebastien-lecornu-ministre-des-armees-nous-navons-pas-a-rougir-de-notre-aide-a-lukraine-4148779" TargetMode="External"/><Relationship Id="rId2002" Type="http://schemas.openxmlformats.org/officeDocument/2006/relationships/hyperlink" Target="https://appropriations.house.gov/sites/democrats.appropriations.house.gov/files/Additional%20Ukraine%20Suplemental%20Appropriations%20Act%20Summary.pdf" TargetMode="External"/><Relationship Id="rId2307" Type="http://schemas.openxmlformats.org/officeDocument/2006/relationships/hyperlink" Target="https://appropriations.house.gov/sites/democrats.appropriations.house.gov/files/Ukraine%20Supplemental%20Summary%20FY23.pdf" TargetMode="External"/><Relationship Id="rId2654" Type="http://schemas.openxmlformats.org/officeDocument/2006/relationships/hyperlink" Target="https://www.defense.gov/News/Releases/Release/Article/2988565/readout-of-secretary-of-defense-lloyd-j-austin-iiis-call-with-ukraines-minister/" TargetMode="External"/><Relationship Id="rId2861" Type="http://schemas.openxmlformats.org/officeDocument/2006/relationships/hyperlink" Target="https://appropriations.house.gov/sites/democrats.appropriations.house.gov/files/Additional%20Ukraine%20Suplemental%20Appropriations%20Act%20Summary.pdf" TargetMode="External"/><Relationship Id="rId833" Type="http://schemas.openxmlformats.org/officeDocument/2006/relationships/hyperlink" Target="https://www.defense.gov/News/Releases/Release/Article/3160503/600-million-in-additional-security-assistance-for-ukraine/" TargetMode="External"/><Relationship Id="rId1116" Type="http://schemas.openxmlformats.org/officeDocument/2006/relationships/hyperlink" Target="https://www.austria.org/ukraine" TargetMode="External"/><Relationship Id="rId1463" Type="http://schemas.openxmlformats.org/officeDocument/2006/relationships/hyperlink" Target="https://www.defense.gov/News/Releases/Release/Article/3227217/400-million-in-additional-assistance-for-ukraine/" TargetMode="External"/><Relationship Id="rId1670" Type="http://schemas.openxmlformats.org/officeDocument/2006/relationships/hyperlink" Target="https://researchbriefings.files.parliament.uk/documents/CBP-9477/CBP-9477.pdf" TargetMode="External"/><Relationship Id="rId1768" Type="http://schemas.openxmlformats.org/officeDocument/2006/relationships/hyperlink" Target="https://appropriations.house.gov/sites/democrats.appropriations.house.gov/files/Ukraine%20Supplemental%20Summary.pdf" TargetMode="External"/><Relationship Id="rId2514" Type="http://schemas.openxmlformats.org/officeDocument/2006/relationships/hyperlink" Target="https://t.me/V_Zelenskiy_official/4544" TargetMode="External"/><Relationship Id="rId2721" Type="http://schemas.openxmlformats.org/officeDocument/2006/relationships/hyperlink" Target="https://www.whitehouse.gov/briefing-room/press-briefings/2022/04/04/press-briefing-by-press-secretary-jen-psaki-and-national-security-advisor-jake-sullivan/" TargetMode="External"/><Relationship Id="rId2819" Type="http://schemas.openxmlformats.org/officeDocument/2006/relationships/hyperlink" Target="https://appropriations.house.gov/sites/democrats.appropriations.house.gov/files/Ukraine%20Supplemental%20Summary.pdf" TargetMode="External"/><Relationship Id="rId900" Type="http://schemas.openxmlformats.org/officeDocument/2006/relationships/hyperlink" Target="https://www.diplomatie.gouv.fr/en/country-files/ukraine/news/article/ukraine-catherine-colonna-to-attend-the-launch-of-solidarity-operation-un" TargetMode="External"/><Relationship Id="rId1323" Type="http://schemas.openxmlformats.org/officeDocument/2006/relationships/hyperlink" Target="https://twitter.com/i/status/1512804572728897539" TargetMode="External"/><Relationship Id="rId1530" Type="http://schemas.openxmlformats.org/officeDocument/2006/relationships/hyperlink" Target="https://www.irishtimes.com/news/health/thousands-of-blood-bags-and-protective-suits-among-irish-aid-sent-to-ukraine-1.4824403" TargetMode="External"/><Relationship Id="rId1628" Type="http://schemas.openxmlformats.org/officeDocument/2006/relationships/hyperlink" Target="https://kyivindependent.com/news-feed/finland-to-send-new-military-aid-package-to-ukraine" TargetMode="External"/><Relationship Id="rId1975" Type="http://schemas.openxmlformats.org/officeDocument/2006/relationships/hyperlink" Target="https://appropriations.house.gov/sites/democrats.appropriations.house.gov/files/Additional%20Ukraine%20Suplemental%20Appropriations%20Act%20Summary.pdf" TargetMode="External"/><Relationship Id="rId1835" Type="http://schemas.openxmlformats.org/officeDocument/2006/relationships/hyperlink" Target="https://appropriations.house.gov/sites/democrats.appropriations.house.gov/files/Ukraine%20Supplemental%20Summary.pdf" TargetMode="External"/><Relationship Id="rId1902" Type="http://schemas.openxmlformats.org/officeDocument/2006/relationships/hyperlink" Target="https://appropriations.house.gov/sites/democrats.appropriations.house.gov/files/Additional%20Ukraine%20Suplemental%20Appropriations%20Act%20Summary.pdf" TargetMode="External"/><Relationship Id="rId2097" Type="http://schemas.openxmlformats.org/officeDocument/2006/relationships/hyperlink" Target="https://crsreports.congress.gov/product/pdf/IF/IF12040" TargetMode="External"/><Relationship Id="rId276" Type="http://schemas.openxmlformats.org/officeDocument/2006/relationships/hyperlink" Target="https://www.dw.com/en/new-zealand-announces-new-measures-to-support-ukraine/a-61127549" TargetMode="External"/><Relationship Id="rId483" Type="http://schemas.openxmlformats.org/officeDocument/2006/relationships/hyperlink" Target="https://pmtranscripts.pmc.gov.au/release/transcript-43868" TargetMode="External"/><Relationship Id="rId690" Type="http://schemas.openxmlformats.org/officeDocument/2006/relationships/hyperlink" Target="https://www-vecernji-hr.translate.goog/vijesti/vukovarsko-srijemska-zupanija-uputila-pomoc-ukrajini-znamo-sto-znaci-biti-u-potrebi-1592483?_x_tr_sl=hr&amp;_x_tr_tl=it&amp;_x_tr_hl=it&amp;_x_tr_pto=sc" TargetMode="External"/><Relationship Id="rId2164" Type="http://schemas.openxmlformats.org/officeDocument/2006/relationships/hyperlink" Target="https://crsreports.congress.gov/product/pdf/IN/IN11882" TargetMode="External"/><Relationship Id="rId2371" Type="http://schemas.openxmlformats.org/officeDocument/2006/relationships/hyperlink" Target="https://crsreports.congress.gov/product/pdf/IF/IF12040" TargetMode="External"/><Relationship Id="rId136" Type="http://schemas.openxmlformats.org/officeDocument/2006/relationships/hyperlink" Target="https://www.exteriores.gob.es/Embajadas/washington/en/Comunicacion/Noticias/Paginas/Articulos/20220317_NEWS01.aspx" TargetMode="External"/><Relationship Id="rId343" Type="http://schemas.openxmlformats.org/officeDocument/2006/relationships/hyperlink" Target="https://www.defensa.gob.es/gabinete/notasPrensa/2022/04/DGC-220408-visita-centro-militar-farmacia.html" TargetMode="External"/><Relationship Id="rId550" Type="http://schemas.openxmlformats.org/officeDocument/2006/relationships/hyperlink" Target="https://www.reuters.com/world/europe/france-offer-100-mln-euros-humanitarian-aid-ukraine-2022-03-01/" TargetMode="External"/><Relationship Id="rId788" Type="http://schemas.openxmlformats.org/officeDocument/2006/relationships/hyperlink" Target="https://www.brusselstimes.com/290771/belgium-to-give-e12-million-in-military-aid-to-ukraine" TargetMode="External"/><Relationship Id="rId995" Type="http://schemas.openxmlformats.org/officeDocument/2006/relationships/hyperlink" Target="https://www.wsj.com/articles/ukraine-quietly-receives-tanks-from-czech-republic-to-support-war-effort-11649160666" TargetMode="External"/><Relationship Id="rId1180" Type="http://schemas.openxmlformats.org/officeDocument/2006/relationships/hyperlink" Target="https://www.lemonde.fr/en/international/article/2022/10/11/what-weapons-is-france-sending-to-ukraine_5999916_4.html" TargetMode="External"/><Relationship Id="rId2024" Type="http://schemas.openxmlformats.org/officeDocument/2006/relationships/hyperlink" Target="https://crsreports.congress.gov/product/pdf/IF/IF12040" TargetMode="External"/><Relationship Id="rId2231"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69" Type="http://schemas.openxmlformats.org/officeDocument/2006/relationships/hyperlink" Target="https://appropriations.house.gov/sites/democrats.appropriations.house.gov/files/Ukraine%20Supplemental%20Summary.pdf" TargetMode="External"/><Relationship Id="rId2676" Type="http://schemas.openxmlformats.org/officeDocument/2006/relationships/hyperlink" Target="https://www.defense.gov/News/Releases/Release/Article/2987119/defense-department-announces-300-million-in-additional-assistance-for-ukraine/" TargetMode="External"/><Relationship Id="rId2883" Type="http://schemas.openxmlformats.org/officeDocument/2006/relationships/hyperlink" Target="https://appropriations.house.gov/sites/democrats.appropriations.house.gov/files/Additional%20Ukraine%20Suplemental%20Appropriations%20Act%20Summary.pdf" TargetMode="External"/><Relationship Id="rId203" Type="http://schemas.openxmlformats.org/officeDocument/2006/relationships/hyperlink" Target="https://www.wienerzeitung.at/nachrichten/politik/oesterreich/2146418-Oesterreich-schickte-Ukraine-Armeeausruestung.html" TargetMode="External"/><Relationship Id="rId648" Type="http://schemas.openxmlformats.org/officeDocument/2006/relationships/hyperlink" Target="https://abcnews.go.com/Politics/us-sends-patriot-battery-slovakia-ukraine-300-anti/story?id=83965999" TargetMode="External"/><Relationship Id="rId855" Type="http://schemas.openxmlformats.org/officeDocument/2006/relationships/hyperlink" Target="https://www.defense.gov/News/Releases/Release/Article/3173378/11-billion-in-additional-security-assistance-for-ukraine/" TargetMode="External"/><Relationship Id="rId1040" Type="http://schemas.openxmlformats.org/officeDocument/2006/relationships/hyperlink" Target="https://mil.in.ua/en/news/finland-commits-the-largest-military-aid-package-in-the-amount-of-e55-6-million/" TargetMode="External"/><Relationship Id="rId1278" Type="http://schemas.openxmlformats.org/officeDocument/2006/relationships/hyperlink" Target="https://www.regjeringen.no/en/topics/foreign-affairs/humanitarian-efforts/neighbour_support/id2908141/" TargetMode="External"/><Relationship Id="rId1485" Type="http://schemas.openxmlformats.org/officeDocument/2006/relationships/hyperlink" Target="https://hungarytoday.hu/hungary-extends-humanitarian-aid-for-ukraine-to-education/" TargetMode="External"/><Relationship Id="rId1692" Type="http://schemas.openxmlformats.org/officeDocument/2006/relationships/hyperlink" Target="https://www.reuters.com/world/europe/russia-pounds-ukraine-civil-infrastructure-powers-meet-provide-aid-2022-12-13/" TargetMode="External"/><Relationship Id="rId2329" Type="http://schemas.openxmlformats.org/officeDocument/2006/relationships/hyperlink" Target="https://crsreports.congress.gov/product/pdf/IF/IF12040" TargetMode="External"/><Relationship Id="rId2536" Type="http://schemas.openxmlformats.org/officeDocument/2006/relationships/hyperlink" Target="https://www.19fortyfive.com/2022/04/switchblade-the-drone-giving-ukraine-a-big-edge-against-russia/" TargetMode="External"/><Relationship Id="rId2743" Type="http://schemas.openxmlformats.org/officeDocument/2006/relationships/hyperlink" Target="https://www.whitehouse.gov/briefing-room/press-briefings/2022/04/04/press-briefing-by-press-secretary-jen-psaki-and-national-security-advisor-jake-sullivan/" TargetMode="External"/><Relationship Id="rId410" Type="http://schemas.openxmlformats.org/officeDocument/2006/relationships/hyperlink" Target="https://www.thelocal.es/20220421/spain-sends-200-tonnes-of-military-material-to-ukraine-pm/" TargetMode="External"/><Relationship Id="rId508" Type="http://schemas.openxmlformats.org/officeDocument/2006/relationships/hyperlink" Target="https://english.radio.cz/czech-republic-sends-further-humanitarian-aid-ukraine-8752601" TargetMode="External"/><Relationship Id="rId715" Type="http://schemas.openxmlformats.org/officeDocument/2006/relationships/hyperlink" Target="https://www.state.gov/400-million-in-new-u-s-military-assistance-for-ukraine/" TargetMode="External"/><Relationship Id="rId922" Type="http://schemas.openxmlformats.org/officeDocument/2006/relationships/hyperlink" Target="https://www.euronews.com/2022/09/29/cargo-ship-with-1000-tonnes-of-ukraine-aid-sets-sail-from-marseille" TargetMode="External"/><Relationship Id="rId1138" Type="http://schemas.openxmlformats.org/officeDocument/2006/relationships/hyperlink" Target="https://www.youtube.com/watch?v=D59VdvNdPwo&amp;t=2s&amp;ab_channel=NATONews" TargetMode="External"/><Relationship Id="rId1345" Type="http://schemas.openxmlformats.org/officeDocument/2006/relationships/hyperlink" Target="https://www.delfi.lt/en/politics/lithuania-provides-eur-5-mln-to-help-ukraine-rebuild-energy-infrastructure.d?id=91786261" TargetMode="External"/><Relationship Id="rId1552" Type="http://schemas.openxmlformats.org/officeDocument/2006/relationships/hyperlink" Target="https://www.bundesregierung.de/breg-en/news/military-support-ukraine-2054992" TargetMode="External"/><Relationship Id="rId1997" Type="http://schemas.openxmlformats.org/officeDocument/2006/relationships/hyperlink" Target="https://appropriations.house.gov/sites/democrats.appropriations.house.gov/files/Additional%20Ukraine%20Suplemental%20Appropriations%20Act%20Summary.pdf" TargetMode="External"/><Relationship Id="rId2603" Type="http://schemas.openxmlformats.org/officeDocument/2006/relationships/hyperlink" Target="https://www.whitehouse.gov/briefing-room/press-briefings/2022/04/04/press-briefing-by-press-secretary-jen-psaki-and-national-security-advisor-jake-sullivan/" TargetMode="External"/><Relationship Id="rId1205" Type="http://schemas.openxmlformats.org/officeDocument/2006/relationships/hyperlink" Target="https://www.wfp.org/news/japan-provides-us28-million-humanitarian-food-assistance-ukraine" TargetMode="External"/><Relationship Id="rId1857" Type="http://schemas.openxmlformats.org/officeDocument/2006/relationships/hyperlink" Target="https://appropriations.house.gov/sites/democrats.appropriations.house.gov/files/Ukraine%20Supplemental%20Summary.pdf" TargetMode="External"/><Relationship Id="rId2810" Type="http://schemas.openxmlformats.org/officeDocument/2006/relationships/hyperlink" Target="https://appropriations.house.gov/sites/democrats.appropriations.house.gov/files/Ukraine%20Supplemental%20Summary.pdf" TargetMode="External"/><Relationship Id="rId2908" Type="http://schemas.openxmlformats.org/officeDocument/2006/relationships/hyperlink" Target="https://appropriations.house.gov/sites/democrats.appropriations.house.gov/files/Summary%20Continuing%20Appropriations%20and%20Ukraine%20Supplemental%20Appropriations%20Act%202023.pdf" TargetMode="External"/><Relationship Id="rId51" Type="http://schemas.openxmlformats.org/officeDocument/2006/relationships/hyperlink" Target="https://www.canada.ca/en/global-affairs/news/2022/03/canada-announces-100-million-humanitarian-assistance-to-ukraine.html" TargetMode="External"/><Relationship Id="rId1412" Type="http://schemas.openxmlformats.org/officeDocument/2006/relationships/hyperlink" Target="https://timesofmalta.com/articles/view/maltas-gives-ukraine-17-million-emergency-assistance.1001419" TargetMode="External"/><Relationship Id="rId1717" Type="http://schemas.openxmlformats.org/officeDocument/2006/relationships/hyperlink" Target="https://www.pravda.com.ua/eng/news/2023/01/10/7384314/?utm_source=dlvr.it&amp;utm_medium=%5Btwitter%5D&amp;utm_campaign=%5Brogue_corq%5D" TargetMode="External"/><Relationship Id="rId1924" Type="http://schemas.openxmlformats.org/officeDocument/2006/relationships/hyperlink" Target="https://appropriations.house.gov/sites/democrats.appropriations.house.gov/files/Additional%20Ukraine%20Suplemental%20Appropriations%20Act%20Summary.pdf" TargetMode="External"/><Relationship Id="rId298" Type="http://schemas.openxmlformats.org/officeDocument/2006/relationships/hyperlink" Target="https://www.state.gov/the-united-states-announces-additional-humanitarian-assistance-for-the-people-of-ukraine/" TargetMode="External"/><Relationship Id="rId158" Type="http://schemas.openxmlformats.org/officeDocument/2006/relationships/hyperlink" Target="https://www.gov.uk/government/news/prime-minister-pledges-uks-unwavering-support-to-ukraine-on-visit-to-kyiv-9-april-2022" TargetMode="External"/><Relationship Id="rId2186"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93" Type="http://schemas.openxmlformats.org/officeDocument/2006/relationships/hyperlink" Target="https://crsreports.congress.gov/product/pdf/IF/IF12040" TargetMode="External"/><Relationship Id="rId2698" Type="http://schemas.openxmlformats.org/officeDocument/2006/relationships/hyperlink" Target="https://www.defense.gov/News/Releases/Release/Article/2987119/defense-department-announces-300-million-in-additional-assistance-for-ukraine/" TargetMode="External"/><Relationship Id="rId365" Type="http://schemas.openxmlformats.org/officeDocument/2006/relationships/hyperlink" Target="https://www.esteri.it/en/politica-estera-e-cooperazione-allo-sviluppo/aree_geografiche/europa/litalia-a-sostegno-dellucraina/" TargetMode="External"/><Relationship Id="rId572" Type="http://schemas.openxmlformats.org/officeDocument/2006/relationships/hyperlink" Target="https://intermin.fi/en/ukraine/civilian-assistance-to-ukraine" TargetMode="External"/><Relationship Id="rId2046" Type="http://schemas.openxmlformats.org/officeDocument/2006/relationships/hyperlink" Target="https://crsreports.congress.gov/product/pdf/IF/IF12040" TargetMode="External"/><Relationship Id="rId2253" Type="http://schemas.openxmlformats.org/officeDocument/2006/relationships/hyperlink" Target="https://appropriations.house.gov/sites/democrats.appropriations.house.gov/files/Ukraine%20Supplemental%20Summary%20FY23.pdf" TargetMode="External"/><Relationship Id="rId2460" Type="http://schemas.openxmlformats.org/officeDocument/2006/relationships/hyperlink" Target="https://appropriations.house.gov/sites/democrats.appropriations.house.gov/files/Ukraine%20Supplemental%20Summary.pdf" TargetMode="External"/><Relationship Id="rId225" Type="http://schemas.openxmlformats.org/officeDocument/2006/relationships/hyperlink" Target="https://www.rtvslo.si/radio-si/news/slovenia-promises-aid-to-ukraine/625786" TargetMode="External"/><Relationship Id="rId432" Type="http://schemas.openxmlformats.org/officeDocument/2006/relationships/hyperlink" Target="https://ec.europa.eu/commission/presscorner/detail/en/IP_22_2382" TargetMode="External"/><Relationship Id="rId877" Type="http://schemas.openxmlformats.org/officeDocument/2006/relationships/hyperlink" Target="https://www.brusselstimes.com/278107/belgium-provides-e8-million-for-non-lethal-help-to-ukraine" TargetMode="External"/><Relationship Id="rId1062" Type="http://schemas.openxmlformats.org/officeDocument/2006/relationships/hyperlink" Target="https://taiwantoday.tw/news.php?unit=2&amp;post=227225&amp;unitname=Politics-Top-News&amp;postname=MOFA-Minister-Wu-unveils-US%2456-million-donation-to-rebuild-Ukraine" TargetMode="External"/><Relationship Id="rId2113" Type="http://schemas.openxmlformats.org/officeDocument/2006/relationships/hyperlink" Target="https://crsreports.congress.gov/product/pdf/IF/IF12040" TargetMode="External"/><Relationship Id="rId2320" Type="http://schemas.openxmlformats.org/officeDocument/2006/relationships/hyperlink" Target="https://crsreports.congress.gov/product/pdf/IF/IF12040" TargetMode="External"/><Relationship Id="rId2558" Type="http://schemas.openxmlformats.org/officeDocument/2006/relationships/hyperlink" Target="https://www.19fortyfive.com/2022/04/switchblade-the-drone-giving-ukraine-a-big-edge-against-russia/" TargetMode="External"/><Relationship Id="rId2765" Type="http://schemas.openxmlformats.org/officeDocument/2006/relationships/hyperlink" Target="https://crsreports.congress.gov/product/pdf/IF/IF12040" TargetMode="External"/><Relationship Id="rId737" Type="http://schemas.openxmlformats.org/officeDocument/2006/relationships/hyperlink" Target="https://www.gov.uk/government/news/uk-to-send-scores-of-artillery-guns-and-hundreds-of-drones-to-ukraine" TargetMode="External"/><Relationship Id="rId944" Type="http://schemas.openxmlformats.org/officeDocument/2006/relationships/hyperlink" Target="https://twitter.com/UrmasReinsalu/status/1554520335587938304?ref_src=twsrc%5Etfw%7Ctwcamp%5Etweetembed%7Ctwterm%5E1554520335587938304%7Ctwgr%5Ee825fdb7ad984a8d5ed6d86b7eff30b88c845343%7Ctwcon%5Es1_&amp;ref_url=https%3A%2F%2Fnews.err.ee%2F1608674068%2Festonian-fm-visits-ukraine-lays-new-kindergarten-cornerstone-in-zhytomyr" TargetMode="External"/><Relationship Id="rId1367" Type="http://schemas.openxmlformats.org/officeDocument/2006/relationships/hyperlink" Target="https://twitter.com/LSchreinemacher/status/1591089465719926784" TargetMode="External"/><Relationship Id="rId1574" Type="http://schemas.openxmlformats.org/officeDocument/2006/relationships/hyperlink" Target="https://www.bundesregierung.de/resource/blob/975226/2155792/c3dbab706421f63d3d612091e7ecad4c/2022-12-27-unterstuetzung-ukraine-breg-data.pdf?download=1%20Guten" TargetMode="External"/><Relationship Id="rId1781" Type="http://schemas.openxmlformats.org/officeDocument/2006/relationships/hyperlink" Target="https://appropriations.house.gov/sites/democrats.appropriations.house.gov/files/Ukraine%20Supplemental%20Summary.pdf" TargetMode="External"/><Relationship Id="rId2418"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25" Type="http://schemas.openxmlformats.org/officeDocument/2006/relationships/hyperlink" Target="https://www.defense.gov/News/Releases/Release/Article/2988565/readout-of-secretary-of-defense-lloyd-j-austin-iiis-call-with-ukraines-minister/" TargetMode="External"/><Relationship Id="rId2832" Type="http://schemas.openxmlformats.org/officeDocument/2006/relationships/hyperlink" Target="https://appropriations.house.gov/sites/democrats.appropriations.house.gov/files/Ukraine%20Supplemental%20Summary.pdf" TargetMode="External"/><Relationship Id="rId73" Type="http://schemas.openxmlformats.org/officeDocument/2006/relationships/hyperlink" Target="https://www.praguemorning.cz/czech-governmenet-approves-czk-400-million-in-military-aid-for-ukraine/" TargetMode="External"/><Relationship Id="rId804" Type="http://schemas.openxmlformats.org/officeDocument/2006/relationships/hyperlink" Target="https://www.defense.gov/News/Releases/Release/Article/3134457/775-million-in-additional-security-assistance-for-ukraine/" TargetMode="External"/><Relationship Id="rId1227" Type="http://schemas.openxmlformats.org/officeDocument/2006/relationships/hyperlink" Target="https://kaitseministeerium.ee/en/news/estonia-sending-ukraine-ammunition-and-equipment" TargetMode="External"/><Relationship Id="rId1434" Type="http://schemas.openxmlformats.org/officeDocument/2006/relationships/hyperlink" Target="https://babel.ua/en/news/87339-japan-will-transfer-generators-and-solar-batteries-to-ukraine-on-a-grant-basis" TargetMode="External"/><Relationship Id="rId1641" Type="http://schemas.openxmlformats.org/officeDocument/2006/relationships/hyperlink" Target="https://gouvernement.lu/en/actualites/toutes_actualites/communiques/2022/02-fevrier/28-bausch-ukraine.html" TargetMode="External"/><Relationship Id="rId1879" Type="http://schemas.openxmlformats.org/officeDocument/2006/relationships/hyperlink" Target="https://appropriations.house.gov/sites/democrats.appropriations.house.gov/files/Additional%20Ukraine%20Suplemental%20Appropriations%20Act%20Summary.pdf" TargetMode="External"/><Relationship Id="rId1501" Type="http://schemas.openxmlformats.org/officeDocument/2006/relationships/hyperlink" Target="https://life.karpat.in.ua/?p=101279&amp;lang=hu" TargetMode="External"/><Relationship Id="rId1739" Type="http://schemas.openxmlformats.org/officeDocument/2006/relationships/hyperlink" Target="https://appropriations.house.gov/sites/democrats.appropriations.house.gov/files/Ukraine%20Supplemental%20Summary.pdf" TargetMode="External"/><Relationship Id="rId1946" Type="http://schemas.openxmlformats.org/officeDocument/2006/relationships/hyperlink" Target="https://appropriations.house.gov/sites/democrats.appropriations.house.gov/files/Additional%20Ukraine%20Suplemental%20Appropriations%20Act%20Summary.pdf" TargetMode="External"/><Relationship Id="rId1806" Type="http://schemas.openxmlformats.org/officeDocument/2006/relationships/hyperlink" Target="https://appropriations.house.gov/sites/democrats.appropriations.house.gov/files/Ukraine%20Supplemental%20Summary.pdf" TargetMode="External"/><Relationship Id="rId387" Type="http://schemas.openxmlformats.org/officeDocument/2006/relationships/hyperlink" Target="https://www.strategypage.com/htmw/htart/articles/20220502.aspx" TargetMode="External"/><Relationship Id="rId594" Type="http://schemas.openxmlformats.org/officeDocument/2006/relationships/hyperlink" Target="https://www.news18.com/news/world/ukraine-asks-for-military-aid-from-world-netherlands-us-among-25-countries-to-provide-support-4814291.html" TargetMode="External"/><Relationship Id="rId2068" Type="http://schemas.openxmlformats.org/officeDocument/2006/relationships/hyperlink" Target="https://crsreports.congress.gov/product/pdf/IF/IF12040" TargetMode="External"/><Relationship Id="rId2275" Type="http://schemas.openxmlformats.org/officeDocument/2006/relationships/hyperlink" Target="https://appropriations.house.gov/sites/democrats.appropriations.house.gov/files/Ukraine%20Supplemental%20Summary%20FY23.pdf" TargetMode="External"/><Relationship Id="rId247" Type="http://schemas.openxmlformats.org/officeDocument/2006/relationships/hyperlink" Target="https://www.lesoir.be/437698/article/2022-04-22/guerre-en-ukraine-la-belgique-sapprete-livrer-de-nouveaux-missiles-antichars" TargetMode="External"/><Relationship Id="rId899" Type="http://schemas.openxmlformats.org/officeDocument/2006/relationships/hyperlink" Target="https://www.euronews.com/2022/09/29/cargo-ship-with-1000-tonnes-of-ukraine-aid-sets-sail-from-marseille" TargetMode="External"/><Relationship Id="rId1084" Type="http://schemas.openxmlformats.org/officeDocument/2006/relationships/hyperlink" Target="https://www.defense.gouv.fr/terre/actualites/uiisc-1-3e-convoi-solidarite-lukraine" TargetMode="External"/><Relationship Id="rId2482" Type="http://schemas.openxmlformats.org/officeDocument/2006/relationships/hyperlink" Target="https://appropriations.house.gov/sites/democrats.appropriations.house.gov/files/Additional%20Ukraine%20Suplemental%20Appropriations%20Act%20Summary.pdf" TargetMode="External"/><Relationship Id="rId2787" Type="http://schemas.openxmlformats.org/officeDocument/2006/relationships/hyperlink" Target="https://crsreports.congress.gov/product/pdf/IF/IF12040" TargetMode="External"/><Relationship Id="rId107" Type="http://schemas.openxmlformats.org/officeDocument/2006/relationships/hyperlink" Target="https://english.sta.si/3017990/tonnes-of-aid-for-ukraine-dispatched-this-week" TargetMode="External"/><Relationship Id="rId454" Type="http://schemas.openxmlformats.org/officeDocument/2006/relationships/hyperlink" Target="https://elpais.com/espana/2022-06-05/espana-dispuesta-a-entregar-a-ucrania-misiles-antiaereos-y-carros-de-combate-leopard.html" TargetMode="External"/><Relationship Id="rId661" Type="http://schemas.openxmlformats.org/officeDocument/2006/relationships/hyperlink" Target="https://www.gbnews.uk/news/uk-pledges-13-billion-in-support-for-ukraines-fight-against-putins-russia/288926" TargetMode="External"/><Relationship Id="rId759" Type="http://schemas.openxmlformats.org/officeDocument/2006/relationships/hyperlink" Targe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TargetMode="External"/><Relationship Id="rId966" Type="http://schemas.openxmlformats.org/officeDocument/2006/relationships/hyperlink" Target="https://www.euronews.com/2022/09/29/cargo-ship-with-1000-tonnes-of-ukraine-aid-sets-sail-from-marseille" TargetMode="External"/><Relationship Id="rId1291" Type="http://schemas.openxmlformats.org/officeDocument/2006/relationships/hyperlink" Target="https://www.defensa.gob.es/gabinete/notasPrensa/2022/08/DGC-220831-envio-armamento-ucrania.html" TargetMode="External"/><Relationship Id="rId1389" Type="http://schemas.openxmlformats.org/officeDocument/2006/relationships/hyperlink" Target="https://news.err.ee/1608829969/estonia-sends-more-military-equipment-to-ukraine" TargetMode="External"/><Relationship Id="rId1596" Type="http://schemas.openxmlformats.org/officeDocument/2006/relationships/hyperlink" Target="https://twitter.com/KyivIndependent/status/1542585476414070786?ref_src=twsrc%5Etfw%7Ctwcamp%5Etweetembed%7Ctwterm%5E1542585476414070786%7Ctwgr%5E%7Ctwcon%5Es1_&amp;ref_url=https%3A%2F%2Fwww.republicworld.com%2Fworld-news%2Frussia-ukraine-crisis%2Fcanadas-pm-pledges-to-deliver-dozens-of-brand-new-armoured-personnel-carriers-to-ukraine-articleshow.html" TargetMode="External"/><Relationship Id="rId2135" Type="http://schemas.openxmlformats.org/officeDocument/2006/relationships/hyperlink" Target="https://crsreports.congress.gov/product/pdf/IF/IF12040" TargetMode="External"/><Relationship Id="rId2342" Type="http://schemas.openxmlformats.org/officeDocument/2006/relationships/hyperlink" Target="https://crsreports.congress.gov/product/pdf/IF/IF12040" TargetMode="External"/><Relationship Id="rId2647" Type="http://schemas.openxmlformats.org/officeDocument/2006/relationships/hyperlink" Target="https://www.defense.gov/News/Releases/Release/Article/2988565/readout-of-secretary-of-defense-lloyd-j-austin-iiis-call-with-ukraines-minister/" TargetMode="External"/><Relationship Id="rId314" Type="http://schemas.openxmlformats.org/officeDocument/2006/relationships/hyperlink" Target="https://www.canada.ca/en/global-affairs/news/2022/05/g7-development-ministers-conclude-successful-meeting-and-issue-statement-on-ukraine.html" TargetMode="External"/><Relationship Id="rId521" Type="http://schemas.openxmlformats.org/officeDocument/2006/relationships/hyperlink" Target="https://www.government.se/press-releases/2022/06/additional-amending-budget-with-further-support-to-ukraine/" TargetMode="External"/><Relationship Id="rId619" Type="http://schemas.openxmlformats.org/officeDocument/2006/relationships/hyperlink" Target="https://www.ctvnews.ca/politics/canada-pledges-more-aid-and-loans-to-ukraine-as-g7-targets-russian-oil-1.5965947" TargetMode="External"/><Relationship Id="rId1151" Type="http://schemas.openxmlformats.org/officeDocument/2006/relationships/hyperlink" Target="https://www.gov.uk/government/news/prime-minister-pledges-uks-unwavering-support-to-ukraine-on-visit-to-kyiv-9-april-2022" TargetMode="External"/><Relationship Id="rId1249" Type="http://schemas.openxmlformats.org/officeDocument/2006/relationships/hyperlink" Target="https://www.france24.com/en/europe/20221007-macron-announces-%E2%82%AC100-million-fund-for-ukraine-to-buy-arms" TargetMode="External"/><Relationship Id="rId2202" Type="http://schemas.openxmlformats.org/officeDocument/2006/relationships/hyperlink" Target="https://appropriations.house.gov/sites/democrats.appropriations.house.gov/files/Summary%20Continuing%20Appropriations%20and%20Ukraine%20Supplemental%20Appropriations%20Act%202023.pdf" TargetMode="External"/><Relationship Id="rId2854" Type="http://schemas.openxmlformats.org/officeDocument/2006/relationships/hyperlink" Target="https://appropriations.house.gov/sites/democrats.appropriations.house.gov/files/Additional%20Ukraine%20Suplemental%20Appropriations%20Act%20Summary.pdf" TargetMode="External"/><Relationship Id="rId95" Type="http://schemas.openxmlformats.org/officeDocument/2006/relationships/hyperlink" Target="https://twitter.com/eduardheger/status/1499479828218658819" TargetMode="External"/><Relationship Id="rId826" Type="http://schemas.openxmlformats.org/officeDocument/2006/relationships/hyperlink" Target="https://www.defense.gov/News/Releases/Release/Article/3160503/600-million-in-additional-security-assistance-for-ukraine/" TargetMode="External"/><Relationship Id="rId1011" Type="http://schemas.openxmlformats.org/officeDocument/2006/relationships/hyperlink" Target="https://um.dk/en/foreign-policy/danish-support-for-ukraine" TargetMode="External"/><Relationship Id="rId1109" Type="http://schemas.openxmlformats.org/officeDocument/2006/relationships/hyperlink" Target="https://frontnews.eu/en/news/details/30810" TargetMode="External"/><Relationship Id="rId1456" Type="http://schemas.openxmlformats.org/officeDocument/2006/relationships/hyperlink" Target="https://www.washingtonexaminer.com/policy/defense-national-security/ukraine-billion-winter" TargetMode="External"/><Relationship Id="rId1663" Type="http://schemas.openxmlformats.org/officeDocument/2006/relationships/hyperlink" Target="https://mil.in.ua/en/news/croatia-plans-to-provide-ukraine-with-e3-million-for-demining/" TargetMode="External"/><Relationship Id="rId1870" Type="http://schemas.openxmlformats.org/officeDocument/2006/relationships/hyperlink" Target="https://appropriations.house.gov/sites/democrats.appropriations.house.gov/files/Ukraine%20Supplemental%20Summary.pdf" TargetMode="External"/><Relationship Id="rId1968" Type="http://schemas.openxmlformats.org/officeDocument/2006/relationships/hyperlink" Target="https://appropriations.house.gov/sites/democrats.appropriations.house.gov/files/Additional%20Ukraine%20Suplemental%20Appropriations%20Act%20Summary.pdf" TargetMode="External"/><Relationship Id="rId2507" Type="http://schemas.openxmlformats.org/officeDocument/2006/relationships/hyperlink" Target="https://www.defense.gov/News/Releases/Release/Article/2987119/defense-department-announces-300-million-in-additional-assistance-for-ukraine/" TargetMode="External"/><Relationship Id="rId2714" Type="http://schemas.openxmlformats.org/officeDocument/2006/relationships/hyperlink" Target="https://www.whitehouse.gov/briefing-room/press-briefings/2022/04/04/press-briefing-by-press-secretary-jen-psaki-and-national-security-advisor-jake-sullivan/" TargetMode="External"/><Relationship Id="rId2921" Type="http://schemas.openxmlformats.org/officeDocument/2006/relationships/hyperlink" Target="https://appropriations.house.gov/sites/democrats.appropriations.house.gov/files/Ukraine%20Supplemental%20Summary%20FY23.pdf" TargetMode="External"/><Relationship Id="rId1316" Type="http://schemas.openxmlformats.org/officeDocument/2006/relationships/hyperlink" Target="https://www.bmf.gv.at/presse/pressemeldungen/2022/dezember/weitere-20-millionen-euro-ukraine-hilfe.html" TargetMode="External"/><Relationship Id="rId1523" Type="http://schemas.openxmlformats.org/officeDocument/2006/relationships/hyperlink" Target="https://www.globalcitizen.org/en/content/stand-up-for-ukraine-impact-report/" TargetMode="External"/><Relationship Id="rId1730" Type="http://schemas.openxmlformats.org/officeDocument/2006/relationships/hyperlink" Target="https://appropriations.house.gov/sites/democrats.appropriations.house.gov/files/Ukraine%20Supplemental%20Summary.pdf" TargetMode="External"/><Relationship Id="rId22" Type="http://schemas.openxmlformats.org/officeDocument/2006/relationships/hyperlink" Target="https://www.startmag.it/innovazione/armi-italia-ucraina/" TargetMode="External"/><Relationship Id="rId1828" Type="http://schemas.openxmlformats.org/officeDocument/2006/relationships/hyperlink" Target="https://appropriations.house.gov/sites/democrats.appropriations.house.gov/files/Ukraine%20Supplemental%20Summary.pdf" TargetMode="External"/><Relationship Id="rId171" Type="http://schemas.openxmlformats.org/officeDocument/2006/relationships/hyperlink" Target="https://www.praguemorning.cz/czech-governmenet-approves-czk-400-million-in-military-aid-for-ukraine/" TargetMode="External"/><Relationship Id="rId2297" Type="http://schemas.openxmlformats.org/officeDocument/2006/relationships/hyperlink" Target="https://appropriations.house.gov/sites/democrats.appropriations.house.gov/files/Ukraine%20Supplemental%20Summary%20FY23.pdf" TargetMode="External"/><Relationship Id="rId269" Type="http://schemas.openxmlformats.org/officeDocument/2006/relationships/hyperlink" Target="https://www.beehive.govt.nz/release/nz-provide-non-lethal-military-assistance-ukraine" TargetMode="External"/><Relationship Id="rId476" Type="http://schemas.openxmlformats.org/officeDocument/2006/relationships/hyperlink" Target="https://www.rferl.org/a/czech-republic-poland-new-military-aid-ukraine/31873938.html" TargetMode="External"/><Relationship Id="rId683" Type="http://schemas.openxmlformats.org/officeDocument/2006/relationships/hyperlink" Target="https://kyivindependent.com/news-feed/slovakia-supplies-5-helicopters-ammunition-for-grad-multiple-rocket-launchers" TargetMode="External"/><Relationship Id="rId890" Type="http://schemas.openxmlformats.org/officeDocument/2006/relationships/hyperlink" Target="https://www.brusselstimes.com/290771/belgium-to-give-e12-million-in-military-aid-to-ukraine" TargetMode="External"/><Relationship Id="rId2157" Type="http://schemas.openxmlformats.org/officeDocument/2006/relationships/hyperlink" Target="https://appropriations.house.gov/sites/democrats.appropriations.house.gov/files/Ukraine%20Supplemental%20Summary%20FY23.pdf" TargetMode="External"/><Relationship Id="rId2364" Type="http://schemas.openxmlformats.org/officeDocument/2006/relationships/hyperlink" Target="https://crsreports.congress.gov/product/pdf/IF/IF12040" TargetMode="External"/><Relationship Id="rId2571" Type="http://schemas.openxmlformats.org/officeDocument/2006/relationships/hyperlink" Target="https://www.whitehouse.gov/briefing-room/press-briefings/2022/04/04/press-briefing-by-press-secretary-jen-psaki-and-national-security-advisor-jake-sullivan/" TargetMode="External"/><Relationship Id="rId129" Type="http://schemas.openxmlformats.org/officeDocument/2006/relationships/hyperlink" Target="https://twitter.com/eduardheger/status/1498055152045015046" TargetMode="External"/><Relationship Id="rId336" Type="http://schemas.openxmlformats.org/officeDocument/2006/relationships/hyperlink" Target="https://gouvernement.lu/en/actualites/toutes_actualites/communiques/2022/02-fevrier/28-bofferding-ucpm.html" TargetMode="External"/><Relationship Id="rId543" Type="http://schemas.openxmlformats.org/officeDocument/2006/relationships/hyperlink" Target="https://vm.ee/en/humanitarian-aid-ukraine" TargetMode="External"/><Relationship Id="rId988" Type="http://schemas.openxmlformats.org/officeDocument/2006/relationships/hyperlink" Target="https://mil.in.ua/en/news/belgium-made-a-decision-to-hand-over-artillery-to-ukraine-the-media/" TargetMode="External"/><Relationship Id="rId1173" Type="http://schemas.openxmlformats.org/officeDocument/2006/relationships/hyperlink" Target="https://www.defense.gov/News/Releases/Release/Article/3189571/725-million-in-additional-security-assistance-for-ukraine/" TargetMode="External"/><Relationship Id="rId1380" Type="http://schemas.openxmlformats.org/officeDocument/2006/relationships/hyperlink" Target="https://twitter.com/P_Fiala/status/1612488494252757006" TargetMode="External"/><Relationship Id="rId2017" Type="http://schemas.openxmlformats.org/officeDocument/2006/relationships/hyperlink" Target="https://crsreports.congress.gov/product/pdf/IF/IF12040" TargetMode="External"/><Relationship Id="rId2224"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69" Type="http://schemas.openxmlformats.org/officeDocument/2006/relationships/hyperlink" Target="https://www.defense.gov/News/Releases/Release/Article/2987119/defense-department-announces-300-million-in-additional-assistance-for-ukraine/" TargetMode="External"/><Relationship Id="rId2876" Type="http://schemas.openxmlformats.org/officeDocument/2006/relationships/hyperlink" Target="https://appropriations.house.gov/sites/democrats.appropriations.house.gov/files/Additional%20Ukraine%20Suplemental%20Appropriations%20Act%20Summary.pdf" TargetMode="External"/><Relationship Id="rId403" Type="http://schemas.openxmlformats.org/officeDocument/2006/relationships/hyperlink" Target="https://www.aa.com.tr/en/russia-ukraine-war/norway-sends-roughly-100-anti-aircraft-missiles-to-ukraine/2568447" TargetMode="External"/><Relationship Id="rId750" Type="http://schemas.openxmlformats.org/officeDocument/2006/relationships/hyperlink" Target="https://um.fi/press-releases/-/asset_publisher/ued5t2wDmr1C/content/suomelta-humanitaarista-apua-valiaikaisia-asuntoja-seka-julkisen-hallinnon-tukea-ukrainaan/35732" TargetMode="External"/><Relationship Id="rId848" Type="http://schemas.openxmlformats.org/officeDocument/2006/relationships/hyperlink" Target="https://www.defense.gov/News/Releases/Release/Article/3173378/11-billion-in-additional-security-assistance-for-ukraine/" TargetMode="External"/><Relationship Id="rId1033" Type="http://schemas.openxmlformats.org/officeDocument/2006/relationships/hyperlink" Target="https://kyivindependent.com/news-feed/finland-prepares-8th-batch-of-military-aid-for-ukraine" TargetMode="External"/><Relationship Id="rId1478" Type="http://schemas.openxmlformats.org/officeDocument/2006/relationships/hyperlink" Target="https://www.wsj.com/livecoverage/russia-ukraine-latest-news-2022-04-29/card/poland-has-sent-more-than-200-tanks-to-ukraine-Krwar3DCPzHJJk4UMVh4" TargetMode="External"/><Relationship Id="rId1685" Type="http://schemas.openxmlformats.org/officeDocument/2006/relationships/hyperlink" Target="https://sloveniatimes.com/new-slovenian-donations-to-ukraine/" TargetMode="External"/><Relationship Id="rId1892" Type="http://schemas.openxmlformats.org/officeDocument/2006/relationships/hyperlink" Target="https://appropriations.house.gov/sites/democrats.appropriations.house.gov/files/Additional%20Ukraine%20Suplemental%20Appropriations%20Act%20Summary.pdf" TargetMode="External"/><Relationship Id="rId2431" Type="http://schemas.openxmlformats.org/officeDocument/2006/relationships/hyperlink" Target="https://appropriations.house.gov/sites/democrats.appropriations.house.gov/files/Ukraine%20Supplemental%20Summary%20FY23.pdf" TargetMode="External"/><Relationship Id="rId2529" Type="http://schemas.openxmlformats.org/officeDocument/2006/relationships/hyperlink" Target="https://www.19fortyfive.com/2022/04/switchblade-the-drone-giving-ukraine-a-big-edge-against-russia/" TargetMode="External"/><Relationship Id="rId2736" Type="http://schemas.openxmlformats.org/officeDocument/2006/relationships/hyperlink" Target="https://www.whitehouse.gov/briefing-room/press-briefings/2022/04/04/press-briefing-by-press-secretary-jen-psaki-and-national-security-advisor-jake-sullivan/" TargetMode="External"/><Relationship Id="rId610" Type="http://schemas.openxmlformats.org/officeDocument/2006/relationships/hyperlink" Target="https://mezha.media/en/2022/04/15/new-weapon-deliveries-from-the-czech-republic-dana-self-propelled-artillery-and-rm-70-multiple-rocket-launcher/" TargetMode="External"/><Relationship Id="rId708" Type="http://schemas.openxmlformats.org/officeDocument/2006/relationships/hyperlink" Target="https://mobile.twitter.com/EU_Commission/status/1551598152041603072" TargetMode="External"/><Relationship Id="rId915" Type="http://schemas.openxmlformats.org/officeDocument/2006/relationships/hyperlink" Target="https://www.diplomatie.gouv.fr/en/country-files/ukraine/news/article/ukraine-catherine-colonna-to-attend-the-launch-of-solidarity-operation-un" TargetMode="External"/><Relationship Id="rId1240" Type="http://schemas.openxmlformats.org/officeDocument/2006/relationships/hyperlink" Target="https://www.leparisien.fr/politique/sebastien-lecornu-nous-allons-former-jusqua-2000-soldats-ukrainiens-en-france-15-10-2022-SBLM6EKPOFELNHN3GHGA7IAESY.php" TargetMode="External"/><Relationship Id="rId1338" Type="http://schemas.openxmlformats.org/officeDocument/2006/relationships/hyperlink" Target="https://twitter.com/a_anusauskas/status/1596199415714566144" TargetMode="External"/><Relationship Id="rId1545" Type="http://schemas.openxmlformats.org/officeDocument/2006/relationships/hyperlink" Target="https://www.bundesregierung.de/breg-en/news/military-support-ukraine-2054992" TargetMode="External"/><Relationship Id="rId2943" Type="http://schemas.openxmlformats.org/officeDocument/2006/relationships/hyperlink" Target="https://ue.delegfrance.org/bilan-de-l-aide-apportee-par-la" TargetMode="External"/><Relationship Id="rId1100" Type="http://schemas.openxmlformats.org/officeDocument/2006/relationships/hyperlink" Target="https://www.ukrinform.net/rubric-ato/3604150-italy-provides-ukraine-with-two-m270-systems-six-pzh-2000-about-30-selfpropelled-howitzers-media.html" TargetMode="External"/><Relationship Id="rId1405" Type="http://schemas.openxmlformats.org/officeDocument/2006/relationships/hyperlink" Target="https://www.txtreport.com/news/2022-12-29-france-will-create-a-fund-of-200-million-euros-for-military-support-of-ukraine.SyArhIqFs.html" TargetMode="External"/><Relationship Id="rId1752" Type="http://schemas.openxmlformats.org/officeDocument/2006/relationships/hyperlink" Target="https://appropriations.house.gov/sites/democrats.appropriations.house.gov/files/Ukraine%20Supplemental%20Summary.pdf" TargetMode="External"/><Relationship Id="rId2803" Type="http://schemas.openxmlformats.org/officeDocument/2006/relationships/hyperlink" Target="https://crsreports.congress.gov/product/pdf/IF/IF12040" TargetMode="External"/><Relationship Id="rId44" Type="http://schemas.openxmlformats.org/officeDocument/2006/relationships/hyperlink" Target="https://tapportals.mk.gov.lv/legal_acts/4cc2e5ed-8d7f-4052-8aaa-9a3a1d472b7d" TargetMode="External"/><Relationship Id="rId1612" Type="http://schemas.openxmlformats.org/officeDocument/2006/relationships/hyperlink" Target="https://twitter.com/Lithuanian_MoD/status/1529371608766468097?ref_src=twsrc%5Etfw%7Ctwcamp%5Etweetembed%7Ctwterm%5E1529371608766468097%7Ctwgr%5E%7Ctwcon%5Es1_&amp;ref_url=https%3A%2F%2Fwww.republicworld.com%2Fworld-news%2Frussia-ukraine-crisis%2Frussia-ukraine-war-lithuania-to-send-armoured-personnel-carriers-in-military-aid-to-kyiv-articleshow.html" TargetMode="External"/><Relationship Id="rId1917" Type="http://schemas.openxmlformats.org/officeDocument/2006/relationships/hyperlink" Target="https://appropriations.house.gov/sites/democrats.appropriations.house.gov/files/Additional%20Ukraine%20Suplemental%20Appropriations%20Act%20Summary.pdf" TargetMode="External"/><Relationship Id="rId193" Type="http://schemas.openxmlformats.org/officeDocument/2006/relationships/hyperlink" Target="https://www.forbes.com/sites/sebastienroblin/2022/04/21/the-dutch-are-sending-huge-german-armored-howitzers-to-ukraine/?sh=6c70196f9380" TargetMode="External"/><Relationship Id="rId498" Type="http://schemas.openxmlformats.org/officeDocument/2006/relationships/hyperlink" Target="https://twitter.com/defesa_pt/status/1513633729666818052" TargetMode="External"/><Relationship Id="rId2081" Type="http://schemas.openxmlformats.org/officeDocument/2006/relationships/hyperlink" Target="https://crsreports.congress.gov/product/pdf/IF/IF12040" TargetMode="External"/><Relationship Id="rId2179" Type="http://schemas.openxmlformats.org/officeDocument/2006/relationships/hyperlink" Target="https://appropriations.house.gov/sites/democrats.appropriations.house.gov/files/Ukraine%20Supplemental%20Summary%20FY23.pdf" TargetMode="External"/><Relationship Id="rId260" Type="http://schemas.openxmlformats.org/officeDocument/2006/relationships/hyperlink" Target="https://www.regjeringen.no/en/aktuelt/air-defense-system-to-ukraine/id2908807/" TargetMode="External"/><Relationship Id="rId2386" Type="http://schemas.openxmlformats.org/officeDocument/2006/relationships/hyperlink" Target="https://crsreports.congress.gov/product/pdf/IF/IF12040" TargetMode="External"/><Relationship Id="rId2593" Type="http://schemas.openxmlformats.org/officeDocument/2006/relationships/hyperlink" Target="https://www.whitehouse.gov/briefing-room/press-briefings/2022/04/04/press-briefing-by-press-secretary-jen-psaki-and-national-security-advisor-jake-sullivan/" TargetMode="External"/><Relationship Id="rId120" Type="http://schemas.openxmlformats.org/officeDocument/2006/relationships/hyperlink" Target="https://www.swissinfo.ch/eng/sweden-to-send-military-aid-to-ukraine---pm-andersson/47386044" TargetMode="External"/><Relationship Id="rId358" Type="http://schemas.openxmlformats.org/officeDocument/2006/relationships/hyperlink" Target="https://www.ukrinform.net/rubric-defense/3463928-spain-sends-new-military-aid-batch-to-ukraine.html" TargetMode="External"/><Relationship Id="rId565" Type="http://schemas.openxmlformats.org/officeDocument/2006/relationships/hyperlink" Target="https://intermin.fi/en/ukraine/civilian-assistance-to-ukraine" TargetMode="External"/><Relationship Id="rId772" Type="http://schemas.openxmlformats.org/officeDocument/2006/relationships/hyperlink" Target="https://www.gov.uk/government/news/uk-and-allies-agree-expanded-international-fund-for-ukraine-support" TargetMode="External"/><Relationship Id="rId1195" Type="http://schemas.openxmlformats.org/officeDocument/2006/relationships/hyperlink" Target="https://www.defensa.gob.es/gabinete/notasPrensa/2022/10/DGC-221006-envio-ucrania.html" TargetMode="External"/><Relationship Id="rId2039" Type="http://schemas.openxmlformats.org/officeDocument/2006/relationships/hyperlink" Target="https://crsreports.congress.gov/product/pdf/IF/IF12040" TargetMode="External"/><Relationship Id="rId2246"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53" Type="http://schemas.openxmlformats.org/officeDocument/2006/relationships/hyperlink" Target="https://appropriations.house.gov/sites/democrats.appropriations.house.gov/files/Additional%20Ukraine%20Suplemental%20Appropriations%20Act%20Summary.pdf" TargetMode="External"/><Relationship Id="rId2660" Type="http://schemas.openxmlformats.org/officeDocument/2006/relationships/hyperlink" Target="https://www.defense.gov/News/Releases/Release/Article/2988565/readout-of-secretary-of-defense-lloyd-j-austin-iiis-call-with-ukraines-minister/" TargetMode="External"/><Relationship Id="rId2898" Type="http://schemas.openxmlformats.org/officeDocument/2006/relationships/hyperlink" Target="https://appropriations.house.gov/sites/democrats.appropriations.house.gov/files/Additional%20Ukraine%20Suplemental%20Appropriations%20Act%20Summary.pdf" TargetMode="External"/><Relationship Id="rId218" Type="http://schemas.openxmlformats.org/officeDocument/2006/relationships/hyperlink" Target="https://interfax.com.ua/news/general/829945.html" TargetMode="External"/><Relationship Id="rId425" Type="http://schemas.openxmlformats.org/officeDocument/2006/relationships/hyperlink" Target="https://www.consilium.europa.eu/de/press/press-releases/2022/04/13/eu-support-to-ukraine-council-agrees-on-third-tranche-of-support-under-the-european-peace-facility-for-total-1-5-billion/" TargetMode="External"/><Relationship Id="rId632" Type="http://schemas.openxmlformats.org/officeDocument/2006/relationships/hyperlink" Target="https://www.rp.pl/biznes/art35754421-polska-bron-dla-ukrainy-pierwsze-transporty-dotarly-kolejne-w-drodze" TargetMode="External"/><Relationship Id="rId1055" Type="http://schemas.openxmlformats.org/officeDocument/2006/relationships/hyperlink" Target="https://www-regjeringen-no.translate.goog/en/aktuelt/droner/id2924942/?_x_tr_sl=auto&amp;_x_tr_tl=uk&amp;_x_tr_hl=uk&amp;_x_tr_pto=op" TargetMode="External"/><Relationship Id="rId1262" Type="http://schemas.openxmlformats.org/officeDocument/2006/relationships/hyperlink" Target="https://www.kmu.gov.ua/en/news/yuliia-svyrydenko-polskyi-uriad-hotovyi-stymuliuvaty-biznes-investuvaty-v-ukrainu-i-dokladaie-do-tsoho-maksymum-zusyl" TargetMode="External"/><Relationship Id="rId2106" Type="http://schemas.openxmlformats.org/officeDocument/2006/relationships/hyperlink" Target="https://crsreports.congress.gov/product/pdf/IF/IF12040" TargetMode="External"/><Relationship Id="rId2313" Type="http://schemas.openxmlformats.org/officeDocument/2006/relationships/hyperlink" Target="https://crsreports.congress.gov/product/pdf/IF/IF12040" TargetMode="External"/><Relationship Id="rId2520" Type="http://schemas.openxmlformats.org/officeDocument/2006/relationships/hyperlink" Target="https://crsreports.congress.gov/product/pdf/IF/IF12040" TargetMode="External"/><Relationship Id="rId2758" Type="http://schemas.openxmlformats.org/officeDocument/2006/relationships/hyperlink" Target="https://crsreports.congress.gov/product/pdf/IF/IF12040" TargetMode="External"/><Relationship Id="rId937" Type="http://schemas.openxmlformats.org/officeDocument/2006/relationships/hyperlink" Target="https://kaitseministeerium.ee/en/news/estonia-increase-defence-aid-ukraine" TargetMode="External"/><Relationship Id="rId1122" Type="http://schemas.openxmlformats.org/officeDocument/2006/relationships/hyperlink" Target="https://twitter.com/a_anusauskas/status/1592084804501401604" TargetMode="External"/><Relationship Id="rId1567" Type="http://schemas.openxmlformats.org/officeDocument/2006/relationships/hyperlink" Target="https://background.tagesspiegel.de/energie-klima/haelfte-des-ukrainischen-stromsystems-lahmgelegt" TargetMode="External"/><Relationship Id="rId1774" Type="http://schemas.openxmlformats.org/officeDocument/2006/relationships/hyperlink" Target="https://appropriations.house.gov/sites/democrats.appropriations.house.gov/files/Ukraine%20Supplemental%20Summary.pdf" TargetMode="External"/><Relationship Id="rId1981" Type="http://schemas.openxmlformats.org/officeDocument/2006/relationships/hyperlink" Target="https://appropriations.house.gov/sites/democrats.appropriations.house.gov/files/Additional%20Ukraine%20Suplemental%20Appropriations%20Act%20Summary.pdf" TargetMode="External"/><Relationship Id="rId2618" Type="http://schemas.openxmlformats.org/officeDocument/2006/relationships/hyperlink" Target="https://www.defense.gov/News/Releases/Release/Article/2988565/readout-of-secretary-of-defense-lloyd-j-austin-iiis-call-with-ukraines-minister/" TargetMode="External"/><Relationship Id="rId2825" Type="http://schemas.openxmlformats.org/officeDocument/2006/relationships/hyperlink" Target="https://appropriations.house.gov/sites/democrats.appropriations.house.gov/files/Ukraine%20Supplemental%20Summary.pdf" TargetMode="External"/><Relationship Id="rId66" Type="http://schemas.openxmlformats.org/officeDocument/2006/relationships/hyperlink" Target="https://www.canada.ca/en/department-national-defence/news/2022/03/defence-minister-anand-announces-additional-military-support-to-ukraine.html" TargetMode="External"/><Relationship Id="rId1427" Type="http://schemas.openxmlformats.org/officeDocument/2006/relationships/hyperlink" Target="https://www.mosr.sk/52244-en/bvp-1-pre-ukrajinu-su-odovzdane-leopardy-pre-nasu-obranu-pridu-uz-coskoro/" TargetMode="External"/><Relationship Id="rId1634" Type="http://schemas.openxmlformats.org/officeDocument/2006/relationships/hyperlink" Target="https://tapportals.mk.gov.lv/legal_acts/4cc2e5ed-8d7f-4052-8aaa-9a3a1d472b7d" TargetMode="External"/><Relationship Id="rId1841" Type="http://schemas.openxmlformats.org/officeDocument/2006/relationships/hyperlink" Target="https://appropriations.house.gov/sites/democrats.appropriations.house.gov/files/Ukraine%20Supplemental%20Summary.pdf" TargetMode="External"/><Relationship Id="rId1939" Type="http://schemas.openxmlformats.org/officeDocument/2006/relationships/hyperlink" Target="https://appropriations.house.gov/sites/democrats.appropriations.house.gov/files/Additional%20Ukraine%20Suplemental%20Appropriations%20Act%20Summary.pdf" TargetMode="External"/><Relationship Id="rId1701" Type="http://schemas.openxmlformats.org/officeDocument/2006/relationships/hyperlink" Target="https://en.kyiv.media/news/ukraine-received-a-eur100m-loan-from-france" TargetMode="External"/><Relationship Id="rId282" Type="http://schemas.openxmlformats.org/officeDocument/2006/relationships/hyperlink" Target="https://en.yna.co.kr/view/AEN20220413000800325" TargetMode="External"/><Relationship Id="rId587" Type="http://schemas.openxmlformats.org/officeDocument/2006/relationships/hyperlink" Target="https://twitter.com/KyivIndependent/status/1542585476414070786?ref_src=twsrc%5Etfw%7Ctwcamp%5Etweetembed%7Ctwterm%5E1542585476414070786%7Ctwgr%5E%7Ctwcon%5Es1_&amp;ref_url=https%3A%2F%2Fwww.republicworld.com%2Fworld-news%2Frussia-ukraine-crisis%2Fcanadas-pm-pledges-to-deliver-dozens-of-brand-new-armoured-personnel-carriers-to-ukraine-articleshow.html" TargetMode="External"/><Relationship Id="rId2170" Type="http://schemas.openxmlformats.org/officeDocument/2006/relationships/hyperlink" Target="https://crsreports.congress.gov/product/pdf/IN/IN11882" TargetMode="External"/><Relationship Id="rId2268" Type="http://schemas.openxmlformats.org/officeDocument/2006/relationships/hyperlink" Target="https://appropriations.house.gov/sites/democrats.appropriations.house.gov/files/Ukraine%20Supplemental%20Summary%20FY23.pdf" TargetMode="External"/><Relationship Id="rId8" Type="http://schemas.openxmlformats.org/officeDocument/2006/relationships/hyperlink" Target="https://diplomatie.belgium.be/en/belgium-sends-emergency-shelter-material-ukraine-b-fast" TargetMode="External"/><Relationship Id="rId142" Type="http://schemas.openxmlformats.org/officeDocument/2006/relationships/hyperlink" Target="https://twitter.com/eduardheger/status/1512777474828079109" TargetMode="External"/><Relationship Id="rId447" Type="http://schemas.openxmlformats.org/officeDocument/2006/relationships/hyperlink" Target="https://www.ctvnews.ca/politics/a-lot-more-people-are-going-to-die-canada-sending-more-lethal-weapons-to-ukraine-1.5804357" TargetMode="External"/><Relationship Id="rId794" Type="http://schemas.openxmlformats.org/officeDocument/2006/relationships/hyperlink" Target="https://www.connexionfrance.com/article/French-news/Humanitarian-ship-for-Ukraine-leaves-French-port-with-8m-of-aid" TargetMode="External"/><Relationship Id="rId1077" Type="http://schemas.openxmlformats.org/officeDocument/2006/relationships/hyperlink" Target="https://www.defense.gouv.fr/terre/actualites/uiisc-1-3e-convoi-solidarite-lukraine" TargetMode="External"/><Relationship Id="rId2030" Type="http://schemas.openxmlformats.org/officeDocument/2006/relationships/hyperlink" Target="https://crsreports.congress.gov/product/pdf/IF/IF12040" TargetMode="External"/><Relationship Id="rId2128" Type="http://schemas.openxmlformats.org/officeDocument/2006/relationships/hyperlink" Target="https://crsreports.congress.gov/product/pdf/IF/IF12040" TargetMode="External"/><Relationship Id="rId2475" Type="http://schemas.openxmlformats.org/officeDocument/2006/relationships/hyperlink" Target="https://appropriations.house.gov/sites/democrats.appropriations.house.gov/files/Additional%20Ukraine%20Suplemental%20Appropriations%20Act%20Summary.pdf" TargetMode="External"/><Relationship Id="rId2682" Type="http://schemas.openxmlformats.org/officeDocument/2006/relationships/hyperlink" Target="https://www.defense.gov/News/Releases/Release/Article/2987119/defense-department-announces-300-million-in-additional-assistance-for-ukraine/" TargetMode="External"/><Relationship Id="rId654" Type="http://schemas.openxmlformats.org/officeDocument/2006/relationships/hyperlink" Target="https://www.total-slovenia-news.com/politics/10138-slovenia-moves-from-military-to-humanitarian-aid-for-ukraine" TargetMode="External"/><Relationship Id="rId861" Type="http://schemas.openxmlformats.org/officeDocument/2006/relationships/hyperlink" Target="https://www.defense.gov/News/Releases/Release/Article/3160503/600-million-in-additional-security-assistance-for-ukraine/" TargetMode="External"/><Relationship Id="rId959" Type="http://schemas.openxmlformats.org/officeDocument/2006/relationships/hyperlink" Target="https://mil.in.ua/en/news/the-ministry-of-defense-of-japan-will-hand-over-vans-and-drones-to-ukraine/" TargetMode="External"/><Relationship Id="rId1284" Type="http://schemas.openxmlformats.org/officeDocument/2006/relationships/hyperlink" Target="https://nos.nl/artikel/2432074-nederland-levert-ook-drones-aan-oekraine-per-ongeluk-bekend-geworden" TargetMode="External"/><Relationship Id="rId1491" Type="http://schemas.openxmlformats.org/officeDocument/2006/relationships/hyperlink" Target="https://www.ekathimerini.com/news/1179620/greek-role-within-nato-is-upgraded/" TargetMode="External"/><Relationship Id="rId1589" Type="http://schemas.openxmlformats.org/officeDocument/2006/relationships/hyperlink" Target="https://mof.gov.ua/uk/news/ukraine_will_receive_usd_500_million_from_the_uk_through_the_world_bank_project-3781" TargetMode="External"/><Relationship Id="rId2335" Type="http://schemas.openxmlformats.org/officeDocument/2006/relationships/hyperlink" Target="https://crsreports.congress.gov/product/pdf/IF/IF12040" TargetMode="External"/><Relationship Id="rId2542" Type="http://schemas.openxmlformats.org/officeDocument/2006/relationships/hyperlink" Target="https://www.19fortyfive.com/2022/04/switchblade-the-drone-giving-ukraine-a-big-edge-against-russia/" TargetMode="External"/><Relationship Id="rId307" Type="http://schemas.openxmlformats.org/officeDocument/2006/relationships/hyperlink" Target="https://www.regjeringen.no/en/aktuelt/additional-nok-100-million/id2911879/" TargetMode="External"/><Relationship Id="rId514" Type="http://schemas.openxmlformats.org/officeDocument/2006/relationships/hyperlink" Target="https://www.ukrinform.net/rubric-ato/3502204-norway-donates-22-m109-howitzers-to-ukraine.html" TargetMode="External"/><Relationship Id="rId721" Type="http://schemas.openxmlformats.org/officeDocument/2006/relationships/hyperlink" Target="https://www.regjeringen.no/en/aktuelt/agreement_gas/id2947818/" TargetMode="External"/><Relationship Id="rId1144" Type="http://schemas.openxmlformats.org/officeDocument/2006/relationships/hyperlink" Target="https://www.bbc.com/news/world-europe-61482305" TargetMode="External"/><Relationship Id="rId1351" Type="http://schemas.openxmlformats.org/officeDocument/2006/relationships/hyperlink" Target="https://delano.lu/article/zelenskyy-thanks-luxembourg-fo" TargetMode="External"/><Relationship Id="rId1449" Type="http://schemas.openxmlformats.org/officeDocument/2006/relationships/hyperlink" Target="https://appropriations.house.gov/sites/democrats.appropriations.house.gov/files/Additional%20Ukraine%20Suplemental%20Appropriations%20Act%20Summary.pdf" TargetMode="External"/><Relationship Id="rId1796" Type="http://schemas.openxmlformats.org/officeDocument/2006/relationships/hyperlink" Target="https://appropriations.house.gov/sites/democrats.appropriations.house.gov/files/Ukraine%20Supplemental%20Summary.pdf" TargetMode="External"/><Relationship Id="rId2402" Type="http://schemas.openxmlformats.org/officeDocument/2006/relationships/hyperlink" Target="https://crsreports.congress.gov/product/pdf/IF/IF12040" TargetMode="External"/><Relationship Id="rId2847" Type="http://schemas.openxmlformats.org/officeDocument/2006/relationships/hyperlink" Target="https://appropriations.house.gov/sites/democrats.appropriations.house.gov/files/Ukraine%20Supplemental%20Summary.pdf" TargetMode="External"/><Relationship Id="rId88" Type="http://schemas.openxmlformats.org/officeDocument/2006/relationships/hyperlink" Target="https://www.vlada.cz/cz/media-centrum/aktualne/informace-v-souvislosti-s-invazi-ruska-na-ukrajinu-194507/" TargetMode="External"/><Relationship Id="rId819" Type="http://schemas.openxmlformats.org/officeDocument/2006/relationships/hyperlink" Target="https://www.defense.gov/News/Releases/Release/Article/3152071/675-million-in-additional-security-assistance-for-ukraine/" TargetMode="External"/><Relationship Id="rId1004" Type="http://schemas.openxmlformats.org/officeDocument/2006/relationships/hyperlink" Target="https://en.kriseinformation.dk/denmarks-reactions/denmarks-contributions" TargetMode="External"/><Relationship Id="rId1211" Type="http://schemas.openxmlformats.org/officeDocument/2006/relationships/hyperlink" Target="https://kaitseministeerium.ee/en/news/estonia-increase-defence-aid-ukraine" TargetMode="External"/><Relationship Id="rId1656" Type="http://schemas.openxmlformats.org/officeDocument/2006/relationships/hyperlink" Target="https://www.mod.bg/bg/news.php?&amp;fn_page=2" TargetMode="External"/><Relationship Id="rId1863" Type="http://schemas.openxmlformats.org/officeDocument/2006/relationships/hyperlink" Target="https://appropriations.house.gov/sites/democrats.appropriations.house.gov/files/Ukraine%20Supplemental%20Summary.pdf" TargetMode="External"/><Relationship Id="rId2707" Type="http://schemas.openxmlformats.org/officeDocument/2006/relationships/hyperlink" Target="https://www.defense.gov/News/Releases/Release/Article/2987119/defense-department-announces-300-million-in-additional-assistance-for-ukraine/" TargetMode="External"/><Relationship Id="rId2914" Type="http://schemas.openxmlformats.org/officeDocument/2006/relationships/hyperlink" Target="https://appropriations.house.gov/sites/democrats.appropriations.house.gov/files/Ukraine%20Supplemental%20Summary%20FY23.pdf" TargetMode="External"/><Relationship Id="rId1309" Type="http://schemas.openxmlformats.org/officeDocument/2006/relationships/hyperlink" Target="https://breakingdefense.com/2022/11/uk-delays-defense-spending-increase-raising-fears-3-gdp-target-will-be-axed/" TargetMode="External"/><Relationship Id="rId1516" Type="http://schemas.openxmlformats.org/officeDocument/2006/relationships/hyperlink" Target="https://interfax.com.ua/news/general/829945.html" TargetMode="External"/><Relationship Id="rId1723" Type="http://schemas.openxmlformats.org/officeDocument/2006/relationships/hyperlink" Target="https://www.defense.gov/News/Releases/Release/Article/3261263/more-than-3-billion-in-additional-security-assistance-for-ukraine/" TargetMode="External"/><Relationship Id="rId1930" Type="http://schemas.openxmlformats.org/officeDocument/2006/relationships/hyperlink" Target="https://appropriations.house.gov/sites/democrats.appropriations.house.gov/files/Additional%20Ukraine%20Suplemental%20Appropriations%20Act%20Summary.pdf" TargetMode="External"/><Relationship Id="rId15" Type="http://schemas.openxmlformats.org/officeDocument/2006/relationships/hyperlink" Target="https://www.ansa.it/sito/notizie/topnews/2022/02/27/di-maio-da-italia-110-milioni-di-euro-al-governo-di-kiev_946fac9e-f0a8-492e-9b12-7b64fefc6bac.html" TargetMode="External"/><Relationship Id="rId2192" Type="http://schemas.openxmlformats.org/officeDocument/2006/relationships/hyperlink" Target="https://appropriations.house.gov/sites/democrats.appropriations.house.gov/files/Summary%20Continuing%20Appropriations%20and%20Ukraine%20Supplemental%20Appropriations%20Act%202023.pdf" TargetMode="External"/><Relationship Id="rId164" Type="http://schemas.openxmlformats.org/officeDocument/2006/relationships/hyperlink" Target="https://www.defense.gov/News/Releases/Release/Article/3007664/fact-sheet-on-us-security-assistance-for-ukraine-roll-up-as-of-april-21-2022/" TargetMode="External"/><Relationship Id="rId371" Type="http://schemas.openxmlformats.org/officeDocument/2006/relationships/hyperlink" Target="https://www.ilmessaggero.it/politica/armi_ucraina_italia_guerini_conte_draghi_costo_cosa_succede_governo_ultime_notizie-6652159.html" TargetMode="External"/><Relationship Id="rId2052" Type="http://schemas.openxmlformats.org/officeDocument/2006/relationships/hyperlink" Target="https://crsreports.congress.gov/product/pdf/IF/IF12040" TargetMode="External"/><Relationship Id="rId2497" Type="http://schemas.openxmlformats.org/officeDocument/2006/relationships/hyperlink" Target="https://crsreports.congress.gov/product/pdf/IF/IF12040" TargetMode="External"/><Relationship Id="rId469" Type="http://schemas.openxmlformats.org/officeDocument/2006/relationships/hyperlink" Target="https://czechdaily.cz/the-czech-republic-is-sending-thousands-of-artillery-shells-to-ukraine/" TargetMode="External"/><Relationship Id="rId676" Type="http://schemas.openxmlformats.org/officeDocument/2006/relationships/hyperlink" Target="https://www.defense.gov/News/Releases/Release/Article/2987119/defense-department-announces-300-million-in-additional-assistance-for-ukraine/" TargetMode="External"/><Relationship Id="rId883" Type="http://schemas.openxmlformats.org/officeDocument/2006/relationships/hyperlink" Target="https://en.interfax.com.ua/news/general/859303.html" TargetMode="External"/><Relationship Id="rId1099" Type="http://schemas.openxmlformats.org/officeDocument/2006/relationships/hyperlink" Target="https://www.ukrinform.net/rubric-ato/3604150-italy-provides-ukraine-with-two-m270-systems-six-pzh-2000-about-30-selfpropelled-howitzers-media.html" TargetMode="External"/><Relationship Id="rId2357" Type="http://schemas.openxmlformats.org/officeDocument/2006/relationships/hyperlink" Target="https://crsreports.congress.gov/product/pdf/IF/IF12040" TargetMode="External"/><Relationship Id="rId2564" Type="http://schemas.openxmlformats.org/officeDocument/2006/relationships/hyperlink" Target="https://www.19fortyfive.com/2022/04/switchblade-the-drone-giving-ukraine-a-big-edge-against-russia/" TargetMode="External"/><Relationship Id="rId231" Type="http://schemas.openxmlformats.org/officeDocument/2006/relationships/hyperlink" Target="https://www.gov.uk/government/news/uk-provides-further-humanitarian-aid-focused-on-most-vulnerable-in-ukraine" TargetMode="External"/><Relationship Id="rId329" Type="http://schemas.openxmlformats.org/officeDocument/2006/relationships/hyperlink" Target="https://ukranews.com/en/news/853495-japan-decides-to-allocate-usd-100-million-loan-and-usd-2-3-million-grant-to-ukraine" TargetMode="External"/><Relationship Id="rId536" Type="http://schemas.openxmlformats.org/officeDocument/2006/relationships/hyperlink" Target="https://www.lefigaro.fr/international/direct-guerre-en-ukraine-situation-critique-a-marioupol-20220421" TargetMode="External"/><Relationship Id="rId1166" Type="http://schemas.openxmlformats.org/officeDocument/2006/relationships/hyperlink" Target="https://um.dk/en/foreign-policy/danish-support-for-ukraine" TargetMode="External"/><Relationship Id="rId1373" Type="http://schemas.openxmlformats.org/officeDocument/2006/relationships/hyperlink" Target="https://commonslibrary.parliament.uk/research-briefings/cbp-9477/" TargetMode="External"/><Relationship Id="rId2217" Type="http://schemas.openxmlformats.org/officeDocument/2006/relationships/hyperlink" Target="https://appropriations.house.gov/sites/democrats.appropriations.house.gov/files/Summary%20Continuing%20Appropriations%20and%20Ukraine%20Supplemental%20Appropriations%20Act%202023.pdf" TargetMode="External"/><Relationship Id="rId2771" Type="http://schemas.openxmlformats.org/officeDocument/2006/relationships/hyperlink" Target="https://crsreports.congress.gov/product/pdf/IF/IF12040" TargetMode="External"/><Relationship Id="rId2869" Type="http://schemas.openxmlformats.org/officeDocument/2006/relationships/hyperlink" Target="https://appropriations.house.gov/sites/democrats.appropriations.house.gov/files/Additional%20Ukraine%20Suplemental%20Appropriations%20Act%20Summary.pdf" TargetMode="External"/><Relationship Id="rId743" Type="http://schemas.openxmlformats.org/officeDocument/2006/relationships/hyperlink" Target="https://www.defense.gov/News/Releases/Release/Article/2987119/defense-department-announces-300-million-in-additional-assistance-for-ukraine/" TargetMode="External"/><Relationship Id="rId950" Type="http://schemas.openxmlformats.org/officeDocument/2006/relationships/hyperlink" Target="https://www.reuters.com/world/europe/denmark-will-contribute-additional-110-mln-euros-ukraine-pm-2022-08-11/" TargetMode="External"/><Relationship Id="rId1026" Type="http://schemas.openxmlformats.org/officeDocument/2006/relationships/hyperlink" Target="https://valtioneuvosto.fi/en/-/finland-to-send-arms-assistance-to-ukraine" TargetMode="External"/><Relationship Id="rId1580" Type="http://schemas.openxmlformats.org/officeDocument/2006/relationships/hyperlink" Target="https://www.gov.uk/government/speeches/defence-secretary-oral-statement-on-war-in-ukraine--2" TargetMode="External"/><Relationship Id="rId1678" Type="http://schemas.openxmlformats.org/officeDocument/2006/relationships/hyperlink" Target="http://web.archive.org/web/20221018175112/https:/www.government.se/press-releases/2022/06/additional-amending-budget-with-further-support-to-ukraine/" TargetMode="External"/><Relationship Id="rId1885" Type="http://schemas.openxmlformats.org/officeDocument/2006/relationships/hyperlink" Target="https://appropriations.house.gov/sites/democrats.appropriations.house.gov/files/Additional%20Ukraine%20Suplemental%20Appropriations%20Act%20Summary.pdf" TargetMode="External"/><Relationship Id="rId2424"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31" Type="http://schemas.openxmlformats.org/officeDocument/2006/relationships/hyperlink" Target="https://www.defense.gov/News/Releases/Release/Article/2988565/readout-of-secretary-of-defense-lloyd-j-austin-iiis-call-with-ukraines-minister/" TargetMode="External"/><Relationship Id="rId2729" Type="http://schemas.openxmlformats.org/officeDocument/2006/relationships/hyperlink" Target="https://www.whitehouse.gov/briefing-room/press-briefings/2022/04/04/press-briefing-by-press-secretary-jen-psaki-and-national-security-advisor-jake-sullivan/" TargetMode="External"/><Relationship Id="rId2936" Type="http://schemas.openxmlformats.org/officeDocument/2006/relationships/hyperlink" Target="https://www.reuters.com/world/europe/czech-republic-sends-tanks-ukraine-czech-tv-reports-2022-04-05/" TargetMode="External"/><Relationship Id="rId603" Type="http://schemas.openxmlformats.org/officeDocument/2006/relationships/hyperlink" Target="https://www.mofa.go.kr/eng/brd/m_5676/view.do?seq=322053" TargetMode="External"/><Relationship Id="rId810" Type="http://schemas.openxmlformats.org/officeDocument/2006/relationships/hyperlink" Target="https://www.defense.gov/News/Releases/Release/Article/3134457/775-million-in-additional-security-assistance-for-ukraine/" TargetMode="External"/><Relationship Id="rId908" Type="http://schemas.openxmlformats.org/officeDocument/2006/relationships/hyperlink" Target="https://www.diplomatie.gouv.fr/en/country-files/ukraine/news/article/ukraine-catherine-colonna-to-attend-the-launch-of-solidarity-operation-un" TargetMode="External"/><Relationship Id="rId1233" Type="http://schemas.openxmlformats.org/officeDocument/2006/relationships/hyperlink" Target="https://edition.cnn.com/europe/live-news/russia-ukraine-war-news-08-25-22/index.html" TargetMode="External"/><Relationship Id="rId1440" Type="http://schemas.openxmlformats.org/officeDocument/2006/relationships/hyperlink" Target="https://www.regjeringen.no/en/topics/foreign-affairs/humanitarian-efforts/neighbour_support/id2908141/?expand=factbox2947779" TargetMode="External"/><Relationship Id="rId1538" Type="http://schemas.openxmlformats.org/officeDocument/2006/relationships/hyperlink" Target="https://abouthungary.hu/news-in-brief/hungary-to-make-another-shipment-of-humanitarian-aid-to-ukraine?msclkid=ca53d542ab8b11ec95fbf81dabb45ae9" TargetMode="External"/><Relationship Id="rId1300" Type="http://schemas.openxmlformats.org/officeDocument/2006/relationships/hyperlink" Target="https://twitter.com/oleksiireznikov/status/1589571269363904512?cxt=HHwWgMDR-bippY8sAAAA" TargetMode="External"/><Relationship Id="rId1745" Type="http://schemas.openxmlformats.org/officeDocument/2006/relationships/hyperlink" Target="https://appropriations.house.gov/sites/democrats.appropriations.house.gov/files/Ukraine%20Supplemental%20Summary.pdf" TargetMode="External"/><Relationship Id="rId1952" Type="http://schemas.openxmlformats.org/officeDocument/2006/relationships/hyperlink" Target="https://appropriations.house.gov/sites/democrats.appropriations.house.gov/files/Additional%20Ukraine%20Suplemental%20Appropriations%20Act%20Summary.pdf" TargetMode="External"/><Relationship Id="rId37" Type="http://schemas.openxmlformats.org/officeDocument/2006/relationships/hyperlink" Target="https://www.expats.cz/czech-news/article/czech-republic-to-donate-100-million-crowns-of-medical-supplies-to-ukraine?msclkid=70d47c46ab9e11eca12fbfc7dff1390d" TargetMode="External"/><Relationship Id="rId1605"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1812" Type="http://schemas.openxmlformats.org/officeDocument/2006/relationships/hyperlink" Target="https://appropriations.house.gov/sites/democrats.appropriations.house.gov/files/Ukraine%20Supplemental%20Summary.pdf" TargetMode="External"/><Relationship Id="rId186" Type="http://schemas.openxmlformats.org/officeDocument/2006/relationships/hyperlink" Target="https://www.fxempire.com/news/article/japan-trebles-loans-to-ukraine-to-300-million-pm-kishida-to-other-leaders-972430" TargetMode="External"/><Relationship Id="rId393" Type="http://schemas.openxmlformats.org/officeDocument/2006/relationships/hyperlink" Target="https://www.lemonde.fr/en/international/article/2022/04/24/france-is-delivering-caesar-cannons-and-milan-anti-tank-missiles-to-kiev_5981417_4.html" TargetMode="External"/><Relationship Id="rId2074" Type="http://schemas.openxmlformats.org/officeDocument/2006/relationships/hyperlink" Target="https://crsreports.congress.gov/product/pdf/IF/IF12040" TargetMode="External"/><Relationship Id="rId2281" Type="http://schemas.openxmlformats.org/officeDocument/2006/relationships/hyperlink" Target="https://appropriations.house.gov/sites/democrats.appropriations.house.gov/files/Ukraine%20Supplemental%20Summary%20FY23.pdf" TargetMode="External"/><Relationship Id="rId253" Type="http://schemas.openxmlformats.org/officeDocument/2006/relationships/hyperlink" Target="https://reliefweb.int/report/ukraine/switzerland-steps-humanitarian-aid-ukraine" TargetMode="External"/><Relationship Id="rId460" Type="http://schemas.openxmlformats.org/officeDocument/2006/relationships/hyperlink" Target="https://mil.in.ua/en/news/belgium-made-a-decision-to-hand-over-artillery-to-ukraine-the-media/" TargetMode="External"/><Relationship Id="rId698" Type="http://schemas.openxmlformats.org/officeDocument/2006/relationships/hyperlink" Target="https://defence-blog.com/lithuania-to-send-more-armored-vehicles-to-ukraine/" TargetMode="External"/><Relationship Id="rId1090" Type="http://schemas.openxmlformats.org/officeDocument/2006/relationships/hyperlink" Target="https://www.lemonde.fr/en/international/article/2022/10/12/macron-promises-air-defense-systems-for-ukraine-calls-for-putin-to-discuss-peace_6000130_4.html" TargetMode="External"/><Relationship Id="rId2141" Type="http://schemas.openxmlformats.org/officeDocument/2006/relationships/hyperlink" Target="https://crsreports.congress.gov/product/pdf/IF/IF12040" TargetMode="External"/><Relationship Id="rId2379" Type="http://schemas.openxmlformats.org/officeDocument/2006/relationships/hyperlink" Target="https://crsreports.congress.gov/product/pdf/IF/IF12040" TargetMode="External"/><Relationship Id="rId2586" Type="http://schemas.openxmlformats.org/officeDocument/2006/relationships/hyperlink" Target="https://www.whitehouse.gov/briefing-room/press-briefings/2022/04/04/press-briefing-by-press-secretary-jen-psaki-and-national-security-advisor-jake-sullivan/" TargetMode="External"/><Relationship Id="rId2793" Type="http://schemas.openxmlformats.org/officeDocument/2006/relationships/hyperlink" Target="https://crsreports.congress.gov/product/pdf/IF/IF12040" TargetMode="External"/><Relationship Id="rId113" Type="http://schemas.openxmlformats.org/officeDocument/2006/relationships/hyperlink" Target="https://www.reuters.com/world/europe/britain-exploring-donating-anti-air-missiles-ukraine-defence-minister-2022-03-09/" TargetMode="External"/><Relationship Id="rId320" Type="http://schemas.openxmlformats.org/officeDocument/2006/relationships/hyperlink" Target="https://www.ukrinform.net/rubric-ato/3491327-canada-to-give-ukraine-over-20000-155-mm-shells.html" TargetMode="External"/><Relationship Id="rId558" Type="http://schemas.openxmlformats.org/officeDocument/2006/relationships/hyperlink" Target="https://edition.cnn.com/2022/04/09/europe/ukraine-uk-boris-johnson-intl-gbr/index.html" TargetMode="External"/><Relationship Id="rId765" Type="http://schemas.openxmlformats.org/officeDocument/2006/relationships/hyperlink" Target="https://twitter.com/oleksiireznikov/status/1565001295177687045" TargetMode="External"/><Relationship Id="rId972" Type="http://schemas.openxmlformats.org/officeDocument/2006/relationships/hyperlink" Target="https://www.regjeringen.no/en/aktuelt/norge-og-storbritannia-gir-langtrekkende-rakettartilleri-til-ukraina/id2921395/" TargetMode="External"/><Relationship Id="rId1188" Type="http://schemas.openxmlformats.org/officeDocument/2006/relationships/hyperlink" Target="https://twitter.com/a_anusauskas/status/1585514603366305794" TargetMode="External"/><Relationship Id="rId1395" Type="http://schemas.openxmlformats.org/officeDocument/2006/relationships/hyperlink" Target="https://www.elysee.fr/emmanuel-macron/2022/12/13/solidaires-du-peuple-ukrainien" TargetMode="External"/><Relationship Id="rId2001" Type="http://schemas.openxmlformats.org/officeDocument/2006/relationships/hyperlink" Target="https://appropriations.house.gov/sites/democrats.appropriations.house.gov/files/Additional%20Ukraine%20Suplemental%20Appropriations%20Act%20Summary.pdf" TargetMode="External"/><Relationship Id="rId2239"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46" Type="http://schemas.openxmlformats.org/officeDocument/2006/relationships/hyperlink" Target="https://appropriations.house.gov/sites/democrats.appropriations.house.gov/files/Ukraine%20Supplemental%20Summary%20FY23.pdf" TargetMode="External"/><Relationship Id="rId2653" Type="http://schemas.openxmlformats.org/officeDocument/2006/relationships/hyperlink" Target="https://www.defense.gov/News/Releases/Release/Article/2988565/readout-of-secretary-of-defense-lloyd-j-austin-iiis-call-with-ukraines-minister/" TargetMode="External"/><Relationship Id="rId2860" Type="http://schemas.openxmlformats.org/officeDocument/2006/relationships/hyperlink" Target="https://appropriations.house.gov/sites/democrats.appropriations.house.gov/files/Additional%20Ukraine%20Suplemental%20Appropriations%20Act%20Summary.pdf" TargetMode="External"/><Relationship Id="rId418" Type="http://schemas.openxmlformats.org/officeDocument/2006/relationships/hyperlink" Target="https://ec.europa.eu/info/strategy/priorities-2019-2024/stronger-europe-world/eu-solidarity-ukraine/eu-assistance-ukraine_en" TargetMode="External"/><Relationship Id="rId625" Type="http://schemas.openxmlformats.org/officeDocument/2006/relationships/hyperlink" Target="https://www.canada.ca/en/department-national-defence/news/2022/04/canada-announces-artillery-and-other-additional-military-aid-for-ukraine.html" TargetMode="External"/><Relationship Id="rId832" Type="http://schemas.openxmlformats.org/officeDocument/2006/relationships/hyperlink" Target="https://www.defense.gov/News/Releases/Release/Article/3160503/600-million-in-additional-security-assistance-for-ukraine/" TargetMode="External"/><Relationship Id="rId1048" Type="http://schemas.openxmlformats.org/officeDocument/2006/relationships/hyperlink" Target="https://www.mod.go.jp/j/press/news/2022/08/04a.html" TargetMode="External"/><Relationship Id="rId1255" Type="http://schemas.openxmlformats.org/officeDocument/2006/relationships/hyperlink" Target="https://www.lejdd.fr/International/sebastien-lecornu-ministre-des-armees-nous-navons-pas-a-rougir-de-notre-aide-a-lukraine-4148779" TargetMode="External"/><Relationship Id="rId1462" Type="http://schemas.openxmlformats.org/officeDocument/2006/relationships/hyperlink" Target="https://www.defense.gov/News/Releases/Release/Article/3227217/400-million-in-additional-assistance-for-ukraine/" TargetMode="External"/><Relationship Id="rId2306" Type="http://schemas.openxmlformats.org/officeDocument/2006/relationships/hyperlink" Target="https://appropriations.house.gov/sites/democrats.appropriations.house.gov/files/Ukraine%20Supplemental%20Summary%20FY23.pdf" TargetMode="External"/><Relationship Id="rId2513" Type="http://schemas.openxmlformats.org/officeDocument/2006/relationships/hyperlink" Target="https://twitter.com/ZelenskyyUa/status/1607762593682161667?cxt=HHwWhoCw-fDj9c8sAAAA" TargetMode="External"/><Relationship Id="rId1115" Type="http://schemas.openxmlformats.org/officeDocument/2006/relationships/hyperlink" Target="https://gemeindebund.at/gemeinden-blaulichtorganisationen-und-unternehmen-helfen-der-ukraine/" TargetMode="External"/><Relationship Id="rId1322" Type="http://schemas.openxmlformats.org/officeDocument/2006/relationships/hyperlink" Target="https://diplomatie.belgium.be/en/policy/policy-areas/highlighted/civilian-aid-ukraine-overview" TargetMode="External"/><Relationship Id="rId1767" Type="http://schemas.openxmlformats.org/officeDocument/2006/relationships/hyperlink" Target="https://appropriations.house.gov/sites/democrats.appropriations.house.gov/files/Ukraine%20Supplemental%20Summary.pdf" TargetMode="External"/><Relationship Id="rId1974" Type="http://schemas.openxmlformats.org/officeDocument/2006/relationships/hyperlink" Target="https://appropriations.house.gov/sites/democrats.appropriations.house.gov/files/Additional%20Ukraine%20Suplemental%20Appropriations%20Act%20Summary.pdf" TargetMode="External"/><Relationship Id="rId2720" Type="http://schemas.openxmlformats.org/officeDocument/2006/relationships/hyperlink" Target="https://www.whitehouse.gov/briefing-room/press-briefings/2022/04/04/press-briefing-by-press-secretary-jen-psaki-and-national-security-advisor-jake-sullivan/" TargetMode="External"/><Relationship Id="rId2818" Type="http://schemas.openxmlformats.org/officeDocument/2006/relationships/hyperlink" Target="https://appropriations.house.gov/sites/democrats.appropriations.house.gov/files/Ukraine%20Supplemental%20Summary.pdf" TargetMode="External"/><Relationship Id="rId59" Type="http://schemas.openxmlformats.org/officeDocument/2006/relationships/hyperlink" Target="https://www.reuters.com/article/canada-budget-ukraine-aid-idCAKCN2LZ2CL" TargetMode="External"/><Relationship Id="rId1627" Type="http://schemas.openxmlformats.org/officeDocument/2006/relationships/hyperlink" Target="https://kyivindependent.com/news-feed/sweden-pledges-to-provide-ukraine-with-archer-artillery-systems" TargetMode="External"/><Relationship Id="rId1834" Type="http://schemas.openxmlformats.org/officeDocument/2006/relationships/hyperlink" Target="https://appropriations.house.gov/sites/democrats.appropriations.house.gov/files/Ukraine%20Supplemental%20Summary.pdf" TargetMode="External"/><Relationship Id="rId2096" Type="http://schemas.openxmlformats.org/officeDocument/2006/relationships/hyperlink" Target="https://crsreports.congress.gov/product/pdf/IF/IF12040"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ec.europa.eu/info/sites/default/files/about_the_european_commission/eu_budget/2021-06-09_spending_and_revenue.xlsx"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eur-lex.europa.eu/legal-content/EN/TXT/HTML/?uri=CELEX:32021D0509&amp;from=EN"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s://www.eib.org/en/about/governance-and-structure/shareholders/index.htm"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s://www.unocha.org/ukraine/about-uhf" TargetMode="External"/><Relationship Id="rId13" Type="http://schemas.openxmlformats.org/officeDocument/2006/relationships/hyperlink" Target="https://www.worldbank.org/en/news/press-release/2022/03/14/world-bank-announces-additional-200-million-in-financing-for-ukraine" TargetMode="External"/><Relationship Id="rId18" Type="http://schemas.openxmlformats.org/officeDocument/2006/relationships/hyperlink" Target="https://www.ebrd.com/news/2022/ebrd-enhances-trade-finance-for-ukraine-.html" TargetMode="External"/><Relationship Id="rId26" Type="http://schemas.openxmlformats.org/officeDocument/2006/relationships/hyperlink" Target="https://www.worldbank.org/en/news/press-release/2022/09/30/world-bank-mobilizes-additional-530-million-in-support-to-ukraine" TargetMode="External"/><Relationship Id="rId39" Type="http://schemas.openxmlformats.org/officeDocument/2006/relationships/hyperlink" Target="https://www.worldbank.org/en/news/press-release/2022/03/07/world-bank-mobilizes-an-emergency-financing-package-of-over-700-million-for-ukraine" TargetMode="External"/><Relationship Id="rId3" Type="http://schemas.openxmlformats.org/officeDocument/2006/relationships/hyperlink" Target="https://www.imf.org/en/News/Articles/2022/03/17/pr2280-joint-statement-heads-ifis-programs-ukraine-neighboring-countries" TargetMode="External"/><Relationship Id="rId21" Type="http://schemas.openxmlformats.org/officeDocument/2006/relationships/hyperlink" Target="https://english.nv.ua/nation/canada-to-send-1-billion-canadian-dollars-to-ukraine-50232696.html" TargetMode="External"/><Relationship Id="rId34" Type="http://schemas.openxmlformats.org/officeDocument/2006/relationships/hyperlink" Target="https://www.worldbank.org/en/news/press-release/2022/03/14/world-bank-announces-additional-200-million-in-financing-for-ukraine" TargetMode="External"/><Relationship Id="rId7" Type="http://schemas.openxmlformats.org/officeDocument/2006/relationships/hyperlink" Target="https://reliefweb.int/report/ukraine/ukraine-flash-appeal-march-may-2022-enukru" TargetMode="External"/><Relationship Id="rId12" Type="http://schemas.openxmlformats.org/officeDocument/2006/relationships/hyperlink" Target="https://www.worldbank.org/en/news/press-release/2022/03/07/world-bank-mobilizes-an-emergency-financing-package-of-over-700-million-for-ukraine" TargetMode="External"/><Relationship Id="rId17" Type="http://schemas.openxmlformats.org/officeDocument/2006/relationships/hyperlink" Target="https://www.imf.org/en/News/Articles/2022/04/08/pr22111-imf-executive-board-approves-establishment-of-a-multi-donor-administered-account-for-ukraine" TargetMode="External"/><Relationship Id="rId25" Type="http://schemas.openxmlformats.org/officeDocument/2006/relationships/hyperlink" Target="https://www.ebrd.com/news/2022/ebrd-commits-up-to-3-billion-to-ukraine.html" TargetMode="External"/><Relationship Id="rId33" Type="http://schemas.openxmlformats.org/officeDocument/2006/relationships/hyperlink" Target="https://www.worldbank.org/en/news/press-release/2022/03/07/world-bank-mobilizes-an-emergency-financing-package-of-over-700-million-for-ukraine" TargetMode="External"/><Relationship Id="rId38" Type="http://schemas.openxmlformats.org/officeDocument/2006/relationships/hyperlink" Target="https://www.imf.org/en/News/Articles/2022/03/17/pr2280-joint-statement-heads-ifis-programs-ukraine-neighboring-countries" TargetMode="External"/><Relationship Id="rId2" Type="http://schemas.openxmlformats.org/officeDocument/2006/relationships/hyperlink" Target="https://www.worldbank.org/en/news/statement/2022/03/17/joint-statement-of-heads-of-international-financial-institutions-with-programs-in-ukraine-and-neighboring-countries" TargetMode="External"/><Relationship Id="rId16" Type="http://schemas.openxmlformats.org/officeDocument/2006/relationships/hyperlink" Target="https://www.reuters.com/business/world-bank-says-it-is-preparing-15-billion-aid-package-ukraine-2022-04-12/" TargetMode="External"/><Relationship Id="rId20" Type="http://schemas.openxmlformats.org/officeDocument/2006/relationships/hyperlink" Target="https://www.bloomberg.com/news/articles/2022-04-08/imf-creates-new-account-to-help-ukraine-as-canada-pledges-funds" TargetMode="External"/><Relationship Id="rId29" Type="http://schemas.openxmlformats.org/officeDocument/2006/relationships/hyperlink" Target="https://www.worldbank.org/en/news/press-release/2022/03/07/world-bank-mobilizes-an-emergency-financing-package-of-over-700-million-for-ukraine" TargetMode="External"/><Relationship Id="rId41" Type="http://schemas.openxmlformats.org/officeDocument/2006/relationships/printerSettings" Target="../printerSettings/printerSettings33.bin"/><Relationship Id="rId1" Type="http://schemas.openxmlformats.org/officeDocument/2006/relationships/hyperlink" Target="https://www.ebrd.com/news/2022/ebrd-unveils-2-billion-resilience-package-in-response-to-the-war-on-ukraine-.html" TargetMode="External"/><Relationship Id="rId6" Type="http://schemas.openxmlformats.org/officeDocument/2006/relationships/hyperlink" Target="https://reliefweb.int/report/ukraine/ukraine-flash-appeal-march-may-2022-enukru" TargetMode="External"/><Relationship Id="rId11" Type="http://schemas.openxmlformats.org/officeDocument/2006/relationships/hyperlink" Target="https://www.worldbank.org/en/news/press-release/2022/03/07/world-bank-mobilizes-an-emergency-financing-package-of-over-700-million-for-ukraine" TargetMode="External"/><Relationship Id="rId24" Type="http://schemas.openxmlformats.org/officeDocument/2006/relationships/hyperlink" Target="https://www.imf.org/en/News/Articles/2022/10/07/pr22343-imf-approves-emergency-financing-support-to-ukraine" TargetMode="External"/><Relationship Id="rId32" Type="http://schemas.openxmlformats.org/officeDocument/2006/relationships/hyperlink" Target="https://www.worldbank.org/en/news/press-release/2022/03/14/world-bank-announces-additional-200-million-in-financing-for-ukraine" TargetMode="External"/><Relationship Id="rId37" Type="http://schemas.openxmlformats.org/officeDocument/2006/relationships/hyperlink" Target="https://www.worldbank.org/en/news/press-release/2022/03/07/world-bank-mobilizes-an-emergency-financing-package-of-over-700-million-for-ukraine" TargetMode="External"/><Relationship Id="rId40" Type="http://schemas.openxmlformats.org/officeDocument/2006/relationships/hyperlink" Target="https://www.imf.org/en/News/Articles/2022/03/17/pr2280-joint-statement-heads-ifis-programs-ukraine-neighboring-countries" TargetMode="External"/><Relationship Id="rId5" Type="http://schemas.openxmlformats.org/officeDocument/2006/relationships/hyperlink" Target="https://reliefweb.int/report/ukraine/ukraine-flash-appeal-march-may-2022-enukru" TargetMode="External"/><Relationship Id="rId15" Type="http://schemas.openxmlformats.org/officeDocument/2006/relationships/hyperlink" Target="https://www.worldbank.org/en/news/press-release/2022/03/14/world-bank-announces-additional-200-million-in-financing-for-ukraine" TargetMode="External"/><Relationship Id="rId23" Type="http://schemas.openxmlformats.org/officeDocument/2006/relationships/hyperlink" Target="https://www.worldbank.org/en/news/press-release/2022/08/08/world-bank-mobilizes-4-5-billion-in-additional-financing-for-vital-support-to-ukraine" TargetMode="External"/><Relationship Id="rId28" Type="http://schemas.openxmlformats.org/officeDocument/2006/relationships/hyperlink" Target="https://www.worldbank.org/en/news/press-release/2022/03/14/world-bank-announces-additional-200-million-in-financing-for-ukraine" TargetMode="External"/><Relationship Id="rId36" Type="http://schemas.openxmlformats.org/officeDocument/2006/relationships/hyperlink" Target="https://www.worldbank.org/en/news/press-release/2022/03/14/world-bank-announces-additional-200-million-in-financing-for-ukraine" TargetMode="External"/><Relationship Id="rId10" Type="http://schemas.openxmlformats.org/officeDocument/2006/relationships/hyperlink" Target="https://www.imf.org/en/News/Articles/2022/03/17/pr2280-joint-statement-heads-ifis-programs-ukraine-neighboring-countries" TargetMode="External"/><Relationship Id="rId19" Type="http://schemas.openxmlformats.org/officeDocument/2006/relationships/hyperlink" Target="https://www.worldbank.org/en/news/press-release/2022/06/07/-world-bank-announces-additional-1-49-billion-financing-support-for-ukraine" TargetMode="External"/><Relationship Id="rId31" Type="http://schemas.openxmlformats.org/officeDocument/2006/relationships/hyperlink" Target="https://www.worldbank.org/en/news/press-release/2022/03/07/world-bank-mobilizes-an-emergency-financing-package-of-over-700-million-for-ukraine" TargetMode="External"/><Relationship Id="rId4" Type="http://schemas.openxmlformats.org/officeDocument/2006/relationships/hyperlink" Target="https://www.imf.org/en/About/FAQ/russia-ukraine" TargetMode="External"/><Relationship Id="rId9" Type="http://schemas.openxmlformats.org/officeDocument/2006/relationships/hyperlink" Target="https://www.worldbank.org/en/news/press-release/2022/03/07/world-bank-mobilizes-an-emergency-financing-package-of-over-700-million-for-ukraine" TargetMode="External"/><Relationship Id="rId14" Type="http://schemas.openxmlformats.org/officeDocument/2006/relationships/hyperlink" Target="https://www.theguardian.com/world/2022/apr/12/world-bank-approves-770m-ukraine-services-funds-russia" TargetMode="External"/><Relationship Id="rId22" Type="http://schemas.openxmlformats.org/officeDocument/2006/relationships/hyperlink" Target="https://www.worldbank.org/en/news/press-release/2022/09/30/world-bank-mobilizes-additional-530-million-in-support-to-ukraine" TargetMode="External"/><Relationship Id="rId27" Type="http://schemas.openxmlformats.org/officeDocument/2006/relationships/hyperlink" Target="https://www.worldbank.org/en/news/press-release/2022/03/07/world-bank-mobilizes-an-emergency-financing-package-of-over-700-million-for-ukraine" TargetMode="External"/><Relationship Id="rId30" Type="http://schemas.openxmlformats.org/officeDocument/2006/relationships/hyperlink" Target="https://www.worldbank.org/en/news/press-release/2022/03/14/world-bank-announces-additional-200-million-in-financing-for-ukraine" TargetMode="External"/><Relationship Id="rId35" Type="http://schemas.openxmlformats.org/officeDocument/2006/relationships/hyperlink" Target="https://www.worldbank.org/en/news/press-release/2022/03/07/world-bank-mobilizes-an-emergency-financing-package-of-over-700-million-for-ukraine"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hyperlink" Target="https://www.middleeasteye.net/news/russia-ukraine-war-tb2-bayraktar-drones-fifty-received" TargetMode="External"/><Relationship Id="rId7" Type="http://schemas.openxmlformats.org/officeDocument/2006/relationships/hyperlink" Target="https://www.defensenews.com/global/europe/2022/06/08/ukraine-to-buy-polish-howitzers-as-long-war-looms-with-russia/" TargetMode="External"/><Relationship Id="rId2" Type="http://schemas.openxmlformats.org/officeDocument/2006/relationships/hyperlink" Target="https://asia.nikkei.com/Politics/Ukraine-war/With-drone-gift-to-Ukraine-Turkey-s-Baykar-wins-fans-and-clients" TargetMode="External"/><Relationship Id="rId1" Type="http://schemas.openxmlformats.org/officeDocument/2006/relationships/hyperlink" Target="https://english.nv.ua/nation/slovakia-to-send-8-howitzers-to-ukraine-military-news-50247162.html" TargetMode="External"/><Relationship Id="rId6" Type="http://schemas.openxmlformats.org/officeDocument/2006/relationships/hyperlink" Target="https://mil.in.ua/en/news/germany-agreed-to-sell-100-panzerhaubitze-2000-to-ukraine/" TargetMode="External"/><Relationship Id="rId5" Type="http://schemas.openxmlformats.org/officeDocument/2006/relationships/hyperlink" Target="https://mil.in.ua/en/news/the-czech-company-will-hand-over-two-reconnaissance-bivoj-uavs-to-ukraine/" TargetMode="External"/><Relationship Id="rId4" Type="http://schemas.openxmlformats.org/officeDocument/2006/relationships/hyperlink" Target="https://babel.ua/en/news/80749-the-czech-company-will-hand-over-three-modern-bivoj-reconnaissance-drones-to-ukraine" TargetMode="External"/></Relationships>
</file>

<file path=xl/worksheets/_rels/sheet41.xml.rels><?xml version="1.0" encoding="UTF-8" standalone="yes"?>
<Relationships xmlns="http://schemas.openxmlformats.org/package/2006/relationships"><Relationship Id="rId117" Type="http://schemas.openxmlformats.org/officeDocument/2006/relationships/hyperlink" Target="https://www.asafm.army.mil/Portals/72/Documents/BudgetMaterial/2021/Base%20Budget/Procurement/MSLS_FY_2021_PB_Missile_Procurement_Army.pdf" TargetMode="External"/><Relationship Id="rId299" Type="http://schemas.openxmlformats.org/officeDocument/2006/relationships/hyperlink" Target="https://armstrade.sipri.org/armstrade/page/trade_register.php" TargetMode="External"/><Relationship Id="rId21" Type="http://schemas.openxmlformats.org/officeDocument/2006/relationships/hyperlink" Target="https://en.wikipedia.org/wiki/FIM-92_Stinger" TargetMode="External"/><Relationship Id="rId63" Type="http://schemas.openxmlformats.org/officeDocument/2006/relationships/hyperlink" Target="https://www.airuniversity.af.edu/Portals/10/ASPJ/journals/Chronicles/ucav.pdf" TargetMode="External"/><Relationship Id="rId159" Type="http://schemas.openxmlformats.org/officeDocument/2006/relationships/hyperlink" Target="https://www.alibaba.com/product-detail/Dust-and-Water-Proof-Military-Radio_62087839225.html?spm=a2700.7724857.normal_offer.d_title.6a042a44heUWWl" TargetMode="External"/><Relationship Id="rId324" Type="http://schemas.openxmlformats.org/officeDocument/2006/relationships/hyperlink" Target="http://www.military-today.com/firearms/m72_law.htm" TargetMode="External"/><Relationship Id="rId366" Type="http://schemas.openxmlformats.org/officeDocument/2006/relationships/hyperlink" Target="https://www.thesoldiersproject.org/how-much-does-a-military-humvee-cost/" TargetMode="External"/><Relationship Id="rId170" Type="http://schemas.openxmlformats.org/officeDocument/2006/relationships/hyperlink" Target="https://www.extension.iastate.edu/agdm/crops/pdf/a1-20.pdf" TargetMode="External"/><Relationship Id="rId226" Type="http://schemas.openxmlformats.org/officeDocument/2006/relationships/hyperlink" Target="https://www.military-today.com/artillery/m777.htm" TargetMode="External"/><Relationship Id="rId433" Type="http://schemas.openxmlformats.org/officeDocument/2006/relationships/hyperlink" Target="https://www.defensenews.com/global/asia-pacific/2018/09/24/south-korean-military-to-upgrade-friend-or-foe-id-capability/" TargetMode="External"/><Relationship Id="rId268" Type="http://schemas.openxmlformats.org/officeDocument/2006/relationships/hyperlink" Target="https://armstrade.sipri.org/armstrade/page/trade_register.php" TargetMode="External"/><Relationship Id="rId32" Type="http://schemas.openxmlformats.org/officeDocument/2006/relationships/hyperlink" Target="https://www.221btactical.com/blogs/news/how-much-does-a-bulletproof-vest-cost" TargetMode="External"/><Relationship Id="rId74" Type="http://schemas.openxmlformats.org/officeDocument/2006/relationships/hyperlink" Target="https://www.usmilitarytents.com/Military-Tents.aspx" TargetMode="External"/><Relationship Id="rId128" Type="http://schemas.openxmlformats.org/officeDocument/2006/relationships/hyperlink" Target="https://www.amazon.de/-/en/Paracetamol-ratiopharm-500-Tablets-Pack-20/dp/B00DIW2WMQ" TargetMode="External"/><Relationship Id="rId335" Type="http://schemas.openxmlformats.org/officeDocument/2006/relationships/hyperlink" Target="https://www.jpost.com/international/article-699010" TargetMode="External"/><Relationship Id="rId377" Type="http://schemas.openxmlformats.org/officeDocument/2006/relationships/hyperlink" Target="https://www.marketwatch.com/story/new-army-trucks-may-cost-350000-each-gao-2011-10-27" TargetMode="External"/><Relationship Id="rId5" Type="http://schemas.openxmlformats.org/officeDocument/2006/relationships/hyperlink" Target="https://www.armytimes.com/news/your-army/2019/04/16/heres-the-new-helmet-that-socom-operators-will-take-into-battle/" TargetMode="External"/><Relationship Id="rId181" Type="http://schemas.openxmlformats.org/officeDocument/2006/relationships/hyperlink" Target="https://bid.mod-sales.com/past-auctions/witham10068/lot-details/6d39eb58-c1df-41ce-8aa4-a9430101ac64" TargetMode="External"/><Relationship Id="rId237" Type="http://schemas.openxmlformats.org/officeDocument/2006/relationships/hyperlink" Target="https://armstrade.sipri.org/armstrade/page/trade_register.php" TargetMode="External"/><Relationship Id="rId402" Type="http://schemas.openxmlformats.org/officeDocument/2006/relationships/hyperlink" Target="http://www.military-today.com/firearms/m141_bdm.htm" TargetMode="External"/><Relationship Id="rId279" Type="http://schemas.openxmlformats.org/officeDocument/2006/relationships/hyperlink" Target="https://en.wikipedia.org/wiki/Boeing_Insitu_ScanEagle" TargetMode="External"/><Relationship Id="rId43" Type="http://schemas.openxmlformats.org/officeDocument/2006/relationships/hyperlink" Target="https://landminefree.org/facts-about-landmines/" TargetMode="External"/><Relationship Id="rId139" Type="http://schemas.openxmlformats.org/officeDocument/2006/relationships/hyperlink" Target="https://realestate.usnews.com/real-estate/articles/how-much-does-it-cost-to-buy-a-mobile-home" TargetMode="External"/><Relationship Id="rId290" Type="http://schemas.openxmlformats.org/officeDocument/2006/relationships/hyperlink" Target="https://www.aerzte-ohne-grenzen.de/sites/default/files/mediathek/entity/document/1998-01-bosnia-report-donation-practices.pdf" TargetMode="External"/><Relationship Id="rId304" Type="http://schemas.openxmlformats.org/officeDocument/2006/relationships/hyperlink" Target="https://www.classic.com/m/toyota/pickup-hilux/year-1990/" TargetMode="External"/><Relationship Id="rId346" Type="http://schemas.openxmlformats.org/officeDocument/2006/relationships/hyperlink" Target="https://armstrade.sipri.org/armstrade/page/trade_register.php" TargetMode="External"/><Relationship Id="rId388" Type="http://schemas.openxmlformats.org/officeDocument/2006/relationships/hyperlink" Target="https://armstrade.sipri.org/armstrade/page/trade_register.php" TargetMode="External"/><Relationship Id="rId85" Type="http://schemas.openxmlformats.org/officeDocument/2006/relationships/hyperlink" Target="https://colemans.com/u-s-g-i-modular-field-kitchen" TargetMode="External"/><Relationship Id="rId150" Type="http://schemas.openxmlformats.org/officeDocument/2006/relationships/hyperlink" Target="https://www.ammograb.com/762x51mm-nato/" TargetMode="External"/><Relationship Id="rId192" Type="http://schemas.openxmlformats.org/officeDocument/2006/relationships/hyperlink" Target="https://twitter.com/armorybazaar/status/1076159928287473665" TargetMode="External"/><Relationship Id="rId206" Type="http://schemas.openxmlformats.org/officeDocument/2006/relationships/hyperlink" Target="https://www.ers.usda.gov/publications/pub-details/?pubid=43836" TargetMode="External"/><Relationship Id="rId413" Type="http://schemas.openxmlformats.org/officeDocument/2006/relationships/hyperlink" Target="https://armstrade.sipri.org/armstrade/page/trade_register.php" TargetMode="External"/><Relationship Id="rId248" Type="http://schemas.openxmlformats.org/officeDocument/2006/relationships/hyperlink" Target="https://www.ukrinform.net/rubric-ato/3491327-canada-to-give-ukraine-over-20000-155-mm-shells.html" TargetMode="External"/><Relationship Id="rId12" Type="http://schemas.openxmlformats.org/officeDocument/2006/relationships/hyperlink" Target="https://www.worldsdailynews.com/how-much-does-an-ambulance-vehicle-cost/" TargetMode="External"/><Relationship Id="rId33" Type="http://schemas.openxmlformats.org/officeDocument/2006/relationships/hyperlink" Target="https://www.globalpetrolprices.com/gasoline_prices/%20;%20https:/aviationbenefits.org/environmental-efficiency/climate-action/sustainable-aviation-fuel/conversions-for-saf/" TargetMode="External"/><Relationship Id="rId108" Type="http://schemas.openxmlformats.org/officeDocument/2006/relationships/hyperlink" Target="https://www.globalpetrolprices.com/gasoline_prices/" TargetMode="External"/><Relationship Id="rId129" Type="http://schemas.openxmlformats.org/officeDocument/2006/relationships/hyperlink" Target="https://www.amazon.com/Rubber-Boots/s?k=Rubber+Boots" TargetMode="External"/><Relationship Id="rId280" Type="http://schemas.openxmlformats.org/officeDocument/2006/relationships/hyperlink" Target="https://www.amazon.com/s?k=military+binoculars&amp;crid=3T1LN1ST9UR4L&amp;sprefix=military+binoculars%2Caps%2C161&amp;ref=nb_sb_noss_1" TargetMode="External"/><Relationship Id="rId315" Type="http://schemas.openxmlformats.org/officeDocument/2006/relationships/hyperlink" Target="https://www.amazon.com/s?k=surgical+gloves&amp;crid=339VHKCNRBO5O&amp;sprefix=surgical+glove%2Caps%2C200&amp;ref=nb_sb_noss_1" TargetMode="External"/><Relationship Id="rId336" Type="http://schemas.openxmlformats.org/officeDocument/2006/relationships/hyperlink" Target="https://www.jeep.com/wrangler.html" TargetMode="External"/><Relationship Id="rId357" Type="http://schemas.openxmlformats.org/officeDocument/2006/relationships/hyperlink" Target="https://www.amazon.com/-/de/dp/B07SMXN8PR/ref=zg_bs_3413661_2/139-2167500-7694641?pd_rd_i=B09VBX2J8P&amp;th=1" TargetMode="External"/><Relationship Id="rId54" Type="http://schemas.openxmlformats.org/officeDocument/2006/relationships/hyperlink" Target="https://www.guncritic.com/product/cz-vz-61-scorpion-32acp-blue/" TargetMode="External"/><Relationship Id="rId75" Type="http://schemas.openxmlformats.org/officeDocument/2006/relationships/hyperlink" Target="https://bestsurvival.org/best-family-tent/" TargetMode="External"/><Relationship Id="rId96" Type="http://schemas.openxmlformats.org/officeDocument/2006/relationships/hyperlink" Target="https://man.fas.org/dod-101/sys/land/at4.htm" TargetMode="External"/><Relationship Id="rId140" Type="http://schemas.openxmlformats.org/officeDocument/2006/relationships/hyperlink" Target="http://www.military-today.com/firearms/m72_law.htm" TargetMode="External"/><Relationship Id="rId161" Type="http://schemas.openxmlformats.org/officeDocument/2006/relationships/hyperlink" Target="https://www.amazon.com/-/de/dp/B07SMXN8PR/ref=zg_bs_3413661_2/139-2167500-7694641?pd_rd_i=B09VBX2J8P&amp;th=1" TargetMode="External"/><Relationship Id="rId182" Type="http://schemas.openxmlformats.org/officeDocument/2006/relationships/hyperlink" Target="https://www.abc.net.au/news/rural/2022-03-22/cost-sending-70000-tonnes-of-coal-to-ukraine/100929070" TargetMode="External"/><Relationship Id="rId217" Type="http://schemas.openxmlformats.org/officeDocument/2006/relationships/hyperlink" Target="https://www.militarytimes.com/off-duty/gearscout/2012/04/21/u-s-army-places-order-for-24000-m4a1-carbines-with-remington/" TargetMode="External"/><Relationship Id="rId378" Type="http://schemas.openxmlformats.org/officeDocument/2006/relationships/hyperlink" Target="https://www.peterdutton.com.au/australia-to-provide-armoured-personnel-carriers-and-more-bushmasters-to-ukraine/" TargetMode="External"/><Relationship Id="rId399" Type="http://schemas.openxmlformats.org/officeDocument/2006/relationships/hyperlink" Target="https://comptroller.defense.gov/Portals/45/Documents/defbudget/fy2009/budget_justification/pdfs/02_Procurement/Vol_2_SOCOM_CBDP/SOCOM%20PDW%20PB09.pdf" TargetMode="External"/><Relationship Id="rId403" Type="http://schemas.openxmlformats.org/officeDocument/2006/relationships/hyperlink" Target="https://www.deeptrekker.com/shop/products/revolution-x-rov" TargetMode="External"/><Relationship Id="rId6" Type="http://schemas.openxmlformats.org/officeDocument/2006/relationships/hyperlink" Target="https://www.globalpetrolprices.com/gasoline_prices/" TargetMode="External"/><Relationship Id="rId238" Type="http://schemas.openxmlformats.org/officeDocument/2006/relationships/hyperlink" Target="https://armstrade.sipri.org/armstrade/page/trade_register.php" TargetMode="External"/><Relationship Id="rId259" Type="http://schemas.openxmlformats.org/officeDocument/2006/relationships/hyperlink" Target="https://armstrade.sipri.org/armstrade/page/trade_register.php" TargetMode="External"/><Relationship Id="rId424" Type="http://schemas.openxmlformats.org/officeDocument/2006/relationships/hyperlink" Target="https://en.wikipedia.org/wiki/BGM-71_TOW" TargetMode="External"/><Relationship Id="rId23" Type="http://schemas.openxmlformats.org/officeDocument/2006/relationships/hyperlink" Target="https://www.militarytimes.com/off-duty/gearscout/2012/04/21/u-s-army-places-order-for-24000-m4a1-carbines-with-remington/" TargetMode="External"/><Relationship Id="rId119" Type="http://schemas.openxmlformats.org/officeDocument/2006/relationships/hyperlink" Target="https://nationalpost.com/news/canada/canadian-army-restricts-use-of-artillery-rounds-after-cracks-found-in-high-tech-shells-costing-150000-each" TargetMode="External"/><Relationship Id="rId270" Type="http://schemas.openxmlformats.org/officeDocument/2006/relationships/hyperlink" Target="https://edition.cnn.com/europe/live-news/russia-ukraine-war-news-08-25-22/index.html" TargetMode="External"/><Relationship Id="rId291" Type="http://schemas.openxmlformats.org/officeDocument/2006/relationships/hyperlink" Target="https://autoline.info/-/buses/IVECO/Crossway--c65tm2616m1238" TargetMode="External"/><Relationship Id="rId305" Type="http://schemas.openxmlformats.org/officeDocument/2006/relationships/hyperlink" Target="https://armstrade.sipri.org/armstrade/page/trade_register.php" TargetMode="External"/><Relationship Id="rId326" Type="http://schemas.openxmlformats.org/officeDocument/2006/relationships/hyperlink" Target="https://www.excel-medical.com/why-are-hospital-beds-so-expensive/" TargetMode="External"/><Relationship Id="rId347" Type="http://schemas.openxmlformats.org/officeDocument/2006/relationships/hyperlink" Target="https://www.canada.ca/en/department-national-defence/campaigns/canadian-military-support-to-ukraine.html" TargetMode="External"/><Relationship Id="rId44" Type="http://schemas.openxmlformats.org/officeDocument/2006/relationships/hyperlink" Target="https://www.globalsecurity.org/military/systems/munitions/m112-c4.htm" TargetMode="External"/><Relationship Id="rId65" Type="http://schemas.openxmlformats.org/officeDocument/2006/relationships/hyperlink" Target="https://dronelife.com/2016/08/17/xtreem-affordable-hd-video-drones/" TargetMode="External"/><Relationship Id="rId86" Type="http://schemas.openxmlformats.org/officeDocument/2006/relationships/hyperlink" Target="https://www.defensenews.com/land/2016/12/15/poland-orders-howitzers-in-1-1b-artillery-deal/" TargetMode="External"/><Relationship Id="rId130" Type="http://schemas.openxmlformats.org/officeDocument/2006/relationships/hyperlink" Target="https://www.amazon.com/Radios-Portable-Audio-Video/b?ie=UTF8&amp;node=172681" TargetMode="External"/><Relationship Id="rId151" Type="http://schemas.openxmlformats.org/officeDocument/2006/relationships/hyperlink" Target="https://www.amazon.com/Disposable-Latex-Gloves-Powder-gloves/dp/B000XRY2FE" TargetMode="External"/><Relationship Id="rId368" Type="http://schemas.openxmlformats.org/officeDocument/2006/relationships/hyperlink" Target="https://www.ltt-versand.de/licht/spezialeffektgeraete/zubehoer-fuer-spezialeffekte/fluide/8540/eurolite-foam-konzentrat-5l?gclid=CjwKCAiApvebBhAvEiwAe7mHSJfGcV_-VQ6pAf5Cn7KZF-l9eRLIAy5NPA0_p3Rrtqdch1Lg5jjLghoCu1UQAvD_BwE" TargetMode="External"/><Relationship Id="rId389" Type="http://schemas.openxmlformats.org/officeDocument/2006/relationships/hyperlink" Target="https://web.archive.org/web/20150518063830/http:/defense-update.com/products/d/dingo-kmw.htm" TargetMode="External"/><Relationship Id="rId172" Type="http://schemas.openxmlformats.org/officeDocument/2006/relationships/hyperlink" Target="https://www.navalnews.com/naval-news/2021/01/u-s-navy-will-not-replace-the-patrol-coastals-with-a-new-boat-of-similar-size-and-type/" TargetMode="External"/><Relationship Id="rId193" Type="http://schemas.openxmlformats.org/officeDocument/2006/relationships/hyperlink" Target="https://www.armyrecognition.com/defense_news_january_2021_global_security_army_industry/first_iveco_lmv_2_nec_armored_vehicles_enter_service_with_italian_army.html" TargetMode="External"/><Relationship Id="rId207" Type="http://schemas.openxmlformats.org/officeDocument/2006/relationships/hyperlink" Target="https://priceonomics.com/sleeping-bag-price-guide/" TargetMode="External"/><Relationship Id="rId228" Type="http://schemas.openxmlformats.org/officeDocument/2006/relationships/hyperlink" Target="https://www.dw.com/en/ukraine-warns-russia-is-trying-to-split-country-in-two-as-it-happened/a-61271087" TargetMode="External"/><Relationship Id="rId249" Type="http://schemas.openxmlformats.org/officeDocument/2006/relationships/hyperlink" Target="https://books.google.de/books?id=QYrfAAAAMAAJ&amp;pg=RA1-SA1-PA44&amp;lpg=RA1-SA1-PA44&amp;dq=price+125mm+HE+round&amp;source=bl&amp;ots=fdolBJFyKm&amp;sig=ACfU3U01l_fXbBfPdno46XHbd5W7HMx4Hg&amp;hl=en&amp;sa=X&amp;ved=2ahUKEwibv-ulyrz5AhWVVfEDHQQSC4IQ6AF6BAgbEAM" TargetMode="External"/><Relationship Id="rId414" Type="http://schemas.openxmlformats.org/officeDocument/2006/relationships/hyperlink" Target="https://www.marketwatch.com/story/new-army-trucks-may-cost-350000-each-gao-2011-10-27" TargetMode="External"/><Relationship Id="rId435" Type="http://schemas.openxmlformats.org/officeDocument/2006/relationships/hyperlink" Target="http://www.inetres.com/gp/military/cv/weapon/M242.html" TargetMode="External"/><Relationship Id="rId13" Type="http://schemas.openxmlformats.org/officeDocument/2006/relationships/hyperlink" Target="https://firefighterinsider.com/fire-truck-engine-apparatus-cost/" TargetMode="External"/><Relationship Id="rId109" Type="http://schemas.openxmlformats.org/officeDocument/2006/relationships/hyperlink" Target="https://www.bw-online-shop.com/outdoor/outdoorkueche/verpflegung/epa-einmannpackung-typ-2.html" TargetMode="External"/><Relationship Id="rId260" Type="http://schemas.openxmlformats.org/officeDocument/2006/relationships/hyperlink" Target="https://armstrade.sipri.org/armstrade/page/trade_register.php" TargetMode="External"/><Relationship Id="rId281" Type="http://schemas.openxmlformats.org/officeDocument/2006/relationships/hyperlink" Target="https://www.asafm.army.mil/Portals/72/Documents/BudgetMaterial/2021/Base%20Budget/Procurement/MSLS_FY_2021_PB_Missile_Procurement_Army.pdf" TargetMode="External"/><Relationship Id="rId316" Type="http://schemas.openxmlformats.org/officeDocument/2006/relationships/hyperlink" Target="https://www.bw-online-shop.com/outdoor/outdoorkueche/verpflegung/epa-einmannpackung-typ-2.html" TargetMode="External"/><Relationship Id="rId337" Type="http://schemas.openxmlformats.org/officeDocument/2006/relationships/hyperlink" Target="https://www.axios.com/2022/05/28/us-awards-replenish-stinger-stock-ukraine" TargetMode="External"/><Relationship Id="rId34" Type="http://schemas.openxmlformats.org/officeDocument/2006/relationships/hyperlink" Target="https://www.thefirearmblog.com/blog/2013/01/08/the-fn-fnc-affordable-select-fire-5-56/" TargetMode="External"/><Relationship Id="rId55" Type="http://schemas.openxmlformats.org/officeDocument/2006/relationships/hyperlink" Target="https://truegunvalue.com/pistol/cz-82/price-historical-value" TargetMode="External"/><Relationship Id="rId76" Type="http://schemas.openxmlformats.org/officeDocument/2006/relationships/hyperlink" Target="https://thecostguys.com/home/average-cost-of-a-weighted-blanket" TargetMode="External"/><Relationship Id="rId97" Type="http://schemas.openxmlformats.org/officeDocument/2006/relationships/hyperlink" Target="https://sofrep.com/news/an-introduction-to-the-an-mpq-64-sentinel-aerial-surveillance-radar-ukraine-is-getting-from-the-us/" TargetMode="External"/><Relationship Id="rId120" Type="http://schemas.openxmlformats.org/officeDocument/2006/relationships/hyperlink" Target="https://www.defensenews.com/land/2016/12/21/poland-awards-220m-short-range-air-defense-deal/" TargetMode="External"/><Relationship Id="rId141" Type="http://schemas.openxmlformats.org/officeDocument/2006/relationships/hyperlink" Target="https://www.strategypage.com/htmw/htweap/20141105.aspx" TargetMode="External"/><Relationship Id="rId358" Type="http://schemas.openxmlformats.org/officeDocument/2006/relationships/hyperlink" Target="https://www.jpost.com/international/article-699010" TargetMode="External"/><Relationship Id="rId379" Type="http://schemas.openxmlformats.org/officeDocument/2006/relationships/hyperlink" Target="https://www.gao.gov/assets/psad-76-153.pdf" TargetMode="External"/><Relationship Id="rId7" Type="http://schemas.openxmlformats.org/officeDocument/2006/relationships/hyperlink" Target="https://www.militarysurplus.eu/product-eng-43337-Medical-Stretcher-Romanian-Army-Litter-Military-Surplus.html" TargetMode="External"/><Relationship Id="rId162" Type="http://schemas.openxmlformats.org/officeDocument/2006/relationships/hyperlink" Target="https://www.blautanken.de/adblue-1000-liter-ibc-container-oem/?gclid=Cj0KCQjwntCVBhDdARIsAMEwACk5CvzjsjtbIjYyd1fpO0rAogqNfK3hzDAmmqo_rS87d6nKm3Th7ZsaAhrLEALw_wcB" TargetMode="External"/><Relationship Id="rId183" Type="http://schemas.openxmlformats.org/officeDocument/2006/relationships/hyperlink" Target="https://www.amazon.com/s?k=kn95+face+masks&amp;sprefix=k%2Caps%2C169&amp;ref=nb_sb_ss_pltr-ranker-10hours_1_1" TargetMode="External"/><Relationship Id="rId218" Type="http://schemas.openxmlformats.org/officeDocument/2006/relationships/hyperlink" Target="https://www.rferl.org/a/ukraine-anti-drone-gun-russia-war/31912255.html" TargetMode="External"/><Relationship Id="rId239" Type="http://schemas.openxmlformats.org/officeDocument/2006/relationships/hyperlink" Target="https://www.amazon.de/-/en/gp/bestsellers/sports/243115011" TargetMode="External"/><Relationship Id="rId390" Type="http://schemas.openxmlformats.org/officeDocument/2006/relationships/hyperlink" Target="https://www.truckpaper.com/listings/trucks/for-sale/list/manufacturer/oshkosh/model/m1070" TargetMode="External"/><Relationship Id="rId404" Type="http://schemas.openxmlformats.org/officeDocument/2006/relationships/hyperlink" Target="https://www.worldsdailynews.com/how-much-does-an-ambulance-vehicle-cost/" TargetMode="External"/><Relationship Id="rId425" Type="http://schemas.openxmlformats.org/officeDocument/2006/relationships/hyperlink" Target="https://armstrade.sipri.org/armstrade/page/trade_register.php" TargetMode="External"/><Relationship Id="rId250" Type="http://schemas.openxmlformats.org/officeDocument/2006/relationships/hyperlink" Target="https://nationalpost.com/news/canada/canadian-army-restricts-use-of-artillery-rounds-after-cracks-found-in-high-tech-shells-costing-150000-each" TargetMode="External"/><Relationship Id="rId271" Type="http://schemas.openxmlformats.org/officeDocument/2006/relationships/hyperlink" Target="https://www.kyivpost.com/ukraine-politics/u-s-donates-2500-night-vision-devices-ukraines-armed-forces-video.html" TargetMode="External"/><Relationship Id="rId292" Type="http://schemas.openxmlformats.org/officeDocument/2006/relationships/hyperlink" Target="https://www.military-today.com/artillery/m777.htm" TargetMode="External"/><Relationship Id="rId306" Type="http://schemas.openxmlformats.org/officeDocument/2006/relationships/hyperlink" Target="https://www.crz.gov.sk/3819680/" TargetMode="External"/><Relationship Id="rId24" Type="http://schemas.openxmlformats.org/officeDocument/2006/relationships/hyperlink" Target="https://www.amazon.com/s?k=surgical+gloves&amp;crid=339VHKCNRBO5O&amp;sprefix=surgical+glove%2Caps%2C200&amp;ref=nb_sb_noss_1" TargetMode="External"/><Relationship Id="rId45" Type="http://schemas.openxmlformats.org/officeDocument/2006/relationships/hyperlink" Target="https://sprengtechnik.de/zerstoerung-von-festplatten-durch-sprengung/" TargetMode="External"/><Relationship Id="rId66" Type="http://schemas.openxmlformats.org/officeDocument/2006/relationships/hyperlink" Target="https://www.defense.gov/News/Contracts/Contract/Article/1561988/" TargetMode="External"/><Relationship Id="rId87" Type="http://schemas.openxmlformats.org/officeDocument/2006/relationships/hyperlink" Target="https://www.operationmilitarykids.org/best-tactical-gloves/" TargetMode="External"/><Relationship Id="rId110" Type="http://schemas.openxmlformats.org/officeDocument/2006/relationships/hyperlink" Target="https://tapportals.mk.gov.lv/legal_acts/4cc2e5ed-8d7f-4052-8aaa-9a3a1d472b7d" TargetMode="External"/><Relationship Id="rId131" Type="http://schemas.openxmlformats.org/officeDocument/2006/relationships/hyperlink" Target="https://www.dsca.mil/press-media/major-arms-sales/finland-guided-multiple-launch-rocket-system-gmlrs-m31a1-unitary-and" TargetMode="External"/><Relationship Id="rId327" Type="http://schemas.openxmlformats.org/officeDocument/2006/relationships/hyperlink" Target="https://en.wikipedia.org/wiki/M240_machine_gun" TargetMode="External"/><Relationship Id="rId348" Type="http://schemas.openxmlformats.org/officeDocument/2006/relationships/hyperlink" Target="https://twitter.com/a_anusauskas/status/1575131983499362304" TargetMode="External"/><Relationship Id="rId369" Type="http://schemas.openxmlformats.org/officeDocument/2006/relationships/hyperlink" Target="https://www.worldsdailynews.com/how-much-does-an-ambulance-vehicle-cost/" TargetMode="External"/><Relationship Id="rId152" Type="http://schemas.openxmlformats.org/officeDocument/2006/relationships/hyperlink" Target="https://www.ammograb.com/762x51mm-nato/" TargetMode="External"/><Relationship Id="rId173" Type="http://schemas.openxmlformats.org/officeDocument/2006/relationships/hyperlink" Target="https://www.navalnews.com/naval-news/2021/01/u-s-navy-will-not-replace-the-patrol-coastals-with-a-new-boat-of-similar-size-and-type/" TargetMode="External"/><Relationship Id="rId194" Type="http://schemas.openxmlformats.org/officeDocument/2006/relationships/hyperlink" Target="https://www.thedefensepost.com/2022/05/03/lockheed-ramp-up-javelin-production/" TargetMode="External"/><Relationship Id="rId208" Type="http://schemas.openxmlformats.org/officeDocument/2006/relationships/hyperlink" Target="https://es.wikipedia.org/wiki/RG-31_Nyala" TargetMode="External"/><Relationship Id="rId229" Type="http://schemas.openxmlformats.org/officeDocument/2006/relationships/hyperlink" Target="http://www.army-guide.com/eng/product3249.html" TargetMode="External"/><Relationship Id="rId380" Type="http://schemas.openxmlformats.org/officeDocument/2006/relationships/hyperlink" Target="https://www.augsburger-allgemeine.de/politik/bewaffnete-drohnen-bundeswehr-deutschland-heron-tp-flugkoerper-id62284321.html" TargetMode="External"/><Relationship Id="rId415" Type="http://schemas.openxmlformats.org/officeDocument/2006/relationships/hyperlink" Target="https://www.marketwatch.com/story/new-army-trucks-may-cost-350000-each-gao-2011-10-27" TargetMode="External"/><Relationship Id="rId436" Type="http://schemas.openxmlformats.org/officeDocument/2006/relationships/hyperlink" Target="https://www.cnet.com/home/energy-and-utilities/ready-to-pull-out-your-space-heater-heres-how-much-itll-cost-you/" TargetMode="External"/><Relationship Id="rId240" Type="http://schemas.openxmlformats.org/officeDocument/2006/relationships/hyperlink" Target="https://www.rferl.org/a/explainer-lrad-sound-cannon/24927845.html" TargetMode="External"/><Relationship Id="rId261" Type="http://schemas.openxmlformats.org/officeDocument/2006/relationships/hyperlink" Target="https://armstrade.sipri.org/armstrade/page/trade_register.php" TargetMode="External"/><Relationship Id="rId14" Type="http://schemas.openxmlformats.org/officeDocument/2006/relationships/hyperlink" Target="https://firefighterinsider.com/fire-truck-engine-apparatus-cost/" TargetMode="External"/><Relationship Id="rId35" Type="http://schemas.openxmlformats.org/officeDocument/2006/relationships/hyperlink" Target="https://www.wikiwand.com/en/RPG-22" TargetMode="External"/><Relationship Id="rId56" Type="http://schemas.openxmlformats.org/officeDocument/2006/relationships/hyperlink" Target="https://sofrep.com/news/an-introduction-to-the-an-mpq-64-sentinel-aerial-surveillance-radar-ukraine-is-getting-from-the-us/" TargetMode="External"/><Relationship Id="rId77" Type="http://schemas.openxmlformats.org/officeDocument/2006/relationships/hyperlink" Target="https://www.armynavyshop.com/SRCH.html" TargetMode="External"/><Relationship Id="rId100" Type="http://schemas.openxmlformats.org/officeDocument/2006/relationships/hyperlink" Target="https://tvpworld.com/37474331/polish-army-to-receive-100-drones-in-2018" TargetMode="External"/><Relationship Id="rId282" Type="http://schemas.openxmlformats.org/officeDocument/2006/relationships/hyperlink" Target="https://en.wikipedia.org/wiki/AGM-88_HARM" TargetMode="External"/><Relationship Id="rId317" Type="http://schemas.openxmlformats.org/officeDocument/2006/relationships/hyperlink" Target="https://www.bw-online-shop.com/outdoor/outdoorkueche/verpflegung/epa-einmannpackung-typ-2.html" TargetMode="External"/><Relationship Id="rId338" Type="http://schemas.openxmlformats.org/officeDocument/2006/relationships/hyperlink" Target="https://en.wikipedia.org/wiki/M240_machine_gun" TargetMode="External"/><Relationship Id="rId359" Type="http://schemas.openxmlformats.org/officeDocument/2006/relationships/hyperlink" Target="https://en.wikipedia.org/wiki/9K32_Strela-2" TargetMode="External"/><Relationship Id="rId8" Type="http://schemas.openxmlformats.org/officeDocument/2006/relationships/hyperlink" Target="https://truegunvalue.com/rifle/ak-47/price-historical-value" TargetMode="External"/><Relationship Id="rId98" Type="http://schemas.openxmlformats.org/officeDocument/2006/relationships/hyperlink" Target="https://www.newcivilengineer.com/latest/hammersmith-bridge-tfl-took-six-months-to-provide-info-on-temporary-crossing-09-09-2020/" TargetMode="External"/><Relationship Id="rId121" Type="http://schemas.openxmlformats.org/officeDocument/2006/relationships/hyperlink" Target="https://www.defense.gov/News/Releases/Release/Article/3102984/270-million-in-additional-security-assistance-for-ukraine/" TargetMode="External"/><Relationship Id="rId142" Type="http://schemas.openxmlformats.org/officeDocument/2006/relationships/hyperlink" Target="https://www.frankonia.de/p/sellier-bellot/9-mm-luger-vollmantel-8-0g-124grs/65187" TargetMode="External"/><Relationship Id="rId163" Type="http://schemas.openxmlformats.org/officeDocument/2006/relationships/hyperlink" Target="https://nationalpost.com/news/canada/canadian-army-restricts-use-of-artillery-rounds-after-cracks-found-in-high-tech-shells-costing-150000-each" TargetMode="External"/><Relationship Id="rId184" Type="http://schemas.openxmlformats.org/officeDocument/2006/relationships/hyperlink" Target="https://www.amazon.de/s?k=Sleeping+mat&amp;crid=AP6F6KPMMYLL&amp;sprefix=sleeping+mat%2Caps%2C112&amp;ref=nb_sb_noss_1" TargetMode="External"/><Relationship Id="rId219" Type="http://schemas.openxmlformats.org/officeDocument/2006/relationships/hyperlink" Target="http://www.military-today.com/artillery/fh_70.htm" TargetMode="External"/><Relationship Id="rId370" Type="http://schemas.openxmlformats.org/officeDocument/2006/relationships/hyperlink" Target="https://www.amazon.de/Celox-Haemostatische-Mullwindel-Z-Falz-52/dp/B07RWLK5VK/ref=asc_df_B07RWLK5VK/?tag=googshopde-21&amp;linkCode=df0&amp;hvadid=427748981932&amp;hvpos=&amp;hvnetw=g&amp;hvrand=10208160552108135736&amp;hvpone=&amp;hvptwo=&amp;hvqmt=&amp;hvdev=c&amp;hvdvcmdl=&amp;hvlocint=&amp;hvlocphy=9043596&amp;hvtargid=pla-815670292745&amp;psc=1&amp;th=1&amp;psc=1&amp;tag=&amp;ref=&amp;adgrpid=106322596704&amp;hvpone=&amp;hvptwo=&amp;hvadid=427748981932&amp;hvpos=&amp;hvnetw=g&amp;hvrand=10208160552108135736&amp;hvqmt=&amp;hvdev=c&amp;hvdvcmdl=&amp;hvlocint=&amp;hvlocphy=9043596&amp;hvtargid=pla-815670292745" TargetMode="External"/><Relationship Id="rId391" Type="http://schemas.openxmlformats.org/officeDocument/2006/relationships/hyperlink" Target="https://www.truckscout24.de/sattelzugmaschinen/neu" TargetMode="External"/><Relationship Id="rId405" Type="http://schemas.openxmlformats.org/officeDocument/2006/relationships/hyperlink" Target="https://www.wikiwand.com/en/RPG-22" TargetMode="External"/><Relationship Id="rId426" Type="http://schemas.openxmlformats.org/officeDocument/2006/relationships/hyperlink" Target="https://armstrade.sipri.org/armstrade/page/trade_register.php" TargetMode="External"/><Relationship Id="rId230" Type="http://schemas.openxmlformats.org/officeDocument/2006/relationships/hyperlink" Target="https://www.alibaba.com/showroom/basics-shoes-online.html" TargetMode="External"/><Relationship Id="rId251" Type="http://schemas.openxmlformats.org/officeDocument/2006/relationships/hyperlink" Target="https://nationalpost.com/news/canada/canadian-army-restricts-use-of-artillery-rounds-after-cracks-found-in-high-tech-shells-costing-150000-each" TargetMode="External"/><Relationship Id="rId25" Type="http://schemas.openxmlformats.org/officeDocument/2006/relationships/hyperlink" Target="https://truegunvalue.com/pistol/sig-p228/price-historical-value/new/2" TargetMode="External"/><Relationship Id="rId46" Type="http://schemas.openxmlformats.org/officeDocument/2006/relationships/hyperlink" Target="https://www.amazon.com/Best-Sellers-Medical-Safety-Goggles/zgbs/industrial/11312320011" TargetMode="External"/><Relationship Id="rId67" Type="http://schemas.openxmlformats.org/officeDocument/2006/relationships/hyperlink" Target="http://www.military-today.com/apc/m113a3.htm" TargetMode="External"/><Relationship Id="rId272" Type="http://schemas.openxmlformats.org/officeDocument/2006/relationships/hyperlink" Target="https://en.wikipedia.org/wiki/M240_machine_gun" TargetMode="External"/><Relationship Id="rId293" Type="http://schemas.openxmlformats.org/officeDocument/2006/relationships/hyperlink" Target="https://en.wikipedia.org/wiki/M982_Excalibur" TargetMode="External"/><Relationship Id="rId307" Type="http://schemas.openxmlformats.org/officeDocument/2006/relationships/hyperlink" Target="http://www.army-guide.com/eng/product3249.html" TargetMode="External"/><Relationship Id="rId328" Type="http://schemas.openxmlformats.org/officeDocument/2006/relationships/hyperlink" Target="https://en.wikipedia.org/wiki/M240_machine_gun" TargetMode="External"/><Relationship Id="rId349" Type="http://schemas.openxmlformats.org/officeDocument/2006/relationships/hyperlink" Target="https://aerocorner.com/aircraft/kamov-ka-32a/" TargetMode="External"/><Relationship Id="rId88" Type="http://schemas.openxmlformats.org/officeDocument/2006/relationships/hyperlink" Target="https://www.amazon.com/-/de/dp/B08FXVMBX2/ref=sr_1_7?keywords=hygiene+kit&amp;qid=1654184235&amp;sr=8-7" TargetMode="External"/><Relationship Id="rId111" Type="http://schemas.openxmlformats.org/officeDocument/2006/relationships/hyperlink" Target="https://tapportals.mk.gov.lv/legal_acts/4cc2e5ed-8d7f-4052-8aaa-9a3a1d472b7d" TargetMode="External"/><Relationship Id="rId132" Type="http://schemas.openxmlformats.org/officeDocument/2006/relationships/hyperlink" Target="https://books.google.de/books?id=yLwfAAAAMAAJ&amp;pg=PA1058&amp;lpg=PA1058&amp;dq=66mm+rocket+cost&amp;source=bl&amp;ots=6R5N48jaub&amp;sig=ACfU3U0WpoNaDz-vvRYJb9J-bD1_tUAxXQ&amp;hl=en&amp;sa=X&amp;ved=2ahUKEwiRzq7f0c_4AhWPRPEDHTv_CPEQ6AF6BAgNEAM" TargetMode="External"/><Relationship Id="rId153" Type="http://schemas.openxmlformats.org/officeDocument/2006/relationships/hyperlink" Target="https://getnightride.com/blogs/nightride-blog/best-thermal-imaging-camera-value" TargetMode="External"/><Relationship Id="rId174" Type="http://schemas.openxmlformats.org/officeDocument/2006/relationships/hyperlink" Target="https://www.outlookindia.com/website/story/india-news-iafs-mi-17v5-all-about-helicopter-that-crashed-carrying-india-first-cds-bipin-rawat/404303" TargetMode="External"/><Relationship Id="rId195" Type="http://schemas.openxmlformats.org/officeDocument/2006/relationships/hyperlink" Target="https://www.thedefensepost.com/2022/05/03/lockheed-ramp-up-javelin-production/" TargetMode="External"/><Relationship Id="rId209" Type="http://schemas.openxmlformats.org/officeDocument/2006/relationships/hyperlink" Target="https://www.luckygunner.com/rifle/5.56x45-ammo" TargetMode="External"/><Relationship Id="rId360" Type="http://schemas.openxmlformats.org/officeDocument/2006/relationships/hyperlink" Target="https://www.amazon.com/s?k=surgical+mask&amp;crid=1ROTDHJDQISW0&amp;sprefix=surgical+mas%2Caps%2C175&amp;ref=nb_sb_noss_2" TargetMode="External"/><Relationship Id="rId381" Type="http://schemas.openxmlformats.org/officeDocument/2006/relationships/hyperlink" Target="https://www.dacis.com/budget/budget_pdf/FY18/PROC/A/M80400_131.pdf" TargetMode="External"/><Relationship Id="rId416" Type="http://schemas.openxmlformats.org/officeDocument/2006/relationships/hyperlink" Target="https://www.armyandoutdoors.com/products/swiss-army-wool-blanket?_pos=1&amp;_sid=827b90bd2&amp;_ss=r" TargetMode="External"/><Relationship Id="rId220" Type="http://schemas.openxmlformats.org/officeDocument/2006/relationships/hyperlink" Target="https://armstrade.sipri.org/armstrade/page/trade_register.php" TargetMode="External"/><Relationship Id="rId241" Type="http://schemas.openxmlformats.org/officeDocument/2006/relationships/hyperlink" Target="https://www.dsca.mil/press-media/major-arms-sales/finland-guided-multiple-launch-rocket-system-gmlrs-m31a1-unitary-and" TargetMode="External"/><Relationship Id="rId437" Type="http://schemas.openxmlformats.org/officeDocument/2006/relationships/hyperlink" Target="https://ledask.com/led-light-cost/" TargetMode="External"/><Relationship Id="rId15" Type="http://schemas.openxmlformats.org/officeDocument/2006/relationships/hyperlink" Target="https://www.aerzte-ohne-grenzen.de/sites/default/files/mediathek/entity/document/1998-01-bosnia-report-donation-practices.pdf" TargetMode="External"/><Relationship Id="rId36" Type="http://schemas.openxmlformats.org/officeDocument/2006/relationships/hyperlink" Target="https://www.medicalpriceonline.com/medical-equipment/patient-monitor/" TargetMode="External"/><Relationship Id="rId57" Type="http://schemas.openxmlformats.org/officeDocument/2006/relationships/hyperlink" Target="https://www.deagel.com/Tactical%20Vehicles/ANTPQ-36/a000601" TargetMode="External"/><Relationship Id="rId262" Type="http://schemas.openxmlformats.org/officeDocument/2006/relationships/hyperlink" Target="https://armstrade.sipri.org/armstrade/page/trade_register.php" TargetMode="External"/><Relationship Id="rId283" Type="http://schemas.openxmlformats.org/officeDocument/2006/relationships/hyperlink" Target="http://www.army-guide.com/eng/product4033.html" TargetMode="External"/><Relationship Id="rId318" Type="http://schemas.openxmlformats.org/officeDocument/2006/relationships/hyperlink" Target="https://www.bw-online-shop.com/outdoor/outdoorkueche/verpflegung/epa-einmannpackung-typ-2.html" TargetMode="External"/><Relationship Id="rId339" Type="http://schemas.openxmlformats.org/officeDocument/2006/relationships/hyperlink" Target="https://www.best-osmosis-systems.com/water-filtration-system-cost/" TargetMode="External"/><Relationship Id="rId78" Type="http://schemas.openxmlformats.org/officeDocument/2006/relationships/hyperlink" Target="https://www.freshbooks.com/hub/estimates/how-much-does-it-cost-to-build-a-hospital" TargetMode="External"/><Relationship Id="rId99" Type="http://schemas.openxmlformats.org/officeDocument/2006/relationships/hyperlink" Target="http://www.army-guide.com/eng/product1033.html" TargetMode="External"/><Relationship Id="rId101" Type="http://schemas.openxmlformats.org/officeDocument/2006/relationships/hyperlink" Target="https://www.thedrive.com/the-war-zone/ukraine-to-get-guided-rockets-but-not-ones-able-to-reach-far-into-russia" TargetMode="External"/><Relationship Id="rId122" Type="http://schemas.openxmlformats.org/officeDocument/2006/relationships/hyperlink" Target="https://mezha.media/en/2022/04/02/together-with-switchblades-drones-the-u-s-will-provide-ukraine-with-the-rq-20-puma-unmanned-aerial-vehicles/" TargetMode="External"/><Relationship Id="rId143" Type="http://schemas.openxmlformats.org/officeDocument/2006/relationships/hyperlink" Target="https://www.gadgetreview.com/computer-monitor-cost" TargetMode="External"/><Relationship Id="rId164" Type="http://schemas.openxmlformats.org/officeDocument/2006/relationships/hyperlink" Target="https://books.google.de/books?id=8J43AAAAIAAJ&amp;pg=PA4558&amp;lpg=PA4558&amp;dq=oerlikon+35+mm+ammunition+cost&amp;source=bl&amp;ots=AckNN2-QzT&amp;sig=ACfU3U3R0hGRH6Ksb8A4zR7RyTB_hML2MA&amp;hl=en&amp;sa=X&amp;ved=2ahUKEwjhucjeza35AhXvMuwKHbDKC1YQ6AF6BAg_EAM" TargetMode="External"/><Relationship Id="rId185" Type="http://schemas.openxmlformats.org/officeDocument/2006/relationships/hyperlink" Target="https://www.amazon.de/Betten-Schlafzimmer-Wohnen-Lifestyle/b?ie=UTF8&amp;node=343465011" TargetMode="External"/><Relationship Id="rId350" Type="http://schemas.openxmlformats.org/officeDocument/2006/relationships/hyperlink" Target="https://armstrade.sipri.org/armstrade/page/trade_register.php" TargetMode="External"/><Relationship Id="rId371" Type="http://schemas.openxmlformats.org/officeDocument/2006/relationships/hyperlink" Target="https://en.wikipedia.org/wiki/Advanced_Precision_Kill_Weapon_System" TargetMode="External"/><Relationship Id="rId406" Type="http://schemas.openxmlformats.org/officeDocument/2006/relationships/hyperlink" Target="https://www.autoevolution.com/news/primoco-lands-7-million-order-for-its-one-150-unmanned-aerial-vehicle-203800.html" TargetMode="External"/><Relationship Id="rId9" Type="http://schemas.openxmlformats.org/officeDocument/2006/relationships/hyperlink" Target="https://hcpresources.medtronic.com/blog/high-acuity-ventilator-cost-guide" TargetMode="External"/><Relationship Id="rId210" Type="http://schemas.openxmlformats.org/officeDocument/2006/relationships/hyperlink" Target="https://www.strategypage.com/htmw/htweap/articles/20110330.aspx" TargetMode="External"/><Relationship Id="rId392" Type="http://schemas.openxmlformats.org/officeDocument/2006/relationships/hyperlink" Target="http://www.army-guide.com/eng/product4033.html" TargetMode="External"/><Relationship Id="rId427" Type="http://schemas.openxmlformats.org/officeDocument/2006/relationships/hyperlink" Target="https://uklandpower.com/2018/01/11/a-guide-to-modern-mortar-systems/" TargetMode="External"/><Relationship Id="rId26" Type="http://schemas.openxmlformats.org/officeDocument/2006/relationships/hyperlink" Target="https://www.amazon.com/s?k=surgical+mask&amp;crid=1ROTDHJDQISW0&amp;sprefix=surgical+mas%2Caps%2C175&amp;ref=nb_sb_noss_2" TargetMode="External"/><Relationship Id="rId231" Type="http://schemas.openxmlformats.org/officeDocument/2006/relationships/hyperlink" Target="https://www.defensie.nl/onderwerpen/materieel/bewapening/accuracy-antipersoneel-snipergeweer-7.62mm%20,%20https:/www.guncritic.com/product/accuracy-international-ax308/%20,%20https:/www.guncritic.com/product/accuracy-international-ax338/" TargetMode="External"/><Relationship Id="rId252" Type="http://schemas.openxmlformats.org/officeDocument/2006/relationships/hyperlink" Target="https://gagadget.com/en/war/145017-ukrainian-military-launch-of-one-himars-missile-costs-150000-and-a-full-launch-costs-1000000/" TargetMode="External"/><Relationship Id="rId273" Type="http://schemas.openxmlformats.org/officeDocument/2006/relationships/hyperlink" Target="https://firefighterinsider.com/fire-truck-engine-apparatus-cost/" TargetMode="External"/><Relationship Id="rId294" Type="http://schemas.openxmlformats.org/officeDocument/2006/relationships/hyperlink" Target="https://www.asafm.army.mil/Portals/72/Documents/BudgetMaterial/2021/Base%20Budget/Procurement/MSLS_FY_2021_PB_Missile_Procurement_Army.pdf" TargetMode="External"/><Relationship Id="rId308" Type="http://schemas.openxmlformats.org/officeDocument/2006/relationships/hyperlink" Target="https://publications.parliament.uk/pa/cm201011/cmhansrd/cm110517/text/110517w0001.htm" TargetMode="External"/><Relationship Id="rId329" Type="http://schemas.openxmlformats.org/officeDocument/2006/relationships/hyperlink" Target="https://engineerine.com/switchblade-will-turn-the-tide-in-ukraine/" TargetMode="External"/><Relationship Id="rId47" Type="http://schemas.openxmlformats.org/officeDocument/2006/relationships/hyperlink" Target="https://www.forbes.com/advisor/home-improvement/generator-cost-guide/" TargetMode="External"/><Relationship Id="rId68" Type="http://schemas.openxmlformats.org/officeDocument/2006/relationships/hyperlink" Target="https://en.wikipedia.org/wiki/FIM-92_Stinger" TargetMode="External"/><Relationship Id="rId89" Type="http://schemas.openxmlformats.org/officeDocument/2006/relationships/hyperlink" Target="https://www.militarytimes.com/off-duty/gearscout/2022/05/12/panzerfaust-3-the-cold-war-weapon-wrecking-russian-tanks-in-ukraine/" TargetMode="External"/><Relationship Id="rId112" Type="http://schemas.openxmlformats.org/officeDocument/2006/relationships/hyperlink" Target="https://truegunvalue.com/rifle/heckler-koch/g3/price-historical-value-645" TargetMode="External"/><Relationship Id="rId133" Type="http://schemas.openxmlformats.org/officeDocument/2006/relationships/hyperlink" Target="https://www.paho.org/sites/default/files/RF-SyringePrices-2016-2017-e.pdf" TargetMode="External"/><Relationship Id="rId154" Type="http://schemas.openxmlformats.org/officeDocument/2006/relationships/hyperlink" Target="https://www.statista.com/statistics/722992/worldwide-personal-computers-average-selling-price/" TargetMode="External"/><Relationship Id="rId175" Type="http://schemas.openxmlformats.org/officeDocument/2006/relationships/hyperlink" Target="https://www.globalplanesearch.com/europe/helicopters/mil/mi_2.htm" TargetMode="External"/><Relationship Id="rId340" Type="http://schemas.openxmlformats.org/officeDocument/2006/relationships/hyperlink" Target="https://www.rtvslo.si/news-in-english/the-ministry-of-defense-s-auction-of-old-m-55s-results-in-a-single-sale/453024" TargetMode="External"/><Relationship Id="rId361" Type="http://schemas.openxmlformats.org/officeDocument/2006/relationships/hyperlink" Target="https://www.dsca.mil/sites/default/files/mas/jordan_15-02.pdf" TargetMode="External"/><Relationship Id="rId196" Type="http://schemas.openxmlformats.org/officeDocument/2006/relationships/hyperlink" Target="https://en.wikipedia.org/wiki/FIM-92_Stinger" TargetMode="External"/><Relationship Id="rId200" Type="http://schemas.openxmlformats.org/officeDocument/2006/relationships/hyperlink" Target="https://www.frankonia.de/p/sellier-bellot/9-mm-luger-vollmantel-8-0g-124grs/65187" TargetMode="External"/><Relationship Id="rId382" Type="http://schemas.openxmlformats.org/officeDocument/2006/relationships/hyperlink" Target="https://armstrade.sipri.org/armstrade/page/trade_register.php" TargetMode="External"/><Relationship Id="rId417" Type="http://schemas.openxmlformats.org/officeDocument/2006/relationships/hyperlink" Target="https://www.welt.de/politik/ausland/article241106455/Waffenhilfe-Deutschland-liefert-weitere-Geschuetze-an-die-Ukraine.html?cid=socialmedia.twitter.shared.web&amp;wtrid=socialmedia.socialflow....socialflow_twitter" TargetMode="External"/><Relationship Id="rId438" Type="http://schemas.openxmlformats.org/officeDocument/2006/relationships/hyperlink" Target="https://armstrade.sipri.org/armstrade/page/trade_register.php" TargetMode="External"/><Relationship Id="rId16" Type="http://schemas.openxmlformats.org/officeDocument/2006/relationships/hyperlink" Target="https://www.amazon.com/s?k=surgical+mask&amp;crid=1ROTDHJDQISW0&amp;sprefix=surgical+mas%2Caps%2C175&amp;ref=nb_sb_noss_2" TargetMode="External"/><Relationship Id="rId221" Type="http://schemas.openxmlformats.org/officeDocument/2006/relationships/hyperlink" Target="https://armstrade.sipri.org/armstrade/page/trade_register.php" TargetMode="External"/><Relationship Id="rId242" Type="http://schemas.openxmlformats.org/officeDocument/2006/relationships/hyperlink" Target="https://survivalfreedom.com/how-much-do-military-drones-cost-a-detailed-look/" TargetMode="External"/><Relationship Id="rId263" Type="http://schemas.openxmlformats.org/officeDocument/2006/relationships/hyperlink" Target="https://armstrade.sipri.org/armstrade/page/trade_register.php" TargetMode="External"/><Relationship Id="rId284" Type="http://schemas.openxmlformats.org/officeDocument/2006/relationships/hyperlink" Target="https://www.marketwatch.com/story/new-army-trucks-may-cost-350000-each-gao-2011-10-27" TargetMode="External"/><Relationship Id="rId319" Type="http://schemas.openxmlformats.org/officeDocument/2006/relationships/hyperlink" Target="https://www.jpost.com/opinion/op-ed-contributors/bankrupting-terrorism-one-interception-at-a-time" TargetMode="External"/><Relationship Id="rId37" Type="http://schemas.openxmlformats.org/officeDocument/2006/relationships/hyperlink" Target="https://survivalfreedom.com/how-much-does-ammo-cost-detailed-price-analysis/" TargetMode="External"/><Relationship Id="rId58" Type="http://schemas.openxmlformats.org/officeDocument/2006/relationships/hyperlink" Target="https://armstrade.sipri.org/armstrade/page/trade_register.php" TargetMode="External"/><Relationship Id="rId79" Type="http://schemas.openxmlformats.org/officeDocument/2006/relationships/hyperlink" Target="https://armstrade.sipri.org/armstrade/page/trade_register.php" TargetMode="External"/><Relationship Id="rId102" Type="http://schemas.openxmlformats.org/officeDocument/2006/relationships/hyperlink" Target="https://www.businessinsider.com/armored-car-inkas-sentry-civilian-bulletproof-suv-military-price-2020-9" TargetMode="External"/><Relationship Id="rId123" Type="http://schemas.openxmlformats.org/officeDocument/2006/relationships/hyperlink" Target="https://www.amazon.com/camping-shower-tent-Sports-Outdoors/s?k=camping+shower+tent&amp;rh=n%3A3375251" TargetMode="External"/><Relationship Id="rId144" Type="http://schemas.openxmlformats.org/officeDocument/2006/relationships/hyperlink" Target="https://www.mymat.de/preise-und-formate-fussmatten" TargetMode="External"/><Relationship Id="rId330" Type="http://schemas.openxmlformats.org/officeDocument/2006/relationships/hyperlink" Target="https://engineerine.com/switchblade-will-turn-the-tide-in-ukraine/" TargetMode="External"/><Relationship Id="rId90" Type="http://schemas.openxmlformats.org/officeDocument/2006/relationships/hyperlink" Target="https://www.marketwatch.com/story/new-army-trucks-may-cost-350000-each-gao-2011-10-27" TargetMode="External"/><Relationship Id="rId165" Type="http://schemas.openxmlformats.org/officeDocument/2006/relationships/hyperlink" Target="https://www.augsburger-allgemeine.de/politik/bewaffnete-drohnen-bundeswehr-deutschland-heron-tp-flugkoerper-id62284321.html" TargetMode="External"/><Relationship Id="rId186" Type="http://schemas.openxmlformats.org/officeDocument/2006/relationships/hyperlink" Target="https://www.dronerush.com/drone-price-how-much-do-drones-cost-21540/" TargetMode="External"/><Relationship Id="rId351" Type="http://schemas.openxmlformats.org/officeDocument/2006/relationships/hyperlink" Target="https://www.asafm.army.mil/Portals/72/Documents/BudgetMaterial/2023/Base%20Budget/Procurement/MSLS_ARMY.pdf" TargetMode="External"/><Relationship Id="rId372" Type="http://schemas.openxmlformats.org/officeDocument/2006/relationships/hyperlink" Target="https://www.economist.com/science-and-technology/2012/09/29/rockets-galore" TargetMode="External"/><Relationship Id="rId393" Type="http://schemas.openxmlformats.org/officeDocument/2006/relationships/hyperlink" Target="http://www.army-guide.com/eng/product4033.html" TargetMode="External"/><Relationship Id="rId407" Type="http://schemas.openxmlformats.org/officeDocument/2006/relationships/hyperlink" Target="https://armstrade.sipri.org/armstrade/page/trade_register.php" TargetMode="External"/><Relationship Id="rId428" Type="http://schemas.openxmlformats.org/officeDocument/2006/relationships/hyperlink" Target="http://www.army-guide.com/eng/product3249.html" TargetMode="External"/><Relationship Id="rId211" Type="http://schemas.openxmlformats.org/officeDocument/2006/relationships/hyperlink" Target="https://nationalinterest.org/blog/buzz/czech-military-adopt-new-small-arms-including-fn-minimi-machine-guns-198826" TargetMode="External"/><Relationship Id="rId232" Type="http://schemas.openxmlformats.org/officeDocument/2006/relationships/hyperlink" Target="https://armstrade.sipri.org/armstrade/page/trade_register.php" TargetMode="External"/><Relationship Id="rId253" Type="http://schemas.openxmlformats.org/officeDocument/2006/relationships/hyperlink" Target="https://mil.in.ua/en/news/the-czech-company-will-hand-over-two-reconnaissance-bivoj-uavs-to-ukraine/" TargetMode="External"/><Relationship Id="rId274" Type="http://schemas.openxmlformats.org/officeDocument/2006/relationships/hyperlink" Target="http://www.military-today.com/apc/kirpi.htm" TargetMode="External"/><Relationship Id="rId295" Type="http://schemas.openxmlformats.org/officeDocument/2006/relationships/hyperlink" Target="https://en.wikipedia.org/wiki/Claymore_mine" TargetMode="External"/><Relationship Id="rId309" Type="http://schemas.openxmlformats.org/officeDocument/2006/relationships/hyperlink" Target="https://firefighterinsider.com/fire-truck-engine-apparatus-cost/" TargetMode="External"/><Relationship Id="rId27" Type="http://schemas.openxmlformats.org/officeDocument/2006/relationships/hyperlink" Target="https://truegunvalue.com/shotgun/mossberg/500/price-historical-value-1217%20|%20https:/truegunvalue.com/shotgun/benelli-m4/price-historical-value" TargetMode="External"/><Relationship Id="rId48" Type="http://schemas.openxmlformats.org/officeDocument/2006/relationships/hyperlink" Target="https://www.amazon.de/s?k=liter+of+water&amp;crid=FSFX4B7W5MIB&amp;sprefix=liter+of+wate%2Caps%2C76&amp;ref=nb_sb_noss_2" TargetMode="External"/><Relationship Id="rId69" Type="http://schemas.openxmlformats.org/officeDocument/2006/relationships/hyperlink" Target="https://www.amazon.com/Band-Aid-First-Adhesive-Bandages-Large/dp/B000GCPW8C/ref=sr_1_7?crid=1PZ72906ULX4A&amp;keywords=wound+bandage&amp;qid=1667515401&amp;qu=eyJxc2MiOiI1Ljc2IiwicXNhIjoiNS4yNyIsInFzcCI6IjUuMTAifQ%3D%3D&amp;sprefix=wound+bandag%2Caps%2C155&amp;sr=8-7" TargetMode="External"/><Relationship Id="rId113" Type="http://schemas.openxmlformats.org/officeDocument/2006/relationships/hyperlink" Target="https://www.armyrecognition.com/defense_news_january_2021_global_security_army_industry/first_iveco_lmv_2_nec_armored_vehicles_enter_service_with_italian_army.html" TargetMode="External"/><Relationship Id="rId134" Type="http://schemas.openxmlformats.org/officeDocument/2006/relationships/hyperlink" Target="https://en.wikipedia.org/wiki/AGM-114_Hellfire" TargetMode="External"/><Relationship Id="rId320" Type="http://schemas.openxmlformats.org/officeDocument/2006/relationships/hyperlink" Target="https://www.jpost.com/opinion/op-ed-contributors/bankrupting-terrorism-one-interception-at-a-time" TargetMode="External"/><Relationship Id="rId80" Type="http://schemas.openxmlformats.org/officeDocument/2006/relationships/hyperlink" Target="https://www.globalsecurity.org/military/world/europe/gepard.htm" TargetMode="External"/><Relationship Id="rId155" Type="http://schemas.openxmlformats.org/officeDocument/2006/relationships/hyperlink" Target="https://leaguefeed.net/how-much-should-you-spend-on-laptop/" TargetMode="External"/><Relationship Id="rId176" Type="http://schemas.openxmlformats.org/officeDocument/2006/relationships/hyperlink" Target="https://www.army-technology.com/projects/mistral-missile/" TargetMode="External"/><Relationship Id="rId197" Type="http://schemas.openxmlformats.org/officeDocument/2006/relationships/hyperlink" Target="https://taskandpurpose.com/news/ac-130-gunship-105mm-cannon/" TargetMode="External"/><Relationship Id="rId341" Type="http://schemas.openxmlformats.org/officeDocument/2006/relationships/hyperlink" Target="https://www.armormax.com/blog/how-much-does-a-bulletproof-car-cost/" TargetMode="External"/><Relationship Id="rId362" Type="http://schemas.openxmlformats.org/officeDocument/2006/relationships/hyperlink" Target="https://www.bw-online-shop.com/outdoor/outdoorkueche/verpflegung/epa-einmannpackung-typ-2.html" TargetMode="External"/><Relationship Id="rId383" Type="http://schemas.openxmlformats.org/officeDocument/2006/relationships/hyperlink" Target="https://armstrade.sipri.org/armstrade/page/trade_register.php" TargetMode="External"/><Relationship Id="rId418" Type="http://schemas.openxmlformats.org/officeDocument/2006/relationships/hyperlink" Target="https://www.focus.de/politik/macht-rheinmetall-ordentlich-kasse-bericht-ukraine-soll-fuer-marder-panzer-70-prozent-aufpreis-zahlen_id_98142080.html" TargetMode="External"/><Relationship Id="rId439" Type="http://schemas.openxmlformats.org/officeDocument/2006/relationships/printerSettings" Target="../printerSettings/printerSettings34.bin"/><Relationship Id="rId201" Type="http://schemas.openxmlformats.org/officeDocument/2006/relationships/hyperlink" Target="https://www.caranddriver.com/jeep/wrangler" TargetMode="External"/><Relationship Id="rId222" Type="http://schemas.openxmlformats.org/officeDocument/2006/relationships/hyperlink" Target="https://armstrade.sipri.org/armstrade/page/trade_register.php" TargetMode="External"/><Relationship Id="rId243" Type="http://schemas.openxmlformats.org/officeDocument/2006/relationships/hyperlink" Target="https://www.marketwatch.com/story/new-army-trucks-may-cost-350000-each-gao-2011-10-27" TargetMode="External"/><Relationship Id="rId264" Type="http://schemas.openxmlformats.org/officeDocument/2006/relationships/hyperlink" Target="https://armstrade.sipri.org/armstrade/page/trade_register.php" TargetMode="External"/><Relationship Id="rId285" Type="http://schemas.openxmlformats.org/officeDocument/2006/relationships/hyperlink" Target="https://www.elindependiente.com/espana/2022/03/03/estas-son-las-armas-que-mandara-espana-a-la-resistencia-ucraniana-en-el-primer-envio/" TargetMode="External"/><Relationship Id="rId17" Type="http://schemas.openxmlformats.org/officeDocument/2006/relationships/hyperlink" Target="https://www.amazon.de/disinfectant-spray/s?k=disinfectant+spray" TargetMode="External"/><Relationship Id="rId38" Type="http://schemas.openxmlformats.org/officeDocument/2006/relationships/hyperlink" Target="https://www.army.mil/article/193339/army_to_rapidly_procure_reusable_shoulder_fired_weapon_system" TargetMode="External"/><Relationship Id="rId59" Type="http://schemas.openxmlformats.org/officeDocument/2006/relationships/hyperlink" Target="https://www.thedefensepost.com/2022/05/03/lockheed-ramp-up-javelin-production/" TargetMode="External"/><Relationship Id="rId103" Type="http://schemas.openxmlformats.org/officeDocument/2006/relationships/hyperlink" Target="https://en.wikipedia.org/wiki/RPG-7" TargetMode="External"/><Relationship Id="rId124" Type="http://schemas.openxmlformats.org/officeDocument/2006/relationships/hyperlink" Target="https://tanks-encyclopedia.com/modern/south_africa/mamba_apc" TargetMode="External"/><Relationship Id="rId310" Type="http://schemas.openxmlformats.org/officeDocument/2006/relationships/hyperlink" Target="https://www.thetimes.co.uk/article/15m-army-drones-grounded-by-rain-rnbfsnq23" TargetMode="External"/><Relationship Id="rId70" Type="http://schemas.openxmlformats.org/officeDocument/2006/relationships/hyperlink" Target="https://www.wienerzeitung.at/nachrichten/politik/oesterreich/2146418-Oesterreich-schickte-Ukraine-Armeeausruestung.html" TargetMode="External"/><Relationship Id="rId91" Type="http://schemas.openxmlformats.org/officeDocument/2006/relationships/hyperlink" Target="https://www.asafm.army.mil/Portals/72/Documents/BudgetMaterial/2021/Base%20Budget/Procurement/MSLS_FY_2021_PB_Missile_Procurement_Army.pdf" TargetMode="External"/><Relationship Id="rId145" Type="http://schemas.openxmlformats.org/officeDocument/2006/relationships/hyperlink" Target="https://a5250379796602ad.en.made-in-china.com/product/oSpQOGHuhFYR/China-Portable-Ground-Surveillance-Radar-for-Border-Surveillance.html" TargetMode="External"/><Relationship Id="rId166" Type="http://schemas.openxmlformats.org/officeDocument/2006/relationships/hyperlink" Target="https://www.praxisdienst.de/Einrichtung/Ablegen+und+lagern/Medikamentenkuehlschraenke/Liebherr+MKUv+1610+Medikamentenkuehlschrank+mit+Fachboeden.html?speed=1&amp;gclid=Cj0KCQjwntCVBhDdARIsAMEwACmOKJaqbtWlmkE3PwceLhHIP9m3qGdulBKn1kImSy42c3gxKcXCRD4aAhIXEALw_wcB" TargetMode="External"/><Relationship Id="rId187" Type="http://schemas.openxmlformats.org/officeDocument/2006/relationships/hyperlink" Target="https://www.canada.ca/en/department-national-defence/news/2022/05/defence-minister-anita-anand-announces-additional-military-aid-for-ukraine.html" TargetMode="External"/><Relationship Id="rId331" Type="http://schemas.openxmlformats.org/officeDocument/2006/relationships/hyperlink" Target="https://www.defenceweb.co.za/land/land-land/morocco-to-receive-laser-rangefinders/" TargetMode="External"/><Relationship Id="rId352" Type="http://schemas.openxmlformats.org/officeDocument/2006/relationships/hyperlink" Target="https://www.asafm.army.mil/Portals/72/Documents/BudgetMaterial/2023/Base%20Budget/Procurement/MSLS_ARMY.pdf" TargetMode="External"/><Relationship Id="rId373" Type="http://schemas.openxmlformats.org/officeDocument/2006/relationships/hyperlink" Target="https://www.marketwatch.com/story/new-army-trucks-may-cost-350000-each-gao-2011-10-27" TargetMode="External"/><Relationship Id="rId394" Type="http://schemas.openxmlformats.org/officeDocument/2006/relationships/hyperlink" Target="https://armstrade.sipri.org/armstrade/page/trade_register.php" TargetMode="External"/><Relationship Id="rId408" Type="http://schemas.openxmlformats.org/officeDocument/2006/relationships/hyperlink" Target="https://armstrade.sipri.org/armstrade/page/trade_register.php" TargetMode="External"/><Relationship Id="rId429" Type="http://schemas.openxmlformats.org/officeDocument/2006/relationships/hyperlink" Target="https://ammopricesnow.com/556-nato/" TargetMode="External"/><Relationship Id="rId1" Type="http://schemas.openxmlformats.org/officeDocument/2006/relationships/hyperlink" Target="https://www.jpost.com/international/article-699010" TargetMode="External"/><Relationship Id="rId212" Type="http://schemas.openxmlformats.org/officeDocument/2006/relationships/hyperlink" Target="https://truegunvalue.com/pistol/805-bren/price-historical-value" TargetMode="External"/><Relationship Id="rId233" Type="http://schemas.openxmlformats.org/officeDocument/2006/relationships/hyperlink" Target="https://armstrade.sipri.org/armstrade/page/trade_register.php" TargetMode="External"/><Relationship Id="rId254" Type="http://schemas.openxmlformats.org/officeDocument/2006/relationships/hyperlink" Target="https://www.ammunitiondepot.com/304-762x39mm" TargetMode="External"/><Relationship Id="rId28" Type="http://schemas.openxmlformats.org/officeDocument/2006/relationships/hyperlink" Target="https://www.newsy.com/stories/how-much-money-should-you-actually-be-investing-in-a-winter-coat/" TargetMode="External"/><Relationship Id="rId49" Type="http://schemas.openxmlformats.org/officeDocument/2006/relationships/hyperlink" Target="http://www.army-guide.com/eng/product4461.html" TargetMode="External"/><Relationship Id="rId114" Type="http://schemas.openxmlformats.org/officeDocument/2006/relationships/hyperlink" Target="https://www.amazon.com/s?k=surgical+gloves&amp;crid=339VHKCNRBO5O&amp;sprefix=surgical+glove%2Caps%2C200&amp;ref=nb_sb_noss_1" TargetMode="External"/><Relationship Id="rId275" Type="http://schemas.openxmlformats.org/officeDocument/2006/relationships/hyperlink" Target="https://www.asafm.army.mil/Portals/72/Documents/BudgetMaterial/2023/Base%20Budget/Procurement/OPA_BA3_4_Other_Support_Equipment.pdf" TargetMode="External"/><Relationship Id="rId296" Type="http://schemas.openxmlformats.org/officeDocument/2006/relationships/hyperlink" Target="https://foreignpolicy.com/2009/12/31/observation-of-the-day-on-brewing-coffee-with-c4/" TargetMode="External"/><Relationship Id="rId300" Type="http://schemas.openxmlformats.org/officeDocument/2006/relationships/hyperlink" Target="https://stocktonhistoricalmaritimemuseum.org/about/uss-lucid/stats/" TargetMode="External"/><Relationship Id="rId60" Type="http://schemas.openxmlformats.org/officeDocument/2006/relationships/hyperlink" Target="https://www.thesoldiersproject.org/how-much-does-a-military-humvee-cost/" TargetMode="External"/><Relationship Id="rId81" Type="http://schemas.openxmlformats.org/officeDocument/2006/relationships/hyperlink" Target="https://www.peterdutton.com.au/australia-to-provide-armoured-personnel-carriers-and-more-bushmasters-to-ukraine/" TargetMode="External"/><Relationship Id="rId135" Type="http://schemas.openxmlformats.org/officeDocument/2006/relationships/hyperlink" Target="https://www.vabusinesssystems.com/how-much-does-a-voip-phone-system-cost" TargetMode="External"/><Relationship Id="rId156" Type="http://schemas.openxmlformats.org/officeDocument/2006/relationships/hyperlink" Target="https://www.jpost.com/opinion/op-ed-contributors/bankrupting-terrorism-one-interception-at-a-time" TargetMode="External"/><Relationship Id="rId177" Type="http://schemas.openxmlformats.org/officeDocument/2006/relationships/hyperlink" Target="https://armstrade.sipri.org/armstrade/page/trade_register.php" TargetMode="External"/><Relationship Id="rId198" Type="http://schemas.openxmlformats.org/officeDocument/2006/relationships/hyperlink" Target="https://www.canada.ca/en/department-national-defence/news/2022/05/defence-minister-anita-anand-announces-additional-military-aid-for-ukraine.html" TargetMode="External"/><Relationship Id="rId321" Type="http://schemas.openxmlformats.org/officeDocument/2006/relationships/hyperlink" Target="https://www.kyivpost.com/ukraine-politics/u-s-donates-2500-night-vision-devices-ukraines-armed-forces-video.html" TargetMode="External"/><Relationship Id="rId342" Type="http://schemas.openxmlformats.org/officeDocument/2006/relationships/hyperlink" Target="https://media.defense.gov/2022/Nov/04/2003108893/-1/-1/0/USAI-7-CZE-TANKS-US-NLD-CZE-PRESS-STATEMENT.PDF" TargetMode="External"/><Relationship Id="rId363" Type="http://schemas.openxmlformats.org/officeDocument/2006/relationships/hyperlink" Target="http://www.military-today.com/firearms/mg3.htm" TargetMode="External"/><Relationship Id="rId384" Type="http://schemas.openxmlformats.org/officeDocument/2006/relationships/hyperlink" Target="https://armstrade.sipri.org/armstrade/page/trade_register.php" TargetMode="External"/><Relationship Id="rId419" Type="http://schemas.openxmlformats.org/officeDocument/2006/relationships/hyperlink" Target="https://www.gov.uk/government/speeches/defence-secretary-oral-statement-on-war-in-ukraine--2" TargetMode="External"/><Relationship Id="rId202" Type="http://schemas.openxmlformats.org/officeDocument/2006/relationships/hyperlink" Target="https://www.ebay.com/itm/252996466305?hash=item3ae7c3b681:g:DGIAAOSwDrNZU34G" TargetMode="External"/><Relationship Id="rId223" Type="http://schemas.openxmlformats.org/officeDocument/2006/relationships/hyperlink" Target="https://foreignpolicy.com/2009/12/31/observation-of-the-day-on-brewing-coffee-with-c4/" TargetMode="External"/><Relationship Id="rId244" Type="http://schemas.openxmlformats.org/officeDocument/2006/relationships/hyperlink" Target="https://man.fas.org/dod-101/sys/land/m224.htm" TargetMode="External"/><Relationship Id="rId430" Type="http://schemas.openxmlformats.org/officeDocument/2006/relationships/hyperlink" Target="https://truckandtrailerleads.com/military-lowboy-trailer-a-comprehensive-guide-to-buying-and-using-a-truck-with-a-lowboy-trailer/" TargetMode="External"/><Relationship Id="rId18" Type="http://schemas.openxmlformats.org/officeDocument/2006/relationships/hyperlink" Target="https://www.amazon.com/s?k=bio+protective+suit&amp;__mk_de_DE=%C3%85M%C3%85%C5%BD%C3%95%C3%91&amp;crid=2MJA43R80NRVA&amp;sprefix=bio+protective+suit%2Caps%2C215&amp;ref=nb_sb_noss_1" TargetMode="External"/><Relationship Id="rId39" Type="http://schemas.openxmlformats.org/officeDocument/2006/relationships/hyperlink" Target="https://military-history.fandom.com/wiki/Panzerfaust_3" TargetMode="External"/><Relationship Id="rId265" Type="http://schemas.openxmlformats.org/officeDocument/2006/relationships/hyperlink" Target="https://books.google.de/books?id=8J43AAAAIAAJ&amp;pg=PA4558&amp;lpg=PA4558&amp;dq=oerlikon+35+mm+ammunition+cost&amp;source=bl&amp;ots=AckNN2-QzT&amp;sig=ACfU3U3R0hGRH6Ksb8A4zR7RyTB_hML2MA&amp;hl=en&amp;sa=X&amp;ved=2ahUKEwjhucjeza35AhXvMuwKHbDKC1YQ6AF6BAg_EAM" TargetMode="External"/><Relationship Id="rId286" Type="http://schemas.openxmlformats.org/officeDocument/2006/relationships/hyperlink" Target="https://www.airuniversity.af.edu/Portals/10/ASPJ/journals/Chronicles/ucav.pdf" TargetMode="External"/><Relationship Id="rId50" Type="http://schemas.openxmlformats.org/officeDocument/2006/relationships/hyperlink" Target="http://www.zvi.cz/en/products/sniper-rifle-falcon.html" TargetMode="External"/><Relationship Id="rId104" Type="http://schemas.openxmlformats.org/officeDocument/2006/relationships/hyperlink" Target="https://www.ammunitiondepot.com/304-762x39mm" TargetMode="External"/><Relationship Id="rId125" Type="http://schemas.openxmlformats.org/officeDocument/2006/relationships/hyperlink" Target="https://www.jouav.com/blog/heavy-lift-drone.html" TargetMode="External"/><Relationship Id="rId146" Type="http://schemas.openxmlformats.org/officeDocument/2006/relationships/hyperlink" Target="https://en.wikipedia.org/wiki/Claymore_mine" TargetMode="External"/><Relationship Id="rId167" Type="http://schemas.openxmlformats.org/officeDocument/2006/relationships/hyperlink" Target="https://www.docmorris.de/fastjekt-300-g-autoinjektor-injlsgim/09738902" TargetMode="External"/><Relationship Id="rId188" Type="http://schemas.openxmlformats.org/officeDocument/2006/relationships/hyperlink" Target="https://www.globalsecurity.org/military/world/taiwan/cm21-variants.htm" TargetMode="External"/><Relationship Id="rId311" Type="http://schemas.openxmlformats.org/officeDocument/2006/relationships/hyperlink" Target="https://www.asafm.army.mil/Portals/72/Documents/BudgetMaterial/2021/Base%20Budget/Procurement/MSLS_FY_2021_PB_Missile_Procurement_Army.pdf" TargetMode="External"/><Relationship Id="rId332" Type="http://schemas.openxmlformats.org/officeDocument/2006/relationships/hyperlink" Target="https://weaponsystems.net/system/475-Barrett+M82" TargetMode="External"/><Relationship Id="rId353" Type="http://schemas.openxmlformats.org/officeDocument/2006/relationships/hyperlink" Target="http://www.cgri.gr/435833_69-0/MITOS2.HTM" TargetMode="External"/><Relationship Id="rId374" Type="http://schemas.openxmlformats.org/officeDocument/2006/relationships/hyperlink" Target="https://www.military.africa/2022/10/nigerian-army-acquires-medium-girder-bridge-from-uk-to-boost-logistics/" TargetMode="External"/><Relationship Id="rId395" Type="http://schemas.openxmlformats.org/officeDocument/2006/relationships/hyperlink" Target="https://www.ojp.gov/pdffiles1/nij/189725.pdf" TargetMode="External"/><Relationship Id="rId409" Type="http://schemas.openxmlformats.org/officeDocument/2006/relationships/hyperlink" Target="https://www.csis.org/analysis/patriot-ukraine-what-does-it-mean" TargetMode="External"/><Relationship Id="rId71" Type="http://schemas.openxmlformats.org/officeDocument/2006/relationships/hyperlink" Target="http://army-warehouse.com/10-servicecard-artikel/226-osterr-bundesheer-splitter-schutzweste-kampfweste-obh.html?msclkid=6fe95c5ecf7111ecbc7bf25f9bd8a5b5" TargetMode="External"/><Relationship Id="rId92" Type="http://schemas.openxmlformats.org/officeDocument/2006/relationships/hyperlink" Target="https://www.inetres.com/gp/military/infantry/mortar/60mm.html" TargetMode="External"/><Relationship Id="rId213" Type="http://schemas.openxmlformats.org/officeDocument/2006/relationships/hyperlink" Target="https://truegunvalue.com/pistol/cz-evo-3/price-historical-value" TargetMode="External"/><Relationship Id="rId234" Type="http://schemas.openxmlformats.org/officeDocument/2006/relationships/hyperlink" Target="https://armstrade.sipri.org/armstrade/page/trade_register.php" TargetMode="External"/><Relationship Id="rId420" Type="http://schemas.openxmlformats.org/officeDocument/2006/relationships/hyperlink" Target="https://www.gov.uk/government/speeches/defence-secretary-oral-statement-on-war-in-ukraine--2" TargetMode="External"/><Relationship Id="rId2" Type="http://schemas.openxmlformats.org/officeDocument/2006/relationships/hyperlink" Target="https://www.militaryfactory.com/smallarms/detail.php?smallarms_id=18" TargetMode="External"/><Relationship Id="rId29" Type="http://schemas.openxmlformats.org/officeDocument/2006/relationships/hyperlink" Target="https://www.globalpetrolprices.com/diesel_prices/" TargetMode="External"/><Relationship Id="rId255" Type="http://schemas.openxmlformats.org/officeDocument/2006/relationships/hyperlink" Target="https://www.theakforum.net/threads/for-sale-sv43-czech-incendiary-tracer-rounds-7-62x39.325660/" TargetMode="External"/><Relationship Id="rId276" Type="http://schemas.openxmlformats.org/officeDocument/2006/relationships/hyperlink" Target="https://en.wikipedia.org/wiki/AIM-120_AMRAAM" TargetMode="External"/><Relationship Id="rId297" Type="http://schemas.openxmlformats.org/officeDocument/2006/relationships/hyperlink" Target="https://www.thedefensepost.com/2022/05/03/lockheed-ramp-up-javelin-production/" TargetMode="External"/><Relationship Id="rId40" Type="http://schemas.openxmlformats.org/officeDocument/2006/relationships/hyperlink" Target="https://www.luckygunner.com/rifle/5.56x45-ammo" TargetMode="External"/><Relationship Id="rId115" Type="http://schemas.openxmlformats.org/officeDocument/2006/relationships/hyperlink" Target="https://www.amazon.com/dp/B0B1GXZXPX/ref=sspa_dk_detail_0?psc=1&amp;pd_rd_i=B0B1GXZXPX&amp;pd_rd_w=8Luot&amp;content-id=amzn1.sym.46bad5f6-1f0a-4167-9a8b-c8a82fa48a54&amp;pf_rd_p=46bad5f6-1f0a-4167-9a8b-c8a82fa48a54&amp;pf_rd_r=KPTZZRY2RHA3S7A9N81M&amp;pd_rd_wg=0rtva&amp;pd_rd_r=2e01c8ed-97c3-43c5-85ac-23e35fef55bb&amp;s=hi&amp;sp_csd=d2lkZ2V0TmFtZT1zcF9kZXRhaWw" TargetMode="External"/><Relationship Id="rId136" Type="http://schemas.openxmlformats.org/officeDocument/2006/relationships/hyperlink" Target="https://www.forbes.com/home-improvement/electrical/generator-cost-guide/" TargetMode="External"/><Relationship Id="rId157" Type="http://schemas.openxmlformats.org/officeDocument/2006/relationships/hyperlink" Target="https://www.ncbi.nlm.nih.gov/pmc/articles/PMC7305019/" TargetMode="External"/><Relationship Id="rId178" Type="http://schemas.openxmlformats.org/officeDocument/2006/relationships/hyperlink" Target="https://www.deagel.com/Artillery%20Systems/NASAMS/a000380" TargetMode="External"/><Relationship Id="rId301" Type="http://schemas.openxmlformats.org/officeDocument/2006/relationships/hyperlink" Target="https://www.thedrive.com/the-war-zone/32277/here-is-what-each-of-the-pentagons-air-launched-missiles-and-bombs-actually-cost" TargetMode="External"/><Relationship Id="rId322" Type="http://schemas.openxmlformats.org/officeDocument/2006/relationships/hyperlink" Target="http://www.military-today.com/firearms/m72_law.htm" TargetMode="External"/><Relationship Id="rId343" Type="http://schemas.openxmlformats.org/officeDocument/2006/relationships/hyperlink" Target="https://armstrade.sipri.org/armstrade/page/trade_register.php" TargetMode="External"/><Relationship Id="rId364" Type="http://schemas.openxmlformats.org/officeDocument/2006/relationships/hyperlink" Target="https://www.varusteleka.com/en/product/field-phone-cable-100-m-300-surplus/70446" TargetMode="External"/><Relationship Id="rId61" Type="http://schemas.openxmlformats.org/officeDocument/2006/relationships/hyperlink" Target="https://foreignpolicy.com/2009/12/31/observation-of-the-day-on-brewing-coffee-with-c4/" TargetMode="External"/><Relationship Id="rId82" Type="http://schemas.openxmlformats.org/officeDocument/2006/relationships/hyperlink" Target="https://www.defense.gov/News/Contracts/Contract/Article/2185990/" TargetMode="External"/><Relationship Id="rId199" Type="http://schemas.openxmlformats.org/officeDocument/2006/relationships/hyperlink" Target="https://www.thedefensepost.com/2022/05/03/lockheed-ramp-up-javelin-production/" TargetMode="External"/><Relationship Id="rId203" Type="http://schemas.openxmlformats.org/officeDocument/2006/relationships/hyperlink" Target="https://www.amazon.de/-/en/ADLER-Disinfectant-Litres-according-Formula/dp/B088FXV6XT?th=1" TargetMode="External"/><Relationship Id="rId385" Type="http://schemas.openxmlformats.org/officeDocument/2006/relationships/hyperlink" Target="https://www.washingtonpost.com/politics/2022/04/08/us-quietly-paying-millions-send-starlink-terminals-ukraine-contrary-spacexs-claims/" TargetMode="External"/><Relationship Id="rId19" Type="http://schemas.openxmlformats.org/officeDocument/2006/relationships/hyperlink" Target="https://www.theguardian.com/world/2022/mar/23/uk-doubles-number-of-missiles-sent-to-ukraine-ahead-of-nato-summit" TargetMode="External"/><Relationship Id="rId224" Type="http://schemas.openxmlformats.org/officeDocument/2006/relationships/hyperlink" Target="https://inetres.com/gp/military/infantry/antiarmor/AT4.html" TargetMode="External"/><Relationship Id="rId245" Type="http://schemas.openxmlformats.org/officeDocument/2006/relationships/hyperlink" Target="https://www.todayonline.com/singapore/us-approves-s926-million-sale-precision-guided-mortar-rounds-singapore" TargetMode="External"/><Relationship Id="rId266" Type="http://schemas.openxmlformats.org/officeDocument/2006/relationships/hyperlink" Target="https://armstrade.sipri.org/armstrade/page/trade_register.php" TargetMode="External"/><Relationship Id="rId287" Type="http://schemas.openxmlformats.org/officeDocument/2006/relationships/hyperlink" Target="https://www.airforce-technology.com/news/czech-republic-to-buy-iron-dome-from-israel/" TargetMode="External"/><Relationship Id="rId410" Type="http://schemas.openxmlformats.org/officeDocument/2006/relationships/hyperlink" Target="https://mezha.media/en/2022/11/24/mim-104-patriot-air-defense-poland/" TargetMode="External"/><Relationship Id="rId431" Type="http://schemas.openxmlformats.org/officeDocument/2006/relationships/hyperlink" Target="https://ammopricesnow.com/556-nato/" TargetMode="External"/><Relationship Id="rId30" Type="http://schemas.openxmlformats.org/officeDocument/2006/relationships/hyperlink" Target="https://www.sparks-military.com/en/body-armor/154-m-69-fragmentation-vest-flak-jacket.html" TargetMode="External"/><Relationship Id="rId105" Type="http://schemas.openxmlformats.org/officeDocument/2006/relationships/hyperlink" Target="https://www.globalsecurity.org/military/world/europe/aspide.htm" TargetMode="External"/><Relationship Id="rId126" Type="http://schemas.openxmlformats.org/officeDocument/2006/relationships/hyperlink" Target="https://www.ebay.com/b/Military-Gas-Mask/158440/bn_55190958" TargetMode="External"/><Relationship Id="rId147" Type="http://schemas.openxmlformats.org/officeDocument/2006/relationships/hyperlink" Target="https://www.howmuchisit.org/metal-detector-cost/" TargetMode="External"/><Relationship Id="rId168" Type="http://schemas.openxmlformats.org/officeDocument/2006/relationships/hyperlink" Target="https://www.made-in-china.com/products-search/hot-china-products/Uav_Drone_Jammer.html" TargetMode="External"/><Relationship Id="rId312" Type="http://schemas.openxmlformats.org/officeDocument/2006/relationships/hyperlink" Target="https://www.amazon.com/GUARD-SHIELD-Medium-Purpose-Waterproof/dp/B0974LGBDM/ref=sxin_15_pa_sp_search_thematic_sspa?content-id=amzn1.sym.b5b80b36-fed9-4412-8be2-fe5bba09d25a%3Aamzn1.sym.b5b80b36-fed9-4412-8be2-fe5bba09d25a&amp;crid=1Y6ZMUK89WH8A&amp;cv_ct_cx=tarpaulin&amp;keywords=tarpaulin&amp;pd_rd_i=B0974LGBDM&amp;pd_rd_r=4ee90763-05e6-409c-bb1c-9075d3062221&amp;pd_rd_w=85ApN&amp;pd_rd_wg=UtiJn&amp;pf_rd_p=b5b80b36-fed9-4412-8be2-fe5bba09d25a&amp;pf_rd_r=3QEFJPT5JX03S1GD04F7&amp;qid=1667485169&amp;qu=eyJxc2MiOiI1LjM2IiwicXNhIjoiNS40NyIsInFzcCI6IjQuOTcifQ%3D%3D&amp;sprefix=tarpaulin%2Caps%2C198&amp;sr=1-1-a73d1c8c-2fd2-4f19-aa41-2df022bcb241-spons&amp;th=1" TargetMode="External"/><Relationship Id="rId333" Type="http://schemas.openxmlformats.org/officeDocument/2006/relationships/hyperlink" Target="https://www.militarytimes.com/off-duty/gearscout/2022/05/12/panzerfaust-3-the-cold-war-weapon-wrecking-russian-tanks-in-ukraine/" TargetMode="External"/><Relationship Id="rId354" Type="http://schemas.openxmlformats.org/officeDocument/2006/relationships/hyperlink" Target="https://www.amazon.com/s?k=military+binoculars&amp;crid=3T1LN1ST9UR4L&amp;sprefix=military+binoculars%2Caps%2C161&amp;ref=nb_sb_noss_1" TargetMode="External"/><Relationship Id="rId51" Type="http://schemas.openxmlformats.org/officeDocument/2006/relationships/hyperlink" Target="https://www.waffenschumacher.com/wp-content/uploads/2017/10/VISIER_CSA_Czech-Small-Arms-Sa-vz.58-11-2013.pdf" TargetMode="External"/><Relationship Id="rId72" Type="http://schemas.openxmlformats.org/officeDocument/2006/relationships/hyperlink" Target="https://www.newdelhitimes.com/portuguese-army-acquires-vamtac/" TargetMode="External"/><Relationship Id="rId93" Type="http://schemas.openxmlformats.org/officeDocument/2006/relationships/hyperlink" Target="https://spectator.sme.sk/c/22842829/slovakia-will-send-mine-clearance-systems-and-healthcare-material-to-ukraine.html" TargetMode="External"/><Relationship Id="rId189" Type="http://schemas.openxmlformats.org/officeDocument/2006/relationships/hyperlink" Target="https://www.defensenews.com/global/2017/10/02/taiwan-acquires-orbital-atk-cannons-for-local-vehicle-program/" TargetMode="External"/><Relationship Id="rId375" Type="http://schemas.openxmlformats.org/officeDocument/2006/relationships/hyperlink" Target="https://a5250379796602ad.en.made-in-china.com/product/oSpQOGHuhFYR/China-Portable-Ground-Surveillance-Radar-for-Border-Surveillance.html" TargetMode="External"/><Relationship Id="rId396" Type="http://schemas.openxmlformats.org/officeDocument/2006/relationships/hyperlink" Target="https://www.ojp.gov/pdffiles1/nij/189725.pdf" TargetMode="External"/><Relationship Id="rId3" Type="http://schemas.openxmlformats.org/officeDocument/2006/relationships/hyperlink" Target="https://www.strategypage.com/htmw/htweap/20141105.aspx" TargetMode="External"/><Relationship Id="rId214" Type="http://schemas.openxmlformats.org/officeDocument/2006/relationships/hyperlink" Target="https://en.wikipedia.org/wiki/RK_62" TargetMode="External"/><Relationship Id="rId235" Type="http://schemas.openxmlformats.org/officeDocument/2006/relationships/hyperlink" Target="https://armstrade.sipri.org/armstrade/page/trade_register.php" TargetMode="External"/><Relationship Id="rId256" Type="http://schemas.openxmlformats.org/officeDocument/2006/relationships/hyperlink" Target="https://classic.ammoseek.com/ammo/32acp" TargetMode="External"/><Relationship Id="rId277" Type="http://schemas.openxmlformats.org/officeDocument/2006/relationships/hyperlink" Target="https://armstrade.sipri.org/armstrade/page/trade_register.php" TargetMode="External"/><Relationship Id="rId298" Type="http://schemas.openxmlformats.org/officeDocument/2006/relationships/hyperlink" Target="https://mil.in.ua/en/news/germany-plans-to-supply-ukraine-with-cobra-counter-battery-radars/" TargetMode="External"/><Relationship Id="rId400" Type="http://schemas.openxmlformats.org/officeDocument/2006/relationships/hyperlink" Target="https://www.theguardian.com/world/2022/nov/03/a-joke-that-went-out-of-control-crowdfunding-weapons-for-ukraines-war" TargetMode="External"/><Relationship Id="rId421" Type="http://schemas.openxmlformats.org/officeDocument/2006/relationships/hyperlink" Target="https://en.wikipedia.org/wiki/Archer_Artillery_System" TargetMode="External"/><Relationship Id="rId116" Type="http://schemas.openxmlformats.org/officeDocument/2006/relationships/hyperlink" Target="https://www.wiwo.de/politik/deutschland/140-millionen-euro-teures-luftabwehrsystem-ukraine-erwartet-im-oktober-erste-iris-t-lieferung/28393480.html.%20https:/mil.in.ua/en/news/iris-t-slm-medium-range-air-defense-system-germany-released-an-updated-list-of-weapons-for-ukraine/" TargetMode="External"/><Relationship Id="rId137" Type="http://schemas.openxmlformats.org/officeDocument/2006/relationships/hyperlink" Target="https://www.angi.com/articles/how-much-does-tv-antenna-installation-cost.htm" TargetMode="External"/><Relationship Id="rId158" Type="http://schemas.openxmlformats.org/officeDocument/2006/relationships/hyperlink" Target="https://www.indiamart.com/proddetail/radio-frequency-system-8336728762.html" TargetMode="External"/><Relationship Id="rId302" Type="http://schemas.openxmlformats.org/officeDocument/2006/relationships/hyperlink" Target="https://armstrade.sipri.org/armstrade/page/trade_register.php" TargetMode="External"/><Relationship Id="rId323" Type="http://schemas.openxmlformats.org/officeDocument/2006/relationships/hyperlink" Target="http://www.military-today.com/firearms/m72_law.htm" TargetMode="External"/><Relationship Id="rId344" Type="http://schemas.openxmlformats.org/officeDocument/2006/relationships/hyperlink" Target="https://www.armormax.com/blog/how-much-does-a-bulletproof-car-cost/" TargetMode="External"/><Relationship Id="rId20" Type="http://schemas.openxmlformats.org/officeDocument/2006/relationships/hyperlink" Target="http://www.military-today.com/firearms/mg3.htm" TargetMode="External"/><Relationship Id="rId41" Type="http://schemas.openxmlformats.org/officeDocument/2006/relationships/hyperlink" Target="https://en.wikipedia.org/wiki/Comparison_of_the_AK-47_and_M16" TargetMode="External"/><Relationship Id="rId62" Type="http://schemas.openxmlformats.org/officeDocument/2006/relationships/hyperlink" Target="https://www.dsca.mil/sites/default/files/mas/jordan_15-02.pdf" TargetMode="External"/><Relationship Id="rId83" Type="http://schemas.openxmlformats.org/officeDocument/2006/relationships/hyperlink" Target="https://www.dsca.mil/press-media/major-arms-sales/egypt-harpoon-block-ii-anti-ship-cruise-missiles" TargetMode="External"/><Relationship Id="rId179" Type="http://schemas.openxmlformats.org/officeDocument/2006/relationships/hyperlink" Target="https://www.tpsgc-pwgsc.gc.ca/app-acq/amd-dp/vbsc-acsv-eng.html" TargetMode="External"/><Relationship Id="rId365" Type="http://schemas.openxmlformats.org/officeDocument/2006/relationships/hyperlink" Target="https://getnightride.com/blogs/nightride-blog/best-thermal-imaging-camera-value" TargetMode="External"/><Relationship Id="rId386" Type="http://schemas.openxmlformats.org/officeDocument/2006/relationships/hyperlink" Target="https://uklandpower.com/2018/01/11/a-guide-to-modern-mortar-systems/" TargetMode="External"/><Relationship Id="rId190" Type="http://schemas.openxmlformats.org/officeDocument/2006/relationships/hyperlink" Target="https://www.seaforces.org/wpnsys/SURFACE/DS30M-30mm-gun-UK.htm" TargetMode="External"/><Relationship Id="rId204" Type="http://schemas.openxmlformats.org/officeDocument/2006/relationships/hyperlink" Target="https://www.alibaba.com/product-detail/Medical-Children-Clinic-Bed-Manual-Children_62180451022.html?spm=a2700.7724857.normal_offer.d_title.30c23ac4FuVEM5" TargetMode="External"/><Relationship Id="rId225" Type="http://schemas.openxmlformats.org/officeDocument/2006/relationships/hyperlink" Target="https://www.thefirearmblog.com/blog/2008/12/05/40mm-m320-grenade-launcher-will-be-replace-m203-next-year/%20;%20https:/web.archive.org/web/20110723004716/http:/www.airtronic.net/documents/Delivery_Order.pdf" TargetMode="External"/><Relationship Id="rId246" Type="http://schemas.openxmlformats.org/officeDocument/2006/relationships/hyperlink" Target="https://www.ukrinform.net/rubric-ato/3491327-canada-to-give-ukraine-over-20000-155-mm-shells.html" TargetMode="External"/><Relationship Id="rId267" Type="http://schemas.openxmlformats.org/officeDocument/2006/relationships/hyperlink" Target="https://armstrade.sipri.org/armstrade/page/trade_register.php" TargetMode="External"/><Relationship Id="rId288" Type="http://schemas.openxmlformats.org/officeDocument/2006/relationships/hyperlink" Target="https://bigtruckrental.com/rear-loader-garbage-truck-rental-service/how-much-does-a-new-rear-loader-garbage-truck-cost/" TargetMode="External"/><Relationship Id="rId411" Type="http://schemas.openxmlformats.org/officeDocument/2006/relationships/hyperlink" Target="https://man.fas.org/dod-101/sys/land/m224.htm" TargetMode="External"/><Relationship Id="rId432" Type="http://schemas.openxmlformats.org/officeDocument/2006/relationships/hyperlink" Target="https://www.militaryaerospace.com/sensors/article/14196524/electrooptical-targeting-attack-helicopters" TargetMode="External"/><Relationship Id="rId106" Type="http://schemas.openxmlformats.org/officeDocument/2006/relationships/hyperlink" Target="https://weaponsystems.net/system/475-Barrett+M82" TargetMode="External"/><Relationship Id="rId127" Type="http://schemas.openxmlformats.org/officeDocument/2006/relationships/hyperlink" Target="https://www.drugs.com/price-guide/azithromycin-dose-pack" TargetMode="External"/><Relationship Id="rId313" Type="http://schemas.openxmlformats.org/officeDocument/2006/relationships/hyperlink" Target="https://www.asafm.army.mil/Portals/72/Documents/BudgetMaterial/2021/Base%20Budget/Procurement/MSLS_FY_2021_PB_Missile_Procurement_Army.pdf" TargetMode="External"/><Relationship Id="rId10" Type="http://schemas.openxmlformats.org/officeDocument/2006/relationships/hyperlink" Target="https://www.aerzte-ohne-grenzen.de/sites/default/files/mediathek/entity/document/1998-01-bosnia-report-donation-practices.pdf" TargetMode="External"/><Relationship Id="rId31" Type="http://schemas.openxmlformats.org/officeDocument/2006/relationships/hyperlink" Target="https://www.bw-online-shop.com/outdoor/outdoorkueche/verpflegung/epa-einmannpackung-typ-2.html" TargetMode="External"/><Relationship Id="rId52" Type="http://schemas.openxmlformats.org/officeDocument/2006/relationships/hyperlink" Target="https://truegunvalue.com/rifle/dragunov/price-historical-value" TargetMode="External"/><Relationship Id="rId73" Type="http://schemas.openxmlformats.org/officeDocument/2006/relationships/hyperlink" Target="https://military-today.com/artillery/dana.htm" TargetMode="External"/><Relationship Id="rId94" Type="http://schemas.openxmlformats.org/officeDocument/2006/relationships/hyperlink" Target="https://engineerine.com/switchblade-will-turn-the-tide-in-ukraine/" TargetMode="External"/><Relationship Id="rId148" Type="http://schemas.openxmlformats.org/officeDocument/2006/relationships/hyperlink" Target="https://www.ammograb.com/762x51mm-nato/" TargetMode="External"/><Relationship Id="rId169" Type="http://schemas.openxmlformats.org/officeDocument/2006/relationships/hyperlink" Target="https://www.amazon.de/First-Boxes-Contents-according-13157/dp/B09JZKG84C/ref=sr_1_1_sspa?adgrpid=83827895404&amp;gclid=Cj0KCQjwntCVBhDdARIsAMEwACk2bt6E62FjoUVnx4hAM8fNlU9uHMkdNXGNk_yIBwENVDc98WeI9vkaAl0OEALw_wcB&amp;hvadid=394830971024&amp;hvdev=c&amp;hvlocphy=9061132&amp;hvnetw=g&amp;hvqmt=b&amp;hvrand=15040397051256604446&amp;hvtargid=kwd-14883146&amp;hydadcr=4261_1714685&amp;keywords=verbandskasten&amp;qid=1655989411&amp;sr=8-1-spons&amp;psc=1&amp;spLa=ZW5jcnlwdGVkUXVhbGlmaWVyPUFaVkYyNjI0RE1FT1QmZW5jcnlwdGVkSWQ9QTA0MTU0ODcxVkk2RjdJUTRWWVNJJmVuY3J5cHRlZEFkSWQ9QTA0NzgxOTQyMFYwMUw3R1M0QjBTJndpZGdldE5hbWU9c3BfYXRmJmFjdGlvbj1jbGlja1JlZGlyZWN0JmRvTm90TG9nQ2xpY2s9dHJ1ZQ==" TargetMode="External"/><Relationship Id="rId334" Type="http://schemas.openxmlformats.org/officeDocument/2006/relationships/hyperlink" Target="https://en.wikipedia.org/wiki/M240_machine_gun" TargetMode="External"/><Relationship Id="rId355" Type="http://schemas.openxmlformats.org/officeDocument/2006/relationships/hyperlink" Target="https://www.armytimes.com/news/your-army/2019/04/16/heres-the-new-helmet-that-socom-operators-will-take-into-battle/" TargetMode="External"/><Relationship Id="rId376" Type="http://schemas.openxmlformats.org/officeDocument/2006/relationships/hyperlink" Target="https://www.marketwatch.com/story/new-army-trucks-may-cost-350000-each-gao-2011-10-27" TargetMode="External"/><Relationship Id="rId397" Type="http://schemas.openxmlformats.org/officeDocument/2006/relationships/hyperlink" Target="https://www.rferl.org/a/ukraine-anti-drone-gun-russia-war/31912255.html" TargetMode="External"/><Relationship Id="rId4" Type="http://schemas.openxmlformats.org/officeDocument/2006/relationships/hyperlink" Target="https://en.wikipedia.org/wiki/M67_grenade" TargetMode="External"/><Relationship Id="rId180" Type="http://schemas.openxmlformats.org/officeDocument/2006/relationships/hyperlink" Target="https://www.canada.ca/en/department-national-defence/news/2022/06/minister-anand-announces-further-military-aid-for-ukraine.html" TargetMode="External"/><Relationship Id="rId215" Type="http://schemas.openxmlformats.org/officeDocument/2006/relationships/hyperlink" Target="https://www.bulkammo.com/rifle/bulk-7.62x39mm-ammo" TargetMode="External"/><Relationship Id="rId236" Type="http://schemas.openxmlformats.org/officeDocument/2006/relationships/hyperlink" Target="https://armstrade.sipri.org/armstrade/page/trade_register.php" TargetMode="External"/><Relationship Id="rId257" Type="http://schemas.openxmlformats.org/officeDocument/2006/relationships/hyperlink" Target="https://armstrade.sipri.org/armstrade/page/trade_register.php" TargetMode="External"/><Relationship Id="rId278" Type="http://schemas.openxmlformats.org/officeDocument/2006/relationships/hyperlink" Target="https://taskandpurpose.com/news/ac-130-gunship-105mm-cannon/" TargetMode="External"/><Relationship Id="rId401" Type="http://schemas.openxmlformats.org/officeDocument/2006/relationships/hyperlink" Target="https://www.sip.net/2022-new-forklift-price-how-much-you-can-expect-to-pay/" TargetMode="External"/><Relationship Id="rId422" Type="http://schemas.openxmlformats.org/officeDocument/2006/relationships/hyperlink" Target="https://en.wikipedia.org/wiki/RIM-7_Sea_Sparrow" TargetMode="External"/><Relationship Id="rId303" Type="http://schemas.openxmlformats.org/officeDocument/2006/relationships/hyperlink" Target="https://www.dsca.mil/press-media/major-arms-sales/finland-guided-multiple-launch-rocket-system-gmlrs-m31a1-unitary-and" TargetMode="External"/><Relationship Id="rId42" Type="http://schemas.openxmlformats.org/officeDocument/2006/relationships/hyperlink" Target="https://hcpresources.medtronic.com/blog/high-acuity-ventilator-cost-guide" TargetMode="External"/><Relationship Id="rId84" Type="http://schemas.openxmlformats.org/officeDocument/2006/relationships/hyperlink" Target="https://www.deagel.com/Combat%20Aircraft/Mi-24/a000751" TargetMode="External"/><Relationship Id="rId138" Type="http://schemas.openxmlformats.org/officeDocument/2006/relationships/hyperlink" Target="https://www.amazon.de/-/en/Viablue-X-25-SILVER-POWER-CABLE/dp/B07ZYQWPZ9" TargetMode="External"/><Relationship Id="rId345" Type="http://schemas.openxmlformats.org/officeDocument/2006/relationships/hyperlink" Target="https://armstrade.sipri.org/armstrade/page/trade_register.php" TargetMode="External"/><Relationship Id="rId387" Type="http://schemas.openxmlformats.org/officeDocument/2006/relationships/hyperlink" Target="https://armstrade.sipri.org/armstrade/page/trade_register.php" TargetMode="External"/><Relationship Id="rId191" Type="http://schemas.openxmlformats.org/officeDocument/2006/relationships/hyperlink" Target="https://web.archive.org/web/20110723004716/http:/www.airtronic.net/documents/Delivery_Order.pdf" TargetMode="External"/><Relationship Id="rId205" Type="http://schemas.openxmlformats.org/officeDocument/2006/relationships/hyperlink" Target="https://www.ers.usda.gov/publications/pub-details/?pubid=43836%20and%20source%20for%20medical%20supplies:https://economictimes.indiatimes.com/news/politics-and-nation/india-provided-15-tonnes-of-medical-supplies-worth-rs-2-11-crore-to-coronavirus-hit-china-government/articleshow/74693578.cms?from=mdr" TargetMode="External"/><Relationship Id="rId247" Type="http://schemas.openxmlformats.org/officeDocument/2006/relationships/hyperlink" Target="https://www.ukrinform.net/rubric-ato/3491327-canada-to-give-ukraine-over-20000-155-mm-shells.html" TargetMode="External"/><Relationship Id="rId412" Type="http://schemas.openxmlformats.org/officeDocument/2006/relationships/hyperlink" Target="https://www.globalsecurity.org/military/systems/ground/m252-specs.htm" TargetMode="External"/><Relationship Id="rId107" Type="http://schemas.openxmlformats.org/officeDocument/2006/relationships/hyperlink" Target="https://www.globalpetrolprices.com/diesel_prices/" TargetMode="External"/><Relationship Id="rId289" Type="http://schemas.openxmlformats.org/officeDocument/2006/relationships/hyperlink" Target="https://www.frazerbilt.com/blog-ambulance-cost/" TargetMode="External"/><Relationship Id="rId11" Type="http://schemas.openxmlformats.org/officeDocument/2006/relationships/hyperlink" Target="https://www.amazon.de/s?k=liter+of+water&amp;crid=FSFX4B7W5MIB&amp;sprefix=liter+of+wate%2Caps%2C76&amp;ref=nb_sb_noss_2" TargetMode="External"/><Relationship Id="rId53" Type="http://schemas.openxmlformats.org/officeDocument/2006/relationships/hyperlink" Target="https://www.rockislandauction.com/detail/1039/2976/czech-uk-vz-59-semiautomatic-rifle" TargetMode="External"/><Relationship Id="rId149" Type="http://schemas.openxmlformats.org/officeDocument/2006/relationships/hyperlink" Target="https://www.ammograb.com/762x51mm-nato/" TargetMode="External"/><Relationship Id="rId314" Type="http://schemas.openxmlformats.org/officeDocument/2006/relationships/hyperlink" Target="https://www.army.mil/article/194221/new_40_mm_grenades_to_enhance_training_readiness" TargetMode="External"/><Relationship Id="rId356" Type="http://schemas.openxmlformats.org/officeDocument/2006/relationships/hyperlink" Target="https://www.ebay.de/itm/261421940408" TargetMode="External"/><Relationship Id="rId398" Type="http://schemas.openxmlformats.org/officeDocument/2006/relationships/hyperlink" Target="https://comptroller.defense.gov/Portals/45/Documents/defbudget/fy2021/fy2021_p1.pdf" TargetMode="External"/><Relationship Id="rId95" Type="http://schemas.openxmlformats.org/officeDocument/2006/relationships/hyperlink" Target="https://www.marketwatch.com/story/new-army-trucks-may-cost-350000-each-gao-2011-10-27" TargetMode="External"/><Relationship Id="rId160" Type="http://schemas.openxmlformats.org/officeDocument/2006/relationships/hyperlink" Target="https://kyiv.mfa.ee/en/2022/02/estonia-and-germany-to-donate-military-field-hospital-to-ukraine/" TargetMode="External"/><Relationship Id="rId216" Type="http://schemas.openxmlformats.org/officeDocument/2006/relationships/hyperlink" Target="https://www.rferl.org/a/ukraine-anti-drone-gun-russia-war/31912255.html" TargetMode="External"/><Relationship Id="rId423" Type="http://schemas.openxmlformats.org/officeDocument/2006/relationships/hyperlink" Target="https://airandspace.si.edu/collection-objects/zuni-missile/nasm_A19660160000" TargetMode="External"/><Relationship Id="rId258" Type="http://schemas.openxmlformats.org/officeDocument/2006/relationships/hyperlink" Target="https://armstrade.sipri.org/armstrade/page/trade_register.php" TargetMode="External"/><Relationship Id="rId22" Type="http://schemas.openxmlformats.org/officeDocument/2006/relationships/hyperlink" Target="https://engineerine.com/switchblade-will-turn-the-tide-in-ukraine/" TargetMode="External"/><Relationship Id="rId64" Type="http://schemas.openxmlformats.org/officeDocument/2006/relationships/hyperlink" Target="https://www.military-today.com/artillery/m777.htm" TargetMode="External"/><Relationship Id="rId118" Type="http://schemas.openxmlformats.org/officeDocument/2006/relationships/hyperlink" Target="https://nationalpost.com/news/canada/canadian-army-restricts-use-of-artillery-rounds-after-cracks-found-in-high-tech-shells-costing-150000-each" TargetMode="External"/><Relationship Id="rId325" Type="http://schemas.openxmlformats.org/officeDocument/2006/relationships/hyperlink" Target="https://www.canada.ca/en/department-national-defence/news/2022/05/defence-minister-anita-anand-announces-additional-military-aid-for-ukraine.html" TargetMode="External"/><Relationship Id="rId367" Type="http://schemas.openxmlformats.org/officeDocument/2006/relationships/hyperlink" Target="https://www.amazon.de/Bauschlauch-Feuerwehrschlauch-C-Storz-Schlauch-Industrieschlauch/dp/B07VS3J1FD/ref=asc_df_B07VS3J1FD/?tag=googshopde-21&amp;linkCode=df0&amp;hvadid=427668035407&amp;hvpos=&amp;hvnetw=g&amp;hvrand=1020688947190500949&amp;hvpone=&amp;hvptwo=&amp;hvqmt=&amp;hvdev=c&amp;hvdvcmdl=&amp;hvlocint=&amp;hvlocphy=1004113&amp;hvtargid=pla-1106289525352&amp;psc=1&amp;th=1&amp;psc=1&amp;tag=&amp;ref=&amp;adgrpid=99764524455&amp;hvpone=&amp;hvptwo=&amp;hvadid=427668035407&amp;hvpos=&amp;hvnetw=g&amp;hvrand=1020688947190500949&amp;hvqmt=&amp;hvdev=c&amp;hvdvcmdl=&amp;hvlocint=&amp;hvlocphy=1004113&amp;hvtargid=pla-1106289525352" TargetMode="External"/><Relationship Id="rId171" Type="http://schemas.openxmlformats.org/officeDocument/2006/relationships/hyperlink" Target="https://www.reuters.com/article/ozatp-ethiopia-tanks-ukraine-20110610-idAFJOE7590IR20110610" TargetMode="External"/><Relationship Id="rId227" Type="http://schemas.openxmlformats.org/officeDocument/2006/relationships/hyperlink" Target="https://mil.in.ua/en/news/germany-agreed-to-sell-100-panzerhaubitze-2000-to-ukraine/" TargetMode="External"/><Relationship Id="rId269" Type="http://schemas.openxmlformats.org/officeDocument/2006/relationships/hyperlink" Target="https://www.fiercepharma.com/pharma/pfizer-eyes-higher-covid-19-vaccine-prices-after-pandemic-exec-analyst" TargetMode="External"/><Relationship Id="rId434" Type="http://schemas.openxmlformats.org/officeDocument/2006/relationships/hyperlink" Target="https://arstechnica.com/information-technology/2018/03/the-armys-costly-quest-for-the-perfect-radio-continues/" TargetMode="External"/></Relationships>
</file>

<file path=xl/worksheets/_rels/sheet42.xml.rels><?xml version="1.0" encoding="UTF-8" standalone="yes"?>
<Relationships xmlns="http://schemas.openxmlformats.org/package/2006/relationships"><Relationship Id="rId8" Type="http://schemas.openxmlformats.org/officeDocument/2006/relationships/hyperlink" Target="https://www.ecb.europa.eu/stats/policy_and_exchange_rates/euro_reference_exchange_rates/html/eurofxref-graph-aud.en.html" TargetMode="External"/><Relationship Id="rId13" Type="http://schemas.openxmlformats.org/officeDocument/2006/relationships/hyperlink" Target="https://sdw.ecb.europa.eu/quickview.do?SERIES_KEY=120.EXR.D.TWD.EUR.SP00.A" TargetMode="External"/><Relationship Id="rId3" Type="http://schemas.openxmlformats.org/officeDocument/2006/relationships/hyperlink" Target="https://www.ecb.europa.eu/stats/policy_and_exchange_rates/euro_reference_exchange_rates/html/eurofxref-graph-gbp.en.html" TargetMode="External"/><Relationship Id="rId7" Type="http://schemas.openxmlformats.org/officeDocument/2006/relationships/hyperlink" Target="https://www.ecb.europa.eu/stats/policy_and_exchange_rates/euro_reference_exchange_rates/html/eurofxref-graph-dkk.en.html" TargetMode="External"/><Relationship Id="rId12" Type="http://schemas.openxmlformats.org/officeDocument/2006/relationships/hyperlink" Target="https://www.ecb.europa.eu/stats/policy_and_exchange_rates/euro_reference_exchange_rates/html/eurofxref-graph-cny.en.html" TargetMode="External"/><Relationship Id="rId17" Type="http://schemas.openxmlformats.org/officeDocument/2006/relationships/hyperlink" Target="https://www.ecb.europa.eu/stats/policy_and_exchange_rates/euro_reference_exchange_rates/html/eurofxref-graph-czk.en.html" TargetMode="External"/><Relationship Id="rId2" Type="http://schemas.openxmlformats.org/officeDocument/2006/relationships/hyperlink" Target="https://www.ecb.europa.eu/stats/policy_and_exchange_rates/euro_reference_exchange_rates/html/eurofxref-graph-cad.en.html" TargetMode="External"/><Relationship Id="rId16" Type="http://schemas.openxmlformats.org/officeDocument/2006/relationships/hyperlink" Target="https://www.ecb.europa.eu/stats/policy_and_exchange_rates/euro_reference_exchange_rates/html/eurofxref-graph-bgn.en.html" TargetMode="External"/><Relationship Id="rId1" Type="http://schemas.openxmlformats.org/officeDocument/2006/relationships/hyperlink" Target="https://www.ecb.europa.eu/stats/policy_and_exchange_rates/euro_reference_exchange_rates/html/eurofxref-graph-usd.en.html" TargetMode="External"/><Relationship Id="rId6" Type="http://schemas.openxmlformats.org/officeDocument/2006/relationships/hyperlink" Target="https://sdw.ecb.europa.eu/quickview.do;jsessionid=44353EF4B5368149AD2FDB9FB9FA1993?SERIES_KEY=120.EXR.M.HRK.EUR.SP00.A&amp;resetBtn=+Reset+Settings&amp;start=&amp;end=&amp;trans=N" TargetMode="External"/><Relationship Id="rId11" Type="http://schemas.openxmlformats.org/officeDocument/2006/relationships/hyperlink" Target="https://www.ecb.europa.eu/stats/policy_and_exchange_rates/euro_reference_exchange_rates/html/eurofxref-graph-huf.en.html" TargetMode="External"/><Relationship Id="rId5" Type="http://schemas.openxmlformats.org/officeDocument/2006/relationships/hyperlink" Target="https://www.ecb.europa.eu/stats/policy_and_exchange_rates/euro_reference_exchange_rates/html/eurofxref-graph-ron.en.html" TargetMode="External"/><Relationship Id="rId15" Type="http://schemas.openxmlformats.org/officeDocument/2006/relationships/hyperlink" Target="https://www.ecb.europa.eu/stats/policy_and_exchange_rates/euro_reference_exchange_rates/html/eurofxref-graph-chf.en.html" TargetMode="External"/><Relationship Id="rId10" Type="http://schemas.openxmlformats.org/officeDocument/2006/relationships/hyperlink" Target="https://www.ecb.europa.eu/stats/policy_and_exchange_rates/euro_reference_exchange_rates/html/eurofxref-graph-nzd.en.html" TargetMode="External"/><Relationship Id="rId4" Type="http://schemas.openxmlformats.org/officeDocument/2006/relationships/hyperlink" Target="https://www.ecb.europa.eu/stats/policy_and_exchange_rates/euro_reference_exchange_rates/html/eurofxref-graph-pln.en.html" TargetMode="External"/><Relationship Id="rId9" Type="http://schemas.openxmlformats.org/officeDocument/2006/relationships/hyperlink" Target="https://www.ecb.europa.eu/stats/policy_and_exchange_rates/euro_reference_exchange_rates/html/eurofxref-graph-nok.en.html" TargetMode="External"/><Relationship Id="rId14" Type="http://schemas.openxmlformats.org/officeDocument/2006/relationships/hyperlink" Target="https://www.ecb.europa.eu/stats/policy_and_exchange_rates/euro_reference_exchange_rates/html/eurofxref-graph-sek.en.html" TargetMode="Externa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data.unhcr.org/en/situations/ukraine" TargetMode="External"/><Relationship Id="rId1" Type="http://schemas.openxmlformats.org/officeDocument/2006/relationships/hyperlink" Target="https://www.oecd.org/migration/international-migration-outlook-1999124x.htm" TargetMode="Externa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8" Type="http://schemas.openxmlformats.org/officeDocument/2006/relationships/hyperlink" Target="https://eur-lex.europa.eu/EN/legal-content/summary/financial-assistance-to-ireland.html" TargetMode="External"/><Relationship Id="rId3" Type="http://schemas.openxmlformats.org/officeDocument/2006/relationships/hyperlink" Target="https://eur-lex.europa.eu/EN/legal-content/summary/financial-assistance-to-ireland.html" TargetMode="External"/><Relationship Id="rId7" Type="http://schemas.openxmlformats.org/officeDocument/2006/relationships/hyperlink" Target="https://www.esm.europa.eu/sites/default/files/migration_files/spanish_exit.pdf" TargetMode="External"/><Relationship Id="rId2" Type="http://schemas.openxmlformats.org/officeDocument/2006/relationships/hyperlink" Target="https://www.consilium.europa.eu/en/infographics/financial-assistance-to-greece-2010-2018/" TargetMode="External"/><Relationship Id="rId1" Type="http://schemas.openxmlformats.org/officeDocument/2006/relationships/hyperlink" Target="https://www.consilium.europa.eu/en/policies/financial-assistance-eurozone-members/greece-programme/" TargetMode="External"/><Relationship Id="rId6" Type="http://schemas.openxmlformats.org/officeDocument/2006/relationships/hyperlink" Target="https://www.esm.europa.eu/press-releases/eu-and-efsf-funding-plans-provide-financial-assistance-portugal-and-ireland" TargetMode="External"/><Relationship Id="rId5" Type="http://schemas.openxmlformats.org/officeDocument/2006/relationships/hyperlink" Target="https://www.esm.europa.eu/press-releases/eu-and-efsf-funding-plans-provide-financial-assistance-portugal-and-ireland" TargetMode="External"/><Relationship Id="rId4" Type="http://schemas.openxmlformats.org/officeDocument/2006/relationships/hyperlink" Target="https://eur-lex.europa.eu/EN/legal-content/summary/financial-assistance-to-ireland.html" TargetMode="External"/></Relationships>
</file>

<file path=xl/worksheets/_rels/sheet5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8" Type="http://schemas.openxmlformats.org/officeDocument/2006/relationships/hyperlink" Target="https://www.globalsecurity.org/military/library/report/1992/cpgw.pdf" TargetMode="External"/><Relationship Id="rId3" Type="http://schemas.openxmlformats.org/officeDocument/2006/relationships/hyperlink" Target="https://web.archive.org/web/20141208203539/http:/www.kuwait.diplo.de/Vertretung/kuwait/de/03/Bilaterale__Beziehungen/seite__Befreiung__Kuwait.html" TargetMode="External"/><Relationship Id="rId7" Type="http://schemas.openxmlformats.org/officeDocument/2006/relationships/hyperlink" Target="https://www.globalsecurity.org/military/library/report/1992/cpgw.pdf" TargetMode="External"/><Relationship Id="rId2" Type="http://schemas.openxmlformats.org/officeDocument/2006/relationships/hyperlink" Target="https://www.mofa.go.jp/policy/other/bluebook/1991/1991-2-2.htm" TargetMode="External"/><Relationship Id="rId1" Type="http://schemas.openxmlformats.org/officeDocument/2006/relationships/hyperlink" Target="https://www.globalsecurity.org/military/library/report/1992/cpgw.pdf" TargetMode="External"/><Relationship Id="rId6" Type="http://schemas.openxmlformats.org/officeDocument/2006/relationships/hyperlink" Target="https://www.globalsecurity.org/military/library/report/1992/cpgw.pdf" TargetMode="External"/><Relationship Id="rId5" Type="http://schemas.openxmlformats.org/officeDocument/2006/relationships/hyperlink" Target="https://www.globalsecurity.org/military/library/report/1992/cpgw.pdf" TargetMode="External"/><Relationship Id="rId4" Type="http://schemas.openxmlformats.org/officeDocument/2006/relationships/hyperlink" Target="https://www.globalsecurity.org/military/library/report/1992/cpgw.pdf" TargetMode="External"/><Relationship Id="rId9"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14999847407452621"/>
  </sheetPr>
  <dimension ref="A1:W16220"/>
  <sheetViews>
    <sheetView showGridLines="0" tabSelected="1" zoomScaleNormal="100" workbookViewId="0">
      <selection activeCell="B2" sqref="B2:M3"/>
    </sheetView>
  </sheetViews>
  <sheetFormatPr baseColWidth="10" defaultColWidth="9" defaultRowHeight="15.9" customHeight="1" x14ac:dyDescent="0.3"/>
  <cols>
    <col min="1" max="1" width="8.59765625" style="2" customWidth="1"/>
    <col min="2" max="2" width="32.5" style="3" customWidth="1"/>
    <col min="3" max="16384" width="9" style="3"/>
  </cols>
  <sheetData>
    <row r="1" spans="1:23" ht="15.9" customHeight="1" x14ac:dyDescent="0.3">
      <c r="A1" s="35"/>
      <c r="B1" s="5"/>
      <c r="C1" s="5"/>
      <c r="D1" s="5"/>
      <c r="E1" s="5"/>
      <c r="F1" s="5"/>
      <c r="G1" s="5"/>
      <c r="H1" s="5"/>
      <c r="I1" s="5"/>
      <c r="J1" s="5"/>
      <c r="K1" s="5"/>
      <c r="L1" s="5"/>
      <c r="M1" s="5"/>
      <c r="N1" s="5"/>
      <c r="O1" s="5"/>
    </row>
    <row r="2" spans="1:23" ht="15.9" customHeight="1" x14ac:dyDescent="0.3">
      <c r="A2" s="35"/>
      <c r="B2" s="1166" t="s">
        <v>0</v>
      </c>
      <c r="C2" s="1166"/>
      <c r="D2" s="1166"/>
      <c r="E2" s="1166"/>
      <c r="F2" s="1166"/>
      <c r="G2" s="1166"/>
      <c r="H2" s="1166"/>
      <c r="I2" s="1166"/>
      <c r="J2" s="1166"/>
      <c r="K2" s="1166"/>
      <c r="L2" s="1166"/>
      <c r="M2" s="1166"/>
      <c r="N2" s="329"/>
      <c r="O2" s="5"/>
    </row>
    <row r="3" spans="1:23" ht="15.9" customHeight="1" x14ac:dyDescent="0.3">
      <c r="B3" s="1166"/>
      <c r="C3" s="1166"/>
      <c r="D3" s="1166"/>
      <c r="E3" s="1166"/>
      <c r="F3" s="1166"/>
      <c r="G3" s="1166"/>
      <c r="H3" s="1166"/>
      <c r="I3" s="1166"/>
      <c r="J3" s="1166"/>
      <c r="K3" s="1166"/>
      <c r="L3" s="1166"/>
      <c r="M3" s="1166"/>
      <c r="N3" s="329"/>
      <c r="O3" s="5"/>
    </row>
    <row r="4" spans="1:23" ht="15.9" customHeight="1" x14ac:dyDescent="0.3">
      <c r="B4" s="1168" t="s">
        <v>1</v>
      </c>
      <c r="C4" s="1168"/>
      <c r="D4" s="1168"/>
      <c r="E4" s="1168"/>
      <c r="F4" s="1168"/>
      <c r="G4" s="1168"/>
      <c r="H4" s="1168"/>
      <c r="I4" s="1168"/>
      <c r="J4" s="1168"/>
      <c r="K4" s="1168"/>
      <c r="L4" s="1168"/>
      <c r="M4" s="1168"/>
      <c r="N4" s="329"/>
      <c r="O4" s="5"/>
    </row>
    <row r="5" spans="1:23" ht="15.9" customHeight="1" x14ac:dyDescent="0.3">
      <c r="B5" s="4"/>
      <c r="C5" s="4"/>
      <c r="D5" s="4"/>
      <c r="E5" s="4"/>
      <c r="F5" s="4"/>
      <c r="G5" s="4"/>
      <c r="H5" s="4"/>
      <c r="I5" s="4"/>
      <c r="J5" s="4"/>
      <c r="K5" s="4"/>
      <c r="L5" s="4"/>
      <c r="M5" s="4"/>
      <c r="N5" s="4"/>
      <c r="O5" s="5"/>
    </row>
    <row r="6" spans="1:23" ht="15.9" customHeight="1" x14ac:dyDescent="0.3">
      <c r="B6" s="1167" t="s">
        <v>2</v>
      </c>
      <c r="C6" s="1167"/>
      <c r="D6" s="1167"/>
      <c r="E6" s="1167"/>
      <c r="F6" s="1167"/>
      <c r="G6" s="1167"/>
      <c r="H6" s="1167"/>
      <c r="I6" s="1167"/>
      <c r="J6" s="1167"/>
      <c r="K6" s="1167"/>
      <c r="L6" s="1167"/>
      <c r="M6" s="1167"/>
      <c r="N6" s="329"/>
      <c r="O6" s="5"/>
    </row>
    <row r="7" spans="1:23" ht="15.9" customHeight="1" x14ac:dyDescent="0.3">
      <c r="B7" s="1141"/>
      <c r="C7" s="1141"/>
      <c r="D7" s="1141"/>
      <c r="E7" s="1141"/>
      <c r="F7" s="1141"/>
      <c r="G7" s="1141"/>
      <c r="H7" s="1141"/>
      <c r="I7" s="1141"/>
      <c r="J7" s="1141"/>
      <c r="K7" s="1141"/>
      <c r="L7" s="1141"/>
      <c r="M7" s="1141"/>
      <c r="N7" s="329"/>
      <c r="O7" s="5"/>
    </row>
    <row r="8" spans="1:23" ht="15.9" customHeight="1" x14ac:dyDescent="0.3">
      <c r="B8" s="1141"/>
      <c r="C8" s="1141"/>
      <c r="D8" s="1141"/>
      <c r="E8" s="1141"/>
      <c r="F8" s="1141"/>
      <c r="G8" s="1141"/>
      <c r="H8" s="1141"/>
      <c r="I8" s="1141"/>
      <c r="J8" s="1141"/>
      <c r="K8" s="1141"/>
      <c r="L8" s="1141"/>
      <c r="M8" s="1141"/>
      <c r="N8" s="329"/>
      <c r="O8" s="5"/>
    </row>
    <row r="9" spans="1:23" ht="15.9" customHeight="1" x14ac:dyDescent="0.3">
      <c r="B9" s="6" t="s">
        <v>3</v>
      </c>
      <c r="D9" s="7"/>
      <c r="E9" s="7"/>
      <c r="F9" s="7"/>
      <c r="G9" s="7"/>
      <c r="H9" s="7"/>
      <c r="I9" s="7"/>
      <c r="J9" s="7"/>
      <c r="K9" s="7"/>
      <c r="L9" s="8"/>
      <c r="M9" s="8"/>
      <c r="N9" s="5"/>
      <c r="O9" s="5"/>
    </row>
    <row r="10" spans="1:23" ht="15.9" customHeight="1" x14ac:dyDescent="0.3">
      <c r="B10" s="6"/>
      <c r="D10" s="7"/>
      <c r="E10" s="7"/>
      <c r="F10" s="7"/>
      <c r="G10" s="7"/>
      <c r="H10" s="7"/>
      <c r="I10" s="7"/>
      <c r="J10" s="7"/>
      <c r="K10" s="7"/>
      <c r="L10" s="8"/>
      <c r="M10" s="8"/>
      <c r="N10" s="5"/>
      <c r="O10" s="5"/>
    </row>
    <row r="11" spans="1:23" ht="15.9" customHeight="1" x14ac:dyDescent="0.3">
      <c r="B11" s="1171" t="s">
        <v>4</v>
      </c>
      <c r="C11" s="1171"/>
      <c r="D11" s="1171"/>
      <c r="E11" s="1171"/>
      <c r="F11" s="1171"/>
      <c r="G11" s="1171"/>
      <c r="H11" s="1171"/>
      <c r="I11" s="1171"/>
      <c r="J11" s="1171"/>
      <c r="K11" s="1171"/>
      <c r="L11" s="1171"/>
      <c r="M11" s="1171"/>
      <c r="N11" s="1171"/>
      <c r="O11" s="1171"/>
      <c r="P11" s="1171"/>
      <c r="Q11" s="10"/>
      <c r="R11" s="10"/>
      <c r="S11" s="10"/>
      <c r="T11" s="11"/>
      <c r="U11" s="11"/>
      <c r="V11" s="11"/>
      <c r="W11" s="11"/>
    </row>
    <row r="12" spans="1:23" ht="15.9" customHeight="1" x14ac:dyDescent="0.3">
      <c r="B12" s="1171"/>
      <c r="C12" s="1171"/>
      <c r="D12" s="1171"/>
      <c r="E12" s="1171"/>
      <c r="F12" s="1171"/>
      <c r="G12" s="1171"/>
      <c r="H12" s="1171"/>
      <c r="I12" s="1171"/>
      <c r="J12" s="1171"/>
      <c r="K12" s="1171"/>
      <c r="L12" s="1171"/>
      <c r="M12" s="1171"/>
      <c r="N12" s="1171"/>
      <c r="O12" s="1171"/>
      <c r="P12" s="1171"/>
      <c r="Q12" s="10"/>
      <c r="R12" s="10"/>
      <c r="S12" s="10"/>
      <c r="T12" s="11"/>
      <c r="U12" s="11"/>
      <c r="V12" s="11"/>
      <c r="W12" s="11"/>
    </row>
    <row r="13" spans="1:23" ht="15.9" customHeight="1" x14ac:dyDescent="0.3">
      <c r="B13" s="9"/>
      <c r="C13" s="10"/>
      <c r="D13" s="10"/>
      <c r="E13" s="10"/>
      <c r="F13" s="10"/>
      <c r="G13" s="10"/>
      <c r="H13" s="10"/>
      <c r="I13" s="10"/>
      <c r="J13" s="10"/>
      <c r="K13" s="10"/>
      <c r="L13" s="10"/>
      <c r="M13" s="10"/>
      <c r="N13" s="10"/>
      <c r="O13" s="10"/>
      <c r="P13" s="10"/>
      <c r="Q13" s="10"/>
      <c r="R13" s="10"/>
      <c r="S13" s="10"/>
      <c r="T13" s="11"/>
      <c r="U13" s="11"/>
      <c r="V13" s="11"/>
      <c r="W13" s="11"/>
    </row>
    <row r="14" spans="1:23" ht="15.9" customHeight="1" x14ac:dyDescent="0.3">
      <c r="B14" s="12" t="s">
        <v>5</v>
      </c>
      <c r="C14" s="10"/>
      <c r="D14" s="10"/>
      <c r="E14" s="10"/>
      <c r="F14" s="10"/>
      <c r="G14" s="10"/>
      <c r="H14" s="10"/>
      <c r="I14" s="10"/>
      <c r="J14" s="10"/>
      <c r="K14" s="10"/>
      <c r="L14" s="10"/>
      <c r="M14" s="10"/>
      <c r="N14" s="10"/>
      <c r="O14" s="10"/>
      <c r="P14" s="10"/>
      <c r="Q14" s="10"/>
      <c r="R14" s="10"/>
      <c r="S14" s="10"/>
      <c r="T14" s="11"/>
      <c r="U14" s="11"/>
      <c r="V14" s="11"/>
      <c r="W14" s="11"/>
    </row>
    <row r="15" spans="1:23" ht="15.9" customHeight="1" x14ac:dyDescent="0.3">
      <c r="B15" s="12"/>
      <c r="C15" s="10"/>
      <c r="D15" s="10"/>
      <c r="E15" s="10"/>
      <c r="F15" s="10"/>
      <c r="G15" s="10"/>
      <c r="H15" s="10"/>
      <c r="I15" s="10"/>
      <c r="J15" s="10"/>
      <c r="K15" s="10"/>
      <c r="L15" s="10"/>
      <c r="M15" s="10"/>
      <c r="N15" s="10"/>
      <c r="O15" s="10"/>
      <c r="P15" s="10"/>
      <c r="Q15" s="10"/>
      <c r="R15" s="10"/>
      <c r="S15" s="10"/>
      <c r="T15" s="11"/>
      <c r="U15" s="11"/>
      <c r="V15" s="11"/>
      <c r="W15" s="11"/>
    </row>
    <row r="16" spans="1:23" s="287" customFormat="1" ht="15.9" customHeight="1" x14ac:dyDescent="0.3">
      <c r="A16" s="2"/>
      <c r="B16" s="1169" t="s">
        <v>6</v>
      </c>
      <c r="C16" s="1169"/>
      <c r="D16" s="1169"/>
      <c r="E16" s="1169"/>
      <c r="F16" s="1169"/>
      <c r="G16" s="1169"/>
      <c r="H16" s="1169"/>
      <c r="I16" s="1169"/>
      <c r="J16" s="1169"/>
      <c r="K16" s="1169"/>
      <c r="L16" s="1169"/>
      <c r="M16" s="1169"/>
      <c r="N16" s="1169"/>
      <c r="O16" s="1169"/>
      <c r="P16" s="1169"/>
      <c r="Q16" s="1169"/>
      <c r="R16" s="1169"/>
      <c r="S16" s="331"/>
    </row>
    <row r="17" spans="1:19" s="287" customFormat="1" ht="15.9" customHeight="1" x14ac:dyDescent="0.3">
      <c r="A17" s="2"/>
      <c r="B17" s="1169"/>
      <c r="C17" s="1169"/>
      <c r="D17" s="1169"/>
      <c r="E17" s="1169"/>
      <c r="F17" s="1169"/>
      <c r="G17" s="1169"/>
      <c r="H17" s="1169"/>
      <c r="I17" s="1169"/>
      <c r="J17" s="1169"/>
      <c r="K17" s="1169"/>
      <c r="L17" s="1169"/>
      <c r="M17" s="1169"/>
      <c r="N17" s="1169"/>
      <c r="O17" s="1169"/>
      <c r="P17" s="1169"/>
      <c r="Q17" s="1169"/>
      <c r="R17" s="1169"/>
      <c r="S17" s="331"/>
    </row>
    <row r="18" spans="1:19" s="287" customFormat="1" ht="15.9" customHeight="1" x14ac:dyDescent="0.3">
      <c r="A18" s="2"/>
      <c r="B18" s="1169"/>
      <c r="C18" s="1169"/>
      <c r="D18" s="1169"/>
      <c r="E18" s="1169"/>
      <c r="F18" s="1169"/>
      <c r="G18" s="1169"/>
      <c r="H18" s="1169"/>
      <c r="I18" s="1169"/>
      <c r="J18" s="1169"/>
      <c r="K18" s="1169"/>
      <c r="L18" s="1169"/>
      <c r="M18" s="1169"/>
      <c r="N18" s="1169"/>
      <c r="O18" s="1169"/>
      <c r="P18" s="1169"/>
      <c r="Q18" s="1169"/>
      <c r="R18" s="1169"/>
      <c r="S18" s="331"/>
    </row>
    <row r="19" spans="1:19" ht="15.9" customHeight="1" x14ac:dyDescent="0.3">
      <c r="B19" s="331"/>
      <c r="C19" s="331"/>
      <c r="D19" s="331"/>
      <c r="E19" s="331"/>
      <c r="F19" s="331"/>
      <c r="G19" s="331"/>
      <c r="H19" s="331"/>
      <c r="I19" s="331"/>
      <c r="J19" s="331"/>
      <c r="K19" s="331"/>
      <c r="L19" s="331"/>
      <c r="M19" s="331"/>
      <c r="N19" s="331"/>
      <c r="O19" s="19"/>
      <c r="P19" s="19"/>
      <c r="Q19" s="19"/>
      <c r="R19" s="19"/>
      <c r="S19" s="19"/>
    </row>
    <row r="20" spans="1:19" ht="15.9" customHeight="1" x14ac:dyDescent="0.3">
      <c r="B20" s="332" t="s">
        <v>7</v>
      </c>
      <c r="C20" s="1164" t="s">
        <v>8</v>
      </c>
      <c r="D20" s="1164"/>
      <c r="E20" s="1164"/>
      <c r="F20" s="1164"/>
      <c r="G20" s="1164"/>
      <c r="H20" s="1164"/>
      <c r="I20" s="1164"/>
      <c r="J20" s="1164"/>
      <c r="K20" s="1164"/>
      <c r="L20" s="1164"/>
      <c r="M20" s="1164"/>
      <c r="N20" s="1164"/>
      <c r="O20" s="1164"/>
      <c r="P20" s="1164"/>
      <c r="Q20" s="1164"/>
      <c r="R20" s="1164"/>
      <c r="S20" s="19"/>
    </row>
    <row r="21" spans="1:19" ht="15.9" customHeight="1" x14ac:dyDescent="0.3">
      <c r="B21" s="19"/>
      <c r="C21" s="1164"/>
      <c r="D21" s="1164"/>
      <c r="E21" s="1164"/>
      <c r="F21" s="1164"/>
      <c r="G21" s="1164"/>
      <c r="H21" s="1164"/>
      <c r="I21" s="1164"/>
      <c r="J21" s="1164"/>
      <c r="K21" s="1164"/>
      <c r="L21" s="1164"/>
      <c r="M21" s="1164"/>
      <c r="N21" s="1164"/>
      <c r="O21" s="1164"/>
      <c r="P21" s="1164"/>
      <c r="Q21" s="1164"/>
      <c r="R21" s="1164"/>
      <c r="S21" s="19"/>
    </row>
    <row r="22" spans="1:19" ht="15.9" customHeight="1" x14ac:dyDescent="0.3">
      <c r="B22" s="157"/>
      <c r="C22" s="1164"/>
      <c r="D22" s="1164"/>
      <c r="E22" s="1164"/>
      <c r="F22" s="1164"/>
      <c r="G22" s="1164"/>
      <c r="H22" s="1164"/>
      <c r="I22" s="1164"/>
      <c r="J22" s="1164"/>
      <c r="K22" s="1164"/>
      <c r="L22" s="1164"/>
      <c r="M22" s="1164"/>
      <c r="N22" s="1164"/>
      <c r="O22" s="1164"/>
      <c r="P22" s="1164"/>
      <c r="Q22" s="1164"/>
      <c r="R22" s="1164"/>
      <c r="S22" s="19"/>
    </row>
    <row r="23" spans="1:19" ht="15.9" customHeight="1" x14ac:dyDescent="0.3">
      <c r="B23" s="157"/>
      <c r="C23" s="1139"/>
      <c r="D23" s="1139"/>
      <c r="E23" s="1139"/>
      <c r="F23" s="1139"/>
      <c r="G23" s="1139"/>
      <c r="H23" s="1139"/>
      <c r="I23" s="1139"/>
      <c r="J23" s="1139"/>
      <c r="K23" s="1139"/>
      <c r="L23" s="1139"/>
      <c r="M23" s="1139"/>
      <c r="N23" s="1139"/>
      <c r="O23" s="1139"/>
      <c r="P23" s="1139"/>
      <c r="Q23" s="1139"/>
      <c r="R23" s="1139"/>
      <c r="S23" s="19"/>
    </row>
    <row r="24" spans="1:19" ht="15.9" customHeight="1" x14ac:dyDescent="0.3">
      <c r="B24" s="1170" t="s">
        <v>9</v>
      </c>
      <c r="C24" s="1164" t="s">
        <v>10</v>
      </c>
      <c r="D24" s="1164"/>
      <c r="E24" s="1164"/>
      <c r="F24" s="1164"/>
      <c r="G24" s="1164"/>
      <c r="H24" s="1164"/>
      <c r="I24" s="1164"/>
      <c r="J24" s="1164"/>
      <c r="K24" s="1164"/>
      <c r="L24" s="1164"/>
      <c r="M24" s="1164"/>
      <c r="N24" s="1164"/>
      <c r="O24" s="1164"/>
      <c r="P24" s="1164"/>
      <c r="Q24" s="1164"/>
      <c r="R24" s="1164"/>
      <c r="S24" s="19"/>
    </row>
    <row r="25" spans="1:19" ht="15.9" customHeight="1" x14ac:dyDescent="0.3">
      <c r="B25" s="1170"/>
      <c r="C25" s="1164"/>
      <c r="D25" s="1164"/>
      <c r="E25" s="1164"/>
      <c r="F25" s="1164"/>
      <c r="G25" s="1164"/>
      <c r="H25" s="1164"/>
      <c r="I25" s="1164"/>
      <c r="J25" s="1164"/>
      <c r="K25" s="1164"/>
      <c r="L25" s="1164"/>
      <c r="M25" s="1164"/>
      <c r="N25" s="1164"/>
      <c r="O25" s="1164"/>
      <c r="P25" s="1164"/>
      <c r="Q25" s="1164"/>
      <c r="R25" s="1164"/>
      <c r="S25" s="19"/>
    </row>
    <row r="26" spans="1:19" ht="15.9" customHeight="1" x14ac:dyDescent="0.3">
      <c r="B26" s="157"/>
      <c r="C26" s="1164"/>
      <c r="D26" s="1164"/>
      <c r="E26" s="1164"/>
      <c r="F26" s="1164"/>
      <c r="G26" s="1164"/>
      <c r="H26" s="1164"/>
      <c r="I26" s="1164"/>
      <c r="J26" s="1164"/>
      <c r="K26" s="1164"/>
      <c r="L26" s="1164"/>
      <c r="M26" s="1164"/>
      <c r="N26" s="1164"/>
      <c r="O26" s="1164"/>
      <c r="P26" s="1164"/>
      <c r="Q26" s="1164"/>
      <c r="R26" s="1164"/>
      <c r="S26" s="19"/>
    </row>
    <row r="27" spans="1:19" ht="15.9" customHeight="1" x14ac:dyDescent="0.3">
      <c r="B27" s="157"/>
      <c r="C27" s="1139"/>
      <c r="D27" s="1139"/>
      <c r="E27" s="1139"/>
      <c r="F27" s="1139"/>
      <c r="G27" s="1139"/>
      <c r="H27" s="1139"/>
      <c r="I27" s="1139"/>
      <c r="J27" s="1139"/>
      <c r="K27" s="1139"/>
      <c r="L27" s="1139"/>
      <c r="M27" s="1139"/>
      <c r="N27" s="1139"/>
      <c r="O27" s="1139"/>
      <c r="P27" s="1139"/>
      <c r="Q27" s="1139"/>
      <c r="R27" s="1139"/>
      <c r="S27" s="19"/>
    </row>
    <row r="28" spans="1:19" ht="15.9" customHeight="1" x14ac:dyDescent="0.3">
      <c r="B28" s="332" t="s">
        <v>11</v>
      </c>
      <c r="C28" s="1164" t="s">
        <v>12</v>
      </c>
      <c r="D28" s="1164"/>
      <c r="E28" s="1164"/>
      <c r="F28" s="1164"/>
      <c r="G28" s="1164"/>
      <c r="H28" s="1164"/>
      <c r="I28" s="1164"/>
      <c r="J28" s="1164"/>
      <c r="K28" s="1164"/>
      <c r="L28" s="1164"/>
      <c r="M28" s="1164"/>
      <c r="N28" s="1164"/>
      <c r="O28" s="1164"/>
      <c r="P28" s="1164"/>
      <c r="Q28" s="1164"/>
      <c r="R28" s="1164"/>
      <c r="S28" s="19"/>
    </row>
    <row r="29" spans="1:19" ht="15.9" customHeight="1" x14ac:dyDescent="0.3">
      <c r="B29" s="157"/>
      <c r="C29" s="19"/>
      <c r="D29" s="19"/>
      <c r="E29" s="19"/>
      <c r="F29" s="19"/>
      <c r="G29" s="19"/>
      <c r="H29" s="19"/>
      <c r="I29" s="19"/>
      <c r="J29" s="19"/>
      <c r="K29" s="19"/>
      <c r="L29" s="19"/>
      <c r="M29" s="19"/>
      <c r="N29" s="19"/>
      <c r="O29" s="19"/>
      <c r="P29" s="19"/>
      <c r="Q29" s="19"/>
      <c r="R29" s="19"/>
      <c r="S29" s="19"/>
    </row>
    <row r="30" spans="1:19" ht="15.9" customHeight="1" x14ac:dyDescent="0.3">
      <c r="B30" s="333" t="s">
        <v>13</v>
      </c>
      <c r="C30" s="1165" t="s">
        <v>14</v>
      </c>
      <c r="D30" s="1165"/>
      <c r="E30" s="1165"/>
      <c r="F30" s="1165"/>
      <c r="G30" s="1165"/>
      <c r="H30" s="1165"/>
      <c r="I30" s="1165"/>
      <c r="J30" s="1165"/>
      <c r="K30" s="1165"/>
      <c r="L30" s="1165"/>
      <c r="M30" s="1165"/>
      <c r="N30" s="1165"/>
      <c r="O30" s="1165"/>
      <c r="P30" s="1165"/>
      <c r="Q30" s="1165"/>
      <c r="R30" s="1165"/>
      <c r="S30" s="19"/>
    </row>
    <row r="31" spans="1:19" ht="15.9" customHeight="1" x14ac:dyDescent="0.3">
      <c r="B31" s="334"/>
      <c r="C31" s="1140"/>
      <c r="D31" s="1140"/>
      <c r="E31" s="1140"/>
      <c r="F31" s="1140"/>
      <c r="G31" s="1140"/>
      <c r="H31" s="1140"/>
      <c r="I31" s="1140"/>
      <c r="J31" s="1140"/>
      <c r="K31" s="1140"/>
      <c r="L31" s="1140"/>
      <c r="M31" s="1140"/>
      <c r="N31" s="1140"/>
      <c r="O31" s="1140"/>
      <c r="P31" s="1140"/>
      <c r="Q31" s="1140"/>
      <c r="R31" s="1140"/>
      <c r="S31" s="19"/>
    </row>
    <row r="32" spans="1:19" ht="15.9" customHeight="1" x14ac:dyDescent="0.3">
      <c r="B32" s="334"/>
      <c r="C32" s="1140"/>
      <c r="D32" s="1140"/>
      <c r="E32" s="1140"/>
      <c r="F32" s="1140"/>
      <c r="G32" s="1140"/>
      <c r="H32" s="1140"/>
      <c r="I32" s="1140"/>
      <c r="J32" s="1140"/>
      <c r="K32" s="1140"/>
      <c r="L32" s="1140"/>
      <c r="M32" s="1140"/>
      <c r="N32" s="1140"/>
      <c r="O32" s="1140"/>
      <c r="P32" s="1140"/>
      <c r="Q32" s="1140"/>
      <c r="R32" s="1140"/>
      <c r="S32" s="19"/>
    </row>
    <row r="33" spans="2:19" ht="15.9" customHeight="1" x14ac:dyDescent="0.3">
      <c r="B33" s="61" t="s">
        <v>15</v>
      </c>
      <c r="C33" s="19" t="s">
        <v>16</v>
      </c>
      <c r="D33" s="1140"/>
      <c r="E33" s="1140"/>
      <c r="F33" s="1140"/>
      <c r="G33" s="1140"/>
      <c r="H33" s="1140"/>
      <c r="I33" s="1140"/>
      <c r="J33" s="1140"/>
      <c r="K33" s="1140"/>
      <c r="L33" s="1140"/>
      <c r="M33" s="1140"/>
      <c r="N33" s="1140"/>
      <c r="O33" s="1140"/>
      <c r="P33" s="1140"/>
      <c r="Q33" s="1140"/>
      <c r="R33" s="1140"/>
      <c r="S33" s="19"/>
    </row>
    <row r="34" spans="2:19" ht="15.9" customHeight="1" x14ac:dyDescent="0.3">
      <c r="B34" s="37"/>
    </row>
    <row r="35" spans="2:19" ht="15.9" customHeight="1" x14ac:dyDescent="0.3">
      <c r="B35" s="335" t="s">
        <v>17</v>
      </c>
      <c r="C35" s="3" t="s">
        <v>18</v>
      </c>
    </row>
    <row r="36" spans="2:19" ht="15.9" customHeight="1" x14ac:dyDescent="0.3">
      <c r="B36" s="37"/>
    </row>
    <row r="37" spans="2:19" ht="15.9" customHeight="1" x14ac:dyDescent="0.3">
      <c r="B37" s="336" t="s">
        <v>19</v>
      </c>
      <c r="C37" s="3" t="s">
        <v>20</v>
      </c>
    </row>
    <row r="38" spans="2:19" ht="15.9" customHeight="1" x14ac:dyDescent="0.3">
      <c r="B38" s="37"/>
    </row>
    <row r="39" spans="2:19" ht="15.9" customHeight="1" x14ac:dyDescent="0.3">
      <c r="B39" s="337" t="s">
        <v>21</v>
      </c>
      <c r="C39" s="3" t="s">
        <v>22</v>
      </c>
    </row>
    <row r="40" spans="2:19" ht="15.9" customHeight="1" x14ac:dyDescent="0.3">
      <c r="B40" s="37"/>
    </row>
    <row r="41" spans="2:19" ht="15.9" customHeight="1" x14ac:dyDescent="0.3">
      <c r="B41" s="338" t="s">
        <v>23</v>
      </c>
      <c r="C41" s="3" t="s">
        <v>24</v>
      </c>
    </row>
    <row r="42" spans="2:19" ht="15.9" customHeight="1" x14ac:dyDescent="0.3">
      <c r="B42" s="37"/>
    </row>
    <row r="43" spans="2:19" ht="15.9" customHeight="1" x14ac:dyDescent="0.3">
      <c r="B43" s="37"/>
    </row>
    <row r="44" spans="2:19" ht="15.9" customHeight="1" x14ac:dyDescent="0.3">
      <c r="B44" s="37"/>
    </row>
    <row r="45" spans="2:19" ht="15.9" customHeight="1" x14ac:dyDescent="0.3">
      <c r="B45" s="37"/>
    </row>
    <row r="46" spans="2:19" ht="15.9" customHeight="1" x14ac:dyDescent="0.3">
      <c r="B46" s="37"/>
    </row>
    <row r="47" spans="2:19" ht="15.9" customHeight="1" x14ac:dyDescent="0.3">
      <c r="B47" s="37"/>
    </row>
    <row r="48" spans="2:19" ht="15.9" customHeight="1" x14ac:dyDescent="0.3">
      <c r="B48" s="37"/>
    </row>
    <row r="49" spans="2:2" ht="15.9" customHeight="1" x14ac:dyDescent="0.3">
      <c r="B49" s="37"/>
    </row>
    <row r="50" spans="2:2" ht="15.9" customHeight="1" x14ac:dyDescent="0.3">
      <c r="B50" s="37"/>
    </row>
    <row r="51" spans="2:2" ht="15.9" customHeight="1" x14ac:dyDescent="0.3">
      <c r="B51" s="37"/>
    </row>
    <row r="52" spans="2:2" ht="15.9" customHeight="1" x14ac:dyDescent="0.3">
      <c r="B52" s="37"/>
    </row>
    <row r="53" spans="2:2" ht="15.9" customHeight="1" x14ac:dyDescent="0.3">
      <c r="B53" s="37"/>
    </row>
    <row r="54" spans="2:2" ht="15.9" customHeight="1" x14ac:dyDescent="0.3">
      <c r="B54" s="37"/>
    </row>
    <row r="55" spans="2:2" ht="15.9" customHeight="1" x14ac:dyDescent="0.3">
      <c r="B55" s="37"/>
    </row>
    <row r="56" spans="2:2" ht="15.9" customHeight="1" x14ac:dyDescent="0.3">
      <c r="B56" s="37"/>
    </row>
    <row r="57" spans="2:2" ht="15.9" customHeight="1" x14ac:dyDescent="0.3">
      <c r="B57" s="37"/>
    </row>
    <row r="58" spans="2:2" ht="15.9" customHeight="1" x14ac:dyDescent="0.3">
      <c r="B58" s="37"/>
    </row>
    <row r="59" spans="2:2" ht="15.9" customHeight="1" x14ac:dyDescent="0.3">
      <c r="B59" s="37"/>
    </row>
    <row r="60" spans="2:2" ht="15.9" customHeight="1" x14ac:dyDescent="0.3">
      <c r="B60" s="37"/>
    </row>
    <row r="61" spans="2:2" ht="15.9" customHeight="1" x14ac:dyDescent="0.3">
      <c r="B61" s="37"/>
    </row>
    <row r="62" spans="2:2" ht="15.9" customHeight="1" x14ac:dyDescent="0.3">
      <c r="B62" s="37"/>
    </row>
    <row r="63" spans="2:2" ht="15.9" customHeight="1" x14ac:dyDescent="0.3">
      <c r="B63" s="37"/>
    </row>
    <row r="64" spans="2:2" ht="15.9" customHeight="1" x14ac:dyDescent="0.3">
      <c r="B64" s="37"/>
    </row>
    <row r="65" spans="2:2" ht="15.9" customHeight="1" x14ac:dyDescent="0.3">
      <c r="B65" s="37"/>
    </row>
    <row r="66" spans="2:2" ht="15.9" customHeight="1" x14ac:dyDescent="0.3">
      <c r="B66" s="37"/>
    </row>
    <row r="67" spans="2:2" ht="15.9" customHeight="1" x14ac:dyDescent="0.3">
      <c r="B67" s="37"/>
    </row>
    <row r="68" spans="2:2" ht="15.9" customHeight="1" x14ac:dyDescent="0.3">
      <c r="B68" s="37"/>
    </row>
    <row r="69" spans="2:2" ht="15.9" customHeight="1" x14ac:dyDescent="0.3">
      <c r="B69" s="37"/>
    </row>
    <row r="70" spans="2:2" ht="15.9" customHeight="1" x14ac:dyDescent="0.3">
      <c r="B70" s="37"/>
    </row>
    <row r="71" spans="2:2" ht="15.9" customHeight="1" x14ac:dyDescent="0.3">
      <c r="B71" s="37"/>
    </row>
    <row r="72" spans="2:2" ht="15.9" customHeight="1" x14ac:dyDescent="0.3">
      <c r="B72" s="37"/>
    </row>
    <row r="73" spans="2:2" ht="15.9" customHeight="1" x14ac:dyDescent="0.3">
      <c r="B73" s="37"/>
    </row>
    <row r="74" spans="2:2" ht="15.9" customHeight="1" x14ac:dyDescent="0.3">
      <c r="B74" s="37"/>
    </row>
    <row r="75" spans="2:2" ht="15.9" customHeight="1" x14ac:dyDescent="0.3">
      <c r="B75" s="37"/>
    </row>
    <row r="76" spans="2:2" ht="15.9" customHeight="1" x14ac:dyDescent="0.3">
      <c r="B76" s="37"/>
    </row>
    <row r="77" spans="2:2" ht="15.9" customHeight="1" x14ac:dyDescent="0.3">
      <c r="B77" s="37"/>
    </row>
    <row r="78" spans="2:2" ht="15.9" customHeight="1" x14ac:dyDescent="0.3">
      <c r="B78" s="37"/>
    </row>
    <row r="79" spans="2:2" ht="15.9" customHeight="1" x14ac:dyDescent="0.3">
      <c r="B79" s="37"/>
    </row>
    <row r="80" spans="2:2" ht="15.9" customHeight="1" x14ac:dyDescent="0.3">
      <c r="B80" s="37"/>
    </row>
    <row r="81" spans="2:2" ht="15.9" customHeight="1" x14ac:dyDescent="0.3">
      <c r="B81" s="37"/>
    </row>
    <row r="82" spans="2:2" ht="15.9" customHeight="1" x14ac:dyDescent="0.3">
      <c r="B82" s="37"/>
    </row>
    <row r="83" spans="2:2" ht="15.9" customHeight="1" x14ac:dyDescent="0.3">
      <c r="B83" s="37"/>
    </row>
    <row r="84" spans="2:2" ht="15.9" customHeight="1" x14ac:dyDescent="0.3">
      <c r="B84" s="37"/>
    </row>
    <row r="85" spans="2:2" ht="15.9" customHeight="1" x14ac:dyDescent="0.3">
      <c r="B85" s="37"/>
    </row>
    <row r="86" spans="2:2" ht="15.9" customHeight="1" x14ac:dyDescent="0.3">
      <c r="B86" s="37"/>
    </row>
    <row r="87" spans="2:2" ht="15.9" customHeight="1" x14ac:dyDescent="0.3">
      <c r="B87" s="37"/>
    </row>
    <row r="88" spans="2:2" ht="15.9" customHeight="1" x14ac:dyDescent="0.3">
      <c r="B88" s="37"/>
    </row>
    <row r="89" spans="2:2" ht="15.9" customHeight="1" x14ac:dyDescent="0.3">
      <c r="B89" s="37"/>
    </row>
    <row r="90" spans="2:2" ht="15.9" customHeight="1" x14ac:dyDescent="0.3">
      <c r="B90" s="37"/>
    </row>
    <row r="91" spans="2:2" ht="15.9" customHeight="1" x14ac:dyDescent="0.3">
      <c r="B91" s="37"/>
    </row>
    <row r="92" spans="2:2" ht="15.9" customHeight="1" x14ac:dyDescent="0.3">
      <c r="B92" s="37"/>
    </row>
    <row r="93" spans="2:2" ht="15.9" customHeight="1" x14ac:dyDescent="0.3">
      <c r="B93" s="37"/>
    </row>
    <row r="94" spans="2:2" ht="15.9" customHeight="1" x14ac:dyDescent="0.3">
      <c r="B94" s="37"/>
    </row>
    <row r="95" spans="2:2" ht="15.9" customHeight="1" x14ac:dyDescent="0.3">
      <c r="B95" s="37"/>
    </row>
    <row r="96" spans="2:2" ht="15.9" customHeight="1" x14ac:dyDescent="0.3">
      <c r="B96" s="37"/>
    </row>
    <row r="97" spans="2:2" ht="15.9" customHeight="1" x14ac:dyDescent="0.3">
      <c r="B97" s="37"/>
    </row>
    <row r="98" spans="2:2" ht="15.9" customHeight="1" x14ac:dyDescent="0.3">
      <c r="B98" s="37"/>
    </row>
    <row r="99" spans="2:2" ht="15.9" customHeight="1" x14ac:dyDescent="0.3">
      <c r="B99" s="37"/>
    </row>
    <row r="100" spans="2:2" ht="15.9" customHeight="1" x14ac:dyDescent="0.3">
      <c r="B100" s="37"/>
    </row>
    <row r="101" spans="2:2" ht="15.9" customHeight="1" x14ac:dyDescent="0.3">
      <c r="B101" s="37"/>
    </row>
    <row r="102" spans="2:2" ht="15.9" customHeight="1" x14ac:dyDescent="0.3">
      <c r="B102" s="37"/>
    </row>
    <row r="103" spans="2:2" ht="15.9" customHeight="1" x14ac:dyDescent="0.3">
      <c r="B103" s="37"/>
    </row>
    <row r="104" spans="2:2" ht="15.9" customHeight="1" x14ac:dyDescent="0.3">
      <c r="B104" s="37"/>
    </row>
    <row r="105" spans="2:2" ht="15.9" customHeight="1" x14ac:dyDescent="0.3">
      <c r="B105" s="37"/>
    </row>
    <row r="106" spans="2:2" ht="15.9" customHeight="1" x14ac:dyDescent="0.3">
      <c r="B106" s="37"/>
    </row>
    <row r="107" spans="2:2" ht="15.9" customHeight="1" x14ac:dyDescent="0.3">
      <c r="B107" s="37"/>
    </row>
    <row r="108" spans="2:2" ht="15.9" customHeight="1" x14ac:dyDescent="0.3">
      <c r="B108" s="37"/>
    </row>
    <row r="109" spans="2:2" ht="15.9" customHeight="1" x14ac:dyDescent="0.3">
      <c r="B109" s="37"/>
    </row>
    <row r="110" spans="2:2" ht="15.9" customHeight="1" x14ac:dyDescent="0.3">
      <c r="B110" s="37"/>
    </row>
    <row r="111" spans="2:2" ht="15.9" customHeight="1" x14ac:dyDescent="0.3">
      <c r="B111" s="37"/>
    </row>
    <row r="112" spans="2:2" ht="15.9" customHeight="1" x14ac:dyDescent="0.3">
      <c r="B112" s="37"/>
    </row>
    <row r="113" spans="2:2" ht="15.9" customHeight="1" x14ac:dyDescent="0.3">
      <c r="B113" s="37"/>
    </row>
    <row r="114" spans="2:2" ht="15.9" customHeight="1" x14ac:dyDescent="0.3">
      <c r="B114" s="37"/>
    </row>
    <row r="115" spans="2:2" ht="15.9" customHeight="1" x14ac:dyDescent="0.3">
      <c r="B115" s="37"/>
    </row>
    <row r="116" spans="2:2" ht="15.9" customHeight="1" x14ac:dyDescent="0.3">
      <c r="B116" s="37"/>
    </row>
    <row r="117" spans="2:2" ht="15.9" customHeight="1" x14ac:dyDescent="0.3">
      <c r="B117" s="37"/>
    </row>
    <row r="118" spans="2:2" ht="15.9" customHeight="1" x14ac:dyDescent="0.3">
      <c r="B118" s="37"/>
    </row>
    <row r="119" spans="2:2" ht="15.9" customHeight="1" x14ac:dyDescent="0.3">
      <c r="B119" s="37"/>
    </row>
    <row r="120" spans="2:2" ht="15.9" customHeight="1" x14ac:dyDescent="0.3">
      <c r="B120" s="37"/>
    </row>
    <row r="121" spans="2:2" ht="15.9" customHeight="1" x14ac:dyDescent="0.3">
      <c r="B121" s="37"/>
    </row>
    <row r="122" spans="2:2" ht="15.9" customHeight="1" x14ac:dyDescent="0.3">
      <c r="B122" s="37"/>
    </row>
    <row r="123" spans="2:2" ht="15.9" customHeight="1" x14ac:dyDescent="0.3">
      <c r="B123" s="37"/>
    </row>
    <row r="124" spans="2:2" ht="15.9" customHeight="1" x14ac:dyDescent="0.3">
      <c r="B124" s="37"/>
    </row>
    <row r="125" spans="2:2" ht="15.9" customHeight="1" x14ac:dyDescent="0.3">
      <c r="B125" s="37"/>
    </row>
    <row r="126" spans="2:2" ht="15.9" customHeight="1" x14ac:dyDescent="0.3">
      <c r="B126" s="37"/>
    </row>
    <row r="127" spans="2:2" ht="15.9" customHeight="1" x14ac:dyDescent="0.3">
      <c r="B127" s="37"/>
    </row>
    <row r="128" spans="2:2" ht="15.9" customHeight="1" x14ac:dyDescent="0.3">
      <c r="B128" s="37"/>
    </row>
    <row r="129" spans="2:2" ht="15.9" customHeight="1" x14ac:dyDescent="0.3">
      <c r="B129" s="37"/>
    </row>
    <row r="130" spans="2:2" ht="15.9" customHeight="1" x14ac:dyDescent="0.3">
      <c r="B130" s="37"/>
    </row>
    <row r="131" spans="2:2" ht="15.9" customHeight="1" x14ac:dyDescent="0.3">
      <c r="B131" s="37"/>
    </row>
    <row r="132" spans="2:2" ht="15.9" customHeight="1" x14ac:dyDescent="0.3">
      <c r="B132" s="37"/>
    </row>
    <row r="133" spans="2:2" ht="15.9" customHeight="1" x14ac:dyDescent="0.3">
      <c r="B133" s="37"/>
    </row>
    <row r="134" spans="2:2" ht="15.9" customHeight="1" x14ac:dyDescent="0.3">
      <c r="B134" s="37"/>
    </row>
    <row r="135" spans="2:2" ht="15.9" customHeight="1" x14ac:dyDescent="0.3">
      <c r="B135" s="37"/>
    </row>
    <row r="136" spans="2:2" ht="15.9" customHeight="1" x14ac:dyDescent="0.3">
      <c r="B136" s="37"/>
    </row>
    <row r="137" spans="2:2" ht="15.9" customHeight="1" x14ac:dyDescent="0.3">
      <c r="B137" s="37"/>
    </row>
    <row r="138" spans="2:2" ht="15.9" customHeight="1" x14ac:dyDescent="0.3">
      <c r="B138" s="37"/>
    </row>
    <row r="139" spans="2:2" ht="15.9" customHeight="1" x14ac:dyDescent="0.3">
      <c r="B139" s="37"/>
    </row>
    <row r="140" spans="2:2" ht="15.9" customHeight="1" x14ac:dyDescent="0.3">
      <c r="B140" s="37"/>
    </row>
    <row r="141" spans="2:2" ht="15.9" customHeight="1" x14ac:dyDescent="0.3">
      <c r="B141" s="37"/>
    </row>
    <row r="142" spans="2:2" ht="15.9" customHeight="1" x14ac:dyDescent="0.3">
      <c r="B142" s="37"/>
    </row>
    <row r="143" spans="2:2" ht="15.9" customHeight="1" x14ac:dyDescent="0.3">
      <c r="B143" s="37"/>
    </row>
    <row r="144" spans="2:2" ht="15.9" customHeight="1" x14ac:dyDescent="0.3">
      <c r="B144" s="37"/>
    </row>
    <row r="145" spans="2:2" ht="15.9" customHeight="1" x14ac:dyDescent="0.3">
      <c r="B145" s="37"/>
    </row>
    <row r="146" spans="2:2" ht="15.9" customHeight="1" x14ac:dyDescent="0.3">
      <c r="B146" s="37"/>
    </row>
    <row r="147" spans="2:2" ht="15.9" customHeight="1" x14ac:dyDescent="0.3">
      <c r="B147" s="37"/>
    </row>
    <row r="148" spans="2:2" ht="15.9" customHeight="1" x14ac:dyDescent="0.3">
      <c r="B148" s="37"/>
    </row>
    <row r="149" spans="2:2" ht="15.9" customHeight="1" x14ac:dyDescent="0.3">
      <c r="B149" s="37"/>
    </row>
    <row r="150" spans="2:2" ht="15.9" customHeight="1" x14ac:dyDescent="0.3">
      <c r="B150" s="37"/>
    </row>
    <row r="151" spans="2:2" ht="15.9" customHeight="1" x14ac:dyDescent="0.3">
      <c r="B151" s="37"/>
    </row>
    <row r="152" spans="2:2" ht="15.9" customHeight="1" x14ac:dyDescent="0.3">
      <c r="B152" s="37"/>
    </row>
    <row r="153" spans="2:2" ht="15.9" customHeight="1" x14ac:dyDescent="0.3">
      <c r="B153" s="37"/>
    </row>
    <row r="154" spans="2:2" ht="15.9" customHeight="1" x14ac:dyDescent="0.3">
      <c r="B154" s="37"/>
    </row>
    <row r="155" spans="2:2" ht="15.9" customHeight="1" x14ac:dyDescent="0.3">
      <c r="B155" s="37"/>
    </row>
    <row r="156" spans="2:2" ht="15.9" customHeight="1" x14ac:dyDescent="0.3">
      <c r="B156" s="37"/>
    </row>
    <row r="157" spans="2:2" ht="15.9" customHeight="1" x14ac:dyDescent="0.3">
      <c r="B157" s="37"/>
    </row>
    <row r="158" spans="2:2" ht="15.9" customHeight="1" x14ac:dyDescent="0.3">
      <c r="B158" s="37"/>
    </row>
    <row r="159" spans="2:2" ht="15.9" customHeight="1" x14ac:dyDescent="0.3">
      <c r="B159" s="37"/>
    </row>
    <row r="160" spans="2:2" ht="15.9" customHeight="1" x14ac:dyDescent="0.3">
      <c r="B160" s="37"/>
    </row>
    <row r="161" spans="2:2" ht="15.9" customHeight="1" x14ac:dyDescent="0.3">
      <c r="B161" s="37"/>
    </row>
    <row r="162" spans="2:2" ht="15.9" customHeight="1" x14ac:dyDescent="0.3">
      <c r="B162" s="37"/>
    </row>
    <row r="163" spans="2:2" ht="15.9" customHeight="1" x14ac:dyDescent="0.3">
      <c r="B163" s="37"/>
    </row>
    <row r="164" spans="2:2" ht="15.9" customHeight="1" x14ac:dyDescent="0.3">
      <c r="B164" s="37"/>
    </row>
    <row r="165" spans="2:2" ht="15.9" customHeight="1" x14ac:dyDescent="0.3">
      <c r="B165" s="37"/>
    </row>
    <row r="166" spans="2:2" ht="15.9" customHeight="1" x14ac:dyDescent="0.3">
      <c r="B166" s="37"/>
    </row>
    <row r="167" spans="2:2" ht="15.9" customHeight="1" x14ac:dyDescent="0.3">
      <c r="B167" s="37"/>
    </row>
    <row r="168" spans="2:2" ht="15.9" customHeight="1" x14ac:dyDescent="0.3">
      <c r="B168" s="37"/>
    </row>
    <row r="169" spans="2:2" ht="15.9" customHeight="1" x14ac:dyDescent="0.3">
      <c r="B169" s="37"/>
    </row>
    <row r="170" spans="2:2" ht="15.9" customHeight="1" x14ac:dyDescent="0.3">
      <c r="B170" s="37"/>
    </row>
    <row r="171" spans="2:2" ht="15.9" customHeight="1" x14ac:dyDescent="0.3">
      <c r="B171" s="37"/>
    </row>
    <row r="172" spans="2:2" ht="15.9" customHeight="1" x14ac:dyDescent="0.3">
      <c r="B172" s="37"/>
    </row>
    <row r="173" spans="2:2" ht="15.9" customHeight="1" x14ac:dyDescent="0.3">
      <c r="B173" s="37"/>
    </row>
    <row r="174" spans="2:2" ht="15.9" customHeight="1" x14ac:dyDescent="0.3">
      <c r="B174" s="37"/>
    </row>
    <row r="175" spans="2:2" ht="15.9" customHeight="1" x14ac:dyDescent="0.3">
      <c r="B175" s="37"/>
    </row>
    <row r="176" spans="2:2" ht="15.9" customHeight="1" x14ac:dyDescent="0.3">
      <c r="B176" s="37"/>
    </row>
    <row r="177" spans="2:2" ht="15.9" customHeight="1" x14ac:dyDescent="0.3">
      <c r="B177" s="37"/>
    </row>
    <row r="178" spans="2:2" ht="15.9" customHeight="1" x14ac:dyDescent="0.3">
      <c r="B178" s="37"/>
    </row>
    <row r="179" spans="2:2" ht="15.9" customHeight="1" x14ac:dyDescent="0.3">
      <c r="B179" s="37"/>
    </row>
    <row r="180" spans="2:2" ht="15.9" customHeight="1" x14ac:dyDescent="0.3">
      <c r="B180" s="37"/>
    </row>
    <row r="181" spans="2:2" ht="15.9" customHeight="1" x14ac:dyDescent="0.3">
      <c r="B181" s="37"/>
    </row>
    <row r="182" spans="2:2" ht="15.9" customHeight="1" x14ac:dyDescent="0.3">
      <c r="B182" s="37"/>
    </row>
    <row r="183" spans="2:2" ht="15.9" customHeight="1" x14ac:dyDescent="0.3">
      <c r="B183" s="37"/>
    </row>
    <row r="184" spans="2:2" ht="15.9" customHeight="1" x14ac:dyDescent="0.3">
      <c r="B184" s="37"/>
    </row>
    <row r="185" spans="2:2" ht="15.9" customHeight="1" x14ac:dyDescent="0.3">
      <c r="B185" s="37"/>
    </row>
    <row r="186" spans="2:2" ht="15.9" customHeight="1" x14ac:dyDescent="0.3">
      <c r="B186" s="37"/>
    </row>
    <row r="187" spans="2:2" ht="15.9" customHeight="1" x14ac:dyDescent="0.3">
      <c r="B187" s="37"/>
    </row>
    <row r="188" spans="2:2" ht="15.9" customHeight="1" x14ac:dyDescent="0.3">
      <c r="B188" s="37"/>
    </row>
    <row r="189" spans="2:2" ht="15.9" customHeight="1" x14ac:dyDescent="0.3">
      <c r="B189" s="37"/>
    </row>
    <row r="190" spans="2:2" ht="15.9" customHeight="1" x14ac:dyDescent="0.3">
      <c r="B190" s="37"/>
    </row>
    <row r="191" spans="2:2" ht="15.9" customHeight="1" x14ac:dyDescent="0.3">
      <c r="B191" s="37"/>
    </row>
    <row r="192" spans="2:2" ht="15.9" customHeight="1" x14ac:dyDescent="0.3">
      <c r="B192" s="37"/>
    </row>
    <row r="193" spans="2:2" ht="15.9" customHeight="1" x14ac:dyDescent="0.3">
      <c r="B193" s="37"/>
    </row>
    <row r="194" spans="2:2" ht="15.9" customHeight="1" x14ac:dyDescent="0.3">
      <c r="B194" s="37"/>
    </row>
    <row r="195" spans="2:2" ht="15.9" customHeight="1" x14ac:dyDescent="0.3">
      <c r="B195" s="37"/>
    </row>
    <row r="196" spans="2:2" ht="15.9" customHeight="1" x14ac:dyDescent="0.3">
      <c r="B196" s="37"/>
    </row>
    <row r="197" spans="2:2" ht="15.9" customHeight="1" x14ac:dyDescent="0.3">
      <c r="B197" s="37"/>
    </row>
    <row r="198" spans="2:2" ht="15.9" customHeight="1" x14ac:dyDescent="0.3">
      <c r="B198" s="37"/>
    </row>
    <row r="199" spans="2:2" ht="15.9" customHeight="1" x14ac:dyDescent="0.3">
      <c r="B199" s="37"/>
    </row>
    <row r="200" spans="2:2" ht="15.9" customHeight="1" x14ac:dyDescent="0.3">
      <c r="B200" s="37"/>
    </row>
    <row r="201" spans="2:2" ht="15.9" customHeight="1" x14ac:dyDescent="0.3">
      <c r="B201" s="37"/>
    </row>
    <row r="202" spans="2:2" ht="15.9" customHeight="1" x14ac:dyDescent="0.3">
      <c r="B202" s="37"/>
    </row>
    <row r="203" spans="2:2" ht="15.9" customHeight="1" x14ac:dyDescent="0.3">
      <c r="B203" s="37"/>
    </row>
    <row r="204" spans="2:2" ht="15.9" customHeight="1" x14ac:dyDescent="0.3">
      <c r="B204" s="37"/>
    </row>
    <row r="205" spans="2:2" ht="15.9" customHeight="1" x14ac:dyDescent="0.3">
      <c r="B205" s="37"/>
    </row>
    <row r="206" spans="2:2" ht="15.9" customHeight="1" x14ac:dyDescent="0.3">
      <c r="B206" s="37"/>
    </row>
    <row r="207" spans="2:2" ht="15.9" customHeight="1" x14ac:dyDescent="0.3">
      <c r="B207" s="37"/>
    </row>
    <row r="208" spans="2:2" ht="15.9" customHeight="1" x14ac:dyDescent="0.3">
      <c r="B208" s="37"/>
    </row>
    <row r="209" spans="2:2" ht="15.9" customHeight="1" x14ac:dyDescent="0.3">
      <c r="B209" s="37"/>
    </row>
    <row r="210" spans="2:2" ht="15.9" customHeight="1" x14ac:dyDescent="0.3">
      <c r="B210" s="37"/>
    </row>
    <row r="211" spans="2:2" ht="15.9" customHeight="1" x14ac:dyDescent="0.3">
      <c r="B211" s="37"/>
    </row>
    <row r="212" spans="2:2" ht="15.9" customHeight="1" x14ac:dyDescent="0.3">
      <c r="B212" s="37"/>
    </row>
    <row r="213" spans="2:2" ht="15.9" customHeight="1" x14ac:dyDescent="0.3">
      <c r="B213" s="37"/>
    </row>
    <row r="214" spans="2:2" ht="15.9" customHeight="1" x14ac:dyDescent="0.3">
      <c r="B214" s="37"/>
    </row>
    <row r="215" spans="2:2" ht="15.9" customHeight="1" x14ac:dyDescent="0.3">
      <c r="B215" s="37"/>
    </row>
    <row r="216" spans="2:2" ht="15.9" customHeight="1" x14ac:dyDescent="0.3">
      <c r="B216" s="37"/>
    </row>
    <row r="217" spans="2:2" ht="15.9" customHeight="1" x14ac:dyDescent="0.3">
      <c r="B217" s="37"/>
    </row>
    <row r="218" spans="2:2" ht="15.9" customHeight="1" x14ac:dyDescent="0.3">
      <c r="B218" s="37"/>
    </row>
    <row r="219" spans="2:2" ht="15.9" customHeight="1" x14ac:dyDescent="0.3">
      <c r="B219" s="37"/>
    </row>
    <row r="220" spans="2:2" ht="15.9" customHeight="1" x14ac:dyDescent="0.3">
      <c r="B220" s="37"/>
    </row>
    <row r="221" spans="2:2" ht="15.9" customHeight="1" x14ac:dyDescent="0.3">
      <c r="B221" s="37"/>
    </row>
    <row r="222" spans="2:2" ht="15.9" customHeight="1" x14ac:dyDescent="0.3">
      <c r="B222" s="37"/>
    </row>
    <row r="223" spans="2:2" ht="15.9" customHeight="1" x14ac:dyDescent="0.3">
      <c r="B223" s="37"/>
    </row>
    <row r="224" spans="2:2" ht="15.9" customHeight="1" x14ac:dyDescent="0.3">
      <c r="B224" s="37"/>
    </row>
    <row r="225" spans="2:2" ht="15.9" customHeight="1" x14ac:dyDescent="0.3">
      <c r="B225" s="37"/>
    </row>
    <row r="226" spans="2:2" ht="15.9" customHeight="1" x14ac:dyDescent="0.3">
      <c r="B226" s="37"/>
    </row>
    <row r="227" spans="2:2" ht="15.9" customHeight="1" x14ac:dyDescent="0.3">
      <c r="B227" s="37"/>
    </row>
    <row r="228" spans="2:2" ht="15.9" customHeight="1" x14ac:dyDescent="0.3">
      <c r="B228" s="37"/>
    </row>
    <row r="229" spans="2:2" ht="15.9" customHeight="1" x14ac:dyDescent="0.3">
      <c r="B229" s="37"/>
    </row>
    <row r="230" spans="2:2" ht="15.9" customHeight="1" x14ac:dyDescent="0.3">
      <c r="B230" s="37"/>
    </row>
    <row r="231" spans="2:2" ht="15.9" customHeight="1" x14ac:dyDescent="0.3">
      <c r="B231" s="37"/>
    </row>
    <row r="232" spans="2:2" ht="15.9" customHeight="1" x14ac:dyDescent="0.3">
      <c r="B232" s="37"/>
    </row>
    <row r="233" spans="2:2" ht="15.9" customHeight="1" x14ac:dyDescent="0.3">
      <c r="B233" s="37"/>
    </row>
    <row r="234" spans="2:2" ht="15.9" customHeight="1" x14ac:dyDescent="0.3">
      <c r="B234" s="37"/>
    </row>
    <row r="235" spans="2:2" ht="15.9" customHeight="1" x14ac:dyDescent="0.3">
      <c r="B235" s="37"/>
    </row>
    <row r="236" spans="2:2" ht="15.9" customHeight="1" x14ac:dyDescent="0.3">
      <c r="B236" s="37"/>
    </row>
    <row r="237" spans="2:2" ht="15.9" customHeight="1" x14ac:dyDescent="0.3">
      <c r="B237" s="37"/>
    </row>
    <row r="238" spans="2:2" ht="15.9" customHeight="1" x14ac:dyDescent="0.3">
      <c r="B238" s="37"/>
    </row>
    <row r="239" spans="2:2" ht="15.9" customHeight="1" x14ac:dyDescent="0.3">
      <c r="B239" s="37"/>
    </row>
    <row r="240" spans="2:2" ht="15.9" customHeight="1" x14ac:dyDescent="0.3">
      <c r="B240" s="37"/>
    </row>
    <row r="241" spans="2:2" ht="15.9" customHeight="1" x14ac:dyDescent="0.3">
      <c r="B241" s="37"/>
    </row>
    <row r="242" spans="2:2" ht="15.9" customHeight="1" x14ac:dyDescent="0.3">
      <c r="B242" s="37"/>
    </row>
    <row r="243" spans="2:2" ht="15.9" customHeight="1" x14ac:dyDescent="0.3">
      <c r="B243" s="37"/>
    </row>
    <row r="244" spans="2:2" ht="15.9" customHeight="1" x14ac:dyDescent="0.3">
      <c r="B244" s="37"/>
    </row>
    <row r="245" spans="2:2" ht="15.9" customHeight="1" x14ac:dyDescent="0.3">
      <c r="B245" s="37"/>
    </row>
    <row r="246" spans="2:2" ht="15.9" customHeight="1" x14ac:dyDescent="0.3">
      <c r="B246" s="37"/>
    </row>
    <row r="247" spans="2:2" ht="15.9" customHeight="1" x14ac:dyDescent="0.3">
      <c r="B247" s="37"/>
    </row>
    <row r="248" spans="2:2" ht="15.9" customHeight="1" x14ac:dyDescent="0.3">
      <c r="B248" s="37"/>
    </row>
    <row r="249" spans="2:2" ht="15.9" customHeight="1" x14ac:dyDescent="0.3">
      <c r="B249" s="37"/>
    </row>
    <row r="250" spans="2:2" ht="15.9" customHeight="1" x14ac:dyDescent="0.3">
      <c r="B250" s="37"/>
    </row>
    <row r="251" spans="2:2" ht="15.9" customHeight="1" x14ac:dyDescent="0.3">
      <c r="B251" s="37"/>
    </row>
    <row r="252" spans="2:2" ht="15.9" customHeight="1" x14ac:dyDescent="0.3">
      <c r="B252" s="37"/>
    </row>
    <row r="253" spans="2:2" ht="15.9" customHeight="1" x14ac:dyDescent="0.3">
      <c r="B253" s="37"/>
    </row>
    <row r="254" spans="2:2" ht="15.9" customHeight="1" x14ac:dyDescent="0.3">
      <c r="B254" s="37"/>
    </row>
    <row r="255" spans="2:2" ht="15.9" customHeight="1" x14ac:dyDescent="0.3">
      <c r="B255" s="37"/>
    </row>
    <row r="256" spans="2:2" ht="15.9" customHeight="1" x14ac:dyDescent="0.3">
      <c r="B256" s="37"/>
    </row>
    <row r="257" spans="2:2" ht="15.9" customHeight="1" x14ac:dyDescent="0.3">
      <c r="B257" s="37"/>
    </row>
    <row r="258" spans="2:2" ht="15.9" customHeight="1" x14ac:dyDescent="0.3">
      <c r="B258" s="37"/>
    </row>
    <row r="259" spans="2:2" ht="15.9" customHeight="1" x14ac:dyDescent="0.3">
      <c r="B259" s="37"/>
    </row>
    <row r="260" spans="2:2" ht="15.9" customHeight="1" x14ac:dyDescent="0.3">
      <c r="B260" s="37"/>
    </row>
    <row r="261" spans="2:2" ht="15.9" customHeight="1" x14ac:dyDescent="0.3">
      <c r="B261" s="37"/>
    </row>
    <row r="262" spans="2:2" ht="15.9" customHeight="1" x14ac:dyDescent="0.3">
      <c r="B262" s="37"/>
    </row>
    <row r="263" spans="2:2" ht="15.9" customHeight="1" x14ac:dyDescent="0.3">
      <c r="B263" s="37"/>
    </row>
    <row r="264" spans="2:2" ht="15.9" customHeight="1" x14ac:dyDescent="0.3">
      <c r="B264" s="37"/>
    </row>
    <row r="265" spans="2:2" ht="15.9" customHeight="1" x14ac:dyDescent="0.3">
      <c r="B265" s="37"/>
    </row>
    <row r="266" spans="2:2" ht="15.9" customHeight="1" x14ac:dyDescent="0.3">
      <c r="B266" s="37"/>
    </row>
    <row r="267" spans="2:2" ht="15.9" customHeight="1" x14ac:dyDescent="0.3">
      <c r="B267" s="37"/>
    </row>
    <row r="268" spans="2:2" ht="15.9" customHeight="1" x14ac:dyDescent="0.3">
      <c r="B268" s="37"/>
    </row>
    <row r="269" spans="2:2" ht="15.9" customHeight="1" x14ac:dyDescent="0.3">
      <c r="B269" s="37"/>
    </row>
    <row r="270" spans="2:2" ht="15.9" customHeight="1" x14ac:dyDescent="0.3">
      <c r="B270" s="37"/>
    </row>
    <row r="271" spans="2:2" ht="15.9" customHeight="1" x14ac:dyDescent="0.3">
      <c r="B271" s="37"/>
    </row>
    <row r="272" spans="2:2" ht="15.9" customHeight="1" x14ac:dyDescent="0.3">
      <c r="B272" s="37"/>
    </row>
    <row r="273" spans="2:2" ht="15.9" customHeight="1" x14ac:dyDescent="0.3">
      <c r="B273" s="37"/>
    </row>
    <row r="274" spans="2:2" ht="15.9" customHeight="1" x14ac:dyDescent="0.3">
      <c r="B274" s="37"/>
    </row>
    <row r="275" spans="2:2" ht="15.9" customHeight="1" x14ac:dyDescent="0.3">
      <c r="B275" s="37"/>
    </row>
    <row r="276" spans="2:2" ht="15.9" customHeight="1" x14ac:dyDescent="0.3">
      <c r="B276" s="37"/>
    </row>
    <row r="277" spans="2:2" ht="15.9" customHeight="1" x14ac:dyDescent="0.3">
      <c r="B277" s="37"/>
    </row>
    <row r="278" spans="2:2" ht="15.9" customHeight="1" x14ac:dyDescent="0.3">
      <c r="B278" s="37"/>
    </row>
    <row r="279" spans="2:2" ht="15.9" customHeight="1" x14ac:dyDescent="0.3">
      <c r="B279" s="37"/>
    </row>
    <row r="280" spans="2:2" ht="15.9" customHeight="1" x14ac:dyDescent="0.3">
      <c r="B280" s="37"/>
    </row>
    <row r="281" spans="2:2" ht="15.9" customHeight="1" x14ac:dyDescent="0.3">
      <c r="B281" s="37"/>
    </row>
    <row r="282" spans="2:2" ht="15.9" customHeight="1" x14ac:dyDescent="0.3">
      <c r="B282" s="37"/>
    </row>
    <row r="283" spans="2:2" ht="15.9" customHeight="1" x14ac:dyDescent="0.3">
      <c r="B283" s="37"/>
    </row>
    <row r="284" spans="2:2" ht="15.9" customHeight="1" x14ac:dyDescent="0.3">
      <c r="B284" s="37"/>
    </row>
    <row r="285" spans="2:2" ht="15.9" customHeight="1" x14ac:dyDescent="0.3">
      <c r="B285" s="37"/>
    </row>
    <row r="286" spans="2:2" ht="15.9" customHeight="1" x14ac:dyDescent="0.3">
      <c r="B286" s="37"/>
    </row>
    <row r="287" spans="2:2" ht="15.9" customHeight="1" x14ac:dyDescent="0.3">
      <c r="B287" s="37"/>
    </row>
    <row r="288" spans="2:2" ht="15.9" customHeight="1" x14ac:dyDescent="0.3">
      <c r="B288" s="37"/>
    </row>
    <row r="289" spans="2:2" ht="15.9" customHeight="1" x14ac:dyDescent="0.3">
      <c r="B289" s="37"/>
    </row>
    <row r="290" spans="2:2" ht="15.9" customHeight="1" x14ac:dyDescent="0.3">
      <c r="B290" s="37"/>
    </row>
    <row r="291" spans="2:2" ht="15.9" customHeight="1" x14ac:dyDescent="0.3">
      <c r="B291" s="37"/>
    </row>
    <row r="292" spans="2:2" ht="15.9" customHeight="1" x14ac:dyDescent="0.3">
      <c r="B292" s="37"/>
    </row>
    <row r="293" spans="2:2" ht="15.9" customHeight="1" x14ac:dyDescent="0.3">
      <c r="B293" s="37"/>
    </row>
    <row r="294" spans="2:2" ht="15.9" customHeight="1" x14ac:dyDescent="0.3">
      <c r="B294" s="37"/>
    </row>
    <row r="295" spans="2:2" ht="15.9" customHeight="1" x14ac:dyDescent="0.3">
      <c r="B295" s="37"/>
    </row>
    <row r="296" spans="2:2" ht="15.9" customHeight="1" x14ac:dyDescent="0.3">
      <c r="B296" s="37"/>
    </row>
    <row r="297" spans="2:2" ht="15.9" customHeight="1" x14ac:dyDescent="0.3">
      <c r="B297" s="37"/>
    </row>
    <row r="298" spans="2:2" ht="15.9" customHeight="1" x14ac:dyDescent="0.3">
      <c r="B298" s="37"/>
    </row>
    <row r="299" spans="2:2" ht="15.9" customHeight="1" x14ac:dyDescent="0.3">
      <c r="B299" s="37"/>
    </row>
    <row r="300" spans="2:2" ht="15.9" customHeight="1" x14ac:dyDescent="0.3">
      <c r="B300" s="37"/>
    </row>
    <row r="301" spans="2:2" ht="15.9" customHeight="1" x14ac:dyDescent="0.3">
      <c r="B301" s="37"/>
    </row>
    <row r="302" spans="2:2" ht="15.9" customHeight="1" x14ac:dyDescent="0.3">
      <c r="B302" s="37"/>
    </row>
    <row r="303" spans="2:2" ht="15.9" customHeight="1" x14ac:dyDescent="0.3">
      <c r="B303" s="37"/>
    </row>
    <row r="304" spans="2:2" ht="15.9" customHeight="1" x14ac:dyDescent="0.3">
      <c r="B304" s="37"/>
    </row>
    <row r="305" spans="2:2" ht="15.9" customHeight="1" x14ac:dyDescent="0.3">
      <c r="B305" s="37"/>
    </row>
    <row r="306" spans="2:2" ht="15.9" customHeight="1" x14ac:dyDescent="0.3">
      <c r="B306" s="37"/>
    </row>
    <row r="307" spans="2:2" ht="15.9" customHeight="1" x14ac:dyDescent="0.3">
      <c r="B307" s="37"/>
    </row>
    <row r="308" spans="2:2" ht="15.9" customHeight="1" x14ac:dyDescent="0.3">
      <c r="B308" s="37"/>
    </row>
    <row r="309" spans="2:2" ht="15.9" customHeight="1" x14ac:dyDescent="0.3">
      <c r="B309" s="37"/>
    </row>
    <row r="310" spans="2:2" ht="15.9" customHeight="1" x14ac:dyDescent="0.3">
      <c r="B310" s="37"/>
    </row>
    <row r="311" spans="2:2" ht="15.9" customHeight="1" x14ac:dyDescent="0.3">
      <c r="B311" s="37"/>
    </row>
    <row r="312" spans="2:2" ht="15.9" customHeight="1" x14ac:dyDescent="0.3">
      <c r="B312" s="37"/>
    </row>
    <row r="313" spans="2:2" ht="15.9" customHeight="1" x14ac:dyDescent="0.3">
      <c r="B313" s="37"/>
    </row>
    <row r="314" spans="2:2" ht="15.9" customHeight="1" x14ac:dyDescent="0.3">
      <c r="B314" s="37"/>
    </row>
    <row r="315" spans="2:2" ht="15.9" customHeight="1" x14ac:dyDescent="0.3">
      <c r="B315" s="37"/>
    </row>
    <row r="316" spans="2:2" ht="15.9" customHeight="1" x14ac:dyDescent="0.3">
      <c r="B316" s="37"/>
    </row>
    <row r="317" spans="2:2" ht="15.9" customHeight="1" x14ac:dyDescent="0.3">
      <c r="B317" s="37"/>
    </row>
    <row r="318" spans="2:2" ht="15.9" customHeight="1" x14ac:dyDescent="0.3">
      <c r="B318" s="37"/>
    </row>
    <row r="319" spans="2:2" ht="15.9" customHeight="1" x14ac:dyDescent="0.3">
      <c r="B319" s="37"/>
    </row>
    <row r="320" spans="2:2" ht="15.9" customHeight="1" x14ac:dyDescent="0.3">
      <c r="B320" s="37"/>
    </row>
    <row r="321" spans="2:2" ht="15.9" customHeight="1" x14ac:dyDescent="0.3">
      <c r="B321" s="37"/>
    </row>
    <row r="322" spans="2:2" ht="15.9" customHeight="1" x14ac:dyDescent="0.3">
      <c r="B322" s="37"/>
    </row>
    <row r="323" spans="2:2" ht="15.9" customHeight="1" x14ac:dyDescent="0.3">
      <c r="B323" s="37"/>
    </row>
    <row r="324" spans="2:2" ht="15.9" customHeight="1" x14ac:dyDescent="0.3">
      <c r="B324" s="37"/>
    </row>
    <row r="325" spans="2:2" ht="15.9" customHeight="1" x14ac:dyDescent="0.3">
      <c r="B325" s="37"/>
    </row>
    <row r="326" spans="2:2" ht="15.9" customHeight="1" x14ac:dyDescent="0.3">
      <c r="B326" s="37"/>
    </row>
    <row r="327" spans="2:2" ht="15.9" customHeight="1" x14ac:dyDescent="0.3">
      <c r="B327" s="37"/>
    </row>
    <row r="328" spans="2:2" ht="15.9" customHeight="1" x14ac:dyDescent="0.3">
      <c r="B328" s="37"/>
    </row>
    <row r="329" spans="2:2" ht="15.9" customHeight="1" x14ac:dyDescent="0.3">
      <c r="B329" s="37"/>
    </row>
    <row r="330" spans="2:2" ht="15.9" customHeight="1" x14ac:dyDescent="0.3">
      <c r="B330" s="37"/>
    </row>
    <row r="331" spans="2:2" ht="15.9" customHeight="1" x14ac:dyDescent="0.3">
      <c r="B331" s="37"/>
    </row>
    <row r="332" spans="2:2" ht="15.9" customHeight="1" x14ac:dyDescent="0.3">
      <c r="B332" s="37"/>
    </row>
    <row r="333" spans="2:2" ht="15.9" customHeight="1" x14ac:dyDescent="0.3">
      <c r="B333" s="37"/>
    </row>
    <row r="334" spans="2:2" ht="15.9" customHeight="1" x14ac:dyDescent="0.3">
      <c r="B334" s="37"/>
    </row>
    <row r="335" spans="2:2" ht="15.9" customHeight="1" x14ac:dyDescent="0.3">
      <c r="B335" s="37"/>
    </row>
    <row r="336" spans="2:2" ht="15.9" customHeight="1" x14ac:dyDescent="0.3">
      <c r="B336" s="37"/>
    </row>
    <row r="337" spans="2:2" ht="15.9" customHeight="1" x14ac:dyDescent="0.3">
      <c r="B337" s="37"/>
    </row>
    <row r="338" spans="2:2" ht="15.9" customHeight="1" x14ac:dyDescent="0.3">
      <c r="B338" s="37"/>
    </row>
    <row r="339" spans="2:2" ht="15.9" customHeight="1" x14ac:dyDescent="0.3">
      <c r="B339" s="37"/>
    </row>
    <row r="340" spans="2:2" ht="15.9" customHeight="1" x14ac:dyDescent="0.3">
      <c r="B340" s="37"/>
    </row>
    <row r="341" spans="2:2" ht="15.9" customHeight="1" x14ac:dyDescent="0.3">
      <c r="B341" s="37"/>
    </row>
    <row r="342" spans="2:2" ht="15.9" customHeight="1" x14ac:dyDescent="0.3">
      <c r="B342" s="37"/>
    </row>
    <row r="343" spans="2:2" ht="15.9" customHeight="1" x14ac:dyDescent="0.3">
      <c r="B343" s="37"/>
    </row>
    <row r="344" spans="2:2" ht="15.9" customHeight="1" x14ac:dyDescent="0.3">
      <c r="B344" s="37"/>
    </row>
    <row r="345" spans="2:2" ht="15.9" customHeight="1" x14ac:dyDescent="0.3">
      <c r="B345" s="37"/>
    </row>
    <row r="346" spans="2:2" ht="15.9" customHeight="1" x14ac:dyDescent="0.3">
      <c r="B346" s="37"/>
    </row>
    <row r="347" spans="2:2" ht="15.9" customHeight="1" x14ac:dyDescent="0.3">
      <c r="B347" s="37"/>
    </row>
    <row r="348" spans="2:2" ht="15.9" customHeight="1" x14ac:dyDescent="0.3">
      <c r="B348" s="37"/>
    </row>
    <row r="349" spans="2:2" ht="15.9" customHeight="1" x14ac:dyDescent="0.3">
      <c r="B349" s="37"/>
    </row>
    <row r="350" spans="2:2" ht="15.9" customHeight="1" x14ac:dyDescent="0.3">
      <c r="B350" s="37"/>
    </row>
    <row r="351" spans="2:2" ht="15.9" customHeight="1" x14ac:dyDescent="0.3">
      <c r="B351" s="37"/>
    </row>
    <row r="352" spans="2:2" ht="15.9" customHeight="1" x14ac:dyDescent="0.3">
      <c r="B352" s="37"/>
    </row>
    <row r="353" spans="2:2" ht="15.9" customHeight="1" x14ac:dyDescent="0.3">
      <c r="B353" s="37"/>
    </row>
    <row r="354" spans="2:2" ht="15.9" customHeight="1" x14ac:dyDescent="0.3">
      <c r="B354" s="37"/>
    </row>
    <row r="355" spans="2:2" ht="15.9" customHeight="1" x14ac:dyDescent="0.3">
      <c r="B355" s="37"/>
    </row>
    <row r="356" spans="2:2" ht="15.9" customHeight="1" x14ac:dyDescent="0.3">
      <c r="B356" s="37"/>
    </row>
    <row r="357" spans="2:2" ht="15.9" customHeight="1" x14ac:dyDescent="0.3">
      <c r="B357" s="37"/>
    </row>
    <row r="358" spans="2:2" ht="15.9" customHeight="1" x14ac:dyDescent="0.3">
      <c r="B358" s="37"/>
    </row>
    <row r="359" spans="2:2" ht="15.9" customHeight="1" x14ac:dyDescent="0.3">
      <c r="B359" s="37"/>
    </row>
    <row r="360" spans="2:2" ht="15.9" customHeight="1" x14ac:dyDescent="0.3">
      <c r="B360" s="37"/>
    </row>
    <row r="361" spans="2:2" ht="15.9" customHeight="1" x14ac:dyDescent="0.3">
      <c r="B361" s="37"/>
    </row>
    <row r="362" spans="2:2" ht="15.9" customHeight="1" x14ac:dyDescent="0.3">
      <c r="B362" s="37"/>
    </row>
    <row r="363" spans="2:2" ht="15.9" customHeight="1" x14ac:dyDescent="0.3">
      <c r="B363" s="37"/>
    </row>
    <row r="364" spans="2:2" ht="15.9" customHeight="1" x14ac:dyDescent="0.3">
      <c r="B364" s="37"/>
    </row>
    <row r="365" spans="2:2" ht="15.9" customHeight="1" x14ac:dyDescent="0.3">
      <c r="B365" s="37"/>
    </row>
    <row r="366" spans="2:2" ht="15.9" customHeight="1" x14ac:dyDescent="0.3">
      <c r="B366" s="37"/>
    </row>
    <row r="367" spans="2:2" ht="15.9" customHeight="1" x14ac:dyDescent="0.3">
      <c r="B367" s="37"/>
    </row>
    <row r="368" spans="2:2" ht="15.9" customHeight="1" x14ac:dyDescent="0.3">
      <c r="B368" s="37"/>
    </row>
    <row r="369" spans="2:2" ht="15.9" customHeight="1" x14ac:dyDescent="0.3">
      <c r="B369" s="37"/>
    </row>
    <row r="370" spans="2:2" ht="15.9" customHeight="1" x14ac:dyDescent="0.3">
      <c r="B370" s="37"/>
    </row>
    <row r="371" spans="2:2" ht="15.9" customHeight="1" x14ac:dyDescent="0.3">
      <c r="B371" s="37"/>
    </row>
    <row r="372" spans="2:2" ht="15.9" customHeight="1" x14ac:dyDescent="0.3">
      <c r="B372" s="37"/>
    </row>
    <row r="373" spans="2:2" ht="15.9" customHeight="1" x14ac:dyDescent="0.3">
      <c r="B373" s="37"/>
    </row>
    <row r="374" spans="2:2" ht="15.9" customHeight="1" x14ac:dyDescent="0.3">
      <c r="B374" s="37"/>
    </row>
    <row r="375" spans="2:2" ht="15.9" customHeight="1" x14ac:dyDescent="0.3">
      <c r="B375" s="37"/>
    </row>
    <row r="376" spans="2:2" ht="15.9" customHeight="1" x14ac:dyDescent="0.3">
      <c r="B376" s="37"/>
    </row>
    <row r="377" spans="2:2" ht="15.9" customHeight="1" x14ac:dyDescent="0.3">
      <c r="B377" s="37"/>
    </row>
    <row r="378" spans="2:2" ht="15.9" customHeight="1" x14ac:dyDescent="0.3">
      <c r="B378" s="37"/>
    </row>
    <row r="379" spans="2:2" ht="15.9" customHeight="1" x14ac:dyDescent="0.3">
      <c r="B379" s="37"/>
    </row>
    <row r="380" spans="2:2" ht="15.9" customHeight="1" x14ac:dyDescent="0.3">
      <c r="B380" s="37"/>
    </row>
    <row r="381" spans="2:2" ht="15.9" customHeight="1" x14ac:dyDescent="0.3">
      <c r="B381" s="37"/>
    </row>
    <row r="382" spans="2:2" ht="15.9" customHeight="1" x14ac:dyDescent="0.3">
      <c r="B382" s="37"/>
    </row>
    <row r="383" spans="2:2" ht="15.9" customHeight="1" x14ac:dyDescent="0.3">
      <c r="B383" s="37"/>
    </row>
    <row r="384" spans="2:2" ht="15.9" customHeight="1" x14ac:dyDescent="0.3">
      <c r="B384" s="37"/>
    </row>
    <row r="385" spans="2:2" ht="15.9" customHeight="1" x14ac:dyDescent="0.3">
      <c r="B385" s="37"/>
    </row>
    <row r="386" spans="2:2" ht="15.9" customHeight="1" x14ac:dyDescent="0.3">
      <c r="B386" s="37"/>
    </row>
    <row r="387" spans="2:2" ht="15.9" customHeight="1" x14ac:dyDescent="0.3">
      <c r="B387" s="37"/>
    </row>
    <row r="388" spans="2:2" ht="15.9" customHeight="1" x14ac:dyDescent="0.3">
      <c r="B388" s="37"/>
    </row>
    <row r="389" spans="2:2" ht="15.9" customHeight="1" x14ac:dyDescent="0.3">
      <c r="B389" s="37"/>
    </row>
    <row r="390" spans="2:2" ht="15.9" customHeight="1" x14ac:dyDescent="0.3">
      <c r="B390" s="37"/>
    </row>
    <row r="391" spans="2:2" ht="15.9" customHeight="1" x14ac:dyDescent="0.3">
      <c r="B391" s="37"/>
    </row>
    <row r="392" spans="2:2" ht="15.9" customHeight="1" x14ac:dyDescent="0.3">
      <c r="B392" s="37"/>
    </row>
    <row r="393" spans="2:2" ht="15.9" customHeight="1" x14ac:dyDescent="0.3">
      <c r="B393" s="37"/>
    </row>
    <row r="394" spans="2:2" ht="15.9" customHeight="1" x14ac:dyDescent="0.3">
      <c r="B394" s="37"/>
    </row>
    <row r="395" spans="2:2" ht="15.9" customHeight="1" x14ac:dyDescent="0.3">
      <c r="B395" s="37"/>
    </row>
    <row r="396" spans="2:2" ht="15.9" customHeight="1" x14ac:dyDescent="0.3">
      <c r="B396" s="37"/>
    </row>
    <row r="397" spans="2:2" ht="15.9" customHeight="1" x14ac:dyDescent="0.3">
      <c r="B397" s="37"/>
    </row>
    <row r="398" spans="2:2" ht="15.9" customHeight="1" x14ac:dyDescent="0.3">
      <c r="B398" s="37"/>
    </row>
    <row r="399" spans="2:2" ht="15.9" customHeight="1" x14ac:dyDescent="0.3">
      <c r="B399" s="37"/>
    </row>
    <row r="400" spans="2:2" ht="15.9" customHeight="1" x14ac:dyDescent="0.3">
      <c r="B400" s="37"/>
    </row>
    <row r="401" spans="2:2" ht="15.9" customHeight="1" x14ac:dyDescent="0.3">
      <c r="B401" s="37"/>
    </row>
    <row r="402" spans="2:2" ht="15.9" customHeight="1" x14ac:dyDescent="0.3">
      <c r="B402" s="37"/>
    </row>
    <row r="403" spans="2:2" ht="15.9" customHeight="1" x14ac:dyDescent="0.3">
      <c r="B403" s="37"/>
    </row>
    <row r="404" spans="2:2" ht="15.9" customHeight="1" x14ac:dyDescent="0.3">
      <c r="B404" s="37"/>
    </row>
    <row r="405" spans="2:2" ht="15.9" customHeight="1" x14ac:dyDescent="0.3">
      <c r="B405" s="37"/>
    </row>
    <row r="406" spans="2:2" ht="15.9" customHeight="1" x14ac:dyDescent="0.3">
      <c r="B406" s="37"/>
    </row>
    <row r="407" spans="2:2" ht="15.9" customHeight="1" x14ac:dyDescent="0.3">
      <c r="B407" s="37"/>
    </row>
    <row r="408" spans="2:2" ht="15.9" customHeight="1" x14ac:dyDescent="0.3">
      <c r="B408" s="37"/>
    </row>
    <row r="409" spans="2:2" ht="15.9" customHeight="1" x14ac:dyDescent="0.3">
      <c r="B409" s="37"/>
    </row>
    <row r="410" spans="2:2" ht="15.9" customHeight="1" x14ac:dyDescent="0.3">
      <c r="B410" s="37"/>
    </row>
    <row r="411" spans="2:2" ht="15.9" customHeight="1" x14ac:dyDescent="0.3">
      <c r="B411" s="37"/>
    </row>
    <row r="412" spans="2:2" ht="15.9" customHeight="1" x14ac:dyDescent="0.3">
      <c r="B412" s="37"/>
    </row>
    <row r="413" spans="2:2" ht="15.9" customHeight="1" x14ac:dyDescent="0.3">
      <c r="B413" s="37"/>
    </row>
    <row r="414" spans="2:2" ht="15.9" customHeight="1" x14ac:dyDescent="0.3">
      <c r="B414" s="37"/>
    </row>
    <row r="415" spans="2:2" ht="15.9" customHeight="1" x14ac:dyDescent="0.3">
      <c r="B415" s="37"/>
    </row>
    <row r="416" spans="2:2" ht="15.9" customHeight="1" x14ac:dyDescent="0.3">
      <c r="B416" s="37"/>
    </row>
    <row r="417" spans="2:2" ht="15.9" customHeight="1" x14ac:dyDescent="0.3">
      <c r="B417" s="37"/>
    </row>
    <row r="418" spans="2:2" ht="15.9" customHeight="1" x14ac:dyDescent="0.3">
      <c r="B418" s="37"/>
    </row>
    <row r="419" spans="2:2" ht="15.9" customHeight="1" x14ac:dyDescent="0.3">
      <c r="B419" s="37"/>
    </row>
    <row r="420" spans="2:2" ht="15.9" customHeight="1" x14ac:dyDescent="0.3">
      <c r="B420" s="37"/>
    </row>
    <row r="421" spans="2:2" ht="15.9" customHeight="1" x14ac:dyDescent="0.3">
      <c r="B421" s="37"/>
    </row>
    <row r="422" spans="2:2" ht="15.9" customHeight="1" x14ac:dyDescent="0.3">
      <c r="B422" s="37"/>
    </row>
    <row r="423" spans="2:2" ht="15.9" customHeight="1" x14ac:dyDescent="0.3">
      <c r="B423" s="37"/>
    </row>
    <row r="424" spans="2:2" ht="15.9" customHeight="1" x14ac:dyDescent="0.3">
      <c r="B424" s="37"/>
    </row>
    <row r="425" spans="2:2" ht="15.9" customHeight="1" x14ac:dyDescent="0.3">
      <c r="B425" s="37"/>
    </row>
    <row r="426" spans="2:2" ht="15.9" customHeight="1" x14ac:dyDescent="0.3">
      <c r="B426" s="37"/>
    </row>
    <row r="427" spans="2:2" ht="15.9" customHeight="1" x14ac:dyDescent="0.3">
      <c r="B427" s="37"/>
    </row>
    <row r="428" spans="2:2" ht="15.9" customHeight="1" x14ac:dyDescent="0.3">
      <c r="B428" s="37"/>
    </row>
    <row r="429" spans="2:2" ht="15.9" customHeight="1" x14ac:dyDescent="0.3">
      <c r="B429" s="37"/>
    </row>
    <row r="430" spans="2:2" ht="15.9" customHeight="1" x14ac:dyDescent="0.3">
      <c r="B430" s="37"/>
    </row>
    <row r="431" spans="2:2" ht="15.9" customHeight="1" x14ac:dyDescent="0.3">
      <c r="B431" s="37"/>
    </row>
    <row r="432" spans="2:2" ht="15.9" customHeight="1" x14ac:dyDescent="0.3">
      <c r="B432" s="37"/>
    </row>
    <row r="433" spans="2:2" ht="15.9" customHeight="1" x14ac:dyDescent="0.3">
      <c r="B433" s="37"/>
    </row>
    <row r="434" spans="2:2" ht="15.9" customHeight="1" x14ac:dyDescent="0.3">
      <c r="B434" s="37"/>
    </row>
    <row r="435" spans="2:2" ht="15.9" customHeight="1" x14ac:dyDescent="0.3">
      <c r="B435" s="37"/>
    </row>
    <row r="436" spans="2:2" ht="15.9" customHeight="1" x14ac:dyDescent="0.3">
      <c r="B436" s="37"/>
    </row>
    <row r="437" spans="2:2" ht="15.9" customHeight="1" x14ac:dyDescent="0.3">
      <c r="B437" s="37"/>
    </row>
    <row r="438" spans="2:2" ht="15.9" customHeight="1" x14ac:dyDescent="0.3">
      <c r="B438" s="37"/>
    </row>
    <row r="439" spans="2:2" ht="15.9" customHeight="1" x14ac:dyDescent="0.3">
      <c r="B439" s="37"/>
    </row>
    <row r="440" spans="2:2" ht="15.9" customHeight="1" x14ac:dyDescent="0.3">
      <c r="B440" s="37"/>
    </row>
    <row r="441" spans="2:2" ht="15.9" customHeight="1" x14ac:dyDescent="0.3">
      <c r="B441" s="37"/>
    </row>
    <row r="442" spans="2:2" ht="15.9" customHeight="1" x14ac:dyDescent="0.3">
      <c r="B442" s="37"/>
    </row>
    <row r="443" spans="2:2" ht="15.9" customHeight="1" x14ac:dyDescent="0.3">
      <c r="B443" s="37"/>
    </row>
    <row r="444" spans="2:2" ht="15.9" customHeight="1" x14ac:dyDescent="0.3">
      <c r="B444" s="37"/>
    </row>
    <row r="445" spans="2:2" ht="15.9" customHeight="1" x14ac:dyDescent="0.3">
      <c r="B445" s="37"/>
    </row>
    <row r="446" spans="2:2" ht="15.9" customHeight="1" x14ac:dyDescent="0.3">
      <c r="B446" s="37"/>
    </row>
    <row r="447" spans="2:2" ht="15.9" customHeight="1" x14ac:dyDescent="0.3">
      <c r="B447" s="37"/>
    </row>
    <row r="448" spans="2:2" ht="15.9" customHeight="1" x14ac:dyDescent="0.3">
      <c r="B448" s="37"/>
    </row>
    <row r="449" spans="2:2" ht="15.9" customHeight="1" x14ac:dyDescent="0.3">
      <c r="B449" s="37"/>
    </row>
    <row r="450" spans="2:2" ht="15.9" customHeight="1" x14ac:dyDescent="0.3">
      <c r="B450" s="37"/>
    </row>
    <row r="451" spans="2:2" ht="15.9" customHeight="1" x14ac:dyDescent="0.3">
      <c r="B451" s="37"/>
    </row>
    <row r="452" spans="2:2" ht="15.9" customHeight="1" x14ac:dyDescent="0.3">
      <c r="B452" s="37"/>
    </row>
    <row r="453" spans="2:2" ht="15.9" customHeight="1" x14ac:dyDescent="0.3">
      <c r="B453" s="37"/>
    </row>
    <row r="454" spans="2:2" ht="15.9" customHeight="1" x14ac:dyDescent="0.3">
      <c r="B454" s="37"/>
    </row>
    <row r="455" spans="2:2" ht="15.9" customHeight="1" x14ac:dyDescent="0.3">
      <c r="B455" s="37"/>
    </row>
    <row r="456" spans="2:2" ht="15.9" customHeight="1" x14ac:dyDescent="0.3">
      <c r="B456" s="37"/>
    </row>
    <row r="457" spans="2:2" ht="15.9" customHeight="1" x14ac:dyDescent="0.3">
      <c r="B457" s="37"/>
    </row>
    <row r="458" spans="2:2" ht="15.9" customHeight="1" x14ac:dyDescent="0.3">
      <c r="B458" s="37"/>
    </row>
    <row r="459" spans="2:2" ht="15.9" customHeight="1" x14ac:dyDescent="0.3">
      <c r="B459" s="37"/>
    </row>
    <row r="460" spans="2:2" ht="15.9" customHeight="1" x14ac:dyDescent="0.3">
      <c r="B460" s="37"/>
    </row>
    <row r="461" spans="2:2" ht="15.9" customHeight="1" x14ac:dyDescent="0.3">
      <c r="B461" s="37"/>
    </row>
    <row r="462" spans="2:2" ht="15.9" customHeight="1" x14ac:dyDescent="0.3">
      <c r="B462" s="37"/>
    </row>
    <row r="463" spans="2:2" ht="15.9" customHeight="1" x14ac:dyDescent="0.3">
      <c r="B463" s="37"/>
    </row>
    <row r="464" spans="2:2" ht="15.9" customHeight="1" x14ac:dyDescent="0.3">
      <c r="B464" s="37"/>
    </row>
    <row r="465" spans="2:2" ht="15.9" customHeight="1" x14ac:dyDescent="0.3">
      <c r="B465" s="37"/>
    </row>
    <row r="466" spans="2:2" ht="15.9" customHeight="1" x14ac:dyDescent="0.3">
      <c r="B466" s="37"/>
    </row>
    <row r="467" spans="2:2" ht="15.9" customHeight="1" x14ac:dyDescent="0.3">
      <c r="B467" s="37"/>
    </row>
    <row r="468" spans="2:2" ht="15.9" customHeight="1" x14ac:dyDescent="0.3">
      <c r="B468" s="37"/>
    </row>
    <row r="469" spans="2:2" ht="15.9" customHeight="1" x14ac:dyDescent="0.3">
      <c r="B469" s="37"/>
    </row>
    <row r="470" spans="2:2" ht="15.9" customHeight="1" x14ac:dyDescent="0.3">
      <c r="B470" s="37"/>
    </row>
    <row r="471" spans="2:2" ht="15.9" customHeight="1" x14ac:dyDescent="0.3">
      <c r="B471" s="37"/>
    </row>
    <row r="472" spans="2:2" ht="15.9" customHeight="1" x14ac:dyDescent="0.3">
      <c r="B472" s="37"/>
    </row>
    <row r="473" spans="2:2" ht="15.9" customHeight="1" x14ac:dyDescent="0.3">
      <c r="B473" s="37"/>
    </row>
    <row r="474" spans="2:2" ht="15.9" customHeight="1" x14ac:dyDescent="0.3">
      <c r="B474" s="37"/>
    </row>
    <row r="475" spans="2:2" ht="15.9" customHeight="1" x14ac:dyDescent="0.3">
      <c r="B475" s="37"/>
    </row>
    <row r="476" spans="2:2" ht="15.9" customHeight="1" x14ac:dyDescent="0.3">
      <c r="B476" s="37"/>
    </row>
    <row r="477" spans="2:2" ht="15.9" customHeight="1" x14ac:dyDescent="0.3">
      <c r="B477" s="37"/>
    </row>
    <row r="478" spans="2:2" ht="15.9" customHeight="1" x14ac:dyDescent="0.3">
      <c r="B478" s="37"/>
    </row>
    <row r="479" spans="2:2" ht="15.9" customHeight="1" x14ac:dyDescent="0.3">
      <c r="B479" s="37"/>
    </row>
    <row r="480" spans="2:2" ht="15.9" customHeight="1" x14ac:dyDescent="0.3">
      <c r="B480" s="37"/>
    </row>
    <row r="481" spans="2:2" ht="15.9" customHeight="1" x14ac:dyDescent="0.3">
      <c r="B481" s="37"/>
    </row>
    <row r="482" spans="2:2" ht="15.9" customHeight="1" x14ac:dyDescent="0.3">
      <c r="B482" s="37"/>
    </row>
    <row r="483" spans="2:2" ht="15.9" customHeight="1" x14ac:dyDescent="0.3">
      <c r="B483" s="37"/>
    </row>
    <row r="484" spans="2:2" ht="15.9" customHeight="1" x14ac:dyDescent="0.3">
      <c r="B484" s="37"/>
    </row>
    <row r="485" spans="2:2" ht="15.9" customHeight="1" x14ac:dyDescent="0.3">
      <c r="B485" s="37"/>
    </row>
    <row r="486" spans="2:2" ht="15.9" customHeight="1" x14ac:dyDescent="0.3">
      <c r="B486" s="37"/>
    </row>
    <row r="487" spans="2:2" ht="15.9" customHeight="1" x14ac:dyDescent="0.3">
      <c r="B487" s="37"/>
    </row>
    <row r="488" spans="2:2" ht="15.9" customHeight="1" x14ac:dyDescent="0.3">
      <c r="B488" s="37"/>
    </row>
    <row r="489" spans="2:2" ht="15.9" customHeight="1" x14ac:dyDescent="0.3">
      <c r="B489" s="37"/>
    </row>
    <row r="490" spans="2:2" ht="15.9" customHeight="1" x14ac:dyDescent="0.3">
      <c r="B490" s="37"/>
    </row>
    <row r="491" spans="2:2" ht="15.9" customHeight="1" x14ac:dyDescent="0.3">
      <c r="B491" s="37"/>
    </row>
    <row r="492" spans="2:2" ht="15.9" customHeight="1" x14ac:dyDescent="0.3">
      <c r="B492" s="37"/>
    </row>
    <row r="493" spans="2:2" ht="15.9" customHeight="1" x14ac:dyDescent="0.3">
      <c r="B493" s="37"/>
    </row>
    <row r="494" spans="2:2" ht="15.9" customHeight="1" x14ac:dyDescent="0.3">
      <c r="B494" s="37"/>
    </row>
    <row r="495" spans="2:2" ht="15.9" customHeight="1" x14ac:dyDescent="0.3">
      <c r="B495" s="37"/>
    </row>
    <row r="496" spans="2:2" ht="15.9" customHeight="1" x14ac:dyDescent="0.3">
      <c r="B496" s="37"/>
    </row>
    <row r="497" spans="2:2" ht="15.9" customHeight="1" x14ac:dyDescent="0.3">
      <c r="B497" s="37"/>
    </row>
    <row r="498" spans="2:2" ht="15.9" customHeight="1" x14ac:dyDescent="0.3">
      <c r="B498" s="37"/>
    </row>
    <row r="499" spans="2:2" ht="15.9" customHeight="1" x14ac:dyDescent="0.3">
      <c r="B499" s="37"/>
    </row>
    <row r="500" spans="2:2" ht="15.9" customHeight="1" x14ac:dyDescent="0.3">
      <c r="B500" s="37"/>
    </row>
    <row r="501" spans="2:2" ht="15.9" customHeight="1" x14ac:dyDescent="0.3">
      <c r="B501" s="37"/>
    </row>
    <row r="502" spans="2:2" ht="15.9" customHeight="1" x14ac:dyDescent="0.3">
      <c r="B502" s="37"/>
    </row>
    <row r="503" spans="2:2" ht="15.9" customHeight="1" x14ac:dyDescent="0.3">
      <c r="B503" s="37"/>
    </row>
    <row r="504" spans="2:2" ht="15.9" customHeight="1" x14ac:dyDescent="0.3">
      <c r="B504" s="37"/>
    </row>
    <row r="505" spans="2:2" ht="15.9" customHeight="1" x14ac:dyDescent="0.3">
      <c r="B505" s="37"/>
    </row>
    <row r="506" spans="2:2" ht="15.9" customHeight="1" x14ac:dyDescent="0.3">
      <c r="B506" s="37"/>
    </row>
    <row r="507" spans="2:2" ht="15.9" customHeight="1" x14ac:dyDescent="0.3">
      <c r="B507" s="37"/>
    </row>
    <row r="508" spans="2:2" ht="15.9" customHeight="1" x14ac:dyDescent="0.3">
      <c r="B508" s="37"/>
    </row>
    <row r="509" spans="2:2" ht="15.9" customHeight="1" x14ac:dyDescent="0.3">
      <c r="B509" s="37"/>
    </row>
    <row r="510" spans="2:2" ht="15.9" customHeight="1" x14ac:dyDescent="0.3">
      <c r="B510" s="37"/>
    </row>
    <row r="511" spans="2:2" ht="15.9" customHeight="1" x14ac:dyDescent="0.3">
      <c r="B511" s="37"/>
    </row>
    <row r="512" spans="2:2" ht="15.9" customHeight="1" x14ac:dyDescent="0.3">
      <c r="B512" s="37"/>
    </row>
    <row r="513" spans="2:2" ht="15.9" customHeight="1" x14ac:dyDescent="0.3">
      <c r="B513" s="37"/>
    </row>
    <row r="514" spans="2:2" ht="15.9" customHeight="1" x14ac:dyDescent="0.3">
      <c r="B514" s="37"/>
    </row>
    <row r="515" spans="2:2" ht="15.9" customHeight="1" x14ac:dyDescent="0.3">
      <c r="B515" s="37"/>
    </row>
    <row r="516" spans="2:2" ht="15.9" customHeight="1" x14ac:dyDescent="0.3">
      <c r="B516" s="37"/>
    </row>
    <row r="517" spans="2:2" ht="15.9" customHeight="1" x14ac:dyDescent="0.3">
      <c r="B517" s="37"/>
    </row>
    <row r="518" spans="2:2" ht="15.9" customHeight="1" x14ac:dyDescent="0.3">
      <c r="B518" s="37"/>
    </row>
    <row r="519" spans="2:2" ht="15.9" customHeight="1" x14ac:dyDescent="0.3">
      <c r="B519" s="37"/>
    </row>
    <row r="520" spans="2:2" ht="15.9" customHeight="1" x14ac:dyDescent="0.3">
      <c r="B520" s="37"/>
    </row>
    <row r="521" spans="2:2" ht="15.9" customHeight="1" x14ac:dyDescent="0.3">
      <c r="B521" s="37"/>
    </row>
    <row r="522" spans="2:2" ht="15.9" customHeight="1" x14ac:dyDescent="0.3">
      <c r="B522" s="37"/>
    </row>
    <row r="523" spans="2:2" ht="15.9" customHeight="1" x14ac:dyDescent="0.3">
      <c r="B523" s="37"/>
    </row>
    <row r="524" spans="2:2" ht="15.9" customHeight="1" x14ac:dyDescent="0.3">
      <c r="B524" s="37"/>
    </row>
    <row r="525" spans="2:2" ht="15.9" customHeight="1" x14ac:dyDescent="0.3">
      <c r="B525" s="37"/>
    </row>
    <row r="526" spans="2:2" ht="15.9" customHeight="1" x14ac:dyDescent="0.3">
      <c r="B526" s="37"/>
    </row>
    <row r="527" spans="2:2" ht="15.9" customHeight="1" x14ac:dyDescent="0.3">
      <c r="B527" s="37"/>
    </row>
    <row r="528" spans="2:2" ht="15.9" customHeight="1" x14ac:dyDescent="0.3">
      <c r="B528" s="37"/>
    </row>
    <row r="529" spans="2:2" ht="15.9" customHeight="1" x14ac:dyDescent="0.3">
      <c r="B529" s="37"/>
    </row>
    <row r="530" spans="2:2" ht="15.9" customHeight="1" x14ac:dyDescent="0.3">
      <c r="B530" s="37"/>
    </row>
    <row r="531" spans="2:2" ht="15.9" customHeight="1" x14ac:dyDescent="0.3">
      <c r="B531" s="37"/>
    </row>
    <row r="532" spans="2:2" ht="15.9" customHeight="1" x14ac:dyDescent="0.3">
      <c r="B532" s="37"/>
    </row>
    <row r="533" spans="2:2" ht="15.9" customHeight="1" x14ac:dyDescent="0.3">
      <c r="B533" s="37"/>
    </row>
    <row r="534" spans="2:2" ht="15.9" customHeight="1" x14ac:dyDescent="0.3">
      <c r="B534" s="37"/>
    </row>
    <row r="535" spans="2:2" ht="15.9" customHeight="1" x14ac:dyDescent="0.3">
      <c r="B535" s="37"/>
    </row>
    <row r="536" spans="2:2" ht="15.9" customHeight="1" x14ac:dyDescent="0.3">
      <c r="B536" s="37"/>
    </row>
    <row r="537" spans="2:2" ht="15.9" customHeight="1" x14ac:dyDescent="0.3">
      <c r="B537" s="37"/>
    </row>
    <row r="538" spans="2:2" ht="15.9" customHeight="1" x14ac:dyDescent="0.3">
      <c r="B538" s="37"/>
    </row>
    <row r="539" spans="2:2" ht="15.9" customHeight="1" x14ac:dyDescent="0.3">
      <c r="B539" s="37"/>
    </row>
    <row r="540" spans="2:2" ht="15.9" customHeight="1" x14ac:dyDescent="0.3">
      <c r="B540" s="37"/>
    </row>
    <row r="541" spans="2:2" ht="15.9" customHeight="1" x14ac:dyDescent="0.3">
      <c r="B541" s="37"/>
    </row>
    <row r="542" spans="2:2" ht="15.9" customHeight="1" x14ac:dyDescent="0.3">
      <c r="B542" s="37"/>
    </row>
    <row r="543" spans="2:2" ht="15.9" customHeight="1" x14ac:dyDescent="0.3">
      <c r="B543" s="37"/>
    </row>
    <row r="544" spans="2:2" ht="15.9" customHeight="1" x14ac:dyDescent="0.3">
      <c r="B544" s="37"/>
    </row>
    <row r="545" spans="2:2" ht="15.9" customHeight="1" x14ac:dyDescent="0.3">
      <c r="B545" s="37"/>
    </row>
    <row r="546" spans="2:2" ht="15.9" customHeight="1" x14ac:dyDescent="0.3">
      <c r="B546" s="37"/>
    </row>
    <row r="547" spans="2:2" ht="15.9" customHeight="1" x14ac:dyDescent="0.3">
      <c r="B547" s="37"/>
    </row>
    <row r="548" spans="2:2" ht="15.9" customHeight="1" x14ac:dyDescent="0.3">
      <c r="B548" s="37"/>
    </row>
    <row r="549" spans="2:2" ht="15.9" customHeight="1" x14ac:dyDescent="0.3">
      <c r="B549" s="37"/>
    </row>
    <row r="550" spans="2:2" ht="15.9" customHeight="1" x14ac:dyDescent="0.3">
      <c r="B550" s="37"/>
    </row>
    <row r="551" spans="2:2" ht="15.9" customHeight="1" x14ac:dyDescent="0.3">
      <c r="B551" s="37"/>
    </row>
    <row r="552" spans="2:2" ht="15.9" customHeight="1" x14ac:dyDescent="0.3">
      <c r="B552" s="37"/>
    </row>
    <row r="553" spans="2:2" ht="15.9" customHeight="1" x14ac:dyDescent="0.3">
      <c r="B553" s="37"/>
    </row>
    <row r="554" spans="2:2" ht="15.9" customHeight="1" x14ac:dyDescent="0.3">
      <c r="B554" s="37"/>
    </row>
    <row r="555" spans="2:2" ht="15.9" customHeight="1" x14ac:dyDescent="0.3">
      <c r="B555" s="37"/>
    </row>
    <row r="556" spans="2:2" ht="15.9" customHeight="1" x14ac:dyDescent="0.3">
      <c r="B556" s="37"/>
    </row>
    <row r="557" spans="2:2" ht="15.9" customHeight="1" x14ac:dyDescent="0.3">
      <c r="B557" s="37"/>
    </row>
    <row r="558" spans="2:2" ht="15.9" customHeight="1" x14ac:dyDescent="0.3">
      <c r="B558" s="37"/>
    </row>
    <row r="559" spans="2:2" ht="15.9" customHeight="1" x14ac:dyDescent="0.3">
      <c r="B559" s="37"/>
    </row>
    <row r="560" spans="2:2" ht="15.9" customHeight="1" x14ac:dyDescent="0.3">
      <c r="B560" s="37"/>
    </row>
    <row r="561" spans="2:2" ht="15.9" customHeight="1" x14ac:dyDescent="0.3">
      <c r="B561" s="37"/>
    </row>
    <row r="562" spans="2:2" ht="15.9" customHeight="1" x14ac:dyDescent="0.3">
      <c r="B562" s="37"/>
    </row>
    <row r="563" spans="2:2" ht="15.9" customHeight="1" x14ac:dyDescent="0.3">
      <c r="B563" s="37"/>
    </row>
    <row r="564" spans="2:2" ht="15.9" customHeight="1" x14ac:dyDescent="0.3">
      <c r="B564" s="37"/>
    </row>
    <row r="565" spans="2:2" ht="15.9" customHeight="1" x14ac:dyDescent="0.3">
      <c r="B565" s="37"/>
    </row>
    <row r="566" spans="2:2" ht="15.9" customHeight="1" x14ac:dyDescent="0.3">
      <c r="B566" s="37"/>
    </row>
    <row r="567" spans="2:2" ht="15.9" customHeight="1" x14ac:dyDescent="0.3">
      <c r="B567" s="37"/>
    </row>
    <row r="568" spans="2:2" ht="15.9" customHeight="1" x14ac:dyDescent="0.3">
      <c r="B568" s="37"/>
    </row>
    <row r="569" spans="2:2" ht="15.9" customHeight="1" x14ac:dyDescent="0.3">
      <c r="B569" s="37"/>
    </row>
    <row r="570" spans="2:2" ht="15.9" customHeight="1" x14ac:dyDescent="0.3">
      <c r="B570" s="37"/>
    </row>
    <row r="571" spans="2:2" ht="15.9" customHeight="1" x14ac:dyDescent="0.3">
      <c r="B571" s="37"/>
    </row>
    <row r="572" spans="2:2" ht="15.9" customHeight="1" x14ac:dyDescent="0.3">
      <c r="B572" s="37"/>
    </row>
    <row r="573" spans="2:2" ht="15.9" customHeight="1" x14ac:dyDescent="0.3">
      <c r="B573" s="37"/>
    </row>
    <row r="574" spans="2:2" ht="15.9" customHeight="1" x14ac:dyDescent="0.3">
      <c r="B574" s="37"/>
    </row>
    <row r="575" spans="2:2" ht="15.9" customHeight="1" x14ac:dyDescent="0.3">
      <c r="B575" s="37"/>
    </row>
    <row r="576" spans="2:2" ht="15.9" customHeight="1" x14ac:dyDescent="0.3">
      <c r="B576" s="37"/>
    </row>
    <row r="577" spans="2:2" ht="15.9" customHeight="1" x14ac:dyDescent="0.3">
      <c r="B577" s="37"/>
    </row>
    <row r="578" spans="2:2" ht="15.9" customHeight="1" x14ac:dyDescent="0.3">
      <c r="B578" s="37"/>
    </row>
    <row r="579" spans="2:2" ht="15.9" customHeight="1" x14ac:dyDescent="0.3">
      <c r="B579" s="37"/>
    </row>
    <row r="580" spans="2:2" ht="15.9" customHeight="1" x14ac:dyDescent="0.3">
      <c r="B580" s="37"/>
    </row>
    <row r="581" spans="2:2" ht="15.9" customHeight="1" x14ac:dyDescent="0.3">
      <c r="B581" s="37"/>
    </row>
    <row r="582" spans="2:2" ht="15.9" customHeight="1" x14ac:dyDescent="0.3">
      <c r="B582" s="37"/>
    </row>
    <row r="583" spans="2:2" ht="15.9" customHeight="1" x14ac:dyDescent="0.3">
      <c r="B583" s="37"/>
    </row>
    <row r="584" spans="2:2" ht="15.9" customHeight="1" x14ac:dyDescent="0.3">
      <c r="B584" s="37"/>
    </row>
    <row r="585" spans="2:2" ht="15.9" customHeight="1" x14ac:dyDescent="0.3">
      <c r="B585" s="37"/>
    </row>
    <row r="586" spans="2:2" ht="15.9" customHeight="1" x14ac:dyDescent="0.3">
      <c r="B586" s="37"/>
    </row>
    <row r="587" spans="2:2" ht="15.9" customHeight="1" x14ac:dyDescent="0.3">
      <c r="B587" s="37"/>
    </row>
    <row r="588" spans="2:2" ht="15.9" customHeight="1" x14ac:dyDescent="0.3">
      <c r="B588" s="37"/>
    </row>
    <row r="589" spans="2:2" ht="15.9" customHeight="1" x14ac:dyDescent="0.3">
      <c r="B589" s="37"/>
    </row>
    <row r="590" spans="2:2" ht="15.9" customHeight="1" x14ac:dyDescent="0.3">
      <c r="B590" s="37"/>
    </row>
    <row r="591" spans="2:2" ht="15.9" customHeight="1" x14ac:dyDescent="0.3">
      <c r="B591" s="37"/>
    </row>
    <row r="592" spans="2:2" ht="15.9" customHeight="1" x14ac:dyDescent="0.3">
      <c r="B592" s="37"/>
    </row>
    <row r="593" spans="2:2" ht="15.9" customHeight="1" x14ac:dyDescent="0.3">
      <c r="B593" s="37"/>
    </row>
    <row r="594" spans="2:2" ht="15.9" customHeight="1" x14ac:dyDescent="0.3">
      <c r="B594" s="37"/>
    </row>
    <row r="595" spans="2:2" ht="15.9" customHeight="1" x14ac:dyDescent="0.3">
      <c r="B595" s="37"/>
    </row>
    <row r="596" spans="2:2" ht="15.9" customHeight="1" x14ac:dyDescent="0.3">
      <c r="B596" s="37"/>
    </row>
    <row r="597" spans="2:2" ht="15.9" customHeight="1" x14ac:dyDescent="0.3">
      <c r="B597" s="37"/>
    </row>
    <row r="598" spans="2:2" ht="15.9" customHeight="1" x14ac:dyDescent="0.3">
      <c r="B598" s="37"/>
    </row>
    <row r="599" spans="2:2" ht="15.9" customHeight="1" x14ac:dyDescent="0.3">
      <c r="B599" s="37"/>
    </row>
    <row r="600" spans="2:2" ht="15.9" customHeight="1" x14ac:dyDescent="0.3">
      <c r="B600" s="37"/>
    </row>
    <row r="601" spans="2:2" ht="15.9" customHeight="1" x14ac:dyDescent="0.3">
      <c r="B601" s="37"/>
    </row>
    <row r="602" spans="2:2" ht="15.9" customHeight="1" x14ac:dyDescent="0.3">
      <c r="B602" s="37"/>
    </row>
    <row r="603" spans="2:2" ht="15.9" customHeight="1" x14ac:dyDescent="0.3">
      <c r="B603" s="37"/>
    </row>
    <row r="604" spans="2:2" ht="15.9" customHeight="1" x14ac:dyDescent="0.3">
      <c r="B604" s="37"/>
    </row>
    <row r="605" spans="2:2" ht="15.9" customHeight="1" x14ac:dyDescent="0.3">
      <c r="B605" s="37"/>
    </row>
    <row r="606" spans="2:2" ht="15.9" customHeight="1" x14ac:dyDescent="0.3">
      <c r="B606" s="37"/>
    </row>
    <row r="607" spans="2:2" ht="15.9" customHeight="1" x14ac:dyDescent="0.3">
      <c r="B607" s="37"/>
    </row>
    <row r="608" spans="2:2" ht="15.9" customHeight="1" x14ac:dyDescent="0.3">
      <c r="B608" s="37"/>
    </row>
    <row r="609" spans="2:2" ht="15.9" customHeight="1" x14ac:dyDescent="0.3">
      <c r="B609" s="37"/>
    </row>
    <row r="610" spans="2:2" ht="15.9" customHeight="1" x14ac:dyDescent="0.3">
      <c r="B610" s="37"/>
    </row>
    <row r="611" spans="2:2" ht="15.9" customHeight="1" x14ac:dyDescent="0.3">
      <c r="B611" s="37"/>
    </row>
    <row r="612" spans="2:2" ht="15.9" customHeight="1" x14ac:dyDescent="0.3">
      <c r="B612" s="37"/>
    </row>
    <row r="613" spans="2:2" ht="15.9" customHeight="1" x14ac:dyDescent="0.3">
      <c r="B613" s="37"/>
    </row>
    <row r="614" spans="2:2" ht="15.9" customHeight="1" x14ac:dyDescent="0.3">
      <c r="B614" s="37"/>
    </row>
    <row r="615" spans="2:2" ht="15.9" customHeight="1" x14ac:dyDescent="0.3">
      <c r="B615" s="37"/>
    </row>
    <row r="616" spans="2:2" ht="15.9" customHeight="1" x14ac:dyDescent="0.3">
      <c r="B616" s="37"/>
    </row>
    <row r="617" spans="2:2" ht="15.9" customHeight="1" x14ac:dyDescent="0.3">
      <c r="B617" s="37"/>
    </row>
    <row r="618" spans="2:2" ht="15.9" customHeight="1" x14ac:dyDescent="0.3">
      <c r="B618" s="37"/>
    </row>
    <row r="619" spans="2:2" ht="15.9" customHeight="1" x14ac:dyDescent="0.3">
      <c r="B619" s="37"/>
    </row>
    <row r="620" spans="2:2" ht="15.9" customHeight="1" x14ac:dyDescent="0.3">
      <c r="B620" s="37"/>
    </row>
    <row r="621" spans="2:2" ht="15.9" customHeight="1" x14ac:dyDescent="0.3">
      <c r="B621" s="37"/>
    </row>
    <row r="622" spans="2:2" ht="15.9" customHeight="1" x14ac:dyDescent="0.3">
      <c r="B622" s="37"/>
    </row>
    <row r="623" spans="2:2" ht="15.9" customHeight="1" x14ac:dyDescent="0.3">
      <c r="B623" s="37"/>
    </row>
    <row r="624" spans="2:2" ht="15.9" customHeight="1" x14ac:dyDescent="0.3">
      <c r="B624" s="37"/>
    </row>
    <row r="625" spans="2:2" ht="15.9" customHeight="1" x14ac:dyDescent="0.3">
      <c r="B625" s="37"/>
    </row>
    <row r="626" spans="2:2" ht="15.9" customHeight="1" x14ac:dyDescent="0.3">
      <c r="B626" s="37"/>
    </row>
    <row r="627" spans="2:2" ht="15.9" customHeight="1" x14ac:dyDescent="0.3">
      <c r="B627" s="37"/>
    </row>
    <row r="628" spans="2:2" ht="15.9" customHeight="1" x14ac:dyDescent="0.3">
      <c r="B628" s="37"/>
    </row>
    <row r="629" spans="2:2" ht="15.9" customHeight="1" x14ac:dyDescent="0.3">
      <c r="B629" s="37"/>
    </row>
    <row r="630" spans="2:2" ht="15.9" customHeight="1" x14ac:dyDescent="0.3">
      <c r="B630" s="37"/>
    </row>
    <row r="631" spans="2:2" ht="15.9" customHeight="1" x14ac:dyDescent="0.3">
      <c r="B631" s="37"/>
    </row>
    <row r="632" spans="2:2" ht="15.9" customHeight="1" x14ac:dyDescent="0.3">
      <c r="B632" s="37"/>
    </row>
    <row r="633" spans="2:2" ht="15.9" customHeight="1" x14ac:dyDescent="0.3">
      <c r="B633" s="37"/>
    </row>
    <row r="634" spans="2:2" ht="15.9" customHeight="1" x14ac:dyDescent="0.3">
      <c r="B634" s="37"/>
    </row>
    <row r="635" spans="2:2" ht="15.9" customHeight="1" x14ac:dyDescent="0.3">
      <c r="B635" s="37"/>
    </row>
    <row r="636" spans="2:2" ht="15.9" customHeight="1" x14ac:dyDescent="0.3">
      <c r="B636" s="37"/>
    </row>
    <row r="637" spans="2:2" ht="15.9" customHeight="1" x14ac:dyDescent="0.3">
      <c r="B637" s="37"/>
    </row>
    <row r="638" spans="2:2" ht="15.9" customHeight="1" x14ac:dyDescent="0.3">
      <c r="B638" s="37"/>
    </row>
    <row r="639" spans="2:2" ht="15.9" customHeight="1" x14ac:dyDescent="0.3">
      <c r="B639" s="37"/>
    </row>
    <row r="640" spans="2:2" ht="15.9" customHeight="1" x14ac:dyDescent="0.3">
      <c r="B640" s="37"/>
    </row>
    <row r="641" spans="2:2" ht="15.9" customHeight="1" x14ac:dyDescent="0.3">
      <c r="B641" s="37"/>
    </row>
    <row r="642" spans="2:2" ht="15.9" customHeight="1" x14ac:dyDescent="0.3">
      <c r="B642" s="37"/>
    </row>
    <row r="643" spans="2:2" ht="15.9" customHeight="1" x14ac:dyDescent="0.3">
      <c r="B643" s="37"/>
    </row>
    <row r="644" spans="2:2" ht="15.9" customHeight="1" x14ac:dyDescent="0.3">
      <c r="B644" s="37"/>
    </row>
    <row r="645" spans="2:2" ht="15.9" customHeight="1" x14ac:dyDescent="0.3">
      <c r="B645" s="37"/>
    </row>
    <row r="646" spans="2:2" ht="15.9" customHeight="1" x14ac:dyDescent="0.3">
      <c r="B646" s="37"/>
    </row>
    <row r="647" spans="2:2" ht="15.9" customHeight="1" x14ac:dyDescent="0.3">
      <c r="B647" s="37"/>
    </row>
    <row r="648" spans="2:2" ht="15.9" customHeight="1" x14ac:dyDescent="0.3">
      <c r="B648" s="37"/>
    </row>
    <row r="649" spans="2:2" ht="15.9" customHeight="1" x14ac:dyDescent="0.3">
      <c r="B649" s="37"/>
    </row>
    <row r="650" spans="2:2" ht="15.9" customHeight="1" x14ac:dyDescent="0.3">
      <c r="B650" s="37"/>
    </row>
    <row r="651" spans="2:2" ht="15.9" customHeight="1" x14ac:dyDescent="0.3">
      <c r="B651" s="37"/>
    </row>
    <row r="652" spans="2:2" ht="15.9" customHeight="1" x14ac:dyDescent="0.3">
      <c r="B652" s="37"/>
    </row>
    <row r="653" spans="2:2" ht="15.9" customHeight="1" x14ac:dyDescent="0.3">
      <c r="B653" s="37"/>
    </row>
    <row r="654" spans="2:2" ht="15.9" customHeight="1" x14ac:dyDescent="0.3">
      <c r="B654" s="37"/>
    </row>
    <row r="655" spans="2:2" ht="15.9" customHeight="1" x14ac:dyDescent="0.3">
      <c r="B655" s="37"/>
    </row>
    <row r="656" spans="2:2" ht="15.9" customHeight="1" x14ac:dyDescent="0.3">
      <c r="B656" s="37"/>
    </row>
    <row r="657" spans="2:2" ht="15.9" customHeight="1" x14ac:dyDescent="0.3">
      <c r="B657" s="37"/>
    </row>
    <row r="658" spans="2:2" ht="15.9" customHeight="1" x14ac:dyDescent="0.3">
      <c r="B658" s="37"/>
    </row>
    <row r="659" spans="2:2" ht="15.9" customHeight="1" x14ac:dyDescent="0.3">
      <c r="B659" s="37"/>
    </row>
    <row r="660" spans="2:2" ht="15.9" customHeight="1" x14ac:dyDescent="0.3">
      <c r="B660" s="37"/>
    </row>
    <row r="661" spans="2:2" ht="15.9" customHeight="1" x14ac:dyDescent="0.3">
      <c r="B661" s="37"/>
    </row>
    <row r="662" spans="2:2" ht="15.9" customHeight="1" x14ac:dyDescent="0.3">
      <c r="B662" s="37"/>
    </row>
    <row r="663" spans="2:2" ht="15.9" customHeight="1" x14ac:dyDescent="0.3">
      <c r="B663" s="37"/>
    </row>
    <row r="664" spans="2:2" ht="15.9" customHeight="1" x14ac:dyDescent="0.3">
      <c r="B664" s="37"/>
    </row>
    <row r="665" spans="2:2" ht="15.9" customHeight="1" x14ac:dyDescent="0.3">
      <c r="B665" s="37"/>
    </row>
    <row r="666" spans="2:2" ht="15.9" customHeight="1" x14ac:dyDescent="0.3">
      <c r="B666" s="37"/>
    </row>
    <row r="667" spans="2:2" ht="15.9" customHeight="1" x14ac:dyDescent="0.3">
      <c r="B667" s="37"/>
    </row>
    <row r="668" spans="2:2" ht="15.9" customHeight="1" x14ac:dyDescent="0.3">
      <c r="B668" s="37"/>
    </row>
    <row r="669" spans="2:2" ht="15.9" customHeight="1" x14ac:dyDescent="0.3">
      <c r="B669" s="37"/>
    </row>
    <row r="670" spans="2:2" ht="15.9" customHeight="1" x14ac:dyDescent="0.3">
      <c r="B670" s="37"/>
    </row>
    <row r="671" spans="2:2" ht="15.9" customHeight="1" x14ac:dyDescent="0.3">
      <c r="B671" s="37"/>
    </row>
    <row r="672" spans="2:2" ht="15.9" customHeight="1" x14ac:dyDescent="0.3">
      <c r="B672" s="37"/>
    </row>
    <row r="673" spans="2:2" ht="15.9" customHeight="1" x14ac:dyDescent="0.3">
      <c r="B673" s="37"/>
    </row>
    <row r="674" spans="2:2" ht="15.9" customHeight="1" x14ac:dyDescent="0.3">
      <c r="B674" s="37"/>
    </row>
    <row r="675" spans="2:2" ht="15.9" customHeight="1" x14ac:dyDescent="0.3">
      <c r="B675" s="37"/>
    </row>
    <row r="676" spans="2:2" ht="15.9" customHeight="1" x14ac:dyDescent="0.3">
      <c r="B676" s="37"/>
    </row>
    <row r="677" spans="2:2" ht="15.9" customHeight="1" x14ac:dyDescent="0.3">
      <c r="B677" s="37"/>
    </row>
    <row r="678" spans="2:2" ht="15.9" customHeight="1" x14ac:dyDescent="0.3">
      <c r="B678" s="37"/>
    </row>
    <row r="679" spans="2:2" ht="15.9" customHeight="1" x14ac:dyDescent="0.3">
      <c r="B679" s="37"/>
    </row>
    <row r="680" spans="2:2" ht="15.9" customHeight="1" x14ac:dyDescent="0.3">
      <c r="B680" s="37"/>
    </row>
    <row r="681" spans="2:2" ht="15.9" customHeight="1" x14ac:dyDescent="0.3">
      <c r="B681" s="37"/>
    </row>
    <row r="682" spans="2:2" ht="15.9" customHeight="1" x14ac:dyDescent="0.3">
      <c r="B682" s="37"/>
    </row>
    <row r="683" spans="2:2" ht="15.9" customHeight="1" x14ac:dyDescent="0.3">
      <c r="B683" s="37"/>
    </row>
    <row r="684" spans="2:2" ht="15.9" customHeight="1" x14ac:dyDescent="0.3">
      <c r="B684" s="37"/>
    </row>
    <row r="685" spans="2:2" ht="15.9" customHeight="1" x14ac:dyDescent="0.3">
      <c r="B685" s="37"/>
    </row>
    <row r="686" spans="2:2" ht="15.9" customHeight="1" x14ac:dyDescent="0.3">
      <c r="B686" s="37"/>
    </row>
    <row r="687" spans="2:2" ht="15.9" customHeight="1" x14ac:dyDescent="0.3">
      <c r="B687" s="37"/>
    </row>
    <row r="688" spans="2:2" ht="15.9" customHeight="1" x14ac:dyDescent="0.3">
      <c r="B688" s="37"/>
    </row>
    <row r="689" spans="2:2" ht="15.9" customHeight="1" x14ac:dyDescent="0.3">
      <c r="B689" s="37"/>
    </row>
    <row r="690" spans="2:2" ht="15.9" customHeight="1" x14ac:dyDescent="0.3">
      <c r="B690" s="37"/>
    </row>
    <row r="691" spans="2:2" ht="15.9" customHeight="1" x14ac:dyDescent="0.3">
      <c r="B691" s="37"/>
    </row>
    <row r="692" spans="2:2" ht="15.9" customHeight="1" x14ac:dyDescent="0.3">
      <c r="B692" s="37"/>
    </row>
    <row r="693" spans="2:2" ht="15.9" customHeight="1" x14ac:dyDescent="0.3">
      <c r="B693" s="37"/>
    </row>
    <row r="694" spans="2:2" ht="15.9" customHeight="1" x14ac:dyDescent="0.3">
      <c r="B694" s="37"/>
    </row>
    <row r="695" spans="2:2" ht="15.9" customHeight="1" x14ac:dyDescent="0.3">
      <c r="B695" s="37"/>
    </row>
    <row r="696" spans="2:2" ht="15.9" customHeight="1" x14ac:dyDescent="0.3">
      <c r="B696" s="37"/>
    </row>
    <row r="697" spans="2:2" ht="15.9" customHeight="1" x14ac:dyDescent="0.3">
      <c r="B697" s="37"/>
    </row>
    <row r="698" spans="2:2" ht="15.9" customHeight="1" x14ac:dyDescent="0.3">
      <c r="B698" s="37"/>
    </row>
    <row r="699" spans="2:2" ht="15.9" customHeight="1" x14ac:dyDescent="0.3">
      <c r="B699" s="37"/>
    </row>
    <row r="700" spans="2:2" ht="15.9" customHeight="1" x14ac:dyDescent="0.3">
      <c r="B700" s="37"/>
    </row>
    <row r="701" spans="2:2" ht="15.9" customHeight="1" x14ac:dyDescent="0.3">
      <c r="B701" s="37"/>
    </row>
    <row r="702" spans="2:2" ht="15.9" customHeight="1" x14ac:dyDescent="0.3">
      <c r="B702" s="37"/>
    </row>
    <row r="703" spans="2:2" ht="15.9" customHeight="1" x14ac:dyDescent="0.3">
      <c r="B703" s="37"/>
    </row>
    <row r="704" spans="2:2" ht="15.9" customHeight="1" x14ac:dyDescent="0.3">
      <c r="B704" s="37"/>
    </row>
    <row r="705" spans="2:2" ht="15.9" customHeight="1" x14ac:dyDescent="0.3">
      <c r="B705" s="37"/>
    </row>
    <row r="706" spans="2:2" ht="15.9" customHeight="1" x14ac:dyDescent="0.3">
      <c r="B706" s="37"/>
    </row>
    <row r="707" spans="2:2" ht="15.9" customHeight="1" x14ac:dyDescent="0.3">
      <c r="B707" s="37"/>
    </row>
    <row r="708" spans="2:2" ht="15.9" customHeight="1" x14ac:dyDescent="0.3">
      <c r="B708" s="37"/>
    </row>
    <row r="709" spans="2:2" ht="15.9" customHeight="1" x14ac:dyDescent="0.3">
      <c r="B709" s="37"/>
    </row>
    <row r="710" spans="2:2" ht="15.9" customHeight="1" x14ac:dyDescent="0.3">
      <c r="B710" s="37"/>
    </row>
    <row r="711" spans="2:2" ht="15.9" customHeight="1" x14ac:dyDescent="0.3">
      <c r="B711" s="37"/>
    </row>
    <row r="712" spans="2:2" ht="15.9" customHeight="1" x14ac:dyDescent="0.3">
      <c r="B712" s="37"/>
    </row>
    <row r="713" spans="2:2" ht="15.9" customHeight="1" x14ac:dyDescent="0.3">
      <c r="B713" s="37"/>
    </row>
    <row r="714" spans="2:2" ht="15.9" customHeight="1" x14ac:dyDescent="0.3">
      <c r="B714" s="37"/>
    </row>
    <row r="715" spans="2:2" ht="15.9" customHeight="1" x14ac:dyDescent="0.3">
      <c r="B715" s="37"/>
    </row>
    <row r="716" spans="2:2" ht="15.9" customHeight="1" x14ac:dyDescent="0.3">
      <c r="B716" s="37"/>
    </row>
    <row r="717" spans="2:2" ht="15.9" customHeight="1" x14ac:dyDescent="0.3">
      <c r="B717" s="37"/>
    </row>
    <row r="718" spans="2:2" ht="15.9" customHeight="1" x14ac:dyDescent="0.3">
      <c r="B718" s="37"/>
    </row>
    <row r="719" spans="2:2" ht="15.9" customHeight="1" x14ac:dyDescent="0.3">
      <c r="B719" s="37"/>
    </row>
    <row r="720" spans="2:2" ht="15.9" customHeight="1" x14ac:dyDescent="0.3">
      <c r="B720" s="37"/>
    </row>
    <row r="721" spans="2:2" ht="15.9" customHeight="1" x14ac:dyDescent="0.3">
      <c r="B721" s="37"/>
    </row>
    <row r="722" spans="2:2" ht="15.9" customHeight="1" x14ac:dyDescent="0.3">
      <c r="B722" s="37"/>
    </row>
    <row r="723" spans="2:2" ht="15.9" customHeight="1" x14ac:dyDescent="0.3">
      <c r="B723" s="37"/>
    </row>
    <row r="724" spans="2:2" ht="15.9" customHeight="1" x14ac:dyDescent="0.3">
      <c r="B724" s="37"/>
    </row>
    <row r="725" spans="2:2" ht="15.9" customHeight="1" x14ac:dyDescent="0.3">
      <c r="B725" s="37"/>
    </row>
    <row r="726" spans="2:2" ht="15.9" customHeight="1" x14ac:dyDescent="0.3">
      <c r="B726" s="37"/>
    </row>
    <row r="727" spans="2:2" ht="15.9" customHeight="1" x14ac:dyDescent="0.3">
      <c r="B727" s="37"/>
    </row>
    <row r="728" spans="2:2" ht="15.9" customHeight="1" x14ac:dyDescent="0.3">
      <c r="B728" s="37"/>
    </row>
    <row r="729" spans="2:2" ht="15.9" customHeight="1" x14ac:dyDescent="0.3">
      <c r="B729" s="37"/>
    </row>
    <row r="730" spans="2:2" ht="15.9" customHeight="1" x14ac:dyDescent="0.3">
      <c r="B730" s="37"/>
    </row>
    <row r="731" spans="2:2" ht="15.9" customHeight="1" x14ac:dyDescent="0.3">
      <c r="B731" s="37"/>
    </row>
    <row r="732" spans="2:2" ht="15.9" customHeight="1" x14ac:dyDescent="0.3">
      <c r="B732" s="37"/>
    </row>
    <row r="733" spans="2:2" ht="15.9" customHeight="1" x14ac:dyDescent="0.3">
      <c r="B733" s="37"/>
    </row>
    <row r="734" spans="2:2" ht="15.9" customHeight="1" x14ac:dyDescent="0.3">
      <c r="B734" s="37"/>
    </row>
    <row r="735" spans="2:2" ht="15.9" customHeight="1" x14ac:dyDescent="0.3">
      <c r="B735" s="37"/>
    </row>
    <row r="736" spans="2:2" ht="15.9" customHeight="1" x14ac:dyDescent="0.3">
      <c r="B736" s="37"/>
    </row>
    <row r="737" spans="2:2" ht="15.9" customHeight="1" x14ac:dyDescent="0.3">
      <c r="B737" s="37"/>
    </row>
    <row r="738" spans="2:2" ht="15.9" customHeight="1" x14ac:dyDescent="0.3">
      <c r="B738" s="37"/>
    </row>
    <row r="739" spans="2:2" ht="15.9" customHeight="1" x14ac:dyDescent="0.3">
      <c r="B739" s="37"/>
    </row>
    <row r="740" spans="2:2" ht="15.9" customHeight="1" x14ac:dyDescent="0.3">
      <c r="B740" s="37"/>
    </row>
    <row r="741" spans="2:2" ht="15.9" customHeight="1" x14ac:dyDescent="0.3">
      <c r="B741" s="37"/>
    </row>
    <row r="742" spans="2:2" ht="15.9" customHeight="1" x14ac:dyDescent="0.3">
      <c r="B742" s="37"/>
    </row>
    <row r="743" spans="2:2" ht="15.9" customHeight="1" x14ac:dyDescent="0.3">
      <c r="B743" s="37"/>
    </row>
    <row r="744" spans="2:2" ht="15.9" customHeight="1" x14ac:dyDescent="0.3">
      <c r="B744" s="37"/>
    </row>
    <row r="745" spans="2:2" ht="15.9" customHeight="1" x14ac:dyDescent="0.3">
      <c r="B745" s="37"/>
    </row>
    <row r="746" spans="2:2" ht="15.9" customHeight="1" x14ac:dyDescent="0.3">
      <c r="B746" s="37"/>
    </row>
    <row r="747" spans="2:2" ht="15.9" customHeight="1" x14ac:dyDescent="0.3">
      <c r="B747" s="37"/>
    </row>
    <row r="748" spans="2:2" ht="15.9" customHeight="1" x14ac:dyDescent="0.3">
      <c r="B748" s="37"/>
    </row>
    <row r="749" spans="2:2" ht="15.9" customHeight="1" x14ac:dyDescent="0.3">
      <c r="B749" s="37"/>
    </row>
    <row r="750" spans="2:2" ht="15.9" customHeight="1" x14ac:dyDescent="0.3">
      <c r="B750" s="37"/>
    </row>
    <row r="751" spans="2:2" ht="15.9" customHeight="1" x14ac:dyDescent="0.3">
      <c r="B751" s="37"/>
    </row>
    <row r="752" spans="2:2" ht="15.9" customHeight="1" x14ac:dyDescent="0.3">
      <c r="B752" s="37"/>
    </row>
    <row r="753" spans="2:2" ht="15.9" customHeight="1" x14ac:dyDescent="0.3">
      <c r="B753" s="37"/>
    </row>
    <row r="754" spans="2:2" ht="15.9" customHeight="1" x14ac:dyDescent="0.3">
      <c r="B754" s="37"/>
    </row>
    <row r="755" spans="2:2" ht="15.9" customHeight="1" x14ac:dyDescent="0.3">
      <c r="B755" s="37"/>
    </row>
    <row r="756" spans="2:2" ht="15.9" customHeight="1" x14ac:dyDescent="0.3">
      <c r="B756" s="37"/>
    </row>
    <row r="757" spans="2:2" ht="15.9" customHeight="1" x14ac:dyDescent="0.3">
      <c r="B757" s="37"/>
    </row>
    <row r="758" spans="2:2" ht="15.9" customHeight="1" x14ac:dyDescent="0.3">
      <c r="B758" s="37"/>
    </row>
    <row r="759" spans="2:2" ht="15.9" customHeight="1" x14ac:dyDescent="0.3">
      <c r="B759" s="37"/>
    </row>
    <row r="760" spans="2:2" ht="15.9" customHeight="1" x14ac:dyDescent="0.3">
      <c r="B760" s="37"/>
    </row>
    <row r="761" spans="2:2" ht="15.9" customHeight="1" x14ac:dyDescent="0.3">
      <c r="B761" s="37"/>
    </row>
    <row r="762" spans="2:2" ht="15.9" customHeight="1" x14ac:dyDescent="0.3">
      <c r="B762" s="37"/>
    </row>
    <row r="763" spans="2:2" ht="15.9" customHeight="1" x14ac:dyDescent="0.3">
      <c r="B763" s="37"/>
    </row>
    <row r="764" spans="2:2" ht="15.9" customHeight="1" x14ac:dyDescent="0.3">
      <c r="B764" s="37"/>
    </row>
    <row r="765" spans="2:2" ht="15.9" customHeight="1" x14ac:dyDescent="0.3">
      <c r="B765" s="37"/>
    </row>
    <row r="766" spans="2:2" ht="15.9" customHeight="1" x14ac:dyDescent="0.3">
      <c r="B766" s="37"/>
    </row>
    <row r="767" spans="2:2" ht="15.9" customHeight="1" x14ac:dyDescent="0.3">
      <c r="B767" s="37"/>
    </row>
    <row r="768" spans="2:2" ht="15.9" customHeight="1" x14ac:dyDescent="0.3">
      <c r="B768" s="37"/>
    </row>
    <row r="769" spans="2:2" ht="15.9" customHeight="1" x14ac:dyDescent="0.3">
      <c r="B769" s="37"/>
    </row>
    <row r="770" spans="2:2" ht="15.9" customHeight="1" x14ac:dyDescent="0.3">
      <c r="B770" s="37"/>
    </row>
    <row r="771" spans="2:2" ht="15.9" customHeight="1" x14ac:dyDescent="0.3">
      <c r="B771" s="37"/>
    </row>
    <row r="772" spans="2:2" ht="15.9" customHeight="1" x14ac:dyDescent="0.3">
      <c r="B772" s="37"/>
    </row>
    <row r="773" spans="2:2" ht="15.9" customHeight="1" x14ac:dyDescent="0.3">
      <c r="B773" s="37"/>
    </row>
    <row r="774" spans="2:2" ht="15.9" customHeight="1" x14ac:dyDescent="0.3">
      <c r="B774" s="37"/>
    </row>
    <row r="775" spans="2:2" ht="15.9" customHeight="1" x14ac:dyDescent="0.3">
      <c r="B775" s="37"/>
    </row>
    <row r="776" spans="2:2" ht="15.9" customHeight="1" x14ac:dyDescent="0.3">
      <c r="B776" s="37"/>
    </row>
    <row r="777" spans="2:2" ht="15.9" customHeight="1" x14ac:dyDescent="0.3">
      <c r="B777" s="37"/>
    </row>
    <row r="778" spans="2:2" ht="15.9" customHeight="1" x14ac:dyDescent="0.3">
      <c r="B778" s="37"/>
    </row>
    <row r="779" spans="2:2" ht="15.9" customHeight="1" x14ac:dyDescent="0.3">
      <c r="B779" s="37"/>
    </row>
    <row r="780" spans="2:2" ht="15.9" customHeight="1" x14ac:dyDescent="0.3">
      <c r="B780" s="37"/>
    </row>
    <row r="781" spans="2:2" ht="15.9" customHeight="1" x14ac:dyDescent="0.3">
      <c r="B781" s="37"/>
    </row>
    <row r="782" spans="2:2" ht="15.9" customHeight="1" x14ac:dyDescent="0.3">
      <c r="B782" s="37"/>
    </row>
    <row r="783" spans="2:2" ht="15.9" customHeight="1" x14ac:dyDescent="0.3">
      <c r="B783" s="37"/>
    </row>
    <row r="784" spans="2:2" ht="15.9" customHeight="1" x14ac:dyDescent="0.3">
      <c r="B784" s="37"/>
    </row>
    <row r="785" spans="2:2" ht="15.9" customHeight="1" x14ac:dyDescent="0.3">
      <c r="B785" s="37"/>
    </row>
    <row r="786" spans="2:2" ht="15.9" customHeight="1" x14ac:dyDescent="0.3">
      <c r="B786" s="37"/>
    </row>
    <row r="787" spans="2:2" ht="15.9" customHeight="1" x14ac:dyDescent="0.3">
      <c r="B787" s="37"/>
    </row>
    <row r="788" spans="2:2" ht="15.9" customHeight="1" x14ac:dyDescent="0.3">
      <c r="B788" s="37"/>
    </row>
    <row r="789" spans="2:2" ht="15.9" customHeight="1" x14ac:dyDescent="0.3">
      <c r="B789" s="37"/>
    </row>
    <row r="790" spans="2:2" ht="15.9" customHeight="1" x14ac:dyDescent="0.3">
      <c r="B790" s="37"/>
    </row>
    <row r="791" spans="2:2" ht="15.9" customHeight="1" x14ac:dyDescent="0.3">
      <c r="B791" s="37"/>
    </row>
    <row r="792" spans="2:2" ht="15.9" customHeight="1" x14ac:dyDescent="0.3">
      <c r="B792" s="37"/>
    </row>
    <row r="793" spans="2:2" ht="15.9" customHeight="1" x14ac:dyDescent="0.3">
      <c r="B793" s="37"/>
    </row>
    <row r="794" spans="2:2" ht="15.9" customHeight="1" x14ac:dyDescent="0.3">
      <c r="B794" s="37"/>
    </row>
    <row r="795" spans="2:2" ht="15.9" customHeight="1" x14ac:dyDescent="0.3">
      <c r="B795" s="37"/>
    </row>
    <row r="796" spans="2:2" ht="15.9" customHeight="1" x14ac:dyDescent="0.3">
      <c r="B796" s="37"/>
    </row>
    <row r="797" spans="2:2" ht="15.9" customHeight="1" x14ac:dyDescent="0.3">
      <c r="B797" s="37"/>
    </row>
    <row r="798" spans="2:2" ht="15.9" customHeight="1" x14ac:dyDescent="0.3">
      <c r="B798" s="37"/>
    </row>
    <row r="799" spans="2:2" ht="15.9" customHeight="1" x14ac:dyDescent="0.3">
      <c r="B799" s="37"/>
    </row>
    <row r="800" spans="2:2" ht="15.9" customHeight="1" x14ac:dyDescent="0.3">
      <c r="B800" s="37"/>
    </row>
    <row r="801" spans="2:2" ht="15.9" customHeight="1" x14ac:dyDescent="0.3">
      <c r="B801" s="37"/>
    </row>
    <row r="802" spans="2:2" ht="15.9" customHeight="1" x14ac:dyDescent="0.3">
      <c r="B802" s="37"/>
    </row>
    <row r="803" spans="2:2" ht="15.9" customHeight="1" x14ac:dyDescent="0.3">
      <c r="B803" s="37"/>
    </row>
    <row r="804" spans="2:2" ht="15.9" customHeight="1" x14ac:dyDescent="0.3">
      <c r="B804" s="37"/>
    </row>
    <row r="805" spans="2:2" ht="15.9" customHeight="1" x14ac:dyDescent="0.3">
      <c r="B805" s="37"/>
    </row>
    <row r="806" spans="2:2" ht="15.9" customHeight="1" x14ac:dyDescent="0.3">
      <c r="B806" s="37"/>
    </row>
    <row r="807" spans="2:2" ht="15.9" customHeight="1" x14ac:dyDescent="0.3">
      <c r="B807" s="37"/>
    </row>
    <row r="808" spans="2:2" ht="15.9" customHeight="1" x14ac:dyDescent="0.3">
      <c r="B808" s="37"/>
    </row>
    <row r="809" spans="2:2" ht="15.9" customHeight="1" x14ac:dyDescent="0.3">
      <c r="B809" s="37"/>
    </row>
    <row r="810" spans="2:2" ht="15.9" customHeight="1" x14ac:dyDescent="0.3">
      <c r="B810" s="37"/>
    </row>
    <row r="811" spans="2:2" ht="15.9" customHeight="1" x14ac:dyDescent="0.3">
      <c r="B811" s="37"/>
    </row>
    <row r="812" spans="2:2" ht="15.9" customHeight="1" x14ac:dyDescent="0.3">
      <c r="B812" s="37"/>
    </row>
    <row r="813" spans="2:2" ht="15.9" customHeight="1" x14ac:dyDescent="0.3">
      <c r="B813" s="37"/>
    </row>
    <row r="814" spans="2:2" ht="15.9" customHeight="1" x14ac:dyDescent="0.3">
      <c r="B814" s="37"/>
    </row>
    <row r="815" spans="2:2" ht="15.9" customHeight="1" x14ac:dyDescent="0.3">
      <c r="B815" s="37"/>
    </row>
    <row r="816" spans="2:2" ht="15.9" customHeight="1" x14ac:dyDescent="0.3">
      <c r="B816" s="37"/>
    </row>
    <row r="817" spans="2:2" ht="15.9" customHeight="1" x14ac:dyDescent="0.3">
      <c r="B817" s="37"/>
    </row>
    <row r="818" spans="2:2" ht="15.9" customHeight="1" x14ac:dyDescent="0.3">
      <c r="B818" s="37"/>
    </row>
    <row r="819" spans="2:2" ht="15.9" customHeight="1" x14ac:dyDescent="0.3">
      <c r="B819" s="37"/>
    </row>
    <row r="820" spans="2:2" ht="15.9" customHeight="1" x14ac:dyDescent="0.3">
      <c r="B820" s="37"/>
    </row>
    <row r="821" spans="2:2" ht="15.9" customHeight="1" x14ac:dyDescent="0.3">
      <c r="B821" s="37"/>
    </row>
    <row r="822" spans="2:2" ht="15.9" customHeight="1" x14ac:dyDescent="0.3">
      <c r="B822" s="37"/>
    </row>
    <row r="823" spans="2:2" ht="15.9" customHeight="1" x14ac:dyDescent="0.3">
      <c r="B823" s="37"/>
    </row>
    <row r="824" spans="2:2" ht="15.9" customHeight="1" x14ac:dyDescent="0.3">
      <c r="B824" s="37"/>
    </row>
    <row r="825" spans="2:2" ht="15.9" customHeight="1" x14ac:dyDescent="0.3">
      <c r="B825" s="37"/>
    </row>
    <row r="826" spans="2:2" ht="15.9" customHeight="1" x14ac:dyDescent="0.3">
      <c r="B826" s="37"/>
    </row>
    <row r="827" spans="2:2" ht="15.9" customHeight="1" x14ac:dyDescent="0.3">
      <c r="B827" s="37"/>
    </row>
    <row r="828" spans="2:2" ht="15.9" customHeight="1" x14ac:dyDescent="0.3">
      <c r="B828" s="37"/>
    </row>
    <row r="829" spans="2:2" ht="15.9" customHeight="1" x14ac:dyDescent="0.3">
      <c r="B829" s="37"/>
    </row>
    <row r="830" spans="2:2" ht="15.9" customHeight="1" x14ac:dyDescent="0.3">
      <c r="B830" s="37"/>
    </row>
    <row r="831" spans="2:2" ht="15.9" customHeight="1" x14ac:dyDescent="0.3">
      <c r="B831" s="37"/>
    </row>
    <row r="832" spans="2:2" ht="15.9" customHeight="1" x14ac:dyDescent="0.3">
      <c r="B832" s="37"/>
    </row>
    <row r="833" spans="2:2" ht="15.9" customHeight="1" x14ac:dyDescent="0.3">
      <c r="B833" s="37"/>
    </row>
    <row r="834" spans="2:2" ht="15.9" customHeight="1" x14ac:dyDescent="0.3">
      <c r="B834" s="37"/>
    </row>
    <row r="835" spans="2:2" ht="15.9" customHeight="1" x14ac:dyDescent="0.3">
      <c r="B835" s="37"/>
    </row>
    <row r="836" spans="2:2" ht="15.9" customHeight="1" x14ac:dyDescent="0.3">
      <c r="B836" s="37"/>
    </row>
    <row r="837" spans="2:2" ht="15.9" customHeight="1" x14ac:dyDescent="0.3">
      <c r="B837" s="37"/>
    </row>
    <row r="838" spans="2:2" ht="15.9" customHeight="1" x14ac:dyDescent="0.3">
      <c r="B838" s="37"/>
    </row>
    <row r="839" spans="2:2" ht="15.9" customHeight="1" x14ac:dyDescent="0.3">
      <c r="B839" s="37"/>
    </row>
    <row r="840" spans="2:2" ht="15.9" customHeight="1" x14ac:dyDescent="0.3">
      <c r="B840" s="37"/>
    </row>
    <row r="841" spans="2:2" ht="15.9" customHeight="1" x14ac:dyDescent="0.3">
      <c r="B841" s="37"/>
    </row>
    <row r="842" spans="2:2" ht="15.9" customHeight="1" x14ac:dyDescent="0.3">
      <c r="B842" s="37"/>
    </row>
    <row r="843" spans="2:2" ht="15.9" customHeight="1" x14ac:dyDescent="0.3">
      <c r="B843" s="37"/>
    </row>
    <row r="844" spans="2:2" ht="15.9" customHeight="1" x14ac:dyDescent="0.3">
      <c r="B844" s="37"/>
    </row>
    <row r="845" spans="2:2" ht="15.9" customHeight="1" x14ac:dyDescent="0.3">
      <c r="B845" s="37"/>
    </row>
    <row r="846" spans="2:2" ht="15.9" customHeight="1" x14ac:dyDescent="0.3">
      <c r="B846" s="37"/>
    </row>
    <row r="847" spans="2:2" ht="15.9" customHeight="1" x14ac:dyDescent="0.3">
      <c r="B847" s="37"/>
    </row>
    <row r="848" spans="2:2" ht="15.9" customHeight="1" x14ac:dyDescent="0.3">
      <c r="B848" s="37"/>
    </row>
    <row r="849" spans="2:2" ht="15.9" customHeight="1" x14ac:dyDescent="0.3">
      <c r="B849" s="37"/>
    </row>
    <row r="850" spans="2:2" ht="15.9" customHeight="1" x14ac:dyDescent="0.3">
      <c r="B850" s="37"/>
    </row>
    <row r="851" spans="2:2" ht="15.9" customHeight="1" x14ac:dyDescent="0.3">
      <c r="B851" s="37"/>
    </row>
    <row r="852" spans="2:2" ht="15.9" customHeight="1" x14ac:dyDescent="0.3">
      <c r="B852" s="37"/>
    </row>
    <row r="853" spans="2:2" ht="15.9" customHeight="1" x14ac:dyDescent="0.3">
      <c r="B853" s="37"/>
    </row>
    <row r="854" spans="2:2" ht="15.9" customHeight="1" x14ac:dyDescent="0.3">
      <c r="B854" s="37"/>
    </row>
    <row r="855" spans="2:2" ht="15.9" customHeight="1" x14ac:dyDescent="0.3">
      <c r="B855" s="37"/>
    </row>
    <row r="856" spans="2:2" ht="15.9" customHeight="1" x14ac:dyDescent="0.3">
      <c r="B856" s="37"/>
    </row>
    <row r="857" spans="2:2" ht="15.9" customHeight="1" x14ac:dyDescent="0.3">
      <c r="B857" s="37"/>
    </row>
    <row r="858" spans="2:2" ht="15.9" customHeight="1" x14ac:dyDescent="0.3">
      <c r="B858" s="37"/>
    </row>
    <row r="859" spans="2:2" ht="15.9" customHeight="1" x14ac:dyDescent="0.3">
      <c r="B859" s="37"/>
    </row>
    <row r="860" spans="2:2" ht="15.9" customHeight="1" x14ac:dyDescent="0.3">
      <c r="B860" s="37"/>
    </row>
    <row r="861" spans="2:2" ht="15.9" customHeight="1" x14ac:dyDescent="0.3">
      <c r="B861" s="37"/>
    </row>
    <row r="862" spans="2:2" ht="15.9" customHeight="1" x14ac:dyDescent="0.3">
      <c r="B862" s="37"/>
    </row>
    <row r="863" spans="2:2" ht="15.9" customHeight="1" x14ac:dyDescent="0.3">
      <c r="B863" s="37"/>
    </row>
    <row r="864" spans="2:2" ht="15.9" customHeight="1" x14ac:dyDescent="0.3">
      <c r="B864" s="37"/>
    </row>
    <row r="865" spans="2:2" ht="15.9" customHeight="1" x14ac:dyDescent="0.3">
      <c r="B865" s="37"/>
    </row>
    <row r="866" spans="2:2" ht="15.9" customHeight="1" x14ac:dyDescent="0.3">
      <c r="B866" s="37"/>
    </row>
    <row r="867" spans="2:2" ht="15.9" customHeight="1" x14ac:dyDescent="0.3">
      <c r="B867" s="37"/>
    </row>
    <row r="868" spans="2:2" ht="15.9" customHeight="1" x14ac:dyDescent="0.3">
      <c r="B868" s="37"/>
    </row>
    <row r="869" spans="2:2" ht="15.9" customHeight="1" x14ac:dyDescent="0.3">
      <c r="B869" s="37"/>
    </row>
    <row r="870" spans="2:2" ht="15.9" customHeight="1" x14ac:dyDescent="0.3">
      <c r="B870" s="37"/>
    </row>
    <row r="871" spans="2:2" ht="15.9" customHeight="1" x14ac:dyDescent="0.3">
      <c r="B871" s="37"/>
    </row>
    <row r="872" spans="2:2" ht="15.9" customHeight="1" x14ac:dyDescent="0.3">
      <c r="B872" s="37"/>
    </row>
    <row r="873" spans="2:2" ht="15.9" customHeight="1" x14ac:dyDescent="0.3">
      <c r="B873" s="37"/>
    </row>
    <row r="874" spans="2:2" ht="15.9" customHeight="1" x14ac:dyDescent="0.3">
      <c r="B874" s="37"/>
    </row>
    <row r="875" spans="2:2" ht="15.9" customHeight="1" x14ac:dyDescent="0.3">
      <c r="B875" s="37"/>
    </row>
    <row r="876" spans="2:2" ht="15.9" customHeight="1" x14ac:dyDescent="0.3">
      <c r="B876" s="37"/>
    </row>
    <row r="877" spans="2:2" ht="15.9" customHeight="1" x14ac:dyDescent="0.3">
      <c r="B877" s="37"/>
    </row>
    <row r="878" spans="2:2" ht="15.9" customHeight="1" x14ac:dyDescent="0.3">
      <c r="B878" s="37"/>
    </row>
    <row r="879" spans="2:2" ht="15.9" customHeight="1" x14ac:dyDescent="0.3">
      <c r="B879" s="37"/>
    </row>
    <row r="880" spans="2:2" ht="15.9" customHeight="1" x14ac:dyDescent="0.3">
      <c r="B880" s="37"/>
    </row>
    <row r="881" spans="2:2" ht="15.9" customHeight="1" x14ac:dyDescent="0.3">
      <c r="B881" s="37"/>
    </row>
    <row r="882" spans="2:2" ht="15.9" customHeight="1" x14ac:dyDescent="0.3">
      <c r="B882" s="37"/>
    </row>
    <row r="883" spans="2:2" ht="15.9" customHeight="1" x14ac:dyDescent="0.3">
      <c r="B883" s="37"/>
    </row>
    <row r="884" spans="2:2" ht="15.9" customHeight="1" x14ac:dyDescent="0.3">
      <c r="B884" s="37"/>
    </row>
    <row r="885" spans="2:2" ht="15.9" customHeight="1" x14ac:dyDescent="0.3">
      <c r="B885" s="37"/>
    </row>
    <row r="886" spans="2:2" ht="15.9" customHeight="1" x14ac:dyDescent="0.3">
      <c r="B886" s="37"/>
    </row>
    <row r="887" spans="2:2" ht="15.9" customHeight="1" x14ac:dyDescent="0.3">
      <c r="B887" s="37"/>
    </row>
    <row r="888" spans="2:2" ht="15.9" customHeight="1" x14ac:dyDescent="0.3">
      <c r="B888" s="37"/>
    </row>
    <row r="889" spans="2:2" ht="15.9" customHeight="1" x14ac:dyDescent="0.3">
      <c r="B889" s="37"/>
    </row>
    <row r="890" spans="2:2" ht="15.9" customHeight="1" x14ac:dyDescent="0.3">
      <c r="B890" s="37"/>
    </row>
    <row r="891" spans="2:2" ht="15.9" customHeight="1" x14ac:dyDescent="0.3">
      <c r="B891" s="37"/>
    </row>
    <row r="892" spans="2:2" ht="15.9" customHeight="1" x14ac:dyDescent="0.3">
      <c r="B892" s="37"/>
    </row>
    <row r="893" spans="2:2" ht="15.9" customHeight="1" x14ac:dyDescent="0.3">
      <c r="B893" s="37"/>
    </row>
    <row r="894" spans="2:2" ht="15.9" customHeight="1" x14ac:dyDescent="0.3">
      <c r="B894" s="37"/>
    </row>
    <row r="895" spans="2:2" ht="15.9" customHeight="1" x14ac:dyDescent="0.3">
      <c r="B895" s="37"/>
    </row>
    <row r="896" spans="2:2" ht="15.9" customHeight="1" x14ac:dyDescent="0.3">
      <c r="B896" s="37"/>
    </row>
    <row r="897" spans="2:2" ht="15.9" customHeight="1" x14ac:dyDescent="0.3">
      <c r="B897" s="37"/>
    </row>
    <row r="898" spans="2:2" ht="15.9" customHeight="1" x14ac:dyDescent="0.3">
      <c r="B898" s="37"/>
    </row>
    <row r="899" spans="2:2" ht="15.9" customHeight="1" x14ac:dyDescent="0.3">
      <c r="B899" s="37"/>
    </row>
    <row r="900" spans="2:2" ht="15.9" customHeight="1" x14ac:dyDescent="0.3">
      <c r="B900" s="37"/>
    </row>
    <row r="901" spans="2:2" ht="15.9" customHeight="1" x14ac:dyDescent="0.3">
      <c r="B901" s="37"/>
    </row>
    <row r="902" spans="2:2" ht="15.9" customHeight="1" x14ac:dyDescent="0.3">
      <c r="B902" s="37"/>
    </row>
    <row r="903" spans="2:2" ht="15.9" customHeight="1" x14ac:dyDescent="0.3">
      <c r="B903" s="37"/>
    </row>
    <row r="904" spans="2:2" ht="15.9" customHeight="1" x14ac:dyDescent="0.3">
      <c r="B904" s="37"/>
    </row>
    <row r="905" spans="2:2" ht="15.9" customHeight="1" x14ac:dyDescent="0.3">
      <c r="B905" s="37"/>
    </row>
    <row r="906" spans="2:2" ht="15.9" customHeight="1" x14ac:dyDescent="0.3">
      <c r="B906" s="37"/>
    </row>
    <row r="907" spans="2:2" ht="15.9" customHeight="1" x14ac:dyDescent="0.3">
      <c r="B907" s="37"/>
    </row>
    <row r="908" spans="2:2" ht="15.9" customHeight="1" x14ac:dyDescent="0.3">
      <c r="B908" s="37"/>
    </row>
    <row r="909" spans="2:2" ht="15.9" customHeight="1" x14ac:dyDescent="0.3">
      <c r="B909" s="37"/>
    </row>
    <row r="910" spans="2:2" ht="15.9" customHeight="1" x14ac:dyDescent="0.3">
      <c r="B910" s="37"/>
    </row>
    <row r="911" spans="2:2" ht="15.9" customHeight="1" x14ac:dyDescent="0.3">
      <c r="B911" s="37"/>
    </row>
    <row r="912" spans="2:2" ht="15.9" customHeight="1" x14ac:dyDescent="0.3">
      <c r="B912" s="37"/>
    </row>
    <row r="913" spans="2:2" ht="15.9" customHeight="1" x14ac:dyDescent="0.3">
      <c r="B913" s="37"/>
    </row>
    <row r="914" spans="2:2" ht="15.9" customHeight="1" x14ac:dyDescent="0.3">
      <c r="B914" s="37"/>
    </row>
    <row r="915" spans="2:2" ht="15.9" customHeight="1" x14ac:dyDescent="0.3">
      <c r="B915" s="37"/>
    </row>
    <row r="916" spans="2:2" ht="15.9" customHeight="1" x14ac:dyDescent="0.3">
      <c r="B916" s="37"/>
    </row>
    <row r="917" spans="2:2" ht="15.9" customHeight="1" x14ac:dyDescent="0.3">
      <c r="B917" s="37"/>
    </row>
    <row r="918" spans="2:2" ht="15.9" customHeight="1" x14ac:dyDescent="0.3">
      <c r="B918" s="37"/>
    </row>
    <row r="919" spans="2:2" ht="15.9" customHeight="1" x14ac:dyDescent="0.3">
      <c r="B919" s="37"/>
    </row>
    <row r="920" spans="2:2" ht="15.9" customHeight="1" x14ac:dyDescent="0.3">
      <c r="B920" s="37"/>
    </row>
    <row r="921" spans="2:2" ht="15.9" customHeight="1" x14ac:dyDescent="0.3">
      <c r="B921" s="37"/>
    </row>
    <row r="922" spans="2:2" ht="15.9" customHeight="1" x14ac:dyDescent="0.3">
      <c r="B922" s="37"/>
    </row>
    <row r="923" spans="2:2" ht="15.9" customHeight="1" x14ac:dyDescent="0.3">
      <c r="B923" s="37"/>
    </row>
    <row r="924" spans="2:2" ht="15.9" customHeight="1" x14ac:dyDescent="0.3">
      <c r="B924" s="37"/>
    </row>
    <row r="925" spans="2:2" ht="15.9" customHeight="1" x14ac:dyDescent="0.3">
      <c r="B925" s="37"/>
    </row>
    <row r="926" spans="2:2" ht="15.9" customHeight="1" x14ac:dyDescent="0.3">
      <c r="B926" s="37"/>
    </row>
    <row r="927" spans="2:2" ht="15.9" customHeight="1" x14ac:dyDescent="0.3">
      <c r="B927" s="37"/>
    </row>
    <row r="928" spans="2:2" ht="15.9" customHeight="1" x14ac:dyDescent="0.3">
      <c r="B928" s="37"/>
    </row>
    <row r="929" spans="2:2" ht="15.9" customHeight="1" x14ac:dyDescent="0.3">
      <c r="B929" s="37"/>
    </row>
    <row r="930" spans="2:2" ht="15.9" customHeight="1" x14ac:dyDescent="0.3">
      <c r="B930" s="37"/>
    </row>
    <row r="931" spans="2:2" ht="15.9" customHeight="1" x14ac:dyDescent="0.3">
      <c r="B931" s="37"/>
    </row>
    <row r="932" spans="2:2" ht="15.9" customHeight="1" x14ac:dyDescent="0.3">
      <c r="B932" s="37"/>
    </row>
    <row r="933" spans="2:2" ht="15.9" customHeight="1" x14ac:dyDescent="0.3">
      <c r="B933" s="37"/>
    </row>
    <row r="934" spans="2:2" ht="15.9" customHeight="1" x14ac:dyDescent="0.3">
      <c r="B934" s="37"/>
    </row>
    <row r="935" spans="2:2" ht="15.9" customHeight="1" x14ac:dyDescent="0.3">
      <c r="B935" s="37"/>
    </row>
    <row r="936" spans="2:2" ht="15.9" customHeight="1" x14ac:dyDescent="0.3">
      <c r="B936" s="37"/>
    </row>
    <row r="937" spans="2:2" ht="15.9" customHeight="1" x14ac:dyDescent="0.3">
      <c r="B937" s="37"/>
    </row>
    <row r="938" spans="2:2" ht="15.9" customHeight="1" x14ac:dyDescent="0.3">
      <c r="B938" s="37"/>
    </row>
    <row r="939" spans="2:2" ht="15.9" customHeight="1" x14ac:dyDescent="0.3">
      <c r="B939" s="37"/>
    </row>
    <row r="940" spans="2:2" ht="15.9" customHeight="1" x14ac:dyDescent="0.3">
      <c r="B940" s="37"/>
    </row>
    <row r="941" spans="2:2" ht="15.9" customHeight="1" x14ac:dyDescent="0.3">
      <c r="B941" s="37"/>
    </row>
    <row r="942" spans="2:2" ht="15.9" customHeight="1" x14ac:dyDescent="0.3">
      <c r="B942" s="37"/>
    </row>
    <row r="943" spans="2:2" ht="15.9" customHeight="1" x14ac:dyDescent="0.3">
      <c r="B943" s="37"/>
    </row>
    <row r="944" spans="2:2" ht="15.9" customHeight="1" x14ac:dyDescent="0.3">
      <c r="B944" s="37"/>
    </row>
    <row r="945" spans="2:2" ht="15.9" customHeight="1" x14ac:dyDescent="0.3">
      <c r="B945" s="37"/>
    </row>
    <row r="946" spans="2:2" ht="15.9" customHeight="1" x14ac:dyDescent="0.3">
      <c r="B946" s="37"/>
    </row>
    <row r="947" spans="2:2" ht="15.9" customHeight="1" x14ac:dyDescent="0.3">
      <c r="B947" s="37"/>
    </row>
    <row r="948" spans="2:2" ht="15.9" customHeight="1" x14ac:dyDescent="0.3">
      <c r="B948" s="37"/>
    </row>
    <row r="949" spans="2:2" ht="15.9" customHeight="1" x14ac:dyDescent="0.3">
      <c r="B949" s="37"/>
    </row>
    <row r="950" spans="2:2" ht="15.9" customHeight="1" x14ac:dyDescent="0.3">
      <c r="B950" s="37"/>
    </row>
    <row r="951" spans="2:2" ht="15.9" customHeight="1" x14ac:dyDescent="0.3">
      <c r="B951" s="37"/>
    </row>
    <row r="952" spans="2:2" ht="15.9" customHeight="1" x14ac:dyDescent="0.3">
      <c r="B952" s="37"/>
    </row>
    <row r="953" spans="2:2" ht="15.9" customHeight="1" x14ac:dyDescent="0.3">
      <c r="B953" s="37"/>
    </row>
    <row r="954" spans="2:2" ht="15.9" customHeight="1" x14ac:dyDescent="0.3">
      <c r="B954" s="37"/>
    </row>
    <row r="955" spans="2:2" ht="15.9" customHeight="1" x14ac:dyDescent="0.3">
      <c r="B955" s="37"/>
    </row>
    <row r="956" spans="2:2" ht="15.9" customHeight="1" x14ac:dyDescent="0.3">
      <c r="B956" s="37"/>
    </row>
    <row r="957" spans="2:2" ht="15.9" customHeight="1" x14ac:dyDescent="0.3">
      <c r="B957" s="37"/>
    </row>
    <row r="958" spans="2:2" ht="15.9" customHeight="1" x14ac:dyDescent="0.3">
      <c r="B958" s="37"/>
    </row>
    <row r="959" spans="2:2" ht="15.9" customHeight="1" x14ac:dyDescent="0.3">
      <c r="B959" s="37"/>
    </row>
    <row r="960" spans="2:2" ht="15.9" customHeight="1" x14ac:dyDescent="0.3">
      <c r="B960" s="37"/>
    </row>
    <row r="961" spans="2:2" ht="15.9" customHeight="1" x14ac:dyDescent="0.3">
      <c r="B961" s="37"/>
    </row>
    <row r="962" spans="2:2" ht="15.9" customHeight="1" x14ac:dyDescent="0.3">
      <c r="B962" s="37"/>
    </row>
    <row r="963" spans="2:2" ht="15.9" customHeight="1" x14ac:dyDescent="0.3">
      <c r="B963" s="37"/>
    </row>
    <row r="964" spans="2:2" ht="15.9" customHeight="1" x14ac:dyDescent="0.3">
      <c r="B964" s="37"/>
    </row>
    <row r="965" spans="2:2" ht="15.9" customHeight="1" x14ac:dyDescent="0.3">
      <c r="B965" s="37"/>
    </row>
    <row r="966" spans="2:2" ht="15.9" customHeight="1" x14ac:dyDescent="0.3">
      <c r="B966" s="37"/>
    </row>
    <row r="967" spans="2:2" ht="15.9" customHeight="1" x14ac:dyDescent="0.3">
      <c r="B967" s="37"/>
    </row>
    <row r="968" spans="2:2" ht="15.9" customHeight="1" x14ac:dyDescent="0.3">
      <c r="B968" s="37"/>
    </row>
    <row r="969" spans="2:2" ht="15.9" customHeight="1" x14ac:dyDescent="0.3">
      <c r="B969" s="37"/>
    </row>
    <row r="970" spans="2:2" ht="15.9" customHeight="1" x14ac:dyDescent="0.3">
      <c r="B970" s="37"/>
    </row>
    <row r="971" spans="2:2" ht="15.9" customHeight="1" x14ac:dyDescent="0.3">
      <c r="B971" s="37"/>
    </row>
    <row r="972" spans="2:2" ht="15.9" customHeight="1" x14ac:dyDescent="0.3">
      <c r="B972" s="37"/>
    </row>
    <row r="973" spans="2:2" ht="15.9" customHeight="1" x14ac:dyDescent="0.3">
      <c r="B973" s="37"/>
    </row>
    <row r="974" spans="2:2" ht="15.9" customHeight="1" x14ac:dyDescent="0.3">
      <c r="B974" s="37"/>
    </row>
    <row r="975" spans="2:2" ht="15.9" customHeight="1" x14ac:dyDescent="0.3">
      <c r="B975" s="37"/>
    </row>
    <row r="976" spans="2:2" ht="15.9" customHeight="1" x14ac:dyDescent="0.3">
      <c r="B976" s="37"/>
    </row>
    <row r="977" spans="2:2" ht="15.9" customHeight="1" x14ac:dyDescent="0.3">
      <c r="B977" s="37"/>
    </row>
    <row r="978" spans="2:2" ht="15.9" customHeight="1" x14ac:dyDescent="0.3">
      <c r="B978" s="37"/>
    </row>
    <row r="979" spans="2:2" ht="15.9" customHeight="1" x14ac:dyDescent="0.3">
      <c r="B979" s="37"/>
    </row>
    <row r="980" spans="2:2" ht="15.9" customHeight="1" x14ac:dyDescent="0.3">
      <c r="B980" s="37"/>
    </row>
    <row r="981" spans="2:2" ht="15.9" customHeight="1" x14ac:dyDescent="0.3">
      <c r="B981" s="37"/>
    </row>
    <row r="982" spans="2:2" ht="15.9" customHeight="1" x14ac:dyDescent="0.3">
      <c r="B982" s="37"/>
    </row>
    <row r="983" spans="2:2" ht="15.9" customHeight="1" x14ac:dyDescent="0.3">
      <c r="B983" s="37"/>
    </row>
    <row r="984" spans="2:2" ht="15.9" customHeight="1" x14ac:dyDescent="0.3">
      <c r="B984" s="37"/>
    </row>
    <row r="985" spans="2:2" ht="15.9" customHeight="1" x14ac:dyDescent="0.3">
      <c r="B985" s="37"/>
    </row>
    <row r="986" spans="2:2" ht="15.9" customHeight="1" x14ac:dyDescent="0.3">
      <c r="B986" s="37"/>
    </row>
    <row r="987" spans="2:2" ht="15.9" customHeight="1" x14ac:dyDescent="0.3">
      <c r="B987" s="37"/>
    </row>
    <row r="988" spans="2:2" ht="15.9" customHeight="1" x14ac:dyDescent="0.3">
      <c r="B988" s="37"/>
    </row>
    <row r="989" spans="2:2" ht="15.9" customHeight="1" x14ac:dyDescent="0.3">
      <c r="B989" s="37"/>
    </row>
    <row r="990" spans="2:2" ht="15.9" customHeight="1" x14ac:dyDescent="0.3">
      <c r="B990" s="37"/>
    </row>
    <row r="991" spans="2:2" ht="15.9" customHeight="1" x14ac:dyDescent="0.3">
      <c r="B991" s="37"/>
    </row>
    <row r="992" spans="2:2" ht="15.9" customHeight="1" x14ac:dyDescent="0.3">
      <c r="B992" s="37"/>
    </row>
    <row r="993" spans="2:2" ht="15.9" customHeight="1" x14ac:dyDescent="0.3">
      <c r="B993" s="37"/>
    </row>
    <row r="994" spans="2:2" ht="15.9" customHeight="1" x14ac:dyDescent="0.3">
      <c r="B994" s="37"/>
    </row>
    <row r="995" spans="2:2" ht="15.9" customHeight="1" x14ac:dyDescent="0.3">
      <c r="B995" s="37"/>
    </row>
    <row r="996" spans="2:2" ht="15.9" customHeight="1" x14ac:dyDescent="0.3">
      <c r="B996" s="37"/>
    </row>
    <row r="997" spans="2:2" ht="15.9" customHeight="1" x14ac:dyDescent="0.3">
      <c r="B997" s="37"/>
    </row>
    <row r="998" spans="2:2" ht="15.9" customHeight="1" x14ac:dyDescent="0.3">
      <c r="B998" s="37"/>
    </row>
    <row r="999" spans="2:2" ht="15.9" customHeight="1" x14ac:dyDescent="0.3">
      <c r="B999" s="37"/>
    </row>
    <row r="1000" spans="2:2" ht="15.9" customHeight="1" x14ac:dyDescent="0.3">
      <c r="B1000" s="37"/>
    </row>
    <row r="1001" spans="2:2" ht="15.9" customHeight="1" x14ac:dyDescent="0.3">
      <c r="B1001" s="37"/>
    </row>
    <row r="1002" spans="2:2" ht="15.9" customHeight="1" x14ac:dyDescent="0.3">
      <c r="B1002" s="37"/>
    </row>
    <row r="1003" spans="2:2" ht="15.9" customHeight="1" x14ac:dyDescent="0.3">
      <c r="B1003" s="37"/>
    </row>
    <row r="1004" spans="2:2" ht="15.9" customHeight="1" x14ac:dyDescent="0.3">
      <c r="B1004" s="37"/>
    </row>
    <row r="1005" spans="2:2" ht="15.9" customHeight="1" x14ac:dyDescent="0.3">
      <c r="B1005" s="37"/>
    </row>
    <row r="1006" spans="2:2" ht="15.9" customHeight="1" x14ac:dyDescent="0.3">
      <c r="B1006" s="37"/>
    </row>
    <row r="1007" spans="2:2" ht="15.9" customHeight="1" x14ac:dyDescent="0.3">
      <c r="B1007" s="37"/>
    </row>
    <row r="1008" spans="2:2" ht="15.9" customHeight="1" x14ac:dyDescent="0.3">
      <c r="B1008" s="37"/>
    </row>
    <row r="1009" spans="2:2" ht="15.9" customHeight="1" x14ac:dyDescent="0.3">
      <c r="B1009" s="37"/>
    </row>
    <row r="1010" spans="2:2" ht="15.9" customHeight="1" x14ac:dyDescent="0.3">
      <c r="B1010" s="37"/>
    </row>
    <row r="1011" spans="2:2" ht="15.9" customHeight="1" x14ac:dyDescent="0.3">
      <c r="B1011" s="37"/>
    </row>
    <row r="1012" spans="2:2" ht="15.9" customHeight="1" x14ac:dyDescent="0.3">
      <c r="B1012" s="37"/>
    </row>
    <row r="1013" spans="2:2" ht="15.9" customHeight="1" x14ac:dyDescent="0.3">
      <c r="B1013" s="37"/>
    </row>
    <row r="1014" spans="2:2" ht="15.9" customHeight="1" x14ac:dyDescent="0.3">
      <c r="B1014" s="37"/>
    </row>
    <row r="1015" spans="2:2" ht="15.9" customHeight="1" x14ac:dyDescent="0.3">
      <c r="B1015" s="37"/>
    </row>
    <row r="1016" spans="2:2" ht="15.9" customHeight="1" x14ac:dyDescent="0.3">
      <c r="B1016" s="37"/>
    </row>
    <row r="1017" spans="2:2" ht="15.9" customHeight="1" x14ac:dyDescent="0.3">
      <c r="B1017" s="37"/>
    </row>
    <row r="1018" spans="2:2" ht="15.9" customHeight="1" x14ac:dyDescent="0.3">
      <c r="B1018" s="37"/>
    </row>
    <row r="1019" spans="2:2" ht="15.9" customHeight="1" x14ac:dyDescent="0.3">
      <c r="B1019" s="37"/>
    </row>
    <row r="1020" spans="2:2" ht="15.9" customHeight="1" x14ac:dyDescent="0.3">
      <c r="B1020" s="37"/>
    </row>
    <row r="1021" spans="2:2" ht="15.9" customHeight="1" x14ac:dyDescent="0.3">
      <c r="B1021" s="37"/>
    </row>
    <row r="1022" spans="2:2" ht="15.9" customHeight="1" x14ac:dyDescent="0.3">
      <c r="B1022" s="37"/>
    </row>
    <row r="1023" spans="2:2" ht="15.9" customHeight="1" x14ac:dyDescent="0.3">
      <c r="B1023" s="37"/>
    </row>
    <row r="1024" spans="2:2" ht="15.9" customHeight="1" x14ac:dyDescent="0.3">
      <c r="B1024" s="37"/>
    </row>
    <row r="1025" spans="2:2" ht="15.9" customHeight="1" x14ac:dyDescent="0.3">
      <c r="B1025" s="37"/>
    </row>
    <row r="1026" spans="2:2" ht="15.9" customHeight="1" x14ac:dyDescent="0.3">
      <c r="B1026" s="37"/>
    </row>
    <row r="1027" spans="2:2" ht="15.9" customHeight="1" x14ac:dyDescent="0.3">
      <c r="B1027" s="37"/>
    </row>
    <row r="1028" spans="2:2" ht="15.9" customHeight="1" x14ac:dyDescent="0.3">
      <c r="B1028" s="37"/>
    </row>
    <row r="1029" spans="2:2" ht="15.9" customHeight="1" x14ac:dyDescent="0.3">
      <c r="B1029" s="37"/>
    </row>
    <row r="1030" spans="2:2" ht="15.9" customHeight="1" x14ac:dyDescent="0.3">
      <c r="B1030" s="37"/>
    </row>
    <row r="1031" spans="2:2" ht="15.9" customHeight="1" x14ac:dyDescent="0.3">
      <c r="B1031" s="37"/>
    </row>
    <row r="1032" spans="2:2" ht="15.9" customHeight="1" x14ac:dyDescent="0.3">
      <c r="B1032" s="37"/>
    </row>
    <row r="1033" spans="2:2" ht="15.9" customHeight="1" x14ac:dyDescent="0.3">
      <c r="B1033" s="37"/>
    </row>
    <row r="1034" spans="2:2" ht="15.9" customHeight="1" x14ac:dyDescent="0.3">
      <c r="B1034" s="37"/>
    </row>
    <row r="1035" spans="2:2" ht="15.9" customHeight="1" x14ac:dyDescent="0.3">
      <c r="B1035" s="37"/>
    </row>
    <row r="1036" spans="2:2" ht="15.9" customHeight="1" x14ac:dyDescent="0.3">
      <c r="B1036" s="37"/>
    </row>
    <row r="1037" spans="2:2" ht="15.9" customHeight="1" x14ac:dyDescent="0.3">
      <c r="B1037" s="37"/>
    </row>
    <row r="1038" spans="2:2" ht="15.9" customHeight="1" x14ac:dyDescent="0.3">
      <c r="B1038" s="37"/>
    </row>
    <row r="1039" spans="2:2" ht="15.9" customHeight="1" x14ac:dyDescent="0.3">
      <c r="B1039" s="37"/>
    </row>
    <row r="1040" spans="2:2" ht="15.9" customHeight="1" x14ac:dyDescent="0.3">
      <c r="B1040" s="37"/>
    </row>
    <row r="1041" spans="2:2" ht="15.9" customHeight="1" x14ac:dyDescent="0.3">
      <c r="B1041" s="37"/>
    </row>
    <row r="1042" spans="2:2" ht="15.9" customHeight="1" x14ac:dyDescent="0.3">
      <c r="B1042" s="37"/>
    </row>
    <row r="1043" spans="2:2" ht="15.9" customHeight="1" x14ac:dyDescent="0.3">
      <c r="B1043" s="37"/>
    </row>
    <row r="1044" spans="2:2" ht="15.9" customHeight="1" x14ac:dyDescent="0.3">
      <c r="B1044" s="37"/>
    </row>
    <row r="1045" spans="2:2" ht="15.9" customHeight="1" x14ac:dyDescent="0.3">
      <c r="B1045" s="37"/>
    </row>
    <row r="1046" spans="2:2" ht="15.9" customHeight="1" x14ac:dyDescent="0.3">
      <c r="B1046" s="37"/>
    </row>
    <row r="1047" spans="2:2" ht="15.9" customHeight="1" x14ac:dyDescent="0.3">
      <c r="B1047" s="37"/>
    </row>
    <row r="1048" spans="2:2" ht="15.9" customHeight="1" x14ac:dyDescent="0.3">
      <c r="B1048" s="37"/>
    </row>
    <row r="1049" spans="2:2" ht="15.9" customHeight="1" x14ac:dyDescent="0.3">
      <c r="B1049" s="37"/>
    </row>
    <row r="1050" spans="2:2" ht="15.9" customHeight="1" x14ac:dyDescent="0.3">
      <c r="B1050" s="37"/>
    </row>
    <row r="1051" spans="2:2" ht="15.9" customHeight="1" x14ac:dyDescent="0.3">
      <c r="B1051" s="37"/>
    </row>
    <row r="1052" spans="2:2" ht="15.9" customHeight="1" x14ac:dyDescent="0.3">
      <c r="B1052" s="37"/>
    </row>
    <row r="1053" spans="2:2" ht="15.9" customHeight="1" x14ac:dyDescent="0.3">
      <c r="B1053" s="37"/>
    </row>
    <row r="1054" spans="2:2" ht="15.9" customHeight="1" x14ac:dyDescent="0.3">
      <c r="B1054" s="37"/>
    </row>
    <row r="1055" spans="2:2" ht="15.9" customHeight="1" x14ac:dyDescent="0.3">
      <c r="B1055" s="37"/>
    </row>
    <row r="1056" spans="2:2" ht="15.9" customHeight="1" x14ac:dyDescent="0.3">
      <c r="B1056" s="37"/>
    </row>
    <row r="1057" spans="2:2" ht="15.9" customHeight="1" x14ac:dyDescent="0.3">
      <c r="B1057" s="37"/>
    </row>
    <row r="1058" spans="2:2" ht="15.9" customHeight="1" x14ac:dyDescent="0.3">
      <c r="B1058" s="37"/>
    </row>
    <row r="1059" spans="2:2" ht="15.9" customHeight="1" x14ac:dyDescent="0.3">
      <c r="B1059" s="37"/>
    </row>
    <row r="1060" spans="2:2" ht="15.9" customHeight="1" x14ac:dyDescent="0.3">
      <c r="B1060" s="37"/>
    </row>
    <row r="1061" spans="2:2" ht="15.9" customHeight="1" x14ac:dyDescent="0.3">
      <c r="B1061" s="37"/>
    </row>
    <row r="1062" spans="2:2" ht="15.9" customHeight="1" x14ac:dyDescent="0.3">
      <c r="B1062" s="37"/>
    </row>
    <row r="1063" spans="2:2" ht="15.9" customHeight="1" x14ac:dyDescent="0.3">
      <c r="B1063" s="37"/>
    </row>
    <row r="1064" spans="2:2" ht="15.9" customHeight="1" x14ac:dyDescent="0.3">
      <c r="B1064" s="37"/>
    </row>
    <row r="1065" spans="2:2" ht="15.9" customHeight="1" x14ac:dyDescent="0.3">
      <c r="B1065" s="37"/>
    </row>
    <row r="1066" spans="2:2" ht="15.9" customHeight="1" x14ac:dyDescent="0.3">
      <c r="B1066" s="37"/>
    </row>
    <row r="1067" spans="2:2" ht="15.9" customHeight="1" x14ac:dyDescent="0.3">
      <c r="B1067" s="37"/>
    </row>
    <row r="1068" spans="2:2" ht="15.9" customHeight="1" x14ac:dyDescent="0.3">
      <c r="B1068" s="37"/>
    </row>
    <row r="1069" spans="2:2" ht="15.9" customHeight="1" x14ac:dyDescent="0.3">
      <c r="B1069" s="37"/>
    </row>
    <row r="1070" spans="2:2" ht="15.9" customHeight="1" x14ac:dyDescent="0.3">
      <c r="B1070" s="37"/>
    </row>
    <row r="1071" spans="2:2" ht="15.9" customHeight="1" x14ac:dyDescent="0.3">
      <c r="B1071" s="37"/>
    </row>
    <row r="1072" spans="2:2" ht="15.9" customHeight="1" x14ac:dyDescent="0.3">
      <c r="B1072" s="37"/>
    </row>
    <row r="1073" spans="2:2" ht="15.9" customHeight="1" x14ac:dyDescent="0.3">
      <c r="B1073" s="37"/>
    </row>
    <row r="1074" spans="2:2" ht="15.9" customHeight="1" x14ac:dyDescent="0.3">
      <c r="B1074" s="37"/>
    </row>
    <row r="1075" spans="2:2" ht="15.9" customHeight="1" x14ac:dyDescent="0.3">
      <c r="B1075" s="37"/>
    </row>
    <row r="1076" spans="2:2" ht="15.9" customHeight="1" x14ac:dyDescent="0.3">
      <c r="B1076" s="37"/>
    </row>
    <row r="1077" spans="2:2" ht="15.9" customHeight="1" x14ac:dyDescent="0.3">
      <c r="B1077" s="37"/>
    </row>
    <row r="1078" spans="2:2" ht="15.9" customHeight="1" x14ac:dyDescent="0.3">
      <c r="B1078" s="37"/>
    </row>
    <row r="1079" spans="2:2" ht="15.9" customHeight="1" x14ac:dyDescent="0.3">
      <c r="B1079" s="37"/>
    </row>
    <row r="1080" spans="2:2" ht="15.9" customHeight="1" x14ac:dyDescent="0.3">
      <c r="B1080" s="37"/>
    </row>
    <row r="1081" spans="2:2" ht="15.9" customHeight="1" x14ac:dyDescent="0.3">
      <c r="B1081" s="37"/>
    </row>
    <row r="1082" spans="2:2" ht="15.9" customHeight="1" x14ac:dyDescent="0.3">
      <c r="B1082" s="37"/>
    </row>
    <row r="1083" spans="2:2" ht="15.9" customHeight="1" x14ac:dyDescent="0.3">
      <c r="B1083" s="37"/>
    </row>
    <row r="1084" spans="2:2" ht="15.9" customHeight="1" x14ac:dyDescent="0.3">
      <c r="B1084" s="37"/>
    </row>
    <row r="1085" spans="2:2" ht="15.9" customHeight="1" x14ac:dyDescent="0.3">
      <c r="B1085" s="37"/>
    </row>
    <row r="1086" spans="2:2" ht="15.9" customHeight="1" x14ac:dyDescent="0.3">
      <c r="B1086" s="37"/>
    </row>
    <row r="1087" spans="2:2" ht="15.9" customHeight="1" x14ac:dyDescent="0.3">
      <c r="B1087" s="37"/>
    </row>
    <row r="1088" spans="2:2" ht="15.9" customHeight="1" x14ac:dyDescent="0.3">
      <c r="B1088" s="37"/>
    </row>
    <row r="1089" spans="2:2" ht="15.9" customHeight="1" x14ac:dyDescent="0.3">
      <c r="B1089" s="37"/>
    </row>
    <row r="1090" spans="2:2" ht="15.9" customHeight="1" x14ac:dyDescent="0.3">
      <c r="B1090" s="37"/>
    </row>
    <row r="1091" spans="2:2" ht="15.9" customHeight="1" x14ac:dyDescent="0.3">
      <c r="B1091" s="37"/>
    </row>
    <row r="1092" spans="2:2" ht="15.9" customHeight="1" x14ac:dyDescent="0.3">
      <c r="B1092" s="37"/>
    </row>
    <row r="1093" spans="2:2" ht="15.9" customHeight="1" x14ac:dyDescent="0.3">
      <c r="B1093" s="37"/>
    </row>
    <row r="1094" spans="2:2" ht="15.9" customHeight="1" x14ac:dyDescent="0.3">
      <c r="B1094" s="37"/>
    </row>
    <row r="1095" spans="2:2" ht="15.9" customHeight="1" x14ac:dyDescent="0.3">
      <c r="B1095" s="37"/>
    </row>
    <row r="1096" spans="2:2" ht="15.9" customHeight="1" x14ac:dyDescent="0.3">
      <c r="B1096" s="37"/>
    </row>
    <row r="1097" spans="2:2" ht="15.9" customHeight="1" x14ac:dyDescent="0.3">
      <c r="B1097" s="37"/>
    </row>
    <row r="1098" spans="2:2" ht="15.9" customHeight="1" x14ac:dyDescent="0.3">
      <c r="B1098" s="37"/>
    </row>
    <row r="1099" spans="2:2" ht="15.9" customHeight="1" x14ac:dyDescent="0.3">
      <c r="B1099" s="37"/>
    </row>
    <row r="1100" spans="2:2" ht="15.9" customHeight="1" x14ac:dyDescent="0.3">
      <c r="B1100" s="37"/>
    </row>
    <row r="1101" spans="2:2" ht="15.9" customHeight="1" x14ac:dyDescent="0.3">
      <c r="B1101" s="37"/>
    </row>
    <row r="1102" spans="2:2" ht="15.9" customHeight="1" x14ac:dyDescent="0.3">
      <c r="B1102" s="37"/>
    </row>
    <row r="1103" spans="2:2" ht="15.9" customHeight="1" x14ac:dyDescent="0.3">
      <c r="B1103" s="37"/>
    </row>
    <row r="1104" spans="2:2" ht="15.9" customHeight="1" x14ac:dyDescent="0.3">
      <c r="B1104" s="37"/>
    </row>
    <row r="1105" spans="2:2" ht="15.9" customHeight="1" x14ac:dyDescent="0.3">
      <c r="B1105" s="37"/>
    </row>
    <row r="1106" spans="2:2" ht="15.9" customHeight="1" x14ac:dyDescent="0.3">
      <c r="B1106" s="37"/>
    </row>
    <row r="1107" spans="2:2" ht="15.9" customHeight="1" x14ac:dyDescent="0.3">
      <c r="B1107" s="37"/>
    </row>
    <row r="1108" spans="2:2" ht="15.9" customHeight="1" x14ac:dyDescent="0.3">
      <c r="B1108" s="37"/>
    </row>
    <row r="1109" spans="2:2" ht="15.9" customHeight="1" x14ac:dyDescent="0.3">
      <c r="B1109" s="37"/>
    </row>
    <row r="1110" spans="2:2" ht="15.9" customHeight="1" x14ac:dyDescent="0.3">
      <c r="B1110" s="37"/>
    </row>
    <row r="1111" spans="2:2" ht="15.9" customHeight="1" x14ac:dyDescent="0.3">
      <c r="B1111" s="37"/>
    </row>
    <row r="1112" spans="2:2" ht="15.9" customHeight="1" x14ac:dyDescent="0.3">
      <c r="B1112" s="37"/>
    </row>
    <row r="1113" spans="2:2" ht="15.9" customHeight="1" x14ac:dyDescent="0.3">
      <c r="B1113" s="37"/>
    </row>
    <row r="1114" spans="2:2" ht="15.9" customHeight="1" x14ac:dyDescent="0.3">
      <c r="B1114" s="37"/>
    </row>
    <row r="1115" spans="2:2" ht="15.9" customHeight="1" x14ac:dyDescent="0.3">
      <c r="B1115" s="37"/>
    </row>
    <row r="1116" spans="2:2" ht="15.9" customHeight="1" x14ac:dyDescent="0.3">
      <c r="B1116" s="37"/>
    </row>
    <row r="1117" spans="2:2" ht="15.9" customHeight="1" x14ac:dyDescent="0.3">
      <c r="B1117" s="37"/>
    </row>
    <row r="1118" spans="2:2" ht="15.9" customHeight="1" x14ac:dyDescent="0.3">
      <c r="B1118" s="37"/>
    </row>
    <row r="1119" spans="2:2" ht="15.9" customHeight="1" x14ac:dyDescent="0.3">
      <c r="B1119" s="37"/>
    </row>
    <row r="1120" spans="2:2" ht="15.9" customHeight="1" x14ac:dyDescent="0.3">
      <c r="B1120" s="37"/>
    </row>
    <row r="1121" spans="2:2" ht="15.9" customHeight="1" x14ac:dyDescent="0.3">
      <c r="B1121" s="37"/>
    </row>
    <row r="1122" spans="2:2" ht="15.9" customHeight="1" x14ac:dyDescent="0.3">
      <c r="B1122" s="37"/>
    </row>
    <row r="1123" spans="2:2" ht="15.9" customHeight="1" x14ac:dyDescent="0.3">
      <c r="B1123" s="37"/>
    </row>
    <row r="1124" spans="2:2" ht="15.9" customHeight="1" x14ac:dyDescent="0.3">
      <c r="B1124" s="37"/>
    </row>
    <row r="1125" spans="2:2" ht="15.9" customHeight="1" x14ac:dyDescent="0.3">
      <c r="B1125" s="37"/>
    </row>
    <row r="1126" spans="2:2" ht="15.9" customHeight="1" x14ac:dyDescent="0.3">
      <c r="B1126" s="37"/>
    </row>
    <row r="1127" spans="2:2" ht="15.9" customHeight="1" x14ac:dyDescent="0.3">
      <c r="B1127" s="37"/>
    </row>
    <row r="1128" spans="2:2" ht="15.9" customHeight="1" x14ac:dyDescent="0.3">
      <c r="B1128" s="37"/>
    </row>
    <row r="1129" spans="2:2" ht="15.9" customHeight="1" x14ac:dyDescent="0.3">
      <c r="B1129" s="37"/>
    </row>
    <row r="1130" spans="2:2" ht="15.9" customHeight="1" x14ac:dyDescent="0.3">
      <c r="B1130" s="37"/>
    </row>
    <row r="1131" spans="2:2" ht="15.9" customHeight="1" x14ac:dyDescent="0.3">
      <c r="B1131" s="37"/>
    </row>
    <row r="1132" spans="2:2" ht="15.9" customHeight="1" x14ac:dyDescent="0.3">
      <c r="B1132" s="37"/>
    </row>
    <row r="1133" spans="2:2" ht="15.9" customHeight="1" x14ac:dyDescent="0.3">
      <c r="B1133" s="37"/>
    </row>
    <row r="1134" spans="2:2" ht="15.9" customHeight="1" x14ac:dyDescent="0.3">
      <c r="B1134" s="37"/>
    </row>
    <row r="1135" spans="2:2" ht="15.9" customHeight="1" x14ac:dyDescent="0.3">
      <c r="B1135" s="37"/>
    </row>
    <row r="1136" spans="2:2" ht="15.9" customHeight="1" x14ac:dyDescent="0.3">
      <c r="B1136" s="37"/>
    </row>
    <row r="1137" spans="2:2" ht="15.9" customHeight="1" x14ac:dyDescent="0.3">
      <c r="B1137" s="37"/>
    </row>
    <row r="1138" spans="2:2" ht="15.9" customHeight="1" x14ac:dyDescent="0.3">
      <c r="B1138" s="37"/>
    </row>
    <row r="1139" spans="2:2" ht="15.9" customHeight="1" x14ac:dyDescent="0.3">
      <c r="B1139" s="37"/>
    </row>
    <row r="1140" spans="2:2" ht="15.9" customHeight="1" x14ac:dyDescent="0.3">
      <c r="B1140" s="37"/>
    </row>
    <row r="1141" spans="2:2" ht="15.9" customHeight="1" x14ac:dyDescent="0.3">
      <c r="B1141" s="37"/>
    </row>
    <row r="1142" spans="2:2" ht="15.9" customHeight="1" x14ac:dyDescent="0.3">
      <c r="B1142" s="37"/>
    </row>
    <row r="1143" spans="2:2" ht="15.9" customHeight="1" x14ac:dyDescent="0.3">
      <c r="B1143" s="37"/>
    </row>
    <row r="1144" spans="2:2" ht="15.9" customHeight="1" x14ac:dyDescent="0.3">
      <c r="B1144" s="37"/>
    </row>
    <row r="1145" spans="2:2" ht="15.9" customHeight="1" x14ac:dyDescent="0.3">
      <c r="B1145" s="37"/>
    </row>
    <row r="1146" spans="2:2" ht="15.9" customHeight="1" x14ac:dyDescent="0.3">
      <c r="B1146" s="37"/>
    </row>
    <row r="1147" spans="2:2" ht="15.9" customHeight="1" x14ac:dyDescent="0.3">
      <c r="B1147" s="37"/>
    </row>
    <row r="1148" spans="2:2" ht="15.9" customHeight="1" x14ac:dyDescent="0.3">
      <c r="B1148" s="37"/>
    </row>
    <row r="1149" spans="2:2" ht="15.9" customHeight="1" x14ac:dyDescent="0.3">
      <c r="B1149" s="37"/>
    </row>
    <row r="1150" spans="2:2" ht="15.9" customHeight="1" x14ac:dyDescent="0.3">
      <c r="B1150" s="37"/>
    </row>
    <row r="1151" spans="2:2" ht="15.9" customHeight="1" x14ac:dyDescent="0.3">
      <c r="B1151" s="37"/>
    </row>
    <row r="1152" spans="2:2" ht="15.9" customHeight="1" x14ac:dyDescent="0.3">
      <c r="B1152" s="37"/>
    </row>
    <row r="1153" spans="2:2" ht="15.9" customHeight="1" x14ac:dyDescent="0.3">
      <c r="B1153" s="37"/>
    </row>
    <row r="1154" spans="2:2" ht="15.9" customHeight="1" x14ac:dyDescent="0.3">
      <c r="B1154" s="37"/>
    </row>
    <row r="1155" spans="2:2" ht="15.9" customHeight="1" x14ac:dyDescent="0.3">
      <c r="B1155" s="37"/>
    </row>
    <row r="1156" spans="2:2" ht="15.9" customHeight="1" x14ac:dyDescent="0.3">
      <c r="B1156" s="37"/>
    </row>
    <row r="1157" spans="2:2" ht="15.9" customHeight="1" x14ac:dyDescent="0.3">
      <c r="B1157" s="37"/>
    </row>
    <row r="1158" spans="2:2" ht="15.9" customHeight="1" x14ac:dyDescent="0.3">
      <c r="B1158" s="37"/>
    </row>
    <row r="1159" spans="2:2" ht="15.9" customHeight="1" x14ac:dyDescent="0.3">
      <c r="B1159" s="37"/>
    </row>
    <row r="1160" spans="2:2" ht="15.9" customHeight="1" x14ac:dyDescent="0.3">
      <c r="B1160" s="37"/>
    </row>
    <row r="1161" spans="2:2" ht="15.9" customHeight="1" x14ac:dyDescent="0.3">
      <c r="B1161" s="37"/>
    </row>
    <row r="1162" spans="2:2" ht="15.9" customHeight="1" x14ac:dyDescent="0.3">
      <c r="B1162" s="37"/>
    </row>
    <row r="1163" spans="2:2" ht="15.9" customHeight="1" x14ac:dyDescent="0.3">
      <c r="B1163" s="37"/>
    </row>
    <row r="1164" spans="2:2" ht="15.9" customHeight="1" x14ac:dyDescent="0.3">
      <c r="B1164" s="37"/>
    </row>
    <row r="1165" spans="2:2" ht="15.9" customHeight="1" x14ac:dyDescent="0.3">
      <c r="B1165" s="37"/>
    </row>
    <row r="1166" spans="2:2" ht="15.9" customHeight="1" x14ac:dyDescent="0.3">
      <c r="B1166" s="37"/>
    </row>
    <row r="1167" spans="2:2" ht="15.9" customHeight="1" x14ac:dyDescent="0.3">
      <c r="B1167" s="37"/>
    </row>
    <row r="1168" spans="2:2" ht="15.9" customHeight="1" x14ac:dyDescent="0.3">
      <c r="B1168" s="37"/>
    </row>
    <row r="1169" spans="2:2" ht="15.9" customHeight="1" x14ac:dyDescent="0.3">
      <c r="B1169" s="37"/>
    </row>
    <row r="1170" spans="2:2" ht="15.9" customHeight="1" x14ac:dyDescent="0.3">
      <c r="B1170" s="37"/>
    </row>
    <row r="1171" spans="2:2" ht="15.9" customHeight="1" x14ac:dyDescent="0.3">
      <c r="B1171" s="37"/>
    </row>
    <row r="1172" spans="2:2" ht="15.9" customHeight="1" x14ac:dyDescent="0.3">
      <c r="B1172" s="37"/>
    </row>
    <row r="1173" spans="2:2" ht="15.9" customHeight="1" x14ac:dyDescent="0.3">
      <c r="B1173" s="37"/>
    </row>
    <row r="1174" spans="2:2" ht="15.9" customHeight="1" x14ac:dyDescent="0.3">
      <c r="B1174" s="37"/>
    </row>
    <row r="1175" spans="2:2" ht="15.9" customHeight="1" x14ac:dyDescent="0.3">
      <c r="B1175" s="37"/>
    </row>
    <row r="1176" spans="2:2" ht="15.9" customHeight="1" x14ac:dyDescent="0.3">
      <c r="B1176" s="37"/>
    </row>
    <row r="1177" spans="2:2" ht="15.9" customHeight="1" x14ac:dyDescent="0.3">
      <c r="B1177" s="37"/>
    </row>
    <row r="1178" spans="2:2" ht="15.9" customHeight="1" x14ac:dyDescent="0.3">
      <c r="B1178" s="37"/>
    </row>
    <row r="1179" spans="2:2" ht="15.9" customHeight="1" x14ac:dyDescent="0.3">
      <c r="B1179" s="37"/>
    </row>
    <row r="1180" spans="2:2" ht="15.9" customHeight="1" x14ac:dyDescent="0.3">
      <c r="B1180" s="37"/>
    </row>
    <row r="1181" spans="2:2" ht="15.9" customHeight="1" x14ac:dyDescent="0.3">
      <c r="B1181" s="37"/>
    </row>
    <row r="1182" spans="2:2" ht="15.9" customHeight="1" x14ac:dyDescent="0.3">
      <c r="B1182" s="37"/>
    </row>
    <row r="1183" spans="2:2" ht="15.9" customHeight="1" x14ac:dyDescent="0.3">
      <c r="B1183" s="37"/>
    </row>
    <row r="1184" spans="2:2" ht="15.9" customHeight="1" x14ac:dyDescent="0.3">
      <c r="B1184" s="37"/>
    </row>
    <row r="1185" spans="2:2" ht="15.9" customHeight="1" x14ac:dyDescent="0.3">
      <c r="B1185" s="37"/>
    </row>
    <row r="1186" spans="2:2" ht="15.9" customHeight="1" x14ac:dyDescent="0.3">
      <c r="B1186" s="37"/>
    </row>
    <row r="1187" spans="2:2" ht="15.9" customHeight="1" x14ac:dyDescent="0.3">
      <c r="B1187" s="37"/>
    </row>
    <row r="1188" spans="2:2" ht="15.9" customHeight="1" x14ac:dyDescent="0.3">
      <c r="B1188" s="37"/>
    </row>
    <row r="1189" spans="2:2" ht="15.9" customHeight="1" x14ac:dyDescent="0.3">
      <c r="B1189" s="37"/>
    </row>
    <row r="1190" spans="2:2" ht="15.9" customHeight="1" x14ac:dyDescent="0.3">
      <c r="B1190" s="37"/>
    </row>
    <row r="1191" spans="2:2" ht="15.9" customHeight="1" x14ac:dyDescent="0.3">
      <c r="B1191" s="37"/>
    </row>
    <row r="1192" spans="2:2" ht="15.9" customHeight="1" x14ac:dyDescent="0.3">
      <c r="B1192" s="37"/>
    </row>
    <row r="1193" spans="2:2" ht="15.9" customHeight="1" x14ac:dyDescent="0.3">
      <c r="B1193" s="37"/>
    </row>
    <row r="1194" spans="2:2" ht="15.9" customHeight="1" x14ac:dyDescent="0.3">
      <c r="B1194" s="37"/>
    </row>
    <row r="1195" spans="2:2" ht="15.9" customHeight="1" x14ac:dyDescent="0.3">
      <c r="B1195" s="37"/>
    </row>
    <row r="1196" spans="2:2" ht="15.9" customHeight="1" x14ac:dyDescent="0.3">
      <c r="B1196" s="37"/>
    </row>
    <row r="1197" spans="2:2" ht="15.9" customHeight="1" x14ac:dyDescent="0.3">
      <c r="B1197" s="37"/>
    </row>
    <row r="1198" spans="2:2" ht="15.9" customHeight="1" x14ac:dyDescent="0.3">
      <c r="B1198" s="37"/>
    </row>
    <row r="1199" spans="2:2" ht="15.9" customHeight="1" x14ac:dyDescent="0.3">
      <c r="B1199" s="37"/>
    </row>
    <row r="1200" spans="2:2" ht="15.9" customHeight="1" x14ac:dyDescent="0.3">
      <c r="B1200" s="37"/>
    </row>
    <row r="1201" spans="2:2" ht="15.9" customHeight="1" x14ac:dyDescent="0.3">
      <c r="B1201" s="37"/>
    </row>
    <row r="1202" spans="2:2" ht="15.9" customHeight="1" x14ac:dyDescent="0.3">
      <c r="B1202" s="37"/>
    </row>
    <row r="1203" spans="2:2" ht="15.9" customHeight="1" x14ac:dyDescent="0.3">
      <c r="B1203" s="37"/>
    </row>
    <row r="1204" spans="2:2" ht="15.9" customHeight="1" x14ac:dyDescent="0.3">
      <c r="B1204" s="37"/>
    </row>
    <row r="1205" spans="2:2" ht="15.9" customHeight="1" x14ac:dyDescent="0.3">
      <c r="B1205" s="37"/>
    </row>
    <row r="1206" spans="2:2" ht="15.9" customHeight="1" x14ac:dyDescent="0.3">
      <c r="B1206" s="37"/>
    </row>
    <row r="1207" spans="2:2" ht="15.9" customHeight="1" x14ac:dyDescent="0.3">
      <c r="B1207" s="37"/>
    </row>
    <row r="1208" spans="2:2" ht="15.9" customHeight="1" x14ac:dyDescent="0.3">
      <c r="B1208" s="37"/>
    </row>
    <row r="1209" spans="2:2" ht="15.9" customHeight="1" x14ac:dyDescent="0.3">
      <c r="B1209" s="37"/>
    </row>
    <row r="1210" spans="2:2" ht="15.9" customHeight="1" x14ac:dyDescent="0.3">
      <c r="B1210" s="37"/>
    </row>
    <row r="1211" spans="2:2" ht="15.9" customHeight="1" x14ac:dyDescent="0.3">
      <c r="B1211" s="37"/>
    </row>
    <row r="1212" spans="2:2" ht="15.9" customHeight="1" x14ac:dyDescent="0.3">
      <c r="B1212" s="37"/>
    </row>
    <row r="1213" spans="2:2" ht="15.9" customHeight="1" x14ac:dyDescent="0.3">
      <c r="B1213" s="37"/>
    </row>
    <row r="1214" spans="2:2" ht="15.9" customHeight="1" x14ac:dyDescent="0.3">
      <c r="B1214" s="37"/>
    </row>
    <row r="1215" spans="2:2" ht="15.9" customHeight="1" x14ac:dyDescent="0.3">
      <c r="B1215" s="37"/>
    </row>
    <row r="1216" spans="2:2" ht="15.9" customHeight="1" x14ac:dyDescent="0.3">
      <c r="B1216" s="37"/>
    </row>
    <row r="1217" spans="2:2" ht="15.9" customHeight="1" x14ac:dyDescent="0.3">
      <c r="B1217" s="37"/>
    </row>
    <row r="1218" spans="2:2" ht="15.9" customHeight="1" x14ac:dyDescent="0.3">
      <c r="B1218" s="37"/>
    </row>
    <row r="1219" spans="2:2" ht="15.9" customHeight="1" x14ac:dyDescent="0.3">
      <c r="B1219" s="37"/>
    </row>
    <row r="1220" spans="2:2" ht="15.9" customHeight="1" x14ac:dyDescent="0.3">
      <c r="B1220" s="37"/>
    </row>
    <row r="1221" spans="2:2" ht="15.9" customHeight="1" x14ac:dyDescent="0.3">
      <c r="B1221" s="37"/>
    </row>
    <row r="1222" spans="2:2" ht="15.9" customHeight="1" x14ac:dyDescent="0.3">
      <c r="B1222" s="37"/>
    </row>
    <row r="1223" spans="2:2" ht="15.9" customHeight="1" x14ac:dyDescent="0.3">
      <c r="B1223" s="37"/>
    </row>
    <row r="1224" spans="2:2" ht="15.9" customHeight="1" x14ac:dyDescent="0.3">
      <c r="B1224" s="37"/>
    </row>
    <row r="1225" spans="2:2" ht="15.9" customHeight="1" x14ac:dyDescent="0.3">
      <c r="B1225" s="37"/>
    </row>
    <row r="1226" spans="2:2" ht="15.9" customHeight="1" x14ac:dyDescent="0.3">
      <c r="B1226" s="37"/>
    </row>
    <row r="1227" spans="2:2" ht="15.9" customHeight="1" x14ac:dyDescent="0.3">
      <c r="B1227" s="37"/>
    </row>
    <row r="1228" spans="2:2" ht="15.9" customHeight="1" x14ac:dyDescent="0.3">
      <c r="B1228" s="37"/>
    </row>
    <row r="1229" spans="2:2" ht="15.9" customHeight="1" x14ac:dyDescent="0.3">
      <c r="B1229" s="37"/>
    </row>
    <row r="1230" spans="2:2" ht="15.9" customHeight="1" x14ac:dyDescent="0.3">
      <c r="B1230" s="37"/>
    </row>
    <row r="1231" spans="2:2" ht="15.9" customHeight="1" x14ac:dyDescent="0.3">
      <c r="B1231" s="37"/>
    </row>
    <row r="1232" spans="2:2" ht="15.9" customHeight="1" x14ac:dyDescent="0.3">
      <c r="B1232" s="37"/>
    </row>
    <row r="1233" spans="2:2" ht="15.9" customHeight="1" x14ac:dyDescent="0.3">
      <c r="B1233" s="37"/>
    </row>
    <row r="1234" spans="2:2" ht="15.9" customHeight="1" x14ac:dyDescent="0.3">
      <c r="B1234" s="37"/>
    </row>
    <row r="1235" spans="2:2" ht="15.9" customHeight="1" x14ac:dyDescent="0.3">
      <c r="B1235" s="37"/>
    </row>
    <row r="1236" spans="2:2" ht="15.9" customHeight="1" x14ac:dyDescent="0.3">
      <c r="B1236" s="37"/>
    </row>
    <row r="1237" spans="2:2" ht="15.9" customHeight="1" x14ac:dyDescent="0.3">
      <c r="B1237" s="37"/>
    </row>
    <row r="1238" spans="2:2" ht="15.9" customHeight="1" x14ac:dyDescent="0.3">
      <c r="B1238" s="37"/>
    </row>
    <row r="1239" spans="2:2" ht="15.9" customHeight="1" x14ac:dyDescent="0.3">
      <c r="B1239" s="37"/>
    </row>
    <row r="1240" spans="2:2" ht="15.9" customHeight="1" x14ac:dyDescent="0.3">
      <c r="B1240" s="37"/>
    </row>
    <row r="1241" spans="2:2" ht="15.9" customHeight="1" x14ac:dyDescent="0.3">
      <c r="B1241" s="37"/>
    </row>
    <row r="1242" spans="2:2" ht="15.9" customHeight="1" x14ac:dyDescent="0.3">
      <c r="B1242" s="37"/>
    </row>
    <row r="1243" spans="2:2" ht="15.9" customHeight="1" x14ac:dyDescent="0.3">
      <c r="B1243" s="37"/>
    </row>
    <row r="1244" spans="2:2" ht="15.9" customHeight="1" x14ac:dyDescent="0.3">
      <c r="B1244" s="37"/>
    </row>
    <row r="1245" spans="2:2" ht="15.9" customHeight="1" x14ac:dyDescent="0.3">
      <c r="B1245" s="37"/>
    </row>
    <row r="1246" spans="2:2" ht="15.9" customHeight="1" x14ac:dyDescent="0.3">
      <c r="B1246" s="37"/>
    </row>
    <row r="1247" spans="2:2" ht="15.9" customHeight="1" x14ac:dyDescent="0.3">
      <c r="B1247" s="37"/>
    </row>
    <row r="1248" spans="2:2" ht="15.9" customHeight="1" x14ac:dyDescent="0.3">
      <c r="B1248" s="37"/>
    </row>
    <row r="1249" spans="2:2" ht="15.9" customHeight="1" x14ac:dyDescent="0.3">
      <c r="B1249" s="37"/>
    </row>
    <row r="1250" spans="2:2" ht="15.9" customHeight="1" x14ac:dyDescent="0.3">
      <c r="B1250" s="37"/>
    </row>
    <row r="1251" spans="2:2" ht="15.9" customHeight="1" x14ac:dyDescent="0.3">
      <c r="B1251" s="37"/>
    </row>
    <row r="1252" spans="2:2" ht="15.9" customHeight="1" x14ac:dyDescent="0.3">
      <c r="B1252" s="37"/>
    </row>
    <row r="1253" spans="2:2" ht="15.9" customHeight="1" x14ac:dyDescent="0.3">
      <c r="B1253" s="37"/>
    </row>
    <row r="1254" spans="2:2" ht="15.9" customHeight="1" x14ac:dyDescent="0.3">
      <c r="B1254" s="37"/>
    </row>
    <row r="1255" spans="2:2" ht="15.9" customHeight="1" x14ac:dyDescent="0.3">
      <c r="B1255" s="37"/>
    </row>
    <row r="1256" spans="2:2" ht="15.9" customHeight="1" x14ac:dyDescent="0.3">
      <c r="B1256" s="37"/>
    </row>
    <row r="1257" spans="2:2" ht="15.9" customHeight="1" x14ac:dyDescent="0.3">
      <c r="B1257" s="37"/>
    </row>
    <row r="1258" spans="2:2" ht="15.9" customHeight="1" x14ac:dyDescent="0.3">
      <c r="B1258" s="37"/>
    </row>
    <row r="1259" spans="2:2" ht="15.9" customHeight="1" x14ac:dyDescent="0.3">
      <c r="B1259" s="37"/>
    </row>
    <row r="1260" spans="2:2" ht="15.9" customHeight="1" x14ac:dyDescent="0.3">
      <c r="B1260" s="37"/>
    </row>
    <row r="1261" spans="2:2" ht="15.9" customHeight="1" x14ac:dyDescent="0.3">
      <c r="B1261" s="37"/>
    </row>
    <row r="1262" spans="2:2" ht="15.9" customHeight="1" x14ac:dyDescent="0.3">
      <c r="B1262" s="37"/>
    </row>
    <row r="1263" spans="2:2" ht="15.9" customHeight="1" x14ac:dyDescent="0.3">
      <c r="B1263" s="37"/>
    </row>
    <row r="1264" spans="2:2" ht="15.9" customHeight="1" x14ac:dyDescent="0.3">
      <c r="B1264" s="37"/>
    </row>
    <row r="1265" spans="2:2" ht="15.9" customHeight="1" x14ac:dyDescent="0.3">
      <c r="B1265" s="37"/>
    </row>
    <row r="1266" spans="2:2" ht="15.9" customHeight="1" x14ac:dyDescent="0.3">
      <c r="B1266" s="37"/>
    </row>
    <row r="1267" spans="2:2" ht="15.9" customHeight="1" x14ac:dyDescent="0.3">
      <c r="B1267" s="37"/>
    </row>
    <row r="1268" spans="2:2" ht="15.9" customHeight="1" x14ac:dyDescent="0.3">
      <c r="B1268" s="37"/>
    </row>
    <row r="1269" spans="2:2" ht="15.9" customHeight="1" x14ac:dyDescent="0.3">
      <c r="B1269" s="37"/>
    </row>
    <row r="1270" spans="2:2" ht="15.9" customHeight="1" x14ac:dyDescent="0.3">
      <c r="B1270" s="37"/>
    </row>
    <row r="1271" spans="2:2" ht="15.9" customHeight="1" x14ac:dyDescent="0.3">
      <c r="B1271" s="37"/>
    </row>
    <row r="1272" spans="2:2" ht="15.9" customHeight="1" x14ac:dyDescent="0.3">
      <c r="B1272" s="37"/>
    </row>
    <row r="1273" spans="2:2" ht="15.9" customHeight="1" x14ac:dyDescent="0.3">
      <c r="B1273" s="37"/>
    </row>
    <row r="1274" spans="2:2" ht="15.9" customHeight="1" x14ac:dyDescent="0.3">
      <c r="B1274" s="37"/>
    </row>
    <row r="1275" spans="2:2" ht="15.9" customHeight="1" x14ac:dyDescent="0.3">
      <c r="B1275" s="37"/>
    </row>
    <row r="1276" spans="2:2" ht="15.9" customHeight="1" x14ac:dyDescent="0.3">
      <c r="B1276" s="37"/>
    </row>
    <row r="1277" spans="2:2" ht="15.9" customHeight="1" x14ac:dyDescent="0.3">
      <c r="B1277" s="37"/>
    </row>
    <row r="1278" spans="2:2" ht="15.9" customHeight="1" x14ac:dyDescent="0.3">
      <c r="B1278" s="37"/>
    </row>
    <row r="1279" spans="2:2" ht="15.9" customHeight="1" x14ac:dyDescent="0.3">
      <c r="B1279" s="37"/>
    </row>
    <row r="1280" spans="2:2" ht="15.9" customHeight="1" x14ac:dyDescent="0.3">
      <c r="B1280" s="37"/>
    </row>
    <row r="1281" spans="2:2" ht="15.9" customHeight="1" x14ac:dyDescent="0.3">
      <c r="B1281" s="37"/>
    </row>
    <row r="1282" spans="2:2" ht="15.9" customHeight="1" x14ac:dyDescent="0.3">
      <c r="B1282" s="37"/>
    </row>
    <row r="1283" spans="2:2" ht="15.9" customHeight="1" x14ac:dyDescent="0.3">
      <c r="B1283" s="37"/>
    </row>
    <row r="1284" spans="2:2" ht="15.9" customHeight="1" x14ac:dyDescent="0.3">
      <c r="B1284" s="37"/>
    </row>
    <row r="1285" spans="2:2" ht="15.9" customHeight="1" x14ac:dyDescent="0.3">
      <c r="B1285" s="37"/>
    </row>
    <row r="1286" spans="2:2" ht="15.9" customHeight="1" x14ac:dyDescent="0.3">
      <c r="B1286" s="37"/>
    </row>
    <row r="1287" spans="2:2" ht="15.9" customHeight="1" x14ac:dyDescent="0.3">
      <c r="B1287" s="37"/>
    </row>
    <row r="1288" spans="2:2" ht="15.9" customHeight="1" x14ac:dyDescent="0.3">
      <c r="B1288" s="37"/>
    </row>
    <row r="1289" spans="2:2" ht="15.9" customHeight="1" x14ac:dyDescent="0.3">
      <c r="B1289" s="37"/>
    </row>
    <row r="1290" spans="2:2" ht="15.9" customHeight="1" x14ac:dyDescent="0.3">
      <c r="B1290" s="37"/>
    </row>
    <row r="1291" spans="2:2" ht="15.9" customHeight="1" x14ac:dyDescent="0.3">
      <c r="B1291" s="37"/>
    </row>
    <row r="1292" spans="2:2" ht="15.9" customHeight="1" x14ac:dyDescent="0.3">
      <c r="B1292" s="37"/>
    </row>
    <row r="1293" spans="2:2" ht="15.9" customHeight="1" x14ac:dyDescent="0.3">
      <c r="B1293" s="37"/>
    </row>
    <row r="1294" spans="2:2" ht="15.9" customHeight="1" x14ac:dyDescent="0.3">
      <c r="B1294" s="37"/>
    </row>
    <row r="1295" spans="2:2" ht="15.9" customHeight="1" x14ac:dyDescent="0.3">
      <c r="B1295" s="37"/>
    </row>
    <row r="1296" spans="2:2" ht="15.9" customHeight="1" x14ac:dyDescent="0.3">
      <c r="B1296" s="37"/>
    </row>
    <row r="1297" spans="2:2" ht="15.9" customHeight="1" x14ac:dyDescent="0.3">
      <c r="B1297" s="37"/>
    </row>
    <row r="1298" spans="2:2" ht="15.9" customHeight="1" x14ac:dyDescent="0.3">
      <c r="B1298" s="37"/>
    </row>
    <row r="1299" spans="2:2" ht="15.9" customHeight="1" x14ac:dyDescent="0.3">
      <c r="B1299" s="37"/>
    </row>
    <row r="1300" spans="2:2" ht="15.9" customHeight="1" x14ac:dyDescent="0.3">
      <c r="B1300" s="37"/>
    </row>
    <row r="1301" spans="2:2" ht="15.9" customHeight="1" x14ac:dyDescent="0.3">
      <c r="B1301" s="37"/>
    </row>
    <row r="1302" spans="2:2" ht="15.9" customHeight="1" x14ac:dyDescent="0.3">
      <c r="B1302" s="37"/>
    </row>
    <row r="1303" spans="2:2" ht="15.9" customHeight="1" x14ac:dyDescent="0.3">
      <c r="B1303" s="37"/>
    </row>
    <row r="1304" spans="2:2" ht="15.9" customHeight="1" x14ac:dyDescent="0.3">
      <c r="B1304" s="37"/>
    </row>
    <row r="1305" spans="2:2" ht="15.9" customHeight="1" x14ac:dyDescent="0.3">
      <c r="B1305" s="37"/>
    </row>
    <row r="1306" spans="2:2" ht="15.9" customHeight="1" x14ac:dyDescent="0.3">
      <c r="B1306" s="37"/>
    </row>
    <row r="1307" spans="2:2" ht="15.9" customHeight="1" x14ac:dyDescent="0.3">
      <c r="B1307" s="37"/>
    </row>
    <row r="1308" spans="2:2" ht="15.9" customHeight="1" x14ac:dyDescent="0.3">
      <c r="B1308" s="37"/>
    </row>
    <row r="1309" spans="2:2" ht="15.9" customHeight="1" x14ac:dyDescent="0.3">
      <c r="B1309" s="37"/>
    </row>
    <row r="1310" spans="2:2" ht="15.9" customHeight="1" x14ac:dyDescent="0.3">
      <c r="B1310" s="37"/>
    </row>
    <row r="1311" spans="2:2" ht="15.9" customHeight="1" x14ac:dyDescent="0.3">
      <c r="B1311" s="37"/>
    </row>
    <row r="1312" spans="2:2" ht="15.9" customHeight="1" x14ac:dyDescent="0.3">
      <c r="B1312" s="37"/>
    </row>
    <row r="1313" spans="2:2" ht="15.9" customHeight="1" x14ac:dyDescent="0.3">
      <c r="B1313" s="37"/>
    </row>
    <row r="1314" spans="2:2" ht="15.9" customHeight="1" x14ac:dyDescent="0.3">
      <c r="B1314" s="37"/>
    </row>
    <row r="1315" spans="2:2" ht="15.9" customHeight="1" x14ac:dyDescent="0.3">
      <c r="B1315" s="37"/>
    </row>
    <row r="1316" spans="2:2" ht="15.9" customHeight="1" x14ac:dyDescent="0.3">
      <c r="B1316" s="37"/>
    </row>
    <row r="1317" spans="2:2" ht="15.9" customHeight="1" x14ac:dyDescent="0.3">
      <c r="B1317" s="37"/>
    </row>
    <row r="1318" spans="2:2" ht="15.9" customHeight="1" x14ac:dyDescent="0.3">
      <c r="B1318" s="37"/>
    </row>
    <row r="1319" spans="2:2" ht="15.9" customHeight="1" x14ac:dyDescent="0.3">
      <c r="B1319" s="37"/>
    </row>
    <row r="1320" spans="2:2" ht="15.9" customHeight="1" x14ac:dyDescent="0.3">
      <c r="B1320" s="37"/>
    </row>
    <row r="1321" spans="2:2" ht="15.9" customHeight="1" x14ac:dyDescent="0.3">
      <c r="B1321" s="37"/>
    </row>
    <row r="1322" spans="2:2" ht="15.9" customHeight="1" x14ac:dyDescent="0.3">
      <c r="B1322" s="37"/>
    </row>
    <row r="1323" spans="2:2" ht="15.9" customHeight="1" x14ac:dyDescent="0.3">
      <c r="B1323" s="37"/>
    </row>
    <row r="1324" spans="2:2" ht="15.9" customHeight="1" x14ac:dyDescent="0.3">
      <c r="B1324" s="37"/>
    </row>
    <row r="1325" spans="2:2" ht="15.9" customHeight="1" x14ac:dyDescent="0.3">
      <c r="B1325" s="37"/>
    </row>
    <row r="1326" spans="2:2" ht="15.9" customHeight="1" x14ac:dyDescent="0.3">
      <c r="B1326" s="37"/>
    </row>
    <row r="1327" spans="2:2" ht="15.9" customHeight="1" x14ac:dyDescent="0.3">
      <c r="B1327" s="37"/>
    </row>
    <row r="1328" spans="2:2" ht="15.9" customHeight="1" x14ac:dyDescent="0.3">
      <c r="B1328" s="37"/>
    </row>
    <row r="1329" spans="2:2" ht="15.9" customHeight="1" x14ac:dyDescent="0.3">
      <c r="B1329" s="37"/>
    </row>
    <row r="1330" spans="2:2" ht="15.9" customHeight="1" x14ac:dyDescent="0.3">
      <c r="B1330" s="37"/>
    </row>
    <row r="1331" spans="2:2" ht="15.9" customHeight="1" x14ac:dyDescent="0.3">
      <c r="B1331" s="37"/>
    </row>
    <row r="1332" spans="2:2" ht="15.9" customHeight="1" x14ac:dyDescent="0.3">
      <c r="B1332" s="37"/>
    </row>
    <row r="1333" spans="2:2" ht="15.9" customHeight="1" x14ac:dyDescent="0.3">
      <c r="B1333" s="37"/>
    </row>
    <row r="1334" spans="2:2" ht="15.9" customHeight="1" x14ac:dyDescent="0.3">
      <c r="B1334" s="37"/>
    </row>
    <row r="1335" spans="2:2" ht="15.9" customHeight="1" x14ac:dyDescent="0.3">
      <c r="B1335" s="37"/>
    </row>
    <row r="1336" spans="2:2" ht="15.9" customHeight="1" x14ac:dyDescent="0.3">
      <c r="B1336" s="37"/>
    </row>
    <row r="1337" spans="2:2" ht="15.9" customHeight="1" x14ac:dyDescent="0.3">
      <c r="B1337" s="37"/>
    </row>
    <row r="1338" spans="2:2" ht="15.9" customHeight="1" x14ac:dyDescent="0.3">
      <c r="B1338" s="37"/>
    </row>
    <row r="1339" spans="2:2" ht="15.9" customHeight="1" x14ac:dyDescent="0.3">
      <c r="B1339" s="37"/>
    </row>
    <row r="1340" spans="2:2" ht="15.9" customHeight="1" x14ac:dyDescent="0.3">
      <c r="B1340" s="37"/>
    </row>
    <row r="1341" spans="2:2" ht="15.9" customHeight="1" x14ac:dyDescent="0.3">
      <c r="B1341" s="37"/>
    </row>
    <row r="1342" spans="2:2" ht="15.9" customHeight="1" x14ac:dyDescent="0.3">
      <c r="B1342" s="37"/>
    </row>
    <row r="1343" spans="2:2" ht="15.9" customHeight="1" x14ac:dyDescent="0.3">
      <c r="B1343" s="37"/>
    </row>
    <row r="1344" spans="2:2" ht="15.9" customHeight="1" x14ac:dyDescent="0.3">
      <c r="B1344" s="37"/>
    </row>
    <row r="1345" spans="2:2" ht="15.9" customHeight="1" x14ac:dyDescent="0.3">
      <c r="B1345" s="37"/>
    </row>
    <row r="1346" spans="2:2" ht="15.9" customHeight="1" x14ac:dyDescent="0.3">
      <c r="B1346" s="37"/>
    </row>
    <row r="1347" spans="2:2" ht="15.9" customHeight="1" x14ac:dyDescent="0.3">
      <c r="B1347" s="37"/>
    </row>
    <row r="1348" spans="2:2" ht="15.9" customHeight="1" x14ac:dyDescent="0.3">
      <c r="B1348" s="37"/>
    </row>
    <row r="1349" spans="2:2" ht="15.9" customHeight="1" x14ac:dyDescent="0.3">
      <c r="B1349" s="37"/>
    </row>
    <row r="1350" spans="2:2" ht="15.9" customHeight="1" x14ac:dyDescent="0.3">
      <c r="B1350" s="37"/>
    </row>
    <row r="1351" spans="2:2" ht="15.9" customHeight="1" x14ac:dyDescent="0.3">
      <c r="B1351" s="37"/>
    </row>
    <row r="1352" spans="2:2" ht="15.9" customHeight="1" x14ac:dyDescent="0.3">
      <c r="B1352" s="37"/>
    </row>
    <row r="1353" spans="2:2" ht="15.9" customHeight="1" x14ac:dyDescent="0.3">
      <c r="B1353" s="37"/>
    </row>
    <row r="1354" spans="2:2" ht="15.9" customHeight="1" x14ac:dyDescent="0.3">
      <c r="B1354" s="37"/>
    </row>
    <row r="1355" spans="2:2" ht="15.9" customHeight="1" x14ac:dyDescent="0.3">
      <c r="B1355" s="37"/>
    </row>
    <row r="1356" spans="2:2" ht="15.9" customHeight="1" x14ac:dyDescent="0.3">
      <c r="B1356" s="37"/>
    </row>
    <row r="1357" spans="2:2" ht="15.9" customHeight="1" x14ac:dyDescent="0.3">
      <c r="B1357" s="37"/>
    </row>
    <row r="1358" spans="2:2" ht="15.9" customHeight="1" x14ac:dyDescent="0.3">
      <c r="B1358" s="37"/>
    </row>
    <row r="1359" spans="2:2" ht="15.9" customHeight="1" x14ac:dyDescent="0.3">
      <c r="B1359" s="37"/>
    </row>
    <row r="1360" spans="2:2" ht="15.9" customHeight="1" x14ac:dyDescent="0.3">
      <c r="B1360" s="37"/>
    </row>
    <row r="1361" spans="2:2" ht="15.9" customHeight="1" x14ac:dyDescent="0.3">
      <c r="B1361" s="37"/>
    </row>
    <row r="1362" spans="2:2" ht="15.9" customHeight="1" x14ac:dyDescent="0.3">
      <c r="B1362" s="37"/>
    </row>
    <row r="1363" spans="2:2" ht="15.9" customHeight="1" x14ac:dyDescent="0.3">
      <c r="B1363" s="37"/>
    </row>
    <row r="1364" spans="2:2" ht="15.9" customHeight="1" x14ac:dyDescent="0.3">
      <c r="B1364" s="37"/>
    </row>
    <row r="1365" spans="2:2" ht="15.9" customHeight="1" x14ac:dyDescent="0.3">
      <c r="B1365" s="37"/>
    </row>
    <row r="1366" spans="2:2" ht="15.9" customHeight="1" x14ac:dyDescent="0.3">
      <c r="B1366" s="37"/>
    </row>
    <row r="1367" spans="2:2" ht="15.9" customHeight="1" x14ac:dyDescent="0.3">
      <c r="B1367" s="37"/>
    </row>
    <row r="1368" spans="2:2" ht="15.9" customHeight="1" x14ac:dyDescent="0.3">
      <c r="B1368" s="37"/>
    </row>
    <row r="1369" spans="2:2" ht="15.9" customHeight="1" x14ac:dyDescent="0.3">
      <c r="B1369" s="37"/>
    </row>
    <row r="1370" spans="2:2" ht="15.9" customHeight="1" x14ac:dyDescent="0.3">
      <c r="B1370" s="37"/>
    </row>
    <row r="1371" spans="2:2" ht="15.9" customHeight="1" x14ac:dyDescent="0.3">
      <c r="B1371" s="37"/>
    </row>
    <row r="1372" spans="2:2" ht="15.9" customHeight="1" x14ac:dyDescent="0.3">
      <c r="B1372" s="37"/>
    </row>
    <row r="1373" spans="2:2" ht="15.9" customHeight="1" x14ac:dyDescent="0.3">
      <c r="B1373" s="37"/>
    </row>
    <row r="1374" spans="2:2" ht="15.9" customHeight="1" x14ac:dyDescent="0.3">
      <c r="B1374" s="37"/>
    </row>
    <row r="1375" spans="2:2" ht="15.9" customHeight="1" x14ac:dyDescent="0.3">
      <c r="B1375" s="37"/>
    </row>
    <row r="1376" spans="2:2" ht="15.9" customHeight="1" x14ac:dyDescent="0.3">
      <c r="B1376" s="37"/>
    </row>
    <row r="1377" spans="2:2" ht="15.9" customHeight="1" x14ac:dyDescent="0.3">
      <c r="B1377" s="37"/>
    </row>
    <row r="1378" spans="2:2" ht="15.9" customHeight="1" x14ac:dyDescent="0.3">
      <c r="B1378" s="37"/>
    </row>
    <row r="1379" spans="2:2" ht="15.9" customHeight="1" x14ac:dyDescent="0.3">
      <c r="B1379" s="37"/>
    </row>
    <row r="1380" spans="2:2" ht="15.9" customHeight="1" x14ac:dyDescent="0.3">
      <c r="B1380" s="37"/>
    </row>
    <row r="1381" spans="2:2" ht="15.9" customHeight="1" x14ac:dyDescent="0.3">
      <c r="B1381" s="37"/>
    </row>
    <row r="1382" spans="2:2" ht="15.9" customHeight="1" x14ac:dyDescent="0.3">
      <c r="B1382" s="37"/>
    </row>
    <row r="1383" spans="2:2" ht="15.9" customHeight="1" x14ac:dyDescent="0.3">
      <c r="B1383" s="37"/>
    </row>
    <row r="1384" spans="2:2" ht="15.9" customHeight="1" x14ac:dyDescent="0.3">
      <c r="B1384" s="37"/>
    </row>
    <row r="1385" spans="2:2" ht="15.9" customHeight="1" x14ac:dyDescent="0.3">
      <c r="B1385" s="37"/>
    </row>
    <row r="1386" spans="2:2" ht="15.9" customHeight="1" x14ac:dyDescent="0.3">
      <c r="B1386" s="37"/>
    </row>
    <row r="1387" spans="2:2" ht="15.9" customHeight="1" x14ac:dyDescent="0.3">
      <c r="B1387" s="37"/>
    </row>
    <row r="1388" spans="2:2" ht="15.9" customHeight="1" x14ac:dyDescent="0.3">
      <c r="B1388" s="37"/>
    </row>
    <row r="1389" spans="2:2" ht="15.9" customHeight="1" x14ac:dyDescent="0.3">
      <c r="B1389" s="37"/>
    </row>
    <row r="1390" spans="2:2" ht="15.9" customHeight="1" x14ac:dyDescent="0.3">
      <c r="B1390" s="37"/>
    </row>
    <row r="1391" spans="2:2" ht="15.9" customHeight="1" x14ac:dyDescent="0.3">
      <c r="B1391" s="37"/>
    </row>
    <row r="1392" spans="2:2" ht="15.9" customHeight="1" x14ac:dyDescent="0.3">
      <c r="B1392" s="37"/>
    </row>
    <row r="1393" spans="2:2" ht="15.9" customHeight="1" x14ac:dyDescent="0.3">
      <c r="B1393" s="37"/>
    </row>
    <row r="1394" spans="2:2" ht="15.9" customHeight="1" x14ac:dyDescent="0.3">
      <c r="B1394" s="37"/>
    </row>
    <row r="1395" spans="2:2" ht="15.9" customHeight="1" x14ac:dyDescent="0.3">
      <c r="B1395" s="37"/>
    </row>
    <row r="1396" spans="2:2" ht="15.9" customHeight="1" x14ac:dyDescent="0.3">
      <c r="B1396" s="37"/>
    </row>
    <row r="1397" spans="2:2" ht="15.9" customHeight="1" x14ac:dyDescent="0.3">
      <c r="B1397" s="37"/>
    </row>
    <row r="1398" spans="2:2" ht="15.9" customHeight="1" x14ac:dyDescent="0.3">
      <c r="B1398" s="37"/>
    </row>
    <row r="1399" spans="2:2" ht="15.9" customHeight="1" x14ac:dyDescent="0.3">
      <c r="B1399" s="37"/>
    </row>
    <row r="1400" spans="2:2" ht="15.9" customHeight="1" x14ac:dyDescent="0.3">
      <c r="B1400" s="37"/>
    </row>
    <row r="1401" spans="2:2" ht="15.9" customHeight="1" x14ac:dyDescent="0.3">
      <c r="B1401" s="37"/>
    </row>
    <row r="1402" spans="2:2" ht="15.9" customHeight="1" x14ac:dyDescent="0.3">
      <c r="B1402" s="37"/>
    </row>
    <row r="1403" spans="2:2" ht="15.9" customHeight="1" x14ac:dyDescent="0.3">
      <c r="B1403" s="37"/>
    </row>
    <row r="1404" spans="2:2" ht="15.9" customHeight="1" x14ac:dyDescent="0.3">
      <c r="B1404" s="37"/>
    </row>
    <row r="1405" spans="2:2" ht="15.9" customHeight="1" x14ac:dyDescent="0.3">
      <c r="B1405" s="37"/>
    </row>
    <row r="1406" spans="2:2" ht="15.9" customHeight="1" x14ac:dyDescent="0.3">
      <c r="B1406" s="37"/>
    </row>
    <row r="1407" spans="2:2" ht="15.9" customHeight="1" x14ac:dyDescent="0.3">
      <c r="B1407" s="37"/>
    </row>
    <row r="1408" spans="2:2" ht="15.9" customHeight="1" x14ac:dyDescent="0.3">
      <c r="B1408" s="37"/>
    </row>
    <row r="1409" spans="2:2" ht="15.9" customHeight="1" x14ac:dyDescent="0.3">
      <c r="B1409" s="37"/>
    </row>
    <row r="1410" spans="2:2" ht="15.9" customHeight="1" x14ac:dyDescent="0.3">
      <c r="B1410" s="37"/>
    </row>
    <row r="1411" spans="2:2" ht="15.9" customHeight="1" x14ac:dyDescent="0.3">
      <c r="B1411" s="37"/>
    </row>
    <row r="1412" spans="2:2" ht="15.9" customHeight="1" x14ac:dyDescent="0.3">
      <c r="B1412" s="37"/>
    </row>
    <row r="1413" spans="2:2" ht="15.9" customHeight="1" x14ac:dyDescent="0.3">
      <c r="B1413" s="37"/>
    </row>
    <row r="1414" spans="2:2" ht="15.9" customHeight="1" x14ac:dyDescent="0.3">
      <c r="B1414" s="37"/>
    </row>
    <row r="1415" spans="2:2" ht="15.9" customHeight="1" x14ac:dyDescent="0.3">
      <c r="B1415" s="37"/>
    </row>
    <row r="1416" spans="2:2" ht="15.9" customHeight="1" x14ac:dyDescent="0.3">
      <c r="B1416" s="37"/>
    </row>
    <row r="1417" spans="2:2" ht="15.9" customHeight="1" x14ac:dyDescent="0.3">
      <c r="B1417" s="37"/>
    </row>
    <row r="1418" spans="2:2" ht="15.9" customHeight="1" x14ac:dyDescent="0.3">
      <c r="B1418" s="37"/>
    </row>
    <row r="1419" spans="2:2" ht="15.9" customHeight="1" x14ac:dyDescent="0.3">
      <c r="B1419" s="37"/>
    </row>
    <row r="1420" spans="2:2" ht="15.9" customHeight="1" x14ac:dyDescent="0.3">
      <c r="B1420" s="37"/>
    </row>
    <row r="1421" spans="2:2" ht="15.9" customHeight="1" x14ac:dyDescent="0.3">
      <c r="B1421" s="37"/>
    </row>
    <row r="1422" spans="2:2" ht="15.9" customHeight="1" x14ac:dyDescent="0.3">
      <c r="B1422" s="37"/>
    </row>
    <row r="1423" spans="2:2" ht="15.9" customHeight="1" x14ac:dyDescent="0.3">
      <c r="B1423" s="37"/>
    </row>
    <row r="1424" spans="2:2" ht="15.9" customHeight="1" x14ac:dyDescent="0.3">
      <c r="B1424" s="37"/>
    </row>
    <row r="1425" spans="2:2" ht="15.9" customHeight="1" x14ac:dyDescent="0.3">
      <c r="B1425" s="37"/>
    </row>
    <row r="1426" spans="2:2" ht="15.9" customHeight="1" x14ac:dyDescent="0.3">
      <c r="B1426" s="37"/>
    </row>
    <row r="1427" spans="2:2" ht="15.9" customHeight="1" x14ac:dyDescent="0.3">
      <c r="B1427" s="37"/>
    </row>
    <row r="1428" spans="2:2" ht="15.9" customHeight="1" x14ac:dyDescent="0.3">
      <c r="B1428" s="37"/>
    </row>
    <row r="1429" spans="2:2" ht="15.9" customHeight="1" x14ac:dyDescent="0.3">
      <c r="B1429" s="37"/>
    </row>
    <row r="1430" spans="2:2" ht="15.9" customHeight="1" x14ac:dyDescent="0.3">
      <c r="B1430" s="37"/>
    </row>
    <row r="1431" spans="2:2" ht="15.9" customHeight="1" x14ac:dyDescent="0.3">
      <c r="B1431" s="37"/>
    </row>
    <row r="1432" spans="2:2" ht="15.9" customHeight="1" x14ac:dyDescent="0.3">
      <c r="B1432" s="37"/>
    </row>
    <row r="1433" spans="2:2" ht="15.9" customHeight="1" x14ac:dyDescent="0.3">
      <c r="B1433" s="37"/>
    </row>
    <row r="1434" spans="2:2" ht="15.9" customHeight="1" x14ac:dyDescent="0.3">
      <c r="B1434" s="37"/>
    </row>
    <row r="1435" spans="2:2" ht="15.9" customHeight="1" x14ac:dyDescent="0.3">
      <c r="B1435" s="37"/>
    </row>
    <row r="1436" spans="2:2" ht="15.9" customHeight="1" x14ac:dyDescent="0.3">
      <c r="B1436" s="37"/>
    </row>
    <row r="1437" spans="2:2" ht="15.9" customHeight="1" x14ac:dyDescent="0.3">
      <c r="B1437" s="37"/>
    </row>
    <row r="1438" spans="2:2" ht="15.9" customHeight="1" x14ac:dyDescent="0.3">
      <c r="B1438" s="37"/>
    </row>
    <row r="1439" spans="2:2" ht="15.9" customHeight="1" x14ac:dyDescent="0.3">
      <c r="B1439" s="37"/>
    </row>
    <row r="1440" spans="2:2" ht="15.9" customHeight="1" x14ac:dyDescent="0.3">
      <c r="B1440" s="37"/>
    </row>
    <row r="1441" spans="2:2" ht="15.9" customHeight="1" x14ac:dyDescent="0.3">
      <c r="B1441" s="37"/>
    </row>
    <row r="1442" spans="2:2" ht="15.9" customHeight="1" x14ac:dyDescent="0.3">
      <c r="B1442" s="37"/>
    </row>
    <row r="1443" spans="2:2" ht="15.9" customHeight="1" x14ac:dyDescent="0.3">
      <c r="B1443" s="37"/>
    </row>
    <row r="1444" spans="2:2" ht="15.9" customHeight="1" x14ac:dyDescent="0.3">
      <c r="B1444" s="37"/>
    </row>
    <row r="1445" spans="2:2" ht="15.9" customHeight="1" x14ac:dyDescent="0.3">
      <c r="B1445" s="37"/>
    </row>
    <row r="1446" spans="2:2" ht="15.9" customHeight="1" x14ac:dyDescent="0.3">
      <c r="B1446" s="37"/>
    </row>
    <row r="1447" spans="2:2" ht="15.9" customHeight="1" x14ac:dyDescent="0.3">
      <c r="B1447" s="37"/>
    </row>
    <row r="1448" spans="2:2" ht="15.9" customHeight="1" x14ac:dyDescent="0.3">
      <c r="B1448" s="37"/>
    </row>
    <row r="1449" spans="2:2" ht="15.9" customHeight="1" x14ac:dyDescent="0.3">
      <c r="B1449" s="37"/>
    </row>
    <row r="1450" spans="2:2" ht="15.9" customHeight="1" x14ac:dyDescent="0.3">
      <c r="B1450" s="37"/>
    </row>
    <row r="1451" spans="2:2" ht="15.9" customHeight="1" x14ac:dyDescent="0.3">
      <c r="B1451" s="37"/>
    </row>
    <row r="1452" spans="2:2" ht="15.9" customHeight="1" x14ac:dyDescent="0.3">
      <c r="B1452" s="37"/>
    </row>
    <row r="1453" spans="2:2" ht="15.9" customHeight="1" x14ac:dyDescent="0.3">
      <c r="B1453" s="37"/>
    </row>
    <row r="1454" spans="2:2" ht="15.9" customHeight="1" x14ac:dyDescent="0.3">
      <c r="B1454" s="37"/>
    </row>
    <row r="1455" spans="2:2" ht="15.9" customHeight="1" x14ac:dyDescent="0.3">
      <c r="B1455" s="37"/>
    </row>
    <row r="1456" spans="2:2" ht="15.9" customHeight="1" x14ac:dyDescent="0.3">
      <c r="B1456" s="37"/>
    </row>
    <row r="1457" spans="2:2" ht="15.9" customHeight="1" x14ac:dyDescent="0.3">
      <c r="B1457" s="37"/>
    </row>
    <row r="1458" spans="2:2" ht="15.9" customHeight="1" x14ac:dyDescent="0.3">
      <c r="B1458" s="37"/>
    </row>
    <row r="1459" spans="2:2" ht="15.9" customHeight="1" x14ac:dyDescent="0.3">
      <c r="B1459" s="37"/>
    </row>
    <row r="1460" spans="2:2" ht="15.9" customHeight="1" x14ac:dyDescent="0.3">
      <c r="B1460" s="37"/>
    </row>
    <row r="1461" spans="2:2" ht="15.9" customHeight="1" x14ac:dyDescent="0.3">
      <c r="B1461" s="37"/>
    </row>
    <row r="1462" spans="2:2" ht="15.9" customHeight="1" x14ac:dyDescent="0.3">
      <c r="B1462" s="37"/>
    </row>
    <row r="1463" spans="2:2" ht="15.9" customHeight="1" x14ac:dyDescent="0.3">
      <c r="B1463" s="37"/>
    </row>
    <row r="1464" spans="2:2" ht="15.9" customHeight="1" x14ac:dyDescent="0.3">
      <c r="B1464" s="37"/>
    </row>
    <row r="1465" spans="2:2" ht="15.9" customHeight="1" x14ac:dyDescent="0.3">
      <c r="B1465" s="37"/>
    </row>
    <row r="1466" spans="2:2" ht="15.9" customHeight="1" x14ac:dyDescent="0.3">
      <c r="B1466" s="37"/>
    </row>
    <row r="1467" spans="2:2" ht="15.9" customHeight="1" x14ac:dyDescent="0.3">
      <c r="B1467" s="37"/>
    </row>
    <row r="1468" spans="2:2" ht="15.9" customHeight="1" x14ac:dyDescent="0.3">
      <c r="B1468" s="37"/>
    </row>
    <row r="1469" spans="2:2" ht="15.9" customHeight="1" x14ac:dyDescent="0.3">
      <c r="B1469" s="37"/>
    </row>
    <row r="1470" spans="2:2" ht="15.9" customHeight="1" x14ac:dyDescent="0.3">
      <c r="B1470" s="37"/>
    </row>
    <row r="1471" spans="2:2" ht="15.9" customHeight="1" x14ac:dyDescent="0.3">
      <c r="B1471" s="37"/>
    </row>
    <row r="1472" spans="2:2" ht="15.9" customHeight="1" x14ac:dyDescent="0.3">
      <c r="B1472" s="37"/>
    </row>
    <row r="1473" spans="2:2" ht="15.9" customHeight="1" x14ac:dyDescent="0.3">
      <c r="B1473" s="37"/>
    </row>
    <row r="1474" spans="2:2" ht="15.9" customHeight="1" x14ac:dyDescent="0.3">
      <c r="B1474" s="37"/>
    </row>
    <row r="1475" spans="2:2" ht="15.9" customHeight="1" x14ac:dyDescent="0.3">
      <c r="B1475" s="37"/>
    </row>
    <row r="1476" spans="2:2" ht="15.9" customHeight="1" x14ac:dyDescent="0.3">
      <c r="B1476" s="37"/>
    </row>
    <row r="1477" spans="2:2" ht="15.9" customHeight="1" x14ac:dyDescent="0.3">
      <c r="B1477" s="37"/>
    </row>
    <row r="1478" spans="2:2" ht="15.9" customHeight="1" x14ac:dyDescent="0.3">
      <c r="B1478" s="37"/>
    </row>
    <row r="1479" spans="2:2" ht="15.9" customHeight="1" x14ac:dyDescent="0.3">
      <c r="B1479" s="37"/>
    </row>
    <row r="1480" spans="2:2" ht="15.9" customHeight="1" x14ac:dyDescent="0.3">
      <c r="B1480" s="37"/>
    </row>
    <row r="1481" spans="2:2" ht="15.9" customHeight="1" x14ac:dyDescent="0.3">
      <c r="B1481" s="37"/>
    </row>
    <row r="1482" spans="2:2" ht="15.9" customHeight="1" x14ac:dyDescent="0.3">
      <c r="B1482" s="37"/>
    </row>
    <row r="1483" spans="2:2" ht="15.9" customHeight="1" x14ac:dyDescent="0.3">
      <c r="B1483" s="37"/>
    </row>
    <row r="1484" spans="2:2" ht="15.9" customHeight="1" x14ac:dyDescent="0.3">
      <c r="B1484" s="37"/>
    </row>
    <row r="1485" spans="2:2" ht="15.9" customHeight="1" x14ac:dyDescent="0.3">
      <c r="B1485" s="37"/>
    </row>
    <row r="1486" spans="2:2" ht="15.9" customHeight="1" x14ac:dyDescent="0.3">
      <c r="B1486" s="37"/>
    </row>
    <row r="1487" spans="2:2" ht="15.9" customHeight="1" x14ac:dyDescent="0.3">
      <c r="B1487" s="37"/>
    </row>
    <row r="1488" spans="2:2" ht="15.9" customHeight="1" x14ac:dyDescent="0.3">
      <c r="B1488" s="37"/>
    </row>
    <row r="1489" spans="2:2" ht="15.9" customHeight="1" x14ac:dyDescent="0.3">
      <c r="B1489" s="37"/>
    </row>
    <row r="1490" spans="2:2" ht="15.9" customHeight="1" x14ac:dyDescent="0.3">
      <c r="B1490" s="37"/>
    </row>
    <row r="1491" spans="2:2" ht="15.9" customHeight="1" x14ac:dyDescent="0.3">
      <c r="B1491" s="37"/>
    </row>
    <row r="1492" spans="2:2" ht="15.9" customHeight="1" x14ac:dyDescent="0.3">
      <c r="B1492" s="37"/>
    </row>
    <row r="1493" spans="2:2" ht="15.9" customHeight="1" x14ac:dyDescent="0.3">
      <c r="B1493" s="37"/>
    </row>
    <row r="1494" spans="2:2" ht="15.9" customHeight="1" x14ac:dyDescent="0.3">
      <c r="B1494" s="37"/>
    </row>
    <row r="1495" spans="2:2" ht="15.9" customHeight="1" x14ac:dyDescent="0.3">
      <c r="B1495" s="37"/>
    </row>
    <row r="1496" spans="2:2" ht="15.9" customHeight="1" x14ac:dyDescent="0.3">
      <c r="B1496" s="37"/>
    </row>
    <row r="1497" spans="2:2" ht="15.9" customHeight="1" x14ac:dyDescent="0.3">
      <c r="B1497" s="37"/>
    </row>
    <row r="1498" spans="2:2" ht="15.9" customHeight="1" x14ac:dyDescent="0.3">
      <c r="B1498" s="37"/>
    </row>
    <row r="1499" spans="2:2" ht="15.9" customHeight="1" x14ac:dyDescent="0.3">
      <c r="B1499" s="37"/>
    </row>
    <row r="1500" spans="2:2" ht="15.9" customHeight="1" x14ac:dyDescent="0.3">
      <c r="B1500" s="37"/>
    </row>
    <row r="1501" spans="2:2" ht="15.9" customHeight="1" x14ac:dyDescent="0.3">
      <c r="B1501" s="37"/>
    </row>
    <row r="1502" spans="2:2" ht="15.9" customHeight="1" x14ac:dyDescent="0.3">
      <c r="B1502" s="37"/>
    </row>
    <row r="1503" spans="2:2" ht="15.9" customHeight="1" x14ac:dyDescent="0.3">
      <c r="B1503" s="37"/>
    </row>
    <row r="1504" spans="2:2" ht="15.9" customHeight="1" x14ac:dyDescent="0.3">
      <c r="B1504" s="37"/>
    </row>
    <row r="1505" spans="2:2" ht="15.9" customHeight="1" x14ac:dyDescent="0.3">
      <c r="B1505" s="37"/>
    </row>
    <row r="1506" spans="2:2" ht="15.9" customHeight="1" x14ac:dyDescent="0.3">
      <c r="B1506" s="37"/>
    </row>
    <row r="1507" spans="2:2" ht="15.9" customHeight="1" x14ac:dyDescent="0.3">
      <c r="B1507" s="37"/>
    </row>
    <row r="1508" spans="2:2" ht="15.9" customHeight="1" x14ac:dyDescent="0.3">
      <c r="B1508" s="37"/>
    </row>
    <row r="1509" spans="2:2" ht="15.9" customHeight="1" x14ac:dyDescent="0.3">
      <c r="B1509" s="37"/>
    </row>
    <row r="1510" spans="2:2" ht="15.9" customHeight="1" x14ac:dyDescent="0.3">
      <c r="B1510" s="37"/>
    </row>
    <row r="1511" spans="2:2" ht="15.9" customHeight="1" x14ac:dyDescent="0.3">
      <c r="B1511" s="37"/>
    </row>
    <row r="1512" spans="2:2" ht="15.9" customHeight="1" x14ac:dyDescent="0.3">
      <c r="B1512" s="37"/>
    </row>
    <row r="1513" spans="2:2" ht="15.9" customHeight="1" x14ac:dyDescent="0.3">
      <c r="B1513" s="37"/>
    </row>
    <row r="1514" spans="2:2" ht="15.9" customHeight="1" x14ac:dyDescent="0.3">
      <c r="B1514" s="37"/>
    </row>
    <row r="1515" spans="2:2" ht="15.9" customHeight="1" x14ac:dyDescent="0.3">
      <c r="B1515" s="37"/>
    </row>
    <row r="1516" spans="2:2" ht="15.9" customHeight="1" x14ac:dyDescent="0.3">
      <c r="B1516" s="37"/>
    </row>
    <row r="1517" spans="2:2" ht="15.9" customHeight="1" x14ac:dyDescent="0.3">
      <c r="B1517" s="37"/>
    </row>
    <row r="1518" spans="2:2" ht="15.9" customHeight="1" x14ac:dyDescent="0.3">
      <c r="B1518" s="37"/>
    </row>
    <row r="1519" spans="2:2" ht="15.9" customHeight="1" x14ac:dyDescent="0.3">
      <c r="B1519" s="37"/>
    </row>
    <row r="1520" spans="2:2" ht="15.9" customHeight="1" x14ac:dyDescent="0.3">
      <c r="B1520" s="37"/>
    </row>
    <row r="1521" spans="2:2" ht="15.9" customHeight="1" x14ac:dyDescent="0.3">
      <c r="B1521" s="37"/>
    </row>
    <row r="1522" spans="2:2" ht="15.9" customHeight="1" x14ac:dyDescent="0.3">
      <c r="B1522" s="37"/>
    </row>
    <row r="1523" spans="2:2" ht="15.9" customHeight="1" x14ac:dyDescent="0.3">
      <c r="B1523" s="37"/>
    </row>
    <row r="1524" spans="2:2" ht="15.9" customHeight="1" x14ac:dyDescent="0.3">
      <c r="B1524" s="37"/>
    </row>
    <row r="1525" spans="2:2" ht="15.9" customHeight="1" x14ac:dyDescent="0.3">
      <c r="B1525" s="37"/>
    </row>
    <row r="1526" spans="2:2" ht="15.9" customHeight="1" x14ac:dyDescent="0.3">
      <c r="B1526" s="37"/>
    </row>
    <row r="1527" spans="2:2" ht="15.9" customHeight="1" x14ac:dyDescent="0.3">
      <c r="B1527" s="37"/>
    </row>
    <row r="1528" spans="2:2" ht="15.9" customHeight="1" x14ac:dyDescent="0.3">
      <c r="B1528" s="37"/>
    </row>
    <row r="1529" spans="2:2" ht="15.9" customHeight="1" x14ac:dyDescent="0.3">
      <c r="B1529" s="37"/>
    </row>
    <row r="1530" spans="2:2" ht="15.9" customHeight="1" x14ac:dyDescent="0.3">
      <c r="B1530" s="37"/>
    </row>
    <row r="1531" spans="2:2" ht="15.9" customHeight="1" x14ac:dyDescent="0.3">
      <c r="B1531" s="37"/>
    </row>
    <row r="1532" spans="2:2" ht="15.9" customHeight="1" x14ac:dyDescent="0.3">
      <c r="B1532" s="37"/>
    </row>
    <row r="1533" spans="2:2" ht="15.9" customHeight="1" x14ac:dyDescent="0.3">
      <c r="B1533" s="37"/>
    </row>
    <row r="1534" spans="2:2" ht="15.9" customHeight="1" x14ac:dyDescent="0.3">
      <c r="B1534" s="37"/>
    </row>
    <row r="1535" spans="2:2" ht="15.9" customHeight="1" x14ac:dyDescent="0.3">
      <c r="B1535" s="37"/>
    </row>
    <row r="1536" spans="2:2" ht="15.9" customHeight="1" x14ac:dyDescent="0.3">
      <c r="B1536" s="37"/>
    </row>
    <row r="1537" spans="2:2" ht="15.9" customHeight="1" x14ac:dyDescent="0.3">
      <c r="B1537" s="37"/>
    </row>
    <row r="1538" spans="2:2" ht="15.9" customHeight="1" x14ac:dyDescent="0.3">
      <c r="B1538" s="37"/>
    </row>
    <row r="1539" spans="2:2" ht="15.9" customHeight="1" x14ac:dyDescent="0.3">
      <c r="B1539" s="37"/>
    </row>
    <row r="1540" spans="2:2" ht="15.9" customHeight="1" x14ac:dyDescent="0.3">
      <c r="B1540" s="37"/>
    </row>
    <row r="1541" spans="2:2" ht="15.9" customHeight="1" x14ac:dyDescent="0.3">
      <c r="B1541" s="37"/>
    </row>
    <row r="1542" spans="2:2" ht="15.9" customHeight="1" x14ac:dyDescent="0.3">
      <c r="B1542" s="37"/>
    </row>
    <row r="1543" spans="2:2" ht="15.9" customHeight="1" x14ac:dyDescent="0.3">
      <c r="B1543" s="37"/>
    </row>
    <row r="1544" spans="2:2" ht="15.9" customHeight="1" x14ac:dyDescent="0.3">
      <c r="B1544" s="37"/>
    </row>
    <row r="1545" spans="2:2" ht="15.9" customHeight="1" x14ac:dyDescent="0.3">
      <c r="B1545" s="37"/>
    </row>
    <row r="1546" spans="2:2" ht="15.9" customHeight="1" x14ac:dyDescent="0.3">
      <c r="B1546" s="37"/>
    </row>
    <row r="1547" spans="2:2" ht="15.9" customHeight="1" x14ac:dyDescent="0.3">
      <c r="B1547" s="37"/>
    </row>
    <row r="1548" spans="2:2" ht="15.9" customHeight="1" x14ac:dyDescent="0.3">
      <c r="B1548" s="37"/>
    </row>
    <row r="1549" spans="2:2" ht="15.9" customHeight="1" x14ac:dyDescent="0.3">
      <c r="B1549" s="37"/>
    </row>
    <row r="1550" spans="2:2" ht="15.9" customHeight="1" x14ac:dyDescent="0.3">
      <c r="B1550" s="37"/>
    </row>
    <row r="1551" spans="2:2" ht="15.9" customHeight="1" x14ac:dyDescent="0.3">
      <c r="B1551" s="37"/>
    </row>
    <row r="1552" spans="2:2" ht="15.9" customHeight="1" x14ac:dyDescent="0.3">
      <c r="B1552" s="37"/>
    </row>
    <row r="1553" spans="2:2" ht="15.9" customHeight="1" x14ac:dyDescent="0.3">
      <c r="B1553" s="37"/>
    </row>
    <row r="1554" spans="2:2" ht="15.9" customHeight="1" x14ac:dyDescent="0.3">
      <c r="B1554" s="37"/>
    </row>
    <row r="1555" spans="2:2" ht="15.9" customHeight="1" x14ac:dyDescent="0.3">
      <c r="B1555" s="37"/>
    </row>
    <row r="1556" spans="2:2" ht="15.9" customHeight="1" x14ac:dyDescent="0.3">
      <c r="B1556" s="37"/>
    </row>
    <row r="1557" spans="2:2" ht="15.9" customHeight="1" x14ac:dyDescent="0.3">
      <c r="B1557" s="37"/>
    </row>
    <row r="1558" spans="2:2" ht="15.9" customHeight="1" x14ac:dyDescent="0.3">
      <c r="B1558" s="37"/>
    </row>
    <row r="1559" spans="2:2" ht="15.9" customHeight="1" x14ac:dyDescent="0.3">
      <c r="B1559" s="37"/>
    </row>
    <row r="1560" spans="2:2" ht="15.9" customHeight="1" x14ac:dyDescent="0.3">
      <c r="B1560" s="37"/>
    </row>
    <row r="1561" spans="2:2" ht="15.9" customHeight="1" x14ac:dyDescent="0.3">
      <c r="B1561" s="37"/>
    </row>
    <row r="1562" spans="2:2" ht="15.9" customHeight="1" x14ac:dyDescent="0.3">
      <c r="B1562" s="37"/>
    </row>
    <row r="1563" spans="2:2" ht="15.9" customHeight="1" x14ac:dyDescent="0.3">
      <c r="B1563" s="37"/>
    </row>
    <row r="1564" spans="2:2" ht="15.9" customHeight="1" x14ac:dyDescent="0.3">
      <c r="B1564" s="37"/>
    </row>
    <row r="1565" spans="2:2" ht="15.9" customHeight="1" x14ac:dyDescent="0.3">
      <c r="B1565" s="37"/>
    </row>
    <row r="1566" spans="2:2" ht="15.9" customHeight="1" x14ac:dyDescent="0.3">
      <c r="B1566" s="37"/>
    </row>
    <row r="1567" spans="2:2" ht="15.9" customHeight="1" x14ac:dyDescent="0.3">
      <c r="B1567" s="37"/>
    </row>
    <row r="1568" spans="2:2" ht="15.9" customHeight="1" x14ac:dyDescent="0.3">
      <c r="B1568" s="37"/>
    </row>
    <row r="1569" spans="2:2" ht="15.9" customHeight="1" x14ac:dyDescent="0.3">
      <c r="B1569" s="37"/>
    </row>
    <row r="1570" spans="2:2" ht="15.9" customHeight="1" x14ac:dyDescent="0.3">
      <c r="B1570" s="37"/>
    </row>
    <row r="1571" spans="2:2" ht="15.9" customHeight="1" x14ac:dyDescent="0.3">
      <c r="B1571" s="37"/>
    </row>
    <row r="1572" spans="2:2" ht="15.9" customHeight="1" x14ac:dyDescent="0.3">
      <c r="B1572" s="37"/>
    </row>
    <row r="1573" spans="2:2" ht="15.9" customHeight="1" x14ac:dyDescent="0.3">
      <c r="B1573" s="37"/>
    </row>
    <row r="1574" spans="2:2" ht="15.9" customHeight="1" x14ac:dyDescent="0.3">
      <c r="B1574" s="37"/>
    </row>
    <row r="1575" spans="2:2" ht="15.9" customHeight="1" x14ac:dyDescent="0.3">
      <c r="B1575" s="37"/>
    </row>
    <row r="1576" spans="2:2" ht="15.9" customHeight="1" x14ac:dyDescent="0.3">
      <c r="B1576" s="37"/>
    </row>
    <row r="1577" spans="2:2" ht="15.9" customHeight="1" x14ac:dyDescent="0.3">
      <c r="B1577" s="37"/>
    </row>
    <row r="1578" spans="2:2" ht="15.9" customHeight="1" x14ac:dyDescent="0.3">
      <c r="B1578" s="37"/>
    </row>
    <row r="1579" spans="2:2" ht="15.9" customHeight="1" x14ac:dyDescent="0.3">
      <c r="B1579" s="37"/>
    </row>
    <row r="1580" spans="2:2" ht="15.9" customHeight="1" x14ac:dyDescent="0.3">
      <c r="B1580" s="37"/>
    </row>
    <row r="1581" spans="2:2" ht="15.9" customHeight="1" x14ac:dyDescent="0.3">
      <c r="B1581" s="37"/>
    </row>
    <row r="1582" spans="2:2" ht="15.9" customHeight="1" x14ac:dyDescent="0.3">
      <c r="B1582" s="37"/>
    </row>
    <row r="1583" spans="2:2" ht="15.9" customHeight="1" x14ac:dyDescent="0.3">
      <c r="B1583" s="37"/>
    </row>
    <row r="1584" spans="2:2" ht="15.9" customHeight="1" x14ac:dyDescent="0.3">
      <c r="B1584" s="37"/>
    </row>
    <row r="1585" spans="2:2" ht="15.9" customHeight="1" x14ac:dyDescent="0.3">
      <c r="B1585" s="37"/>
    </row>
    <row r="1586" spans="2:2" ht="15.9" customHeight="1" x14ac:dyDescent="0.3">
      <c r="B1586" s="37"/>
    </row>
    <row r="1587" spans="2:2" ht="15.9" customHeight="1" x14ac:dyDescent="0.3">
      <c r="B1587" s="37"/>
    </row>
    <row r="1588" spans="2:2" ht="15.9" customHeight="1" x14ac:dyDescent="0.3">
      <c r="B1588" s="37"/>
    </row>
    <row r="1589" spans="2:2" ht="15.9" customHeight="1" x14ac:dyDescent="0.3">
      <c r="B1589" s="37"/>
    </row>
    <row r="1590" spans="2:2" ht="15.9" customHeight="1" x14ac:dyDescent="0.3">
      <c r="B1590" s="37"/>
    </row>
    <row r="1591" spans="2:2" ht="15.9" customHeight="1" x14ac:dyDescent="0.3">
      <c r="B1591" s="37"/>
    </row>
    <row r="1592" spans="2:2" ht="15.9" customHeight="1" x14ac:dyDescent="0.3">
      <c r="B1592" s="37"/>
    </row>
    <row r="1593" spans="2:2" ht="15.9" customHeight="1" x14ac:dyDescent="0.3">
      <c r="B1593" s="37"/>
    </row>
    <row r="1594" spans="2:2" ht="15.9" customHeight="1" x14ac:dyDescent="0.3">
      <c r="B1594" s="37"/>
    </row>
    <row r="1595" spans="2:2" ht="15.9" customHeight="1" x14ac:dyDescent="0.3">
      <c r="B1595" s="37"/>
    </row>
    <row r="1596" spans="2:2" ht="15.9" customHeight="1" x14ac:dyDescent="0.3">
      <c r="B1596" s="37"/>
    </row>
    <row r="1597" spans="2:2" ht="15.9" customHeight="1" x14ac:dyDescent="0.3">
      <c r="B1597" s="37"/>
    </row>
    <row r="1598" spans="2:2" ht="15.9" customHeight="1" x14ac:dyDescent="0.3">
      <c r="B1598" s="37"/>
    </row>
    <row r="1599" spans="2:2" ht="15.9" customHeight="1" x14ac:dyDescent="0.3">
      <c r="B1599" s="37"/>
    </row>
    <row r="1600" spans="2:2" ht="15.9" customHeight="1" x14ac:dyDescent="0.3">
      <c r="B1600" s="37"/>
    </row>
    <row r="1601" spans="2:2" ht="15.9" customHeight="1" x14ac:dyDescent="0.3">
      <c r="B1601" s="37"/>
    </row>
    <row r="1602" spans="2:2" ht="15.9" customHeight="1" x14ac:dyDescent="0.3">
      <c r="B1602" s="37"/>
    </row>
    <row r="1603" spans="2:2" ht="15.9" customHeight="1" x14ac:dyDescent="0.3">
      <c r="B1603" s="37"/>
    </row>
    <row r="1604" spans="2:2" ht="15.9" customHeight="1" x14ac:dyDescent="0.3">
      <c r="B1604" s="37"/>
    </row>
    <row r="1605" spans="2:2" ht="15.9" customHeight="1" x14ac:dyDescent="0.3">
      <c r="B1605" s="37"/>
    </row>
    <row r="1606" spans="2:2" ht="15.9" customHeight="1" x14ac:dyDescent="0.3">
      <c r="B1606" s="37"/>
    </row>
    <row r="1607" spans="2:2" ht="15.9" customHeight="1" x14ac:dyDescent="0.3">
      <c r="B1607" s="37"/>
    </row>
    <row r="1608" spans="2:2" ht="15.9" customHeight="1" x14ac:dyDescent="0.3">
      <c r="B1608" s="37"/>
    </row>
    <row r="1609" spans="2:2" ht="15.9" customHeight="1" x14ac:dyDescent="0.3">
      <c r="B1609" s="37"/>
    </row>
    <row r="1610" spans="2:2" ht="15.9" customHeight="1" x14ac:dyDescent="0.3">
      <c r="B1610" s="37"/>
    </row>
    <row r="1611" spans="2:2" ht="15.9" customHeight="1" x14ac:dyDescent="0.3">
      <c r="B1611" s="37"/>
    </row>
    <row r="1612" spans="2:2" ht="15.9" customHeight="1" x14ac:dyDescent="0.3">
      <c r="B1612" s="37"/>
    </row>
    <row r="1613" spans="2:2" ht="15.9" customHeight="1" x14ac:dyDescent="0.3">
      <c r="B1613" s="37"/>
    </row>
    <row r="1614" spans="2:2" ht="15.9" customHeight="1" x14ac:dyDescent="0.3">
      <c r="B1614" s="37"/>
    </row>
    <row r="1615" spans="2:2" ht="15.9" customHeight="1" x14ac:dyDescent="0.3">
      <c r="B1615" s="37"/>
    </row>
    <row r="1616" spans="2:2" ht="15.9" customHeight="1" x14ac:dyDescent="0.3">
      <c r="B1616" s="37"/>
    </row>
    <row r="1617" spans="2:2" ht="15.9" customHeight="1" x14ac:dyDescent="0.3">
      <c r="B1617" s="37"/>
    </row>
    <row r="1618" spans="2:2" ht="15.9" customHeight="1" x14ac:dyDescent="0.3">
      <c r="B1618" s="37"/>
    </row>
    <row r="1619" spans="2:2" ht="15.9" customHeight="1" x14ac:dyDescent="0.3">
      <c r="B1619" s="37"/>
    </row>
    <row r="1620" spans="2:2" ht="15.9" customHeight="1" x14ac:dyDescent="0.3">
      <c r="B1620" s="37"/>
    </row>
    <row r="1621" spans="2:2" ht="15.9" customHeight="1" x14ac:dyDescent="0.3">
      <c r="B1621" s="37"/>
    </row>
    <row r="1622" spans="2:2" ht="15.9" customHeight="1" x14ac:dyDescent="0.3">
      <c r="B1622" s="37"/>
    </row>
    <row r="1623" spans="2:2" ht="15.9" customHeight="1" x14ac:dyDescent="0.3">
      <c r="B1623" s="37"/>
    </row>
    <row r="1624" spans="2:2" ht="15.9" customHeight="1" x14ac:dyDescent="0.3">
      <c r="B1624" s="37"/>
    </row>
    <row r="1625" spans="2:2" ht="15.9" customHeight="1" x14ac:dyDescent="0.3">
      <c r="B1625" s="37"/>
    </row>
    <row r="1626" spans="2:2" ht="15.9" customHeight="1" x14ac:dyDescent="0.3">
      <c r="B1626" s="37"/>
    </row>
    <row r="1627" spans="2:2" ht="15.9" customHeight="1" x14ac:dyDescent="0.3">
      <c r="B1627" s="37"/>
    </row>
    <row r="1628" spans="2:2" ht="15.9" customHeight="1" x14ac:dyDescent="0.3">
      <c r="B1628" s="37"/>
    </row>
    <row r="1629" spans="2:2" ht="15.9" customHeight="1" x14ac:dyDescent="0.3">
      <c r="B1629" s="37"/>
    </row>
    <row r="1630" spans="2:2" ht="15.9" customHeight="1" x14ac:dyDescent="0.3">
      <c r="B1630" s="37"/>
    </row>
    <row r="1631" spans="2:2" ht="15.9" customHeight="1" x14ac:dyDescent="0.3">
      <c r="B1631" s="37"/>
    </row>
    <row r="1632" spans="2:2" ht="15.9" customHeight="1" x14ac:dyDescent="0.3">
      <c r="B1632" s="37"/>
    </row>
    <row r="1633" spans="2:2" ht="15.9" customHeight="1" x14ac:dyDescent="0.3">
      <c r="B1633" s="37"/>
    </row>
    <row r="1634" spans="2:2" ht="15.9" customHeight="1" x14ac:dyDescent="0.3">
      <c r="B1634" s="37"/>
    </row>
    <row r="1635" spans="2:2" ht="15.9" customHeight="1" x14ac:dyDescent="0.3">
      <c r="B1635" s="37"/>
    </row>
    <row r="1636" spans="2:2" ht="15.9" customHeight="1" x14ac:dyDescent="0.3">
      <c r="B1636" s="37"/>
    </row>
    <row r="1637" spans="2:2" ht="15.9" customHeight="1" x14ac:dyDescent="0.3">
      <c r="B1637" s="37"/>
    </row>
    <row r="1638" spans="2:2" ht="15.9" customHeight="1" x14ac:dyDescent="0.3">
      <c r="B1638" s="37"/>
    </row>
    <row r="1639" spans="2:2" ht="15.9" customHeight="1" x14ac:dyDescent="0.3">
      <c r="B1639" s="37"/>
    </row>
    <row r="1640" spans="2:2" ht="15.9" customHeight="1" x14ac:dyDescent="0.3">
      <c r="B1640" s="37"/>
    </row>
    <row r="1641" spans="2:2" ht="15.9" customHeight="1" x14ac:dyDescent="0.3">
      <c r="B1641" s="37"/>
    </row>
    <row r="1642" spans="2:2" ht="15.9" customHeight="1" x14ac:dyDescent="0.3">
      <c r="B1642" s="37"/>
    </row>
    <row r="1643" spans="2:2" ht="15.9" customHeight="1" x14ac:dyDescent="0.3">
      <c r="B1643" s="37"/>
    </row>
    <row r="1644" spans="2:2" ht="15.9" customHeight="1" x14ac:dyDescent="0.3">
      <c r="B1644" s="37"/>
    </row>
    <row r="1645" spans="2:2" ht="15.9" customHeight="1" x14ac:dyDescent="0.3">
      <c r="B1645" s="37"/>
    </row>
    <row r="1646" spans="2:2" ht="15.9" customHeight="1" x14ac:dyDescent="0.3">
      <c r="B1646" s="37"/>
    </row>
    <row r="1647" spans="2:2" ht="15.9" customHeight="1" x14ac:dyDescent="0.3">
      <c r="B1647" s="37"/>
    </row>
    <row r="1648" spans="2:2" ht="15.9" customHeight="1" x14ac:dyDescent="0.3">
      <c r="B1648" s="37"/>
    </row>
    <row r="1649" spans="2:2" ht="15.9" customHeight="1" x14ac:dyDescent="0.3">
      <c r="B1649" s="37"/>
    </row>
    <row r="1650" spans="2:2" ht="15.9" customHeight="1" x14ac:dyDescent="0.3">
      <c r="B1650" s="37"/>
    </row>
    <row r="1651" spans="2:2" ht="15.9" customHeight="1" x14ac:dyDescent="0.3">
      <c r="B1651" s="37"/>
    </row>
    <row r="1652" spans="2:2" ht="15.9" customHeight="1" x14ac:dyDescent="0.3">
      <c r="B1652" s="37"/>
    </row>
    <row r="1653" spans="2:2" ht="15.9" customHeight="1" x14ac:dyDescent="0.3">
      <c r="B1653" s="37"/>
    </row>
    <row r="1654" spans="2:2" ht="15.9" customHeight="1" x14ac:dyDescent="0.3">
      <c r="B1654" s="37"/>
    </row>
    <row r="1655" spans="2:2" ht="15.9" customHeight="1" x14ac:dyDescent="0.3">
      <c r="B1655" s="37"/>
    </row>
    <row r="1656" spans="2:2" ht="15.9" customHeight="1" x14ac:dyDescent="0.3">
      <c r="B1656" s="37"/>
    </row>
    <row r="1657" spans="2:2" ht="15.9" customHeight="1" x14ac:dyDescent="0.3">
      <c r="B1657" s="37"/>
    </row>
    <row r="1658" spans="2:2" ht="15.9" customHeight="1" x14ac:dyDescent="0.3">
      <c r="B1658" s="37"/>
    </row>
    <row r="1659" spans="2:2" ht="15.9" customHeight="1" x14ac:dyDescent="0.3">
      <c r="B1659" s="37"/>
    </row>
    <row r="1660" spans="2:2" ht="15.9" customHeight="1" x14ac:dyDescent="0.3">
      <c r="B1660" s="37"/>
    </row>
    <row r="1661" spans="2:2" ht="15.9" customHeight="1" x14ac:dyDescent="0.3">
      <c r="B1661" s="37"/>
    </row>
    <row r="1662" spans="2:2" ht="15.9" customHeight="1" x14ac:dyDescent="0.3">
      <c r="B1662" s="37"/>
    </row>
    <row r="1663" spans="2:2" ht="15.9" customHeight="1" x14ac:dyDescent="0.3">
      <c r="B1663" s="37"/>
    </row>
    <row r="1664" spans="2:2" ht="15.9" customHeight="1" x14ac:dyDescent="0.3">
      <c r="B1664" s="37"/>
    </row>
    <row r="1665" spans="2:2" ht="15.9" customHeight="1" x14ac:dyDescent="0.3">
      <c r="B1665" s="37"/>
    </row>
    <row r="1666" spans="2:2" ht="15.9" customHeight="1" x14ac:dyDescent="0.3">
      <c r="B1666" s="37"/>
    </row>
    <row r="1667" spans="2:2" ht="15.9" customHeight="1" x14ac:dyDescent="0.3">
      <c r="B1667" s="37"/>
    </row>
    <row r="1668" spans="2:2" ht="15.9" customHeight="1" x14ac:dyDescent="0.3">
      <c r="B1668" s="37"/>
    </row>
    <row r="1669" spans="2:2" ht="15.9" customHeight="1" x14ac:dyDescent="0.3">
      <c r="B1669" s="37"/>
    </row>
    <row r="1670" spans="2:2" ht="15.9" customHeight="1" x14ac:dyDescent="0.3">
      <c r="B1670" s="37"/>
    </row>
    <row r="1671" spans="2:2" ht="15.9" customHeight="1" x14ac:dyDescent="0.3">
      <c r="B1671" s="37"/>
    </row>
    <row r="1672" spans="2:2" ht="15.9" customHeight="1" x14ac:dyDescent="0.3">
      <c r="B1672" s="37"/>
    </row>
    <row r="1673" spans="2:2" ht="15.9" customHeight="1" x14ac:dyDescent="0.3">
      <c r="B1673" s="37"/>
    </row>
    <row r="1674" spans="2:2" ht="15.9" customHeight="1" x14ac:dyDescent="0.3">
      <c r="B1674" s="37"/>
    </row>
    <row r="1675" spans="2:2" ht="15.9" customHeight="1" x14ac:dyDescent="0.3">
      <c r="B1675" s="37"/>
    </row>
    <row r="1676" spans="2:2" ht="15.9" customHeight="1" x14ac:dyDescent="0.3">
      <c r="B1676" s="37"/>
    </row>
    <row r="1677" spans="2:2" ht="15.9" customHeight="1" x14ac:dyDescent="0.3">
      <c r="B1677" s="37"/>
    </row>
    <row r="1678" spans="2:2" ht="15.9" customHeight="1" x14ac:dyDescent="0.3">
      <c r="B1678" s="37"/>
    </row>
    <row r="1679" spans="2:2" ht="15.9" customHeight="1" x14ac:dyDescent="0.3">
      <c r="B1679" s="37"/>
    </row>
    <row r="1680" spans="2:2" ht="15.9" customHeight="1" x14ac:dyDescent="0.3">
      <c r="B1680" s="37"/>
    </row>
    <row r="1681" spans="2:2" ht="15.9" customHeight="1" x14ac:dyDescent="0.3">
      <c r="B1681" s="37"/>
    </row>
    <row r="1682" spans="2:2" ht="15.9" customHeight="1" x14ac:dyDescent="0.3">
      <c r="B1682" s="37"/>
    </row>
    <row r="1683" spans="2:2" ht="15.9" customHeight="1" x14ac:dyDescent="0.3">
      <c r="B1683" s="37"/>
    </row>
    <row r="1684" spans="2:2" ht="15.9" customHeight="1" x14ac:dyDescent="0.3">
      <c r="B1684" s="37"/>
    </row>
    <row r="1685" spans="2:2" ht="15.9" customHeight="1" x14ac:dyDescent="0.3">
      <c r="B1685" s="37"/>
    </row>
    <row r="1686" spans="2:2" ht="15.9" customHeight="1" x14ac:dyDescent="0.3">
      <c r="B1686" s="37"/>
    </row>
    <row r="1687" spans="2:2" ht="15.9" customHeight="1" x14ac:dyDescent="0.3">
      <c r="B1687" s="37"/>
    </row>
    <row r="1688" spans="2:2" ht="15.9" customHeight="1" x14ac:dyDescent="0.3">
      <c r="B1688" s="37"/>
    </row>
    <row r="1689" spans="2:2" ht="15.9" customHeight="1" x14ac:dyDescent="0.3">
      <c r="B1689" s="37"/>
    </row>
    <row r="1690" spans="2:2" ht="15.9" customHeight="1" x14ac:dyDescent="0.3">
      <c r="B1690" s="37"/>
    </row>
    <row r="1691" spans="2:2" ht="15.9" customHeight="1" x14ac:dyDescent="0.3">
      <c r="B1691" s="37"/>
    </row>
    <row r="1692" spans="2:2" ht="15.9" customHeight="1" x14ac:dyDescent="0.3">
      <c r="B1692" s="37"/>
    </row>
    <row r="1693" spans="2:2" ht="15.9" customHeight="1" x14ac:dyDescent="0.3">
      <c r="B1693" s="37"/>
    </row>
    <row r="1694" spans="2:2" ht="15.9" customHeight="1" x14ac:dyDescent="0.3">
      <c r="B1694" s="37"/>
    </row>
    <row r="1695" spans="2:2" ht="15.9" customHeight="1" x14ac:dyDescent="0.3">
      <c r="B1695" s="37"/>
    </row>
    <row r="1696" spans="2:2" ht="15.9" customHeight="1" x14ac:dyDescent="0.3">
      <c r="B1696" s="37"/>
    </row>
    <row r="1697" spans="2:2" ht="15.9" customHeight="1" x14ac:dyDescent="0.3">
      <c r="B1697" s="37"/>
    </row>
    <row r="1698" spans="2:2" ht="15.9" customHeight="1" x14ac:dyDescent="0.3">
      <c r="B1698" s="37"/>
    </row>
    <row r="1699" spans="2:2" ht="15.9" customHeight="1" x14ac:dyDescent="0.3">
      <c r="B1699" s="37"/>
    </row>
    <row r="1700" spans="2:2" ht="15.9" customHeight="1" x14ac:dyDescent="0.3">
      <c r="B1700" s="37"/>
    </row>
    <row r="1701" spans="2:2" ht="15.9" customHeight="1" x14ac:dyDescent="0.3">
      <c r="B1701" s="37"/>
    </row>
    <row r="1702" spans="2:2" ht="15.9" customHeight="1" x14ac:dyDescent="0.3">
      <c r="B1702" s="37"/>
    </row>
    <row r="1703" spans="2:2" ht="15.9" customHeight="1" x14ac:dyDescent="0.3">
      <c r="B1703" s="37"/>
    </row>
    <row r="1704" spans="2:2" ht="15.9" customHeight="1" x14ac:dyDescent="0.3">
      <c r="B1704" s="37"/>
    </row>
    <row r="1705" spans="2:2" ht="15.9" customHeight="1" x14ac:dyDescent="0.3">
      <c r="B1705" s="37"/>
    </row>
    <row r="1706" spans="2:2" ht="15.9" customHeight="1" x14ac:dyDescent="0.3">
      <c r="B1706" s="37"/>
    </row>
    <row r="1707" spans="2:2" ht="15.9" customHeight="1" x14ac:dyDescent="0.3">
      <c r="B1707" s="37"/>
    </row>
    <row r="1708" spans="2:2" ht="15.9" customHeight="1" x14ac:dyDescent="0.3">
      <c r="B1708" s="37"/>
    </row>
    <row r="1709" spans="2:2" ht="15.9" customHeight="1" x14ac:dyDescent="0.3">
      <c r="B1709" s="37"/>
    </row>
    <row r="1710" spans="2:2" ht="15.9" customHeight="1" x14ac:dyDescent="0.3">
      <c r="B1710" s="37"/>
    </row>
    <row r="1711" spans="2:2" ht="15.9" customHeight="1" x14ac:dyDescent="0.3">
      <c r="B1711" s="37"/>
    </row>
    <row r="1712" spans="2:2" ht="15.9" customHeight="1" x14ac:dyDescent="0.3">
      <c r="B1712" s="37"/>
    </row>
    <row r="1713" spans="2:2" ht="15.9" customHeight="1" x14ac:dyDescent="0.3">
      <c r="B1713" s="37"/>
    </row>
    <row r="1714" spans="2:2" ht="15.9" customHeight="1" x14ac:dyDescent="0.3">
      <c r="B1714" s="37"/>
    </row>
    <row r="1715" spans="2:2" ht="15.9" customHeight="1" x14ac:dyDescent="0.3">
      <c r="B1715" s="37"/>
    </row>
    <row r="1716" spans="2:2" ht="15.9" customHeight="1" x14ac:dyDescent="0.3">
      <c r="B1716" s="37"/>
    </row>
    <row r="1717" spans="2:2" ht="15.9" customHeight="1" x14ac:dyDescent="0.3">
      <c r="B1717" s="37"/>
    </row>
    <row r="1718" spans="2:2" ht="15.9" customHeight="1" x14ac:dyDescent="0.3">
      <c r="B1718" s="37"/>
    </row>
    <row r="1719" spans="2:2" ht="15.9" customHeight="1" x14ac:dyDescent="0.3">
      <c r="B1719" s="37"/>
    </row>
    <row r="1720" spans="2:2" ht="15.9" customHeight="1" x14ac:dyDescent="0.3">
      <c r="B1720" s="37"/>
    </row>
    <row r="1721" spans="2:2" ht="15.9" customHeight="1" x14ac:dyDescent="0.3">
      <c r="B1721" s="37"/>
    </row>
    <row r="1722" spans="2:2" ht="15.9" customHeight="1" x14ac:dyDescent="0.3">
      <c r="B1722" s="37"/>
    </row>
    <row r="1723" spans="2:2" ht="15.9" customHeight="1" x14ac:dyDescent="0.3">
      <c r="B1723" s="37"/>
    </row>
    <row r="1724" spans="2:2" ht="15.9" customHeight="1" x14ac:dyDescent="0.3">
      <c r="B1724" s="37"/>
    </row>
    <row r="1725" spans="2:2" ht="15.9" customHeight="1" x14ac:dyDescent="0.3">
      <c r="B1725" s="37"/>
    </row>
    <row r="1726" spans="2:2" ht="15.9" customHeight="1" x14ac:dyDescent="0.3">
      <c r="B1726" s="37"/>
    </row>
    <row r="1727" spans="2:2" ht="15.9" customHeight="1" x14ac:dyDescent="0.3">
      <c r="B1727" s="37"/>
    </row>
    <row r="1728" spans="2:2" ht="15.9" customHeight="1" x14ac:dyDescent="0.3">
      <c r="B1728" s="37"/>
    </row>
    <row r="1729" spans="2:2" ht="15.9" customHeight="1" x14ac:dyDescent="0.3">
      <c r="B1729" s="37"/>
    </row>
    <row r="1730" spans="2:2" ht="15.9" customHeight="1" x14ac:dyDescent="0.3">
      <c r="B1730" s="37"/>
    </row>
    <row r="1731" spans="2:2" ht="15.9" customHeight="1" x14ac:dyDescent="0.3">
      <c r="B1731" s="37"/>
    </row>
    <row r="1732" spans="2:2" ht="15.9" customHeight="1" x14ac:dyDescent="0.3">
      <c r="B1732" s="37"/>
    </row>
    <row r="1733" spans="2:2" ht="15.9" customHeight="1" x14ac:dyDescent="0.3">
      <c r="B1733" s="37"/>
    </row>
    <row r="1734" spans="2:2" ht="15.9" customHeight="1" x14ac:dyDescent="0.3">
      <c r="B1734" s="37"/>
    </row>
    <row r="1735" spans="2:2" ht="15.9" customHeight="1" x14ac:dyDescent="0.3">
      <c r="B1735" s="37"/>
    </row>
    <row r="1736" spans="2:2" ht="15.9" customHeight="1" x14ac:dyDescent="0.3">
      <c r="B1736" s="37"/>
    </row>
    <row r="1737" spans="2:2" ht="15.9" customHeight="1" x14ac:dyDescent="0.3">
      <c r="B1737" s="37"/>
    </row>
    <row r="1738" spans="2:2" ht="15.9" customHeight="1" x14ac:dyDescent="0.3">
      <c r="B1738" s="37"/>
    </row>
    <row r="1739" spans="2:2" ht="15.9" customHeight="1" x14ac:dyDescent="0.3">
      <c r="B1739" s="37"/>
    </row>
    <row r="1740" spans="2:2" ht="15.9" customHeight="1" x14ac:dyDescent="0.3">
      <c r="B1740" s="37"/>
    </row>
    <row r="1741" spans="2:2" ht="15.9" customHeight="1" x14ac:dyDescent="0.3">
      <c r="B1741" s="37"/>
    </row>
    <row r="1742" spans="2:2" ht="15.9" customHeight="1" x14ac:dyDescent="0.3">
      <c r="B1742" s="37"/>
    </row>
    <row r="1743" spans="2:2" ht="15.9" customHeight="1" x14ac:dyDescent="0.3">
      <c r="B1743" s="37"/>
    </row>
    <row r="1744" spans="2:2" ht="15.9" customHeight="1" x14ac:dyDescent="0.3">
      <c r="B1744" s="37"/>
    </row>
    <row r="1745" spans="2:2" ht="15.9" customHeight="1" x14ac:dyDescent="0.3">
      <c r="B1745" s="37"/>
    </row>
    <row r="1746" spans="2:2" ht="15.9" customHeight="1" x14ac:dyDescent="0.3">
      <c r="B1746" s="37"/>
    </row>
    <row r="1747" spans="2:2" ht="15.9" customHeight="1" x14ac:dyDescent="0.3">
      <c r="B1747" s="37"/>
    </row>
    <row r="1748" spans="2:2" ht="15.9" customHeight="1" x14ac:dyDescent="0.3">
      <c r="B1748" s="37"/>
    </row>
    <row r="1749" spans="2:2" ht="15.9" customHeight="1" x14ac:dyDescent="0.3">
      <c r="B1749" s="37"/>
    </row>
    <row r="1750" spans="2:2" ht="15.9" customHeight="1" x14ac:dyDescent="0.3">
      <c r="B1750" s="37"/>
    </row>
    <row r="1751" spans="2:2" ht="15.9" customHeight="1" x14ac:dyDescent="0.3">
      <c r="B1751" s="37"/>
    </row>
    <row r="1752" spans="2:2" ht="15.9" customHeight="1" x14ac:dyDescent="0.3">
      <c r="B1752" s="37"/>
    </row>
    <row r="1753" spans="2:2" ht="15.9" customHeight="1" x14ac:dyDescent="0.3">
      <c r="B1753" s="37"/>
    </row>
    <row r="1754" spans="2:2" ht="15.9" customHeight="1" x14ac:dyDescent="0.3">
      <c r="B1754" s="37"/>
    </row>
    <row r="1755" spans="2:2" ht="15.9" customHeight="1" x14ac:dyDescent="0.3">
      <c r="B1755" s="37"/>
    </row>
    <row r="1756" spans="2:2" ht="15.9" customHeight="1" x14ac:dyDescent="0.3">
      <c r="B1756" s="37"/>
    </row>
    <row r="1757" spans="2:2" ht="15.9" customHeight="1" x14ac:dyDescent="0.3">
      <c r="B1757" s="37"/>
    </row>
    <row r="1758" spans="2:2" ht="15.9" customHeight="1" x14ac:dyDescent="0.3">
      <c r="B1758" s="37"/>
    </row>
    <row r="1759" spans="2:2" ht="15.9" customHeight="1" x14ac:dyDescent="0.3">
      <c r="B1759" s="37"/>
    </row>
    <row r="1760" spans="2:2" ht="15.9" customHeight="1" x14ac:dyDescent="0.3">
      <c r="B1760" s="37"/>
    </row>
    <row r="1761" spans="2:2" ht="15.9" customHeight="1" x14ac:dyDescent="0.3">
      <c r="B1761" s="37"/>
    </row>
    <row r="1762" spans="2:2" ht="15.9" customHeight="1" x14ac:dyDescent="0.3">
      <c r="B1762" s="37"/>
    </row>
    <row r="1763" spans="2:2" ht="15.9" customHeight="1" x14ac:dyDescent="0.3">
      <c r="B1763" s="37"/>
    </row>
    <row r="1764" spans="2:2" ht="15.9" customHeight="1" x14ac:dyDescent="0.3">
      <c r="B1764" s="37"/>
    </row>
    <row r="1765" spans="2:2" ht="15.9" customHeight="1" x14ac:dyDescent="0.3">
      <c r="B1765" s="37"/>
    </row>
    <row r="1766" spans="2:2" ht="15.9" customHeight="1" x14ac:dyDescent="0.3">
      <c r="B1766" s="37"/>
    </row>
    <row r="1767" spans="2:2" ht="15.9" customHeight="1" x14ac:dyDescent="0.3">
      <c r="B1767" s="37"/>
    </row>
    <row r="1768" spans="2:2" ht="15.9" customHeight="1" x14ac:dyDescent="0.3">
      <c r="B1768" s="37"/>
    </row>
    <row r="1769" spans="2:2" ht="15.9" customHeight="1" x14ac:dyDescent="0.3">
      <c r="B1769" s="37"/>
    </row>
    <row r="1770" spans="2:2" ht="15.9" customHeight="1" x14ac:dyDescent="0.3">
      <c r="B1770" s="37"/>
    </row>
    <row r="1771" spans="2:2" ht="15.9" customHeight="1" x14ac:dyDescent="0.3">
      <c r="B1771" s="37"/>
    </row>
    <row r="1772" spans="2:2" ht="15.9" customHeight="1" x14ac:dyDescent="0.3">
      <c r="B1772" s="37"/>
    </row>
    <row r="1773" spans="2:2" ht="15.9" customHeight="1" x14ac:dyDescent="0.3">
      <c r="B1773" s="37"/>
    </row>
    <row r="1774" spans="2:2" ht="15.9" customHeight="1" x14ac:dyDescent="0.3">
      <c r="B1774" s="37"/>
    </row>
    <row r="1775" spans="2:2" ht="15.9" customHeight="1" x14ac:dyDescent="0.3">
      <c r="B1775" s="37"/>
    </row>
    <row r="1776" spans="2:2" ht="15.9" customHeight="1" x14ac:dyDescent="0.3">
      <c r="B1776" s="37"/>
    </row>
    <row r="1777" spans="2:2" ht="15.9" customHeight="1" x14ac:dyDescent="0.3">
      <c r="B1777" s="37"/>
    </row>
    <row r="1778" spans="2:2" ht="15.9" customHeight="1" x14ac:dyDescent="0.3">
      <c r="B1778" s="37"/>
    </row>
    <row r="1779" spans="2:2" ht="15.9" customHeight="1" x14ac:dyDescent="0.3">
      <c r="B1779" s="37"/>
    </row>
    <row r="1780" spans="2:2" ht="15.9" customHeight="1" x14ac:dyDescent="0.3">
      <c r="B1780" s="37"/>
    </row>
    <row r="1781" spans="2:2" ht="15.9" customHeight="1" x14ac:dyDescent="0.3">
      <c r="B1781" s="37"/>
    </row>
    <row r="1782" spans="2:2" ht="15.9" customHeight="1" x14ac:dyDescent="0.3">
      <c r="B1782" s="37"/>
    </row>
    <row r="1783" spans="2:2" ht="15.9" customHeight="1" x14ac:dyDescent="0.3">
      <c r="B1783" s="37"/>
    </row>
    <row r="1784" spans="2:2" ht="15.9" customHeight="1" x14ac:dyDescent="0.3">
      <c r="B1784" s="37"/>
    </row>
    <row r="1785" spans="2:2" ht="15.9" customHeight="1" x14ac:dyDescent="0.3">
      <c r="B1785" s="37"/>
    </row>
    <row r="1786" spans="2:2" ht="15.9" customHeight="1" x14ac:dyDescent="0.3">
      <c r="B1786" s="37"/>
    </row>
    <row r="1787" spans="2:2" ht="15.9" customHeight="1" x14ac:dyDescent="0.3">
      <c r="B1787" s="37"/>
    </row>
    <row r="1788" spans="2:2" ht="15.9" customHeight="1" x14ac:dyDescent="0.3">
      <c r="B1788" s="37"/>
    </row>
    <row r="1789" spans="2:2" ht="15.9" customHeight="1" x14ac:dyDescent="0.3">
      <c r="B1789" s="37"/>
    </row>
    <row r="1790" spans="2:2" ht="15.9" customHeight="1" x14ac:dyDescent="0.3">
      <c r="B1790" s="37"/>
    </row>
    <row r="1791" spans="2:2" ht="15.9" customHeight="1" x14ac:dyDescent="0.3">
      <c r="B1791" s="37"/>
    </row>
    <row r="1792" spans="2:2" ht="15.9" customHeight="1" x14ac:dyDescent="0.3">
      <c r="B1792" s="37"/>
    </row>
    <row r="1793" spans="2:2" ht="15.9" customHeight="1" x14ac:dyDescent="0.3">
      <c r="B1793" s="37"/>
    </row>
    <row r="1794" spans="2:2" ht="15.9" customHeight="1" x14ac:dyDescent="0.3">
      <c r="B1794" s="37"/>
    </row>
    <row r="1795" spans="2:2" ht="15.9" customHeight="1" x14ac:dyDescent="0.3">
      <c r="B1795" s="37"/>
    </row>
    <row r="1796" spans="2:2" ht="15.9" customHeight="1" x14ac:dyDescent="0.3">
      <c r="B1796" s="37"/>
    </row>
    <row r="1797" spans="2:2" ht="15.9" customHeight="1" x14ac:dyDescent="0.3">
      <c r="B1797" s="37"/>
    </row>
    <row r="1798" spans="2:2" ht="15.9" customHeight="1" x14ac:dyDescent="0.3">
      <c r="B1798" s="37"/>
    </row>
    <row r="1799" spans="2:2" ht="15.9" customHeight="1" x14ac:dyDescent="0.3">
      <c r="B1799" s="37"/>
    </row>
    <row r="1800" spans="2:2" ht="15.9" customHeight="1" x14ac:dyDescent="0.3">
      <c r="B1800" s="37"/>
    </row>
    <row r="1801" spans="2:2" ht="15.9" customHeight="1" x14ac:dyDescent="0.3">
      <c r="B1801" s="37"/>
    </row>
    <row r="1802" spans="2:2" ht="15.9" customHeight="1" x14ac:dyDescent="0.3">
      <c r="B1802" s="37"/>
    </row>
    <row r="1803" spans="2:2" ht="15.9" customHeight="1" x14ac:dyDescent="0.3">
      <c r="B1803" s="37"/>
    </row>
    <row r="1804" spans="2:2" ht="15.9" customHeight="1" x14ac:dyDescent="0.3">
      <c r="B1804" s="37"/>
    </row>
    <row r="1805" spans="2:2" ht="15.9" customHeight="1" x14ac:dyDescent="0.3">
      <c r="B1805" s="37"/>
    </row>
    <row r="1806" spans="2:2" ht="15.9" customHeight="1" x14ac:dyDescent="0.3">
      <c r="B1806" s="37"/>
    </row>
    <row r="1807" spans="2:2" ht="15.9" customHeight="1" x14ac:dyDescent="0.3">
      <c r="B1807" s="37"/>
    </row>
    <row r="1808" spans="2:2" ht="15.9" customHeight="1" x14ac:dyDescent="0.3">
      <c r="B1808" s="37"/>
    </row>
    <row r="1809" spans="2:2" ht="15.9" customHeight="1" x14ac:dyDescent="0.3">
      <c r="B1809" s="37"/>
    </row>
    <row r="1810" spans="2:2" ht="15.9" customHeight="1" x14ac:dyDescent="0.3">
      <c r="B1810" s="37"/>
    </row>
    <row r="1811" spans="2:2" ht="15.9" customHeight="1" x14ac:dyDescent="0.3">
      <c r="B1811" s="37"/>
    </row>
    <row r="1812" spans="2:2" ht="15.9" customHeight="1" x14ac:dyDescent="0.3">
      <c r="B1812" s="37"/>
    </row>
    <row r="1813" spans="2:2" ht="15.9" customHeight="1" x14ac:dyDescent="0.3">
      <c r="B1813" s="37"/>
    </row>
    <row r="1814" spans="2:2" ht="15.9" customHeight="1" x14ac:dyDescent="0.3">
      <c r="B1814" s="37"/>
    </row>
    <row r="1815" spans="2:2" ht="15.9" customHeight="1" x14ac:dyDescent="0.3">
      <c r="B1815" s="37"/>
    </row>
    <row r="1816" spans="2:2" ht="15.9" customHeight="1" x14ac:dyDescent="0.3">
      <c r="B1816" s="37"/>
    </row>
    <row r="1817" spans="2:2" ht="15.9" customHeight="1" x14ac:dyDescent="0.3">
      <c r="B1817" s="37"/>
    </row>
    <row r="1818" spans="2:2" ht="15.9" customHeight="1" x14ac:dyDescent="0.3">
      <c r="B1818" s="37"/>
    </row>
    <row r="1819" spans="2:2" ht="15.9" customHeight="1" x14ac:dyDescent="0.3">
      <c r="B1819" s="37"/>
    </row>
    <row r="1820" spans="2:2" ht="15.9" customHeight="1" x14ac:dyDescent="0.3">
      <c r="B1820" s="37"/>
    </row>
    <row r="1821" spans="2:2" ht="15.9" customHeight="1" x14ac:dyDescent="0.3">
      <c r="B1821" s="37"/>
    </row>
    <row r="1822" spans="2:2" ht="15.9" customHeight="1" x14ac:dyDescent="0.3">
      <c r="B1822" s="37"/>
    </row>
    <row r="1823" spans="2:2" ht="15.9" customHeight="1" x14ac:dyDescent="0.3">
      <c r="B1823" s="37"/>
    </row>
    <row r="1824" spans="2:2" ht="15.9" customHeight="1" x14ac:dyDescent="0.3">
      <c r="B1824" s="37"/>
    </row>
    <row r="1825" spans="2:2" ht="15.9" customHeight="1" x14ac:dyDescent="0.3">
      <c r="B1825" s="37"/>
    </row>
    <row r="1826" spans="2:2" ht="15.9" customHeight="1" x14ac:dyDescent="0.3">
      <c r="B1826" s="37"/>
    </row>
    <row r="1827" spans="2:2" ht="15.9" customHeight="1" x14ac:dyDescent="0.3">
      <c r="B1827" s="37"/>
    </row>
    <row r="1828" spans="2:2" ht="15.9" customHeight="1" x14ac:dyDescent="0.3">
      <c r="B1828" s="37"/>
    </row>
    <row r="1829" spans="2:2" ht="15.9" customHeight="1" x14ac:dyDescent="0.3">
      <c r="B1829" s="37"/>
    </row>
    <row r="1830" spans="2:2" ht="15.9" customHeight="1" x14ac:dyDescent="0.3">
      <c r="B1830" s="37"/>
    </row>
    <row r="1831" spans="2:2" ht="15.9" customHeight="1" x14ac:dyDescent="0.3">
      <c r="B1831" s="37"/>
    </row>
    <row r="1832" spans="2:2" ht="15.9" customHeight="1" x14ac:dyDescent="0.3">
      <c r="B1832" s="37"/>
    </row>
    <row r="1833" spans="2:2" ht="15.9" customHeight="1" x14ac:dyDescent="0.3">
      <c r="B1833" s="37"/>
    </row>
    <row r="1834" spans="2:2" ht="15.9" customHeight="1" x14ac:dyDescent="0.3">
      <c r="B1834" s="37"/>
    </row>
    <row r="1835" spans="2:2" ht="15.9" customHeight="1" x14ac:dyDescent="0.3">
      <c r="B1835" s="37"/>
    </row>
    <row r="1836" spans="2:2" ht="15.9" customHeight="1" x14ac:dyDescent="0.3">
      <c r="B1836" s="37"/>
    </row>
    <row r="1837" spans="2:2" ht="15.9" customHeight="1" x14ac:dyDescent="0.3">
      <c r="B1837" s="37"/>
    </row>
    <row r="1838" spans="2:2" ht="15.9" customHeight="1" x14ac:dyDescent="0.3">
      <c r="B1838" s="37"/>
    </row>
    <row r="1839" spans="2:2" ht="15.9" customHeight="1" x14ac:dyDescent="0.3">
      <c r="B1839" s="37"/>
    </row>
    <row r="1840" spans="2:2" ht="15.9" customHeight="1" x14ac:dyDescent="0.3">
      <c r="B1840" s="37"/>
    </row>
    <row r="1841" spans="2:2" ht="15.9" customHeight="1" x14ac:dyDescent="0.3">
      <c r="B1841" s="37"/>
    </row>
    <row r="1842" spans="2:2" ht="15.9" customHeight="1" x14ac:dyDescent="0.3">
      <c r="B1842" s="37"/>
    </row>
    <row r="1843" spans="2:2" ht="15.9" customHeight="1" x14ac:dyDescent="0.3">
      <c r="B1843" s="37"/>
    </row>
    <row r="1844" spans="2:2" ht="15.9" customHeight="1" x14ac:dyDescent="0.3">
      <c r="B1844" s="37"/>
    </row>
    <row r="1845" spans="2:2" ht="15.9" customHeight="1" x14ac:dyDescent="0.3">
      <c r="B1845" s="37"/>
    </row>
    <row r="1846" spans="2:2" ht="15.9" customHeight="1" x14ac:dyDescent="0.3">
      <c r="B1846" s="37"/>
    </row>
    <row r="1847" spans="2:2" ht="15.9" customHeight="1" x14ac:dyDescent="0.3">
      <c r="B1847" s="37"/>
    </row>
    <row r="1848" spans="2:2" ht="15.9" customHeight="1" x14ac:dyDescent="0.3">
      <c r="B1848" s="37"/>
    </row>
    <row r="1849" spans="2:2" ht="15.9" customHeight="1" x14ac:dyDescent="0.3">
      <c r="B1849" s="37"/>
    </row>
    <row r="1850" spans="2:2" ht="15.9" customHeight="1" x14ac:dyDescent="0.3">
      <c r="B1850" s="37"/>
    </row>
    <row r="1851" spans="2:2" ht="15.9" customHeight="1" x14ac:dyDescent="0.3">
      <c r="B1851" s="37"/>
    </row>
    <row r="1852" spans="2:2" ht="15.9" customHeight="1" x14ac:dyDescent="0.3">
      <c r="B1852" s="37"/>
    </row>
    <row r="1853" spans="2:2" ht="15.9" customHeight="1" x14ac:dyDescent="0.3">
      <c r="B1853" s="37"/>
    </row>
    <row r="1854" spans="2:2" ht="15.9" customHeight="1" x14ac:dyDescent="0.3">
      <c r="B1854" s="37"/>
    </row>
    <row r="1855" spans="2:2" ht="15.9" customHeight="1" x14ac:dyDescent="0.3">
      <c r="B1855" s="37"/>
    </row>
    <row r="1856" spans="2:2" ht="15.9" customHeight="1" x14ac:dyDescent="0.3">
      <c r="B1856" s="37"/>
    </row>
    <row r="1857" spans="2:2" ht="15.9" customHeight="1" x14ac:dyDescent="0.3">
      <c r="B1857" s="37"/>
    </row>
    <row r="1858" spans="2:2" ht="15.9" customHeight="1" x14ac:dyDescent="0.3">
      <c r="B1858" s="37"/>
    </row>
    <row r="1859" spans="2:2" ht="15.9" customHeight="1" x14ac:dyDescent="0.3">
      <c r="B1859" s="37"/>
    </row>
    <row r="1860" spans="2:2" ht="15.9" customHeight="1" x14ac:dyDescent="0.3">
      <c r="B1860" s="37"/>
    </row>
    <row r="1861" spans="2:2" ht="15.9" customHeight="1" x14ac:dyDescent="0.3">
      <c r="B1861" s="37"/>
    </row>
    <row r="1862" spans="2:2" ht="15.9" customHeight="1" x14ac:dyDescent="0.3">
      <c r="B1862" s="37"/>
    </row>
    <row r="1863" spans="2:2" ht="15.9" customHeight="1" x14ac:dyDescent="0.3">
      <c r="B1863" s="37"/>
    </row>
    <row r="1864" spans="2:2" ht="15.9" customHeight="1" x14ac:dyDescent="0.3">
      <c r="B1864" s="37"/>
    </row>
    <row r="1865" spans="2:2" ht="15.9" customHeight="1" x14ac:dyDescent="0.3">
      <c r="B1865" s="37"/>
    </row>
    <row r="1866" spans="2:2" ht="15.9" customHeight="1" x14ac:dyDescent="0.3">
      <c r="B1866" s="37"/>
    </row>
    <row r="1867" spans="2:2" ht="15.9" customHeight="1" x14ac:dyDescent="0.3">
      <c r="B1867" s="37"/>
    </row>
    <row r="1868" spans="2:2" ht="15.9" customHeight="1" x14ac:dyDescent="0.3">
      <c r="B1868" s="37"/>
    </row>
    <row r="1869" spans="2:2" ht="15.9" customHeight="1" x14ac:dyDescent="0.3">
      <c r="B1869" s="37"/>
    </row>
    <row r="1870" spans="2:2" ht="15.9" customHeight="1" x14ac:dyDescent="0.3">
      <c r="B1870" s="37"/>
    </row>
    <row r="1871" spans="2:2" ht="15.9" customHeight="1" x14ac:dyDescent="0.3">
      <c r="B1871" s="37"/>
    </row>
    <row r="1872" spans="2:2" ht="15.9" customHeight="1" x14ac:dyDescent="0.3">
      <c r="B1872" s="37"/>
    </row>
    <row r="1873" spans="2:2" ht="15.9" customHeight="1" x14ac:dyDescent="0.3">
      <c r="B1873" s="37"/>
    </row>
    <row r="1874" spans="2:2" ht="15.9" customHeight="1" x14ac:dyDescent="0.3">
      <c r="B1874" s="37"/>
    </row>
    <row r="1875" spans="2:2" ht="15.9" customHeight="1" x14ac:dyDescent="0.3">
      <c r="B1875" s="37"/>
    </row>
    <row r="1876" spans="2:2" ht="15.9" customHeight="1" x14ac:dyDescent="0.3">
      <c r="B1876" s="37"/>
    </row>
    <row r="1877" spans="2:2" ht="15.9" customHeight="1" x14ac:dyDescent="0.3">
      <c r="B1877" s="37"/>
    </row>
    <row r="1878" spans="2:2" ht="15.9" customHeight="1" x14ac:dyDescent="0.3">
      <c r="B1878" s="37"/>
    </row>
    <row r="1879" spans="2:2" ht="15.9" customHeight="1" x14ac:dyDescent="0.3">
      <c r="B1879" s="37"/>
    </row>
    <row r="1880" spans="2:2" ht="15.9" customHeight="1" x14ac:dyDescent="0.3">
      <c r="B1880" s="37"/>
    </row>
    <row r="1881" spans="2:2" ht="15.9" customHeight="1" x14ac:dyDescent="0.3">
      <c r="B1881" s="37"/>
    </row>
    <row r="1882" spans="2:2" ht="15.9" customHeight="1" x14ac:dyDescent="0.3">
      <c r="B1882" s="37"/>
    </row>
    <row r="1883" spans="2:2" ht="15.9" customHeight="1" x14ac:dyDescent="0.3">
      <c r="B1883" s="37"/>
    </row>
    <row r="1884" spans="2:2" ht="15.9" customHeight="1" x14ac:dyDescent="0.3">
      <c r="B1884" s="37"/>
    </row>
    <row r="1885" spans="2:2" ht="15.9" customHeight="1" x14ac:dyDescent="0.3">
      <c r="B1885" s="37"/>
    </row>
    <row r="1886" spans="2:2" ht="15.9" customHeight="1" x14ac:dyDescent="0.3">
      <c r="B1886" s="37"/>
    </row>
    <row r="1887" spans="2:2" ht="15.9" customHeight="1" x14ac:dyDescent="0.3">
      <c r="B1887" s="37"/>
    </row>
    <row r="1888" spans="2:2" ht="15.9" customHeight="1" x14ac:dyDescent="0.3">
      <c r="B1888" s="37"/>
    </row>
    <row r="1889" spans="2:2" ht="15.9" customHeight="1" x14ac:dyDescent="0.3">
      <c r="B1889" s="37"/>
    </row>
    <row r="1890" spans="2:2" ht="15.9" customHeight="1" x14ac:dyDescent="0.3">
      <c r="B1890" s="37"/>
    </row>
    <row r="1891" spans="2:2" ht="15.9" customHeight="1" x14ac:dyDescent="0.3">
      <c r="B1891" s="37"/>
    </row>
    <row r="1892" spans="2:2" ht="15.9" customHeight="1" x14ac:dyDescent="0.3">
      <c r="B1892" s="37"/>
    </row>
    <row r="1893" spans="2:2" ht="15.9" customHeight="1" x14ac:dyDescent="0.3">
      <c r="B1893" s="37"/>
    </row>
    <row r="1894" spans="2:2" ht="15.9" customHeight="1" x14ac:dyDescent="0.3">
      <c r="B1894" s="37"/>
    </row>
    <row r="1895" spans="2:2" ht="15.9" customHeight="1" x14ac:dyDescent="0.3">
      <c r="B1895" s="37"/>
    </row>
    <row r="1896" spans="2:2" ht="15.9" customHeight="1" x14ac:dyDescent="0.3">
      <c r="B1896" s="37"/>
    </row>
    <row r="1897" spans="2:2" ht="15.9" customHeight="1" x14ac:dyDescent="0.3">
      <c r="B1897" s="37"/>
    </row>
    <row r="1898" spans="2:2" ht="15.9" customHeight="1" x14ac:dyDescent="0.3">
      <c r="B1898" s="37"/>
    </row>
    <row r="1899" spans="2:2" ht="15.9" customHeight="1" x14ac:dyDescent="0.3">
      <c r="B1899" s="37"/>
    </row>
    <row r="1900" spans="2:2" ht="15.9" customHeight="1" x14ac:dyDescent="0.3">
      <c r="B1900" s="37"/>
    </row>
    <row r="1901" spans="2:2" ht="15.9" customHeight="1" x14ac:dyDescent="0.3">
      <c r="B1901" s="37"/>
    </row>
    <row r="1902" spans="2:2" ht="15.9" customHeight="1" x14ac:dyDescent="0.3">
      <c r="B1902" s="37"/>
    </row>
    <row r="1903" spans="2:2" ht="15.9" customHeight="1" x14ac:dyDescent="0.3">
      <c r="B1903" s="37"/>
    </row>
    <row r="1904" spans="2:2" ht="15.9" customHeight="1" x14ac:dyDescent="0.3">
      <c r="B1904" s="37"/>
    </row>
    <row r="1905" spans="2:2" ht="15.9" customHeight="1" x14ac:dyDescent="0.3">
      <c r="B1905" s="37"/>
    </row>
    <row r="1906" spans="2:2" ht="15.9" customHeight="1" x14ac:dyDescent="0.3">
      <c r="B1906" s="37"/>
    </row>
    <row r="1907" spans="2:2" ht="15.9" customHeight="1" x14ac:dyDescent="0.3">
      <c r="B1907" s="37"/>
    </row>
    <row r="1908" spans="2:2" ht="15.9" customHeight="1" x14ac:dyDescent="0.3">
      <c r="B1908" s="37"/>
    </row>
    <row r="1909" spans="2:2" ht="15.9" customHeight="1" x14ac:dyDescent="0.3">
      <c r="B1909" s="37"/>
    </row>
    <row r="1910" spans="2:2" ht="15.9" customHeight="1" x14ac:dyDescent="0.3">
      <c r="B1910" s="37"/>
    </row>
    <row r="1911" spans="2:2" ht="15.9" customHeight="1" x14ac:dyDescent="0.3">
      <c r="B1911" s="37"/>
    </row>
    <row r="1912" spans="2:2" ht="15.9" customHeight="1" x14ac:dyDescent="0.3">
      <c r="B1912" s="37"/>
    </row>
    <row r="1913" spans="2:2" ht="15.9" customHeight="1" x14ac:dyDescent="0.3">
      <c r="B1913" s="37"/>
    </row>
    <row r="1914" spans="2:2" ht="15.9" customHeight="1" x14ac:dyDescent="0.3">
      <c r="B1914" s="37"/>
    </row>
    <row r="1915" spans="2:2" ht="15.9" customHeight="1" x14ac:dyDescent="0.3">
      <c r="B1915" s="37"/>
    </row>
    <row r="1916" spans="2:2" ht="15.9" customHeight="1" x14ac:dyDescent="0.3">
      <c r="B1916" s="37"/>
    </row>
    <row r="1917" spans="2:2" ht="15.9" customHeight="1" x14ac:dyDescent="0.3">
      <c r="B1917" s="37"/>
    </row>
    <row r="1918" spans="2:2" ht="15.9" customHeight="1" x14ac:dyDescent="0.3">
      <c r="B1918" s="37"/>
    </row>
    <row r="1919" spans="2:2" ht="15.9" customHeight="1" x14ac:dyDescent="0.3">
      <c r="B1919" s="37"/>
    </row>
    <row r="1920" spans="2:2" ht="15.9" customHeight="1" x14ac:dyDescent="0.3">
      <c r="B1920" s="37"/>
    </row>
    <row r="1921" spans="2:2" ht="15.9" customHeight="1" x14ac:dyDescent="0.3">
      <c r="B1921" s="37"/>
    </row>
    <row r="1922" spans="2:2" ht="15.9" customHeight="1" x14ac:dyDescent="0.3">
      <c r="B1922" s="37"/>
    </row>
    <row r="1923" spans="2:2" ht="15.9" customHeight="1" x14ac:dyDescent="0.3">
      <c r="B1923" s="37"/>
    </row>
    <row r="1924" spans="2:2" ht="15.9" customHeight="1" x14ac:dyDescent="0.3">
      <c r="B1924" s="37"/>
    </row>
    <row r="1925" spans="2:2" ht="15.9" customHeight="1" x14ac:dyDescent="0.3">
      <c r="B1925" s="37"/>
    </row>
    <row r="1926" spans="2:2" ht="15.9" customHeight="1" x14ac:dyDescent="0.3">
      <c r="B1926" s="37"/>
    </row>
    <row r="1927" spans="2:2" ht="15.9" customHeight="1" x14ac:dyDescent="0.3">
      <c r="B1927" s="37"/>
    </row>
    <row r="1928" spans="2:2" ht="15.9" customHeight="1" x14ac:dyDescent="0.3">
      <c r="B1928" s="37"/>
    </row>
    <row r="1929" spans="2:2" ht="15.9" customHeight="1" x14ac:dyDescent="0.3">
      <c r="B1929" s="37"/>
    </row>
    <row r="1930" spans="2:2" ht="15.9" customHeight="1" x14ac:dyDescent="0.3">
      <c r="B1930" s="37"/>
    </row>
    <row r="1931" spans="2:2" ht="15.9" customHeight="1" x14ac:dyDescent="0.3">
      <c r="B1931" s="37"/>
    </row>
    <row r="1932" spans="2:2" ht="15.9" customHeight="1" x14ac:dyDescent="0.3">
      <c r="B1932" s="37"/>
    </row>
    <row r="1933" spans="2:2" ht="15.9" customHeight="1" x14ac:dyDescent="0.3">
      <c r="B1933" s="37"/>
    </row>
    <row r="1934" spans="2:2" ht="15.9" customHeight="1" x14ac:dyDescent="0.3">
      <c r="B1934" s="37"/>
    </row>
    <row r="1935" spans="2:2" ht="15.9" customHeight="1" x14ac:dyDescent="0.3">
      <c r="B1935" s="37"/>
    </row>
    <row r="1936" spans="2:2" ht="15.9" customHeight="1" x14ac:dyDescent="0.3">
      <c r="B1936" s="37"/>
    </row>
    <row r="1937" spans="2:2" ht="15.9" customHeight="1" x14ac:dyDescent="0.3">
      <c r="B1937" s="37"/>
    </row>
    <row r="1938" spans="2:2" ht="15.9" customHeight="1" x14ac:dyDescent="0.3">
      <c r="B1938" s="37"/>
    </row>
    <row r="1939" spans="2:2" ht="15.9" customHeight="1" x14ac:dyDescent="0.3">
      <c r="B1939" s="37"/>
    </row>
    <row r="1940" spans="2:2" ht="15.9" customHeight="1" x14ac:dyDescent="0.3">
      <c r="B1940" s="37"/>
    </row>
    <row r="1941" spans="2:2" ht="15.9" customHeight="1" x14ac:dyDescent="0.3">
      <c r="B1941" s="37"/>
    </row>
    <row r="1942" spans="2:2" ht="15.9" customHeight="1" x14ac:dyDescent="0.3">
      <c r="B1942" s="37"/>
    </row>
    <row r="1943" spans="2:2" ht="15.9" customHeight="1" x14ac:dyDescent="0.3">
      <c r="B1943" s="37"/>
    </row>
    <row r="1944" spans="2:2" ht="15.9" customHeight="1" x14ac:dyDescent="0.3">
      <c r="B1944" s="37"/>
    </row>
    <row r="1945" spans="2:2" ht="15.9" customHeight="1" x14ac:dyDescent="0.3">
      <c r="B1945" s="37"/>
    </row>
    <row r="1946" spans="2:2" ht="15.9" customHeight="1" x14ac:dyDescent="0.3">
      <c r="B1946" s="37"/>
    </row>
    <row r="1947" spans="2:2" ht="15.9" customHeight="1" x14ac:dyDescent="0.3">
      <c r="B1947" s="37"/>
    </row>
    <row r="1948" spans="2:2" ht="15.9" customHeight="1" x14ac:dyDescent="0.3">
      <c r="B1948" s="37"/>
    </row>
    <row r="1949" spans="2:2" ht="15.9" customHeight="1" x14ac:dyDescent="0.3">
      <c r="B1949" s="37"/>
    </row>
    <row r="1950" spans="2:2" ht="15.9" customHeight="1" x14ac:dyDescent="0.3">
      <c r="B1950" s="37"/>
    </row>
    <row r="1951" spans="2:2" ht="15.9" customHeight="1" x14ac:dyDescent="0.3">
      <c r="B1951" s="37"/>
    </row>
    <row r="1952" spans="2:2" ht="15.9" customHeight="1" x14ac:dyDescent="0.3">
      <c r="B1952" s="37"/>
    </row>
    <row r="1953" spans="2:2" ht="15.9" customHeight="1" x14ac:dyDescent="0.3">
      <c r="B1953" s="37"/>
    </row>
    <row r="1954" spans="2:2" ht="15.9" customHeight="1" x14ac:dyDescent="0.3">
      <c r="B1954" s="37"/>
    </row>
    <row r="1955" spans="2:2" ht="15.9" customHeight="1" x14ac:dyDescent="0.3">
      <c r="B1955" s="37"/>
    </row>
    <row r="1956" spans="2:2" ht="15.9" customHeight="1" x14ac:dyDescent="0.3">
      <c r="B1956" s="37"/>
    </row>
    <row r="1957" spans="2:2" ht="15.9" customHeight="1" x14ac:dyDescent="0.3">
      <c r="B1957" s="37"/>
    </row>
    <row r="1958" spans="2:2" ht="15.9" customHeight="1" x14ac:dyDescent="0.3">
      <c r="B1958" s="37"/>
    </row>
    <row r="1959" spans="2:2" ht="15.9" customHeight="1" x14ac:dyDescent="0.3">
      <c r="B1959" s="37"/>
    </row>
    <row r="1960" spans="2:2" ht="15.9" customHeight="1" x14ac:dyDescent="0.3">
      <c r="B1960" s="37"/>
    </row>
    <row r="1961" spans="2:2" ht="15.9" customHeight="1" x14ac:dyDescent="0.3">
      <c r="B1961" s="37"/>
    </row>
    <row r="1962" spans="2:2" ht="15.9" customHeight="1" x14ac:dyDescent="0.3">
      <c r="B1962" s="37"/>
    </row>
    <row r="1963" spans="2:2" ht="15.9" customHeight="1" x14ac:dyDescent="0.3">
      <c r="B1963" s="37"/>
    </row>
    <row r="1964" spans="2:2" ht="15.9" customHeight="1" x14ac:dyDescent="0.3">
      <c r="B1964" s="37"/>
    </row>
    <row r="1965" spans="2:2" ht="15.9" customHeight="1" x14ac:dyDescent="0.3">
      <c r="B1965" s="37"/>
    </row>
    <row r="1966" spans="2:2" ht="15.9" customHeight="1" x14ac:dyDescent="0.3">
      <c r="B1966" s="37"/>
    </row>
    <row r="1967" spans="2:2" ht="15.9" customHeight="1" x14ac:dyDescent="0.3">
      <c r="B1967" s="37"/>
    </row>
    <row r="1968" spans="2:2" ht="15.9" customHeight="1" x14ac:dyDescent="0.3">
      <c r="B1968" s="37"/>
    </row>
    <row r="1969" spans="2:2" ht="15.9" customHeight="1" x14ac:dyDescent="0.3">
      <c r="B1969" s="37"/>
    </row>
    <row r="1970" spans="2:2" ht="15.9" customHeight="1" x14ac:dyDescent="0.3">
      <c r="B1970" s="37"/>
    </row>
    <row r="1971" spans="2:2" ht="15.9" customHeight="1" x14ac:dyDescent="0.3">
      <c r="B1971" s="37"/>
    </row>
    <row r="1972" spans="2:2" ht="15.9" customHeight="1" x14ac:dyDescent="0.3">
      <c r="B1972" s="37"/>
    </row>
    <row r="1973" spans="2:2" ht="15.9" customHeight="1" x14ac:dyDescent="0.3">
      <c r="B1973" s="37"/>
    </row>
    <row r="1974" spans="2:2" ht="15.9" customHeight="1" x14ac:dyDescent="0.3">
      <c r="B1974" s="37"/>
    </row>
    <row r="1975" spans="2:2" ht="15.9" customHeight="1" x14ac:dyDescent="0.3">
      <c r="B1975" s="37"/>
    </row>
    <row r="1976" spans="2:2" ht="15.9" customHeight="1" x14ac:dyDescent="0.3">
      <c r="B1976" s="37"/>
    </row>
    <row r="1977" spans="2:2" ht="15.9" customHeight="1" x14ac:dyDescent="0.3">
      <c r="B1977" s="37"/>
    </row>
    <row r="1978" spans="2:2" ht="15.9" customHeight="1" x14ac:dyDescent="0.3">
      <c r="B1978" s="37"/>
    </row>
    <row r="1979" spans="2:2" ht="15.9" customHeight="1" x14ac:dyDescent="0.3">
      <c r="B1979" s="37"/>
    </row>
    <row r="1980" spans="2:2" ht="15.9" customHeight="1" x14ac:dyDescent="0.3">
      <c r="B1980" s="37"/>
    </row>
    <row r="1981" spans="2:2" ht="15.9" customHeight="1" x14ac:dyDescent="0.3">
      <c r="B1981" s="37"/>
    </row>
    <row r="1982" spans="2:2" ht="15.9" customHeight="1" x14ac:dyDescent="0.3">
      <c r="B1982" s="37"/>
    </row>
    <row r="1983" spans="2:2" ht="15.9" customHeight="1" x14ac:dyDescent="0.3">
      <c r="B1983" s="37"/>
    </row>
    <row r="1984" spans="2:2" ht="15.9" customHeight="1" x14ac:dyDescent="0.3">
      <c r="B1984" s="37"/>
    </row>
    <row r="1985" spans="2:2" ht="15.9" customHeight="1" x14ac:dyDescent="0.3">
      <c r="B1985" s="37"/>
    </row>
    <row r="1986" spans="2:2" ht="15.9" customHeight="1" x14ac:dyDescent="0.3">
      <c r="B1986" s="37"/>
    </row>
    <row r="1987" spans="2:2" ht="15.9" customHeight="1" x14ac:dyDescent="0.3">
      <c r="B1987" s="37"/>
    </row>
    <row r="1988" spans="2:2" ht="15.9" customHeight="1" x14ac:dyDescent="0.3">
      <c r="B1988" s="37"/>
    </row>
    <row r="1989" spans="2:2" ht="15.9" customHeight="1" x14ac:dyDescent="0.3">
      <c r="B1989" s="37"/>
    </row>
    <row r="1990" spans="2:2" ht="15.9" customHeight="1" x14ac:dyDescent="0.3">
      <c r="B1990" s="37"/>
    </row>
    <row r="1991" spans="2:2" ht="15.9" customHeight="1" x14ac:dyDescent="0.3">
      <c r="B1991" s="37"/>
    </row>
    <row r="1992" spans="2:2" ht="15.9" customHeight="1" x14ac:dyDescent="0.3">
      <c r="B1992" s="37"/>
    </row>
    <row r="1993" spans="2:2" ht="15.9" customHeight="1" x14ac:dyDescent="0.3">
      <c r="B1993" s="37"/>
    </row>
    <row r="1994" spans="2:2" ht="15.9" customHeight="1" x14ac:dyDescent="0.3">
      <c r="B1994" s="37"/>
    </row>
    <row r="1995" spans="2:2" ht="15.9" customHeight="1" x14ac:dyDescent="0.3">
      <c r="B1995" s="37"/>
    </row>
    <row r="1996" spans="2:2" ht="15.9" customHeight="1" x14ac:dyDescent="0.3">
      <c r="B1996" s="37"/>
    </row>
    <row r="1997" spans="2:2" ht="15.9" customHeight="1" x14ac:dyDescent="0.3">
      <c r="B1997" s="37"/>
    </row>
    <row r="1998" spans="2:2" ht="15.9" customHeight="1" x14ac:dyDescent="0.3">
      <c r="B1998" s="37"/>
    </row>
    <row r="1999" spans="2:2" ht="15.9" customHeight="1" x14ac:dyDescent="0.3">
      <c r="B1999" s="37"/>
    </row>
    <row r="2000" spans="2:2" ht="15.9" customHeight="1" x14ac:dyDescent="0.3">
      <c r="B2000" s="37"/>
    </row>
    <row r="2001" spans="2:2" ht="15.9" customHeight="1" x14ac:dyDescent="0.3">
      <c r="B2001" s="37"/>
    </row>
    <row r="2002" spans="2:2" ht="15.9" customHeight="1" x14ac:dyDescent="0.3">
      <c r="B2002" s="37"/>
    </row>
    <row r="2003" spans="2:2" ht="15.9" customHeight="1" x14ac:dyDescent="0.3">
      <c r="B2003" s="37"/>
    </row>
    <row r="2004" spans="2:2" ht="15.9" customHeight="1" x14ac:dyDescent="0.3">
      <c r="B2004" s="37"/>
    </row>
    <row r="2005" spans="2:2" ht="15.9" customHeight="1" x14ac:dyDescent="0.3">
      <c r="B2005" s="37"/>
    </row>
    <row r="2006" spans="2:2" ht="15.9" customHeight="1" x14ac:dyDescent="0.3">
      <c r="B2006" s="37"/>
    </row>
    <row r="2007" spans="2:2" ht="15.9" customHeight="1" x14ac:dyDescent="0.3">
      <c r="B2007" s="37"/>
    </row>
    <row r="2008" spans="2:2" ht="15.9" customHeight="1" x14ac:dyDescent="0.3">
      <c r="B2008" s="37"/>
    </row>
    <row r="2009" spans="2:2" ht="15.9" customHeight="1" x14ac:dyDescent="0.3">
      <c r="B2009" s="37"/>
    </row>
    <row r="2010" spans="2:2" ht="15.9" customHeight="1" x14ac:dyDescent="0.3">
      <c r="B2010" s="37"/>
    </row>
    <row r="2011" spans="2:2" ht="15.9" customHeight="1" x14ac:dyDescent="0.3">
      <c r="B2011" s="37"/>
    </row>
    <row r="2012" spans="2:2" ht="15.9" customHeight="1" x14ac:dyDescent="0.3">
      <c r="B2012" s="37"/>
    </row>
    <row r="2013" spans="2:2" ht="15.9" customHeight="1" x14ac:dyDescent="0.3">
      <c r="B2013" s="37"/>
    </row>
    <row r="2014" spans="2:2" ht="15.9" customHeight="1" x14ac:dyDescent="0.3">
      <c r="B2014" s="37"/>
    </row>
    <row r="2015" spans="2:2" ht="15.9" customHeight="1" x14ac:dyDescent="0.3">
      <c r="B2015" s="37"/>
    </row>
    <row r="2016" spans="2:2" ht="15.9" customHeight="1" x14ac:dyDescent="0.3">
      <c r="B2016" s="37"/>
    </row>
    <row r="2017" spans="2:2" ht="15.9" customHeight="1" x14ac:dyDescent="0.3">
      <c r="B2017" s="37"/>
    </row>
    <row r="2018" spans="2:2" ht="15.9" customHeight="1" x14ac:dyDescent="0.3">
      <c r="B2018" s="37"/>
    </row>
    <row r="2019" spans="2:2" ht="15.9" customHeight="1" x14ac:dyDescent="0.3">
      <c r="B2019" s="37"/>
    </row>
    <row r="2020" spans="2:2" ht="15.9" customHeight="1" x14ac:dyDescent="0.3">
      <c r="B2020" s="37"/>
    </row>
    <row r="2021" spans="2:2" ht="15.9" customHeight="1" x14ac:dyDescent="0.3">
      <c r="B2021" s="37"/>
    </row>
    <row r="2022" spans="2:2" ht="15.9" customHeight="1" x14ac:dyDescent="0.3">
      <c r="B2022" s="37"/>
    </row>
    <row r="2023" spans="2:2" ht="15.9" customHeight="1" x14ac:dyDescent="0.3">
      <c r="B2023" s="37"/>
    </row>
    <row r="2024" spans="2:2" ht="15.9" customHeight="1" x14ac:dyDescent="0.3">
      <c r="B2024" s="37"/>
    </row>
    <row r="2025" spans="2:2" ht="15.9" customHeight="1" x14ac:dyDescent="0.3">
      <c r="B2025" s="37"/>
    </row>
    <row r="2026" spans="2:2" ht="15.9" customHeight="1" x14ac:dyDescent="0.3">
      <c r="B2026" s="37"/>
    </row>
    <row r="2027" spans="2:2" ht="15.9" customHeight="1" x14ac:dyDescent="0.3">
      <c r="B2027" s="37"/>
    </row>
    <row r="2028" spans="2:2" ht="15.9" customHeight="1" x14ac:dyDescent="0.3">
      <c r="B2028" s="37"/>
    </row>
    <row r="2029" spans="2:2" ht="15.9" customHeight="1" x14ac:dyDescent="0.3">
      <c r="B2029" s="37"/>
    </row>
    <row r="2030" spans="2:2" ht="15.9" customHeight="1" x14ac:dyDescent="0.3">
      <c r="B2030" s="37"/>
    </row>
    <row r="2031" spans="2:2" ht="15.9" customHeight="1" x14ac:dyDescent="0.3">
      <c r="B2031" s="37"/>
    </row>
    <row r="2032" spans="2:2" ht="15.9" customHeight="1" x14ac:dyDescent="0.3">
      <c r="B2032" s="37"/>
    </row>
    <row r="2033" spans="2:2" ht="15.9" customHeight="1" x14ac:dyDescent="0.3">
      <c r="B2033" s="37"/>
    </row>
    <row r="2034" spans="2:2" ht="15.9" customHeight="1" x14ac:dyDescent="0.3">
      <c r="B2034" s="37"/>
    </row>
    <row r="2035" spans="2:2" ht="15.9" customHeight="1" x14ac:dyDescent="0.3">
      <c r="B2035" s="37"/>
    </row>
    <row r="2036" spans="2:2" ht="15.9" customHeight="1" x14ac:dyDescent="0.3">
      <c r="B2036" s="37"/>
    </row>
    <row r="2037" spans="2:2" ht="15.9" customHeight="1" x14ac:dyDescent="0.3">
      <c r="B2037" s="37"/>
    </row>
    <row r="2038" spans="2:2" ht="15.9" customHeight="1" x14ac:dyDescent="0.3">
      <c r="B2038" s="37"/>
    </row>
    <row r="2039" spans="2:2" ht="15.9" customHeight="1" x14ac:dyDescent="0.3">
      <c r="B2039" s="37"/>
    </row>
    <row r="2040" spans="2:2" ht="15.9" customHeight="1" x14ac:dyDescent="0.3">
      <c r="B2040" s="37"/>
    </row>
    <row r="2041" spans="2:2" ht="15.9" customHeight="1" x14ac:dyDescent="0.3">
      <c r="B2041" s="37"/>
    </row>
    <row r="2042" spans="2:2" ht="15.9" customHeight="1" x14ac:dyDescent="0.3">
      <c r="B2042" s="37"/>
    </row>
    <row r="2043" spans="2:2" ht="15.9" customHeight="1" x14ac:dyDescent="0.3">
      <c r="B2043" s="37"/>
    </row>
    <row r="2044" spans="2:2" ht="15.9" customHeight="1" x14ac:dyDescent="0.3">
      <c r="B2044" s="37"/>
    </row>
    <row r="2045" spans="2:2" ht="15.9" customHeight="1" x14ac:dyDescent="0.3">
      <c r="B2045" s="37"/>
    </row>
    <row r="2046" spans="2:2" ht="15.9" customHeight="1" x14ac:dyDescent="0.3">
      <c r="B2046" s="37"/>
    </row>
    <row r="2047" spans="2:2" ht="15.9" customHeight="1" x14ac:dyDescent="0.3">
      <c r="B2047" s="37"/>
    </row>
    <row r="2048" spans="2:2" ht="15.9" customHeight="1" x14ac:dyDescent="0.3">
      <c r="B2048" s="37"/>
    </row>
    <row r="2049" spans="2:2" ht="15.9" customHeight="1" x14ac:dyDescent="0.3">
      <c r="B2049" s="37"/>
    </row>
    <row r="2050" spans="2:2" ht="15.9" customHeight="1" x14ac:dyDescent="0.3">
      <c r="B2050" s="37"/>
    </row>
    <row r="2051" spans="2:2" ht="15.9" customHeight="1" x14ac:dyDescent="0.3">
      <c r="B2051" s="37"/>
    </row>
    <row r="2052" spans="2:2" ht="15.9" customHeight="1" x14ac:dyDescent="0.3">
      <c r="B2052" s="37"/>
    </row>
    <row r="2053" spans="2:2" ht="15.9" customHeight="1" x14ac:dyDescent="0.3">
      <c r="B2053" s="37"/>
    </row>
    <row r="2054" spans="2:2" ht="15.9" customHeight="1" x14ac:dyDescent="0.3">
      <c r="B2054" s="37"/>
    </row>
    <row r="2055" spans="2:2" ht="15.9" customHeight="1" x14ac:dyDescent="0.3">
      <c r="B2055" s="37"/>
    </row>
    <row r="2056" spans="2:2" ht="15.9" customHeight="1" x14ac:dyDescent="0.3">
      <c r="B2056" s="37"/>
    </row>
    <row r="2057" spans="2:2" ht="15.9" customHeight="1" x14ac:dyDescent="0.3">
      <c r="B2057" s="37"/>
    </row>
    <row r="2058" spans="2:2" ht="15.9" customHeight="1" x14ac:dyDescent="0.3">
      <c r="B2058" s="37"/>
    </row>
    <row r="2059" spans="2:2" ht="15.9" customHeight="1" x14ac:dyDescent="0.3">
      <c r="B2059" s="37"/>
    </row>
    <row r="2060" spans="2:2" ht="15.9" customHeight="1" x14ac:dyDescent="0.3">
      <c r="B2060" s="37"/>
    </row>
    <row r="2061" spans="2:2" ht="15.9" customHeight="1" x14ac:dyDescent="0.3">
      <c r="B2061" s="37"/>
    </row>
    <row r="2062" spans="2:2" ht="15.9" customHeight="1" x14ac:dyDescent="0.3">
      <c r="B2062" s="37"/>
    </row>
    <row r="2063" spans="2:2" ht="15.9" customHeight="1" x14ac:dyDescent="0.3">
      <c r="B2063" s="37"/>
    </row>
    <row r="2064" spans="2:2" ht="15.9" customHeight="1" x14ac:dyDescent="0.3">
      <c r="B2064" s="37"/>
    </row>
    <row r="2065" spans="2:2" ht="15.9" customHeight="1" x14ac:dyDescent="0.3">
      <c r="B2065" s="37"/>
    </row>
    <row r="2066" spans="2:2" ht="15.9" customHeight="1" x14ac:dyDescent="0.3">
      <c r="B2066" s="37"/>
    </row>
    <row r="2067" spans="2:2" ht="15.9" customHeight="1" x14ac:dyDescent="0.3">
      <c r="B2067" s="37"/>
    </row>
    <row r="2068" spans="2:2" ht="15.9" customHeight="1" x14ac:dyDescent="0.3">
      <c r="B2068" s="37"/>
    </row>
    <row r="2069" spans="2:2" ht="15.9" customHeight="1" x14ac:dyDescent="0.3">
      <c r="B2069" s="37"/>
    </row>
    <row r="2070" spans="2:2" ht="15.9" customHeight="1" x14ac:dyDescent="0.3">
      <c r="B2070" s="37"/>
    </row>
    <row r="2071" spans="2:2" ht="15.9" customHeight="1" x14ac:dyDescent="0.3">
      <c r="B2071" s="37"/>
    </row>
    <row r="2072" spans="2:2" ht="15.9" customHeight="1" x14ac:dyDescent="0.3">
      <c r="B2072" s="37"/>
    </row>
    <row r="2073" spans="2:2" ht="15.9" customHeight="1" x14ac:dyDescent="0.3">
      <c r="B2073" s="37"/>
    </row>
    <row r="2074" spans="2:2" ht="15.9" customHeight="1" x14ac:dyDescent="0.3">
      <c r="B2074" s="37"/>
    </row>
    <row r="2075" spans="2:2" ht="15.9" customHeight="1" x14ac:dyDescent="0.3">
      <c r="B2075" s="37"/>
    </row>
    <row r="2076" spans="2:2" ht="15.9" customHeight="1" x14ac:dyDescent="0.3">
      <c r="B2076" s="37"/>
    </row>
    <row r="2077" spans="2:2" ht="15.9" customHeight="1" x14ac:dyDescent="0.3">
      <c r="B2077" s="37"/>
    </row>
    <row r="2078" spans="2:2" ht="15.9" customHeight="1" x14ac:dyDescent="0.3">
      <c r="B2078" s="37"/>
    </row>
    <row r="2079" spans="2:2" ht="15.9" customHeight="1" x14ac:dyDescent="0.3">
      <c r="B2079" s="37"/>
    </row>
    <row r="2080" spans="2:2" ht="15.9" customHeight="1" x14ac:dyDescent="0.3">
      <c r="B2080" s="37"/>
    </row>
    <row r="2081" spans="2:2" ht="15.9" customHeight="1" x14ac:dyDescent="0.3">
      <c r="B2081" s="37"/>
    </row>
    <row r="2082" spans="2:2" ht="15.9" customHeight="1" x14ac:dyDescent="0.3">
      <c r="B2082" s="37"/>
    </row>
    <row r="2083" spans="2:2" ht="15.9" customHeight="1" x14ac:dyDescent="0.3">
      <c r="B2083" s="37"/>
    </row>
    <row r="2084" spans="2:2" ht="15.9" customHeight="1" x14ac:dyDescent="0.3">
      <c r="B2084" s="37"/>
    </row>
    <row r="2085" spans="2:2" ht="15.9" customHeight="1" x14ac:dyDescent="0.3">
      <c r="B2085" s="37"/>
    </row>
    <row r="2086" spans="2:2" ht="15.9" customHeight="1" x14ac:dyDescent="0.3">
      <c r="B2086" s="37"/>
    </row>
    <row r="2087" spans="2:2" ht="15.9" customHeight="1" x14ac:dyDescent="0.3">
      <c r="B2087" s="37"/>
    </row>
    <row r="2088" spans="2:2" ht="15.9" customHeight="1" x14ac:dyDescent="0.3">
      <c r="B2088" s="37"/>
    </row>
    <row r="2089" spans="2:2" ht="15.9" customHeight="1" x14ac:dyDescent="0.3">
      <c r="B2089" s="37"/>
    </row>
    <row r="2090" spans="2:2" ht="15.9" customHeight="1" x14ac:dyDescent="0.3">
      <c r="B2090" s="37"/>
    </row>
    <row r="2091" spans="2:2" ht="15.9" customHeight="1" x14ac:dyDescent="0.3">
      <c r="B2091" s="37"/>
    </row>
    <row r="2092" spans="2:2" ht="15.9" customHeight="1" x14ac:dyDescent="0.3">
      <c r="B2092" s="37"/>
    </row>
    <row r="2093" spans="2:2" ht="15.9" customHeight="1" x14ac:dyDescent="0.3">
      <c r="B2093" s="37"/>
    </row>
    <row r="2094" spans="2:2" ht="15.9" customHeight="1" x14ac:dyDescent="0.3">
      <c r="B2094" s="37"/>
    </row>
    <row r="2095" spans="2:2" ht="15.9" customHeight="1" x14ac:dyDescent="0.3">
      <c r="B2095" s="37"/>
    </row>
    <row r="2096" spans="2:2" ht="15.9" customHeight="1" x14ac:dyDescent="0.3">
      <c r="B2096" s="37"/>
    </row>
    <row r="2097" spans="2:2" ht="15.9" customHeight="1" x14ac:dyDescent="0.3">
      <c r="B2097" s="37"/>
    </row>
    <row r="2098" spans="2:2" ht="15.9" customHeight="1" x14ac:dyDescent="0.3">
      <c r="B2098" s="37"/>
    </row>
    <row r="2099" spans="2:2" ht="15.9" customHeight="1" x14ac:dyDescent="0.3">
      <c r="B2099" s="37"/>
    </row>
    <row r="2100" spans="2:2" ht="15.9" customHeight="1" x14ac:dyDescent="0.3">
      <c r="B2100" s="37"/>
    </row>
    <row r="2101" spans="2:2" ht="15.9" customHeight="1" x14ac:dyDescent="0.3">
      <c r="B2101" s="37"/>
    </row>
    <row r="2102" spans="2:2" ht="15.9" customHeight="1" x14ac:dyDescent="0.3">
      <c r="B2102" s="37"/>
    </row>
    <row r="2103" spans="2:2" ht="15.9" customHeight="1" x14ac:dyDescent="0.3">
      <c r="B2103" s="37"/>
    </row>
    <row r="2104" spans="2:2" ht="15.9" customHeight="1" x14ac:dyDescent="0.3">
      <c r="B2104" s="37"/>
    </row>
    <row r="2105" spans="2:2" ht="15.9" customHeight="1" x14ac:dyDescent="0.3">
      <c r="B2105" s="37"/>
    </row>
    <row r="2106" spans="2:2" ht="15.9" customHeight="1" x14ac:dyDescent="0.3">
      <c r="B2106" s="37"/>
    </row>
    <row r="2107" spans="2:2" ht="15.9" customHeight="1" x14ac:dyDescent="0.3">
      <c r="B2107" s="37"/>
    </row>
    <row r="2108" spans="2:2" ht="15.9" customHeight="1" x14ac:dyDescent="0.3">
      <c r="B2108" s="37"/>
    </row>
    <row r="2109" spans="2:2" ht="15.9" customHeight="1" x14ac:dyDescent="0.3">
      <c r="B2109" s="37"/>
    </row>
    <row r="2110" spans="2:2" ht="15.9" customHeight="1" x14ac:dyDescent="0.3">
      <c r="B2110" s="37"/>
    </row>
    <row r="2111" spans="2:2" ht="15.9" customHeight="1" x14ac:dyDescent="0.3">
      <c r="B2111" s="37"/>
    </row>
    <row r="2112" spans="2:2" ht="15.9" customHeight="1" x14ac:dyDescent="0.3">
      <c r="B2112" s="37"/>
    </row>
    <row r="2113" spans="2:2" ht="15.9" customHeight="1" x14ac:dyDescent="0.3">
      <c r="B2113" s="37"/>
    </row>
    <row r="2114" spans="2:2" ht="15.9" customHeight="1" x14ac:dyDescent="0.3">
      <c r="B2114" s="37"/>
    </row>
    <row r="2115" spans="2:2" ht="15.9" customHeight="1" x14ac:dyDescent="0.3">
      <c r="B2115" s="37"/>
    </row>
    <row r="2116" spans="2:2" ht="15.9" customHeight="1" x14ac:dyDescent="0.3">
      <c r="B2116" s="37"/>
    </row>
    <row r="2117" spans="2:2" ht="15.9" customHeight="1" x14ac:dyDescent="0.3">
      <c r="B2117" s="37"/>
    </row>
    <row r="2118" spans="2:2" ht="15.9" customHeight="1" x14ac:dyDescent="0.3">
      <c r="B2118" s="37"/>
    </row>
    <row r="2119" spans="2:2" ht="15.9" customHeight="1" x14ac:dyDescent="0.3">
      <c r="B2119" s="37"/>
    </row>
    <row r="2120" spans="2:2" ht="15.9" customHeight="1" x14ac:dyDescent="0.3">
      <c r="B2120" s="37"/>
    </row>
    <row r="2121" spans="2:2" ht="15.9" customHeight="1" x14ac:dyDescent="0.3">
      <c r="B2121" s="37"/>
    </row>
    <row r="2122" spans="2:2" ht="15.9" customHeight="1" x14ac:dyDescent="0.3">
      <c r="B2122" s="37"/>
    </row>
    <row r="2123" spans="2:2" ht="15.9" customHeight="1" x14ac:dyDescent="0.3">
      <c r="B2123" s="37"/>
    </row>
    <row r="2124" spans="2:2" ht="15.9" customHeight="1" x14ac:dyDescent="0.3">
      <c r="B2124" s="37"/>
    </row>
    <row r="2125" spans="2:2" ht="15.9" customHeight="1" x14ac:dyDescent="0.3">
      <c r="B2125" s="37"/>
    </row>
    <row r="2126" spans="2:2" ht="15.9" customHeight="1" x14ac:dyDescent="0.3">
      <c r="B2126" s="37"/>
    </row>
    <row r="2127" spans="2:2" ht="15.9" customHeight="1" x14ac:dyDescent="0.3">
      <c r="B2127" s="37"/>
    </row>
    <row r="2128" spans="2:2" ht="15.9" customHeight="1" x14ac:dyDescent="0.3">
      <c r="B2128" s="37"/>
    </row>
    <row r="2129" spans="2:2" ht="15.9" customHeight="1" x14ac:dyDescent="0.3">
      <c r="B2129" s="37"/>
    </row>
    <row r="2130" spans="2:2" ht="15.9" customHeight="1" x14ac:dyDescent="0.3">
      <c r="B2130" s="37"/>
    </row>
    <row r="2131" spans="2:2" ht="15.9" customHeight="1" x14ac:dyDescent="0.3">
      <c r="B2131" s="37"/>
    </row>
    <row r="2132" spans="2:2" ht="15.9" customHeight="1" x14ac:dyDescent="0.3">
      <c r="B2132" s="37"/>
    </row>
    <row r="2133" spans="2:2" ht="15.9" customHeight="1" x14ac:dyDescent="0.3">
      <c r="B2133" s="37"/>
    </row>
    <row r="2134" spans="2:2" ht="15.9" customHeight="1" x14ac:dyDescent="0.3">
      <c r="B2134" s="37"/>
    </row>
    <row r="2135" spans="2:2" ht="15.9" customHeight="1" x14ac:dyDescent="0.3">
      <c r="B2135" s="37"/>
    </row>
    <row r="2136" spans="2:2" ht="15.9" customHeight="1" x14ac:dyDescent="0.3">
      <c r="B2136" s="37"/>
    </row>
    <row r="2137" spans="2:2" ht="15.9" customHeight="1" x14ac:dyDescent="0.3">
      <c r="B2137" s="37"/>
    </row>
    <row r="2138" spans="2:2" ht="15.9" customHeight="1" x14ac:dyDescent="0.3">
      <c r="B2138" s="37"/>
    </row>
    <row r="2139" spans="2:2" ht="15.9" customHeight="1" x14ac:dyDescent="0.3">
      <c r="B2139" s="37"/>
    </row>
    <row r="2140" spans="2:2" ht="15.9" customHeight="1" x14ac:dyDescent="0.3">
      <c r="B2140" s="37"/>
    </row>
    <row r="2141" spans="2:2" ht="15.9" customHeight="1" x14ac:dyDescent="0.3">
      <c r="B2141" s="37"/>
    </row>
    <row r="2142" spans="2:2" ht="15.9" customHeight="1" x14ac:dyDescent="0.3">
      <c r="B2142" s="37"/>
    </row>
    <row r="2143" spans="2:2" ht="15.9" customHeight="1" x14ac:dyDescent="0.3">
      <c r="B2143" s="37"/>
    </row>
    <row r="2144" spans="2:2" ht="15.9" customHeight="1" x14ac:dyDescent="0.3">
      <c r="B2144" s="37"/>
    </row>
    <row r="2145" spans="2:2" ht="15.9" customHeight="1" x14ac:dyDescent="0.3">
      <c r="B2145" s="37"/>
    </row>
    <row r="2146" spans="2:2" ht="15.9" customHeight="1" x14ac:dyDescent="0.3">
      <c r="B2146" s="37"/>
    </row>
    <row r="2147" spans="2:2" ht="15.9" customHeight="1" x14ac:dyDescent="0.3">
      <c r="B2147" s="37"/>
    </row>
    <row r="2148" spans="2:2" ht="15.9" customHeight="1" x14ac:dyDescent="0.3">
      <c r="B2148" s="37"/>
    </row>
    <row r="2149" spans="2:2" ht="15.9" customHeight="1" x14ac:dyDescent="0.3">
      <c r="B2149" s="37"/>
    </row>
    <row r="2150" spans="2:2" ht="15.9" customHeight="1" x14ac:dyDescent="0.3">
      <c r="B2150" s="37"/>
    </row>
    <row r="2151" spans="2:2" ht="15.9" customHeight="1" x14ac:dyDescent="0.3">
      <c r="B2151" s="37"/>
    </row>
    <row r="2152" spans="2:2" ht="15.9" customHeight="1" x14ac:dyDescent="0.3">
      <c r="B2152" s="37"/>
    </row>
    <row r="2153" spans="2:2" ht="15.9" customHeight="1" x14ac:dyDescent="0.3">
      <c r="B2153" s="37"/>
    </row>
    <row r="2154" spans="2:2" ht="15.9" customHeight="1" x14ac:dyDescent="0.3">
      <c r="B2154" s="37"/>
    </row>
    <row r="2155" spans="2:2" ht="15.9" customHeight="1" x14ac:dyDescent="0.3">
      <c r="B2155" s="37"/>
    </row>
    <row r="2156" spans="2:2" ht="15.9" customHeight="1" x14ac:dyDescent="0.3">
      <c r="B2156" s="37"/>
    </row>
    <row r="2157" spans="2:2" ht="15.9" customHeight="1" x14ac:dyDescent="0.3">
      <c r="B2157" s="37"/>
    </row>
    <row r="2158" spans="2:2" ht="15.9" customHeight="1" x14ac:dyDescent="0.3">
      <c r="B2158" s="37"/>
    </row>
    <row r="2159" spans="2:2" ht="15.9" customHeight="1" x14ac:dyDescent="0.3">
      <c r="B2159" s="37"/>
    </row>
    <row r="2160" spans="2:2" ht="15.9" customHeight="1" x14ac:dyDescent="0.3">
      <c r="B2160" s="37"/>
    </row>
    <row r="2161" spans="2:2" ht="15.9" customHeight="1" x14ac:dyDescent="0.3">
      <c r="B2161" s="37"/>
    </row>
    <row r="2162" spans="2:2" ht="15.9" customHeight="1" x14ac:dyDescent="0.3">
      <c r="B2162" s="37"/>
    </row>
    <row r="2163" spans="2:2" ht="15.9" customHeight="1" x14ac:dyDescent="0.3">
      <c r="B2163" s="37"/>
    </row>
    <row r="2164" spans="2:2" ht="15.9" customHeight="1" x14ac:dyDescent="0.3">
      <c r="B2164" s="37"/>
    </row>
    <row r="2165" spans="2:2" ht="15.9" customHeight="1" x14ac:dyDescent="0.3">
      <c r="B2165" s="37"/>
    </row>
    <row r="2166" spans="2:2" ht="15.9" customHeight="1" x14ac:dyDescent="0.3">
      <c r="B2166" s="37"/>
    </row>
    <row r="2167" spans="2:2" ht="15.9" customHeight="1" x14ac:dyDescent="0.3">
      <c r="B2167" s="37"/>
    </row>
    <row r="2168" spans="2:2" ht="15.9" customHeight="1" x14ac:dyDescent="0.3">
      <c r="B2168" s="37"/>
    </row>
    <row r="2169" spans="2:2" ht="15.9" customHeight="1" x14ac:dyDescent="0.3">
      <c r="B2169" s="37"/>
    </row>
    <row r="2170" spans="2:2" ht="15.9" customHeight="1" x14ac:dyDescent="0.3">
      <c r="B2170" s="37"/>
    </row>
    <row r="2171" spans="2:2" ht="15.9" customHeight="1" x14ac:dyDescent="0.3">
      <c r="B2171" s="37"/>
    </row>
    <row r="2172" spans="2:2" ht="15.9" customHeight="1" x14ac:dyDescent="0.3">
      <c r="B2172" s="37"/>
    </row>
    <row r="2173" spans="2:2" ht="15.9" customHeight="1" x14ac:dyDescent="0.3">
      <c r="B2173" s="37"/>
    </row>
    <row r="2174" spans="2:2" ht="15.9" customHeight="1" x14ac:dyDescent="0.3">
      <c r="B2174" s="37"/>
    </row>
    <row r="2175" spans="2:2" ht="15.9" customHeight="1" x14ac:dyDescent="0.3">
      <c r="B2175" s="37"/>
    </row>
    <row r="2176" spans="2:2" ht="15.9" customHeight="1" x14ac:dyDescent="0.3">
      <c r="B2176" s="37"/>
    </row>
    <row r="2177" spans="2:2" ht="15.9" customHeight="1" x14ac:dyDescent="0.3">
      <c r="B2177" s="37"/>
    </row>
    <row r="2178" spans="2:2" ht="15.9" customHeight="1" x14ac:dyDescent="0.3">
      <c r="B2178" s="37"/>
    </row>
    <row r="2179" spans="2:2" ht="15.9" customHeight="1" x14ac:dyDescent="0.3">
      <c r="B2179" s="37"/>
    </row>
    <row r="2180" spans="2:2" ht="15.9" customHeight="1" x14ac:dyDescent="0.3">
      <c r="B2180" s="37"/>
    </row>
    <row r="2181" spans="2:2" ht="15.9" customHeight="1" x14ac:dyDescent="0.3">
      <c r="B2181" s="37"/>
    </row>
    <row r="2182" spans="2:2" ht="15.9" customHeight="1" x14ac:dyDescent="0.3">
      <c r="B2182" s="37"/>
    </row>
    <row r="2183" spans="2:2" ht="15.9" customHeight="1" x14ac:dyDescent="0.3">
      <c r="B2183" s="37"/>
    </row>
    <row r="2184" spans="2:2" ht="15.9" customHeight="1" x14ac:dyDescent="0.3">
      <c r="B2184" s="37"/>
    </row>
    <row r="2185" spans="2:2" ht="15.9" customHeight="1" x14ac:dyDescent="0.3">
      <c r="B2185" s="37"/>
    </row>
    <row r="2186" spans="2:2" ht="15.9" customHeight="1" x14ac:dyDescent="0.3">
      <c r="B2186" s="37"/>
    </row>
    <row r="2187" spans="2:2" ht="15.9" customHeight="1" x14ac:dyDescent="0.3">
      <c r="B2187" s="37"/>
    </row>
    <row r="2188" spans="2:2" ht="15.9" customHeight="1" x14ac:dyDescent="0.3">
      <c r="B2188" s="37"/>
    </row>
    <row r="2189" spans="2:2" ht="15.9" customHeight="1" x14ac:dyDescent="0.3">
      <c r="B2189" s="37"/>
    </row>
    <row r="2190" spans="2:2" ht="15.9" customHeight="1" x14ac:dyDescent="0.3">
      <c r="B2190" s="37"/>
    </row>
    <row r="2191" spans="2:2" ht="15.9" customHeight="1" x14ac:dyDescent="0.3">
      <c r="B2191" s="37"/>
    </row>
    <row r="2192" spans="2:2" ht="15.9" customHeight="1" x14ac:dyDescent="0.3">
      <c r="B2192" s="37"/>
    </row>
    <row r="2193" spans="2:2" ht="15.9" customHeight="1" x14ac:dyDescent="0.3">
      <c r="B2193" s="37"/>
    </row>
    <row r="2194" spans="2:2" ht="15.9" customHeight="1" x14ac:dyDescent="0.3">
      <c r="B2194" s="37"/>
    </row>
    <row r="2195" spans="2:2" ht="15.9" customHeight="1" x14ac:dyDescent="0.3">
      <c r="B2195" s="37"/>
    </row>
    <row r="2196" spans="2:2" ht="15.9" customHeight="1" x14ac:dyDescent="0.3">
      <c r="B2196" s="37"/>
    </row>
    <row r="2197" spans="2:2" ht="15.9" customHeight="1" x14ac:dyDescent="0.3">
      <c r="B2197" s="37"/>
    </row>
    <row r="2198" spans="2:2" ht="15.9" customHeight="1" x14ac:dyDescent="0.3">
      <c r="B2198" s="37"/>
    </row>
    <row r="2199" spans="2:2" ht="15.9" customHeight="1" x14ac:dyDescent="0.3">
      <c r="B2199" s="37"/>
    </row>
    <row r="2200" spans="2:2" ht="15.9" customHeight="1" x14ac:dyDescent="0.3">
      <c r="B2200" s="37"/>
    </row>
    <row r="2201" spans="2:2" ht="15.9" customHeight="1" x14ac:dyDescent="0.3">
      <c r="B2201" s="37"/>
    </row>
    <row r="2202" spans="2:2" ht="15.9" customHeight="1" x14ac:dyDescent="0.3">
      <c r="B2202" s="37"/>
    </row>
    <row r="2203" spans="2:2" ht="15.9" customHeight="1" x14ac:dyDescent="0.3">
      <c r="B2203" s="37"/>
    </row>
    <row r="2204" spans="2:2" ht="15.9" customHeight="1" x14ac:dyDescent="0.3">
      <c r="B2204" s="37"/>
    </row>
    <row r="2205" spans="2:2" ht="15.9" customHeight="1" x14ac:dyDescent="0.3">
      <c r="B2205" s="37"/>
    </row>
    <row r="2206" spans="2:2" ht="15.9" customHeight="1" x14ac:dyDescent="0.3">
      <c r="B2206" s="37"/>
    </row>
    <row r="2207" spans="2:2" ht="15.9" customHeight="1" x14ac:dyDescent="0.3">
      <c r="B2207" s="37"/>
    </row>
    <row r="2208" spans="2:2" ht="15.9" customHeight="1" x14ac:dyDescent="0.3">
      <c r="B2208" s="37"/>
    </row>
    <row r="2209" spans="2:2" ht="15.9" customHeight="1" x14ac:dyDescent="0.3">
      <c r="B2209" s="37"/>
    </row>
    <row r="2210" spans="2:2" ht="15.9" customHeight="1" x14ac:dyDescent="0.3">
      <c r="B2210" s="37"/>
    </row>
    <row r="2211" spans="2:2" ht="15.9" customHeight="1" x14ac:dyDescent="0.3">
      <c r="B2211" s="37"/>
    </row>
    <row r="2212" spans="2:2" ht="15.9" customHeight="1" x14ac:dyDescent="0.3">
      <c r="B2212" s="37"/>
    </row>
    <row r="2213" spans="2:2" ht="15.9" customHeight="1" x14ac:dyDescent="0.3">
      <c r="B2213" s="37"/>
    </row>
    <row r="2214" spans="2:2" ht="15.9" customHeight="1" x14ac:dyDescent="0.3">
      <c r="B2214" s="37"/>
    </row>
    <row r="2215" spans="2:2" ht="15.9" customHeight="1" x14ac:dyDescent="0.3">
      <c r="B2215" s="37"/>
    </row>
    <row r="2216" spans="2:2" ht="15.9" customHeight="1" x14ac:dyDescent="0.3">
      <c r="B2216" s="37"/>
    </row>
    <row r="2217" spans="2:2" ht="15.9" customHeight="1" x14ac:dyDescent="0.3">
      <c r="B2217" s="37"/>
    </row>
    <row r="2218" spans="2:2" ht="15.9" customHeight="1" x14ac:dyDescent="0.3">
      <c r="B2218" s="37"/>
    </row>
    <row r="2219" spans="2:2" ht="15.9" customHeight="1" x14ac:dyDescent="0.3">
      <c r="B2219" s="37"/>
    </row>
    <row r="2220" spans="2:2" ht="15.9" customHeight="1" x14ac:dyDescent="0.3">
      <c r="B2220" s="37"/>
    </row>
    <row r="2221" spans="2:2" ht="15.9" customHeight="1" x14ac:dyDescent="0.3">
      <c r="B2221" s="37"/>
    </row>
    <row r="2222" spans="2:2" ht="15.9" customHeight="1" x14ac:dyDescent="0.3">
      <c r="B2222" s="37"/>
    </row>
    <row r="2223" spans="2:2" ht="15.9" customHeight="1" x14ac:dyDescent="0.3">
      <c r="B2223" s="37"/>
    </row>
    <row r="2224" spans="2:2" ht="15.9" customHeight="1" x14ac:dyDescent="0.3">
      <c r="B2224" s="37"/>
    </row>
    <row r="2225" spans="2:2" ht="15.9" customHeight="1" x14ac:dyDescent="0.3">
      <c r="B2225" s="37"/>
    </row>
    <row r="2226" spans="2:2" ht="15.9" customHeight="1" x14ac:dyDescent="0.3">
      <c r="B2226" s="37"/>
    </row>
    <row r="2227" spans="2:2" ht="15.9" customHeight="1" x14ac:dyDescent="0.3">
      <c r="B2227" s="37"/>
    </row>
    <row r="2228" spans="2:2" ht="15.9" customHeight="1" x14ac:dyDescent="0.3">
      <c r="B2228" s="37"/>
    </row>
    <row r="2229" spans="2:2" ht="15.9" customHeight="1" x14ac:dyDescent="0.3">
      <c r="B2229" s="37"/>
    </row>
    <row r="2230" spans="2:2" ht="15.9" customHeight="1" x14ac:dyDescent="0.3">
      <c r="B2230" s="37"/>
    </row>
    <row r="2231" spans="2:2" ht="15.9" customHeight="1" x14ac:dyDescent="0.3">
      <c r="B2231" s="37"/>
    </row>
    <row r="2232" spans="2:2" ht="15.9" customHeight="1" x14ac:dyDescent="0.3">
      <c r="B2232" s="37"/>
    </row>
    <row r="2233" spans="2:2" ht="15.9" customHeight="1" x14ac:dyDescent="0.3">
      <c r="B2233" s="37"/>
    </row>
    <row r="2234" spans="2:2" ht="15.9" customHeight="1" x14ac:dyDescent="0.3">
      <c r="B2234" s="37"/>
    </row>
    <row r="2235" spans="2:2" ht="15.9" customHeight="1" x14ac:dyDescent="0.3">
      <c r="B2235" s="37"/>
    </row>
    <row r="2236" spans="2:2" ht="15.9" customHeight="1" x14ac:dyDescent="0.3">
      <c r="B2236" s="37"/>
    </row>
    <row r="2237" spans="2:2" ht="15.9" customHeight="1" x14ac:dyDescent="0.3">
      <c r="B2237" s="37"/>
    </row>
    <row r="2238" spans="2:2" ht="15.9" customHeight="1" x14ac:dyDescent="0.3">
      <c r="B2238" s="37"/>
    </row>
    <row r="2239" spans="2:2" ht="15.9" customHeight="1" x14ac:dyDescent="0.3">
      <c r="B2239" s="37"/>
    </row>
    <row r="2240" spans="2:2" ht="15.9" customHeight="1" x14ac:dyDescent="0.3">
      <c r="B2240" s="37"/>
    </row>
    <row r="2241" spans="2:2" ht="15.9" customHeight="1" x14ac:dyDescent="0.3">
      <c r="B2241" s="37"/>
    </row>
    <row r="2242" spans="2:2" ht="15.9" customHeight="1" x14ac:dyDescent="0.3">
      <c r="B2242" s="37"/>
    </row>
    <row r="2243" spans="2:2" ht="15.9" customHeight="1" x14ac:dyDescent="0.3">
      <c r="B2243" s="37"/>
    </row>
    <row r="2244" spans="2:2" ht="15.9" customHeight="1" x14ac:dyDescent="0.3">
      <c r="B2244" s="37"/>
    </row>
    <row r="2245" spans="2:2" ht="15.9" customHeight="1" x14ac:dyDescent="0.3">
      <c r="B2245" s="37"/>
    </row>
    <row r="2246" spans="2:2" ht="15.9" customHeight="1" x14ac:dyDescent="0.3">
      <c r="B2246" s="37"/>
    </row>
    <row r="2247" spans="2:2" ht="15.9" customHeight="1" x14ac:dyDescent="0.3">
      <c r="B2247" s="37"/>
    </row>
    <row r="2248" spans="2:2" ht="15.9" customHeight="1" x14ac:dyDescent="0.3">
      <c r="B2248" s="37"/>
    </row>
    <row r="2249" spans="2:2" ht="15.9" customHeight="1" x14ac:dyDescent="0.3">
      <c r="B2249" s="37"/>
    </row>
    <row r="2250" spans="2:2" ht="15.9" customHeight="1" x14ac:dyDescent="0.3">
      <c r="B2250" s="37"/>
    </row>
    <row r="2251" spans="2:2" ht="15.9" customHeight="1" x14ac:dyDescent="0.3">
      <c r="B2251" s="37"/>
    </row>
    <row r="2252" spans="2:2" ht="15.9" customHeight="1" x14ac:dyDescent="0.3">
      <c r="B2252" s="37"/>
    </row>
    <row r="2253" spans="2:2" ht="15.9" customHeight="1" x14ac:dyDescent="0.3">
      <c r="B2253" s="37"/>
    </row>
    <row r="2254" spans="2:2" ht="15.9" customHeight="1" x14ac:dyDescent="0.3">
      <c r="B2254" s="37"/>
    </row>
    <row r="2255" spans="2:2" ht="15.9" customHeight="1" x14ac:dyDescent="0.3">
      <c r="B2255" s="37"/>
    </row>
    <row r="2256" spans="2:2" ht="15.9" customHeight="1" x14ac:dyDescent="0.3">
      <c r="B2256" s="37"/>
    </row>
    <row r="2257" spans="2:2" ht="15.9" customHeight="1" x14ac:dyDescent="0.3">
      <c r="B2257" s="37"/>
    </row>
    <row r="2258" spans="2:2" ht="15.9" customHeight="1" x14ac:dyDescent="0.3">
      <c r="B2258" s="37"/>
    </row>
    <row r="2259" spans="2:2" ht="15.9" customHeight="1" x14ac:dyDescent="0.3">
      <c r="B2259" s="37"/>
    </row>
    <row r="2260" spans="2:2" ht="15.9" customHeight="1" x14ac:dyDescent="0.3">
      <c r="B2260" s="37"/>
    </row>
    <row r="2261" spans="2:2" ht="15.9" customHeight="1" x14ac:dyDescent="0.3">
      <c r="B2261" s="37"/>
    </row>
    <row r="2262" spans="2:2" ht="15.9" customHeight="1" x14ac:dyDescent="0.3">
      <c r="B2262" s="37"/>
    </row>
    <row r="2263" spans="2:2" ht="15.9" customHeight="1" x14ac:dyDescent="0.3">
      <c r="B2263" s="37"/>
    </row>
    <row r="2264" spans="2:2" ht="15.9" customHeight="1" x14ac:dyDescent="0.3">
      <c r="B2264" s="37"/>
    </row>
    <row r="2265" spans="2:2" ht="15.9" customHeight="1" x14ac:dyDescent="0.3">
      <c r="B2265" s="37"/>
    </row>
    <row r="2266" spans="2:2" ht="15.9" customHeight="1" x14ac:dyDescent="0.3">
      <c r="B2266" s="37"/>
    </row>
    <row r="2267" spans="2:2" ht="15.9" customHeight="1" x14ac:dyDescent="0.3">
      <c r="B2267" s="37"/>
    </row>
    <row r="2268" spans="2:2" ht="15.9" customHeight="1" x14ac:dyDescent="0.3">
      <c r="B2268" s="37"/>
    </row>
    <row r="2269" spans="2:2" ht="15.9" customHeight="1" x14ac:dyDescent="0.3">
      <c r="B2269" s="37"/>
    </row>
    <row r="2270" spans="2:2" ht="15.9" customHeight="1" x14ac:dyDescent="0.3">
      <c r="B2270" s="37"/>
    </row>
    <row r="2271" spans="2:2" ht="15.9" customHeight="1" x14ac:dyDescent="0.3">
      <c r="B2271" s="37"/>
    </row>
    <row r="2272" spans="2:2" ht="15.9" customHeight="1" x14ac:dyDescent="0.3">
      <c r="B2272" s="37"/>
    </row>
    <row r="2273" spans="2:2" ht="15.9" customHeight="1" x14ac:dyDescent="0.3">
      <c r="B2273" s="37"/>
    </row>
    <row r="2274" spans="2:2" ht="15.9" customHeight="1" x14ac:dyDescent="0.3">
      <c r="B2274" s="37"/>
    </row>
    <row r="2275" spans="2:2" ht="15.9" customHeight="1" x14ac:dyDescent="0.3">
      <c r="B2275" s="37"/>
    </row>
    <row r="2276" spans="2:2" ht="15.9" customHeight="1" x14ac:dyDescent="0.3">
      <c r="B2276" s="37"/>
    </row>
    <row r="2277" spans="2:2" ht="15.9" customHeight="1" x14ac:dyDescent="0.3">
      <c r="B2277" s="37"/>
    </row>
    <row r="2278" spans="2:2" ht="15.9" customHeight="1" x14ac:dyDescent="0.3">
      <c r="B2278" s="37"/>
    </row>
    <row r="2279" spans="2:2" ht="15.9" customHeight="1" x14ac:dyDescent="0.3">
      <c r="B2279" s="37"/>
    </row>
    <row r="2280" spans="2:2" ht="15.9" customHeight="1" x14ac:dyDescent="0.3">
      <c r="B2280" s="37"/>
    </row>
    <row r="2281" spans="2:2" ht="15.9" customHeight="1" x14ac:dyDescent="0.3">
      <c r="B2281" s="37"/>
    </row>
    <row r="2282" spans="2:2" ht="15.9" customHeight="1" x14ac:dyDescent="0.3">
      <c r="B2282" s="37"/>
    </row>
    <row r="2283" spans="2:2" ht="15.9" customHeight="1" x14ac:dyDescent="0.3">
      <c r="B2283" s="37"/>
    </row>
    <row r="2284" spans="2:2" ht="15.9" customHeight="1" x14ac:dyDescent="0.3">
      <c r="B2284" s="37"/>
    </row>
    <row r="2285" spans="2:2" ht="15.9" customHeight="1" x14ac:dyDescent="0.3">
      <c r="B2285" s="37"/>
    </row>
    <row r="2286" spans="2:2" ht="15.9" customHeight="1" x14ac:dyDescent="0.3">
      <c r="B2286" s="37"/>
    </row>
    <row r="2287" spans="2:2" ht="15.9" customHeight="1" x14ac:dyDescent="0.3">
      <c r="B2287" s="37"/>
    </row>
    <row r="2288" spans="2:2" ht="15.9" customHeight="1" x14ac:dyDescent="0.3">
      <c r="B2288" s="37"/>
    </row>
    <row r="2289" spans="2:2" ht="15.9" customHeight="1" x14ac:dyDescent="0.3">
      <c r="B2289" s="37"/>
    </row>
    <row r="2290" spans="2:2" ht="15.9" customHeight="1" x14ac:dyDescent="0.3">
      <c r="B2290" s="37"/>
    </row>
    <row r="2291" spans="2:2" ht="15.9" customHeight="1" x14ac:dyDescent="0.3">
      <c r="B2291" s="37"/>
    </row>
    <row r="2292" spans="2:2" ht="15.9" customHeight="1" x14ac:dyDescent="0.3">
      <c r="B2292" s="37"/>
    </row>
    <row r="2293" spans="2:2" ht="15.9" customHeight="1" x14ac:dyDescent="0.3">
      <c r="B2293" s="37"/>
    </row>
    <row r="2294" spans="2:2" ht="15.9" customHeight="1" x14ac:dyDescent="0.3">
      <c r="B2294" s="37"/>
    </row>
    <row r="2295" spans="2:2" ht="15.9" customHeight="1" x14ac:dyDescent="0.3">
      <c r="B2295" s="37"/>
    </row>
    <row r="2296" spans="2:2" ht="15.9" customHeight="1" x14ac:dyDescent="0.3">
      <c r="B2296" s="37"/>
    </row>
    <row r="2297" spans="2:2" ht="15.9" customHeight="1" x14ac:dyDescent="0.3">
      <c r="B2297" s="37"/>
    </row>
    <row r="2298" spans="2:2" ht="15.9" customHeight="1" x14ac:dyDescent="0.3">
      <c r="B2298" s="37"/>
    </row>
    <row r="2299" spans="2:2" ht="15.9" customHeight="1" x14ac:dyDescent="0.3">
      <c r="B2299" s="37"/>
    </row>
    <row r="2300" spans="2:2" ht="15.9" customHeight="1" x14ac:dyDescent="0.3">
      <c r="B2300" s="37"/>
    </row>
    <row r="2301" spans="2:2" ht="15.9" customHeight="1" x14ac:dyDescent="0.3">
      <c r="B2301" s="37"/>
    </row>
    <row r="2302" spans="2:2" ht="15.9" customHeight="1" x14ac:dyDescent="0.3">
      <c r="B2302" s="37"/>
    </row>
    <row r="2303" spans="2:2" ht="15.9" customHeight="1" x14ac:dyDescent="0.3">
      <c r="B2303" s="37"/>
    </row>
    <row r="2304" spans="2:2" ht="15.9" customHeight="1" x14ac:dyDescent="0.3">
      <c r="B2304" s="37"/>
    </row>
    <row r="2305" spans="2:2" ht="15.9" customHeight="1" x14ac:dyDescent="0.3">
      <c r="B2305" s="37"/>
    </row>
    <row r="2306" spans="2:2" ht="15.9" customHeight="1" x14ac:dyDescent="0.3">
      <c r="B2306" s="37"/>
    </row>
    <row r="2307" spans="2:2" ht="15.9" customHeight="1" x14ac:dyDescent="0.3">
      <c r="B2307" s="37"/>
    </row>
    <row r="2308" spans="2:2" ht="15.9" customHeight="1" x14ac:dyDescent="0.3">
      <c r="B2308" s="37"/>
    </row>
    <row r="2309" spans="2:2" ht="15.9" customHeight="1" x14ac:dyDescent="0.3">
      <c r="B2309" s="37"/>
    </row>
    <row r="2310" spans="2:2" ht="15.9" customHeight="1" x14ac:dyDescent="0.3">
      <c r="B2310" s="37"/>
    </row>
    <row r="2311" spans="2:2" ht="15.9" customHeight="1" x14ac:dyDescent="0.3">
      <c r="B2311" s="37"/>
    </row>
    <row r="2312" spans="2:2" ht="15.9" customHeight="1" x14ac:dyDescent="0.3">
      <c r="B2312" s="37"/>
    </row>
    <row r="2313" spans="2:2" ht="15.9" customHeight="1" x14ac:dyDescent="0.3">
      <c r="B2313" s="37"/>
    </row>
    <row r="2314" spans="2:2" ht="15.9" customHeight="1" x14ac:dyDescent="0.3">
      <c r="B2314" s="37"/>
    </row>
    <row r="2315" spans="2:2" ht="15.9" customHeight="1" x14ac:dyDescent="0.3">
      <c r="B2315" s="37"/>
    </row>
    <row r="2316" spans="2:2" ht="15.9" customHeight="1" x14ac:dyDescent="0.3">
      <c r="B2316" s="37"/>
    </row>
    <row r="2317" spans="2:2" ht="15.9" customHeight="1" x14ac:dyDescent="0.3">
      <c r="B2317" s="37"/>
    </row>
    <row r="2318" spans="2:2" ht="15.9" customHeight="1" x14ac:dyDescent="0.3">
      <c r="B2318" s="37"/>
    </row>
    <row r="2319" spans="2:2" ht="15.9" customHeight="1" x14ac:dyDescent="0.3">
      <c r="B2319" s="37"/>
    </row>
    <row r="2320" spans="2:2" ht="15.9" customHeight="1" x14ac:dyDescent="0.3">
      <c r="B2320" s="37"/>
    </row>
    <row r="2321" spans="2:2" ht="15.9" customHeight="1" x14ac:dyDescent="0.3">
      <c r="B2321" s="37"/>
    </row>
    <row r="2322" spans="2:2" ht="15.9" customHeight="1" x14ac:dyDescent="0.3">
      <c r="B2322" s="37"/>
    </row>
    <row r="2323" spans="2:2" ht="15.9" customHeight="1" x14ac:dyDescent="0.3">
      <c r="B2323" s="37"/>
    </row>
    <row r="2324" spans="2:2" ht="15.9" customHeight="1" x14ac:dyDescent="0.3">
      <c r="B2324" s="37"/>
    </row>
    <row r="2325" spans="2:2" ht="15.9" customHeight="1" x14ac:dyDescent="0.3">
      <c r="B2325" s="37"/>
    </row>
    <row r="2326" spans="2:2" ht="15.9" customHeight="1" x14ac:dyDescent="0.3">
      <c r="B2326" s="37"/>
    </row>
    <row r="2327" spans="2:2" ht="15.9" customHeight="1" x14ac:dyDescent="0.3">
      <c r="B2327" s="37"/>
    </row>
    <row r="2328" spans="2:2" ht="15.9" customHeight="1" x14ac:dyDescent="0.3">
      <c r="B2328" s="37"/>
    </row>
    <row r="2329" spans="2:2" ht="15.9" customHeight="1" x14ac:dyDescent="0.3">
      <c r="B2329" s="37"/>
    </row>
    <row r="2330" spans="2:2" ht="15.9" customHeight="1" x14ac:dyDescent="0.3">
      <c r="B2330" s="37"/>
    </row>
    <row r="2331" spans="2:2" ht="15.9" customHeight="1" x14ac:dyDescent="0.3">
      <c r="B2331" s="37"/>
    </row>
    <row r="2332" spans="2:2" ht="15.9" customHeight="1" x14ac:dyDescent="0.3">
      <c r="B2332" s="37"/>
    </row>
    <row r="2333" spans="2:2" ht="15.9" customHeight="1" x14ac:dyDescent="0.3">
      <c r="B2333" s="37"/>
    </row>
    <row r="2334" spans="2:2" ht="15.9" customHeight="1" x14ac:dyDescent="0.3">
      <c r="B2334" s="37"/>
    </row>
    <row r="2335" spans="2:2" ht="15.9" customHeight="1" x14ac:dyDescent="0.3">
      <c r="B2335" s="37"/>
    </row>
    <row r="2336" spans="2:2" ht="15.9" customHeight="1" x14ac:dyDescent="0.3">
      <c r="B2336" s="37"/>
    </row>
    <row r="2337" spans="2:2" ht="15.9" customHeight="1" x14ac:dyDescent="0.3">
      <c r="B2337" s="37"/>
    </row>
    <row r="2338" spans="2:2" ht="15.9" customHeight="1" x14ac:dyDescent="0.3">
      <c r="B2338" s="37"/>
    </row>
    <row r="2339" spans="2:2" ht="15.9" customHeight="1" x14ac:dyDescent="0.3">
      <c r="B2339" s="37"/>
    </row>
    <row r="2340" spans="2:2" ht="15.9" customHeight="1" x14ac:dyDescent="0.3">
      <c r="B2340" s="37"/>
    </row>
    <row r="2341" spans="2:2" ht="15.9" customHeight="1" x14ac:dyDescent="0.3">
      <c r="B2341" s="37"/>
    </row>
    <row r="2342" spans="2:2" ht="15.9" customHeight="1" x14ac:dyDescent="0.3">
      <c r="B2342" s="37"/>
    </row>
    <row r="2343" spans="2:2" ht="15.9" customHeight="1" x14ac:dyDescent="0.3">
      <c r="B2343" s="37"/>
    </row>
    <row r="2344" spans="2:2" ht="15.9" customHeight="1" x14ac:dyDescent="0.3">
      <c r="B2344" s="37"/>
    </row>
    <row r="2345" spans="2:2" ht="15.9" customHeight="1" x14ac:dyDescent="0.3">
      <c r="B2345" s="37"/>
    </row>
    <row r="2346" spans="2:2" ht="15.9" customHeight="1" x14ac:dyDescent="0.3">
      <c r="B2346" s="37"/>
    </row>
    <row r="2347" spans="2:2" ht="15.9" customHeight="1" x14ac:dyDescent="0.3">
      <c r="B2347" s="37"/>
    </row>
    <row r="2348" spans="2:2" ht="15.9" customHeight="1" x14ac:dyDescent="0.3">
      <c r="B2348" s="37"/>
    </row>
    <row r="2349" spans="2:2" ht="15.9" customHeight="1" x14ac:dyDescent="0.3">
      <c r="B2349" s="37"/>
    </row>
    <row r="2350" spans="2:2" ht="15.9" customHeight="1" x14ac:dyDescent="0.3">
      <c r="B2350" s="37"/>
    </row>
    <row r="2351" spans="2:2" ht="15.9" customHeight="1" x14ac:dyDescent="0.3">
      <c r="B2351" s="37"/>
    </row>
    <row r="2352" spans="2:2" ht="15.9" customHeight="1" x14ac:dyDescent="0.3">
      <c r="B2352" s="37"/>
    </row>
    <row r="2353" spans="2:2" ht="15.9" customHeight="1" x14ac:dyDescent="0.3">
      <c r="B2353" s="37"/>
    </row>
    <row r="2354" spans="2:2" ht="15.9" customHeight="1" x14ac:dyDescent="0.3">
      <c r="B2354" s="37"/>
    </row>
    <row r="2355" spans="2:2" ht="15.9" customHeight="1" x14ac:dyDescent="0.3">
      <c r="B2355" s="37"/>
    </row>
    <row r="2356" spans="2:2" ht="15.9" customHeight="1" x14ac:dyDescent="0.3">
      <c r="B2356" s="37"/>
    </row>
    <row r="2357" spans="2:2" ht="15.9" customHeight="1" x14ac:dyDescent="0.3">
      <c r="B2357" s="37"/>
    </row>
    <row r="2358" spans="2:2" ht="15.9" customHeight="1" x14ac:dyDescent="0.3">
      <c r="B2358" s="37"/>
    </row>
    <row r="2359" spans="2:2" ht="15.9" customHeight="1" x14ac:dyDescent="0.3">
      <c r="B2359" s="37"/>
    </row>
    <row r="2360" spans="2:2" ht="15.9" customHeight="1" x14ac:dyDescent="0.3">
      <c r="B2360" s="37"/>
    </row>
    <row r="2361" spans="2:2" ht="15.9" customHeight="1" x14ac:dyDescent="0.3">
      <c r="B2361" s="37"/>
    </row>
    <row r="2362" spans="2:2" ht="15.9" customHeight="1" x14ac:dyDescent="0.3">
      <c r="B2362" s="37"/>
    </row>
    <row r="2363" spans="2:2" ht="15.9" customHeight="1" x14ac:dyDescent="0.3">
      <c r="B2363" s="37"/>
    </row>
    <row r="2364" spans="2:2" ht="15.9" customHeight="1" x14ac:dyDescent="0.3">
      <c r="B2364" s="37"/>
    </row>
    <row r="2365" spans="2:2" ht="15.9" customHeight="1" x14ac:dyDescent="0.3">
      <c r="B2365" s="37"/>
    </row>
    <row r="2366" spans="2:2" ht="15.9" customHeight="1" x14ac:dyDescent="0.3">
      <c r="B2366" s="37"/>
    </row>
    <row r="2367" spans="2:2" ht="15.9" customHeight="1" x14ac:dyDescent="0.3">
      <c r="B2367" s="37"/>
    </row>
    <row r="2368" spans="2:2" ht="15.9" customHeight="1" x14ac:dyDescent="0.3">
      <c r="B2368" s="37"/>
    </row>
    <row r="2369" spans="2:2" ht="15.9" customHeight="1" x14ac:dyDescent="0.3">
      <c r="B2369" s="37"/>
    </row>
    <row r="2370" spans="2:2" ht="15.9" customHeight="1" x14ac:dyDescent="0.3">
      <c r="B2370" s="37"/>
    </row>
    <row r="2371" spans="2:2" ht="15.9" customHeight="1" x14ac:dyDescent="0.3">
      <c r="B2371" s="37"/>
    </row>
    <row r="2372" spans="2:2" ht="15.9" customHeight="1" x14ac:dyDescent="0.3">
      <c r="B2372" s="37"/>
    </row>
    <row r="2373" spans="2:2" ht="15.9" customHeight="1" x14ac:dyDescent="0.3">
      <c r="B2373" s="37"/>
    </row>
    <row r="2374" spans="2:2" ht="15.9" customHeight="1" x14ac:dyDescent="0.3">
      <c r="B2374" s="37"/>
    </row>
    <row r="2375" spans="2:2" ht="15.9" customHeight="1" x14ac:dyDescent="0.3">
      <c r="B2375" s="37"/>
    </row>
    <row r="2376" spans="2:2" ht="15.9" customHeight="1" x14ac:dyDescent="0.3">
      <c r="B2376" s="37"/>
    </row>
    <row r="2377" spans="2:2" ht="15.9" customHeight="1" x14ac:dyDescent="0.3">
      <c r="B2377" s="37"/>
    </row>
    <row r="2378" spans="2:2" ht="15.9" customHeight="1" x14ac:dyDescent="0.3">
      <c r="B2378" s="37"/>
    </row>
    <row r="2379" spans="2:2" ht="15.9" customHeight="1" x14ac:dyDescent="0.3">
      <c r="B2379" s="37"/>
    </row>
    <row r="2380" spans="2:2" ht="15.9" customHeight="1" x14ac:dyDescent="0.3">
      <c r="B2380" s="37"/>
    </row>
    <row r="2381" spans="2:2" ht="15.9" customHeight="1" x14ac:dyDescent="0.3">
      <c r="B2381" s="37"/>
    </row>
    <row r="2382" spans="2:2" ht="15.9" customHeight="1" x14ac:dyDescent="0.3">
      <c r="B2382" s="37"/>
    </row>
    <row r="2383" spans="2:2" ht="15.9" customHeight="1" x14ac:dyDescent="0.3">
      <c r="B2383" s="37"/>
    </row>
    <row r="2384" spans="2:2" ht="15.9" customHeight="1" x14ac:dyDescent="0.3">
      <c r="B2384" s="37"/>
    </row>
    <row r="2385" spans="2:2" ht="15.9" customHeight="1" x14ac:dyDescent="0.3">
      <c r="B2385" s="37"/>
    </row>
    <row r="2386" spans="2:2" ht="15.9" customHeight="1" x14ac:dyDescent="0.3">
      <c r="B2386" s="37"/>
    </row>
    <row r="2387" spans="2:2" ht="15.9" customHeight="1" x14ac:dyDescent="0.3">
      <c r="B2387" s="37"/>
    </row>
    <row r="2388" spans="2:2" ht="15.9" customHeight="1" x14ac:dyDescent="0.3">
      <c r="B2388" s="37"/>
    </row>
    <row r="2389" spans="2:2" ht="15.9" customHeight="1" x14ac:dyDescent="0.3">
      <c r="B2389" s="37"/>
    </row>
    <row r="2390" spans="2:2" ht="15.9" customHeight="1" x14ac:dyDescent="0.3">
      <c r="B2390" s="37"/>
    </row>
    <row r="2391" spans="2:2" ht="15.9" customHeight="1" x14ac:dyDescent="0.3">
      <c r="B2391" s="37"/>
    </row>
    <row r="2392" spans="2:2" ht="15.9" customHeight="1" x14ac:dyDescent="0.3">
      <c r="B2392" s="37"/>
    </row>
    <row r="2393" spans="2:2" ht="15.9" customHeight="1" x14ac:dyDescent="0.3">
      <c r="B2393" s="37"/>
    </row>
    <row r="2394" spans="2:2" ht="15.9" customHeight="1" x14ac:dyDescent="0.3">
      <c r="B2394" s="37"/>
    </row>
    <row r="2395" spans="2:2" ht="15.9" customHeight="1" x14ac:dyDescent="0.3">
      <c r="B2395" s="37"/>
    </row>
    <row r="2396" spans="2:2" ht="15.9" customHeight="1" x14ac:dyDescent="0.3">
      <c r="B2396" s="37"/>
    </row>
    <row r="2397" spans="2:2" ht="15.9" customHeight="1" x14ac:dyDescent="0.3">
      <c r="B2397" s="37"/>
    </row>
    <row r="2398" spans="2:2" ht="15.9" customHeight="1" x14ac:dyDescent="0.3">
      <c r="B2398" s="37"/>
    </row>
    <row r="2399" spans="2:2" ht="15.9" customHeight="1" x14ac:dyDescent="0.3">
      <c r="B2399" s="37"/>
    </row>
    <row r="2400" spans="2:2" ht="15.9" customHeight="1" x14ac:dyDescent="0.3">
      <c r="B2400" s="37"/>
    </row>
    <row r="2401" spans="2:2" ht="15.9" customHeight="1" x14ac:dyDescent="0.3">
      <c r="B2401" s="37"/>
    </row>
    <row r="2402" spans="2:2" ht="15.9" customHeight="1" x14ac:dyDescent="0.3">
      <c r="B2402" s="37"/>
    </row>
    <row r="2403" spans="2:2" ht="15.9" customHeight="1" x14ac:dyDescent="0.3">
      <c r="B2403" s="37"/>
    </row>
    <row r="2404" spans="2:2" ht="15.9" customHeight="1" x14ac:dyDescent="0.3">
      <c r="B2404" s="37"/>
    </row>
    <row r="2405" spans="2:2" ht="15.9" customHeight="1" x14ac:dyDescent="0.3">
      <c r="B2405" s="37"/>
    </row>
    <row r="2406" spans="2:2" ht="15.9" customHeight="1" x14ac:dyDescent="0.3">
      <c r="B2406" s="37"/>
    </row>
    <row r="2407" spans="2:2" ht="15.9" customHeight="1" x14ac:dyDescent="0.3">
      <c r="B2407" s="37"/>
    </row>
    <row r="2408" spans="2:2" ht="15.9" customHeight="1" x14ac:dyDescent="0.3">
      <c r="B2408" s="37"/>
    </row>
    <row r="2409" spans="2:2" ht="15.9" customHeight="1" x14ac:dyDescent="0.3">
      <c r="B2409" s="37"/>
    </row>
    <row r="2410" spans="2:2" ht="15.9" customHeight="1" x14ac:dyDescent="0.3">
      <c r="B2410" s="37"/>
    </row>
    <row r="2411" spans="2:2" ht="15.9" customHeight="1" x14ac:dyDescent="0.3">
      <c r="B2411" s="37"/>
    </row>
    <row r="2412" spans="2:2" ht="15.9" customHeight="1" x14ac:dyDescent="0.3">
      <c r="B2412" s="37"/>
    </row>
    <row r="2413" spans="2:2" ht="15.9" customHeight="1" x14ac:dyDescent="0.3">
      <c r="B2413" s="37"/>
    </row>
    <row r="2414" spans="2:2" ht="15.9" customHeight="1" x14ac:dyDescent="0.3">
      <c r="B2414" s="37"/>
    </row>
    <row r="2415" spans="2:2" ht="15.9" customHeight="1" x14ac:dyDescent="0.3">
      <c r="B2415" s="37"/>
    </row>
    <row r="2416" spans="2:2" ht="15.9" customHeight="1" x14ac:dyDescent="0.3">
      <c r="B2416" s="37"/>
    </row>
    <row r="2417" spans="2:2" ht="15.9" customHeight="1" x14ac:dyDescent="0.3">
      <c r="B2417" s="37"/>
    </row>
    <row r="2418" spans="2:2" ht="15.9" customHeight="1" x14ac:dyDescent="0.3">
      <c r="B2418" s="37"/>
    </row>
    <row r="2419" spans="2:2" ht="15.9" customHeight="1" x14ac:dyDescent="0.3">
      <c r="B2419" s="37"/>
    </row>
    <row r="2420" spans="2:2" ht="15.9" customHeight="1" x14ac:dyDescent="0.3">
      <c r="B2420" s="37"/>
    </row>
    <row r="2421" spans="2:2" ht="15.9" customHeight="1" x14ac:dyDescent="0.3">
      <c r="B2421" s="37"/>
    </row>
    <row r="2422" spans="2:2" ht="15.9" customHeight="1" x14ac:dyDescent="0.3">
      <c r="B2422" s="37"/>
    </row>
    <row r="2423" spans="2:2" ht="15.9" customHeight="1" x14ac:dyDescent="0.3">
      <c r="B2423" s="37"/>
    </row>
    <row r="2424" spans="2:2" ht="15.9" customHeight="1" x14ac:dyDescent="0.3">
      <c r="B2424" s="37"/>
    </row>
    <row r="2425" spans="2:2" ht="15.9" customHeight="1" x14ac:dyDescent="0.3">
      <c r="B2425" s="37"/>
    </row>
    <row r="2426" spans="2:2" ht="15.9" customHeight="1" x14ac:dyDescent="0.3">
      <c r="B2426" s="37"/>
    </row>
    <row r="2427" spans="2:2" ht="15.9" customHeight="1" x14ac:dyDescent="0.3">
      <c r="B2427" s="37"/>
    </row>
    <row r="2428" spans="2:2" ht="15.9" customHeight="1" x14ac:dyDescent="0.3">
      <c r="B2428" s="37"/>
    </row>
    <row r="2429" spans="2:2" ht="15.9" customHeight="1" x14ac:dyDescent="0.3">
      <c r="B2429" s="37"/>
    </row>
    <row r="2430" spans="2:2" ht="15.9" customHeight="1" x14ac:dyDescent="0.3">
      <c r="B2430" s="37"/>
    </row>
    <row r="2431" spans="2:2" ht="15.9" customHeight="1" x14ac:dyDescent="0.3">
      <c r="B2431" s="37"/>
    </row>
    <row r="2432" spans="2:2" ht="15.9" customHeight="1" x14ac:dyDescent="0.3">
      <c r="B2432" s="37"/>
    </row>
    <row r="2433" spans="2:2" ht="15.9" customHeight="1" x14ac:dyDescent="0.3">
      <c r="B2433" s="37"/>
    </row>
    <row r="2434" spans="2:2" ht="15.9" customHeight="1" x14ac:dyDescent="0.3">
      <c r="B2434" s="37"/>
    </row>
    <row r="2435" spans="2:2" ht="15.9" customHeight="1" x14ac:dyDescent="0.3">
      <c r="B2435" s="37"/>
    </row>
    <row r="2436" spans="2:2" ht="15.9" customHeight="1" x14ac:dyDescent="0.3">
      <c r="B2436" s="37"/>
    </row>
    <row r="2437" spans="2:2" ht="15.9" customHeight="1" x14ac:dyDescent="0.3">
      <c r="B2437" s="37"/>
    </row>
    <row r="2438" spans="2:2" ht="15.9" customHeight="1" x14ac:dyDescent="0.3">
      <c r="B2438" s="37"/>
    </row>
    <row r="2439" spans="2:2" ht="15.9" customHeight="1" x14ac:dyDescent="0.3">
      <c r="B2439" s="37"/>
    </row>
    <row r="2440" spans="2:2" ht="15.9" customHeight="1" x14ac:dyDescent="0.3">
      <c r="B2440" s="37"/>
    </row>
    <row r="2441" spans="2:2" ht="15.9" customHeight="1" x14ac:dyDescent="0.3">
      <c r="B2441" s="37"/>
    </row>
    <row r="2442" spans="2:2" ht="15.9" customHeight="1" x14ac:dyDescent="0.3">
      <c r="B2442" s="37"/>
    </row>
    <row r="2443" spans="2:2" ht="15.9" customHeight="1" x14ac:dyDescent="0.3">
      <c r="B2443" s="37"/>
    </row>
    <row r="2444" spans="2:2" ht="15.9" customHeight="1" x14ac:dyDescent="0.3">
      <c r="B2444" s="37"/>
    </row>
    <row r="2445" spans="2:2" ht="15.9" customHeight="1" x14ac:dyDescent="0.3">
      <c r="B2445" s="37"/>
    </row>
    <row r="2446" spans="2:2" ht="15.9" customHeight="1" x14ac:dyDescent="0.3">
      <c r="B2446" s="37"/>
    </row>
    <row r="2447" spans="2:2" ht="15.9" customHeight="1" x14ac:dyDescent="0.3">
      <c r="B2447" s="37"/>
    </row>
    <row r="2448" spans="2:2" ht="15.9" customHeight="1" x14ac:dyDescent="0.3">
      <c r="B2448" s="37"/>
    </row>
    <row r="2449" spans="2:2" ht="15.9" customHeight="1" x14ac:dyDescent="0.3">
      <c r="B2449" s="37"/>
    </row>
    <row r="2450" spans="2:2" ht="15.9" customHeight="1" x14ac:dyDescent="0.3">
      <c r="B2450" s="37"/>
    </row>
    <row r="2451" spans="2:2" ht="15.9" customHeight="1" x14ac:dyDescent="0.3">
      <c r="B2451" s="37"/>
    </row>
    <row r="2452" spans="2:2" ht="15.9" customHeight="1" x14ac:dyDescent="0.3">
      <c r="B2452" s="37"/>
    </row>
    <row r="2453" spans="2:2" ht="15.9" customHeight="1" x14ac:dyDescent="0.3">
      <c r="B2453" s="37"/>
    </row>
    <row r="2454" spans="2:2" ht="15.9" customHeight="1" x14ac:dyDescent="0.3">
      <c r="B2454" s="37"/>
    </row>
    <row r="2455" spans="2:2" ht="15.9" customHeight="1" x14ac:dyDescent="0.3">
      <c r="B2455" s="37"/>
    </row>
    <row r="2456" spans="2:2" ht="15.9" customHeight="1" x14ac:dyDescent="0.3">
      <c r="B2456" s="37"/>
    </row>
    <row r="2457" spans="2:2" ht="15.9" customHeight="1" x14ac:dyDescent="0.3">
      <c r="B2457" s="37"/>
    </row>
    <row r="2458" spans="2:2" ht="15.9" customHeight="1" x14ac:dyDescent="0.3">
      <c r="B2458" s="37"/>
    </row>
    <row r="2459" spans="2:2" ht="15.9" customHeight="1" x14ac:dyDescent="0.3">
      <c r="B2459" s="37"/>
    </row>
    <row r="2460" spans="2:2" ht="15.9" customHeight="1" x14ac:dyDescent="0.3">
      <c r="B2460" s="37"/>
    </row>
    <row r="2461" spans="2:2" ht="15.9" customHeight="1" x14ac:dyDescent="0.3">
      <c r="B2461" s="37"/>
    </row>
    <row r="2462" spans="2:2" ht="15.9" customHeight="1" x14ac:dyDescent="0.3">
      <c r="B2462" s="37"/>
    </row>
    <row r="2463" spans="2:2" ht="15.9" customHeight="1" x14ac:dyDescent="0.3">
      <c r="B2463" s="37"/>
    </row>
    <row r="2464" spans="2:2" ht="15.9" customHeight="1" x14ac:dyDescent="0.3">
      <c r="B2464" s="37"/>
    </row>
    <row r="2465" spans="2:2" ht="15.9" customHeight="1" x14ac:dyDescent="0.3">
      <c r="B2465" s="37"/>
    </row>
    <row r="2466" spans="2:2" ht="15.9" customHeight="1" x14ac:dyDescent="0.3">
      <c r="B2466" s="37"/>
    </row>
    <row r="2467" spans="2:2" ht="15.9" customHeight="1" x14ac:dyDescent="0.3">
      <c r="B2467" s="37"/>
    </row>
    <row r="2468" spans="2:2" ht="15.9" customHeight="1" x14ac:dyDescent="0.3">
      <c r="B2468" s="37"/>
    </row>
    <row r="2469" spans="2:2" ht="15.9" customHeight="1" x14ac:dyDescent="0.3">
      <c r="B2469" s="37"/>
    </row>
    <row r="2470" spans="2:2" ht="15.9" customHeight="1" x14ac:dyDescent="0.3">
      <c r="B2470" s="37"/>
    </row>
    <row r="2471" spans="2:2" ht="15.9" customHeight="1" x14ac:dyDescent="0.3">
      <c r="B2471" s="37"/>
    </row>
    <row r="2472" spans="2:2" ht="15.9" customHeight="1" x14ac:dyDescent="0.3">
      <c r="B2472" s="37"/>
    </row>
    <row r="2473" spans="2:2" ht="15.9" customHeight="1" x14ac:dyDescent="0.3">
      <c r="B2473" s="37"/>
    </row>
    <row r="2474" spans="2:2" ht="15.9" customHeight="1" x14ac:dyDescent="0.3">
      <c r="B2474" s="37"/>
    </row>
    <row r="2475" spans="2:2" ht="15.9" customHeight="1" x14ac:dyDescent="0.3">
      <c r="B2475" s="37"/>
    </row>
    <row r="2476" spans="2:2" ht="15.9" customHeight="1" x14ac:dyDescent="0.3">
      <c r="B2476" s="37"/>
    </row>
    <row r="2477" spans="2:2" ht="15.9" customHeight="1" x14ac:dyDescent="0.3">
      <c r="B2477" s="37"/>
    </row>
    <row r="2478" spans="2:2" ht="15.9" customHeight="1" x14ac:dyDescent="0.3">
      <c r="B2478" s="37"/>
    </row>
    <row r="2479" spans="2:2" ht="15.9" customHeight="1" x14ac:dyDescent="0.3">
      <c r="B2479" s="37"/>
    </row>
    <row r="2480" spans="2:2" ht="15.9" customHeight="1" x14ac:dyDescent="0.3">
      <c r="B2480" s="37"/>
    </row>
    <row r="2481" spans="2:2" ht="15.9" customHeight="1" x14ac:dyDescent="0.3">
      <c r="B2481" s="37"/>
    </row>
    <row r="2482" spans="2:2" ht="15.9" customHeight="1" x14ac:dyDescent="0.3">
      <c r="B2482" s="37"/>
    </row>
    <row r="2483" spans="2:2" ht="15.9" customHeight="1" x14ac:dyDescent="0.3">
      <c r="B2483" s="37"/>
    </row>
    <row r="2484" spans="2:2" ht="15.9" customHeight="1" x14ac:dyDescent="0.3">
      <c r="B2484" s="37"/>
    </row>
    <row r="2485" spans="2:2" ht="15.9" customHeight="1" x14ac:dyDescent="0.3">
      <c r="B2485" s="37"/>
    </row>
    <row r="2486" spans="2:2" ht="15.9" customHeight="1" x14ac:dyDescent="0.3">
      <c r="B2486" s="37"/>
    </row>
    <row r="2487" spans="2:2" ht="15.9" customHeight="1" x14ac:dyDescent="0.3">
      <c r="B2487" s="37"/>
    </row>
    <row r="2488" spans="2:2" ht="15.9" customHeight="1" x14ac:dyDescent="0.3">
      <c r="B2488" s="37"/>
    </row>
    <row r="2489" spans="2:2" ht="15.9" customHeight="1" x14ac:dyDescent="0.3">
      <c r="B2489" s="37"/>
    </row>
    <row r="2490" spans="2:2" ht="15.9" customHeight="1" x14ac:dyDescent="0.3">
      <c r="B2490" s="37"/>
    </row>
    <row r="2491" spans="2:2" ht="15.9" customHeight="1" x14ac:dyDescent="0.3">
      <c r="B2491" s="37"/>
    </row>
    <row r="2492" spans="2:2" ht="15.9" customHeight="1" x14ac:dyDescent="0.3">
      <c r="B2492" s="37"/>
    </row>
    <row r="2493" spans="2:2" ht="15.9" customHeight="1" x14ac:dyDescent="0.3">
      <c r="B2493" s="37"/>
    </row>
    <row r="2494" spans="2:2" ht="15.9" customHeight="1" x14ac:dyDescent="0.3">
      <c r="B2494" s="37"/>
    </row>
    <row r="2495" spans="2:2" ht="15.9" customHeight="1" x14ac:dyDescent="0.3">
      <c r="B2495" s="37"/>
    </row>
    <row r="2496" spans="2:2" ht="15.9" customHeight="1" x14ac:dyDescent="0.3">
      <c r="B2496" s="37"/>
    </row>
    <row r="2497" spans="2:2" ht="15.9" customHeight="1" x14ac:dyDescent="0.3">
      <c r="B2497" s="37"/>
    </row>
    <row r="2498" spans="2:2" ht="15.9" customHeight="1" x14ac:dyDescent="0.3">
      <c r="B2498" s="37"/>
    </row>
    <row r="2499" spans="2:2" ht="15.9" customHeight="1" x14ac:dyDescent="0.3">
      <c r="B2499" s="37"/>
    </row>
    <row r="2500" spans="2:2" ht="15.9" customHeight="1" x14ac:dyDescent="0.3">
      <c r="B2500" s="37"/>
    </row>
    <row r="2501" spans="2:2" ht="15.9" customHeight="1" x14ac:dyDescent="0.3">
      <c r="B2501" s="37"/>
    </row>
    <row r="2502" spans="2:2" ht="15.9" customHeight="1" x14ac:dyDescent="0.3">
      <c r="B2502" s="37"/>
    </row>
    <row r="2503" spans="2:2" ht="15.9" customHeight="1" x14ac:dyDescent="0.3">
      <c r="B2503" s="37"/>
    </row>
    <row r="2504" spans="2:2" ht="15.9" customHeight="1" x14ac:dyDescent="0.3">
      <c r="B2504" s="37"/>
    </row>
    <row r="2505" spans="2:2" ht="15.9" customHeight="1" x14ac:dyDescent="0.3">
      <c r="B2505" s="37"/>
    </row>
    <row r="2506" spans="2:2" ht="15.9" customHeight="1" x14ac:dyDescent="0.3">
      <c r="B2506" s="37"/>
    </row>
    <row r="2507" spans="2:2" ht="15.9" customHeight="1" x14ac:dyDescent="0.3">
      <c r="B2507" s="37"/>
    </row>
    <row r="2508" spans="2:2" ht="15.9" customHeight="1" x14ac:dyDescent="0.3">
      <c r="B2508" s="37"/>
    </row>
    <row r="2509" spans="2:2" ht="15.9" customHeight="1" x14ac:dyDescent="0.3">
      <c r="B2509" s="37"/>
    </row>
    <row r="2510" spans="2:2" ht="15.9" customHeight="1" x14ac:dyDescent="0.3">
      <c r="B2510" s="37"/>
    </row>
    <row r="2511" spans="2:2" ht="15.9" customHeight="1" x14ac:dyDescent="0.3">
      <c r="B2511" s="37"/>
    </row>
    <row r="2512" spans="2:2" ht="15.9" customHeight="1" x14ac:dyDescent="0.3">
      <c r="B2512" s="37"/>
    </row>
    <row r="2513" spans="2:2" ht="15.9" customHeight="1" x14ac:dyDescent="0.3">
      <c r="B2513" s="37"/>
    </row>
    <row r="2514" spans="2:2" ht="15.9" customHeight="1" x14ac:dyDescent="0.3">
      <c r="B2514" s="37"/>
    </row>
    <row r="2515" spans="2:2" ht="15.9" customHeight="1" x14ac:dyDescent="0.3">
      <c r="B2515" s="37"/>
    </row>
    <row r="2516" spans="2:2" ht="15.9" customHeight="1" x14ac:dyDescent="0.3">
      <c r="B2516" s="37"/>
    </row>
    <row r="2517" spans="2:2" ht="15.9" customHeight="1" x14ac:dyDescent="0.3">
      <c r="B2517" s="37"/>
    </row>
    <row r="2518" spans="2:2" ht="15.9" customHeight="1" x14ac:dyDescent="0.3">
      <c r="B2518" s="37"/>
    </row>
    <row r="2519" spans="2:2" ht="15.9" customHeight="1" x14ac:dyDescent="0.3">
      <c r="B2519" s="37"/>
    </row>
    <row r="2520" spans="2:2" ht="15.9" customHeight="1" x14ac:dyDescent="0.3">
      <c r="B2520" s="37"/>
    </row>
    <row r="2521" spans="2:2" ht="15.9" customHeight="1" x14ac:dyDescent="0.3">
      <c r="B2521" s="37"/>
    </row>
    <row r="2522" spans="2:2" ht="15.9" customHeight="1" x14ac:dyDescent="0.3">
      <c r="B2522" s="37"/>
    </row>
    <row r="2523" spans="2:2" ht="15.9" customHeight="1" x14ac:dyDescent="0.3">
      <c r="B2523" s="37"/>
    </row>
    <row r="2524" spans="2:2" ht="15.9" customHeight="1" x14ac:dyDescent="0.3">
      <c r="B2524" s="37"/>
    </row>
    <row r="2525" spans="2:2" ht="15.9" customHeight="1" x14ac:dyDescent="0.3">
      <c r="B2525" s="37"/>
    </row>
    <row r="2526" spans="2:2" ht="15.9" customHeight="1" x14ac:dyDescent="0.3">
      <c r="B2526" s="37"/>
    </row>
    <row r="2527" spans="2:2" ht="15.9" customHeight="1" x14ac:dyDescent="0.3">
      <c r="B2527" s="37"/>
    </row>
    <row r="2528" spans="2:2" ht="15.9" customHeight="1" x14ac:dyDescent="0.3">
      <c r="B2528" s="37"/>
    </row>
    <row r="2529" spans="2:2" ht="15.9" customHeight="1" x14ac:dyDescent="0.3">
      <c r="B2529" s="37"/>
    </row>
    <row r="2530" spans="2:2" ht="15.9" customHeight="1" x14ac:dyDescent="0.3">
      <c r="B2530" s="37"/>
    </row>
    <row r="2531" spans="2:2" ht="15.9" customHeight="1" x14ac:dyDescent="0.3">
      <c r="B2531" s="37"/>
    </row>
    <row r="2532" spans="2:2" ht="15.9" customHeight="1" x14ac:dyDescent="0.3">
      <c r="B2532" s="37"/>
    </row>
    <row r="2533" spans="2:2" ht="15.9" customHeight="1" x14ac:dyDescent="0.3">
      <c r="B2533" s="37"/>
    </row>
    <row r="2534" spans="2:2" ht="15.9" customHeight="1" x14ac:dyDescent="0.3">
      <c r="B2534" s="37"/>
    </row>
    <row r="2535" spans="2:2" ht="15.9" customHeight="1" x14ac:dyDescent="0.3">
      <c r="B2535" s="37"/>
    </row>
    <row r="2536" spans="2:2" ht="15.9" customHeight="1" x14ac:dyDescent="0.3">
      <c r="B2536" s="37"/>
    </row>
    <row r="2537" spans="2:2" ht="15.9" customHeight="1" x14ac:dyDescent="0.3">
      <c r="B2537" s="37"/>
    </row>
    <row r="2538" spans="2:2" ht="15.9" customHeight="1" x14ac:dyDescent="0.3">
      <c r="B2538" s="37"/>
    </row>
    <row r="2539" spans="2:2" ht="15.9" customHeight="1" x14ac:dyDescent="0.3">
      <c r="B2539" s="37"/>
    </row>
    <row r="2540" spans="2:2" ht="15.9" customHeight="1" x14ac:dyDescent="0.3">
      <c r="B2540" s="37"/>
    </row>
    <row r="2541" spans="2:2" ht="15.9" customHeight="1" x14ac:dyDescent="0.3">
      <c r="B2541" s="37"/>
    </row>
    <row r="2542" spans="2:2" ht="15.9" customHeight="1" x14ac:dyDescent="0.3">
      <c r="B2542" s="37"/>
    </row>
    <row r="2543" spans="2:2" ht="15.9" customHeight="1" x14ac:dyDescent="0.3">
      <c r="B2543" s="37"/>
    </row>
    <row r="2544" spans="2:2" ht="15.9" customHeight="1" x14ac:dyDescent="0.3">
      <c r="B2544" s="37"/>
    </row>
    <row r="2545" spans="2:2" ht="15.9" customHeight="1" x14ac:dyDescent="0.3">
      <c r="B2545" s="37"/>
    </row>
    <row r="2546" spans="2:2" ht="15.9" customHeight="1" x14ac:dyDescent="0.3">
      <c r="B2546" s="37"/>
    </row>
    <row r="2547" spans="2:2" ht="15.9" customHeight="1" x14ac:dyDescent="0.3">
      <c r="B2547" s="37"/>
    </row>
    <row r="2548" spans="2:2" ht="15.9" customHeight="1" x14ac:dyDescent="0.3">
      <c r="B2548" s="37"/>
    </row>
    <row r="2549" spans="2:2" ht="15.9" customHeight="1" x14ac:dyDescent="0.3">
      <c r="B2549" s="37"/>
    </row>
    <row r="2550" spans="2:2" ht="15.9" customHeight="1" x14ac:dyDescent="0.3">
      <c r="B2550" s="37"/>
    </row>
    <row r="2551" spans="2:2" ht="15.9" customHeight="1" x14ac:dyDescent="0.3">
      <c r="B2551" s="37"/>
    </row>
    <row r="2552" spans="2:2" ht="15.9" customHeight="1" x14ac:dyDescent="0.3">
      <c r="B2552" s="37"/>
    </row>
    <row r="2553" spans="2:2" ht="15.9" customHeight="1" x14ac:dyDescent="0.3">
      <c r="B2553" s="37"/>
    </row>
    <row r="2554" spans="2:2" ht="15.9" customHeight="1" x14ac:dyDescent="0.3">
      <c r="B2554" s="37"/>
    </row>
    <row r="2555" spans="2:2" ht="15.9" customHeight="1" x14ac:dyDescent="0.3">
      <c r="B2555" s="37"/>
    </row>
    <row r="2556" spans="2:2" ht="15.9" customHeight="1" x14ac:dyDescent="0.3">
      <c r="B2556" s="37"/>
    </row>
    <row r="2557" spans="2:2" ht="15.9" customHeight="1" x14ac:dyDescent="0.3">
      <c r="B2557" s="37"/>
    </row>
    <row r="2558" spans="2:2" ht="15.9" customHeight="1" x14ac:dyDescent="0.3">
      <c r="B2558" s="37"/>
    </row>
    <row r="2559" spans="2:2" ht="15.9" customHeight="1" x14ac:dyDescent="0.3">
      <c r="B2559" s="37"/>
    </row>
    <row r="2560" spans="2:2" ht="15.9" customHeight="1" x14ac:dyDescent="0.3">
      <c r="B2560" s="37"/>
    </row>
    <row r="2561" spans="2:2" ht="15.9" customHeight="1" x14ac:dyDescent="0.3">
      <c r="B2561" s="37"/>
    </row>
    <row r="2562" spans="2:2" ht="15.9" customHeight="1" x14ac:dyDescent="0.3">
      <c r="B2562" s="37"/>
    </row>
    <row r="2563" spans="2:2" ht="15.9" customHeight="1" x14ac:dyDescent="0.3">
      <c r="B2563" s="37"/>
    </row>
    <row r="2564" spans="2:2" ht="15.9" customHeight="1" x14ac:dyDescent="0.3">
      <c r="B2564" s="37"/>
    </row>
    <row r="2565" spans="2:2" ht="15.9" customHeight="1" x14ac:dyDescent="0.3">
      <c r="B2565" s="37"/>
    </row>
    <row r="2566" spans="2:2" ht="15.9" customHeight="1" x14ac:dyDescent="0.3">
      <c r="B2566" s="37"/>
    </row>
    <row r="2567" spans="2:2" ht="15.9" customHeight="1" x14ac:dyDescent="0.3">
      <c r="B2567" s="37"/>
    </row>
    <row r="2568" spans="2:2" ht="15.9" customHeight="1" x14ac:dyDescent="0.3">
      <c r="B2568" s="37"/>
    </row>
    <row r="2569" spans="2:2" ht="15.9" customHeight="1" x14ac:dyDescent="0.3">
      <c r="B2569" s="37"/>
    </row>
    <row r="2570" spans="2:2" ht="15.9" customHeight="1" x14ac:dyDescent="0.3">
      <c r="B2570" s="37"/>
    </row>
    <row r="2571" spans="2:2" ht="15.9" customHeight="1" x14ac:dyDescent="0.3">
      <c r="B2571" s="37"/>
    </row>
    <row r="2572" spans="2:2" ht="15.9" customHeight="1" x14ac:dyDescent="0.3">
      <c r="B2572" s="37"/>
    </row>
    <row r="2573" spans="2:2" ht="15.9" customHeight="1" x14ac:dyDescent="0.3">
      <c r="B2573" s="37"/>
    </row>
    <row r="2574" spans="2:2" ht="15.9" customHeight="1" x14ac:dyDescent="0.3">
      <c r="B2574" s="37"/>
    </row>
    <row r="2575" spans="2:2" ht="15.9" customHeight="1" x14ac:dyDescent="0.3">
      <c r="B2575" s="37"/>
    </row>
    <row r="2576" spans="2:2" ht="15.9" customHeight="1" x14ac:dyDescent="0.3">
      <c r="B2576" s="37"/>
    </row>
    <row r="2577" spans="2:2" ht="15.9" customHeight="1" x14ac:dyDescent="0.3">
      <c r="B2577" s="37"/>
    </row>
    <row r="2578" spans="2:2" ht="15.9" customHeight="1" x14ac:dyDescent="0.3">
      <c r="B2578" s="37"/>
    </row>
    <row r="2579" spans="2:2" ht="15.9" customHeight="1" x14ac:dyDescent="0.3">
      <c r="B2579" s="37"/>
    </row>
    <row r="2580" spans="2:2" ht="15.9" customHeight="1" x14ac:dyDescent="0.3">
      <c r="B2580" s="37"/>
    </row>
    <row r="2581" spans="2:2" ht="15.9" customHeight="1" x14ac:dyDescent="0.3">
      <c r="B2581" s="37"/>
    </row>
    <row r="2582" spans="2:2" ht="15.9" customHeight="1" x14ac:dyDescent="0.3">
      <c r="B2582" s="37"/>
    </row>
    <row r="2583" spans="2:2" ht="15.9" customHeight="1" x14ac:dyDescent="0.3">
      <c r="B2583" s="37"/>
    </row>
    <row r="2584" spans="2:2" ht="15.9" customHeight="1" x14ac:dyDescent="0.3">
      <c r="B2584" s="37"/>
    </row>
    <row r="2585" spans="2:2" ht="15.9" customHeight="1" x14ac:dyDescent="0.3">
      <c r="B2585" s="37"/>
    </row>
    <row r="2586" spans="2:2" ht="15.9" customHeight="1" x14ac:dyDescent="0.3">
      <c r="B2586" s="37"/>
    </row>
    <row r="2587" spans="2:2" ht="15.9" customHeight="1" x14ac:dyDescent="0.3">
      <c r="B2587" s="37"/>
    </row>
    <row r="2588" spans="2:2" ht="15.9" customHeight="1" x14ac:dyDescent="0.3">
      <c r="B2588" s="37"/>
    </row>
    <row r="2589" spans="2:2" ht="15.9" customHeight="1" x14ac:dyDescent="0.3">
      <c r="B2589" s="37"/>
    </row>
    <row r="2590" spans="2:2" ht="15.9" customHeight="1" x14ac:dyDescent="0.3">
      <c r="B2590" s="37"/>
    </row>
    <row r="2591" spans="2:2" ht="15.9" customHeight="1" x14ac:dyDescent="0.3">
      <c r="B2591" s="37"/>
    </row>
    <row r="2592" spans="2:2" ht="15.9" customHeight="1" x14ac:dyDescent="0.3">
      <c r="B2592" s="37"/>
    </row>
    <row r="2593" spans="2:2" ht="15.9" customHeight="1" x14ac:dyDescent="0.3">
      <c r="B2593" s="37"/>
    </row>
    <row r="2594" spans="2:2" ht="15.9" customHeight="1" x14ac:dyDescent="0.3">
      <c r="B2594" s="37"/>
    </row>
    <row r="2595" spans="2:2" ht="15.9" customHeight="1" x14ac:dyDescent="0.3">
      <c r="B2595" s="37"/>
    </row>
    <row r="2596" spans="2:2" ht="15.9" customHeight="1" x14ac:dyDescent="0.3">
      <c r="B2596" s="37"/>
    </row>
    <row r="2597" spans="2:2" ht="15.9" customHeight="1" x14ac:dyDescent="0.3">
      <c r="B2597" s="37"/>
    </row>
    <row r="2598" spans="2:2" ht="15.9" customHeight="1" x14ac:dyDescent="0.3">
      <c r="B2598" s="37"/>
    </row>
    <row r="2599" spans="2:2" ht="15.9" customHeight="1" x14ac:dyDescent="0.3">
      <c r="B2599" s="37"/>
    </row>
    <row r="2600" spans="2:2" ht="15.9" customHeight="1" x14ac:dyDescent="0.3">
      <c r="B2600" s="37"/>
    </row>
    <row r="2601" spans="2:2" ht="15.9" customHeight="1" x14ac:dyDescent="0.3">
      <c r="B2601" s="37"/>
    </row>
    <row r="2602" spans="2:2" ht="15.9" customHeight="1" x14ac:dyDescent="0.3">
      <c r="B2602" s="37"/>
    </row>
    <row r="2603" spans="2:2" ht="15.9" customHeight="1" x14ac:dyDescent="0.3">
      <c r="B2603" s="37"/>
    </row>
    <row r="2604" spans="2:2" ht="15.9" customHeight="1" x14ac:dyDescent="0.3">
      <c r="B2604" s="37"/>
    </row>
    <row r="2605" spans="2:2" ht="15.9" customHeight="1" x14ac:dyDescent="0.3">
      <c r="B2605" s="37"/>
    </row>
    <row r="2606" spans="2:2" ht="15.9" customHeight="1" x14ac:dyDescent="0.3">
      <c r="B2606" s="37"/>
    </row>
    <row r="2607" spans="2:2" ht="15.9" customHeight="1" x14ac:dyDescent="0.3">
      <c r="B2607" s="37"/>
    </row>
    <row r="2608" spans="2:2" ht="15.9" customHeight="1" x14ac:dyDescent="0.3">
      <c r="B2608" s="37"/>
    </row>
    <row r="2609" spans="2:2" ht="15.9" customHeight="1" x14ac:dyDescent="0.3">
      <c r="B2609" s="37"/>
    </row>
    <row r="2610" spans="2:2" ht="15.9" customHeight="1" x14ac:dyDescent="0.3">
      <c r="B2610" s="37"/>
    </row>
    <row r="2611" spans="2:2" ht="15.9" customHeight="1" x14ac:dyDescent="0.3">
      <c r="B2611" s="37"/>
    </row>
    <row r="2612" spans="2:2" ht="15.9" customHeight="1" x14ac:dyDescent="0.3">
      <c r="B2612" s="37"/>
    </row>
    <row r="2613" spans="2:2" ht="15.9" customHeight="1" x14ac:dyDescent="0.3">
      <c r="B2613" s="37"/>
    </row>
    <row r="2614" spans="2:2" ht="15.9" customHeight="1" x14ac:dyDescent="0.3">
      <c r="B2614" s="37"/>
    </row>
    <row r="2615" spans="2:2" ht="15.9" customHeight="1" x14ac:dyDescent="0.3">
      <c r="B2615" s="37"/>
    </row>
    <row r="2616" spans="2:2" ht="15.9" customHeight="1" x14ac:dyDescent="0.3">
      <c r="B2616" s="37"/>
    </row>
    <row r="2617" spans="2:2" ht="15.9" customHeight="1" x14ac:dyDescent="0.3">
      <c r="B2617" s="37"/>
    </row>
    <row r="2618" spans="2:2" ht="15.9" customHeight="1" x14ac:dyDescent="0.3">
      <c r="B2618" s="37"/>
    </row>
    <row r="2619" spans="2:2" ht="15.9" customHeight="1" x14ac:dyDescent="0.3">
      <c r="B2619" s="37"/>
    </row>
    <row r="2620" spans="2:2" ht="15.9" customHeight="1" x14ac:dyDescent="0.3">
      <c r="B2620" s="37"/>
    </row>
    <row r="2621" spans="2:2" ht="15.9" customHeight="1" x14ac:dyDescent="0.3">
      <c r="B2621" s="37"/>
    </row>
    <row r="2622" spans="2:2" ht="15.9" customHeight="1" x14ac:dyDescent="0.3">
      <c r="B2622" s="37"/>
    </row>
    <row r="2623" spans="2:2" ht="15.9" customHeight="1" x14ac:dyDescent="0.3">
      <c r="B2623" s="37"/>
    </row>
    <row r="2624" spans="2:2" ht="15.9" customHeight="1" x14ac:dyDescent="0.3">
      <c r="B2624" s="37"/>
    </row>
    <row r="2625" spans="2:2" ht="15.9" customHeight="1" x14ac:dyDescent="0.3">
      <c r="B2625" s="37"/>
    </row>
    <row r="2626" spans="2:2" ht="15.9" customHeight="1" x14ac:dyDescent="0.3">
      <c r="B2626" s="37"/>
    </row>
    <row r="2627" spans="2:2" ht="15.9" customHeight="1" x14ac:dyDescent="0.3">
      <c r="B2627" s="37"/>
    </row>
    <row r="2628" spans="2:2" ht="15.9" customHeight="1" x14ac:dyDescent="0.3">
      <c r="B2628" s="37"/>
    </row>
    <row r="2629" spans="2:2" ht="15.9" customHeight="1" x14ac:dyDescent="0.3">
      <c r="B2629" s="37"/>
    </row>
    <row r="2630" spans="2:2" ht="15.9" customHeight="1" x14ac:dyDescent="0.3">
      <c r="B2630" s="37"/>
    </row>
    <row r="2631" spans="2:2" ht="15.9" customHeight="1" x14ac:dyDescent="0.3">
      <c r="B2631" s="37"/>
    </row>
    <row r="2632" spans="2:2" ht="15.9" customHeight="1" x14ac:dyDescent="0.3">
      <c r="B2632" s="37"/>
    </row>
    <row r="2633" spans="2:2" ht="15.9" customHeight="1" x14ac:dyDescent="0.3">
      <c r="B2633" s="37"/>
    </row>
    <row r="2634" spans="2:2" ht="15.9" customHeight="1" x14ac:dyDescent="0.3">
      <c r="B2634" s="37"/>
    </row>
    <row r="2635" spans="2:2" ht="15.9" customHeight="1" x14ac:dyDescent="0.3">
      <c r="B2635" s="37"/>
    </row>
    <row r="2636" spans="2:2" ht="15.9" customHeight="1" x14ac:dyDescent="0.3">
      <c r="B2636" s="37"/>
    </row>
    <row r="2637" spans="2:2" ht="15.9" customHeight="1" x14ac:dyDescent="0.3">
      <c r="B2637" s="37"/>
    </row>
    <row r="2638" spans="2:2" ht="15.9" customHeight="1" x14ac:dyDescent="0.3">
      <c r="B2638" s="37"/>
    </row>
    <row r="2639" spans="2:2" ht="15.9" customHeight="1" x14ac:dyDescent="0.3">
      <c r="B2639" s="37"/>
    </row>
    <row r="2640" spans="2:2" ht="15.9" customHeight="1" x14ac:dyDescent="0.3">
      <c r="B2640" s="37"/>
    </row>
    <row r="2641" spans="2:2" ht="15.9" customHeight="1" x14ac:dyDescent="0.3">
      <c r="B2641" s="37"/>
    </row>
    <row r="2642" spans="2:2" ht="15.9" customHeight="1" x14ac:dyDescent="0.3">
      <c r="B2642" s="37"/>
    </row>
    <row r="2643" spans="2:2" ht="15.9" customHeight="1" x14ac:dyDescent="0.3">
      <c r="B2643" s="37"/>
    </row>
    <row r="2644" spans="2:2" ht="15.9" customHeight="1" x14ac:dyDescent="0.3">
      <c r="B2644" s="37"/>
    </row>
    <row r="2645" spans="2:2" ht="15.9" customHeight="1" x14ac:dyDescent="0.3">
      <c r="B2645" s="37"/>
    </row>
    <row r="2646" spans="2:2" ht="15.9" customHeight="1" x14ac:dyDescent="0.3">
      <c r="B2646" s="37"/>
    </row>
    <row r="2647" spans="2:2" ht="15.9" customHeight="1" x14ac:dyDescent="0.3">
      <c r="B2647" s="37"/>
    </row>
    <row r="2648" spans="2:2" ht="15.9" customHeight="1" x14ac:dyDescent="0.3">
      <c r="B2648" s="37"/>
    </row>
    <row r="2649" spans="2:2" ht="15.9" customHeight="1" x14ac:dyDescent="0.3">
      <c r="B2649" s="37"/>
    </row>
    <row r="2650" spans="2:2" ht="15.9" customHeight="1" x14ac:dyDescent="0.3">
      <c r="B2650" s="37"/>
    </row>
    <row r="2651" spans="2:2" ht="15.9" customHeight="1" x14ac:dyDescent="0.3">
      <c r="B2651" s="37"/>
    </row>
    <row r="2652" spans="2:2" ht="15.9" customHeight="1" x14ac:dyDescent="0.3">
      <c r="B2652" s="37"/>
    </row>
    <row r="2653" spans="2:2" ht="15.9" customHeight="1" x14ac:dyDescent="0.3">
      <c r="B2653" s="37"/>
    </row>
    <row r="2654" spans="2:2" ht="15.9" customHeight="1" x14ac:dyDescent="0.3">
      <c r="B2654" s="37"/>
    </row>
    <row r="2655" spans="2:2" ht="15.9" customHeight="1" x14ac:dyDescent="0.3">
      <c r="B2655" s="37"/>
    </row>
    <row r="2656" spans="2:2" ht="15.9" customHeight="1" x14ac:dyDescent="0.3">
      <c r="B2656" s="37"/>
    </row>
    <row r="2657" spans="2:2" ht="15.9" customHeight="1" x14ac:dyDescent="0.3">
      <c r="B2657" s="37"/>
    </row>
    <row r="2658" spans="2:2" ht="15.9" customHeight="1" x14ac:dyDescent="0.3">
      <c r="B2658" s="37"/>
    </row>
    <row r="2659" spans="2:2" ht="15.9" customHeight="1" x14ac:dyDescent="0.3">
      <c r="B2659" s="37"/>
    </row>
    <row r="2660" spans="2:2" ht="15.9" customHeight="1" x14ac:dyDescent="0.3">
      <c r="B2660" s="37"/>
    </row>
    <row r="2661" spans="2:2" ht="15.9" customHeight="1" x14ac:dyDescent="0.3">
      <c r="B2661" s="37"/>
    </row>
    <row r="2662" spans="2:2" ht="15.9" customHeight="1" x14ac:dyDescent="0.3">
      <c r="B2662" s="37"/>
    </row>
    <row r="2663" spans="2:2" ht="15.9" customHeight="1" x14ac:dyDescent="0.3">
      <c r="B2663" s="37"/>
    </row>
    <row r="2664" spans="2:2" ht="15.9" customHeight="1" x14ac:dyDescent="0.3">
      <c r="B2664" s="37"/>
    </row>
    <row r="2665" spans="2:2" ht="15.9" customHeight="1" x14ac:dyDescent="0.3">
      <c r="B2665" s="37"/>
    </row>
    <row r="2666" spans="2:2" ht="15.9" customHeight="1" x14ac:dyDescent="0.3">
      <c r="B2666" s="37"/>
    </row>
    <row r="2667" spans="2:2" ht="15.9" customHeight="1" x14ac:dyDescent="0.3">
      <c r="B2667" s="37"/>
    </row>
    <row r="2668" spans="2:2" ht="15.9" customHeight="1" x14ac:dyDescent="0.3">
      <c r="B2668" s="37"/>
    </row>
    <row r="2669" spans="2:2" ht="15.9" customHeight="1" x14ac:dyDescent="0.3">
      <c r="B2669" s="37"/>
    </row>
    <row r="2670" spans="2:2" ht="15.9" customHeight="1" x14ac:dyDescent="0.3">
      <c r="B2670" s="37"/>
    </row>
    <row r="2671" spans="2:2" ht="15.9" customHeight="1" x14ac:dyDescent="0.3">
      <c r="B2671" s="37"/>
    </row>
    <row r="2672" spans="2:2" ht="15.9" customHeight="1" x14ac:dyDescent="0.3">
      <c r="B2672" s="37"/>
    </row>
    <row r="2673" spans="2:2" ht="15.9" customHeight="1" x14ac:dyDescent="0.3">
      <c r="B2673" s="37"/>
    </row>
    <row r="2674" spans="2:2" ht="15.9" customHeight="1" x14ac:dyDescent="0.3">
      <c r="B2674" s="37"/>
    </row>
    <row r="2675" spans="2:2" ht="15.9" customHeight="1" x14ac:dyDescent="0.3">
      <c r="B2675" s="37"/>
    </row>
    <row r="2676" spans="2:2" ht="15.9" customHeight="1" x14ac:dyDescent="0.3">
      <c r="B2676" s="37"/>
    </row>
    <row r="2677" spans="2:2" ht="15.9" customHeight="1" x14ac:dyDescent="0.3">
      <c r="B2677" s="37"/>
    </row>
    <row r="2678" spans="2:2" ht="15.9" customHeight="1" x14ac:dyDescent="0.3">
      <c r="B2678" s="37"/>
    </row>
    <row r="2679" spans="2:2" ht="15.9" customHeight="1" x14ac:dyDescent="0.3">
      <c r="B2679" s="37"/>
    </row>
    <row r="2680" spans="2:2" ht="15.9" customHeight="1" x14ac:dyDescent="0.3">
      <c r="B2680" s="37"/>
    </row>
    <row r="2681" spans="2:2" ht="15.9" customHeight="1" x14ac:dyDescent="0.3">
      <c r="B2681" s="37"/>
    </row>
    <row r="2682" spans="2:2" ht="15.9" customHeight="1" x14ac:dyDescent="0.3">
      <c r="B2682" s="37"/>
    </row>
    <row r="2683" spans="2:2" ht="15.9" customHeight="1" x14ac:dyDescent="0.3">
      <c r="B2683" s="37"/>
    </row>
    <row r="2684" spans="2:2" ht="15.9" customHeight="1" x14ac:dyDescent="0.3">
      <c r="B2684" s="37"/>
    </row>
    <row r="2685" spans="2:2" ht="15.9" customHeight="1" x14ac:dyDescent="0.3">
      <c r="B2685" s="37"/>
    </row>
    <row r="2686" spans="2:2" ht="15.9" customHeight="1" x14ac:dyDescent="0.3">
      <c r="B2686" s="37"/>
    </row>
    <row r="2687" spans="2:2" ht="15.9" customHeight="1" x14ac:dyDescent="0.3">
      <c r="B2687" s="37"/>
    </row>
    <row r="2688" spans="2:2" ht="15.9" customHeight="1" x14ac:dyDescent="0.3">
      <c r="B2688" s="37"/>
    </row>
    <row r="2689" spans="2:2" ht="15.9" customHeight="1" x14ac:dyDescent="0.3">
      <c r="B2689" s="37"/>
    </row>
    <row r="2690" spans="2:2" ht="15.9" customHeight="1" x14ac:dyDescent="0.3">
      <c r="B2690" s="37"/>
    </row>
    <row r="2691" spans="2:2" ht="15.9" customHeight="1" x14ac:dyDescent="0.3">
      <c r="B2691" s="37"/>
    </row>
    <row r="2692" spans="2:2" ht="15.9" customHeight="1" x14ac:dyDescent="0.3">
      <c r="B2692" s="37"/>
    </row>
    <row r="2693" spans="2:2" ht="15.9" customHeight="1" x14ac:dyDescent="0.3">
      <c r="B2693" s="37"/>
    </row>
    <row r="2694" spans="2:2" ht="15.9" customHeight="1" x14ac:dyDescent="0.3">
      <c r="B2694" s="37"/>
    </row>
    <row r="2695" spans="2:2" ht="15.9" customHeight="1" x14ac:dyDescent="0.3">
      <c r="B2695" s="37"/>
    </row>
    <row r="2696" spans="2:2" ht="15.9" customHeight="1" x14ac:dyDescent="0.3">
      <c r="B2696" s="37"/>
    </row>
    <row r="2697" spans="2:2" ht="15.9" customHeight="1" x14ac:dyDescent="0.3">
      <c r="B2697" s="37"/>
    </row>
    <row r="2698" spans="2:2" ht="15.9" customHeight="1" x14ac:dyDescent="0.3">
      <c r="B2698" s="37"/>
    </row>
    <row r="2699" spans="2:2" ht="15.9" customHeight="1" x14ac:dyDescent="0.3">
      <c r="B2699" s="37"/>
    </row>
    <row r="2700" spans="2:2" ht="15.9" customHeight="1" x14ac:dyDescent="0.3">
      <c r="B2700" s="37"/>
    </row>
    <row r="2701" spans="2:2" ht="15.9" customHeight="1" x14ac:dyDescent="0.3">
      <c r="B2701" s="37"/>
    </row>
    <row r="2702" spans="2:2" ht="15.9" customHeight="1" x14ac:dyDescent="0.3">
      <c r="B2702" s="37"/>
    </row>
    <row r="2703" spans="2:2" ht="15.9" customHeight="1" x14ac:dyDescent="0.3">
      <c r="B2703" s="37"/>
    </row>
    <row r="2704" spans="2:2" ht="15.9" customHeight="1" x14ac:dyDescent="0.3">
      <c r="B2704" s="37"/>
    </row>
    <row r="2705" spans="2:2" ht="15.9" customHeight="1" x14ac:dyDescent="0.3">
      <c r="B2705" s="37"/>
    </row>
    <row r="2706" spans="2:2" ht="15.9" customHeight="1" x14ac:dyDescent="0.3">
      <c r="B2706" s="37"/>
    </row>
    <row r="2707" spans="2:2" ht="15.9" customHeight="1" x14ac:dyDescent="0.3">
      <c r="B2707" s="37"/>
    </row>
    <row r="2708" spans="2:2" ht="15.9" customHeight="1" x14ac:dyDescent="0.3">
      <c r="B2708" s="37"/>
    </row>
    <row r="2709" spans="2:2" ht="15.9" customHeight="1" x14ac:dyDescent="0.3">
      <c r="B2709" s="37"/>
    </row>
    <row r="2710" spans="2:2" ht="15.9" customHeight="1" x14ac:dyDescent="0.3">
      <c r="B2710" s="37"/>
    </row>
    <row r="2711" spans="2:2" ht="15.9" customHeight="1" x14ac:dyDescent="0.3">
      <c r="B2711" s="37"/>
    </row>
    <row r="2712" spans="2:2" ht="15.9" customHeight="1" x14ac:dyDescent="0.3">
      <c r="B2712" s="37"/>
    </row>
    <row r="2713" spans="2:2" ht="15.9" customHeight="1" x14ac:dyDescent="0.3">
      <c r="B2713" s="37"/>
    </row>
    <row r="2714" spans="2:2" ht="15.9" customHeight="1" x14ac:dyDescent="0.3">
      <c r="B2714" s="37"/>
    </row>
    <row r="2715" spans="2:2" ht="15.9" customHeight="1" x14ac:dyDescent="0.3">
      <c r="B2715" s="37"/>
    </row>
    <row r="2716" spans="2:2" ht="15.9" customHeight="1" x14ac:dyDescent="0.3">
      <c r="B2716" s="37"/>
    </row>
    <row r="2717" spans="2:2" ht="15.9" customHeight="1" x14ac:dyDescent="0.3">
      <c r="B2717" s="37"/>
    </row>
    <row r="2718" spans="2:2" ht="15.9" customHeight="1" x14ac:dyDescent="0.3">
      <c r="B2718" s="37"/>
    </row>
    <row r="2719" spans="2:2" ht="15.9" customHeight="1" x14ac:dyDescent="0.3">
      <c r="B2719" s="37"/>
    </row>
    <row r="2720" spans="2:2" ht="15.9" customHeight="1" x14ac:dyDescent="0.3">
      <c r="B2720" s="37"/>
    </row>
    <row r="2721" spans="2:2" ht="15.9" customHeight="1" x14ac:dyDescent="0.3">
      <c r="B2721" s="37"/>
    </row>
    <row r="2722" spans="2:2" ht="15.9" customHeight="1" x14ac:dyDescent="0.3">
      <c r="B2722" s="37"/>
    </row>
    <row r="2723" spans="2:2" ht="15.9" customHeight="1" x14ac:dyDescent="0.3">
      <c r="B2723" s="37"/>
    </row>
    <row r="2724" spans="2:2" ht="15.9" customHeight="1" x14ac:dyDescent="0.3">
      <c r="B2724" s="37"/>
    </row>
    <row r="2725" spans="2:2" ht="15.9" customHeight="1" x14ac:dyDescent="0.3">
      <c r="B2725" s="37"/>
    </row>
    <row r="2726" spans="2:2" ht="15.9" customHeight="1" x14ac:dyDescent="0.3">
      <c r="B2726" s="37"/>
    </row>
    <row r="2727" spans="2:2" ht="15.9" customHeight="1" x14ac:dyDescent="0.3">
      <c r="B2727" s="37"/>
    </row>
    <row r="2728" spans="2:2" ht="15.9" customHeight="1" x14ac:dyDescent="0.3">
      <c r="B2728" s="37"/>
    </row>
    <row r="2729" spans="2:2" ht="15.9" customHeight="1" x14ac:dyDescent="0.3">
      <c r="B2729" s="37"/>
    </row>
    <row r="2730" spans="2:2" ht="15.9" customHeight="1" x14ac:dyDescent="0.3">
      <c r="B2730" s="37"/>
    </row>
    <row r="2731" spans="2:2" ht="15.9" customHeight="1" x14ac:dyDescent="0.3">
      <c r="B2731" s="37"/>
    </row>
    <row r="2732" spans="2:2" ht="15.9" customHeight="1" x14ac:dyDescent="0.3">
      <c r="B2732" s="37"/>
    </row>
    <row r="2733" spans="2:2" ht="15.9" customHeight="1" x14ac:dyDescent="0.3">
      <c r="B2733" s="37"/>
    </row>
    <row r="2734" spans="2:2" ht="15.9" customHeight="1" x14ac:dyDescent="0.3">
      <c r="B2734" s="37"/>
    </row>
    <row r="2735" spans="2:2" ht="15.9" customHeight="1" x14ac:dyDescent="0.3">
      <c r="B2735" s="37"/>
    </row>
    <row r="2736" spans="2:2" ht="15.9" customHeight="1" x14ac:dyDescent="0.3">
      <c r="B2736" s="37"/>
    </row>
    <row r="2737" spans="2:2" ht="15.9" customHeight="1" x14ac:dyDescent="0.3">
      <c r="B2737" s="37"/>
    </row>
    <row r="2738" spans="2:2" ht="15.9" customHeight="1" x14ac:dyDescent="0.3">
      <c r="B2738" s="37"/>
    </row>
    <row r="2739" spans="2:2" ht="15.9" customHeight="1" x14ac:dyDescent="0.3">
      <c r="B2739" s="37"/>
    </row>
    <row r="2740" spans="2:2" ht="15.9" customHeight="1" x14ac:dyDescent="0.3">
      <c r="B2740" s="37"/>
    </row>
    <row r="2741" spans="2:2" ht="15.9" customHeight="1" x14ac:dyDescent="0.3">
      <c r="B2741" s="37"/>
    </row>
    <row r="2742" spans="2:2" ht="15.9" customHeight="1" x14ac:dyDescent="0.3">
      <c r="B2742" s="37"/>
    </row>
    <row r="2743" spans="2:2" ht="15.9" customHeight="1" x14ac:dyDescent="0.3">
      <c r="B2743" s="37"/>
    </row>
    <row r="2744" spans="2:2" ht="15.9" customHeight="1" x14ac:dyDescent="0.3">
      <c r="B2744" s="37"/>
    </row>
    <row r="2745" spans="2:2" ht="15.9" customHeight="1" x14ac:dyDescent="0.3">
      <c r="B2745" s="37"/>
    </row>
    <row r="2746" spans="2:2" ht="15.9" customHeight="1" x14ac:dyDescent="0.3">
      <c r="B2746" s="37"/>
    </row>
    <row r="2747" spans="2:2" ht="15.9" customHeight="1" x14ac:dyDescent="0.3">
      <c r="B2747" s="37"/>
    </row>
    <row r="2748" spans="2:2" ht="15.9" customHeight="1" x14ac:dyDescent="0.3">
      <c r="B2748" s="37"/>
    </row>
    <row r="2749" spans="2:2" ht="15.9" customHeight="1" x14ac:dyDescent="0.3">
      <c r="B2749" s="37"/>
    </row>
    <row r="2750" spans="2:2" ht="15.9" customHeight="1" x14ac:dyDescent="0.3">
      <c r="B2750" s="37"/>
    </row>
    <row r="2751" spans="2:2" ht="15.9" customHeight="1" x14ac:dyDescent="0.3">
      <c r="B2751" s="37"/>
    </row>
    <row r="2752" spans="2:2" ht="15.9" customHeight="1" x14ac:dyDescent="0.3">
      <c r="B2752" s="37"/>
    </row>
    <row r="2753" spans="2:2" ht="15.9" customHeight="1" x14ac:dyDescent="0.3">
      <c r="B2753" s="37"/>
    </row>
    <row r="2754" spans="2:2" ht="15.9" customHeight="1" x14ac:dyDescent="0.3">
      <c r="B2754" s="37"/>
    </row>
    <row r="2755" spans="2:2" ht="15.9" customHeight="1" x14ac:dyDescent="0.3">
      <c r="B2755" s="37"/>
    </row>
    <row r="2756" spans="2:2" ht="15.9" customHeight="1" x14ac:dyDescent="0.3">
      <c r="B2756" s="37"/>
    </row>
    <row r="2757" spans="2:2" ht="15.9" customHeight="1" x14ac:dyDescent="0.3">
      <c r="B2757" s="37"/>
    </row>
    <row r="2758" spans="2:2" ht="15.9" customHeight="1" x14ac:dyDescent="0.3">
      <c r="B2758" s="37"/>
    </row>
    <row r="2759" spans="2:2" ht="15.9" customHeight="1" x14ac:dyDescent="0.3">
      <c r="B2759" s="37"/>
    </row>
    <row r="2760" spans="2:2" ht="15.9" customHeight="1" x14ac:dyDescent="0.3">
      <c r="B2760" s="37"/>
    </row>
    <row r="2761" spans="2:2" ht="15.9" customHeight="1" x14ac:dyDescent="0.3">
      <c r="B2761" s="37"/>
    </row>
    <row r="2762" spans="2:2" ht="15.9" customHeight="1" x14ac:dyDescent="0.3">
      <c r="B2762" s="37"/>
    </row>
    <row r="2763" spans="2:2" ht="15.9" customHeight="1" x14ac:dyDescent="0.3">
      <c r="B2763" s="37"/>
    </row>
    <row r="2764" spans="2:2" ht="15.9" customHeight="1" x14ac:dyDescent="0.3">
      <c r="B2764" s="37"/>
    </row>
    <row r="2765" spans="2:2" ht="15.9" customHeight="1" x14ac:dyDescent="0.3">
      <c r="B2765" s="37"/>
    </row>
    <row r="2766" spans="2:2" ht="15.9" customHeight="1" x14ac:dyDescent="0.3">
      <c r="B2766" s="37"/>
    </row>
    <row r="2767" spans="2:2" ht="15.9" customHeight="1" x14ac:dyDescent="0.3">
      <c r="B2767" s="37"/>
    </row>
    <row r="2768" spans="2:2" ht="15.9" customHeight="1" x14ac:dyDescent="0.3">
      <c r="B2768" s="37"/>
    </row>
    <row r="2769" spans="2:2" ht="15.9" customHeight="1" x14ac:dyDescent="0.3">
      <c r="B2769" s="37"/>
    </row>
    <row r="2770" spans="2:2" ht="15.9" customHeight="1" x14ac:dyDescent="0.3">
      <c r="B2770" s="37"/>
    </row>
    <row r="2771" spans="2:2" ht="15.9" customHeight="1" x14ac:dyDescent="0.3">
      <c r="B2771" s="37"/>
    </row>
    <row r="2772" spans="2:2" ht="15.9" customHeight="1" x14ac:dyDescent="0.3">
      <c r="B2772" s="37"/>
    </row>
    <row r="2773" spans="2:2" ht="15.9" customHeight="1" x14ac:dyDescent="0.3">
      <c r="B2773" s="37"/>
    </row>
    <row r="2774" spans="2:2" ht="15.9" customHeight="1" x14ac:dyDescent="0.3">
      <c r="B2774" s="37"/>
    </row>
    <row r="2775" spans="2:2" ht="15.9" customHeight="1" x14ac:dyDescent="0.3">
      <c r="B2775" s="37"/>
    </row>
    <row r="2776" spans="2:2" ht="15.9" customHeight="1" x14ac:dyDescent="0.3">
      <c r="B2776" s="37"/>
    </row>
    <row r="2777" spans="2:2" ht="15.9" customHeight="1" x14ac:dyDescent="0.3">
      <c r="B2777" s="37"/>
    </row>
    <row r="2778" spans="2:2" ht="15.9" customHeight="1" x14ac:dyDescent="0.3">
      <c r="B2778" s="37"/>
    </row>
    <row r="2779" spans="2:2" ht="15.9" customHeight="1" x14ac:dyDescent="0.3">
      <c r="B2779" s="37"/>
    </row>
    <row r="2780" spans="2:2" ht="15.9" customHeight="1" x14ac:dyDescent="0.3">
      <c r="B2780" s="37"/>
    </row>
    <row r="2781" spans="2:2" ht="15.9" customHeight="1" x14ac:dyDescent="0.3">
      <c r="B2781" s="37"/>
    </row>
    <row r="2782" spans="2:2" ht="15.9" customHeight="1" x14ac:dyDescent="0.3">
      <c r="B2782" s="37"/>
    </row>
    <row r="2783" spans="2:2" ht="15.9" customHeight="1" x14ac:dyDescent="0.3">
      <c r="B2783" s="37"/>
    </row>
    <row r="2784" spans="2:2" ht="15.9" customHeight="1" x14ac:dyDescent="0.3">
      <c r="B2784" s="37"/>
    </row>
    <row r="2785" spans="2:2" ht="15.9" customHeight="1" x14ac:dyDescent="0.3">
      <c r="B2785" s="37"/>
    </row>
    <row r="2786" spans="2:2" ht="15.9" customHeight="1" x14ac:dyDescent="0.3">
      <c r="B2786" s="37"/>
    </row>
    <row r="2787" spans="2:2" ht="15.9" customHeight="1" x14ac:dyDescent="0.3">
      <c r="B2787" s="37"/>
    </row>
    <row r="2788" spans="2:2" ht="15.9" customHeight="1" x14ac:dyDescent="0.3">
      <c r="B2788" s="37"/>
    </row>
    <row r="2789" spans="2:2" ht="15.9" customHeight="1" x14ac:dyDescent="0.3">
      <c r="B2789" s="37"/>
    </row>
    <row r="2790" spans="2:2" ht="15.9" customHeight="1" x14ac:dyDescent="0.3">
      <c r="B2790" s="37"/>
    </row>
    <row r="2791" spans="2:2" ht="15.9" customHeight="1" x14ac:dyDescent="0.3">
      <c r="B2791" s="37"/>
    </row>
    <row r="2792" spans="2:2" ht="15.9" customHeight="1" x14ac:dyDescent="0.3">
      <c r="B2792" s="37"/>
    </row>
    <row r="2793" spans="2:2" ht="15.9" customHeight="1" x14ac:dyDescent="0.3">
      <c r="B2793" s="37"/>
    </row>
    <row r="2794" spans="2:2" ht="15.9" customHeight="1" x14ac:dyDescent="0.3">
      <c r="B2794" s="37"/>
    </row>
    <row r="2795" spans="2:2" ht="15.9" customHeight="1" x14ac:dyDescent="0.3">
      <c r="B2795" s="37"/>
    </row>
    <row r="2796" spans="2:2" ht="15.9" customHeight="1" x14ac:dyDescent="0.3">
      <c r="B2796" s="37"/>
    </row>
    <row r="2797" spans="2:2" ht="15.9" customHeight="1" x14ac:dyDescent="0.3">
      <c r="B2797" s="37"/>
    </row>
    <row r="2798" spans="2:2" ht="15.9" customHeight="1" x14ac:dyDescent="0.3">
      <c r="B2798" s="37"/>
    </row>
    <row r="2799" spans="2:2" ht="15.9" customHeight="1" x14ac:dyDescent="0.3">
      <c r="B2799" s="37"/>
    </row>
    <row r="2800" spans="2:2" ht="15.9" customHeight="1" x14ac:dyDescent="0.3">
      <c r="B2800" s="37"/>
    </row>
    <row r="2801" spans="2:2" ht="15.9" customHeight="1" x14ac:dyDescent="0.3">
      <c r="B2801" s="37"/>
    </row>
    <row r="2802" spans="2:2" ht="15.9" customHeight="1" x14ac:dyDescent="0.3">
      <c r="B2802" s="37"/>
    </row>
    <row r="2803" spans="2:2" ht="15.9" customHeight="1" x14ac:dyDescent="0.3">
      <c r="B2803" s="37"/>
    </row>
    <row r="2804" spans="2:2" ht="15.9" customHeight="1" x14ac:dyDescent="0.3">
      <c r="B2804" s="37"/>
    </row>
    <row r="2805" spans="2:2" ht="15.9" customHeight="1" x14ac:dyDescent="0.3">
      <c r="B2805" s="37"/>
    </row>
    <row r="2806" spans="2:2" ht="15.9" customHeight="1" x14ac:dyDescent="0.3">
      <c r="B2806" s="37"/>
    </row>
    <row r="2807" spans="2:2" ht="15.9" customHeight="1" x14ac:dyDescent="0.3">
      <c r="B2807" s="37"/>
    </row>
    <row r="2808" spans="2:2" ht="15.9" customHeight="1" x14ac:dyDescent="0.3">
      <c r="B2808" s="37"/>
    </row>
    <row r="2809" spans="2:2" ht="15.9" customHeight="1" x14ac:dyDescent="0.3">
      <c r="B2809" s="37"/>
    </row>
    <row r="2810" spans="2:2" ht="15.9" customHeight="1" x14ac:dyDescent="0.3">
      <c r="B2810" s="37"/>
    </row>
    <row r="2811" spans="2:2" ht="15.9" customHeight="1" x14ac:dyDescent="0.3">
      <c r="B2811" s="37"/>
    </row>
    <row r="2812" spans="2:2" ht="15.9" customHeight="1" x14ac:dyDescent="0.3">
      <c r="B2812" s="37"/>
    </row>
    <row r="2813" spans="2:2" ht="15.9" customHeight="1" x14ac:dyDescent="0.3">
      <c r="B2813" s="37"/>
    </row>
    <row r="2814" spans="2:2" ht="15.9" customHeight="1" x14ac:dyDescent="0.3">
      <c r="B2814" s="37"/>
    </row>
    <row r="2815" spans="2:2" ht="15.9" customHeight="1" x14ac:dyDescent="0.3">
      <c r="B2815" s="37"/>
    </row>
    <row r="2816" spans="2:2" ht="15.9" customHeight="1" x14ac:dyDescent="0.3">
      <c r="B2816" s="37"/>
    </row>
    <row r="2817" spans="2:2" ht="15.9" customHeight="1" x14ac:dyDescent="0.3">
      <c r="B2817" s="37"/>
    </row>
    <row r="2818" spans="2:2" ht="15.9" customHeight="1" x14ac:dyDescent="0.3">
      <c r="B2818" s="37"/>
    </row>
    <row r="2819" spans="2:2" ht="15.9" customHeight="1" x14ac:dyDescent="0.3">
      <c r="B2819" s="37"/>
    </row>
    <row r="2820" spans="2:2" ht="15.9" customHeight="1" x14ac:dyDescent="0.3">
      <c r="B2820" s="37"/>
    </row>
    <row r="2821" spans="2:2" ht="15.9" customHeight="1" x14ac:dyDescent="0.3">
      <c r="B2821" s="37"/>
    </row>
    <row r="2822" spans="2:2" ht="15.9" customHeight="1" x14ac:dyDescent="0.3">
      <c r="B2822" s="37"/>
    </row>
    <row r="2823" spans="2:2" ht="15.9" customHeight="1" x14ac:dyDescent="0.3">
      <c r="B2823" s="37"/>
    </row>
    <row r="2824" spans="2:2" ht="15.9" customHeight="1" x14ac:dyDescent="0.3">
      <c r="B2824" s="37"/>
    </row>
    <row r="2825" spans="2:2" ht="15.9" customHeight="1" x14ac:dyDescent="0.3">
      <c r="B2825" s="37"/>
    </row>
    <row r="2826" spans="2:2" ht="15.9" customHeight="1" x14ac:dyDescent="0.3">
      <c r="B2826" s="37"/>
    </row>
    <row r="2827" spans="2:2" ht="15.9" customHeight="1" x14ac:dyDescent="0.3">
      <c r="B2827" s="37"/>
    </row>
    <row r="2828" spans="2:2" ht="15.9" customHeight="1" x14ac:dyDescent="0.3">
      <c r="B2828" s="37"/>
    </row>
    <row r="2829" spans="2:2" ht="15.9" customHeight="1" x14ac:dyDescent="0.3">
      <c r="B2829" s="37"/>
    </row>
    <row r="2830" spans="2:2" ht="15.9" customHeight="1" x14ac:dyDescent="0.3">
      <c r="B2830" s="37"/>
    </row>
    <row r="2831" spans="2:2" ht="15.9" customHeight="1" x14ac:dyDescent="0.3">
      <c r="B2831" s="37"/>
    </row>
    <row r="2832" spans="2:2" ht="15.9" customHeight="1" x14ac:dyDescent="0.3">
      <c r="B2832" s="37"/>
    </row>
    <row r="2833" spans="2:2" ht="15.9" customHeight="1" x14ac:dyDescent="0.3">
      <c r="B2833" s="37"/>
    </row>
    <row r="2834" spans="2:2" ht="15.9" customHeight="1" x14ac:dyDescent="0.3">
      <c r="B2834" s="37"/>
    </row>
    <row r="2835" spans="2:2" ht="15.9" customHeight="1" x14ac:dyDescent="0.3">
      <c r="B2835" s="37"/>
    </row>
    <row r="2836" spans="2:2" ht="15.9" customHeight="1" x14ac:dyDescent="0.3">
      <c r="B2836" s="37"/>
    </row>
    <row r="2837" spans="2:2" ht="15.9" customHeight="1" x14ac:dyDescent="0.3">
      <c r="B2837" s="37"/>
    </row>
    <row r="2838" spans="2:2" ht="15.9" customHeight="1" x14ac:dyDescent="0.3">
      <c r="B2838" s="37"/>
    </row>
    <row r="2839" spans="2:2" ht="15.9" customHeight="1" x14ac:dyDescent="0.3">
      <c r="B2839" s="37"/>
    </row>
    <row r="2840" spans="2:2" ht="15.9" customHeight="1" x14ac:dyDescent="0.3">
      <c r="B2840" s="37"/>
    </row>
    <row r="2841" spans="2:2" ht="15.9" customHeight="1" x14ac:dyDescent="0.3">
      <c r="B2841" s="37"/>
    </row>
    <row r="2842" spans="2:2" ht="15.9" customHeight="1" x14ac:dyDescent="0.3">
      <c r="B2842" s="37"/>
    </row>
    <row r="2843" spans="2:2" ht="15.9" customHeight="1" x14ac:dyDescent="0.3">
      <c r="B2843" s="37"/>
    </row>
    <row r="2844" spans="2:2" ht="15.9" customHeight="1" x14ac:dyDescent="0.3">
      <c r="B2844" s="37"/>
    </row>
    <row r="2845" spans="2:2" ht="15.9" customHeight="1" x14ac:dyDescent="0.3">
      <c r="B2845" s="37"/>
    </row>
    <row r="2846" spans="2:2" ht="15.9" customHeight="1" x14ac:dyDescent="0.3">
      <c r="B2846" s="37"/>
    </row>
    <row r="2847" spans="2:2" ht="15.9" customHeight="1" x14ac:dyDescent="0.3">
      <c r="B2847" s="37"/>
    </row>
    <row r="2848" spans="2:2" ht="15.9" customHeight="1" x14ac:dyDescent="0.3">
      <c r="B2848" s="37"/>
    </row>
    <row r="2849" spans="2:2" ht="15.9" customHeight="1" x14ac:dyDescent="0.3">
      <c r="B2849" s="37"/>
    </row>
    <row r="2850" spans="2:2" ht="15.9" customHeight="1" x14ac:dyDescent="0.3">
      <c r="B2850" s="37"/>
    </row>
    <row r="2851" spans="2:2" ht="15.9" customHeight="1" x14ac:dyDescent="0.3">
      <c r="B2851" s="37"/>
    </row>
    <row r="2852" spans="2:2" ht="15.9" customHeight="1" x14ac:dyDescent="0.3">
      <c r="B2852" s="37"/>
    </row>
    <row r="2853" spans="2:2" ht="15.9" customHeight="1" x14ac:dyDescent="0.3">
      <c r="B2853" s="37"/>
    </row>
    <row r="2854" spans="2:2" ht="15.9" customHeight="1" x14ac:dyDescent="0.3">
      <c r="B2854" s="37"/>
    </row>
    <row r="2855" spans="2:2" ht="15.9" customHeight="1" x14ac:dyDescent="0.3">
      <c r="B2855" s="37"/>
    </row>
    <row r="2856" spans="2:2" ht="15.9" customHeight="1" x14ac:dyDescent="0.3">
      <c r="B2856" s="37"/>
    </row>
    <row r="2857" spans="2:2" ht="15.9" customHeight="1" x14ac:dyDescent="0.3">
      <c r="B2857" s="37"/>
    </row>
    <row r="2858" spans="2:2" ht="15.9" customHeight="1" x14ac:dyDescent="0.3">
      <c r="B2858" s="37"/>
    </row>
    <row r="2859" spans="2:2" ht="15.9" customHeight="1" x14ac:dyDescent="0.3">
      <c r="B2859" s="37"/>
    </row>
    <row r="2860" spans="2:2" ht="15.9" customHeight="1" x14ac:dyDescent="0.3">
      <c r="B2860" s="37"/>
    </row>
    <row r="2861" spans="2:2" ht="15.9" customHeight="1" x14ac:dyDescent="0.3">
      <c r="B2861" s="37"/>
    </row>
    <row r="2862" spans="2:2" ht="15.9" customHeight="1" x14ac:dyDescent="0.3">
      <c r="B2862" s="37"/>
    </row>
    <row r="2863" spans="2:2" ht="15.9" customHeight="1" x14ac:dyDescent="0.3">
      <c r="B2863" s="37"/>
    </row>
    <row r="2864" spans="2:2" ht="15.9" customHeight="1" x14ac:dyDescent="0.3">
      <c r="B2864" s="37"/>
    </row>
    <row r="2865" spans="2:2" ht="15.9" customHeight="1" x14ac:dyDescent="0.3">
      <c r="B2865" s="37"/>
    </row>
    <row r="2866" spans="2:2" ht="15.9" customHeight="1" x14ac:dyDescent="0.3">
      <c r="B2866" s="37"/>
    </row>
    <row r="2867" spans="2:2" ht="15.9" customHeight="1" x14ac:dyDescent="0.3">
      <c r="B2867" s="37"/>
    </row>
    <row r="2868" spans="2:2" ht="15.9" customHeight="1" x14ac:dyDescent="0.3">
      <c r="B2868" s="37"/>
    </row>
    <row r="2869" spans="2:2" ht="15.9" customHeight="1" x14ac:dyDescent="0.3">
      <c r="B2869" s="37"/>
    </row>
    <row r="2870" spans="2:2" ht="15.9" customHeight="1" x14ac:dyDescent="0.3">
      <c r="B2870" s="37"/>
    </row>
    <row r="2871" spans="2:2" ht="15.9" customHeight="1" x14ac:dyDescent="0.3">
      <c r="B2871" s="37"/>
    </row>
    <row r="2872" spans="2:2" ht="15.9" customHeight="1" x14ac:dyDescent="0.3">
      <c r="B2872" s="37"/>
    </row>
    <row r="2873" spans="2:2" ht="15.9" customHeight="1" x14ac:dyDescent="0.3">
      <c r="B2873" s="37"/>
    </row>
    <row r="2874" spans="2:2" ht="15.9" customHeight="1" x14ac:dyDescent="0.3">
      <c r="B2874" s="37"/>
    </row>
    <row r="2875" spans="2:2" ht="15.9" customHeight="1" x14ac:dyDescent="0.3">
      <c r="B2875" s="37"/>
    </row>
    <row r="2876" spans="2:2" ht="15.9" customHeight="1" x14ac:dyDescent="0.3">
      <c r="B2876" s="37"/>
    </row>
    <row r="2877" spans="2:2" ht="15.9" customHeight="1" x14ac:dyDescent="0.3">
      <c r="B2877" s="37"/>
    </row>
    <row r="2878" spans="2:2" ht="15.9" customHeight="1" x14ac:dyDescent="0.3">
      <c r="B2878" s="37"/>
    </row>
    <row r="2879" spans="2:2" ht="15.9" customHeight="1" x14ac:dyDescent="0.3">
      <c r="B2879" s="37"/>
    </row>
    <row r="2880" spans="2:2" ht="15.9" customHeight="1" x14ac:dyDescent="0.3">
      <c r="B2880" s="37"/>
    </row>
    <row r="2881" spans="2:2" ht="15.9" customHeight="1" x14ac:dyDescent="0.3">
      <c r="B2881" s="37"/>
    </row>
    <row r="2882" spans="2:2" ht="15.9" customHeight="1" x14ac:dyDescent="0.3">
      <c r="B2882" s="37"/>
    </row>
    <row r="2883" spans="2:2" ht="15.9" customHeight="1" x14ac:dyDescent="0.3">
      <c r="B2883" s="37"/>
    </row>
    <row r="2884" spans="2:2" ht="15.9" customHeight="1" x14ac:dyDescent="0.3">
      <c r="B2884" s="37"/>
    </row>
    <row r="2885" spans="2:2" ht="15.9" customHeight="1" x14ac:dyDescent="0.3">
      <c r="B2885" s="37"/>
    </row>
    <row r="2886" spans="2:2" ht="15.9" customHeight="1" x14ac:dyDescent="0.3">
      <c r="B2886" s="37"/>
    </row>
    <row r="2887" spans="2:2" ht="15.9" customHeight="1" x14ac:dyDescent="0.3">
      <c r="B2887" s="37"/>
    </row>
    <row r="2888" spans="2:2" ht="15.9" customHeight="1" x14ac:dyDescent="0.3">
      <c r="B2888" s="37"/>
    </row>
    <row r="2889" spans="2:2" ht="15.9" customHeight="1" x14ac:dyDescent="0.3">
      <c r="B2889" s="37"/>
    </row>
    <row r="2890" spans="2:2" ht="15.9" customHeight="1" x14ac:dyDescent="0.3">
      <c r="B2890" s="37"/>
    </row>
    <row r="2891" spans="2:2" ht="15.9" customHeight="1" x14ac:dyDescent="0.3">
      <c r="B2891" s="37"/>
    </row>
    <row r="2892" spans="2:2" ht="15.9" customHeight="1" x14ac:dyDescent="0.3">
      <c r="B2892" s="37"/>
    </row>
    <row r="2893" spans="2:2" ht="15.9" customHeight="1" x14ac:dyDescent="0.3">
      <c r="B2893" s="37"/>
    </row>
    <row r="2894" spans="2:2" ht="15.9" customHeight="1" x14ac:dyDescent="0.3">
      <c r="B2894" s="37"/>
    </row>
    <row r="2895" spans="2:2" ht="15.9" customHeight="1" x14ac:dyDescent="0.3">
      <c r="B2895" s="37"/>
    </row>
    <row r="2896" spans="2:2" ht="15.9" customHeight="1" x14ac:dyDescent="0.3">
      <c r="B2896" s="37"/>
    </row>
    <row r="2897" spans="2:2" ht="15.9" customHeight="1" x14ac:dyDescent="0.3">
      <c r="B2897" s="37"/>
    </row>
    <row r="2898" spans="2:2" ht="15.9" customHeight="1" x14ac:dyDescent="0.3">
      <c r="B2898" s="37"/>
    </row>
    <row r="2899" spans="2:2" ht="15.9" customHeight="1" x14ac:dyDescent="0.3">
      <c r="B2899" s="37"/>
    </row>
    <row r="2900" spans="2:2" ht="15.9" customHeight="1" x14ac:dyDescent="0.3">
      <c r="B2900" s="37"/>
    </row>
    <row r="2901" spans="2:2" ht="15.9" customHeight="1" x14ac:dyDescent="0.3">
      <c r="B2901" s="37"/>
    </row>
    <row r="2902" spans="2:2" ht="15.9" customHeight="1" x14ac:dyDescent="0.3">
      <c r="B2902" s="37"/>
    </row>
    <row r="2903" spans="2:2" ht="15.9" customHeight="1" x14ac:dyDescent="0.3">
      <c r="B2903" s="37"/>
    </row>
    <row r="2904" spans="2:2" ht="15.9" customHeight="1" x14ac:dyDescent="0.3">
      <c r="B2904" s="37"/>
    </row>
    <row r="2905" spans="2:2" ht="15.9" customHeight="1" x14ac:dyDescent="0.3">
      <c r="B2905" s="37"/>
    </row>
    <row r="2906" spans="2:2" ht="15.9" customHeight="1" x14ac:dyDescent="0.3">
      <c r="B2906" s="37"/>
    </row>
    <row r="2907" spans="2:2" ht="15.9" customHeight="1" x14ac:dyDescent="0.3">
      <c r="B2907" s="37"/>
    </row>
    <row r="2908" spans="2:2" ht="15.9" customHeight="1" x14ac:dyDescent="0.3">
      <c r="B2908" s="37"/>
    </row>
    <row r="2909" spans="2:2" ht="15.9" customHeight="1" x14ac:dyDescent="0.3">
      <c r="B2909" s="37"/>
    </row>
    <row r="2910" spans="2:2" ht="15.9" customHeight="1" x14ac:dyDescent="0.3">
      <c r="B2910" s="37"/>
    </row>
    <row r="2911" spans="2:2" ht="15.9" customHeight="1" x14ac:dyDescent="0.3">
      <c r="B2911" s="37"/>
    </row>
    <row r="2912" spans="2:2" ht="15.9" customHeight="1" x14ac:dyDescent="0.3">
      <c r="B2912" s="37"/>
    </row>
    <row r="2913" spans="2:2" ht="15.9" customHeight="1" x14ac:dyDescent="0.3">
      <c r="B2913" s="37"/>
    </row>
    <row r="2914" spans="2:2" ht="15.9" customHeight="1" x14ac:dyDescent="0.3">
      <c r="B2914" s="37"/>
    </row>
    <row r="2915" spans="2:2" ht="15.9" customHeight="1" x14ac:dyDescent="0.3">
      <c r="B2915" s="37"/>
    </row>
    <row r="2916" spans="2:2" ht="15.9" customHeight="1" x14ac:dyDescent="0.3">
      <c r="B2916" s="37"/>
    </row>
    <row r="2917" spans="2:2" ht="15.9" customHeight="1" x14ac:dyDescent="0.3">
      <c r="B2917" s="37"/>
    </row>
    <row r="2918" spans="2:2" ht="15.9" customHeight="1" x14ac:dyDescent="0.3">
      <c r="B2918" s="37"/>
    </row>
    <row r="2919" spans="2:2" ht="15.9" customHeight="1" x14ac:dyDescent="0.3">
      <c r="B2919" s="37"/>
    </row>
    <row r="2920" spans="2:2" ht="15.9" customHeight="1" x14ac:dyDescent="0.3">
      <c r="B2920" s="37"/>
    </row>
    <row r="2921" spans="2:2" ht="15.9" customHeight="1" x14ac:dyDescent="0.3">
      <c r="B2921" s="37"/>
    </row>
    <row r="2922" spans="2:2" ht="15.9" customHeight="1" x14ac:dyDescent="0.3">
      <c r="B2922" s="37"/>
    </row>
    <row r="2923" spans="2:2" ht="15.9" customHeight="1" x14ac:dyDescent="0.3">
      <c r="B2923" s="37"/>
    </row>
    <row r="2924" spans="2:2" ht="15.9" customHeight="1" x14ac:dyDescent="0.3">
      <c r="B2924" s="37"/>
    </row>
    <row r="2925" spans="2:2" ht="15.9" customHeight="1" x14ac:dyDescent="0.3">
      <c r="B2925" s="37"/>
    </row>
    <row r="2926" spans="2:2" ht="15.9" customHeight="1" x14ac:dyDescent="0.3">
      <c r="B2926" s="37"/>
    </row>
    <row r="2927" spans="2:2" ht="15.9" customHeight="1" x14ac:dyDescent="0.3">
      <c r="B2927" s="37"/>
    </row>
    <row r="2928" spans="2:2" ht="15.9" customHeight="1" x14ac:dyDescent="0.3">
      <c r="B2928" s="37"/>
    </row>
    <row r="2929" spans="2:2" ht="15.9" customHeight="1" x14ac:dyDescent="0.3">
      <c r="B2929" s="37"/>
    </row>
    <row r="2930" spans="2:2" ht="15.9" customHeight="1" x14ac:dyDescent="0.3">
      <c r="B2930" s="37"/>
    </row>
    <row r="2931" spans="2:2" ht="15.9" customHeight="1" x14ac:dyDescent="0.3">
      <c r="B2931" s="37"/>
    </row>
    <row r="2932" spans="2:2" ht="15.9" customHeight="1" x14ac:dyDescent="0.3">
      <c r="B2932" s="37"/>
    </row>
    <row r="2933" spans="2:2" ht="15.9" customHeight="1" x14ac:dyDescent="0.3">
      <c r="B2933" s="37"/>
    </row>
    <row r="2934" spans="2:2" ht="15.9" customHeight="1" x14ac:dyDescent="0.3">
      <c r="B2934" s="37"/>
    </row>
    <row r="2935" spans="2:2" ht="15.9" customHeight="1" x14ac:dyDescent="0.3">
      <c r="B2935" s="37"/>
    </row>
    <row r="2936" spans="2:2" ht="15.9" customHeight="1" x14ac:dyDescent="0.3">
      <c r="B2936" s="37"/>
    </row>
    <row r="2937" spans="2:2" ht="15.9" customHeight="1" x14ac:dyDescent="0.3">
      <c r="B2937" s="37"/>
    </row>
    <row r="2938" spans="2:2" ht="15.9" customHeight="1" x14ac:dyDescent="0.3">
      <c r="B2938" s="37"/>
    </row>
    <row r="2939" spans="2:2" ht="15.9" customHeight="1" x14ac:dyDescent="0.3">
      <c r="B2939" s="37"/>
    </row>
    <row r="2940" spans="2:2" ht="15.9" customHeight="1" x14ac:dyDescent="0.3">
      <c r="B2940" s="37"/>
    </row>
    <row r="2941" spans="2:2" ht="15.9" customHeight="1" x14ac:dyDescent="0.3">
      <c r="B2941" s="37"/>
    </row>
    <row r="2942" spans="2:2" ht="15.9" customHeight="1" x14ac:dyDescent="0.3">
      <c r="B2942" s="37"/>
    </row>
    <row r="2943" spans="2:2" ht="15.9" customHeight="1" x14ac:dyDescent="0.3">
      <c r="B2943" s="37"/>
    </row>
    <row r="2944" spans="2:2" ht="15.9" customHeight="1" x14ac:dyDescent="0.3">
      <c r="B2944" s="37"/>
    </row>
    <row r="2945" spans="2:2" ht="15.9" customHeight="1" x14ac:dyDescent="0.3">
      <c r="B2945" s="37"/>
    </row>
    <row r="2946" spans="2:2" ht="15.9" customHeight="1" x14ac:dyDescent="0.3">
      <c r="B2946" s="37"/>
    </row>
    <row r="2947" spans="2:2" ht="15.9" customHeight="1" x14ac:dyDescent="0.3">
      <c r="B2947" s="37"/>
    </row>
    <row r="2948" spans="2:2" ht="15.9" customHeight="1" x14ac:dyDescent="0.3">
      <c r="B2948" s="37"/>
    </row>
    <row r="2949" spans="2:2" ht="15.9" customHeight="1" x14ac:dyDescent="0.3">
      <c r="B2949" s="37"/>
    </row>
    <row r="2950" spans="2:2" ht="15.9" customHeight="1" x14ac:dyDescent="0.3">
      <c r="B2950" s="37"/>
    </row>
    <row r="2951" spans="2:2" ht="15.9" customHeight="1" x14ac:dyDescent="0.3">
      <c r="B2951" s="37"/>
    </row>
    <row r="2952" spans="2:2" ht="15.9" customHeight="1" x14ac:dyDescent="0.3">
      <c r="B2952" s="37"/>
    </row>
    <row r="2953" spans="2:2" ht="15.9" customHeight="1" x14ac:dyDescent="0.3">
      <c r="B2953" s="37"/>
    </row>
    <row r="2954" spans="2:2" ht="15.9" customHeight="1" x14ac:dyDescent="0.3">
      <c r="B2954" s="37"/>
    </row>
    <row r="2955" spans="2:2" ht="15.9" customHeight="1" x14ac:dyDescent="0.3">
      <c r="B2955" s="37"/>
    </row>
    <row r="2956" spans="2:2" ht="15.9" customHeight="1" x14ac:dyDescent="0.3">
      <c r="B2956" s="37"/>
    </row>
    <row r="2957" spans="2:2" ht="15.9" customHeight="1" x14ac:dyDescent="0.3">
      <c r="B2957" s="37"/>
    </row>
    <row r="2958" spans="2:2" ht="15.9" customHeight="1" x14ac:dyDescent="0.3">
      <c r="B2958" s="37"/>
    </row>
    <row r="2959" spans="2:2" ht="15.9" customHeight="1" x14ac:dyDescent="0.3">
      <c r="B2959" s="37"/>
    </row>
    <row r="2960" spans="2:2" ht="15.9" customHeight="1" x14ac:dyDescent="0.3">
      <c r="B2960" s="37"/>
    </row>
    <row r="2961" spans="2:2" ht="15.9" customHeight="1" x14ac:dyDescent="0.3">
      <c r="B2961" s="37"/>
    </row>
    <row r="2962" spans="2:2" ht="15.9" customHeight="1" x14ac:dyDescent="0.3">
      <c r="B2962" s="37"/>
    </row>
    <row r="2963" spans="2:2" ht="15.9" customHeight="1" x14ac:dyDescent="0.3">
      <c r="B2963" s="37"/>
    </row>
    <row r="2964" spans="2:2" ht="15.9" customHeight="1" x14ac:dyDescent="0.3">
      <c r="B2964" s="37"/>
    </row>
    <row r="2965" spans="2:2" ht="15.9" customHeight="1" x14ac:dyDescent="0.3">
      <c r="B2965" s="37"/>
    </row>
    <row r="2966" spans="2:2" ht="15.9" customHeight="1" x14ac:dyDescent="0.3">
      <c r="B2966" s="37"/>
    </row>
    <row r="2967" spans="2:2" ht="15.9" customHeight="1" x14ac:dyDescent="0.3">
      <c r="B2967" s="37"/>
    </row>
    <row r="2968" spans="2:2" ht="15.9" customHeight="1" x14ac:dyDescent="0.3">
      <c r="B2968" s="37"/>
    </row>
    <row r="2969" spans="2:2" ht="15.9" customHeight="1" x14ac:dyDescent="0.3">
      <c r="B2969" s="37"/>
    </row>
    <row r="2970" spans="2:2" ht="15.9" customHeight="1" x14ac:dyDescent="0.3">
      <c r="B2970" s="37"/>
    </row>
    <row r="2971" spans="2:2" ht="15.9" customHeight="1" x14ac:dyDescent="0.3">
      <c r="B2971" s="37"/>
    </row>
    <row r="2972" spans="2:2" ht="15.9" customHeight="1" x14ac:dyDescent="0.3">
      <c r="B2972" s="37"/>
    </row>
    <row r="2973" spans="2:2" ht="15.9" customHeight="1" x14ac:dyDescent="0.3">
      <c r="B2973" s="37"/>
    </row>
    <row r="2974" spans="2:2" ht="15.9" customHeight="1" x14ac:dyDescent="0.3">
      <c r="B2974" s="37"/>
    </row>
    <row r="2975" spans="2:2" ht="15.9" customHeight="1" x14ac:dyDescent="0.3">
      <c r="B2975" s="37"/>
    </row>
    <row r="2976" spans="2:2" ht="15.9" customHeight="1" x14ac:dyDescent="0.3">
      <c r="B2976" s="37"/>
    </row>
    <row r="2977" spans="2:2" ht="15.9" customHeight="1" x14ac:dyDescent="0.3">
      <c r="B2977" s="37"/>
    </row>
    <row r="2978" spans="2:2" ht="15.9" customHeight="1" x14ac:dyDescent="0.3">
      <c r="B2978" s="37"/>
    </row>
    <row r="2979" spans="2:2" ht="15.9" customHeight="1" x14ac:dyDescent="0.3">
      <c r="B2979" s="37"/>
    </row>
    <row r="2980" spans="2:2" ht="15.9" customHeight="1" x14ac:dyDescent="0.3">
      <c r="B2980" s="37"/>
    </row>
    <row r="2981" spans="2:2" ht="15.9" customHeight="1" x14ac:dyDescent="0.3">
      <c r="B2981" s="37"/>
    </row>
    <row r="2982" spans="2:2" ht="15.9" customHeight="1" x14ac:dyDescent="0.3">
      <c r="B2982" s="37"/>
    </row>
    <row r="2983" spans="2:2" ht="15.9" customHeight="1" x14ac:dyDescent="0.3">
      <c r="B2983" s="37"/>
    </row>
    <row r="2984" spans="2:2" ht="15.9" customHeight="1" x14ac:dyDescent="0.3">
      <c r="B2984" s="37"/>
    </row>
    <row r="2985" spans="2:2" ht="15.9" customHeight="1" x14ac:dyDescent="0.3">
      <c r="B2985" s="37"/>
    </row>
    <row r="2986" spans="2:2" ht="15.9" customHeight="1" x14ac:dyDescent="0.3">
      <c r="B2986" s="37"/>
    </row>
    <row r="2987" spans="2:2" ht="15.9" customHeight="1" x14ac:dyDescent="0.3">
      <c r="B2987" s="37"/>
    </row>
    <row r="2988" spans="2:2" ht="15.9" customHeight="1" x14ac:dyDescent="0.3">
      <c r="B2988" s="37"/>
    </row>
    <row r="2989" spans="2:2" ht="15.9" customHeight="1" x14ac:dyDescent="0.3">
      <c r="B2989" s="37"/>
    </row>
    <row r="2990" spans="2:2" ht="15.9" customHeight="1" x14ac:dyDescent="0.3">
      <c r="B2990" s="37"/>
    </row>
    <row r="2991" spans="2:2" ht="15.9" customHeight="1" x14ac:dyDescent="0.3">
      <c r="B2991" s="37"/>
    </row>
    <row r="2992" spans="2:2" ht="15.9" customHeight="1" x14ac:dyDescent="0.3">
      <c r="B2992" s="37"/>
    </row>
    <row r="2993" spans="2:2" ht="15.9" customHeight="1" x14ac:dyDescent="0.3">
      <c r="B2993" s="37"/>
    </row>
    <row r="2994" spans="2:2" ht="15.9" customHeight="1" x14ac:dyDescent="0.3">
      <c r="B2994" s="37"/>
    </row>
    <row r="2995" spans="2:2" ht="15.9" customHeight="1" x14ac:dyDescent="0.3">
      <c r="B2995" s="37"/>
    </row>
    <row r="2996" spans="2:2" ht="15.9" customHeight="1" x14ac:dyDescent="0.3">
      <c r="B2996" s="37"/>
    </row>
    <row r="2997" spans="2:2" ht="15.9" customHeight="1" x14ac:dyDescent="0.3">
      <c r="B2997" s="37"/>
    </row>
    <row r="2998" spans="2:2" ht="15.9" customHeight="1" x14ac:dyDescent="0.3">
      <c r="B2998" s="37"/>
    </row>
    <row r="2999" spans="2:2" ht="15.9" customHeight="1" x14ac:dyDescent="0.3">
      <c r="B2999" s="37"/>
    </row>
    <row r="3000" spans="2:2" ht="15.9" customHeight="1" x14ac:dyDescent="0.3">
      <c r="B3000" s="37"/>
    </row>
    <row r="3001" spans="2:2" ht="15.9" customHeight="1" x14ac:dyDescent="0.3">
      <c r="B3001" s="37"/>
    </row>
    <row r="3002" spans="2:2" ht="15.9" customHeight="1" x14ac:dyDescent="0.3">
      <c r="B3002" s="37"/>
    </row>
    <row r="3003" spans="2:2" ht="15.9" customHeight="1" x14ac:dyDescent="0.3">
      <c r="B3003" s="37"/>
    </row>
    <row r="3004" spans="2:2" ht="15.9" customHeight="1" x14ac:dyDescent="0.3">
      <c r="B3004" s="37"/>
    </row>
    <row r="3005" spans="2:2" ht="15.9" customHeight="1" x14ac:dyDescent="0.3">
      <c r="B3005" s="37"/>
    </row>
    <row r="3006" spans="2:2" ht="15.9" customHeight="1" x14ac:dyDescent="0.3">
      <c r="B3006" s="37"/>
    </row>
    <row r="3007" spans="2:2" ht="15.9" customHeight="1" x14ac:dyDescent="0.3">
      <c r="B3007" s="37"/>
    </row>
    <row r="3008" spans="2:2" ht="15.9" customHeight="1" x14ac:dyDescent="0.3">
      <c r="B3008" s="37"/>
    </row>
    <row r="3009" spans="2:2" ht="15.9" customHeight="1" x14ac:dyDescent="0.3">
      <c r="B3009" s="37"/>
    </row>
    <row r="3010" spans="2:2" ht="15.9" customHeight="1" x14ac:dyDescent="0.3">
      <c r="B3010" s="37"/>
    </row>
    <row r="3011" spans="2:2" ht="15.9" customHeight="1" x14ac:dyDescent="0.3">
      <c r="B3011" s="37"/>
    </row>
    <row r="3012" spans="2:2" ht="15.9" customHeight="1" x14ac:dyDescent="0.3">
      <c r="B3012" s="37"/>
    </row>
    <row r="3013" spans="2:2" ht="15.9" customHeight="1" x14ac:dyDescent="0.3">
      <c r="B3013" s="37"/>
    </row>
    <row r="3014" spans="2:2" ht="15.9" customHeight="1" x14ac:dyDescent="0.3">
      <c r="B3014" s="37"/>
    </row>
    <row r="3015" spans="2:2" ht="15.9" customHeight="1" x14ac:dyDescent="0.3">
      <c r="B3015" s="37"/>
    </row>
    <row r="3016" spans="2:2" ht="15.9" customHeight="1" x14ac:dyDescent="0.3">
      <c r="B3016" s="37"/>
    </row>
    <row r="3017" spans="2:2" ht="15.9" customHeight="1" x14ac:dyDescent="0.3">
      <c r="B3017" s="37"/>
    </row>
    <row r="3018" spans="2:2" ht="15.9" customHeight="1" x14ac:dyDescent="0.3">
      <c r="B3018" s="37"/>
    </row>
    <row r="3019" spans="2:2" ht="15.9" customHeight="1" x14ac:dyDescent="0.3">
      <c r="B3019" s="37"/>
    </row>
    <row r="3020" spans="2:2" ht="15.9" customHeight="1" x14ac:dyDescent="0.3">
      <c r="B3020" s="37"/>
    </row>
    <row r="3021" spans="2:2" ht="15.9" customHeight="1" x14ac:dyDescent="0.3">
      <c r="B3021" s="37"/>
    </row>
    <row r="3022" spans="2:2" ht="15.9" customHeight="1" x14ac:dyDescent="0.3">
      <c r="B3022" s="37"/>
    </row>
    <row r="3023" spans="2:2" ht="15.9" customHeight="1" x14ac:dyDescent="0.3">
      <c r="B3023" s="37"/>
    </row>
    <row r="3024" spans="2:2" ht="15.9" customHeight="1" x14ac:dyDescent="0.3">
      <c r="B3024" s="37"/>
    </row>
    <row r="3025" spans="2:2" ht="15.9" customHeight="1" x14ac:dyDescent="0.3">
      <c r="B3025" s="37"/>
    </row>
    <row r="3026" spans="2:2" ht="15.9" customHeight="1" x14ac:dyDescent="0.3">
      <c r="B3026" s="37"/>
    </row>
    <row r="3027" spans="2:2" ht="15.9" customHeight="1" x14ac:dyDescent="0.3">
      <c r="B3027" s="37"/>
    </row>
    <row r="3028" spans="2:2" ht="15.9" customHeight="1" x14ac:dyDescent="0.3">
      <c r="B3028" s="37"/>
    </row>
    <row r="3029" spans="2:2" ht="15.9" customHeight="1" x14ac:dyDescent="0.3">
      <c r="B3029" s="37"/>
    </row>
    <row r="3030" spans="2:2" ht="15.9" customHeight="1" x14ac:dyDescent="0.3">
      <c r="B3030" s="37"/>
    </row>
    <row r="3031" spans="2:2" ht="15.9" customHeight="1" x14ac:dyDescent="0.3">
      <c r="B3031" s="37"/>
    </row>
    <row r="3032" spans="2:2" ht="15.9" customHeight="1" x14ac:dyDescent="0.3">
      <c r="B3032" s="37"/>
    </row>
    <row r="3033" spans="2:2" ht="15.9" customHeight="1" x14ac:dyDescent="0.3">
      <c r="B3033" s="37"/>
    </row>
    <row r="3034" spans="2:2" ht="15.9" customHeight="1" x14ac:dyDescent="0.3">
      <c r="B3034" s="37"/>
    </row>
    <row r="3035" spans="2:2" ht="15.9" customHeight="1" x14ac:dyDescent="0.3">
      <c r="B3035" s="37"/>
    </row>
    <row r="3036" spans="2:2" ht="15.9" customHeight="1" x14ac:dyDescent="0.3">
      <c r="B3036" s="37"/>
    </row>
    <row r="3037" spans="2:2" ht="15.9" customHeight="1" x14ac:dyDescent="0.3">
      <c r="B3037" s="37"/>
    </row>
    <row r="3038" spans="2:2" ht="15.9" customHeight="1" x14ac:dyDescent="0.3">
      <c r="B3038" s="37"/>
    </row>
    <row r="3039" spans="2:2" ht="15.9" customHeight="1" x14ac:dyDescent="0.3">
      <c r="B3039" s="37"/>
    </row>
    <row r="3040" spans="2:2" ht="15.9" customHeight="1" x14ac:dyDescent="0.3">
      <c r="B3040" s="37"/>
    </row>
    <row r="3041" spans="2:2" ht="15.9" customHeight="1" x14ac:dyDescent="0.3">
      <c r="B3041" s="37"/>
    </row>
    <row r="3042" spans="2:2" ht="15.9" customHeight="1" x14ac:dyDescent="0.3">
      <c r="B3042" s="37"/>
    </row>
    <row r="3043" spans="2:2" ht="15.9" customHeight="1" x14ac:dyDescent="0.3">
      <c r="B3043" s="37"/>
    </row>
    <row r="3044" spans="2:2" ht="15.9" customHeight="1" x14ac:dyDescent="0.3">
      <c r="B3044" s="37"/>
    </row>
    <row r="3045" spans="2:2" ht="15.9" customHeight="1" x14ac:dyDescent="0.3">
      <c r="B3045" s="37"/>
    </row>
    <row r="3046" spans="2:2" ht="15.9" customHeight="1" x14ac:dyDescent="0.3">
      <c r="B3046" s="37"/>
    </row>
    <row r="3047" spans="2:2" ht="15.9" customHeight="1" x14ac:dyDescent="0.3">
      <c r="B3047" s="37"/>
    </row>
    <row r="3048" spans="2:2" ht="15.9" customHeight="1" x14ac:dyDescent="0.3">
      <c r="B3048" s="37"/>
    </row>
    <row r="3049" spans="2:2" ht="15.9" customHeight="1" x14ac:dyDescent="0.3">
      <c r="B3049" s="37"/>
    </row>
    <row r="3050" spans="2:2" ht="15.9" customHeight="1" x14ac:dyDescent="0.3">
      <c r="B3050" s="37"/>
    </row>
    <row r="3051" spans="2:2" ht="15.9" customHeight="1" x14ac:dyDescent="0.3">
      <c r="B3051" s="37"/>
    </row>
    <row r="3052" spans="2:2" ht="15.9" customHeight="1" x14ac:dyDescent="0.3">
      <c r="B3052" s="37"/>
    </row>
    <row r="3053" spans="2:2" ht="15.9" customHeight="1" x14ac:dyDescent="0.3">
      <c r="B3053" s="37"/>
    </row>
    <row r="3054" spans="2:2" ht="15.9" customHeight="1" x14ac:dyDescent="0.3">
      <c r="B3054" s="37"/>
    </row>
    <row r="3055" spans="2:2" ht="15.9" customHeight="1" x14ac:dyDescent="0.3">
      <c r="B3055" s="37"/>
    </row>
    <row r="3056" spans="2:2" ht="15.9" customHeight="1" x14ac:dyDescent="0.3">
      <c r="B3056" s="37"/>
    </row>
    <row r="3057" spans="2:2" ht="15.9" customHeight="1" x14ac:dyDescent="0.3">
      <c r="B3057" s="37"/>
    </row>
    <row r="3058" spans="2:2" ht="15.9" customHeight="1" x14ac:dyDescent="0.3">
      <c r="B3058" s="37"/>
    </row>
    <row r="3059" spans="2:2" ht="15.9" customHeight="1" x14ac:dyDescent="0.3">
      <c r="B3059" s="37"/>
    </row>
    <row r="3060" spans="2:2" ht="15.9" customHeight="1" x14ac:dyDescent="0.3">
      <c r="B3060" s="37"/>
    </row>
    <row r="3061" spans="2:2" ht="15.9" customHeight="1" x14ac:dyDescent="0.3">
      <c r="B3061" s="37"/>
    </row>
    <row r="3062" spans="2:2" ht="15.9" customHeight="1" x14ac:dyDescent="0.3">
      <c r="B3062" s="37"/>
    </row>
    <row r="3063" spans="2:2" ht="15.9" customHeight="1" x14ac:dyDescent="0.3">
      <c r="B3063" s="37"/>
    </row>
    <row r="3064" spans="2:2" ht="15.9" customHeight="1" x14ac:dyDescent="0.3">
      <c r="B3064" s="37"/>
    </row>
    <row r="3065" spans="2:2" ht="15.9" customHeight="1" x14ac:dyDescent="0.3">
      <c r="B3065" s="37"/>
    </row>
    <row r="3066" spans="2:2" ht="15.9" customHeight="1" x14ac:dyDescent="0.3">
      <c r="B3066" s="37"/>
    </row>
    <row r="3067" spans="2:2" ht="15.9" customHeight="1" x14ac:dyDescent="0.3">
      <c r="B3067" s="37"/>
    </row>
    <row r="3068" spans="2:2" ht="15.9" customHeight="1" x14ac:dyDescent="0.3">
      <c r="B3068" s="37"/>
    </row>
    <row r="3069" spans="2:2" ht="15.9" customHeight="1" x14ac:dyDescent="0.3">
      <c r="B3069" s="37"/>
    </row>
    <row r="3070" spans="2:2" ht="15.9" customHeight="1" x14ac:dyDescent="0.3">
      <c r="B3070" s="37"/>
    </row>
    <row r="3071" spans="2:2" ht="15.9" customHeight="1" x14ac:dyDescent="0.3">
      <c r="B3071" s="37"/>
    </row>
    <row r="3072" spans="2:2" ht="15.9" customHeight="1" x14ac:dyDescent="0.3">
      <c r="B3072" s="37"/>
    </row>
    <row r="3073" spans="2:2" ht="15.9" customHeight="1" x14ac:dyDescent="0.3">
      <c r="B3073" s="37"/>
    </row>
    <row r="3074" spans="2:2" ht="15.9" customHeight="1" x14ac:dyDescent="0.3">
      <c r="B3074" s="37"/>
    </row>
    <row r="3075" spans="2:2" ht="15.9" customHeight="1" x14ac:dyDescent="0.3">
      <c r="B3075" s="37"/>
    </row>
    <row r="3076" spans="2:2" ht="15.9" customHeight="1" x14ac:dyDescent="0.3">
      <c r="B3076" s="37"/>
    </row>
    <row r="3077" spans="2:2" ht="15.9" customHeight="1" x14ac:dyDescent="0.3">
      <c r="B3077" s="37"/>
    </row>
    <row r="3078" spans="2:2" ht="15.9" customHeight="1" x14ac:dyDescent="0.3">
      <c r="B3078" s="37"/>
    </row>
    <row r="3079" spans="2:2" ht="15.9" customHeight="1" x14ac:dyDescent="0.3">
      <c r="B3079" s="37"/>
    </row>
    <row r="3080" spans="2:2" ht="15.9" customHeight="1" x14ac:dyDescent="0.3">
      <c r="B3080" s="37"/>
    </row>
    <row r="3081" spans="2:2" ht="15.9" customHeight="1" x14ac:dyDescent="0.3">
      <c r="B3081" s="37"/>
    </row>
    <row r="3082" spans="2:2" ht="15.9" customHeight="1" x14ac:dyDescent="0.3">
      <c r="B3082" s="37"/>
    </row>
    <row r="3083" spans="2:2" ht="15.9" customHeight="1" x14ac:dyDescent="0.3">
      <c r="B3083" s="37"/>
    </row>
    <row r="3084" spans="2:2" ht="15.9" customHeight="1" x14ac:dyDescent="0.3">
      <c r="B3084" s="37"/>
    </row>
    <row r="3085" spans="2:2" ht="15.9" customHeight="1" x14ac:dyDescent="0.3">
      <c r="B3085" s="37"/>
    </row>
    <row r="3086" spans="2:2" ht="15.9" customHeight="1" x14ac:dyDescent="0.3">
      <c r="B3086" s="37"/>
    </row>
    <row r="3087" spans="2:2" ht="15.9" customHeight="1" x14ac:dyDescent="0.3">
      <c r="B3087" s="37"/>
    </row>
    <row r="3088" spans="2:2" ht="15.9" customHeight="1" x14ac:dyDescent="0.3">
      <c r="B3088" s="37"/>
    </row>
    <row r="3089" spans="2:2" ht="15.9" customHeight="1" x14ac:dyDescent="0.3">
      <c r="B3089" s="37"/>
    </row>
    <row r="3090" spans="2:2" ht="15.9" customHeight="1" x14ac:dyDescent="0.3">
      <c r="B3090" s="37"/>
    </row>
    <row r="3091" spans="2:2" ht="15.9" customHeight="1" x14ac:dyDescent="0.3">
      <c r="B3091" s="37"/>
    </row>
    <row r="3092" spans="2:2" ht="15.9" customHeight="1" x14ac:dyDescent="0.3">
      <c r="B3092" s="37"/>
    </row>
    <row r="3093" spans="2:2" ht="15.9" customHeight="1" x14ac:dyDescent="0.3">
      <c r="B3093" s="37"/>
    </row>
    <row r="3094" spans="2:2" ht="15.9" customHeight="1" x14ac:dyDescent="0.3">
      <c r="B3094" s="37"/>
    </row>
    <row r="3095" spans="2:2" ht="15.9" customHeight="1" x14ac:dyDescent="0.3">
      <c r="B3095" s="37"/>
    </row>
    <row r="3096" spans="2:2" ht="15.9" customHeight="1" x14ac:dyDescent="0.3">
      <c r="B3096" s="37"/>
    </row>
    <row r="3097" spans="2:2" ht="15.9" customHeight="1" x14ac:dyDescent="0.3">
      <c r="B3097" s="37"/>
    </row>
    <row r="3098" spans="2:2" ht="15.9" customHeight="1" x14ac:dyDescent="0.3">
      <c r="B3098" s="37"/>
    </row>
    <row r="3099" spans="2:2" ht="15.9" customHeight="1" x14ac:dyDescent="0.3">
      <c r="B3099" s="37"/>
    </row>
    <row r="3100" spans="2:2" ht="15.9" customHeight="1" x14ac:dyDescent="0.3">
      <c r="B3100" s="37"/>
    </row>
    <row r="3101" spans="2:2" ht="15.9" customHeight="1" x14ac:dyDescent="0.3">
      <c r="B3101" s="37"/>
    </row>
    <row r="3102" spans="2:2" ht="15.9" customHeight="1" x14ac:dyDescent="0.3">
      <c r="B3102" s="37"/>
    </row>
    <row r="3103" spans="2:2" ht="15.9" customHeight="1" x14ac:dyDescent="0.3">
      <c r="B3103" s="37"/>
    </row>
    <row r="3104" spans="2:2" ht="15.9" customHeight="1" x14ac:dyDescent="0.3">
      <c r="B3104" s="37"/>
    </row>
    <row r="3105" spans="2:2" ht="15.9" customHeight="1" x14ac:dyDescent="0.3">
      <c r="B3105" s="37"/>
    </row>
    <row r="3106" spans="2:2" ht="15.9" customHeight="1" x14ac:dyDescent="0.3">
      <c r="B3106" s="37"/>
    </row>
    <row r="3107" spans="2:2" ht="15.9" customHeight="1" x14ac:dyDescent="0.3">
      <c r="B3107" s="37"/>
    </row>
    <row r="3108" spans="2:2" ht="15.9" customHeight="1" x14ac:dyDescent="0.3">
      <c r="B3108" s="37"/>
    </row>
    <row r="3109" spans="2:2" ht="15.9" customHeight="1" x14ac:dyDescent="0.3">
      <c r="B3109" s="37"/>
    </row>
    <row r="3110" spans="2:2" ht="15.9" customHeight="1" x14ac:dyDescent="0.3">
      <c r="B3110" s="37"/>
    </row>
    <row r="3111" spans="2:2" ht="15.9" customHeight="1" x14ac:dyDescent="0.3">
      <c r="B3111" s="37"/>
    </row>
    <row r="3112" spans="2:2" ht="15.9" customHeight="1" x14ac:dyDescent="0.3">
      <c r="B3112" s="37"/>
    </row>
    <row r="3113" spans="2:2" ht="15.9" customHeight="1" x14ac:dyDescent="0.3">
      <c r="B3113" s="37"/>
    </row>
    <row r="3114" spans="2:2" ht="15.9" customHeight="1" x14ac:dyDescent="0.3">
      <c r="B3114" s="37"/>
    </row>
    <row r="3115" spans="2:2" ht="15.9" customHeight="1" x14ac:dyDescent="0.3">
      <c r="B3115" s="37"/>
    </row>
    <row r="3116" spans="2:2" ht="15.9" customHeight="1" x14ac:dyDescent="0.3">
      <c r="B3116" s="37"/>
    </row>
    <row r="3117" spans="2:2" ht="15.9" customHeight="1" x14ac:dyDescent="0.3">
      <c r="B3117" s="37"/>
    </row>
    <row r="3118" spans="2:2" ht="15.9" customHeight="1" x14ac:dyDescent="0.3">
      <c r="B3118" s="37"/>
    </row>
    <row r="3119" spans="2:2" ht="15.9" customHeight="1" x14ac:dyDescent="0.3">
      <c r="B3119" s="37"/>
    </row>
    <row r="3120" spans="2:2" ht="15.9" customHeight="1" x14ac:dyDescent="0.3">
      <c r="B3120" s="37"/>
    </row>
    <row r="3121" spans="2:2" ht="15.9" customHeight="1" x14ac:dyDescent="0.3">
      <c r="B3121" s="37"/>
    </row>
    <row r="3122" spans="2:2" ht="15.9" customHeight="1" x14ac:dyDescent="0.3">
      <c r="B3122" s="37"/>
    </row>
    <row r="3123" spans="2:2" ht="15.9" customHeight="1" x14ac:dyDescent="0.3">
      <c r="B3123" s="37"/>
    </row>
    <row r="3124" spans="2:2" ht="15.9" customHeight="1" x14ac:dyDescent="0.3">
      <c r="B3124" s="37"/>
    </row>
    <row r="3125" spans="2:2" ht="15.9" customHeight="1" x14ac:dyDescent="0.3">
      <c r="B3125" s="37"/>
    </row>
    <row r="3126" spans="2:2" ht="15.9" customHeight="1" x14ac:dyDescent="0.3">
      <c r="B3126" s="37"/>
    </row>
    <row r="3127" spans="2:2" ht="15.9" customHeight="1" x14ac:dyDescent="0.3">
      <c r="B3127" s="37"/>
    </row>
    <row r="3128" spans="2:2" ht="15.9" customHeight="1" x14ac:dyDescent="0.3">
      <c r="B3128" s="37"/>
    </row>
    <row r="3129" spans="2:2" ht="15.9" customHeight="1" x14ac:dyDescent="0.3">
      <c r="B3129" s="37"/>
    </row>
    <row r="3130" spans="2:2" ht="15.9" customHeight="1" x14ac:dyDescent="0.3">
      <c r="B3130" s="37"/>
    </row>
    <row r="3131" spans="2:2" ht="15.9" customHeight="1" x14ac:dyDescent="0.3">
      <c r="B3131" s="37"/>
    </row>
    <row r="3132" spans="2:2" ht="15.9" customHeight="1" x14ac:dyDescent="0.3">
      <c r="B3132" s="37"/>
    </row>
    <row r="3133" spans="2:2" ht="15.9" customHeight="1" x14ac:dyDescent="0.3">
      <c r="B3133" s="37"/>
    </row>
    <row r="3134" spans="2:2" ht="15.9" customHeight="1" x14ac:dyDescent="0.3">
      <c r="B3134" s="37"/>
    </row>
    <row r="3135" spans="2:2" ht="15.9" customHeight="1" x14ac:dyDescent="0.3">
      <c r="B3135" s="37"/>
    </row>
    <row r="3136" spans="2:2" ht="15.9" customHeight="1" x14ac:dyDescent="0.3">
      <c r="B3136" s="37"/>
    </row>
    <row r="3137" spans="2:2" ht="15.9" customHeight="1" x14ac:dyDescent="0.3">
      <c r="B3137" s="37"/>
    </row>
    <row r="3138" spans="2:2" ht="15.9" customHeight="1" x14ac:dyDescent="0.3">
      <c r="B3138" s="37"/>
    </row>
    <row r="3139" spans="2:2" ht="15.9" customHeight="1" x14ac:dyDescent="0.3">
      <c r="B3139" s="37"/>
    </row>
    <row r="3140" spans="2:2" ht="15.9" customHeight="1" x14ac:dyDescent="0.3">
      <c r="B3140" s="37"/>
    </row>
    <row r="3141" spans="2:2" ht="15.9" customHeight="1" x14ac:dyDescent="0.3">
      <c r="B3141" s="37"/>
    </row>
    <row r="3142" spans="2:2" ht="15.9" customHeight="1" x14ac:dyDescent="0.3">
      <c r="B3142" s="37"/>
    </row>
    <row r="3143" spans="2:2" ht="15.9" customHeight="1" x14ac:dyDescent="0.3">
      <c r="B3143" s="37"/>
    </row>
    <row r="3144" spans="2:2" ht="15.9" customHeight="1" x14ac:dyDescent="0.3">
      <c r="B3144" s="37"/>
    </row>
    <row r="3145" spans="2:2" ht="15.9" customHeight="1" x14ac:dyDescent="0.3">
      <c r="B3145" s="37"/>
    </row>
    <row r="3146" spans="2:2" ht="15.9" customHeight="1" x14ac:dyDescent="0.3">
      <c r="B3146" s="37"/>
    </row>
    <row r="3147" spans="2:2" ht="15.9" customHeight="1" x14ac:dyDescent="0.3">
      <c r="B3147" s="37"/>
    </row>
    <row r="3148" spans="2:2" ht="15.9" customHeight="1" x14ac:dyDescent="0.3">
      <c r="B3148" s="37"/>
    </row>
    <row r="3149" spans="2:2" ht="15.9" customHeight="1" x14ac:dyDescent="0.3">
      <c r="B3149" s="37"/>
    </row>
    <row r="3150" spans="2:2" ht="15.9" customHeight="1" x14ac:dyDescent="0.3">
      <c r="B3150" s="37"/>
    </row>
    <row r="3151" spans="2:2" ht="15.9" customHeight="1" x14ac:dyDescent="0.3">
      <c r="B3151" s="37"/>
    </row>
    <row r="3152" spans="2:2" ht="15.9" customHeight="1" x14ac:dyDescent="0.3">
      <c r="B3152" s="37"/>
    </row>
    <row r="3153" spans="2:2" ht="15.9" customHeight="1" x14ac:dyDescent="0.3">
      <c r="B3153" s="37"/>
    </row>
    <row r="3154" spans="2:2" ht="15.9" customHeight="1" x14ac:dyDescent="0.3">
      <c r="B3154" s="37"/>
    </row>
    <row r="3155" spans="2:2" ht="15.9" customHeight="1" x14ac:dyDescent="0.3">
      <c r="B3155" s="37"/>
    </row>
    <row r="3156" spans="2:2" ht="15.9" customHeight="1" x14ac:dyDescent="0.3">
      <c r="B3156" s="37"/>
    </row>
    <row r="3157" spans="2:2" ht="15.9" customHeight="1" x14ac:dyDescent="0.3">
      <c r="B3157" s="37"/>
    </row>
    <row r="3158" spans="2:2" ht="15.9" customHeight="1" x14ac:dyDescent="0.3">
      <c r="B3158" s="37"/>
    </row>
    <row r="3159" spans="2:2" ht="15.9" customHeight="1" x14ac:dyDescent="0.3">
      <c r="B3159" s="37"/>
    </row>
    <row r="3160" spans="2:2" ht="15.9" customHeight="1" x14ac:dyDescent="0.3">
      <c r="B3160" s="37"/>
    </row>
    <row r="3161" spans="2:2" ht="15.9" customHeight="1" x14ac:dyDescent="0.3">
      <c r="B3161" s="37"/>
    </row>
    <row r="3162" spans="2:2" ht="15.9" customHeight="1" x14ac:dyDescent="0.3">
      <c r="B3162" s="37"/>
    </row>
    <row r="3163" spans="2:2" ht="15.9" customHeight="1" x14ac:dyDescent="0.3">
      <c r="B3163" s="37"/>
    </row>
    <row r="3164" spans="2:2" ht="15.9" customHeight="1" x14ac:dyDescent="0.3">
      <c r="B3164" s="37"/>
    </row>
    <row r="3165" spans="2:2" ht="15.9" customHeight="1" x14ac:dyDescent="0.3">
      <c r="B3165" s="37"/>
    </row>
    <row r="3166" spans="2:2" ht="15.9" customHeight="1" x14ac:dyDescent="0.3">
      <c r="B3166" s="37"/>
    </row>
    <row r="3167" spans="2:2" ht="15.9" customHeight="1" x14ac:dyDescent="0.3">
      <c r="B3167" s="37"/>
    </row>
    <row r="3168" spans="2:2" ht="15.9" customHeight="1" x14ac:dyDescent="0.3">
      <c r="B3168" s="37"/>
    </row>
    <row r="3169" spans="2:2" ht="15.9" customHeight="1" x14ac:dyDescent="0.3">
      <c r="B3169" s="37"/>
    </row>
    <row r="3170" spans="2:2" ht="15.9" customHeight="1" x14ac:dyDescent="0.3">
      <c r="B3170" s="37"/>
    </row>
    <row r="3171" spans="2:2" ht="15.9" customHeight="1" x14ac:dyDescent="0.3">
      <c r="B3171" s="37"/>
    </row>
    <row r="3172" spans="2:2" ht="15.9" customHeight="1" x14ac:dyDescent="0.3">
      <c r="B3172" s="37"/>
    </row>
    <row r="3173" spans="2:2" ht="15.9" customHeight="1" x14ac:dyDescent="0.3">
      <c r="B3173" s="37"/>
    </row>
    <row r="3174" spans="2:2" ht="15.9" customHeight="1" x14ac:dyDescent="0.3">
      <c r="B3174" s="37"/>
    </row>
    <row r="3175" spans="2:2" ht="15.9" customHeight="1" x14ac:dyDescent="0.3">
      <c r="B3175" s="37"/>
    </row>
    <row r="3176" spans="2:2" ht="15.9" customHeight="1" x14ac:dyDescent="0.3">
      <c r="B3176" s="37"/>
    </row>
    <row r="3177" spans="2:2" ht="15.9" customHeight="1" x14ac:dyDescent="0.3">
      <c r="B3177" s="37"/>
    </row>
    <row r="3178" spans="2:2" ht="15.9" customHeight="1" x14ac:dyDescent="0.3">
      <c r="B3178" s="37"/>
    </row>
    <row r="3179" spans="2:2" ht="15.9" customHeight="1" x14ac:dyDescent="0.3">
      <c r="B3179" s="37"/>
    </row>
    <row r="3180" spans="2:2" ht="15.9" customHeight="1" x14ac:dyDescent="0.3">
      <c r="B3180" s="37"/>
    </row>
    <row r="3181" spans="2:2" ht="15.9" customHeight="1" x14ac:dyDescent="0.3">
      <c r="B3181" s="37"/>
    </row>
    <row r="3182" spans="2:2" ht="15.9" customHeight="1" x14ac:dyDescent="0.3">
      <c r="B3182" s="37"/>
    </row>
    <row r="3183" spans="2:2" ht="15.9" customHeight="1" x14ac:dyDescent="0.3">
      <c r="B3183" s="37"/>
    </row>
    <row r="3184" spans="2:2" ht="15.9" customHeight="1" x14ac:dyDescent="0.3">
      <c r="B3184" s="37"/>
    </row>
    <row r="3185" spans="2:2" ht="15.9" customHeight="1" x14ac:dyDescent="0.3">
      <c r="B3185" s="37"/>
    </row>
    <row r="3186" spans="2:2" ht="15.9" customHeight="1" x14ac:dyDescent="0.3">
      <c r="B3186" s="37"/>
    </row>
    <row r="3187" spans="2:2" ht="15.9" customHeight="1" x14ac:dyDescent="0.3">
      <c r="B3187" s="37"/>
    </row>
    <row r="3188" spans="2:2" ht="15.9" customHeight="1" x14ac:dyDescent="0.3">
      <c r="B3188" s="37"/>
    </row>
    <row r="3189" spans="2:2" ht="15.9" customHeight="1" x14ac:dyDescent="0.3">
      <c r="B3189" s="37"/>
    </row>
    <row r="3190" spans="2:2" ht="15.9" customHeight="1" x14ac:dyDescent="0.3">
      <c r="B3190" s="37"/>
    </row>
    <row r="3191" spans="2:2" ht="15.9" customHeight="1" x14ac:dyDescent="0.3">
      <c r="B3191" s="37"/>
    </row>
    <row r="3192" spans="2:2" ht="15.9" customHeight="1" x14ac:dyDescent="0.3">
      <c r="B3192" s="37"/>
    </row>
    <row r="3193" spans="2:2" ht="15.9" customHeight="1" x14ac:dyDescent="0.3">
      <c r="B3193" s="37"/>
    </row>
    <row r="3194" spans="2:2" ht="15.9" customHeight="1" x14ac:dyDescent="0.3">
      <c r="B3194" s="37"/>
    </row>
    <row r="3195" spans="2:2" ht="15.9" customHeight="1" x14ac:dyDescent="0.3">
      <c r="B3195" s="37"/>
    </row>
    <row r="3196" spans="2:2" ht="15.9" customHeight="1" x14ac:dyDescent="0.3">
      <c r="B3196" s="37"/>
    </row>
    <row r="3197" spans="2:2" ht="15.9" customHeight="1" x14ac:dyDescent="0.3">
      <c r="B3197" s="37"/>
    </row>
    <row r="3198" spans="2:2" ht="15.9" customHeight="1" x14ac:dyDescent="0.3">
      <c r="B3198" s="37"/>
    </row>
    <row r="3199" spans="2:2" ht="15.9" customHeight="1" x14ac:dyDescent="0.3">
      <c r="B3199" s="37"/>
    </row>
    <row r="3200" spans="2:2" ht="15.9" customHeight="1" x14ac:dyDescent="0.3">
      <c r="B3200" s="37"/>
    </row>
    <row r="3201" spans="2:2" ht="15.9" customHeight="1" x14ac:dyDescent="0.3">
      <c r="B3201" s="37"/>
    </row>
    <row r="3202" spans="2:2" ht="15.9" customHeight="1" x14ac:dyDescent="0.3">
      <c r="B3202" s="37"/>
    </row>
    <row r="3203" spans="2:2" ht="15.9" customHeight="1" x14ac:dyDescent="0.3">
      <c r="B3203" s="37"/>
    </row>
    <row r="3204" spans="2:2" ht="15.9" customHeight="1" x14ac:dyDescent="0.3">
      <c r="B3204" s="37"/>
    </row>
    <row r="3205" spans="2:2" ht="15.9" customHeight="1" x14ac:dyDescent="0.3">
      <c r="B3205" s="37"/>
    </row>
    <row r="3206" spans="2:2" ht="15.9" customHeight="1" x14ac:dyDescent="0.3">
      <c r="B3206" s="37"/>
    </row>
    <row r="3207" spans="2:2" ht="15.9" customHeight="1" x14ac:dyDescent="0.3">
      <c r="B3207" s="37"/>
    </row>
    <row r="3208" spans="2:2" ht="15.9" customHeight="1" x14ac:dyDescent="0.3">
      <c r="B3208" s="37"/>
    </row>
    <row r="3209" spans="2:2" ht="15.9" customHeight="1" x14ac:dyDescent="0.3">
      <c r="B3209" s="37"/>
    </row>
    <row r="3210" spans="2:2" ht="15.9" customHeight="1" x14ac:dyDescent="0.3">
      <c r="B3210" s="37"/>
    </row>
    <row r="3211" spans="2:2" ht="15.9" customHeight="1" x14ac:dyDescent="0.3">
      <c r="B3211" s="37"/>
    </row>
    <row r="3212" spans="2:2" ht="15.9" customHeight="1" x14ac:dyDescent="0.3">
      <c r="B3212" s="37"/>
    </row>
    <row r="3213" spans="2:2" ht="15.9" customHeight="1" x14ac:dyDescent="0.3">
      <c r="B3213" s="37"/>
    </row>
    <row r="3214" spans="2:2" ht="15.9" customHeight="1" x14ac:dyDescent="0.3">
      <c r="B3214" s="37"/>
    </row>
    <row r="3215" spans="2:2" ht="15.9" customHeight="1" x14ac:dyDescent="0.3">
      <c r="B3215" s="37"/>
    </row>
    <row r="3216" spans="2:2" ht="15.9" customHeight="1" x14ac:dyDescent="0.3">
      <c r="B3216" s="37"/>
    </row>
    <row r="3217" spans="2:2" ht="15.9" customHeight="1" x14ac:dyDescent="0.3">
      <c r="B3217" s="37"/>
    </row>
    <row r="3218" spans="2:2" ht="15.9" customHeight="1" x14ac:dyDescent="0.3">
      <c r="B3218" s="37"/>
    </row>
    <row r="3219" spans="2:2" ht="15.9" customHeight="1" x14ac:dyDescent="0.3">
      <c r="B3219" s="37"/>
    </row>
    <row r="3220" spans="2:2" ht="15.9" customHeight="1" x14ac:dyDescent="0.3">
      <c r="B3220" s="37"/>
    </row>
    <row r="3221" spans="2:2" ht="15.9" customHeight="1" x14ac:dyDescent="0.3">
      <c r="B3221" s="37"/>
    </row>
    <row r="3222" spans="2:2" ht="15.9" customHeight="1" x14ac:dyDescent="0.3">
      <c r="B3222" s="37"/>
    </row>
    <row r="3223" spans="2:2" ht="15.9" customHeight="1" x14ac:dyDescent="0.3">
      <c r="B3223" s="37"/>
    </row>
    <row r="3224" spans="2:2" ht="15.9" customHeight="1" x14ac:dyDescent="0.3">
      <c r="B3224" s="37"/>
    </row>
    <row r="3225" spans="2:2" ht="15.9" customHeight="1" x14ac:dyDescent="0.3">
      <c r="B3225" s="37"/>
    </row>
    <row r="3226" spans="2:2" ht="15.9" customHeight="1" x14ac:dyDescent="0.3">
      <c r="B3226" s="37"/>
    </row>
    <row r="3227" spans="2:2" ht="15.9" customHeight="1" x14ac:dyDescent="0.3">
      <c r="B3227" s="37"/>
    </row>
    <row r="3228" spans="2:2" ht="15.9" customHeight="1" x14ac:dyDescent="0.3">
      <c r="B3228" s="37"/>
    </row>
    <row r="3229" spans="2:2" ht="15.9" customHeight="1" x14ac:dyDescent="0.3">
      <c r="B3229" s="37"/>
    </row>
    <row r="3230" spans="2:2" ht="15.9" customHeight="1" x14ac:dyDescent="0.3">
      <c r="B3230" s="37"/>
    </row>
    <row r="3231" spans="2:2" ht="15.9" customHeight="1" x14ac:dyDescent="0.3">
      <c r="B3231" s="37"/>
    </row>
    <row r="3232" spans="2:2" ht="15.9" customHeight="1" x14ac:dyDescent="0.3">
      <c r="B3232" s="37"/>
    </row>
    <row r="3233" spans="2:2" ht="15.9" customHeight="1" x14ac:dyDescent="0.3">
      <c r="B3233" s="37"/>
    </row>
    <row r="3234" spans="2:2" ht="15.9" customHeight="1" x14ac:dyDescent="0.3">
      <c r="B3234" s="37"/>
    </row>
    <row r="3235" spans="2:2" ht="15.9" customHeight="1" x14ac:dyDescent="0.3">
      <c r="B3235" s="37"/>
    </row>
    <row r="3236" spans="2:2" ht="15.9" customHeight="1" x14ac:dyDescent="0.3">
      <c r="B3236" s="37"/>
    </row>
    <row r="3237" spans="2:2" ht="15.9" customHeight="1" x14ac:dyDescent="0.3">
      <c r="B3237" s="37"/>
    </row>
    <row r="3238" spans="2:2" ht="15.9" customHeight="1" x14ac:dyDescent="0.3">
      <c r="B3238" s="37"/>
    </row>
    <row r="3239" spans="2:2" ht="15.9" customHeight="1" x14ac:dyDescent="0.3">
      <c r="B3239" s="37"/>
    </row>
    <row r="3240" spans="2:2" ht="15.9" customHeight="1" x14ac:dyDescent="0.3">
      <c r="B3240" s="37"/>
    </row>
    <row r="3241" spans="2:2" ht="15.9" customHeight="1" x14ac:dyDescent="0.3">
      <c r="B3241" s="37"/>
    </row>
    <row r="3242" spans="2:2" ht="15.9" customHeight="1" x14ac:dyDescent="0.3">
      <c r="B3242" s="37"/>
    </row>
    <row r="3243" spans="2:2" ht="15.9" customHeight="1" x14ac:dyDescent="0.3">
      <c r="B3243" s="37"/>
    </row>
    <row r="3244" spans="2:2" ht="15.9" customHeight="1" x14ac:dyDescent="0.3">
      <c r="B3244" s="37"/>
    </row>
    <row r="3245" spans="2:2" ht="15.9" customHeight="1" x14ac:dyDescent="0.3">
      <c r="B3245" s="37"/>
    </row>
    <row r="3246" spans="2:2" ht="15.9" customHeight="1" x14ac:dyDescent="0.3">
      <c r="B3246" s="37"/>
    </row>
    <row r="3247" spans="2:2" ht="15.9" customHeight="1" x14ac:dyDescent="0.3">
      <c r="B3247" s="37"/>
    </row>
    <row r="3248" spans="2:2" ht="15.9" customHeight="1" x14ac:dyDescent="0.3">
      <c r="B3248" s="37"/>
    </row>
    <row r="3249" spans="2:2" ht="15.9" customHeight="1" x14ac:dyDescent="0.3">
      <c r="B3249" s="37"/>
    </row>
    <row r="3250" spans="2:2" ht="15.9" customHeight="1" x14ac:dyDescent="0.3">
      <c r="B3250" s="37"/>
    </row>
    <row r="3251" spans="2:2" ht="15.9" customHeight="1" x14ac:dyDescent="0.3">
      <c r="B3251" s="37"/>
    </row>
    <row r="3252" spans="2:2" ht="15.9" customHeight="1" x14ac:dyDescent="0.3">
      <c r="B3252" s="37"/>
    </row>
    <row r="3253" spans="2:2" ht="15.9" customHeight="1" x14ac:dyDescent="0.3">
      <c r="B3253" s="37"/>
    </row>
    <row r="3254" spans="2:2" ht="15.9" customHeight="1" x14ac:dyDescent="0.3">
      <c r="B3254" s="37"/>
    </row>
    <row r="3255" spans="2:2" ht="15.9" customHeight="1" x14ac:dyDescent="0.3">
      <c r="B3255" s="37"/>
    </row>
    <row r="3256" spans="2:2" ht="15.9" customHeight="1" x14ac:dyDescent="0.3">
      <c r="B3256" s="37"/>
    </row>
    <row r="3257" spans="2:2" ht="15.9" customHeight="1" x14ac:dyDescent="0.3">
      <c r="B3257" s="37"/>
    </row>
    <row r="3258" spans="2:2" ht="15.9" customHeight="1" x14ac:dyDescent="0.3">
      <c r="B3258" s="37"/>
    </row>
    <row r="3259" spans="2:2" ht="15.9" customHeight="1" x14ac:dyDescent="0.3">
      <c r="B3259" s="37"/>
    </row>
    <row r="3260" spans="2:2" ht="15.9" customHeight="1" x14ac:dyDescent="0.3">
      <c r="B3260" s="37"/>
    </row>
    <row r="3261" spans="2:2" ht="15.9" customHeight="1" x14ac:dyDescent="0.3">
      <c r="B3261" s="37"/>
    </row>
    <row r="3262" spans="2:2" ht="15.9" customHeight="1" x14ac:dyDescent="0.3">
      <c r="B3262" s="37"/>
    </row>
    <row r="3263" spans="2:2" ht="15.9" customHeight="1" x14ac:dyDescent="0.3">
      <c r="B3263" s="37"/>
    </row>
    <row r="3264" spans="2:2" ht="15.9" customHeight="1" x14ac:dyDescent="0.3">
      <c r="B3264" s="37"/>
    </row>
    <row r="3265" spans="2:2" ht="15.9" customHeight="1" x14ac:dyDescent="0.3">
      <c r="B3265" s="37"/>
    </row>
    <row r="3266" spans="2:2" ht="15.9" customHeight="1" x14ac:dyDescent="0.3">
      <c r="B3266" s="37"/>
    </row>
    <row r="3267" spans="2:2" ht="15.9" customHeight="1" x14ac:dyDescent="0.3">
      <c r="B3267" s="37"/>
    </row>
    <row r="3268" spans="2:2" ht="15.9" customHeight="1" x14ac:dyDescent="0.3">
      <c r="B3268" s="37"/>
    </row>
    <row r="3269" spans="2:2" ht="15.9" customHeight="1" x14ac:dyDescent="0.3">
      <c r="B3269" s="37"/>
    </row>
    <row r="3270" spans="2:2" ht="15.9" customHeight="1" x14ac:dyDescent="0.3">
      <c r="B3270" s="37"/>
    </row>
    <row r="3271" spans="2:2" ht="15.9" customHeight="1" x14ac:dyDescent="0.3">
      <c r="B3271" s="37"/>
    </row>
    <row r="3272" spans="2:2" ht="15.9" customHeight="1" x14ac:dyDescent="0.3">
      <c r="B3272" s="37"/>
    </row>
    <row r="3273" spans="2:2" ht="15.9" customHeight="1" x14ac:dyDescent="0.3">
      <c r="B3273" s="37"/>
    </row>
    <row r="3274" spans="2:2" ht="15.9" customHeight="1" x14ac:dyDescent="0.3">
      <c r="B3274" s="37"/>
    </row>
    <row r="3275" spans="2:2" ht="15.9" customHeight="1" x14ac:dyDescent="0.3">
      <c r="B3275" s="37"/>
    </row>
    <row r="3276" spans="2:2" ht="15.9" customHeight="1" x14ac:dyDescent="0.3">
      <c r="B3276" s="37"/>
    </row>
    <row r="3277" spans="2:2" ht="15.9" customHeight="1" x14ac:dyDescent="0.3">
      <c r="B3277" s="37"/>
    </row>
    <row r="3278" spans="2:2" ht="15.9" customHeight="1" x14ac:dyDescent="0.3">
      <c r="B3278" s="37"/>
    </row>
    <row r="3279" spans="2:2" ht="15.9" customHeight="1" x14ac:dyDescent="0.3">
      <c r="B3279" s="37"/>
    </row>
    <row r="3280" spans="2:2" ht="15.9" customHeight="1" x14ac:dyDescent="0.3">
      <c r="B3280" s="37"/>
    </row>
    <row r="3281" spans="2:2" ht="15.9" customHeight="1" x14ac:dyDescent="0.3">
      <c r="B3281" s="37"/>
    </row>
    <row r="3282" spans="2:2" ht="15.9" customHeight="1" x14ac:dyDescent="0.3">
      <c r="B3282" s="37"/>
    </row>
    <row r="3283" spans="2:2" ht="15.9" customHeight="1" x14ac:dyDescent="0.3">
      <c r="B3283" s="37"/>
    </row>
    <row r="3284" spans="2:2" ht="15.9" customHeight="1" x14ac:dyDescent="0.3">
      <c r="B3284" s="37"/>
    </row>
    <row r="3285" spans="2:2" ht="15.9" customHeight="1" x14ac:dyDescent="0.3">
      <c r="B3285" s="37"/>
    </row>
    <row r="3286" spans="2:2" ht="15.9" customHeight="1" x14ac:dyDescent="0.3">
      <c r="B3286" s="37"/>
    </row>
    <row r="3287" spans="2:2" ht="15.9" customHeight="1" x14ac:dyDescent="0.3">
      <c r="B3287" s="37"/>
    </row>
    <row r="3288" spans="2:2" ht="15.9" customHeight="1" x14ac:dyDescent="0.3">
      <c r="B3288" s="37"/>
    </row>
    <row r="3289" spans="2:2" ht="15.9" customHeight="1" x14ac:dyDescent="0.3">
      <c r="B3289" s="37"/>
    </row>
    <row r="3290" spans="2:2" ht="15.9" customHeight="1" x14ac:dyDescent="0.3">
      <c r="B3290" s="37"/>
    </row>
    <row r="3291" spans="2:2" ht="15.9" customHeight="1" x14ac:dyDescent="0.3">
      <c r="B3291" s="37"/>
    </row>
    <row r="3292" spans="2:2" ht="15.9" customHeight="1" x14ac:dyDescent="0.3">
      <c r="B3292" s="37"/>
    </row>
    <row r="3293" spans="2:2" ht="15.9" customHeight="1" x14ac:dyDescent="0.3">
      <c r="B3293" s="37"/>
    </row>
    <row r="3294" spans="2:2" ht="15.9" customHeight="1" x14ac:dyDescent="0.3">
      <c r="B3294" s="37"/>
    </row>
    <row r="3295" spans="2:2" ht="15.9" customHeight="1" x14ac:dyDescent="0.3">
      <c r="B3295" s="37"/>
    </row>
    <row r="3296" spans="2:2" ht="15.9" customHeight="1" x14ac:dyDescent="0.3">
      <c r="B3296" s="37"/>
    </row>
    <row r="3297" spans="2:2" ht="15.9" customHeight="1" x14ac:dyDescent="0.3">
      <c r="B3297" s="37"/>
    </row>
    <row r="3298" spans="2:2" ht="15.9" customHeight="1" x14ac:dyDescent="0.3">
      <c r="B3298" s="37"/>
    </row>
    <row r="3299" spans="2:2" ht="15.9" customHeight="1" x14ac:dyDescent="0.3">
      <c r="B3299" s="37"/>
    </row>
    <row r="3300" spans="2:2" ht="15.9" customHeight="1" x14ac:dyDescent="0.3">
      <c r="B3300" s="37"/>
    </row>
    <row r="3301" spans="2:2" ht="15.9" customHeight="1" x14ac:dyDescent="0.3">
      <c r="B3301" s="37"/>
    </row>
    <row r="3302" spans="2:2" ht="15.9" customHeight="1" x14ac:dyDescent="0.3">
      <c r="B3302" s="37"/>
    </row>
    <row r="3303" spans="2:2" ht="15.9" customHeight="1" x14ac:dyDescent="0.3">
      <c r="B3303" s="37"/>
    </row>
    <row r="3304" spans="2:2" ht="15.9" customHeight="1" x14ac:dyDescent="0.3">
      <c r="B3304" s="37"/>
    </row>
    <row r="3305" spans="2:2" ht="15.9" customHeight="1" x14ac:dyDescent="0.3">
      <c r="B3305" s="37"/>
    </row>
    <row r="3306" spans="2:2" ht="15.9" customHeight="1" x14ac:dyDescent="0.3">
      <c r="B3306" s="37"/>
    </row>
    <row r="3307" spans="2:2" ht="15.9" customHeight="1" x14ac:dyDescent="0.3">
      <c r="B3307" s="37"/>
    </row>
    <row r="3308" spans="2:2" ht="15.9" customHeight="1" x14ac:dyDescent="0.3">
      <c r="B3308" s="37"/>
    </row>
    <row r="3309" spans="2:2" ht="15.9" customHeight="1" x14ac:dyDescent="0.3">
      <c r="B3309" s="37"/>
    </row>
    <row r="3310" spans="2:2" ht="15.9" customHeight="1" x14ac:dyDescent="0.3">
      <c r="B3310" s="37"/>
    </row>
    <row r="3311" spans="2:2" ht="15.9" customHeight="1" x14ac:dyDescent="0.3">
      <c r="B3311" s="37"/>
    </row>
    <row r="3312" spans="2:2" ht="15.9" customHeight="1" x14ac:dyDescent="0.3">
      <c r="B3312" s="37"/>
    </row>
    <row r="3313" spans="2:2" ht="15.9" customHeight="1" x14ac:dyDescent="0.3">
      <c r="B3313" s="37"/>
    </row>
    <row r="3314" spans="2:2" ht="15.9" customHeight="1" x14ac:dyDescent="0.3">
      <c r="B3314" s="37"/>
    </row>
    <row r="3315" spans="2:2" ht="15.9" customHeight="1" x14ac:dyDescent="0.3">
      <c r="B3315" s="37"/>
    </row>
    <row r="3316" spans="2:2" ht="15.9" customHeight="1" x14ac:dyDescent="0.3">
      <c r="B3316" s="37"/>
    </row>
    <row r="3317" spans="2:2" ht="15.9" customHeight="1" x14ac:dyDescent="0.3">
      <c r="B3317" s="37"/>
    </row>
    <row r="3318" spans="2:2" ht="15.9" customHeight="1" x14ac:dyDescent="0.3">
      <c r="B3318" s="37"/>
    </row>
    <row r="3319" spans="2:2" ht="15.9" customHeight="1" x14ac:dyDescent="0.3">
      <c r="B3319" s="37"/>
    </row>
    <row r="3320" spans="2:2" ht="15.9" customHeight="1" x14ac:dyDescent="0.3">
      <c r="B3320" s="37"/>
    </row>
    <row r="3321" spans="2:2" ht="15.9" customHeight="1" x14ac:dyDescent="0.3">
      <c r="B3321" s="37"/>
    </row>
    <row r="3322" spans="2:2" ht="15.9" customHeight="1" x14ac:dyDescent="0.3">
      <c r="B3322" s="37"/>
    </row>
    <row r="3323" spans="2:2" ht="15.9" customHeight="1" x14ac:dyDescent="0.3">
      <c r="B3323" s="37"/>
    </row>
    <row r="3324" spans="2:2" ht="15.9" customHeight="1" x14ac:dyDescent="0.3">
      <c r="B3324" s="37"/>
    </row>
    <row r="3325" spans="2:2" ht="15.9" customHeight="1" x14ac:dyDescent="0.3">
      <c r="B3325" s="37"/>
    </row>
    <row r="3326" spans="2:2" ht="15.9" customHeight="1" x14ac:dyDescent="0.3">
      <c r="B3326" s="37"/>
    </row>
    <row r="3327" spans="2:2" ht="15.9" customHeight="1" x14ac:dyDescent="0.3">
      <c r="B3327" s="37"/>
    </row>
    <row r="3328" spans="2:2" ht="15.9" customHeight="1" x14ac:dyDescent="0.3">
      <c r="B3328" s="37"/>
    </row>
    <row r="3329" spans="2:2" ht="15.9" customHeight="1" x14ac:dyDescent="0.3">
      <c r="B3329" s="37"/>
    </row>
    <row r="3330" spans="2:2" ht="15.9" customHeight="1" x14ac:dyDescent="0.3">
      <c r="B3330" s="37"/>
    </row>
    <row r="3331" spans="2:2" ht="15.9" customHeight="1" x14ac:dyDescent="0.3">
      <c r="B3331" s="37"/>
    </row>
    <row r="3332" spans="2:2" ht="15.9" customHeight="1" x14ac:dyDescent="0.3">
      <c r="B3332" s="37"/>
    </row>
    <row r="3333" spans="2:2" ht="15.9" customHeight="1" x14ac:dyDescent="0.3">
      <c r="B3333" s="37"/>
    </row>
    <row r="3334" spans="2:2" ht="15.9" customHeight="1" x14ac:dyDescent="0.3">
      <c r="B3334" s="37"/>
    </row>
    <row r="3335" spans="2:2" ht="15.9" customHeight="1" x14ac:dyDescent="0.3">
      <c r="B3335" s="37"/>
    </row>
    <row r="3336" spans="2:2" ht="15.9" customHeight="1" x14ac:dyDescent="0.3">
      <c r="B3336" s="37"/>
    </row>
    <row r="3337" spans="2:2" ht="15.9" customHeight="1" x14ac:dyDescent="0.3">
      <c r="B3337" s="37"/>
    </row>
    <row r="3338" spans="2:2" ht="15.9" customHeight="1" x14ac:dyDescent="0.3">
      <c r="B3338" s="37"/>
    </row>
    <row r="3339" spans="2:2" ht="15.9" customHeight="1" x14ac:dyDescent="0.3">
      <c r="B3339" s="37"/>
    </row>
    <row r="3340" spans="2:2" ht="15.9" customHeight="1" x14ac:dyDescent="0.3">
      <c r="B3340" s="37"/>
    </row>
    <row r="3341" spans="2:2" ht="15.9" customHeight="1" x14ac:dyDescent="0.3">
      <c r="B3341" s="37"/>
    </row>
    <row r="3342" spans="2:2" ht="15.9" customHeight="1" x14ac:dyDescent="0.3">
      <c r="B3342" s="37"/>
    </row>
    <row r="3343" spans="2:2" ht="15.9" customHeight="1" x14ac:dyDescent="0.3">
      <c r="B3343" s="37"/>
    </row>
    <row r="3344" spans="2:2" ht="15.9" customHeight="1" x14ac:dyDescent="0.3">
      <c r="B3344" s="37"/>
    </row>
    <row r="3345" spans="2:2" ht="15.9" customHeight="1" x14ac:dyDescent="0.3">
      <c r="B3345" s="37"/>
    </row>
    <row r="3346" spans="2:2" ht="15.9" customHeight="1" x14ac:dyDescent="0.3">
      <c r="B3346" s="37"/>
    </row>
    <row r="3347" spans="2:2" ht="15.9" customHeight="1" x14ac:dyDescent="0.3">
      <c r="B3347" s="37"/>
    </row>
    <row r="3348" spans="2:2" ht="15.9" customHeight="1" x14ac:dyDescent="0.3">
      <c r="B3348" s="37"/>
    </row>
    <row r="3349" spans="2:2" ht="15.9" customHeight="1" x14ac:dyDescent="0.3">
      <c r="B3349" s="37"/>
    </row>
    <row r="3350" spans="2:2" ht="15.9" customHeight="1" x14ac:dyDescent="0.3">
      <c r="B3350" s="37"/>
    </row>
    <row r="3351" spans="2:2" ht="15.9" customHeight="1" x14ac:dyDescent="0.3">
      <c r="B3351" s="37"/>
    </row>
    <row r="3352" spans="2:2" ht="15.9" customHeight="1" x14ac:dyDescent="0.3">
      <c r="B3352" s="37"/>
    </row>
    <row r="3353" spans="2:2" ht="15.9" customHeight="1" x14ac:dyDescent="0.3">
      <c r="B3353" s="37"/>
    </row>
    <row r="3354" spans="2:2" ht="15.9" customHeight="1" x14ac:dyDescent="0.3">
      <c r="B3354" s="37"/>
    </row>
    <row r="3355" spans="2:2" ht="15.9" customHeight="1" x14ac:dyDescent="0.3">
      <c r="B3355" s="37"/>
    </row>
    <row r="3356" spans="2:2" ht="15.9" customHeight="1" x14ac:dyDescent="0.3">
      <c r="B3356" s="37"/>
    </row>
    <row r="3357" spans="2:2" ht="15.9" customHeight="1" x14ac:dyDescent="0.3">
      <c r="B3357" s="37"/>
    </row>
    <row r="3358" spans="2:2" ht="15.9" customHeight="1" x14ac:dyDescent="0.3">
      <c r="B3358" s="37"/>
    </row>
    <row r="3359" spans="2:2" ht="15.9" customHeight="1" x14ac:dyDescent="0.3">
      <c r="B3359" s="37"/>
    </row>
    <row r="3360" spans="2:2" ht="15.9" customHeight="1" x14ac:dyDescent="0.3">
      <c r="B3360" s="37"/>
    </row>
    <row r="3361" spans="2:2" ht="15.9" customHeight="1" x14ac:dyDescent="0.3">
      <c r="B3361" s="37"/>
    </row>
    <row r="3362" spans="2:2" ht="15.9" customHeight="1" x14ac:dyDescent="0.3">
      <c r="B3362" s="37"/>
    </row>
    <row r="3363" spans="2:2" ht="15.9" customHeight="1" x14ac:dyDescent="0.3">
      <c r="B3363" s="37"/>
    </row>
    <row r="3364" spans="2:2" ht="15.9" customHeight="1" x14ac:dyDescent="0.3">
      <c r="B3364" s="37"/>
    </row>
    <row r="3365" spans="2:2" ht="15.9" customHeight="1" x14ac:dyDescent="0.3">
      <c r="B3365" s="37"/>
    </row>
    <row r="3366" spans="2:2" ht="15.9" customHeight="1" x14ac:dyDescent="0.3">
      <c r="B3366" s="37"/>
    </row>
    <row r="3367" spans="2:2" ht="15.9" customHeight="1" x14ac:dyDescent="0.3">
      <c r="B3367" s="37"/>
    </row>
    <row r="3368" spans="2:2" ht="15.9" customHeight="1" x14ac:dyDescent="0.3">
      <c r="B3368" s="37"/>
    </row>
    <row r="3369" spans="2:2" ht="15.9" customHeight="1" x14ac:dyDescent="0.3">
      <c r="B3369" s="37"/>
    </row>
    <row r="3370" spans="2:2" ht="15.9" customHeight="1" x14ac:dyDescent="0.3">
      <c r="B3370" s="37"/>
    </row>
    <row r="3371" spans="2:2" ht="15.9" customHeight="1" x14ac:dyDescent="0.3">
      <c r="B3371" s="37"/>
    </row>
    <row r="3372" spans="2:2" ht="15.9" customHeight="1" x14ac:dyDescent="0.3">
      <c r="B3372" s="37"/>
    </row>
    <row r="3373" spans="2:2" ht="15.9" customHeight="1" x14ac:dyDescent="0.3">
      <c r="B3373" s="37"/>
    </row>
    <row r="3374" spans="2:2" ht="15.9" customHeight="1" x14ac:dyDescent="0.3">
      <c r="B3374" s="37"/>
    </row>
    <row r="3375" spans="2:2" ht="15.9" customHeight="1" x14ac:dyDescent="0.3">
      <c r="B3375" s="37"/>
    </row>
    <row r="3376" spans="2:2" ht="15.9" customHeight="1" x14ac:dyDescent="0.3">
      <c r="B3376" s="37"/>
    </row>
    <row r="3377" spans="2:2" ht="15.9" customHeight="1" x14ac:dyDescent="0.3">
      <c r="B3377" s="37"/>
    </row>
    <row r="3378" spans="2:2" ht="15.9" customHeight="1" x14ac:dyDescent="0.3">
      <c r="B3378" s="37"/>
    </row>
    <row r="3379" spans="2:2" ht="15.9" customHeight="1" x14ac:dyDescent="0.3">
      <c r="B3379" s="37"/>
    </row>
    <row r="3380" spans="2:2" ht="15.9" customHeight="1" x14ac:dyDescent="0.3">
      <c r="B3380" s="37"/>
    </row>
    <row r="3381" spans="2:2" ht="15.9" customHeight="1" x14ac:dyDescent="0.3">
      <c r="B3381" s="37"/>
    </row>
    <row r="3382" spans="2:2" ht="15.9" customHeight="1" x14ac:dyDescent="0.3">
      <c r="B3382" s="37"/>
    </row>
    <row r="3383" spans="2:2" ht="15.9" customHeight="1" x14ac:dyDescent="0.3">
      <c r="B3383" s="37"/>
    </row>
    <row r="3384" spans="2:2" ht="15.9" customHeight="1" x14ac:dyDescent="0.3">
      <c r="B3384" s="37"/>
    </row>
    <row r="3385" spans="2:2" ht="15.9" customHeight="1" x14ac:dyDescent="0.3">
      <c r="B3385" s="37"/>
    </row>
    <row r="3386" spans="2:2" ht="15.9" customHeight="1" x14ac:dyDescent="0.3">
      <c r="B3386" s="37"/>
    </row>
    <row r="3387" spans="2:2" ht="15.9" customHeight="1" x14ac:dyDescent="0.3">
      <c r="B3387" s="37"/>
    </row>
    <row r="3388" spans="2:2" ht="15.9" customHeight="1" x14ac:dyDescent="0.3">
      <c r="B3388" s="37"/>
    </row>
    <row r="3389" spans="2:2" ht="15.9" customHeight="1" x14ac:dyDescent="0.3">
      <c r="B3389" s="37"/>
    </row>
    <row r="3390" spans="2:2" ht="15.9" customHeight="1" x14ac:dyDescent="0.3">
      <c r="B3390" s="37"/>
    </row>
    <row r="3391" spans="2:2" ht="15.9" customHeight="1" x14ac:dyDescent="0.3">
      <c r="B3391" s="37"/>
    </row>
    <row r="3392" spans="2:2" ht="15.9" customHeight="1" x14ac:dyDescent="0.3">
      <c r="B3392" s="37"/>
    </row>
    <row r="3393" spans="2:2" ht="15.9" customHeight="1" x14ac:dyDescent="0.3">
      <c r="B3393" s="37"/>
    </row>
    <row r="3394" spans="2:2" ht="15.9" customHeight="1" x14ac:dyDescent="0.3">
      <c r="B3394" s="37"/>
    </row>
    <row r="3395" spans="2:2" ht="15.9" customHeight="1" x14ac:dyDescent="0.3">
      <c r="B3395" s="37"/>
    </row>
    <row r="3396" spans="2:2" ht="15.9" customHeight="1" x14ac:dyDescent="0.3">
      <c r="B3396" s="37"/>
    </row>
    <row r="3397" spans="2:2" ht="15.9" customHeight="1" x14ac:dyDescent="0.3">
      <c r="B3397" s="37"/>
    </row>
    <row r="3398" spans="2:2" ht="15.9" customHeight="1" x14ac:dyDescent="0.3">
      <c r="B3398" s="37"/>
    </row>
    <row r="3399" spans="2:2" ht="15.9" customHeight="1" x14ac:dyDescent="0.3">
      <c r="B3399" s="37"/>
    </row>
    <row r="3400" spans="2:2" ht="15.9" customHeight="1" x14ac:dyDescent="0.3">
      <c r="B3400" s="37"/>
    </row>
    <row r="3401" spans="2:2" ht="15.9" customHeight="1" x14ac:dyDescent="0.3">
      <c r="B3401" s="37"/>
    </row>
    <row r="3402" spans="2:2" ht="15.9" customHeight="1" x14ac:dyDescent="0.3">
      <c r="B3402" s="37"/>
    </row>
    <row r="3403" spans="2:2" ht="15.9" customHeight="1" x14ac:dyDescent="0.3">
      <c r="B3403" s="37"/>
    </row>
    <row r="3404" spans="2:2" ht="15.9" customHeight="1" x14ac:dyDescent="0.3">
      <c r="B3404" s="37"/>
    </row>
    <row r="3405" spans="2:2" ht="15.9" customHeight="1" x14ac:dyDescent="0.3">
      <c r="B3405" s="37"/>
    </row>
    <row r="3406" spans="2:2" ht="15.9" customHeight="1" x14ac:dyDescent="0.3">
      <c r="B3406" s="37"/>
    </row>
    <row r="3407" spans="2:2" ht="15.9" customHeight="1" x14ac:dyDescent="0.3">
      <c r="B3407" s="37"/>
    </row>
    <row r="3408" spans="2:2" ht="15.9" customHeight="1" x14ac:dyDescent="0.3">
      <c r="B3408" s="37"/>
    </row>
    <row r="3409" spans="2:2" ht="15.9" customHeight="1" x14ac:dyDescent="0.3">
      <c r="B3409" s="37"/>
    </row>
    <row r="3410" spans="2:2" ht="15.9" customHeight="1" x14ac:dyDescent="0.3">
      <c r="B3410" s="37"/>
    </row>
    <row r="3411" spans="2:2" ht="15.9" customHeight="1" x14ac:dyDescent="0.3">
      <c r="B3411" s="37"/>
    </row>
    <row r="3412" spans="2:2" ht="15.9" customHeight="1" x14ac:dyDescent="0.3">
      <c r="B3412" s="37"/>
    </row>
    <row r="3413" spans="2:2" ht="15.9" customHeight="1" x14ac:dyDescent="0.3">
      <c r="B3413" s="37"/>
    </row>
    <row r="3414" spans="2:2" ht="15.9" customHeight="1" x14ac:dyDescent="0.3">
      <c r="B3414" s="37"/>
    </row>
    <row r="3415" spans="2:2" ht="15.9" customHeight="1" x14ac:dyDescent="0.3">
      <c r="B3415" s="37"/>
    </row>
    <row r="3416" spans="2:2" ht="15.9" customHeight="1" x14ac:dyDescent="0.3">
      <c r="B3416" s="37"/>
    </row>
    <row r="3417" spans="2:2" ht="15.9" customHeight="1" x14ac:dyDescent="0.3">
      <c r="B3417" s="37"/>
    </row>
    <row r="3418" spans="2:2" ht="15.9" customHeight="1" x14ac:dyDescent="0.3">
      <c r="B3418" s="37"/>
    </row>
    <row r="3419" spans="2:2" ht="15.9" customHeight="1" x14ac:dyDescent="0.3">
      <c r="B3419" s="37"/>
    </row>
    <row r="3420" spans="2:2" ht="15.9" customHeight="1" x14ac:dyDescent="0.3">
      <c r="B3420" s="37"/>
    </row>
    <row r="3421" spans="2:2" ht="15.9" customHeight="1" x14ac:dyDescent="0.3">
      <c r="B3421" s="37"/>
    </row>
    <row r="3422" spans="2:2" ht="15.9" customHeight="1" x14ac:dyDescent="0.3">
      <c r="B3422" s="37"/>
    </row>
    <row r="3423" spans="2:2" ht="15.9" customHeight="1" x14ac:dyDescent="0.3">
      <c r="B3423" s="37"/>
    </row>
    <row r="3424" spans="2:2" ht="15.9" customHeight="1" x14ac:dyDescent="0.3">
      <c r="B3424" s="37"/>
    </row>
    <row r="3425" spans="2:2" ht="15.9" customHeight="1" x14ac:dyDescent="0.3">
      <c r="B3425" s="37"/>
    </row>
    <row r="3426" spans="2:2" ht="15.9" customHeight="1" x14ac:dyDescent="0.3">
      <c r="B3426" s="37"/>
    </row>
    <row r="3427" spans="2:2" ht="15.9" customHeight="1" x14ac:dyDescent="0.3">
      <c r="B3427" s="37"/>
    </row>
    <row r="3428" spans="2:2" ht="15.9" customHeight="1" x14ac:dyDescent="0.3">
      <c r="B3428" s="37"/>
    </row>
    <row r="3429" spans="2:2" ht="15.9" customHeight="1" x14ac:dyDescent="0.3">
      <c r="B3429" s="37"/>
    </row>
    <row r="3430" spans="2:2" ht="15.9" customHeight="1" x14ac:dyDescent="0.3">
      <c r="B3430" s="37"/>
    </row>
    <row r="3431" spans="2:2" ht="15.9" customHeight="1" x14ac:dyDescent="0.3">
      <c r="B3431" s="37"/>
    </row>
    <row r="3432" spans="2:2" ht="15.9" customHeight="1" x14ac:dyDescent="0.3">
      <c r="B3432" s="37"/>
    </row>
    <row r="3433" spans="2:2" ht="15.9" customHeight="1" x14ac:dyDescent="0.3">
      <c r="B3433" s="37"/>
    </row>
    <row r="3434" spans="2:2" ht="15.9" customHeight="1" x14ac:dyDescent="0.3">
      <c r="B3434" s="37"/>
    </row>
    <row r="3435" spans="2:2" ht="15.9" customHeight="1" x14ac:dyDescent="0.3">
      <c r="B3435" s="37"/>
    </row>
    <row r="3436" spans="2:2" ht="15.9" customHeight="1" x14ac:dyDescent="0.3">
      <c r="B3436" s="37"/>
    </row>
    <row r="3437" spans="2:2" ht="15.9" customHeight="1" x14ac:dyDescent="0.3">
      <c r="B3437" s="37"/>
    </row>
    <row r="3438" spans="2:2" ht="15.9" customHeight="1" x14ac:dyDescent="0.3">
      <c r="B3438" s="37"/>
    </row>
    <row r="3439" spans="2:2" ht="15.9" customHeight="1" x14ac:dyDescent="0.3">
      <c r="B3439" s="37"/>
    </row>
    <row r="3440" spans="2:2" ht="15.9" customHeight="1" x14ac:dyDescent="0.3">
      <c r="B3440" s="37"/>
    </row>
    <row r="3441" spans="2:2" ht="15.9" customHeight="1" x14ac:dyDescent="0.3">
      <c r="B3441" s="37"/>
    </row>
    <row r="3442" spans="2:2" ht="15.9" customHeight="1" x14ac:dyDescent="0.3">
      <c r="B3442" s="37"/>
    </row>
    <row r="3443" spans="2:2" ht="15.9" customHeight="1" x14ac:dyDescent="0.3">
      <c r="B3443" s="37"/>
    </row>
    <row r="3444" spans="2:2" ht="15.9" customHeight="1" x14ac:dyDescent="0.3">
      <c r="B3444" s="37"/>
    </row>
    <row r="3445" spans="2:2" ht="15.9" customHeight="1" x14ac:dyDescent="0.3">
      <c r="B3445" s="37"/>
    </row>
    <row r="3446" spans="2:2" ht="15.9" customHeight="1" x14ac:dyDescent="0.3">
      <c r="B3446" s="37"/>
    </row>
    <row r="3447" spans="2:2" ht="15.9" customHeight="1" x14ac:dyDescent="0.3">
      <c r="B3447" s="37"/>
    </row>
    <row r="3448" spans="2:2" ht="15.9" customHeight="1" x14ac:dyDescent="0.3">
      <c r="B3448" s="37"/>
    </row>
    <row r="3449" spans="2:2" ht="15.9" customHeight="1" x14ac:dyDescent="0.3">
      <c r="B3449" s="37"/>
    </row>
    <row r="3450" spans="2:2" ht="15.9" customHeight="1" x14ac:dyDescent="0.3">
      <c r="B3450" s="37"/>
    </row>
    <row r="3451" spans="2:2" ht="15.9" customHeight="1" x14ac:dyDescent="0.3">
      <c r="B3451" s="37"/>
    </row>
    <row r="3452" spans="2:2" ht="15.9" customHeight="1" x14ac:dyDescent="0.3">
      <c r="B3452" s="37"/>
    </row>
    <row r="3453" spans="2:2" ht="15.9" customHeight="1" x14ac:dyDescent="0.3">
      <c r="B3453" s="37"/>
    </row>
    <row r="3454" spans="2:2" ht="15.9" customHeight="1" x14ac:dyDescent="0.3">
      <c r="B3454" s="37"/>
    </row>
    <row r="3455" spans="2:2" ht="15.9" customHeight="1" x14ac:dyDescent="0.3">
      <c r="B3455" s="37"/>
    </row>
    <row r="3456" spans="2:2" ht="15.9" customHeight="1" x14ac:dyDescent="0.3">
      <c r="B3456" s="37"/>
    </row>
    <row r="3457" spans="2:2" ht="15.9" customHeight="1" x14ac:dyDescent="0.3">
      <c r="B3457" s="37"/>
    </row>
    <row r="3458" spans="2:2" ht="15.9" customHeight="1" x14ac:dyDescent="0.3">
      <c r="B3458" s="37"/>
    </row>
    <row r="3459" spans="2:2" ht="15.9" customHeight="1" x14ac:dyDescent="0.3">
      <c r="B3459" s="37"/>
    </row>
    <row r="3460" spans="2:2" ht="15.9" customHeight="1" x14ac:dyDescent="0.3">
      <c r="B3460" s="37"/>
    </row>
    <row r="3461" spans="2:2" ht="15.9" customHeight="1" x14ac:dyDescent="0.3">
      <c r="B3461" s="37"/>
    </row>
    <row r="3462" spans="2:2" ht="15.9" customHeight="1" x14ac:dyDescent="0.3">
      <c r="B3462" s="37"/>
    </row>
    <row r="3463" spans="2:2" ht="15.9" customHeight="1" x14ac:dyDescent="0.3">
      <c r="B3463" s="37"/>
    </row>
    <row r="3464" spans="2:2" ht="15.9" customHeight="1" x14ac:dyDescent="0.3">
      <c r="B3464" s="37"/>
    </row>
    <row r="3465" spans="2:2" ht="15.9" customHeight="1" x14ac:dyDescent="0.3">
      <c r="B3465" s="37"/>
    </row>
    <row r="3466" spans="2:2" ht="15.9" customHeight="1" x14ac:dyDescent="0.3">
      <c r="B3466" s="37"/>
    </row>
    <row r="3467" spans="2:2" ht="15.9" customHeight="1" x14ac:dyDescent="0.3">
      <c r="B3467" s="37"/>
    </row>
    <row r="3468" spans="2:2" ht="15.9" customHeight="1" x14ac:dyDescent="0.3">
      <c r="B3468" s="37"/>
    </row>
    <row r="3469" spans="2:2" ht="15.9" customHeight="1" x14ac:dyDescent="0.3">
      <c r="B3469" s="37"/>
    </row>
    <row r="3470" spans="2:2" ht="15.9" customHeight="1" x14ac:dyDescent="0.3">
      <c r="B3470" s="37"/>
    </row>
    <row r="3471" spans="2:2" ht="15.9" customHeight="1" x14ac:dyDescent="0.3">
      <c r="B3471" s="37"/>
    </row>
    <row r="3472" spans="2:2" ht="15.9" customHeight="1" x14ac:dyDescent="0.3">
      <c r="B3472" s="37"/>
    </row>
    <row r="3473" spans="2:2" ht="15.9" customHeight="1" x14ac:dyDescent="0.3">
      <c r="B3473" s="37"/>
    </row>
    <row r="3474" spans="2:2" ht="15.9" customHeight="1" x14ac:dyDescent="0.3">
      <c r="B3474" s="37"/>
    </row>
    <row r="3475" spans="2:2" ht="15.9" customHeight="1" x14ac:dyDescent="0.3">
      <c r="B3475" s="37"/>
    </row>
    <row r="3476" spans="2:2" ht="15.9" customHeight="1" x14ac:dyDescent="0.3">
      <c r="B3476" s="37"/>
    </row>
    <row r="3477" spans="2:2" ht="15.9" customHeight="1" x14ac:dyDescent="0.3">
      <c r="B3477" s="37"/>
    </row>
    <row r="3478" spans="2:2" ht="15.9" customHeight="1" x14ac:dyDescent="0.3">
      <c r="B3478" s="37"/>
    </row>
    <row r="3479" spans="2:2" ht="15.9" customHeight="1" x14ac:dyDescent="0.3">
      <c r="B3479" s="37"/>
    </row>
    <row r="3480" spans="2:2" ht="15.9" customHeight="1" x14ac:dyDescent="0.3">
      <c r="B3480" s="37"/>
    </row>
    <row r="3481" spans="2:2" ht="15.9" customHeight="1" x14ac:dyDescent="0.3">
      <c r="B3481" s="37"/>
    </row>
    <row r="3482" spans="2:2" ht="15.9" customHeight="1" x14ac:dyDescent="0.3">
      <c r="B3482" s="37"/>
    </row>
    <row r="3483" spans="2:2" ht="15.9" customHeight="1" x14ac:dyDescent="0.3">
      <c r="B3483" s="37"/>
    </row>
    <row r="3484" spans="2:2" ht="15.9" customHeight="1" x14ac:dyDescent="0.3">
      <c r="B3484" s="37"/>
    </row>
    <row r="3485" spans="2:2" ht="15.9" customHeight="1" x14ac:dyDescent="0.3">
      <c r="B3485" s="37"/>
    </row>
    <row r="3486" spans="2:2" ht="15.9" customHeight="1" x14ac:dyDescent="0.3">
      <c r="B3486" s="37"/>
    </row>
    <row r="3487" spans="2:2" ht="15.9" customHeight="1" x14ac:dyDescent="0.3">
      <c r="B3487" s="37"/>
    </row>
    <row r="3488" spans="2:2" ht="15.9" customHeight="1" x14ac:dyDescent="0.3">
      <c r="B3488" s="37"/>
    </row>
    <row r="3489" spans="2:2" ht="15.9" customHeight="1" x14ac:dyDescent="0.3">
      <c r="B3489" s="37"/>
    </row>
    <row r="3490" spans="2:2" ht="15.9" customHeight="1" x14ac:dyDescent="0.3">
      <c r="B3490" s="37"/>
    </row>
    <row r="3491" spans="2:2" ht="15.9" customHeight="1" x14ac:dyDescent="0.3">
      <c r="B3491" s="37"/>
    </row>
    <row r="3492" spans="2:2" ht="15.9" customHeight="1" x14ac:dyDescent="0.3">
      <c r="B3492" s="37"/>
    </row>
    <row r="3493" spans="2:2" ht="15.9" customHeight="1" x14ac:dyDescent="0.3">
      <c r="B3493" s="37"/>
    </row>
    <row r="3494" spans="2:2" ht="15.9" customHeight="1" x14ac:dyDescent="0.3">
      <c r="B3494" s="37"/>
    </row>
    <row r="3495" spans="2:2" ht="15.9" customHeight="1" x14ac:dyDescent="0.3">
      <c r="B3495" s="37"/>
    </row>
    <row r="3496" spans="2:2" ht="15.9" customHeight="1" x14ac:dyDescent="0.3">
      <c r="B3496" s="37"/>
    </row>
    <row r="3497" spans="2:2" ht="15.9" customHeight="1" x14ac:dyDescent="0.3">
      <c r="B3497" s="37"/>
    </row>
    <row r="3498" spans="2:2" ht="15.9" customHeight="1" x14ac:dyDescent="0.3">
      <c r="B3498" s="37"/>
    </row>
    <row r="3499" spans="2:2" ht="15.9" customHeight="1" x14ac:dyDescent="0.3">
      <c r="B3499" s="37"/>
    </row>
    <row r="3500" spans="2:2" ht="15.9" customHeight="1" x14ac:dyDescent="0.3">
      <c r="B3500" s="37"/>
    </row>
    <row r="3501" spans="2:2" ht="15.9" customHeight="1" x14ac:dyDescent="0.3">
      <c r="B3501" s="37"/>
    </row>
    <row r="3502" spans="2:2" ht="15.9" customHeight="1" x14ac:dyDescent="0.3">
      <c r="B3502" s="37"/>
    </row>
    <row r="3503" spans="2:2" ht="15.9" customHeight="1" x14ac:dyDescent="0.3">
      <c r="B3503" s="37"/>
    </row>
    <row r="3504" spans="2:2" ht="15.9" customHeight="1" x14ac:dyDescent="0.3">
      <c r="B3504" s="37"/>
    </row>
    <row r="3505" spans="2:2" ht="15.9" customHeight="1" x14ac:dyDescent="0.3">
      <c r="B3505" s="37"/>
    </row>
    <row r="3506" spans="2:2" ht="15.9" customHeight="1" x14ac:dyDescent="0.3">
      <c r="B3506" s="37"/>
    </row>
    <row r="3507" spans="2:2" ht="15.9" customHeight="1" x14ac:dyDescent="0.3">
      <c r="B3507" s="37"/>
    </row>
    <row r="3508" spans="2:2" ht="15.9" customHeight="1" x14ac:dyDescent="0.3">
      <c r="B3508" s="37"/>
    </row>
    <row r="3509" spans="2:2" ht="15.9" customHeight="1" x14ac:dyDescent="0.3">
      <c r="B3509" s="37"/>
    </row>
    <row r="3510" spans="2:2" ht="15.9" customHeight="1" x14ac:dyDescent="0.3">
      <c r="B3510" s="37"/>
    </row>
    <row r="3511" spans="2:2" ht="15.9" customHeight="1" x14ac:dyDescent="0.3">
      <c r="B3511" s="37"/>
    </row>
    <row r="3512" spans="2:2" ht="15.9" customHeight="1" x14ac:dyDescent="0.3">
      <c r="B3512" s="37"/>
    </row>
    <row r="3513" spans="2:2" ht="15.9" customHeight="1" x14ac:dyDescent="0.3">
      <c r="B3513" s="37"/>
    </row>
    <row r="3514" spans="2:2" ht="15.9" customHeight="1" x14ac:dyDescent="0.3">
      <c r="B3514" s="37"/>
    </row>
    <row r="3515" spans="2:2" ht="15.9" customHeight="1" x14ac:dyDescent="0.3">
      <c r="B3515" s="37"/>
    </row>
    <row r="3516" spans="2:2" ht="15.9" customHeight="1" x14ac:dyDescent="0.3">
      <c r="B3516" s="37"/>
    </row>
    <row r="3517" spans="2:2" ht="15.9" customHeight="1" x14ac:dyDescent="0.3">
      <c r="B3517" s="37"/>
    </row>
    <row r="3518" spans="2:2" ht="15.9" customHeight="1" x14ac:dyDescent="0.3">
      <c r="B3518" s="37"/>
    </row>
    <row r="3519" spans="2:2" ht="15.9" customHeight="1" x14ac:dyDescent="0.3">
      <c r="B3519" s="37"/>
    </row>
    <row r="3520" spans="2:2" ht="15.9" customHeight="1" x14ac:dyDescent="0.3">
      <c r="B3520" s="37"/>
    </row>
    <row r="3521" spans="2:2" ht="15.9" customHeight="1" x14ac:dyDescent="0.3">
      <c r="B3521" s="37"/>
    </row>
    <row r="3522" spans="2:2" ht="15.9" customHeight="1" x14ac:dyDescent="0.3">
      <c r="B3522" s="37"/>
    </row>
    <row r="3523" spans="2:2" ht="15.9" customHeight="1" x14ac:dyDescent="0.3">
      <c r="B3523" s="37"/>
    </row>
    <row r="3524" spans="2:2" ht="15.9" customHeight="1" x14ac:dyDescent="0.3">
      <c r="B3524" s="37"/>
    </row>
    <row r="3525" spans="2:2" ht="15.9" customHeight="1" x14ac:dyDescent="0.3">
      <c r="B3525" s="37"/>
    </row>
    <row r="3526" spans="2:2" ht="15.9" customHeight="1" x14ac:dyDescent="0.3">
      <c r="B3526" s="37"/>
    </row>
    <row r="3527" spans="2:2" ht="15.9" customHeight="1" x14ac:dyDescent="0.3">
      <c r="B3527" s="37"/>
    </row>
    <row r="3528" spans="2:2" ht="15.9" customHeight="1" x14ac:dyDescent="0.3">
      <c r="B3528" s="37"/>
    </row>
    <row r="3529" spans="2:2" ht="15.9" customHeight="1" x14ac:dyDescent="0.3">
      <c r="B3529" s="37"/>
    </row>
    <row r="3530" spans="2:2" ht="15.9" customHeight="1" x14ac:dyDescent="0.3">
      <c r="B3530" s="37"/>
    </row>
    <row r="3531" spans="2:2" ht="15.9" customHeight="1" x14ac:dyDescent="0.3">
      <c r="B3531" s="37"/>
    </row>
    <row r="3532" spans="2:2" ht="15.9" customHeight="1" x14ac:dyDescent="0.3">
      <c r="B3532" s="37"/>
    </row>
    <row r="3533" spans="2:2" ht="15.9" customHeight="1" x14ac:dyDescent="0.3">
      <c r="B3533" s="37"/>
    </row>
    <row r="3534" spans="2:2" ht="15.9" customHeight="1" x14ac:dyDescent="0.3">
      <c r="B3534" s="37"/>
    </row>
    <row r="3535" spans="2:2" ht="15.9" customHeight="1" x14ac:dyDescent="0.3">
      <c r="B3535" s="37"/>
    </row>
    <row r="3536" spans="2:2" ht="15.9" customHeight="1" x14ac:dyDescent="0.3">
      <c r="B3536" s="37"/>
    </row>
    <row r="3537" spans="2:2" ht="15.9" customHeight="1" x14ac:dyDescent="0.3">
      <c r="B3537" s="37"/>
    </row>
    <row r="3538" spans="2:2" ht="15.9" customHeight="1" x14ac:dyDescent="0.3">
      <c r="B3538" s="37"/>
    </row>
    <row r="3539" spans="2:2" ht="15.9" customHeight="1" x14ac:dyDescent="0.3">
      <c r="B3539" s="37"/>
    </row>
    <row r="3540" spans="2:2" ht="15.9" customHeight="1" x14ac:dyDescent="0.3">
      <c r="B3540" s="37"/>
    </row>
    <row r="3541" spans="2:2" ht="15.9" customHeight="1" x14ac:dyDescent="0.3">
      <c r="B3541" s="37"/>
    </row>
    <row r="3542" spans="2:2" ht="15.9" customHeight="1" x14ac:dyDescent="0.3">
      <c r="B3542" s="37"/>
    </row>
    <row r="3543" spans="2:2" ht="15.9" customHeight="1" x14ac:dyDescent="0.3">
      <c r="B3543" s="37"/>
    </row>
    <row r="3544" spans="2:2" ht="15.9" customHeight="1" x14ac:dyDescent="0.3">
      <c r="B3544" s="37"/>
    </row>
    <row r="3545" spans="2:2" ht="15.9" customHeight="1" x14ac:dyDescent="0.3">
      <c r="B3545" s="37"/>
    </row>
    <row r="3546" spans="2:2" ht="15.9" customHeight="1" x14ac:dyDescent="0.3">
      <c r="B3546" s="37"/>
    </row>
    <row r="3547" spans="2:2" ht="15.9" customHeight="1" x14ac:dyDescent="0.3">
      <c r="B3547" s="37"/>
    </row>
    <row r="3548" spans="2:2" ht="15.9" customHeight="1" x14ac:dyDescent="0.3">
      <c r="B3548" s="37"/>
    </row>
    <row r="3549" spans="2:2" ht="15.9" customHeight="1" x14ac:dyDescent="0.3">
      <c r="B3549" s="37"/>
    </row>
    <row r="3550" spans="2:2" ht="15.9" customHeight="1" x14ac:dyDescent="0.3">
      <c r="B3550" s="37"/>
    </row>
    <row r="3551" spans="2:2" ht="15.9" customHeight="1" x14ac:dyDescent="0.3">
      <c r="B3551" s="37"/>
    </row>
    <row r="3552" spans="2:2" ht="15.9" customHeight="1" x14ac:dyDescent="0.3">
      <c r="B3552" s="37"/>
    </row>
    <row r="3553" spans="2:2" ht="15.9" customHeight="1" x14ac:dyDescent="0.3">
      <c r="B3553" s="37"/>
    </row>
    <row r="3554" spans="2:2" ht="15.9" customHeight="1" x14ac:dyDescent="0.3">
      <c r="B3554" s="37"/>
    </row>
    <row r="3555" spans="2:2" ht="15.9" customHeight="1" x14ac:dyDescent="0.3">
      <c r="B3555" s="37"/>
    </row>
    <row r="3556" spans="2:2" ht="15.9" customHeight="1" x14ac:dyDescent="0.3">
      <c r="B3556" s="37"/>
    </row>
    <row r="3557" spans="2:2" ht="15.9" customHeight="1" x14ac:dyDescent="0.3">
      <c r="B3557" s="37"/>
    </row>
    <row r="3558" spans="2:2" ht="15.9" customHeight="1" x14ac:dyDescent="0.3">
      <c r="B3558" s="37"/>
    </row>
    <row r="3559" spans="2:2" ht="15.9" customHeight="1" x14ac:dyDescent="0.3">
      <c r="B3559" s="37"/>
    </row>
    <row r="3560" spans="2:2" ht="15.9" customHeight="1" x14ac:dyDescent="0.3">
      <c r="B3560" s="37"/>
    </row>
    <row r="3561" spans="2:2" ht="15.9" customHeight="1" x14ac:dyDescent="0.3">
      <c r="B3561" s="37"/>
    </row>
    <row r="3562" spans="2:2" ht="15.9" customHeight="1" x14ac:dyDescent="0.3">
      <c r="B3562" s="37"/>
    </row>
    <row r="3563" spans="2:2" ht="15.9" customHeight="1" x14ac:dyDescent="0.3">
      <c r="B3563" s="37"/>
    </row>
    <row r="3564" spans="2:2" ht="15.9" customHeight="1" x14ac:dyDescent="0.3">
      <c r="B3564" s="37"/>
    </row>
    <row r="3565" spans="2:2" ht="15.9" customHeight="1" x14ac:dyDescent="0.3">
      <c r="B3565" s="37"/>
    </row>
    <row r="3566" spans="2:2" ht="15.9" customHeight="1" x14ac:dyDescent="0.3">
      <c r="B3566" s="37"/>
    </row>
    <row r="3567" spans="2:2" ht="15.9" customHeight="1" x14ac:dyDescent="0.3">
      <c r="B3567" s="37"/>
    </row>
    <row r="3568" spans="2:2" ht="15.9" customHeight="1" x14ac:dyDescent="0.3">
      <c r="B3568" s="37"/>
    </row>
    <row r="3569" spans="2:2" ht="15.9" customHeight="1" x14ac:dyDescent="0.3">
      <c r="B3569" s="37"/>
    </row>
    <row r="3570" spans="2:2" ht="15.9" customHeight="1" x14ac:dyDescent="0.3">
      <c r="B3570" s="37"/>
    </row>
    <row r="3571" spans="2:2" ht="15.9" customHeight="1" x14ac:dyDescent="0.3">
      <c r="B3571" s="37"/>
    </row>
    <row r="3572" spans="2:2" ht="15.9" customHeight="1" x14ac:dyDescent="0.3">
      <c r="B3572" s="37"/>
    </row>
    <row r="3573" spans="2:2" ht="15.9" customHeight="1" x14ac:dyDescent="0.3">
      <c r="B3573" s="37"/>
    </row>
    <row r="3574" spans="2:2" ht="15.9" customHeight="1" x14ac:dyDescent="0.3">
      <c r="B3574" s="37"/>
    </row>
    <row r="3575" spans="2:2" ht="15.9" customHeight="1" x14ac:dyDescent="0.3">
      <c r="B3575" s="37"/>
    </row>
    <row r="3576" spans="2:2" ht="15.9" customHeight="1" x14ac:dyDescent="0.3">
      <c r="B3576" s="37"/>
    </row>
    <row r="3577" spans="2:2" ht="15.9" customHeight="1" x14ac:dyDescent="0.3">
      <c r="B3577" s="37"/>
    </row>
    <row r="3578" spans="2:2" ht="15.9" customHeight="1" x14ac:dyDescent="0.3">
      <c r="B3578" s="37"/>
    </row>
    <row r="3579" spans="2:2" ht="15.9" customHeight="1" x14ac:dyDescent="0.3">
      <c r="B3579" s="37"/>
    </row>
    <row r="3580" spans="2:2" ht="15.9" customHeight="1" x14ac:dyDescent="0.3">
      <c r="B3580" s="37"/>
    </row>
    <row r="3581" spans="2:2" ht="15.9" customHeight="1" x14ac:dyDescent="0.3">
      <c r="B3581" s="37"/>
    </row>
    <row r="3582" spans="2:2" ht="15.9" customHeight="1" x14ac:dyDescent="0.3">
      <c r="B3582" s="37"/>
    </row>
    <row r="3583" spans="2:2" ht="15.9" customHeight="1" x14ac:dyDescent="0.3">
      <c r="B3583" s="37"/>
    </row>
    <row r="3584" spans="2:2" ht="15.9" customHeight="1" x14ac:dyDescent="0.3">
      <c r="B3584" s="37"/>
    </row>
    <row r="3585" spans="2:2" ht="15.9" customHeight="1" x14ac:dyDescent="0.3">
      <c r="B3585" s="37"/>
    </row>
    <row r="3586" spans="2:2" ht="15.9" customHeight="1" x14ac:dyDescent="0.3">
      <c r="B3586" s="37"/>
    </row>
    <row r="3587" spans="2:2" ht="15.9" customHeight="1" x14ac:dyDescent="0.3">
      <c r="B3587" s="37"/>
    </row>
    <row r="3588" spans="2:2" ht="15.9" customHeight="1" x14ac:dyDescent="0.3">
      <c r="B3588" s="37"/>
    </row>
    <row r="3589" spans="2:2" ht="15.9" customHeight="1" x14ac:dyDescent="0.3">
      <c r="B3589" s="37"/>
    </row>
    <row r="3590" spans="2:2" ht="15.9" customHeight="1" x14ac:dyDescent="0.3">
      <c r="B3590" s="37"/>
    </row>
    <row r="3591" spans="2:2" ht="15.9" customHeight="1" x14ac:dyDescent="0.3">
      <c r="B3591" s="37"/>
    </row>
    <row r="3592" spans="2:2" ht="15.9" customHeight="1" x14ac:dyDescent="0.3">
      <c r="B3592" s="37"/>
    </row>
    <row r="3593" spans="2:2" ht="15.9" customHeight="1" x14ac:dyDescent="0.3">
      <c r="B3593" s="37"/>
    </row>
    <row r="3594" spans="2:2" ht="15.9" customHeight="1" x14ac:dyDescent="0.3">
      <c r="B3594" s="37"/>
    </row>
    <row r="3595" spans="2:2" ht="15.9" customHeight="1" x14ac:dyDescent="0.3">
      <c r="B3595" s="37"/>
    </row>
    <row r="3596" spans="2:2" ht="15.9" customHeight="1" x14ac:dyDescent="0.3">
      <c r="B3596" s="37"/>
    </row>
    <row r="3597" spans="2:2" ht="15.9" customHeight="1" x14ac:dyDescent="0.3">
      <c r="B3597" s="37"/>
    </row>
    <row r="3598" spans="2:2" ht="15.9" customHeight="1" x14ac:dyDescent="0.3">
      <c r="B3598" s="37"/>
    </row>
    <row r="3599" spans="2:2" ht="15.9" customHeight="1" x14ac:dyDescent="0.3">
      <c r="B3599" s="37"/>
    </row>
    <row r="3600" spans="2:2" ht="15.9" customHeight="1" x14ac:dyDescent="0.3">
      <c r="B3600" s="37"/>
    </row>
    <row r="3601" spans="2:2" ht="15.9" customHeight="1" x14ac:dyDescent="0.3">
      <c r="B3601" s="37"/>
    </row>
    <row r="3602" spans="2:2" ht="15.9" customHeight="1" x14ac:dyDescent="0.3">
      <c r="B3602" s="37"/>
    </row>
    <row r="3603" spans="2:2" ht="15.9" customHeight="1" x14ac:dyDescent="0.3">
      <c r="B3603" s="37"/>
    </row>
    <row r="3604" spans="2:2" ht="15.9" customHeight="1" x14ac:dyDescent="0.3">
      <c r="B3604" s="37"/>
    </row>
    <row r="3605" spans="2:2" ht="15.9" customHeight="1" x14ac:dyDescent="0.3">
      <c r="B3605" s="37"/>
    </row>
    <row r="3606" spans="2:2" ht="15.9" customHeight="1" x14ac:dyDescent="0.3">
      <c r="B3606" s="37"/>
    </row>
    <row r="3607" spans="2:2" ht="15.9" customHeight="1" x14ac:dyDescent="0.3">
      <c r="B3607" s="37"/>
    </row>
    <row r="3608" spans="2:2" ht="15.9" customHeight="1" x14ac:dyDescent="0.3">
      <c r="B3608" s="37"/>
    </row>
    <row r="3609" spans="2:2" ht="15.9" customHeight="1" x14ac:dyDescent="0.3">
      <c r="B3609" s="37"/>
    </row>
    <row r="3610" spans="2:2" ht="15.9" customHeight="1" x14ac:dyDescent="0.3">
      <c r="B3610" s="37"/>
    </row>
    <row r="3611" spans="2:2" ht="15.9" customHeight="1" x14ac:dyDescent="0.3">
      <c r="B3611" s="37"/>
    </row>
    <row r="3612" spans="2:2" ht="15.9" customHeight="1" x14ac:dyDescent="0.3">
      <c r="B3612" s="37"/>
    </row>
    <row r="3613" spans="2:2" ht="15.9" customHeight="1" x14ac:dyDescent="0.3">
      <c r="B3613" s="37"/>
    </row>
    <row r="3614" spans="2:2" ht="15.9" customHeight="1" x14ac:dyDescent="0.3">
      <c r="B3614" s="37"/>
    </row>
    <row r="3615" spans="2:2" ht="15.9" customHeight="1" x14ac:dyDescent="0.3">
      <c r="B3615" s="37"/>
    </row>
    <row r="3616" spans="2:2" ht="15.9" customHeight="1" x14ac:dyDescent="0.3">
      <c r="B3616" s="37"/>
    </row>
    <row r="3617" spans="2:2" ht="15.9" customHeight="1" x14ac:dyDescent="0.3">
      <c r="B3617" s="37"/>
    </row>
    <row r="3618" spans="2:2" ht="15.9" customHeight="1" x14ac:dyDescent="0.3">
      <c r="B3618" s="37"/>
    </row>
    <row r="3619" spans="2:2" ht="15.9" customHeight="1" x14ac:dyDescent="0.3">
      <c r="B3619" s="37"/>
    </row>
    <row r="3620" spans="2:2" ht="15.9" customHeight="1" x14ac:dyDescent="0.3">
      <c r="B3620" s="37"/>
    </row>
    <row r="3621" spans="2:2" ht="15.9" customHeight="1" x14ac:dyDescent="0.3">
      <c r="B3621" s="37"/>
    </row>
    <row r="3622" spans="2:2" ht="15.9" customHeight="1" x14ac:dyDescent="0.3">
      <c r="B3622" s="37"/>
    </row>
    <row r="3623" spans="2:2" ht="15.9" customHeight="1" x14ac:dyDescent="0.3">
      <c r="B3623" s="37"/>
    </row>
    <row r="3624" spans="2:2" ht="15.9" customHeight="1" x14ac:dyDescent="0.3">
      <c r="B3624" s="37"/>
    </row>
    <row r="3625" spans="2:2" ht="15.9" customHeight="1" x14ac:dyDescent="0.3">
      <c r="B3625" s="37"/>
    </row>
    <row r="3626" spans="2:2" ht="15.9" customHeight="1" x14ac:dyDescent="0.3">
      <c r="B3626" s="37"/>
    </row>
    <row r="3627" spans="2:2" ht="15.9" customHeight="1" x14ac:dyDescent="0.3">
      <c r="B3627" s="37"/>
    </row>
    <row r="3628" spans="2:2" ht="15.9" customHeight="1" x14ac:dyDescent="0.3">
      <c r="B3628" s="37"/>
    </row>
    <row r="3629" spans="2:2" ht="15.9" customHeight="1" x14ac:dyDescent="0.3">
      <c r="B3629" s="37"/>
    </row>
    <row r="3630" spans="2:2" ht="15.9" customHeight="1" x14ac:dyDescent="0.3">
      <c r="B3630" s="37"/>
    </row>
    <row r="3631" spans="2:2" ht="15.9" customHeight="1" x14ac:dyDescent="0.3">
      <c r="B3631" s="37"/>
    </row>
    <row r="3632" spans="2:2" ht="15.9" customHeight="1" x14ac:dyDescent="0.3">
      <c r="B3632" s="37"/>
    </row>
    <row r="3633" spans="2:2" ht="15.9" customHeight="1" x14ac:dyDescent="0.3">
      <c r="B3633" s="37"/>
    </row>
    <row r="3634" spans="2:2" ht="15.9" customHeight="1" x14ac:dyDescent="0.3">
      <c r="B3634" s="37"/>
    </row>
    <row r="3635" spans="2:2" ht="15.9" customHeight="1" x14ac:dyDescent="0.3">
      <c r="B3635" s="37"/>
    </row>
    <row r="3636" spans="2:2" ht="15.9" customHeight="1" x14ac:dyDescent="0.3">
      <c r="B3636" s="37"/>
    </row>
    <row r="3637" spans="2:2" ht="15.9" customHeight="1" x14ac:dyDescent="0.3">
      <c r="B3637" s="37"/>
    </row>
    <row r="3638" spans="2:2" ht="15.9" customHeight="1" x14ac:dyDescent="0.3">
      <c r="B3638" s="37"/>
    </row>
    <row r="3639" spans="2:2" ht="15.9" customHeight="1" x14ac:dyDescent="0.3">
      <c r="B3639" s="37"/>
    </row>
    <row r="3640" spans="2:2" ht="15.9" customHeight="1" x14ac:dyDescent="0.3">
      <c r="B3640" s="37"/>
    </row>
    <row r="3641" spans="2:2" ht="15.9" customHeight="1" x14ac:dyDescent="0.3">
      <c r="B3641" s="37"/>
    </row>
    <row r="3642" spans="2:2" ht="15.9" customHeight="1" x14ac:dyDescent="0.3">
      <c r="B3642" s="37"/>
    </row>
    <row r="3643" spans="2:2" ht="15.9" customHeight="1" x14ac:dyDescent="0.3">
      <c r="B3643" s="37"/>
    </row>
    <row r="3644" spans="2:2" ht="15.9" customHeight="1" x14ac:dyDescent="0.3">
      <c r="B3644" s="37"/>
    </row>
    <row r="3645" spans="2:2" ht="15.9" customHeight="1" x14ac:dyDescent="0.3">
      <c r="B3645" s="37"/>
    </row>
    <row r="3646" spans="2:2" ht="15.9" customHeight="1" x14ac:dyDescent="0.3">
      <c r="B3646" s="37"/>
    </row>
    <row r="3647" spans="2:2" ht="15.9" customHeight="1" x14ac:dyDescent="0.3">
      <c r="B3647" s="37"/>
    </row>
    <row r="3648" spans="2:2" ht="15.9" customHeight="1" x14ac:dyDescent="0.3">
      <c r="B3648" s="37"/>
    </row>
    <row r="3649" spans="2:2" ht="15.9" customHeight="1" x14ac:dyDescent="0.3">
      <c r="B3649" s="37"/>
    </row>
    <row r="3650" spans="2:2" ht="15.9" customHeight="1" x14ac:dyDescent="0.3">
      <c r="B3650" s="37"/>
    </row>
    <row r="3651" spans="2:2" ht="15.9" customHeight="1" x14ac:dyDescent="0.3">
      <c r="B3651" s="37"/>
    </row>
    <row r="3652" spans="2:2" ht="15.9" customHeight="1" x14ac:dyDescent="0.3">
      <c r="B3652" s="37"/>
    </row>
    <row r="3653" spans="2:2" ht="15.9" customHeight="1" x14ac:dyDescent="0.3">
      <c r="B3653" s="37"/>
    </row>
    <row r="3654" spans="2:2" ht="15.9" customHeight="1" x14ac:dyDescent="0.3">
      <c r="B3654" s="37"/>
    </row>
    <row r="3655" spans="2:2" ht="15.9" customHeight="1" x14ac:dyDescent="0.3">
      <c r="B3655" s="37"/>
    </row>
    <row r="3656" spans="2:2" ht="15.9" customHeight="1" x14ac:dyDescent="0.3">
      <c r="B3656" s="37"/>
    </row>
    <row r="3657" spans="2:2" ht="15.9" customHeight="1" x14ac:dyDescent="0.3">
      <c r="B3657" s="37"/>
    </row>
    <row r="3658" spans="2:2" ht="15.9" customHeight="1" x14ac:dyDescent="0.3">
      <c r="B3658" s="37"/>
    </row>
    <row r="3659" spans="2:2" ht="15.9" customHeight="1" x14ac:dyDescent="0.3">
      <c r="B3659" s="37"/>
    </row>
    <row r="3660" spans="2:2" ht="15.9" customHeight="1" x14ac:dyDescent="0.3">
      <c r="B3660" s="37"/>
    </row>
    <row r="3661" spans="2:2" ht="15.9" customHeight="1" x14ac:dyDescent="0.3">
      <c r="B3661" s="37"/>
    </row>
    <row r="3662" spans="2:2" ht="15.9" customHeight="1" x14ac:dyDescent="0.3">
      <c r="B3662" s="37"/>
    </row>
    <row r="3663" spans="2:2" ht="15.9" customHeight="1" x14ac:dyDescent="0.3">
      <c r="B3663" s="37"/>
    </row>
    <row r="3664" spans="2:2" ht="15.9" customHeight="1" x14ac:dyDescent="0.3">
      <c r="B3664" s="37"/>
    </row>
    <row r="3665" spans="2:2" ht="15.9" customHeight="1" x14ac:dyDescent="0.3">
      <c r="B3665" s="37"/>
    </row>
    <row r="3666" spans="2:2" ht="15.9" customHeight="1" x14ac:dyDescent="0.3">
      <c r="B3666" s="37"/>
    </row>
    <row r="3667" spans="2:2" ht="15.9" customHeight="1" x14ac:dyDescent="0.3">
      <c r="B3667" s="37"/>
    </row>
    <row r="3668" spans="2:2" ht="15.9" customHeight="1" x14ac:dyDescent="0.3">
      <c r="B3668" s="37"/>
    </row>
    <row r="3669" spans="2:2" ht="15.9" customHeight="1" x14ac:dyDescent="0.3">
      <c r="B3669" s="37"/>
    </row>
    <row r="3670" spans="2:2" ht="15.9" customHeight="1" x14ac:dyDescent="0.3">
      <c r="B3670" s="37"/>
    </row>
    <row r="3671" spans="2:2" ht="15.9" customHeight="1" x14ac:dyDescent="0.3">
      <c r="B3671" s="37"/>
    </row>
    <row r="3672" spans="2:2" ht="15.9" customHeight="1" x14ac:dyDescent="0.3">
      <c r="B3672" s="37"/>
    </row>
    <row r="3673" spans="2:2" ht="15.9" customHeight="1" x14ac:dyDescent="0.3">
      <c r="B3673" s="37"/>
    </row>
    <row r="3674" spans="2:2" ht="15.9" customHeight="1" x14ac:dyDescent="0.3">
      <c r="B3674" s="37"/>
    </row>
    <row r="3675" spans="2:2" ht="15.9" customHeight="1" x14ac:dyDescent="0.3">
      <c r="B3675" s="37"/>
    </row>
    <row r="3676" spans="2:2" ht="15.9" customHeight="1" x14ac:dyDescent="0.3">
      <c r="B3676" s="37"/>
    </row>
    <row r="3677" spans="2:2" ht="15.9" customHeight="1" x14ac:dyDescent="0.3">
      <c r="B3677" s="37"/>
    </row>
    <row r="3678" spans="2:2" ht="15.9" customHeight="1" x14ac:dyDescent="0.3">
      <c r="B3678" s="37"/>
    </row>
    <row r="3679" spans="2:2" ht="15.9" customHeight="1" x14ac:dyDescent="0.3">
      <c r="B3679" s="37"/>
    </row>
    <row r="3680" spans="2:2" ht="15.9" customHeight="1" x14ac:dyDescent="0.3">
      <c r="B3680" s="37"/>
    </row>
    <row r="3681" spans="2:2" ht="15.9" customHeight="1" x14ac:dyDescent="0.3">
      <c r="B3681" s="37"/>
    </row>
    <row r="3682" spans="2:2" ht="15.9" customHeight="1" x14ac:dyDescent="0.3">
      <c r="B3682" s="37"/>
    </row>
    <row r="3683" spans="2:2" ht="15.9" customHeight="1" x14ac:dyDescent="0.3">
      <c r="B3683" s="37"/>
    </row>
    <row r="3684" spans="2:2" ht="15.9" customHeight="1" x14ac:dyDescent="0.3">
      <c r="B3684" s="37"/>
    </row>
    <row r="3685" spans="2:2" ht="15.9" customHeight="1" x14ac:dyDescent="0.3">
      <c r="B3685" s="37"/>
    </row>
    <row r="3686" spans="2:2" ht="15.9" customHeight="1" x14ac:dyDescent="0.3">
      <c r="B3686" s="37"/>
    </row>
    <row r="3687" spans="2:2" ht="15.9" customHeight="1" x14ac:dyDescent="0.3">
      <c r="B3687" s="37"/>
    </row>
    <row r="3688" spans="2:2" ht="15.9" customHeight="1" x14ac:dyDescent="0.3">
      <c r="B3688" s="37"/>
    </row>
    <row r="3689" spans="2:2" ht="15.9" customHeight="1" x14ac:dyDescent="0.3">
      <c r="B3689" s="37"/>
    </row>
    <row r="3690" spans="2:2" ht="15.9" customHeight="1" x14ac:dyDescent="0.3">
      <c r="B3690" s="37"/>
    </row>
    <row r="3691" spans="2:2" ht="15.9" customHeight="1" x14ac:dyDescent="0.3">
      <c r="B3691" s="37"/>
    </row>
    <row r="3692" spans="2:2" ht="15.9" customHeight="1" x14ac:dyDescent="0.3">
      <c r="B3692" s="37"/>
    </row>
    <row r="3693" spans="2:2" ht="15.9" customHeight="1" x14ac:dyDescent="0.3">
      <c r="B3693" s="37"/>
    </row>
    <row r="3694" spans="2:2" ht="15.9" customHeight="1" x14ac:dyDescent="0.3">
      <c r="B3694" s="37"/>
    </row>
    <row r="3695" spans="2:2" ht="15.9" customHeight="1" x14ac:dyDescent="0.3">
      <c r="B3695" s="37"/>
    </row>
    <row r="3696" spans="2:2" ht="15.9" customHeight="1" x14ac:dyDescent="0.3">
      <c r="B3696" s="37"/>
    </row>
    <row r="3697" spans="2:2" ht="15.9" customHeight="1" x14ac:dyDescent="0.3">
      <c r="B3697" s="37"/>
    </row>
    <row r="3698" spans="2:2" ht="15.9" customHeight="1" x14ac:dyDescent="0.3">
      <c r="B3698" s="37"/>
    </row>
    <row r="3699" spans="2:2" ht="15.9" customHeight="1" x14ac:dyDescent="0.3">
      <c r="B3699" s="37"/>
    </row>
    <row r="3700" spans="2:2" ht="15.9" customHeight="1" x14ac:dyDescent="0.3">
      <c r="B3700" s="37"/>
    </row>
    <row r="3701" spans="2:2" ht="15.9" customHeight="1" x14ac:dyDescent="0.3">
      <c r="B3701" s="37"/>
    </row>
    <row r="3702" spans="2:2" ht="15.9" customHeight="1" x14ac:dyDescent="0.3">
      <c r="B3702" s="37"/>
    </row>
    <row r="3703" spans="2:2" ht="15.9" customHeight="1" x14ac:dyDescent="0.3">
      <c r="B3703" s="37"/>
    </row>
    <row r="3704" spans="2:2" ht="15.9" customHeight="1" x14ac:dyDescent="0.3">
      <c r="B3704" s="37"/>
    </row>
    <row r="3705" spans="2:2" ht="15.9" customHeight="1" x14ac:dyDescent="0.3">
      <c r="B3705" s="37"/>
    </row>
    <row r="3706" spans="2:2" ht="15.9" customHeight="1" x14ac:dyDescent="0.3">
      <c r="B3706" s="37"/>
    </row>
    <row r="3707" spans="2:2" ht="15.9" customHeight="1" x14ac:dyDescent="0.3">
      <c r="B3707" s="37"/>
    </row>
    <row r="3708" spans="2:2" ht="15.9" customHeight="1" x14ac:dyDescent="0.3">
      <c r="B3708" s="37"/>
    </row>
    <row r="3709" spans="2:2" ht="15.9" customHeight="1" x14ac:dyDescent="0.3">
      <c r="B3709" s="37"/>
    </row>
    <row r="3710" spans="2:2" ht="15.9" customHeight="1" x14ac:dyDescent="0.3">
      <c r="B3710" s="37"/>
    </row>
    <row r="3711" spans="2:2" ht="15.9" customHeight="1" x14ac:dyDescent="0.3">
      <c r="B3711" s="37"/>
    </row>
    <row r="3712" spans="2:2" ht="15.9" customHeight="1" x14ac:dyDescent="0.3">
      <c r="B3712" s="37"/>
    </row>
    <row r="3713" spans="2:2" ht="15.9" customHeight="1" x14ac:dyDescent="0.3">
      <c r="B3713" s="37"/>
    </row>
    <row r="3714" spans="2:2" ht="15.9" customHeight="1" x14ac:dyDescent="0.3">
      <c r="B3714" s="37"/>
    </row>
    <row r="3715" spans="2:2" ht="15.9" customHeight="1" x14ac:dyDescent="0.3">
      <c r="B3715" s="37"/>
    </row>
    <row r="3716" spans="2:2" ht="15.9" customHeight="1" x14ac:dyDescent="0.3">
      <c r="B3716" s="37"/>
    </row>
    <row r="3717" spans="2:2" ht="15.9" customHeight="1" x14ac:dyDescent="0.3">
      <c r="B3717" s="37"/>
    </row>
    <row r="3718" spans="2:2" ht="15.9" customHeight="1" x14ac:dyDescent="0.3">
      <c r="B3718" s="37"/>
    </row>
    <row r="3719" spans="2:2" ht="15.9" customHeight="1" x14ac:dyDescent="0.3">
      <c r="B3719" s="37"/>
    </row>
    <row r="3720" spans="2:2" ht="15.9" customHeight="1" x14ac:dyDescent="0.3">
      <c r="B3720" s="37"/>
    </row>
    <row r="3721" spans="2:2" ht="15.9" customHeight="1" x14ac:dyDescent="0.3">
      <c r="B3721" s="37"/>
    </row>
    <row r="3722" spans="2:2" ht="15.9" customHeight="1" x14ac:dyDescent="0.3">
      <c r="B3722" s="37"/>
    </row>
    <row r="3723" spans="2:2" ht="15.9" customHeight="1" x14ac:dyDescent="0.3">
      <c r="B3723" s="37"/>
    </row>
    <row r="3724" spans="2:2" ht="15.9" customHeight="1" x14ac:dyDescent="0.3">
      <c r="B3724" s="37"/>
    </row>
    <row r="3725" spans="2:2" ht="15.9" customHeight="1" x14ac:dyDescent="0.3">
      <c r="B3725" s="37"/>
    </row>
    <row r="3726" spans="2:2" ht="15.9" customHeight="1" x14ac:dyDescent="0.3">
      <c r="B3726" s="37"/>
    </row>
    <row r="3727" spans="2:2" ht="15.9" customHeight="1" x14ac:dyDescent="0.3">
      <c r="B3727" s="37"/>
    </row>
    <row r="3728" spans="2:2" ht="15.9" customHeight="1" x14ac:dyDescent="0.3">
      <c r="B3728" s="37"/>
    </row>
    <row r="3729" spans="2:2" ht="15.9" customHeight="1" x14ac:dyDescent="0.3">
      <c r="B3729" s="37"/>
    </row>
    <row r="3730" spans="2:2" ht="15.9" customHeight="1" x14ac:dyDescent="0.3">
      <c r="B3730" s="37"/>
    </row>
    <row r="3731" spans="2:2" ht="15.9" customHeight="1" x14ac:dyDescent="0.3">
      <c r="B3731" s="37"/>
    </row>
    <row r="3732" spans="2:2" ht="15.9" customHeight="1" x14ac:dyDescent="0.3">
      <c r="B3732" s="37"/>
    </row>
    <row r="3733" spans="2:2" ht="15.9" customHeight="1" x14ac:dyDescent="0.3">
      <c r="B3733" s="37"/>
    </row>
    <row r="3734" spans="2:2" ht="15.9" customHeight="1" x14ac:dyDescent="0.3">
      <c r="B3734" s="37"/>
    </row>
    <row r="3735" spans="2:2" ht="15.9" customHeight="1" x14ac:dyDescent="0.3">
      <c r="B3735" s="37"/>
    </row>
    <row r="3736" spans="2:2" ht="15.9" customHeight="1" x14ac:dyDescent="0.3">
      <c r="B3736" s="37"/>
    </row>
    <row r="3737" spans="2:2" ht="15.9" customHeight="1" x14ac:dyDescent="0.3">
      <c r="B3737" s="37"/>
    </row>
    <row r="3738" spans="2:2" ht="15.9" customHeight="1" x14ac:dyDescent="0.3">
      <c r="B3738" s="37"/>
    </row>
    <row r="3739" spans="2:2" ht="15.9" customHeight="1" x14ac:dyDescent="0.3">
      <c r="B3739" s="37"/>
    </row>
    <row r="3740" spans="2:2" ht="15.9" customHeight="1" x14ac:dyDescent="0.3">
      <c r="B3740" s="37"/>
    </row>
    <row r="3741" spans="2:2" ht="15.9" customHeight="1" x14ac:dyDescent="0.3">
      <c r="B3741" s="37"/>
    </row>
    <row r="3742" spans="2:2" ht="15.9" customHeight="1" x14ac:dyDescent="0.3">
      <c r="B3742" s="37"/>
    </row>
    <row r="3743" spans="2:2" ht="15.9" customHeight="1" x14ac:dyDescent="0.3">
      <c r="B3743" s="37"/>
    </row>
    <row r="3744" spans="2:2" ht="15.9" customHeight="1" x14ac:dyDescent="0.3">
      <c r="B3744" s="37"/>
    </row>
    <row r="3745" spans="2:2" ht="15.9" customHeight="1" x14ac:dyDescent="0.3">
      <c r="B3745" s="37"/>
    </row>
    <row r="3746" spans="2:2" ht="15.9" customHeight="1" x14ac:dyDescent="0.3">
      <c r="B3746" s="37"/>
    </row>
    <row r="3747" spans="2:2" ht="15.9" customHeight="1" x14ac:dyDescent="0.3">
      <c r="B3747" s="37"/>
    </row>
    <row r="3748" spans="2:2" ht="15.9" customHeight="1" x14ac:dyDescent="0.3">
      <c r="B3748" s="37"/>
    </row>
    <row r="3749" spans="2:2" ht="15.9" customHeight="1" x14ac:dyDescent="0.3">
      <c r="B3749" s="37"/>
    </row>
    <row r="3750" spans="2:2" ht="15.9" customHeight="1" x14ac:dyDescent="0.3">
      <c r="B3750" s="37"/>
    </row>
    <row r="3751" spans="2:2" ht="15.9" customHeight="1" x14ac:dyDescent="0.3">
      <c r="B3751" s="37"/>
    </row>
    <row r="3752" spans="2:2" ht="15.9" customHeight="1" x14ac:dyDescent="0.3">
      <c r="B3752" s="37"/>
    </row>
    <row r="3753" spans="2:2" ht="15.9" customHeight="1" x14ac:dyDescent="0.3">
      <c r="B3753" s="37"/>
    </row>
    <row r="3754" spans="2:2" ht="15.9" customHeight="1" x14ac:dyDescent="0.3">
      <c r="B3754" s="37"/>
    </row>
    <row r="3755" spans="2:2" ht="15.9" customHeight="1" x14ac:dyDescent="0.3">
      <c r="B3755" s="37"/>
    </row>
    <row r="3756" spans="2:2" ht="15.9" customHeight="1" x14ac:dyDescent="0.3">
      <c r="B3756" s="37"/>
    </row>
    <row r="3757" spans="2:2" ht="15.9" customHeight="1" x14ac:dyDescent="0.3">
      <c r="B3757" s="37"/>
    </row>
    <row r="3758" spans="2:2" ht="15.9" customHeight="1" x14ac:dyDescent="0.3">
      <c r="B3758" s="37"/>
    </row>
    <row r="3759" spans="2:2" ht="15.9" customHeight="1" x14ac:dyDescent="0.3">
      <c r="B3759" s="37"/>
    </row>
    <row r="3760" spans="2:2" ht="15.9" customHeight="1" x14ac:dyDescent="0.3">
      <c r="B3760" s="37"/>
    </row>
    <row r="3761" spans="2:2" ht="15.9" customHeight="1" x14ac:dyDescent="0.3">
      <c r="B3761" s="37"/>
    </row>
    <row r="3762" spans="2:2" ht="15.9" customHeight="1" x14ac:dyDescent="0.3">
      <c r="B3762" s="37"/>
    </row>
    <row r="3763" spans="2:2" ht="15.9" customHeight="1" x14ac:dyDescent="0.3">
      <c r="B3763" s="37"/>
    </row>
    <row r="3764" spans="2:2" ht="15.9" customHeight="1" x14ac:dyDescent="0.3">
      <c r="B3764" s="37"/>
    </row>
    <row r="3765" spans="2:2" ht="15.9" customHeight="1" x14ac:dyDescent="0.3">
      <c r="B3765" s="37"/>
    </row>
    <row r="3766" spans="2:2" ht="15.9" customHeight="1" x14ac:dyDescent="0.3">
      <c r="B3766" s="37"/>
    </row>
    <row r="3767" spans="2:2" ht="15.9" customHeight="1" x14ac:dyDescent="0.3">
      <c r="B3767" s="37"/>
    </row>
    <row r="3768" spans="2:2" ht="15.9" customHeight="1" x14ac:dyDescent="0.3">
      <c r="B3768" s="37"/>
    </row>
    <row r="3769" spans="2:2" ht="15.9" customHeight="1" x14ac:dyDescent="0.3">
      <c r="B3769" s="37"/>
    </row>
    <row r="3770" spans="2:2" ht="15.9" customHeight="1" x14ac:dyDescent="0.3">
      <c r="B3770" s="37"/>
    </row>
    <row r="3771" spans="2:2" ht="15.9" customHeight="1" x14ac:dyDescent="0.3">
      <c r="B3771" s="37"/>
    </row>
    <row r="3772" spans="2:2" ht="15.9" customHeight="1" x14ac:dyDescent="0.3">
      <c r="B3772" s="37"/>
    </row>
    <row r="3773" spans="2:2" ht="15.9" customHeight="1" x14ac:dyDescent="0.3">
      <c r="B3773" s="37"/>
    </row>
    <row r="3774" spans="2:2" ht="15.9" customHeight="1" x14ac:dyDescent="0.3">
      <c r="B3774" s="37"/>
    </row>
    <row r="3775" spans="2:2" ht="15.9" customHeight="1" x14ac:dyDescent="0.3">
      <c r="B3775" s="37"/>
    </row>
    <row r="3776" spans="2:2" ht="15.9" customHeight="1" x14ac:dyDescent="0.3">
      <c r="B3776" s="37"/>
    </row>
    <row r="3777" spans="2:2" ht="15.9" customHeight="1" x14ac:dyDescent="0.3">
      <c r="B3777" s="37"/>
    </row>
    <row r="3778" spans="2:2" ht="15.9" customHeight="1" x14ac:dyDescent="0.3">
      <c r="B3778" s="37"/>
    </row>
    <row r="3779" spans="2:2" ht="15.9" customHeight="1" x14ac:dyDescent="0.3">
      <c r="B3779" s="37"/>
    </row>
    <row r="3780" spans="2:2" ht="15.9" customHeight="1" x14ac:dyDescent="0.3">
      <c r="B3780" s="37"/>
    </row>
    <row r="3781" spans="2:2" ht="15.9" customHeight="1" x14ac:dyDescent="0.3">
      <c r="B3781" s="37"/>
    </row>
    <row r="3782" spans="2:2" ht="15.9" customHeight="1" x14ac:dyDescent="0.3">
      <c r="B3782" s="37"/>
    </row>
    <row r="3783" spans="2:2" ht="15.9" customHeight="1" x14ac:dyDescent="0.3">
      <c r="B3783" s="37"/>
    </row>
    <row r="3784" spans="2:2" ht="15.9" customHeight="1" x14ac:dyDescent="0.3">
      <c r="B3784" s="37"/>
    </row>
    <row r="3785" spans="2:2" ht="15.9" customHeight="1" x14ac:dyDescent="0.3">
      <c r="B3785" s="37"/>
    </row>
    <row r="3786" spans="2:2" ht="15.9" customHeight="1" x14ac:dyDescent="0.3">
      <c r="B3786" s="37"/>
    </row>
    <row r="3787" spans="2:2" ht="15.9" customHeight="1" x14ac:dyDescent="0.3">
      <c r="B3787" s="37"/>
    </row>
    <row r="3788" spans="2:2" ht="15.9" customHeight="1" x14ac:dyDescent="0.3">
      <c r="B3788" s="37"/>
    </row>
    <row r="3789" spans="2:2" ht="15.9" customHeight="1" x14ac:dyDescent="0.3">
      <c r="B3789" s="37"/>
    </row>
    <row r="3790" spans="2:2" ht="15.9" customHeight="1" x14ac:dyDescent="0.3">
      <c r="B3790" s="37"/>
    </row>
    <row r="3791" spans="2:2" ht="15.9" customHeight="1" x14ac:dyDescent="0.3">
      <c r="B3791" s="37"/>
    </row>
    <row r="3792" spans="2:2" ht="15.9" customHeight="1" x14ac:dyDescent="0.3">
      <c r="B3792" s="37"/>
    </row>
    <row r="3793" spans="2:2" ht="15.9" customHeight="1" x14ac:dyDescent="0.3">
      <c r="B3793" s="37"/>
    </row>
    <row r="3794" spans="2:2" ht="15.9" customHeight="1" x14ac:dyDescent="0.3">
      <c r="B3794" s="37"/>
    </row>
    <row r="3795" spans="2:2" ht="15.9" customHeight="1" x14ac:dyDescent="0.3">
      <c r="B3795" s="37"/>
    </row>
    <row r="3796" spans="2:2" ht="15.9" customHeight="1" x14ac:dyDescent="0.3">
      <c r="B3796" s="37"/>
    </row>
    <row r="3797" spans="2:2" ht="15.9" customHeight="1" x14ac:dyDescent="0.3">
      <c r="B3797" s="37"/>
    </row>
    <row r="3798" spans="2:2" ht="15.9" customHeight="1" x14ac:dyDescent="0.3">
      <c r="B3798" s="37"/>
    </row>
    <row r="3799" spans="2:2" ht="15.9" customHeight="1" x14ac:dyDescent="0.3">
      <c r="B3799" s="37"/>
    </row>
    <row r="3800" spans="2:2" ht="15.9" customHeight="1" x14ac:dyDescent="0.3">
      <c r="B3800" s="37"/>
    </row>
    <row r="3801" spans="2:2" ht="15.9" customHeight="1" x14ac:dyDescent="0.3">
      <c r="B3801" s="37"/>
    </row>
    <row r="3802" spans="2:2" ht="15.9" customHeight="1" x14ac:dyDescent="0.3">
      <c r="B3802" s="37"/>
    </row>
    <row r="3803" spans="2:2" ht="15.9" customHeight="1" x14ac:dyDescent="0.3">
      <c r="B3803" s="37"/>
    </row>
    <row r="3804" spans="2:2" ht="15.9" customHeight="1" x14ac:dyDescent="0.3">
      <c r="B3804" s="37"/>
    </row>
    <row r="3805" spans="2:2" ht="15.9" customHeight="1" x14ac:dyDescent="0.3">
      <c r="B3805" s="37"/>
    </row>
    <row r="3806" spans="2:2" ht="15.9" customHeight="1" x14ac:dyDescent="0.3">
      <c r="B3806" s="37"/>
    </row>
    <row r="3807" spans="2:2" ht="15.9" customHeight="1" x14ac:dyDescent="0.3">
      <c r="B3807" s="37"/>
    </row>
    <row r="3808" spans="2:2" ht="15.9" customHeight="1" x14ac:dyDescent="0.3">
      <c r="B3808" s="37"/>
    </row>
    <row r="3809" spans="2:2" ht="15.9" customHeight="1" x14ac:dyDescent="0.3">
      <c r="B3809" s="37"/>
    </row>
    <row r="3810" spans="2:2" ht="15.9" customHeight="1" x14ac:dyDescent="0.3">
      <c r="B3810" s="37"/>
    </row>
    <row r="3811" spans="2:2" ht="15.9" customHeight="1" x14ac:dyDescent="0.3">
      <c r="B3811" s="37"/>
    </row>
    <row r="3812" spans="2:2" ht="15.9" customHeight="1" x14ac:dyDescent="0.3">
      <c r="B3812" s="37"/>
    </row>
    <row r="3813" spans="2:2" ht="15.9" customHeight="1" x14ac:dyDescent="0.3">
      <c r="B3813" s="37"/>
    </row>
    <row r="3814" spans="2:2" ht="15.9" customHeight="1" x14ac:dyDescent="0.3">
      <c r="B3814" s="37"/>
    </row>
    <row r="3815" spans="2:2" ht="15.9" customHeight="1" x14ac:dyDescent="0.3">
      <c r="B3815" s="37"/>
    </row>
    <row r="3816" spans="2:2" ht="15.9" customHeight="1" x14ac:dyDescent="0.3">
      <c r="B3816" s="37"/>
    </row>
    <row r="3817" spans="2:2" ht="15.9" customHeight="1" x14ac:dyDescent="0.3">
      <c r="B3817" s="37"/>
    </row>
    <row r="3818" spans="2:2" ht="15.9" customHeight="1" x14ac:dyDescent="0.3">
      <c r="B3818" s="37"/>
    </row>
    <row r="3819" spans="2:2" ht="15.9" customHeight="1" x14ac:dyDescent="0.3">
      <c r="B3819" s="37"/>
    </row>
    <row r="3820" spans="2:2" ht="15.9" customHeight="1" x14ac:dyDescent="0.3">
      <c r="B3820" s="37"/>
    </row>
    <row r="3821" spans="2:2" ht="15.9" customHeight="1" x14ac:dyDescent="0.3">
      <c r="B3821" s="37"/>
    </row>
    <row r="3822" spans="2:2" ht="15.9" customHeight="1" x14ac:dyDescent="0.3">
      <c r="B3822" s="37"/>
    </row>
    <row r="3823" spans="2:2" ht="15.9" customHeight="1" x14ac:dyDescent="0.3">
      <c r="B3823" s="37"/>
    </row>
    <row r="3824" spans="2:2" ht="15.9" customHeight="1" x14ac:dyDescent="0.3">
      <c r="B3824" s="37"/>
    </row>
    <row r="3825" spans="2:2" ht="15.9" customHeight="1" x14ac:dyDescent="0.3">
      <c r="B3825" s="37"/>
    </row>
    <row r="3826" spans="2:2" ht="15.9" customHeight="1" x14ac:dyDescent="0.3">
      <c r="B3826" s="37"/>
    </row>
    <row r="3827" spans="2:2" ht="15.9" customHeight="1" x14ac:dyDescent="0.3">
      <c r="B3827" s="37"/>
    </row>
    <row r="3828" spans="2:2" ht="15.9" customHeight="1" x14ac:dyDescent="0.3">
      <c r="B3828" s="37"/>
    </row>
    <row r="3829" spans="2:2" ht="15.9" customHeight="1" x14ac:dyDescent="0.3">
      <c r="B3829" s="37"/>
    </row>
    <row r="3830" spans="2:2" ht="15.9" customHeight="1" x14ac:dyDescent="0.3">
      <c r="B3830" s="37"/>
    </row>
    <row r="3831" spans="2:2" ht="15.9" customHeight="1" x14ac:dyDescent="0.3">
      <c r="B3831" s="37"/>
    </row>
    <row r="3832" spans="2:2" ht="15.9" customHeight="1" x14ac:dyDescent="0.3">
      <c r="B3832" s="37"/>
    </row>
    <row r="3833" spans="2:2" ht="15.9" customHeight="1" x14ac:dyDescent="0.3">
      <c r="B3833" s="37"/>
    </row>
    <row r="3834" spans="2:2" ht="15.9" customHeight="1" x14ac:dyDescent="0.3">
      <c r="B3834" s="37"/>
    </row>
    <row r="3835" spans="2:2" ht="15.9" customHeight="1" x14ac:dyDescent="0.3">
      <c r="B3835" s="37"/>
    </row>
    <row r="3836" spans="2:2" ht="15.9" customHeight="1" x14ac:dyDescent="0.3">
      <c r="B3836" s="37"/>
    </row>
    <row r="3837" spans="2:2" ht="15.9" customHeight="1" x14ac:dyDescent="0.3">
      <c r="B3837" s="37"/>
    </row>
    <row r="3838" spans="2:2" ht="15.9" customHeight="1" x14ac:dyDescent="0.3">
      <c r="B3838" s="37"/>
    </row>
    <row r="3839" spans="2:2" ht="15.9" customHeight="1" x14ac:dyDescent="0.3">
      <c r="B3839" s="37"/>
    </row>
    <row r="3840" spans="2:2" ht="15.9" customHeight="1" x14ac:dyDescent="0.3">
      <c r="B3840" s="37"/>
    </row>
    <row r="3841" spans="2:2" ht="15.9" customHeight="1" x14ac:dyDescent="0.3">
      <c r="B3841" s="37"/>
    </row>
    <row r="3842" spans="2:2" ht="15.9" customHeight="1" x14ac:dyDescent="0.3">
      <c r="B3842" s="37"/>
    </row>
    <row r="3843" spans="2:2" ht="15.9" customHeight="1" x14ac:dyDescent="0.3">
      <c r="B3843" s="37"/>
    </row>
    <row r="3844" spans="2:2" ht="15.9" customHeight="1" x14ac:dyDescent="0.3">
      <c r="B3844" s="37"/>
    </row>
    <row r="3845" spans="2:2" ht="15.9" customHeight="1" x14ac:dyDescent="0.3">
      <c r="B3845" s="37"/>
    </row>
    <row r="3846" spans="2:2" ht="15.9" customHeight="1" x14ac:dyDescent="0.3">
      <c r="B3846" s="37"/>
    </row>
    <row r="3847" spans="2:2" ht="15.9" customHeight="1" x14ac:dyDescent="0.3">
      <c r="B3847" s="37"/>
    </row>
    <row r="3848" spans="2:2" ht="15.9" customHeight="1" x14ac:dyDescent="0.3">
      <c r="B3848" s="37"/>
    </row>
    <row r="3849" spans="2:2" ht="15.9" customHeight="1" x14ac:dyDescent="0.3">
      <c r="B3849" s="37"/>
    </row>
    <row r="3850" spans="2:2" ht="15.9" customHeight="1" x14ac:dyDescent="0.3">
      <c r="B3850" s="37"/>
    </row>
    <row r="3851" spans="2:2" ht="15.9" customHeight="1" x14ac:dyDescent="0.3">
      <c r="B3851" s="37"/>
    </row>
    <row r="3852" spans="2:2" ht="15.9" customHeight="1" x14ac:dyDescent="0.3">
      <c r="B3852" s="37"/>
    </row>
    <row r="3853" spans="2:2" ht="15.9" customHeight="1" x14ac:dyDescent="0.3">
      <c r="B3853" s="37"/>
    </row>
    <row r="3854" spans="2:2" ht="15.9" customHeight="1" x14ac:dyDescent="0.3">
      <c r="B3854" s="37"/>
    </row>
    <row r="3855" spans="2:2" ht="15.9" customHeight="1" x14ac:dyDescent="0.3">
      <c r="B3855" s="37"/>
    </row>
    <row r="3856" spans="2:2" ht="15.9" customHeight="1" x14ac:dyDescent="0.3">
      <c r="B3856" s="37"/>
    </row>
    <row r="3857" spans="2:2" ht="15.9" customHeight="1" x14ac:dyDescent="0.3">
      <c r="B3857" s="37"/>
    </row>
    <row r="3858" spans="2:2" ht="15.9" customHeight="1" x14ac:dyDescent="0.3">
      <c r="B3858" s="37"/>
    </row>
    <row r="3859" spans="2:2" ht="15.9" customHeight="1" x14ac:dyDescent="0.3">
      <c r="B3859" s="37"/>
    </row>
    <row r="3860" spans="2:2" ht="15.9" customHeight="1" x14ac:dyDescent="0.3">
      <c r="B3860" s="37"/>
    </row>
    <row r="3861" spans="2:2" ht="15.9" customHeight="1" x14ac:dyDescent="0.3">
      <c r="B3861" s="37"/>
    </row>
    <row r="3862" spans="2:2" ht="15.9" customHeight="1" x14ac:dyDescent="0.3">
      <c r="B3862" s="37"/>
    </row>
    <row r="3863" spans="2:2" ht="15.9" customHeight="1" x14ac:dyDescent="0.3">
      <c r="B3863" s="37"/>
    </row>
    <row r="3864" spans="2:2" ht="15.9" customHeight="1" x14ac:dyDescent="0.3">
      <c r="B3864" s="37"/>
    </row>
    <row r="3865" spans="2:2" ht="15.9" customHeight="1" x14ac:dyDescent="0.3">
      <c r="B3865" s="37"/>
    </row>
    <row r="3866" spans="2:2" ht="15.9" customHeight="1" x14ac:dyDescent="0.3">
      <c r="B3866" s="37"/>
    </row>
    <row r="3867" spans="2:2" ht="15.9" customHeight="1" x14ac:dyDescent="0.3">
      <c r="B3867" s="37"/>
    </row>
    <row r="3868" spans="2:2" ht="15.9" customHeight="1" x14ac:dyDescent="0.3">
      <c r="B3868" s="37"/>
    </row>
    <row r="3869" spans="2:2" ht="15.9" customHeight="1" x14ac:dyDescent="0.3">
      <c r="B3869" s="37"/>
    </row>
    <row r="3870" spans="2:2" ht="15.9" customHeight="1" x14ac:dyDescent="0.3">
      <c r="B3870" s="37"/>
    </row>
    <row r="3871" spans="2:2" ht="15.9" customHeight="1" x14ac:dyDescent="0.3">
      <c r="B3871" s="37"/>
    </row>
    <row r="3872" spans="2:2" ht="15.9" customHeight="1" x14ac:dyDescent="0.3">
      <c r="B3872" s="37"/>
    </row>
    <row r="3873" spans="2:2" ht="15.9" customHeight="1" x14ac:dyDescent="0.3">
      <c r="B3873" s="37"/>
    </row>
    <row r="3874" spans="2:2" ht="15.9" customHeight="1" x14ac:dyDescent="0.3">
      <c r="B3874" s="37"/>
    </row>
    <row r="3875" spans="2:2" ht="15.9" customHeight="1" x14ac:dyDescent="0.3">
      <c r="B3875" s="37"/>
    </row>
    <row r="3876" spans="2:2" ht="15.9" customHeight="1" x14ac:dyDescent="0.3">
      <c r="B3876" s="37"/>
    </row>
    <row r="3877" spans="2:2" ht="15.9" customHeight="1" x14ac:dyDescent="0.3">
      <c r="B3877" s="37"/>
    </row>
    <row r="3878" spans="2:2" ht="15.9" customHeight="1" x14ac:dyDescent="0.3">
      <c r="B3878" s="37"/>
    </row>
    <row r="3879" spans="2:2" ht="15.9" customHeight="1" x14ac:dyDescent="0.3">
      <c r="B3879" s="37"/>
    </row>
    <row r="3880" spans="2:2" ht="15.9" customHeight="1" x14ac:dyDescent="0.3">
      <c r="B3880" s="37"/>
    </row>
    <row r="3881" spans="2:2" ht="15.9" customHeight="1" x14ac:dyDescent="0.3">
      <c r="B3881" s="37"/>
    </row>
    <row r="3882" spans="2:2" ht="15.9" customHeight="1" x14ac:dyDescent="0.3">
      <c r="B3882" s="37"/>
    </row>
    <row r="3883" spans="2:2" ht="15.9" customHeight="1" x14ac:dyDescent="0.3">
      <c r="B3883" s="37"/>
    </row>
    <row r="3884" spans="2:2" ht="15.9" customHeight="1" x14ac:dyDescent="0.3">
      <c r="B3884" s="37"/>
    </row>
    <row r="3885" spans="2:2" ht="15.9" customHeight="1" x14ac:dyDescent="0.3">
      <c r="B3885" s="37"/>
    </row>
    <row r="3886" spans="2:2" ht="15.9" customHeight="1" x14ac:dyDescent="0.3">
      <c r="B3886" s="37"/>
    </row>
    <row r="3887" spans="2:2" ht="15.9" customHeight="1" x14ac:dyDescent="0.3">
      <c r="B3887" s="37"/>
    </row>
    <row r="3888" spans="2:2" ht="15.9" customHeight="1" x14ac:dyDescent="0.3">
      <c r="B3888" s="37"/>
    </row>
    <row r="3889" spans="2:2" ht="15.9" customHeight="1" x14ac:dyDescent="0.3">
      <c r="B3889" s="37"/>
    </row>
    <row r="3890" spans="2:2" ht="15.9" customHeight="1" x14ac:dyDescent="0.3">
      <c r="B3890" s="37"/>
    </row>
    <row r="3891" spans="2:2" ht="15.9" customHeight="1" x14ac:dyDescent="0.3">
      <c r="B3891" s="37"/>
    </row>
    <row r="3892" spans="2:2" ht="15.9" customHeight="1" x14ac:dyDescent="0.3">
      <c r="B3892" s="37"/>
    </row>
    <row r="3893" spans="2:2" ht="15.9" customHeight="1" x14ac:dyDescent="0.3">
      <c r="B3893" s="37"/>
    </row>
    <row r="3894" spans="2:2" ht="15.9" customHeight="1" x14ac:dyDescent="0.3">
      <c r="B3894" s="37"/>
    </row>
    <row r="3895" spans="2:2" ht="15.9" customHeight="1" x14ac:dyDescent="0.3">
      <c r="B3895" s="37"/>
    </row>
    <row r="3896" spans="2:2" ht="15.9" customHeight="1" x14ac:dyDescent="0.3">
      <c r="B3896" s="37"/>
    </row>
    <row r="3897" spans="2:2" ht="15.9" customHeight="1" x14ac:dyDescent="0.3">
      <c r="B3897" s="37"/>
    </row>
    <row r="3898" spans="2:2" ht="15.9" customHeight="1" x14ac:dyDescent="0.3">
      <c r="B3898" s="37"/>
    </row>
    <row r="3899" spans="2:2" ht="15.9" customHeight="1" x14ac:dyDescent="0.3">
      <c r="B3899" s="37"/>
    </row>
    <row r="3900" spans="2:2" ht="15.9" customHeight="1" x14ac:dyDescent="0.3">
      <c r="B3900" s="37"/>
    </row>
    <row r="3901" spans="2:2" ht="15.9" customHeight="1" x14ac:dyDescent="0.3">
      <c r="B3901" s="37"/>
    </row>
    <row r="3902" spans="2:2" ht="15.9" customHeight="1" x14ac:dyDescent="0.3">
      <c r="B3902" s="37"/>
    </row>
    <row r="3903" spans="2:2" ht="15.9" customHeight="1" x14ac:dyDescent="0.3">
      <c r="B3903" s="37"/>
    </row>
    <row r="3904" spans="2:2" ht="15.9" customHeight="1" x14ac:dyDescent="0.3">
      <c r="B3904" s="37"/>
    </row>
    <row r="3905" spans="2:2" ht="15.9" customHeight="1" x14ac:dyDescent="0.3">
      <c r="B3905" s="37"/>
    </row>
    <row r="3906" spans="2:2" ht="15.9" customHeight="1" x14ac:dyDescent="0.3">
      <c r="B3906" s="37"/>
    </row>
    <row r="3907" spans="2:2" ht="15.9" customHeight="1" x14ac:dyDescent="0.3">
      <c r="B3907" s="37"/>
    </row>
    <row r="3908" spans="2:2" ht="15.9" customHeight="1" x14ac:dyDescent="0.3">
      <c r="B3908" s="37"/>
    </row>
    <row r="3909" spans="2:2" ht="15.9" customHeight="1" x14ac:dyDescent="0.3">
      <c r="B3909" s="37"/>
    </row>
    <row r="3910" spans="2:2" ht="15.9" customHeight="1" x14ac:dyDescent="0.3">
      <c r="B3910" s="37"/>
    </row>
    <row r="3911" spans="2:2" ht="15.9" customHeight="1" x14ac:dyDescent="0.3">
      <c r="B3911" s="37"/>
    </row>
    <row r="3912" spans="2:2" ht="15.9" customHeight="1" x14ac:dyDescent="0.3">
      <c r="B3912" s="37"/>
    </row>
    <row r="3913" spans="2:2" ht="15.9" customHeight="1" x14ac:dyDescent="0.3">
      <c r="B3913" s="37"/>
    </row>
    <row r="3914" spans="2:2" ht="15.9" customHeight="1" x14ac:dyDescent="0.3">
      <c r="B3914" s="37"/>
    </row>
    <row r="3915" spans="2:2" ht="15.9" customHeight="1" x14ac:dyDescent="0.3">
      <c r="B3915" s="37"/>
    </row>
    <row r="3916" spans="2:2" ht="15.9" customHeight="1" x14ac:dyDescent="0.3">
      <c r="B3916" s="37"/>
    </row>
    <row r="3917" spans="2:2" ht="15.9" customHeight="1" x14ac:dyDescent="0.3">
      <c r="B3917" s="37"/>
    </row>
    <row r="3918" spans="2:2" ht="15.9" customHeight="1" x14ac:dyDescent="0.3">
      <c r="B3918" s="37"/>
    </row>
    <row r="3919" spans="2:2" ht="15.9" customHeight="1" x14ac:dyDescent="0.3">
      <c r="B3919" s="37"/>
    </row>
    <row r="3920" spans="2:2" ht="15.9" customHeight="1" x14ac:dyDescent="0.3">
      <c r="B3920" s="37"/>
    </row>
    <row r="3921" spans="2:2" ht="15.9" customHeight="1" x14ac:dyDescent="0.3">
      <c r="B3921" s="37"/>
    </row>
    <row r="3922" spans="2:2" ht="15.9" customHeight="1" x14ac:dyDescent="0.3">
      <c r="B3922" s="37"/>
    </row>
    <row r="3923" spans="2:2" ht="15.9" customHeight="1" x14ac:dyDescent="0.3">
      <c r="B3923" s="37"/>
    </row>
    <row r="3924" spans="2:2" ht="15.9" customHeight="1" x14ac:dyDescent="0.3">
      <c r="B3924" s="37"/>
    </row>
    <row r="3925" spans="2:2" ht="15.9" customHeight="1" x14ac:dyDescent="0.3">
      <c r="B3925" s="37"/>
    </row>
    <row r="3926" spans="2:2" ht="15.9" customHeight="1" x14ac:dyDescent="0.3">
      <c r="B3926" s="37"/>
    </row>
    <row r="3927" spans="2:2" ht="15.9" customHeight="1" x14ac:dyDescent="0.3">
      <c r="B3927" s="37"/>
    </row>
    <row r="3928" spans="2:2" ht="15.9" customHeight="1" x14ac:dyDescent="0.3">
      <c r="B3928" s="37"/>
    </row>
    <row r="3929" spans="2:2" ht="15.9" customHeight="1" x14ac:dyDescent="0.3">
      <c r="B3929" s="37"/>
    </row>
    <row r="3930" spans="2:2" ht="15.9" customHeight="1" x14ac:dyDescent="0.3">
      <c r="B3930" s="37"/>
    </row>
    <row r="3931" spans="2:2" ht="15.9" customHeight="1" x14ac:dyDescent="0.3">
      <c r="B3931" s="37"/>
    </row>
    <row r="3932" spans="2:2" ht="15.9" customHeight="1" x14ac:dyDescent="0.3">
      <c r="B3932" s="37"/>
    </row>
    <row r="3933" spans="2:2" ht="15.9" customHeight="1" x14ac:dyDescent="0.3">
      <c r="B3933" s="37"/>
    </row>
    <row r="3934" spans="2:2" ht="15.9" customHeight="1" x14ac:dyDescent="0.3">
      <c r="B3934" s="37"/>
    </row>
    <row r="3935" spans="2:2" ht="15.9" customHeight="1" x14ac:dyDescent="0.3">
      <c r="B3935" s="37"/>
    </row>
    <row r="3936" spans="2:2" ht="15.9" customHeight="1" x14ac:dyDescent="0.3">
      <c r="B3936" s="37"/>
    </row>
    <row r="3937" spans="2:2" ht="15.9" customHeight="1" x14ac:dyDescent="0.3">
      <c r="B3937" s="37"/>
    </row>
    <row r="3938" spans="2:2" ht="15.9" customHeight="1" x14ac:dyDescent="0.3">
      <c r="B3938" s="37"/>
    </row>
    <row r="3939" spans="2:2" ht="15.9" customHeight="1" x14ac:dyDescent="0.3">
      <c r="B3939" s="37"/>
    </row>
    <row r="3940" spans="2:2" ht="15.9" customHeight="1" x14ac:dyDescent="0.3">
      <c r="B3940" s="37"/>
    </row>
    <row r="3941" spans="2:2" ht="15.9" customHeight="1" x14ac:dyDescent="0.3">
      <c r="B3941" s="37"/>
    </row>
    <row r="3942" spans="2:2" ht="15.9" customHeight="1" x14ac:dyDescent="0.3">
      <c r="B3942" s="37"/>
    </row>
    <row r="3943" spans="2:2" ht="15.9" customHeight="1" x14ac:dyDescent="0.3">
      <c r="B3943" s="37"/>
    </row>
    <row r="3944" spans="2:2" ht="15.9" customHeight="1" x14ac:dyDescent="0.3">
      <c r="B3944" s="37"/>
    </row>
    <row r="3945" spans="2:2" ht="15.9" customHeight="1" x14ac:dyDescent="0.3">
      <c r="B3945" s="37"/>
    </row>
    <row r="3946" spans="2:2" ht="15.9" customHeight="1" x14ac:dyDescent="0.3">
      <c r="B3946" s="37"/>
    </row>
    <row r="3947" spans="2:2" ht="15.9" customHeight="1" x14ac:dyDescent="0.3">
      <c r="B3947" s="37"/>
    </row>
    <row r="3948" spans="2:2" ht="15.9" customHeight="1" x14ac:dyDescent="0.3">
      <c r="B3948" s="37"/>
    </row>
    <row r="3949" spans="2:2" ht="15.9" customHeight="1" x14ac:dyDescent="0.3">
      <c r="B3949" s="37"/>
    </row>
    <row r="3950" spans="2:2" ht="15.9" customHeight="1" x14ac:dyDescent="0.3">
      <c r="B3950" s="37"/>
    </row>
    <row r="3951" spans="2:2" ht="15.9" customHeight="1" x14ac:dyDescent="0.3">
      <c r="B3951" s="37"/>
    </row>
    <row r="3952" spans="2:2" ht="15.9" customHeight="1" x14ac:dyDescent="0.3">
      <c r="B3952" s="37"/>
    </row>
    <row r="3953" spans="2:2" ht="15.9" customHeight="1" x14ac:dyDescent="0.3">
      <c r="B3953" s="37"/>
    </row>
    <row r="3954" spans="2:2" ht="15.9" customHeight="1" x14ac:dyDescent="0.3">
      <c r="B3954" s="37"/>
    </row>
    <row r="3955" spans="2:2" ht="15.9" customHeight="1" x14ac:dyDescent="0.3">
      <c r="B3955" s="37"/>
    </row>
    <row r="3956" spans="2:2" ht="15.9" customHeight="1" x14ac:dyDescent="0.3">
      <c r="B3956" s="37"/>
    </row>
    <row r="3957" spans="2:2" ht="15.9" customHeight="1" x14ac:dyDescent="0.3">
      <c r="B3957" s="37"/>
    </row>
    <row r="3958" spans="2:2" ht="15.9" customHeight="1" x14ac:dyDescent="0.3">
      <c r="B3958" s="37"/>
    </row>
    <row r="3959" spans="2:2" ht="15.9" customHeight="1" x14ac:dyDescent="0.3">
      <c r="B3959" s="37"/>
    </row>
    <row r="3960" spans="2:2" ht="15.9" customHeight="1" x14ac:dyDescent="0.3">
      <c r="B3960" s="37"/>
    </row>
    <row r="3961" spans="2:2" ht="15.9" customHeight="1" x14ac:dyDescent="0.3">
      <c r="B3961" s="37"/>
    </row>
    <row r="3962" spans="2:2" ht="15.9" customHeight="1" x14ac:dyDescent="0.3">
      <c r="B3962" s="37"/>
    </row>
    <row r="3963" spans="2:2" ht="15.9" customHeight="1" x14ac:dyDescent="0.3">
      <c r="B3963" s="37"/>
    </row>
    <row r="3964" spans="2:2" ht="15.9" customHeight="1" x14ac:dyDescent="0.3">
      <c r="B3964" s="37"/>
    </row>
    <row r="3965" spans="2:2" ht="15.9" customHeight="1" x14ac:dyDescent="0.3">
      <c r="B3965" s="37"/>
    </row>
    <row r="3966" spans="2:2" ht="15.9" customHeight="1" x14ac:dyDescent="0.3">
      <c r="B3966" s="37"/>
    </row>
    <row r="3967" spans="2:2" ht="15.9" customHeight="1" x14ac:dyDescent="0.3">
      <c r="B3967" s="37"/>
    </row>
    <row r="3968" spans="2:2" ht="15.9" customHeight="1" x14ac:dyDescent="0.3">
      <c r="B3968" s="37"/>
    </row>
    <row r="3969" spans="2:2" ht="15.9" customHeight="1" x14ac:dyDescent="0.3">
      <c r="B3969" s="37"/>
    </row>
    <row r="3970" spans="2:2" ht="15.9" customHeight="1" x14ac:dyDescent="0.3">
      <c r="B3970" s="37"/>
    </row>
    <row r="3971" spans="2:2" ht="15.9" customHeight="1" x14ac:dyDescent="0.3">
      <c r="B3971" s="37"/>
    </row>
    <row r="3972" spans="2:2" ht="15.9" customHeight="1" x14ac:dyDescent="0.3">
      <c r="B3972" s="37"/>
    </row>
    <row r="3973" spans="2:2" ht="15.9" customHeight="1" x14ac:dyDescent="0.3">
      <c r="B3973" s="37"/>
    </row>
    <row r="3974" spans="2:2" ht="15.9" customHeight="1" x14ac:dyDescent="0.3">
      <c r="B3974" s="37"/>
    </row>
    <row r="3975" spans="2:2" ht="15.9" customHeight="1" x14ac:dyDescent="0.3">
      <c r="B3975" s="37"/>
    </row>
    <row r="3976" spans="2:2" ht="15.9" customHeight="1" x14ac:dyDescent="0.3">
      <c r="B3976" s="37"/>
    </row>
    <row r="3977" spans="2:2" ht="15.9" customHeight="1" x14ac:dyDescent="0.3">
      <c r="B3977" s="37"/>
    </row>
    <row r="3978" spans="2:2" ht="15.9" customHeight="1" x14ac:dyDescent="0.3">
      <c r="B3978" s="37"/>
    </row>
    <row r="3979" spans="2:2" ht="15.9" customHeight="1" x14ac:dyDescent="0.3">
      <c r="B3979" s="37"/>
    </row>
    <row r="3980" spans="2:2" ht="15.9" customHeight="1" x14ac:dyDescent="0.3">
      <c r="B3980" s="37"/>
    </row>
    <row r="3981" spans="2:2" ht="15.9" customHeight="1" x14ac:dyDescent="0.3">
      <c r="B3981" s="37"/>
    </row>
    <row r="3982" spans="2:2" ht="15.9" customHeight="1" x14ac:dyDescent="0.3">
      <c r="B3982" s="37"/>
    </row>
    <row r="3983" spans="2:2" ht="15.9" customHeight="1" x14ac:dyDescent="0.3">
      <c r="B3983" s="37"/>
    </row>
    <row r="3984" spans="2:2" ht="15.9" customHeight="1" x14ac:dyDescent="0.3">
      <c r="B3984" s="37"/>
    </row>
    <row r="3985" spans="2:2" ht="15.9" customHeight="1" x14ac:dyDescent="0.3">
      <c r="B3985" s="37"/>
    </row>
    <row r="3986" spans="2:2" ht="15.9" customHeight="1" x14ac:dyDescent="0.3">
      <c r="B3986" s="37"/>
    </row>
    <row r="3987" spans="2:2" ht="15.9" customHeight="1" x14ac:dyDescent="0.3">
      <c r="B3987" s="37"/>
    </row>
    <row r="3988" spans="2:2" ht="15.9" customHeight="1" x14ac:dyDescent="0.3">
      <c r="B3988" s="37"/>
    </row>
    <row r="3989" spans="2:2" ht="15.9" customHeight="1" x14ac:dyDescent="0.3">
      <c r="B3989" s="37"/>
    </row>
    <row r="3990" spans="2:2" ht="15.9" customHeight="1" x14ac:dyDescent="0.3">
      <c r="B3990" s="37"/>
    </row>
    <row r="3991" spans="2:2" ht="15.9" customHeight="1" x14ac:dyDescent="0.3">
      <c r="B3991" s="37"/>
    </row>
    <row r="3992" spans="2:2" ht="15.9" customHeight="1" x14ac:dyDescent="0.3">
      <c r="B3992" s="37"/>
    </row>
    <row r="3993" spans="2:2" ht="15.9" customHeight="1" x14ac:dyDescent="0.3">
      <c r="B3993" s="37"/>
    </row>
    <row r="3994" spans="2:2" ht="15.9" customHeight="1" x14ac:dyDescent="0.3">
      <c r="B3994" s="37"/>
    </row>
    <row r="3995" spans="2:2" ht="15.9" customHeight="1" x14ac:dyDescent="0.3">
      <c r="B3995" s="37"/>
    </row>
    <row r="3996" spans="2:2" ht="15.9" customHeight="1" x14ac:dyDescent="0.3">
      <c r="B3996" s="37"/>
    </row>
    <row r="3997" spans="2:2" ht="15.9" customHeight="1" x14ac:dyDescent="0.3">
      <c r="B3997" s="37"/>
    </row>
    <row r="3998" spans="2:2" ht="15.9" customHeight="1" x14ac:dyDescent="0.3">
      <c r="B3998" s="37"/>
    </row>
    <row r="3999" spans="2:2" ht="15.9" customHeight="1" x14ac:dyDescent="0.3">
      <c r="B3999" s="37"/>
    </row>
    <row r="4000" spans="2:2" ht="15.9" customHeight="1" x14ac:dyDescent="0.3">
      <c r="B4000" s="37"/>
    </row>
    <row r="4001" spans="2:2" ht="15.9" customHeight="1" x14ac:dyDescent="0.3">
      <c r="B4001" s="37"/>
    </row>
    <row r="4002" spans="2:2" ht="15.9" customHeight="1" x14ac:dyDescent="0.3">
      <c r="B4002" s="37"/>
    </row>
    <row r="4003" spans="2:2" ht="15.9" customHeight="1" x14ac:dyDescent="0.3">
      <c r="B4003" s="37"/>
    </row>
    <row r="4004" spans="2:2" ht="15.9" customHeight="1" x14ac:dyDescent="0.3">
      <c r="B4004" s="37"/>
    </row>
    <row r="4005" spans="2:2" ht="15.9" customHeight="1" x14ac:dyDescent="0.3">
      <c r="B4005" s="37"/>
    </row>
    <row r="4006" spans="2:2" ht="15.9" customHeight="1" x14ac:dyDescent="0.3">
      <c r="B4006" s="37"/>
    </row>
    <row r="4007" spans="2:2" ht="15.9" customHeight="1" x14ac:dyDescent="0.3">
      <c r="B4007" s="37"/>
    </row>
    <row r="4008" spans="2:2" ht="15.9" customHeight="1" x14ac:dyDescent="0.3">
      <c r="B4008" s="37"/>
    </row>
    <row r="4009" spans="2:2" ht="15.9" customHeight="1" x14ac:dyDescent="0.3">
      <c r="B4009" s="37"/>
    </row>
    <row r="4010" spans="2:2" ht="15.9" customHeight="1" x14ac:dyDescent="0.3">
      <c r="B4010" s="37"/>
    </row>
    <row r="4011" spans="2:2" ht="15.9" customHeight="1" x14ac:dyDescent="0.3">
      <c r="B4011" s="37"/>
    </row>
    <row r="4012" spans="2:2" ht="15.9" customHeight="1" x14ac:dyDescent="0.3">
      <c r="B4012" s="37"/>
    </row>
    <row r="4013" spans="2:2" ht="15.9" customHeight="1" x14ac:dyDescent="0.3">
      <c r="B4013" s="37"/>
    </row>
    <row r="4014" spans="2:2" ht="15.9" customHeight="1" x14ac:dyDescent="0.3">
      <c r="B4014" s="37"/>
    </row>
    <row r="4015" spans="2:2" ht="15.9" customHeight="1" x14ac:dyDescent="0.3">
      <c r="B4015" s="37"/>
    </row>
    <row r="4016" spans="2:2" ht="15.9" customHeight="1" x14ac:dyDescent="0.3">
      <c r="B4016" s="37"/>
    </row>
    <row r="4017" spans="2:2" ht="15.9" customHeight="1" x14ac:dyDescent="0.3">
      <c r="B4017" s="37"/>
    </row>
    <row r="4018" spans="2:2" ht="15.9" customHeight="1" x14ac:dyDescent="0.3">
      <c r="B4018" s="37"/>
    </row>
    <row r="4019" spans="2:2" ht="15.9" customHeight="1" x14ac:dyDescent="0.3">
      <c r="B4019" s="37"/>
    </row>
    <row r="4020" spans="2:2" ht="15.9" customHeight="1" x14ac:dyDescent="0.3">
      <c r="B4020" s="37"/>
    </row>
    <row r="4021" spans="2:2" ht="15.9" customHeight="1" x14ac:dyDescent="0.3">
      <c r="B4021" s="37"/>
    </row>
    <row r="4022" spans="2:2" ht="15.9" customHeight="1" x14ac:dyDescent="0.3">
      <c r="B4022" s="37"/>
    </row>
    <row r="4023" spans="2:2" ht="15.9" customHeight="1" x14ac:dyDescent="0.3">
      <c r="B4023" s="37"/>
    </row>
    <row r="4024" spans="2:2" ht="15.9" customHeight="1" x14ac:dyDescent="0.3">
      <c r="B4024" s="37"/>
    </row>
    <row r="4025" spans="2:2" ht="15.9" customHeight="1" x14ac:dyDescent="0.3">
      <c r="B4025" s="37"/>
    </row>
    <row r="4026" spans="2:2" ht="15.9" customHeight="1" x14ac:dyDescent="0.3">
      <c r="B4026" s="37"/>
    </row>
    <row r="4027" spans="2:2" ht="15.9" customHeight="1" x14ac:dyDescent="0.3">
      <c r="B4027" s="37"/>
    </row>
    <row r="4028" spans="2:2" ht="15.9" customHeight="1" x14ac:dyDescent="0.3">
      <c r="B4028" s="37"/>
    </row>
    <row r="4029" spans="2:2" ht="15.9" customHeight="1" x14ac:dyDescent="0.3">
      <c r="B4029" s="37"/>
    </row>
    <row r="4030" spans="2:2" ht="15.9" customHeight="1" x14ac:dyDescent="0.3">
      <c r="B4030" s="37"/>
    </row>
    <row r="4031" spans="2:2" ht="15.9" customHeight="1" x14ac:dyDescent="0.3">
      <c r="B4031" s="37"/>
    </row>
    <row r="4032" spans="2:2" ht="15.9" customHeight="1" x14ac:dyDescent="0.3">
      <c r="B4032" s="37"/>
    </row>
    <row r="4033" spans="2:2" ht="15.9" customHeight="1" x14ac:dyDescent="0.3">
      <c r="B4033" s="37"/>
    </row>
    <row r="4034" spans="2:2" ht="15.9" customHeight="1" x14ac:dyDescent="0.3">
      <c r="B4034" s="37"/>
    </row>
    <row r="4035" spans="2:2" ht="15.9" customHeight="1" x14ac:dyDescent="0.3">
      <c r="B4035" s="37"/>
    </row>
    <row r="4036" spans="2:2" ht="15.9" customHeight="1" x14ac:dyDescent="0.3">
      <c r="B4036" s="37"/>
    </row>
    <row r="4037" spans="2:2" ht="15.9" customHeight="1" x14ac:dyDescent="0.3">
      <c r="B4037" s="37"/>
    </row>
    <row r="4038" spans="2:2" ht="15.9" customHeight="1" x14ac:dyDescent="0.3">
      <c r="B4038" s="37"/>
    </row>
    <row r="4039" spans="2:2" ht="15.9" customHeight="1" x14ac:dyDescent="0.3">
      <c r="B4039" s="37"/>
    </row>
    <row r="4040" spans="2:2" ht="15.9" customHeight="1" x14ac:dyDescent="0.3">
      <c r="B4040" s="37"/>
    </row>
    <row r="4041" spans="2:2" ht="15.9" customHeight="1" x14ac:dyDescent="0.3">
      <c r="B4041" s="37"/>
    </row>
    <row r="4042" spans="2:2" ht="15.9" customHeight="1" x14ac:dyDescent="0.3">
      <c r="B4042" s="37"/>
    </row>
    <row r="4043" spans="2:2" ht="15.9" customHeight="1" x14ac:dyDescent="0.3">
      <c r="B4043" s="37"/>
    </row>
    <row r="4044" spans="2:2" ht="15.9" customHeight="1" x14ac:dyDescent="0.3">
      <c r="B4044" s="37"/>
    </row>
    <row r="4045" spans="2:2" ht="15.9" customHeight="1" x14ac:dyDescent="0.3">
      <c r="B4045" s="37"/>
    </row>
    <row r="4046" spans="2:2" ht="15.9" customHeight="1" x14ac:dyDescent="0.3">
      <c r="B4046" s="37"/>
    </row>
    <row r="4047" spans="2:2" ht="15.9" customHeight="1" x14ac:dyDescent="0.3">
      <c r="B4047" s="37"/>
    </row>
    <row r="4048" spans="2:2" ht="15.9" customHeight="1" x14ac:dyDescent="0.3">
      <c r="B4048" s="37"/>
    </row>
    <row r="4049" spans="2:2" ht="15.9" customHeight="1" x14ac:dyDescent="0.3">
      <c r="B4049" s="37"/>
    </row>
    <row r="4050" spans="2:2" ht="15.9" customHeight="1" x14ac:dyDescent="0.3">
      <c r="B4050" s="37"/>
    </row>
    <row r="4051" spans="2:2" ht="15.9" customHeight="1" x14ac:dyDescent="0.3">
      <c r="B4051" s="37"/>
    </row>
    <row r="4052" spans="2:2" ht="15.9" customHeight="1" x14ac:dyDescent="0.3">
      <c r="B4052" s="37"/>
    </row>
    <row r="4053" spans="2:2" ht="15.9" customHeight="1" x14ac:dyDescent="0.3">
      <c r="B4053" s="37"/>
    </row>
    <row r="4054" spans="2:2" ht="15.9" customHeight="1" x14ac:dyDescent="0.3">
      <c r="B4054" s="37"/>
    </row>
    <row r="4055" spans="2:2" ht="15.9" customHeight="1" x14ac:dyDescent="0.3">
      <c r="B4055" s="37"/>
    </row>
    <row r="4056" spans="2:2" ht="15.9" customHeight="1" x14ac:dyDescent="0.3">
      <c r="B4056" s="37"/>
    </row>
    <row r="4057" spans="2:2" ht="15.9" customHeight="1" x14ac:dyDescent="0.3">
      <c r="B4057" s="37"/>
    </row>
    <row r="4058" spans="2:2" ht="15.9" customHeight="1" x14ac:dyDescent="0.3">
      <c r="B4058" s="37"/>
    </row>
    <row r="4059" spans="2:2" ht="15.9" customHeight="1" x14ac:dyDescent="0.3">
      <c r="B4059" s="37"/>
    </row>
    <row r="4060" spans="2:2" ht="15.9" customHeight="1" x14ac:dyDescent="0.3">
      <c r="B4060" s="37"/>
    </row>
    <row r="4061" spans="2:2" ht="15.9" customHeight="1" x14ac:dyDescent="0.3">
      <c r="B4061" s="37"/>
    </row>
    <row r="4062" spans="2:2" ht="15.9" customHeight="1" x14ac:dyDescent="0.3">
      <c r="B4062" s="37"/>
    </row>
    <row r="4063" spans="2:2" ht="15.9" customHeight="1" x14ac:dyDescent="0.3">
      <c r="B4063" s="37"/>
    </row>
    <row r="4064" spans="2:2" ht="15.9" customHeight="1" x14ac:dyDescent="0.3">
      <c r="B4064" s="37"/>
    </row>
    <row r="4065" spans="2:2" ht="15.9" customHeight="1" x14ac:dyDescent="0.3">
      <c r="B4065" s="37"/>
    </row>
    <row r="4066" spans="2:2" ht="15.9" customHeight="1" x14ac:dyDescent="0.3">
      <c r="B4066" s="37"/>
    </row>
    <row r="4067" spans="2:2" ht="15.9" customHeight="1" x14ac:dyDescent="0.3">
      <c r="B4067" s="37"/>
    </row>
    <row r="4068" spans="2:2" ht="15.9" customHeight="1" x14ac:dyDescent="0.3">
      <c r="B4068" s="37"/>
    </row>
    <row r="4069" spans="2:2" ht="15.9" customHeight="1" x14ac:dyDescent="0.3">
      <c r="B4069" s="37"/>
    </row>
    <row r="4070" spans="2:2" ht="15.9" customHeight="1" x14ac:dyDescent="0.3">
      <c r="B4070" s="37"/>
    </row>
    <row r="4071" spans="2:2" ht="15.9" customHeight="1" x14ac:dyDescent="0.3">
      <c r="B4071" s="37"/>
    </row>
    <row r="4072" spans="2:2" ht="15.9" customHeight="1" x14ac:dyDescent="0.3">
      <c r="B4072" s="37"/>
    </row>
    <row r="4073" spans="2:2" ht="15.9" customHeight="1" x14ac:dyDescent="0.3">
      <c r="B4073" s="37"/>
    </row>
    <row r="4074" spans="2:2" ht="15.9" customHeight="1" x14ac:dyDescent="0.3">
      <c r="B4074" s="37"/>
    </row>
    <row r="4075" spans="2:2" ht="15.9" customHeight="1" x14ac:dyDescent="0.3">
      <c r="B4075" s="37"/>
    </row>
    <row r="4076" spans="2:2" ht="15.9" customHeight="1" x14ac:dyDescent="0.3">
      <c r="B4076" s="37"/>
    </row>
    <row r="4077" spans="2:2" ht="15.9" customHeight="1" x14ac:dyDescent="0.3">
      <c r="B4077" s="37"/>
    </row>
    <row r="4078" spans="2:2" ht="15.9" customHeight="1" x14ac:dyDescent="0.3">
      <c r="B4078" s="37"/>
    </row>
    <row r="4079" spans="2:2" ht="15.9" customHeight="1" x14ac:dyDescent="0.3">
      <c r="B4079" s="37"/>
    </row>
    <row r="4080" spans="2:2" ht="15.9" customHeight="1" x14ac:dyDescent="0.3">
      <c r="B4080" s="37"/>
    </row>
    <row r="4081" spans="2:2" ht="15.9" customHeight="1" x14ac:dyDescent="0.3">
      <c r="B4081" s="37"/>
    </row>
    <row r="4082" spans="2:2" ht="15.9" customHeight="1" x14ac:dyDescent="0.3">
      <c r="B4082" s="37"/>
    </row>
    <row r="4083" spans="2:2" ht="15.9" customHeight="1" x14ac:dyDescent="0.3">
      <c r="B4083" s="37"/>
    </row>
    <row r="4084" spans="2:2" ht="15.9" customHeight="1" x14ac:dyDescent="0.3">
      <c r="B4084" s="37"/>
    </row>
    <row r="4085" spans="2:2" ht="15.9" customHeight="1" x14ac:dyDescent="0.3">
      <c r="B4085" s="37"/>
    </row>
    <row r="4086" spans="2:2" ht="15.9" customHeight="1" x14ac:dyDescent="0.3">
      <c r="B4086" s="37"/>
    </row>
    <row r="4087" spans="2:2" ht="15.9" customHeight="1" x14ac:dyDescent="0.3">
      <c r="B4087" s="37"/>
    </row>
    <row r="4088" spans="2:2" ht="15.9" customHeight="1" x14ac:dyDescent="0.3">
      <c r="B4088" s="37"/>
    </row>
    <row r="4089" spans="2:2" ht="15.9" customHeight="1" x14ac:dyDescent="0.3">
      <c r="B4089" s="37"/>
    </row>
    <row r="4090" spans="2:2" ht="15.9" customHeight="1" x14ac:dyDescent="0.3">
      <c r="B4090" s="37"/>
    </row>
    <row r="4091" spans="2:2" ht="15.9" customHeight="1" x14ac:dyDescent="0.3">
      <c r="B4091" s="37"/>
    </row>
    <row r="4092" spans="2:2" ht="15.9" customHeight="1" x14ac:dyDescent="0.3">
      <c r="B4092" s="37"/>
    </row>
    <row r="4093" spans="2:2" ht="15.9" customHeight="1" x14ac:dyDescent="0.3">
      <c r="B4093" s="37"/>
    </row>
    <row r="4094" spans="2:2" ht="15.9" customHeight="1" x14ac:dyDescent="0.3">
      <c r="B4094" s="37"/>
    </row>
    <row r="4095" spans="2:2" ht="15.9" customHeight="1" x14ac:dyDescent="0.3">
      <c r="B4095" s="37"/>
    </row>
    <row r="4096" spans="2:2" ht="15.9" customHeight="1" x14ac:dyDescent="0.3">
      <c r="B4096" s="37"/>
    </row>
    <row r="4097" spans="2:2" ht="15.9" customHeight="1" x14ac:dyDescent="0.3">
      <c r="B4097" s="37"/>
    </row>
    <row r="4098" spans="2:2" ht="15.9" customHeight="1" x14ac:dyDescent="0.3">
      <c r="B4098" s="37"/>
    </row>
    <row r="4099" spans="2:2" ht="15.9" customHeight="1" x14ac:dyDescent="0.3">
      <c r="B4099" s="37"/>
    </row>
    <row r="4100" spans="2:2" ht="15.9" customHeight="1" x14ac:dyDescent="0.3">
      <c r="B4100" s="37"/>
    </row>
    <row r="4101" spans="2:2" ht="15.9" customHeight="1" x14ac:dyDescent="0.3">
      <c r="B4101" s="37"/>
    </row>
    <row r="4102" spans="2:2" ht="15.9" customHeight="1" x14ac:dyDescent="0.3">
      <c r="B4102" s="37"/>
    </row>
    <row r="4103" spans="2:2" ht="15.9" customHeight="1" x14ac:dyDescent="0.3">
      <c r="B4103" s="37"/>
    </row>
    <row r="4104" spans="2:2" ht="15.9" customHeight="1" x14ac:dyDescent="0.3">
      <c r="B4104" s="37"/>
    </row>
    <row r="4105" spans="2:2" ht="15.9" customHeight="1" x14ac:dyDescent="0.3">
      <c r="B4105" s="37"/>
    </row>
    <row r="4106" spans="2:2" ht="15.9" customHeight="1" x14ac:dyDescent="0.3">
      <c r="B4106" s="37"/>
    </row>
    <row r="4107" spans="2:2" ht="15.9" customHeight="1" x14ac:dyDescent="0.3">
      <c r="B4107" s="37"/>
    </row>
    <row r="4108" spans="2:2" ht="15.9" customHeight="1" x14ac:dyDescent="0.3">
      <c r="B4108" s="37"/>
    </row>
    <row r="4109" spans="2:2" ht="15.9" customHeight="1" x14ac:dyDescent="0.3">
      <c r="B4109" s="37"/>
    </row>
    <row r="4110" spans="2:2" ht="15.9" customHeight="1" x14ac:dyDescent="0.3">
      <c r="B4110" s="37"/>
    </row>
    <row r="4111" spans="2:2" ht="15.9" customHeight="1" x14ac:dyDescent="0.3">
      <c r="B4111" s="37"/>
    </row>
    <row r="4112" spans="2:2" ht="15.9" customHeight="1" x14ac:dyDescent="0.3">
      <c r="B4112" s="37"/>
    </row>
    <row r="4113" spans="2:2" ht="15.9" customHeight="1" x14ac:dyDescent="0.3">
      <c r="B4113" s="37"/>
    </row>
    <row r="4114" spans="2:2" ht="15.9" customHeight="1" x14ac:dyDescent="0.3">
      <c r="B4114" s="37"/>
    </row>
    <row r="4115" spans="2:2" ht="15.9" customHeight="1" x14ac:dyDescent="0.3">
      <c r="B4115" s="37"/>
    </row>
    <row r="4116" spans="2:2" ht="15.9" customHeight="1" x14ac:dyDescent="0.3">
      <c r="B4116" s="37"/>
    </row>
    <row r="4117" spans="2:2" ht="15.9" customHeight="1" x14ac:dyDescent="0.3">
      <c r="B4117" s="37"/>
    </row>
    <row r="4118" spans="2:2" ht="15.9" customHeight="1" x14ac:dyDescent="0.3">
      <c r="B4118" s="37"/>
    </row>
    <row r="4119" spans="2:2" ht="15.9" customHeight="1" x14ac:dyDescent="0.3">
      <c r="B4119" s="37"/>
    </row>
    <row r="4120" spans="2:2" ht="15.9" customHeight="1" x14ac:dyDescent="0.3">
      <c r="B4120" s="37"/>
    </row>
    <row r="4121" spans="2:2" ht="15.9" customHeight="1" x14ac:dyDescent="0.3">
      <c r="B4121" s="37"/>
    </row>
    <row r="4122" spans="2:2" ht="15.9" customHeight="1" x14ac:dyDescent="0.3">
      <c r="B4122" s="37"/>
    </row>
    <row r="4123" spans="2:2" ht="15.9" customHeight="1" x14ac:dyDescent="0.3">
      <c r="B4123" s="37"/>
    </row>
    <row r="4124" spans="2:2" ht="15.9" customHeight="1" x14ac:dyDescent="0.3">
      <c r="B4124" s="37"/>
    </row>
    <row r="4125" spans="2:2" ht="15.9" customHeight="1" x14ac:dyDescent="0.3">
      <c r="B4125" s="37"/>
    </row>
    <row r="4126" spans="2:2" ht="15.9" customHeight="1" x14ac:dyDescent="0.3">
      <c r="B4126" s="37"/>
    </row>
    <row r="4127" spans="2:2" ht="15.9" customHeight="1" x14ac:dyDescent="0.3">
      <c r="B4127" s="37"/>
    </row>
    <row r="4128" spans="2:2" ht="15.9" customHeight="1" x14ac:dyDescent="0.3">
      <c r="B4128" s="37"/>
    </row>
    <row r="4129" spans="2:2" ht="15.9" customHeight="1" x14ac:dyDescent="0.3">
      <c r="B4129" s="37"/>
    </row>
    <row r="4130" spans="2:2" ht="15.9" customHeight="1" x14ac:dyDescent="0.3">
      <c r="B4130" s="37"/>
    </row>
    <row r="4131" spans="2:2" ht="15.9" customHeight="1" x14ac:dyDescent="0.3">
      <c r="B4131" s="37"/>
    </row>
    <row r="4132" spans="2:2" ht="15.9" customHeight="1" x14ac:dyDescent="0.3">
      <c r="B4132" s="37"/>
    </row>
    <row r="4133" spans="2:2" ht="15.9" customHeight="1" x14ac:dyDescent="0.3">
      <c r="B4133" s="37"/>
    </row>
    <row r="4134" spans="2:2" ht="15.9" customHeight="1" x14ac:dyDescent="0.3">
      <c r="B4134" s="37"/>
    </row>
    <row r="4135" spans="2:2" ht="15.9" customHeight="1" x14ac:dyDescent="0.3">
      <c r="B4135" s="37"/>
    </row>
    <row r="4136" spans="2:2" ht="15.9" customHeight="1" x14ac:dyDescent="0.3">
      <c r="B4136" s="37"/>
    </row>
    <row r="4137" spans="2:2" ht="15.9" customHeight="1" x14ac:dyDescent="0.3">
      <c r="B4137" s="37"/>
    </row>
    <row r="4138" spans="2:2" ht="15.9" customHeight="1" x14ac:dyDescent="0.3">
      <c r="B4138" s="37"/>
    </row>
    <row r="4139" spans="2:2" ht="15.9" customHeight="1" x14ac:dyDescent="0.3">
      <c r="B4139" s="37"/>
    </row>
    <row r="4140" spans="2:2" ht="15.9" customHeight="1" x14ac:dyDescent="0.3">
      <c r="B4140" s="37"/>
    </row>
    <row r="4141" spans="2:2" ht="15.9" customHeight="1" x14ac:dyDescent="0.3">
      <c r="B4141" s="37"/>
    </row>
    <row r="4142" spans="2:2" ht="15.9" customHeight="1" x14ac:dyDescent="0.3">
      <c r="B4142" s="37"/>
    </row>
    <row r="4143" spans="2:2" ht="15.9" customHeight="1" x14ac:dyDescent="0.3">
      <c r="B4143" s="37"/>
    </row>
    <row r="4144" spans="2:2" ht="15.9" customHeight="1" x14ac:dyDescent="0.3">
      <c r="B4144" s="37"/>
    </row>
    <row r="4145" spans="2:2" ht="15.9" customHeight="1" x14ac:dyDescent="0.3">
      <c r="B4145" s="37"/>
    </row>
    <row r="4146" spans="2:2" ht="15.9" customHeight="1" x14ac:dyDescent="0.3">
      <c r="B4146" s="37"/>
    </row>
    <row r="4147" spans="2:2" ht="15.9" customHeight="1" x14ac:dyDescent="0.3">
      <c r="B4147" s="37"/>
    </row>
    <row r="4148" spans="2:2" ht="15.9" customHeight="1" x14ac:dyDescent="0.3">
      <c r="B4148" s="37"/>
    </row>
    <row r="4149" spans="2:2" ht="15.9" customHeight="1" x14ac:dyDescent="0.3">
      <c r="B4149" s="37"/>
    </row>
    <row r="4150" spans="2:2" ht="15.9" customHeight="1" x14ac:dyDescent="0.3">
      <c r="B4150" s="37"/>
    </row>
    <row r="4151" spans="2:2" ht="15.9" customHeight="1" x14ac:dyDescent="0.3">
      <c r="B4151" s="37"/>
    </row>
    <row r="4152" spans="2:2" ht="15.9" customHeight="1" x14ac:dyDescent="0.3">
      <c r="B4152" s="37"/>
    </row>
    <row r="4153" spans="2:2" ht="15.9" customHeight="1" x14ac:dyDescent="0.3">
      <c r="B4153" s="37"/>
    </row>
    <row r="4154" spans="2:2" ht="15.9" customHeight="1" x14ac:dyDescent="0.3">
      <c r="B4154" s="37"/>
    </row>
    <row r="4155" spans="2:2" ht="15.9" customHeight="1" x14ac:dyDescent="0.3">
      <c r="B4155" s="37"/>
    </row>
    <row r="4156" spans="2:2" ht="15.9" customHeight="1" x14ac:dyDescent="0.3">
      <c r="B4156" s="37"/>
    </row>
    <row r="4157" spans="2:2" ht="15.9" customHeight="1" x14ac:dyDescent="0.3">
      <c r="B4157" s="37"/>
    </row>
    <row r="4158" spans="2:2" ht="15.9" customHeight="1" x14ac:dyDescent="0.3">
      <c r="B4158" s="37"/>
    </row>
    <row r="4159" spans="2:2" ht="15.9" customHeight="1" x14ac:dyDescent="0.3">
      <c r="B4159" s="37"/>
    </row>
    <row r="4160" spans="2:2" ht="15.9" customHeight="1" x14ac:dyDescent="0.3">
      <c r="B4160" s="37"/>
    </row>
    <row r="4161" spans="2:2" ht="15.9" customHeight="1" x14ac:dyDescent="0.3">
      <c r="B4161" s="37"/>
    </row>
    <row r="4162" spans="2:2" ht="15.9" customHeight="1" x14ac:dyDescent="0.3">
      <c r="B4162" s="37"/>
    </row>
    <row r="4163" spans="2:2" ht="15.9" customHeight="1" x14ac:dyDescent="0.3">
      <c r="B4163" s="37"/>
    </row>
    <row r="4164" spans="2:2" ht="15.9" customHeight="1" x14ac:dyDescent="0.3">
      <c r="B4164" s="37"/>
    </row>
    <row r="4165" spans="2:2" ht="15.9" customHeight="1" x14ac:dyDescent="0.3">
      <c r="B4165" s="37"/>
    </row>
    <row r="4166" spans="2:2" ht="15.9" customHeight="1" x14ac:dyDescent="0.3">
      <c r="B4166" s="37"/>
    </row>
    <row r="4167" spans="2:2" ht="15.9" customHeight="1" x14ac:dyDescent="0.3">
      <c r="B4167" s="37"/>
    </row>
    <row r="4168" spans="2:2" ht="15.9" customHeight="1" x14ac:dyDescent="0.3">
      <c r="B4168" s="37"/>
    </row>
    <row r="4169" spans="2:2" ht="15.9" customHeight="1" x14ac:dyDescent="0.3">
      <c r="B4169" s="37"/>
    </row>
    <row r="4170" spans="2:2" ht="15.9" customHeight="1" x14ac:dyDescent="0.3">
      <c r="B4170" s="37"/>
    </row>
    <row r="4171" spans="2:2" ht="15.9" customHeight="1" x14ac:dyDescent="0.3">
      <c r="B4171" s="37"/>
    </row>
    <row r="4172" spans="2:2" ht="15.9" customHeight="1" x14ac:dyDescent="0.3">
      <c r="B4172" s="37"/>
    </row>
    <row r="4173" spans="2:2" ht="15.9" customHeight="1" x14ac:dyDescent="0.3">
      <c r="B4173" s="37"/>
    </row>
    <row r="4174" spans="2:2" ht="15.9" customHeight="1" x14ac:dyDescent="0.3">
      <c r="B4174" s="37"/>
    </row>
    <row r="4175" spans="2:2" ht="15.9" customHeight="1" x14ac:dyDescent="0.3">
      <c r="B4175" s="37"/>
    </row>
    <row r="4176" spans="2:2" ht="15.9" customHeight="1" x14ac:dyDescent="0.3">
      <c r="B4176" s="37"/>
    </row>
    <row r="4177" spans="2:2" ht="15.9" customHeight="1" x14ac:dyDescent="0.3">
      <c r="B4177" s="37"/>
    </row>
    <row r="4178" spans="2:2" ht="15.9" customHeight="1" x14ac:dyDescent="0.3">
      <c r="B4178" s="37"/>
    </row>
    <row r="4179" spans="2:2" ht="15.9" customHeight="1" x14ac:dyDescent="0.3">
      <c r="B4179" s="37"/>
    </row>
    <row r="4180" spans="2:2" ht="15.9" customHeight="1" x14ac:dyDescent="0.3">
      <c r="B4180" s="37"/>
    </row>
    <row r="4181" spans="2:2" ht="15.9" customHeight="1" x14ac:dyDescent="0.3">
      <c r="B4181" s="37"/>
    </row>
    <row r="4182" spans="2:2" ht="15.9" customHeight="1" x14ac:dyDescent="0.3">
      <c r="B4182" s="37"/>
    </row>
    <row r="4183" spans="2:2" ht="15.9" customHeight="1" x14ac:dyDescent="0.3">
      <c r="B4183" s="37"/>
    </row>
    <row r="4184" spans="2:2" ht="15.9" customHeight="1" x14ac:dyDescent="0.3">
      <c r="B4184" s="37"/>
    </row>
    <row r="4185" spans="2:2" ht="15.9" customHeight="1" x14ac:dyDescent="0.3">
      <c r="B4185" s="37"/>
    </row>
    <row r="4186" spans="2:2" ht="15.9" customHeight="1" x14ac:dyDescent="0.3">
      <c r="B4186" s="37"/>
    </row>
    <row r="4187" spans="2:2" ht="15.9" customHeight="1" x14ac:dyDescent="0.3">
      <c r="B4187" s="37"/>
    </row>
    <row r="4188" spans="2:2" ht="15.9" customHeight="1" x14ac:dyDescent="0.3">
      <c r="B4188" s="37"/>
    </row>
    <row r="4189" spans="2:2" ht="15.9" customHeight="1" x14ac:dyDescent="0.3">
      <c r="B4189" s="37"/>
    </row>
    <row r="4190" spans="2:2" ht="15.9" customHeight="1" x14ac:dyDescent="0.3">
      <c r="B4190" s="37"/>
    </row>
    <row r="4191" spans="2:2" ht="15.9" customHeight="1" x14ac:dyDescent="0.3">
      <c r="B4191" s="37"/>
    </row>
    <row r="4192" spans="2:2" ht="15.9" customHeight="1" x14ac:dyDescent="0.3">
      <c r="B4192" s="37"/>
    </row>
    <row r="4193" spans="2:2" ht="15.9" customHeight="1" x14ac:dyDescent="0.3">
      <c r="B4193" s="37"/>
    </row>
    <row r="4194" spans="2:2" ht="15.9" customHeight="1" x14ac:dyDescent="0.3">
      <c r="B4194" s="37"/>
    </row>
    <row r="4195" spans="2:2" ht="15.9" customHeight="1" x14ac:dyDescent="0.3">
      <c r="B4195" s="37"/>
    </row>
    <row r="4196" spans="2:2" ht="15.9" customHeight="1" x14ac:dyDescent="0.3">
      <c r="B4196" s="37"/>
    </row>
    <row r="4197" spans="2:2" ht="15.9" customHeight="1" x14ac:dyDescent="0.3">
      <c r="B4197" s="37"/>
    </row>
    <row r="4198" spans="2:2" ht="15.9" customHeight="1" x14ac:dyDescent="0.3">
      <c r="B4198" s="37"/>
    </row>
    <row r="4199" spans="2:2" ht="15.9" customHeight="1" x14ac:dyDescent="0.3">
      <c r="B4199" s="37"/>
    </row>
    <row r="4200" spans="2:2" ht="15.9" customHeight="1" x14ac:dyDescent="0.3">
      <c r="B4200" s="37"/>
    </row>
    <row r="4201" spans="2:2" ht="15.9" customHeight="1" x14ac:dyDescent="0.3">
      <c r="B4201" s="37"/>
    </row>
    <row r="4202" spans="2:2" ht="15.9" customHeight="1" x14ac:dyDescent="0.3">
      <c r="B4202" s="37"/>
    </row>
    <row r="4203" spans="2:2" ht="15.9" customHeight="1" x14ac:dyDescent="0.3">
      <c r="B4203" s="37"/>
    </row>
    <row r="4204" spans="2:2" ht="15.9" customHeight="1" x14ac:dyDescent="0.3">
      <c r="B4204" s="37"/>
    </row>
    <row r="4205" spans="2:2" ht="15.9" customHeight="1" x14ac:dyDescent="0.3">
      <c r="B4205" s="37"/>
    </row>
    <row r="4206" spans="2:2" ht="15.9" customHeight="1" x14ac:dyDescent="0.3">
      <c r="B4206" s="37"/>
    </row>
    <row r="4207" spans="2:2" ht="15.9" customHeight="1" x14ac:dyDescent="0.3">
      <c r="B4207" s="37"/>
    </row>
    <row r="4208" spans="2:2" ht="15.9" customHeight="1" x14ac:dyDescent="0.3">
      <c r="B4208" s="37"/>
    </row>
    <row r="4209" spans="2:2" ht="15.9" customHeight="1" x14ac:dyDescent="0.3">
      <c r="B4209" s="37"/>
    </row>
    <row r="4210" spans="2:2" ht="15.9" customHeight="1" x14ac:dyDescent="0.3">
      <c r="B4210" s="37"/>
    </row>
    <row r="4211" spans="2:2" ht="15.9" customHeight="1" x14ac:dyDescent="0.3">
      <c r="B4211" s="37"/>
    </row>
    <row r="4212" spans="2:2" ht="15.9" customHeight="1" x14ac:dyDescent="0.3">
      <c r="B4212" s="37"/>
    </row>
    <row r="4213" spans="2:2" ht="15.9" customHeight="1" x14ac:dyDescent="0.3">
      <c r="B4213" s="37"/>
    </row>
    <row r="4214" spans="2:2" ht="15.9" customHeight="1" x14ac:dyDescent="0.3">
      <c r="B4214" s="37"/>
    </row>
    <row r="4215" spans="2:2" ht="15.9" customHeight="1" x14ac:dyDescent="0.3">
      <c r="B4215" s="37"/>
    </row>
    <row r="4216" spans="2:2" ht="15.9" customHeight="1" x14ac:dyDescent="0.3">
      <c r="B4216" s="37"/>
    </row>
    <row r="4217" spans="2:2" ht="15.9" customHeight="1" x14ac:dyDescent="0.3">
      <c r="B4217" s="37"/>
    </row>
    <row r="4218" spans="2:2" ht="15.9" customHeight="1" x14ac:dyDescent="0.3">
      <c r="B4218" s="37"/>
    </row>
    <row r="4219" spans="2:2" ht="15.9" customHeight="1" x14ac:dyDescent="0.3">
      <c r="B4219" s="37"/>
    </row>
    <row r="4220" spans="2:2" ht="15.9" customHeight="1" x14ac:dyDescent="0.3">
      <c r="B4220" s="37"/>
    </row>
    <row r="4221" spans="2:2" ht="15.9" customHeight="1" x14ac:dyDescent="0.3">
      <c r="B4221" s="37"/>
    </row>
    <row r="4222" spans="2:2" ht="15.9" customHeight="1" x14ac:dyDescent="0.3">
      <c r="B4222" s="37"/>
    </row>
    <row r="4223" spans="2:2" ht="15.9" customHeight="1" x14ac:dyDescent="0.3">
      <c r="B4223" s="37"/>
    </row>
    <row r="4224" spans="2:2" ht="15.9" customHeight="1" x14ac:dyDescent="0.3">
      <c r="B4224" s="37"/>
    </row>
    <row r="4225" spans="2:2" ht="15.9" customHeight="1" x14ac:dyDescent="0.3">
      <c r="B4225" s="37"/>
    </row>
    <row r="4226" spans="2:2" ht="15.9" customHeight="1" x14ac:dyDescent="0.3">
      <c r="B4226" s="37"/>
    </row>
    <row r="4227" spans="2:2" ht="15.9" customHeight="1" x14ac:dyDescent="0.3">
      <c r="B4227" s="37"/>
    </row>
    <row r="4228" spans="2:2" ht="15.9" customHeight="1" x14ac:dyDescent="0.3">
      <c r="B4228" s="37"/>
    </row>
    <row r="4229" spans="2:2" ht="15.9" customHeight="1" x14ac:dyDescent="0.3">
      <c r="B4229" s="37"/>
    </row>
    <row r="4230" spans="2:2" ht="15.9" customHeight="1" x14ac:dyDescent="0.3">
      <c r="B4230" s="37"/>
    </row>
    <row r="4231" spans="2:2" ht="15.9" customHeight="1" x14ac:dyDescent="0.3">
      <c r="B4231" s="37"/>
    </row>
    <row r="4232" spans="2:2" ht="15.9" customHeight="1" x14ac:dyDescent="0.3">
      <c r="B4232" s="37"/>
    </row>
    <row r="4233" spans="2:2" ht="15.9" customHeight="1" x14ac:dyDescent="0.3">
      <c r="B4233" s="37"/>
    </row>
    <row r="4234" spans="2:2" ht="15.9" customHeight="1" x14ac:dyDescent="0.3">
      <c r="B4234" s="37"/>
    </row>
    <row r="4235" spans="2:2" ht="15.9" customHeight="1" x14ac:dyDescent="0.3">
      <c r="B4235" s="37"/>
    </row>
    <row r="4236" spans="2:2" ht="15.9" customHeight="1" x14ac:dyDescent="0.3">
      <c r="B4236" s="37"/>
    </row>
    <row r="4237" spans="2:2" ht="15.9" customHeight="1" x14ac:dyDescent="0.3">
      <c r="B4237" s="37"/>
    </row>
    <row r="4238" spans="2:2" ht="15.9" customHeight="1" x14ac:dyDescent="0.3">
      <c r="B4238" s="37"/>
    </row>
    <row r="4239" spans="2:2" ht="15.9" customHeight="1" x14ac:dyDescent="0.3">
      <c r="B4239" s="37"/>
    </row>
    <row r="4240" spans="2:2" ht="15.9" customHeight="1" x14ac:dyDescent="0.3">
      <c r="B4240" s="37"/>
    </row>
    <row r="4241" spans="2:2" ht="15.9" customHeight="1" x14ac:dyDescent="0.3">
      <c r="B4241" s="37"/>
    </row>
    <row r="4242" spans="2:2" ht="15.9" customHeight="1" x14ac:dyDescent="0.3">
      <c r="B4242" s="37"/>
    </row>
    <row r="4243" spans="2:2" ht="15.9" customHeight="1" x14ac:dyDescent="0.3">
      <c r="B4243" s="37"/>
    </row>
    <row r="4244" spans="2:2" ht="15.9" customHeight="1" x14ac:dyDescent="0.3">
      <c r="B4244" s="37"/>
    </row>
    <row r="4245" spans="2:2" ht="15.9" customHeight="1" x14ac:dyDescent="0.3">
      <c r="B4245" s="37"/>
    </row>
    <row r="4246" spans="2:2" ht="15.9" customHeight="1" x14ac:dyDescent="0.3">
      <c r="B4246" s="37"/>
    </row>
    <row r="4247" spans="2:2" ht="15.9" customHeight="1" x14ac:dyDescent="0.3">
      <c r="B4247" s="37"/>
    </row>
    <row r="4248" spans="2:2" ht="15.9" customHeight="1" x14ac:dyDescent="0.3">
      <c r="B4248" s="37"/>
    </row>
    <row r="4249" spans="2:2" ht="15.9" customHeight="1" x14ac:dyDescent="0.3">
      <c r="B4249" s="37"/>
    </row>
    <row r="4250" spans="2:2" ht="15.9" customHeight="1" x14ac:dyDescent="0.3">
      <c r="B4250" s="37"/>
    </row>
    <row r="4251" spans="2:2" ht="15.9" customHeight="1" x14ac:dyDescent="0.3">
      <c r="B4251" s="37"/>
    </row>
    <row r="4252" spans="2:2" ht="15.9" customHeight="1" x14ac:dyDescent="0.3">
      <c r="B4252" s="37"/>
    </row>
    <row r="4253" spans="2:2" ht="15.9" customHeight="1" x14ac:dyDescent="0.3">
      <c r="B4253" s="37"/>
    </row>
    <row r="4254" spans="2:2" ht="15.9" customHeight="1" x14ac:dyDescent="0.3">
      <c r="B4254" s="37"/>
    </row>
    <row r="4255" spans="2:2" ht="15.9" customHeight="1" x14ac:dyDescent="0.3">
      <c r="B4255" s="37"/>
    </row>
    <row r="4256" spans="2:2" ht="15.9" customHeight="1" x14ac:dyDescent="0.3">
      <c r="B4256" s="37"/>
    </row>
    <row r="4257" spans="2:2" ht="15.9" customHeight="1" x14ac:dyDescent="0.3">
      <c r="B4257" s="37"/>
    </row>
    <row r="4258" spans="2:2" ht="15.9" customHeight="1" x14ac:dyDescent="0.3">
      <c r="B4258" s="37"/>
    </row>
    <row r="4259" spans="2:2" ht="15.9" customHeight="1" x14ac:dyDescent="0.3">
      <c r="B4259" s="37"/>
    </row>
    <row r="4260" spans="2:2" ht="15.9" customHeight="1" x14ac:dyDescent="0.3">
      <c r="B4260" s="37"/>
    </row>
    <row r="4261" spans="2:2" ht="15.9" customHeight="1" x14ac:dyDescent="0.3">
      <c r="B4261" s="37"/>
    </row>
    <row r="4262" spans="2:2" ht="15.9" customHeight="1" x14ac:dyDescent="0.3">
      <c r="B4262" s="37"/>
    </row>
    <row r="4263" spans="2:2" ht="15.9" customHeight="1" x14ac:dyDescent="0.3">
      <c r="B4263" s="37"/>
    </row>
    <row r="4264" spans="2:2" ht="15.9" customHeight="1" x14ac:dyDescent="0.3">
      <c r="B4264" s="37"/>
    </row>
    <row r="4265" spans="2:2" ht="15.9" customHeight="1" x14ac:dyDescent="0.3">
      <c r="B4265" s="37"/>
    </row>
    <row r="4266" spans="2:2" ht="15.9" customHeight="1" x14ac:dyDescent="0.3">
      <c r="B4266" s="37"/>
    </row>
    <row r="4267" spans="2:2" ht="15.9" customHeight="1" x14ac:dyDescent="0.3">
      <c r="B4267" s="37"/>
    </row>
    <row r="4268" spans="2:2" ht="15.9" customHeight="1" x14ac:dyDescent="0.3">
      <c r="B4268" s="37"/>
    </row>
    <row r="4269" spans="2:2" ht="15.9" customHeight="1" x14ac:dyDescent="0.3">
      <c r="B4269" s="37"/>
    </row>
    <row r="4270" spans="2:2" ht="15.9" customHeight="1" x14ac:dyDescent="0.3">
      <c r="B4270" s="37"/>
    </row>
    <row r="4271" spans="2:2" ht="15.9" customHeight="1" x14ac:dyDescent="0.3">
      <c r="B4271" s="37"/>
    </row>
    <row r="4272" spans="2:2" ht="15.9" customHeight="1" x14ac:dyDescent="0.3">
      <c r="B4272" s="37"/>
    </row>
    <row r="4273" spans="2:2" ht="15.9" customHeight="1" x14ac:dyDescent="0.3">
      <c r="B4273" s="37"/>
    </row>
    <row r="4274" spans="2:2" ht="15.9" customHeight="1" x14ac:dyDescent="0.3">
      <c r="B4274" s="37"/>
    </row>
    <row r="4275" spans="2:2" ht="15.9" customHeight="1" x14ac:dyDescent="0.3">
      <c r="B4275" s="37"/>
    </row>
    <row r="4276" spans="2:2" ht="15.9" customHeight="1" x14ac:dyDescent="0.3">
      <c r="B4276" s="37"/>
    </row>
    <row r="4277" spans="2:2" ht="15.9" customHeight="1" x14ac:dyDescent="0.3">
      <c r="B4277" s="37"/>
    </row>
    <row r="4278" spans="2:2" ht="15.9" customHeight="1" x14ac:dyDescent="0.3">
      <c r="B4278" s="37"/>
    </row>
    <row r="4279" spans="2:2" ht="15.9" customHeight="1" x14ac:dyDescent="0.3">
      <c r="B4279" s="37"/>
    </row>
    <row r="4280" spans="2:2" ht="15.9" customHeight="1" x14ac:dyDescent="0.3">
      <c r="B4280" s="37"/>
    </row>
    <row r="4281" spans="2:2" ht="15.9" customHeight="1" x14ac:dyDescent="0.3">
      <c r="B4281" s="37"/>
    </row>
    <row r="4282" spans="2:2" ht="15.9" customHeight="1" x14ac:dyDescent="0.3">
      <c r="B4282" s="37"/>
    </row>
    <row r="4283" spans="2:2" ht="15.9" customHeight="1" x14ac:dyDescent="0.3">
      <c r="B4283" s="37"/>
    </row>
    <row r="4284" spans="2:2" ht="15.9" customHeight="1" x14ac:dyDescent="0.3">
      <c r="B4284" s="37"/>
    </row>
    <row r="4285" spans="2:2" ht="15.9" customHeight="1" x14ac:dyDescent="0.3">
      <c r="B4285" s="37"/>
    </row>
    <row r="4286" spans="2:2" ht="15.9" customHeight="1" x14ac:dyDescent="0.3">
      <c r="B4286" s="37"/>
    </row>
    <row r="4287" spans="2:2" ht="15.9" customHeight="1" x14ac:dyDescent="0.3">
      <c r="B4287" s="37"/>
    </row>
    <row r="4288" spans="2:2" ht="15.9" customHeight="1" x14ac:dyDescent="0.3">
      <c r="B4288" s="37"/>
    </row>
    <row r="4289" spans="2:2" ht="15.9" customHeight="1" x14ac:dyDescent="0.3">
      <c r="B4289" s="37"/>
    </row>
    <row r="4290" spans="2:2" ht="15.9" customHeight="1" x14ac:dyDescent="0.3">
      <c r="B4290" s="37"/>
    </row>
    <row r="4291" spans="2:2" ht="15.9" customHeight="1" x14ac:dyDescent="0.3">
      <c r="B4291" s="37"/>
    </row>
    <row r="4292" spans="2:2" ht="15.9" customHeight="1" x14ac:dyDescent="0.3">
      <c r="B4292" s="37"/>
    </row>
    <row r="4293" spans="2:2" ht="15.9" customHeight="1" x14ac:dyDescent="0.3">
      <c r="B4293" s="37"/>
    </row>
    <row r="4294" spans="2:2" ht="15.9" customHeight="1" x14ac:dyDescent="0.3">
      <c r="B4294" s="37"/>
    </row>
    <row r="4295" spans="2:2" ht="15.9" customHeight="1" x14ac:dyDescent="0.3">
      <c r="B4295" s="37"/>
    </row>
    <row r="4296" spans="2:2" ht="15.9" customHeight="1" x14ac:dyDescent="0.3">
      <c r="B4296" s="37"/>
    </row>
    <row r="4297" spans="2:2" ht="15.9" customHeight="1" x14ac:dyDescent="0.3">
      <c r="B4297" s="37"/>
    </row>
    <row r="4298" spans="2:2" ht="15.9" customHeight="1" x14ac:dyDescent="0.3">
      <c r="B4298" s="37"/>
    </row>
    <row r="4299" spans="2:2" ht="15.9" customHeight="1" x14ac:dyDescent="0.3">
      <c r="B4299" s="37"/>
    </row>
    <row r="4300" spans="2:2" ht="15.9" customHeight="1" x14ac:dyDescent="0.3">
      <c r="B4300" s="37"/>
    </row>
    <row r="4301" spans="2:2" ht="15.9" customHeight="1" x14ac:dyDescent="0.3">
      <c r="B4301" s="37"/>
    </row>
    <row r="4302" spans="2:2" ht="15.9" customHeight="1" x14ac:dyDescent="0.3">
      <c r="B4302" s="37"/>
    </row>
    <row r="4303" spans="2:2" ht="15.9" customHeight="1" x14ac:dyDescent="0.3">
      <c r="B4303" s="37"/>
    </row>
    <row r="4304" spans="2:2" ht="15.9" customHeight="1" x14ac:dyDescent="0.3">
      <c r="B4304" s="37"/>
    </row>
    <row r="4305" spans="2:2" ht="15.9" customHeight="1" x14ac:dyDescent="0.3">
      <c r="B4305" s="37"/>
    </row>
    <row r="4306" spans="2:2" ht="15.9" customHeight="1" x14ac:dyDescent="0.3">
      <c r="B4306" s="37"/>
    </row>
    <row r="4307" spans="2:2" ht="15.9" customHeight="1" x14ac:dyDescent="0.3">
      <c r="B4307" s="37"/>
    </row>
    <row r="4308" spans="2:2" ht="15.9" customHeight="1" x14ac:dyDescent="0.3">
      <c r="B4308" s="37"/>
    </row>
    <row r="4309" spans="2:2" ht="15.9" customHeight="1" x14ac:dyDescent="0.3">
      <c r="B4309" s="37"/>
    </row>
    <row r="4310" spans="2:2" ht="15.9" customHeight="1" x14ac:dyDescent="0.3">
      <c r="B4310" s="37"/>
    </row>
    <row r="4311" spans="2:2" ht="15.9" customHeight="1" x14ac:dyDescent="0.3">
      <c r="B4311" s="37"/>
    </row>
    <row r="4312" spans="2:2" ht="15.9" customHeight="1" x14ac:dyDescent="0.3">
      <c r="B4312" s="37"/>
    </row>
    <row r="4313" spans="2:2" ht="15.9" customHeight="1" x14ac:dyDescent="0.3">
      <c r="B4313" s="37"/>
    </row>
    <row r="4314" spans="2:2" ht="15.9" customHeight="1" x14ac:dyDescent="0.3">
      <c r="B4314" s="37"/>
    </row>
    <row r="4315" spans="2:2" ht="15.9" customHeight="1" x14ac:dyDescent="0.3">
      <c r="B4315" s="37"/>
    </row>
    <row r="4316" spans="2:2" ht="15.9" customHeight="1" x14ac:dyDescent="0.3">
      <c r="B4316" s="37"/>
    </row>
    <row r="4317" spans="2:2" ht="15.9" customHeight="1" x14ac:dyDescent="0.3">
      <c r="B4317" s="37"/>
    </row>
    <row r="4318" spans="2:2" ht="15.9" customHeight="1" x14ac:dyDescent="0.3">
      <c r="B4318" s="37"/>
    </row>
    <row r="4319" spans="2:2" ht="15.9" customHeight="1" x14ac:dyDescent="0.3">
      <c r="B4319" s="37"/>
    </row>
    <row r="4320" spans="2:2" ht="15.9" customHeight="1" x14ac:dyDescent="0.3">
      <c r="B4320" s="37"/>
    </row>
    <row r="4321" spans="2:2" ht="15.9" customHeight="1" x14ac:dyDescent="0.3">
      <c r="B4321" s="37"/>
    </row>
    <row r="4322" spans="2:2" ht="15.9" customHeight="1" x14ac:dyDescent="0.3">
      <c r="B4322" s="37"/>
    </row>
    <row r="4323" spans="2:2" ht="15.9" customHeight="1" x14ac:dyDescent="0.3">
      <c r="B4323" s="37"/>
    </row>
    <row r="4324" spans="2:2" ht="15.9" customHeight="1" x14ac:dyDescent="0.3">
      <c r="B4324" s="37"/>
    </row>
    <row r="4325" spans="2:2" ht="15.9" customHeight="1" x14ac:dyDescent="0.3">
      <c r="B4325" s="37"/>
    </row>
    <row r="4326" spans="2:2" ht="15.9" customHeight="1" x14ac:dyDescent="0.3">
      <c r="B4326" s="37"/>
    </row>
    <row r="4327" spans="2:2" ht="15.9" customHeight="1" x14ac:dyDescent="0.3">
      <c r="B4327" s="37"/>
    </row>
    <row r="4328" spans="2:2" ht="15.9" customHeight="1" x14ac:dyDescent="0.3">
      <c r="B4328" s="37"/>
    </row>
    <row r="4329" spans="2:2" ht="15.9" customHeight="1" x14ac:dyDescent="0.3">
      <c r="B4329" s="37"/>
    </row>
    <row r="4330" spans="2:2" ht="15.9" customHeight="1" x14ac:dyDescent="0.3">
      <c r="B4330" s="37"/>
    </row>
    <row r="4331" spans="2:2" ht="15.9" customHeight="1" x14ac:dyDescent="0.3">
      <c r="B4331" s="37"/>
    </row>
    <row r="4332" spans="2:2" ht="15.9" customHeight="1" x14ac:dyDescent="0.3">
      <c r="B4332" s="37"/>
    </row>
    <row r="4333" spans="2:2" ht="15.9" customHeight="1" x14ac:dyDescent="0.3">
      <c r="B4333" s="37"/>
    </row>
    <row r="4334" spans="2:2" ht="15.9" customHeight="1" x14ac:dyDescent="0.3">
      <c r="B4334" s="37"/>
    </row>
    <row r="4335" spans="2:2" ht="15.9" customHeight="1" x14ac:dyDescent="0.3">
      <c r="B4335" s="37"/>
    </row>
    <row r="4336" spans="2:2" ht="15.9" customHeight="1" x14ac:dyDescent="0.3">
      <c r="B4336" s="37"/>
    </row>
    <row r="4337" spans="2:2" ht="15.9" customHeight="1" x14ac:dyDescent="0.3">
      <c r="B4337" s="37"/>
    </row>
    <row r="4338" spans="2:2" ht="15.9" customHeight="1" x14ac:dyDescent="0.3">
      <c r="B4338" s="37"/>
    </row>
    <row r="4339" spans="2:2" ht="15.9" customHeight="1" x14ac:dyDescent="0.3">
      <c r="B4339" s="37"/>
    </row>
    <row r="4340" spans="2:2" ht="15.9" customHeight="1" x14ac:dyDescent="0.3">
      <c r="B4340" s="37"/>
    </row>
    <row r="4341" spans="2:2" ht="15.9" customHeight="1" x14ac:dyDescent="0.3">
      <c r="B4341" s="37"/>
    </row>
    <row r="4342" spans="2:2" ht="15.9" customHeight="1" x14ac:dyDescent="0.3">
      <c r="B4342" s="37"/>
    </row>
    <row r="4343" spans="2:2" ht="15.9" customHeight="1" x14ac:dyDescent="0.3">
      <c r="B4343" s="37"/>
    </row>
    <row r="4344" spans="2:2" ht="15.9" customHeight="1" x14ac:dyDescent="0.3">
      <c r="B4344" s="37"/>
    </row>
    <row r="4345" spans="2:2" ht="15.9" customHeight="1" x14ac:dyDescent="0.3">
      <c r="B4345" s="37"/>
    </row>
    <row r="4346" spans="2:2" ht="15.9" customHeight="1" x14ac:dyDescent="0.3">
      <c r="B4346" s="37"/>
    </row>
    <row r="4347" spans="2:2" ht="15.9" customHeight="1" x14ac:dyDescent="0.3">
      <c r="B4347" s="37"/>
    </row>
    <row r="4348" spans="2:2" ht="15.9" customHeight="1" x14ac:dyDescent="0.3">
      <c r="B4348" s="37"/>
    </row>
    <row r="4349" spans="2:2" ht="15.9" customHeight="1" x14ac:dyDescent="0.3">
      <c r="B4349" s="37"/>
    </row>
    <row r="4350" spans="2:2" ht="15.9" customHeight="1" x14ac:dyDescent="0.3">
      <c r="B4350" s="37"/>
    </row>
    <row r="4351" spans="2:2" ht="15.9" customHeight="1" x14ac:dyDescent="0.3">
      <c r="B4351" s="37"/>
    </row>
    <row r="4352" spans="2:2" ht="15.9" customHeight="1" x14ac:dyDescent="0.3">
      <c r="B4352" s="37"/>
    </row>
    <row r="4353" spans="2:2" ht="15.9" customHeight="1" x14ac:dyDescent="0.3">
      <c r="B4353" s="37"/>
    </row>
    <row r="4354" spans="2:2" ht="15.9" customHeight="1" x14ac:dyDescent="0.3">
      <c r="B4354" s="37"/>
    </row>
    <row r="4355" spans="2:2" ht="15.9" customHeight="1" x14ac:dyDescent="0.3">
      <c r="B4355" s="37"/>
    </row>
    <row r="4356" spans="2:2" ht="15.9" customHeight="1" x14ac:dyDescent="0.3">
      <c r="B4356" s="37"/>
    </row>
    <row r="4357" spans="2:2" ht="15.9" customHeight="1" x14ac:dyDescent="0.3">
      <c r="B4357" s="37"/>
    </row>
    <row r="4358" spans="2:2" ht="15.9" customHeight="1" x14ac:dyDescent="0.3">
      <c r="B4358" s="37"/>
    </row>
    <row r="4359" spans="2:2" ht="15.9" customHeight="1" x14ac:dyDescent="0.3">
      <c r="B4359" s="37"/>
    </row>
    <row r="4360" spans="2:2" ht="15.9" customHeight="1" x14ac:dyDescent="0.3">
      <c r="B4360" s="37"/>
    </row>
    <row r="4361" spans="2:2" ht="15.9" customHeight="1" x14ac:dyDescent="0.3">
      <c r="B4361" s="37"/>
    </row>
    <row r="4362" spans="2:2" ht="15.9" customHeight="1" x14ac:dyDescent="0.3">
      <c r="B4362" s="37"/>
    </row>
    <row r="4363" spans="2:2" ht="15.9" customHeight="1" x14ac:dyDescent="0.3">
      <c r="B4363" s="37"/>
    </row>
    <row r="4364" spans="2:2" ht="15.9" customHeight="1" x14ac:dyDescent="0.3">
      <c r="B4364" s="37"/>
    </row>
    <row r="4365" spans="2:2" ht="15.9" customHeight="1" x14ac:dyDescent="0.3">
      <c r="B4365" s="37"/>
    </row>
    <row r="4366" spans="2:2" ht="15.9" customHeight="1" x14ac:dyDescent="0.3">
      <c r="B4366" s="37"/>
    </row>
    <row r="4367" spans="2:2" ht="15.9" customHeight="1" x14ac:dyDescent="0.3">
      <c r="B4367" s="37"/>
    </row>
    <row r="4368" spans="2:2" ht="15.9" customHeight="1" x14ac:dyDescent="0.3">
      <c r="B4368" s="37"/>
    </row>
    <row r="4369" spans="2:2" ht="15.9" customHeight="1" x14ac:dyDescent="0.3">
      <c r="B4369" s="37"/>
    </row>
    <row r="4370" spans="2:2" ht="15.9" customHeight="1" x14ac:dyDescent="0.3">
      <c r="B4370" s="37"/>
    </row>
    <row r="4371" spans="2:2" ht="15.9" customHeight="1" x14ac:dyDescent="0.3">
      <c r="B4371" s="37"/>
    </row>
    <row r="4372" spans="2:2" ht="15.9" customHeight="1" x14ac:dyDescent="0.3">
      <c r="B4372" s="37"/>
    </row>
    <row r="4373" spans="2:2" ht="15.9" customHeight="1" x14ac:dyDescent="0.3">
      <c r="B4373" s="37"/>
    </row>
    <row r="4374" spans="2:2" ht="15.9" customHeight="1" x14ac:dyDescent="0.3">
      <c r="B4374" s="37"/>
    </row>
    <row r="4375" spans="2:2" ht="15.9" customHeight="1" x14ac:dyDescent="0.3">
      <c r="B4375" s="37"/>
    </row>
    <row r="4376" spans="2:2" ht="15.9" customHeight="1" x14ac:dyDescent="0.3">
      <c r="B4376" s="37"/>
    </row>
    <row r="4377" spans="2:2" ht="15.9" customHeight="1" x14ac:dyDescent="0.3">
      <c r="B4377" s="37"/>
    </row>
    <row r="4378" spans="2:2" ht="15.9" customHeight="1" x14ac:dyDescent="0.3">
      <c r="B4378" s="37"/>
    </row>
    <row r="4379" spans="2:2" ht="15.9" customHeight="1" x14ac:dyDescent="0.3">
      <c r="B4379" s="37"/>
    </row>
    <row r="4380" spans="2:2" ht="15.9" customHeight="1" x14ac:dyDescent="0.3">
      <c r="B4380" s="37"/>
    </row>
    <row r="4381" spans="2:2" ht="15.9" customHeight="1" x14ac:dyDescent="0.3">
      <c r="B4381" s="37"/>
    </row>
    <row r="4382" spans="2:2" ht="15.9" customHeight="1" x14ac:dyDescent="0.3">
      <c r="B4382" s="37"/>
    </row>
    <row r="4383" spans="2:2" ht="15.9" customHeight="1" x14ac:dyDescent="0.3">
      <c r="B4383" s="37"/>
    </row>
    <row r="4384" spans="2:2" ht="15.9" customHeight="1" x14ac:dyDescent="0.3">
      <c r="B4384" s="37"/>
    </row>
    <row r="4385" spans="2:2" ht="15.9" customHeight="1" x14ac:dyDescent="0.3">
      <c r="B4385" s="37"/>
    </row>
    <row r="4386" spans="2:2" ht="15.9" customHeight="1" x14ac:dyDescent="0.3">
      <c r="B4386" s="37"/>
    </row>
    <row r="4387" spans="2:2" ht="15.9" customHeight="1" x14ac:dyDescent="0.3">
      <c r="B4387" s="37"/>
    </row>
    <row r="4388" spans="2:2" ht="15.9" customHeight="1" x14ac:dyDescent="0.3">
      <c r="B4388" s="37"/>
    </row>
    <row r="4389" spans="2:2" ht="15.9" customHeight="1" x14ac:dyDescent="0.3">
      <c r="B4389" s="37"/>
    </row>
    <row r="4390" spans="2:2" ht="15.9" customHeight="1" x14ac:dyDescent="0.3">
      <c r="B4390" s="37"/>
    </row>
    <row r="4391" spans="2:2" ht="15.9" customHeight="1" x14ac:dyDescent="0.3">
      <c r="B4391" s="37"/>
    </row>
    <row r="4392" spans="2:2" ht="15.9" customHeight="1" x14ac:dyDescent="0.3">
      <c r="B4392" s="37"/>
    </row>
    <row r="4393" spans="2:2" ht="15.9" customHeight="1" x14ac:dyDescent="0.3">
      <c r="B4393" s="37"/>
    </row>
    <row r="4394" spans="2:2" ht="15.9" customHeight="1" x14ac:dyDescent="0.3">
      <c r="B4394" s="37"/>
    </row>
    <row r="4395" spans="2:2" ht="15.9" customHeight="1" x14ac:dyDescent="0.3">
      <c r="B4395" s="37"/>
    </row>
    <row r="4396" spans="2:2" ht="15.9" customHeight="1" x14ac:dyDescent="0.3">
      <c r="B4396" s="37"/>
    </row>
    <row r="4397" spans="2:2" ht="15.9" customHeight="1" x14ac:dyDescent="0.3">
      <c r="B4397" s="37"/>
    </row>
    <row r="4398" spans="2:2" ht="15.9" customHeight="1" x14ac:dyDescent="0.3">
      <c r="B4398" s="37"/>
    </row>
    <row r="4399" spans="2:2" ht="15.9" customHeight="1" x14ac:dyDescent="0.3">
      <c r="B4399" s="37"/>
    </row>
    <row r="4400" spans="2:2" ht="15.9" customHeight="1" x14ac:dyDescent="0.3">
      <c r="B4400" s="37"/>
    </row>
    <row r="4401" spans="2:2" ht="15.9" customHeight="1" x14ac:dyDescent="0.3">
      <c r="B4401" s="37"/>
    </row>
    <row r="4402" spans="2:2" ht="15.9" customHeight="1" x14ac:dyDescent="0.3">
      <c r="B4402" s="37"/>
    </row>
    <row r="4403" spans="2:2" ht="15.9" customHeight="1" x14ac:dyDescent="0.3">
      <c r="B4403" s="37"/>
    </row>
    <row r="4404" spans="2:2" ht="15.9" customHeight="1" x14ac:dyDescent="0.3">
      <c r="B4404" s="37"/>
    </row>
    <row r="4405" spans="2:2" ht="15.9" customHeight="1" x14ac:dyDescent="0.3">
      <c r="B4405" s="37"/>
    </row>
    <row r="4406" spans="2:2" ht="15.9" customHeight="1" x14ac:dyDescent="0.3">
      <c r="B4406" s="37"/>
    </row>
    <row r="4407" spans="2:2" ht="15.9" customHeight="1" x14ac:dyDescent="0.3">
      <c r="B4407" s="37"/>
    </row>
    <row r="4408" spans="2:2" ht="15.9" customHeight="1" x14ac:dyDescent="0.3">
      <c r="B4408" s="37"/>
    </row>
    <row r="4409" spans="2:2" ht="15.9" customHeight="1" x14ac:dyDescent="0.3">
      <c r="B4409" s="37"/>
    </row>
    <row r="4410" spans="2:2" ht="15.9" customHeight="1" x14ac:dyDescent="0.3">
      <c r="B4410" s="37"/>
    </row>
    <row r="4411" spans="2:2" ht="15.9" customHeight="1" x14ac:dyDescent="0.3">
      <c r="B4411" s="37"/>
    </row>
    <row r="4412" spans="2:2" ht="15.9" customHeight="1" x14ac:dyDescent="0.3">
      <c r="B4412" s="37"/>
    </row>
    <row r="4413" spans="2:2" ht="15.9" customHeight="1" x14ac:dyDescent="0.3">
      <c r="B4413" s="37"/>
    </row>
    <row r="4414" spans="2:2" ht="15.9" customHeight="1" x14ac:dyDescent="0.3">
      <c r="B4414" s="37"/>
    </row>
    <row r="4415" spans="2:2" ht="15.9" customHeight="1" x14ac:dyDescent="0.3">
      <c r="B4415" s="37"/>
    </row>
    <row r="4416" spans="2:2" ht="15.9" customHeight="1" x14ac:dyDescent="0.3">
      <c r="B4416" s="37"/>
    </row>
    <row r="4417" spans="2:2" ht="15.9" customHeight="1" x14ac:dyDescent="0.3">
      <c r="B4417" s="37"/>
    </row>
    <row r="4418" spans="2:2" ht="15.9" customHeight="1" x14ac:dyDescent="0.3">
      <c r="B4418" s="37"/>
    </row>
    <row r="4419" spans="2:2" ht="15.9" customHeight="1" x14ac:dyDescent="0.3">
      <c r="B4419" s="37"/>
    </row>
    <row r="4420" spans="2:2" ht="15.9" customHeight="1" x14ac:dyDescent="0.3">
      <c r="B4420" s="37"/>
    </row>
    <row r="4421" spans="2:2" ht="15.9" customHeight="1" x14ac:dyDescent="0.3">
      <c r="B4421" s="37"/>
    </row>
    <row r="4422" spans="2:2" ht="15.9" customHeight="1" x14ac:dyDescent="0.3">
      <c r="B4422" s="37"/>
    </row>
    <row r="4423" spans="2:2" ht="15.9" customHeight="1" x14ac:dyDescent="0.3">
      <c r="B4423" s="37"/>
    </row>
    <row r="4424" spans="2:2" ht="15.9" customHeight="1" x14ac:dyDescent="0.3">
      <c r="B4424" s="37"/>
    </row>
    <row r="4425" spans="2:2" ht="15.9" customHeight="1" x14ac:dyDescent="0.3">
      <c r="B4425" s="37"/>
    </row>
    <row r="4426" spans="2:2" ht="15.9" customHeight="1" x14ac:dyDescent="0.3">
      <c r="B4426" s="37"/>
    </row>
    <row r="4427" spans="2:2" ht="15.9" customHeight="1" x14ac:dyDescent="0.3">
      <c r="B4427" s="37"/>
    </row>
    <row r="4428" spans="2:2" ht="15.9" customHeight="1" x14ac:dyDescent="0.3">
      <c r="B4428" s="37"/>
    </row>
    <row r="4429" spans="2:2" ht="15.9" customHeight="1" x14ac:dyDescent="0.3">
      <c r="B4429" s="37"/>
    </row>
    <row r="4430" spans="2:2" ht="15.9" customHeight="1" x14ac:dyDescent="0.3">
      <c r="B4430" s="37"/>
    </row>
    <row r="4431" spans="2:2" ht="15.9" customHeight="1" x14ac:dyDescent="0.3">
      <c r="B4431" s="37"/>
    </row>
    <row r="4432" spans="2:2" ht="15.9" customHeight="1" x14ac:dyDescent="0.3">
      <c r="B4432" s="37"/>
    </row>
    <row r="4433" spans="2:2" ht="15.9" customHeight="1" x14ac:dyDescent="0.3">
      <c r="B4433" s="37"/>
    </row>
    <row r="4434" spans="2:2" ht="15.9" customHeight="1" x14ac:dyDescent="0.3">
      <c r="B4434" s="37"/>
    </row>
    <row r="4435" spans="2:2" ht="15.9" customHeight="1" x14ac:dyDescent="0.3">
      <c r="B4435" s="37"/>
    </row>
    <row r="4436" spans="2:2" ht="15.9" customHeight="1" x14ac:dyDescent="0.3">
      <c r="B4436" s="37"/>
    </row>
    <row r="4437" spans="2:2" ht="15.9" customHeight="1" x14ac:dyDescent="0.3">
      <c r="B4437" s="37"/>
    </row>
    <row r="4438" spans="2:2" ht="15.9" customHeight="1" x14ac:dyDescent="0.3">
      <c r="B4438" s="37"/>
    </row>
    <row r="4439" spans="2:2" ht="15.9" customHeight="1" x14ac:dyDescent="0.3">
      <c r="B4439" s="37"/>
    </row>
    <row r="4440" spans="2:2" ht="15.9" customHeight="1" x14ac:dyDescent="0.3">
      <c r="B4440" s="37"/>
    </row>
    <row r="4441" spans="2:2" ht="15.9" customHeight="1" x14ac:dyDescent="0.3">
      <c r="B4441" s="37"/>
    </row>
    <row r="4442" spans="2:2" ht="15.9" customHeight="1" x14ac:dyDescent="0.3">
      <c r="B4442" s="37"/>
    </row>
    <row r="4443" spans="2:2" ht="15.9" customHeight="1" x14ac:dyDescent="0.3">
      <c r="B4443" s="37"/>
    </row>
    <row r="4444" spans="2:2" ht="15.9" customHeight="1" x14ac:dyDescent="0.3">
      <c r="B4444" s="37"/>
    </row>
    <row r="4445" spans="2:2" ht="15.9" customHeight="1" x14ac:dyDescent="0.3">
      <c r="B4445" s="37"/>
    </row>
    <row r="4446" spans="2:2" ht="15.9" customHeight="1" x14ac:dyDescent="0.3">
      <c r="B4446" s="37"/>
    </row>
    <row r="4447" spans="2:2" ht="15.9" customHeight="1" x14ac:dyDescent="0.3">
      <c r="B4447" s="37"/>
    </row>
    <row r="4448" spans="2:2" ht="15.9" customHeight="1" x14ac:dyDescent="0.3">
      <c r="B4448" s="37"/>
    </row>
    <row r="4449" spans="2:2" ht="15.9" customHeight="1" x14ac:dyDescent="0.3">
      <c r="B4449" s="37"/>
    </row>
    <row r="4450" spans="2:2" ht="15.9" customHeight="1" x14ac:dyDescent="0.3">
      <c r="B4450" s="37"/>
    </row>
    <row r="4451" spans="2:2" ht="15.9" customHeight="1" x14ac:dyDescent="0.3">
      <c r="B4451" s="37"/>
    </row>
    <row r="4452" spans="2:2" ht="15.9" customHeight="1" x14ac:dyDescent="0.3">
      <c r="B4452" s="37"/>
    </row>
    <row r="4453" spans="2:2" ht="15.9" customHeight="1" x14ac:dyDescent="0.3">
      <c r="B4453" s="37"/>
    </row>
    <row r="4454" spans="2:2" ht="15.9" customHeight="1" x14ac:dyDescent="0.3">
      <c r="B4454" s="37"/>
    </row>
    <row r="4455" spans="2:2" ht="15.9" customHeight="1" x14ac:dyDescent="0.3">
      <c r="B4455" s="37"/>
    </row>
    <row r="4456" spans="2:2" ht="15.9" customHeight="1" x14ac:dyDescent="0.3">
      <c r="B4456" s="37"/>
    </row>
    <row r="4457" spans="2:2" ht="15.9" customHeight="1" x14ac:dyDescent="0.3">
      <c r="B4457" s="37"/>
    </row>
    <row r="4458" spans="2:2" ht="15.9" customHeight="1" x14ac:dyDescent="0.3">
      <c r="B4458" s="37"/>
    </row>
    <row r="4459" spans="2:2" ht="15.9" customHeight="1" x14ac:dyDescent="0.3">
      <c r="B4459" s="37"/>
    </row>
    <row r="4460" spans="2:2" ht="15.9" customHeight="1" x14ac:dyDescent="0.3">
      <c r="B4460" s="37"/>
    </row>
    <row r="4461" spans="2:2" ht="15.9" customHeight="1" x14ac:dyDescent="0.3">
      <c r="B4461" s="37"/>
    </row>
    <row r="4462" spans="2:2" ht="15.9" customHeight="1" x14ac:dyDescent="0.3">
      <c r="B4462" s="37"/>
    </row>
    <row r="4463" spans="2:2" ht="15.9" customHeight="1" x14ac:dyDescent="0.3">
      <c r="B4463" s="37"/>
    </row>
    <row r="4464" spans="2:2" ht="15.9" customHeight="1" x14ac:dyDescent="0.3">
      <c r="B4464" s="37"/>
    </row>
    <row r="4465" spans="2:2" ht="15.9" customHeight="1" x14ac:dyDescent="0.3">
      <c r="B4465" s="37"/>
    </row>
    <row r="4466" spans="2:2" ht="15.9" customHeight="1" x14ac:dyDescent="0.3">
      <c r="B4466" s="37"/>
    </row>
    <row r="4467" spans="2:2" ht="15.9" customHeight="1" x14ac:dyDescent="0.3">
      <c r="B4467" s="37"/>
    </row>
    <row r="4468" spans="2:2" ht="15.9" customHeight="1" x14ac:dyDescent="0.3">
      <c r="B4468" s="37"/>
    </row>
    <row r="4469" spans="2:2" ht="15.9" customHeight="1" x14ac:dyDescent="0.3">
      <c r="B4469" s="37"/>
    </row>
    <row r="4470" spans="2:2" ht="15.9" customHeight="1" x14ac:dyDescent="0.3">
      <c r="B4470" s="37"/>
    </row>
    <row r="4471" spans="2:2" ht="15.9" customHeight="1" x14ac:dyDescent="0.3">
      <c r="B4471" s="37"/>
    </row>
    <row r="4472" spans="2:2" ht="15.9" customHeight="1" x14ac:dyDescent="0.3">
      <c r="B4472" s="37"/>
    </row>
    <row r="4473" spans="2:2" ht="15.9" customHeight="1" x14ac:dyDescent="0.3">
      <c r="B4473" s="37"/>
    </row>
    <row r="4474" spans="2:2" ht="15.9" customHeight="1" x14ac:dyDescent="0.3">
      <c r="B4474" s="37"/>
    </row>
    <row r="4475" spans="2:2" ht="15.9" customHeight="1" x14ac:dyDescent="0.3">
      <c r="B4475" s="37"/>
    </row>
    <row r="4476" spans="2:2" ht="15.9" customHeight="1" x14ac:dyDescent="0.3">
      <c r="B4476" s="37"/>
    </row>
    <row r="4477" spans="2:2" ht="15.9" customHeight="1" x14ac:dyDescent="0.3">
      <c r="B4477" s="37"/>
    </row>
    <row r="4478" spans="2:2" ht="15.9" customHeight="1" x14ac:dyDescent="0.3">
      <c r="B4478" s="37"/>
    </row>
    <row r="4479" spans="2:2" ht="15.9" customHeight="1" x14ac:dyDescent="0.3">
      <c r="B4479" s="37"/>
    </row>
    <row r="4480" spans="2:2" ht="15.9" customHeight="1" x14ac:dyDescent="0.3">
      <c r="B4480" s="37"/>
    </row>
    <row r="4481" spans="2:2" ht="15.9" customHeight="1" x14ac:dyDescent="0.3">
      <c r="B4481" s="37"/>
    </row>
    <row r="4482" spans="2:2" ht="15.9" customHeight="1" x14ac:dyDescent="0.3">
      <c r="B4482" s="37"/>
    </row>
    <row r="4483" spans="2:2" ht="15.9" customHeight="1" x14ac:dyDescent="0.3">
      <c r="B4483" s="37"/>
    </row>
    <row r="4484" spans="2:2" ht="15.9" customHeight="1" x14ac:dyDescent="0.3">
      <c r="B4484" s="37"/>
    </row>
    <row r="4485" spans="2:2" ht="15.9" customHeight="1" x14ac:dyDescent="0.3">
      <c r="B4485" s="37"/>
    </row>
    <row r="4486" spans="2:2" ht="15.9" customHeight="1" x14ac:dyDescent="0.3">
      <c r="B4486" s="37"/>
    </row>
    <row r="4487" spans="2:2" ht="15.9" customHeight="1" x14ac:dyDescent="0.3">
      <c r="B4487" s="37"/>
    </row>
    <row r="4488" spans="2:2" ht="15.9" customHeight="1" x14ac:dyDescent="0.3">
      <c r="B4488" s="37"/>
    </row>
    <row r="4489" spans="2:2" ht="15.9" customHeight="1" x14ac:dyDescent="0.3">
      <c r="B4489" s="37"/>
    </row>
    <row r="4490" spans="2:2" ht="15.9" customHeight="1" x14ac:dyDescent="0.3">
      <c r="B4490" s="37"/>
    </row>
    <row r="4491" spans="2:2" ht="15.9" customHeight="1" x14ac:dyDescent="0.3">
      <c r="B4491" s="37"/>
    </row>
    <row r="4492" spans="2:2" ht="15.9" customHeight="1" x14ac:dyDescent="0.3">
      <c r="B4492" s="37"/>
    </row>
    <row r="4493" spans="2:2" ht="15.9" customHeight="1" x14ac:dyDescent="0.3">
      <c r="B4493" s="37"/>
    </row>
    <row r="4494" spans="2:2" ht="15.9" customHeight="1" x14ac:dyDescent="0.3">
      <c r="B4494" s="37"/>
    </row>
    <row r="4495" spans="2:2" ht="15.9" customHeight="1" x14ac:dyDescent="0.3">
      <c r="B4495" s="37"/>
    </row>
    <row r="4496" spans="2:2" ht="15.9" customHeight="1" x14ac:dyDescent="0.3">
      <c r="B4496" s="37"/>
    </row>
    <row r="4497" spans="2:2" ht="15.9" customHeight="1" x14ac:dyDescent="0.3">
      <c r="B4497" s="37"/>
    </row>
    <row r="4498" spans="2:2" ht="15.9" customHeight="1" x14ac:dyDescent="0.3">
      <c r="B4498" s="37"/>
    </row>
    <row r="4499" spans="2:2" ht="15.9" customHeight="1" x14ac:dyDescent="0.3">
      <c r="B4499" s="37"/>
    </row>
    <row r="4500" spans="2:2" ht="15.9" customHeight="1" x14ac:dyDescent="0.3">
      <c r="B4500" s="37"/>
    </row>
    <row r="4501" spans="2:2" ht="15.9" customHeight="1" x14ac:dyDescent="0.3">
      <c r="B4501" s="37"/>
    </row>
    <row r="4502" spans="2:2" ht="15.9" customHeight="1" x14ac:dyDescent="0.3">
      <c r="B4502" s="37"/>
    </row>
    <row r="4503" spans="2:2" ht="15.9" customHeight="1" x14ac:dyDescent="0.3">
      <c r="B4503" s="37"/>
    </row>
    <row r="4504" spans="2:2" ht="15.9" customHeight="1" x14ac:dyDescent="0.3">
      <c r="B4504" s="37"/>
    </row>
    <row r="4505" spans="2:2" ht="15.9" customHeight="1" x14ac:dyDescent="0.3">
      <c r="B4505" s="37"/>
    </row>
    <row r="4506" spans="2:2" ht="15.9" customHeight="1" x14ac:dyDescent="0.3">
      <c r="B4506" s="37"/>
    </row>
    <row r="4507" spans="2:2" ht="15.9" customHeight="1" x14ac:dyDescent="0.3">
      <c r="B4507" s="37"/>
    </row>
    <row r="4508" spans="2:2" ht="15.9" customHeight="1" x14ac:dyDescent="0.3">
      <c r="B4508" s="37"/>
    </row>
    <row r="4509" spans="2:2" ht="15.9" customHeight="1" x14ac:dyDescent="0.3">
      <c r="B4509" s="37"/>
    </row>
    <row r="4510" spans="2:2" ht="15.9" customHeight="1" x14ac:dyDescent="0.3">
      <c r="B4510" s="37"/>
    </row>
    <row r="4511" spans="2:2" ht="15.9" customHeight="1" x14ac:dyDescent="0.3">
      <c r="B4511" s="37"/>
    </row>
    <row r="4512" spans="2:2" ht="15.9" customHeight="1" x14ac:dyDescent="0.3">
      <c r="B4512" s="37"/>
    </row>
    <row r="4513" spans="2:2" ht="15.9" customHeight="1" x14ac:dyDescent="0.3">
      <c r="B4513" s="37"/>
    </row>
    <row r="4514" spans="2:2" ht="15.9" customHeight="1" x14ac:dyDescent="0.3">
      <c r="B4514" s="37"/>
    </row>
    <row r="4515" spans="2:2" ht="15.9" customHeight="1" x14ac:dyDescent="0.3">
      <c r="B4515" s="37"/>
    </row>
    <row r="4516" spans="2:2" ht="15.9" customHeight="1" x14ac:dyDescent="0.3">
      <c r="B4516" s="37"/>
    </row>
    <row r="4517" spans="2:2" ht="15.9" customHeight="1" x14ac:dyDescent="0.3">
      <c r="B4517" s="37"/>
    </row>
    <row r="4518" spans="2:2" ht="15.9" customHeight="1" x14ac:dyDescent="0.3">
      <c r="B4518" s="37"/>
    </row>
    <row r="4519" spans="2:2" ht="15.9" customHeight="1" x14ac:dyDescent="0.3">
      <c r="B4519" s="37"/>
    </row>
    <row r="4520" spans="2:2" ht="15.9" customHeight="1" x14ac:dyDescent="0.3">
      <c r="B4520" s="37"/>
    </row>
    <row r="4521" spans="2:2" ht="15.9" customHeight="1" x14ac:dyDescent="0.3">
      <c r="B4521" s="37"/>
    </row>
    <row r="4522" spans="2:2" ht="15.9" customHeight="1" x14ac:dyDescent="0.3">
      <c r="B4522" s="37"/>
    </row>
    <row r="4523" spans="2:2" ht="15.9" customHeight="1" x14ac:dyDescent="0.3">
      <c r="B4523" s="37"/>
    </row>
    <row r="4524" spans="2:2" ht="15.9" customHeight="1" x14ac:dyDescent="0.3">
      <c r="B4524" s="37"/>
    </row>
    <row r="4525" spans="2:2" ht="15.9" customHeight="1" x14ac:dyDescent="0.3">
      <c r="B4525" s="37"/>
    </row>
    <row r="4526" spans="2:2" ht="15.9" customHeight="1" x14ac:dyDescent="0.3">
      <c r="B4526" s="37"/>
    </row>
    <row r="4527" spans="2:2" ht="15.9" customHeight="1" x14ac:dyDescent="0.3">
      <c r="B4527" s="37"/>
    </row>
    <row r="4528" spans="2:2" ht="15.9" customHeight="1" x14ac:dyDescent="0.3">
      <c r="B4528" s="37"/>
    </row>
    <row r="4529" spans="2:2" ht="15.9" customHeight="1" x14ac:dyDescent="0.3">
      <c r="B4529" s="37"/>
    </row>
    <row r="4530" spans="2:2" ht="15.9" customHeight="1" x14ac:dyDescent="0.3">
      <c r="B4530" s="37"/>
    </row>
    <row r="4531" spans="2:2" ht="15.9" customHeight="1" x14ac:dyDescent="0.3">
      <c r="B4531" s="37"/>
    </row>
    <row r="4532" spans="2:2" ht="15.9" customHeight="1" x14ac:dyDescent="0.3">
      <c r="B4532" s="37"/>
    </row>
    <row r="4533" spans="2:2" ht="15.9" customHeight="1" x14ac:dyDescent="0.3">
      <c r="B4533" s="37"/>
    </row>
    <row r="4534" spans="2:2" ht="15.9" customHeight="1" x14ac:dyDescent="0.3">
      <c r="B4534" s="37"/>
    </row>
    <row r="4535" spans="2:2" ht="15.9" customHeight="1" x14ac:dyDescent="0.3">
      <c r="B4535" s="37"/>
    </row>
    <row r="4536" spans="2:2" ht="15.9" customHeight="1" x14ac:dyDescent="0.3">
      <c r="B4536" s="37"/>
    </row>
    <row r="4537" spans="2:2" ht="15.9" customHeight="1" x14ac:dyDescent="0.3">
      <c r="B4537" s="37"/>
    </row>
    <row r="4538" spans="2:2" ht="15.9" customHeight="1" x14ac:dyDescent="0.3">
      <c r="B4538" s="37"/>
    </row>
    <row r="4539" spans="2:2" ht="15.9" customHeight="1" x14ac:dyDescent="0.3">
      <c r="B4539" s="37"/>
    </row>
    <row r="4540" spans="2:2" ht="15.9" customHeight="1" x14ac:dyDescent="0.3">
      <c r="B4540" s="37"/>
    </row>
    <row r="4541" spans="2:2" ht="15.9" customHeight="1" x14ac:dyDescent="0.3">
      <c r="B4541" s="37"/>
    </row>
    <row r="4542" spans="2:2" ht="15.9" customHeight="1" x14ac:dyDescent="0.3">
      <c r="B4542" s="37"/>
    </row>
    <row r="4543" spans="2:2" ht="15.9" customHeight="1" x14ac:dyDescent="0.3">
      <c r="B4543" s="37"/>
    </row>
    <row r="4544" spans="2:2" ht="15.9" customHeight="1" x14ac:dyDescent="0.3">
      <c r="B4544" s="37"/>
    </row>
    <row r="4545" spans="2:2" ht="15.9" customHeight="1" x14ac:dyDescent="0.3">
      <c r="B4545" s="37"/>
    </row>
    <row r="4546" spans="2:2" ht="15.9" customHeight="1" x14ac:dyDescent="0.3">
      <c r="B4546" s="37"/>
    </row>
    <row r="4547" spans="2:2" ht="15.9" customHeight="1" x14ac:dyDescent="0.3">
      <c r="B4547" s="37"/>
    </row>
    <row r="4548" spans="2:2" ht="15.9" customHeight="1" x14ac:dyDescent="0.3">
      <c r="B4548" s="37"/>
    </row>
    <row r="4549" spans="2:2" ht="15.9" customHeight="1" x14ac:dyDescent="0.3">
      <c r="B4549" s="37"/>
    </row>
    <row r="4550" spans="2:2" ht="15.9" customHeight="1" x14ac:dyDescent="0.3">
      <c r="B4550" s="37"/>
    </row>
    <row r="4551" spans="2:2" ht="15.9" customHeight="1" x14ac:dyDescent="0.3">
      <c r="B4551" s="37"/>
    </row>
    <row r="4552" spans="2:2" ht="15.9" customHeight="1" x14ac:dyDescent="0.3">
      <c r="B4552" s="37"/>
    </row>
    <row r="4553" spans="2:2" ht="15.9" customHeight="1" x14ac:dyDescent="0.3">
      <c r="B4553" s="37"/>
    </row>
    <row r="4554" spans="2:2" ht="15.9" customHeight="1" x14ac:dyDescent="0.3">
      <c r="B4554" s="37"/>
    </row>
    <row r="4555" spans="2:2" ht="15.9" customHeight="1" x14ac:dyDescent="0.3">
      <c r="B4555" s="37"/>
    </row>
    <row r="4556" spans="2:2" ht="15.9" customHeight="1" x14ac:dyDescent="0.3">
      <c r="B4556" s="37"/>
    </row>
    <row r="4557" spans="2:2" ht="15.9" customHeight="1" x14ac:dyDescent="0.3">
      <c r="B4557" s="37"/>
    </row>
    <row r="4558" spans="2:2" ht="15.9" customHeight="1" x14ac:dyDescent="0.3">
      <c r="B4558" s="37"/>
    </row>
    <row r="4559" spans="2:2" ht="15.9" customHeight="1" x14ac:dyDescent="0.3">
      <c r="B4559" s="37"/>
    </row>
    <row r="4560" spans="2:2" ht="15.9" customHeight="1" x14ac:dyDescent="0.3">
      <c r="B4560" s="37"/>
    </row>
    <row r="4561" spans="2:2" ht="15.9" customHeight="1" x14ac:dyDescent="0.3">
      <c r="B4561" s="37"/>
    </row>
    <row r="4562" spans="2:2" ht="15.9" customHeight="1" x14ac:dyDescent="0.3">
      <c r="B4562" s="37"/>
    </row>
    <row r="4563" spans="2:2" ht="15.9" customHeight="1" x14ac:dyDescent="0.3">
      <c r="B4563" s="37"/>
    </row>
    <row r="4564" spans="2:2" ht="15.9" customHeight="1" x14ac:dyDescent="0.3">
      <c r="B4564" s="37"/>
    </row>
    <row r="4565" spans="2:2" ht="15.9" customHeight="1" x14ac:dyDescent="0.3">
      <c r="B4565" s="37"/>
    </row>
    <row r="4566" spans="2:2" ht="15.9" customHeight="1" x14ac:dyDescent="0.3">
      <c r="B4566" s="37"/>
    </row>
    <row r="4567" spans="2:2" ht="15.9" customHeight="1" x14ac:dyDescent="0.3">
      <c r="B4567" s="37"/>
    </row>
    <row r="4568" spans="2:2" ht="15.9" customHeight="1" x14ac:dyDescent="0.3">
      <c r="B4568" s="37"/>
    </row>
    <row r="4569" spans="2:2" ht="15.9" customHeight="1" x14ac:dyDescent="0.3">
      <c r="B4569" s="37"/>
    </row>
    <row r="4570" spans="2:2" ht="15.9" customHeight="1" x14ac:dyDescent="0.3">
      <c r="B4570" s="37"/>
    </row>
    <row r="4571" spans="2:2" ht="15.9" customHeight="1" x14ac:dyDescent="0.3">
      <c r="B4571" s="37"/>
    </row>
    <row r="4572" spans="2:2" ht="15.9" customHeight="1" x14ac:dyDescent="0.3">
      <c r="B4572" s="37"/>
    </row>
    <row r="4573" spans="2:2" ht="15.9" customHeight="1" x14ac:dyDescent="0.3">
      <c r="B4573" s="37"/>
    </row>
    <row r="4574" spans="2:2" ht="15.9" customHeight="1" x14ac:dyDescent="0.3">
      <c r="B4574" s="37"/>
    </row>
    <row r="4575" spans="2:2" ht="15.9" customHeight="1" x14ac:dyDescent="0.3">
      <c r="B4575" s="37"/>
    </row>
    <row r="4576" spans="2:2" ht="15.9" customHeight="1" x14ac:dyDescent="0.3">
      <c r="B4576" s="37"/>
    </row>
    <row r="4577" spans="2:2" ht="15.9" customHeight="1" x14ac:dyDescent="0.3">
      <c r="B4577" s="37"/>
    </row>
    <row r="4578" spans="2:2" ht="15.9" customHeight="1" x14ac:dyDescent="0.3">
      <c r="B4578" s="37"/>
    </row>
    <row r="4579" spans="2:2" ht="15.9" customHeight="1" x14ac:dyDescent="0.3">
      <c r="B4579" s="37"/>
    </row>
    <row r="4580" spans="2:2" ht="15.9" customHeight="1" x14ac:dyDescent="0.3">
      <c r="B4580" s="37"/>
    </row>
    <row r="4581" spans="2:2" ht="15.9" customHeight="1" x14ac:dyDescent="0.3">
      <c r="B4581" s="37"/>
    </row>
    <row r="4582" spans="2:2" ht="15.9" customHeight="1" x14ac:dyDescent="0.3">
      <c r="B4582" s="37"/>
    </row>
    <row r="4583" spans="2:2" ht="15.9" customHeight="1" x14ac:dyDescent="0.3">
      <c r="B4583" s="37"/>
    </row>
    <row r="4584" spans="2:2" ht="15.9" customHeight="1" x14ac:dyDescent="0.3">
      <c r="B4584" s="37"/>
    </row>
    <row r="4585" spans="2:2" ht="15.9" customHeight="1" x14ac:dyDescent="0.3">
      <c r="B4585" s="37"/>
    </row>
    <row r="4586" spans="2:2" ht="15.9" customHeight="1" x14ac:dyDescent="0.3">
      <c r="B4586" s="37"/>
    </row>
    <row r="4587" spans="2:2" ht="15.9" customHeight="1" x14ac:dyDescent="0.3">
      <c r="B4587" s="37"/>
    </row>
    <row r="4588" spans="2:2" ht="15.9" customHeight="1" x14ac:dyDescent="0.3">
      <c r="B4588" s="37"/>
    </row>
    <row r="4589" spans="2:2" ht="15.9" customHeight="1" x14ac:dyDescent="0.3">
      <c r="B4589" s="37"/>
    </row>
    <row r="4590" spans="2:2" ht="15.9" customHeight="1" x14ac:dyDescent="0.3">
      <c r="B4590" s="37"/>
    </row>
    <row r="4591" spans="2:2" ht="15.9" customHeight="1" x14ac:dyDescent="0.3">
      <c r="B4591" s="37"/>
    </row>
    <row r="4592" spans="2:2" ht="15.9" customHeight="1" x14ac:dyDescent="0.3">
      <c r="B4592" s="37"/>
    </row>
    <row r="4593" spans="2:2" ht="15.9" customHeight="1" x14ac:dyDescent="0.3">
      <c r="B4593" s="37"/>
    </row>
    <row r="4594" spans="2:2" ht="15.9" customHeight="1" x14ac:dyDescent="0.3">
      <c r="B4594" s="37"/>
    </row>
    <row r="4595" spans="2:2" ht="15.9" customHeight="1" x14ac:dyDescent="0.3">
      <c r="B4595" s="37"/>
    </row>
    <row r="4596" spans="2:2" ht="15.9" customHeight="1" x14ac:dyDescent="0.3">
      <c r="B4596" s="37"/>
    </row>
    <row r="4597" spans="2:2" ht="15.9" customHeight="1" x14ac:dyDescent="0.3">
      <c r="B4597" s="37"/>
    </row>
    <row r="4598" spans="2:2" ht="15.9" customHeight="1" x14ac:dyDescent="0.3">
      <c r="B4598" s="37"/>
    </row>
    <row r="4599" spans="2:2" ht="15.9" customHeight="1" x14ac:dyDescent="0.3">
      <c r="B4599" s="37"/>
    </row>
    <row r="4600" spans="2:2" ht="15.9" customHeight="1" x14ac:dyDescent="0.3">
      <c r="B4600" s="37"/>
    </row>
    <row r="4601" spans="2:2" ht="15.9" customHeight="1" x14ac:dyDescent="0.3">
      <c r="B4601" s="37"/>
    </row>
    <row r="4602" spans="2:2" ht="15.9" customHeight="1" x14ac:dyDescent="0.3">
      <c r="B4602" s="37"/>
    </row>
    <row r="4603" spans="2:2" ht="15.9" customHeight="1" x14ac:dyDescent="0.3">
      <c r="B4603" s="37"/>
    </row>
    <row r="4604" spans="2:2" ht="15.9" customHeight="1" x14ac:dyDescent="0.3">
      <c r="B4604" s="37"/>
    </row>
    <row r="4605" spans="2:2" ht="15.9" customHeight="1" x14ac:dyDescent="0.3">
      <c r="B4605" s="37"/>
    </row>
    <row r="4606" spans="2:2" ht="15.9" customHeight="1" x14ac:dyDescent="0.3">
      <c r="B4606" s="37"/>
    </row>
    <row r="4607" spans="2:2" ht="15.9" customHeight="1" x14ac:dyDescent="0.3">
      <c r="B4607" s="37"/>
    </row>
    <row r="4608" spans="2:2" ht="15.9" customHeight="1" x14ac:dyDescent="0.3">
      <c r="B4608" s="37"/>
    </row>
    <row r="4609" spans="2:2" ht="15.9" customHeight="1" x14ac:dyDescent="0.3">
      <c r="B4609" s="37"/>
    </row>
    <row r="4610" spans="2:2" ht="15.9" customHeight="1" x14ac:dyDescent="0.3">
      <c r="B4610" s="37"/>
    </row>
    <row r="4611" spans="2:2" ht="15.9" customHeight="1" x14ac:dyDescent="0.3">
      <c r="B4611" s="37"/>
    </row>
    <row r="4612" spans="2:2" ht="15.9" customHeight="1" x14ac:dyDescent="0.3">
      <c r="B4612" s="37"/>
    </row>
    <row r="4613" spans="2:2" ht="15.9" customHeight="1" x14ac:dyDescent="0.3">
      <c r="B4613" s="37"/>
    </row>
    <row r="4614" spans="2:2" ht="15.9" customHeight="1" x14ac:dyDescent="0.3">
      <c r="B4614" s="37"/>
    </row>
    <row r="4615" spans="2:2" ht="15.9" customHeight="1" x14ac:dyDescent="0.3">
      <c r="B4615" s="37"/>
    </row>
    <row r="4616" spans="2:2" ht="15.9" customHeight="1" x14ac:dyDescent="0.3">
      <c r="B4616" s="37"/>
    </row>
    <row r="4617" spans="2:2" ht="15.9" customHeight="1" x14ac:dyDescent="0.3">
      <c r="B4617" s="37"/>
    </row>
    <row r="4618" spans="2:2" ht="15.9" customHeight="1" x14ac:dyDescent="0.3">
      <c r="B4618" s="37"/>
    </row>
    <row r="4619" spans="2:2" ht="15.9" customHeight="1" x14ac:dyDescent="0.3">
      <c r="B4619" s="37"/>
    </row>
    <row r="4620" spans="2:2" ht="15.9" customHeight="1" x14ac:dyDescent="0.3">
      <c r="B4620" s="37"/>
    </row>
    <row r="4621" spans="2:2" ht="15.9" customHeight="1" x14ac:dyDescent="0.3">
      <c r="B4621" s="37"/>
    </row>
    <row r="4622" spans="2:2" ht="15.9" customHeight="1" x14ac:dyDescent="0.3">
      <c r="B4622" s="37"/>
    </row>
    <row r="4623" spans="2:2" ht="15.9" customHeight="1" x14ac:dyDescent="0.3">
      <c r="B4623" s="37"/>
    </row>
    <row r="4624" spans="2:2" ht="15.9" customHeight="1" x14ac:dyDescent="0.3">
      <c r="B4624" s="37"/>
    </row>
    <row r="4625" spans="2:2" ht="15.9" customHeight="1" x14ac:dyDescent="0.3">
      <c r="B4625" s="37"/>
    </row>
    <row r="4626" spans="2:2" ht="15.9" customHeight="1" x14ac:dyDescent="0.3">
      <c r="B4626" s="37"/>
    </row>
    <row r="4627" spans="2:2" ht="15.9" customHeight="1" x14ac:dyDescent="0.3">
      <c r="B4627" s="37"/>
    </row>
    <row r="4628" spans="2:2" ht="15.9" customHeight="1" x14ac:dyDescent="0.3">
      <c r="B4628" s="37"/>
    </row>
    <row r="4629" spans="2:2" ht="15.9" customHeight="1" x14ac:dyDescent="0.3">
      <c r="B4629" s="37"/>
    </row>
    <row r="4630" spans="2:2" ht="15.9" customHeight="1" x14ac:dyDescent="0.3">
      <c r="B4630" s="37"/>
    </row>
    <row r="4631" spans="2:2" ht="15.9" customHeight="1" x14ac:dyDescent="0.3">
      <c r="B4631" s="37"/>
    </row>
    <row r="4632" spans="2:2" ht="15.9" customHeight="1" x14ac:dyDescent="0.3">
      <c r="B4632" s="37"/>
    </row>
    <row r="4633" spans="2:2" ht="15.9" customHeight="1" x14ac:dyDescent="0.3">
      <c r="B4633" s="37"/>
    </row>
    <row r="4634" spans="2:2" ht="15.9" customHeight="1" x14ac:dyDescent="0.3">
      <c r="B4634" s="37"/>
    </row>
    <row r="4635" spans="2:2" ht="15.9" customHeight="1" x14ac:dyDescent="0.3">
      <c r="B4635" s="37"/>
    </row>
    <row r="4636" spans="2:2" ht="15.9" customHeight="1" x14ac:dyDescent="0.3">
      <c r="B4636" s="37"/>
    </row>
    <row r="4637" spans="2:2" ht="15.9" customHeight="1" x14ac:dyDescent="0.3">
      <c r="B4637" s="37"/>
    </row>
    <row r="4638" spans="2:2" ht="15.9" customHeight="1" x14ac:dyDescent="0.3">
      <c r="B4638" s="37"/>
    </row>
    <row r="4639" spans="2:2" ht="15.9" customHeight="1" x14ac:dyDescent="0.3">
      <c r="B4639" s="37"/>
    </row>
    <row r="4640" spans="2:2" ht="15.9" customHeight="1" x14ac:dyDescent="0.3">
      <c r="B4640" s="37"/>
    </row>
    <row r="4641" spans="2:2" ht="15.9" customHeight="1" x14ac:dyDescent="0.3">
      <c r="B4641" s="37"/>
    </row>
    <row r="4642" spans="2:2" ht="15.9" customHeight="1" x14ac:dyDescent="0.3">
      <c r="B4642" s="37"/>
    </row>
    <row r="4643" spans="2:2" ht="15.9" customHeight="1" x14ac:dyDescent="0.3">
      <c r="B4643" s="37"/>
    </row>
    <row r="4644" spans="2:2" ht="15.9" customHeight="1" x14ac:dyDescent="0.3">
      <c r="B4644" s="37"/>
    </row>
    <row r="4645" spans="2:2" ht="15.9" customHeight="1" x14ac:dyDescent="0.3">
      <c r="B4645" s="37"/>
    </row>
    <row r="4646" spans="2:2" ht="15.9" customHeight="1" x14ac:dyDescent="0.3">
      <c r="B4646" s="37"/>
    </row>
    <row r="4647" spans="2:2" ht="15.9" customHeight="1" x14ac:dyDescent="0.3">
      <c r="B4647" s="37"/>
    </row>
    <row r="4648" spans="2:2" ht="15.9" customHeight="1" x14ac:dyDescent="0.3">
      <c r="B4648" s="37"/>
    </row>
    <row r="4649" spans="2:2" ht="15.9" customHeight="1" x14ac:dyDescent="0.3">
      <c r="B4649" s="37"/>
    </row>
    <row r="4650" spans="2:2" ht="15.9" customHeight="1" x14ac:dyDescent="0.3">
      <c r="B4650" s="37"/>
    </row>
    <row r="4651" spans="2:2" ht="15.9" customHeight="1" x14ac:dyDescent="0.3">
      <c r="B4651" s="37"/>
    </row>
    <row r="4652" spans="2:2" ht="15.9" customHeight="1" x14ac:dyDescent="0.3">
      <c r="B4652" s="37"/>
    </row>
    <row r="4653" spans="2:2" ht="15.9" customHeight="1" x14ac:dyDescent="0.3">
      <c r="B4653" s="37"/>
    </row>
    <row r="4654" spans="2:2" ht="15.9" customHeight="1" x14ac:dyDescent="0.3">
      <c r="B4654" s="37"/>
    </row>
    <row r="4655" spans="2:2" ht="15.9" customHeight="1" x14ac:dyDescent="0.3">
      <c r="B4655" s="37"/>
    </row>
    <row r="4656" spans="2:2" ht="15.9" customHeight="1" x14ac:dyDescent="0.3">
      <c r="B4656" s="37"/>
    </row>
    <row r="4657" spans="2:2" ht="15.9" customHeight="1" x14ac:dyDescent="0.3">
      <c r="B4657" s="37"/>
    </row>
    <row r="4658" spans="2:2" ht="15.9" customHeight="1" x14ac:dyDescent="0.3">
      <c r="B4658" s="37"/>
    </row>
    <row r="4659" spans="2:2" ht="15.9" customHeight="1" x14ac:dyDescent="0.3">
      <c r="B4659" s="37"/>
    </row>
    <row r="4660" spans="2:2" ht="15.9" customHeight="1" x14ac:dyDescent="0.3">
      <c r="B4660" s="37"/>
    </row>
    <row r="4661" spans="2:2" ht="15.9" customHeight="1" x14ac:dyDescent="0.3">
      <c r="B4661" s="37"/>
    </row>
    <row r="4662" spans="2:2" ht="15.9" customHeight="1" x14ac:dyDescent="0.3">
      <c r="B4662" s="37"/>
    </row>
    <row r="4663" spans="2:2" ht="15.9" customHeight="1" x14ac:dyDescent="0.3">
      <c r="B4663" s="37"/>
    </row>
    <row r="4664" spans="2:2" ht="15.9" customHeight="1" x14ac:dyDescent="0.3">
      <c r="B4664" s="37"/>
    </row>
    <row r="4665" spans="2:2" ht="15.9" customHeight="1" x14ac:dyDescent="0.3">
      <c r="B4665" s="37"/>
    </row>
    <row r="4666" spans="2:2" ht="15.9" customHeight="1" x14ac:dyDescent="0.3">
      <c r="B4666" s="37"/>
    </row>
    <row r="4667" spans="2:2" ht="15.9" customHeight="1" x14ac:dyDescent="0.3">
      <c r="B4667" s="37"/>
    </row>
    <row r="4668" spans="2:2" ht="15.9" customHeight="1" x14ac:dyDescent="0.3">
      <c r="B4668" s="37"/>
    </row>
    <row r="4669" spans="2:2" ht="15.9" customHeight="1" x14ac:dyDescent="0.3">
      <c r="B4669" s="37"/>
    </row>
    <row r="4670" spans="2:2" ht="15.9" customHeight="1" x14ac:dyDescent="0.3">
      <c r="B4670" s="37"/>
    </row>
    <row r="4671" spans="2:2" ht="15.9" customHeight="1" x14ac:dyDescent="0.3">
      <c r="B4671" s="37"/>
    </row>
    <row r="4672" spans="2:2" ht="15.9" customHeight="1" x14ac:dyDescent="0.3">
      <c r="B4672" s="37"/>
    </row>
    <row r="4673" spans="2:2" ht="15.9" customHeight="1" x14ac:dyDescent="0.3">
      <c r="B4673" s="37"/>
    </row>
    <row r="4674" spans="2:2" ht="15.9" customHeight="1" x14ac:dyDescent="0.3">
      <c r="B4674" s="37"/>
    </row>
    <row r="4675" spans="2:2" ht="15.9" customHeight="1" x14ac:dyDescent="0.3">
      <c r="B4675" s="37"/>
    </row>
    <row r="4676" spans="2:2" ht="15.9" customHeight="1" x14ac:dyDescent="0.3">
      <c r="B4676" s="37"/>
    </row>
    <row r="4677" spans="2:2" ht="15.9" customHeight="1" x14ac:dyDescent="0.3">
      <c r="B4677" s="37"/>
    </row>
    <row r="4678" spans="2:2" ht="15.9" customHeight="1" x14ac:dyDescent="0.3">
      <c r="B4678" s="37"/>
    </row>
    <row r="4679" spans="2:2" ht="15.9" customHeight="1" x14ac:dyDescent="0.3">
      <c r="B4679" s="37"/>
    </row>
    <row r="4680" spans="2:2" ht="15.9" customHeight="1" x14ac:dyDescent="0.3">
      <c r="B4680" s="37"/>
    </row>
    <row r="4681" spans="2:2" ht="15.9" customHeight="1" x14ac:dyDescent="0.3">
      <c r="B4681" s="37"/>
    </row>
    <row r="4682" spans="2:2" ht="15.9" customHeight="1" x14ac:dyDescent="0.3">
      <c r="B4682" s="37"/>
    </row>
    <row r="4683" spans="2:2" ht="15.9" customHeight="1" x14ac:dyDescent="0.3">
      <c r="B4683" s="37"/>
    </row>
    <row r="4684" spans="2:2" ht="15.9" customHeight="1" x14ac:dyDescent="0.3">
      <c r="B4684" s="37"/>
    </row>
    <row r="4685" spans="2:2" ht="15.9" customHeight="1" x14ac:dyDescent="0.3">
      <c r="B4685" s="37"/>
    </row>
    <row r="4686" spans="2:2" ht="15.9" customHeight="1" x14ac:dyDescent="0.3">
      <c r="B4686" s="37"/>
    </row>
    <row r="4687" spans="2:2" ht="15.9" customHeight="1" x14ac:dyDescent="0.3">
      <c r="B4687" s="37"/>
    </row>
    <row r="4688" spans="2:2" ht="15.9" customHeight="1" x14ac:dyDescent="0.3">
      <c r="B4688" s="37"/>
    </row>
    <row r="4689" spans="2:2" ht="15.9" customHeight="1" x14ac:dyDescent="0.3">
      <c r="B4689" s="37"/>
    </row>
    <row r="4690" spans="2:2" ht="15.9" customHeight="1" x14ac:dyDescent="0.3">
      <c r="B4690" s="37"/>
    </row>
    <row r="4691" spans="2:2" ht="15.9" customHeight="1" x14ac:dyDescent="0.3">
      <c r="B4691" s="37"/>
    </row>
    <row r="4692" spans="2:2" ht="15.9" customHeight="1" x14ac:dyDescent="0.3">
      <c r="B4692" s="37"/>
    </row>
    <row r="4693" spans="2:2" ht="15.9" customHeight="1" x14ac:dyDescent="0.3">
      <c r="B4693" s="37"/>
    </row>
    <row r="4694" spans="2:2" ht="15.9" customHeight="1" x14ac:dyDescent="0.3">
      <c r="B4694" s="37"/>
    </row>
    <row r="4695" spans="2:2" ht="15.9" customHeight="1" x14ac:dyDescent="0.3">
      <c r="B4695" s="37"/>
    </row>
    <row r="4696" spans="2:2" ht="15.9" customHeight="1" x14ac:dyDescent="0.3">
      <c r="B4696" s="37"/>
    </row>
    <row r="4697" spans="2:2" ht="15.9" customHeight="1" x14ac:dyDescent="0.3">
      <c r="B4697" s="37"/>
    </row>
    <row r="4698" spans="2:2" ht="15.9" customHeight="1" x14ac:dyDescent="0.3">
      <c r="B4698" s="37"/>
    </row>
    <row r="4699" spans="2:2" ht="15.9" customHeight="1" x14ac:dyDescent="0.3">
      <c r="B4699" s="37"/>
    </row>
    <row r="4700" spans="2:2" ht="15.9" customHeight="1" x14ac:dyDescent="0.3">
      <c r="B4700" s="37"/>
    </row>
    <row r="4701" spans="2:2" ht="15.9" customHeight="1" x14ac:dyDescent="0.3">
      <c r="B4701" s="37"/>
    </row>
    <row r="4702" spans="2:2" ht="15.9" customHeight="1" x14ac:dyDescent="0.3">
      <c r="B4702" s="37"/>
    </row>
    <row r="4703" spans="2:2" ht="15.9" customHeight="1" x14ac:dyDescent="0.3">
      <c r="B4703" s="37"/>
    </row>
    <row r="4704" spans="2:2" ht="15.9" customHeight="1" x14ac:dyDescent="0.3">
      <c r="B4704" s="37"/>
    </row>
    <row r="4705" spans="2:2" ht="15.9" customHeight="1" x14ac:dyDescent="0.3">
      <c r="B4705" s="37"/>
    </row>
    <row r="4706" spans="2:2" ht="15.9" customHeight="1" x14ac:dyDescent="0.3">
      <c r="B4706" s="37"/>
    </row>
    <row r="4707" spans="2:2" ht="15.9" customHeight="1" x14ac:dyDescent="0.3">
      <c r="B4707" s="37"/>
    </row>
    <row r="4708" spans="2:2" ht="15.9" customHeight="1" x14ac:dyDescent="0.3">
      <c r="B4708" s="37"/>
    </row>
    <row r="4709" spans="2:2" ht="15.9" customHeight="1" x14ac:dyDescent="0.3">
      <c r="B4709" s="37"/>
    </row>
    <row r="4710" spans="2:2" ht="15.9" customHeight="1" x14ac:dyDescent="0.3">
      <c r="B4710" s="37"/>
    </row>
    <row r="4711" spans="2:2" ht="15.9" customHeight="1" x14ac:dyDescent="0.3">
      <c r="B4711" s="37"/>
    </row>
    <row r="4712" spans="2:2" ht="15.9" customHeight="1" x14ac:dyDescent="0.3">
      <c r="B4712" s="37"/>
    </row>
    <row r="4713" spans="2:2" ht="15.9" customHeight="1" x14ac:dyDescent="0.3">
      <c r="B4713" s="37"/>
    </row>
    <row r="4714" spans="2:2" ht="15.9" customHeight="1" x14ac:dyDescent="0.3">
      <c r="B4714" s="37"/>
    </row>
    <row r="4715" spans="2:2" ht="15.9" customHeight="1" x14ac:dyDescent="0.3">
      <c r="B4715" s="37"/>
    </row>
    <row r="4716" spans="2:2" ht="15.9" customHeight="1" x14ac:dyDescent="0.3">
      <c r="B4716" s="37"/>
    </row>
    <row r="4717" spans="2:2" ht="15.9" customHeight="1" x14ac:dyDescent="0.3">
      <c r="B4717" s="37"/>
    </row>
    <row r="4718" spans="2:2" ht="15.9" customHeight="1" x14ac:dyDescent="0.3">
      <c r="B4718" s="37"/>
    </row>
    <row r="4719" spans="2:2" ht="15.9" customHeight="1" x14ac:dyDescent="0.3">
      <c r="B4719" s="37"/>
    </row>
    <row r="4720" spans="2:2" ht="15.9" customHeight="1" x14ac:dyDescent="0.3">
      <c r="B4720" s="37"/>
    </row>
    <row r="4721" spans="2:2" ht="15.9" customHeight="1" x14ac:dyDescent="0.3">
      <c r="B4721" s="37"/>
    </row>
    <row r="4722" spans="2:2" ht="15.9" customHeight="1" x14ac:dyDescent="0.3">
      <c r="B4722" s="37"/>
    </row>
    <row r="4723" spans="2:2" ht="15.9" customHeight="1" x14ac:dyDescent="0.3">
      <c r="B4723" s="37"/>
    </row>
    <row r="4724" spans="2:2" ht="15.9" customHeight="1" x14ac:dyDescent="0.3">
      <c r="B4724" s="37"/>
    </row>
    <row r="4725" spans="2:2" ht="15.9" customHeight="1" x14ac:dyDescent="0.3">
      <c r="B4725" s="37"/>
    </row>
    <row r="4726" spans="2:2" ht="15.9" customHeight="1" x14ac:dyDescent="0.3">
      <c r="B4726" s="37"/>
    </row>
    <row r="4727" spans="2:2" ht="15.9" customHeight="1" x14ac:dyDescent="0.3">
      <c r="B4727" s="37"/>
    </row>
    <row r="4728" spans="2:2" ht="15.9" customHeight="1" x14ac:dyDescent="0.3">
      <c r="B4728" s="37"/>
    </row>
    <row r="4729" spans="2:2" ht="15.9" customHeight="1" x14ac:dyDescent="0.3">
      <c r="B4729" s="37"/>
    </row>
    <row r="4730" spans="2:2" ht="15.9" customHeight="1" x14ac:dyDescent="0.3">
      <c r="B4730" s="37"/>
    </row>
    <row r="4731" spans="2:2" ht="15.9" customHeight="1" x14ac:dyDescent="0.3">
      <c r="B4731" s="37"/>
    </row>
    <row r="4732" spans="2:2" ht="15.9" customHeight="1" x14ac:dyDescent="0.3">
      <c r="B4732" s="37"/>
    </row>
    <row r="4733" spans="2:2" ht="15.9" customHeight="1" x14ac:dyDescent="0.3">
      <c r="B4733" s="37"/>
    </row>
    <row r="4734" spans="2:2" ht="15.9" customHeight="1" x14ac:dyDescent="0.3">
      <c r="B4734" s="37"/>
    </row>
    <row r="4735" spans="2:2" ht="15.9" customHeight="1" x14ac:dyDescent="0.3">
      <c r="B4735" s="37"/>
    </row>
    <row r="4736" spans="2:2" ht="15.9" customHeight="1" x14ac:dyDescent="0.3">
      <c r="B4736" s="37"/>
    </row>
    <row r="4737" spans="2:2" ht="15.9" customHeight="1" x14ac:dyDescent="0.3">
      <c r="B4737" s="37"/>
    </row>
    <row r="4738" spans="2:2" ht="15.9" customHeight="1" x14ac:dyDescent="0.3">
      <c r="B4738" s="37"/>
    </row>
    <row r="4739" spans="2:2" ht="15.9" customHeight="1" x14ac:dyDescent="0.3">
      <c r="B4739" s="37"/>
    </row>
    <row r="4740" spans="2:2" ht="15.9" customHeight="1" x14ac:dyDescent="0.3">
      <c r="B4740" s="37"/>
    </row>
    <row r="4741" spans="2:2" ht="15.9" customHeight="1" x14ac:dyDescent="0.3">
      <c r="B4741" s="37"/>
    </row>
    <row r="4742" spans="2:2" ht="15.9" customHeight="1" x14ac:dyDescent="0.3">
      <c r="B4742" s="37"/>
    </row>
    <row r="4743" spans="2:2" ht="15.9" customHeight="1" x14ac:dyDescent="0.3">
      <c r="B4743" s="37"/>
    </row>
    <row r="4744" spans="2:2" ht="15.9" customHeight="1" x14ac:dyDescent="0.3">
      <c r="B4744" s="37"/>
    </row>
    <row r="4745" spans="2:2" ht="15.9" customHeight="1" x14ac:dyDescent="0.3">
      <c r="B4745" s="37"/>
    </row>
    <row r="4746" spans="2:2" ht="15.9" customHeight="1" x14ac:dyDescent="0.3">
      <c r="B4746" s="37"/>
    </row>
    <row r="4747" spans="2:2" ht="15.9" customHeight="1" x14ac:dyDescent="0.3">
      <c r="B4747" s="37"/>
    </row>
    <row r="4748" spans="2:2" ht="15.9" customHeight="1" x14ac:dyDescent="0.3">
      <c r="B4748" s="37"/>
    </row>
    <row r="4749" spans="2:2" ht="15.9" customHeight="1" x14ac:dyDescent="0.3">
      <c r="B4749" s="37"/>
    </row>
    <row r="4750" spans="2:2" ht="15.9" customHeight="1" x14ac:dyDescent="0.3">
      <c r="B4750" s="37"/>
    </row>
    <row r="4751" spans="2:2" ht="15.9" customHeight="1" x14ac:dyDescent="0.3">
      <c r="B4751" s="37"/>
    </row>
    <row r="4752" spans="2:2" ht="15.9" customHeight="1" x14ac:dyDescent="0.3">
      <c r="B4752" s="37"/>
    </row>
    <row r="4753" spans="2:2" ht="15.9" customHeight="1" x14ac:dyDescent="0.3">
      <c r="B4753" s="37"/>
    </row>
    <row r="4754" spans="2:2" ht="15.9" customHeight="1" x14ac:dyDescent="0.3">
      <c r="B4754" s="37"/>
    </row>
    <row r="4755" spans="2:2" ht="15.9" customHeight="1" x14ac:dyDescent="0.3">
      <c r="B4755" s="37"/>
    </row>
    <row r="4756" spans="2:2" ht="15.9" customHeight="1" x14ac:dyDescent="0.3">
      <c r="B4756" s="37"/>
    </row>
    <row r="4757" spans="2:2" ht="15.9" customHeight="1" x14ac:dyDescent="0.3">
      <c r="B4757" s="37"/>
    </row>
    <row r="4758" spans="2:2" ht="15.9" customHeight="1" x14ac:dyDescent="0.3">
      <c r="B4758" s="37"/>
    </row>
    <row r="4759" spans="2:2" ht="15.9" customHeight="1" x14ac:dyDescent="0.3">
      <c r="B4759" s="37"/>
    </row>
    <row r="4760" spans="2:2" ht="15.9" customHeight="1" x14ac:dyDescent="0.3">
      <c r="B4760" s="37"/>
    </row>
    <row r="4761" spans="2:2" ht="15.9" customHeight="1" x14ac:dyDescent="0.3">
      <c r="B4761" s="37"/>
    </row>
    <row r="4762" spans="2:2" ht="15.9" customHeight="1" x14ac:dyDescent="0.3">
      <c r="B4762" s="37"/>
    </row>
    <row r="4763" spans="2:2" ht="15.9" customHeight="1" x14ac:dyDescent="0.3">
      <c r="B4763" s="37"/>
    </row>
    <row r="4764" spans="2:2" ht="15.9" customHeight="1" x14ac:dyDescent="0.3">
      <c r="B4764" s="37"/>
    </row>
    <row r="4765" spans="2:2" ht="15.9" customHeight="1" x14ac:dyDescent="0.3">
      <c r="B4765" s="37"/>
    </row>
    <row r="4766" spans="2:2" ht="15.9" customHeight="1" x14ac:dyDescent="0.3">
      <c r="B4766" s="37"/>
    </row>
    <row r="4767" spans="2:2" ht="15.9" customHeight="1" x14ac:dyDescent="0.3">
      <c r="B4767" s="37"/>
    </row>
    <row r="4768" spans="2:2" ht="15.9" customHeight="1" x14ac:dyDescent="0.3">
      <c r="B4768" s="37"/>
    </row>
    <row r="4769" spans="2:2" ht="15.9" customHeight="1" x14ac:dyDescent="0.3">
      <c r="B4769" s="37"/>
    </row>
    <row r="4770" spans="2:2" ht="15.9" customHeight="1" x14ac:dyDescent="0.3">
      <c r="B4770" s="37"/>
    </row>
    <row r="4771" spans="2:2" ht="15.9" customHeight="1" x14ac:dyDescent="0.3">
      <c r="B4771" s="37"/>
    </row>
    <row r="4772" spans="2:2" ht="15.9" customHeight="1" x14ac:dyDescent="0.3">
      <c r="B4772" s="37"/>
    </row>
    <row r="4773" spans="2:2" ht="15.9" customHeight="1" x14ac:dyDescent="0.3">
      <c r="B4773" s="37"/>
    </row>
    <row r="4774" spans="2:2" ht="15.9" customHeight="1" x14ac:dyDescent="0.3">
      <c r="B4774" s="37"/>
    </row>
    <row r="4775" spans="2:2" ht="15.9" customHeight="1" x14ac:dyDescent="0.3">
      <c r="B4775" s="37"/>
    </row>
    <row r="4776" spans="2:2" ht="15.9" customHeight="1" x14ac:dyDescent="0.3">
      <c r="B4776" s="37"/>
    </row>
    <row r="4777" spans="2:2" ht="15.9" customHeight="1" x14ac:dyDescent="0.3">
      <c r="B4777" s="37"/>
    </row>
    <row r="4778" spans="2:2" ht="15.9" customHeight="1" x14ac:dyDescent="0.3">
      <c r="B4778" s="37"/>
    </row>
    <row r="4779" spans="2:2" ht="15.9" customHeight="1" x14ac:dyDescent="0.3">
      <c r="B4779" s="37"/>
    </row>
    <row r="4780" spans="2:2" ht="15.9" customHeight="1" x14ac:dyDescent="0.3">
      <c r="B4780" s="37"/>
    </row>
    <row r="4781" spans="2:2" ht="15.9" customHeight="1" x14ac:dyDescent="0.3">
      <c r="B4781" s="37"/>
    </row>
    <row r="4782" spans="2:2" ht="15.9" customHeight="1" x14ac:dyDescent="0.3">
      <c r="B4782" s="37"/>
    </row>
    <row r="4783" spans="2:2" ht="15.9" customHeight="1" x14ac:dyDescent="0.3">
      <c r="B4783" s="37"/>
    </row>
    <row r="4784" spans="2:2" ht="15.9" customHeight="1" x14ac:dyDescent="0.3">
      <c r="B4784" s="37"/>
    </row>
    <row r="4785" spans="2:2" ht="15.9" customHeight="1" x14ac:dyDescent="0.3">
      <c r="B4785" s="37"/>
    </row>
    <row r="4786" spans="2:2" ht="15.9" customHeight="1" x14ac:dyDescent="0.3">
      <c r="B4786" s="37"/>
    </row>
    <row r="4787" spans="2:2" ht="15.9" customHeight="1" x14ac:dyDescent="0.3">
      <c r="B4787" s="37"/>
    </row>
    <row r="4788" spans="2:2" ht="15.9" customHeight="1" x14ac:dyDescent="0.3">
      <c r="B4788" s="37"/>
    </row>
    <row r="4789" spans="2:2" ht="15.9" customHeight="1" x14ac:dyDescent="0.3">
      <c r="B4789" s="37"/>
    </row>
    <row r="4790" spans="2:2" ht="15.9" customHeight="1" x14ac:dyDescent="0.3">
      <c r="B4790" s="37"/>
    </row>
    <row r="4791" spans="2:2" ht="15.9" customHeight="1" x14ac:dyDescent="0.3">
      <c r="B4791" s="37"/>
    </row>
    <row r="4792" spans="2:2" ht="15.9" customHeight="1" x14ac:dyDescent="0.3">
      <c r="B4792" s="37"/>
    </row>
    <row r="4793" spans="2:2" ht="15.9" customHeight="1" x14ac:dyDescent="0.3">
      <c r="B4793" s="37"/>
    </row>
    <row r="4794" spans="2:2" ht="15.9" customHeight="1" x14ac:dyDescent="0.3">
      <c r="B4794" s="37"/>
    </row>
    <row r="4795" spans="2:2" ht="15.9" customHeight="1" x14ac:dyDescent="0.3">
      <c r="B4795" s="37"/>
    </row>
    <row r="4796" spans="2:2" ht="15.9" customHeight="1" x14ac:dyDescent="0.3">
      <c r="B4796" s="37"/>
    </row>
    <row r="4797" spans="2:2" ht="15.9" customHeight="1" x14ac:dyDescent="0.3">
      <c r="B4797" s="37"/>
    </row>
    <row r="4798" spans="2:2" ht="15.9" customHeight="1" x14ac:dyDescent="0.3">
      <c r="B4798" s="37"/>
    </row>
    <row r="4799" spans="2:2" ht="15.9" customHeight="1" x14ac:dyDescent="0.3">
      <c r="B4799" s="37"/>
    </row>
    <row r="4800" spans="2:2" ht="15.9" customHeight="1" x14ac:dyDescent="0.3">
      <c r="B4800" s="37"/>
    </row>
    <row r="4801" spans="2:2" ht="15.9" customHeight="1" x14ac:dyDescent="0.3">
      <c r="B4801" s="37"/>
    </row>
    <row r="4802" spans="2:2" ht="15.9" customHeight="1" x14ac:dyDescent="0.3">
      <c r="B4802" s="37"/>
    </row>
    <row r="4803" spans="2:2" ht="15.9" customHeight="1" x14ac:dyDescent="0.3">
      <c r="B4803" s="37"/>
    </row>
    <row r="4804" spans="2:2" ht="15.9" customHeight="1" x14ac:dyDescent="0.3">
      <c r="B4804" s="37"/>
    </row>
    <row r="4805" spans="2:2" ht="15.9" customHeight="1" x14ac:dyDescent="0.3">
      <c r="B4805" s="37"/>
    </row>
    <row r="4806" spans="2:2" ht="15.9" customHeight="1" x14ac:dyDescent="0.3">
      <c r="B4806" s="37"/>
    </row>
    <row r="4807" spans="2:2" ht="15.9" customHeight="1" x14ac:dyDescent="0.3">
      <c r="B4807" s="37"/>
    </row>
    <row r="4808" spans="2:2" ht="15.9" customHeight="1" x14ac:dyDescent="0.3">
      <c r="B4808" s="37"/>
    </row>
    <row r="4809" spans="2:2" ht="15.9" customHeight="1" x14ac:dyDescent="0.3">
      <c r="B4809" s="37"/>
    </row>
    <row r="4810" spans="2:2" ht="15.9" customHeight="1" x14ac:dyDescent="0.3">
      <c r="B4810" s="37"/>
    </row>
    <row r="4811" spans="2:2" ht="15.9" customHeight="1" x14ac:dyDescent="0.3">
      <c r="B4811" s="37"/>
    </row>
    <row r="4812" spans="2:2" ht="15.9" customHeight="1" x14ac:dyDescent="0.3">
      <c r="B4812" s="37"/>
    </row>
    <row r="4813" spans="2:2" ht="15.9" customHeight="1" x14ac:dyDescent="0.3">
      <c r="B4813" s="37"/>
    </row>
    <row r="4814" spans="2:2" ht="15.9" customHeight="1" x14ac:dyDescent="0.3">
      <c r="B4814" s="37"/>
    </row>
    <row r="4815" spans="2:2" ht="15.9" customHeight="1" x14ac:dyDescent="0.3">
      <c r="B4815" s="37"/>
    </row>
    <row r="4816" spans="2:2" ht="15.9" customHeight="1" x14ac:dyDescent="0.3">
      <c r="B4816" s="37"/>
    </row>
    <row r="4817" spans="2:2" ht="15.9" customHeight="1" x14ac:dyDescent="0.3">
      <c r="B4817" s="37"/>
    </row>
    <row r="4818" spans="2:2" ht="15.9" customHeight="1" x14ac:dyDescent="0.3">
      <c r="B4818" s="37"/>
    </row>
    <row r="4819" spans="2:2" ht="15.9" customHeight="1" x14ac:dyDescent="0.3">
      <c r="B4819" s="37"/>
    </row>
    <row r="4820" spans="2:2" ht="15.9" customHeight="1" x14ac:dyDescent="0.3">
      <c r="B4820" s="37"/>
    </row>
    <row r="4821" spans="2:2" ht="15.9" customHeight="1" x14ac:dyDescent="0.3">
      <c r="B4821" s="37"/>
    </row>
    <row r="4822" spans="2:2" ht="15.9" customHeight="1" x14ac:dyDescent="0.3">
      <c r="B4822" s="37"/>
    </row>
    <row r="4823" spans="2:2" ht="15.9" customHeight="1" x14ac:dyDescent="0.3">
      <c r="B4823" s="37"/>
    </row>
    <row r="4824" spans="2:2" ht="15.9" customHeight="1" x14ac:dyDescent="0.3">
      <c r="B4824" s="37"/>
    </row>
    <row r="4825" spans="2:2" ht="15.9" customHeight="1" x14ac:dyDescent="0.3">
      <c r="B4825" s="37"/>
    </row>
    <row r="4826" spans="2:2" ht="15.9" customHeight="1" x14ac:dyDescent="0.3">
      <c r="B4826" s="37"/>
    </row>
    <row r="4827" spans="2:2" ht="15.9" customHeight="1" x14ac:dyDescent="0.3">
      <c r="B4827" s="37"/>
    </row>
    <row r="4828" spans="2:2" ht="15.9" customHeight="1" x14ac:dyDescent="0.3">
      <c r="B4828" s="37"/>
    </row>
    <row r="4829" spans="2:2" ht="15.9" customHeight="1" x14ac:dyDescent="0.3">
      <c r="B4829" s="37"/>
    </row>
    <row r="4830" spans="2:2" ht="15.9" customHeight="1" x14ac:dyDescent="0.3">
      <c r="B4830" s="37"/>
    </row>
    <row r="4831" spans="2:2" ht="15.9" customHeight="1" x14ac:dyDescent="0.3">
      <c r="B4831" s="37"/>
    </row>
    <row r="4832" spans="2:2" ht="15.9" customHeight="1" x14ac:dyDescent="0.3">
      <c r="B4832" s="37"/>
    </row>
    <row r="4833" spans="2:2" ht="15.9" customHeight="1" x14ac:dyDescent="0.3">
      <c r="B4833" s="37"/>
    </row>
    <row r="4834" spans="2:2" ht="15.9" customHeight="1" x14ac:dyDescent="0.3">
      <c r="B4834" s="37"/>
    </row>
    <row r="4835" spans="2:2" ht="15.9" customHeight="1" x14ac:dyDescent="0.3">
      <c r="B4835" s="37"/>
    </row>
    <row r="4836" spans="2:2" ht="15.9" customHeight="1" x14ac:dyDescent="0.3">
      <c r="B4836" s="37"/>
    </row>
    <row r="4837" spans="2:2" ht="15.9" customHeight="1" x14ac:dyDescent="0.3">
      <c r="B4837" s="37"/>
    </row>
    <row r="4838" spans="2:2" ht="15.9" customHeight="1" x14ac:dyDescent="0.3">
      <c r="B4838" s="37"/>
    </row>
    <row r="4839" spans="2:2" ht="15.9" customHeight="1" x14ac:dyDescent="0.3">
      <c r="B4839" s="37"/>
    </row>
    <row r="4840" spans="2:2" ht="15.9" customHeight="1" x14ac:dyDescent="0.3">
      <c r="B4840" s="37"/>
    </row>
    <row r="4841" spans="2:2" ht="15.9" customHeight="1" x14ac:dyDescent="0.3">
      <c r="B4841" s="37"/>
    </row>
    <row r="4842" spans="2:2" ht="15.9" customHeight="1" x14ac:dyDescent="0.3">
      <c r="B4842" s="37"/>
    </row>
    <row r="4843" spans="2:2" ht="15.9" customHeight="1" x14ac:dyDescent="0.3">
      <c r="B4843" s="37"/>
    </row>
    <row r="4844" spans="2:2" ht="15.9" customHeight="1" x14ac:dyDescent="0.3">
      <c r="B4844" s="37"/>
    </row>
    <row r="4845" spans="2:2" ht="15.9" customHeight="1" x14ac:dyDescent="0.3">
      <c r="B4845" s="37"/>
    </row>
    <row r="4846" spans="2:2" ht="15.9" customHeight="1" x14ac:dyDescent="0.3">
      <c r="B4846" s="37"/>
    </row>
    <row r="4847" spans="2:2" ht="15.9" customHeight="1" x14ac:dyDescent="0.3">
      <c r="B4847" s="37"/>
    </row>
    <row r="4848" spans="2:2" ht="15.9" customHeight="1" x14ac:dyDescent="0.3">
      <c r="B4848" s="37"/>
    </row>
    <row r="4849" spans="2:2" ht="15.9" customHeight="1" x14ac:dyDescent="0.3">
      <c r="B4849" s="37"/>
    </row>
    <row r="4850" spans="2:2" ht="15.9" customHeight="1" x14ac:dyDescent="0.3">
      <c r="B4850" s="37"/>
    </row>
    <row r="4851" spans="2:2" ht="15.9" customHeight="1" x14ac:dyDescent="0.3">
      <c r="B4851" s="37"/>
    </row>
    <row r="4852" spans="2:2" ht="15.9" customHeight="1" x14ac:dyDescent="0.3">
      <c r="B4852" s="37"/>
    </row>
    <row r="4853" spans="2:2" ht="15.9" customHeight="1" x14ac:dyDescent="0.3">
      <c r="B4853" s="37"/>
    </row>
    <row r="4854" spans="2:2" ht="15.9" customHeight="1" x14ac:dyDescent="0.3">
      <c r="B4854" s="37"/>
    </row>
    <row r="4855" spans="2:2" ht="15.9" customHeight="1" x14ac:dyDescent="0.3">
      <c r="B4855" s="37"/>
    </row>
    <row r="4856" spans="2:2" ht="15.9" customHeight="1" x14ac:dyDescent="0.3">
      <c r="B4856" s="37"/>
    </row>
    <row r="4857" spans="2:2" ht="15.9" customHeight="1" x14ac:dyDescent="0.3">
      <c r="B4857" s="37"/>
    </row>
    <row r="4858" spans="2:2" ht="15.9" customHeight="1" x14ac:dyDescent="0.3">
      <c r="B4858" s="37"/>
    </row>
    <row r="4859" spans="2:2" ht="15.9" customHeight="1" x14ac:dyDescent="0.3">
      <c r="B4859" s="37"/>
    </row>
    <row r="4860" spans="2:2" ht="15.9" customHeight="1" x14ac:dyDescent="0.3">
      <c r="B4860" s="37"/>
    </row>
    <row r="4861" spans="2:2" ht="15.9" customHeight="1" x14ac:dyDescent="0.3">
      <c r="B4861" s="37"/>
    </row>
    <row r="4862" spans="2:2" ht="15.9" customHeight="1" x14ac:dyDescent="0.3">
      <c r="B4862" s="37"/>
    </row>
    <row r="4863" spans="2:2" ht="15.9" customHeight="1" x14ac:dyDescent="0.3">
      <c r="B4863" s="37"/>
    </row>
    <row r="4864" spans="2:2" ht="15.9" customHeight="1" x14ac:dyDescent="0.3">
      <c r="B4864" s="37"/>
    </row>
    <row r="4865" spans="2:2" ht="15.9" customHeight="1" x14ac:dyDescent="0.3">
      <c r="B4865" s="37"/>
    </row>
    <row r="4866" spans="2:2" ht="15.9" customHeight="1" x14ac:dyDescent="0.3">
      <c r="B4866" s="37"/>
    </row>
    <row r="4867" spans="2:2" ht="15.9" customHeight="1" x14ac:dyDescent="0.3">
      <c r="B4867" s="37"/>
    </row>
    <row r="4868" spans="2:2" ht="15.9" customHeight="1" x14ac:dyDescent="0.3">
      <c r="B4868" s="37"/>
    </row>
    <row r="4869" spans="2:2" ht="15.9" customHeight="1" x14ac:dyDescent="0.3">
      <c r="B4869" s="37"/>
    </row>
    <row r="4870" spans="2:2" ht="15.9" customHeight="1" x14ac:dyDescent="0.3">
      <c r="B4870" s="37"/>
    </row>
    <row r="4871" spans="2:2" ht="15.9" customHeight="1" x14ac:dyDescent="0.3">
      <c r="B4871" s="37"/>
    </row>
    <row r="4872" spans="2:2" ht="15.9" customHeight="1" x14ac:dyDescent="0.3">
      <c r="B4872" s="37"/>
    </row>
    <row r="4873" spans="2:2" ht="15.9" customHeight="1" x14ac:dyDescent="0.3">
      <c r="B4873" s="37"/>
    </row>
    <row r="4874" spans="2:2" ht="15.9" customHeight="1" x14ac:dyDescent="0.3">
      <c r="B4874" s="37"/>
    </row>
    <row r="4875" spans="2:2" ht="15.9" customHeight="1" x14ac:dyDescent="0.3">
      <c r="B4875" s="37"/>
    </row>
    <row r="4876" spans="2:2" ht="15.9" customHeight="1" x14ac:dyDescent="0.3">
      <c r="B4876" s="37"/>
    </row>
    <row r="4877" spans="2:2" ht="15.9" customHeight="1" x14ac:dyDescent="0.3">
      <c r="B4877" s="37"/>
    </row>
    <row r="4878" spans="2:2" ht="15.9" customHeight="1" x14ac:dyDescent="0.3">
      <c r="B4878" s="37"/>
    </row>
    <row r="4879" spans="2:2" ht="15.9" customHeight="1" x14ac:dyDescent="0.3">
      <c r="B4879" s="37"/>
    </row>
    <row r="4880" spans="2:2" ht="15.9" customHeight="1" x14ac:dyDescent="0.3">
      <c r="B4880" s="37"/>
    </row>
    <row r="4881" spans="2:2" ht="15.9" customHeight="1" x14ac:dyDescent="0.3">
      <c r="B4881" s="37"/>
    </row>
    <row r="4882" spans="2:2" ht="15.9" customHeight="1" x14ac:dyDescent="0.3">
      <c r="B4882" s="37"/>
    </row>
    <row r="4883" spans="2:2" ht="15.9" customHeight="1" x14ac:dyDescent="0.3">
      <c r="B4883" s="37"/>
    </row>
    <row r="4884" spans="2:2" ht="15.9" customHeight="1" x14ac:dyDescent="0.3">
      <c r="B4884" s="37"/>
    </row>
    <row r="4885" spans="2:2" ht="15.9" customHeight="1" x14ac:dyDescent="0.3">
      <c r="B4885" s="37"/>
    </row>
    <row r="4886" spans="2:2" ht="15.9" customHeight="1" x14ac:dyDescent="0.3">
      <c r="B4886" s="37"/>
    </row>
    <row r="4887" spans="2:2" ht="15.9" customHeight="1" x14ac:dyDescent="0.3">
      <c r="B4887" s="37"/>
    </row>
    <row r="4888" spans="2:2" ht="15.9" customHeight="1" x14ac:dyDescent="0.3">
      <c r="B4888" s="37"/>
    </row>
    <row r="4889" spans="2:2" ht="15.9" customHeight="1" x14ac:dyDescent="0.3">
      <c r="B4889" s="37"/>
    </row>
    <row r="4890" spans="2:2" ht="15.9" customHeight="1" x14ac:dyDescent="0.3">
      <c r="B4890" s="37"/>
    </row>
    <row r="4891" spans="2:2" ht="15.9" customHeight="1" x14ac:dyDescent="0.3">
      <c r="B4891" s="37"/>
    </row>
    <row r="4892" spans="2:2" ht="15.9" customHeight="1" x14ac:dyDescent="0.3">
      <c r="B4892" s="37"/>
    </row>
    <row r="4893" spans="2:2" ht="15.9" customHeight="1" x14ac:dyDescent="0.3">
      <c r="B4893" s="37"/>
    </row>
    <row r="4894" spans="2:2" ht="15.9" customHeight="1" x14ac:dyDescent="0.3">
      <c r="B4894" s="37"/>
    </row>
    <row r="4895" spans="2:2" ht="15.9" customHeight="1" x14ac:dyDescent="0.3">
      <c r="B4895" s="37"/>
    </row>
    <row r="4896" spans="2:2" ht="15.9" customHeight="1" x14ac:dyDescent="0.3">
      <c r="B4896" s="37"/>
    </row>
    <row r="4897" spans="2:2" ht="15.9" customHeight="1" x14ac:dyDescent="0.3">
      <c r="B4897" s="37"/>
    </row>
    <row r="4898" spans="2:2" ht="15.9" customHeight="1" x14ac:dyDescent="0.3">
      <c r="B4898" s="37"/>
    </row>
    <row r="4899" spans="2:2" ht="15.9" customHeight="1" x14ac:dyDescent="0.3">
      <c r="B4899" s="37"/>
    </row>
    <row r="4900" spans="2:2" ht="15.9" customHeight="1" x14ac:dyDescent="0.3">
      <c r="B4900" s="37"/>
    </row>
    <row r="4901" spans="2:2" ht="15.9" customHeight="1" x14ac:dyDescent="0.3">
      <c r="B4901" s="37"/>
    </row>
    <row r="4902" spans="2:2" ht="15.9" customHeight="1" x14ac:dyDescent="0.3">
      <c r="B4902" s="37"/>
    </row>
    <row r="4903" spans="2:2" ht="15.9" customHeight="1" x14ac:dyDescent="0.3">
      <c r="B4903" s="37"/>
    </row>
    <row r="4904" spans="2:2" ht="15.9" customHeight="1" x14ac:dyDescent="0.3">
      <c r="B4904" s="37"/>
    </row>
    <row r="4905" spans="2:2" ht="15.9" customHeight="1" x14ac:dyDescent="0.3">
      <c r="B4905" s="37"/>
    </row>
    <row r="4906" spans="2:2" ht="15.9" customHeight="1" x14ac:dyDescent="0.3">
      <c r="B4906" s="37"/>
    </row>
    <row r="4907" spans="2:2" ht="15.9" customHeight="1" x14ac:dyDescent="0.3">
      <c r="B4907" s="37"/>
    </row>
    <row r="4908" spans="2:2" ht="15.9" customHeight="1" x14ac:dyDescent="0.3">
      <c r="B4908" s="37"/>
    </row>
    <row r="4909" spans="2:2" ht="15.9" customHeight="1" x14ac:dyDescent="0.3">
      <c r="B4909" s="37"/>
    </row>
    <row r="4910" spans="2:2" ht="15.9" customHeight="1" x14ac:dyDescent="0.3">
      <c r="B4910" s="37"/>
    </row>
    <row r="4911" spans="2:2" ht="15.9" customHeight="1" x14ac:dyDescent="0.3">
      <c r="B4911" s="37"/>
    </row>
    <row r="4912" spans="2:2" ht="15.9" customHeight="1" x14ac:dyDescent="0.3">
      <c r="B4912" s="37"/>
    </row>
    <row r="4913" spans="2:2" ht="15.9" customHeight="1" x14ac:dyDescent="0.3">
      <c r="B4913" s="37"/>
    </row>
    <row r="4914" spans="2:2" ht="15.9" customHeight="1" x14ac:dyDescent="0.3">
      <c r="B4914" s="37"/>
    </row>
    <row r="4915" spans="2:2" ht="15.9" customHeight="1" x14ac:dyDescent="0.3">
      <c r="B4915" s="37"/>
    </row>
    <row r="4916" spans="2:2" ht="15.9" customHeight="1" x14ac:dyDescent="0.3">
      <c r="B4916" s="37"/>
    </row>
    <row r="4917" spans="2:2" ht="15.9" customHeight="1" x14ac:dyDescent="0.3">
      <c r="B4917" s="37"/>
    </row>
    <row r="4918" spans="2:2" ht="15.9" customHeight="1" x14ac:dyDescent="0.3">
      <c r="B4918" s="37"/>
    </row>
    <row r="4919" spans="2:2" ht="15.9" customHeight="1" x14ac:dyDescent="0.3">
      <c r="B4919" s="37"/>
    </row>
    <row r="4920" spans="2:2" ht="15.9" customHeight="1" x14ac:dyDescent="0.3">
      <c r="B4920" s="37"/>
    </row>
    <row r="4921" spans="2:2" ht="15.9" customHeight="1" x14ac:dyDescent="0.3">
      <c r="B4921" s="37"/>
    </row>
    <row r="4922" spans="2:2" ht="15.9" customHeight="1" x14ac:dyDescent="0.3">
      <c r="B4922" s="37"/>
    </row>
    <row r="4923" spans="2:2" ht="15.9" customHeight="1" x14ac:dyDescent="0.3">
      <c r="B4923" s="37"/>
    </row>
    <row r="4924" spans="2:2" ht="15.9" customHeight="1" x14ac:dyDescent="0.3">
      <c r="B4924" s="37"/>
    </row>
    <row r="4925" spans="2:2" ht="15.9" customHeight="1" x14ac:dyDescent="0.3">
      <c r="B4925" s="37"/>
    </row>
    <row r="4926" spans="2:2" ht="15.9" customHeight="1" x14ac:dyDescent="0.3">
      <c r="B4926" s="37"/>
    </row>
    <row r="4927" spans="2:2" ht="15.9" customHeight="1" x14ac:dyDescent="0.3">
      <c r="B4927" s="37"/>
    </row>
    <row r="4928" spans="2:2" ht="15.9" customHeight="1" x14ac:dyDescent="0.3">
      <c r="B4928" s="37"/>
    </row>
    <row r="4929" spans="2:2" ht="15.9" customHeight="1" x14ac:dyDescent="0.3">
      <c r="B4929" s="37"/>
    </row>
    <row r="4930" spans="2:2" ht="15.9" customHeight="1" x14ac:dyDescent="0.3">
      <c r="B4930" s="37"/>
    </row>
    <row r="4931" spans="2:2" ht="15.9" customHeight="1" x14ac:dyDescent="0.3">
      <c r="B4931" s="37"/>
    </row>
    <row r="4932" spans="2:2" ht="15.9" customHeight="1" x14ac:dyDescent="0.3">
      <c r="B4932" s="37"/>
    </row>
    <row r="4933" spans="2:2" ht="15.9" customHeight="1" x14ac:dyDescent="0.3">
      <c r="B4933" s="37"/>
    </row>
    <row r="4934" spans="2:2" ht="15.9" customHeight="1" x14ac:dyDescent="0.3">
      <c r="B4934" s="37"/>
    </row>
    <row r="4935" spans="2:2" ht="15.9" customHeight="1" x14ac:dyDescent="0.3">
      <c r="B4935" s="37"/>
    </row>
    <row r="4936" spans="2:2" ht="15.9" customHeight="1" x14ac:dyDescent="0.3">
      <c r="B4936" s="37"/>
    </row>
    <row r="4937" spans="2:2" ht="15.9" customHeight="1" x14ac:dyDescent="0.3">
      <c r="B4937" s="37"/>
    </row>
    <row r="4938" spans="2:2" ht="15.9" customHeight="1" x14ac:dyDescent="0.3">
      <c r="B4938" s="37"/>
    </row>
    <row r="4939" spans="2:2" ht="15.9" customHeight="1" x14ac:dyDescent="0.3">
      <c r="B4939" s="37"/>
    </row>
    <row r="4940" spans="2:2" ht="15.9" customHeight="1" x14ac:dyDescent="0.3">
      <c r="B4940" s="37"/>
    </row>
    <row r="4941" spans="2:2" ht="15.9" customHeight="1" x14ac:dyDescent="0.3">
      <c r="B4941" s="37"/>
    </row>
    <row r="4942" spans="2:2" ht="15.9" customHeight="1" x14ac:dyDescent="0.3">
      <c r="B4942" s="37"/>
    </row>
    <row r="4943" spans="2:2" ht="15.9" customHeight="1" x14ac:dyDescent="0.3">
      <c r="B4943" s="37"/>
    </row>
    <row r="4944" spans="2:2" ht="15.9" customHeight="1" x14ac:dyDescent="0.3">
      <c r="B4944" s="37"/>
    </row>
    <row r="4945" spans="2:2" ht="15.9" customHeight="1" x14ac:dyDescent="0.3">
      <c r="B4945" s="37"/>
    </row>
    <row r="4946" spans="2:2" ht="15.9" customHeight="1" x14ac:dyDescent="0.3">
      <c r="B4946" s="37"/>
    </row>
    <row r="4947" spans="2:2" ht="15.9" customHeight="1" x14ac:dyDescent="0.3">
      <c r="B4947" s="37"/>
    </row>
    <row r="4948" spans="2:2" ht="15.9" customHeight="1" x14ac:dyDescent="0.3">
      <c r="B4948" s="37"/>
    </row>
    <row r="4949" spans="2:2" ht="15.9" customHeight="1" x14ac:dyDescent="0.3">
      <c r="B4949" s="37"/>
    </row>
    <row r="4950" spans="2:2" ht="15.9" customHeight="1" x14ac:dyDescent="0.3">
      <c r="B4950" s="37"/>
    </row>
    <row r="4951" spans="2:2" ht="15.9" customHeight="1" x14ac:dyDescent="0.3">
      <c r="B4951" s="37"/>
    </row>
    <row r="4952" spans="2:2" ht="15.9" customHeight="1" x14ac:dyDescent="0.3">
      <c r="B4952" s="37"/>
    </row>
    <row r="4953" spans="2:2" ht="15.9" customHeight="1" x14ac:dyDescent="0.3">
      <c r="B4953" s="37"/>
    </row>
    <row r="4954" spans="2:2" ht="15.9" customHeight="1" x14ac:dyDescent="0.3">
      <c r="B4954" s="37"/>
    </row>
    <row r="4955" spans="2:2" ht="15.9" customHeight="1" x14ac:dyDescent="0.3">
      <c r="B4955" s="37"/>
    </row>
    <row r="4956" spans="2:2" ht="15.9" customHeight="1" x14ac:dyDescent="0.3">
      <c r="B4956" s="37"/>
    </row>
    <row r="4957" spans="2:2" ht="15.9" customHeight="1" x14ac:dyDescent="0.3">
      <c r="B4957" s="37"/>
    </row>
    <row r="4958" spans="2:2" ht="15.9" customHeight="1" x14ac:dyDescent="0.3">
      <c r="B4958" s="37"/>
    </row>
    <row r="4959" spans="2:2" ht="15.9" customHeight="1" x14ac:dyDescent="0.3">
      <c r="B4959" s="37"/>
    </row>
    <row r="4960" spans="2:2" ht="15.9" customHeight="1" x14ac:dyDescent="0.3">
      <c r="B4960" s="37"/>
    </row>
    <row r="4961" spans="2:2" ht="15.9" customHeight="1" x14ac:dyDescent="0.3">
      <c r="B4961" s="37"/>
    </row>
    <row r="4962" spans="2:2" ht="15.9" customHeight="1" x14ac:dyDescent="0.3">
      <c r="B4962" s="37"/>
    </row>
    <row r="4963" spans="2:2" ht="15.9" customHeight="1" x14ac:dyDescent="0.3">
      <c r="B4963" s="37"/>
    </row>
    <row r="4964" spans="2:2" ht="15.9" customHeight="1" x14ac:dyDescent="0.3">
      <c r="B4964" s="37"/>
    </row>
    <row r="4965" spans="2:2" ht="15.9" customHeight="1" x14ac:dyDescent="0.3">
      <c r="B4965" s="37"/>
    </row>
    <row r="4966" spans="2:2" ht="15.9" customHeight="1" x14ac:dyDescent="0.3">
      <c r="B4966" s="37"/>
    </row>
    <row r="4967" spans="2:2" ht="15.9" customHeight="1" x14ac:dyDescent="0.3">
      <c r="B4967" s="37"/>
    </row>
    <row r="4968" spans="2:2" ht="15.9" customHeight="1" x14ac:dyDescent="0.3">
      <c r="B4968" s="37"/>
    </row>
    <row r="4969" spans="2:2" ht="15.9" customHeight="1" x14ac:dyDescent="0.3">
      <c r="B4969" s="37"/>
    </row>
    <row r="4970" spans="2:2" ht="15.9" customHeight="1" x14ac:dyDescent="0.3">
      <c r="B4970" s="37"/>
    </row>
    <row r="4971" spans="2:2" ht="15.9" customHeight="1" x14ac:dyDescent="0.3">
      <c r="B4971" s="37"/>
    </row>
    <row r="4972" spans="2:2" ht="15.9" customHeight="1" x14ac:dyDescent="0.3">
      <c r="B4972" s="37"/>
    </row>
    <row r="4973" spans="2:2" ht="15.9" customHeight="1" x14ac:dyDescent="0.3">
      <c r="B4973" s="37"/>
    </row>
    <row r="4974" spans="2:2" ht="15.9" customHeight="1" x14ac:dyDescent="0.3">
      <c r="B4974" s="37"/>
    </row>
    <row r="4975" spans="2:2" ht="15.9" customHeight="1" x14ac:dyDescent="0.3">
      <c r="B4975" s="37"/>
    </row>
    <row r="4976" spans="2:2" ht="15.9" customHeight="1" x14ac:dyDescent="0.3">
      <c r="B4976" s="37"/>
    </row>
    <row r="4977" spans="2:2" ht="15.9" customHeight="1" x14ac:dyDescent="0.3">
      <c r="B4977" s="37"/>
    </row>
    <row r="4978" spans="2:2" ht="15.9" customHeight="1" x14ac:dyDescent="0.3">
      <c r="B4978" s="37"/>
    </row>
    <row r="4979" spans="2:2" ht="15.9" customHeight="1" x14ac:dyDescent="0.3">
      <c r="B4979" s="37"/>
    </row>
    <row r="4980" spans="2:2" ht="15.9" customHeight="1" x14ac:dyDescent="0.3">
      <c r="B4980" s="37"/>
    </row>
    <row r="4981" spans="2:2" ht="15.9" customHeight="1" x14ac:dyDescent="0.3">
      <c r="B4981" s="37"/>
    </row>
    <row r="4982" spans="2:2" ht="15.9" customHeight="1" x14ac:dyDescent="0.3">
      <c r="B4982" s="37"/>
    </row>
    <row r="4983" spans="2:2" ht="15.9" customHeight="1" x14ac:dyDescent="0.3">
      <c r="B4983" s="37"/>
    </row>
    <row r="4984" spans="2:2" ht="15.9" customHeight="1" x14ac:dyDescent="0.3">
      <c r="B4984" s="37"/>
    </row>
    <row r="4985" spans="2:2" ht="15.9" customHeight="1" x14ac:dyDescent="0.3">
      <c r="B4985" s="37"/>
    </row>
    <row r="4986" spans="2:2" ht="15.9" customHeight="1" x14ac:dyDescent="0.3">
      <c r="B4986" s="37"/>
    </row>
    <row r="4987" spans="2:2" ht="15.9" customHeight="1" x14ac:dyDescent="0.3">
      <c r="B4987" s="37"/>
    </row>
    <row r="4988" spans="2:2" ht="15.9" customHeight="1" x14ac:dyDescent="0.3">
      <c r="B4988" s="37"/>
    </row>
    <row r="4989" spans="2:2" ht="15.9" customHeight="1" x14ac:dyDescent="0.3">
      <c r="B4989" s="37"/>
    </row>
    <row r="4990" spans="2:2" ht="15.9" customHeight="1" x14ac:dyDescent="0.3">
      <c r="B4990" s="37"/>
    </row>
    <row r="4991" spans="2:2" ht="15.9" customHeight="1" x14ac:dyDescent="0.3">
      <c r="B4991" s="37"/>
    </row>
    <row r="4992" spans="2:2" ht="15.9" customHeight="1" x14ac:dyDescent="0.3">
      <c r="B4992" s="37"/>
    </row>
    <row r="4993" spans="2:2" ht="15.9" customHeight="1" x14ac:dyDescent="0.3">
      <c r="B4993" s="37"/>
    </row>
    <row r="4994" spans="2:2" ht="15.9" customHeight="1" x14ac:dyDescent="0.3">
      <c r="B4994" s="37"/>
    </row>
    <row r="4995" spans="2:2" ht="15.9" customHeight="1" x14ac:dyDescent="0.3">
      <c r="B4995" s="37"/>
    </row>
    <row r="4996" spans="2:2" ht="15.9" customHeight="1" x14ac:dyDescent="0.3">
      <c r="B4996" s="37"/>
    </row>
    <row r="4997" spans="2:2" ht="15.9" customHeight="1" x14ac:dyDescent="0.3">
      <c r="B4997" s="37"/>
    </row>
    <row r="4998" spans="2:2" ht="15.9" customHeight="1" x14ac:dyDescent="0.3">
      <c r="B4998" s="37"/>
    </row>
    <row r="4999" spans="2:2" ht="15.9" customHeight="1" x14ac:dyDescent="0.3">
      <c r="B4999" s="37"/>
    </row>
    <row r="5000" spans="2:2" ht="15.9" customHeight="1" x14ac:dyDescent="0.3">
      <c r="B5000" s="37"/>
    </row>
    <row r="5001" spans="2:2" ht="15.9" customHeight="1" x14ac:dyDescent="0.3">
      <c r="B5001" s="37"/>
    </row>
    <row r="5002" spans="2:2" ht="15.9" customHeight="1" x14ac:dyDescent="0.3">
      <c r="B5002" s="37"/>
    </row>
    <row r="5003" spans="2:2" ht="15.9" customHeight="1" x14ac:dyDescent="0.3">
      <c r="B5003" s="37"/>
    </row>
    <row r="5004" spans="2:2" ht="15.9" customHeight="1" x14ac:dyDescent="0.3">
      <c r="B5004" s="37"/>
    </row>
    <row r="5005" spans="2:2" ht="15.9" customHeight="1" x14ac:dyDescent="0.3">
      <c r="B5005" s="37"/>
    </row>
    <row r="5006" spans="2:2" ht="15.9" customHeight="1" x14ac:dyDescent="0.3">
      <c r="B5006" s="37"/>
    </row>
    <row r="5007" spans="2:2" ht="15.9" customHeight="1" x14ac:dyDescent="0.3">
      <c r="B5007" s="37"/>
    </row>
    <row r="5008" spans="2:2" ht="15.9" customHeight="1" x14ac:dyDescent="0.3">
      <c r="B5008" s="37"/>
    </row>
    <row r="5009" spans="2:2" ht="15.9" customHeight="1" x14ac:dyDescent="0.3">
      <c r="B5009" s="37"/>
    </row>
    <row r="5010" spans="2:2" ht="15.9" customHeight="1" x14ac:dyDescent="0.3">
      <c r="B5010" s="37"/>
    </row>
    <row r="5011" spans="2:2" ht="15.9" customHeight="1" x14ac:dyDescent="0.3">
      <c r="B5011" s="37"/>
    </row>
    <row r="5012" spans="2:2" ht="15.9" customHeight="1" x14ac:dyDescent="0.3">
      <c r="B5012" s="37"/>
    </row>
    <row r="5013" spans="2:2" ht="15.9" customHeight="1" x14ac:dyDescent="0.3">
      <c r="B5013" s="37"/>
    </row>
    <row r="5014" spans="2:2" ht="15.9" customHeight="1" x14ac:dyDescent="0.3">
      <c r="B5014" s="37"/>
    </row>
    <row r="5015" spans="2:2" ht="15.9" customHeight="1" x14ac:dyDescent="0.3">
      <c r="B5015" s="37"/>
    </row>
    <row r="5016" spans="2:2" ht="15.9" customHeight="1" x14ac:dyDescent="0.3">
      <c r="B5016" s="37"/>
    </row>
    <row r="5017" spans="2:2" ht="15.9" customHeight="1" x14ac:dyDescent="0.3">
      <c r="B5017" s="37"/>
    </row>
    <row r="5018" spans="2:2" ht="15.9" customHeight="1" x14ac:dyDescent="0.3">
      <c r="B5018" s="37"/>
    </row>
    <row r="5019" spans="2:2" ht="15.9" customHeight="1" x14ac:dyDescent="0.3">
      <c r="B5019" s="37"/>
    </row>
    <row r="5020" spans="2:2" ht="15.9" customHeight="1" x14ac:dyDescent="0.3">
      <c r="B5020" s="37"/>
    </row>
    <row r="5021" spans="2:2" ht="15.9" customHeight="1" x14ac:dyDescent="0.3">
      <c r="B5021" s="37"/>
    </row>
    <row r="5022" spans="2:2" ht="15.9" customHeight="1" x14ac:dyDescent="0.3">
      <c r="B5022" s="37"/>
    </row>
    <row r="5023" spans="2:2" ht="15.9" customHeight="1" x14ac:dyDescent="0.3">
      <c r="B5023" s="37"/>
    </row>
    <row r="5024" spans="2:2" ht="15.9" customHeight="1" x14ac:dyDescent="0.3">
      <c r="B5024" s="37"/>
    </row>
    <row r="5025" spans="2:2" ht="15.9" customHeight="1" x14ac:dyDescent="0.3">
      <c r="B5025" s="37"/>
    </row>
    <row r="5026" spans="2:2" ht="15.9" customHeight="1" x14ac:dyDescent="0.3">
      <c r="B5026" s="37"/>
    </row>
    <row r="5027" spans="2:2" ht="15.9" customHeight="1" x14ac:dyDescent="0.3">
      <c r="B5027" s="37"/>
    </row>
    <row r="5028" spans="2:2" ht="15.9" customHeight="1" x14ac:dyDescent="0.3">
      <c r="B5028" s="37"/>
    </row>
    <row r="5029" spans="2:2" ht="15.9" customHeight="1" x14ac:dyDescent="0.3">
      <c r="B5029" s="37"/>
    </row>
    <row r="5030" spans="2:2" ht="15.9" customHeight="1" x14ac:dyDescent="0.3">
      <c r="B5030" s="37"/>
    </row>
    <row r="5031" spans="2:2" ht="15.9" customHeight="1" x14ac:dyDescent="0.3">
      <c r="B5031" s="37"/>
    </row>
    <row r="5032" spans="2:2" ht="15.9" customHeight="1" x14ac:dyDescent="0.3">
      <c r="B5032" s="37"/>
    </row>
    <row r="5033" spans="2:2" ht="15.9" customHeight="1" x14ac:dyDescent="0.3">
      <c r="B5033" s="37"/>
    </row>
    <row r="5034" spans="2:2" ht="15.9" customHeight="1" x14ac:dyDescent="0.3">
      <c r="B5034" s="37"/>
    </row>
    <row r="5035" spans="2:2" ht="15.9" customHeight="1" x14ac:dyDescent="0.3">
      <c r="B5035" s="37"/>
    </row>
    <row r="5036" spans="2:2" ht="15.9" customHeight="1" x14ac:dyDescent="0.3">
      <c r="B5036" s="37"/>
    </row>
    <row r="5037" spans="2:2" ht="15.9" customHeight="1" x14ac:dyDescent="0.3">
      <c r="B5037" s="37"/>
    </row>
    <row r="5038" spans="2:2" ht="15.9" customHeight="1" x14ac:dyDescent="0.3">
      <c r="B5038" s="37"/>
    </row>
    <row r="5039" spans="2:2" ht="15.9" customHeight="1" x14ac:dyDescent="0.3">
      <c r="B5039" s="37"/>
    </row>
    <row r="5040" spans="2:2" ht="15.9" customHeight="1" x14ac:dyDescent="0.3">
      <c r="B5040" s="37"/>
    </row>
    <row r="5041" spans="2:2" ht="15.9" customHeight="1" x14ac:dyDescent="0.3">
      <c r="B5041" s="37"/>
    </row>
    <row r="5042" spans="2:2" ht="15.9" customHeight="1" x14ac:dyDescent="0.3">
      <c r="B5042" s="37"/>
    </row>
    <row r="5043" spans="2:2" ht="15.9" customHeight="1" x14ac:dyDescent="0.3">
      <c r="B5043" s="37"/>
    </row>
    <row r="5044" spans="2:2" ht="15.9" customHeight="1" x14ac:dyDescent="0.3">
      <c r="B5044" s="37"/>
    </row>
    <row r="5045" spans="2:2" ht="15.9" customHeight="1" x14ac:dyDescent="0.3">
      <c r="B5045" s="37"/>
    </row>
    <row r="5046" spans="2:2" ht="15.9" customHeight="1" x14ac:dyDescent="0.3">
      <c r="B5046" s="37"/>
    </row>
    <row r="5047" spans="2:2" ht="15.9" customHeight="1" x14ac:dyDescent="0.3">
      <c r="B5047" s="37"/>
    </row>
    <row r="5048" spans="2:2" ht="15.9" customHeight="1" x14ac:dyDescent="0.3">
      <c r="B5048" s="37"/>
    </row>
    <row r="5049" spans="2:2" ht="15.9" customHeight="1" x14ac:dyDescent="0.3">
      <c r="B5049" s="37"/>
    </row>
    <row r="5050" spans="2:2" ht="15.9" customHeight="1" x14ac:dyDescent="0.3">
      <c r="B5050" s="37"/>
    </row>
    <row r="5051" spans="2:2" ht="15.9" customHeight="1" x14ac:dyDescent="0.3">
      <c r="B5051" s="37"/>
    </row>
    <row r="5052" spans="2:2" ht="15.9" customHeight="1" x14ac:dyDescent="0.3">
      <c r="B5052" s="37"/>
    </row>
    <row r="5053" spans="2:2" ht="15.9" customHeight="1" x14ac:dyDescent="0.3">
      <c r="B5053" s="37"/>
    </row>
    <row r="5054" spans="2:2" ht="15.9" customHeight="1" x14ac:dyDescent="0.3">
      <c r="B5054" s="37"/>
    </row>
    <row r="5055" spans="2:2" ht="15.9" customHeight="1" x14ac:dyDescent="0.3">
      <c r="B5055" s="37"/>
    </row>
    <row r="5056" spans="2:2" ht="15.9" customHeight="1" x14ac:dyDescent="0.3">
      <c r="B5056" s="37"/>
    </row>
    <row r="5057" spans="2:2" ht="15.9" customHeight="1" x14ac:dyDescent="0.3">
      <c r="B5057" s="37"/>
    </row>
    <row r="5058" spans="2:2" ht="15.9" customHeight="1" x14ac:dyDescent="0.3">
      <c r="B5058" s="37"/>
    </row>
    <row r="5059" spans="2:2" ht="15.9" customHeight="1" x14ac:dyDescent="0.3">
      <c r="B5059" s="37"/>
    </row>
    <row r="5060" spans="2:2" ht="15.9" customHeight="1" x14ac:dyDescent="0.3">
      <c r="B5060" s="37"/>
    </row>
    <row r="5061" spans="2:2" ht="15.9" customHeight="1" x14ac:dyDescent="0.3">
      <c r="B5061" s="37"/>
    </row>
    <row r="5062" spans="2:2" ht="15.9" customHeight="1" x14ac:dyDescent="0.3">
      <c r="B5062" s="37"/>
    </row>
    <row r="5063" spans="2:2" ht="15.9" customHeight="1" x14ac:dyDescent="0.3">
      <c r="B5063" s="37"/>
    </row>
    <row r="5064" spans="2:2" ht="15.9" customHeight="1" x14ac:dyDescent="0.3">
      <c r="B5064" s="37"/>
    </row>
    <row r="5065" spans="2:2" ht="15.9" customHeight="1" x14ac:dyDescent="0.3">
      <c r="B5065" s="37"/>
    </row>
    <row r="5066" spans="2:2" ht="15.9" customHeight="1" x14ac:dyDescent="0.3">
      <c r="B5066" s="37"/>
    </row>
    <row r="5067" spans="2:2" ht="15.9" customHeight="1" x14ac:dyDescent="0.3">
      <c r="B5067" s="37"/>
    </row>
    <row r="5068" spans="2:2" ht="15.9" customHeight="1" x14ac:dyDescent="0.3">
      <c r="B5068" s="37"/>
    </row>
    <row r="5069" spans="2:2" ht="15.9" customHeight="1" x14ac:dyDescent="0.3">
      <c r="B5069" s="37"/>
    </row>
    <row r="5070" spans="2:2" ht="15.9" customHeight="1" x14ac:dyDescent="0.3">
      <c r="B5070" s="37"/>
    </row>
    <row r="5071" spans="2:2" ht="15.9" customHeight="1" x14ac:dyDescent="0.3">
      <c r="B5071" s="37"/>
    </row>
    <row r="5072" spans="2:2" ht="15.9" customHeight="1" x14ac:dyDescent="0.3">
      <c r="B5072" s="37"/>
    </row>
    <row r="5073" spans="2:2" ht="15.9" customHeight="1" x14ac:dyDescent="0.3">
      <c r="B5073" s="37"/>
    </row>
    <row r="5074" spans="2:2" ht="15.9" customHeight="1" x14ac:dyDescent="0.3">
      <c r="B5074" s="37"/>
    </row>
    <row r="5075" spans="2:2" ht="15.9" customHeight="1" x14ac:dyDescent="0.3">
      <c r="B5075" s="37"/>
    </row>
    <row r="5076" spans="2:2" ht="15.9" customHeight="1" x14ac:dyDescent="0.3">
      <c r="B5076" s="37"/>
    </row>
    <row r="5077" spans="2:2" ht="15.9" customHeight="1" x14ac:dyDescent="0.3">
      <c r="B5077" s="37"/>
    </row>
    <row r="5078" spans="2:2" ht="15.9" customHeight="1" x14ac:dyDescent="0.3">
      <c r="B5078" s="37"/>
    </row>
    <row r="5079" spans="2:2" ht="15.9" customHeight="1" x14ac:dyDescent="0.3">
      <c r="B5079" s="37"/>
    </row>
    <row r="5080" spans="2:2" ht="15.9" customHeight="1" x14ac:dyDescent="0.3">
      <c r="B5080" s="37"/>
    </row>
    <row r="5081" spans="2:2" ht="15.9" customHeight="1" x14ac:dyDescent="0.3">
      <c r="B5081" s="37"/>
    </row>
    <row r="5082" spans="2:2" ht="15.9" customHeight="1" x14ac:dyDescent="0.3">
      <c r="B5082" s="37"/>
    </row>
    <row r="5083" spans="2:2" ht="15.9" customHeight="1" x14ac:dyDescent="0.3">
      <c r="B5083" s="37"/>
    </row>
    <row r="5084" spans="2:2" ht="15.9" customHeight="1" x14ac:dyDescent="0.3">
      <c r="B5084" s="37"/>
    </row>
    <row r="5085" spans="2:2" ht="15.9" customHeight="1" x14ac:dyDescent="0.3">
      <c r="B5085" s="37"/>
    </row>
    <row r="5086" spans="2:2" ht="15.9" customHeight="1" x14ac:dyDescent="0.3">
      <c r="B5086" s="37"/>
    </row>
    <row r="5087" spans="2:2" ht="15.9" customHeight="1" x14ac:dyDescent="0.3">
      <c r="B5087" s="37"/>
    </row>
    <row r="5088" spans="2:2" ht="15.9" customHeight="1" x14ac:dyDescent="0.3">
      <c r="B5088" s="37"/>
    </row>
    <row r="5089" spans="2:2" ht="15.9" customHeight="1" x14ac:dyDescent="0.3">
      <c r="B5089" s="37"/>
    </row>
    <row r="5090" spans="2:2" ht="15.9" customHeight="1" x14ac:dyDescent="0.3">
      <c r="B5090" s="37"/>
    </row>
    <row r="5091" spans="2:2" ht="15.9" customHeight="1" x14ac:dyDescent="0.3">
      <c r="B5091" s="37"/>
    </row>
    <row r="5092" spans="2:2" ht="15.9" customHeight="1" x14ac:dyDescent="0.3">
      <c r="B5092" s="37"/>
    </row>
    <row r="5093" spans="2:2" ht="15.9" customHeight="1" x14ac:dyDescent="0.3">
      <c r="B5093" s="37"/>
    </row>
    <row r="5094" spans="2:2" ht="15.9" customHeight="1" x14ac:dyDescent="0.3">
      <c r="B5094" s="37"/>
    </row>
    <row r="5095" spans="2:2" ht="15.9" customHeight="1" x14ac:dyDescent="0.3">
      <c r="B5095" s="37"/>
    </row>
    <row r="5096" spans="2:2" ht="15.9" customHeight="1" x14ac:dyDescent="0.3">
      <c r="B5096" s="37"/>
    </row>
    <row r="5097" spans="2:2" ht="15.9" customHeight="1" x14ac:dyDescent="0.3">
      <c r="B5097" s="37"/>
    </row>
    <row r="5098" spans="2:2" ht="15.9" customHeight="1" x14ac:dyDescent="0.3">
      <c r="B5098" s="37"/>
    </row>
    <row r="5099" spans="2:2" ht="15.9" customHeight="1" x14ac:dyDescent="0.3">
      <c r="B5099" s="37"/>
    </row>
    <row r="5100" spans="2:2" ht="15.9" customHeight="1" x14ac:dyDescent="0.3">
      <c r="B5100" s="37"/>
    </row>
    <row r="5101" spans="2:2" ht="15.9" customHeight="1" x14ac:dyDescent="0.3">
      <c r="B5101" s="37"/>
    </row>
    <row r="5102" spans="2:2" ht="15.9" customHeight="1" x14ac:dyDescent="0.3">
      <c r="B5102" s="37"/>
    </row>
    <row r="5103" spans="2:2" ht="15.9" customHeight="1" x14ac:dyDescent="0.3">
      <c r="B5103" s="37"/>
    </row>
    <row r="5104" spans="2:2" ht="15.9" customHeight="1" x14ac:dyDescent="0.3">
      <c r="B5104" s="37"/>
    </row>
    <row r="5105" spans="2:2" ht="15.9" customHeight="1" x14ac:dyDescent="0.3">
      <c r="B5105" s="37"/>
    </row>
    <row r="5106" spans="2:2" ht="15.9" customHeight="1" x14ac:dyDescent="0.3">
      <c r="B5106" s="37"/>
    </row>
    <row r="5107" spans="2:2" ht="15.9" customHeight="1" x14ac:dyDescent="0.3">
      <c r="B5107" s="37"/>
    </row>
    <row r="5108" spans="2:2" ht="15.9" customHeight="1" x14ac:dyDescent="0.3">
      <c r="B5108" s="37"/>
    </row>
    <row r="5109" spans="2:2" ht="15.9" customHeight="1" x14ac:dyDescent="0.3">
      <c r="B5109" s="37"/>
    </row>
    <row r="5110" spans="2:2" ht="15.9" customHeight="1" x14ac:dyDescent="0.3">
      <c r="B5110" s="37"/>
    </row>
    <row r="5111" spans="2:2" ht="15.9" customHeight="1" x14ac:dyDescent="0.3">
      <c r="B5111" s="37"/>
    </row>
    <row r="5112" spans="2:2" ht="15.9" customHeight="1" x14ac:dyDescent="0.3">
      <c r="B5112" s="37"/>
    </row>
    <row r="5113" spans="2:2" ht="15.9" customHeight="1" x14ac:dyDescent="0.3">
      <c r="B5113" s="37"/>
    </row>
    <row r="5114" spans="2:2" ht="15.9" customHeight="1" x14ac:dyDescent="0.3">
      <c r="B5114" s="37"/>
    </row>
    <row r="5115" spans="2:2" ht="15.9" customHeight="1" x14ac:dyDescent="0.3">
      <c r="B5115" s="37"/>
    </row>
    <row r="5116" spans="2:2" ht="15.9" customHeight="1" x14ac:dyDescent="0.3">
      <c r="B5116" s="37"/>
    </row>
    <row r="5117" spans="2:2" ht="15.9" customHeight="1" x14ac:dyDescent="0.3">
      <c r="B5117" s="37"/>
    </row>
    <row r="5118" spans="2:2" ht="15.9" customHeight="1" x14ac:dyDescent="0.3">
      <c r="B5118" s="37"/>
    </row>
    <row r="5119" spans="2:2" ht="15.9" customHeight="1" x14ac:dyDescent="0.3">
      <c r="B5119" s="37"/>
    </row>
    <row r="5120" spans="2:2" ht="15.9" customHeight="1" x14ac:dyDescent="0.3">
      <c r="B5120" s="37"/>
    </row>
    <row r="5121" spans="2:2" ht="15.9" customHeight="1" x14ac:dyDescent="0.3">
      <c r="B5121" s="37"/>
    </row>
    <row r="5122" spans="2:2" ht="15.9" customHeight="1" x14ac:dyDescent="0.3">
      <c r="B5122" s="37"/>
    </row>
    <row r="5123" spans="2:2" ht="15.9" customHeight="1" x14ac:dyDescent="0.3">
      <c r="B5123" s="37"/>
    </row>
    <row r="5124" spans="2:2" ht="15.9" customHeight="1" x14ac:dyDescent="0.3">
      <c r="B5124" s="37"/>
    </row>
    <row r="5125" spans="2:2" ht="15.9" customHeight="1" x14ac:dyDescent="0.3">
      <c r="B5125" s="37"/>
    </row>
    <row r="5126" spans="2:2" ht="15.9" customHeight="1" x14ac:dyDescent="0.3">
      <c r="B5126" s="37"/>
    </row>
    <row r="5127" spans="2:2" ht="15.9" customHeight="1" x14ac:dyDescent="0.3">
      <c r="B5127" s="37"/>
    </row>
    <row r="5128" spans="2:2" ht="15.9" customHeight="1" x14ac:dyDescent="0.3">
      <c r="B5128" s="37"/>
    </row>
    <row r="5129" spans="2:2" ht="15.9" customHeight="1" x14ac:dyDescent="0.3">
      <c r="B5129" s="37"/>
    </row>
    <row r="5130" spans="2:2" ht="15.9" customHeight="1" x14ac:dyDescent="0.3">
      <c r="B5130" s="37"/>
    </row>
    <row r="5131" spans="2:2" ht="15.9" customHeight="1" x14ac:dyDescent="0.3">
      <c r="B5131" s="37"/>
    </row>
    <row r="5132" spans="2:2" ht="15.9" customHeight="1" x14ac:dyDescent="0.3">
      <c r="B5132" s="37"/>
    </row>
    <row r="5133" spans="2:2" ht="15.9" customHeight="1" x14ac:dyDescent="0.3">
      <c r="B5133" s="37"/>
    </row>
    <row r="5134" spans="2:2" ht="15.9" customHeight="1" x14ac:dyDescent="0.3">
      <c r="B5134" s="37"/>
    </row>
    <row r="5135" spans="2:2" ht="15.9" customHeight="1" x14ac:dyDescent="0.3">
      <c r="B5135" s="37"/>
    </row>
    <row r="5136" spans="2:2" ht="15.9" customHeight="1" x14ac:dyDescent="0.3">
      <c r="B5136" s="37"/>
    </row>
    <row r="5137" spans="2:2" ht="15.9" customHeight="1" x14ac:dyDescent="0.3">
      <c r="B5137" s="37"/>
    </row>
    <row r="5138" spans="2:2" ht="15.9" customHeight="1" x14ac:dyDescent="0.3">
      <c r="B5138" s="37"/>
    </row>
    <row r="5139" spans="2:2" ht="15.9" customHeight="1" x14ac:dyDescent="0.3">
      <c r="B5139" s="37"/>
    </row>
    <row r="5140" spans="2:2" ht="15.9" customHeight="1" x14ac:dyDescent="0.3">
      <c r="B5140" s="37"/>
    </row>
    <row r="5141" spans="2:2" ht="15.9" customHeight="1" x14ac:dyDescent="0.3">
      <c r="B5141" s="37"/>
    </row>
    <row r="5142" spans="2:2" ht="15.9" customHeight="1" x14ac:dyDescent="0.3">
      <c r="B5142" s="37"/>
    </row>
    <row r="5143" spans="2:2" ht="15.9" customHeight="1" x14ac:dyDescent="0.3">
      <c r="B5143" s="37"/>
    </row>
    <row r="5144" spans="2:2" ht="15.9" customHeight="1" x14ac:dyDescent="0.3">
      <c r="B5144" s="37"/>
    </row>
    <row r="5145" spans="2:2" ht="15.9" customHeight="1" x14ac:dyDescent="0.3">
      <c r="B5145" s="37"/>
    </row>
    <row r="5146" spans="2:2" ht="15.9" customHeight="1" x14ac:dyDescent="0.3">
      <c r="B5146" s="37"/>
    </row>
    <row r="5147" spans="2:2" ht="15.9" customHeight="1" x14ac:dyDescent="0.3">
      <c r="B5147" s="37"/>
    </row>
    <row r="5148" spans="2:2" ht="15.9" customHeight="1" x14ac:dyDescent="0.3">
      <c r="B5148" s="37"/>
    </row>
    <row r="5149" spans="2:2" ht="15.9" customHeight="1" x14ac:dyDescent="0.3">
      <c r="B5149" s="37"/>
    </row>
    <row r="5150" spans="2:2" ht="15.9" customHeight="1" x14ac:dyDescent="0.3">
      <c r="B5150" s="37"/>
    </row>
    <row r="5151" spans="2:2" ht="15.9" customHeight="1" x14ac:dyDescent="0.3">
      <c r="B5151" s="37"/>
    </row>
    <row r="5152" spans="2:2" ht="15.9" customHeight="1" x14ac:dyDescent="0.3">
      <c r="B5152" s="37"/>
    </row>
    <row r="5153" spans="2:2" ht="15.9" customHeight="1" x14ac:dyDescent="0.3">
      <c r="B5153" s="37"/>
    </row>
    <row r="5154" spans="2:2" ht="15.9" customHeight="1" x14ac:dyDescent="0.3">
      <c r="B5154" s="37"/>
    </row>
    <row r="5155" spans="2:2" ht="15.9" customHeight="1" x14ac:dyDescent="0.3">
      <c r="B5155" s="37"/>
    </row>
    <row r="5156" spans="2:2" ht="15.9" customHeight="1" x14ac:dyDescent="0.3">
      <c r="B5156" s="37"/>
    </row>
    <row r="5157" spans="2:2" ht="15.9" customHeight="1" x14ac:dyDescent="0.3">
      <c r="B5157" s="37"/>
    </row>
    <row r="5158" spans="2:2" ht="15.9" customHeight="1" x14ac:dyDescent="0.3">
      <c r="B5158" s="37"/>
    </row>
    <row r="5159" spans="2:2" ht="15.9" customHeight="1" x14ac:dyDescent="0.3">
      <c r="B5159" s="37"/>
    </row>
    <row r="5160" spans="2:2" ht="15.9" customHeight="1" x14ac:dyDescent="0.3">
      <c r="B5160" s="37"/>
    </row>
    <row r="5161" spans="2:2" ht="15.9" customHeight="1" x14ac:dyDescent="0.3">
      <c r="B5161" s="37"/>
    </row>
    <row r="5162" spans="2:2" ht="15.9" customHeight="1" x14ac:dyDescent="0.3">
      <c r="B5162" s="37"/>
    </row>
    <row r="5163" spans="2:2" ht="15.9" customHeight="1" x14ac:dyDescent="0.3">
      <c r="B5163" s="37"/>
    </row>
    <row r="5164" spans="2:2" ht="15.9" customHeight="1" x14ac:dyDescent="0.3">
      <c r="B5164" s="37"/>
    </row>
    <row r="5165" spans="2:2" ht="15.9" customHeight="1" x14ac:dyDescent="0.3">
      <c r="B5165" s="37"/>
    </row>
    <row r="5166" spans="2:2" ht="15.9" customHeight="1" x14ac:dyDescent="0.3">
      <c r="B5166" s="37"/>
    </row>
    <row r="5167" spans="2:2" ht="15.9" customHeight="1" x14ac:dyDescent="0.3">
      <c r="B5167" s="37"/>
    </row>
    <row r="5168" spans="2:2" ht="15.9" customHeight="1" x14ac:dyDescent="0.3">
      <c r="B5168" s="37"/>
    </row>
    <row r="5169" spans="2:2" ht="15.9" customHeight="1" x14ac:dyDescent="0.3">
      <c r="B5169" s="37"/>
    </row>
    <row r="5170" spans="2:2" ht="15.9" customHeight="1" x14ac:dyDescent="0.3">
      <c r="B5170" s="37"/>
    </row>
    <row r="5171" spans="2:2" ht="15.9" customHeight="1" x14ac:dyDescent="0.3">
      <c r="B5171" s="37"/>
    </row>
    <row r="5172" spans="2:2" ht="15.9" customHeight="1" x14ac:dyDescent="0.3">
      <c r="B5172" s="37"/>
    </row>
    <row r="5173" spans="2:2" ht="15.9" customHeight="1" x14ac:dyDescent="0.3">
      <c r="B5173" s="37"/>
    </row>
    <row r="5174" spans="2:2" ht="15.9" customHeight="1" x14ac:dyDescent="0.3">
      <c r="B5174" s="37"/>
    </row>
    <row r="5175" spans="2:2" ht="15.9" customHeight="1" x14ac:dyDescent="0.3">
      <c r="B5175" s="37"/>
    </row>
    <row r="5176" spans="2:2" ht="15.9" customHeight="1" x14ac:dyDescent="0.3">
      <c r="B5176" s="37"/>
    </row>
    <row r="5177" spans="2:2" ht="15.9" customHeight="1" x14ac:dyDescent="0.3">
      <c r="B5177" s="37"/>
    </row>
    <row r="5178" spans="2:2" ht="15.9" customHeight="1" x14ac:dyDescent="0.3">
      <c r="B5178" s="37"/>
    </row>
    <row r="5179" spans="2:2" ht="15.9" customHeight="1" x14ac:dyDescent="0.3">
      <c r="B5179" s="37"/>
    </row>
    <row r="5180" spans="2:2" ht="15.9" customHeight="1" x14ac:dyDescent="0.3">
      <c r="B5180" s="37"/>
    </row>
    <row r="5181" spans="2:2" ht="15.9" customHeight="1" x14ac:dyDescent="0.3">
      <c r="B5181" s="37"/>
    </row>
    <row r="5182" spans="2:2" ht="15.9" customHeight="1" x14ac:dyDescent="0.3">
      <c r="B5182" s="37"/>
    </row>
    <row r="5183" spans="2:2" ht="15.9" customHeight="1" x14ac:dyDescent="0.3">
      <c r="B5183" s="37"/>
    </row>
    <row r="5184" spans="2:2" ht="15.9" customHeight="1" x14ac:dyDescent="0.3">
      <c r="B5184" s="37"/>
    </row>
    <row r="5185" spans="2:2" ht="15.9" customHeight="1" x14ac:dyDescent="0.3">
      <c r="B5185" s="37"/>
    </row>
    <row r="5186" spans="2:2" ht="15.9" customHeight="1" x14ac:dyDescent="0.3">
      <c r="B5186" s="37"/>
    </row>
    <row r="5187" spans="2:2" ht="15.9" customHeight="1" x14ac:dyDescent="0.3">
      <c r="B5187" s="37"/>
    </row>
    <row r="5188" spans="2:2" ht="15.9" customHeight="1" x14ac:dyDescent="0.3">
      <c r="B5188" s="37"/>
    </row>
    <row r="5189" spans="2:2" ht="15.9" customHeight="1" x14ac:dyDescent="0.3">
      <c r="B5189" s="37"/>
    </row>
    <row r="5190" spans="2:2" ht="15.9" customHeight="1" x14ac:dyDescent="0.3">
      <c r="B5190" s="37"/>
    </row>
    <row r="5191" spans="2:2" ht="15.9" customHeight="1" x14ac:dyDescent="0.3">
      <c r="B5191" s="37"/>
    </row>
    <row r="5192" spans="2:2" ht="15.9" customHeight="1" x14ac:dyDescent="0.3">
      <c r="B5192" s="37"/>
    </row>
    <row r="5193" spans="2:2" ht="15.9" customHeight="1" x14ac:dyDescent="0.3">
      <c r="B5193" s="37"/>
    </row>
    <row r="5194" spans="2:2" ht="15.9" customHeight="1" x14ac:dyDescent="0.3">
      <c r="B5194" s="37"/>
    </row>
    <row r="5195" spans="2:2" ht="15.9" customHeight="1" x14ac:dyDescent="0.3">
      <c r="B5195" s="37"/>
    </row>
    <row r="5196" spans="2:2" ht="15.9" customHeight="1" x14ac:dyDescent="0.3">
      <c r="B5196" s="37"/>
    </row>
    <row r="5197" spans="2:2" ht="15.9" customHeight="1" x14ac:dyDescent="0.3">
      <c r="B5197" s="37"/>
    </row>
    <row r="5198" spans="2:2" ht="15.9" customHeight="1" x14ac:dyDescent="0.3">
      <c r="B5198" s="37"/>
    </row>
    <row r="5199" spans="2:2" ht="15.9" customHeight="1" x14ac:dyDescent="0.3">
      <c r="B5199" s="37"/>
    </row>
    <row r="5200" spans="2:2" ht="15.9" customHeight="1" x14ac:dyDescent="0.3">
      <c r="B5200" s="37"/>
    </row>
    <row r="5201" spans="2:2" ht="15.9" customHeight="1" x14ac:dyDescent="0.3">
      <c r="B5201" s="37"/>
    </row>
    <row r="5202" spans="2:2" ht="15.9" customHeight="1" x14ac:dyDescent="0.3">
      <c r="B5202" s="37"/>
    </row>
    <row r="5203" spans="2:2" ht="15.9" customHeight="1" x14ac:dyDescent="0.3">
      <c r="B5203" s="37"/>
    </row>
    <row r="5204" spans="2:2" ht="15.9" customHeight="1" x14ac:dyDescent="0.3">
      <c r="B5204" s="37"/>
    </row>
    <row r="5205" spans="2:2" ht="15.9" customHeight="1" x14ac:dyDescent="0.3">
      <c r="B5205" s="37"/>
    </row>
    <row r="5206" spans="2:2" ht="15.9" customHeight="1" x14ac:dyDescent="0.3">
      <c r="B5206" s="37"/>
    </row>
    <row r="5207" spans="2:2" ht="15.9" customHeight="1" x14ac:dyDescent="0.3">
      <c r="B5207" s="37"/>
    </row>
    <row r="5208" spans="2:2" ht="15.9" customHeight="1" x14ac:dyDescent="0.3">
      <c r="B5208" s="37"/>
    </row>
    <row r="5209" spans="2:2" ht="15.9" customHeight="1" x14ac:dyDescent="0.3">
      <c r="B5209" s="37"/>
    </row>
    <row r="5210" spans="2:2" ht="15.9" customHeight="1" x14ac:dyDescent="0.3">
      <c r="B5210" s="37"/>
    </row>
    <row r="5211" spans="2:2" ht="15.9" customHeight="1" x14ac:dyDescent="0.3">
      <c r="B5211" s="37"/>
    </row>
    <row r="5212" spans="2:2" ht="15.9" customHeight="1" x14ac:dyDescent="0.3">
      <c r="B5212" s="37"/>
    </row>
    <row r="5213" spans="2:2" ht="15.9" customHeight="1" x14ac:dyDescent="0.3">
      <c r="B5213" s="37"/>
    </row>
    <row r="5214" spans="2:2" ht="15.9" customHeight="1" x14ac:dyDescent="0.3">
      <c r="B5214" s="37"/>
    </row>
    <row r="5215" spans="2:2" ht="15.9" customHeight="1" x14ac:dyDescent="0.3">
      <c r="B5215" s="37"/>
    </row>
    <row r="5216" spans="2:2" ht="15.9" customHeight="1" x14ac:dyDescent="0.3">
      <c r="B5216" s="37"/>
    </row>
    <row r="5217" spans="2:2" ht="15.9" customHeight="1" x14ac:dyDescent="0.3">
      <c r="B5217" s="37"/>
    </row>
    <row r="5218" spans="2:2" ht="15.9" customHeight="1" x14ac:dyDescent="0.3">
      <c r="B5218" s="37"/>
    </row>
    <row r="5219" spans="2:2" ht="15.9" customHeight="1" x14ac:dyDescent="0.3">
      <c r="B5219" s="37"/>
    </row>
    <row r="5220" spans="2:2" ht="15.9" customHeight="1" x14ac:dyDescent="0.3">
      <c r="B5220" s="37"/>
    </row>
    <row r="5221" spans="2:2" ht="15.9" customHeight="1" x14ac:dyDescent="0.3">
      <c r="B5221" s="37"/>
    </row>
    <row r="5222" spans="2:2" ht="15.9" customHeight="1" x14ac:dyDescent="0.3">
      <c r="B5222" s="37"/>
    </row>
    <row r="5223" spans="2:2" ht="15.9" customHeight="1" x14ac:dyDescent="0.3">
      <c r="B5223" s="37"/>
    </row>
    <row r="5224" spans="2:2" ht="15.9" customHeight="1" x14ac:dyDescent="0.3">
      <c r="B5224" s="37"/>
    </row>
    <row r="5225" spans="2:2" ht="15.9" customHeight="1" x14ac:dyDescent="0.3">
      <c r="B5225" s="37"/>
    </row>
    <row r="5226" spans="2:2" ht="15.9" customHeight="1" x14ac:dyDescent="0.3">
      <c r="B5226" s="37"/>
    </row>
    <row r="5227" spans="2:2" ht="15.9" customHeight="1" x14ac:dyDescent="0.3">
      <c r="B5227" s="37"/>
    </row>
    <row r="5228" spans="2:2" ht="15.9" customHeight="1" x14ac:dyDescent="0.3">
      <c r="B5228" s="37"/>
    </row>
    <row r="5229" spans="2:2" ht="15.9" customHeight="1" x14ac:dyDescent="0.3">
      <c r="B5229" s="37"/>
    </row>
    <row r="5230" spans="2:2" ht="15.9" customHeight="1" x14ac:dyDescent="0.3">
      <c r="B5230" s="37"/>
    </row>
    <row r="5231" spans="2:2" ht="15.9" customHeight="1" x14ac:dyDescent="0.3">
      <c r="B5231" s="37"/>
    </row>
    <row r="5232" spans="2:2" ht="15.9" customHeight="1" x14ac:dyDescent="0.3">
      <c r="B5232" s="37"/>
    </row>
    <row r="5233" spans="2:2" ht="15.9" customHeight="1" x14ac:dyDescent="0.3">
      <c r="B5233" s="37"/>
    </row>
    <row r="5234" spans="2:2" ht="15.9" customHeight="1" x14ac:dyDescent="0.3">
      <c r="B5234" s="37"/>
    </row>
    <row r="5235" spans="2:2" ht="15.9" customHeight="1" x14ac:dyDescent="0.3">
      <c r="B5235" s="37"/>
    </row>
    <row r="5236" spans="2:2" ht="15.9" customHeight="1" x14ac:dyDescent="0.3">
      <c r="B5236" s="37"/>
    </row>
    <row r="5237" spans="2:2" ht="15.9" customHeight="1" x14ac:dyDescent="0.3">
      <c r="B5237" s="37"/>
    </row>
    <row r="5238" spans="2:2" ht="15.9" customHeight="1" x14ac:dyDescent="0.3">
      <c r="B5238" s="37"/>
    </row>
    <row r="5239" spans="2:2" ht="15.9" customHeight="1" x14ac:dyDescent="0.3">
      <c r="B5239" s="37"/>
    </row>
    <row r="5240" spans="2:2" ht="15.9" customHeight="1" x14ac:dyDescent="0.3">
      <c r="B5240" s="37"/>
    </row>
    <row r="5241" spans="2:2" ht="15.9" customHeight="1" x14ac:dyDescent="0.3">
      <c r="B5241" s="37"/>
    </row>
    <row r="5242" spans="2:2" ht="15.9" customHeight="1" x14ac:dyDescent="0.3">
      <c r="B5242" s="37"/>
    </row>
    <row r="5243" spans="2:2" ht="15.9" customHeight="1" x14ac:dyDescent="0.3">
      <c r="B5243" s="37"/>
    </row>
    <row r="5244" spans="2:2" ht="15.9" customHeight="1" x14ac:dyDescent="0.3">
      <c r="B5244" s="37"/>
    </row>
    <row r="5245" spans="2:2" ht="15.9" customHeight="1" x14ac:dyDescent="0.3">
      <c r="B5245" s="37"/>
    </row>
    <row r="5246" spans="2:2" ht="15.9" customHeight="1" x14ac:dyDescent="0.3">
      <c r="B5246" s="37"/>
    </row>
    <row r="5247" spans="2:2" ht="15.9" customHeight="1" x14ac:dyDescent="0.3">
      <c r="B5247" s="37"/>
    </row>
    <row r="5248" spans="2:2" ht="15.9" customHeight="1" x14ac:dyDescent="0.3">
      <c r="B5248" s="37"/>
    </row>
    <row r="5249" spans="2:2" ht="15.9" customHeight="1" x14ac:dyDescent="0.3">
      <c r="B5249" s="37"/>
    </row>
    <row r="5250" spans="2:2" ht="15.9" customHeight="1" x14ac:dyDescent="0.3">
      <c r="B5250" s="37"/>
    </row>
    <row r="5251" spans="2:2" ht="15.9" customHeight="1" x14ac:dyDescent="0.3">
      <c r="B5251" s="37"/>
    </row>
    <row r="5252" spans="2:2" ht="15.9" customHeight="1" x14ac:dyDescent="0.3">
      <c r="B5252" s="37"/>
    </row>
    <row r="5253" spans="2:2" ht="15.9" customHeight="1" x14ac:dyDescent="0.3">
      <c r="B5253" s="37"/>
    </row>
    <row r="5254" spans="2:2" ht="15.9" customHeight="1" x14ac:dyDescent="0.3">
      <c r="B5254" s="37"/>
    </row>
    <row r="5255" spans="2:2" ht="15.9" customHeight="1" x14ac:dyDescent="0.3">
      <c r="B5255" s="37"/>
    </row>
    <row r="5256" spans="2:2" ht="15.9" customHeight="1" x14ac:dyDescent="0.3">
      <c r="B5256" s="37"/>
    </row>
    <row r="5257" spans="2:2" ht="15.9" customHeight="1" x14ac:dyDescent="0.3">
      <c r="B5257" s="37"/>
    </row>
    <row r="5258" spans="2:2" ht="15.9" customHeight="1" x14ac:dyDescent="0.3">
      <c r="B5258" s="37"/>
    </row>
    <row r="5259" spans="2:2" ht="15.9" customHeight="1" x14ac:dyDescent="0.3">
      <c r="B5259" s="37"/>
    </row>
    <row r="5260" spans="2:2" ht="15.9" customHeight="1" x14ac:dyDescent="0.3">
      <c r="B5260" s="37"/>
    </row>
    <row r="5261" spans="2:2" ht="15.9" customHeight="1" x14ac:dyDescent="0.3">
      <c r="B5261" s="37"/>
    </row>
    <row r="5262" spans="2:2" ht="15.9" customHeight="1" x14ac:dyDescent="0.3">
      <c r="B5262" s="37"/>
    </row>
    <row r="5263" spans="2:2" ht="15.9" customHeight="1" x14ac:dyDescent="0.3">
      <c r="B5263" s="37"/>
    </row>
    <row r="5264" spans="2:2" ht="15.9" customHeight="1" x14ac:dyDescent="0.3">
      <c r="B5264" s="37"/>
    </row>
    <row r="5265" spans="2:2" ht="15.9" customHeight="1" x14ac:dyDescent="0.3">
      <c r="B5265" s="37"/>
    </row>
    <row r="5266" spans="2:2" ht="15.9" customHeight="1" x14ac:dyDescent="0.3">
      <c r="B5266" s="37"/>
    </row>
    <row r="5267" spans="2:2" ht="15.9" customHeight="1" x14ac:dyDescent="0.3">
      <c r="B5267" s="37"/>
    </row>
    <row r="5268" spans="2:2" ht="15.9" customHeight="1" x14ac:dyDescent="0.3">
      <c r="B5268" s="37"/>
    </row>
    <row r="5269" spans="2:2" ht="15.9" customHeight="1" x14ac:dyDescent="0.3">
      <c r="B5269" s="37"/>
    </row>
    <row r="5270" spans="2:2" ht="15.9" customHeight="1" x14ac:dyDescent="0.3">
      <c r="B5270" s="37"/>
    </row>
    <row r="5271" spans="2:2" ht="15.9" customHeight="1" x14ac:dyDescent="0.3">
      <c r="B5271" s="37"/>
    </row>
    <row r="5272" spans="2:2" ht="15.9" customHeight="1" x14ac:dyDescent="0.3">
      <c r="B5272" s="37"/>
    </row>
    <row r="5273" spans="2:2" ht="15.9" customHeight="1" x14ac:dyDescent="0.3">
      <c r="B5273" s="37"/>
    </row>
    <row r="5274" spans="2:2" ht="15.9" customHeight="1" x14ac:dyDescent="0.3">
      <c r="B5274" s="37"/>
    </row>
    <row r="5275" spans="2:2" ht="15.9" customHeight="1" x14ac:dyDescent="0.3">
      <c r="B5275" s="37"/>
    </row>
    <row r="5276" spans="2:2" ht="15.9" customHeight="1" x14ac:dyDescent="0.3">
      <c r="B5276" s="37"/>
    </row>
    <row r="5277" spans="2:2" ht="15.9" customHeight="1" x14ac:dyDescent="0.3">
      <c r="B5277" s="37"/>
    </row>
    <row r="5278" spans="2:2" ht="15.9" customHeight="1" x14ac:dyDescent="0.3">
      <c r="B5278" s="37"/>
    </row>
    <row r="5279" spans="2:2" ht="15.9" customHeight="1" x14ac:dyDescent="0.3">
      <c r="B5279" s="37"/>
    </row>
    <row r="5280" spans="2:2" ht="15.9" customHeight="1" x14ac:dyDescent="0.3">
      <c r="B5280" s="37"/>
    </row>
    <row r="5281" spans="2:2" ht="15.9" customHeight="1" x14ac:dyDescent="0.3">
      <c r="B5281" s="37"/>
    </row>
    <row r="5282" spans="2:2" ht="15.9" customHeight="1" x14ac:dyDescent="0.3">
      <c r="B5282" s="37"/>
    </row>
    <row r="5283" spans="2:2" ht="15.9" customHeight="1" x14ac:dyDescent="0.3">
      <c r="B5283" s="37"/>
    </row>
    <row r="5284" spans="2:2" ht="15.9" customHeight="1" x14ac:dyDescent="0.3">
      <c r="B5284" s="37"/>
    </row>
    <row r="5285" spans="2:2" ht="15.9" customHeight="1" x14ac:dyDescent="0.3">
      <c r="B5285" s="37"/>
    </row>
    <row r="5286" spans="2:2" ht="15.9" customHeight="1" x14ac:dyDescent="0.3">
      <c r="B5286" s="37"/>
    </row>
    <row r="5287" spans="2:2" ht="15.9" customHeight="1" x14ac:dyDescent="0.3">
      <c r="B5287" s="37"/>
    </row>
    <row r="5288" spans="2:2" ht="15.9" customHeight="1" x14ac:dyDescent="0.3">
      <c r="B5288" s="37"/>
    </row>
    <row r="5289" spans="2:2" ht="15.9" customHeight="1" x14ac:dyDescent="0.3">
      <c r="B5289" s="37"/>
    </row>
    <row r="5290" spans="2:2" ht="15.9" customHeight="1" x14ac:dyDescent="0.3">
      <c r="B5290" s="37"/>
    </row>
    <row r="5291" spans="2:2" ht="15.9" customHeight="1" x14ac:dyDescent="0.3">
      <c r="B5291" s="37"/>
    </row>
    <row r="5292" spans="2:2" ht="15.9" customHeight="1" x14ac:dyDescent="0.3">
      <c r="B5292" s="37"/>
    </row>
    <row r="5293" spans="2:2" ht="15.9" customHeight="1" x14ac:dyDescent="0.3">
      <c r="B5293" s="37"/>
    </row>
    <row r="5294" spans="2:2" ht="15.9" customHeight="1" x14ac:dyDescent="0.3">
      <c r="B5294" s="37"/>
    </row>
    <row r="5295" spans="2:2" ht="15.9" customHeight="1" x14ac:dyDescent="0.3">
      <c r="B5295" s="37"/>
    </row>
    <row r="5296" spans="2:2" ht="15.9" customHeight="1" x14ac:dyDescent="0.3">
      <c r="B5296" s="37"/>
    </row>
    <row r="5297" spans="2:2" ht="15.9" customHeight="1" x14ac:dyDescent="0.3">
      <c r="B5297" s="37"/>
    </row>
    <row r="5298" spans="2:2" ht="15.9" customHeight="1" x14ac:dyDescent="0.3">
      <c r="B5298" s="37"/>
    </row>
    <row r="5299" spans="2:2" ht="15.9" customHeight="1" x14ac:dyDescent="0.3">
      <c r="B5299" s="37"/>
    </row>
    <row r="5300" spans="2:2" ht="15.9" customHeight="1" x14ac:dyDescent="0.3">
      <c r="B5300" s="37"/>
    </row>
    <row r="5301" spans="2:2" ht="15.9" customHeight="1" x14ac:dyDescent="0.3">
      <c r="B5301" s="37"/>
    </row>
    <row r="5302" spans="2:2" ht="15.9" customHeight="1" x14ac:dyDescent="0.3">
      <c r="B5302" s="37"/>
    </row>
    <row r="5303" spans="2:2" ht="15.9" customHeight="1" x14ac:dyDescent="0.3">
      <c r="B5303" s="37"/>
    </row>
    <row r="5304" spans="2:2" ht="15.9" customHeight="1" x14ac:dyDescent="0.3">
      <c r="B5304" s="37"/>
    </row>
    <row r="5305" spans="2:2" ht="15.9" customHeight="1" x14ac:dyDescent="0.3">
      <c r="B5305" s="37"/>
    </row>
    <row r="5306" spans="2:2" ht="15.9" customHeight="1" x14ac:dyDescent="0.3">
      <c r="B5306" s="37"/>
    </row>
    <row r="5307" spans="2:2" ht="15.9" customHeight="1" x14ac:dyDescent="0.3">
      <c r="B5307" s="37"/>
    </row>
    <row r="5308" spans="2:2" ht="15.9" customHeight="1" x14ac:dyDescent="0.3">
      <c r="B5308" s="37"/>
    </row>
    <row r="5309" spans="2:2" ht="15.9" customHeight="1" x14ac:dyDescent="0.3">
      <c r="B5309" s="37"/>
    </row>
    <row r="5310" spans="2:2" ht="15.9" customHeight="1" x14ac:dyDescent="0.3">
      <c r="B5310" s="37"/>
    </row>
    <row r="5311" spans="2:2" ht="15.9" customHeight="1" x14ac:dyDescent="0.3">
      <c r="B5311" s="37"/>
    </row>
    <row r="5312" spans="2:2" ht="15.9" customHeight="1" x14ac:dyDescent="0.3">
      <c r="B5312" s="37"/>
    </row>
    <row r="5313" spans="2:2" ht="15.9" customHeight="1" x14ac:dyDescent="0.3">
      <c r="B5313" s="37"/>
    </row>
    <row r="5314" spans="2:2" ht="15.9" customHeight="1" x14ac:dyDescent="0.3">
      <c r="B5314" s="37"/>
    </row>
    <row r="5315" spans="2:2" ht="15.9" customHeight="1" x14ac:dyDescent="0.3">
      <c r="B5315" s="37"/>
    </row>
    <row r="5316" spans="2:2" ht="15.9" customHeight="1" x14ac:dyDescent="0.3">
      <c r="B5316" s="37"/>
    </row>
    <row r="5317" spans="2:2" ht="15.9" customHeight="1" x14ac:dyDescent="0.3">
      <c r="B5317" s="37"/>
    </row>
    <row r="5318" spans="2:2" ht="15.9" customHeight="1" x14ac:dyDescent="0.3">
      <c r="B5318" s="37"/>
    </row>
    <row r="5319" spans="2:2" ht="15.9" customHeight="1" x14ac:dyDescent="0.3">
      <c r="B5319" s="37"/>
    </row>
    <row r="5320" spans="2:2" ht="15.9" customHeight="1" x14ac:dyDescent="0.3">
      <c r="B5320" s="37"/>
    </row>
    <row r="5321" spans="2:2" ht="15.9" customHeight="1" x14ac:dyDescent="0.3">
      <c r="B5321" s="37"/>
    </row>
    <row r="5322" spans="2:2" ht="15.9" customHeight="1" x14ac:dyDescent="0.3">
      <c r="B5322" s="37"/>
    </row>
    <row r="5323" spans="2:2" ht="15.9" customHeight="1" x14ac:dyDescent="0.3">
      <c r="B5323" s="37"/>
    </row>
    <row r="5324" spans="2:2" ht="15.9" customHeight="1" x14ac:dyDescent="0.3">
      <c r="B5324" s="37"/>
    </row>
    <row r="5325" spans="2:2" ht="15.9" customHeight="1" x14ac:dyDescent="0.3">
      <c r="B5325" s="37"/>
    </row>
    <row r="5326" spans="2:2" ht="15.9" customHeight="1" x14ac:dyDescent="0.3">
      <c r="B5326" s="37"/>
    </row>
    <row r="5327" spans="2:2" ht="15.9" customHeight="1" x14ac:dyDescent="0.3">
      <c r="B5327" s="37"/>
    </row>
    <row r="5328" spans="2:2" ht="15.9" customHeight="1" x14ac:dyDescent="0.3">
      <c r="B5328" s="37"/>
    </row>
    <row r="5329" spans="2:2" ht="15.9" customHeight="1" x14ac:dyDescent="0.3">
      <c r="B5329" s="37"/>
    </row>
    <row r="5330" spans="2:2" ht="15.9" customHeight="1" x14ac:dyDescent="0.3">
      <c r="B5330" s="37"/>
    </row>
    <row r="5331" spans="2:2" ht="15.9" customHeight="1" x14ac:dyDescent="0.3">
      <c r="B5331" s="37"/>
    </row>
    <row r="5332" spans="2:2" ht="15.9" customHeight="1" x14ac:dyDescent="0.3">
      <c r="B5332" s="37"/>
    </row>
    <row r="5333" spans="2:2" ht="15.9" customHeight="1" x14ac:dyDescent="0.3">
      <c r="B5333" s="37"/>
    </row>
    <row r="5334" spans="2:2" ht="15.9" customHeight="1" x14ac:dyDescent="0.3">
      <c r="B5334" s="37"/>
    </row>
    <row r="5335" spans="2:2" ht="15.9" customHeight="1" x14ac:dyDescent="0.3">
      <c r="B5335" s="37"/>
    </row>
    <row r="5336" spans="2:2" ht="15.9" customHeight="1" x14ac:dyDescent="0.3">
      <c r="B5336" s="37"/>
    </row>
    <row r="5337" spans="2:2" ht="15.9" customHeight="1" x14ac:dyDescent="0.3">
      <c r="B5337" s="37"/>
    </row>
    <row r="5338" spans="2:2" ht="15.9" customHeight="1" x14ac:dyDescent="0.3">
      <c r="B5338" s="37"/>
    </row>
    <row r="5339" spans="2:2" ht="15.9" customHeight="1" x14ac:dyDescent="0.3">
      <c r="B5339" s="37"/>
    </row>
    <row r="5340" spans="2:2" ht="15.9" customHeight="1" x14ac:dyDescent="0.3">
      <c r="B5340" s="37"/>
    </row>
    <row r="5341" spans="2:2" ht="15.9" customHeight="1" x14ac:dyDescent="0.3">
      <c r="B5341" s="37"/>
    </row>
    <row r="5342" spans="2:2" ht="15.9" customHeight="1" x14ac:dyDescent="0.3">
      <c r="B5342" s="37"/>
    </row>
    <row r="5343" spans="2:2" ht="15.9" customHeight="1" x14ac:dyDescent="0.3">
      <c r="B5343" s="37"/>
    </row>
    <row r="5344" spans="2:2" ht="15.9" customHeight="1" x14ac:dyDescent="0.3">
      <c r="B5344" s="37"/>
    </row>
    <row r="5345" spans="2:2" ht="15.9" customHeight="1" x14ac:dyDescent="0.3">
      <c r="B5345" s="37"/>
    </row>
    <row r="5346" spans="2:2" ht="15.9" customHeight="1" x14ac:dyDescent="0.3">
      <c r="B5346" s="37"/>
    </row>
    <row r="5347" spans="2:2" ht="15.9" customHeight="1" x14ac:dyDescent="0.3">
      <c r="B5347" s="37"/>
    </row>
    <row r="5348" spans="2:2" ht="15.9" customHeight="1" x14ac:dyDescent="0.3">
      <c r="B5348" s="37"/>
    </row>
    <row r="5349" spans="2:2" ht="15.9" customHeight="1" x14ac:dyDescent="0.3">
      <c r="B5349" s="37"/>
    </row>
    <row r="5350" spans="2:2" ht="15.9" customHeight="1" x14ac:dyDescent="0.3">
      <c r="B5350" s="37"/>
    </row>
    <row r="5351" spans="2:2" ht="15.9" customHeight="1" x14ac:dyDescent="0.3">
      <c r="B5351" s="37"/>
    </row>
    <row r="5352" spans="2:2" ht="15.9" customHeight="1" x14ac:dyDescent="0.3">
      <c r="B5352" s="37"/>
    </row>
    <row r="5353" spans="2:2" ht="15.9" customHeight="1" x14ac:dyDescent="0.3">
      <c r="B5353" s="37"/>
    </row>
    <row r="5354" spans="2:2" ht="15.9" customHeight="1" x14ac:dyDescent="0.3">
      <c r="B5354" s="37"/>
    </row>
    <row r="5355" spans="2:2" ht="15.9" customHeight="1" x14ac:dyDescent="0.3">
      <c r="B5355" s="37"/>
    </row>
    <row r="5356" spans="2:2" ht="15.9" customHeight="1" x14ac:dyDescent="0.3">
      <c r="B5356" s="37"/>
    </row>
    <row r="5357" spans="2:2" ht="15.9" customHeight="1" x14ac:dyDescent="0.3">
      <c r="B5357" s="37"/>
    </row>
    <row r="5358" spans="2:2" ht="15.9" customHeight="1" x14ac:dyDescent="0.3">
      <c r="B5358" s="37"/>
    </row>
    <row r="5359" spans="2:2" ht="15.9" customHeight="1" x14ac:dyDescent="0.3">
      <c r="B5359" s="37"/>
    </row>
    <row r="5360" spans="2:2" ht="15.9" customHeight="1" x14ac:dyDescent="0.3">
      <c r="B5360" s="37"/>
    </row>
    <row r="5361" spans="2:2" ht="15.9" customHeight="1" x14ac:dyDescent="0.3">
      <c r="B5361" s="37"/>
    </row>
    <row r="5362" spans="2:2" ht="15.9" customHeight="1" x14ac:dyDescent="0.3">
      <c r="B5362" s="37"/>
    </row>
    <row r="5363" spans="2:2" ht="15.9" customHeight="1" x14ac:dyDescent="0.3">
      <c r="B5363" s="37"/>
    </row>
    <row r="5364" spans="2:2" ht="15.9" customHeight="1" x14ac:dyDescent="0.3">
      <c r="B5364" s="37"/>
    </row>
    <row r="5365" spans="2:2" ht="15.9" customHeight="1" x14ac:dyDescent="0.3">
      <c r="B5365" s="37"/>
    </row>
    <row r="5366" spans="2:2" ht="15.9" customHeight="1" x14ac:dyDescent="0.3">
      <c r="B5366" s="37"/>
    </row>
    <row r="5367" spans="2:2" ht="15.9" customHeight="1" x14ac:dyDescent="0.3">
      <c r="B5367" s="37"/>
    </row>
    <row r="5368" spans="2:2" ht="15.9" customHeight="1" x14ac:dyDescent="0.3">
      <c r="B5368" s="37"/>
    </row>
    <row r="5369" spans="2:2" ht="15.9" customHeight="1" x14ac:dyDescent="0.3">
      <c r="B5369" s="37"/>
    </row>
    <row r="5370" spans="2:2" ht="15.9" customHeight="1" x14ac:dyDescent="0.3">
      <c r="B5370" s="37"/>
    </row>
    <row r="5371" spans="2:2" ht="15.9" customHeight="1" x14ac:dyDescent="0.3">
      <c r="B5371" s="37"/>
    </row>
    <row r="5372" spans="2:2" ht="15.9" customHeight="1" x14ac:dyDescent="0.3">
      <c r="B5372" s="37"/>
    </row>
    <row r="5373" spans="2:2" ht="15.9" customHeight="1" x14ac:dyDescent="0.3">
      <c r="B5373" s="37"/>
    </row>
    <row r="5374" spans="2:2" ht="15.9" customHeight="1" x14ac:dyDescent="0.3">
      <c r="B5374" s="37"/>
    </row>
    <row r="5375" spans="2:2" ht="15.9" customHeight="1" x14ac:dyDescent="0.3">
      <c r="B5375" s="37"/>
    </row>
    <row r="5376" spans="2:2" ht="15.9" customHeight="1" x14ac:dyDescent="0.3">
      <c r="B5376" s="37"/>
    </row>
    <row r="5377" spans="2:2" ht="15.9" customHeight="1" x14ac:dyDescent="0.3">
      <c r="B5377" s="37"/>
    </row>
    <row r="5378" spans="2:2" ht="15.9" customHeight="1" x14ac:dyDescent="0.3">
      <c r="B5378" s="37"/>
    </row>
    <row r="5379" spans="2:2" ht="15.9" customHeight="1" x14ac:dyDescent="0.3">
      <c r="B5379" s="37"/>
    </row>
    <row r="5380" spans="2:2" ht="15.9" customHeight="1" x14ac:dyDescent="0.3">
      <c r="B5380" s="37"/>
    </row>
    <row r="5381" spans="2:2" ht="15.9" customHeight="1" x14ac:dyDescent="0.3">
      <c r="B5381" s="37"/>
    </row>
    <row r="5382" spans="2:2" ht="15.9" customHeight="1" x14ac:dyDescent="0.3">
      <c r="B5382" s="37"/>
    </row>
    <row r="5383" spans="2:2" ht="15.9" customHeight="1" x14ac:dyDescent="0.3">
      <c r="B5383" s="37"/>
    </row>
    <row r="5384" spans="2:2" ht="15.9" customHeight="1" x14ac:dyDescent="0.3">
      <c r="B5384" s="37"/>
    </row>
    <row r="5385" spans="2:2" ht="15.9" customHeight="1" x14ac:dyDescent="0.3">
      <c r="B5385" s="37"/>
    </row>
    <row r="5386" spans="2:2" ht="15.9" customHeight="1" x14ac:dyDescent="0.3">
      <c r="B5386" s="37"/>
    </row>
    <row r="5387" spans="2:2" ht="15.9" customHeight="1" x14ac:dyDescent="0.3">
      <c r="B5387" s="37"/>
    </row>
    <row r="5388" spans="2:2" ht="15.9" customHeight="1" x14ac:dyDescent="0.3">
      <c r="B5388" s="37"/>
    </row>
    <row r="5389" spans="2:2" ht="15.9" customHeight="1" x14ac:dyDescent="0.3">
      <c r="B5389" s="37"/>
    </row>
    <row r="5390" spans="2:2" ht="15.9" customHeight="1" x14ac:dyDescent="0.3">
      <c r="B5390" s="37"/>
    </row>
    <row r="5391" spans="2:2" ht="15.9" customHeight="1" x14ac:dyDescent="0.3">
      <c r="B5391" s="37"/>
    </row>
    <row r="5392" spans="2:2" ht="15.9" customHeight="1" x14ac:dyDescent="0.3">
      <c r="B5392" s="37"/>
    </row>
    <row r="5393" spans="2:2" ht="15.9" customHeight="1" x14ac:dyDescent="0.3">
      <c r="B5393" s="37"/>
    </row>
    <row r="5394" spans="2:2" ht="15.9" customHeight="1" x14ac:dyDescent="0.3">
      <c r="B5394" s="37"/>
    </row>
    <row r="5395" spans="2:2" ht="15.9" customHeight="1" x14ac:dyDescent="0.3">
      <c r="B5395" s="37"/>
    </row>
    <row r="5396" spans="2:2" ht="15.9" customHeight="1" x14ac:dyDescent="0.3">
      <c r="B5396" s="37"/>
    </row>
    <row r="5397" spans="2:2" ht="15.9" customHeight="1" x14ac:dyDescent="0.3">
      <c r="B5397" s="37"/>
    </row>
    <row r="5398" spans="2:2" ht="15.9" customHeight="1" x14ac:dyDescent="0.3">
      <c r="B5398" s="37"/>
    </row>
    <row r="5399" spans="2:2" ht="15.9" customHeight="1" x14ac:dyDescent="0.3">
      <c r="B5399" s="37"/>
    </row>
    <row r="5400" spans="2:2" ht="15.9" customHeight="1" x14ac:dyDescent="0.3">
      <c r="B5400" s="37"/>
    </row>
    <row r="5401" spans="2:2" ht="15.9" customHeight="1" x14ac:dyDescent="0.3">
      <c r="B5401" s="37"/>
    </row>
    <row r="5402" spans="2:2" ht="15.9" customHeight="1" x14ac:dyDescent="0.3">
      <c r="B5402" s="37"/>
    </row>
    <row r="5403" spans="2:2" ht="15.9" customHeight="1" x14ac:dyDescent="0.3">
      <c r="B5403" s="37"/>
    </row>
    <row r="5404" spans="2:2" ht="15.9" customHeight="1" x14ac:dyDescent="0.3">
      <c r="B5404" s="37"/>
    </row>
    <row r="5405" spans="2:2" ht="15.9" customHeight="1" x14ac:dyDescent="0.3">
      <c r="B5405" s="37"/>
    </row>
    <row r="5406" spans="2:2" ht="15.9" customHeight="1" x14ac:dyDescent="0.3">
      <c r="B5406" s="37"/>
    </row>
    <row r="5407" spans="2:2" ht="15.9" customHeight="1" x14ac:dyDescent="0.3">
      <c r="B5407" s="37"/>
    </row>
    <row r="5408" spans="2:2" ht="15.9" customHeight="1" x14ac:dyDescent="0.3">
      <c r="B5408" s="37"/>
    </row>
    <row r="5409" spans="2:2" ht="15.9" customHeight="1" x14ac:dyDescent="0.3">
      <c r="B5409" s="37"/>
    </row>
    <row r="5410" spans="2:2" ht="15.9" customHeight="1" x14ac:dyDescent="0.3">
      <c r="B5410" s="37"/>
    </row>
    <row r="5411" spans="2:2" ht="15.9" customHeight="1" x14ac:dyDescent="0.3">
      <c r="B5411" s="37"/>
    </row>
    <row r="5412" spans="2:2" ht="15.9" customHeight="1" x14ac:dyDescent="0.3">
      <c r="B5412" s="37"/>
    </row>
    <row r="5413" spans="2:2" ht="15.9" customHeight="1" x14ac:dyDescent="0.3">
      <c r="B5413" s="37"/>
    </row>
    <row r="5414" spans="2:2" ht="15.9" customHeight="1" x14ac:dyDescent="0.3">
      <c r="B5414" s="37"/>
    </row>
    <row r="5415" spans="2:2" ht="15.9" customHeight="1" x14ac:dyDescent="0.3">
      <c r="B5415" s="37"/>
    </row>
    <row r="5416" spans="2:2" ht="15.9" customHeight="1" x14ac:dyDescent="0.3">
      <c r="B5416" s="37"/>
    </row>
    <row r="5417" spans="2:2" ht="15.9" customHeight="1" x14ac:dyDescent="0.3">
      <c r="B5417" s="37"/>
    </row>
    <row r="5418" spans="2:2" ht="15.9" customHeight="1" x14ac:dyDescent="0.3">
      <c r="B5418" s="37"/>
    </row>
    <row r="5419" spans="2:2" ht="15.9" customHeight="1" x14ac:dyDescent="0.3">
      <c r="B5419" s="37"/>
    </row>
    <row r="5420" spans="2:2" ht="15.9" customHeight="1" x14ac:dyDescent="0.3">
      <c r="B5420" s="37"/>
    </row>
    <row r="5421" spans="2:2" ht="15.9" customHeight="1" x14ac:dyDescent="0.3">
      <c r="B5421" s="37"/>
    </row>
    <row r="5422" spans="2:2" ht="15.9" customHeight="1" x14ac:dyDescent="0.3">
      <c r="B5422" s="37"/>
    </row>
    <row r="5423" spans="2:2" ht="15.9" customHeight="1" x14ac:dyDescent="0.3">
      <c r="B5423" s="37"/>
    </row>
    <row r="5424" spans="2:2" ht="15.9" customHeight="1" x14ac:dyDescent="0.3">
      <c r="B5424" s="37"/>
    </row>
    <row r="5425" spans="2:2" ht="15.9" customHeight="1" x14ac:dyDescent="0.3">
      <c r="B5425" s="37"/>
    </row>
    <row r="5426" spans="2:2" ht="15.9" customHeight="1" x14ac:dyDescent="0.3">
      <c r="B5426" s="37"/>
    </row>
    <row r="5427" spans="2:2" ht="15.9" customHeight="1" x14ac:dyDescent="0.3">
      <c r="B5427" s="37"/>
    </row>
    <row r="5428" spans="2:2" ht="15.9" customHeight="1" x14ac:dyDescent="0.3">
      <c r="B5428" s="37"/>
    </row>
    <row r="5429" spans="2:2" ht="15.9" customHeight="1" x14ac:dyDescent="0.3">
      <c r="B5429" s="37"/>
    </row>
    <row r="5430" spans="2:2" ht="15.9" customHeight="1" x14ac:dyDescent="0.3">
      <c r="B5430" s="37"/>
    </row>
    <row r="5431" spans="2:2" ht="15.9" customHeight="1" x14ac:dyDescent="0.3">
      <c r="B5431" s="37"/>
    </row>
    <row r="5432" spans="2:2" ht="15.9" customHeight="1" x14ac:dyDescent="0.3">
      <c r="B5432" s="37"/>
    </row>
    <row r="5433" spans="2:2" ht="15.9" customHeight="1" x14ac:dyDescent="0.3">
      <c r="B5433" s="37"/>
    </row>
    <row r="5434" spans="2:2" ht="15.9" customHeight="1" x14ac:dyDescent="0.3">
      <c r="B5434" s="37"/>
    </row>
    <row r="5435" spans="2:2" ht="15.9" customHeight="1" x14ac:dyDescent="0.3">
      <c r="B5435" s="37"/>
    </row>
    <row r="5436" spans="2:2" ht="15.9" customHeight="1" x14ac:dyDescent="0.3">
      <c r="B5436" s="37"/>
    </row>
    <row r="5437" spans="2:2" ht="15.9" customHeight="1" x14ac:dyDescent="0.3">
      <c r="B5437" s="37"/>
    </row>
    <row r="5438" spans="2:2" ht="15.9" customHeight="1" x14ac:dyDescent="0.3">
      <c r="B5438" s="37"/>
    </row>
    <row r="5439" spans="2:2" ht="15.9" customHeight="1" x14ac:dyDescent="0.3">
      <c r="B5439" s="37"/>
    </row>
    <row r="5440" spans="2:2" ht="15.9" customHeight="1" x14ac:dyDescent="0.3">
      <c r="B5440" s="37"/>
    </row>
    <row r="5441" spans="2:2" ht="15.9" customHeight="1" x14ac:dyDescent="0.3">
      <c r="B5441" s="37"/>
    </row>
    <row r="5442" spans="2:2" ht="15.9" customHeight="1" x14ac:dyDescent="0.3">
      <c r="B5442" s="37"/>
    </row>
    <row r="5443" spans="2:2" ht="15.9" customHeight="1" x14ac:dyDescent="0.3">
      <c r="B5443" s="37"/>
    </row>
    <row r="5444" spans="2:2" ht="15.9" customHeight="1" x14ac:dyDescent="0.3">
      <c r="B5444" s="37"/>
    </row>
    <row r="5445" spans="2:2" ht="15.9" customHeight="1" x14ac:dyDescent="0.3">
      <c r="B5445" s="37"/>
    </row>
    <row r="5446" spans="2:2" ht="15.9" customHeight="1" x14ac:dyDescent="0.3">
      <c r="B5446" s="37"/>
    </row>
    <row r="5447" spans="2:2" ht="15.9" customHeight="1" x14ac:dyDescent="0.3">
      <c r="B5447" s="37"/>
    </row>
    <row r="5448" spans="2:2" ht="15.9" customHeight="1" x14ac:dyDescent="0.3">
      <c r="B5448" s="37"/>
    </row>
    <row r="5449" spans="2:2" ht="15.9" customHeight="1" x14ac:dyDescent="0.3">
      <c r="B5449" s="37"/>
    </row>
    <row r="5450" spans="2:2" ht="15.9" customHeight="1" x14ac:dyDescent="0.3">
      <c r="B5450" s="37"/>
    </row>
    <row r="5451" spans="2:2" ht="15.9" customHeight="1" x14ac:dyDescent="0.3">
      <c r="B5451" s="37"/>
    </row>
    <row r="5452" spans="2:2" ht="15.9" customHeight="1" x14ac:dyDescent="0.3">
      <c r="B5452" s="37"/>
    </row>
    <row r="5453" spans="2:2" ht="15.9" customHeight="1" x14ac:dyDescent="0.3">
      <c r="B5453" s="37"/>
    </row>
    <row r="5454" spans="2:2" ht="15.9" customHeight="1" x14ac:dyDescent="0.3">
      <c r="B5454" s="37"/>
    </row>
    <row r="5455" spans="2:2" ht="15.9" customHeight="1" x14ac:dyDescent="0.3">
      <c r="B5455" s="37"/>
    </row>
    <row r="5456" spans="2:2" ht="15.9" customHeight="1" x14ac:dyDescent="0.3">
      <c r="B5456" s="37"/>
    </row>
    <row r="5457" spans="2:2" ht="15.9" customHeight="1" x14ac:dyDescent="0.3">
      <c r="B5457" s="37"/>
    </row>
    <row r="5458" spans="2:2" ht="15.9" customHeight="1" x14ac:dyDescent="0.3">
      <c r="B5458" s="37"/>
    </row>
    <row r="5459" spans="2:2" ht="15.9" customHeight="1" x14ac:dyDescent="0.3">
      <c r="B5459" s="37"/>
    </row>
    <row r="5460" spans="2:2" ht="15.9" customHeight="1" x14ac:dyDescent="0.3">
      <c r="B5460" s="37"/>
    </row>
    <row r="5461" spans="2:2" ht="15.9" customHeight="1" x14ac:dyDescent="0.3">
      <c r="B5461" s="37"/>
    </row>
    <row r="5462" spans="2:2" ht="15.9" customHeight="1" x14ac:dyDescent="0.3">
      <c r="B5462" s="37"/>
    </row>
    <row r="5463" spans="2:2" ht="15.9" customHeight="1" x14ac:dyDescent="0.3">
      <c r="B5463" s="37"/>
    </row>
    <row r="5464" spans="2:2" ht="15.9" customHeight="1" x14ac:dyDescent="0.3">
      <c r="B5464" s="37"/>
    </row>
    <row r="5465" spans="2:2" ht="15.9" customHeight="1" x14ac:dyDescent="0.3">
      <c r="B5465" s="37"/>
    </row>
    <row r="5466" spans="2:2" ht="15.9" customHeight="1" x14ac:dyDescent="0.3">
      <c r="B5466" s="37"/>
    </row>
    <row r="5467" spans="2:2" ht="15.9" customHeight="1" x14ac:dyDescent="0.3">
      <c r="B5467" s="37"/>
    </row>
    <row r="5468" spans="2:2" ht="15.9" customHeight="1" x14ac:dyDescent="0.3">
      <c r="B5468" s="37"/>
    </row>
    <row r="5469" spans="2:2" ht="15.9" customHeight="1" x14ac:dyDescent="0.3">
      <c r="B5469" s="37"/>
    </row>
    <row r="5470" spans="2:2" ht="15.9" customHeight="1" x14ac:dyDescent="0.3">
      <c r="B5470" s="37"/>
    </row>
    <row r="5471" spans="2:2" ht="15.9" customHeight="1" x14ac:dyDescent="0.3">
      <c r="B5471" s="37"/>
    </row>
    <row r="5472" spans="2:2" ht="15.9" customHeight="1" x14ac:dyDescent="0.3">
      <c r="B5472" s="37"/>
    </row>
    <row r="5473" spans="2:2" ht="15.9" customHeight="1" x14ac:dyDescent="0.3">
      <c r="B5473" s="37"/>
    </row>
    <row r="5474" spans="2:2" ht="15.9" customHeight="1" x14ac:dyDescent="0.3">
      <c r="B5474" s="37"/>
    </row>
    <row r="5475" spans="2:2" ht="15.9" customHeight="1" x14ac:dyDescent="0.3">
      <c r="B5475" s="37"/>
    </row>
    <row r="5476" spans="2:2" ht="15.9" customHeight="1" x14ac:dyDescent="0.3">
      <c r="B5476" s="37"/>
    </row>
    <row r="5477" spans="2:2" ht="15.9" customHeight="1" x14ac:dyDescent="0.3">
      <c r="B5477" s="37"/>
    </row>
    <row r="5478" spans="2:2" ht="15.9" customHeight="1" x14ac:dyDescent="0.3">
      <c r="B5478" s="37"/>
    </row>
    <row r="5479" spans="2:2" ht="15.9" customHeight="1" x14ac:dyDescent="0.3">
      <c r="B5479" s="37"/>
    </row>
    <row r="5480" spans="2:2" ht="15.9" customHeight="1" x14ac:dyDescent="0.3">
      <c r="B5480" s="37"/>
    </row>
    <row r="5481" spans="2:2" ht="15.9" customHeight="1" x14ac:dyDescent="0.3">
      <c r="B5481" s="37"/>
    </row>
    <row r="5482" spans="2:2" ht="15.9" customHeight="1" x14ac:dyDescent="0.3">
      <c r="B5482" s="37"/>
    </row>
    <row r="5483" spans="2:2" ht="15.9" customHeight="1" x14ac:dyDescent="0.3">
      <c r="B5483" s="37"/>
    </row>
    <row r="5484" spans="2:2" ht="15.9" customHeight="1" x14ac:dyDescent="0.3">
      <c r="B5484" s="37"/>
    </row>
    <row r="5485" spans="2:2" ht="15.9" customHeight="1" x14ac:dyDescent="0.3">
      <c r="B5485" s="37"/>
    </row>
    <row r="5486" spans="2:2" ht="15.9" customHeight="1" x14ac:dyDescent="0.3">
      <c r="B5486" s="37"/>
    </row>
    <row r="5487" spans="2:2" ht="15.9" customHeight="1" x14ac:dyDescent="0.3">
      <c r="B5487" s="37"/>
    </row>
    <row r="5488" spans="2:2" ht="15.9" customHeight="1" x14ac:dyDescent="0.3">
      <c r="B5488" s="37"/>
    </row>
    <row r="5489" spans="2:2" ht="15.9" customHeight="1" x14ac:dyDescent="0.3">
      <c r="B5489" s="37"/>
    </row>
    <row r="5490" spans="2:2" ht="15.9" customHeight="1" x14ac:dyDescent="0.3">
      <c r="B5490" s="37"/>
    </row>
    <row r="5491" spans="2:2" ht="15.9" customHeight="1" x14ac:dyDescent="0.3">
      <c r="B5491" s="37"/>
    </row>
    <row r="5492" spans="2:2" ht="15.9" customHeight="1" x14ac:dyDescent="0.3">
      <c r="B5492" s="37"/>
    </row>
    <row r="5493" spans="2:2" ht="15.9" customHeight="1" x14ac:dyDescent="0.3">
      <c r="B5493" s="37"/>
    </row>
    <row r="5494" spans="2:2" ht="15.9" customHeight="1" x14ac:dyDescent="0.3">
      <c r="B5494" s="37"/>
    </row>
    <row r="5495" spans="2:2" ht="15.9" customHeight="1" x14ac:dyDescent="0.3">
      <c r="B5495" s="37"/>
    </row>
    <row r="5496" spans="2:2" ht="15.9" customHeight="1" x14ac:dyDescent="0.3">
      <c r="B5496" s="37"/>
    </row>
    <row r="5497" spans="2:2" ht="15.9" customHeight="1" x14ac:dyDescent="0.3">
      <c r="B5497" s="37"/>
    </row>
    <row r="5498" spans="2:2" ht="15.9" customHeight="1" x14ac:dyDescent="0.3">
      <c r="B5498" s="37"/>
    </row>
    <row r="5499" spans="2:2" ht="15.9" customHeight="1" x14ac:dyDescent="0.3">
      <c r="B5499" s="37"/>
    </row>
    <row r="5500" spans="2:2" ht="15.9" customHeight="1" x14ac:dyDescent="0.3">
      <c r="B5500" s="37"/>
    </row>
    <row r="5501" spans="2:2" ht="15.9" customHeight="1" x14ac:dyDescent="0.3">
      <c r="B5501" s="37"/>
    </row>
    <row r="5502" spans="2:2" ht="15.9" customHeight="1" x14ac:dyDescent="0.3">
      <c r="B5502" s="37"/>
    </row>
    <row r="5503" spans="2:2" ht="15.9" customHeight="1" x14ac:dyDescent="0.3">
      <c r="B5503" s="37"/>
    </row>
    <row r="5504" spans="2:2" ht="15.9" customHeight="1" x14ac:dyDescent="0.3">
      <c r="B5504" s="37"/>
    </row>
    <row r="5505" spans="2:2" ht="15.9" customHeight="1" x14ac:dyDescent="0.3">
      <c r="B5505" s="37"/>
    </row>
    <row r="5506" spans="2:2" ht="15.9" customHeight="1" x14ac:dyDescent="0.3">
      <c r="B5506" s="37"/>
    </row>
    <row r="5507" spans="2:2" ht="15.9" customHeight="1" x14ac:dyDescent="0.3">
      <c r="B5507" s="37"/>
    </row>
    <row r="5508" spans="2:2" ht="15.9" customHeight="1" x14ac:dyDescent="0.3">
      <c r="B5508" s="37"/>
    </row>
    <row r="5509" spans="2:2" ht="15.9" customHeight="1" x14ac:dyDescent="0.3">
      <c r="B5509" s="37"/>
    </row>
    <row r="5510" spans="2:2" ht="15.9" customHeight="1" x14ac:dyDescent="0.3">
      <c r="B5510" s="37"/>
    </row>
    <row r="5511" spans="2:2" ht="15.9" customHeight="1" x14ac:dyDescent="0.3">
      <c r="B5511" s="37"/>
    </row>
    <row r="5512" spans="2:2" ht="15.9" customHeight="1" x14ac:dyDescent="0.3">
      <c r="B5512" s="37"/>
    </row>
    <row r="5513" spans="2:2" ht="15.9" customHeight="1" x14ac:dyDescent="0.3">
      <c r="B5513" s="37"/>
    </row>
    <row r="5514" spans="2:2" ht="15.9" customHeight="1" x14ac:dyDescent="0.3">
      <c r="B5514" s="37"/>
    </row>
    <row r="5515" spans="2:2" ht="15.9" customHeight="1" x14ac:dyDescent="0.3">
      <c r="B5515" s="37"/>
    </row>
    <row r="5516" spans="2:2" ht="15.9" customHeight="1" x14ac:dyDescent="0.3">
      <c r="B5516" s="37"/>
    </row>
    <row r="5517" spans="2:2" ht="15.9" customHeight="1" x14ac:dyDescent="0.3">
      <c r="B5517" s="37"/>
    </row>
    <row r="5518" spans="2:2" ht="15.9" customHeight="1" x14ac:dyDescent="0.3">
      <c r="B5518" s="37"/>
    </row>
    <row r="5519" spans="2:2" ht="15.9" customHeight="1" x14ac:dyDescent="0.3">
      <c r="B5519" s="37"/>
    </row>
    <row r="5520" spans="2:2" ht="15.9" customHeight="1" x14ac:dyDescent="0.3">
      <c r="B5520" s="37"/>
    </row>
    <row r="5521" spans="2:2" ht="15.9" customHeight="1" x14ac:dyDescent="0.3">
      <c r="B5521" s="37"/>
    </row>
    <row r="5522" spans="2:2" ht="15.9" customHeight="1" x14ac:dyDescent="0.3">
      <c r="B5522" s="37"/>
    </row>
    <row r="5523" spans="2:2" ht="15.9" customHeight="1" x14ac:dyDescent="0.3">
      <c r="B5523" s="37"/>
    </row>
    <row r="5524" spans="2:2" ht="15.9" customHeight="1" x14ac:dyDescent="0.3">
      <c r="B5524" s="37"/>
    </row>
    <row r="5525" spans="2:2" ht="15.9" customHeight="1" x14ac:dyDescent="0.3">
      <c r="B5525" s="37"/>
    </row>
    <row r="5526" spans="2:2" ht="15.9" customHeight="1" x14ac:dyDescent="0.3">
      <c r="B5526" s="37"/>
    </row>
    <row r="5527" spans="2:2" ht="15.9" customHeight="1" x14ac:dyDescent="0.3">
      <c r="B5527" s="37"/>
    </row>
    <row r="5528" spans="2:2" ht="15.9" customHeight="1" x14ac:dyDescent="0.3">
      <c r="B5528" s="37"/>
    </row>
    <row r="5529" spans="2:2" ht="15.9" customHeight="1" x14ac:dyDescent="0.3">
      <c r="B5529" s="37"/>
    </row>
    <row r="5530" spans="2:2" ht="15.9" customHeight="1" x14ac:dyDescent="0.3">
      <c r="B5530" s="37"/>
    </row>
    <row r="5531" spans="2:2" ht="15.9" customHeight="1" x14ac:dyDescent="0.3">
      <c r="B5531" s="37"/>
    </row>
    <row r="5532" spans="2:2" ht="15.9" customHeight="1" x14ac:dyDescent="0.3">
      <c r="B5532" s="37"/>
    </row>
    <row r="5533" spans="2:2" ht="15.9" customHeight="1" x14ac:dyDescent="0.3">
      <c r="B5533" s="37"/>
    </row>
    <row r="5534" spans="2:2" ht="15.9" customHeight="1" x14ac:dyDescent="0.3">
      <c r="B5534" s="37"/>
    </row>
    <row r="5535" spans="2:2" ht="15.9" customHeight="1" x14ac:dyDescent="0.3">
      <c r="B5535" s="37"/>
    </row>
    <row r="5536" spans="2:2" ht="15.9" customHeight="1" x14ac:dyDescent="0.3">
      <c r="B5536" s="37"/>
    </row>
    <row r="5537" spans="2:2" ht="15.9" customHeight="1" x14ac:dyDescent="0.3">
      <c r="B5537" s="37"/>
    </row>
    <row r="5538" spans="2:2" ht="15.9" customHeight="1" x14ac:dyDescent="0.3">
      <c r="B5538" s="37"/>
    </row>
    <row r="5539" spans="2:2" ht="15.9" customHeight="1" x14ac:dyDescent="0.3">
      <c r="B5539" s="37"/>
    </row>
    <row r="5540" spans="2:2" ht="15.9" customHeight="1" x14ac:dyDescent="0.3">
      <c r="B5540" s="37"/>
    </row>
    <row r="5541" spans="2:2" ht="15.9" customHeight="1" x14ac:dyDescent="0.3">
      <c r="B5541" s="37"/>
    </row>
    <row r="5542" spans="2:2" ht="15.9" customHeight="1" x14ac:dyDescent="0.3">
      <c r="B5542" s="37"/>
    </row>
    <row r="5543" spans="2:2" ht="15.9" customHeight="1" x14ac:dyDescent="0.3">
      <c r="B5543" s="37"/>
    </row>
    <row r="5544" spans="2:2" ht="15.9" customHeight="1" x14ac:dyDescent="0.3">
      <c r="B5544" s="37"/>
    </row>
    <row r="5545" spans="2:2" ht="15.9" customHeight="1" x14ac:dyDescent="0.3">
      <c r="B5545" s="37"/>
    </row>
    <row r="5546" spans="2:2" ht="15.9" customHeight="1" x14ac:dyDescent="0.3">
      <c r="B5546" s="37"/>
    </row>
    <row r="5547" spans="2:2" ht="15.9" customHeight="1" x14ac:dyDescent="0.3">
      <c r="B5547" s="37"/>
    </row>
    <row r="5548" spans="2:2" ht="15.9" customHeight="1" x14ac:dyDescent="0.3">
      <c r="B5548" s="37"/>
    </row>
    <row r="5549" spans="2:2" ht="15.9" customHeight="1" x14ac:dyDescent="0.3">
      <c r="B5549" s="37"/>
    </row>
    <row r="5550" spans="2:2" ht="15.9" customHeight="1" x14ac:dyDescent="0.3">
      <c r="B5550" s="37"/>
    </row>
    <row r="5551" spans="2:2" ht="15.9" customHeight="1" x14ac:dyDescent="0.3">
      <c r="B5551" s="37"/>
    </row>
    <row r="5552" spans="2:2" ht="15.9" customHeight="1" x14ac:dyDescent="0.3">
      <c r="B5552" s="37"/>
    </row>
    <row r="5553" spans="2:2" ht="15.9" customHeight="1" x14ac:dyDescent="0.3">
      <c r="B5553" s="37"/>
    </row>
    <row r="5554" spans="2:2" ht="15.9" customHeight="1" x14ac:dyDescent="0.3">
      <c r="B5554" s="37"/>
    </row>
    <row r="5555" spans="2:2" ht="15.9" customHeight="1" x14ac:dyDescent="0.3">
      <c r="B5555" s="37"/>
    </row>
    <row r="5556" spans="2:2" ht="15.9" customHeight="1" x14ac:dyDescent="0.3">
      <c r="B5556" s="37"/>
    </row>
    <row r="5557" spans="2:2" ht="15.9" customHeight="1" x14ac:dyDescent="0.3">
      <c r="B5557" s="37"/>
    </row>
    <row r="5558" spans="2:2" ht="15.9" customHeight="1" x14ac:dyDescent="0.3">
      <c r="B5558" s="37"/>
    </row>
    <row r="5559" spans="2:2" ht="15.9" customHeight="1" x14ac:dyDescent="0.3">
      <c r="B5559" s="37"/>
    </row>
    <row r="5560" spans="2:2" ht="15.9" customHeight="1" x14ac:dyDescent="0.3">
      <c r="B5560" s="37"/>
    </row>
    <row r="5561" spans="2:2" ht="15.9" customHeight="1" x14ac:dyDescent="0.3">
      <c r="B5561" s="37"/>
    </row>
    <row r="5562" spans="2:2" ht="15.9" customHeight="1" x14ac:dyDescent="0.3">
      <c r="B5562" s="37"/>
    </row>
    <row r="5563" spans="2:2" ht="15.9" customHeight="1" x14ac:dyDescent="0.3">
      <c r="B5563" s="37"/>
    </row>
    <row r="5564" spans="2:2" ht="15.9" customHeight="1" x14ac:dyDescent="0.3">
      <c r="B5564" s="37"/>
    </row>
    <row r="5565" spans="2:2" ht="15.9" customHeight="1" x14ac:dyDescent="0.3">
      <c r="B5565" s="37"/>
    </row>
    <row r="5566" spans="2:2" ht="15.9" customHeight="1" x14ac:dyDescent="0.3">
      <c r="B5566" s="37"/>
    </row>
    <row r="5567" spans="2:2" ht="15.9" customHeight="1" x14ac:dyDescent="0.3">
      <c r="B5567" s="37"/>
    </row>
    <row r="5568" spans="2:2" ht="15.9" customHeight="1" x14ac:dyDescent="0.3">
      <c r="B5568" s="37"/>
    </row>
    <row r="5569" spans="2:2" ht="15.9" customHeight="1" x14ac:dyDescent="0.3">
      <c r="B5569" s="37"/>
    </row>
    <row r="5570" spans="2:2" ht="15.9" customHeight="1" x14ac:dyDescent="0.3">
      <c r="B5570" s="37"/>
    </row>
    <row r="5571" spans="2:2" ht="15.9" customHeight="1" x14ac:dyDescent="0.3">
      <c r="B5571" s="37"/>
    </row>
    <row r="5572" spans="2:2" ht="15.9" customHeight="1" x14ac:dyDescent="0.3">
      <c r="B5572" s="37"/>
    </row>
    <row r="5573" spans="2:2" ht="15.9" customHeight="1" x14ac:dyDescent="0.3">
      <c r="B5573" s="37"/>
    </row>
    <row r="5574" spans="2:2" ht="15.9" customHeight="1" x14ac:dyDescent="0.3">
      <c r="B5574" s="37"/>
    </row>
    <row r="5575" spans="2:2" ht="15.9" customHeight="1" x14ac:dyDescent="0.3">
      <c r="B5575" s="37"/>
    </row>
    <row r="5576" spans="2:2" ht="15.9" customHeight="1" x14ac:dyDescent="0.3">
      <c r="B5576" s="37"/>
    </row>
    <row r="5577" spans="2:2" ht="15.9" customHeight="1" x14ac:dyDescent="0.3">
      <c r="B5577" s="37"/>
    </row>
    <row r="5578" spans="2:2" ht="15.9" customHeight="1" x14ac:dyDescent="0.3">
      <c r="B5578" s="37"/>
    </row>
    <row r="5579" spans="2:2" ht="15.9" customHeight="1" x14ac:dyDescent="0.3">
      <c r="B5579" s="37"/>
    </row>
    <row r="5580" spans="2:2" ht="15.9" customHeight="1" x14ac:dyDescent="0.3">
      <c r="B5580" s="37"/>
    </row>
    <row r="5581" spans="2:2" ht="15.9" customHeight="1" x14ac:dyDescent="0.3">
      <c r="B5581" s="37"/>
    </row>
    <row r="5582" spans="2:2" ht="15.9" customHeight="1" x14ac:dyDescent="0.3">
      <c r="B5582" s="37"/>
    </row>
    <row r="5583" spans="2:2" ht="15.9" customHeight="1" x14ac:dyDescent="0.3">
      <c r="B5583" s="37"/>
    </row>
    <row r="5584" spans="2:2" ht="15.9" customHeight="1" x14ac:dyDescent="0.3">
      <c r="B5584" s="37"/>
    </row>
    <row r="5585" spans="2:2" ht="15.9" customHeight="1" x14ac:dyDescent="0.3">
      <c r="B5585" s="37"/>
    </row>
    <row r="5586" spans="2:2" ht="15.9" customHeight="1" x14ac:dyDescent="0.3">
      <c r="B5586" s="37"/>
    </row>
    <row r="5587" spans="2:2" ht="15.9" customHeight="1" x14ac:dyDescent="0.3">
      <c r="B5587" s="37"/>
    </row>
    <row r="5588" spans="2:2" ht="15.9" customHeight="1" x14ac:dyDescent="0.3">
      <c r="B5588" s="37"/>
    </row>
    <row r="5589" spans="2:2" ht="15.9" customHeight="1" x14ac:dyDescent="0.3">
      <c r="B5589" s="37"/>
    </row>
    <row r="5590" spans="2:2" ht="15.9" customHeight="1" x14ac:dyDescent="0.3">
      <c r="B5590" s="37"/>
    </row>
    <row r="5591" spans="2:2" ht="15.9" customHeight="1" x14ac:dyDescent="0.3">
      <c r="B5591" s="37"/>
    </row>
    <row r="5592" spans="2:2" ht="15.9" customHeight="1" x14ac:dyDescent="0.3">
      <c r="B5592" s="37"/>
    </row>
    <row r="5593" spans="2:2" ht="15.9" customHeight="1" x14ac:dyDescent="0.3">
      <c r="B5593" s="37"/>
    </row>
    <row r="5594" spans="2:2" ht="15.9" customHeight="1" x14ac:dyDescent="0.3">
      <c r="B5594" s="37"/>
    </row>
    <row r="5595" spans="2:2" ht="15.9" customHeight="1" x14ac:dyDescent="0.3">
      <c r="B5595" s="37"/>
    </row>
    <row r="5596" spans="2:2" ht="15.9" customHeight="1" x14ac:dyDescent="0.3">
      <c r="B5596" s="37"/>
    </row>
    <row r="5597" spans="2:2" ht="15.9" customHeight="1" x14ac:dyDescent="0.3">
      <c r="B5597" s="37"/>
    </row>
    <row r="5598" spans="2:2" ht="15.9" customHeight="1" x14ac:dyDescent="0.3">
      <c r="B5598" s="37"/>
    </row>
    <row r="5599" spans="2:2" ht="15.9" customHeight="1" x14ac:dyDescent="0.3">
      <c r="B5599" s="37"/>
    </row>
    <row r="5600" spans="2:2" ht="15.9" customHeight="1" x14ac:dyDescent="0.3">
      <c r="B5600" s="37"/>
    </row>
    <row r="5601" spans="2:2" ht="15.9" customHeight="1" x14ac:dyDescent="0.3">
      <c r="B5601" s="37"/>
    </row>
    <row r="5602" spans="2:2" ht="15.9" customHeight="1" x14ac:dyDescent="0.3">
      <c r="B5602" s="37"/>
    </row>
    <row r="5603" spans="2:2" ht="15.9" customHeight="1" x14ac:dyDescent="0.3">
      <c r="B5603" s="37"/>
    </row>
    <row r="5604" spans="2:2" ht="15.9" customHeight="1" x14ac:dyDescent="0.3">
      <c r="B5604" s="37"/>
    </row>
    <row r="5605" spans="2:2" ht="15.9" customHeight="1" x14ac:dyDescent="0.3">
      <c r="B5605" s="37"/>
    </row>
    <row r="5606" spans="2:2" ht="15.9" customHeight="1" x14ac:dyDescent="0.3">
      <c r="B5606" s="37"/>
    </row>
    <row r="5607" spans="2:2" ht="15.9" customHeight="1" x14ac:dyDescent="0.3">
      <c r="B5607" s="37"/>
    </row>
    <row r="5608" spans="2:2" ht="15.9" customHeight="1" x14ac:dyDescent="0.3">
      <c r="B5608" s="37"/>
    </row>
    <row r="5609" spans="2:2" ht="15.9" customHeight="1" x14ac:dyDescent="0.3">
      <c r="B5609" s="37"/>
    </row>
    <row r="5610" spans="2:2" ht="15.9" customHeight="1" x14ac:dyDescent="0.3">
      <c r="B5610" s="37"/>
    </row>
    <row r="5611" spans="2:2" ht="15.9" customHeight="1" x14ac:dyDescent="0.3">
      <c r="B5611" s="37"/>
    </row>
    <row r="5612" spans="2:2" ht="15.9" customHeight="1" x14ac:dyDescent="0.3">
      <c r="B5612" s="37"/>
    </row>
    <row r="5613" spans="2:2" ht="15.9" customHeight="1" x14ac:dyDescent="0.3">
      <c r="B5613" s="37"/>
    </row>
    <row r="5614" spans="2:2" ht="15.9" customHeight="1" x14ac:dyDescent="0.3">
      <c r="B5614" s="37"/>
    </row>
    <row r="5615" spans="2:2" ht="15.9" customHeight="1" x14ac:dyDescent="0.3">
      <c r="B5615" s="37"/>
    </row>
    <row r="5616" spans="2:2" ht="15.9" customHeight="1" x14ac:dyDescent="0.3">
      <c r="B5616" s="37"/>
    </row>
    <row r="5617" spans="2:2" ht="15.9" customHeight="1" x14ac:dyDescent="0.3">
      <c r="B5617" s="37"/>
    </row>
    <row r="5618" spans="2:2" ht="15.9" customHeight="1" x14ac:dyDescent="0.3">
      <c r="B5618" s="37"/>
    </row>
    <row r="5619" spans="2:2" ht="15.9" customHeight="1" x14ac:dyDescent="0.3">
      <c r="B5619" s="37"/>
    </row>
    <row r="5620" spans="2:2" ht="15.9" customHeight="1" x14ac:dyDescent="0.3">
      <c r="B5620" s="37"/>
    </row>
    <row r="5621" spans="2:2" ht="15.9" customHeight="1" x14ac:dyDescent="0.3">
      <c r="B5621" s="37"/>
    </row>
    <row r="5622" spans="2:2" ht="15.9" customHeight="1" x14ac:dyDescent="0.3">
      <c r="B5622" s="37"/>
    </row>
    <row r="5623" spans="2:2" ht="15.9" customHeight="1" x14ac:dyDescent="0.3">
      <c r="B5623" s="37"/>
    </row>
    <row r="5624" spans="2:2" ht="15.9" customHeight="1" x14ac:dyDescent="0.3">
      <c r="B5624" s="37"/>
    </row>
    <row r="5625" spans="2:2" ht="15.9" customHeight="1" x14ac:dyDescent="0.3">
      <c r="B5625" s="37"/>
    </row>
    <row r="5626" spans="2:2" ht="15.9" customHeight="1" x14ac:dyDescent="0.3">
      <c r="B5626" s="37"/>
    </row>
    <row r="5627" spans="2:2" ht="15.9" customHeight="1" x14ac:dyDescent="0.3">
      <c r="B5627" s="37"/>
    </row>
    <row r="5628" spans="2:2" ht="15.9" customHeight="1" x14ac:dyDescent="0.3">
      <c r="B5628" s="37"/>
    </row>
    <row r="5629" spans="2:2" ht="15.9" customHeight="1" x14ac:dyDescent="0.3">
      <c r="B5629" s="37"/>
    </row>
    <row r="5630" spans="2:2" ht="15.9" customHeight="1" x14ac:dyDescent="0.3">
      <c r="B5630" s="37"/>
    </row>
    <row r="5631" spans="2:2" ht="15.9" customHeight="1" x14ac:dyDescent="0.3">
      <c r="B5631" s="37"/>
    </row>
    <row r="5632" spans="2:2" ht="15.9" customHeight="1" x14ac:dyDescent="0.3">
      <c r="B5632" s="37"/>
    </row>
    <row r="5633" spans="2:2" ht="15.9" customHeight="1" x14ac:dyDescent="0.3">
      <c r="B5633" s="37"/>
    </row>
    <row r="5634" spans="2:2" ht="15.9" customHeight="1" x14ac:dyDescent="0.3">
      <c r="B5634" s="37"/>
    </row>
    <row r="5635" spans="2:2" ht="15.9" customHeight="1" x14ac:dyDescent="0.3">
      <c r="B5635" s="37"/>
    </row>
    <row r="5636" spans="2:2" ht="15.9" customHeight="1" x14ac:dyDescent="0.3">
      <c r="B5636" s="37"/>
    </row>
    <row r="5637" spans="2:2" ht="15.9" customHeight="1" x14ac:dyDescent="0.3">
      <c r="B5637" s="37"/>
    </row>
    <row r="5638" spans="2:2" ht="15.9" customHeight="1" x14ac:dyDescent="0.3">
      <c r="B5638" s="37"/>
    </row>
    <row r="5639" spans="2:2" ht="15.9" customHeight="1" x14ac:dyDescent="0.3">
      <c r="B5639" s="37"/>
    </row>
    <row r="5640" spans="2:2" ht="15.9" customHeight="1" x14ac:dyDescent="0.3">
      <c r="B5640" s="37"/>
    </row>
    <row r="5641" spans="2:2" ht="15.9" customHeight="1" x14ac:dyDescent="0.3">
      <c r="B5641" s="37"/>
    </row>
    <row r="5642" spans="2:2" ht="15.9" customHeight="1" x14ac:dyDescent="0.3">
      <c r="B5642" s="37"/>
    </row>
    <row r="5643" spans="2:2" ht="15.9" customHeight="1" x14ac:dyDescent="0.3">
      <c r="B5643" s="37"/>
    </row>
    <row r="5644" spans="2:2" ht="15.9" customHeight="1" x14ac:dyDescent="0.3">
      <c r="B5644" s="37"/>
    </row>
    <row r="5645" spans="2:2" ht="15.9" customHeight="1" x14ac:dyDescent="0.3">
      <c r="B5645" s="37"/>
    </row>
    <row r="5646" spans="2:2" ht="15.9" customHeight="1" x14ac:dyDescent="0.3">
      <c r="B5646" s="37"/>
    </row>
    <row r="5647" spans="2:2" ht="15.9" customHeight="1" x14ac:dyDescent="0.3">
      <c r="B5647" s="37"/>
    </row>
    <row r="5648" spans="2:2" ht="15.9" customHeight="1" x14ac:dyDescent="0.3">
      <c r="B5648" s="37"/>
    </row>
    <row r="5649" spans="2:2" ht="15.9" customHeight="1" x14ac:dyDescent="0.3">
      <c r="B5649" s="37"/>
    </row>
    <row r="5650" spans="2:2" ht="15.9" customHeight="1" x14ac:dyDescent="0.3">
      <c r="B5650" s="37"/>
    </row>
    <row r="5651" spans="2:2" ht="15.9" customHeight="1" x14ac:dyDescent="0.3">
      <c r="B5651" s="37"/>
    </row>
    <row r="5652" spans="2:2" ht="15.9" customHeight="1" x14ac:dyDescent="0.3">
      <c r="B5652" s="37"/>
    </row>
    <row r="5653" spans="2:2" ht="15.9" customHeight="1" x14ac:dyDescent="0.3">
      <c r="B5653" s="37"/>
    </row>
    <row r="5654" spans="2:2" ht="15.9" customHeight="1" x14ac:dyDescent="0.3">
      <c r="B5654" s="37"/>
    </row>
    <row r="5655" spans="2:2" ht="15.9" customHeight="1" x14ac:dyDescent="0.3">
      <c r="B5655" s="37"/>
    </row>
    <row r="5656" spans="2:2" ht="15.9" customHeight="1" x14ac:dyDescent="0.3">
      <c r="B5656" s="37"/>
    </row>
    <row r="5657" spans="2:2" ht="15.9" customHeight="1" x14ac:dyDescent="0.3">
      <c r="B5657" s="37"/>
    </row>
    <row r="5658" spans="2:2" ht="15.9" customHeight="1" x14ac:dyDescent="0.3">
      <c r="B5658" s="37"/>
    </row>
    <row r="5659" spans="2:2" ht="15.9" customHeight="1" x14ac:dyDescent="0.3">
      <c r="B5659" s="37"/>
    </row>
    <row r="5660" spans="2:2" ht="15.9" customHeight="1" x14ac:dyDescent="0.3">
      <c r="B5660" s="37"/>
    </row>
    <row r="5661" spans="2:2" ht="15.9" customHeight="1" x14ac:dyDescent="0.3">
      <c r="B5661" s="37"/>
    </row>
    <row r="5662" spans="2:2" ht="15.9" customHeight="1" x14ac:dyDescent="0.3">
      <c r="B5662" s="37"/>
    </row>
    <row r="5663" spans="2:2" ht="15.9" customHeight="1" x14ac:dyDescent="0.3">
      <c r="B5663" s="37"/>
    </row>
    <row r="5664" spans="2:2" ht="15.9" customHeight="1" x14ac:dyDescent="0.3">
      <c r="B5664" s="37"/>
    </row>
    <row r="5665" spans="2:2" ht="15.9" customHeight="1" x14ac:dyDescent="0.3">
      <c r="B5665" s="37"/>
    </row>
    <row r="5666" spans="2:2" ht="15.9" customHeight="1" x14ac:dyDescent="0.3">
      <c r="B5666" s="37"/>
    </row>
    <row r="5667" spans="2:2" ht="15.9" customHeight="1" x14ac:dyDescent="0.3">
      <c r="B5667" s="37"/>
    </row>
    <row r="5668" spans="2:2" ht="15.9" customHeight="1" x14ac:dyDescent="0.3">
      <c r="B5668" s="37"/>
    </row>
    <row r="5669" spans="2:2" ht="15.9" customHeight="1" x14ac:dyDescent="0.3">
      <c r="B5669" s="37"/>
    </row>
    <row r="5670" spans="2:2" ht="15.9" customHeight="1" x14ac:dyDescent="0.3">
      <c r="B5670" s="37"/>
    </row>
    <row r="5671" spans="2:2" ht="15.9" customHeight="1" x14ac:dyDescent="0.3">
      <c r="B5671" s="37"/>
    </row>
    <row r="5672" spans="2:2" ht="15.9" customHeight="1" x14ac:dyDescent="0.3">
      <c r="B5672" s="37"/>
    </row>
    <row r="5673" spans="2:2" ht="15.9" customHeight="1" x14ac:dyDescent="0.3">
      <c r="B5673" s="37"/>
    </row>
    <row r="5674" spans="2:2" ht="15.9" customHeight="1" x14ac:dyDescent="0.3">
      <c r="B5674" s="37"/>
    </row>
    <row r="5675" spans="2:2" ht="15.9" customHeight="1" x14ac:dyDescent="0.3">
      <c r="B5675" s="37"/>
    </row>
    <row r="5676" spans="2:2" ht="15.9" customHeight="1" x14ac:dyDescent="0.3">
      <c r="B5676" s="37"/>
    </row>
    <row r="5677" spans="2:2" ht="15.9" customHeight="1" x14ac:dyDescent="0.3">
      <c r="B5677" s="37"/>
    </row>
    <row r="5678" spans="2:2" ht="15.9" customHeight="1" x14ac:dyDescent="0.3">
      <c r="B5678" s="37"/>
    </row>
    <row r="5679" spans="2:2" ht="15.9" customHeight="1" x14ac:dyDescent="0.3">
      <c r="B5679" s="37"/>
    </row>
    <row r="5680" spans="2:2" ht="15.9" customHeight="1" x14ac:dyDescent="0.3">
      <c r="B5680" s="37"/>
    </row>
    <row r="5681" spans="2:2" ht="15.9" customHeight="1" x14ac:dyDescent="0.3">
      <c r="B5681" s="37"/>
    </row>
    <row r="5682" spans="2:2" ht="15.9" customHeight="1" x14ac:dyDescent="0.3">
      <c r="B5682" s="37"/>
    </row>
    <row r="5683" spans="2:2" ht="15.9" customHeight="1" x14ac:dyDescent="0.3">
      <c r="B5683" s="37"/>
    </row>
    <row r="5684" spans="2:2" ht="15.9" customHeight="1" x14ac:dyDescent="0.3">
      <c r="B5684" s="37"/>
    </row>
    <row r="5685" spans="2:2" ht="15.9" customHeight="1" x14ac:dyDescent="0.3">
      <c r="B5685" s="37"/>
    </row>
    <row r="5686" spans="2:2" ht="15.9" customHeight="1" x14ac:dyDescent="0.3">
      <c r="B5686" s="37"/>
    </row>
    <row r="5687" spans="2:2" ht="15.9" customHeight="1" x14ac:dyDescent="0.3">
      <c r="B5687" s="37"/>
    </row>
    <row r="5688" spans="2:2" ht="15.9" customHeight="1" x14ac:dyDescent="0.3">
      <c r="B5688" s="37"/>
    </row>
    <row r="5689" spans="2:2" ht="15.9" customHeight="1" x14ac:dyDescent="0.3">
      <c r="B5689" s="37"/>
    </row>
    <row r="5690" spans="2:2" ht="15.9" customHeight="1" x14ac:dyDescent="0.3">
      <c r="B5690" s="37"/>
    </row>
    <row r="5691" spans="2:2" ht="15.9" customHeight="1" x14ac:dyDescent="0.3">
      <c r="B5691" s="37"/>
    </row>
    <row r="5692" spans="2:2" ht="15.9" customHeight="1" x14ac:dyDescent="0.3">
      <c r="B5692" s="37"/>
    </row>
    <row r="5693" spans="2:2" ht="15.9" customHeight="1" x14ac:dyDescent="0.3">
      <c r="B5693" s="37"/>
    </row>
    <row r="5694" spans="2:2" ht="15.9" customHeight="1" x14ac:dyDescent="0.3">
      <c r="B5694" s="37"/>
    </row>
    <row r="5695" spans="2:2" ht="15.9" customHeight="1" x14ac:dyDescent="0.3">
      <c r="B5695" s="37"/>
    </row>
    <row r="5696" spans="2:2" ht="15.9" customHeight="1" x14ac:dyDescent="0.3">
      <c r="B5696" s="37"/>
    </row>
    <row r="5697" spans="2:2" ht="15.9" customHeight="1" x14ac:dyDescent="0.3">
      <c r="B5697" s="37"/>
    </row>
    <row r="5698" spans="2:2" ht="15.9" customHeight="1" x14ac:dyDescent="0.3">
      <c r="B5698" s="37"/>
    </row>
    <row r="5699" spans="2:2" ht="15.9" customHeight="1" x14ac:dyDescent="0.3">
      <c r="B5699" s="37"/>
    </row>
    <row r="5700" spans="2:2" ht="15.9" customHeight="1" x14ac:dyDescent="0.3">
      <c r="B5700" s="37"/>
    </row>
    <row r="5701" spans="2:2" ht="15.9" customHeight="1" x14ac:dyDescent="0.3">
      <c r="B5701" s="37"/>
    </row>
    <row r="5702" spans="2:2" ht="15.9" customHeight="1" x14ac:dyDescent="0.3">
      <c r="B5702" s="37"/>
    </row>
    <row r="5703" spans="2:2" ht="15.9" customHeight="1" x14ac:dyDescent="0.3">
      <c r="B5703" s="37"/>
    </row>
    <row r="5704" spans="2:2" ht="15.9" customHeight="1" x14ac:dyDescent="0.3">
      <c r="B5704" s="37"/>
    </row>
    <row r="5705" spans="2:2" ht="15.9" customHeight="1" x14ac:dyDescent="0.3">
      <c r="B5705" s="37"/>
    </row>
    <row r="5706" spans="2:2" ht="15.9" customHeight="1" x14ac:dyDescent="0.3">
      <c r="B5706" s="37"/>
    </row>
    <row r="5707" spans="2:2" ht="15.9" customHeight="1" x14ac:dyDescent="0.3">
      <c r="B5707" s="37"/>
    </row>
    <row r="5708" spans="2:2" ht="15.9" customHeight="1" x14ac:dyDescent="0.3">
      <c r="B5708" s="37"/>
    </row>
    <row r="5709" spans="2:2" ht="15.9" customHeight="1" x14ac:dyDescent="0.3">
      <c r="B5709" s="37"/>
    </row>
    <row r="5710" spans="2:2" ht="15.9" customHeight="1" x14ac:dyDescent="0.3">
      <c r="B5710" s="37"/>
    </row>
    <row r="5711" spans="2:2" ht="15.9" customHeight="1" x14ac:dyDescent="0.3">
      <c r="B5711" s="37"/>
    </row>
    <row r="5712" spans="2:2" ht="15.9" customHeight="1" x14ac:dyDescent="0.3">
      <c r="B5712" s="37"/>
    </row>
    <row r="5713" spans="2:2" ht="15.9" customHeight="1" x14ac:dyDescent="0.3">
      <c r="B5713" s="37"/>
    </row>
    <row r="5714" spans="2:2" ht="15.9" customHeight="1" x14ac:dyDescent="0.3">
      <c r="B5714" s="37"/>
    </row>
    <row r="5715" spans="2:2" ht="15.9" customHeight="1" x14ac:dyDescent="0.3">
      <c r="B5715" s="37"/>
    </row>
    <row r="5716" spans="2:2" ht="15.9" customHeight="1" x14ac:dyDescent="0.3">
      <c r="B5716" s="37"/>
    </row>
    <row r="5717" spans="2:2" ht="15.9" customHeight="1" x14ac:dyDescent="0.3">
      <c r="B5717" s="37"/>
    </row>
    <row r="5718" spans="2:2" ht="15.9" customHeight="1" x14ac:dyDescent="0.3">
      <c r="B5718" s="37"/>
    </row>
    <row r="5719" spans="2:2" ht="15.9" customHeight="1" x14ac:dyDescent="0.3">
      <c r="B5719" s="37"/>
    </row>
    <row r="5720" spans="2:2" ht="15.9" customHeight="1" x14ac:dyDescent="0.3">
      <c r="B5720" s="37"/>
    </row>
    <row r="5721" spans="2:2" ht="15.9" customHeight="1" x14ac:dyDescent="0.3">
      <c r="B5721" s="37"/>
    </row>
    <row r="5722" spans="2:2" ht="15.9" customHeight="1" x14ac:dyDescent="0.3">
      <c r="B5722" s="37"/>
    </row>
    <row r="5723" spans="2:2" ht="15.9" customHeight="1" x14ac:dyDescent="0.3">
      <c r="B5723" s="37"/>
    </row>
    <row r="5724" spans="2:2" ht="15.9" customHeight="1" x14ac:dyDescent="0.3">
      <c r="B5724" s="37"/>
    </row>
    <row r="5725" spans="2:2" ht="15.9" customHeight="1" x14ac:dyDescent="0.3">
      <c r="B5725" s="37"/>
    </row>
    <row r="5726" spans="2:2" ht="15.9" customHeight="1" x14ac:dyDescent="0.3">
      <c r="B5726" s="37"/>
    </row>
    <row r="5727" spans="2:2" ht="15.9" customHeight="1" x14ac:dyDescent="0.3">
      <c r="B5727" s="37"/>
    </row>
    <row r="5728" spans="2:2" ht="15.9" customHeight="1" x14ac:dyDescent="0.3">
      <c r="B5728" s="37"/>
    </row>
    <row r="5729" spans="2:2" ht="15.9" customHeight="1" x14ac:dyDescent="0.3">
      <c r="B5729" s="37"/>
    </row>
    <row r="5730" spans="2:2" ht="15.9" customHeight="1" x14ac:dyDescent="0.3">
      <c r="B5730" s="37"/>
    </row>
    <row r="5731" spans="2:2" ht="15.9" customHeight="1" x14ac:dyDescent="0.3">
      <c r="B5731" s="37"/>
    </row>
    <row r="5732" spans="2:2" ht="15.9" customHeight="1" x14ac:dyDescent="0.3">
      <c r="B5732" s="37"/>
    </row>
    <row r="5733" spans="2:2" ht="15.9" customHeight="1" x14ac:dyDescent="0.3">
      <c r="B5733" s="37"/>
    </row>
    <row r="5734" spans="2:2" ht="15.9" customHeight="1" x14ac:dyDescent="0.3">
      <c r="B5734" s="37"/>
    </row>
    <row r="5735" spans="2:2" ht="15.9" customHeight="1" x14ac:dyDescent="0.3">
      <c r="B5735" s="37"/>
    </row>
    <row r="5736" spans="2:2" ht="15.9" customHeight="1" x14ac:dyDescent="0.3">
      <c r="B5736" s="37"/>
    </row>
    <row r="5737" spans="2:2" ht="15.9" customHeight="1" x14ac:dyDescent="0.3">
      <c r="B5737" s="37"/>
    </row>
    <row r="5738" spans="2:2" ht="15.9" customHeight="1" x14ac:dyDescent="0.3">
      <c r="B5738" s="37"/>
    </row>
    <row r="5739" spans="2:2" ht="15.9" customHeight="1" x14ac:dyDescent="0.3">
      <c r="B5739" s="37"/>
    </row>
    <row r="5740" spans="2:2" ht="15.9" customHeight="1" x14ac:dyDescent="0.3">
      <c r="B5740" s="37"/>
    </row>
    <row r="5741" spans="2:2" ht="15.9" customHeight="1" x14ac:dyDescent="0.3">
      <c r="B5741" s="37"/>
    </row>
    <row r="5742" spans="2:2" ht="15.9" customHeight="1" x14ac:dyDescent="0.3">
      <c r="B5742" s="37"/>
    </row>
    <row r="5743" spans="2:2" ht="15.9" customHeight="1" x14ac:dyDescent="0.3">
      <c r="B5743" s="37"/>
    </row>
    <row r="5744" spans="2:2" ht="15.9" customHeight="1" x14ac:dyDescent="0.3">
      <c r="B5744" s="37"/>
    </row>
    <row r="5745" spans="2:2" ht="15.9" customHeight="1" x14ac:dyDescent="0.3">
      <c r="B5745" s="37"/>
    </row>
    <row r="5746" spans="2:2" ht="15.9" customHeight="1" x14ac:dyDescent="0.3">
      <c r="B5746" s="37"/>
    </row>
    <row r="5747" spans="2:2" ht="15.9" customHeight="1" x14ac:dyDescent="0.3">
      <c r="B5747" s="37"/>
    </row>
    <row r="5748" spans="2:2" ht="15.9" customHeight="1" x14ac:dyDescent="0.3">
      <c r="B5748" s="37"/>
    </row>
    <row r="5749" spans="2:2" ht="15.9" customHeight="1" x14ac:dyDescent="0.3">
      <c r="B5749" s="37"/>
    </row>
    <row r="5750" spans="2:2" ht="15.9" customHeight="1" x14ac:dyDescent="0.3">
      <c r="B5750" s="37"/>
    </row>
    <row r="5751" spans="2:2" ht="15.9" customHeight="1" x14ac:dyDescent="0.3">
      <c r="B5751" s="37"/>
    </row>
    <row r="5752" spans="2:2" ht="15.9" customHeight="1" x14ac:dyDescent="0.3">
      <c r="B5752" s="37"/>
    </row>
    <row r="5753" spans="2:2" ht="15.9" customHeight="1" x14ac:dyDescent="0.3">
      <c r="B5753" s="37"/>
    </row>
    <row r="5754" spans="2:2" ht="15.9" customHeight="1" x14ac:dyDescent="0.3">
      <c r="B5754" s="37"/>
    </row>
    <row r="5755" spans="2:2" ht="15.9" customHeight="1" x14ac:dyDescent="0.3">
      <c r="B5755" s="37"/>
    </row>
    <row r="5756" spans="2:2" ht="15.9" customHeight="1" x14ac:dyDescent="0.3">
      <c r="B5756" s="37"/>
    </row>
    <row r="5757" spans="2:2" ht="15.9" customHeight="1" x14ac:dyDescent="0.3">
      <c r="B5757" s="37"/>
    </row>
    <row r="5758" spans="2:2" ht="15.9" customHeight="1" x14ac:dyDescent="0.3">
      <c r="B5758" s="37"/>
    </row>
    <row r="5759" spans="2:2" ht="15.9" customHeight="1" x14ac:dyDescent="0.3">
      <c r="B5759" s="37"/>
    </row>
    <row r="5760" spans="2:2" ht="15.9" customHeight="1" x14ac:dyDescent="0.3">
      <c r="B5760" s="37"/>
    </row>
    <row r="5761" spans="2:2" ht="15.9" customHeight="1" x14ac:dyDescent="0.3">
      <c r="B5761" s="37"/>
    </row>
    <row r="5762" spans="2:2" ht="15.9" customHeight="1" x14ac:dyDescent="0.3">
      <c r="B5762" s="37"/>
    </row>
    <row r="5763" spans="2:2" ht="15.9" customHeight="1" x14ac:dyDescent="0.3">
      <c r="B5763" s="37"/>
    </row>
    <row r="5764" spans="2:2" ht="15.9" customHeight="1" x14ac:dyDescent="0.3">
      <c r="B5764" s="37"/>
    </row>
    <row r="5765" spans="2:2" ht="15.9" customHeight="1" x14ac:dyDescent="0.3">
      <c r="B5765" s="37"/>
    </row>
    <row r="5766" spans="2:2" ht="15.9" customHeight="1" x14ac:dyDescent="0.3">
      <c r="B5766" s="37"/>
    </row>
    <row r="5767" spans="2:2" ht="15.9" customHeight="1" x14ac:dyDescent="0.3">
      <c r="B5767" s="37"/>
    </row>
    <row r="5768" spans="2:2" ht="15.9" customHeight="1" x14ac:dyDescent="0.3">
      <c r="B5768" s="37"/>
    </row>
    <row r="5769" spans="2:2" ht="15.9" customHeight="1" x14ac:dyDescent="0.3">
      <c r="B5769" s="37"/>
    </row>
    <row r="5770" spans="2:2" ht="15.9" customHeight="1" x14ac:dyDescent="0.3">
      <c r="B5770" s="37"/>
    </row>
    <row r="5771" spans="2:2" ht="15.9" customHeight="1" x14ac:dyDescent="0.3">
      <c r="B5771" s="37"/>
    </row>
    <row r="5772" spans="2:2" ht="15.9" customHeight="1" x14ac:dyDescent="0.3">
      <c r="B5772" s="37"/>
    </row>
    <row r="5773" spans="2:2" ht="15.9" customHeight="1" x14ac:dyDescent="0.3">
      <c r="B5773" s="37"/>
    </row>
    <row r="5774" spans="2:2" ht="15.9" customHeight="1" x14ac:dyDescent="0.3">
      <c r="B5774" s="37"/>
    </row>
    <row r="5775" spans="2:2" ht="15.9" customHeight="1" x14ac:dyDescent="0.3">
      <c r="B5775" s="37"/>
    </row>
    <row r="5776" spans="2:2" ht="15.9" customHeight="1" x14ac:dyDescent="0.3">
      <c r="B5776" s="37"/>
    </row>
    <row r="5777" spans="2:2" ht="15.9" customHeight="1" x14ac:dyDescent="0.3">
      <c r="B5777" s="37"/>
    </row>
    <row r="5778" spans="2:2" ht="15.9" customHeight="1" x14ac:dyDescent="0.3">
      <c r="B5778" s="37"/>
    </row>
    <row r="5779" spans="2:2" ht="15.9" customHeight="1" x14ac:dyDescent="0.3">
      <c r="B5779" s="37"/>
    </row>
    <row r="5780" spans="2:2" ht="15.9" customHeight="1" x14ac:dyDescent="0.3">
      <c r="B5780" s="37"/>
    </row>
    <row r="5781" spans="2:2" ht="15.9" customHeight="1" x14ac:dyDescent="0.3">
      <c r="B5781" s="37"/>
    </row>
    <row r="5782" spans="2:2" ht="15.9" customHeight="1" x14ac:dyDescent="0.3">
      <c r="B5782" s="37"/>
    </row>
    <row r="5783" spans="2:2" ht="15.9" customHeight="1" x14ac:dyDescent="0.3">
      <c r="B5783" s="37"/>
    </row>
    <row r="5784" spans="2:2" ht="15.9" customHeight="1" x14ac:dyDescent="0.3">
      <c r="B5784" s="37"/>
    </row>
    <row r="5785" spans="2:2" ht="15.9" customHeight="1" x14ac:dyDescent="0.3">
      <c r="B5785" s="37"/>
    </row>
    <row r="5786" spans="2:2" ht="15.9" customHeight="1" x14ac:dyDescent="0.3">
      <c r="B5786" s="37"/>
    </row>
    <row r="5787" spans="2:2" ht="15.9" customHeight="1" x14ac:dyDescent="0.3">
      <c r="B5787" s="37"/>
    </row>
    <row r="5788" spans="2:2" ht="15.9" customHeight="1" x14ac:dyDescent="0.3">
      <c r="B5788" s="37"/>
    </row>
    <row r="5789" spans="2:2" ht="15.9" customHeight="1" x14ac:dyDescent="0.3">
      <c r="B5789" s="37"/>
    </row>
    <row r="5790" spans="2:2" ht="15.9" customHeight="1" x14ac:dyDescent="0.3">
      <c r="B5790" s="37"/>
    </row>
    <row r="5791" spans="2:2" ht="15.9" customHeight="1" x14ac:dyDescent="0.3">
      <c r="B5791" s="37"/>
    </row>
    <row r="5792" spans="2:2" ht="15.9" customHeight="1" x14ac:dyDescent="0.3">
      <c r="B5792" s="37"/>
    </row>
    <row r="5793" spans="2:2" ht="15.9" customHeight="1" x14ac:dyDescent="0.3">
      <c r="B5793" s="37"/>
    </row>
    <row r="5794" spans="2:2" ht="15.9" customHeight="1" x14ac:dyDescent="0.3">
      <c r="B5794" s="37"/>
    </row>
    <row r="5795" spans="2:2" ht="15.9" customHeight="1" x14ac:dyDescent="0.3">
      <c r="B5795" s="37"/>
    </row>
    <row r="5796" spans="2:2" ht="15.9" customHeight="1" x14ac:dyDescent="0.3">
      <c r="B5796" s="37"/>
    </row>
    <row r="5797" spans="2:2" ht="15.9" customHeight="1" x14ac:dyDescent="0.3">
      <c r="B5797" s="37"/>
    </row>
    <row r="5798" spans="2:2" ht="15.9" customHeight="1" x14ac:dyDescent="0.3">
      <c r="B5798" s="37"/>
    </row>
    <row r="5799" spans="2:2" ht="15.9" customHeight="1" x14ac:dyDescent="0.3">
      <c r="B5799" s="37"/>
    </row>
    <row r="5800" spans="2:2" ht="15.9" customHeight="1" x14ac:dyDescent="0.3">
      <c r="B5800" s="37"/>
    </row>
    <row r="5801" spans="2:2" ht="15.9" customHeight="1" x14ac:dyDescent="0.3">
      <c r="B5801" s="37"/>
    </row>
    <row r="5802" spans="2:2" ht="15.9" customHeight="1" x14ac:dyDescent="0.3">
      <c r="B5802" s="37"/>
    </row>
    <row r="5803" spans="2:2" ht="15.9" customHeight="1" x14ac:dyDescent="0.3">
      <c r="B5803" s="37"/>
    </row>
    <row r="5804" spans="2:2" ht="15.9" customHeight="1" x14ac:dyDescent="0.3">
      <c r="B5804" s="37"/>
    </row>
    <row r="5805" spans="2:2" ht="15.9" customHeight="1" x14ac:dyDescent="0.3">
      <c r="B5805" s="37"/>
    </row>
    <row r="5806" spans="2:2" ht="15.9" customHeight="1" x14ac:dyDescent="0.3">
      <c r="B5806" s="37"/>
    </row>
    <row r="5807" spans="2:2" ht="15.9" customHeight="1" x14ac:dyDescent="0.3">
      <c r="B5807" s="37"/>
    </row>
    <row r="5808" spans="2:2" ht="15.9" customHeight="1" x14ac:dyDescent="0.3">
      <c r="B5808" s="37"/>
    </row>
    <row r="5809" spans="2:2" ht="15.9" customHeight="1" x14ac:dyDescent="0.3">
      <c r="B5809" s="37"/>
    </row>
    <row r="5810" spans="2:2" ht="15.9" customHeight="1" x14ac:dyDescent="0.3">
      <c r="B5810" s="37"/>
    </row>
    <row r="5811" spans="2:2" ht="15.9" customHeight="1" x14ac:dyDescent="0.3">
      <c r="B5811" s="37"/>
    </row>
    <row r="5812" spans="2:2" ht="15.9" customHeight="1" x14ac:dyDescent="0.3">
      <c r="B5812" s="37"/>
    </row>
    <row r="5813" spans="2:2" ht="15.9" customHeight="1" x14ac:dyDescent="0.3">
      <c r="B5813" s="37"/>
    </row>
    <row r="5814" spans="2:2" ht="15.9" customHeight="1" x14ac:dyDescent="0.3">
      <c r="B5814" s="37"/>
    </row>
    <row r="5815" spans="2:2" ht="15.9" customHeight="1" x14ac:dyDescent="0.3">
      <c r="B5815" s="37"/>
    </row>
    <row r="5816" spans="2:2" ht="15.9" customHeight="1" x14ac:dyDescent="0.3">
      <c r="B5816" s="37"/>
    </row>
    <row r="5817" spans="2:2" ht="15.9" customHeight="1" x14ac:dyDescent="0.3">
      <c r="B5817" s="37"/>
    </row>
    <row r="5818" spans="2:2" ht="15.9" customHeight="1" x14ac:dyDescent="0.3">
      <c r="B5818" s="37"/>
    </row>
    <row r="5819" spans="2:2" ht="15.9" customHeight="1" x14ac:dyDescent="0.3">
      <c r="B5819" s="37"/>
    </row>
    <row r="5820" spans="2:2" ht="15.9" customHeight="1" x14ac:dyDescent="0.3">
      <c r="B5820" s="37"/>
    </row>
    <row r="5821" spans="2:2" ht="15.9" customHeight="1" x14ac:dyDescent="0.3">
      <c r="B5821" s="37"/>
    </row>
    <row r="5822" spans="2:2" ht="15.9" customHeight="1" x14ac:dyDescent="0.3">
      <c r="B5822" s="37"/>
    </row>
    <row r="5823" spans="2:2" ht="15.9" customHeight="1" x14ac:dyDescent="0.3">
      <c r="B5823" s="37"/>
    </row>
    <row r="5824" spans="2:2" ht="15.9" customHeight="1" x14ac:dyDescent="0.3">
      <c r="B5824" s="37"/>
    </row>
    <row r="5825" spans="2:2" ht="15.9" customHeight="1" x14ac:dyDescent="0.3">
      <c r="B5825" s="37"/>
    </row>
    <row r="5826" spans="2:2" ht="15.9" customHeight="1" x14ac:dyDescent="0.3">
      <c r="B5826" s="37"/>
    </row>
    <row r="5827" spans="2:2" ht="15.9" customHeight="1" x14ac:dyDescent="0.3">
      <c r="B5827" s="37"/>
    </row>
    <row r="5828" spans="2:2" ht="15.9" customHeight="1" x14ac:dyDescent="0.3">
      <c r="B5828" s="37"/>
    </row>
    <row r="5829" spans="2:2" ht="15.9" customHeight="1" x14ac:dyDescent="0.3">
      <c r="B5829" s="37"/>
    </row>
    <row r="5830" spans="2:2" ht="15.9" customHeight="1" x14ac:dyDescent="0.3">
      <c r="B5830" s="37"/>
    </row>
    <row r="5831" spans="2:2" ht="15.9" customHeight="1" x14ac:dyDescent="0.3">
      <c r="B5831" s="37"/>
    </row>
    <row r="5832" spans="2:2" ht="15.9" customHeight="1" x14ac:dyDescent="0.3">
      <c r="B5832" s="37"/>
    </row>
    <row r="5833" spans="2:2" ht="15.9" customHeight="1" x14ac:dyDescent="0.3">
      <c r="B5833" s="37"/>
    </row>
    <row r="5834" spans="2:2" ht="15.9" customHeight="1" x14ac:dyDescent="0.3">
      <c r="B5834" s="37"/>
    </row>
    <row r="5835" spans="2:2" ht="15.9" customHeight="1" x14ac:dyDescent="0.3">
      <c r="B5835" s="37"/>
    </row>
    <row r="5836" spans="2:2" ht="15.9" customHeight="1" x14ac:dyDescent="0.3">
      <c r="B5836" s="37"/>
    </row>
    <row r="5837" spans="2:2" ht="15.9" customHeight="1" x14ac:dyDescent="0.3">
      <c r="B5837" s="37"/>
    </row>
    <row r="5838" spans="2:2" ht="15.9" customHeight="1" x14ac:dyDescent="0.3">
      <c r="B5838" s="37"/>
    </row>
    <row r="5839" spans="2:2" ht="15.9" customHeight="1" x14ac:dyDescent="0.3">
      <c r="B5839" s="37"/>
    </row>
    <row r="5840" spans="2:2" ht="15.9" customHeight="1" x14ac:dyDescent="0.3">
      <c r="B5840" s="37"/>
    </row>
    <row r="5841" spans="2:2" ht="15.9" customHeight="1" x14ac:dyDescent="0.3">
      <c r="B5841" s="37"/>
    </row>
    <row r="5842" spans="2:2" ht="15.9" customHeight="1" x14ac:dyDescent="0.3">
      <c r="B5842" s="37"/>
    </row>
    <row r="5843" spans="2:2" ht="15.9" customHeight="1" x14ac:dyDescent="0.3">
      <c r="B5843" s="37"/>
    </row>
    <row r="5844" spans="2:2" ht="15.9" customHeight="1" x14ac:dyDescent="0.3">
      <c r="B5844" s="37"/>
    </row>
    <row r="5845" spans="2:2" ht="15.9" customHeight="1" x14ac:dyDescent="0.3">
      <c r="B5845" s="37"/>
    </row>
    <row r="5846" spans="2:2" ht="15.9" customHeight="1" x14ac:dyDescent="0.3">
      <c r="B5846" s="37"/>
    </row>
    <row r="5847" spans="2:2" ht="15.9" customHeight="1" x14ac:dyDescent="0.3">
      <c r="B5847" s="37"/>
    </row>
    <row r="5848" spans="2:2" ht="15.9" customHeight="1" x14ac:dyDescent="0.3">
      <c r="B5848" s="37"/>
    </row>
    <row r="5849" spans="2:2" ht="15.9" customHeight="1" x14ac:dyDescent="0.3">
      <c r="B5849" s="37"/>
    </row>
    <row r="5850" spans="2:2" ht="15.9" customHeight="1" x14ac:dyDescent="0.3">
      <c r="B5850" s="37"/>
    </row>
    <row r="5851" spans="2:2" ht="15.9" customHeight="1" x14ac:dyDescent="0.3">
      <c r="B5851" s="37"/>
    </row>
    <row r="5852" spans="2:2" ht="15.9" customHeight="1" x14ac:dyDescent="0.3">
      <c r="B5852" s="37"/>
    </row>
    <row r="5853" spans="2:2" ht="15.9" customHeight="1" x14ac:dyDescent="0.3">
      <c r="B5853" s="37"/>
    </row>
    <row r="5854" spans="2:2" ht="15.9" customHeight="1" x14ac:dyDescent="0.3">
      <c r="B5854" s="37"/>
    </row>
    <row r="5855" spans="2:2" ht="15.9" customHeight="1" x14ac:dyDescent="0.3">
      <c r="B5855" s="37"/>
    </row>
    <row r="5856" spans="2:2" ht="15.9" customHeight="1" x14ac:dyDescent="0.3">
      <c r="B5856" s="37"/>
    </row>
    <row r="5857" spans="2:2" ht="15.9" customHeight="1" x14ac:dyDescent="0.3">
      <c r="B5857" s="37"/>
    </row>
    <row r="5858" spans="2:2" ht="15.9" customHeight="1" x14ac:dyDescent="0.3">
      <c r="B5858" s="37"/>
    </row>
    <row r="5859" spans="2:2" ht="15.9" customHeight="1" x14ac:dyDescent="0.3">
      <c r="B5859" s="37"/>
    </row>
    <row r="5860" spans="2:2" ht="15.9" customHeight="1" x14ac:dyDescent="0.3">
      <c r="B5860" s="37"/>
    </row>
    <row r="5861" spans="2:2" ht="15.9" customHeight="1" x14ac:dyDescent="0.3">
      <c r="B5861" s="37"/>
    </row>
    <row r="5862" spans="2:2" ht="15.9" customHeight="1" x14ac:dyDescent="0.3">
      <c r="B5862" s="37"/>
    </row>
    <row r="5863" spans="2:2" ht="15.9" customHeight="1" x14ac:dyDescent="0.3">
      <c r="B5863" s="37"/>
    </row>
    <row r="5864" spans="2:2" ht="15.9" customHeight="1" x14ac:dyDescent="0.3">
      <c r="B5864" s="37"/>
    </row>
    <row r="5865" spans="2:2" ht="15.9" customHeight="1" x14ac:dyDescent="0.3">
      <c r="B5865" s="37"/>
    </row>
    <row r="5866" spans="2:2" ht="15.9" customHeight="1" x14ac:dyDescent="0.3">
      <c r="B5866" s="37"/>
    </row>
    <row r="5867" spans="2:2" ht="15.9" customHeight="1" x14ac:dyDescent="0.3">
      <c r="B5867" s="37"/>
    </row>
    <row r="5868" spans="2:2" ht="15.9" customHeight="1" x14ac:dyDescent="0.3">
      <c r="B5868" s="37"/>
    </row>
    <row r="5869" spans="2:2" ht="15.9" customHeight="1" x14ac:dyDescent="0.3">
      <c r="B5869" s="37"/>
    </row>
    <row r="5870" spans="2:2" ht="15.9" customHeight="1" x14ac:dyDescent="0.3">
      <c r="B5870" s="37"/>
    </row>
    <row r="5871" spans="2:2" ht="15.9" customHeight="1" x14ac:dyDescent="0.3">
      <c r="B5871" s="37"/>
    </row>
    <row r="5872" spans="2:2" ht="15.9" customHeight="1" x14ac:dyDescent="0.3">
      <c r="B5872" s="37"/>
    </row>
    <row r="5873" spans="2:2" ht="15.9" customHeight="1" x14ac:dyDescent="0.3">
      <c r="B5873" s="37"/>
    </row>
    <row r="5874" spans="2:2" ht="15.9" customHeight="1" x14ac:dyDescent="0.3">
      <c r="B5874" s="37"/>
    </row>
    <row r="5875" spans="2:2" ht="15.9" customHeight="1" x14ac:dyDescent="0.3">
      <c r="B5875" s="37"/>
    </row>
    <row r="5876" spans="2:2" ht="15.9" customHeight="1" x14ac:dyDescent="0.3">
      <c r="B5876" s="37"/>
    </row>
    <row r="5877" spans="2:2" ht="15.9" customHeight="1" x14ac:dyDescent="0.3">
      <c r="B5877" s="37"/>
    </row>
    <row r="5878" spans="2:2" ht="15.9" customHeight="1" x14ac:dyDescent="0.3">
      <c r="B5878" s="37"/>
    </row>
    <row r="5879" spans="2:2" ht="15.9" customHeight="1" x14ac:dyDescent="0.3">
      <c r="B5879" s="37"/>
    </row>
    <row r="5880" spans="2:2" ht="15.9" customHeight="1" x14ac:dyDescent="0.3">
      <c r="B5880" s="37"/>
    </row>
    <row r="5881" spans="2:2" ht="15.9" customHeight="1" x14ac:dyDescent="0.3">
      <c r="B5881" s="37"/>
    </row>
    <row r="5882" spans="2:2" ht="15.9" customHeight="1" x14ac:dyDescent="0.3">
      <c r="B5882" s="37"/>
    </row>
    <row r="5883" spans="2:2" ht="15.9" customHeight="1" x14ac:dyDescent="0.3">
      <c r="B5883" s="37"/>
    </row>
    <row r="5884" spans="2:2" ht="15.9" customHeight="1" x14ac:dyDescent="0.3">
      <c r="B5884" s="37"/>
    </row>
    <row r="5885" spans="2:2" ht="15.9" customHeight="1" x14ac:dyDescent="0.3">
      <c r="B5885" s="37"/>
    </row>
    <row r="5886" spans="2:2" ht="15.9" customHeight="1" x14ac:dyDescent="0.3">
      <c r="B5886" s="37"/>
    </row>
    <row r="5887" spans="2:2" ht="15.9" customHeight="1" x14ac:dyDescent="0.3">
      <c r="B5887" s="37"/>
    </row>
    <row r="5888" spans="2:2" ht="15.9" customHeight="1" x14ac:dyDescent="0.3">
      <c r="B5888" s="37"/>
    </row>
    <row r="5889" spans="2:2" ht="15.9" customHeight="1" x14ac:dyDescent="0.3">
      <c r="B5889" s="37"/>
    </row>
    <row r="5890" spans="2:2" ht="15.9" customHeight="1" x14ac:dyDescent="0.3">
      <c r="B5890" s="37"/>
    </row>
    <row r="5891" spans="2:2" ht="15.9" customHeight="1" x14ac:dyDescent="0.3">
      <c r="B5891" s="37"/>
    </row>
    <row r="5892" spans="2:2" ht="15.9" customHeight="1" x14ac:dyDescent="0.3">
      <c r="B5892" s="37"/>
    </row>
    <row r="5893" spans="2:2" ht="15.9" customHeight="1" x14ac:dyDescent="0.3">
      <c r="B5893" s="37"/>
    </row>
    <row r="5894" spans="2:2" ht="15.9" customHeight="1" x14ac:dyDescent="0.3">
      <c r="B5894" s="37"/>
    </row>
    <row r="5895" spans="2:2" ht="15.9" customHeight="1" x14ac:dyDescent="0.3">
      <c r="B5895" s="37"/>
    </row>
    <row r="5896" spans="2:2" ht="15.9" customHeight="1" x14ac:dyDescent="0.3">
      <c r="B5896" s="37"/>
    </row>
    <row r="5897" spans="2:2" ht="15.9" customHeight="1" x14ac:dyDescent="0.3">
      <c r="B5897" s="37"/>
    </row>
    <row r="5898" spans="2:2" ht="15.9" customHeight="1" x14ac:dyDescent="0.3">
      <c r="B5898" s="37"/>
    </row>
    <row r="5899" spans="2:2" ht="15.9" customHeight="1" x14ac:dyDescent="0.3">
      <c r="B5899" s="37"/>
    </row>
    <row r="5900" spans="2:2" ht="15.9" customHeight="1" x14ac:dyDescent="0.3">
      <c r="B5900" s="37"/>
    </row>
    <row r="5901" spans="2:2" ht="15.9" customHeight="1" x14ac:dyDescent="0.3">
      <c r="B5901" s="37"/>
    </row>
    <row r="5902" spans="2:2" ht="15.9" customHeight="1" x14ac:dyDescent="0.3">
      <c r="B5902" s="37"/>
    </row>
    <row r="5903" spans="2:2" ht="15.9" customHeight="1" x14ac:dyDescent="0.3">
      <c r="B5903" s="37"/>
    </row>
    <row r="5904" spans="2:2" ht="15.9" customHeight="1" x14ac:dyDescent="0.3">
      <c r="B5904" s="37"/>
    </row>
    <row r="5905" spans="2:2" ht="15.9" customHeight="1" x14ac:dyDescent="0.3">
      <c r="B5905" s="37"/>
    </row>
    <row r="5906" spans="2:2" ht="15.9" customHeight="1" x14ac:dyDescent="0.3">
      <c r="B5906" s="37"/>
    </row>
    <row r="5907" spans="2:2" ht="15.9" customHeight="1" x14ac:dyDescent="0.3">
      <c r="B5907" s="37"/>
    </row>
    <row r="5908" spans="2:2" ht="15.9" customHeight="1" x14ac:dyDescent="0.3">
      <c r="B5908" s="37"/>
    </row>
    <row r="5909" spans="2:2" ht="15.9" customHeight="1" x14ac:dyDescent="0.3">
      <c r="B5909" s="37"/>
    </row>
    <row r="5910" spans="2:2" ht="15.9" customHeight="1" x14ac:dyDescent="0.3">
      <c r="B5910" s="37"/>
    </row>
    <row r="5911" spans="2:2" ht="15.9" customHeight="1" x14ac:dyDescent="0.3">
      <c r="B5911" s="37"/>
    </row>
    <row r="5912" spans="2:2" ht="15.9" customHeight="1" x14ac:dyDescent="0.3">
      <c r="B5912" s="37"/>
    </row>
    <row r="5913" spans="2:2" ht="15.9" customHeight="1" x14ac:dyDescent="0.3">
      <c r="B5913" s="37"/>
    </row>
    <row r="5914" spans="2:2" ht="15.9" customHeight="1" x14ac:dyDescent="0.3">
      <c r="B5914" s="37"/>
    </row>
    <row r="5915" spans="2:2" ht="15.9" customHeight="1" x14ac:dyDescent="0.3">
      <c r="B5915" s="37"/>
    </row>
    <row r="5916" spans="2:2" ht="15.9" customHeight="1" x14ac:dyDescent="0.3">
      <c r="B5916" s="37"/>
    </row>
    <row r="5917" spans="2:2" ht="15.9" customHeight="1" x14ac:dyDescent="0.3">
      <c r="B5917" s="37"/>
    </row>
    <row r="5918" spans="2:2" ht="15.9" customHeight="1" x14ac:dyDescent="0.3">
      <c r="B5918" s="37"/>
    </row>
    <row r="5919" spans="2:2" ht="15.9" customHeight="1" x14ac:dyDescent="0.3">
      <c r="B5919" s="37"/>
    </row>
    <row r="5920" spans="2:2" ht="15.9" customHeight="1" x14ac:dyDescent="0.3">
      <c r="B5920" s="37"/>
    </row>
    <row r="5921" spans="2:2" ht="15.9" customHeight="1" x14ac:dyDescent="0.3">
      <c r="B5921" s="37"/>
    </row>
    <row r="5922" spans="2:2" ht="15.9" customHeight="1" x14ac:dyDescent="0.3">
      <c r="B5922" s="37"/>
    </row>
    <row r="5923" spans="2:2" ht="15.9" customHeight="1" x14ac:dyDescent="0.3">
      <c r="B5923" s="37"/>
    </row>
    <row r="5924" spans="2:2" ht="15.9" customHeight="1" x14ac:dyDescent="0.3">
      <c r="B5924" s="37"/>
    </row>
    <row r="5925" spans="2:2" ht="15.9" customHeight="1" x14ac:dyDescent="0.3">
      <c r="B5925" s="37"/>
    </row>
    <row r="5926" spans="2:2" ht="15.9" customHeight="1" x14ac:dyDescent="0.3">
      <c r="B5926" s="37"/>
    </row>
    <row r="5927" spans="2:2" ht="15.9" customHeight="1" x14ac:dyDescent="0.3">
      <c r="B5927" s="37"/>
    </row>
    <row r="5928" spans="2:2" ht="15.9" customHeight="1" x14ac:dyDescent="0.3">
      <c r="B5928" s="37"/>
    </row>
    <row r="5929" spans="2:2" ht="15.9" customHeight="1" x14ac:dyDescent="0.3">
      <c r="B5929" s="37"/>
    </row>
    <row r="5930" spans="2:2" ht="15.9" customHeight="1" x14ac:dyDescent="0.3">
      <c r="B5930" s="37"/>
    </row>
    <row r="5931" spans="2:2" ht="15.9" customHeight="1" x14ac:dyDescent="0.3">
      <c r="B5931" s="37"/>
    </row>
    <row r="5932" spans="2:2" ht="15.9" customHeight="1" x14ac:dyDescent="0.3">
      <c r="B5932" s="37"/>
    </row>
    <row r="5933" spans="2:2" ht="15.9" customHeight="1" x14ac:dyDescent="0.3">
      <c r="B5933" s="37"/>
    </row>
    <row r="5934" spans="2:2" ht="15.9" customHeight="1" x14ac:dyDescent="0.3">
      <c r="B5934" s="37"/>
    </row>
    <row r="5935" spans="2:2" ht="15.9" customHeight="1" x14ac:dyDescent="0.3">
      <c r="B5935" s="37"/>
    </row>
    <row r="5936" spans="2:2" ht="15.9" customHeight="1" x14ac:dyDescent="0.3">
      <c r="B5936" s="37"/>
    </row>
    <row r="5937" spans="2:2" ht="15.9" customHeight="1" x14ac:dyDescent="0.3">
      <c r="B5937" s="37"/>
    </row>
    <row r="5938" spans="2:2" ht="15.9" customHeight="1" x14ac:dyDescent="0.3">
      <c r="B5938" s="37"/>
    </row>
    <row r="5939" spans="2:2" ht="15.9" customHeight="1" x14ac:dyDescent="0.3">
      <c r="B5939" s="37"/>
    </row>
    <row r="5940" spans="2:2" ht="15.9" customHeight="1" x14ac:dyDescent="0.3">
      <c r="B5940" s="37"/>
    </row>
    <row r="5941" spans="2:2" ht="15.9" customHeight="1" x14ac:dyDescent="0.3">
      <c r="B5941" s="37"/>
    </row>
    <row r="5942" spans="2:2" ht="15.9" customHeight="1" x14ac:dyDescent="0.3">
      <c r="B5942" s="37"/>
    </row>
    <row r="5943" spans="2:2" ht="15.9" customHeight="1" x14ac:dyDescent="0.3">
      <c r="B5943" s="37"/>
    </row>
    <row r="5944" spans="2:2" ht="15.9" customHeight="1" x14ac:dyDescent="0.3">
      <c r="B5944" s="37"/>
    </row>
    <row r="5945" spans="2:2" ht="15.9" customHeight="1" x14ac:dyDescent="0.3">
      <c r="B5945" s="37"/>
    </row>
    <row r="5946" spans="2:2" ht="15.9" customHeight="1" x14ac:dyDescent="0.3">
      <c r="B5946" s="37"/>
    </row>
    <row r="5947" spans="2:2" ht="15.9" customHeight="1" x14ac:dyDescent="0.3">
      <c r="B5947" s="37"/>
    </row>
    <row r="5948" spans="2:2" ht="15.9" customHeight="1" x14ac:dyDescent="0.3">
      <c r="B5948" s="37"/>
    </row>
    <row r="5949" spans="2:2" ht="15.9" customHeight="1" x14ac:dyDescent="0.3">
      <c r="B5949" s="37"/>
    </row>
    <row r="5950" spans="2:2" ht="15.9" customHeight="1" x14ac:dyDescent="0.3">
      <c r="B5950" s="37"/>
    </row>
    <row r="5951" spans="2:2" ht="15.9" customHeight="1" x14ac:dyDescent="0.3">
      <c r="B5951" s="37"/>
    </row>
    <row r="5952" spans="2:2" ht="15.9" customHeight="1" x14ac:dyDescent="0.3">
      <c r="B5952" s="37"/>
    </row>
    <row r="5953" spans="2:2" ht="15.9" customHeight="1" x14ac:dyDescent="0.3">
      <c r="B5953" s="37"/>
    </row>
    <row r="5954" spans="2:2" ht="15.9" customHeight="1" x14ac:dyDescent="0.3">
      <c r="B5954" s="37"/>
    </row>
    <row r="5955" spans="2:2" ht="15.9" customHeight="1" x14ac:dyDescent="0.3">
      <c r="B5955" s="37"/>
    </row>
    <row r="5956" spans="2:2" ht="15.9" customHeight="1" x14ac:dyDescent="0.3">
      <c r="B5956" s="37"/>
    </row>
    <row r="5957" spans="2:2" ht="15.9" customHeight="1" x14ac:dyDescent="0.3">
      <c r="B5957" s="37"/>
    </row>
    <row r="5958" spans="2:2" ht="15.9" customHeight="1" x14ac:dyDescent="0.3">
      <c r="B5958" s="37"/>
    </row>
    <row r="5959" spans="2:2" ht="15.9" customHeight="1" x14ac:dyDescent="0.3">
      <c r="B5959" s="37"/>
    </row>
    <row r="5960" spans="2:2" ht="15.9" customHeight="1" x14ac:dyDescent="0.3">
      <c r="B5960" s="37"/>
    </row>
    <row r="5961" spans="2:2" ht="15.9" customHeight="1" x14ac:dyDescent="0.3">
      <c r="B5961" s="37"/>
    </row>
    <row r="5962" spans="2:2" ht="15.9" customHeight="1" x14ac:dyDescent="0.3">
      <c r="B5962" s="37"/>
    </row>
    <row r="5963" spans="2:2" ht="15.9" customHeight="1" x14ac:dyDescent="0.3">
      <c r="B5963" s="37"/>
    </row>
    <row r="5964" spans="2:2" ht="15.9" customHeight="1" x14ac:dyDescent="0.3">
      <c r="B5964" s="37"/>
    </row>
    <row r="5965" spans="2:2" ht="15.9" customHeight="1" x14ac:dyDescent="0.3">
      <c r="B5965" s="37"/>
    </row>
    <row r="5966" spans="2:2" ht="15.9" customHeight="1" x14ac:dyDescent="0.3">
      <c r="B5966" s="37"/>
    </row>
    <row r="5967" spans="2:2" ht="15.9" customHeight="1" x14ac:dyDescent="0.3">
      <c r="B5967" s="37"/>
    </row>
    <row r="5968" spans="2:2" ht="15.9" customHeight="1" x14ac:dyDescent="0.3">
      <c r="B5968" s="37"/>
    </row>
    <row r="5969" spans="2:2" ht="15.9" customHeight="1" x14ac:dyDescent="0.3">
      <c r="B5969" s="37"/>
    </row>
    <row r="5970" spans="2:2" ht="15.9" customHeight="1" x14ac:dyDescent="0.3">
      <c r="B5970" s="37"/>
    </row>
    <row r="5971" spans="2:2" ht="15.9" customHeight="1" x14ac:dyDescent="0.3">
      <c r="B5971" s="37"/>
    </row>
    <row r="5972" spans="2:2" ht="15.9" customHeight="1" x14ac:dyDescent="0.3">
      <c r="B5972" s="37"/>
    </row>
    <row r="5973" spans="2:2" ht="15.9" customHeight="1" x14ac:dyDescent="0.3">
      <c r="B5973" s="37"/>
    </row>
    <row r="5974" spans="2:2" ht="15.9" customHeight="1" x14ac:dyDescent="0.3">
      <c r="B5974" s="37"/>
    </row>
    <row r="5975" spans="2:2" ht="15.9" customHeight="1" x14ac:dyDescent="0.3">
      <c r="B5975" s="37"/>
    </row>
    <row r="5976" spans="2:2" ht="15.9" customHeight="1" x14ac:dyDescent="0.3">
      <c r="B5976" s="37"/>
    </row>
    <row r="5977" spans="2:2" ht="15.9" customHeight="1" x14ac:dyDescent="0.3">
      <c r="B5977" s="37"/>
    </row>
    <row r="5978" spans="2:2" ht="15.9" customHeight="1" x14ac:dyDescent="0.3">
      <c r="B5978" s="37"/>
    </row>
    <row r="5979" spans="2:2" ht="15.9" customHeight="1" x14ac:dyDescent="0.3">
      <c r="B5979" s="37"/>
    </row>
    <row r="5980" spans="2:2" ht="15.9" customHeight="1" x14ac:dyDescent="0.3">
      <c r="B5980" s="37"/>
    </row>
    <row r="5981" spans="2:2" ht="15.9" customHeight="1" x14ac:dyDescent="0.3">
      <c r="B5981" s="37"/>
    </row>
    <row r="5982" spans="2:2" ht="15.9" customHeight="1" x14ac:dyDescent="0.3">
      <c r="B5982" s="37"/>
    </row>
    <row r="5983" spans="2:2" ht="15.9" customHeight="1" x14ac:dyDescent="0.3">
      <c r="B5983" s="37"/>
    </row>
    <row r="5984" spans="2:2" ht="15.9" customHeight="1" x14ac:dyDescent="0.3">
      <c r="B5984" s="37"/>
    </row>
    <row r="5985" spans="2:2" ht="15.9" customHeight="1" x14ac:dyDescent="0.3">
      <c r="B5985" s="37"/>
    </row>
    <row r="5986" spans="2:2" ht="15.9" customHeight="1" x14ac:dyDescent="0.3">
      <c r="B5986" s="37"/>
    </row>
    <row r="5987" spans="2:2" ht="15.9" customHeight="1" x14ac:dyDescent="0.3">
      <c r="B5987" s="37"/>
    </row>
    <row r="5988" spans="2:2" ht="15.9" customHeight="1" x14ac:dyDescent="0.3">
      <c r="B5988" s="37"/>
    </row>
    <row r="5989" spans="2:2" ht="15.9" customHeight="1" x14ac:dyDescent="0.3">
      <c r="B5989" s="37"/>
    </row>
    <row r="5990" spans="2:2" ht="15.9" customHeight="1" x14ac:dyDescent="0.3">
      <c r="B5990" s="37"/>
    </row>
    <row r="5991" spans="2:2" ht="15.9" customHeight="1" x14ac:dyDescent="0.3">
      <c r="B5991" s="37"/>
    </row>
    <row r="5992" spans="2:2" ht="15.9" customHeight="1" x14ac:dyDescent="0.3">
      <c r="B5992" s="37"/>
    </row>
    <row r="5993" spans="2:2" ht="15.9" customHeight="1" x14ac:dyDescent="0.3">
      <c r="B5993" s="37"/>
    </row>
    <row r="5994" spans="2:2" ht="15.9" customHeight="1" x14ac:dyDescent="0.3">
      <c r="B5994" s="37"/>
    </row>
    <row r="5995" spans="2:2" ht="15.9" customHeight="1" x14ac:dyDescent="0.3">
      <c r="B5995" s="37"/>
    </row>
    <row r="5996" spans="2:2" ht="15.9" customHeight="1" x14ac:dyDescent="0.3">
      <c r="B5996" s="37"/>
    </row>
    <row r="5997" spans="2:2" ht="15.9" customHeight="1" x14ac:dyDescent="0.3">
      <c r="B5997" s="37"/>
    </row>
    <row r="5998" spans="2:2" ht="15.9" customHeight="1" x14ac:dyDescent="0.3">
      <c r="B5998" s="37"/>
    </row>
    <row r="5999" spans="2:2" ht="15.9" customHeight="1" x14ac:dyDescent="0.3">
      <c r="B5999" s="37"/>
    </row>
    <row r="6000" spans="2:2" ht="15.9" customHeight="1" x14ac:dyDescent="0.3">
      <c r="B6000" s="37"/>
    </row>
    <row r="6001" spans="2:2" ht="15.9" customHeight="1" x14ac:dyDescent="0.3">
      <c r="B6001" s="37"/>
    </row>
    <row r="6002" spans="2:2" ht="15.9" customHeight="1" x14ac:dyDescent="0.3">
      <c r="B6002" s="37"/>
    </row>
    <row r="6003" spans="2:2" ht="15.9" customHeight="1" x14ac:dyDescent="0.3">
      <c r="B6003" s="37"/>
    </row>
    <row r="6004" spans="2:2" ht="15.9" customHeight="1" x14ac:dyDescent="0.3">
      <c r="B6004" s="37"/>
    </row>
    <row r="6005" spans="2:2" ht="15.9" customHeight="1" x14ac:dyDescent="0.3">
      <c r="B6005" s="37"/>
    </row>
    <row r="6006" spans="2:2" ht="15.9" customHeight="1" x14ac:dyDescent="0.3">
      <c r="B6006" s="37"/>
    </row>
    <row r="6007" spans="2:2" ht="15.9" customHeight="1" x14ac:dyDescent="0.3">
      <c r="B6007" s="37"/>
    </row>
    <row r="6008" spans="2:2" ht="15.9" customHeight="1" x14ac:dyDescent="0.3">
      <c r="B6008" s="37"/>
    </row>
    <row r="6009" spans="2:2" ht="15.9" customHeight="1" x14ac:dyDescent="0.3">
      <c r="B6009" s="37"/>
    </row>
    <row r="6010" spans="2:2" ht="15.9" customHeight="1" x14ac:dyDescent="0.3">
      <c r="B6010" s="37"/>
    </row>
    <row r="6011" spans="2:2" ht="15.9" customHeight="1" x14ac:dyDescent="0.3">
      <c r="B6011" s="37"/>
    </row>
    <row r="6012" spans="2:2" ht="15.9" customHeight="1" x14ac:dyDescent="0.3">
      <c r="B6012" s="37"/>
    </row>
    <row r="6013" spans="2:2" ht="15.9" customHeight="1" x14ac:dyDescent="0.3">
      <c r="B6013" s="37"/>
    </row>
    <row r="6014" spans="2:2" ht="15.9" customHeight="1" x14ac:dyDescent="0.3">
      <c r="B6014" s="37"/>
    </row>
    <row r="6015" spans="2:2" ht="15.9" customHeight="1" x14ac:dyDescent="0.3">
      <c r="B6015" s="37"/>
    </row>
    <row r="6016" spans="2:2" ht="15.9" customHeight="1" x14ac:dyDescent="0.3">
      <c r="B6016" s="37"/>
    </row>
    <row r="6017" spans="2:2" ht="15.9" customHeight="1" x14ac:dyDescent="0.3">
      <c r="B6017" s="37"/>
    </row>
    <row r="6018" spans="2:2" ht="15.9" customHeight="1" x14ac:dyDescent="0.3">
      <c r="B6018" s="37"/>
    </row>
    <row r="6019" spans="2:2" ht="15.9" customHeight="1" x14ac:dyDescent="0.3">
      <c r="B6019" s="37"/>
    </row>
    <row r="6020" spans="2:2" ht="15.9" customHeight="1" x14ac:dyDescent="0.3">
      <c r="B6020" s="37"/>
    </row>
    <row r="6021" spans="2:2" ht="15.9" customHeight="1" x14ac:dyDescent="0.3">
      <c r="B6021" s="37"/>
    </row>
    <row r="6022" spans="2:2" ht="15.9" customHeight="1" x14ac:dyDescent="0.3">
      <c r="B6022" s="37"/>
    </row>
    <row r="6023" spans="2:2" ht="15.9" customHeight="1" x14ac:dyDescent="0.3">
      <c r="B6023" s="37"/>
    </row>
    <row r="6024" spans="2:2" ht="15.9" customHeight="1" x14ac:dyDescent="0.3">
      <c r="B6024" s="37"/>
    </row>
    <row r="6025" spans="2:2" ht="15.9" customHeight="1" x14ac:dyDescent="0.3">
      <c r="B6025" s="37"/>
    </row>
    <row r="6026" spans="2:2" ht="15.9" customHeight="1" x14ac:dyDescent="0.3">
      <c r="B6026" s="37"/>
    </row>
    <row r="6027" spans="2:2" ht="15.9" customHeight="1" x14ac:dyDescent="0.3">
      <c r="B6027" s="37"/>
    </row>
    <row r="6028" spans="2:2" ht="15.9" customHeight="1" x14ac:dyDescent="0.3">
      <c r="B6028" s="37"/>
    </row>
    <row r="6029" spans="2:2" ht="15.9" customHeight="1" x14ac:dyDescent="0.3">
      <c r="B6029" s="37"/>
    </row>
    <row r="6030" spans="2:2" ht="15.9" customHeight="1" x14ac:dyDescent="0.3">
      <c r="B6030" s="37"/>
    </row>
    <row r="6031" spans="2:2" ht="15.9" customHeight="1" x14ac:dyDescent="0.3">
      <c r="B6031" s="37"/>
    </row>
    <row r="6032" spans="2:2" ht="15.9" customHeight="1" x14ac:dyDescent="0.3">
      <c r="B6032" s="37"/>
    </row>
    <row r="6033" spans="2:2" ht="15.9" customHeight="1" x14ac:dyDescent="0.3">
      <c r="B6033" s="37"/>
    </row>
    <row r="6034" spans="2:2" ht="15.9" customHeight="1" x14ac:dyDescent="0.3">
      <c r="B6034" s="37"/>
    </row>
    <row r="6035" spans="2:2" ht="15.9" customHeight="1" x14ac:dyDescent="0.3">
      <c r="B6035" s="37"/>
    </row>
    <row r="6036" spans="2:2" ht="15.9" customHeight="1" x14ac:dyDescent="0.3">
      <c r="B6036" s="37"/>
    </row>
    <row r="6037" spans="2:2" ht="15.9" customHeight="1" x14ac:dyDescent="0.3">
      <c r="B6037" s="37"/>
    </row>
    <row r="6038" spans="2:2" ht="15.9" customHeight="1" x14ac:dyDescent="0.3">
      <c r="B6038" s="37"/>
    </row>
    <row r="6039" spans="2:2" ht="15.9" customHeight="1" x14ac:dyDescent="0.3">
      <c r="B6039" s="37"/>
    </row>
    <row r="6040" spans="2:2" ht="15.9" customHeight="1" x14ac:dyDescent="0.3">
      <c r="B6040" s="37"/>
    </row>
    <row r="6041" spans="2:2" ht="15.9" customHeight="1" x14ac:dyDescent="0.3">
      <c r="B6041" s="37"/>
    </row>
    <row r="6042" spans="2:2" ht="15.9" customHeight="1" x14ac:dyDescent="0.3">
      <c r="B6042" s="37"/>
    </row>
    <row r="6043" spans="2:2" ht="15.9" customHeight="1" x14ac:dyDescent="0.3">
      <c r="B6043" s="37"/>
    </row>
    <row r="6044" spans="2:2" ht="15.9" customHeight="1" x14ac:dyDescent="0.3">
      <c r="B6044" s="37"/>
    </row>
    <row r="6045" spans="2:2" ht="15.9" customHeight="1" x14ac:dyDescent="0.3">
      <c r="B6045" s="37"/>
    </row>
    <row r="6046" spans="2:2" ht="15.9" customHeight="1" x14ac:dyDescent="0.3">
      <c r="B6046" s="37"/>
    </row>
    <row r="6047" spans="2:2" ht="15.9" customHeight="1" x14ac:dyDescent="0.3">
      <c r="B6047" s="37"/>
    </row>
    <row r="6048" spans="2:2" ht="15.9" customHeight="1" x14ac:dyDescent="0.3">
      <c r="B6048" s="37"/>
    </row>
    <row r="6049" spans="2:2" ht="15.9" customHeight="1" x14ac:dyDescent="0.3">
      <c r="B6049" s="37"/>
    </row>
    <row r="6050" spans="2:2" ht="15.9" customHeight="1" x14ac:dyDescent="0.3">
      <c r="B6050" s="37"/>
    </row>
    <row r="6051" spans="2:2" ht="15.9" customHeight="1" x14ac:dyDescent="0.3">
      <c r="B6051" s="37"/>
    </row>
    <row r="6052" spans="2:2" ht="15.9" customHeight="1" x14ac:dyDescent="0.3">
      <c r="B6052" s="37"/>
    </row>
    <row r="6053" spans="2:2" ht="15.9" customHeight="1" x14ac:dyDescent="0.3">
      <c r="B6053" s="37"/>
    </row>
    <row r="6054" spans="2:2" ht="15.9" customHeight="1" x14ac:dyDescent="0.3">
      <c r="B6054" s="37"/>
    </row>
    <row r="6055" spans="2:2" ht="15.9" customHeight="1" x14ac:dyDescent="0.3">
      <c r="B6055" s="37"/>
    </row>
    <row r="6056" spans="2:2" ht="15.9" customHeight="1" x14ac:dyDescent="0.3">
      <c r="B6056" s="37"/>
    </row>
    <row r="6057" spans="2:2" ht="15.9" customHeight="1" x14ac:dyDescent="0.3">
      <c r="B6057" s="37"/>
    </row>
    <row r="6058" spans="2:2" ht="15.9" customHeight="1" x14ac:dyDescent="0.3">
      <c r="B6058" s="37"/>
    </row>
    <row r="6059" spans="2:2" ht="15.9" customHeight="1" x14ac:dyDescent="0.3">
      <c r="B6059" s="37"/>
    </row>
    <row r="6060" spans="2:2" ht="15.9" customHeight="1" x14ac:dyDescent="0.3">
      <c r="B6060" s="37"/>
    </row>
    <row r="6061" spans="2:2" ht="15.9" customHeight="1" x14ac:dyDescent="0.3">
      <c r="B6061" s="37"/>
    </row>
    <row r="6062" spans="2:2" ht="15.9" customHeight="1" x14ac:dyDescent="0.3">
      <c r="B6062" s="37"/>
    </row>
    <row r="6063" spans="2:2" ht="15.9" customHeight="1" x14ac:dyDescent="0.3">
      <c r="B6063" s="37"/>
    </row>
    <row r="6064" spans="2:2" ht="15.9" customHeight="1" x14ac:dyDescent="0.3">
      <c r="B6064" s="37"/>
    </row>
    <row r="6065" spans="2:2" ht="15.9" customHeight="1" x14ac:dyDescent="0.3">
      <c r="B6065" s="37"/>
    </row>
    <row r="6066" spans="2:2" ht="15.9" customHeight="1" x14ac:dyDescent="0.3">
      <c r="B6066" s="37"/>
    </row>
    <row r="6067" spans="2:2" ht="15.9" customHeight="1" x14ac:dyDescent="0.3">
      <c r="B6067" s="37"/>
    </row>
    <row r="6068" spans="2:2" ht="15.9" customHeight="1" x14ac:dyDescent="0.3">
      <c r="B6068" s="37"/>
    </row>
    <row r="6069" spans="2:2" ht="15.9" customHeight="1" x14ac:dyDescent="0.3">
      <c r="B6069" s="37"/>
    </row>
    <row r="6070" spans="2:2" ht="15.9" customHeight="1" x14ac:dyDescent="0.3">
      <c r="B6070" s="37"/>
    </row>
    <row r="6071" spans="2:2" ht="15.9" customHeight="1" x14ac:dyDescent="0.3">
      <c r="B6071" s="37"/>
    </row>
    <row r="6072" spans="2:2" ht="15.9" customHeight="1" x14ac:dyDescent="0.3">
      <c r="B6072" s="37"/>
    </row>
    <row r="6073" spans="2:2" ht="15.9" customHeight="1" x14ac:dyDescent="0.3">
      <c r="B6073" s="37"/>
    </row>
    <row r="6074" spans="2:2" ht="15.9" customHeight="1" x14ac:dyDescent="0.3">
      <c r="B6074" s="37"/>
    </row>
    <row r="6075" spans="2:2" ht="15.9" customHeight="1" x14ac:dyDescent="0.3">
      <c r="B6075" s="37"/>
    </row>
    <row r="6076" spans="2:2" ht="15.9" customHeight="1" x14ac:dyDescent="0.3">
      <c r="B6076" s="37"/>
    </row>
    <row r="6077" spans="2:2" ht="15.9" customHeight="1" x14ac:dyDescent="0.3">
      <c r="B6077" s="37"/>
    </row>
    <row r="6078" spans="2:2" ht="15.9" customHeight="1" x14ac:dyDescent="0.3">
      <c r="B6078" s="37"/>
    </row>
    <row r="6079" spans="2:2" ht="15.9" customHeight="1" x14ac:dyDescent="0.3">
      <c r="B6079" s="37"/>
    </row>
    <row r="6080" spans="2:2" ht="15.9" customHeight="1" x14ac:dyDescent="0.3">
      <c r="B6080" s="37"/>
    </row>
    <row r="6081" spans="2:2" ht="15.9" customHeight="1" x14ac:dyDescent="0.3">
      <c r="B6081" s="37"/>
    </row>
    <row r="6082" spans="2:2" ht="15.9" customHeight="1" x14ac:dyDescent="0.3">
      <c r="B6082" s="37"/>
    </row>
    <row r="6083" spans="2:2" ht="15.9" customHeight="1" x14ac:dyDescent="0.3">
      <c r="B6083" s="37"/>
    </row>
    <row r="6084" spans="2:2" ht="15.9" customHeight="1" x14ac:dyDescent="0.3">
      <c r="B6084" s="37"/>
    </row>
    <row r="6085" spans="2:2" ht="15.9" customHeight="1" x14ac:dyDescent="0.3">
      <c r="B6085" s="37"/>
    </row>
    <row r="6086" spans="2:2" ht="15.9" customHeight="1" x14ac:dyDescent="0.3">
      <c r="B6086" s="37"/>
    </row>
    <row r="6087" spans="2:2" ht="15.9" customHeight="1" x14ac:dyDescent="0.3">
      <c r="B6087" s="37"/>
    </row>
    <row r="6088" spans="2:2" ht="15.9" customHeight="1" x14ac:dyDescent="0.3">
      <c r="B6088" s="37"/>
    </row>
    <row r="6089" spans="2:2" ht="15.9" customHeight="1" x14ac:dyDescent="0.3">
      <c r="B6089" s="37"/>
    </row>
    <row r="6090" spans="2:2" ht="15.9" customHeight="1" x14ac:dyDescent="0.3">
      <c r="B6090" s="37"/>
    </row>
    <row r="6091" spans="2:2" ht="15.9" customHeight="1" x14ac:dyDescent="0.3">
      <c r="B6091" s="37"/>
    </row>
    <row r="6092" spans="2:2" ht="15.9" customHeight="1" x14ac:dyDescent="0.3">
      <c r="B6092" s="37"/>
    </row>
    <row r="6093" spans="2:2" ht="15.9" customHeight="1" x14ac:dyDescent="0.3">
      <c r="B6093" s="37"/>
    </row>
    <row r="6094" spans="2:2" ht="15.9" customHeight="1" x14ac:dyDescent="0.3">
      <c r="B6094" s="37"/>
    </row>
    <row r="6095" spans="2:2" ht="15.9" customHeight="1" x14ac:dyDescent="0.3">
      <c r="B6095" s="37"/>
    </row>
    <row r="6096" spans="2:2" ht="15.9" customHeight="1" x14ac:dyDescent="0.3">
      <c r="B6096" s="37"/>
    </row>
    <row r="6097" spans="2:2" ht="15.9" customHeight="1" x14ac:dyDescent="0.3">
      <c r="B6097" s="37"/>
    </row>
    <row r="6098" spans="2:2" ht="15.9" customHeight="1" x14ac:dyDescent="0.3">
      <c r="B6098" s="37"/>
    </row>
    <row r="6099" spans="2:2" ht="15.9" customHeight="1" x14ac:dyDescent="0.3">
      <c r="B6099" s="37"/>
    </row>
    <row r="6100" spans="2:2" ht="15.9" customHeight="1" x14ac:dyDescent="0.3">
      <c r="B6100" s="37"/>
    </row>
    <row r="6101" spans="2:2" ht="15.9" customHeight="1" x14ac:dyDescent="0.3">
      <c r="B6101" s="37"/>
    </row>
    <row r="6102" spans="2:2" ht="15.9" customHeight="1" x14ac:dyDescent="0.3">
      <c r="B6102" s="37"/>
    </row>
    <row r="6103" spans="2:2" ht="15.9" customHeight="1" x14ac:dyDescent="0.3">
      <c r="B6103" s="37"/>
    </row>
    <row r="6104" spans="2:2" ht="15.9" customHeight="1" x14ac:dyDescent="0.3">
      <c r="B6104" s="37"/>
    </row>
    <row r="6105" spans="2:2" ht="15.9" customHeight="1" x14ac:dyDescent="0.3">
      <c r="B6105" s="37"/>
    </row>
    <row r="6106" spans="2:2" ht="15.9" customHeight="1" x14ac:dyDescent="0.3">
      <c r="B6106" s="37"/>
    </row>
    <row r="6107" spans="2:2" ht="15.9" customHeight="1" x14ac:dyDescent="0.3">
      <c r="B6107" s="37"/>
    </row>
    <row r="6108" spans="2:2" ht="15.9" customHeight="1" x14ac:dyDescent="0.3">
      <c r="B6108" s="37"/>
    </row>
    <row r="6109" spans="2:2" ht="15.9" customHeight="1" x14ac:dyDescent="0.3">
      <c r="B6109" s="37"/>
    </row>
    <row r="6110" spans="2:2" ht="15.9" customHeight="1" x14ac:dyDescent="0.3">
      <c r="B6110" s="37"/>
    </row>
    <row r="6111" spans="2:2" ht="15.9" customHeight="1" x14ac:dyDescent="0.3">
      <c r="B6111" s="37"/>
    </row>
    <row r="6112" spans="2:2" ht="15.9" customHeight="1" x14ac:dyDescent="0.3">
      <c r="B6112" s="37"/>
    </row>
    <row r="6113" spans="2:2" ht="15.9" customHeight="1" x14ac:dyDescent="0.3">
      <c r="B6113" s="37"/>
    </row>
    <row r="6114" spans="2:2" ht="15.9" customHeight="1" x14ac:dyDescent="0.3">
      <c r="B6114" s="37"/>
    </row>
    <row r="6115" spans="2:2" ht="15.9" customHeight="1" x14ac:dyDescent="0.3">
      <c r="B6115" s="37"/>
    </row>
    <row r="6116" spans="2:2" ht="15.9" customHeight="1" x14ac:dyDescent="0.3">
      <c r="B6116" s="37"/>
    </row>
    <row r="6117" spans="2:2" ht="15.9" customHeight="1" x14ac:dyDescent="0.3">
      <c r="B6117" s="37"/>
    </row>
    <row r="6118" spans="2:2" ht="15.9" customHeight="1" x14ac:dyDescent="0.3">
      <c r="B6118" s="37"/>
    </row>
    <row r="6119" spans="2:2" ht="15.9" customHeight="1" x14ac:dyDescent="0.3">
      <c r="B6119" s="37"/>
    </row>
    <row r="6120" spans="2:2" ht="15.9" customHeight="1" x14ac:dyDescent="0.3">
      <c r="B6120" s="37"/>
    </row>
    <row r="6121" spans="2:2" ht="15.9" customHeight="1" x14ac:dyDescent="0.3">
      <c r="B6121" s="37"/>
    </row>
    <row r="6122" spans="2:2" ht="15.9" customHeight="1" x14ac:dyDescent="0.3">
      <c r="B6122" s="37"/>
    </row>
    <row r="6123" spans="2:2" ht="15.9" customHeight="1" x14ac:dyDescent="0.3">
      <c r="B6123" s="37"/>
    </row>
    <row r="6124" spans="2:2" ht="15.9" customHeight="1" x14ac:dyDescent="0.3">
      <c r="B6124" s="37"/>
    </row>
    <row r="6125" spans="2:2" ht="15.9" customHeight="1" x14ac:dyDescent="0.3">
      <c r="B6125" s="37"/>
    </row>
    <row r="6126" spans="2:2" ht="15.9" customHeight="1" x14ac:dyDescent="0.3">
      <c r="B6126" s="37"/>
    </row>
    <row r="6127" spans="2:2" ht="15.9" customHeight="1" x14ac:dyDescent="0.3">
      <c r="B6127" s="37"/>
    </row>
    <row r="6128" spans="2:2" ht="15.9" customHeight="1" x14ac:dyDescent="0.3">
      <c r="B6128" s="37"/>
    </row>
    <row r="6129" spans="2:2" ht="15.9" customHeight="1" x14ac:dyDescent="0.3">
      <c r="B6129" s="37"/>
    </row>
    <row r="6130" spans="2:2" ht="15.9" customHeight="1" x14ac:dyDescent="0.3">
      <c r="B6130" s="37"/>
    </row>
    <row r="6131" spans="2:2" ht="15.9" customHeight="1" x14ac:dyDescent="0.3">
      <c r="B6131" s="37"/>
    </row>
    <row r="6132" spans="2:2" ht="15.9" customHeight="1" x14ac:dyDescent="0.3">
      <c r="B6132" s="37"/>
    </row>
    <row r="6133" spans="2:2" ht="15.9" customHeight="1" x14ac:dyDescent="0.3">
      <c r="B6133" s="37"/>
    </row>
    <row r="6134" spans="2:2" ht="15.9" customHeight="1" x14ac:dyDescent="0.3">
      <c r="B6134" s="37"/>
    </row>
    <row r="6135" spans="2:2" ht="15.9" customHeight="1" x14ac:dyDescent="0.3">
      <c r="B6135" s="37"/>
    </row>
    <row r="6136" spans="2:2" ht="15.9" customHeight="1" x14ac:dyDescent="0.3">
      <c r="B6136" s="37"/>
    </row>
    <row r="6137" spans="2:2" ht="15.9" customHeight="1" x14ac:dyDescent="0.3">
      <c r="B6137" s="37"/>
    </row>
    <row r="6138" spans="2:2" ht="15.9" customHeight="1" x14ac:dyDescent="0.3">
      <c r="B6138" s="37"/>
    </row>
    <row r="6139" spans="2:2" ht="15.9" customHeight="1" x14ac:dyDescent="0.3">
      <c r="B6139" s="37"/>
    </row>
    <row r="6140" spans="2:2" ht="15.9" customHeight="1" x14ac:dyDescent="0.3">
      <c r="B6140" s="37"/>
    </row>
    <row r="6141" spans="2:2" ht="15.9" customHeight="1" x14ac:dyDescent="0.3">
      <c r="B6141" s="37"/>
    </row>
    <row r="6142" spans="2:2" ht="15.9" customHeight="1" x14ac:dyDescent="0.3">
      <c r="B6142" s="37"/>
    </row>
    <row r="6143" spans="2:2" ht="15.9" customHeight="1" x14ac:dyDescent="0.3">
      <c r="B6143" s="37"/>
    </row>
    <row r="6144" spans="2:2" ht="15.9" customHeight="1" x14ac:dyDescent="0.3">
      <c r="B6144" s="37"/>
    </row>
    <row r="6145" spans="2:2" ht="15.9" customHeight="1" x14ac:dyDescent="0.3">
      <c r="B6145" s="37"/>
    </row>
    <row r="6146" spans="2:2" ht="15.9" customHeight="1" x14ac:dyDescent="0.3">
      <c r="B6146" s="37"/>
    </row>
    <row r="6147" spans="2:2" ht="15.9" customHeight="1" x14ac:dyDescent="0.3">
      <c r="B6147" s="37"/>
    </row>
    <row r="6148" spans="2:2" ht="15.9" customHeight="1" x14ac:dyDescent="0.3">
      <c r="B6148" s="37"/>
    </row>
    <row r="6149" spans="2:2" ht="15.9" customHeight="1" x14ac:dyDescent="0.3">
      <c r="B6149" s="37"/>
    </row>
    <row r="6150" spans="2:2" ht="15.9" customHeight="1" x14ac:dyDescent="0.3">
      <c r="B6150" s="37"/>
    </row>
    <row r="6151" spans="2:2" ht="15.9" customHeight="1" x14ac:dyDescent="0.3">
      <c r="B6151" s="37"/>
    </row>
    <row r="6152" spans="2:2" ht="15.9" customHeight="1" x14ac:dyDescent="0.3">
      <c r="B6152" s="37"/>
    </row>
    <row r="6153" spans="2:2" ht="15.9" customHeight="1" x14ac:dyDescent="0.3">
      <c r="B6153" s="37"/>
    </row>
    <row r="6154" spans="2:2" ht="15.9" customHeight="1" x14ac:dyDescent="0.3">
      <c r="B6154" s="37"/>
    </row>
    <row r="6155" spans="2:2" ht="15.9" customHeight="1" x14ac:dyDescent="0.3">
      <c r="B6155" s="37"/>
    </row>
    <row r="6156" spans="2:2" ht="15.9" customHeight="1" x14ac:dyDescent="0.3">
      <c r="B6156" s="37"/>
    </row>
    <row r="6157" spans="2:2" ht="15.9" customHeight="1" x14ac:dyDescent="0.3">
      <c r="B6157" s="37"/>
    </row>
    <row r="6158" spans="2:2" ht="15.9" customHeight="1" x14ac:dyDescent="0.3">
      <c r="B6158" s="37"/>
    </row>
    <row r="6159" spans="2:2" ht="15.9" customHeight="1" x14ac:dyDescent="0.3">
      <c r="B6159" s="37"/>
    </row>
    <row r="6160" spans="2:2" ht="15.9" customHeight="1" x14ac:dyDescent="0.3">
      <c r="B6160" s="37"/>
    </row>
    <row r="6161" spans="2:2" ht="15.9" customHeight="1" x14ac:dyDescent="0.3">
      <c r="B6161" s="37"/>
    </row>
    <row r="6162" spans="2:2" ht="15.9" customHeight="1" x14ac:dyDescent="0.3">
      <c r="B6162" s="37"/>
    </row>
    <row r="6163" spans="2:2" ht="15.9" customHeight="1" x14ac:dyDescent="0.3">
      <c r="B6163" s="37"/>
    </row>
    <row r="6164" spans="2:2" ht="15.9" customHeight="1" x14ac:dyDescent="0.3">
      <c r="B6164" s="37"/>
    </row>
    <row r="6165" spans="2:2" ht="15.9" customHeight="1" x14ac:dyDescent="0.3">
      <c r="B6165" s="37"/>
    </row>
    <row r="6166" spans="2:2" ht="15.9" customHeight="1" x14ac:dyDescent="0.3">
      <c r="B6166" s="37"/>
    </row>
    <row r="6167" spans="2:2" ht="15.9" customHeight="1" x14ac:dyDescent="0.3">
      <c r="B6167" s="37"/>
    </row>
    <row r="6168" spans="2:2" ht="15.9" customHeight="1" x14ac:dyDescent="0.3">
      <c r="B6168" s="37"/>
    </row>
    <row r="6169" spans="2:2" ht="15.9" customHeight="1" x14ac:dyDescent="0.3">
      <c r="B6169" s="37"/>
    </row>
    <row r="6170" spans="2:2" ht="15.9" customHeight="1" x14ac:dyDescent="0.3">
      <c r="B6170" s="37"/>
    </row>
    <row r="6171" spans="2:2" ht="15.9" customHeight="1" x14ac:dyDescent="0.3">
      <c r="B6171" s="37"/>
    </row>
    <row r="6172" spans="2:2" ht="15.9" customHeight="1" x14ac:dyDescent="0.3">
      <c r="B6172" s="37"/>
    </row>
    <row r="6173" spans="2:2" ht="15.9" customHeight="1" x14ac:dyDescent="0.3">
      <c r="B6173" s="37"/>
    </row>
    <row r="6174" spans="2:2" ht="15.9" customHeight="1" x14ac:dyDescent="0.3">
      <c r="B6174" s="37"/>
    </row>
    <row r="6175" spans="2:2" ht="15.9" customHeight="1" x14ac:dyDescent="0.3">
      <c r="B6175" s="37"/>
    </row>
    <row r="6176" spans="2:2" ht="15.9" customHeight="1" x14ac:dyDescent="0.3">
      <c r="B6176" s="37"/>
    </row>
    <row r="6177" spans="2:2" ht="15.9" customHeight="1" x14ac:dyDescent="0.3">
      <c r="B6177" s="37"/>
    </row>
    <row r="6178" spans="2:2" ht="15.9" customHeight="1" x14ac:dyDescent="0.3">
      <c r="B6178" s="37"/>
    </row>
    <row r="6179" spans="2:2" ht="15.9" customHeight="1" x14ac:dyDescent="0.3">
      <c r="B6179" s="37"/>
    </row>
    <row r="6180" spans="2:2" ht="15.9" customHeight="1" x14ac:dyDescent="0.3">
      <c r="B6180" s="37"/>
    </row>
    <row r="6181" spans="2:2" ht="15.9" customHeight="1" x14ac:dyDescent="0.3">
      <c r="B6181" s="37"/>
    </row>
    <row r="6182" spans="2:2" ht="15.9" customHeight="1" x14ac:dyDescent="0.3">
      <c r="B6182" s="37"/>
    </row>
    <row r="6183" spans="2:2" ht="15.9" customHeight="1" x14ac:dyDescent="0.3">
      <c r="B6183" s="37"/>
    </row>
    <row r="6184" spans="2:2" ht="15.9" customHeight="1" x14ac:dyDescent="0.3">
      <c r="B6184" s="37"/>
    </row>
    <row r="6185" spans="2:2" ht="15.9" customHeight="1" x14ac:dyDescent="0.3">
      <c r="B6185" s="37"/>
    </row>
    <row r="6186" spans="2:2" ht="15.9" customHeight="1" x14ac:dyDescent="0.3">
      <c r="B6186" s="37"/>
    </row>
    <row r="6187" spans="2:2" ht="15.9" customHeight="1" x14ac:dyDescent="0.3">
      <c r="B6187" s="37"/>
    </row>
    <row r="6188" spans="2:2" ht="15.9" customHeight="1" x14ac:dyDescent="0.3">
      <c r="B6188" s="37"/>
    </row>
    <row r="6189" spans="2:2" ht="15.9" customHeight="1" x14ac:dyDescent="0.3">
      <c r="B6189" s="37"/>
    </row>
    <row r="6190" spans="2:2" ht="15.9" customHeight="1" x14ac:dyDescent="0.3">
      <c r="B6190" s="37"/>
    </row>
    <row r="6191" spans="2:2" ht="15.9" customHeight="1" x14ac:dyDescent="0.3">
      <c r="B6191" s="37"/>
    </row>
    <row r="6192" spans="2:2" ht="15.9" customHeight="1" x14ac:dyDescent="0.3">
      <c r="B6192" s="37"/>
    </row>
    <row r="6193" spans="2:2" ht="15.9" customHeight="1" x14ac:dyDescent="0.3">
      <c r="B6193" s="37"/>
    </row>
    <row r="6194" spans="2:2" ht="15.9" customHeight="1" x14ac:dyDescent="0.3">
      <c r="B6194" s="37"/>
    </row>
    <row r="6195" spans="2:2" ht="15.9" customHeight="1" x14ac:dyDescent="0.3">
      <c r="B6195" s="37"/>
    </row>
    <row r="6196" spans="2:2" ht="15.9" customHeight="1" x14ac:dyDescent="0.3">
      <c r="B6196" s="37"/>
    </row>
    <row r="6197" spans="2:2" ht="15.9" customHeight="1" x14ac:dyDescent="0.3">
      <c r="B6197" s="37"/>
    </row>
    <row r="6198" spans="2:2" ht="15.9" customHeight="1" x14ac:dyDescent="0.3">
      <c r="B6198" s="37"/>
    </row>
    <row r="6199" spans="2:2" ht="15.9" customHeight="1" x14ac:dyDescent="0.3">
      <c r="B6199" s="37"/>
    </row>
    <row r="6200" spans="2:2" ht="15.9" customHeight="1" x14ac:dyDescent="0.3">
      <c r="B6200" s="37"/>
    </row>
    <row r="6201" spans="2:2" ht="15.9" customHeight="1" x14ac:dyDescent="0.3">
      <c r="B6201" s="37"/>
    </row>
    <row r="6202" spans="2:2" ht="15.9" customHeight="1" x14ac:dyDescent="0.3">
      <c r="B6202" s="37"/>
    </row>
    <row r="6203" spans="2:2" ht="15.9" customHeight="1" x14ac:dyDescent="0.3">
      <c r="B6203" s="37"/>
    </row>
    <row r="6204" spans="2:2" ht="15.9" customHeight="1" x14ac:dyDescent="0.3">
      <c r="B6204" s="37"/>
    </row>
    <row r="6205" spans="2:2" ht="15.9" customHeight="1" x14ac:dyDescent="0.3">
      <c r="B6205" s="37"/>
    </row>
    <row r="6206" spans="2:2" ht="15.9" customHeight="1" x14ac:dyDescent="0.3">
      <c r="B6206" s="37"/>
    </row>
    <row r="6207" spans="2:2" ht="15.9" customHeight="1" x14ac:dyDescent="0.3">
      <c r="B6207" s="37"/>
    </row>
    <row r="6208" spans="2:2" ht="15.9" customHeight="1" x14ac:dyDescent="0.3">
      <c r="B6208" s="37"/>
    </row>
    <row r="6209" spans="2:2" ht="15.9" customHeight="1" x14ac:dyDescent="0.3">
      <c r="B6209" s="37"/>
    </row>
    <row r="6210" spans="2:2" ht="15.9" customHeight="1" x14ac:dyDescent="0.3">
      <c r="B6210" s="37"/>
    </row>
    <row r="6211" spans="2:2" ht="15.9" customHeight="1" x14ac:dyDescent="0.3">
      <c r="B6211" s="37"/>
    </row>
    <row r="6212" spans="2:2" ht="15.9" customHeight="1" x14ac:dyDescent="0.3">
      <c r="B6212" s="37"/>
    </row>
    <row r="6213" spans="2:2" ht="15.9" customHeight="1" x14ac:dyDescent="0.3">
      <c r="B6213" s="37"/>
    </row>
    <row r="6214" spans="2:2" ht="15.9" customHeight="1" x14ac:dyDescent="0.3">
      <c r="B6214" s="37"/>
    </row>
    <row r="6215" spans="2:2" ht="15.9" customHeight="1" x14ac:dyDescent="0.3">
      <c r="B6215" s="37"/>
    </row>
    <row r="6216" spans="2:2" ht="15.9" customHeight="1" x14ac:dyDescent="0.3">
      <c r="B6216" s="37"/>
    </row>
    <row r="6217" spans="2:2" ht="15.9" customHeight="1" x14ac:dyDescent="0.3">
      <c r="B6217" s="37"/>
    </row>
    <row r="6218" spans="2:2" ht="15.9" customHeight="1" x14ac:dyDescent="0.3">
      <c r="B6218" s="37"/>
    </row>
    <row r="6219" spans="2:2" ht="15.9" customHeight="1" x14ac:dyDescent="0.3">
      <c r="B6219" s="37"/>
    </row>
    <row r="6220" spans="2:2" ht="15.9" customHeight="1" x14ac:dyDescent="0.3">
      <c r="B6220" s="37"/>
    </row>
    <row r="6221" spans="2:2" ht="15.9" customHeight="1" x14ac:dyDescent="0.3">
      <c r="B6221" s="37"/>
    </row>
    <row r="6222" spans="2:2" ht="15.9" customHeight="1" x14ac:dyDescent="0.3">
      <c r="B6222" s="37"/>
    </row>
    <row r="6223" spans="2:2" ht="15.9" customHeight="1" x14ac:dyDescent="0.3">
      <c r="B6223" s="37"/>
    </row>
    <row r="6224" spans="2:2" ht="15.9" customHeight="1" x14ac:dyDescent="0.3">
      <c r="B6224" s="37"/>
    </row>
    <row r="6225" spans="2:2" ht="15.9" customHeight="1" x14ac:dyDescent="0.3">
      <c r="B6225" s="37"/>
    </row>
    <row r="6226" spans="2:2" ht="15.9" customHeight="1" x14ac:dyDescent="0.3">
      <c r="B6226" s="37"/>
    </row>
    <row r="6227" spans="2:2" ht="15.9" customHeight="1" x14ac:dyDescent="0.3">
      <c r="B6227" s="37"/>
    </row>
    <row r="6228" spans="2:2" ht="15.9" customHeight="1" x14ac:dyDescent="0.3">
      <c r="B6228" s="37"/>
    </row>
    <row r="6229" spans="2:2" ht="15.9" customHeight="1" x14ac:dyDescent="0.3">
      <c r="B6229" s="37"/>
    </row>
    <row r="6230" spans="2:2" ht="15.9" customHeight="1" x14ac:dyDescent="0.3">
      <c r="B6230" s="37"/>
    </row>
    <row r="6231" spans="2:2" ht="15.9" customHeight="1" x14ac:dyDescent="0.3">
      <c r="B6231" s="37"/>
    </row>
    <row r="6232" spans="2:2" ht="15.9" customHeight="1" x14ac:dyDescent="0.3">
      <c r="B6232" s="37"/>
    </row>
    <row r="6233" spans="2:2" ht="15.9" customHeight="1" x14ac:dyDescent="0.3">
      <c r="B6233" s="37"/>
    </row>
    <row r="6234" spans="2:2" ht="15.9" customHeight="1" x14ac:dyDescent="0.3">
      <c r="B6234" s="37"/>
    </row>
    <row r="6235" spans="2:2" ht="15.9" customHeight="1" x14ac:dyDescent="0.3">
      <c r="B6235" s="37"/>
    </row>
    <row r="6236" spans="2:2" ht="15.9" customHeight="1" x14ac:dyDescent="0.3">
      <c r="B6236" s="37"/>
    </row>
    <row r="6237" spans="2:2" ht="15.9" customHeight="1" x14ac:dyDescent="0.3">
      <c r="B6237" s="37"/>
    </row>
    <row r="6238" spans="2:2" ht="15.9" customHeight="1" x14ac:dyDescent="0.3">
      <c r="B6238" s="37"/>
    </row>
    <row r="6239" spans="2:2" ht="15.9" customHeight="1" x14ac:dyDescent="0.3">
      <c r="B6239" s="37"/>
    </row>
    <row r="6240" spans="2:2" ht="15.9" customHeight="1" x14ac:dyDescent="0.3">
      <c r="B6240" s="37"/>
    </row>
    <row r="6241" spans="2:2" ht="15.9" customHeight="1" x14ac:dyDescent="0.3">
      <c r="B6241" s="37"/>
    </row>
    <row r="6242" spans="2:2" ht="15.9" customHeight="1" x14ac:dyDescent="0.3">
      <c r="B6242" s="37"/>
    </row>
    <row r="6243" spans="2:2" ht="15.9" customHeight="1" x14ac:dyDescent="0.3">
      <c r="B6243" s="37"/>
    </row>
    <row r="6244" spans="2:2" ht="15.9" customHeight="1" x14ac:dyDescent="0.3">
      <c r="B6244" s="37"/>
    </row>
    <row r="6245" spans="2:2" ht="15.9" customHeight="1" x14ac:dyDescent="0.3">
      <c r="B6245" s="37"/>
    </row>
    <row r="6246" spans="2:2" ht="15.9" customHeight="1" x14ac:dyDescent="0.3">
      <c r="B6246" s="37"/>
    </row>
    <row r="6247" spans="2:2" ht="15.9" customHeight="1" x14ac:dyDescent="0.3">
      <c r="B6247" s="37"/>
    </row>
    <row r="6248" spans="2:2" ht="15.9" customHeight="1" x14ac:dyDescent="0.3">
      <c r="B6248" s="37"/>
    </row>
    <row r="6249" spans="2:2" ht="15.9" customHeight="1" x14ac:dyDescent="0.3">
      <c r="B6249" s="37"/>
    </row>
    <row r="6250" spans="2:2" ht="15.9" customHeight="1" x14ac:dyDescent="0.3">
      <c r="B6250" s="37"/>
    </row>
    <row r="6251" spans="2:2" ht="15.9" customHeight="1" x14ac:dyDescent="0.3">
      <c r="B6251" s="37"/>
    </row>
    <row r="6252" spans="2:2" ht="15.9" customHeight="1" x14ac:dyDescent="0.3">
      <c r="B6252" s="37"/>
    </row>
    <row r="6253" spans="2:2" ht="15.9" customHeight="1" x14ac:dyDescent="0.3">
      <c r="B6253" s="37"/>
    </row>
    <row r="6254" spans="2:2" ht="15.9" customHeight="1" x14ac:dyDescent="0.3">
      <c r="B6254" s="37"/>
    </row>
    <row r="6255" spans="2:2" ht="15.9" customHeight="1" x14ac:dyDescent="0.3">
      <c r="B6255" s="37"/>
    </row>
    <row r="6256" spans="2:2" ht="15.9" customHeight="1" x14ac:dyDescent="0.3">
      <c r="B6256" s="37"/>
    </row>
    <row r="6257" spans="2:2" ht="15.9" customHeight="1" x14ac:dyDescent="0.3">
      <c r="B6257" s="37"/>
    </row>
    <row r="6258" spans="2:2" ht="15.9" customHeight="1" x14ac:dyDescent="0.3">
      <c r="B6258" s="37"/>
    </row>
    <row r="6259" spans="2:2" ht="15.9" customHeight="1" x14ac:dyDescent="0.3">
      <c r="B6259" s="37"/>
    </row>
    <row r="6260" spans="2:2" ht="15.9" customHeight="1" x14ac:dyDescent="0.3">
      <c r="B6260" s="37"/>
    </row>
    <row r="6261" spans="2:2" ht="15.9" customHeight="1" x14ac:dyDescent="0.3">
      <c r="B6261" s="37"/>
    </row>
    <row r="6262" spans="2:2" ht="15.9" customHeight="1" x14ac:dyDescent="0.3">
      <c r="B6262" s="37"/>
    </row>
    <row r="6263" spans="2:2" ht="15.9" customHeight="1" x14ac:dyDescent="0.3">
      <c r="B6263" s="37"/>
    </row>
    <row r="6264" spans="2:2" ht="15.9" customHeight="1" x14ac:dyDescent="0.3">
      <c r="B6264" s="37"/>
    </row>
    <row r="6265" spans="2:2" ht="15.9" customHeight="1" x14ac:dyDescent="0.3">
      <c r="B6265" s="37"/>
    </row>
    <row r="6266" spans="2:2" ht="15.9" customHeight="1" x14ac:dyDescent="0.3">
      <c r="B6266" s="37"/>
    </row>
    <row r="6267" spans="2:2" ht="15.9" customHeight="1" x14ac:dyDescent="0.3">
      <c r="B6267" s="37"/>
    </row>
    <row r="6268" spans="2:2" ht="15.9" customHeight="1" x14ac:dyDescent="0.3">
      <c r="B6268" s="37"/>
    </row>
    <row r="6269" spans="2:2" ht="15.9" customHeight="1" x14ac:dyDescent="0.3">
      <c r="B6269" s="37"/>
    </row>
    <row r="6270" spans="2:2" ht="15.9" customHeight="1" x14ac:dyDescent="0.3">
      <c r="B6270" s="37"/>
    </row>
    <row r="6271" spans="2:2" ht="15.9" customHeight="1" x14ac:dyDescent="0.3">
      <c r="B6271" s="37"/>
    </row>
    <row r="6272" spans="2:2" ht="15.9" customHeight="1" x14ac:dyDescent="0.3">
      <c r="B6272" s="37"/>
    </row>
    <row r="6273" spans="2:2" ht="15.9" customHeight="1" x14ac:dyDescent="0.3">
      <c r="B6273" s="37"/>
    </row>
    <row r="6274" spans="2:2" ht="15.9" customHeight="1" x14ac:dyDescent="0.3">
      <c r="B6274" s="37"/>
    </row>
    <row r="6275" spans="2:2" ht="15.9" customHeight="1" x14ac:dyDescent="0.3">
      <c r="B6275" s="37"/>
    </row>
    <row r="6276" spans="2:2" ht="15.9" customHeight="1" x14ac:dyDescent="0.3">
      <c r="B6276" s="37"/>
    </row>
    <row r="6277" spans="2:2" ht="15.9" customHeight="1" x14ac:dyDescent="0.3">
      <c r="B6277" s="37"/>
    </row>
    <row r="6278" spans="2:2" ht="15.9" customHeight="1" x14ac:dyDescent="0.3">
      <c r="B6278" s="37"/>
    </row>
    <row r="6279" spans="2:2" ht="15.9" customHeight="1" x14ac:dyDescent="0.3">
      <c r="B6279" s="37"/>
    </row>
    <row r="6280" spans="2:2" ht="15.9" customHeight="1" x14ac:dyDescent="0.3">
      <c r="B6280" s="37"/>
    </row>
    <row r="6281" spans="2:2" ht="15.9" customHeight="1" x14ac:dyDescent="0.3">
      <c r="B6281" s="37"/>
    </row>
    <row r="6282" spans="2:2" ht="15.9" customHeight="1" x14ac:dyDescent="0.3">
      <c r="B6282" s="37"/>
    </row>
    <row r="6283" spans="2:2" ht="15.9" customHeight="1" x14ac:dyDescent="0.3">
      <c r="B6283" s="37"/>
    </row>
    <row r="6284" spans="2:2" ht="15.9" customHeight="1" x14ac:dyDescent="0.3">
      <c r="B6284" s="37"/>
    </row>
    <row r="6285" spans="2:2" ht="15.9" customHeight="1" x14ac:dyDescent="0.3">
      <c r="B6285" s="37"/>
    </row>
    <row r="6286" spans="2:2" ht="15.9" customHeight="1" x14ac:dyDescent="0.3">
      <c r="B6286" s="37"/>
    </row>
    <row r="6287" spans="2:2" ht="15.9" customHeight="1" x14ac:dyDescent="0.3">
      <c r="B6287" s="37"/>
    </row>
    <row r="6288" spans="2:2" ht="15.9" customHeight="1" x14ac:dyDescent="0.3">
      <c r="B6288" s="37"/>
    </row>
    <row r="6289" spans="2:2" ht="15.9" customHeight="1" x14ac:dyDescent="0.3">
      <c r="B6289" s="37"/>
    </row>
    <row r="6290" spans="2:2" ht="15.9" customHeight="1" x14ac:dyDescent="0.3">
      <c r="B6290" s="37"/>
    </row>
    <row r="6291" spans="2:2" ht="15.9" customHeight="1" x14ac:dyDescent="0.3">
      <c r="B6291" s="37"/>
    </row>
    <row r="6292" spans="2:2" ht="15.9" customHeight="1" x14ac:dyDescent="0.3">
      <c r="B6292" s="37"/>
    </row>
    <row r="6293" spans="2:2" ht="15.9" customHeight="1" x14ac:dyDescent="0.3">
      <c r="B6293" s="37"/>
    </row>
    <row r="6294" spans="2:2" ht="15.9" customHeight="1" x14ac:dyDescent="0.3">
      <c r="B6294" s="37"/>
    </row>
    <row r="6295" spans="2:2" ht="15.9" customHeight="1" x14ac:dyDescent="0.3">
      <c r="B6295" s="37"/>
    </row>
    <row r="6296" spans="2:2" ht="15.9" customHeight="1" x14ac:dyDescent="0.3">
      <c r="B6296" s="37"/>
    </row>
    <row r="6297" spans="2:2" ht="15.9" customHeight="1" x14ac:dyDescent="0.3">
      <c r="B6297" s="37"/>
    </row>
    <row r="6298" spans="2:2" ht="15.9" customHeight="1" x14ac:dyDescent="0.3">
      <c r="B6298" s="37"/>
    </row>
    <row r="6299" spans="2:2" ht="15.9" customHeight="1" x14ac:dyDescent="0.3">
      <c r="B6299" s="37"/>
    </row>
    <row r="6300" spans="2:2" ht="15.9" customHeight="1" x14ac:dyDescent="0.3">
      <c r="B6300" s="37"/>
    </row>
    <row r="6301" spans="2:2" ht="15.9" customHeight="1" x14ac:dyDescent="0.3">
      <c r="B6301" s="37"/>
    </row>
    <row r="6302" spans="2:2" ht="15.9" customHeight="1" x14ac:dyDescent="0.3">
      <c r="B6302" s="37"/>
    </row>
    <row r="6303" spans="2:2" ht="15.9" customHeight="1" x14ac:dyDescent="0.3">
      <c r="B6303" s="37"/>
    </row>
    <row r="6304" spans="2:2" ht="15.9" customHeight="1" x14ac:dyDescent="0.3">
      <c r="B6304" s="37"/>
    </row>
    <row r="6305" spans="2:2" ht="15.9" customHeight="1" x14ac:dyDescent="0.3">
      <c r="B6305" s="37"/>
    </row>
    <row r="6306" spans="2:2" ht="15.9" customHeight="1" x14ac:dyDescent="0.3">
      <c r="B6306" s="37"/>
    </row>
    <row r="6307" spans="2:2" ht="15.9" customHeight="1" x14ac:dyDescent="0.3">
      <c r="B6307" s="37"/>
    </row>
    <row r="6308" spans="2:2" ht="15.9" customHeight="1" x14ac:dyDescent="0.3">
      <c r="B6308" s="37"/>
    </row>
    <row r="6309" spans="2:2" ht="15.9" customHeight="1" x14ac:dyDescent="0.3">
      <c r="B6309" s="37"/>
    </row>
    <row r="6310" spans="2:2" ht="15.9" customHeight="1" x14ac:dyDescent="0.3">
      <c r="B6310" s="37"/>
    </row>
    <row r="6311" spans="2:2" ht="15.9" customHeight="1" x14ac:dyDescent="0.3">
      <c r="B6311" s="37"/>
    </row>
    <row r="6312" spans="2:2" ht="15.9" customHeight="1" x14ac:dyDescent="0.3">
      <c r="B6312" s="37"/>
    </row>
    <row r="6313" spans="2:2" ht="15.9" customHeight="1" x14ac:dyDescent="0.3">
      <c r="B6313" s="37"/>
    </row>
    <row r="6314" spans="2:2" ht="15.9" customHeight="1" x14ac:dyDescent="0.3">
      <c r="B6314" s="37"/>
    </row>
    <row r="6315" spans="2:2" ht="15.9" customHeight="1" x14ac:dyDescent="0.3">
      <c r="B6315" s="37"/>
    </row>
    <row r="6316" spans="2:2" ht="15.9" customHeight="1" x14ac:dyDescent="0.3">
      <c r="B6316" s="37"/>
    </row>
    <row r="6317" spans="2:2" ht="15.9" customHeight="1" x14ac:dyDescent="0.3">
      <c r="B6317" s="37"/>
    </row>
    <row r="6318" spans="2:2" ht="15.9" customHeight="1" x14ac:dyDescent="0.3">
      <c r="B6318" s="37"/>
    </row>
    <row r="6319" spans="2:2" ht="15.9" customHeight="1" x14ac:dyDescent="0.3">
      <c r="B6319" s="37"/>
    </row>
    <row r="6320" spans="2:2" ht="15.9" customHeight="1" x14ac:dyDescent="0.3">
      <c r="B6320" s="37"/>
    </row>
    <row r="6321" spans="2:2" ht="15.9" customHeight="1" x14ac:dyDescent="0.3">
      <c r="B6321" s="37"/>
    </row>
    <row r="6322" spans="2:2" ht="15.9" customHeight="1" x14ac:dyDescent="0.3">
      <c r="B6322" s="37"/>
    </row>
    <row r="6323" spans="2:2" ht="15.9" customHeight="1" x14ac:dyDescent="0.3">
      <c r="B6323" s="37"/>
    </row>
    <row r="6324" spans="2:2" ht="15.9" customHeight="1" x14ac:dyDescent="0.3">
      <c r="B6324" s="37"/>
    </row>
    <row r="6325" spans="2:2" ht="15.9" customHeight="1" x14ac:dyDescent="0.3">
      <c r="B6325" s="37"/>
    </row>
    <row r="6326" spans="2:2" ht="15.9" customHeight="1" x14ac:dyDescent="0.3">
      <c r="B6326" s="37"/>
    </row>
    <row r="6327" spans="2:2" ht="15.9" customHeight="1" x14ac:dyDescent="0.3">
      <c r="B6327" s="37"/>
    </row>
    <row r="6328" spans="2:2" ht="15.9" customHeight="1" x14ac:dyDescent="0.3">
      <c r="B6328" s="37"/>
    </row>
    <row r="6329" spans="2:2" ht="15.9" customHeight="1" x14ac:dyDescent="0.3">
      <c r="B6329" s="37"/>
    </row>
    <row r="6330" spans="2:2" ht="15.9" customHeight="1" x14ac:dyDescent="0.3">
      <c r="B6330" s="37"/>
    </row>
    <row r="6331" spans="2:2" ht="15.9" customHeight="1" x14ac:dyDescent="0.3">
      <c r="B6331" s="37"/>
    </row>
    <row r="6332" spans="2:2" ht="15.9" customHeight="1" x14ac:dyDescent="0.3">
      <c r="B6332" s="37"/>
    </row>
    <row r="6333" spans="2:2" ht="15.9" customHeight="1" x14ac:dyDescent="0.3">
      <c r="B6333" s="37"/>
    </row>
    <row r="6334" spans="2:2" ht="15.9" customHeight="1" x14ac:dyDescent="0.3">
      <c r="B6334" s="37"/>
    </row>
    <row r="6335" spans="2:2" ht="15.9" customHeight="1" x14ac:dyDescent="0.3">
      <c r="B6335" s="37"/>
    </row>
    <row r="6336" spans="2:2" ht="15.9" customHeight="1" x14ac:dyDescent="0.3">
      <c r="B6336" s="37"/>
    </row>
    <row r="6337" spans="2:2" ht="15.9" customHeight="1" x14ac:dyDescent="0.3">
      <c r="B6337" s="37"/>
    </row>
    <row r="6338" spans="2:2" ht="15.9" customHeight="1" x14ac:dyDescent="0.3">
      <c r="B6338" s="37"/>
    </row>
    <row r="6339" spans="2:2" ht="15.9" customHeight="1" x14ac:dyDescent="0.3">
      <c r="B6339" s="37"/>
    </row>
    <row r="6340" spans="2:2" ht="15.9" customHeight="1" x14ac:dyDescent="0.3">
      <c r="B6340" s="37"/>
    </row>
    <row r="6341" spans="2:2" ht="15.9" customHeight="1" x14ac:dyDescent="0.3">
      <c r="B6341" s="37"/>
    </row>
    <row r="6342" spans="2:2" ht="15.9" customHeight="1" x14ac:dyDescent="0.3">
      <c r="B6342" s="37"/>
    </row>
    <row r="6343" spans="2:2" ht="15.9" customHeight="1" x14ac:dyDescent="0.3">
      <c r="B6343" s="37"/>
    </row>
    <row r="6344" spans="2:2" ht="15.9" customHeight="1" x14ac:dyDescent="0.3">
      <c r="B6344" s="37"/>
    </row>
    <row r="6345" spans="2:2" ht="15.9" customHeight="1" x14ac:dyDescent="0.3">
      <c r="B6345" s="37"/>
    </row>
    <row r="6346" spans="2:2" ht="15.9" customHeight="1" x14ac:dyDescent="0.3">
      <c r="B6346" s="37"/>
    </row>
    <row r="6347" spans="2:2" ht="15.9" customHeight="1" x14ac:dyDescent="0.3">
      <c r="B6347" s="37"/>
    </row>
    <row r="6348" spans="2:2" ht="15.9" customHeight="1" x14ac:dyDescent="0.3">
      <c r="B6348" s="37"/>
    </row>
    <row r="6349" spans="2:2" ht="15.9" customHeight="1" x14ac:dyDescent="0.3">
      <c r="B6349" s="37"/>
    </row>
    <row r="6350" spans="2:2" ht="15.9" customHeight="1" x14ac:dyDescent="0.3">
      <c r="B6350" s="37"/>
    </row>
    <row r="6351" spans="2:2" ht="15.9" customHeight="1" x14ac:dyDescent="0.3">
      <c r="B6351" s="37"/>
    </row>
    <row r="6352" spans="2:2" ht="15.9" customHeight="1" x14ac:dyDescent="0.3">
      <c r="B6352" s="37"/>
    </row>
    <row r="6353" spans="2:2" ht="15.9" customHeight="1" x14ac:dyDescent="0.3">
      <c r="B6353" s="37"/>
    </row>
    <row r="6354" spans="2:2" ht="15.9" customHeight="1" x14ac:dyDescent="0.3">
      <c r="B6354" s="37"/>
    </row>
    <row r="6355" spans="2:2" ht="15.9" customHeight="1" x14ac:dyDescent="0.3">
      <c r="B6355" s="37"/>
    </row>
    <row r="6356" spans="2:2" ht="15.9" customHeight="1" x14ac:dyDescent="0.3">
      <c r="B6356" s="37"/>
    </row>
    <row r="6357" spans="2:2" ht="15.9" customHeight="1" x14ac:dyDescent="0.3">
      <c r="B6357" s="37"/>
    </row>
    <row r="6358" spans="2:2" ht="15.9" customHeight="1" x14ac:dyDescent="0.3">
      <c r="B6358" s="37"/>
    </row>
    <row r="6359" spans="2:2" ht="15.9" customHeight="1" x14ac:dyDescent="0.3">
      <c r="B6359" s="37"/>
    </row>
    <row r="6360" spans="2:2" ht="15.9" customHeight="1" x14ac:dyDescent="0.3">
      <c r="B6360" s="37"/>
    </row>
    <row r="6361" spans="2:2" ht="15.9" customHeight="1" x14ac:dyDescent="0.3">
      <c r="B6361" s="37"/>
    </row>
    <row r="6362" spans="2:2" ht="15.9" customHeight="1" x14ac:dyDescent="0.3">
      <c r="B6362" s="37"/>
    </row>
    <row r="6363" spans="2:2" ht="15.9" customHeight="1" x14ac:dyDescent="0.3">
      <c r="B6363" s="37"/>
    </row>
    <row r="6364" spans="2:2" ht="15.9" customHeight="1" x14ac:dyDescent="0.3">
      <c r="B6364" s="37"/>
    </row>
    <row r="6365" spans="2:2" ht="15.9" customHeight="1" x14ac:dyDescent="0.3">
      <c r="B6365" s="37"/>
    </row>
    <row r="6366" spans="2:2" ht="15.9" customHeight="1" x14ac:dyDescent="0.3">
      <c r="B6366" s="37"/>
    </row>
    <row r="6367" spans="2:2" ht="15.9" customHeight="1" x14ac:dyDescent="0.3">
      <c r="B6367" s="37"/>
    </row>
    <row r="6368" spans="2:2" ht="15.9" customHeight="1" x14ac:dyDescent="0.3">
      <c r="B6368" s="37"/>
    </row>
    <row r="6369" spans="2:2" ht="15.9" customHeight="1" x14ac:dyDescent="0.3">
      <c r="B6369" s="37"/>
    </row>
    <row r="6370" spans="2:2" ht="15.9" customHeight="1" x14ac:dyDescent="0.3">
      <c r="B6370" s="37"/>
    </row>
    <row r="6371" spans="2:2" ht="15.9" customHeight="1" x14ac:dyDescent="0.3">
      <c r="B6371" s="37"/>
    </row>
    <row r="6372" spans="2:2" ht="15.9" customHeight="1" x14ac:dyDescent="0.3">
      <c r="B6372" s="37"/>
    </row>
    <row r="6373" spans="2:2" ht="15.9" customHeight="1" x14ac:dyDescent="0.3">
      <c r="B6373" s="37"/>
    </row>
    <row r="6374" spans="2:2" ht="15.9" customHeight="1" x14ac:dyDescent="0.3">
      <c r="B6374" s="37"/>
    </row>
    <row r="6375" spans="2:2" ht="15.9" customHeight="1" x14ac:dyDescent="0.3">
      <c r="B6375" s="37"/>
    </row>
    <row r="6376" spans="2:2" ht="15.9" customHeight="1" x14ac:dyDescent="0.3">
      <c r="B6376" s="37"/>
    </row>
    <row r="6377" spans="2:2" ht="15.9" customHeight="1" x14ac:dyDescent="0.3">
      <c r="B6377" s="37"/>
    </row>
    <row r="6378" spans="2:2" ht="15.9" customHeight="1" x14ac:dyDescent="0.3">
      <c r="B6378" s="37"/>
    </row>
    <row r="6379" spans="2:2" ht="15.9" customHeight="1" x14ac:dyDescent="0.3">
      <c r="B6379" s="37"/>
    </row>
    <row r="6380" spans="2:2" ht="15.9" customHeight="1" x14ac:dyDescent="0.3">
      <c r="B6380" s="37"/>
    </row>
    <row r="6381" spans="2:2" ht="15.9" customHeight="1" x14ac:dyDescent="0.3">
      <c r="B6381" s="37"/>
    </row>
    <row r="6382" spans="2:2" ht="15.9" customHeight="1" x14ac:dyDescent="0.3">
      <c r="B6382" s="37"/>
    </row>
    <row r="6383" spans="2:2" ht="15.9" customHeight="1" x14ac:dyDescent="0.3">
      <c r="B6383" s="37"/>
    </row>
    <row r="6384" spans="2:2" ht="15.9" customHeight="1" x14ac:dyDescent="0.3">
      <c r="B6384" s="37"/>
    </row>
    <row r="6385" spans="2:2" ht="15.9" customHeight="1" x14ac:dyDescent="0.3">
      <c r="B6385" s="37"/>
    </row>
    <row r="6386" spans="2:2" ht="15.9" customHeight="1" x14ac:dyDescent="0.3">
      <c r="B6386" s="37"/>
    </row>
    <row r="6387" spans="2:2" ht="15.9" customHeight="1" x14ac:dyDescent="0.3">
      <c r="B6387" s="37"/>
    </row>
    <row r="6388" spans="2:2" ht="15.9" customHeight="1" x14ac:dyDescent="0.3">
      <c r="B6388" s="37"/>
    </row>
    <row r="6389" spans="2:2" ht="15.9" customHeight="1" x14ac:dyDescent="0.3">
      <c r="B6389" s="37"/>
    </row>
    <row r="6390" spans="2:2" ht="15.9" customHeight="1" x14ac:dyDescent="0.3">
      <c r="B6390" s="37"/>
    </row>
    <row r="6391" spans="2:2" ht="15.9" customHeight="1" x14ac:dyDescent="0.3">
      <c r="B6391" s="37"/>
    </row>
    <row r="6392" spans="2:2" ht="15.9" customHeight="1" x14ac:dyDescent="0.3">
      <c r="B6392" s="37"/>
    </row>
    <row r="6393" spans="2:2" ht="15.9" customHeight="1" x14ac:dyDescent="0.3">
      <c r="B6393" s="37"/>
    </row>
    <row r="6394" spans="2:2" ht="15.9" customHeight="1" x14ac:dyDescent="0.3">
      <c r="B6394" s="37"/>
    </row>
    <row r="6395" spans="2:2" ht="15.9" customHeight="1" x14ac:dyDescent="0.3">
      <c r="B6395" s="37"/>
    </row>
    <row r="6396" spans="2:2" ht="15.9" customHeight="1" x14ac:dyDescent="0.3">
      <c r="B6396" s="37"/>
    </row>
    <row r="6397" spans="2:2" ht="15.9" customHeight="1" x14ac:dyDescent="0.3">
      <c r="B6397" s="37"/>
    </row>
    <row r="6398" spans="2:2" ht="15.9" customHeight="1" x14ac:dyDescent="0.3">
      <c r="B6398" s="37"/>
    </row>
    <row r="6399" spans="2:2" ht="15.9" customHeight="1" x14ac:dyDescent="0.3">
      <c r="B6399" s="37"/>
    </row>
    <row r="6400" spans="2:2" ht="15.9" customHeight="1" x14ac:dyDescent="0.3">
      <c r="B6400" s="37"/>
    </row>
    <row r="6401" spans="2:2" ht="15.9" customHeight="1" x14ac:dyDescent="0.3">
      <c r="B6401" s="37"/>
    </row>
    <row r="6402" spans="2:2" ht="15.9" customHeight="1" x14ac:dyDescent="0.3">
      <c r="B6402" s="37"/>
    </row>
    <row r="6403" spans="2:2" ht="15.9" customHeight="1" x14ac:dyDescent="0.3">
      <c r="B6403" s="37"/>
    </row>
    <row r="6404" spans="2:2" ht="15.9" customHeight="1" x14ac:dyDescent="0.3">
      <c r="B6404" s="37"/>
    </row>
    <row r="6405" spans="2:2" ht="15.9" customHeight="1" x14ac:dyDescent="0.3">
      <c r="B6405" s="37"/>
    </row>
    <row r="6406" spans="2:2" ht="15.9" customHeight="1" x14ac:dyDescent="0.3">
      <c r="B6406" s="37"/>
    </row>
    <row r="6407" spans="2:2" ht="15.9" customHeight="1" x14ac:dyDescent="0.3">
      <c r="B6407" s="37"/>
    </row>
    <row r="6408" spans="2:2" ht="15.9" customHeight="1" x14ac:dyDescent="0.3">
      <c r="B6408" s="37"/>
    </row>
    <row r="6409" spans="2:2" ht="15.9" customHeight="1" x14ac:dyDescent="0.3">
      <c r="B6409" s="37"/>
    </row>
    <row r="6410" spans="2:2" ht="15.9" customHeight="1" x14ac:dyDescent="0.3">
      <c r="B6410" s="37"/>
    </row>
    <row r="6411" spans="2:2" ht="15.9" customHeight="1" x14ac:dyDescent="0.3">
      <c r="B6411" s="37"/>
    </row>
    <row r="6412" spans="2:2" ht="15.9" customHeight="1" x14ac:dyDescent="0.3">
      <c r="B6412" s="37"/>
    </row>
    <row r="6413" spans="2:2" ht="15.9" customHeight="1" x14ac:dyDescent="0.3">
      <c r="B6413" s="37"/>
    </row>
    <row r="6414" spans="2:2" ht="15.9" customHeight="1" x14ac:dyDescent="0.3">
      <c r="B6414" s="37"/>
    </row>
    <row r="6415" spans="2:2" ht="15.9" customHeight="1" x14ac:dyDescent="0.3">
      <c r="B6415" s="37"/>
    </row>
    <row r="6416" spans="2:2" ht="15.9" customHeight="1" x14ac:dyDescent="0.3">
      <c r="B6416" s="37"/>
    </row>
    <row r="6417" spans="2:2" ht="15.9" customHeight="1" x14ac:dyDescent="0.3">
      <c r="B6417" s="37"/>
    </row>
    <row r="6418" spans="2:2" ht="15.9" customHeight="1" x14ac:dyDescent="0.3">
      <c r="B6418" s="37"/>
    </row>
    <row r="6419" spans="2:2" ht="15.9" customHeight="1" x14ac:dyDescent="0.3">
      <c r="B6419" s="37"/>
    </row>
    <row r="6420" spans="2:2" ht="15.9" customHeight="1" x14ac:dyDescent="0.3">
      <c r="B6420" s="37"/>
    </row>
    <row r="6421" spans="2:2" ht="15.9" customHeight="1" x14ac:dyDescent="0.3">
      <c r="B6421" s="37"/>
    </row>
    <row r="6422" spans="2:2" ht="15.9" customHeight="1" x14ac:dyDescent="0.3">
      <c r="B6422" s="37"/>
    </row>
    <row r="6423" spans="2:2" ht="15.9" customHeight="1" x14ac:dyDescent="0.3">
      <c r="B6423" s="37"/>
    </row>
    <row r="6424" spans="2:2" ht="15.9" customHeight="1" x14ac:dyDescent="0.3">
      <c r="B6424" s="37"/>
    </row>
    <row r="6425" spans="2:2" ht="15.9" customHeight="1" x14ac:dyDescent="0.3">
      <c r="B6425" s="37"/>
    </row>
    <row r="6426" spans="2:2" ht="15.9" customHeight="1" x14ac:dyDescent="0.3">
      <c r="B6426" s="37"/>
    </row>
    <row r="6427" spans="2:2" ht="15.9" customHeight="1" x14ac:dyDescent="0.3">
      <c r="B6427" s="37"/>
    </row>
    <row r="6428" spans="2:2" ht="15.9" customHeight="1" x14ac:dyDescent="0.3">
      <c r="B6428" s="37"/>
    </row>
    <row r="6429" spans="2:2" ht="15.9" customHeight="1" x14ac:dyDescent="0.3">
      <c r="B6429" s="37"/>
    </row>
    <row r="6430" spans="2:2" ht="15.9" customHeight="1" x14ac:dyDescent="0.3">
      <c r="B6430" s="37"/>
    </row>
    <row r="6431" spans="2:2" ht="15.9" customHeight="1" x14ac:dyDescent="0.3">
      <c r="B6431" s="37"/>
    </row>
    <row r="6432" spans="2:2" ht="15.9" customHeight="1" x14ac:dyDescent="0.3">
      <c r="B6432" s="37"/>
    </row>
    <row r="6433" spans="2:2" ht="15.9" customHeight="1" x14ac:dyDescent="0.3">
      <c r="B6433" s="37"/>
    </row>
    <row r="6434" spans="2:2" ht="15.9" customHeight="1" x14ac:dyDescent="0.3">
      <c r="B6434" s="37"/>
    </row>
    <row r="6435" spans="2:2" ht="15.9" customHeight="1" x14ac:dyDescent="0.3">
      <c r="B6435" s="37"/>
    </row>
    <row r="6436" spans="2:2" ht="15.9" customHeight="1" x14ac:dyDescent="0.3">
      <c r="B6436" s="37"/>
    </row>
    <row r="6437" spans="2:2" ht="15.9" customHeight="1" x14ac:dyDescent="0.3">
      <c r="B6437" s="37"/>
    </row>
    <row r="6438" spans="2:2" ht="15.9" customHeight="1" x14ac:dyDescent="0.3">
      <c r="B6438" s="37"/>
    </row>
    <row r="6439" spans="2:2" ht="15.9" customHeight="1" x14ac:dyDescent="0.3">
      <c r="B6439" s="37"/>
    </row>
    <row r="6440" spans="2:2" ht="15.9" customHeight="1" x14ac:dyDescent="0.3">
      <c r="B6440" s="37"/>
    </row>
    <row r="6441" spans="2:2" ht="15.9" customHeight="1" x14ac:dyDescent="0.3">
      <c r="B6441" s="37"/>
    </row>
    <row r="6442" spans="2:2" ht="15.9" customHeight="1" x14ac:dyDescent="0.3">
      <c r="B6442" s="37"/>
    </row>
    <row r="6443" spans="2:2" ht="15.9" customHeight="1" x14ac:dyDescent="0.3">
      <c r="B6443" s="37"/>
    </row>
    <row r="6444" spans="2:2" ht="15.9" customHeight="1" x14ac:dyDescent="0.3">
      <c r="B6444" s="37"/>
    </row>
    <row r="6445" spans="2:2" ht="15.9" customHeight="1" x14ac:dyDescent="0.3">
      <c r="B6445" s="37"/>
    </row>
    <row r="6446" spans="2:2" ht="15.9" customHeight="1" x14ac:dyDescent="0.3">
      <c r="B6446" s="37"/>
    </row>
    <row r="6447" spans="2:2" ht="15.9" customHeight="1" x14ac:dyDescent="0.3">
      <c r="B6447" s="37"/>
    </row>
    <row r="6448" spans="2:2" ht="15.9" customHeight="1" x14ac:dyDescent="0.3">
      <c r="B6448" s="37"/>
    </row>
    <row r="6449" spans="2:2" ht="15.9" customHeight="1" x14ac:dyDescent="0.3">
      <c r="B6449" s="37"/>
    </row>
    <row r="6450" spans="2:2" ht="15.9" customHeight="1" x14ac:dyDescent="0.3">
      <c r="B6450" s="37"/>
    </row>
    <row r="6451" spans="2:2" ht="15.9" customHeight="1" x14ac:dyDescent="0.3">
      <c r="B6451" s="37"/>
    </row>
    <row r="6452" spans="2:2" ht="15.9" customHeight="1" x14ac:dyDescent="0.3">
      <c r="B6452" s="37"/>
    </row>
    <row r="6453" spans="2:2" ht="15.9" customHeight="1" x14ac:dyDescent="0.3">
      <c r="B6453" s="37"/>
    </row>
    <row r="6454" spans="2:2" ht="15.9" customHeight="1" x14ac:dyDescent="0.3">
      <c r="B6454" s="37"/>
    </row>
    <row r="6455" spans="2:2" ht="15.9" customHeight="1" x14ac:dyDescent="0.3">
      <c r="B6455" s="37"/>
    </row>
    <row r="6456" spans="2:2" ht="15.9" customHeight="1" x14ac:dyDescent="0.3">
      <c r="B6456" s="37"/>
    </row>
    <row r="6457" spans="2:2" ht="15.9" customHeight="1" x14ac:dyDescent="0.3">
      <c r="B6457" s="37"/>
    </row>
    <row r="6458" spans="2:2" ht="15.9" customHeight="1" x14ac:dyDescent="0.3">
      <c r="B6458" s="37"/>
    </row>
    <row r="6459" spans="2:2" ht="15.9" customHeight="1" x14ac:dyDescent="0.3">
      <c r="B6459" s="37"/>
    </row>
    <row r="6460" spans="2:2" ht="15.9" customHeight="1" x14ac:dyDescent="0.3">
      <c r="B6460" s="37"/>
    </row>
    <row r="6461" spans="2:2" ht="15.9" customHeight="1" x14ac:dyDescent="0.3">
      <c r="B6461" s="37"/>
    </row>
    <row r="6462" spans="2:2" ht="15.9" customHeight="1" x14ac:dyDescent="0.3">
      <c r="B6462" s="37"/>
    </row>
    <row r="6463" spans="2:2" ht="15.9" customHeight="1" x14ac:dyDescent="0.3">
      <c r="B6463" s="37"/>
    </row>
    <row r="6464" spans="2:2" ht="15.9" customHeight="1" x14ac:dyDescent="0.3">
      <c r="B6464" s="37"/>
    </row>
    <row r="6465" spans="2:2" ht="15.9" customHeight="1" x14ac:dyDescent="0.3">
      <c r="B6465" s="37"/>
    </row>
    <row r="6466" spans="2:2" ht="15.9" customHeight="1" x14ac:dyDescent="0.3">
      <c r="B6466" s="37"/>
    </row>
    <row r="6467" spans="2:2" ht="15.9" customHeight="1" x14ac:dyDescent="0.3">
      <c r="B6467" s="37"/>
    </row>
    <row r="6468" spans="2:2" ht="15.9" customHeight="1" x14ac:dyDescent="0.3">
      <c r="B6468" s="37"/>
    </row>
    <row r="6469" spans="2:2" ht="15.9" customHeight="1" x14ac:dyDescent="0.3">
      <c r="B6469" s="37"/>
    </row>
    <row r="6470" spans="2:2" ht="15.9" customHeight="1" x14ac:dyDescent="0.3">
      <c r="B6470" s="37"/>
    </row>
    <row r="6471" spans="2:2" ht="15.9" customHeight="1" x14ac:dyDescent="0.3">
      <c r="B6471" s="37"/>
    </row>
    <row r="6472" spans="2:2" ht="15.9" customHeight="1" x14ac:dyDescent="0.3">
      <c r="B6472" s="37"/>
    </row>
    <row r="6473" spans="2:2" ht="15.9" customHeight="1" x14ac:dyDescent="0.3">
      <c r="B6473" s="37"/>
    </row>
    <row r="6474" spans="2:2" ht="15.9" customHeight="1" x14ac:dyDescent="0.3">
      <c r="B6474" s="37"/>
    </row>
    <row r="6475" spans="2:2" ht="15.9" customHeight="1" x14ac:dyDescent="0.3">
      <c r="B6475" s="37"/>
    </row>
    <row r="6476" spans="2:2" ht="15.9" customHeight="1" x14ac:dyDescent="0.3">
      <c r="B6476" s="37"/>
    </row>
    <row r="6477" spans="2:2" ht="15.9" customHeight="1" x14ac:dyDescent="0.3">
      <c r="B6477" s="37"/>
    </row>
    <row r="6478" spans="2:2" ht="15.9" customHeight="1" x14ac:dyDescent="0.3">
      <c r="B6478" s="37"/>
    </row>
    <row r="6479" spans="2:2" ht="15.9" customHeight="1" x14ac:dyDescent="0.3">
      <c r="B6479" s="37"/>
    </row>
    <row r="6480" spans="2:2" ht="15.9" customHeight="1" x14ac:dyDescent="0.3">
      <c r="B6480" s="37"/>
    </row>
    <row r="6481" spans="2:2" ht="15.9" customHeight="1" x14ac:dyDescent="0.3">
      <c r="B6481" s="37"/>
    </row>
    <row r="6482" spans="2:2" ht="15.9" customHeight="1" x14ac:dyDescent="0.3">
      <c r="B6482" s="37"/>
    </row>
    <row r="6483" spans="2:2" ht="15.9" customHeight="1" x14ac:dyDescent="0.3">
      <c r="B6483" s="37"/>
    </row>
    <row r="6484" spans="2:2" ht="15.9" customHeight="1" x14ac:dyDescent="0.3">
      <c r="B6484" s="37"/>
    </row>
    <row r="6485" spans="2:2" ht="15.9" customHeight="1" x14ac:dyDescent="0.3">
      <c r="B6485" s="37"/>
    </row>
    <row r="6486" spans="2:2" ht="15.9" customHeight="1" x14ac:dyDescent="0.3">
      <c r="B6486" s="37"/>
    </row>
    <row r="6487" spans="2:2" ht="15.9" customHeight="1" x14ac:dyDescent="0.3">
      <c r="B6487" s="37"/>
    </row>
    <row r="6488" spans="2:2" ht="15.9" customHeight="1" x14ac:dyDescent="0.3">
      <c r="B6488" s="37"/>
    </row>
    <row r="6489" spans="2:2" ht="15.9" customHeight="1" x14ac:dyDescent="0.3">
      <c r="B6489" s="37"/>
    </row>
    <row r="6490" spans="2:2" ht="15.9" customHeight="1" x14ac:dyDescent="0.3">
      <c r="B6490" s="37"/>
    </row>
    <row r="6491" spans="2:2" ht="15.9" customHeight="1" x14ac:dyDescent="0.3">
      <c r="B6491" s="37"/>
    </row>
    <row r="6492" spans="2:2" ht="15.9" customHeight="1" x14ac:dyDescent="0.3">
      <c r="B6492" s="37"/>
    </row>
    <row r="6493" spans="2:2" ht="15.9" customHeight="1" x14ac:dyDescent="0.3">
      <c r="B6493" s="37"/>
    </row>
    <row r="6494" spans="2:2" ht="15.9" customHeight="1" x14ac:dyDescent="0.3">
      <c r="B6494" s="37"/>
    </row>
    <row r="6495" spans="2:2" ht="15.9" customHeight="1" x14ac:dyDescent="0.3">
      <c r="B6495" s="37"/>
    </row>
    <row r="6496" spans="2:2" ht="15.9" customHeight="1" x14ac:dyDescent="0.3">
      <c r="B6496" s="37"/>
    </row>
    <row r="6497" spans="2:2" ht="15.9" customHeight="1" x14ac:dyDescent="0.3">
      <c r="B6497" s="37"/>
    </row>
    <row r="6498" spans="2:2" ht="15.9" customHeight="1" x14ac:dyDescent="0.3">
      <c r="B6498" s="37"/>
    </row>
    <row r="6499" spans="2:2" ht="15.9" customHeight="1" x14ac:dyDescent="0.3">
      <c r="B6499" s="37"/>
    </row>
    <row r="6500" spans="2:2" ht="15.9" customHeight="1" x14ac:dyDescent="0.3">
      <c r="B6500" s="37"/>
    </row>
    <row r="6501" spans="2:2" ht="15.9" customHeight="1" x14ac:dyDescent="0.3">
      <c r="B6501" s="37"/>
    </row>
    <row r="6502" spans="2:2" ht="15.9" customHeight="1" x14ac:dyDescent="0.3">
      <c r="B6502" s="37"/>
    </row>
    <row r="6503" spans="2:2" ht="15.9" customHeight="1" x14ac:dyDescent="0.3">
      <c r="B6503" s="37"/>
    </row>
    <row r="6504" spans="2:2" ht="15.9" customHeight="1" x14ac:dyDescent="0.3">
      <c r="B6504" s="37"/>
    </row>
    <row r="6505" spans="2:2" ht="15.9" customHeight="1" x14ac:dyDescent="0.3">
      <c r="B6505" s="37"/>
    </row>
    <row r="6506" spans="2:2" ht="15.9" customHeight="1" x14ac:dyDescent="0.3">
      <c r="B6506" s="37"/>
    </row>
    <row r="6507" spans="2:2" ht="15.9" customHeight="1" x14ac:dyDescent="0.3">
      <c r="B6507" s="37"/>
    </row>
    <row r="6508" spans="2:2" ht="15.9" customHeight="1" x14ac:dyDescent="0.3">
      <c r="B6508" s="37"/>
    </row>
    <row r="6509" spans="2:2" ht="15.9" customHeight="1" x14ac:dyDescent="0.3">
      <c r="B6509" s="37"/>
    </row>
    <row r="6510" spans="2:2" ht="15.9" customHeight="1" x14ac:dyDescent="0.3">
      <c r="B6510" s="37"/>
    </row>
    <row r="6511" spans="2:2" ht="15.9" customHeight="1" x14ac:dyDescent="0.3">
      <c r="B6511" s="37"/>
    </row>
    <row r="6512" spans="2:2" ht="15.9" customHeight="1" x14ac:dyDescent="0.3">
      <c r="B6512" s="37"/>
    </row>
    <row r="6513" spans="2:2" ht="15.9" customHeight="1" x14ac:dyDescent="0.3">
      <c r="B6513" s="37"/>
    </row>
    <row r="6514" spans="2:2" ht="15.9" customHeight="1" x14ac:dyDescent="0.3">
      <c r="B6514" s="37"/>
    </row>
    <row r="6515" spans="2:2" ht="15.9" customHeight="1" x14ac:dyDescent="0.3">
      <c r="B6515" s="37"/>
    </row>
    <row r="6516" spans="2:2" ht="15.9" customHeight="1" x14ac:dyDescent="0.3">
      <c r="B6516" s="37"/>
    </row>
    <row r="6517" spans="2:2" ht="15.9" customHeight="1" x14ac:dyDescent="0.3">
      <c r="B6517" s="37"/>
    </row>
    <row r="6518" spans="2:2" ht="15.9" customHeight="1" x14ac:dyDescent="0.3">
      <c r="B6518" s="37"/>
    </row>
    <row r="6519" spans="2:2" ht="15.9" customHeight="1" x14ac:dyDescent="0.3">
      <c r="B6519" s="37"/>
    </row>
    <row r="6520" spans="2:2" ht="15.9" customHeight="1" x14ac:dyDescent="0.3">
      <c r="B6520" s="37"/>
    </row>
    <row r="6521" spans="2:2" ht="15.9" customHeight="1" x14ac:dyDescent="0.3">
      <c r="B6521" s="37"/>
    </row>
    <row r="6522" spans="2:2" ht="15.9" customHeight="1" x14ac:dyDescent="0.3">
      <c r="B6522" s="37"/>
    </row>
    <row r="6523" spans="2:2" ht="15.9" customHeight="1" x14ac:dyDescent="0.3">
      <c r="B6523" s="37"/>
    </row>
    <row r="6524" spans="2:2" ht="15.9" customHeight="1" x14ac:dyDescent="0.3">
      <c r="B6524" s="37"/>
    </row>
    <row r="6525" spans="2:2" ht="15.9" customHeight="1" x14ac:dyDescent="0.3">
      <c r="B6525" s="37"/>
    </row>
    <row r="6526" spans="2:2" ht="15.9" customHeight="1" x14ac:dyDescent="0.3">
      <c r="B6526" s="37"/>
    </row>
    <row r="6527" spans="2:2" ht="15.9" customHeight="1" x14ac:dyDescent="0.3">
      <c r="B6527" s="37"/>
    </row>
    <row r="6528" spans="2:2" ht="15.9" customHeight="1" x14ac:dyDescent="0.3">
      <c r="B6528" s="37"/>
    </row>
    <row r="6529" spans="2:2" ht="15.9" customHeight="1" x14ac:dyDescent="0.3">
      <c r="B6529" s="37"/>
    </row>
    <row r="6530" spans="2:2" ht="15.9" customHeight="1" x14ac:dyDescent="0.3">
      <c r="B6530" s="37"/>
    </row>
    <row r="6531" spans="2:2" ht="15.9" customHeight="1" x14ac:dyDescent="0.3">
      <c r="B6531" s="37"/>
    </row>
    <row r="6532" spans="2:2" ht="15.9" customHeight="1" x14ac:dyDescent="0.3">
      <c r="B6532" s="37"/>
    </row>
    <row r="6533" spans="2:2" ht="15.9" customHeight="1" x14ac:dyDescent="0.3">
      <c r="B6533" s="37"/>
    </row>
    <row r="6534" spans="2:2" ht="15.9" customHeight="1" x14ac:dyDescent="0.3">
      <c r="B6534" s="37"/>
    </row>
    <row r="6535" spans="2:2" ht="15.9" customHeight="1" x14ac:dyDescent="0.3">
      <c r="B6535" s="37"/>
    </row>
    <row r="6536" spans="2:2" ht="15.9" customHeight="1" x14ac:dyDescent="0.3">
      <c r="B6536" s="37"/>
    </row>
    <row r="6537" spans="2:2" ht="15.9" customHeight="1" x14ac:dyDescent="0.3">
      <c r="B6537" s="37"/>
    </row>
    <row r="6538" spans="2:2" ht="15.9" customHeight="1" x14ac:dyDescent="0.3">
      <c r="B6538" s="37"/>
    </row>
    <row r="6539" spans="2:2" ht="15.9" customHeight="1" x14ac:dyDescent="0.3">
      <c r="B6539" s="37"/>
    </row>
    <row r="6540" spans="2:2" ht="15.9" customHeight="1" x14ac:dyDescent="0.3">
      <c r="B6540" s="37"/>
    </row>
    <row r="6541" spans="2:2" ht="15.9" customHeight="1" x14ac:dyDescent="0.3">
      <c r="B6541" s="37"/>
    </row>
    <row r="6542" spans="2:2" ht="15.9" customHeight="1" x14ac:dyDescent="0.3">
      <c r="B6542" s="37"/>
    </row>
    <row r="6543" spans="2:2" ht="15.9" customHeight="1" x14ac:dyDescent="0.3">
      <c r="B6543" s="37"/>
    </row>
    <row r="6544" spans="2:2" ht="15.9" customHeight="1" x14ac:dyDescent="0.3">
      <c r="B6544" s="37"/>
    </row>
    <row r="6545" spans="2:2" ht="15.9" customHeight="1" x14ac:dyDescent="0.3">
      <c r="B6545" s="37"/>
    </row>
    <row r="6546" spans="2:2" ht="15.9" customHeight="1" x14ac:dyDescent="0.3">
      <c r="B6546" s="37"/>
    </row>
    <row r="6547" spans="2:2" ht="15.9" customHeight="1" x14ac:dyDescent="0.3">
      <c r="B6547" s="37"/>
    </row>
    <row r="6548" spans="2:2" ht="15.9" customHeight="1" x14ac:dyDescent="0.3">
      <c r="B6548" s="37"/>
    </row>
    <row r="6549" spans="2:2" ht="15.9" customHeight="1" x14ac:dyDescent="0.3">
      <c r="B6549" s="37"/>
    </row>
    <row r="6550" spans="2:2" ht="15.9" customHeight="1" x14ac:dyDescent="0.3">
      <c r="B6550" s="37"/>
    </row>
    <row r="6551" spans="2:2" ht="15.9" customHeight="1" x14ac:dyDescent="0.3">
      <c r="B6551" s="37"/>
    </row>
    <row r="6552" spans="2:2" ht="15.9" customHeight="1" x14ac:dyDescent="0.3">
      <c r="B6552" s="37"/>
    </row>
    <row r="6553" spans="2:2" ht="15.9" customHeight="1" x14ac:dyDescent="0.3">
      <c r="B6553" s="37"/>
    </row>
    <row r="6554" spans="2:2" ht="15.9" customHeight="1" x14ac:dyDescent="0.3">
      <c r="B6554" s="37"/>
    </row>
    <row r="6555" spans="2:2" ht="15.9" customHeight="1" x14ac:dyDescent="0.3">
      <c r="B6555" s="37"/>
    </row>
    <row r="6556" spans="2:2" ht="15.9" customHeight="1" x14ac:dyDescent="0.3">
      <c r="B6556" s="37"/>
    </row>
    <row r="6557" spans="2:2" ht="15.9" customHeight="1" x14ac:dyDescent="0.3">
      <c r="B6557" s="37"/>
    </row>
    <row r="6558" spans="2:2" ht="15.9" customHeight="1" x14ac:dyDescent="0.3">
      <c r="B6558" s="37"/>
    </row>
    <row r="6559" spans="2:2" ht="15.9" customHeight="1" x14ac:dyDescent="0.3">
      <c r="B6559" s="37"/>
    </row>
    <row r="6560" spans="2:2" ht="15.9" customHeight="1" x14ac:dyDescent="0.3">
      <c r="B6560" s="37"/>
    </row>
    <row r="6561" spans="2:2" ht="15.9" customHeight="1" x14ac:dyDescent="0.3">
      <c r="B6561" s="37"/>
    </row>
    <row r="6562" spans="2:2" ht="15.9" customHeight="1" x14ac:dyDescent="0.3">
      <c r="B6562" s="37"/>
    </row>
    <row r="6563" spans="2:2" ht="15.9" customHeight="1" x14ac:dyDescent="0.3">
      <c r="B6563" s="37"/>
    </row>
    <row r="6564" spans="2:2" ht="15.9" customHeight="1" x14ac:dyDescent="0.3">
      <c r="B6564" s="37"/>
    </row>
    <row r="6565" spans="2:2" ht="15.9" customHeight="1" x14ac:dyDescent="0.3">
      <c r="B6565" s="37"/>
    </row>
    <row r="6566" spans="2:2" ht="15.9" customHeight="1" x14ac:dyDescent="0.3">
      <c r="B6566" s="37"/>
    </row>
    <row r="6567" spans="2:2" ht="15.9" customHeight="1" x14ac:dyDescent="0.3">
      <c r="B6567" s="37"/>
    </row>
    <row r="6568" spans="2:2" ht="15.9" customHeight="1" x14ac:dyDescent="0.3">
      <c r="B6568" s="37"/>
    </row>
    <row r="6569" spans="2:2" ht="15.9" customHeight="1" x14ac:dyDescent="0.3">
      <c r="B6569" s="37"/>
    </row>
    <row r="6570" spans="2:2" ht="15.9" customHeight="1" x14ac:dyDescent="0.3">
      <c r="B6570" s="37"/>
    </row>
    <row r="6571" spans="2:2" ht="15.9" customHeight="1" x14ac:dyDescent="0.3">
      <c r="B6571" s="37"/>
    </row>
    <row r="6572" spans="2:2" ht="15.9" customHeight="1" x14ac:dyDescent="0.3">
      <c r="B6572" s="37"/>
    </row>
    <row r="6573" spans="2:2" ht="15.9" customHeight="1" x14ac:dyDescent="0.3">
      <c r="B6573" s="37"/>
    </row>
    <row r="6574" spans="2:2" ht="15.9" customHeight="1" x14ac:dyDescent="0.3">
      <c r="B6574" s="37"/>
    </row>
    <row r="6575" spans="2:2" ht="15.9" customHeight="1" x14ac:dyDescent="0.3">
      <c r="B6575" s="37"/>
    </row>
    <row r="6576" spans="2:2" ht="15.9" customHeight="1" x14ac:dyDescent="0.3">
      <c r="B6576" s="37"/>
    </row>
    <row r="6577" spans="2:2" ht="15.9" customHeight="1" x14ac:dyDescent="0.3">
      <c r="B6577" s="37"/>
    </row>
    <row r="6578" spans="2:2" ht="15.9" customHeight="1" x14ac:dyDescent="0.3">
      <c r="B6578" s="37"/>
    </row>
    <row r="6579" spans="2:2" ht="15.9" customHeight="1" x14ac:dyDescent="0.3">
      <c r="B6579" s="37"/>
    </row>
    <row r="6580" spans="2:2" ht="15.9" customHeight="1" x14ac:dyDescent="0.3">
      <c r="B6580" s="37"/>
    </row>
    <row r="6581" spans="2:2" ht="15.9" customHeight="1" x14ac:dyDescent="0.3">
      <c r="B6581" s="37"/>
    </row>
    <row r="6582" spans="2:2" ht="15.9" customHeight="1" x14ac:dyDescent="0.3">
      <c r="B6582" s="37"/>
    </row>
    <row r="6583" spans="2:2" ht="15.9" customHeight="1" x14ac:dyDescent="0.3">
      <c r="B6583" s="37"/>
    </row>
    <row r="6584" spans="2:2" ht="15.9" customHeight="1" x14ac:dyDescent="0.3">
      <c r="B6584" s="37"/>
    </row>
    <row r="6585" spans="2:2" ht="15.9" customHeight="1" x14ac:dyDescent="0.3">
      <c r="B6585" s="37"/>
    </row>
    <row r="6586" spans="2:2" ht="15.9" customHeight="1" x14ac:dyDescent="0.3">
      <c r="B6586" s="37"/>
    </row>
    <row r="6587" spans="2:2" ht="15.9" customHeight="1" x14ac:dyDescent="0.3">
      <c r="B6587" s="37"/>
    </row>
    <row r="6588" spans="2:2" ht="15.9" customHeight="1" x14ac:dyDescent="0.3">
      <c r="B6588" s="37"/>
    </row>
    <row r="6589" spans="2:2" ht="15.9" customHeight="1" x14ac:dyDescent="0.3">
      <c r="B6589" s="37"/>
    </row>
    <row r="6590" spans="2:2" ht="15.9" customHeight="1" x14ac:dyDescent="0.3">
      <c r="B6590" s="37"/>
    </row>
    <row r="6591" spans="2:2" ht="15.9" customHeight="1" x14ac:dyDescent="0.3">
      <c r="B6591" s="37"/>
    </row>
    <row r="6592" spans="2:2" ht="15.9" customHeight="1" x14ac:dyDescent="0.3">
      <c r="B6592" s="37"/>
    </row>
    <row r="6593" spans="2:2" ht="15.9" customHeight="1" x14ac:dyDescent="0.3">
      <c r="B6593" s="37"/>
    </row>
    <row r="6594" spans="2:2" ht="15.9" customHeight="1" x14ac:dyDescent="0.3">
      <c r="B6594" s="37"/>
    </row>
    <row r="6595" spans="2:2" ht="15.9" customHeight="1" x14ac:dyDescent="0.3">
      <c r="B6595" s="37"/>
    </row>
    <row r="6596" spans="2:2" ht="15.9" customHeight="1" x14ac:dyDescent="0.3">
      <c r="B6596" s="37"/>
    </row>
    <row r="6597" spans="2:2" ht="15.9" customHeight="1" x14ac:dyDescent="0.3">
      <c r="B6597" s="37"/>
    </row>
    <row r="6598" spans="2:2" ht="15.9" customHeight="1" x14ac:dyDescent="0.3">
      <c r="B6598" s="37"/>
    </row>
    <row r="6599" spans="2:2" ht="15.9" customHeight="1" x14ac:dyDescent="0.3">
      <c r="B6599" s="37"/>
    </row>
    <row r="6600" spans="2:2" ht="15.9" customHeight="1" x14ac:dyDescent="0.3">
      <c r="B6600" s="37"/>
    </row>
    <row r="6601" spans="2:2" ht="15.9" customHeight="1" x14ac:dyDescent="0.3">
      <c r="B6601" s="37"/>
    </row>
    <row r="6602" spans="2:2" ht="15.9" customHeight="1" x14ac:dyDescent="0.3">
      <c r="B6602" s="37"/>
    </row>
    <row r="6603" spans="2:2" ht="15.9" customHeight="1" x14ac:dyDescent="0.3">
      <c r="B6603" s="37"/>
    </row>
    <row r="6604" spans="2:2" ht="15.9" customHeight="1" x14ac:dyDescent="0.3">
      <c r="B6604" s="37"/>
    </row>
    <row r="6605" spans="2:2" ht="15.9" customHeight="1" x14ac:dyDescent="0.3">
      <c r="B6605" s="37"/>
    </row>
    <row r="6606" spans="2:2" ht="15.9" customHeight="1" x14ac:dyDescent="0.3">
      <c r="B6606" s="37"/>
    </row>
    <row r="6607" spans="2:2" ht="15.9" customHeight="1" x14ac:dyDescent="0.3">
      <c r="B6607" s="37"/>
    </row>
    <row r="6608" spans="2:2" ht="15.9" customHeight="1" x14ac:dyDescent="0.3">
      <c r="B6608" s="37"/>
    </row>
    <row r="6609" spans="2:2" ht="15.9" customHeight="1" x14ac:dyDescent="0.3">
      <c r="B6609" s="37"/>
    </row>
    <row r="6610" spans="2:2" ht="15.9" customHeight="1" x14ac:dyDescent="0.3">
      <c r="B6610" s="37"/>
    </row>
    <row r="6611" spans="2:2" ht="15.9" customHeight="1" x14ac:dyDescent="0.3">
      <c r="B6611" s="37"/>
    </row>
    <row r="6612" spans="2:2" ht="15.9" customHeight="1" x14ac:dyDescent="0.3">
      <c r="B6612" s="37"/>
    </row>
    <row r="6613" spans="2:2" ht="15.9" customHeight="1" x14ac:dyDescent="0.3">
      <c r="B6613" s="37"/>
    </row>
    <row r="6614" spans="2:2" ht="15.9" customHeight="1" x14ac:dyDescent="0.3">
      <c r="B6614" s="37"/>
    </row>
    <row r="6615" spans="2:2" ht="15.9" customHeight="1" x14ac:dyDescent="0.3">
      <c r="B6615" s="37"/>
    </row>
    <row r="6616" spans="2:2" ht="15.9" customHeight="1" x14ac:dyDescent="0.3">
      <c r="B6616" s="37"/>
    </row>
    <row r="6617" spans="2:2" ht="15.9" customHeight="1" x14ac:dyDescent="0.3">
      <c r="B6617" s="37"/>
    </row>
    <row r="6618" spans="2:2" ht="15.9" customHeight="1" x14ac:dyDescent="0.3">
      <c r="B6618" s="37"/>
    </row>
    <row r="6619" spans="2:2" ht="15.9" customHeight="1" x14ac:dyDescent="0.3">
      <c r="B6619" s="37"/>
    </row>
    <row r="6620" spans="2:2" ht="15.9" customHeight="1" x14ac:dyDescent="0.3">
      <c r="B6620" s="37"/>
    </row>
    <row r="6621" spans="2:2" ht="15.9" customHeight="1" x14ac:dyDescent="0.3">
      <c r="B6621" s="37"/>
    </row>
    <row r="6622" spans="2:2" ht="15.9" customHeight="1" x14ac:dyDescent="0.3">
      <c r="B6622" s="37"/>
    </row>
    <row r="6623" spans="2:2" ht="15.9" customHeight="1" x14ac:dyDescent="0.3">
      <c r="B6623" s="37"/>
    </row>
    <row r="6624" spans="2:2" ht="15.9" customHeight="1" x14ac:dyDescent="0.3">
      <c r="B6624" s="37"/>
    </row>
    <row r="6625" spans="2:2" ht="15.9" customHeight="1" x14ac:dyDescent="0.3">
      <c r="B6625" s="37"/>
    </row>
    <row r="6626" spans="2:2" ht="15.9" customHeight="1" x14ac:dyDescent="0.3">
      <c r="B6626" s="37"/>
    </row>
    <row r="6627" spans="2:2" ht="15.9" customHeight="1" x14ac:dyDescent="0.3">
      <c r="B6627" s="37"/>
    </row>
    <row r="6628" spans="2:2" ht="15.9" customHeight="1" x14ac:dyDescent="0.3">
      <c r="B6628" s="37"/>
    </row>
    <row r="6629" spans="2:2" ht="15.9" customHeight="1" x14ac:dyDescent="0.3">
      <c r="B6629" s="37"/>
    </row>
    <row r="6630" spans="2:2" ht="15.9" customHeight="1" x14ac:dyDescent="0.3">
      <c r="B6630" s="37"/>
    </row>
    <row r="6631" spans="2:2" ht="15.9" customHeight="1" x14ac:dyDescent="0.3">
      <c r="B6631" s="37"/>
    </row>
    <row r="6632" spans="2:2" ht="15.9" customHeight="1" x14ac:dyDescent="0.3">
      <c r="B6632" s="37"/>
    </row>
    <row r="6633" spans="2:2" ht="15.9" customHeight="1" x14ac:dyDescent="0.3">
      <c r="B6633" s="37"/>
    </row>
    <row r="6634" spans="2:2" ht="15.9" customHeight="1" x14ac:dyDescent="0.3">
      <c r="B6634" s="37"/>
    </row>
    <row r="6635" spans="2:2" ht="15.9" customHeight="1" x14ac:dyDescent="0.3">
      <c r="B6635" s="37"/>
    </row>
    <row r="6636" spans="2:2" ht="15.9" customHeight="1" x14ac:dyDescent="0.3">
      <c r="B6636" s="37"/>
    </row>
    <row r="6637" spans="2:2" ht="15.9" customHeight="1" x14ac:dyDescent="0.3">
      <c r="B6637" s="37"/>
    </row>
    <row r="6638" spans="2:2" ht="15.9" customHeight="1" x14ac:dyDescent="0.3">
      <c r="B6638" s="37"/>
    </row>
    <row r="6639" spans="2:2" ht="15.9" customHeight="1" x14ac:dyDescent="0.3">
      <c r="B6639" s="37"/>
    </row>
    <row r="6640" spans="2:2" ht="15.9" customHeight="1" x14ac:dyDescent="0.3">
      <c r="B6640" s="37"/>
    </row>
    <row r="6641" spans="2:2" ht="15.9" customHeight="1" x14ac:dyDescent="0.3">
      <c r="B6641" s="37"/>
    </row>
    <row r="6642" spans="2:2" ht="15.9" customHeight="1" x14ac:dyDescent="0.3">
      <c r="B6642" s="37"/>
    </row>
    <row r="6643" spans="2:2" ht="15.9" customHeight="1" x14ac:dyDescent="0.3">
      <c r="B6643" s="37"/>
    </row>
    <row r="6644" spans="2:2" ht="15.9" customHeight="1" x14ac:dyDescent="0.3">
      <c r="B6644" s="37"/>
    </row>
    <row r="6645" spans="2:2" ht="15.9" customHeight="1" x14ac:dyDescent="0.3">
      <c r="B6645" s="37"/>
    </row>
    <row r="6646" spans="2:2" ht="15.9" customHeight="1" x14ac:dyDescent="0.3">
      <c r="B6646" s="37"/>
    </row>
    <row r="6647" spans="2:2" ht="15.9" customHeight="1" x14ac:dyDescent="0.3">
      <c r="B6647" s="37"/>
    </row>
    <row r="6648" spans="2:2" ht="15.9" customHeight="1" x14ac:dyDescent="0.3">
      <c r="B6648" s="37"/>
    </row>
    <row r="6649" spans="2:2" ht="15.9" customHeight="1" x14ac:dyDescent="0.3">
      <c r="B6649" s="37"/>
    </row>
    <row r="6650" spans="2:2" ht="15.9" customHeight="1" x14ac:dyDescent="0.3">
      <c r="B6650" s="37"/>
    </row>
    <row r="6651" spans="2:2" ht="15.9" customHeight="1" x14ac:dyDescent="0.3">
      <c r="B6651" s="37"/>
    </row>
    <row r="6652" spans="2:2" ht="15.9" customHeight="1" x14ac:dyDescent="0.3">
      <c r="B6652" s="37"/>
    </row>
    <row r="6653" spans="2:2" ht="15.9" customHeight="1" x14ac:dyDescent="0.3">
      <c r="B6653" s="37"/>
    </row>
    <row r="6654" spans="2:2" ht="15.9" customHeight="1" x14ac:dyDescent="0.3">
      <c r="B6654" s="37"/>
    </row>
    <row r="6655" spans="2:2" ht="15.9" customHeight="1" x14ac:dyDescent="0.3">
      <c r="B6655" s="37"/>
    </row>
    <row r="6656" spans="2:2" ht="15.9" customHeight="1" x14ac:dyDescent="0.3">
      <c r="B6656" s="37"/>
    </row>
    <row r="6657" spans="2:2" ht="15.9" customHeight="1" x14ac:dyDescent="0.3">
      <c r="B6657" s="37"/>
    </row>
    <row r="6658" spans="2:2" ht="15.9" customHeight="1" x14ac:dyDescent="0.3">
      <c r="B6658" s="37"/>
    </row>
    <row r="6659" spans="2:2" ht="15.9" customHeight="1" x14ac:dyDescent="0.3">
      <c r="B6659" s="37"/>
    </row>
    <row r="6660" spans="2:2" ht="15.9" customHeight="1" x14ac:dyDescent="0.3">
      <c r="B6660" s="37"/>
    </row>
    <row r="6661" spans="2:2" ht="15.9" customHeight="1" x14ac:dyDescent="0.3">
      <c r="B6661" s="37"/>
    </row>
    <row r="6662" spans="2:2" ht="15.9" customHeight="1" x14ac:dyDescent="0.3">
      <c r="B6662" s="37"/>
    </row>
    <row r="6663" spans="2:2" ht="15.9" customHeight="1" x14ac:dyDescent="0.3">
      <c r="B6663" s="37"/>
    </row>
    <row r="6664" spans="2:2" ht="15.9" customHeight="1" x14ac:dyDescent="0.3">
      <c r="B6664" s="37"/>
    </row>
    <row r="6665" spans="2:2" ht="15.9" customHeight="1" x14ac:dyDescent="0.3">
      <c r="B6665" s="37"/>
    </row>
    <row r="6666" spans="2:2" ht="15.9" customHeight="1" x14ac:dyDescent="0.3">
      <c r="B6666" s="37"/>
    </row>
    <row r="6667" spans="2:2" ht="15.9" customHeight="1" x14ac:dyDescent="0.3">
      <c r="B6667" s="37"/>
    </row>
    <row r="6668" spans="2:2" ht="15.9" customHeight="1" x14ac:dyDescent="0.3">
      <c r="B6668" s="37"/>
    </row>
    <row r="6669" spans="2:2" ht="15.9" customHeight="1" x14ac:dyDescent="0.3">
      <c r="B6669" s="37"/>
    </row>
    <row r="6670" spans="2:2" ht="15.9" customHeight="1" x14ac:dyDescent="0.3">
      <c r="B6670" s="37"/>
    </row>
    <row r="6671" spans="2:2" ht="15.9" customHeight="1" x14ac:dyDescent="0.3">
      <c r="B6671" s="37"/>
    </row>
    <row r="6672" spans="2:2" ht="15.9" customHeight="1" x14ac:dyDescent="0.3">
      <c r="B6672" s="37"/>
    </row>
    <row r="6673" spans="2:2" ht="15.9" customHeight="1" x14ac:dyDescent="0.3">
      <c r="B6673" s="37"/>
    </row>
    <row r="6674" spans="2:2" ht="15.9" customHeight="1" x14ac:dyDescent="0.3">
      <c r="B6674" s="37"/>
    </row>
    <row r="6675" spans="2:2" ht="15.9" customHeight="1" x14ac:dyDescent="0.3">
      <c r="B6675" s="37"/>
    </row>
    <row r="6676" spans="2:2" ht="15.9" customHeight="1" x14ac:dyDescent="0.3">
      <c r="B6676" s="37"/>
    </row>
    <row r="6677" spans="2:2" ht="15.9" customHeight="1" x14ac:dyDescent="0.3">
      <c r="B6677" s="37"/>
    </row>
    <row r="6678" spans="2:2" ht="15.9" customHeight="1" x14ac:dyDescent="0.3">
      <c r="B6678" s="37"/>
    </row>
    <row r="6679" spans="2:2" ht="15.9" customHeight="1" x14ac:dyDescent="0.3">
      <c r="B6679" s="37"/>
    </row>
    <row r="6680" spans="2:2" ht="15.9" customHeight="1" x14ac:dyDescent="0.3">
      <c r="B6680" s="37"/>
    </row>
    <row r="6681" spans="2:2" ht="15.9" customHeight="1" x14ac:dyDescent="0.3">
      <c r="B6681" s="37"/>
    </row>
    <row r="6682" spans="2:2" ht="15.9" customHeight="1" x14ac:dyDescent="0.3">
      <c r="B6682" s="37"/>
    </row>
    <row r="6683" spans="2:2" ht="15.9" customHeight="1" x14ac:dyDescent="0.3">
      <c r="B6683" s="37"/>
    </row>
    <row r="6684" spans="2:2" ht="15.9" customHeight="1" x14ac:dyDescent="0.3">
      <c r="B6684" s="37"/>
    </row>
    <row r="6685" spans="2:2" ht="15.9" customHeight="1" x14ac:dyDescent="0.3">
      <c r="B6685" s="37"/>
    </row>
    <row r="6686" spans="2:2" ht="15.9" customHeight="1" x14ac:dyDescent="0.3">
      <c r="B6686" s="37"/>
    </row>
    <row r="6687" spans="2:2" ht="15.9" customHeight="1" x14ac:dyDescent="0.3">
      <c r="B6687" s="37"/>
    </row>
    <row r="6688" spans="2:2" ht="15.9" customHeight="1" x14ac:dyDescent="0.3">
      <c r="B6688" s="37"/>
    </row>
    <row r="6689" spans="2:2" ht="15.9" customHeight="1" x14ac:dyDescent="0.3">
      <c r="B6689" s="37"/>
    </row>
    <row r="6690" spans="2:2" ht="15.9" customHeight="1" x14ac:dyDescent="0.3">
      <c r="B6690" s="37"/>
    </row>
    <row r="6691" spans="2:2" ht="15.9" customHeight="1" x14ac:dyDescent="0.3">
      <c r="B6691" s="37"/>
    </row>
    <row r="6692" spans="2:2" ht="15.9" customHeight="1" x14ac:dyDescent="0.3">
      <c r="B6692" s="37"/>
    </row>
    <row r="6693" spans="2:2" ht="15.9" customHeight="1" x14ac:dyDescent="0.3">
      <c r="B6693" s="37"/>
    </row>
    <row r="6694" spans="2:2" ht="15.9" customHeight="1" x14ac:dyDescent="0.3">
      <c r="B6694" s="37"/>
    </row>
    <row r="6695" spans="2:2" ht="15.9" customHeight="1" x14ac:dyDescent="0.3">
      <c r="B6695" s="37"/>
    </row>
    <row r="6696" spans="2:2" ht="15.9" customHeight="1" x14ac:dyDescent="0.3">
      <c r="B6696" s="37"/>
    </row>
    <row r="6697" spans="2:2" ht="15.9" customHeight="1" x14ac:dyDescent="0.3">
      <c r="B6697" s="37"/>
    </row>
    <row r="6698" spans="2:2" ht="15.9" customHeight="1" x14ac:dyDescent="0.3">
      <c r="B6698" s="37"/>
    </row>
    <row r="6699" spans="2:2" ht="15.9" customHeight="1" x14ac:dyDescent="0.3">
      <c r="B6699" s="37"/>
    </row>
    <row r="6700" spans="2:2" ht="15.9" customHeight="1" x14ac:dyDescent="0.3">
      <c r="B6700" s="37"/>
    </row>
    <row r="6701" spans="2:2" ht="15.9" customHeight="1" x14ac:dyDescent="0.3">
      <c r="B6701" s="37"/>
    </row>
    <row r="6702" spans="2:2" ht="15.9" customHeight="1" x14ac:dyDescent="0.3">
      <c r="B6702" s="37"/>
    </row>
    <row r="6703" spans="2:2" ht="15.9" customHeight="1" x14ac:dyDescent="0.3">
      <c r="B6703" s="37"/>
    </row>
    <row r="6704" spans="2:2" ht="15.9" customHeight="1" x14ac:dyDescent="0.3">
      <c r="B6704" s="37"/>
    </row>
    <row r="6705" spans="2:2" ht="15.9" customHeight="1" x14ac:dyDescent="0.3">
      <c r="B6705" s="37"/>
    </row>
    <row r="6706" spans="2:2" ht="15.9" customHeight="1" x14ac:dyDescent="0.3">
      <c r="B6706" s="37"/>
    </row>
    <row r="6707" spans="2:2" ht="15.9" customHeight="1" x14ac:dyDescent="0.3">
      <c r="B6707" s="37"/>
    </row>
    <row r="6708" spans="2:2" ht="15.9" customHeight="1" x14ac:dyDescent="0.3">
      <c r="B6708" s="37"/>
    </row>
    <row r="6709" spans="2:2" ht="15.9" customHeight="1" x14ac:dyDescent="0.3">
      <c r="B6709" s="37"/>
    </row>
    <row r="6710" spans="2:2" ht="15.9" customHeight="1" x14ac:dyDescent="0.3">
      <c r="B6710" s="37"/>
    </row>
    <row r="6711" spans="2:2" ht="15.9" customHeight="1" x14ac:dyDescent="0.3">
      <c r="B6711" s="37"/>
    </row>
    <row r="6712" spans="2:2" ht="15.9" customHeight="1" x14ac:dyDescent="0.3">
      <c r="B6712" s="37"/>
    </row>
    <row r="6713" spans="2:2" ht="15.9" customHeight="1" x14ac:dyDescent="0.3">
      <c r="B6713" s="37"/>
    </row>
    <row r="6714" spans="2:2" ht="15.9" customHeight="1" x14ac:dyDescent="0.3">
      <c r="B6714" s="37"/>
    </row>
    <row r="6715" spans="2:2" ht="15.9" customHeight="1" x14ac:dyDescent="0.3">
      <c r="B6715" s="37"/>
    </row>
    <row r="6716" spans="2:2" ht="15.9" customHeight="1" x14ac:dyDescent="0.3">
      <c r="B6716" s="37"/>
    </row>
    <row r="6717" spans="2:2" ht="15.9" customHeight="1" x14ac:dyDescent="0.3">
      <c r="B6717" s="37"/>
    </row>
    <row r="6718" spans="2:2" ht="15.9" customHeight="1" x14ac:dyDescent="0.3">
      <c r="B6718" s="37"/>
    </row>
    <row r="6719" spans="2:2" ht="15.9" customHeight="1" x14ac:dyDescent="0.3">
      <c r="B6719" s="37"/>
    </row>
    <row r="6720" spans="2:2" ht="15.9" customHeight="1" x14ac:dyDescent="0.3">
      <c r="B6720" s="37"/>
    </row>
    <row r="6721" spans="2:2" ht="15.9" customHeight="1" x14ac:dyDescent="0.3">
      <c r="B6721" s="37"/>
    </row>
    <row r="6722" spans="2:2" ht="15.9" customHeight="1" x14ac:dyDescent="0.3">
      <c r="B6722" s="37"/>
    </row>
    <row r="6723" spans="2:2" ht="15.9" customHeight="1" x14ac:dyDescent="0.3">
      <c r="B6723" s="37"/>
    </row>
    <row r="6724" spans="2:2" ht="15.9" customHeight="1" x14ac:dyDescent="0.3">
      <c r="B6724" s="37"/>
    </row>
    <row r="6725" spans="2:2" ht="15.9" customHeight="1" x14ac:dyDescent="0.3">
      <c r="B6725" s="37"/>
    </row>
    <row r="6726" spans="2:2" ht="15.9" customHeight="1" x14ac:dyDescent="0.3">
      <c r="B6726" s="37"/>
    </row>
    <row r="6727" spans="2:2" ht="15.9" customHeight="1" x14ac:dyDescent="0.3">
      <c r="B6727" s="37"/>
    </row>
    <row r="6728" spans="2:2" ht="15.9" customHeight="1" x14ac:dyDescent="0.3">
      <c r="B6728" s="37"/>
    </row>
    <row r="6729" spans="2:2" ht="15.9" customHeight="1" x14ac:dyDescent="0.3">
      <c r="B6729" s="37"/>
    </row>
    <row r="6730" spans="2:2" ht="15.9" customHeight="1" x14ac:dyDescent="0.3">
      <c r="B6730" s="37"/>
    </row>
    <row r="6731" spans="2:2" ht="15.9" customHeight="1" x14ac:dyDescent="0.3">
      <c r="B6731" s="37"/>
    </row>
    <row r="6732" spans="2:2" ht="15.9" customHeight="1" x14ac:dyDescent="0.3">
      <c r="B6732" s="37"/>
    </row>
    <row r="6733" spans="2:2" ht="15.9" customHeight="1" x14ac:dyDescent="0.3">
      <c r="B6733" s="37"/>
    </row>
    <row r="6734" spans="2:2" ht="15.9" customHeight="1" x14ac:dyDescent="0.3">
      <c r="B6734" s="37"/>
    </row>
    <row r="6735" spans="2:2" ht="15.9" customHeight="1" x14ac:dyDescent="0.3">
      <c r="B6735" s="37"/>
    </row>
    <row r="6736" spans="2:2" ht="15.9" customHeight="1" x14ac:dyDescent="0.3">
      <c r="B6736" s="37"/>
    </row>
    <row r="6737" spans="2:2" ht="15.9" customHeight="1" x14ac:dyDescent="0.3">
      <c r="B6737" s="37"/>
    </row>
    <row r="6738" spans="2:2" ht="15.9" customHeight="1" x14ac:dyDescent="0.3">
      <c r="B6738" s="37"/>
    </row>
    <row r="6739" spans="2:2" ht="15.9" customHeight="1" x14ac:dyDescent="0.3">
      <c r="B6739" s="37"/>
    </row>
    <row r="6740" spans="2:2" ht="15.9" customHeight="1" x14ac:dyDescent="0.3">
      <c r="B6740" s="37"/>
    </row>
    <row r="6741" spans="2:2" ht="15.9" customHeight="1" x14ac:dyDescent="0.3">
      <c r="B6741" s="37"/>
    </row>
    <row r="6742" spans="2:2" ht="15.9" customHeight="1" x14ac:dyDescent="0.3">
      <c r="B6742" s="37"/>
    </row>
    <row r="6743" spans="2:2" ht="15.9" customHeight="1" x14ac:dyDescent="0.3">
      <c r="B6743" s="37"/>
    </row>
    <row r="6744" spans="2:2" ht="15.9" customHeight="1" x14ac:dyDescent="0.3">
      <c r="B6744" s="37"/>
    </row>
    <row r="6745" spans="2:2" ht="15.9" customHeight="1" x14ac:dyDescent="0.3">
      <c r="B6745" s="37"/>
    </row>
    <row r="6746" spans="2:2" ht="15.9" customHeight="1" x14ac:dyDescent="0.3">
      <c r="B6746" s="37"/>
    </row>
    <row r="6747" spans="2:2" ht="15.9" customHeight="1" x14ac:dyDescent="0.3">
      <c r="B6747" s="37"/>
    </row>
    <row r="6748" spans="2:2" ht="15.9" customHeight="1" x14ac:dyDescent="0.3">
      <c r="B6748" s="37"/>
    </row>
    <row r="6749" spans="2:2" ht="15.9" customHeight="1" x14ac:dyDescent="0.3">
      <c r="B6749" s="37"/>
    </row>
    <row r="6750" spans="2:2" ht="15.9" customHeight="1" x14ac:dyDescent="0.3">
      <c r="B6750" s="37"/>
    </row>
    <row r="6751" spans="2:2" ht="15.9" customHeight="1" x14ac:dyDescent="0.3">
      <c r="B6751" s="37"/>
    </row>
    <row r="6752" spans="2:2" ht="15.9" customHeight="1" x14ac:dyDescent="0.3">
      <c r="B6752" s="37"/>
    </row>
    <row r="6753" spans="2:2" ht="15.9" customHeight="1" x14ac:dyDescent="0.3">
      <c r="B6753" s="37"/>
    </row>
    <row r="6754" spans="2:2" ht="15.9" customHeight="1" x14ac:dyDescent="0.3">
      <c r="B6754" s="37"/>
    </row>
    <row r="6755" spans="2:2" ht="15.9" customHeight="1" x14ac:dyDescent="0.3">
      <c r="B6755" s="37"/>
    </row>
    <row r="6756" spans="2:2" ht="15.9" customHeight="1" x14ac:dyDescent="0.3">
      <c r="B6756" s="37"/>
    </row>
    <row r="6757" spans="2:2" ht="15.9" customHeight="1" x14ac:dyDescent="0.3">
      <c r="B6757" s="37"/>
    </row>
    <row r="6758" spans="2:2" ht="15.9" customHeight="1" x14ac:dyDescent="0.3">
      <c r="B6758" s="37"/>
    </row>
    <row r="6759" spans="2:2" ht="15.9" customHeight="1" x14ac:dyDescent="0.3">
      <c r="B6759" s="37"/>
    </row>
    <row r="6760" spans="2:2" ht="15.9" customHeight="1" x14ac:dyDescent="0.3">
      <c r="B6760" s="37"/>
    </row>
    <row r="6761" spans="2:2" ht="15.9" customHeight="1" x14ac:dyDescent="0.3">
      <c r="B6761" s="37"/>
    </row>
    <row r="6762" spans="2:2" ht="15.9" customHeight="1" x14ac:dyDescent="0.3">
      <c r="B6762" s="37"/>
    </row>
    <row r="6763" spans="2:2" ht="15.9" customHeight="1" x14ac:dyDescent="0.3">
      <c r="B6763" s="37"/>
    </row>
    <row r="6764" spans="2:2" ht="15.9" customHeight="1" x14ac:dyDescent="0.3">
      <c r="B6764" s="37"/>
    </row>
    <row r="6765" spans="2:2" ht="15.9" customHeight="1" x14ac:dyDescent="0.3">
      <c r="B6765" s="37"/>
    </row>
    <row r="6766" spans="2:2" ht="15.9" customHeight="1" x14ac:dyDescent="0.3">
      <c r="B6766" s="37"/>
    </row>
    <row r="6767" spans="2:2" ht="15.9" customHeight="1" x14ac:dyDescent="0.3">
      <c r="B6767" s="37"/>
    </row>
    <row r="6768" spans="2:2" ht="15.9" customHeight="1" x14ac:dyDescent="0.3">
      <c r="B6768" s="37"/>
    </row>
    <row r="6769" spans="2:2" ht="15.9" customHeight="1" x14ac:dyDescent="0.3">
      <c r="B6769" s="37"/>
    </row>
    <row r="6770" spans="2:2" ht="15.9" customHeight="1" x14ac:dyDescent="0.3">
      <c r="B6770" s="37"/>
    </row>
    <row r="6771" spans="2:2" ht="15.9" customHeight="1" x14ac:dyDescent="0.3">
      <c r="B6771" s="37"/>
    </row>
    <row r="6772" spans="2:2" ht="15.9" customHeight="1" x14ac:dyDescent="0.3">
      <c r="B6772" s="37"/>
    </row>
    <row r="6773" spans="2:2" ht="15.9" customHeight="1" x14ac:dyDescent="0.3">
      <c r="B6773" s="37"/>
    </row>
    <row r="6774" spans="2:2" ht="15.9" customHeight="1" x14ac:dyDescent="0.3">
      <c r="B6774" s="37"/>
    </row>
    <row r="6775" spans="2:2" ht="15.9" customHeight="1" x14ac:dyDescent="0.3">
      <c r="B6775" s="37"/>
    </row>
    <row r="6776" spans="2:2" ht="15.9" customHeight="1" x14ac:dyDescent="0.3">
      <c r="B6776" s="37"/>
    </row>
    <row r="6777" spans="2:2" ht="15.9" customHeight="1" x14ac:dyDescent="0.3">
      <c r="B6777" s="37"/>
    </row>
    <row r="6778" spans="2:2" ht="15.9" customHeight="1" x14ac:dyDescent="0.3">
      <c r="B6778" s="37"/>
    </row>
    <row r="6779" spans="2:2" ht="15.9" customHeight="1" x14ac:dyDescent="0.3">
      <c r="B6779" s="37"/>
    </row>
    <row r="6780" spans="2:2" ht="15.9" customHeight="1" x14ac:dyDescent="0.3">
      <c r="B6780" s="37"/>
    </row>
    <row r="6781" spans="2:2" ht="15.9" customHeight="1" x14ac:dyDescent="0.3">
      <c r="B6781" s="37"/>
    </row>
    <row r="6782" spans="2:2" ht="15.9" customHeight="1" x14ac:dyDescent="0.3">
      <c r="B6782" s="37"/>
    </row>
    <row r="6783" spans="2:2" ht="15.9" customHeight="1" x14ac:dyDescent="0.3">
      <c r="B6783" s="37"/>
    </row>
    <row r="6784" spans="2:2" ht="15.9" customHeight="1" x14ac:dyDescent="0.3">
      <c r="B6784" s="37"/>
    </row>
    <row r="6785" spans="2:2" ht="15.9" customHeight="1" x14ac:dyDescent="0.3">
      <c r="B6785" s="37"/>
    </row>
    <row r="6786" spans="2:2" ht="15.9" customHeight="1" x14ac:dyDescent="0.3">
      <c r="B6786" s="37"/>
    </row>
    <row r="6787" spans="2:2" ht="15.9" customHeight="1" x14ac:dyDescent="0.3">
      <c r="B6787" s="37"/>
    </row>
    <row r="6788" spans="2:2" ht="15.9" customHeight="1" x14ac:dyDescent="0.3">
      <c r="B6788" s="37"/>
    </row>
    <row r="6789" spans="2:2" ht="15.9" customHeight="1" x14ac:dyDescent="0.3">
      <c r="B6789" s="37"/>
    </row>
    <row r="6790" spans="2:2" ht="15.9" customHeight="1" x14ac:dyDescent="0.3">
      <c r="B6790" s="37"/>
    </row>
    <row r="6791" spans="2:2" ht="15.9" customHeight="1" x14ac:dyDescent="0.3">
      <c r="B6791" s="37"/>
    </row>
    <row r="6792" spans="2:2" ht="15.9" customHeight="1" x14ac:dyDescent="0.3">
      <c r="B6792" s="37"/>
    </row>
    <row r="6793" spans="2:2" ht="15.9" customHeight="1" x14ac:dyDescent="0.3">
      <c r="B6793" s="37"/>
    </row>
    <row r="6794" spans="2:2" ht="15.9" customHeight="1" x14ac:dyDescent="0.3">
      <c r="B6794" s="37"/>
    </row>
    <row r="6795" spans="2:2" ht="15.9" customHeight="1" x14ac:dyDescent="0.3">
      <c r="B6795" s="37"/>
    </row>
    <row r="6796" spans="2:2" ht="15.9" customHeight="1" x14ac:dyDescent="0.3">
      <c r="B6796" s="37"/>
    </row>
    <row r="6797" spans="2:2" ht="15.9" customHeight="1" x14ac:dyDescent="0.3">
      <c r="B6797" s="37"/>
    </row>
    <row r="6798" spans="2:2" ht="15.9" customHeight="1" x14ac:dyDescent="0.3">
      <c r="B6798" s="37"/>
    </row>
    <row r="6799" spans="2:2" ht="15.9" customHeight="1" x14ac:dyDescent="0.3">
      <c r="B6799" s="37"/>
    </row>
    <row r="6800" spans="2:2" ht="15.9" customHeight="1" x14ac:dyDescent="0.3">
      <c r="B6800" s="37"/>
    </row>
    <row r="6801" spans="2:2" ht="15.9" customHeight="1" x14ac:dyDescent="0.3">
      <c r="B6801" s="37"/>
    </row>
    <row r="6802" spans="2:2" ht="15.9" customHeight="1" x14ac:dyDescent="0.3">
      <c r="B6802" s="37"/>
    </row>
    <row r="6803" spans="2:2" ht="15.9" customHeight="1" x14ac:dyDescent="0.3">
      <c r="B6803" s="37"/>
    </row>
    <row r="6804" spans="2:2" ht="15.9" customHeight="1" x14ac:dyDescent="0.3">
      <c r="B6804" s="37"/>
    </row>
    <row r="6805" spans="2:2" ht="15.9" customHeight="1" x14ac:dyDescent="0.3">
      <c r="B6805" s="37"/>
    </row>
    <row r="6806" spans="2:2" ht="15.9" customHeight="1" x14ac:dyDescent="0.3">
      <c r="B6806" s="37"/>
    </row>
    <row r="6807" spans="2:2" ht="15.9" customHeight="1" x14ac:dyDescent="0.3">
      <c r="B6807" s="37"/>
    </row>
    <row r="6808" spans="2:2" ht="15.9" customHeight="1" x14ac:dyDescent="0.3">
      <c r="B6808" s="37"/>
    </row>
    <row r="6809" spans="2:2" ht="15.9" customHeight="1" x14ac:dyDescent="0.3">
      <c r="B6809" s="37"/>
    </row>
    <row r="6810" spans="2:2" ht="15.9" customHeight="1" x14ac:dyDescent="0.3">
      <c r="B6810" s="37"/>
    </row>
    <row r="6811" spans="2:2" ht="15.9" customHeight="1" x14ac:dyDescent="0.3">
      <c r="B6811" s="37"/>
    </row>
    <row r="6812" spans="2:2" ht="15.9" customHeight="1" x14ac:dyDescent="0.3">
      <c r="B6812" s="37"/>
    </row>
    <row r="6813" spans="2:2" ht="15.9" customHeight="1" x14ac:dyDescent="0.3">
      <c r="B6813" s="37"/>
    </row>
    <row r="6814" spans="2:2" ht="15.9" customHeight="1" x14ac:dyDescent="0.3">
      <c r="B6814" s="37"/>
    </row>
    <row r="6815" spans="2:2" ht="15.9" customHeight="1" x14ac:dyDescent="0.3">
      <c r="B6815" s="37"/>
    </row>
    <row r="6816" spans="2:2" ht="15.9" customHeight="1" x14ac:dyDescent="0.3">
      <c r="B6816" s="37"/>
    </row>
    <row r="6817" spans="2:2" ht="15.9" customHeight="1" x14ac:dyDescent="0.3">
      <c r="B6817" s="37"/>
    </row>
    <row r="6818" spans="2:2" ht="15.9" customHeight="1" x14ac:dyDescent="0.3">
      <c r="B6818" s="37"/>
    </row>
    <row r="6819" spans="2:2" ht="15.9" customHeight="1" x14ac:dyDescent="0.3">
      <c r="B6819" s="37"/>
    </row>
    <row r="6820" spans="2:2" ht="15.9" customHeight="1" x14ac:dyDescent="0.3">
      <c r="B6820" s="37"/>
    </row>
    <row r="6821" spans="2:2" ht="15.9" customHeight="1" x14ac:dyDescent="0.3">
      <c r="B6821" s="37"/>
    </row>
    <row r="6822" spans="2:2" ht="15.9" customHeight="1" x14ac:dyDescent="0.3">
      <c r="B6822" s="37"/>
    </row>
    <row r="6823" spans="2:2" ht="15.9" customHeight="1" x14ac:dyDescent="0.3">
      <c r="B6823" s="37"/>
    </row>
    <row r="6824" spans="2:2" ht="15.9" customHeight="1" x14ac:dyDescent="0.3">
      <c r="B6824" s="37"/>
    </row>
    <row r="6825" spans="2:2" ht="15.9" customHeight="1" x14ac:dyDescent="0.3">
      <c r="B6825" s="37"/>
    </row>
    <row r="6826" spans="2:2" ht="15.9" customHeight="1" x14ac:dyDescent="0.3">
      <c r="B6826" s="37"/>
    </row>
    <row r="6827" spans="2:2" ht="15.9" customHeight="1" x14ac:dyDescent="0.3">
      <c r="B6827" s="37"/>
    </row>
    <row r="6828" spans="2:2" ht="15.9" customHeight="1" x14ac:dyDescent="0.3">
      <c r="B6828" s="37"/>
    </row>
    <row r="6829" spans="2:2" ht="15.9" customHeight="1" x14ac:dyDescent="0.3">
      <c r="B6829" s="37"/>
    </row>
    <row r="6830" spans="2:2" ht="15.9" customHeight="1" x14ac:dyDescent="0.3">
      <c r="B6830" s="37"/>
    </row>
    <row r="6831" spans="2:2" ht="15.9" customHeight="1" x14ac:dyDescent="0.3">
      <c r="B6831" s="37"/>
    </row>
    <row r="6832" spans="2:2" ht="15.9" customHeight="1" x14ac:dyDescent="0.3">
      <c r="B6832" s="37"/>
    </row>
    <row r="6833" spans="2:2" ht="15.9" customHeight="1" x14ac:dyDescent="0.3">
      <c r="B6833" s="37"/>
    </row>
    <row r="6834" spans="2:2" ht="15.9" customHeight="1" x14ac:dyDescent="0.3">
      <c r="B6834" s="37"/>
    </row>
    <row r="6835" spans="2:2" ht="15.9" customHeight="1" x14ac:dyDescent="0.3">
      <c r="B6835" s="37"/>
    </row>
    <row r="6836" spans="2:2" ht="15.9" customHeight="1" x14ac:dyDescent="0.3">
      <c r="B6836" s="37"/>
    </row>
    <row r="6837" spans="2:2" ht="15.9" customHeight="1" x14ac:dyDescent="0.3">
      <c r="B6837" s="37"/>
    </row>
    <row r="6838" spans="2:2" ht="15.9" customHeight="1" x14ac:dyDescent="0.3">
      <c r="B6838" s="37"/>
    </row>
    <row r="6839" spans="2:2" ht="15.9" customHeight="1" x14ac:dyDescent="0.3">
      <c r="B6839" s="37"/>
    </row>
    <row r="6840" spans="2:2" ht="15.9" customHeight="1" x14ac:dyDescent="0.3">
      <c r="B6840" s="37"/>
    </row>
    <row r="6841" spans="2:2" ht="15.9" customHeight="1" x14ac:dyDescent="0.3">
      <c r="B6841" s="37"/>
    </row>
    <row r="6842" spans="2:2" ht="15.9" customHeight="1" x14ac:dyDescent="0.3">
      <c r="B6842" s="37"/>
    </row>
    <row r="6843" spans="2:2" ht="15.9" customHeight="1" x14ac:dyDescent="0.3">
      <c r="B6843" s="37"/>
    </row>
    <row r="6844" spans="2:2" ht="15.9" customHeight="1" x14ac:dyDescent="0.3">
      <c r="B6844" s="37"/>
    </row>
    <row r="6845" spans="2:2" ht="15.9" customHeight="1" x14ac:dyDescent="0.3">
      <c r="B6845" s="37"/>
    </row>
    <row r="6846" spans="2:2" ht="15.9" customHeight="1" x14ac:dyDescent="0.3">
      <c r="B6846" s="37"/>
    </row>
    <row r="6847" spans="2:2" ht="15.9" customHeight="1" x14ac:dyDescent="0.3">
      <c r="B6847" s="37"/>
    </row>
    <row r="6848" spans="2:2" ht="15.9" customHeight="1" x14ac:dyDescent="0.3">
      <c r="B6848" s="37"/>
    </row>
    <row r="6849" spans="2:2" ht="15.9" customHeight="1" x14ac:dyDescent="0.3">
      <c r="B6849" s="37"/>
    </row>
    <row r="6850" spans="2:2" ht="15.9" customHeight="1" x14ac:dyDescent="0.3">
      <c r="B6850" s="37"/>
    </row>
    <row r="6851" spans="2:2" ht="15.9" customHeight="1" x14ac:dyDescent="0.3">
      <c r="B6851" s="37"/>
    </row>
    <row r="6852" spans="2:2" ht="15.9" customHeight="1" x14ac:dyDescent="0.3">
      <c r="B6852" s="37"/>
    </row>
    <row r="6853" spans="2:2" ht="15.9" customHeight="1" x14ac:dyDescent="0.3">
      <c r="B6853" s="37"/>
    </row>
    <row r="6854" spans="2:2" ht="15.9" customHeight="1" x14ac:dyDescent="0.3">
      <c r="B6854" s="37"/>
    </row>
    <row r="6855" spans="2:2" ht="15.9" customHeight="1" x14ac:dyDescent="0.3">
      <c r="B6855" s="37"/>
    </row>
    <row r="6856" spans="2:2" ht="15.9" customHeight="1" x14ac:dyDescent="0.3">
      <c r="B6856" s="37"/>
    </row>
    <row r="6857" spans="2:2" ht="15.9" customHeight="1" x14ac:dyDescent="0.3">
      <c r="B6857" s="37"/>
    </row>
    <row r="6858" spans="2:2" ht="15.9" customHeight="1" x14ac:dyDescent="0.3">
      <c r="B6858" s="37"/>
    </row>
    <row r="6859" spans="2:2" ht="15.9" customHeight="1" x14ac:dyDescent="0.3">
      <c r="B6859" s="37"/>
    </row>
    <row r="6860" spans="2:2" ht="15.9" customHeight="1" x14ac:dyDescent="0.3">
      <c r="B6860" s="37"/>
    </row>
    <row r="6861" spans="2:2" ht="15.9" customHeight="1" x14ac:dyDescent="0.3">
      <c r="B6861" s="37"/>
    </row>
    <row r="6862" spans="2:2" ht="15.9" customHeight="1" x14ac:dyDescent="0.3">
      <c r="B6862" s="37"/>
    </row>
    <row r="6863" spans="2:2" ht="15.9" customHeight="1" x14ac:dyDescent="0.3">
      <c r="B6863" s="37"/>
    </row>
    <row r="6864" spans="2:2" ht="15.9" customHeight="1" x14ac:dyDescent="0.3">
      <c r="B6864" s="37"/>
    </row>
    <row r="6865" spans="2:2" ht="15.9" customHeight="1" x14ac:dyDescent="0.3">
      <c r="B6865" s="37"/>
    </row>
    <row r="6866" spans="2:2" ht="15.9" customHeight="1" x14ac:dyDescent="0.3">
      <c r="B6866" s="37"/>
    </row>
    <row r="6867" spans="2:2" ht="15.9" customHeight="1" x14ac:dyDescent="0.3">
      <c r="B6867" s="37"/>
    </row>
    <row r="6868" spans="2:2" ht="15.9" customHeight="1" x14ac:dyDescent="0.3">
      <c r="B6868" s="37"/>
    </row>
    <row r="6869" spans="2:2" ht="15.9" customHeight="1" x14ac:dyDescent="0.3">
      <c r="B6869" s="37"/>
    </row>
    <row r="6870" spans="2:2" ht="15.9" customHeight="1" x14ac:dyDescent="0.3">
      <c r="B6870" s="37"/>
    </row>
    <row r="6871" spans="2:2" ht="15.9" customHeight="1" x14ac:dyDescent="0.3">
      <c r="B6871" s="37"/>
    </row>
    <row r="6872" spans="2:2" ht="15.9" customHeight="1" x14ac:dyDescent="0.3">
      <c r="B6872" s="37"/>
    </row>
    <row r="6873" spans="2:2" ht="15.9" customHeight="1" x14ac:dyDescent="0.3">
      <c r="B6873" s="37"/>
    </row>
    <row r="6874" spans="2:2" ht="15.9" customHeight="1" x14ac:dyDescent="0.3">
      <c r="B6874" s="37"/>
    </row>
    <row r="6875" spans="2:2" ht="15.9" customHeight="1" x14ac:dyDescent="0.3">
      <c r="B6875" s="37"/>
    </row>
    <row r="6876" spans="2:2" ht="15.9" customHeight="1" x14ac:dyDescent="0.3">
      <c r="B6876" s="37"/>
    </row>
    <row r="6877" spans="2:2" ht="15.9" customHeight="1" x14ac:dyDescent="0.3">
      <c r="B6877" s="37"/>
    </row>
    <row r="6878" spans="2:2" ht="15.9" customHeight="1" x14ac:dyDescent="0.3">
      <c r="B6878" s="37"/>
    </row>
    <row r="6879" spans="2:2" ht="15.9" customHeight="1" x14ac:dyDescent="0.3">
      <c r="B6879" s="37"/>
    </row>
    <row r="6880" spans="2:2" ht="15.9" customHeight="1" x14ac:dyDescent="0.3">
      <c r="B6880" s="37"/>
    </row>
    <row r="6881" spans="2:2" ht="15.9" customHeight="1" x14ac:dyDescent="0.3">
      <c r="B6881" s="37"/>
    </row>
    <row r="6882" spans="2:2" ht="15.9" customHeight="1" x14ac:dyDescent="0.3">
      <c r="B6882" s="37"/>
    </row>
    <row r="6883" spans="2:2" ht="15.9" customHeight="1" x14ac:dyDescent="0.3">
      <c r="B6883" s="37"/>
    </row>
    <row r="6884" spans="2:2" ht="15.9" customHeight="1" x14ac:dyDescent="0.3">
      <c r="B6884" s="37"/>
    </row>
    <row r="6885" spans="2:2" ht="15.9" customHeight="1" x14ac:dyDescent="0.3">
      <c r="B6885" s="37"/>
    </row>
    <row r="6886" spans="2:2" ht="15.9" customHeight="1" x14ac:dyDescent="0.3">
      <c r="B6886" s="37"/>
    </row>
    <row r="6887" spans="2:2" ht="15.9" customHeight="1" x14ac:dyDescent="0.3">
      <c r="B6887" s="37"/>
    </row>
    <row r="6888" spans="2:2" ht="15.9" customHeight="1" x14ac:dyDescent="0.3">
      <c r="B6888" s="37"/>
    </row>
    <row r="6889" spans="2:2" ht="15.9" customHeight="1" x14ac:dyDescent="0.3">
      <c r="B6889" s="37"/>
    </row>
    <row r="6890" spans="2:2" ht="15.9" customHeight="1" x14ac:dyDescent="0.3">
      <c r="B6890" s="37"/>
    </row>
    <row r="6891" spans="2:2" ht="15.9" customHeight="1" x14ac:dyDescent="0.3">
      <c r="B6891" s="37"/>
    </row>
    <row r="6892" spans="2:2" ht="15.9" customHeight="1" x14ac:dyDescent="0.3">
      <c r="B6892" s="37"/>
    </row>
    <row r="6893" spans="2:2" ht="15.9" customHeight="1" x14ac:dyDescent="0.3">
      <c r="B6893" s="37"/>
    </row>
    <row r="6894" spans="2:2" ht="15.9" customHeight="1" x14ac:dyDescent="0.3">
      <c r="B6894" s="37"/>
    </row>
    <row r="6895" spans="2:2" ht="15.9" customHeight="1" x14ac:dyDescent="0.3">
      <c r="B6895" s="37"/>
    </row>
    <row r="6896" spans="2:2" ht="15.9" customHeight="1" x14ac:dyDescent="0.3">
      <c r="B6896" s="37"/>
    </row>
    <row r="6897" spans="2:2" ht="15.9" customHeight="1" x14ac:dyDescent="0.3">
      <c r="B6897" s="37"/>
    </row>
    <row r="6898" spans="2:2" ht="15.9" customHeight="1" x14ac:dyDescent="0.3">
      <c r="B6898" s="37"/>
    </row>
    <row r="6899" spans="2:2" ht="15.9" customHeight="1" x14ac:dyDescent="0.3">
      <c r="B6899" s="37"/>
    </row>
    <row r="6900" spans="2:2" ht="15.9" customHeight="1" x14ac:dyDescent="0.3">
      <c r="B6900" s="37"/>
    </row>
    <row r="6901" spans="2:2" ht="15.9" customHeight="1" x14ac:dyDescent="0.3">
      <c r="B6901" s="37"/>
    </row>
    <row r="6902" spans="2:2" ht="15.9" customHeight="1" x14ac:dyDescent="0.3">
      <c r="B6902" s="37"/>
    </row>
    <row r="6903" spans="2:2" ht="15.9" customHeight="1" x14ac:dyDescent="0.3">
      <c r="B6903" s="37"/>
    </row>
    <row r="6904" spans="2:2" ht="15.9" customHeight="1" x14ac:dyDescent="0.3">
      <c r="B6904" s="37"/>
    </row>
    <row r="6905" spans="2:2" ht="15.9" customHeight="1" x14ac:dyDescent="0.3">
      <c r="B6905" s="37"/>
    </row>
    <row r="6906" spans="2:2" ht="15.9" customHeight="1" x14ac:dyDescent="0.3">
      <c r="B6906" s="37"/>
    </row>
    <row r="6907" spans="2:2" ht="15.9" customHeight="1" x14ac:dyDescent="0.3">
      <c r="B6907" s="37"/>
    </row>
    <row r="6908" spans="2:2" ht="15.9" customHeight="1" x14ac:dyDescent="0.3">
      <c r="B6908" s="37"/>
    </row>
    <row r="6909" spans="2:2" ht="15.9" customHeight="1" x14ac:dyDescent="0.3">
      <c r="B6909" s="37"/>
    </row>
    <row r="6910" spans="2:2" ht="15.9" customHeight="1" x14ac:dyDescent="0.3">
      <c r="B6910" s="37"/>
    </row>
    <row r="6911" spans="2:2" ht="15.9" customHeight="1" x14ac:dyDescent="0.3">
      <c r="B6911" s="37"/>
    </row>
    <row r="6912" spans="2:2" ht="15.9" customHeight="1" x14ac:dyDescent="0.3">
      <c r="B6912" s="37"/>
    </row>
    <row r="6913" spans="2:2" ht="15.9" customHeight="1" x14ac:dyDescent="0.3">
      <c r="B6913" s="37"/>
    </row>
    <row r="6914" spans="2:2" ht="15.9" customHeight="1" x14ac:dyDescent="0.3">
      <c r="B6914" s="37"/>
    </row>
    <row r="6915" spans="2:2" ht="15.9" customHeight="1" x14ac:dyDescent="0.3">
      <c r="B6915" s="37"/>
    </row>
    <row r="6916" spans="2:2" ht="15.9" customHeight="1" x14ac:dyDescent="0.3">
      <c r="B6916" s="37"/>
    </row>
    <row r="6917" spans="2:2" ht="15.9" customHeight="1" x14ac:dyDescent="0.3">
      <c r="B6917" s="37"/>
    </row>
    <row r="6918" spans="2:2" ht="15.9" customHeight="1" x14ac:dyDescent="0.3">
      <c r="B6918" s="37"/>
    </row>
    <row r="6919" spans="2:2" ht="15.9" customHeight="1" x14ac:dyDescent="0.3">
      <c r="B6919" s="37"/>
    </row>
    <row r="6920" spans="2:2" ht="15.9" customHeight="1" x14ac:dyDescent="0.3">
      <c r="B6920" s="37"/>
    </row>
    <row r="6921" spans="2:2" ht="15.9" customHeight="1" x14ac:dyDescent="0.3">
      <c r="B6921" s="37"/>
    </row>
    <row r="6922" spans="2:2" ht="15.9" customHeight="1" x14ac:dyDescent="0.3">
      <c r="B6922" s="37"/>
    </row>
    <row r="6923" spans="2:2" ht="15.9" customHeight="1" x14ac:dyDescent="0.3">
      <c r="B6923" s="37"/>
    </row>
    <row r="6924" spans="2:2" ht="15.9" customHeight="1" x14ac:dyDescent="0.3">
      <c r="B6924" s="37"/>
    </row>
    <row r="6925" spans="2:2" ht="15.9" customHeight="1" x14ac:dyDescent="0.3">
      <c r="B6925" s="37"/>
    </row>
    <row r="6926" spans="2:2" ht="15.9" customHeight="1" x14ac:dyDescent="0.3">
      <c r="B6926" s="37"/>
    </row>
    <row r="6927" spans="2:2" ht="15.9" customHeight="1" x14ac:dyDescent="0.3">
      <c r="B6927" s="37"/>
    </row>
    <row r="6928" spans="2:2" ht="15.9" customHeight="1" x14ac:dyDescent="0.3">
      <c r="B6928" s="37"/>
    </row>
    <row r="6929" spans="2:2" ht="15.9" customHeight="1" x14ac:dyDescent="0.3">
      <c r="B6929" s="37"/>
    </row>
    <row r="6930" spans="2:2" ht="15.9" customHeight="1" x14ac:dyDescent="0.3">
      <c r="B6930" s="37"/>
    </row>
    <row r="6931" spans="2:2" ht="15.9" customHeight="1" x14ac:dyDescent="0.3">
      <c r="B6931" s="37"/>
    </row>
    <row r="6932" spans="2:2" ht="15.9" customHeight="1" x14ac:dyDescent="0.3">
      <c r="B6932" s="37"/>
    </row>
    <row r="6933" spans="2:2" ht="15.9" customHeight="1" x14ac:dyDescent="0.3">
      <c r="B6933" s="37"/>
    </row>
    <row r="6934" spans="2:2" ht="15.9" customHeight="1" x14ac:dyDescent="0.3">
      <c r="B6934" s="37"/>
    </row>
    <row r="6935" spans="2:2" ht="15.9" customHeight="1" x14ac:dyDescent="0.3">
      <c r="B6935" s="37"/>
    </row>
    <row r="6936" spans="2:2" ht="15.9" customHeight="1" x14ac:dyDescent="0.3">
      <c r="B6936" s="37"/>
    </row>
    <row r="6937" spans="2:2" ht="15.9" customHeight="1" x14ac:dyDescent="0.3">
      <c r="B6937" s="37"/>
    </row>
    <row r="6938" spans="2:2" ht="15.9" customHeight="1" x14ac:dyDescent="0.3">
      <c r="B6938" s="37"/>
    </row>
    <row r="6939" spans="2:2" ht="15.9" customHeight="1" x14ac:dyDescent="0.3">
      <c r="B6939" s="37"/>
    </row>
    <row r="6940" spans="2:2" ht="15.9" customHeight="1" x14ac:dyDescent="0.3">
      <c r="B6940" s="37"/>
    </row>
    <row r="6941" spans="2:2" ht="15.9" customHeight="1" x14ac:dyDescent="0.3">
      <c r="B6941" s="37"/>
    </row>
    <row r="6942" spans="2:2" ht="15.9" customHeight="1" x14ac:dyDescent="0.3">
      <c r="B6942" s="37"/>
    </row>
    <row r="6943" spans="2:2" ht="15.9" customHeight="1" x14ac:dyDescent="0.3">
      <c r="B6943" s="37"/>
    </row>
    <row r="6944" spans="2:2" ht="15.9" customHeight="1" x14ac:dyDescent="0.3">
      <c r="B6944" s="37"/>
    </row>
    <row r="6945" spans="2:2" ht="15.9" customHeight="1" x14ac:dyDescent="0.3">
      <c r="B6945" s="37"/>
    </row>
    <row r="6946" spans="2:2" ht="15.9" customHeight="1" x14ac:dyDescent="0.3">
      <c r="B6946" s="37"/>
    </row>
    <row r="6947" spans="2:2" ht="15.9" customHeight="1" x14ac:dyDescent="0.3">
      <c r="B6947" s="37"/>
    </row>
    <row r="6948" spans="2:2" ht="15.9" customHeight="1" x14ac:dyDescent="0.3">
      <c r="B6948" s="37"/>
    </row>
    <row r="6949" spans="2:2" ht="15.9" customHeight="1" x14ac:dyDescent="0.3">
      <c r="B6949" s="37"/>
    </row>
    <row r="6950" spans="2:2" ht="15.9" customHeight="1" x14ac:dyDescent="0.3">
      <c r="B6950" s="37"/>
    </row>
    <row r="6951" spans="2:2" ht="15.9" customHeight="1" x14ac:dyDescent="0.3">
      <c r="B6951" s="37"/>
    </row>
    <row r="6952" spans="2:2" ht="15.9" customHeight="1" x14ac:dyDescent="0.3">
      <c r="B6952" s="37"/>
    </row>
    <row r="6953" spans="2:2" ht="15.9" customHeight="1" x14ac:dyDescent="0.3">
      <c r="B6953" s="37"/>
    </row>
    <row r="6954" spans="2:2" ht="15.9" customHeight="1" x14ac:dyDescent="0.3">
      <c r="B6954" s="37"/>
    </row>
    <row r="6955" spans="2:2" ht="15.9" customHeight="1" x14ac:dyDescent="0.3">
      <c r="B6955" s="37"/>
    </row>
    <row r="6956" spans="2:2" ht="15.9" customHeight="1" x14ac:dyDescent="0.3">
      <c r="B6956" s="37"/>
    </row>
    <row r="6957" spans="2:2" ht="15.9" customHeight="1" x14ac:dyDescent="0.3">
      <c r="B6957" s="37"/>
    </row>
    <row r="6958" spans="2:2" ht="15.9" customHeight="1" x14ac:dyDescent="0.3">
      <c r="B6958" s="37"/>
    </row>
    <row r="6959" spans="2:2" ht="15.9" customHeight="1" x14ac:dyDescent="0.3">
      <c r="B6959" s="37"/>
    </row>
    <row r="6960" spans="2:2" ht="15.9" customHeight="1" x14ac:dyDescent="0.3">
      <c r="B6960" s="37"/>
    </row>
    <row r="6961" spans="2:2" ht="15.9" customHeight="1" x14ac:dyDescent="0.3">
      <c r="B6961" s="37"/>
    </row>
    <row r="6962" spans="2:2" ht="15.9" customHeight="1" x14ac:dyDescent="0.3">
      <c r="B6962" s="37"/>
    </row>
    <row r="6963" spans="2:2" ht="15.9" customHeight="1" x14ac:dyDescent="0.3">
      <c r="B6963" s="37"/>
    </row>
    <row r="6964" spans="2:2" ht="15.9" customHeight="1" x14ac:dyDescent="0.3">
      <c r="B6964" s="37"/>
    </row>
    <row r="6965" spans="2:2" ht="15.9" customHeight="1" x14ac:dyDescent="0.3">
      <c r="B6965" s="37"/>
    </row>
    <row r="6966" spans="2:2" ht="15.9" customHeight="1" x14ac:dyDescent="0.3">
      <c r="B6966" s="37"/>
    </row>
    <row r="6967" spans="2:2" ht="15.9" customHeight="1" x14ac:dyDescent="0.3">
      <c r="B6967" s="37"/>
    </row>
    <row r="6968" spans="2:2" ht="15.9" customHeight="1" x14ac:dyDescent="0.3">
      <c r="B6968" s="37"/>
    </row>
    <row r="6969" spans="2:2" ht="15.9" customHeight="1" x14ac:dyDescent="0.3">
      <c r="B6969" s="37"/>
    </row>
    <row r="6970" spans="2:2" ht="15.9" customHeight="1" x14ac:dyDescent="0.3">
      <c r="B6970" s="37"/>
    </row>
    <row r="6971" spans="2:2" ht="15.9" customHeight="1" x14ac:dyDescent="0.3">
      <c r="B6971" s="37"/>
    </row>
    <row r="6972" spans="2:2" ht="15.9" customHeight="1" x14ac:dyDescent="0.3">
      <c r="B6972" s="37"/>
    </row>
    <row r="6973" spans="2:2" ht="15.9" customHeight="1" x14ac:dyDescent="0.3">
      <c r="B6973" s="37"/>
    </row>
    <row r="6974" spans="2:2" ht="15.9" customHeight="1" x14ac:dyDescent="0.3">
      <c r="B6974" s="37"/>
    </row>
    <row r="6975" spans="2:2" ht="15.9" customHeight="1" x14ac:dyDescent="0.3">
      <c r="B6975" s="37"/>
    </row>
    <row r="6976" spans="2:2" ht="15.9" customHeight="1" x14ac:dyDescent="0.3">
      <c r="B6976" s="37"/>
    </row>
    <row r="6977" spans="2:2" ht="15.9" customHeight="1" x14ac:dyDescent="0.3">
      <c r="B6977" s="37"/>
    </row>
    <row r="6978" spans="2:2" ht="15.9" customHeight="1" x14ac:dyDescent="0.3">
      <c r="B6978" s="37"/>
    </row>
    <row r="6979" spans="2:2" ht="15.9" customHeight="1" x14ac:dyDescent="0.3">
      <c r="B6979" s="37"/>
    </row>
    <row r="6980" spans="2:2" ht="15.9" customHeight="1" x14ac:dyDescent="0.3">
      <c r="B6980" s="37"/>
    </row>
    <row r="6981" spans="2:2" ht="15.9" customHeight="1" x14ac:dyDescent="0.3">
      <c r="B6981" s="37"/>
    </row>
    <row r="6982" spans="2:2" ht="15.9" customHeight="1" x14ac:dyDescent="0.3">
      <c r="B6982" s="37"/>
    </row>
    <row r="6983" spans="2:2" ht="15.9" customHeight="1" x14ac:dyDescent="0.3">
      <c r="B6983" s="37"/>
    </row>
    <row r="6984" spans="2:2" ht="15.9" customHeight="1" x14ac:dyDescent="0.3">
      <c r="B6984" s="37"/>
    </row>
    <row r="6985" spans="2:2" ht="15.9" customHeight="1" x14ac:dyDescent="0.3">
      <c r="B6985" s="37"/>
    </row>
    <row r="6986" spans="2:2" ht="15.9" customHeight="1" x14ac:dyDescent="0.3">
      <c r="B6986" s="37"/>
    </row>
    <row r="6987" spans="2:2" ht="15.9" customHeight="1" x14ac:dyDescent="0.3">
      <c r="B6987" s="37"/>
    </row>
    <row r="6988" spans="2:2" ht="15.9" customHeight="1" x14ac:dyDescent="0.3">
      <c r="B6988" s="37"/>
    </row>
    <row r="6989" spans="2:2" ht="15.9" customHeight="1" x14ac:dyDescent="0.3">
      <c r="B6989" s="37"/>
    </row>
    <row r="6990" spans="2:2" ht="15.9" customHeight="1" x14ac:dyDescent="0.3">
      <c r="B6990" s="37"/>
    </row>
    <row r="6991" spans="2:2" ht="15.9" customHeight="1" x14ac:dyDescent="0.3">
      <c r="B6991" s="37"/>
    </row>
    <row r="6992" spans="2:2" ht="15.9" customHeight="1" x14ac:dyDescent="0.3">
      <c r="B6992" s="37"/>
    </row>
    <row r="6993" spans="2:2" ht="15.9" customHeight="1" x14ac:dyDescent="0.3">
      <c r="B6993" s="37"/>
    </row>
    <row r="6994" spans="2:2" ht="15.9" customHeight="1" x14ac:dyDescent="0.3">
      <c r="B6994" s="37"/>
    </row>
    <row r="6995" spans="2:2" ht="15.9" customHeight="1" x14ac:dyDescent="0.3">
      <c r="B6995" s="37"/>
    </row>
    <row r="6996" spans="2:2" ht="15.9" customHeight="1" x14ac:dyDescent="0.3">
      <c r="B6996" s="37"/>
    </row>
    <row r="6997" spans="2:2" ht="15.9" customHeight="1" x14ac:dyDescent="0.3">
      <c r="B6997" s="37"/>
    </row>
    <row r="6998" spans="2:2" ht="15.9" customHeight="1" x14ac:dyDescent="0.3">
      <c r="B6998" s="37"/>
    </row>
    <row r="6999" spans="2:2" ht="15.9" customHeight="1" x14ac:dyDescent="0.3">
      <c r="B6999" s="37"/>
    </row>
    <row r="7000" spans="2:2" ht="15.9" customHeight="1" x14ac:dyDescent="0.3">
      <c r="B7000" s="37"/>
    </row>
    <row r="7001" spans="2:2" ht="15.9" customHeight="1" x14ac:dyDescent="0.3">
      <c r="B7001" s="37"/>
    </row>
    <row r="7002" spans="2:2" ht="15.9" customHeight="1" x14ac:dyDescent="0.3">
      <c r="B7002" s="37"/>
    </row>
    <row r="7003" spans="2:2" ht="15.9" customHeight="1" x14ac:dyDescent="0.3">
      <c r="B7003" s="37"/>
    </row>
    <row r="7004" spans="2:2" ht="15.9" customHeight="1" x14ac:dyDescent="0.3">
      <c r="B7004" s="37"/>
    </row>
    <row r="7005" spans="2:2" ht="15.9" customHeight="1" x14ac:dyDescent="0.3">
      <c r="B7005" s="37"/>
    </row>
    <row r="7006" spans="2:2" ht="15.9" customHeight="1" x14ac:dyDescent="0.3">
      <c r="B7006" s="37"/>
    </row>
    <row r="7007" spans="2:2" ht="15.9" customHeight="1" x14ac:dyDescent="0.3">
      <c r="B7007" s="37"/>
    </row>
    <row r="7008" spans="2:2" ht="15.9" customHeight="1" x14ac:dyDescent="0.3">
      <c r="B7008" s="37"/>
    </row>
    <row r="7009" spans="2:2" ht="15.9" customHeight="1" x14ac:dyDescent="0.3">
      <c r="B7009" s="37"/>
    </row>
    <row r="7010" spans="2:2" ht="15.9" customHeight="1" x14ac:dyDescent="0.3">
      <c r="B7010" s="37"/>
    </row>
    <row r="7011" spans="2:2" ht="15.9" customHeight="1" x14ac:dyDescent="0.3">
      <c r="B7011" s="37"/>
    </row>
    <row r="7012" spans="2:2" ht="15.9" customHeight="1" x14ac:dyDescent="0.3">
      <c r="B7012" s="37"/>
    </row>
    <row r="7013" spans="2:2" ht="15.9" customHeight="1" x14ac:dyDescent="0.3">
      <c r="B7013" s="37"/>
    </row>
    <row r="7014" spans="2:2" ht="15.9" customHeight="1" x14ac:dyDescent="0.3">
      <c r="B7014" s="37"/>
    </row>
    <row r="7015" spans="2:2" ht="15.9" customHeight="1" x14ac:dyDescent="0.3">
      <c r="B7015" s="37"/>
    </row>
    <row r="7016" spans="2:2" ht="15.9" customHeight="1" x14ac:dyDescent="0.3">
      <c r="B7016" s="37"/>
    </row>
    <row r="7017" spans="2:2" ht="15.9" customHeight="1" x14ac:dyDescent="0.3">
      <c r="B7017" s="37"/>
    </row>
    <row r="7018" spans="2:2" ht="15.9" customHeight="1" x14ac:dyDescent="0.3">
      <c r="B7018" s="37"/>
    </row>
    <row r="7019" spans="2:2" ht="15.9" customHeight="1" x14ac:dyDescent="0.3">
      <c r="B7019" s="37"/>
    </row>
    <row r="7020" spans="2:2" ht="15.9" customHeight="1" x14ac:dyDescent="0.3">
      <c r="B7020" s="37"/>
    </row>
    <row r="7021" spans="2:2" ht="15.9" customHeight="1" x14ac:dyDescent="0.3">
      <c r="B7021" s="37"/>
    </row>
    <row r="7022" spans="2:2" ht="15.9" customHeight="1" x14ac:dyDescent="0.3">
      <c r="B7022" s="37"/>
    </row>
    <row r="7023" spans="2:2" ht="15.9" customHeight="1" x14ac:dyDescent="0.3">
      <c r="B7023" s="37"/>
    </row>
    <row r="7024" spans="2:2" ht="15.9" customHeight="1" x14ac:dyDescent="0.3">
      <c r="B7024" s="37"/>
    </row>
    <row r="7025" spans="2:2" ht="15.9" customHeight="1" x14ac:dyDescent="0.3">
      <c r="B7025" s="37"/>
    </row>
    <row r="7026" spans="2:2" ht="15.9" customHeight="1" x14ac:dyDescent="0.3">
      <c r="B7026" s="37"/>
    </row>
    <row r="7027" spans="2:2" ht="15.9" customHeight="1" x14ac:dyDescent="0.3">
      <c r="B7027" s="37"/>
    </row>
    <row r="7028" spans="2:2" ht="15.9" customHeight="1" x14ac:dyDescent="0.3">
      <c r="B7028" s="37"/>
    </row>
    <row r="7029" spans="2:2" ht="15.9" customHeight="1" x14ac:dyDescent="0.3">
      <c r="B7029" s="37"/>
    </row>
    <row r="7030" spans="2:2" ht="15.9" customHeight="1" x14ac:dyDescent="0.3">
      <c r="B7030" s="37"/>
    </row>
    <row r="7031" spans="2:2" ht="15.9" customHeight="1" x14ac:dyDescent="0.3">
      <c r="B7031" s="37"/>
    </row>
    <row r="7032" spans="2:2" ht="15.9" customHeight="1" x14ac:dyDescent="0.3">
      <c r="B7032" s="37"/>
    </row>
    <row r="7033" spans="2:2" ht="15.9" customHeight="1" x14ac:dyDescent="0.3">
      <c r="B7033" s="37"/>
    </row>
    <row r="7034" spans="2:2" ht="15.9" customHeight="1" x14ac:dyDescent="0.3">
      <c r="B7034" s="37"/>
    </row>
    <row r="7035" spans="2:2" ht="15.9" customHeight="1" x14ac:dyDescent="0.3">
      <c r="B7035" s="37"/>
    </row>
    <row r="7036" spans="2:2" ht="15.9" customHeight="1" x14ac:dyDescent="0.3">
      <c r="B7036" s="37"/>
    </row>
    <row r="7037" spans="2:2" ht="15.9" customHeight="1" x14ac:dyDescent="0.3">
      <c r="B7037" s="37"/>
    </row>
    <row r="7038" spans="2:2" ht="15.9" customHeight="1" x14ac:dyDescent="0.3">
      <c r="B7038" s="37"/>
    </row>
    <row r="7039" spans="2:2" ht="15.9" customHeight="1" x14ac:dyDescent="0.3">
      <c r="B7039" s="37"/>
    </row>
    <row r="7040" spans="2:2" ht="15.9" customHeight="1" x14ac:dyDescent="0.3">
      <c r="B7040" s="37"/>
    </row>
    <row r="7041" spans="2:2" ht="15.9" customHeight="1" x14ac:dyDescent="0.3">
      <c r="B7041" s="37"/>
    </row>
    <row r="7042" spans="2:2" ht="15.9" customHeight="1" x14ac:dyDescent="0.3">
      <c r="B7042" s="37"/>
    </row>
    <row r="7043" spans="2:2" ht="15.9" customHeight="1" x14ac:dyDescent="0.3">
      <c r="B7043" s="37"/>
    </row>
    <row r="7044" spans="2:2" ht="15.9" customHeight="1" x14ac:dyDescent="0.3">
      <c r="B7044" s="37"/>
    </row>
    <row r="7045" spans="2:2" ht="15.9" customHeight="1" x14ac:dyDescent="0.3">
      <c r="B7045" s="37"/>
    </row>
    <row r="7046" spans="2:2" ht="15.9" customHeight="1" x14ac:dyDescent="0.3">
      <c r="B7046" s="37"/>
    </row>
    <row r="7047" spans="2:2" ht="15.9" customHeight="1" x14ac:dyDescent="0.3">
      <c r="B7047" s="37"/>
    </row>
    <row r="7048" spans="2:2" ht="15.9" customHeight="1" x14ac:dyDescent="0.3">
      <c r="B7048" s="37"/>
    </row>
    <row r="7049" spans="2:2" ht="15.9" customHeight="1" x14ac:dyDescent="0.3">
      <c r="B7049" s="37"/>
    </row>
    <row r="7050" spans="2:2" ht="15.9" customHeight="1" x14ac:dyDescent="0.3">
      <c r="B7050" s="37"/>
    </row>
    <row r="7051" spans="2:2" ht="15.9" customHeight="1" x14ac:dyDescent="0.3">
      <c r="B7051" s="37"/>
    </row>
    <row r="7052" spans="2:2" ht="15.9" customHeight="1" x14ac:dyDescent="0.3">
      <c r="B7052" s="37"/>
    </row>
    <row r="7053" spans="2:2" ht="15.9" customHeight="1" x14ac:dyDescent="0.3">
      <c r="B7053" s="37"/>
    </row>
    <row r="7054" spans="2:2" ht="15.9" customHeight="1" x14ac:dyDescent="0.3">
      <c r="B7054" s="37"/>
    </row>
    <row r="7055" spans="2:2" ht="15.9" customHeight="1" x14ac:dyDescent="0.3">
      <c r="B7055" s="37"/>
    </row>
    <row r="7056" spans="2:2" ht="15.9" customHeight="1" x14ac:dyDescent="0.3">
      <c r="B7056" s="37"/>
    </row>
    <row r="7057" spans="2:2" ht="15.9" customHeight="1" x14ac:dyDescent="0.3">
      <c r="B7057" s="37"/>
    </row>
    <row r="7058" spans="2:2" ht="15.9" customHeight="1" x14ac:dyDescent="0.3">
      <c r="B7058" s="37"/>
    </row>
    <row r="7059" spans="2:2" ht="15.9" customHeight="1" x14ac:dyDescent="0.3">
      <c r="B7059" s="37"/>
    </row>
    <row r="7060" spans="2:2" ht="15.9" customHeight="1" x14ac:dyDescent="0.3">
      <c r="B7060" s="37"/>
    </row>
    <row r="7061" spans="2:2" ht="15.9" customHeight="1" x14ac:dyDescent="0.3">
      <c r="B7061" s="37"/>
    </row>
    <row r="7062" spans="2:2" ht="15.9" customHeight="1" x14ac:dyDescent="0.3">
      <c r="B7062" s="37"/>
    </row>
    <row r="7063" spans="2:2" ht="15.9" customHeight="1" x14ac:dyDescent="0.3">
      <c r="B7063" s="37"/>
    </row>
    <row r="7064" spans="2:2" ht="15.9" customHeight="1" x14ac:dyDescent="0.3">
      <c r="B7064" s="37"/>
    </row>
    <row r="7065" spans="2:2" ht="15.9" customHeight="1" x14ac:dyDescent="0.3">
      <c r="B7065" s="37"/>
    </row>
    <row r="7066" spans="2:2" ht="15.9" customHeight="1" x14ac:dyDescent="0.3">
      <c r="B7066" s="37"/>
    </row>
    <row r="7067" spans="2:2" ht="15.9" customHeight="1" x14ac:dyDescent="0.3">
      <c r="B7067" s="37"/>
    </row>
    <row r="7068" spans="2:2" ht="15.9" customHeight="1" x14ac:dyDescent="0.3">
      <c r="B7068" s="37"/>
    </row>
    <row r="7069" spans="2:2" ht="15.9" customHeight="1" x14ac:dyDescent="0.3">
      <c r="B7069" s="37"/>
    </row>
    <row r="7070" spans="2:2" ht="15.9" customHeight="1" x14ac:dyDescent="0.3">
      <c r="B7070" s="37"/>
    </row>
    <row r="7071" spans="2:2" ht="15.9" customHeight="1" x14ac:dyDescent="0.3">
      <c r="B7071" s="37"/>
    </row>
    <row r="7072" spans="2:2" ht="15.9" customHeight="1" x14ac:dyDescent="0.3">
      <c r="B7072" s="37"/>
    </row>
    <row r="7073" spans="2:2" ht="15.9" customHeight="1" x14ac:dyDescent="0.3">
      <c r="B7073" s="37"/>
    </row>
    <row r="7074" spans="2:2" ht="15.9" customHeight="1" x14ac:dyDescent="0.3">
      <c r="B7074" s="37"/>
    </row>
    <row r="7075" spans="2:2" ht="15.9" customHeight="1" x14ac:dyDescent="0.3">
      <c r="B7075" s="37"/>
    </row>
    <row r="7076" spans="2:2" ht="15.9" customHeight="1" x14ac:dyDescent="0.3">
      <c r="B7076" s="37"/>
    </row>
    <row r="7077" spans="2:2" ht="15.9" customHeight="1" x14ac:dyDescent="0.3">
      <c r="B7077" s="37"/>
    </row>
    <row r="7078" spans="2:2" ht="15.9" customHeight="1" x14ac:dyDescent="0.3">
      <c r="B7078" s="37"/>
    </row>
    <row r="7079" spans="2:2" ht="15.9" customHeight="1" x14ac:dyDescent="0.3">
      <c r="B7079" s="37"/>
    </row>
    <row r="7080" spans="2:2" ht="15.9" customHeight="1" x14ac:dyDescent="0.3">
      <c r="B7080" s="37"/>
    </row>
    <row r="7081" spans="2:2" ht="15.9" customHeight="1" x14ac:dyDescent="0.3">
      <c r="B7081" s="37"/>
    </row>
    <row r="7082" spans="2:2" ht="15.9" customHeight="1" x14ac:dyDescent="0.3">
      <c r="B7082" s="37"/>
    </row>
    <row r="7083" spans="2:2" ht="15.9" customHeight="1" x14ac:dyDescent="0.3">
      <c r="B7083" s="37"/>
    </row>
    <row r="7084" spans="2:2" ht="15.9" customHeight="1" x14ac:dyDescent="0.3">
      <c r="B7084" s="37"/>
    </row>
    <row r="7085" spans="2:2" ht="15.9" customHeight="1" x14ac:dyDescent="0.3">
      <c r="B7085" s="37"/>
    </row>
    <row r="7086" spans="2:2" ht="15.9" customHeight="1" x14ac:dyDescent="0.3">
      <c r="B7086" s="37"/>
    </row>
    <row r="7087" spans="2:2" ht="15.9" customHeight="1" x14ac:dyDescent="0.3">
      <c r="B7087" s="37"/>
    </row>
    <row r="7088" spans="2:2" ht="15.9" customHeight="1" x14ac:dyDescent="0.3">
      <c r="B7088" s="37"/>
    </row>
    <row r="7089" spans="2:2" ht="15.9" customHeight="1" x14ac:dyDescent="0.3">
      <c r="B7089" s="37"/>
    </row>
    <row r="7090" spans="2:2" ht="15.9" customHeight="1" x14ac:dyDescent="0.3">
      <c r="B7090" s="37"/>
    </row>
    <row r="7091" spans="2:2" ht="15.9" customHeight="1" x14ac:dyDescent="0.3">
      <c r="B7091" s="37"/>
    </row>
    <row r="7092" spans="2:2" ht="15.9" customHeight="1" x14ac:dyDescent="0.3">
      <c r="B7092" s="37"/>
    </row>
    <row r="7093" spans="2:2" ht="15.9" customHeight="1" x14ac:dyDescent="0.3">
      <c r="B7093" s="37"/>
    </row>
    <row r="7094" spans="2:2" ht="15.9" customHeight="1" x14ac:dyDescent="0.3">
      <c r="B7094" s="37"/>
    </row>
    <row r="7095" spans="2:2" ht="15.9" customHeight="1" x14ac:dyDescent="0.3">
      <c r="B7095" s="37"/>
    </row>
    <row r="7096" spans="2:2" ht="15.9" customHeight="1" x14ac:dyDescent="0.3">
      <c r="B7096" s="37"/>
    </row>
    <row r="7097" spans="2:2" ht="15.9" customHeight="1" x14ac:dyDescent="0.3">
      <c r="B7097" s="37"/>
    </row>
    <row r="7098" spans="2:2" ht="15.9" customHeight="1" x14ac:dyDescent="0.3">
      <c r="B7098" s="37"/>
    </row>
    <row r="7099" spans="2:2" ht="15.9" customHeight="1" x14ac:dyDescent="0.3">
      <c r="B7099" s="37"/>
    </row>
    <row r="7100" spans="2:2" ht="15.9" customHeight="1" x14ac:dyDescent="0.3">
      <c r="B7100" s="37"/>
    </row>
    <row r="7101" spans="2:2" ht="15.9" customHeight="1" x14ac:dyDescent="0.3">
      <c r="B7101" s="37"/>
    </row>
    <row r="7102" spans="2:2" ht="15.9" customHeight="1" x14ac:dyDescent="0.3">
      <c r="B7102" s="37"/>
    </row>
    <row r="7103" spans="2:2" ht="15.9" customHeight="1" x14ac:dyDescent="0.3">
      <c r="B7103" s="37"/>
    </row>
    <row r="7104" spans="2:2" ht="15.9" customHeight="1" x14ac:dyDescent="0.3">
      <c r="B7104" s="37"/>
    </row>
    <row r="7105" spans="2:2" ht="15.9" customHeight="1" x14ac:dyDescent="0.3">
      <c r="B7105" s="37"/>
    </row>
    <row r="7106" spans="2:2" ht="15.9" customHeight="1" x14ac:dyDescent="0.3">
      <c r="B7106" s="37"/>
    </row>
    <row r="7107" spans="2:2" ht="15.9" customHeight="1" x14ac:dyDescent="0.3">
      <c r="B7107" s="37"/>
    </row>
    <row r="7108" spans="2:2" ht="15.9" customHeight="1" x14ac:dyDescent="0.3">
      <c r="B7108" s="37"/>
    </row>
    <row r="7109" spans="2:2" ht="15.9" customHeight="1" x14ac:dyDescent="0.3">
      <c r="B7109" s="37"/>
    </row>
    <row r="7110" spans="2:2" ht="15.9" customHeight="1" x14ac:dyDescent="0.3">
      <c r="B7110" s="37"/>
    </row>
    <row r="7111" spans="2:2" ht="15.9" customHeight="1" x14ac:dyDescent="0.3">
      <c r="B7111" s="37"/>
    </row>
    <row r="7112" spans="2:2" ht="15.9" customHeight="1" x14ac:dyDescent="0.3">
      <c r="B7112" s="37"/>
    </row>
    <row r="7113" spans="2:2" ht="15.9" customHeight="1" x14ac:dyDescent="0.3">
      <c r="B7113" s="37"/>
    </row>
    <row r="7114" spans="2:2" ht="15.9" customHeight="1" x14ac:dyDescent="0.3">
      <c r="B7114" s="37"/>
    </row>
    <row r="7115" spans="2:2" ht="15.9" customHeight="1" x14ac:dyDescent="0.3">
      <c r="B7115" s="37"/>
    </row>
    <row r="7116" spans="2:2" ht="15.9" customHeight="1" x14ac:dyDescent="0.3">
      <c r="B7116" s="37"/>
    </row>
    <row r="7117" spans="2:2" ht="15.9" customHeight="1" x14ac:dyDescent="0.3">
      <c r="B7117" s="37"/>
    </row>
    <row r="7118" spans="2:2" ht="15.9" customHeight="1" x14ac:dyDescent="0.3">
      <c r="B7118" s="37"/>
    </row>
    <row r="7119" spans="2:2" ht="15.9" customHeight="1" x14ac:dyDescent="0.3">
      <c r="B7119" s="37"/>
    </row>
    <row r="7120" spans="2:2" ht="15.9" customHeight="1" x14ac:dyDescent="0.3">
      <c r="B7120" s="37"/>
    </row>
    <row r="7121" spans="2:2" ht="15.9" customHeight="1" x14ac:dyDescent="0.3">
      <c r="B7121" s="37"/>
    </row>
    <row r="7122" spans="2:2" ht="15.9" customHeight="1" x14ac:dyDescent="0.3">
      <c r="B7122" s="37"/>
    </row>
    <row r="7123" spans="2:2" ht="15.9" customHeight="1" x14ac:dyDescent="0.3">
      <c r="B7123" s="37"/>
    </row>
    <row r="7124" spans="2:2" ht="15.9" customHeight="1" x14ac:dyDescent="0.3">
      <c r="B7124" s="37"/>
    </row>
    <row r="7125" spans="2:2" ht="15.9" customHeight="1" x14ac:dyDescent="0.3">
      <c r="B7125" s="37"/>
    </row>
    <row r="7126" spans="2:2" ht="15.9" customHeight="1" x14ac:dyDescent="0.3">
      <c r="B7126" s="37"/>
    </row>
    <row r="7127" spans="2:2" ht="15.9" customHeight="1" x14ac:dyDescent="0.3">
      <c r="B7127" s="37"/>
    </row>
    <row r="7128" spans="2:2" ht="15.9" customHeight="1" x14ac:dyDescent="0.3">
      <c r="B7128" s="37"/>
    </row>
    <row r="7129" spans="2:2" ht="15.9" customHeight="1" x14ac:dyDescent="0.3">
      <c r="B7129" s="37"/>
    </row>
    <row r="7130" spans="2:2" ht="15.9" customHeight="1" x14ac:dyDescent="0.3">
      <c r="B7130" s="37"/>
    </row>
    <row r="7131" spans="2:2" ht="15.9" customHeight="1" x14ac:dyDescent="0.3">
      <c r="B7131" s="37"/>
    </row>
    <row r="7132" spans="2:2" ht="15.9" customHeight="1" x14ac:dyDescent="0.3">
      <c r="B7132" s="37"/>
    </row>
    <row r="7133" spans="2:2" ht="15.9" customHeight="1" x14ac:dyDescent="0.3">
      <c r="B7133" s="37"/>
    </row>
    <row r="7134" spans="2:2" ht="15.9" customHeight="1" x14ac:dyDescent="0.3">
      <c r="B7134" s="37"/>
    </row>
    <row r="7135" spans="2:2" ht="15.9" customHeight="1" x14ac:dyDescent="0.3">
      <c r="B7135" s="37"/>
    </row>
    <row r="7136" spans="2:2" ht="15.9" customHeight="1" x14ac:dyDescent="0.3">
      <c r="B7136" s="37"/>
    </row>
    <row r="7137" spans="2:2" ht="15.9" customHeight="1" x14ac:dyDescent="0.3">
      <c r="B7137" s="37"/>
    </row>
    <row r="7138" spans="2:2" ht="15.9" customHeight="1" x14ac:dyDescent="0.3">
      <c r="B7138" s="37"/>
    </row>
    <row r="7139" spans="2:2" ht="15.9" customHeight="1" x14ac:dyDescent="0.3">
      <c r="B7139" s="37"/>
    </row>
    <row r="7140" spans="2:2" ht="15.9" customHeight="1" x14ac:dyDescent="0.3">
      <c r="B7140" s="37"/>
    </row>
    <row r="7141" spans="2:2" ht="15.9" customHeight="1" x14ac:dyDescent="0.3">
      <c r="B7141" s="37"/>
    </row>
    <row r="7142" spans="2:2" ht="15.9" customHeight="1" x14ac:dyDescent="0.3">
      <c r="B7142" s="37"/>
    </row>
    <row r="7143" spans="2:2" ht="15.9" customHeight="1" x14ac:dyDescent="0.3">
      <c r="B7143" s="37"/>
    </row>
    <row r="7144" spans="2:2" ht="15.9" customHeight="1" x14ac:dyDescent="0.3">
      <c r="B7144" s="37"/>
    </row>
    <row r="7145" spans="2:2" ht="15.9" customHeight="1" x14ac:dyDescent="0.3">
      <c r="B7145" s="37"/>
    </row>
    <row r="7146" spans="2:2" ht="15.9" customHeight="1" x14ac:dyDescent="0.3">
      <c r="B7146" s="37"/>
    </row>
    <row r="7147" spans="2:2" ht="15.9" customHeight="1" x14ac:dyDescent="0.3">
      <c r="B7147" s="37"/>
    </row>
    <row r="7148" spans="2:2" ht="15.9" customHeight="1" x14ac:dyDescent="0.3">
      <c r="B7148" s="37"/>
    </row>
    <row r="7149" spans="2:2" ht="15.9" customHeight="1" x14ac:dyDescent="0.3">
      <c r="B7149" s="37"/>
    </row>
    <row r="7150" spans="2:2" ht="15.9" customHeight="1" x14ac:dyDescent="0.3">
      <c r="B7150" s="37"/>
    </row>
    <row r="7151" spans="2:2" ht="15.9" customHeight="1" x14ac:dyDescent="0.3">
      <c r="B7151" s="37"/>
    </row>
    <row r="7152" spans="2:2" ht="15.9" customHeight="1" x14ac:dyDescent="0.3">
      <c r="B7152" s="37"/>
    </row>
    <row r="7153" spans="2:2" ht="15.9" customHeight="1" x14ac:dyDescent="0.3">
      <c r="B7153" s="37"/>
    </row>
    <row r="7154" spans="2:2" ht="15.9" customHeight="1" x14ac:dyDescent="0.3">
      <c r="B7154" s="37"/>
    </row>
    <row r="7155" spans="2:2" ht="15.9" customHeight="1" x14ac:dyDescent="0.3">
      <c r="B7155" s="37"/>
    </row>
    <row r="7156" spans="2:2" ht="15.9" customHeight="1" x14ac:dyDescent="0.3">
      <c r="B7156" s="37"/>
    </row>
    <row r="7157" spans="2:2" ht="15.9" customHeight="1" x14ac:dyDescent="0.3">
      <c r="B7157" s="37"/>
    </row>
    <row r="7158" spans="2:2" ht="15.9" customHeight="1" x14ac:dyDescent="0.3">
      <c r="B7158" s="37"/>
    </row>
    <row r="7159" spans="2:2" ht="15.9" customHeight="1" x14ac:dyDescent="0.3">
      <c r="B7159" s="37"/>
    </row>
    <row r="7160" spans="2:2" ht="15.9" customHeight="1" x14ac:dyDescent="0.3">
      <c r="B7160" s="37"/>
    </row>
    <row r="7161" spans="2:2" ht="15.9" customHeight="1" x14ac:dyDescent="0.3">
      <c r="B7161" s="37"/>
    </row>
    <row r="7162" spans="2:2" ht="15.9" customHeight="1" x14ac:dyDescent="0.3">
      <c r="B7162" s="37"/>
    </row>
    <row r="7163" spans="2:2" ht="15.9" customHeight="1" x14ac:dyDescent="0.3">
      <c r="B7163" s="37"/>
    </row>
    <row r="7164" spans="2:2" ht="15.9" customHeight="1" x14ac:dyDescent="0.3">
      <c r="B7164" s="37"/>
    </row>
    <row r="7165" spans="2:2" ht="15.9" customHeight="1" x14ac:dyDescent="0.3">
      <c r="B7165" s="37"/>
    </row>
    <row r="7166" spans="2:2" ht="15.9" customHeight="1" x14ac:dyDescent="0.3">
      <c r="B7166" s="37"/>
    </row>
    <row r="7167" spans="2:2" ht="15.9" customHeight="1" x14ac:dyDescent="0.3">
      <c r="B7167" s="37"/>
    </row>
    <row r="7168" spans="2:2" ht="15.9" customHeight="1" x14ac:dyDescent="0.3">
      <c r="B7168" s="37"/>
    </row>
    <row r="7169" spans="2:2" ht="15.9" customHeight="1" x14ac:dyDescent="0.3">
      <c r="B7169" s="37"/>
    </row>
    <row r="7170" spans="2:2" ht="15.9" customHeight="1" x14ac:dyDescent="0.3">
      <c r="B7170" s="37"/>
    </row>
    <row r="7171" spans="2:2" ht="15.9" customHeight="1" x14ac:dyDescent="0.3">
      <c r="B7171" s="37"/>
    </row>
    <row r="7172" spans="2:2" ht="15.9" customHeight="1" x14ac:dyDescent="0.3">
      <c r="B7172" s="37"/>
    </row>
    <row r="7173" spans="2:2" ht="15.9" customHeight="1" x14ac:dyDescent="0.3">
      <c r="B7173" s="37"/>
    </row>
    <row r="7174" spans="2:2" ht="15.9" customHeight="1" x14ac:dyDescent="0.3">
      <c r="B7174" s="37"/>
    </row>
    <row r="7175" spans="2:2" ht="15.9" customHeight="1" x14ac:dyDescent="0.3">
      <c r="B7175" s="37"/>
    </row>
    <row r="7176" spans="2:2" ht="15.9" customHeight="1" x14ac:dyDescent="0.3">
      <c r="B7176" s="37"/>
    </row>
    <row r="7177" spans="2:2" ht="15.9" customHeight="1" x14ac:dyDescent="0.3">
      <c r="B7177" s="37"/>
    </row>
    <row r="7178" spans="2:2" ht="15.9" customHeight="1" x14ac:dyDescent="0.3">
      <c r="B7178" s="37"/>
    </row>
    <row r="7179" spans="2:2" ht="15.9" customHeight="1" x14ac:dyDescent="0.3">
      <c r="B7179" s="37"/>
    </row>
    <row r="7180" spans="2:2" ht="15.9" customHeight="1" x14ac:dyDescent="0.3">
      <c r="B7180" s="37"/>
    </row>
    <row r="7181" spans="2:2" ht="15.9" customHeight="1" x14ac:dyDescent="0.3">
      <c r="B7181" s="37"/>
    </row>
    <row r="7182" spans="2:2" ht="15.9" customHeight="1" x14ac:dyDescent="0.3">
      <c r="B7182" s="37"/>
    </row>
    <row r="7183" spans="2:2" ht="15.9" customHeight="1" x14ac:dyDescent="0.3">
      <c r="B7183" s="37"/>
    </row>
    <row r="7184" spans="2:2" ht="15.9" customHeight="1" x14ac:dyDescent="0.3">
      <c r="B7184" s="37"/>
    </row>
    <row r="7185" spans="2:2" ht="15.9" customHeight="1" x14ac:dyDescent="0.3">
      <c r="B7185" s="37"/>
    </row>
    <row r="7186" spans="2:2" ht="15.9" customHeight="1" x14ac:dyDescent="0.3">
      <c r="B7186" s="37"/>
    </row>
    <row r="7187" spans="2:2" ht="15.9" customHeight="1" x14ac:dyDescent="0.3">
      <c r="B7187" s="37"/>
    </row>
    <row r="7188" spans="2:2" ht="15.9" customHeight="1" x14ac:dyDescent="0.3">
      <c r="B7188" s="37"/>
    </row>
    <row r="7189" spans="2:2" ht="15.9" customHeight="1" x14ac:dyDescent="0.3">
      <c r="B7189" s="37"/>
    </row>
    <row r="7190" spans="2:2" ht="15.9" customHeight="1" x14ac:dyDescent="0.3">
      <c r="B7190" s="37"/>
    </row>
    <row r="7191" spans="2:2" ht="15.9" customHeight="1" x14ac:dyDescent="0.3">
      <c r="B7191" s="37"/>
    </row>
    <row r="7192" spans="2:2" ht="15.9" customHeight="1" x14ac:dyDescent="0.3">
      <c r="B7192" s="37"/>
    </row>
    <row r="7193" spans="2:2" ht="15.9" customHeight="1" x14ac:dyDescent="0.3">
      <c r="B7193" s="37"/>
    </row>
    <row r="7194" spans="2:2" ht="15.9" customHeight="1" x14ac:dyDescent="0.3">
      <c r="B7194" s="37"/>
    </row>
    <row r="7195" spans="2:2" ht="15.9" customHeight="1" x14ac:dyDescent="0.3">
      <c r="B7195" s="37"/>
    </row>
    <row r="7196" spans="2:2" ht="15.9" customHeight="1" x14ac:dyDescent="0.3">
      <c r="B7196" s="37"/>
    </row>
    <row r="7197" spans="2:2" ht="15.9" customHeight="1" x14ac:dyDescent="0.3">
      <c r="B7197" s="37"/>
    </row>
    <row r="7198" spans="2:2" ht="15.9" customHeight="1" x14ac:dyDescent="0.3">
      <c r="B7198" s="37"/>
    </row>
    <row r="7199" spans="2:2" ht="15.9" customHeight="1" x14ac:dyDescent="0.3">
      <c r="B7199" s="37"/>
    </row>
    <row r="7200" spans="2:2" ht="15.9" customHeight="1" x14ac:dyDescent="0.3">
      <c r="B7200" s="37"/>
    </row>
    <row r="7201" spans="2:2" ht="15.9" customHeight="1" x14ac:dyDescent="0.3">
      <c r="B7201" s="37"/>
    </row>
    <row r="7202" spans="2:2" ht="15.9" customHeight="1" x14ac:dyDescent="0.3">
      <c r="B7202" s="37"/>
    </row>
    <row r="7203" spans="2:2" ht="15.9" customHeight="1" x14ac:dyDescent="0.3">
      <c r="B7203" s="37"/>
    </row>
    <row r="7204" spans="2:2" ht="15.9" customHeight="1" x14ac:dyDescent="0.3">
      <c r="B7204" s="37"/>
    </row>
    <row r="7205" spans="2:2" ht="15.9" customHeight="1" x14ac:dyDescent="0.3">
      <c r="B7205" s="37"/>
    </row>
    <row r="7206" spans="2:2" ht="15.9" customHeight="1" x14ac:dyDescent="0.3">
      <c r="B7206" s="37"/>
    </row>
    <row r="7207" spans="2:2" ht="15.9" customHeight="1" x14ac:dyDescent="0.3">
      <c r="B7207" s="37"/>
    </row>
    <row r="7208" spans="2:2" ht="15.9" customHeight="1" x14ac:dyDescent="0.3">
      <c r="B7208" s="37"/>
    </row>
    <row r="7209" spans="2:2" ht="15.9" customHeight="1" x14ac:dyDescent="0.3">
      <c r="B7209" s="37"/>
    </row>
    <row r="7210" spans="2:2" ht="15.9" customHeight="1" x14ac:dyDescent="0.3">
      <c r="B7210" s="37"/>
    </row>
    <row r="7211" spans="2:2" ht="15.9" customHeight="1" x14ac:dyDescent="0.3">
      <c r="B7211" s="37"/>
    </row>
    <row r="7212" spans="2:2" ht="15.9" customHeight="1" x14ac:dyDescent="0.3">
      <c r="B7212" s="37"/>
    </row>
    <row r="7213" spans="2:2" ht="15.9" customHeight="1" x14ac:dyDescent="0.3">
      <c r="B7213" s="37"/>
    </row>
    <row r="7214" spans="2:2" ht="15.9" customHeight="1" x14ac:dyDescent="0.3">
      <c r="B7214" s="37"/>
    </row>
    <row r="7215" spans="2:2" ht="15.9" customHeight="1" x14ac:dyDescent="0.3">
      <c r="B7215" s="37"/>
    </row>
    <row r="7216" spans="2:2" ht="15.9" customHeight="1" x14ac:dyDescent="0.3">
      <c r="B7216" s="37"/>
    </row>
    <row r="7217" spans="2:2" ht="15.9" customHeight="1" x14ac:dyDescent="0.3">
      <c r="B7217" s="37"/>
    </row>
    <row r="7218" spans="2:2" ht="15.9" customHeight="1" x14ac:dyDescent="0.3">
      <c r="B7218" s="37"/>
    </row>
    <row r="7219" spans="2:2" ht="15.9" customHeight="1" x14ac:dyDescent="0.3">
      <c r="B7219" s="37"/>
    </row>
    <row r="7220" spans="2:2" ht="15.9" customHeight="1" x14ac:dyDescent="0.3">
      <c r="B7220" s="37"/>
    </row>
    <row r="7221" spans="2:2" ht="15.9" customHeight="1" x14ac:dyDescent="0.3">
      <c r="B7221" s="37"/>
    </row>
    <row r="7222" spans="2:2" ht="15.9" customHeight="1" x14ac:dyDescent="0.3">
      <c r="B7222" s="37"/>
    </row>
    <row r="7223" spans="2:2" ht="15.9" customHeight="1" x14ac:dyDescent="0.3">
      <c r="B7223" s="37"/>
    </row>
    <row r="7224" spans="2:2" ht="15.9" customHeight="1" x14ac:dyDescent="0.3">
      <c r="B7224" s="37"/>
    </row>
    <row r="7225" spans="2:2" ht="15.9" customHeight="1" x14ac:dyDescent="0.3">
      <c r="B7225" s="37"/>
    </row>
    <row r="7226" spans="2:2" ht="15.9" customHeight="1" x14ac:dyDescent="0.3">
      <c r="B7226" s="37"/>
    </row>
    <row r="7227" spans="2:2" ht="15.9" customHeight="1" x14ac:dyDescent="0.3">
      <c r="B7227" s="37"/>
    </row>
    <row r="7228" spans="2:2" ht="15.9" customHeight="1" x14ac:dyDescent="0.3">
      <c r="B7228" s="37"/>
    </row>
    <row r="7229" spans="2:2" ht="15.9" customHeight="1" x14ac:dyDescent="0.3">
      <c r="B7229" s="37"/>
    </row>
    <row r="7230" spans="2:2" ht="15.9" customHeight="1" x14ac:dyDescent="0.3">
      <c r="B7230" s="37"/>
    </row>
    <row r="7231" spans="2:2" ht="15.9" customHeight="1" x14ac:dyDescent="0.3">
      <c r="B7231" s="37"/>
    </row>
    <row r="7232" spans="2:2" ht="15.9" customHeight="1" x14ac:dyDescent="0.3">
      <c r="B7232" s="37"/>
    </row>
    <row r="7233" spans="2:2" ht="15.9" customHeight="1" x14ac:dyDescent="0.3">
      <c r="B7233" s="37"/>
    </row>
    <row r="7234" spans="2:2" ht="15.9" customHeight="1" x14ac:dyDescent="0.3">
      <c r="B7234" s="37"/>
    </row>
    <row r="7235" spans="2:2" ht="15.9" customHeight="1" x14ac:dyDescent="0.3">
      <c r="B7235" s="37"/>
    </row>
    <row r="7236" spans="2:2" ht="15.9" customHeight="1" x14ac:dyDescent="0.3">
      <c r="B7236" s="37"/>
    </row>
    <row r="7237" spans="2:2" ht="15.9" customHeight="1" x14ac:dyDescent="0.3">
      <c r="B7237" s="37"/>
    </row>
    <row r="7238" spans="2:2" ht="15.9" customHeight="1" x14ac:dyDescent="0.3">
      <c r="B7238" s="37"/>
    </row>
    <row r="7239" spans="2:2" ht="15.9" customHeight="1" x14ac:dyDescent="0.3">
      <c r="B7239" s="37"/>
    </row>
    <row r="7240" spans="2:2" ht="15.9" customHeight="1" x14ac:dyDescent="0.3">
      <c r="B7240" s="37"/>
    </row>
    <row r="7241" spans="2:2" ht="15.9" customHeight="1" x14ac:dyDescent="0.3">
      <c r="B7241" s="37"/>
    </row>
    <row r="7242" spans="2:2" ht="15.9" customHeight="1" x14ac:dyDescent="0.3">
      <c r="B7242" s="37"/>
    </row>
    <row r="7243" spans="2:2" ht="15.9" customHeight="1" x14ac:dyDescent="0.3">
      <c r="B7243" s="37"/>
    </row>
    <row r="7244" spans="2:2" ht="15.9" customHeight="1" x14ac:dyDescent="0.3">
      <c r="B7244" s="37"/>
    </row>
    <row r="7245" spans="2:2" ht="15.9" customHeight="1" x14ac:dyDescent="0.3">
      <c r="B7245" s="37"/>
    </row>
    <row r="7246" spans="2:2" ht="15.9" customHeight="1" x14ac:dyDescent="0.3">
      <c r="B7246" s="37"/>
    </row>
    <row r="7247" spans="2:2" ht="15.9" customHeight="1" x14ac:dyDescent="0.3">
      <c r="B7247" s="37"/>
    </row>
    <row r="7248" spans="2:2" ht="15.9" customHeight="1" x14ac:dyDescent="0.3">
      <c r="B7248" s="37"/>
    </row>
    <row r="7249" spans="2:2" ht="15.9" customHeight="1" x14ac:dyDescent="0.3">
      <c r="B7249" s="37"/>
    </row>
    <row r="7250" spans="2:2" ht="15.9" customHeight="1" x14ac:dyDescent="0.3">
      <c r="B7250" s="37"/>
    </row>
    <row r="7251" spans="2:2" ht="15.9" customHeight="1" x14ac:dyDescent="0.3">
      <c r="B7251" s="37"/>
    </row>
    <row r="7252" spans="2:2" ht="15.9" customHeight="1" x14ac:dyDescent="0.3">
      <c r="B7252" s="37"/>
    </row>
    <row r="7253" spans="2:2" ht="15.9" customHeight="1" x14ac:dyDescent="0.3">
      <c r="B7253" s="37"/>
    </row>
    <row r="7254" spans="2:2" ht="15.9" customHeight="1" x14ac:dyDescent="0.3">
      <c r="B7254" s="37"/>
    </row>
    <row r="7255" spans="2:2" ht="15.9" customHeight="1" x14ac:dyDescent="0.3">
      <c r="B7255" s="37"/>
    </row>
    <row r="7256" spans="2:2" ht="15.9" customHeight="1" x14ac:dyDescent="0.3">
      <c r="B7256" s="37"/>
    </row>
    <row r="7257" spans="2:2" ht="15.9" customHeight="1" x14ac:dyDescent="0.3">
      <c r="B7257" s="37"/>
    </row>
    <row r="7258" spans="2:2" ht="15.9" customHeight="1" x14ac:dyDescent="0.3">
      <c r="B7258" s="37"/>
    </row>
    <row r="7259" spans="2:2" ht="15.9" customHeight="1" x14ac:dyDescent="0.3">
      <c r="B7259" s="37"/>
    </row>
    <row r="7260" spans="2:2" ht="15.9" customHeight="1" x14ac:dyDescent="0.3">
      <c r="B7260" s="37"/>
    </row>
    <row r="7261" spans="2:2" ht="15.9" customHeight="1" x14ac:dyDescent="0.3">
      <c r="B7261" s="37"/>
    </row>
    <row r="7262" spans="2:2" ht="15.9" customHeight="1" x14ac:dyDescent="0.3">
      <c r="B7262" s="37"/>
    </row>
    <row r="7263" spans="2:2" ht="15.9" customHeight="1" x14ac:dyDescent="0.3">
      <c r="B7263" s="37"/>
    </row>
    <row r="7264" spans="2:2" ht="15.9" customHeight="1" x14ac:dyDescent="0.3">
      <c r="B7264" s="37"/>
    </row>
    <row r="7265" spans="2:2" ht="15.9" customHeight="1" x14ac:dyDescent="0.3">
      <c r="B7265" s="37"/>
    </row>
    <row r="7266" spans="2:2" ht="15.9" customHeight="1" x14ac:dyDescent="0.3">
      <c r="B7266" s="37"/>
    </row>
    <row r="7267" spans="2:2" ht="15.9" customHeight="1" x14ac:dyDescent="0.3">
      <c r="B7267" s="37"/>
    </row>
    <row r="7268" spans="2:2" ht="15.9" customHeight="1" x14ac:dyDescent="0.3">
      <c r="B7268" s="37"/>
    </row>
    <row r="7269" spans="2:2" ht="15.9" customHeight="1" x14ac:dyDescent="0.3">
      <c r="B7269" s="37"/>
    </row>
    <row r="7270" spans="2:2" ht="15.9" customHeight="1" x14ac:dyDescent="0.3">
      <c r="B7270" s="37"/>
    </row>
    <row r="7271" spans="2:2" ht="15.9" customHeight="1" x14ac:dyDescent="0.3">
      <c r="B7271" s="37"/>
    </row>
    <row r="7272" spans="2:2" ht="15.9" customHeight="1" x14ac:dyDescent="0.3">
      <c r="B7272" s="37"/>
    </row>
    <row r="7273" spans="2:2" ht="15.9" customHeight="1" x14ac:dyDescent="0.3">
      <c r="B7273" s="37"/>
    </row>
    <row r="7274" spans="2:2" ht="15.9" customHeight="1" x14ac:dyDescent="0.3">
      <c r="B7274" s="37"/>
    </row>
    <row r="7275" spans="2:2" ht="15.9" customHeight="1" x14ac:dyDescent="0.3">
      <c r="B7275" s="37"/>
    </row>
    <row r="7276" spans="2:2" ht="15.9" customHeight="1" x14ac:dyDescent="0.3">
      <c r="B7276" s="37"/>
    </row>
    <row r="7277" spans="2:2" ht="15.9" customHeight="1" x14ac:dyDescent="0.3">
      <c r="B7277" s="37"/>
    </row>
    <row r="7278" spans="2:2" ht="15.9" customHeight="1" x14ac:dyDescent="0.3">
      <c r="B7278" s="37"/>
    </row>
    <row r="7279" spans="2:2" ht="15.9" customHeight="1" x14ac:dyDescent="0.3">
      <c r="B7279" s="37"/>
    </row>
    <row r="7280" spans="2:2" ht="15.9" customHeight="1" x14ac:dyDescent="0.3">
      <c r="B7280" s="37"/>
    </row>
    <row r="7281" spans="2:2" ht="15.9" customHeight="1" x14ac:dyDescent="0.3">
      <c r="B7281" s="37"/>
    </row>
    <row r="7282" spans="2:2" ht="15.9" customHeight="1" x14ac:dyDescent="0.3">
      <c r="B7282" s="37"/>
    </row>
    <row r="7283" spans="2:2" ht="15.9" customHeight="1" x14ac:dyDescent="0.3">
      <c r="B7283" s="37"/>
    </row>
    <row r="7284" spans="2:2" ht="15.9" customHeight="1" x14ac:dyDescent="0.3">
      <c r="B7284" s="37"/>
    </row>
    <row r="7285" spans="2:2" ht="15.9" customHeight="1" x14ac:dyDescent="0.3">
      <c r="B7285" s="37"/>
    </row>
    <row r="7286" spans="2:2" ht="15.9" customHeight="1" x14ac:dyDescent="0.3">
      <c r="B7286" s="37"/>
    </row>
    <row r="7287" spans="2:2" ht="15.9" customHeight="1" x14ac:dyDescent="0.3">
      <c r="B7287" s="37"/>
    </row>
    <row r="7288" spans="2:2" ht="15.9" customHeight="1" x14ac:dyDescent="0.3">
      <c r="B7288" s="37"/>
    </row>
    <row r="7289" spans="2:2" ht="15.9" customHeight="1" x14ac:dyDescent="0.3">
      <c r="B7289" s="37"/>
    </row>
    <row r="7290" spans="2:2" ht="15.9" customHeight="1" x14ac:dyDescent="0.3">
      <c r="B7290" s="37"/>
    </row>
    <row r="7291" spans="2:2" ht="15.9" customHeight="1" x14ac:dyDescent="0.3">
      <c r="B7291" s="37"/>
    </row>
    <row r="7292" spans="2:2" ht="15.9" customHeight="1" x14ac:dyDescent="0.3">
      <c r="B7292" s="37"/>
    </row>
    <row r="7293" spans="2:2" ht="15.9" customHeight="1" x14ac:dyDescent="0.3">
      <c r="B7293" s="37"/>
    </row>
    <row r="7294" spans="2:2" ht="15.9" customHeight="1" x14ac:dyDescent="0.3">
      <c r="B7294" s="37"/>
    </row>
    <row r="7295" spans="2:2" ht="15.9" customHeight="1" x14ac:dyDescent="0.3">
      <c r="B7295" s="37"/>
    </row>
    <row r="7296" spans="2:2" ht="15.9" customHeight="1" x14ac:dyDescent="0.3">
      <c r="B7296" s="37"/>
    </row>
    <row r="7297" spans="2:2" ht="15.9" customHeight="1" x14ac:dyDescent="0.3">
      <c r="B7297" s="37"/>
    </row>
    <row r="7298" spans="2:2" ht="15.9" customHeight="1" x14ac:dyDescent="0.3">
      <c r="B7298" s="37"/>
    </row>
    <row r="7299" spans="2:2" ht="15.9" customHeight="1" x14ac:dyDescent="0.3">
      <c r="B7299" s="37"/>
    </row>
    <row r="7300" spans="2:2" ht="15.9" customHeight="1" x14ac:dyDescent="0.3">
      <c r="B7300" s="37"/>
    </row>
    <row r="7301" spans="2:2" ht="15.9" customHeight="1" x14ac:dyDescent="0.3">
      <c r="B7301" s="37"/>
    </row>
    <row r="7302" spans="2:2" ht="15.9" customHeight="1" x14ac:dyDescent="0.3">
      <c r="B7302" s="37"/>
    </row>
    <row r="7303" spans="2:2" ht="15.9" customHeight="1" x14ac:dyDescent="0.3">
      <c r="B7303" s="37"/>
    </row>
    <row r="7304" spans="2:2" ht="15.9" customHeight="1" x14ac:dyDescent="0.3">
      <c r="B7304" s="37"/>
    </row>
    <row r="7305" spans="2:2" ht="15.9" customHeight="1" x14ac:dyDescent="0.3">
      <c r="B7305" s="37"/>
    </row>
    <row r="7306" spans="2:2" ht="15.9" customHeight="1" x14ac:dyDescent="0.3">
      <c r="B7306" s="37"/>
    </row>
    <row r="7307" spans="2:2" ht="15.9" customHeight="1" x14ac:dyDescent="0.3">
      <c r="B7307" s="37"/>
    </row>
    <row r="7308" spans="2:2" ht="15.9" customHeight="1" x14ac:dyDescent="0.3">
      <c r="B7308" s="37"/>
    </row>
    <row r="7309" spans="2:2" ht="15.9" customHeight="1" x14ac:dyDescent="0.3">
      <c r="B7309" s="37"/>
    </row>
    <row r="7310" spans="2:2" ht="15.9" customHeight="1" x14ac:dyDescent="0.3">
      <c r="B7310" s="37"/>
    </row>
    <row r="7311" spans="2:2" ht="15.9" customHeight="1" x14ac:dyDescent="0.3">
      <c r="B7311" s="37"/>
    </row>
    <row r="7312" spans="2:2" ht="15.9" customHeight="1" x14ac:dyDescent="0.3">
      <c r="B7312" s="37"/>
    </row>
    <row r="7313" spans="2:2" ht="15.9" customHeight="1" x14ac:dyDescent="0.3">
      <c r="B7313" s="37"/>
    </row>
    <row r="7314" spans="2:2" ht="15.9" customHeight="1" x14ac:dyDescent="0.3">
      <c r="B7314" s="37"/>
    </row>
    <row r="7315" spans="2:2" ht="15.9" customHeight="1" x14ac:dyDescent="0.3">
      <c r="B7315" s="37"/>
    </row>
    <row r="7316" spans="2:2" ht="15.9" customHeight="1" x14ac:dyDescent="0.3">
      <c r="B7316" s="37"/>
    </row>
    <row r="7317" spans="2:2" ht="15.9" customHeight="1" x14ac:dyDescent="0.3">
      <c r="B7317" s="37"/>
    </row>
    <row r="7318" spans="2:2" ht="15.9" customHeight="1" x14ac:dyDescent="0.3">
      <c r="B7318" s="37"/>
    </row>
    <row r="7319" spans="2:2" ht="15.9" customHeight="1" x14ac:dyDescent="0.3">
      <c r="B7319" s="37"/>
    </row>
    <row r="7320" spans="2:2" ht="15.9" customHeight="1" x14ac:dyDescent="0.3">
      <c r="B7320" s="37"/>
    </row>
    <row r="7321" spans="2:2" ht="15.9" customHeight="1" x14ac:dyDescent="0.3">
      <c r="B7321" s="37"/>
    </row>
    <row r="7322" spans="2:2" ht="15.9" customHeight="1" x14ac:dyDescent="0.3">
      <c r="B7322" s="37"/>
    </row>
    <row r="7323" spans="2:2" ht="15.9" customHeight="1" x14ac:dyDescent="0.3">
      <c r="B7323" s="37"/>
    </row>
    <row r="7324" spans="2:2" ht="15.9" customHeight="1" x14ac:dyDescent="0.3">
      <c r="B7324" s="37"/>
    </row>
    <row r="7325" spans="2:2" ht="15.9" customHeight="1" x14ac:dyDescent="0.3">
      <c r="B7325" s="37"/>
    </row>
    <row r="7326" spans="2:2" ht="15.9" customHeight="1" x14ac:dyDescent="0.3">
      <c r="B7326" s="37"/>
    </row>
    <row r="7327" spans="2:2" ht="15.9" customHeight="1" x14ac:dyDescent="0.3">
      <c r="B7327" s="37"/>
    </row>
    <row r="7328" spans="2:2" ht="15.9" customHeight="1" x14ac:dyDescent="0.3">
      <c r="B7328" s="37"/>
    </row>
    <row r="7329" spans="2:2" ht="15.9" customHeight="1" x14ac:dyDescent="0.3">
      <c r="B7329" s="37"/>
    </row>
    <row r="7330" spans="2:2" ht="15.9" customHeight="1" x14ac:dyDescent="0.3">
      <c r="B7330" s="37"/>
    </row>
    <row r="7331" spans="2:2" ht="15.9" customHeight="1" x14ac:dyDescent="0.3">
      <c r="B7331" s="37"/>
    </row>
    <row r="7332" spans="2:2" ht="15.9" customHeight="1" x14ac:dyDescent="0.3">
      <c r="B7332" s="37"/>
    </row>
    <row r="7333" spans="2:2" ht="15.9" customHeight="1" x14ac:dyDescent="0.3">
      <c r="B7333" s="37"/>
    </row>
    <row r="7334" spans="2:2" ht="15.9" customHeight="1" x14ac:dyDescent="0.3">
      <c r="B7334" s="37"/>
    </row>
    <row r="7335" spans="2:2" ht="15.9" customHeight="1" x14ac:dyDescent="0.3">
      <c r="B7335" s="37"/>
    </row>
    <row r="7336" spans="2:2" ht="15.9" customHeight="1" x14ac:dyDescent="0.3">
      <c r="B7336" s="37"/>
    </row>
    <row r="7337" spans="2:2" ht="15.9" customHeight="1" x14ac:dyDescent="0.3">
      <c r="B7337" s="37"/>
    </row>
    <row r="7338" spans="2:2" ht="15.9" customHeight="1" x14ac:dyDescent="0.3">
      <c r="B7338" s="37"/>
    </row>
    <row r="7339" spans="2:2" ht="15.9" customHeight="1" x14ac:dyDescent="0.3">
      <c r="B7339" s="37"/>
    </row>
    <row r="7340" spans="2:2" ht="15.9" customHeight="1" x14ac:dyDescent="0.3">
      <c r="B7340" s="37"/>
    </row>
    <row r="7341" spans="2:2" ht="15.9" customHeight="1" x14ac:dyDescent="0.3">
      <c r="B7341" s="37"/>
    </row>
    <row r="7342" spans="2:2" ht="15.9" customHeight="1" x14ac:dyDescent="0.3">
      <c r="B7342" s="37"/>
    </row>
    <row r="7343" spans="2:2" ht="15.9" customHeight="1" x14ac:dyDescent="0.3">
      <c r="B7343" s="37"/>
    </row>
    <row r="7344" spans="2:2" ht="15.9" customHeight="1" x14ac:dyDescent="0.3">
      <c r="B7344" s="37"/>
    </row>
    <row r="7345" spans="2:2" ht="15.9" customHeight="1" x14ac:dyDescent="0.3">
      <c r="B7345" s="37"/>
    </row>
    <row r="7346" spans="2:2" ht="15.9" customHeight="1" x14ac:dyDescent="0.3">
      <c r="B7346" s="37"/>
    </row>
    <row r="7347" spans="2:2" ht="15.9" customHeight="1" x14ac:dyDescent="0.3">
      <c r="B7347" s="37"/>
    </row>
    <row r="7348" spans="2:2" ht="15.9" customHeight="1" x14ac:dyDescent="0.3">
      <c r="B7348" s="37"/>
    </row>
    <row r="7349" spans="2:2" ht="15.9" customHeight="1" x14ac:dyDescent="0.3">
      <c r="B7349" s="37"/>
    </row>
    <row r="7350" spans="2:2" ht="15.9" customHeight="1" x14ac:dyDescent="0.3">
      <c r="B7350" s="37"/>
    </row>
    <row r="7351" spans="2:2" ht="15.9" customHeight="1" x14ac:dyDescent="0.3">
      <c r="B7351" s="37"/>
    </row>
    <row r="7352" spans="2:2" ht="15.9" customHeight="1" x14ac:dyDescent="0.3">
      <c r="B7352" s="37"/>
    </row>
    <row r="7353" spans="2:2" ht="15.9" customHeight="1" x14ac:dyDescent="0.3">
      <c r="B7353" s="37"/>
    </row>
    <row r="7354" spans="2:2" ht="15.9" customHeight="1" x14ac:dyDescent="0.3">
      <c r="B7354" s="37"/>
    </row>
    <row r="7355" spans="2:2" ht="15.9" customHeight="1" x14ac:dyDescent="0.3">
      <c r="B7355" s="37"/>
    </row>
    <row r="7356" spans="2:2" ht="15.9" customHeight="1" x14ac:dyDescent="0.3">
      <c r="B7356" s="37"/>
    </row>
    <row r="7357" spans="2:2" ht="15.9" customHeight="1" x14ac:dyDescent="0.3">
      <c r="B7357" s="37"/>
    </row>
    <row r="7358" spans="2:2" ht="15.9" customHeight="1" x14ac:dyDescent="0.3">
      <c r="B7358" s="37"/>
    </row>
    <row r="7359" spans="2:2" ht="15.9" customHeight="1" x14ac:dyDescent="0.3">
      <c r="B7359" s="37"/>
    </row>
    <row r="7360" spans="2:2" ht="15.9" customHeight="1" x14ac:dyDescent="0.3">
      <c r="B7360" s="37"/>
    </row>
    <row r="7361" spans="2:2" ht="15.9" customHeight="1" x14ac:dyDescent="0.3">
      <c r="B7361" s="37"/>
    </row>
    <row r="7362" spans="2:2" ht="15.9" customHeight="1" x14ac:dyDescent="0.3">
      <c r="B7362" s="37"/>
    </row>
    <row r="7363" spans="2:2" ht="15.9" customHeight="1" x14ac:dyDescent="0.3">
      <c r="B7363" s="37"/>
    </row>
    <row r="7364" spans="2:2" ht="15.9" customHeight="1" x14ac:dyDescent="0.3">
      <c r="B7364" s="37"/>
    </row>
    <row r="7365" spans="2:2" ht="15.9" customHeight="1" x14ac:dyDescent="0.3">
      <c r="B7365" s="37"/>
    </row>
    <row r="7366" spans="2:2" ht="15.9" customHeight="1" x14ac:dyDescent="0.3">
      <c r="B7366" s="37"/>
    </row>
    <row r="7367" spans="2:2" ht="15.9" customHeight="1" x14ac:dyDescent="0.3">
      <c r="B7367" s="37"/>
    </row>
    <row r="7368" spans="2:2" ht="15.9" customHeight="1" x14ac:dyDescent="0.3">
      <c r="B7368" s="37"/>
    </row>
    <row r="7369" spans="2:2" ht="15.9" customHeight="1" x14ac:dyDescent="0.3">
      <c r="B7369" s="37"/>
    </row>
    <row r="7370" spans="2:2" ht="15.9" customHeight="1" x14ac:dyDescent="0.3">
      <c r="B7370" s="37"/>
    </row>
    <row r="7371" spans="2:2" ht="15.9" customHeight="1" x14ac:dyDescent="0.3">
      <c r="B7371" s="37"/>
    </row>
    <row r="7372" spans="2:2" ht="15.9" customHeight="1" x14ac:dyDescent="0.3">
      <c r="B7372" s="37"/>
    </row>
    <row r="7373" spans="2:2" ht="15.9" customHeight="1" x14ac:dyDescent="0.3">
      <c r="B7373" s="37"/>
    </row>
    <row r="7374" spans="2:2" ht="15.9" customHeight="1" x14ac:dyDescent="0.3">
      <c r="B7374" s="37"/>
    </row>
    <row r="7375" spans="2:2" ht="15.9" customHeight="1" x14ac:dyDescent="0.3">
      <c r="B7375" s="37"/>
    </row>
    <row r="7376" spans="2:2" ht="15.9" customHeight="1" x14ac:dyDescent="0.3">
      <c r="B7376" s="37"/>
    </row>
    <row r="7377" spans="2:2" ht="15.9" customHeight="1" x14ac:dyDescent="0.3">
      <c r="B7377" s="37"/>
    </row>
    <row r="7378" spans="2:2" ht="15.9" customHeight="1" x14ac:dyDescent="0.3">
      <c r="B7378" s="37"/>
    </row>
    <row r="7379" spans="2:2" ht="15.9" customHeight="1" x14ac:dyDescent="0.3">
      <c r="B7379" s="37"/>
    </row>
    <row r="7380" spans="2:2" ht="15.9" customHeight="1" x14ac:dyDescent="0.3">
      <c r="B7380" s="37"/>
    </row>
    <row r="7381" spans="2:2" ht="15.9" customHeight="1" x14ac:dyDescent="0.3">
      <c r="B7381" s="37"/>
    </row>
    <row r="7382" spans="2:2" ht="15.9" customHeight="1" x14ac:dyDescent="0.3">
      <c r="B7382" s="37"/>
    </row>
    <row r="7383" spans="2:2" ht="15.9" customHeight="1" x14ac:dyDescent="0.3">
      <c r="B7383" s="37"/>
    </row>
    <row r="7384" spans="2:2" ht="15.9" customHeight="1" x14ac:dyDescent="0.3">
      <c r="B7384" s="37"/>
    </row>
    <row r="7385" spans="2:2" ht="15.9" customHeight="1" x14ac:dyDescent="0.3">
      <c r="B7385" s="37"/>
    </row>
    <row r="7386" spans="2:2" ht="15.9" customHeight="1" x14ac:dyDescent="0.3">
      <c r="B7386" s="37"/>
    </row>
    <row r="7387" spans="2:2" ht="15.9" customHeight="1" x14ac:dyDescent="0.3">
      <c r="B7387" s="37"/>
    </row>
    <row r="7388" spans="2:2" ht="15.9" customHeight="1" x14ac:dyDescent="0.3">
      <c r="B7388" s="37"/>
    </row>
    <row r="7389" spans="2:2" ht="15.9" customHeight="1" x14ac:dyDescent="0.3">
      <c r="B7389" s="37"/>
    </row>
    <row r="7390" spans="2:2" ht="15.9" customHeight="1" x14ac:dyDescent="0.3">
      <c r="B7390" s="37"/>
    </row>
    <row r="7391" spans="2:2" ht="15.9" customHeight="1" x14ac:dyDescent="0.3">
      <c r="B7391" s="37"/>
    </row>
    <row r="7392" spans="2:2" ht="15.9" customHeight="1" x14ac:dyDescent="0.3">
      <c r="B7392" s="37"/>
    </row>
    <row r="7393" spans="2:2" ht="15.9" customHeight="1" x14ac:dyDescent="0.3">
      <c r="B7393" s="37"/>
    </row>
    <row r="7394" spans="2:2" ht="15.9" customHeight="1" x14ac:dyDescent="0.3">
      <c r="B7394" s="37"/>
    </row>
    <row r="7395" spans="2:2" ht="15.9" customHeight="1" x14ac:dyDescent="0.3">
      <c r="B7395" s="37"/>
    </row>
    <row r="7396" spans="2:2" ht="15.9" customHeight="1" x14ac:dyDescent="0.3">
      <c r="B7396" s="37"/>
    </row>
    <row r="7397" spans="2:2" ht="15.9" customHeight="1" x14ac:dyDescent="0.3">
      <c r="B7397" s="37"/>
    </row>
    <row r="7398" spans="2:2" ht="15.9" customHeight="1" x14ac:dyDescent="0.3">
      <c r="B7398" s="37"/>
    </row>
    <row r="7399" spans="2:2" ht="15.9" customHeight="1" x14ac:dyDescent="0.3">
      <c r="B7399" s="37"/>
    </row>
    <row r="7400" spans="2:2" ht="15.9" customHeight="1" x14ac:dyDescent="0.3">
      <c r="B7400" s="37"/>
    </row>
    <row r="7401" spans="2:2" ht="15.9" customHeight="1" x14ac:dyDescent="0.3">
      <c r="B7401" s="37"/>
    </row>
    <row r="7402" spans="2:2" ht="15.9" customHeight="1" x14ac:dyDescent="0.3">
      <c r="B7402" s="37"/>
    </row>
    <row r="7403" spans="2:2" ht="15.9" customHeight="1" x14ac:dyDescent="0.3">
      <c r="B7403" s="37"/>
    </row>
    <row r="7404" spans="2:2" ht="15.9" customHeight="1" x14ac:dyDescent="0.3">
      <c r="B7404" s="37"/>
    </row>
    <row r="7405" spans="2:2" ht="15.9" customHeight="1" x14ac:dyDescent="0.3">
      <c r="B7405" s="37"/>
    </row>
    <row r="7406" spans="2:2" ht="15.9" customHeight="1" x14ac:dyDescent="0.3">
      <c r="B7406" s="37"/>
    </row>
    <row r="7407" spans="2:2" ht="15.9" customHeight="1" x14ac:dyDescent="0.3">
      <c r="B7407" s="37"/>
    </row>
    <row r="7408" spans="2:2" ht="15.9" customHeight="1" x14ac:dyDescent="0.3">
      <c r="B7408" s="37"/>
    </row>
    <row r="7409" spans="2:2" ht="15.9" customHeight="1" x14ac:dyDescent="0.3">
      <c r="B7409" s="37"/>
    </row>
    <row r="7410" spans="2:2" ht="15.9" customHeight="1" x14ac:dyDescent="0.3">
      <c r="B7410" s="37"/>
    </row>
    <row r="7411" spans="2:2" ht="15.9" customHeight="1" x14ac:dyDescent="0.3">
      <c r="B7411" s="37"/>
    </row>
    <row r="7412" spans="2:2" ht="15.9" customHeight="1" x14ac:dyDescent="0.3">
      <c r="B7412" s="37"/>
    </row>
    <row r="7413" spans="2:2" ht="15.9" customHeight="1" x14ac:dyDescent="0.3">
      <c r="B7413" s="37"/>
    </row>
    <row r="7414" spans="2:2" ht="15.9" customHeight="1" x14ac:dyDescent="0.3">
      <c r="B7414" s="37"/>
    </row>
    <row r="7415" spans="2:2" ht="15.9" customHeight="1" x14ac:dyDescent="0.3">
      <c r="B7415" s="37"/>
    </row>
    <row r="7416" spans="2:2" ht="15.9" customHeight="1" x14ac:dyDescent="0.3">
      <c r="B7416" s="37"/>
    </row>
    <row r="7417" spans="2:2" ht="15.9" customHeight="1" x14ac:dyDescent="0.3">
      <c r="B7417" s="37"/>
    </row>
    <row r="7418" spans="2:2" ht="15.9" customHeight="1" x14ac:dyDescent="0.3">
      <c r="B7418" s="37"/>
    </row>
    <row r="7419" spans="2:2" ht="15.9" customHeight="1" x14ac:dyDescent="0.3">
      <c r="B7419" s="37"/>
    </row>
    <row r="7420" spans="2:2" ht="15.9" customHeight="1" x14ac:dyDescent="0.3">
      <c r="B7420" s="37"/>
    </row>
    <row r="7421" spans="2:2" ht="15.9" customHeight="1" x14ac:dyDescent="0.3">
      <c r="B7421" s="37"/>
    </row>
    <row r="7422" spans="2:2" ht="15.9" customHeight="1" x14ac:dyDescent="0.3">
      <c r="B7422" s="37"/>
    </row>
    <row r="7423" spans="2:2" ht="15.9" customHeight="1" x14ac:dyDescent="0.3">
      <c r="B7423" s="37"/>
    </row>
    <row r="7424" spans="2:2" ht="15.9" customHeight="1" x14ac:dyDescent="0.3">
      <c r="B7424" s="37"/>
    </row>
    <row r="7425" spans="2:2" ht="15.9" customHeight="1" x14ac:dyDescent="0.3">
      <c r="B7425" s="37"/>
    </row>
    <row r="7426" spans="2:2" ht="15.9" customHeight="1" x14ac:dyDescent="0.3">
      <c r="B7426" s="37"/>
    </row>
    <row r="7427" spans="2:2" ht="15.9" customHeight="1" x14ac:dyDescent="0.3">
      <c r="B7427" s="37"/>
    </row>
    <row r="7428" spans="2:2" ht="15.9" customHeight="1" x14ac:dyDescent="0.3">
      <c r="B7428" s="37"/>
    </row>
    <row r="7429" spans="2:2" ht="15.9" customHeight="1" x14ac:dyDescent="0.3">
      <c r="B7429" s="37"/>
    </row>
    <row r="7430" spans="2:2" ht="15.9" customHeight="1" x14ac:dyDescent="0.3">
      <c r="B7430" s="37"/>
    </row>
    <row r="7431" spans="2:2" ht="15.9" customHeight="1" x14ac:dyDescent="0.3">
      <c r="B7431" s="37"/>
    </row>
    <row r="7432" spans="2:2" ht="15.9" customHeight="1" x14ac:dyDescent="0.3">
      <c r="B7432" s="37"/>
    </row>
    <row r="7433" spans="2:2" ht="15.9" customHeight="1" x14ac:dyDescent="0.3">
      <c r="B7433" s="37"/>
    </row>
    <row r="7434" spans="2:2" ht="15.9" customHeight="1" x14ac:dyDescent="0.3">
      <c r="B7434" s="37"/>
    </row>
    <row r="7435" spans="2:2" ht="15.9" customHeight="1" x14ac:dyDescent="0.3">
      <c r="B7435" s="37"/>
    </row>
    <row r="7436" spans="2:2" ht="15.9" customHeight="1" x14ac:dyDescent="0.3">
      <c r="B7436" s="37"/>
    </row>
    <row r="7437" spans="2:2" ht="15.9" customHeight="1" x14ac:dyDescent="0.3">
      <c r="B7437" s="37"/>
    </row>
    <row r="7438" spans="2:2" ht="15.9" customHeight="1" x14ac:dyDescent="0.3">
      <c r="B7438" s="37"/>
    </row>
    <row r="7439" spans="2:2" ht="15.9" customHeight="1" x14ac:dyDescent="0.3">
      <c r="B7439" s="37"/>
    </row>
    <row r="7440" spans="2:2" ht="15.9" customHeight="1" x14ac:dyDescent="0.3">
      <c r="B7440" s="37"/>
    </row>
    <row r="7441" spans="2:2" ht="15.9" customHeight="1" x14ac:dyDescent="0.3">
      <c r="B7441" s="37"/>
    </row>
    <row r="7442" spans="2:2" ht="15.9" customHeight="1" x14ac:dyDescent="0.3">
      <c r="B7442" s="37"/>
    </row>
    <row r="7443" spans="2:2" ht="15.9" customHeight="1" x14ac:dyDescent="0.3">
      <c r="B7443" s="37"/>
    </row>
    <row r="7444" spans="2:2" ht="15.9" customHeight="1" x14ac:dyDescent="0.3">
      <c r="B7444" s="37"/>
    </row>
    <row r="7445" spans="2:2" ht="15.9" customHeight="1" x14ac:dyDescent="0.3">
      <c r="B7445" s="37"/>
    </row>
    <row r="7446" spans="2:2" ht="15.9" customHeight="1" x14ac:dyDescent="0.3">
      <c r="B7446" s="37"/>
    </row>
    <row r="7447" spans="2:2" ht="15.9" customHeight="1" x14ac:dyDescent="0.3">
      <c r="B7447" s="37"/>
    </row>
    <row r="7448" spans="2:2" ht="15.9" customHeight="1" x14ac:dyDescent="0.3">
      <c r="B7448" s="37"/>
    </row>
    <row r="7449" spans="2:2" ht="15.9" customHeight="1" x14ac:dyDescent="0.3">
      <c r="B7449" s="37"/>
    </row>
    <row r="7450" spans="2:2" ht="15.9" customHeight="1" x14ac:dyDescent="0.3">
      <c r="B7450" s="37"/>
    </row>
    <row r="7451" spans="2:2" ht="15.9" customHeight="1" x14ac:dyDescent="0.3">
      <c r="B7451" s="37"/>
    </row>
    <row r="7452" spans="2:2" ht="15.9" customHeight="1" x14ac:dyDescent="0.3">
      <c r="B7452" s="37"/>
    </row>
    <row r="7453" spans="2:2" ht="15.9" customHeight="1" x14ac:dyDescent="0.3">
      <c r="B7453" s="37"/>
    </row>
    <row r="7454" spans="2:2" ht="15.9" customHeight="1" x14ac:dyDescent="0.3">
      <c r="B7454" s="37"/>
    </row>
    <row r="7455" spans="2:2" ht="15.9" customHeight="1" x14ac:dyDescent="0.3">
      <c r="B7455" s="37"/>
    </row>
    <row r="7456" spans="2:2" ht="15.9" customHeight="1" x14ac:dyDescent="0.3">
      <c r="B7456" s="37"/>
    </row>
    <row r="7457" spans="2:2" ht="15.9" customHeight="1" x14ac:dyDescent="0.3">
      <c r="B7457" s="37"/>
    </row>
    <row r="7458" spans="2:2" ht="15.9" customHeight="1" x14ac:dyDescent="0.3">
      <c r="B7458" s="37"/>
    </row>
    <row r="7459" spans="2:2" ht="15.9" customHeight="1" x14ac:dyDescent="0.3">
      <c r="B7459" s="37"/>
    </row>
    <row r="7460" spans="2:2" ht="15.9" customHeight="1" x14ac:dyDescent="0.3">
      <c r="B7460" s="37"/>
    </row>
    <row r="7461" spans="2:2" ht="15.9" customHeight="1" x14ac:dyDescent="0.3">
      <c r="B7461" s="37"/>
    </row>
    <row r="7462" spans="2:2" ht="15.9" customHeight="1" x14ac:dyDescent="0.3">
      <c r="B7462" s="37"/>
    </row>
    <row r="7463" spans="2:2" ht="15.9" customHeight="1" x14ac:dyDescent="0.3">
      <c r="B7463" s="37"/>
    </row>
    <row r="7464" spans="2:2" ht="15.9" customHeight="1" x14ac:dyDescent="0.3">
      <c r="B7464" s="37"/>
    </row>
    <row r="7465" spans="2:2" ht="15.9" customHeight="1" x14ac:dyDescent="0.3">
      <c r="B7465" s="37"/>
    </row>
    <row r="7466" spans="2:2" ht="15.9" customHeight="1" x14ac:dyDescent="0.3">
      <c r="B7466" s="37"/>
    </row>
    <row r="7467" spans="2:2" ht="15.9" customHeight="1" x14ac:dyDescent="0.3">
      <c r="B7467" s="37"/>
    </row>
    <row r="7468" spans="2:2" ht="15.9" customHeight="1" x14ac:dyDescent="0.3">
      <c r="B7468" s="37"/>
    </row>
    <row r="7469" spans="2:2" ht="15.9" customHeight="1" x14ac:dyDescent="0.3">
      <c r="B7469" s="37"/>
    </row>
    <row r="7470" spans="2:2" ht="15.9" customHeight="1" x14ac:dyDescent="0.3">
      <c r="B7470" s="37"/>
    </row>
    <row r="7471" spans="2:2" ht="15.9" customHeight="1" x14ac:dyDescent="0.3">
      <c r="B7471" s="37"/>
    </row>
    <row r="7472" spans="2:2" ht="15.9" customHeight="1" x14ac:dyDescent="0.3">
      <c r="B7472" s="37"/>
    </row>
    <row r="7473" spans="2:2" ht="15.9" customHeight="1" x14ac:dyDescent="0.3">
      <c r="B7473" s="37"/>
    </row>
    <row r="7474" spans="2:2" ht="15.9" customHeight="1" x14ac:dyDescent="0.3">
      <c r="B7474" s="37"/>
    </row>
    <row r="7475" spans="2:2" ht="15.9" customHeight="1" x14ac:dyDescent="0.3">
      <c r="B7475" s="37"/>
    </row>
    <row r="7476" spans="2:2" ht="15.9" customHeight="1" x14ac:dyDescent="0.3">
      <c r="B7476" s="37"/>
    </row>
    <row r="7477" spans="2:2" ht="15.9" customHeight="1" x14ac:dyDescent="0.3">
      <c r="B7477" s="37"/>
    </row>
    <row r="7478" spans="2:2" ht="15.9" customHeight="1" x14ac:dyDescent="0.3">
      <c r="B7478" s="37"/>
    </row>
    <row r="7479" spans="2:2" ht="15.9" customHeight="1" x14ac:dyDescent="0.3">
      <c r="B7479" s="37"/>
    </row>
    <row r="7480" spans="2:2" ht="15.9" customHeight="1" x14ac:dyDescent="0.3">
      <c r="B7480" s="37"/>
    </row>
    <row r="7481" spans="2:2" ht="15.9" customHeight="1" x14ac:dyDescent="0.3">
      <c r="B7481" s="37"/>
    </row>
    <row r="7482" spans="2:2" ht="15.9" customHeight="1" x14ac:dyDescent="0.3">
      <c r="B7482" s="37"/>
    </row>
    <row r="7483" spans="2:2" ht="15.9" customHeight="1" x14ac:dyDescent="0.3">
      <c r="B7483" s="37"/>
    </row>
    <row r="7484" spans="2:2" ht="15.9" customHeight="1" x14ac:dyDescent="0.3">
      <c r="B7484" s="37"/>
    </row>
    <row r="7485" spans="2:2" ht="15.9" customHeight="1" x14ac:dyDescent="0.3">
      <c r="B7485" s="37"/>
    </row>
    <row r="7486" spans="2:2" ht="15.9" customHeight="1" x14ac:dyDescent="0.3">
      <c r="B7486" s="37"/>
    </row>
    <row r="7487" spans="2:2" ht="15.9" customHeight="1" x14ac:dyDescent="0.3">
      <c r="B7487" s="37"/>
    </row>
    <row r="7488" spans="2:2" ht="15.9" customHeight="1" x14ac:dyDescent="0.3">
      <c r="B7488" s="37"/>
    </row>
    <row r="7489" spans="2:2" ht="15.9" customHeight="1" x14ac:dyDescent="0.3">
      <c r="B7489" s="37"/>
    </row>
    <row r="7490" spans="2:2" ht="15.9" customHeight="1" x14ac:dyDescent="0.3">
      <c r="B7490" s="37"/>
    </row>
    <row r="7491" spans="2:2" ht="15.9" customHeight="1" x14ac:dyDescent="0.3">
      <c r="B7491" s="37"/>
    </row>
    <row r="7492" spans="2:2" ht="15.9" customHeight="1" x14ac:dyDescent="0.3">
      <c r="B7492" s="37"/>
    </row>
    <row r="7493" spans="2:2" ht="15.9" customHeight="1" x14ac:dyDescent="0.3">
      <c r="B7493" s="37"/>
    </row>
    <row r="7494" spans="2:2" ht="15.9" customHeight="1" x14ac:dyDescent="0.3">
      <c r="B7494" s="37"/>
    </row>
    <row r="7495" spans="2:2" ht="15.9" customHeight="1" x14ac:dyDescent="0.3">
      <c r="B7495" s="37"/>
    </row>
    <row r="7496" spans="2:2" ht="15.9" customHeight="1" x14ac:dyDescent="0.3">
      <c r="B7496" s="37"/>
    </row>
    <row r="7497" spans="2:2" ht="15.9" customHeight="1" x14ac:dyDescent="0.3">
      <c r="B7497" s="37"/>
    </row>
    <row r="7498" spans="2:2" ht="15.9" customHeight="1" x14ac:dyDescent="0.3">
      <c r="B7498" s="37"/>
    </row>
    <row r="7499" spans="2:2" ht="15.9" customHeight="1" x14ac:dyDescent="0.3">
      <c r="B7499" s="37"/>
    </row>
    <row r="7500" spans="2:2" ht="15.9" customHeight="1" x14ac:dyDescent="0.3">
      <c r="B7500" s="37"/>
    </row>
    <row r="7501" spans="2:2" ht="15.9" customHeight="1" x14ac:dyDescent="0.3">
      <c r="B7501" s="37"/>
    </row>
    <row r="7502" spans="2:2" ht="15.9" customHeight="1" x14ac:dyDescent="0.3">
      <c r="B7502" s="37"/>
    </row>
    <row r="7503" spans="2:2" ht="15.9" customHeight="1" x14ac:dyDescent="0.3">
      <c r="B7503" s="37"/>
    </row>
    <row r="7504" spans="2:2" ht="15.9" customHeight="1" x14ac:dyDescent="0.3">
      <c r="B7504" s="37"/>
    </row>
    <row r="7505" spans="2:2" ht="15.9" customHeight="1" x14ac:dyDescent="0.3">
      <c r="B7505" s="37"/>
    </row>
    <row r="7506" spans="2:2" ht="15.9" customHeight="1" x14ac:dyDescent="0.3">
      <c r="B7506" s="37"/>
    </row>
    <row r="7507" spans="2:2" ht="15.9" customHeight="1" x14ac:dyDescent="0.3">
      <c r="B7507" s="37"/>
    </row>
    <row r="7508" spans="2:2" ht="15.9" customHeight="1" x14ac:dyDescent="0.3">
      <c r="B7508" s="37"/>
    </row>
    <row r="7509" spans="2:2" ht="15.9" customHeight="1" x14ac:dyDescent="0.3">
      <c r="B7509" s="37"/>
    </row>
    <row r="7510" spans="2:2" ht="15.9" customHeight="1" x14ac:dyDescent="0.3">
      <c r="B7510" s="37"/>
    </row>
    <row r="7511" spans="2:2" ht="15.9" customHeight="1" x14ac:dyDescent="0.3">
      <c r="B7511" s="37"/>
    </row>
    <row r="7512" spans="2:2" ht="15.9" customHeight="1" x14ac:dyDescent="0.3">
      <c r="B7512" s="37"/>
    </row>
    <row r="7513" spans="2:2" ht="15.9" customHeight="1" x14ac:dyDescent="0.3">
      <c r="B7513" s="37"/>
    </row>
    <row r="7514" spans="2:2" ht="15.9" customHeight="1" x14ac:dyDescent="0.3">
      <c r="B7514" s="37"/>
    </row>
    <row r="7515" spans="2:2" ht="15.9" customHeight="1" x14ac:dyDescent="0.3">
      <c r="B7515" s="37"/>
    </row>
    <row r="7516" spans="2:2" ht="15.9" customHeight="1" x14ac:dyDescent="0.3">
      <c r="B7516" s="37"/>
    </row>
    <row r="7517" spans="2:2" ht="15.9" customHeight="1" x14ac:dyDescent="0.3">
      <c r="B7517" s="37"/>
    </row>
    <row r="7518" spans="2:2" ht="15.9" customHeight="1" x14ac:dyDescent="0.3">
      <c r="B7518" s="37"/>
    </row>
    <row r="7519" spans="2:2" ht="15.9" customHeight="1" x14ac:dyDescent="0.3">
      <c r="B7519" s="37"/>
    </row>
    <row r="7520" spans="2:2" ht="15.9" customHeight="1" x14ac:dyDescent="0.3">
      <c r="B7520" s="37"/>
    </row>
    <row r="7521" spans="2:2" ht="15.9" customHeight="1" x14ac:dyDescent="0.3">
      <c r="B7521" s="37"/>
    </row>
    <row r="7522" spans="2:2" ht="15.9" customHeight="1" x14ac:dyDescent="0.3">
      <c r="B7522" s="37"/>
    </row>
    <row r="7523" spans="2:2" ht="15.9" customHeight="1" x14ac:dyDescent="0.3">
      <c r="B7523" s="37"/>
    </row>
    <row r="7524" spans="2:2" ht="15.9" customHeight="1" x14ac:dyDescent="0.3">
      <c r="B7524" s="37"/>
    </row>
    <row r="7525" spans="2:2" ht="15.9" customHeight="1" x14ac:dyDescent="0.3">
      <c r="B7525" s="37"/>
    </row>
    <row r="7526" spans="2:2" ht="15.9" customHeight="1" x14ac:dyDescent="0.3">
      <c r="B7526" s="37"/>
    </row>
    <row r="7527" spans="2:2" ht="15.9" customHeight="1" x14ac:dyDescent="0.3">
      <c r="B7527" s="37"/>
    </row>
    <row r="7528" spans="2:2" ht="15.9" customHeight="1" x14ac:dyDescent="0.3">
      <c r="B7528" s="37"/>
    </row>
    <row r="7529" spans="2:2" ht="15.9" customHeight="1" x14ac:dyDescent="0.3">
      <c r="B7529" s="37"/>
    </row>
    <row r="7530" spans="2:2" ht="15.9" customHeight="1" x14ac:dyDescent="0.3">
      <c r="B7530" s="37"/>
    </row>
    <row r="7531" spans="2:2" ht="15.9" customHeight="1" x14ac:dyDescent="0.3">
      <c r="B7531" s="37"/>
    </row>
    <row r="7532" spans="2:2" ht="15.9" customHeight="1" x14ac:dyDescent="0.3">
      <c r="B7532" s="37"/>
    </row>
    <row r="7533" spans="2:2" ht="15.9" customHeight="1" x14ac:dyDescent="0.3">
      <c r="B7533" s="37"/>
    </row>
    <row r="7534" spans="2:2" ht="15.9" customHeight="1" x14ac:dyDescent="0.3">
      <c r="B7534" s="37"/>
    </row>
    <row r="7535" spans="2:2" ht="15.9" customHeight="1" x14ac:dyDescent="0.3">
      <c r="B7535" s="37"/>
    </row>
    <row r="7536" spans="2:2" ht="15.9" customHeight="1" x14ac:dyDescent="0.3">
      <c r="B7536" s="37"/>
    </row>
    <row r="7537" spans="2:2" ht="15.9" customHeight="1" x14ac:dyDescent="0.3">
      <c r="B7537" s="37"/>
    </row>
    <row r="7538" spans="2:2" ht="15.9" customHeight="1" x14ac:dyDescent="0.3">
      <c r="B7538" s="37"/>
    </row>
    <row r="7539" spans="2:2" ht="15.9" customHeight="1" x14ac:dyDescent="0.3">
      <c r="B7539" s="37"/>
    </row>
    <row r="7540" spans="2:2" ht="15.9" customHeight="1" x14ac:dyDescent="0.3">
      <c r="B7540" s="37"/>
    </row>
    <row r="7541" spans="2:2" ht="15.9" customHeight="1" x14ac:dyDescent="0.3">
      <c r="B7541" s="37"/>
    </row>
    <row r="7542" spans="2:2" ht="15.9" customHeight="1" x14ac:dyDescent="0.3">
      <c r="B7542" s="37"/>
    </row>
    <row r="7543" spans="2:2" ht="15.9" customHeight="1" x14ac:dyDescent="0.3">
      <c r="B7543" s="37"/>
    </row>
    <row r="7544" spans="2:2" ht="15.9" customHeight="1" x14ac:dyDescent="0.3">
      <c r="B7544" s="37"/>
    </row>
    <row r="7545" spans="2:2" ht="15.9" customHeight="1" x14ac:dyDescent="0.3">
      <c r="B7545" s="37"/>
    </row>
    <row r="7546" spans="2:2" ht="15.9" customHeight="1" x14ac:dyDescent="0.3">
      <c r="B7546" s="37"/>
    </row>
    <row r="7547" spans="2:2" ht="15.9" customHeight="1" x14ac:dyDescent="0.3">
      <c r="B7547" s="37"/>
    </row>
    <row r="7548" spans="2:2" ht="15.9" customHeight="1" x14ac:dyDescent="0.3">
      <c r="B7548" s="37"/>
    </row>
    <row r="7549" spans="2:2" ht="15.9" customHeight="1" x14ac:dyDescent="0.3">
      <c r="B7549" s="37"/>
    </row>
    <row r="7550" spans="2:2" ht="15.9" customHeight="1" x14ac:dyDescent="0.3">
      <c r="B7550" s="37"/>
    </row>
    <row r="7551" spans="2:2" ht="15.9" customHeight="1" x14ac:dyDescent="0.3">
      <c r="B7551" s="37"/>
    </row>
    <row r="7552" spans="2:2" ht="15.9" customHeight="1" x14ac:dyDescent="0.3">
      <c r="B7552" s="37"/>
    </row>
    <row r="7553" spans="2:2" ht="15.9" customHeight="1" x14ac:dyDescent="0.3">
      <c r="B7553" s="37"/>
    </row>
    <row r="7554" spans="2:2" ht="15.9" customHeight="1" x14ac:dyDescent="0.3">
      <c r="B7554" s="37"/>
    </row>
    <row r="7555" spans="2:2" ht="15.9" customHeight="1" x14ac:dyDescent="0.3">
      <c r="B7555" s="37"/>
    </row>
    <row r="7556" spans="2:2" ht="15.9" customHeight="1" x14ac:dyDescent="0.3">
      <c r="B7556" s="37"/>
    </row>
    <row r="7557" spans="2:2" ht="15.9" customHeight="1" x14ac:dyDescent="0.3">
      <c r="B7557" s="37"/>
    </row>
    <row r="7558" spans="2:2" ht="15.9" customHeight="1" x14ac:dyDescent="0.3">
      <c r="B7558" s="37"/>
    </row>
    <row r="7559" spans="2:2" ht="15.9" customHeight="1" x14ac:dyDescent="0.3">
      <c r="B7559" s="37"/>
    </row>
    <row r="7560" spans="2:2" ht="15.9" customHeight="1" x14ac:dyDescent="0.3">
      <c r="B7560" s="37"/>
    </row>
    <row r="7561" spans="2:2" ht="15.9" customHeight="1" x14ac:dyDescent="0.3">
      <c r="B7561" s="37"/>
    </row>
    <row r="7562" spans="2:2" ht="15.9" customHeight="1" x14ac:dyDescent="0.3">
      <c r="B7562" s="37"/>
    </row>
    <row r="7563" spans="2:2" ht="15.9" customHeight="1" x14ac:dyDescent="0.3">
      <c r="B7563" s="37"/>
    </row>
    <row r="7564" spans="2:2" ht="15.9" customHeight="1" x14ac:dyDescent="0.3">
      <c r="B7564" s="37"/>
    </row>
    <row r="7565" spans="2:2" ht="15.9" customHeight="1" x14ac:dyDescent="0.3">
      <c r="B7565" s="37"/>
    </row>
    <row r="7566" spans="2:2" ht="15.9" customHeight="1" x14ac:dyDescent="0.3">
      <c r="B7566" s="37"/>
    </row>
    <row r="7567" spans="2:2" ht="15.9" customHeight="1" x14ac:dyDescent="0.3">
      <c r="B7567" s="37"/>
    </row>
    <row r="7568" spans="2:2" ht="15.9" customHeight="1" x14ac:dyDescent="0.3">
      <c r="B7568" s="37"/>
    </row>
    <row r="7569" spans="2:2" ht="15.9" customHeight="1" x14ac:dyDescent="0.3">
      <c r="B7569" s="37"/>
    </row>
    <row r="7570" spans="2:2" ht="15.9" customHeight="1" x14ac:dyDescent="0.3">
      <c r="B7570" s="37"/>
    </row>
    <row r="7571" spans="2:2" ht="15.9" customHeight="1" x14ac:dyDescent="0.3">
      <c r="B7571" s="37"/>
    </row>
    <row r="7572" spans="2:2" ht="15.9" customHeight="1" x14ac:dyDescent="0.3">
      <c r="B7572" s="37"/>
    </row>
    <row r="7573" spans="2:2" ht="15.9" customHeight="1" x14ac:dyDescent="0.3">
      <c r="B7573" s="37"/>
    </row>
    <row r="7574" spans="2:2" ht="15.9" customHeight="1" x14ac:dyDescent="0.3">
      <c r="B7574" s="37"/>
    </row>
    <row r="7575" spans="2:2" ht="15.9" customHeight="1" x14ac:dyDescent="0.3">
      <c r="B7575" s="37"/>
    </row>
    <row r="7576" spans="2:2" ht="15.9" customHeight="1" x14ac:dyDescent="0.3">
      <c r="B7576" s="37"/>
    </row>
    <row r="7577" spans="2:2" ht="15.9" customHeight="1" x14ac:dyDescent="0.3">
      <c r="B7577" s="37"/>
    </row>
    <row r="7578" spans="2:2" ht="15.9" customHeight="1" x14ac:dyDescent="0.3">
      <c r="B7578" s="37"/>
    </row>
    <row r="7579" spans="2:2" ht="15.9" customHeight="1" x14ac:dyDescent="0.3">
      <c r="B7579" s="37"/>
    </row>
    <row r="7580" spans="2:2" ht="15.9" customHeight="1" x14ac:dyDescent="0.3">
      <c r="B7580" s="37"/>
    </row>
    <row r="7581" spans="2:2" ht="15.9" customHeight="1" x14ac:dyDescent="0.3">
      <c r="B7581" s="37"/>
    </row>
    <row r="7582" spans="2:2" ht="15.9" customHeight="1" x14ac:dyDescent="0.3">
      <c r="B7582" s="37"/>
    </row>
    <row r="7583" spans="2:2" ht="15.9" customHeight="1" x14ac:dyDescent="0.3">
      <c r="B7583" s="37"/>
    </row>
    <row r="7584" spans="2:2" ht="15.9" customHeight="1" x14ac:dyDescent="0.3">
      <c r="B7584" s="37"/>
    </row>
    <row r="7585" spans="2:2" ht="15.9" customHeight="1" x14ac:dyDescent="0.3">
      <c r="B7585" s="37"/>
    </row>
    <row r="7586" spans="2:2" ht="15.9" customHeight="1" x14ac:dyDescent="0.3">
      <c r="B7586" s="37"/>
    </row>
    <row r="7587" spans="2:2" ht="15.9" customHeight="1" x14ac:dyDescent="0.3">
      <c r="B7587" s="37"/>
    </row>
    <row r="7588" spans="2:2" ht="15.9" customHeight="1" x14ac:dyDescent="0.3">
      <c r="B7588" s="37"/>
    </row>
    <row r="7589" spans="2:2" ht="15.9" customHeight="1" x14ac:dyDescent="0.3">
      <c r="B7589" s="37"/>
    </row>
    <row r="7590" spans="2:2" ht="15.9" customHeight="1" x14ac:dyDescent="0.3">
      <c r="B7590" s="37"/>
    </row>
    <row r="7591" spans="2:2" ht="15.9" customHeight="1" x14ac:dyDescent="0.3">
      <c r="B7591" s="37"/>
    </row>
    <row r="7592" spans="2:2" ht="15.9" customHeight="1" x14ac:dyDescent="0.3">
      <c r="B7592" s="37"/>
    </row>
    <row r="7593" spans="2:2" ht="15.9" customHeight="1" x14ac:dyDescent="0.3">
      <c r="B7593" s="37"/>
    </row>
    <row r="7594" spans="2:2" ht="15.9" customHeight="1" x14ac:dyDescent="0.3">
      <c r="B7594" s="37"/>
    </row>
    <row r="7595" spans="2:2" ht="15.9" customHeight="1" x14ac:dyDescent="0.3">
      <c r="B7595" s="37"/>
    </row>
    <row r="7596" spans="2:2" ht="15.9" customHeight="1" x14ac:dyDescent="0.3">
      <c r="B7596" s="37"/>
    </row>
    <row r="7597" spans="2:2" ht="15.9" customHeight="1" x14ac:dyDescent="0.3">
      <c r="B7597" s="37"/>
    </row>
    <row r="7598" spans="2:2" ht="15.9" customHeight="1" x14ac:dyDescent="0.3">
      <c r="B7598" s="37"/>
    </row>
    <row r="7599" spans="2:2" ht="15.9" customHeight="1" x14ac:dyDescent="0.3">
      <c r="B7599" s="37"/>
    </row>
    <row r="7600" spans="2:2" ht="15.9" customHeight="1" x14ac:dyDescent="0.3">
      <c r="B7600" s="37"/>
    </row>
    <row r="7601" spans="2:2" ht="15.9" customHeight="1" x14ac:dyDescent="0.3">
      <c r="B7601" s="37"/>
    </row>
    <row r="7602" spans="2:2" ht="15.9" customHeight="1" x14ac:dyDescent="0.3">
      <c r="B7602" s="37"/>
    </row>
    <row r="7603" spans="2:2" ht="15.9" customHeight="1" x14ac:dyDescent="0.3">
      <c r="B7603" s="37"/>
    </row>
    <row r="7604" spans="2:2" ht="15.9" customHeight="1" x14ac:dyDescent="0.3">
      <c r="B7604" s="37"/>
    </row>
    <row r="7605" spans="2:2" ht="15.9" customHeight="1" x14ac:dyDescent="0.3">
      <c r="B7605" s="37"/>
    </row>
    <row r="7606" spans="2:2" ht="15.9" customHeight="1" x14ac:dyDescent="0.3">
      <c r="B7606" s="37"/>
    </row>
    <row r="7607" spans="2:2" ht="15.9" customHeight="1" x14ac:dyDescent="0.3">
      <c r="B7607" s="37"/>
    </row>
    <row r="7608" spans="2:2" ht="15.9" customHeight="1" x14ac:dyDescent="0.3">
      <c r="B7608" s="37"/>
    </row>
    <row r="7609" spans="2:2" ht="15.9" customHeight="1" x14ac:dyDescent="0.3">
      <c r="B7609" s="37"/>
    </row>
    <row r="7610" spans="2:2" ht="15.9" customHeight="1" x14ac:dyDescent="0.3">
      <c r="B7610" s="37"/>
    </row>
    <row r="7611" spans="2:2" ht="15.9" customHeight="1" x14ac:dyDescent="0.3">
      <c r="B7611" s="37"/>
    </row>
    <row r="7612" spans="2:2" ht="15.9" customHeight="1" x14ac:dyDescent="0.3">
      <c r="B7612" s="37"/>
    </row>
    <row r="7613" spans="2:2" ht="15.9" customHeight="1" x14ac:dyDescent="0.3">
      <c r="B7613" s="37"/>
    </row>
    <row r="7614" spans="2:2" ht="15.9" customHeight="1" x14ac:dyDescent="0.3">
      <c r="B7614" s="37"/>
    </row>
    <row r="7615" spans="2:2" ht="15.9" customHeight="1" x14ac:dyDescent="0.3">
      <c r="B7615" s="37"/>
    </row>
    <row r="7616" spans="2:2" ht="15.9" customHeight="1" x14ac:dyDescent="0.3">
      <c r="B7616" s="37"/>
    </row>
    <row r="7617" spans="2:2" ht="15.9" customHeight="1" x14ac:dyDescent="0.3">
      <c r="B7617" s="37"/>
    </row>
    <row r="7618" spans="2:2" ht="15.9" customHeight="1" x14ac:dyDescent="0.3">
      <c r="B7618" s="37"/>
    </row>
    <row r="7619" spans="2:2" ht="15.9" customHeight="1" x14ac:dyDescent="0.3">
      <c r="B7619" s="37"/>
    </row>
    <row r="7620" spans="2:2" ht="15.9" customHeight="1" x14ac:dyDescent="0.3">
      <c r="B7620" s="37"/>
    </row>
    <row r="7621" spans="2:2" ht="15.9" customHeight="1" x14ac:dyDescent="0.3">
      <c r="B7621" s="37"/>
    </row>
    <row r="7622" spans="2:2" ht="15.9" customHeight="1" x14ac:dyDescent="0.3">
      <c r="B7622" s="37"/>
    </row>
    <row r="7623" spans="2:2" ht="15.9" customHeight="1" x14ac:dyDescent="0.3">
      <c r="B7623" s="37"/>
    </row>
    <row r="7624" spans="2:2" ht="15.9" customHeight="1" x14ac:dyDescent="0.3">
      <c r="B7624" s="37"/>
    </row>
    <row r="7625" spans="2:2" ht="15.9" customHeight="1" x14ac:dyDescent="0.3">
      <c r="B7625" s="37"/>
    </row>
    <row r="7626" spans="2:2" ht="15.9" customHeight="1" x14ac:dyDescent="0.3">
      <c r="B7626" s="37"/>
    </row>
    <row r="7627" spans="2:2" ht="15.9" customHeight="1" x14ac:dyDescent="0.3">
      <c r="B7627" s="37"/>
    </row>
    <row r="7628" spans="2:2" ht="15.9" customHeight="1" x14ac:dyDescent="0.3">
      <c r="B7628" s="37"/>
    </row>
    <row r="7629" spans="2:2" ht="15.9" customHeight="1" x14ac:dyDescent="0.3">
      <c r="B7629" s="37"/>
    </row>
    <row r="7630" spans="2:2" ht="15.9" customHeight="1" x14ac:dyDescent="0.3">
      <c r="B7630" s="37"/>
    </row>
    <row r="7631" spans="2:2" ht="15.9" customHeight="1" x14ac:dyDescent="0.3">
      <c r="B7631" s="37"/>
    </row>
    <row r="7632" spans="2:2" ht="15.9" customHeight="1" x14ac:dyDescent="0.3">
      <c r="B7632" s="37"/>
    </row>
    <row r="7633" spans="2:2" ht="15.9" customHeight="1" x14ac:dyDescent="0.3">
      <c r="B7633" s="37"/>
    </row>
    <row r="7634" spans="2:2" ht="15.9" customHeight="1" x14ac:dyDescent="0.3">
      <c r="B7634" s="37"/>
    </row>
    <row r="7635" spans="2:2" ht="15.9" customHeight="1" x14ac:dyDescent="0.3">
      <c r="B7635" s="37"/>
    </row>
    <row r="7636" spans="2:2" ht="15.9" customHeight="1" x14ac:dyDescent="0.3">
      <c r="B7636" s="37"/>
    </row>
    <row r="7637" spans="2:2" ht="15.9" customHeight="1" x14ac:dyDescent="0.3">
      <c r="B7637" s="37"/>
    </row>
    <row r="7638" spans="2:2" ht="15.9" customHeight="1" x14ac:dyDescent="0.3">
      <c r="B7638" s="37"/>
    </row>
    <row r="7639" spans="2:2" ht="15.9" customHeight="1" x14ac:dyDescent="0.3">
      <c r="B7639" s="37"/>
    </row>
    <row r="7640" spans="2:2" ht="15.9" customHeight="1" x14ac:dyDescent="0.3">
      <c r="B7640" s="37"/>
    </row>
    <row r="7641" spans="2:2" ht="15.9" customHeight="1" x14ac:dyDescent="0.3">
      <c r="B7641" s="37"/>
    </row>
    <row r="7642" spans="2:2" ht="15.9" customHeight="1" x14ac:dyDescent="0.3">
      <c r="B7642" s="37"/>
    </row>
    <row r="7643" spans="2:2" ht="15.9" customHeight="1" x14ac:dyDescent="0.3">
      <c r="B7643" s="37"/>
    </row>
    <row r="7644" spans="2:2" ht="15.9" customHeight="1" x14ac:dyDescent="0.3">
      <c r="B7644" s="37"/>
    </row>
    <row r="7645" spans="2:2" ht="15.9" customHeight="1" x14ac:dyDescent="0.3">
      <c r="B7645" s="37"/>
    </row>
    <row r="7646" spans="2:2" ht="15.9" customHeight="1" x14ac:dyDescent="0.3">
      <c r="B7646" s="37"/>
    </row>
    <row r="7647" spans="2:2" ht="15.9" customHeight="1" x14ac:dyDescent="0.3">
      <c r="B7647" s="37"/>
    </row>
    <row r="7648" spans="2:2" ht="15.9" customHeight="1" x14ac:dyDescent="0.3">
      <c r="B7648" s="37"/>
    </row>
    <row r="7649" spans="2:2" ht="15.9" customHeight="1" x14ac:dyDescent="0.3">
      <c r="B7649" s="37"/>
    </row>
    <row r="7650" spans="2:2" ht="15.9" customHeight="1" x14ac:dyDescent="0.3">
      <c r="B7650" s="37"/>
    </row>
    <row r="7651" spans="2:2" ht="15.9" customHeight="1" x14ac:dyDescent="0.3">
      <c r="B7651" s="37"/>
    </row>
    <row r="7652" spans="2:2" ht="15.9" customHeight="1" x14ac:dyDescent="0.3">
      <c r="B7652" s="37"/>
    </row>
    <row r="7653" spans="2:2" ht="15.9" customHeight="1" x14ac:dyDescent="0.3">
      <c r="B7653" s="37"/>
    </row>
    <row r="7654" spans="2:2" ht="15.9" customHeight="1" x14ac:dyDescent="0.3">
      <c r="B7654" s="37"/>
    </row>
    <row r="7655" spans="2:2" ht="15.9" customHeight="1" x14ac:dyDescent="0.3">
      <c r="B7655" s="37"/>
    </row>
    <row r="7656" spans="2:2" ht="15.9" customHeight="1" x14ac:dyDescent="0.3">
      <c r="B7656" s="37"/>
    </row>
    <row r="7657" spans="2:2" ht="15.9" customHeight="1" x14ac:dyDescent="0.3">
      <c r="B7657" s="37"/>
    </row>
    <row r="7658" spans="2:2" ht="15.9" customHeight="1" x14ac:dyDescent="0.3">
      <c r="B7658" s="37"/>
    </row>
    <row r="7659" spans="2:2" ht="15.9" customHeight="1" x14ac:dyDescent="0.3">
      <c r="B7659" s="37"/>
    </row>
    <row r="7660" spans="2:2" ht="15.9" customHeight="1" x14ac:dyDescent="0.3">
      <c r="B7660" s="37"/>
    </row>
    <row r="7661" spans="2:2" ht="15.9" customHeight="1" x14ac:dyDescent="0.3">
      <c r="B7661" s="37"/>
    </row>
    <row r="7662" spans="2:2" ht="15.9" customHeight="1" x14ac:dyDescent="0.3">
      <c r="B7662" s="37"/>
    </row>
    <row r="7663" spans="2:2" ht="15.9" customHeight="1" x14ac:dyDescent="0.3">
      <c r="B7663" s="37"/>
    </row>
    <row r="7664" spans="2:2" ht="15.9" customHeight="1" x14ac:dyDescent="0.3">
      <c r="B7664" s="37"/>
    </row>
    <row r="7665" spans="2:2" ht="15.9" customHeight="1" x14ac:dyDescent="0.3">
      <c r="B7665" s="37"/>
    </row>
    <row r="7666" spans="2:2" ht="15.9" customHeight="1" x14ac:dyDescent="0.3">
      <c r="B7666" s="37"/>
    </row>
    <row r="7667" spans="2:2" ht="15.9" customHeight="1" x14ac:dyDescent="0.3">
      <c r="B7667" s="37"/>
    </row>
    <row r="7668" spans="2:2" ht="15.9" customHeight="1" x14ac:dyDescent="0.3">
      <c r="B7668" s="37"/>
    </row>
    <row r="7669" spans="2:2" ht="15.9" customHeight="1" x14ac:dyDescent="0.3">
      <c r="B7669" s="37"/>
    </row>
    <row r="7670" spans="2:2" ht="15.9" customHeight="1" x14ac:dyDescent="0.3">
      <c r="B7670" s="37"/>
    </row>
    <row r="7671" spans="2:2" ht="15.9" customHeight="1" x14ac:dyDescent="0.3">
      <c r="B7671" s="37"/>
    </row>
    <row r="7672" spans="2:2" ht="15.9" customHeight="1" x14ac:dyDescent="0.3">
      <c r="B7672" s="37"/>
    </row>
    <row r="7673" spans="2:2" ht="15.9" customHeight="1" x14ac:dyDescent="0.3">
      <c r="B7673" s="37"/>
    </row>
    <row r="7674" spans="2:2" ht="15.9" customHeight="1" x14ac:dyDescent="0.3">
      <c r="B7674" s="37"/>
    </row>
    <row r="7675" spans="2:2" ht="15.9" customHeight="1" x14ac:dyDescent="0.3">
      <c r="B7675" s="37"/>
    </row>
    <row r="7676" spans="2:2" ht="15.9" customHeight="1" x14ac:dyDescent="0.3">
      <c r="B7676" s="37"/>
    </row>
    <row r="7677" spans="2:2" ht="15.9" customHeight="1" x14ac:dyDescent="0.3">
      <c r="B7677" s="37"/>
    </row>
    <row r="7678" spans="2:2" ht="15.9" customHeight="1" x14ac:dyDescent="0.3">
      <c r="B7678" s="37"/>
    </row>
    <row r="7679" spans="2:2" ht="15.9" customHeight="1" x14ac:dyDescent="0.3">
      <c r="B7679" s="37"/>
    </row>
    <row r="7680" spans="2:2" ht="15.9" customHeight="1" x14ac:dyDescent="0.3">
      <c r="B7680" s="37"/>
    </row>
    <row r="7681" spans="2:2" ht="15.9" customHeight="1" x14ac:dyDescent="0.3">
      <c r="B7681" s="37"/>
    </row>
    <row r="7682" spans="2:2" ht="15.9" customHeight="1" x14ac:dyDescent="0.3">
      <c r="B7682" s="37"/>
    </row>
    <row r="7683" spans="2:2" ht="15.9" customHeight="1" x14ac:dyDescent="0.3">
      <c r="B7683" s="37"/>
    </row>
    <row r="7684" spans="2:2" ht="15.9" customHeight="1" x14ac:dyDescent="0.3">
      <c r="B7684" s="37"/>
    </row>
    <row r="7685" spans="2:2" ht="15.9" customHeight="1" x14ac:dyDescent="0.3">
      <c r="B7685" s="37"/>
    </row>
    <row r="7686" spans="2:2" ht="15.9" customHeight="1" x14ac:dyDescent="0.3">
      <c r="B7686" s="37"/>
    </row>
    <row r="7687" spans="2:2" ht="15.9" customHeight="1" x14ac:dyDescent="0.3">
      <c r="B7687" s="37"/>
    </row>
    <row r="7688" spans="2:2" ht="15.9" customHeight="1" x14ac:dyDescent="0.3">
      <c r="B7688" s="37"/>
    </row>
    <row r="7689" spans="2:2" ht="15.9" customHeight="1" x14ac:dyDescent="0.3">
      <c r="B7689" s="37"/>
    </row>
    <row r="7690" spans="2:2" ht="15.9" customHeight="1" x14ac:dyDescent="0.3">
      <c r="B7690" s="37"/>
    </row>
    <row r="7691" spans="2:2" ht="15.9" customHeight="1" x14ac:dyDescent="0.3">
      <c r="B7691" s="37"/>
    </row>
    <row r="7692" spans="2:2" ht="15.9" customHeight="1" x14ac:dyDescent="0.3">
      <c r="B7692" s="37"/>
    </row>
    <row r="7693" spans="2:2" ht="15.9" customHeight="1" x14ac:dyDescent="0.3">
      <c r="B7693" s="37"/>
    </row>
    <row r="7694" spans="2:2" ht="15.9" customHeight="1" x14ac:dyDescent="0.3">
      <c r="B7694" s="37"/>
    </row>
    <row r="7695" spans="2:2" ht="15.9" customHeight="1" x14ac:dyDescent="0.3">
      <c r="B7695" s="37"/>
    </row>
    <row r="7696" spans="2:2" ht="15.9" customHeight="1" x14ac:dyDescent="0.3">
      <c r="B7696" s="37"/>
    </row>
    <row r="7697" spans="2:2" ht="15.9" customHeight="1" x14ac:dyDescent="0.3">
      <c r="B7697" s="37"/>
    </row>
    <row r="7698" spans="2:2" ht="15.9" customHeight="1" x14ac:dyDescent="0.3">
      <c r="B7698" s="37"/>
    </row>
    <row r="7699" spans="2:2" ht="15.9" customHeight="1" x14ac:dyDescent="0.3">
      <c r="B7699" s="37"/>
    </row>
    <row r="7700" spans="2:2" ht="15.9" customHeight="1" x14ac:dyDescent="0.3">
      <c r="B7700" s="37"/>
    </row>
    <row r="7701" spans="2:2" ht="15.9" customHeight="1" x14ac:dyDescent="0.3">
      <c r="B7701" s="37"/>
    </row>
    <row r="7702" spans="2:2" ht="15.9" customHeight="1" x14ac:dyDescent="0.3">
      <c r="B7702" s="37"/>
    </row>
    <row r="7703" spans="2:2" ht="15.9" customHeight="1" x14ac:dyDescent="0.3">
      <c r="B7703" s="37"/>
    </row>
    <row r="7704" spans="2:2" ht="15.9" customHeight="1" x14ac:dyDescent="0.3">
      <c r="B7704" s="37"/>
    </row>
    <row r="7705" spans="2:2" ht="15.9" customHeight="1" x14ac:dyDescent="0.3">
      <c r="B7705" s="37"/>
    </row>
    <row r="7706" spans="2:2" ht="15.9" customHeight="1" x14ac:dyDescent="0.3">
      <c r="B7706" s="37"/>
    </row>
    <row r="7707" spans="2:2" ht="15.9" customHeight="1" x14ac:dyDescent="0.3">
      <c r="B7707" s="37"/>
    </row>
    <row r="7708" spans="2:2" ht="15.9" customHeight="1" x14ac:dyDescent="0.3">
      <c r="B7708" s="37"/>
    </row>
    <row r="7709" spans="2:2" ht="15.9" customHeight="1" x14ac:dyDescent="0.3">
      <c r="B7709" s="37"/>
    </row>
    <row r="7710" spans="2:2" ht="15.9" customHeight="1" x14ac:dyDescent="0.3">
      <c r="B7710" s="37"/>
    </row>
    <row r="7711" spans="2:2" ht="15.9" customHeight="1" x14ac:dyDescent="0.3">
      <c r="B7711" s="37"/>
    </row>
    <row r="7712" spans="2:2" ht="15.9" customHeight="1" x14ac:dyDescent="0.3">
      <c r="B7712" s="37"/>
    </row>
    <row r="7713" spans="2:2" ht="15.9" customHeight="1" x14ac:dyDescent="0.3">
      <c r="B7713" s="37"/>
    </row>
    <row r="7714" spans="2:2" ht="15.9" customHeight="1" x14ac:dyDescent="0.3">
      <c r="B7714" s="37"/>
    </row>
    <row r="7715" spans="2:2" ht="15.9" customHeight="1" x14ac:dyDescent="0.3">
      <c r="B7715" s="37"/>
    </row>
    <row r="7716" spans="2:2" ht="15.9" customHeight="1" x14ac:dyDescent="0.3">
      <c r="B7716" s="37"/>
    </row>
    <row r="7717" spans="2:2" ht="15.9" customHeight="1" x14ac:dyDescent="0.3">
      <c r="B7717" s="37"/>
    </row>
    <row r="7718" spans="2:2" ht="15.9" customHeight="1" x14ac:dyDescent="0.3">
      <c r="B7718" s="37"/>
    </row>
    <row r="7719" spans="2:2" ht="15.9" customHeight="1" x14ac:dyDescent="0.3">
      <c r="B7719" s="37"/>
    </row>
    <row r="7720" spans="2:2" ht="15.9" customHeight="1" x14ac:dyDescent="0.3">
      <c r="B7720" s="37"/>
    </row>
    <row r="7721" spans="2:2" ht="15.9" customHeight="1" x14ac:dyDescent="0.3">
      <c r="B7721" s="37"/>
    </row>
    <row r="7722" spans="2:2" ht="15.9" customHeight="1" x14ac:dyDescent="0.3">
      <c r="B7722" s="37"/>
    </row>
    <row r="7723" spans="2:2" ht="15.9" customHeight="1" x14ac:dyDescent="0.3">
      <c r="B7723" s="37"/>
    </row>
    <row r="7724" spans="2:2" ht="15.9" customHeight="1" x14ac:dyDescent="0.3">
      <c r="B7724" s="37"/>
    </row>
    <row r="7725" spans="2:2" ht="15.9" customHeight="1" x14ac:dyDescent="0.3">
      <c r="B7725" s="37"/>
    </row>
    <row r="7726" spans="2:2" ht="15.9" customHeight="1" x14ac:dyDescent="0.3">
      <c r="B7726" s="37"/>
    </row>
    <row r="7727" spans="2:2" ht="15.9" customHeight="1" x14ac:dyDescent="0.3">
      <c r="B7727" s="37"/>
    </row>
    <row r="7728" spans="2:2" ht="15.9" customHeight="1" x14ac:dyDescent="0.3">
      <c r="B7728" s="37"/>
    </row>
    <row r="7729" spans="2:2" ht="15.9" customHeight="1" x14ac:dyDescent="0.3">
      <c r="B7729" s="37"/>
    </row>
    <row r="7730" spans="2:2" ht="15.9" customHeight="1" x14ac:dyDescent="0.3">
      <c r="B7730" s="37"/>
    </row>
    <row r="7731" spans="2:2" ht="15.9" customHeight="1" x14ac:dyDescent="0.3">
      <c r="B7731" s="37"/>
    </row>
    <row r="7732" spans="2:2" ht="15.9" customHeight="1" x14ac:dyDescent="0.3">
      <c r="B7732" s="37"/>
    </row>
    <row r="7733" spans="2:2" ht="15.9" customHeight="1" x14ac:dyDescent="0.3">
      <c r="B7733" s="37"/>
    </row>
    <row r="7734" spans="2:2" ht="15.9" customHeight="1" x14ac:dyDescent="0.3">
      <c r="B7734" s="37"/>
    </row>
    <row r="7735" spans="2:2" ht="15.9" customHeight="1" x14ac:dyDescent="0.3">
      <c r="B7735" s="37"/>
    </row>
    <row r="7736" spans="2:2" ht="15.9" customHeight="1" x14ac:dyDescent="0.3">
      <c r="B7736" s="37"/>
    </row>
    <row r="7737" spans="2:2" ht="15.9" customHeight="1" x14ac:dyDescent="0.3">
      <c r="B7737" s="37"/>
    </row>
    <row r="7738" spans="2:2" ht="15.9" customHeight="1" x14ac:dyDescent="0.3">
      <c r="B7738" s="37"/>
    </row>
    <row r="7739" spans="2:2" ht="15.9" customHeight="1" x14ac:dyDescent="0.3">
      <c r="B7739" s="37"/>
    </row>
    <row r="7740" spans="2:2" ht="15.9" customHeight="1" x14ac:dyDescent="0.3">
      <c r="B7740" s="37"/>
    </row>
    <row r="7741" spans="2:2" ht="15.9" customHeight="1" x14ac:dyDescent="0.3">
      <c r="B7741" s="37"/>
    </row>
    <row r="7742" spans="2:2" ht="15.9" customHeight="1" x14ac:dyDescent="0.3">
      <c r="B7742" s="37"/>
    </row>
    <row r="7743" spans="2:2" ht="15.9" customHeight="1" x14ac:dyDescent="0.3">
      <c r="B7743" s="37"/>
    </row>
    <row r="7744" spans="2:2" ht="15.9" customHeight="1" x14ac:dyDescent="0.3">
      <c r="B7744" s="37"/>
    </row>
    <row r="7745" spans="2:2" ht="15.9" customHeight="1" x14ac:dyDescent="0.3">
      <c r="B7745" s="37"/>
    </row>
    <row r="7746" spans="2:2" ht="15.9" customHeight="1" x14ac:dyDescent="0.3">
      <c r="B7746" s="37"/>
    </row>
    <row r="7747" spans="2:2" ht="15.9" customHeight="1" x14ac:dyDescent="0.3">
      <c r="B7747" s="37"/>
    </row>
    <row r="7748" spans="2:2" ht="15.9" customHeight="1" x14ac:dyDescent="0.3">
      <c r="B7748" s="37"/>
    </row>
    <row r="7749" spans="2:2" ht="15.9" customHeight="1" x14ac:dyDescent="0.3">
      <c r="B7749" s="37"/>
    </row>
    <row r="7750" spans="2:2" ht="15.9" customHeight="1" x14ac:dyDescent="0.3">
      <c r="B7750" s="37"/>
    </row>
    <row r="7751" spans="2:2" ht="15.9" customHeight="1" x14ac:dyDescent="0.3">
      <c r="B7751" s="37"/>
    </row>
    <row r="7752" spans="2:2" ht="15.9" customHeight="1" x14ac:dyDescent="0.3">
      <c r="B7752" s="37"/>
    </row>
    <row r="7753" spans="2:2" ht="15.9" customHeight="1" x14ac:dyDescent="0.3">
      <c r="B7753" s="37"/>
    </row>
    <row r="7754" spans="2:2" ht="15.9" customHeight="1" x14ac:dyDescent="0.3">
      <c r="B7754" s="37"/>
    </row>
    <row r="7755" spans="2:2" ht="15.9" customHeight="1" x14ac:dyDescent="0.3">
      <c r="B7755" s="37"/>
    </row>
    <row r="7756" spans="2:2" ht="15.9" customHeight="1" x14ac:dyDescent="0.3">
      <c r="B7756" s="37"/>
    </row>
    <row r="7757" spans="2:2" ht="15.9" customHeight="1" x14ac:dyDescent="0.3">
      <c r="B7757" s="37"/>
    </row>
    <row r="7758" spans="2:2" ht="15.9" customHeight="1" x14ac:dyDescent="0.3">
      <c r="B7758" s="37"/>
    </row>
    <row r="7759" spans="2:2" ht="15.9" customHeight="1" x14ac:dyDescent="0.3">
      <c r="B7759" s="37"/>
    </row>
    <row r="7760" spans="2:2" ht="15.9" customHeight="1" x14ac:dyDescent="0.3">
      <c r="B7760" s="37"/>
    </row>
    <row r="7761" spans="2:2" ht="15.9" customHeight="1" x14ac:dyDescent="0.3">
      <c r="B7761" s="37"/>
    </row>
    <row r="7762" spans="2:2" ht="15.9" customHeight="1" x14ac:dyDescent="0.3">
      <c r="B7762" s="37"/>
    </row>
    <row r="7763" spans="2:2" ht="15.9" customHeight="1" x14ac:dyDescent="0.3">
      <c r="B7763" s="37"/>
    </row>
    <row r="7764" spans="2:2" ht="15.9" customHeight="1" x14ac:dyDescent="0.3">
      <c r="B7764" s="37"/>
    </row>
    <row r="7765" spans="2:2" ht="15.9" customHeight="1" x14ac:dyDescent="0.3">
      <c r="B7765" s="37"/>
    </row>
    <row r="7766" spans="2:2" ht="15.9" customHeight="1" x14ac:dyDescent="0.3">
      <c r="B7766" s="37"/>
    </row>
    <row r="7767" spans="2:2" ht="15.9" customHeight="1" x14ac:dyDescent="0.3">
      <c r="B7767" s="37"/>
    </row>
    <row r="7768" spans="2:2" ht="15.9" customHeight="1" x14ac:dyDescent="0.3">
      <c r="B7768" s="37"/>
    </row>
    <row r="7769" spans="2:2" ht="15.9" customHeight="1" x14ac:dyDescent="0.3">
      <c r="B7769" s="37"/>
    </row>
    <row r="7770" spans="2:2" ht="15.9" customHeight="1" x14ac:dyDescent="0.3">
      <c r="B7770" s="37"/>
    </row>
    <row r="7771" spans="2:2" ht="15.9" customHeight="1" x14ac:dyDescent="0.3">
      <c r="B7771" s="37"/>
    </row>
    <row r="7772" spans="2:2" ht="15.9" customHeight="1" x14ac:dyDescent="0.3">
      <c r="B7772" s="37"/>
    </row>
    <row r="7773" spans="2:2" ht="15.9" customHeight="1" x14ac:dyDescent="0.3">
      <c r="B7773" s="37"/>
    </row>
    <row r="7774" spans="2:2" ht="15.9" customHeight="1" x14ac:dyDescent="0.3">
      <c r="B7774" s="37"/>
    </row>
    <row r="7775" spans="2:2" ht="15.9" customHeight="1" x14ac:dyDescent="0.3">
      <c r="B7775" s="37"/>
    </row>
    <row r="7776" spans="2:2" ht="15.9" customHeight="1" x14ac:dyDescent="0.3">
      <c r="B7776" s="37"/>
    </row>
    <row r="7777" spans="2:2" ht="15.9" customHeight="1" x14ac:dyDescent="0.3">
      <c r="B7777" s="37"/>
    </row>
    <row r="7778" spans="2:2" ht="15.9" customHeight="1" x14ac:dyDescent="0.3">
      <c r="B7778" s="37"/>
    </row>
    <row r="7779" spans="2:2" ht="15.9" customHeight="1" x14ac:dyDescent="0.3">
      <c r="B7779" s="37"/>
    </row>
    <row r="7780" spans="2:2" ht="15.9" customHeight="1" x14ac:dyDescent="0.3">
      <c r="B7780" s="37"/>
    </row>
    <row r="7781" spans="2:2" ht="15.9" customHeight="1" x14ac:dyDescent="0.3">
      <c r="B7781" s="37"/>
    </row>
    <row r="7782" spans="2:2" ht="15.9" customHeight="1" x14ac:dyDescent="0.3">
      <c r="B7782" s="37"/>
    </row>
    <row r="7783" spans="2:2" ht="15.9" customHeight="1" x14ac:dyDescent="0.3">
      <c r="B7783" s="37"/>
    </row>
    <row r="7784" spans="2:2" ht="15.9" customHeight="1" x14ac:dyDescent="0.3">
      <c r="B7784" s="37"/>
    </row>
    <row r="7785" spans="2:2" ht="15.9" customHeight="1" x14ac:dyDescent="0.3">
      <c r="B7785" s="37"/>
    </row>
    <row r="7786" spans="2:2" ht="15.9" customHeight="1" x14ac:dyDescent="0.3">
      <c r="B7786" s="37"/>
    </row>
    <row r="7787" spans="2:2" ht="15.9" customHeight="1" x14ac:dyDescent="0.3">
      <c r="B7787" s="37"/>
    </row>
    <row r="7788" spans="2:2" ht="15.9" customHeight="1" x14ac:dyDescent="0.3">
      <c r="B7788" s="37"/>
    </row>
    <row r="7789" spans="2:2" ht="15.9" customHeight="1" x14ac:dyDescent="0.3">
      <c r="B7789" s="37"/>
    </row>
    <row r="7790" spans="2:2" ht="15.9" customHeight="1" x14ac:dyDescent="0.3">
      <c r="B7790" s="37"/>
    </row>
    <row r="7791" spans="2:2" ht="15.9" customHeight="1" x14ac:dyDescent="0.3">
      <c r="B7791" s="37"/>
    </row>
    <row r="7792" spans="2:2" ht="15.9" customHeight="1" x14ac:dyDescent="0.3">
      <c r="B7792" s="37"/>
    </row>
    <row r="7793" spans="2:2" ht="15.9" customHeight="1" x14ac:dyDescent="0.3">
      <c r="B7793" s="37"/>
    </row>
    <row r="7794" spans="2:2" ht="15.9" customHeight="1" x14ac:dyDescent="0.3">
      <c r="B7794" s="37"/>
    </row>
    <row r="7795" spans="2:2" ht="15.9" customHeight="1" x14ac:dyDescent="0.3">
      <c r="B7795" s="37"/>
    </row>
    <row r="7796" spans="2:2" ht="15.9" customHeight="1" x14ac:dyDescent="0.3">
      <c r="B7796" s="37"/>
    </row>
    <row r="7797" spans="2:2" ht="15.9" customHeight="1" x14ac:dyDescent="0.3">
      <c r="B7797" s="37"/>
    </row>
    <row r="7798" spans="2:2" ht="15.9" customHeight="1" x14ac:dyDescent="0.3">
      <c r="B7798" s="37"/>
    </row>
    <row r="7799" spans="2:2" ht="15.9" customHeight="1" x14ac:dyDescent="0.3">
      <c r="B7799" s="37"/>
    </row>
    <row r="7800" spans="2:2" ht="15.9" customHeight="1" x14ac:dyDescent="0.3">
      <c r="B7800" s="37"/>
    </row>
    <row r="7801" spans="2:2" ht="15.9" customHeight="1" x14ac:dyDescent="0.3">
      <c r="B7801" s="37"/>
    </row>
    <row r="7802" spans="2:2" ht="15.9" customHeight="1" x14ac:dyDescent="0.3">
      <c r="B7802" s="37"/>
    </row>
    <row r="7803" spans="2:2" ht="15.9" customHeight="1" x14ac:dyDescent="0.3">
      <c r="B7803" s="37"/>
    </row>
    <row r="7804" spans="2:2" ht="15.9" customHeight="1" x14ac:dyDescent="0.3">
      <c r="B7804" s="37"/>
    </row>
    <row r="7805" spans="2:2" ht="15.9" customHeight="1" x14ac:dyDescent="0.3">
      <c r="B7805" s="37"/>
    </row>
    <row r="7806" spans="2:2" ht="15.9" customHeight="1" x14ac:dyDescent="0.3">
      <c r="B7806" s="37"/>
    </row>
    <row r="7807" spans="2:2" ht="15.9" customHeight="1" x14ac:dyDescent="0.3">
      <c r="B7807" s="37"/>
    </row>
    <row r="7808" spans="2:2" ht="15.9" customHeight="1" x14ac:dyDescent="0.3">
      <c r="B7808" s="37"/>
    </row>
    <row r="7809" spans="2:2" ht="15.9" customHeight="1" x14ac:dyDescent="0.3">
      <c r="B7809" s="37"/>
    </row>
    <row r="7810" spans="2:2" ht="15.9" customHeight="1" x14ac:dyDescent="0.3">
      <c r="B7810" s="37"/>
    </row>
    <row r="7811" spans="2:2" ht="15.9" customHeight="1" x14ac:dyDescent="0.3">
      <c r="B7811" s="37"/>
    </row>
    <row r="7812" spans="2:2" ht="15.9" customHeight="1" x14ac:dyDescent="0.3">
      <c r="B7812" s="37"/>
    </row>
    <row r="7813" spans="2:2" ht="15.9" customHeight="1" x14ac:dyDescent="0.3">
      <c r="B7813" s="37"/>
    </row>
    <row r="7814" spans="2:2" ht="15.9" customHeight="1" x14ac:dyDescent="0.3">
      <c r="B7814" s="37"/>
    </row>
    <row r="7815" spans="2:2" ht="15.9" customHeight="1" x14ac:dyDescent="0.3">
      <c r="B7815" s="37"/>
    </row>
    <row r="7816" spans="2:2" ht="15.9" customHeight="1" x14ac:dyDescent="0.3">
      <c r="B7816" s="37"/>
    </row>
    <row r="7817" spans="2:2" ht="15.9" customHeight="1" x14ac:dyDescent="0.3">
      <c r="B7817" s="37"/>
    </row>
    <row r="7818" spans="2:2" ht="15.9" customHeight="1" x14ac:dyDescent="0.3">
      <c r="B7818" s="37"/>
    </row>
    <row r="7819" spans="2:2" ht="15.9" customHeight="1" x14ac:dyDescent="0.3">
      <c r="B7819" s="37"/>
    </row>
    <row r="7820" spans="2:2" ht="15.9" customHeight="1" x14ac:dyDescent="0.3">
      <c r="B7820" s="37"/>
    </row>
    <row r="7821" spans="2:2" ht="15.9" customHeight="1" x14ac:dyDescent="0.3">
      <c r="B7821" s="37"/>
    </row>
    <row r="7822" spans="2:2" ht="15.9" customHeight="1" x14ac:dyDescent="0.3">
      <c r="B7822" s="37"/>
    </row>
    <row r="7823" spans="2:2" ht="15.9" customHeight="1" x14ac:dyDescent="0.3">
      <c r="B7823" s="37"/>
    </row>
    <row r="7824" spans="2:2" ht="15.9" customHeight="1" x14ac:dyDescent="0.3">
      <c r="B7824" s="37"/>
    </row>
    <row r="7825" spans="2:2" ht="15.9" customHeight="1" x14ac:dyDescent="0.3">
      <c r="B7825" s="37"/>
    </row>
    <row r="7826" spans="2:2" ht="15.9" customHeight="1" x14ac:dyDescent="0.3">
      <c r="B7826" s="37"/>
    </row>
    <row r="7827" spans="2:2" ht="15.9" customHeight="1" x14ac:dyDescent="0.3">
      <c r="B7827" s="37"/>
    </row>
    <row r="7828" spans="2:2" ht="15.9" customHeight="1" x14ac:dyDescent="0.3">
      <c r="B7828" s="37"/>
    </row>
    <row r="7829" spans="2:2" ht="15.9" customHeight="1" x14ac:dyDescent="0.3">
      <c r="B7829" s="37"/>
    </row>
    <row r="7830" spans="2:2" ht="15.9" customHeight="1" x14ac:dyDescent="0.3">
      <c r="B7830" s="37"/>
    </row>
    <row r="7831" spans="2:2" ht="15.9" customHeight="1" x14ac:dyDescent="0.3">
      <c r="B7831" s="37"/>
    </row>
    <row r="7832" spans="2:2" ht="15.9" customHeight="1" x14ac:dyDescent="0.3">
      <c r="B7832" s="37"/>
    </row>
    <row r="7833" spans="2:2" ht="15.9" customHeight="1" x14ac:dyDescent="0.3">
      <c r="B7833" s="37"/>
    </row>
    <row r="7834" spans="2:2" ht="15.9" customHeight="1" x14ac:dyDescent="0.3">
      <c r="B7834" s="37"/>
    </row>
    <row r="7835" spans="2:2" ht="15.9" customHeight="1" x14ac:dyDescent="0.3">
      <c r="B7835" s="37"/>
    </row>
    <row r="7836" spans="2:2" ht="15.9" customHeight="1" x14ac:dyDescent="0.3">
      <c r="B7836" s="37"/>
    </row>
    <row r="7837" spans="2:2" ht="15.9" customHeight="1" x14ac:dyDescent="0.3">
      <c r="B7837" s="37"/>
    </row>
    <row r="7838" spans="2:2" ht="15.9" customHeight="1" x14ac:dyDescent="0.3">
      <c r="B7838" s="37"/>
    </row>
    <row r="7839" spans="2:2" ht="15.9" customHeight="1" x14ac:dyDescent="0.3">
      <c r="B7839" s="37"/>
    </row>
    <row r="7840" spans="2:2" ht="15.9" customHeight="1" x14ac:dyDescent="0.3">
      <c r="B7840" s="37"/>
    </row>
    <row r="7841" spans="2:2" ht="15.9" customHeight="1" x14ac:dyDescent="0.3">
      <c r="B7841" s="37"/>
    </row>
    <row r="7842" spans="2:2" ht="15.9" customHeight="1" x14ac:dyDescent="0.3">
      <c r="B7842" s="37"/>
    </row>
    <row r="7843" spans="2:2" ht="15.9" customHeight="1" x14ac:dyDescent="0.3">
      <c r="B7843" s="37"/>
    </row>
    <row r="7844" spans="2:2" ht="15.9" customHeight="1" x14ac:dyDescent="0.3">
      <c r="B7844" s="37"/>
    </row>
    <row r="7845" spans="2:2" ht="15.9" customHeight="1" x14ac:dyDescent="0.3">
      <c r="B7845" s="37"/>
    </row>
    <row r="7846" spans="2:2" ht="15.9" customHeight="1" x14ac:dyDescent="0.3">
      <c r="B7846" s="37"/>
    </row>
    <row r="7847" spans="2:2" ht="15.9" customHeight="1" x14ac:dyDescent="0.3">
      <c r="B7847" s="37"/>
    </row>
    <row r="7848" spans="2:2" ht="15.9" customHeight="1" x14ac:dyDescent="0.3">
      <c r="B7848" s="37"/>
    </row>
    <row r="7849" spans="2:2" ht="15.9" customHeight="1" x14ac:dyDescent="0.3">
      <c r="B7849" s="37"/>
    </row>
    <row r="7850" spans="2:2" ht="15.9" customHeight="1" x14ac:dyDescent="0.3">
      <c r="B7850" s="37"/>
    </row>
    <row r="7851" spans="2:2" ht="15.9" customHeight="1" x14ac:dyDescent="0.3">
      <c r="B7851" s="37"/>
    </row>
    <row r="7852" spans="2:2" ht="15.9" customHeight="1" x14ac:dyDescent="0.3">
      <c r="B7852" s="37"/>
    </row>
    <row r="7853" spans="2:2" ht="15.9" customHeight="1" x14ac:dyDescent="0.3">
      <c r="B7853" s="37"/>
    </row>
    <row r="7854" spans="2:2" ht="15.9" customHeight="1" x14ac:dyDescent="0.3">
      <c r="B7854" s="37"/>
    </row>
    <row r="7855" spans="2:2" ht="15.9" customHeight="1" x14ac:dyDescent="0.3">
      <c r="B7855" s="37"/>
    </row>
    <row r="7856" spans="2:2" ht="15.9" customHeight="1" x14ac:dyDescent="0.3">
      <c r="B7856" s="37"/>
    </row>
    <row r="7857" spans="2:2" ht="15.9" customHeight="1" x14ac:dyDescent="0.3">
      <c r="B7857" s="37"/>
    </row>
    <row r="7858" spans="2:2" ht="15.9" customHeight="1" x14ac:dyDescent="0.3">
      <c r="B7858" s="37"/>
    </row>
    <row r="7859" spans="2:2" ht="15.9" customHeight="1" x14ac:dyDescent="0.3">
      <c r="B7859" s="37"/>
    </row>
    <row r="7860" spans="2:2" ht="15.9" customHeight="1" x14ac:dyDescent="0.3">
      <c r="B7860" s="37"/>
    </row>
    <row r="7861" spans="2:2" ht="15.9" customHeight="1" x14ac:dyDescent="0.3">
      <c r="B7861" s="37"/>
    </row>
    <row r="7862" spans="2:2" ht="15.9" customHeight="1" x14ac:dyDescent="0.3">
      <c r="B7862" s="37"/>
    </row>
    <row r="7863" spans="2:2" ht="15.9" customHeight="1" x14ac:dyDescent="0.3">
      <c r="B7863" s="37"/>
    </row>
    <row r="7864" spans="2:2" ht="15.9" customHeight="1" x14ac:dyDescent="0.3">
      <c r="B7864" s="37"/>
    </row>
    <row r="7865" spans="2:2" ht="15.9" customHeight="1" x14ac:dyDescent="0.3">
      <c r="B7865" s="37"/>
    </row>
    <row r="7866" spans="2:2" ht="15.9" customHeight="1" x14ac:dyDescent="0.3">
      <c r="B7866" s="37"/>
    </row>
    <row r="7867" spans="2:2" ht="15.9" customHeight="1" x14ac:dyDescent="0.3">
      <c r="B7867" s="37"/>
    </row>
    <row r="7868" spans="2:2" ht="15.9" customHeight="1" x14ac:dyDescent="0.3">
      <c r="B7868" s="37"/>
    </row>
    <row r="7869" spans="2:2" ht="15.9" customHeight="1" x14ac:dyDescent="0.3">
      <c r="B7869" s="37"/>
    </row>
    <row r="7870" spans="2:2" ht="15.9" customHeight="1" x14ac:dyDescent="0.3">
      <c r="B7870" s="37"/>
    </row>
    <row r="7871" spans="2:2" ht="15.9" customHeight="1" x14ac:dyDescent="0.3">
      <c r="B7871" s="37"/>
    </row>
    <row r="7872" spans="2:2" ht="15.9" customHeight="1" x14ac:dyDescent="0.3">
      <c r="B7872" s="37"/>
    </row>
    <row r="7873" spans="2:2" ht="15.9" customHeight="1" x14ac:dyDescent="0.3">
      <c r="B7873" s="37"/>
    </row>
    <row r="7874" spans="2:2" ht="15.9" customHeight="1" x14ac:dyDescent="0.3">
      <c r="B7874" s="37"/>
    </row>
    <row r="7875" spans="2:2" ht="15.9" customHeight="1" x14ac:dyDescent="0.3">
      <c r="B7875" s="37"/>
    </row>
    <row r="7876" spans="2:2" ht="15.9" customHeight="1" x14ac:dyDescent="0.3">
      <c r="B7876" s="37"/>
    </row>
    <row r="7877" spans="2:2" ht="15.9" customHeight="1" x14ac:dyDescent="0.3">
      <c r="B7877" s="37"/>
    </row>
    <row r="7878" spans="2:2" ht="15.9" customHeight="1" x14ac:dyDescent="0.3">
      <c r="B7878" s="37"/>
    </row>
    <row r="7879" spans="2:2" ht="15.9" customHeight="1" x14ac:dyDescent="0.3">
      <c r="B7879" s="37"/>
    </row>
    <row r="7880" spans="2:2" ht="15.9" customHeight="1" x14ac:dyDescent="0.3">
      <c r="B7880" s="37"/>
    </row>
    <row r="7881" spans="2:2" ht="15.9" customHeight="1" x14ac:dyDescent="0.3">
      <c r="B7881" s="37"/>
    </row>
    <row r="7882" spans="2:2" ht="15.9" customHeight="1" x14ac:dyDescent="0.3">
      <c r="B7882" s="37"/>
    </row>
    <row r="7883" spans="2:2" ht="15.9" customHeight="1" x14ac:dyDescent="0.3">
      <c r="B7883" s="37"/>
    </row>
    <row r="7884" spans="2:2" ht="15.9" customHeight="1" x14ac:dyDescent="0.3">
      <c r="B7884" s="37"/>
    </row>
    <row r="7885" spans="2:2" ht="15.9" customHeight="1" x14ac:dyDescent="0.3">
      <c r="B7885" s="37"/>
    </row>
    <row r="7886" spans="2:2" ht="15.9" customHeight="1" x14ac:dyDescent="0.3">
      <c r="B7886" s="37"/>
    </row>
    <row r="7887" spans="2:2" ht="15.9" customHeight="1" x14ac:dyDescent="0.3">
      <c r="B7887" s="37"/>
    </row>
    <row r="7888" spans="2:2" ht="15.9" customHeight="1" x14ac:dyDescent="0.3">
      <c r="B7888" s="37"/>
    </row>
    <row r="7889" spans="2:2" ht="15.9" customHeight="1" x14ac:dyDescent="0.3">
      <c r="B7889" s="37"/>
    </row>
    <row r="7890" spans="2:2" ht="15.9" customHeight="1" x14ac:dyDescent="0.3">
      <c r="B7890" s="37"/>
    </row>
    <row r="7891" spans="2:2" ht="15.9" customHeight="1" x14ac:dyDescent="0.3">
      <c r="B7891" s="37"/>
    </row>
    <row r="7892" spans="2:2" ht="15.9" customHeight="1" x14ac:dyDescent="0.3">
      <c r="B7892" s="37"/>
    </row>
    <row r="7893" spans="2:2" ht="15.9" customHeight="1" x14ac:dyDescent="0.3">
      <c r="B7893" s="37"/>
    </row>
    <row r="7894" spans="2:2" ht="15.9" customHeight="1" x14ac:dyDescent="0.3">
      <c r="B7894" s="37"/>
    </row>
    <row r="7895" spans="2:2" ht="15.9" customHeight="1" x14ac:dyDescent="0.3">
      <c r="B7895" s="37"/>
    </row>
    <row r="7896" spans="2:2" ht="15.9" customHeight="1" x14ac:dyDescent="0.3">
      <c r="B7896" s="37"/>
    </row>
    <row r="7897" spans="2:2" ht="15.9" customHeight="1" x14ac:dyDescent="0.3">
      <c r="B7897" s="37"/>
    </row>
    <row r="7898" spans="2:2" ht="15.9" customHeight="1" x14ac:dyDescent="0.3">
      <c r="B7898" s="37"/>
    </row>
    <row r="7899" spans="2:2" ht="15.9" customHeight="1" x14ac:dyDescent="0.3">
      <c r="B7899" s="37"/>
    </row>
    <row r="7900" spans="2:2" ht="15.9" customHeight="1" x14ac:dyDescent="0.3">
      <c r="B7900" s="37"/>
    </row>
    <row r="7901" spans="2:2" ht="15.9" customHeight="1" x14ac:dyDescent="0.3">
      <c r="B7901" s="37"/>
    </row>
    <row r="7902" spans="2:2" ht="15.9" customHeight="1" x14ac:dyDescent="0.3">
      <c r="B7902" s="37"/>
    </row>
    <row r="7903" spans="2:2" ht="15.9" customHeight="1" x14ac:dyDescent="0.3">
      <c r="B7903" s="37"/>
    </row>
    <row r="7904" spans="2:2" ht="15.9" customHeight="1" x14ac:dyDescent="0.3">
      <c r="B7904" s="37"/>
    </row>
    <row r="7905" spans="2:2" ht="15.9" customHeight="1" x14ac:dyDescent="0.3">
      <c r="B7905" s="37"/>
    </row>
    <row r="7906" spans="2:2" ht="15.9" customHeight="1" x14ac:dyDescent="0.3">
      <c r="B7906" s="37"/>
    </row>
    <row r="7907" spans="2:2" ht="15.9" customHeight="1" x14ac:dyDescent="0.3">
      <c r="B7907" s="37"/>
    </row>
    <row r="7908" spans="2:2" ht="15.9" customHeight="1" x14ac:dyDescent="0.3">
      <c r="B7908" s="37"/>
    </row>
    <row r="7909" spans="2:2" ht="15.9" customHeight="1" x14ac:dyDescent="0.3">
      <c r="B7909" s="37"/>
    </row>
    <row r="7910" spans="2:2" ht="15.9" customHeight="1" x14ac:dyDescent="0.3">
      <c r="B7910" s="37"/>
    </row>
    <row r="7911" spans="2:2" ht="15.9" customHeight="1" x14ac:dyDescent="0.3">
      <c r="B7911" s="37"/>
    </row>
    <row r="7912" spans="2:2" ht="15.9" customHeight="1" x14ac:dyDescent="0.3">
      <c r="B7912" s="37"/>
    </row>
    <row r="7913" spans="2:2" ht="15.9" customHeight="1" x14ac:dyDescent="0.3">
      <c r="B7913" s="37"/>
    </row>
    <row r="7914" spans="2:2" ht="15.9" customHeight="1" x14ac:dyDescent="0.3">
      <c r="B7914" s="37"/>
    </row>
    <row r="7915" spans="2:2" ht="15.9" customHeight="1" x14ac:dyDescent="0.3">
      <c r="B7915" s="37"/>
    </row>
    <row r="7916" spans="2:2" ht="15.9" customHeight="1" x14ac:dyDescent="0.3">
      <c r="B7916" s="37"/>
    </row>
    <row r="7917" spans="2:2" ht="15.9" customHeight="1" x14ac:dyDescent="0.3">
      <c r="B7917" s="37"/>
    </row>
    <row r="7918" spans="2:2" ht="15.9" customHeight="1" x14ac:dyDescent="0.3">
      <c r="B7918" s="37"/>
    </row>
    <row r="7919" spans="2:2" ht="15.9" customHeight="1" x14ac:dyDescent="0.3">
      <c r="B7919" s="37"/>
    </row>
    <row r="7920" spans="2:2" ht="15.9" customHeight="1" x14ac:dyDescent="0.3">
      <c r="B7920" s="37"/>
    </row>
    <row r="7921" spans="2:2" ht="15.9" customHeight="1" x14ac:dyDescent="0.3">
      <c r="B7921" s="37"/>
    </row>
    <row r="7922" spans="2:2" ht="15.9" customHeight="1" x14ac:dyDescent="0.3">
      <c r="B7922" s="37"/>
    </row>
    <row r="7923" spans="2:2" ht="15.9" customHeight="1" x14ac:dyDescent="0.3">
      <c r="B7923" s="37"/>
    </row>
    <row r="7924" spans="2:2" ht="15.9" customHeight="1" x14ac:dyDescent="0.3">
      <c r="B7924" s="37"/>
    </row>
    <row r="7925" spans="2:2" ht="15.9" customHeight="1" x14ac:dyDescent="0.3">
      <c r="B7925" s="37"/>
    </row>
    <row r="7926" spans="2:2" ht="15.9" customHeight="1" x14ac:dyDescent="0.3">
      <c r="B7926" s="37"/>
    </row>
    <row r="7927" spans="2:2" ht="15.9" customHeight="1" x14ac:dyDescent="0.3">
      <c r="B7927" s="37"/>
    </row>
    <row r="7928" spans="2:2" ht="15.9" customHeight="1" x14ac:dyDescent="0.3">
      <c r="B7928" s="37"/>
    </row>
    <row r="7929" spans="2:2" ht="15.9" customHeight="1" x14ac:dyDescent="0.3">
      <c r="B7929" s="37"/>
    </row>
    <row r="7930" spans="2:2" ht="15.9" customHeight="1" x14ac:dyDescent="0.3">
      <c r="B7930" s="37"/>
    </row>
    <row r="7931" spans="2:2" ht="15.9" customHeight="1" x14ac:dyDescent="0.3">
      <c r="B7931" s="37"/>
    </row>
    <row r="7932" spans="2:2" ht="15.9" customHeight="1" x14ac:dyDescent="0.3">
      <c r="B7932" s="37"/>
    </row>
    <row r="7933" spans="2:2" ht="15.9" customHeight="1" x14ac:dyDescent="0.3">
      <c r="B7933" s="37"/>
    </row>
    <row r="7934" spans="2:2" ht="15.9" customHeight="1" x14ac:dyDescent="0.3">
      <c r="B7934" s="37"/>
    </row>
    <row r="7935" spans="2:2" ht="15.9" customHeight="1" x14ac:dyDescent="0.3">
      <c r="B7935" s="37"/>
    </row>
    <row r="7936" spans="2:2" ht="15.9" customHeight="1" x14ac:dyDescent="0.3">
      <c r="B7936" s="37"/>
    </row>
    <row r="7937" spans="2:2" ht="15.9" customHeight="1" x14ac:dyDescent="0.3">
      <c r="B7937" s="37"/>
    </row>
    <row r="7938" spans="2:2" ht="15.9" customHeight="1" x14ac:dyDescent="0.3">
      <c r="B7938" s="37"/>
    </row>
    <row r="7939" spans="2:2" ht="15.9" customHeight="1" x14ac:dyDescent="0.3">
      <c r="B7939" s="37"/>
    </row>
    <row r="7940" spans="2:2" ht="15.9" customHeight="1" x14ac:dyDescent="0.3">
      <c r="B7940" s="37"/>
    </row>
    <row r="7941" spans="2:2" ht="15.9" customHeight="1" x14ac:dyDescent="0.3">
      <c r="B7941" s="37"/>
    </row>
    <row r="7942" spans="2:2" ht="15.9" customHeight="1" x14ac:dyDescent="0.3">
      <c r="B7942" s="37"/>
    </row>
    <row r="7943" spans="2:2" ht="15.9" customHeight="1" x14ac:dyDescent="0.3">
      <c r="B7943" s="37"/>
    </row>
    <row r="7944" spans="2:2" ht="15.9" customHeight="1" x14ac:dyDescent="0.3">
      <c r="B7944" s="37"/>
    </row>
    <row r="7945" spans="2:2" ht="15.9" customHeight="1" x14ac:dyDescent="0.3">
      <c r="B7945" s="37"/>
    </row>
    <row r="7946" spans="2:2" ht="15.9" customHeight="1" x14ac:dyDescent="0.3">
      <c r="B7946" s="37"/>
    </row>
    <row r="7947" spans="2:2" ht="15.9" customHeight="1" x14ac:dyDescent="0.3">
      <c r="B7947" s="37"/>
    </row>
    <row r="7948" spans="2:2" ht="15.9" customHeight="1" x14ac:dyDescent="0.3">
      <c r="B7948" s="37"/>
    </row>
    <row r="7949" spans="2:2" ht="15.9" customHeight="1" x14ac:dyDescent="0.3">
      <c r="B7949" s="37"/>
    </row>
    <row r="7950" spans="2:2" ht="15.9" customHeight="1" x14ac:dyDescent="0.3">
      <c r="B7950" s="37"/>
    </row>
    <row r="7951" spans="2:2" ht="15.9" customHeight="1" x14ac:dyDescent="0.3">
      <c r="B7951" s="37"/>
    </row>
    <row r="7952" spans="2:2" ht="15.9" customHeight="1" x14ac:dyDescent="0.3">
      <c r="B7952" s="37"/>
    </row>
    <row r="7953" spans="2:2" ht="15.9" customHeight="1" x14ac:dyDescent="0.3">
      <c r="B7953" s="37"/>
    </row>
    <row r="7954" spans="2:2" ht="15.9" customHeight="1" x14ac:dyDescent="0.3">
      <c r="B7954" s="37"/>
    </row>
    <row r="7955" spans="2:2" ht="15.9" customHeight="1" x14ac:dyDescent="0.3">
      <c r="B7955" s="37"/>
    </row>
    <row r="7956" spans="2:2" ht="15.9" customHeight="1" x14ac:dyDescent="0.3">
      <c r="B7956" s="37"/>
    </row>
    <row r="7957" spans="2:2" ht="15.9" customHeight="1" x14ac:dyDescent="0.3">
      <c r="B7957" s="37"/>
    </row>
    <row r="7958" spans="2:2" ht="15.9" customHeight="1" x14ac:dyDescent="0.3">
      <c r="B7958" s="37"/>
    </row>
    <row r="7959" spans="2:2" ht="15.9" customHeight="1" x14ac:dyDescent="0.3">
      <c r="B7959" s="37"/>
    </row>
    <row r="7960" spans="2:2" ht="15.9" customHeight="1" x14ac:dyDescent="0.3">
      <c r="B7960" s="37"/>
    </row>
    <row r="7961" spans="2:2" ht="15.9" customHeight="1" x14ac:dyDescent="0.3">
      <c r="B7961" s="37"/>
    </row>
    <row r="7962" spans="2:2" ht="15.9" customHeight="1" x14ac:dyDescent="0.3">
      <c r="B7962" s="37"/>
    </row>
    <row r="7963" spans="2:2" ht="15.9" customHeight="1" x14ac:dyDescent="0.3">
      <c r="B7963" s="37"/>
    </row>
    <row r="7964" spans="2:2" ht="15.9" customHeight="1" x14ac:dyDescent="0.3">
      <c r="B7964" s="37"/>
    </row>
    <row r="7965" spans="2:2" ht="15.9" customHeight="1" x14ac:dyDescent="0.3">
      <c r="B7965" s="37"/>
    </row>
    <row r="7966" spans="2:2" ht="15.9" customHeight="1" x14ac:dyDescent="0.3">
      <c r="B7966" s="37"/>
    </row>
    <row r="7967" spans="2:2" ht="15.9" customHeight="1" x14ac:dyDescent="0.3">
      <c r="B7967" s="37"/>
    </row>
    <row r="7968" spans="2:2" ht="15.9" customHeight="1" x14ac:dyDescent="0.3">
      <c r="B7968" s="37"/>
    </row>
    <row r="7969" spans="2:2" ht="15.9" customHeight="1" x14ac:dyDescent="0.3">
      <c r="B7969" s="37"/>
    </row>
    <row r="7970" spans="2:2" ht="15.9" customHeight="1" x14ac:dyDescent="0.3">
      <c r="B7970" s="37"/>
    </row>
    <row r="7971" spans="2:2" ht="15.9" customHeight="1" x14ac:dyDescent="0.3">
      <c r="B7971" s="37"/>
    </row>
    <row r="7972" spans="2:2" ht="15.9" customHeight="1" x14ac:dyDescent="0.3">
      <c r="B7972" s="37"/>
    </row>
    <row r="7973" spans="2:2" ht="15.9" customHeight="1" x14ac:dyDescent="0.3">
      <c r="B7973" s="37"/>
    </row>
    <row r="7974" spans="2:2" ht="15.9" customHeight="1" x14ac:dyDescent="0.3">
      <c r="B7974" s="37"/>
    </row>
    <row r="7975" spans="2:2" ht="15.9" customHeight="1" x14ac:dyDescent="0.3">
      <c r="B7975" s="37"/>
    </row>
    <row r="7976" spans="2:2" ht="15.9" customHeight="1" x14ac:dyDescent="0.3">
      <c r="B7976" s="37"/>
    </row>
    <row r="7977" spans="2:2" ht="15.9" customHeight="1" x14ac:dyDescent="0.3">
      <c r="B7977" s="37"/>
    </row>
    <row r="7978" spans="2:2" ht="15.9" customHeight="1" x14ac:dyDescent="0.3">
      <c r="B7978" s="37"/>
    </row>
    <row r="7979" spans="2:2" ht="15.9" customHeight="1" x14ac:dyDescent="0.3">
      <c r="B7979" s="37"/>
    </row>
    <row r="7980" spans="2:2" ht="15.9" customHeight="1" x14ac:dyDescent="0.3">
      <c r="B7980" s="37"/>
    </row>
    <row r="7981" spans="2:2" ht="15.9" customHeight="1" x14ac:dyDescent="0.3">
      <c r="B7981" s="37"/>
    </row>
    <row r="7982" spans="2:2" ht="15.9" customHeight="1" x14ac:dyDescent="0.3">
      <c r="B7982" s="37"/>
    </row>
    <row r="7983" spans="2:2" ht="15.9" customHeight="1" x14ac:dyDescent="0.3">
      <c r="B7983" s="37"/>
    </row>
    <row r="7984" spans="2:2" ht="15.9" customHeight="1" x14ac:dyDescent="0.3">
      <c r="B7984" s="37"/>
    </row>
    <row r="7985" spans="2:2" ht="15.9" customHeight="1" x14ac:dyDescent="0.3">
      <c r="B7985" s="37"/>
    </row>
    <row r="7986" spans="2:2" ht="15.9" customHeight="1" x14ac:dyDescent="0.3">
      <c r="B7986" s="37"/>
    </row>
    <row r="7987" spans="2:2" ht="15.9" customHeight="1" x14ac:dyDescent="0.3">
      <c r="B7987" s="37"/>
    </row>
    <row r="7988" spans="2:2" ht="15.9" customHeight="1" x14ac:dyDescent="0.3">
      <c r="B7988" s="37"/>
    </row>
    <row r="7989" spans="2:2" ht="15.9" customHeight="1" x14ac:dyDescent="0.3">
      <c r="B7989" s="37"/>
    </row>
    <row r="7990" spans="2:2" ht="15.9" customHeight="1" x14ac:dyDescent="0.3">
      <c r="B7990" s="37"/>
    </row>
    <row r="7991" spans="2:2" ht="15.9" customHeight="1" x14ac:dyDescent="0.3">
      <c r="B7991" s="37"/>
    </row>
    <row r="7992" spans="2:2" ht="15.9" customHeight="1" x14ac:dyDescent="0.3">
      <c r="B7992" s="37"/>
    </row>
    <row r="7993" spans="2:2" ht="15.9" customHeight="1" x14ac:dyDescent="0.3">
      <c r="B7993" s="37"/>
    </row>
    <row r="7994" spans="2:2" ht="15.9" customHeight="1" x14ac:dyDescent="0.3">
      <c r="B7994" s="37"/>
    </row>
    <row r="7995" spans="2:2" ht="15.9" customHeight="1" x14ac:dyDescent="0.3">
      <c r="B7995" s="37"/>
    </row>
    <row r="7996" spans="2:2" ht="15.9" customHeight="1" x14ac:dyDescent="0.3">
      <c r="B7996" s="37"/>
    </row>
    <row r="7997" spans="2:2" ht="15.9" customHeight="1" x14ac:dyDescent="0.3">
      <c r="B7997" s="37"/>
    </row>
    <row r="7998" spans="2:2" ht="15.9" customHeight="1" x14ac:dyDescent="0.3">
      <c r="B7998" s="37"/>
    </row>
    <row r="7999" spans="2:2" ht="15.9" customHeight="1" x14ac:dyDescent="0.3">
      <c r="B7999" s="37"/>
    </row>
    <row r="8000" spans="2:2" ht="15.9" customHeight="1" x14ac:dyDescent="0.3">
      <c r="B8000" s="37"/>
    </row>
    <row r="8001" spans="2:2" ht="15.9" customHeight="1" x14ac:dyDescent="0.3">
      <c r="B8001" s="37"/>
    </row>
    <row r="8002" spans="2:2" ht="15.9" customHeight="1" x14ac:dyDescent="0.3">
      <c r="B8002" s="37"/>
    </row>
    <row r="8003" spans="2:2" ht="15.9" customHeight="1" x14ac:dyDescent="0.3">
      <c r="B8003" s="37"/>
    </row>
    <row r="8004" spans="2:2" ht="15.9" customHeight="1" x14ac:dyDescent="0.3">
      <c r="B8004" s="37"/>
    </row>
    <row r="8005" spans="2:2" ht="15.9" customHeight="1" x14ac:dyDescent="0.3">
      <c r="B8005" s="37"/>
    </row>
    <row r="8006" spans="2:2" ht="15.9" customHeight="1" x14ac:dyDescent="0.3">
      <c r="B8006" s="37"/>
    </row>
    <row r="8007" spans="2:2" ht="15.9" customHeight="1" x14ac:dyDescent="0.3">
      <c r="B8007" s="37"/>
    </row>
    <row r="8008" spans="2:2" ht="15.9" customHeight="1" x14ac:dyDescent="0.3">
      <c r="B8008" s="37"/>
    </row>
    <row r="8009" spans="2:2" ht="15.9" customHeight="1" x14ac:dyDescent="0.3">
      <c r="B8009" s="37"/>
    </row>
    <row r="8010" spans="2:2" ht="15.9" customHeight="1" x14ac:dyDescent="0.3">
      <c r="B8010" s="37"/>
    </row>
    <row r="8011" spans="2:2" ht="15.9" customHeight="1" x14ac:dyDescent="0.3">
      <c r="B8011" s="37"/>
    </row>
    <row r="8012" spans="2:2" ht="15.9" customHeight="1" x14ac:dyDescent="0.3">
      <c r="B8012" s="37"/>
    </row>
    <row r="8013" spans="2:2" ht="15.9" customHeight="1" x14ac:dyDescent="0.3">
      <c r="B8013" s="37"/>
    </row>
    <row r="8014" spans="2:2" ht="15.9" customHeight="1" x14ac:dyDescent="0.3">
      <c r="B8014" s="37"/>
    </row>
    <row r="8015" spans="2:2" ht="15.9" customHeight="1" x14ac:dyDescent="0.3">
      <c r="B8015" s="37"/>
    </row>
    <row r="8016" spans="2:2" ht="15.9" customHeight="1" x14ac:dyDescent="0.3">
      <c r="B8016" s="37"/>
    </row>
    <row r="8017" spans="2:2" ht="15.9" customHeight="1" x14ac:dyDescent="0.3">
      <c r="B8017" s="37"/>
    </row>
    <row r="8018" spans="2:2" ht="15.9" customHeight="1" x14ac:dyDescent="0.3">
      <c r="B8018" s="37"/>
    </row>
    <row r="8019" spans="2:2" ht="15.9" customHeight="1" x14ac:dyDescent="0.3">
      <c r="B8019" s="37"/>
    </row>
    <row r="8020" spans="2:2" ht="15.9" customHeight="1" x14ac:dyDescent="0.3">
      <c r="B8020" s="37"/>
    </row>
    <row r="8021" spans="2:2" ht="15.9" customHeight="1" x14ac:dyDescent="0.3">
      <c r="B8021" s="37"/>
    </row>
    <row r="8022" spans="2:2" ht="15.9" customHeight="1" x14ac:dyDescent="0.3">
      <c r="B8022" s="37"/>
    </row>
    <row r="8023" spans="2:2" ht="15.9" customHeight="1" x14ac:dyDescent="0.3">
      <c r="B8023" s="37"/>
    </row>
    <row r="8024" spans="2:2" ht="15.9" customHeight="1" x14ac:dyDescent="0.3">
      <c r="B8024" s="37"/>
    </row>
    <row r="8025" spans="2:2" ht="15.9" customHeight="1" x14ac:dyDescent="0.3">
      <c r="B8025" s="37"/>
    </row>
    <row r="8026" spans="2:2" ht="15.9" customHeight="1" x14ac:dyDescent="0.3">
      <c r="B8026" s="37"/>
    </row>
    <row r="8027" spans="2:2" ht="15.9" customHeight="1" x14ac:dyDescent="0.3">
      <c r="B8027" s="37"/>
    </row>
    <row r="8028" spans="2:2" ht="15.9" customHeight="1" x14ac:dyDescent="0.3">
      <c r="B8028" s="37"/>
    </row>
    <row r="8029" spans="2:2" ht="15.9" customHeight="1" x14ac:dyDescent="0.3">
      <c r="B8029" s="37"/>
    </row>
    <row r="8030" spans="2:2" ht="15.9" customHeight="1" x14ac:dyDescent="0.3">
      <c r="B8030" s="37"/>
    </row>
    <row r="8031" spans="2:2" ht="15.9" customHeight="1" x14ac:dyDescent="0.3">
      <c r="B8031" s="37"/>
    </row>
    <row r="8032" spans="2:2" ht="15.9" customHeight="1" x14ac:dyDescent="0.3">
      <c r="B8032" s="37"/>
    </row>
    <row r="8033" spans="2:2" ht="15.9" customHeight="1" x14ac:dyDescent="0.3">
      <c r="B8033" s="37"/>
    </row>
    <row r="8034" spans="2:2" ht="15.9" customHeight="1" x14ac:dyDescent="0.3">
      <c r="B8034" s="37"/>
    </row>
    <row r="8035" spans="2:2" ht="15.9" customHeight="1" x14ac:dyDescent="0.3">
      <c r="B8035" s="37"/>
    </row>
    <row r="8036" spans="2:2" ht="15.9" customHeight="1" x14ac:dyDescent="0.3">
      <c r="B8036" s="37"/>
    </row>
    <row r="8037" spans="2:2" ht="15.9" customHeight="1" x14ac:dyDescent="0.3">
      <c r="B8037" s="37"/>
    </row>
    <row r="8038" spans="2:2" ht="15.9" customHeight="1" x14ac:dyDescent="0.3">
      <c r="B8038" s="37"/>
    </row>
    <row r="8039" spans="2:2" ht="15.9" customHeight="1" x14ac:dyDescent="0.3">
      <c r="B8039" s="37"/>
    </row>
    <row r="8040" spans="2:2" ht="15.9" customHeight="1" x14ac:dyDescent="0.3">
      <c r="B8040" s="37"/>
    </row>
    <row r="8041" spans="2:2" ht="15.9" customHeight="1" x14ac:dyDescent="0.3">
      <c r="B8041" s="37"/>
    </row>
    <row r="8042" spans="2:2" ht="15.9" customHeight="1" x14ac:dyDescent="0.3">
      <c r="B8042" s="37"/>
    </row>
    <row r="8043" spans="2:2" ht="15.9" customHeight="1" x14ac:dyDescent="0.3">
      <c r="B8043" s="37"/>
    </row>
    <row r="8044" spans="2:2" ht="15.9" customHeight="1" x14ac:dyDescent="0.3">
      <c r="B8044" s="37"/>
    </row>
    <row r="8045" spans="2:2" ht="15.9" customHeight="1" x14ac:dyDescent="0.3">
      <c r="B8045" s="37"/>
    </row>
    <row r="8046" spans="2:2" ht="15.9" customHeight="1" x14ac:dyDescent="0.3">
      <c r="B8046" s="37"/>
    </row>
    <row r="8047" spans="2:2" ht="15.9" customHeight="1" x14ac:dyDescent="0.3">
      <c r="B8047" s="37"/>
    </row>
    <row r="8048" spans="2:2" ht="15.9" customHeight="1" x14ac:dyDescent="0.3">
      <c r="B8048" s="37"/>
    </row>
    <row r="8049" spans="2:2" ht="15.9" customHeight="1" x14ac:dyDescent="0.3">
      <c r="B8049" s="37"/>
    </row>
    <row r="8050" spans="2:2" ht="15.9" customHeight="1" x14ac:dyDescent="0.3">
      <c r="B8050" s="37"/>
    </row>
    <row r="8051" spans="2:2" ht="15.9" customHeight="1" x14ac:dyDescent="0.3">
      <c r="B8051" s="37"/>
    </row>
    <row r="8052" spans="2:2" ht="15.9" customHeight="1" x14ac:dyDescent="0.3">
      <c r="B8052" s="37"/>
    </row>
    <row r="8053" spans="2:2" ht="15.9" customHeight="1" x14ac:dyDescent="0.3">
      <c r="B8053" s="37"/>
    </row>
    <row r="8054" spans="2:2" ht="15.9" customHeight="1" x14ac:dyDescent="0.3">
      <c r="B8054" s="37"/>
    </row>
    <row r="8055" spans="2:2" ht="15.9" customHeight="1" x14ac:dyDescent="0.3">
      <c r="B8055" s="37"/>
    </row>
    <row r="8056" spans="2:2" ht="15.9" customHeight="1" x14ac:dyDescent="0.3">
      <c r="B8056" s="37"/>
    </row>
    <row r="8057" spans="2:2" ht="15.9" customHeight="1" x14ac:dyDescent="0.3">
      <c r="B8057" s="37"/>
    </row>
    <row r="8058" spans="2:2" ht="15.9" customHeight="1" x14ac:dyDescent="0.3">
      <c r="B8058" s="37"/>
    </row>
    <row r="8059" spans="2:2" ht="15.9" customHeight="1" x14ac:dyDescent="0.3">
      <c r="B8059" s="37"/>
    </row>
    <row r="8060" spans="2:2" ht="15.9" customHeight="1" x14ac:dyDescent="0.3">
      <c r="B8060" s="37"/>
    </row>
    <row r="8061" spans="2:2" ht="15.9" customHeight="1" x14ac:dyDescent="0.3">
      <c r="B8061" s="37"/>
    </row>
    <row r="8062" spans="2:2" ht="15.9" customHeight="1" x14ac:dyDescent="0.3">
      <c r="B8062" s="37"/>
    </row>
    <row r="8063" spans="2:2" ht="15.9" customHeight="1" x14ac:dyDescent="0.3">
      <c r="B8063" s="37"/>
    </row>
    <row r="8064" spans="2:2" ht="15.9" customHeight="1" x14ac:dyDescent="0.3">
      <c r="B8064" s="37"/>
    </row>
    <row r="8065" spans="2:2" ht="15.9" customHeight="1" x14ac:dyDescent="0.3">
      <c r="B8065" s="37"/>
    </row>
    <row r="8066" spans="2:2" ht="15.9" customHeight="1" x14ac:dyDescent="0.3">
      <c r="B8066" s="37"/>
    </row>
    <row r="8067" spans="2:2" ht="15.9" customHeight="1" x14ac:dyDescent="0.3">
      <c r="B8067" s="37"/>
    </row>
    <row r="8068" spans="2:2" ht="15.9" customHeight="1" x14ac:dyDescent="0.3">
      <c r="B8068" s="37"/>
    </row>
    <row r="8069" spans="2:2" ht="15.9" customHeight="1" x14ac:dyDescent="0.3">
      <c r="B8069" s="37"/>
    </row>
    <row r="8070" spans="2:2" ht="15.9" customHeight="1" x14ac:dyDescent="0.3">
      <c r="B8070" s="37"/>
    </row>
    <row r="8071" spans="2:2" ht="15.9" customHeight="1" x14ac:dyDescent="0.3">
      <c r="B8071" s="37"/>
    </row>
    <row r="8072" spans="2:2" ht="15.9" customHeight="1" x14ac:dyDescent="0.3">
      <c r="B8072" s="37"/>
    </row>
    <row r="8073" spans="2:2" ht="15.9" customHeight="1" x14ac:dyDescent="0.3">
      <c r="B8073" s="37"/>
    </row>
    <row r="8074" spans="2:2" ht="15.9" customHeight="1" x14ac:dyDescent="0.3">
      <c r="B8074" s="37"/>
    </row>
    <row r="8075" spans="2:2" ht="15.9" customHeight="1" x14ac:dyDescent="0.3">
      <c r="B8075" s="37"/>
    </row>
    <row r="8076" spans="2:2" ht="15.9" customHeight="1" x14ac:dyDescent="0.3">
      <c r="B8076" s="37"/>
    </row>
    <row r="8077" spans="2:2" ht="15.9" customHeight="1" x14ac:dyDescent="0.3">
      <c r="B8077" s="37"/>
    </row>
    <row r="8078" spans="2:2" ht="15.9" customHeight="1" x14ac:dyDescent="0.3">
      <c r="B8078" s="37"/>
    </row>
    <row r="8079" spans="2:2" ht="15.9" customHeight="1" x14ac:dyDescent="0.3">
      <c r="B8079" s="37"/>
    </row>
    <row r="8080" spans="2:2" ht="15.9" customHeight="1" x14ac:dyDescent="0.3">
      <c r="B8080" s="37"/>
    </row>
    <row r="8081" spans="2:2" ht="15.9" customHeight="1" x14ac:dyDescent="0.3">
      <c r="B8081" s="37"/>
    </row>
    <row r="8082" spans="2:2" ht="15.9" customHeight="1" x14ac:dyDescent="0.3">
      <c r="B8082" s="37"/>
    </row>
    <row r="8083" spans="2:2" ht="15.9" customHeight="1" x14ac:dyDescent="0.3">
      <c r="B8083" s="37"/>
    </row>
    <row r="8084" spans="2:2" ht="15.9" customHeight="1" x14ac:dyDescent="0.3">
      <c r="B8084" s="37"/>
    </row>
    <row r="8085" spans="2:2" ht="15.9" customHeight="1" x14ac:dyDescent="0.3">
      <c r="B8085" s="37"/>
    </row>
    <row r="8086" spans="2:2" ht="15.9" customHeight="1" x14ac:dyDescent="0.3">
      <c r="B8086" s="37"/>
    </row>
    <row r="8087" spans="2:2" ht="15.9" customHeight="1" x14ac:dyDescent="0.3">
      <c r="B8087" s="37"/>
    </row>
    <row r="8088" spans="2:2" ht="15.9" customHeight="1" x14ac:dyDescent="0.3">
      <c r="B8088" s="37"/>
    </row>
    <row r="8089" spans="2:2" ht="15.9" customHeight="1" x14ac:dyDescent="0.3">
      <c r="B8089" s="37"/>
    </row>
    <row r="8090" spans="2:2" ht="15.9" customHeight="1" x14ac:dyDescent="0.3">
      <c r="B8090" s="37"/>
    </row>
    <row r="8091" spans="2:2" ht="15.9" customHeight="1" x14ac:dyDescent="0.3">
      <c r="B8091" s="37"/>
    </row>
    <row r="8092" spans="2:2" ht="15.9" customHeight="1" x14ac:dyDescent="0.3">
      <c r="B8092" s="37"/>
    </row>
    <row r="8093" spans="2:2" ht="15.9" customHeight="1" x14ac:dyDescent="0.3">
      <c r="B8093" s="37"/>
    </row>
    <row r="8094" spans="2:2" ht="15.9" customHeight="1" x14ac:dyDescent="0.3">
      <c r="B8094" s="37"/>
    </row>
    <row r="8095" spans="2:2" ht="15.9" customHeight="1" x14ac:dyDescent="0.3">
      <c r="B8095" s="37"/>
    </row>
    <row r="8096" spans="2:2" ht="15.9" customHeight="1" x14ac:dyDescent="0.3">
      <c r="B8096" s="37"/>
    </row>
    <row r="8097" spans="2:2" ht="15.9" customHeight="1" x14ac:dyDescent="0.3">
      <c r="B8097" s="37"/>
    </row>
    <row r="8098" spans="2:2" ht="15.9" customHeight="1" x14ac:dyDescent="0.3">
      <c r="B8098" s="37"/>
    </row>
    <row r="8099" spans="2:2" ht="15.9" customHeight="1" x14ac:dyDescent="0.3">
      <c r="B8099" s="37"/>
    </row>
    <row r="8100" spans="2:2" ht="15.9" customHeight="1" x14ac:dyDescent="0.3">
      <c r="B8100" s="37"/>
    </row>
    <row r="8101" spans="2:2" ht="15.9" customHeight="1" x14ac:dyDescent="0.3">
      <c r="B8101" s="37"/>
    </row>
    <row r="8102" spans="2:2" ht="15.9" customHeight="1" x14ac:dyDescent="0.3">
      <c r="B8102" s="37"/>
    </row>
    <row r="8103" spans="2:2" ht="15.9" customHeight="1" x14ac:dyDescent="0.3">
      <c r="B8103" s="37"/>
    </row>
    <row r="8104" spans="2:2" ht="15.9" customHeight="1" x14ac:dyDescent="0.3">
      <c r="B8104" s="37"/>
    </row>
    <row r="8105" spans="2:2" ht="15.9" customHeight="1" x14ac:dyDescent="0.3">
      <c r="B8105" s="37"/>
    </row>
    <row r="8106" spans="2:2" ht="15.9" customHeight="1" x14ac:dyDescent="0.3">
      <c r="B8106" s="37"/>
    </row>
    <row r="8107" spans="2:2" ht="15.9" customHeight="1" x14ac:dyDescent="0.3">
      <c r="B8107" s="37"/>
    </row>
    <row r="8108" spans="2:2" ht="15.9" customHeight="1" x14ac:dyDescent="0.3">
      <c r="B8108" s="37"/>
    </row>
    <row r="8109" spans="2:2" ht="15.9" customHeight="1" x14ac:dyDescent="0.3">
      <c r="B8109" s="37"/>
    </row>
    <row r="8110" spans="2:2" ht="15.9" customHeight="1" x14ac:dyDescent="0.3">
      <c r="B8110" s="37"/>
    </row>
    <row r="8111" spans="2:2" ht="15.9" customHeight="1" x14ac:dyDescent="0.3">
      <c r="B8111" s="37"/>
    </row>
    <row r="8112" spans="2:2" ht="15.9" customHeight="1" x14ac:dyDescent="0.3">
      <c r="B8112" s="37"/>
    </row>
    <row r="8113" spans="2:2" ht="15.9" customHeight="1" x14ac:dyDescent="0.3">
      <c r="B8113" s="37"/>
    </row>
    <row r="8114" spans="2:2" ht="15.9" customHeight="1" x14ac:dyDescent="0.3">
      <c r="B8114" s="37"/>
    </row>
    <row r="8115" spans="2:2" ht="15.9" customHeight="1" x14ac:dyDescent="0.3">
      <c r="B8115" s="37"/>
    </row>
    <row r="8116" spans="2:2" ht="15.9" customHeight="1" x14ac:dyDescent="0.3">
      <c r="B8116" s="37"/>
    </row>
    <row r="8117" spans="2:2" ht="15.9" customHeight="1" x14ac:dyDescent="0.3">
      <c r="B8117" s="37"/>
    </row>
    <row r="8118" spans="2:2" ht="15.9" customHeight="1" x14ac:dyDescent="0.3">
      <c r="B8118" s="37"/>
    </row>
    <row r="8119" spans="2:2" ht="15.9" customHeight="1" x14ac:dyDescent="0.3">
      <c r="B8119" s="37"/>
    </row>
    <row r="8120" spans="2:2" ht="15.9" customHeight="1" x14ac:dyDescent="0.3">
      <c r="B8120" s="37"/>
    </row>
    <row r="8121" spans="2:2" ht="15.9" customHeight="1" x14ac:dyDescent="0.3">
      <c r="B8121" s="37"/>
    </row>
    <row r="8122" spans="2:2" ht="15.9" customHeight="1" x14ac:dyDescent="0.3">
      <c r="B8122" s="37"/>
    </row>
    <row r="8123" spans="2:2" ht="15.9" customHeight="1" x14ac:dyDescent="0.3">
      <c r="B8123" s="37"/>
    </row>
    <row r="8124" spans="2:2" ht="15.9" customHeight="1" x14ac:dyDescent="0.3">
      <c r="B8124" s="37"/>
    </row>
    <row r="8125" spans="2:2" ht="15.9" customHeight="1" x14ac:dyDescent="0.3">
      <c r="B8125" s="37"/>
    </row>
    <row r="8126" spans="2:2" ht="15.9" customHeight="1" x14ac:dyDescent="0.3">
      <c r="B8126" s="37"/>
    </row>
    <row r="8127" spans="2:2" ht="15.9" customHeight="1" x14ac:dyDescent="0.3">
      <c r="B8127" s="37"/>
    </row>
    <row r="8128" spans="2:2" ht="15.9" customHeight="1" x14ac:dyDescent="0.3">
      <c r="B8128" s="37"/>
    </row>
    <row r="8129" spans="2:2" ht="15.9" customHeight="1" x14ac:dyDescent="0.3">
      <c r="B8129" s="37"/>
    </row>
    <row r="8130" spans="2:2" ht="15.9" customHeight="1" x14ac:dyDescent="0.3">
      <c r="B8130" s="37"/>
    </row>
    <row r="8131" spans="2:2" ht="15.9" customHeight="1" x14ac:dyDescent="0.3">
      <c r="B8131" s="37"/>
    </row>
    <row r="8132" spans="2:2" ht="15.9" customHeight="1" x14ac:dyDescent="0.3">
      <c r="B8132" s="37"/>
    </row>
    <row r="8133" spans="2:2" ht="15.9" customHeight="1" x14ac:dyDescent="0.3">
      <c r="B8133" s="37"/>
    </row>
    <row r="8134" spans="2:2" ht="15.9" customHeight="1" x14ac:dyDescent="0.3">
      <c r="B8134" s="37"/>
    </row>
    <row r="8135" spans="2:2" ht="15.9" customHeight="1" x14ac:dyDescent="0.3">
      <c r="B8135" s="37"/>
    </row>
    <row r="8136" spans="2:2" ht="15.9" customHeight="1" x14ac:dyDescent="0.3">
      <c r="B8136" s="37"/>
    </row>
    <row r="8137" spans="2:2" ht="15.9" customHeight="1" x14ac:dyDescent="0.3">
      <c r="B8137" s="37"/>
    </row>
    <row r="8138" spans="2:2" ht="15.9" customHeight="1" x14ac:dyDescent="0.3">
      <c r="B8138" s="37"/>
    </row>
    <row r="8139" spans="2:2" ht="15.9" customHeight="1" x14ac:dyDescent="0.3">
      <c r="B8139" s="37"/>
    </row>
    <row r="8140" spans="2:2" ht="15.9" customHeight="1" x14ac:dyDescent="0.3">
      <c r="B8140" s="37"/>
    </row>
    <row r="8141" spans="2:2" ht="15.9" customHeight="1" x14ac:dyDescent="0.3">
      <c r="B8141" s="37"/>
    </row>
    <row r="8142" spans="2:2" ht="15.9" customHeight="1" x14ac:dyDescent="0.3">
      <c r="B8142" s="37"/>
    </row>
    <row r="8143" spans="2:2" ht="15.9" customHeight="1" x14ac:dyDescent="0.3">
      <c r="B8143" s="37"/>
    </row>
    <row r="8144" spans="2:2" ht="15.9" customHeight="1" x14ac:dyDescent="0.3">
      <c r="B8144" s="37"/>
    </row>
    <row r="8145" spans="2:2" ht="15.9" customHeight="1" x14ac:dyDescent="0.3">
      <c r="B8145" s="37"/>
    </row>
    <row r="8146" spans="2:2" ht="15.9" customHeight="1" x14ac:dyDescent="0.3">
      <c r="B8146" s="37"/>
    </row>
    <row r="8147" spans="2:2" ht="15.9" customHeight="1" x14ac:dyDescent="0.3">
      <c r="B8147" s="37"/>
    </row>
    <row r="8148" spans="2:2" ht="15.9" customHeight="1" x14ac:dyDescent="0.3">
      <c r="B8148" s="37"/>
    </row>
    <row r="8149" spans="2:2" ht="15.9" customHeight="1" x14ac:dyDescent="0.3">
      <c r="B8149" s="37"/>
    </row>
    <row r="8150" spans="2:2" ht="15.9" customHeight="1" x14ac:dyDescent="0.3">
      <c r="B8150" s="37"/>
    </row>
    <row r="8151" spans="2:2" ht="15.9" customHeight="1" x14ac:dyDescent="0.3">
      <c r="B8151" s="37"/>
    </row>
    <row r="8152" spans="2:2" ht="15.9" customHeight="1" x14ac:dyDescent="0.3">
      <c r="B8152" s="37"/>
    </row>
    <row r="8153" spans="2:2" ht="15.9" customHeight="1" x14ac:dyDescent="0.3">
      <c r="B8153" s="37"/>
    </row>
    <row r="8154" spans="2:2" ht="15.9" customHeight="1" x14ac:dyDescent="0.3">
      <c r="B8154" s="37"/>
    </row>
    <row r="8155" spans="2:2" ht="15.9" customHeight="1" x14ac:dyDescent="0.3">
      <c r="B8155" s="37"/>
    </row>
    <row r="8156" spans="2:2" ht="15.9" customHeight="1" x14ac:dyDescent="0.3">
      <c r="B8156" s="37"/>
    </row>
    <row r="8157" spans="2:2" ht="15.9" customHeight="1" x14ac:dyDescent="0.3">
      <c r="B8157" s="37"/>
    </row>
    <row r="8158" spans="2:2" ht="15.9" customHeight="1" x14ac:dyDescent="0.3">
      <c r="B8158" s="37"/>
    </row>
    <row r="8159" spans="2:2" ht="15.9" customHeight="1" x14ac:dyDescent="0.3">
      <c r="B8159" s="37"/>
    </row>
    <row r="8160" spans="2:2" ht="15.9" customHeight="1" x14ac:dyDescent="0.3">
      <c r="B8160" s="37"/>
    </row>
    <row r="8161" spans="2:2" ht="15.9" customHeight="1" x14ac:dyDescent="0.3">
      <c r="B8161" s="37"/>
    </row>
    <row r="8162" spans="2:2" ht="15.9" customHeight="1" x14ac:dyDescent="0.3">
      <c r="B8162" s="37"/>
    </row>
    <row r="8163" spans="2:2" ht="15.9" customHeight="1" x14ac:dyDescent="0.3">
      <c r="B8163" s="37"/>
    </row>
    <row r="8164" spans="2:2" ht="15.9" customHeight="1" x14ac:dyDescent="0.3">
      <c r="B8164" s="37"/>
    </row>
    <row r="8165" spans="2:2" ht="15.9" customHeight="1" x14ac:dyDescent="0.3">
      <c r="B8165" s="37"/>
    </row>
    <row r="8166" spans="2:2" ht="15.9" customHeight="1" x14ac:dyDescent="0.3">
      <c r="B8166" s="37"/>
    </row>
    <row r="8167" spans="2:2" ht="15.9" customHeight="1" x14ac:dyDescent="0.3">
      <c r="B8167" s="37"/>
    </row>
    <row r="8168" spans="2:2" ht="15.9" customHeight="1" x14ac:dyDescent="0.3">
      <c r="B8168" s="37"/>
    </row>
    <row r="8169" spans="2:2" ht="15.9" customHeight="1" x14ac:dyDescent="0.3">
      <c r="B8169" s="37"/>
    </row>
    <row r="8170" spans="2:2" ht="15.9" customHeight="1" x14ac:dyDescent="0.3">
      <c r="B8170" s="37"/>
    </row>
    <row r="8171" spans="2:2" ht="15.9" customHeight="1" x14ac:dyDescent="0.3">
      <c r="B8171" s="37"/>
    </row>
    <row r="8172" spans="2:2" ht="15.9" customHeight="1" x14ac:dyDescent="0.3">
      <c r="B8172" s="37"/>
    </row>
    <row r="8173" spans="2:2" ht="15.9" customHeight="1" x14ac:dyDescent="0.3">
      <c r="B8173" s="37"/>
    </row>
    <row r="8174" spans="2:2" ht="15.9" customHeight="1" x14ac:dyDescent="0.3">
      <c r="B8174" s="37"/>
    </row>
    <row r="8175" spans="2:2" ht="15.9" customHeight="1" x14ac:dyDescent="0.3">
      <c r="B8175" s="37"/>
    </row>
    <row r="8176" spans="2:2" ht="15.9" customHeight="1" x14ac:dyDescent="0.3">
      <c r="B8176" s="37"/>
    </row>
    <row r="8177" spans="2:2" ht="15.9" customHeight="1" x14ac:dyDescent="0.3">
      <c r="B8177" s="37"/>
    </row>
    <row r="8178" spans="2:2" ht="15.9" customHeight="1" x14ac:dyDescent="0.3">
      <c r="B8178" s="37"/>
    </row>
    <row r="8179" spans="2:2" ht="15.9" customHeight="1" x14ac:dyDescent="0.3">
      <c r="B8179" s="37"/>
    </row>
    <row r="8180" spans="2:2" ht="15.9" customHeight="1" x14ac:dyDescent="0.3">
      <c r="B8180" s="37"/>
    </row>
    <row r="8181" spans="2:2" ht="15.9" customHeight="1" x14ac:dyDescent="0.3">
      <c r="B8181" s="37"/>
    </row>
    <row r="8182" spans="2:2" ht="15.9" customHeight="1" x14ac:dyDescent="0.3">
      <c r="B8182" s="37"/>
    </row>
    <row r="8183" spans="2:2" ht="15.9" customHeight="1" x14ac:dyDescent="0.3">
      <c r="B8183" s="37"/>
    </row>
    <row r="8184" spans="2:2" ht="15.9" customHeight="1" x14ac:dyDescent="0.3">
      <c r="B8184" s="37"/>
    </row>
    <row r="8185" spans="2:2" ht="15.9" customHeight="1" x14ac:dyDescent="0.3">
      <c r="B8185" s="37"/>
    </row>
    <row r="8186" spans="2:2" ht="15.9" customHeight="1" x14ac:dyDescent="0.3">
      <c r="B8186" s="37"/>
    </row>
    <row r="8187" spans="2:2" ht="15.9" customHeight="1" x14ac:dyDescent="0.3">
      <c r="B8187" s="37"/>
    </row>
    <row r="8188" spans="2:2" ht="15.9" customHeight="1" x14ac:dyDescent="0.3">
      <c r="B8188" s="37"/>
    </row>
    <row r="8189" spans="2:2" ht="15.9" customHeight="1" x14ac:dyDescent="0.3">
      <c r="B8189" s="37"/>
    </row>
    <row r="8190" spans="2:2" ht="15.9" customHeight="1" x14ac:dyDescent="0.3">
      <c r="B8190" s="37"/>
    </row>
    <row r="8191" spans="2:2" ht="15.9" customHeight="1" x14ac:dyDescent="0.3">
      <c r="B8191" s="37"/>
    </row>
    <row r="8192" spans="2:2" ht="15.9" customHeight="1" x14ac:dyDescent="0.3">
      <c r="B8192" s="37"/>
    </row>
    <row r="8193" spans="2:2" ht="15.9" customHeight="1" x14ac:dyDescent="0.3">
      <c r="B8193" s="37"/>
    </row>
    <row r="8194" spans="2:2" ht="15.9" customHeight="1" x14ac:dyDescent="0.3">
      <c r="B8194" s="37"/>
    </row>
    <row r="8195" spans="2:2" ht="15.9" customHeight="1" x14ac:dyDescent="0.3">
      <c r="B8195" s="37"/>
    </row>
    <row r="8196" spans="2:2" ht="15.9" customHeight="1" x14ac:dyDescent="0.3">
      <c r="B8196" s="37"/>
    </row>
    <row r="8197" spans="2:2" ht="15.9" customHeight="1" x14ac:dyDescent="0.3">
      <c r="B8197" s="37"/>
    </row>
    <row r="8198" spans="2:2" ht="15.9" customHeight="1" x14ac:dyDescent="0.3">
      <c r="B8198" s="37"/>
    </row>
    <row r="8199" spans="2:2" ht="15.9" customHeight="1" x14ac:dyDescent="0.3">
      <c r="B8199" s="37"/>
    </row>
    <row r="8200" spans="2:2" ht="15.9" customHeight="1" x14ac:dyDescent="0.3">
      <c r="B8200" s="37"/>
    </row>
    <row r="8201" spans="2:2" ht="15.9" customHeight="1" x14ac:dyDescent="0.3">
      <c r="B8201" s="37"/>
    </row>
    <row r="8202" spans="2:2" ht="15.9" customHeight="1" x14ac:dyDescent="0.3">
      <c r="B8202" s="37"/>
    </row>
    <row r="8203" spans="2:2" ht="15.9" customHeight="1" x14ac:dyDescent="0.3">
      <c r="B8203" s="37"/>
    </row>
    <row r="8204" spans="2:2" ht="15.9" customHeight="1" x14ac:dyDescent="0.3">
      <c r="B8204" s="37"/>
    </row>
    <row r="8205" spans="2:2" ht="15.9" customHeight="1" x14ac:dyDescent="0.3">
      <c r="B8205" s="37"/>
    </row>
    <row r="8206" spans="2:2" ht="15.9" customHeight="1" x14ac:dyDescent="0.3">
      <c r="B8206" s="37"/>
    </row>
    <row r="8207" spans="2:2" ht="15.9" customHeight="1" x14ac:dyDescent="0.3">
      <c r="B8207" s="37"/>
    </row>
    <row r="8208" spans="2:2" ht="15.9" customHeight="1" x14ac:dyDescent="0.3">
      <c r="B8208" s="37"/>
    </row>
    <row r="8209" spans="2:2" ht="15.9" customHeight="1" x14ac:dyDescent="0.3">
      <c r="B8209" s="37"/>
    </row>
    <row r="8210" spans="2:2" ht="15.9" customHeight="1" x14ac:dyDescent="0.3">
      <c r="B8210" s="37"/>
    </row>
    <row r="8211" spans="2:2" ht="15.9" customHeight="1" x14ac:dyDescent="0.3">
      <c r="B8211" s="37"/>
    </row>
    <row r="8212" spans="2:2" ht="15.9" customHeight="1" x14ac:dyDescent="0.3">
      <c r="B8212" s="37"/>
    </row>
    <row r="8213" spans="2:2" ht="15.9" customHeight="1" x14ac:dyDescent="0.3">
      <c r="B8213" s="37"/>
    </row>
    <row r="8214" spans="2:2" ht="15.9" customHeight="1" x14ac:dyDescent="0.3">
      <c r="B8214" s="37"/>
    </row>
    <row r="8215" spans="2:2" ht="15.9" customHeight="1" x14ac:dyDescent="0.3">
      <c r="B8215" s="37"/>
    </row>
    <row r="8216" spans="2:2" ht="15.9" customHeight="1" x14ac:dyDescent="0.3">
      <c r="B8216" s="37"/>
    </row>
    <row r="8217" spans="2:2" ht="15.9" customHeight="1" x14ac:dyDescent="0.3">
      <c r="B8217" s="37"/>
    </row>
    <row r="8218" spans="2:2" ht="15.9" customHeight="1" x14ac:dyDescent="0.3">
      <c r="B8218" s="37"/>
    </row>
    <row r="8219" spans="2:2" ht="15.9" customHeight="1" x14ac:dyDescent="0.3">
      <c r="B8219" s="37"/>
    </row>
    <row r="8220" spans="2:2" ht="15.9" customHeight="1" x14ac:dyDescent="0.3">
      <c r="B8220" s="37"/>
    </row>
    <row r="8221" spans="2:2" ht="15.9" customHeight="1" x14ac:dyDescent="0.3">
      <c r="B8221" s="37"/>
    </row>
    <row r="8222" spans="2:2" ht="15.9" customHeight="1" x14ac:dyDescent="0.3">
      <c r="B8222" s="37"/>
    </row>
    <row r="8223" spans="2:2" ht="15.9" customHeight="1" x14ac:dyDescent="0.3">
      <c r="B8223" s="37"/>
    </row>
    <row r="8224" spans="2:2" ht="15.9" customHeight="1" x14ac:dyDescent="0.3">
      <c r="B8224" s="37"/>
    </row>
    <row r="8225" spans="2:2" ht="15.9" customHeight="1" x14ac:dyDescent="0.3">
      <c r="B8225" s="37"/>
    </row>
    <row r="8226" spans="2:2" ht="15.9" customHeight="1" x14ac:dyDescent="0.3">
      <c r="B8226" s="37"/>
    </row>
    <row r="8227" spans="2:2" ht="15.9" customHeight="1" x14ac:dyDescent="0.3">
      <c r="B8227" s="37"/>
    </row>
    <row r="8228" spans="2:2" ht="15.9" customHeight="1" x14ac:dyDescent="0.3">
      <c r="B8228" s="37"/>
    </row>
    <row r="8229" spans="2:2" ht="15.9" customHeight="1" x14ac:dyDescent="0.3">
      <c r="B8229" s="37"/>
    </row>
    <row r="8230" spans="2:2" ht="15.9" customHeight="1" x14ac:dyDescent="0.3">
      <c r="B8230" s="37"/>
    </row>
    <row r="8231" spans="2:2" ht="15.9" customHeight="1" x14ac:dyDescent="0.3">
      <c r="B8231" s="37"/>
    </row>
    <row r="8232" spans="2:2" ht="15.9" customHeight="1" x14ac:dyDescent="0.3">
      <c r="B8232" s="37"/>
    </row>
    <row r="8233" spans="2:2" ht="15.9" customHeight="1" x14ac:dyDescent="0.3">
      <c r="B8233" s="37"/>
    </row>
    <row r="8234" spans="2:2" ht="15.9" customHeight="1" x14ac:dyDescent="0.3">
      <c r="B8234" s="37"/>
    </row>
    <row r="8235" spans="2:2" ht="15.9" customHeight="1" x14ac:dyDescent="0.3">
      <c r="B8235" s="37"/>
    </row>
    <row r="8236" spans="2:2" ht="15.9" customHeight="1" x14ac:dyDescent="0.3">
      <c r="B8236" s="37"/>
    </row>
    <row r="8237" spans="2:2" ht="15.9" customHeight="1" x14ac:dyDescent="0.3">
      <c r="B8237" s="37"/>
    </row>
    <row r="8238" spans="2:2" ht="15.9" customHeight="1" x14ac:dyDescent="0.3">
      <c r="B8238" s="37"/>
    </row>
    <row r="8239" spans="2:2" ht="15.9" customHeight="1" x14ac:dyDescent="0.3">
      <c r="B8239" s="37"/>
    </row>
    <row r="8240" spans="2:2" ht="15.9" customHeight="1" x14ac:dyDescent="0.3">
      <c r="B8240" s="37"/>
    </row>
    <row r="8241" spans="2:2" ht="15.9" customHeight="1" x14ac:dyDescent="0.3">
      <c r="B8241" s="37"/>
    </row>
    <row r="8242" spans="2:2" ht="15.9" customHeight="1" x14ac:dyDescent="0.3">
      <c r="B8242" s="37"/>
    </row>
    <row r="8243" spans="2:2" ht="15.9" customHeight="1" x14ac:dyDescent="0.3">
      <c r="B8243" s="37"/>
    </row>
    <row r="8244" spans="2:2" ht="15.9" customHeight="1" x14ac:dyDescent="0.3">
      <c r="B8244" s="37"/>
    </row>
    <row r="8245" spans="2:2" ht="15.9" customHeight="1" x14ac:dyDescent="0.3">
      <c r="B8245" s="37"/>
    </row>
    <row r="8246" spans="2:2" ht="15.9" customHeight="1" x14ac:dyDescent="0.3">
      <c r="B8246" s="37"/>
    </row>
    <row r="8247" spans="2:2" ht="15.9" customHeight="1" x14ac:dyDescent="0.3">
      <c r="B8247" s="37"/>
    </row>
    <row r="8248" spans="2:2" ht="15.9" customHeight="1" x14ac:dyDescent="0.3">
      <c r="B8248" s="37"/>
    </row>
    <row r="8249" spans="2:2" ht="15.9" customHeight="1" x14ac:dyDescent="0.3">
      <c r="B8249" s="37"/>
    </row>
    <row r="8250" spans="2:2" ht="15.9" customHeight="1" x14ac:dyDescent="0.3">
      <c r="B8250" s="37"/>
    </row>
    <row r="8251" spans="2:2" ht="15.9" customHeight="1" x14ac:dyDescent="0.3">
      <c r="B8251" s="37"/>
    </row>
    <row r="8252" spans="2:2" ht="15.9" customHeight="1" x14ac:dyDescent="0.3">
      <c r="B8252" s="37"/>
    </row>
    <row r="8253" spans="2:2" ht="15.9" customHeight="1" x14ac:dyDescent="0.3">
      <c r="B8253" s="37"/>
    </row>
    <row r="8254" spans="2:2" ht="15.9" customHeight="1" x14ac:dyDescent="0.3">
      <c r="B8254" s="37"/>
    </row>
    <row r="8255" spans="2:2" ht="15.9" customHeight="1" x14ac:dyDescent="0.3">
      <c r="B8255" s="37"/>
    </row>
    <row r="8256" spans="2:2" ht="15.9" customHeight="1" x14ac:dyDescent="0.3">
      <c r="B8256" s="37"/>
    </row>
    <row r="8257" spans="2:2" ht="15.9" customHeight="1" x14ac:dyDescent="0.3">
      <c r="B8257" s="37"/>
    </row>
    <row r="8258" spans="2:2" ht="15.9" customHeight="1" x14ac:dyDescent="0.3">
      <c r="B8258" s="37"/>
    </row>
    <row r="8259" spans="2:2" ht="15.9" customHeight="1" x14ac:dyDescent="0.3">
      <c r="B8259" s="37"/>
    </row>
    <row r="8260" spans="2:2" ht="15.9" customHeight="1" x14ac:dyDescent="0.3">
      <c r="B8260" s="37"/>
    </row>
    <row r="8261" spans="2:2" ht="15.9" customHeight="1" x14ac:dyDescent="0.3">
      <c r="B8261" s="37"/>
    </row>
    <row r="8262" spans="2:2" ht="15.9" customHeight="1" x14ac:dyDescent="0.3">
      <c r="B8262" s="37"/>
    </row>
    <row r="8263" spans="2:2" ht="15.9" customHeight="1" x14ac:dyDescent="0.3">
      <c r="B8263" s="37"/>
    </row>
    <row r="8264" spans="2:2" ht="15.9" customHeight="1" x14ac:dyDescent="0.3">
      <c r="B8264" s="37"/>
    </row>
    <row r="8265" spans="2:2" ht="15.9" customHeight="1" x14ac:dyDescent="0.3">
      <c r="B8265" s="37"/>
    </row>
    <row r="8266" spans="2:2" ht="15.9" customHeight="1" x14ac:dyDescent="0.3">
      <c r="B8266" s="37"/>
    </row>
    <row r="8267" spans="2:2" ht="15.9" customHeight="1" x14ac:dyDescent="0.3">
      <c r="B8267" s="37"/>
    </row>
    <row r="8268" spans="2:2" ht="15.9" customHeight="1" x14ac:dyDescent="0.3">
      <c r="B8268" s="37"/>
    </row>
    <row r="8269" spans="2:2" ht="15.9" customHeight="1" x14ac:dyDescent="0.3">
      <c r="B8269" s="37"/>
    </row>
    <row r="8270" spans="2:2" ht="15.9" customHeight="1" x14ac:dyDescent="0.3">
      <c r="B8270" s="37"/>
    </row>
    <row r="8271" spans="2:2" ht="15.9" customHeight="1" x14ac:dyDescent="0.3">
      <c r="B8271" s="37"/>
    </row>
    <row r="8272" spans="2:2" ht="15.9" customHeight="1" x14ac:dyDescent="0.3">
      <c r="B8272" s="37"/>
    </row>
    <row r="8273" spans="2:2" ht="15.9" customHeight="1" x14ac:dyDescent="0.3">
      <c r="B8273" s="37"/>
    </row>
    <row r="8274" spans="2:2" ht="15.9" customHeight="1" x14ac:dyDescent="0.3">
      <c r="B8274" s="37"/>
    </row>
    <row r="8275" spans="2:2" ht="15.9" customHeight="1" x14ac:dyDescent="0.3">
      <c r="B8275" s="37"/>
    </row>
    <row r="8276" spans="2:2" ht="15.9" customHeight="1" x14ac:dyDescent="0.3">
      <c r="B8276" s="37"/>
    </row>
    <row r="8277" spans="2:2" ht="15.9" customHeight="1" x14ac:dyDescent="0.3">
      <c r="B8277" s="37"/>
    </row>
    <row r="8278" spans="2:2" ht="15.9" customHeight="1" x14ac:dyDescent="0.3">
      <c r="B8278" s="37"/>
    </row>
    <row r="8279" spans="2:2" ht="15.9" customHeight="1" x14ac:dyDescent="0.3">
      <c r="B8279" s="37"/>
    </row>
    <row r="8280" spans="2:2" ht="15.9" customHeight="1" x14ac:dyDescent="0.3">
      <c r="B8280" s="37"/>
    </row>
    <row r="8281" spans="2:2" ht="15.9" customHeight="1" x14ac:dyDescent="0.3">
      <c r="B8281" s="37"/>
    </row>
    <row r="8282" spans="2:2" ht="15.9" customHeight="1" x14ac:dyDescent="0.3">
      <c r="B8282" s="37"/>
    </row>
    <row r="8283" spans="2:2" ht="15.9" customHeight="1" x14ac:dyDescent="0.3">
      <c r="B8283" s="37"/>
    </row>
    <row r="8284" spans="2:2" ht="15.9" customHeight="1" x14ac:dyDescent="0.3">
      <c r="B8284" s="37"/>
    </row>
    <row r="8285" spans="2:2" ht="15.9" customHeight="1" x14ac:dyDescent="0.3">
      <c r="B8285" s="37"/>
    </row>
    <row r="8286" spans="2:2" ht="15.9" customHeight="1" x14ac:dyDescent="0.3">
      <c r="B8286" s="37"/>
    </row>
    <row r="8287" spans="2:2" ht="15.9" customHeight="1" x14ac:dyDescent="0.3">
      <c r="B8287" s="37"/>
    </row>
    <row r="8288" spans="2:2" ht="15.9" customHeight="1" x14ac:dyDescent="0.3">
      <c r="B8288" s="37"/>
    </row>
    <row r="8289" spans="2:2" ht="15.9" customHeight="1" x14ac:dyDescent="0.3">
      <c r="B8289" s="37"/>
    </row>
    <row r="8290" spans="2:2" ht="15.9" customHeight="1" x14ac:dyDescent="0.3">
      <c r="B8290" s="37"/>
    </row>
    <row r="8291" spans="2:2" ht="15.9" customHeight="1" x14ac:dyDescent="0.3">
      <c r="B8291" s="37"/>
    </row>
    <row r="8292" spans="2:2" ht="15.9" customHeight="1" x14ac:dyDescent="0.3">
      <c r="B8292" s="37"/>
    </row>
    <row r="8293" spans="2:2" ht="15.9" customHeight="1" x14ac:dyDescent="0.3">
      <c r="B8293" s="37"/>
    </row>
    <row r="8294" spans="2:2" ht="15.9" customHeight="1" x14ac:dyDescent="0.3">
      <c r="B8294" s="37"/>
    </row>
    <row r="8295" spans="2:2" ht="15.9" customHeight="1" x14ac:dyDescent="0.3">
      <c r="B8295" s="37"/>
    </row>
    <row r="8296" spans="2:2" ht="15.9" customHeight="1" x14ac:dyDescent="0.3">
      <c r="B8296" s="37"/>
    </row>
    <row r="8297" spans="2:2" ht="15.9" customHeight="1" x14ac:dyDescent="0.3">
      <c r="B8297" s="37"/>
    </row>
    <row r="8298" spans="2:2" ht="15.9" customHeight="1" x14ac:dyDescent="0.3">
      <c r="B8298" s="37"/>
    </row>
    <row r="8299" spans="2:2" ht="15.9" customHeight="1" x14ac:dyDescent="0.3">
      <c r="B8299" s="37"/>
    </row>
    <row r="8300" spans="2:2" ht="15.9" customHeight="1" x14ac:dyDescent="0.3">
      <c r="B8300" s="37"/>
    </row>
    <row r="8301" spans="2:2" ht="15.9" customHeight="1" x14ac:dyDescent="0.3">
      <c r="B8301" s="37"/>
    </row>
    <row r="8302" spans="2:2" ht="15.9" customHeight="1" x14ac:dyDescent="0.3">
      <c r="B8302" s="37"/>
    </row>
    <row r="8303" spans="2:2" ht="15.9" customHeight="1" x14ac:dyDescent="0.3">
      <c r="B8303" s="37"/>
    </row>
    <row r="8304" spans="2:2" ht="15.9" customHeight="1" x14ac:dyDescent="0.3">
      <c r="B8304" s="37"/>
    </row>
    <row r="8305" spans="2:2" ht="15.9" customHeight="1" x14ac:dyDescent="0.3">
      <c r="B8305" s="37"/>
    </row>
    <row r="8306" spans="2:2" ht="15.9" customHeight="1" x14ac:dyDescent="0.3">
      <c r="B8306" s="37"/>
    </row>
    <row r="8307" spans="2:2" ht="15.9" customHeight="1" x14ac:dyDescent="0.3">
      <c r="B8307" s="37"/>
    </row>
    <row r="8308" spans="2:2" ht="15.9" customHeight="1" x14ac:dyDescent="0.3">
      <c r="B8308" s="37"/>
    </row>
    <row r="8309" spans="2:2" ht="15.9" customHeight="1" x14ac:dyDescent="0.3">
      <c r="B8309" s="37"/>
    </row>
    <row r="8310" spans="2:2" ht="15.9" customHeight="1" x14ac:dyDescent="0.3">
      <c r="B8310" s="37"/>
    </row>
    <row r="8311" spans="2:2" ht="15.9" customHeight="1" x14ac:dyDescent="0.3">
      <c r="B8311" s="37"/>
    </row>
    <row r="8312" spans="2:2" ht="15.9" customHeight="1" x14ac:dyDescent="0.3">
      <c r="B8312" s="37"/>
    </row>
    <row r="8313" spans="2:2" ht="15.9" customHeight="1" x14ac:dyDescent="0.3">
      <c r="B8313" s="37"/>
    </row>
    <row r="8314" spans="2:2" ht="15.9" customHeight="1" x14ac:dyDescent="0.3">
      <c r="B8314" s="37"/>
    </row>
    <row r="8315" spans="2:2" ht="15.9" customHeight="1" x14ac:dyDescent="0.3">
      <c r="B8315" s="37"/>
    </row>
    <row r="8316" spans="2:2" ht="15.9" customHeight="1" x14ac:dyDescent="0.3">
      <c r="B8316" s="37"/>
    </row>
    <row r="8317" spans="2:2" ht="15.9" customHeight="1" x14ac:dyDescent="0.3">
      <c r="B8317" s="37"/>
    </row>
    <row r="8318" spans="2:2" ht="15.9" customHeight="1" x14ac:dyDescent="0.3">
      <c r="B8318" s="37"/>
    </row>
    <row r="8319" spans="2:2" ht="15.9" customHeight="1" x14ac:dyDescent="0.3">
      <c r="B8319" s="37"/>
    </row>
    <row r="8320" spans="2:2" ht="15.9" customHeight="1" x14ac:dyDescent="0.3">
      <c r="B8320" s="37"/>
    </row>
    <row r="8321" spans="2:2" ht="15.9" customHeight="1" x14ac:dyDescent="0.3">
      <c r="B8321" s="37"/>
    </row>
    <row r="8322" spans="2:2" ht="15.9" customHeight="1" x14ac:dyDescent="0.3">
      <c r="B8322" s="37"/>
    </row>
    <row r="8323" spans="2:2" ht="15.9" customHeight="1" x14ac:dyDescent="0.3">
      <c r="B8323" s="37"/>
    </row>
    <row r="8324" spans="2:2" ht="15.9" customHeight="1" x14ac:dyDescent="0.3">
      <c r="B8324" s="37"/>
    </row>
    <row r="8325" spans="2:2" ht="15.9" customHeight="1" x14ac:dyDescent="0.3">
      <c r="B8325" s="37"/>
    </row>
    <row r="8326" spans="2:2" ht="15.9" customHeight="1" x14ac:dyDescent="0.3">
      <c r="B8326" s="37"/>
    </row>
    <row r="8327" spans="2:2" ht="15.9" customHeight="1" x14ac:dyDescent="0.3">
      <c r="B8327" s="37"/>
    </row>
    <row r="8328" spans="2:2" ht="15.9" customHeight="1" x14ac:dyDescent="0.3">
      <c r="B8328" s="37"/>
    </row>
    <row r="8329" spans="2:2" ht="15.9" customHeight="1" x14ac:dyDescent="0.3">
      <c r="B8329" s="37"/>
    </row>
    <row r="8330" spans="2:2" ht="15.9" customHeight="1" x14ac:dyDescent="0.3">
      <c r="B8330" s="37"/>
    </row>
    <row r="8331" spans="2:2" ht="15.9" customHeight="1" x14ac:dyDescent="0.3">
      <c r="B8331" s="37"/>
    </row>
    <row r="8332" spans="2:2" ht="15.9" customHeight="1" x14ac:dyDescent="0.3">
      <c r="B8332" s="37"/>
    </row>
    <row r="8333" spans="2:2" ht="15.9" customHeight="1" x14ac:dyDescent="0.3">
      <c r="B8333" s="37"/>
    </row>
    <row r="8334" spans="2:2" ht="15.9" customHeight="1" x14ac:dyDescent="0.3">
      <c r="B8334" s="37"/>
    </row>
    <row r="8335" spans="2:2" ht="15.9" customHeight="1" x14ac:dyDescent="0.3">
      <c r="B8335" s="37"/>
    </row>
    <row r="8336" spans="2:2" ht="15.9" customHeight="1" x14ac:dyDescent="0.3">
      <c r="B8336" s="37"/>
    </row>
    <row r="8337" spans="2:2" ht="15.9" customHeight="1" x14ac:dyDescent="0.3">
      <c r="B8337" s="37"/>
    </row>
    <row r="8338" spans="2:2" ht="15.9" customHeight="1" x14ac:dyDescent="0.3">
      <c r="B8338" s="37"/>
    </row>
    <row r="8339" spans="2:2" ht="15.9" customHeight="1" x14ac:dyDescent="0.3">
      <c r="B8339" s="37"/>
    </row>
    <row r="8340" spans="2:2" ht="15.9" customHeight="1" x14ac:dyDescent="0.3">
      <c r="B8340" s="37"/>
    </row>
    <row r="8341" spans="2:2" ht="15.9" customHeight="1" x14ac:dyDescent="0.3">
      <c r="B8341" s="37"/>
    </row>
    <row r="8342" spans="2:2" ht="15.9" customHeight="1" x14ac:dyDescent="0.3">
      <c r="B8342" s="37"/>
    </row>
    <row r="8343" spans="2:2" ht="15.9" customHeight="1" x14ac:dyDescent="0.3">
      <c r="B8343" s="37"/>
    </row>
    <row r="8344" spans="2:2" ht="15.9" customHeight="1" x14ac:dyDescent="0.3">
      <c r="B8344" s="37"/>
    </row>
    <row r="8345" spans="2:2" ht="15.9" customHeight="1" x14ac:dyDescent="0.3">
      <c r="B8345" s="37"/>
    </row>
    <row r="8346" spans="2:2" ht="15.9" customHeight="1" x14ac:dyDescent="0.3">
      <c r="B8346" s="37"/>
    </row>
    <row r="8347" spans="2:2" ht="15.9" customHeight="1" x14ac:dyDescent="0.3">
      <c r="B8347" s="37"/>
    </row>
    <row r="8348" spans="2:2" ht="15.9" customHeight="1" x14ac:dyDescent="0.3">
      <c r="B8348" s="37"/>
    </row>
    <row r="8349" spans="2:2" ht="15.9" customHeight="1" x14ac:dyDescent="0.3">
      <c r="B8349" s="37"/>
    </row>
    <row r="8350" spans="2:2" ht="15.9" customHeight="1" x14ac:dyDescent="0.3">
      <c r="B8350" s="37"/>
    </row>
    <row r="8351" spans="2:2" ht="15.9" customHeight="1" x14ac:dyDescent="0.3">
      <c r="B8351" s="37"/>
    </row>
    <row r="8352" spans="2:2" ht="15.9" customHeight="1" x14ac:dyDescent="0.3">
      <c r="B8352" s="37"/>
    </row>
    <row r="8353" spans="2:2" ht="15.9" customHeight="1" x14ac:dyDescent="0.3">
      <c r="B8353" s="37"/>
    </row>
    <row r="8354" spans="2:2" ht="15.9" customHeight="1" x14ac:dyDescent="0.3">
      <c r="B8354" s="37"/>
    </row>
    <row r="8355" spans="2:2" ht="15.9" customHeight="1" x14ac:dyDescent="0.3">
      <c r="B8355" s="37"/>
    </row>
    <row r="8356" spans="2:2" ht="15.9" customHeight="1" x14ac:dyDescent="0.3">
      <c r="B8356" s="37"/>
    </row>
    <row r="8357" spans="2:2" ht="15.9" customHeight="1" x14ac:dyDescent="0.3">
      <c r="B8357" s="37"/>
    </row>
    <row r="8358" spans="2:2" ht="15.9" customHeight="1" x14ac:dyDescent="0.3">
      <c r="B8358" s="37"/>
    </row>
    <row r="8359" spans="2:2" ht="15.9" customHeight="1" x14ac:dyDescent="0.3">
      <c r="B8359" s="37"/>
    </row>
    <row r="8360" spans="2:2" ht="15.9" customHeight="1" x14ac:dyDescent="0.3">
      <c r="B8360" s="37"/>
    </row>
    <row r="8361" spans="2:2" ht="15.9" customHeight="1" x14ac:dyDescent="0.3">
      <c r="B8361" s="37"/>
    </row>
    <row r="8362" spans="2:2" ht="15.9" customHeight="1" x14ac:dyDescent="0.3">
      <c r="B8362" s="37"/>
    </row>
    <row r="8363" spans="2:2" ht="15.9" customHeight="1" x14ac:dyDescent="0.3">
      <c r="B8363" s="37"/>
    </row>
    <row r="8364" spans="2:2" ht="15.9" customHeight="1" x14ac:dyDescent="0.3">
      <c r="B8364" s="37"/>
    </row>
    <row r="8365" spans="2:2" ht="15.9" customHeight="1" x14ac:dyDescent="0.3">
      <c r="B8365" s="37"/>
    </row>
    <row r="8366" spans="2:2" ht="15.9" customHeight="1" x14ac:dyDescent="0.3">
      <c r="B8366" s="37"/>
    </row>
    <row r="8367" spans="2:2" ht="15.9" customHeight="1" x14ac:dyDescent="0.3">
      <c r="B8367" s="37"/>
    </row>
    <row r="8368" spans="2:2" ht="15.9" customHeight="1" x14ac:dyDescent="0.3">
      <c r="B8368" s="37"/>
    </row>
    <row r="8369" spans="2:2" ht="15.9" customHeight="1" x14ac:dyDescent="0.3">
      <c r="B8369" s="37"/>
    </row>
    <row r="8370" spans="2:2" ht="15.9" customHeight="1" x14ac:dyDescent="0.3">
      <c r="B8370" s="37"/>
    </row>
    <row r="8371" spans="2:2" ht="15.9" customHeight="1" x14ac:dyDescent="0.3">
      <c r="B8371" s="37"/>
    </row>
    <row r="8372" spans="2:2" ht="15.9" customHeight="1" x14ac:dyDescent="0.3">
      <c r="B8372" s="37"/>
    </row>
    <row r="8373" spans="2:2" ht="15.9" customHeight="1" x14ac:dyDescent="0.3">
      <c r="B8373" s="37"/>
    </row>
    <row r="8374" spans="2:2" ht="15.9" customHeight="1" x14ac:dyDescent="0.3">
      <c r="B8374" s="37"/>
    </row>
    <row r="8375" spans="2:2" ht="15.9" customHeight="1" x14ac:dyDescent="0.3">
      <c r="B8375" s="37"/>
    </row>
    <row r="8376" spans="2:2" ht="15.9" customHeight="1" x14ac:dyDescent="0.3">
      <c r="B8376" s="37"/>
    </row>
    <row r="8377" spans="2:2" ht="15.9" customHeight="1" x14ac:dyDescent="0.3">
      <c r="B8377" s="37"/>
    </row>
    <row r="8378" spans="2:2" ht="15.9" customHeight="1" x14ac:dyDescent="0.3">
      <c r="B8378" s="37"/>
    </row>
    <row r="8379" spans="2:2" ht="15.9" customHeight="1" x14ac:dyDescent="0.3">
      <c r="B8379" s="37"/>
    </row>
    <row r="8380" spans="2:2" ht="15.9" customHeight="1" x14ac:dyDescent="0.3">
      <c r="B8380" s="37"/>
    </row>
    <row r="8381" spans="2:2" ht="15.9" customHeight="1" x14ac:dyDescent="0.3">
      <c r="B8381" s="37"/>
    </row>
    <row r="8382" spans="2:2" ht="15.9" customHeight="1" x14ac:dyDescent="0.3">
      <c r="B8382" s="37"/>
    </row>
    <row r="8383" spans="2:2" ht="15.9" customHeight="1" x14ac:dyDescent="0.3">
      <c r="B8383" s="37"/>
    </row>
    <row r="8384" spans="2:2" ht="15.9" customHeight="1" x14ac:dyDescent="0.3">
      <c r="B8384" s="37"/>
    </row>
    <row r="8385" spans="2:2" ht="15.9" customHeight="1" x14ac:dyDescent="0.3">
      <c r="B8385" s="37"/>
    </row>
    <row r="8386" spans="2:2" ht="15.9" customHeight="1" x14ac:dyDescent="0.3">
      <c r="B8386" s="37"/>
    </row>
    <row r="8387" spans="2:2" ht="15.9" customHeight="1" x14ac:dyDescent="0.3">
      <c r="B8387" s="37"/>
    </row>
    <row r="8388" spans="2:2" ht="15.9" customHeight="1" x14ac:dyDescent="0.3">
      <c r="B8388" s="37"/>
    </row>
    <row r="8389" spans="2:2" ht="15.9" customHeight="1" x14ac:dyDescent="0.3">
      <c r="B8389" s="37"/>
    </row>
    <row r="8390" spans="2:2" ht="15.9" customHeight="1" x14ac:dyDescent="0.3">
      <c r="B8390" s="37"/>
    </row>
    <row r="8391" spans="2:2" ht="15.9" customHeight="1" x14ac:dyDescent="0.3">
      <c r="B8391" s="37"/>
    </row>
    <row r="8392" spans="2:2" ht="15.9" customHeight="1" x14ac:dyDescent="0.3">
      <c r="B8392" s="37"/>
    </row>
    <row r="8393" spans="2:2" ht="15.9" customHeight="1" x14ac:dyDescent="0.3">
      <c r="B8393" s="37"/>
    </row>
    <row r="8394" spans="2:2" ht="15.9" customHeight="1" x14ac:dyDescent="0.3">
      <c r="B8394" s="37"/>
    </row>
    <row r="8395" spans="2:2" ht="15.9" customHeight="1" x14ac:dyDescent="0.3">
      <c r="B8395" s="37"/>
    </row>
    <row r="8396" spans="2:2" ht="15.9" customHeight="1" x14ac:dyDescent="0.3">
      <c r="B8396" s="37"/>
    </row>
    <row r="8397" spans="2:2" ht="15.9" customHeight="1" x14ac:dyDescent="0.3">
      <c r="B8397" s="37"/>
    </row>
    <row r="8398" spans="2:2" ht="15.9" customHeight="1" x14ac:dyDescent="0.3">
      <c r="B8398" s="37"/>
    </row>
    <row r="8399" spans="2:2" ht="15.9" customHeight="1" x14ac:dyDescent="0.3">
      <c r="B8399" s="37"/>
    </row>
    <row r="8400" spans="2:2" ht="15.9" customHeight="1" x14ac:dyDescent="0.3">
      <c r="B8400" s="37"/>
    </row>
    <row r="8401" spans="2:2" ht="15.9" customHeight="1" x14ac:dyDescent="0.3">
      <c r="B8401" s="37"/>
    </row>
    <row r="8402" spans="2:2" ht="15.9" customHeight="1" x14ac:dyDescent="0.3">
      <c r="B8402" s="37"/>
    </row>
    <row r="8403" spans="2:2" ht="15.9" customHeight="1" x14ac:dyDescent="0.3">
      <c r="B8403" s="37"/>
    </row>
    <row r="8404" spans="2:2" ht="15.9" customHeight="1" x14ac:dyDescent="0.3">
      <c r="B8404" s="37"/>
    </row>
    <row r="8405" spans="2:2" ht="15.9" customHeight="1" x14ac:dyDescent="0.3">
      <c r="B8405" s="37"/>
    </row>
    <row r="8406" spans="2:2" ht="15.9" customHeight="1" x14ac:dyDescent="0.3">
      <c r="B8406" s="37"/>
    </row>
    <row r="8407" spans="2:2" ht="15.9" customHeight="1" x14ac:dyDescent="0.3">
      <c r="B8407" s="37"/>
    </row>
    <row r="8408" spans="2:2" ht="15.9" customHeight="1" x14ac:dyDescent="0.3">
      <c r="B8408" s="37"/>
    </row>
    <row r="8409" spans="2:2" ht="15.9" customHeight="1" x14ac:dyDescent="0.3">
      <c r="B8409" s="37"/>
    </row>
    <row r="8410" spans="2:2" ht="15.9" customHeight="1" x14ac:dyDescent="0.3">
      <c r="B8410" s="37"/>
    </row>
    <row r="8411" spans="2:2" ht="15.9" customHeight="1" x14ac:dyDescent="0.3">
      <c r="B8411" s="37"/>
    </row>
    <row r="8412" spans="2:2" ht="15.9" customHeight="1" x14ac:dyDescent="0.3">
      <c r="B8412" s="37"/>
    </row>
    <row r="8413" spans="2:2" ht="15.9" customHeight="1" x14ac:dyDescent="0.3">
      <c r="B8413" s="37"/>
    </row>
    <row r="8414" spans="2:2" ht="15.9" customHeight="1" x14ac:dyDescent="0.3">
      <c r="B8414" s="37"/>
    </row>
    <row r="8415" spans="2:2" ht="15.9" customHeight="1" x14ac:dyDescent="0.3">
      <c r="B8415" s="37"/>
    </row>
    <row r="8416" spans="2:2" ht="15.9" customHeight="1" x14ac:dyDescent="0.3">
      <c r="B8416" s="37"/>
    </row>
    <row r="8417" spans="2:2" ht="15.9" customHeight="1" x14ac:dyDescent="0.3">
      <c r="B8417" s="37"/>
    </row>
    <row r="8418" spans="2:2" ht="15.9" customHeight="1" x14ac:dyDescent="0.3">
      <c r="B8418" s="37"/>
    </row>
    <row r="8419" spans="2:2" ht="15.9" customHeight="1" x14ac:dyDescent="0.3">
      <c r="B8419" s="37"/>
    </row>
    <row r="8420" spans="2:2" ht="15.9" customHeight="1" x14ac:dyDescent="0.3">
      <c r="B8420" s="37"/>
    </row>
    <row r="8421" spans="2:2" ht="15.9" customHeight="1" x14ac:dyDescent="0.3">
      <c r="B8421" s="37"/>
    </row>
    <row r="8422" spans="2:2" ht="15.9" customHeight="1" x14ac:dyDescent="0.3">
      <c r="B8422" s="37"/>
    </row>
    <row r="8423" spans="2:2" ht="15.9" customHeight="1" x14ac:dyDescent="0.3">
      <c r="B8423" s="37"/>
    </row>
    <row r="8424" spans="2:2" ht="15.9" customHeight="1" x14ac:dyDescent="0.3">
      <c r="B8424" s="37"/>
    </row>
    <row r="8425" spans="2:2" ht="15.9" customHeight="1" x14ac:dyDescent="0.3">
      <c r="B8425" s="37"/>
    </row>
    <row r="8426" spans="2:2" ht="15.9" customHeight="1" x14ac:dyDescent="0.3">
      <c r="B8426" s="37"/>
    </row>
    <row r="8427" spans="2:2" ht="15.9" customHeight="1" x14ac:dyDescent="0.3">
      <c r="B8427" s="37"/>
    </row>
    <row r="8428" spans="2:2" ht="15.9" customHeight="1" x14ac:dyDescent="0.3">
      <c r="B8428" s="37"/>
    </row>
    <row r="8429" spans="2:2" ht="15.9" customHeight="1" x14ac:dyDescent="0.3">
      <c r="B8429" s="37"/>
    </row>
    <row r="8430" spans="2:2" ht="15.9" customHeight="1" x14ac:dyDescent="0.3">
      <c r="B8430" s="37"/>
    </row>
    <row r="8431" spans="2:2" ht="15.9" customHeight="1" x14ac:dyDescent="0.3">
      <c r="B8431" s="37"/>
    </row>
    <row r="8432" spans="2:2" ht="15.9" customHeight="1" x14ac:dyDescent="0.3">
      <c r="B8432" s="37"/>
    </row>
    <row r="8433" spans="2:2" ht="15.9" customHeight="1" x14ac:dyDescent="0.3">
      <c r="B8433" s="37"/>
    </row>
    <row r="8434" spans="2:2" ht="15.9" customHeight="1" x14ac:dyDescent="0.3">
      <c r="B8434" s="37"/>
    </row>
    <row r="8435" spans="2:2" ht="15.9" customHeight="1" x14ac:dyDescent="0.3">
      <c r="B8435" s="37"/>
    </row>
    <row r="8436" spans="2:2" ht="15.9" customHeight="1" x14ac:dyDescent="0.3">
      <c r="B8436" s="37"/>
    </row>
    <row r="8437" spans="2:2" ht="15.9" customHeight="1" x14ac:dyDescent="0.3">
      <c r="B8437" s="37"/>
    </row>
    <row r="8438" spans="2:2" ht="15.9" customHeight="1" x14ac:dyDescent="0.3">
      <c r="B8438" s="37"/>
    </row>
    <row r="8439" spans="2:2" ht="15.9" customHeight="1" x14ac:dyDescent="0.3">
      <c r="B8439" s="37"/>
    </row>
    <row r="8440" spans="2:2" ht="15.9" customHeight="1" x14ac:dyDescent="0.3">
      <c r="B8440" s="37"/>
    </row>
    <row r="8441" spans="2:2" ht="15.9" customHeight="1" x14ac:dyDescent="0.3">
      <c r="B8441" s="37"/>
    </row>
    <row r="8442" spans="2:2" ht="15.9" customHeight="1" x14ac:dyDescent="0.3">
      <c r="B8442" s="37"/>
    </row>
    <row r="8443" spans="2:2" ht="15.9" customHeight="1" x14ac:dyDescent="0.3">
      <c r="B8443" s="37"/>
    </row>
    <row r="8444" spans="2:2" ht="15.9" customHeight="1" x14ac:dyDescent="0.3">
      <c r="B8444" s="37"/>
    </row>
    <row r="8445" spans="2:2" ht="15.9" customHeight="1" x14ac:dyDescent="0.3">
      <c r="B8445" s="37"/>
    </row>
    <row r="8446" spans="2:2" ht="15.9" customHeight="1" x14ac:dyDescent="0.3">
      <c r="B8446" s="37"/>
    </row>
    <row r="8447" spans="2:2" ht="15.9" customHeight="1" x14ac:dyDescent="0.3">
      <c r="B8447" s="37"/>
    </row>
    <row r="8448" spans="2:2" ht="15.9" customHeight="1" x14ac:dyDescent="0.3">
      <c r="B8448" s="37"/>
    </row>
    <row r="8449" spans="2:2" ht="15.9" customHeight="1" x14ac:dyDescent="0.3">
      <c r="B8449" s="37"/>
    </row>
    <row r="8450" spans="2:2" ht="15.9" customHeight="1" x14ac:dyDescent="0.3">
      <c r="B8450" s="37"/>
    </row>
    <row r="8451" spans="2:2" ht="15.9" customHeight="1" x14ac:dyDescent="0.3">
      <c r="B8451" s="37"/>
    </row>
    <row r="8452" spans="2:2" ht="15.9" customHeight="1" x14ac:dyDescent="0.3">
      <c r="B8452" s="37"/>
    </row>
    <row r="8453" spans="2:2" ht="15.9" customHeight="1" x14ac:dyDescent="0.3">
      <c r="B8453" s="37"/>
    </row>
    <row r="8454" spans="2:2" ht="15.9" customHeight="1" x14ac:dyDescent="0.3">
      <c r="B8454" s="37"/>
    </row>
    <row r="8455" spans="2:2" ht="15.9" customHeight="1" x14ac:dyDescent="0.3">
      <c r="B8455" s="37"/>
    </row>
    <row r="8456" spans="2:2" ht="15.9" customHeight="1" x14ac:dyDescent="0.3">
      <c r="B8456" s="37"/>
    </row>
    <row r="8457" spans="2:2" ht="15.9" customHeight="1" x14ac:dyDescent="0.3">
      <c r="B8457" s="37"/>
    </row>
    <row r="8458" spans="2:2" ht="15.9" customHeight="1" x14ac:dyDescent="0.3">
      <c r="B8458" s="37"/>
    </row>
    <row r="8459" spans="2:2" ht="15.9" customHeight="1" x14ac:dyDescent="0.3">
      <c r="B8459" s="37"/>
    </row>
    <row r="8460" spans="2:2" ht="15.9" customHeight="1" x14ac:dyDescent="0.3">
      <c r="B8460" s="37"/>
    </row>
    <row r="8461" spans="2:2" ht="15.9" customHeight="1" x14ac:dyDescent="0.3">
      <c r="B8461" s="37"/>
    </row>
    <row r="8462" spans="2:2" ht="15.9" customHeight="1" x14ac:dyDescent="0.3">
      <c r="B8462" s="37"/>
    </row>
    <row r="8463" spans="2:2" ht="15.9" customHeight="1" x14ac:dyDescent="0.3">
      <c r="B8463" s="37"/>
    </row>
    <row r="8464" spans="2:2" ht="15.9" customHeight="1" x14ac:dyDescent="0.3">
      <c r="B8464" s="37"/>
    </row>
    <row r="8465" spans="2:2" ht="15.9" customHeight="1" x14ac:dyDescent="0.3">
      <c r="B8465" s="37"/>
    </row>
    <row r="8466" spans="2:2" ht="15.9" customHeight="1" x14ac:dyDescent="0.3">
      <c r="B8466" s="37"/>
    </row>
    <row r="8467" spans="2:2" ht="15.9" customHeight="1" x14ac:dyDescent="0.3">
      <c r="B8467" s="37"/>
    </row>
    <row r="8468" spans="2:2" ht="15.9" customHeight="1" x14ac:dyDescent="0.3">
      <c r="B8468" s="37"/>
    </row>
    <row r="8469" spans="2:2" ht="15.9" customHeight="1" x14ac:dyDescent="0.3">
      <c r="B8469" s="37"/>
    </row>
    <row r="8470" spans="2:2" ht="15.9" customHeight="1" x14ac:dyDescent="0.3">
      <c r="B8470" s="37"/>
    </row>
    <row r="8471" spans="2:2" ht="15.9" customHeight="1" x14ac:dyDescent="0.3">
      <c r="B8471" s="37"/>
    </row>
    <row r="8472" spans="2:2" ht="15.9" customHeight="1" x14ac:dyDescent="0.3">
      <c r="B8472" s="37"/>
    </row>
    <row r="8473" spans="2:2" ht="15.9" customHeight="1" x14ac:dyDescent="0.3">
      <c r="B8473" s="37"/>
    </row>
    <row r="8474" spans="2:2" ht="15.9" customHeight="1" x14ac:dyDescent="0.3">
      <c r="B8474" s="37"/>
    </row>
    <row r="8475" spans="2:2" ht="15.9" customHeight="1" x14ac:dyDescent="0.3">
      <c r="B8475" s="37"/>
    </row>
    <row r="8476" spans="2:2" ht="15.9" customHeight="1" x14ac:dyDescent="0.3">
      <c r="B8476" s="37"/>
    </row>
    <row r="8477" spans="2:2" ht="15.9" customHeight="1" x14ac:dyDescent="0.3">
      <c r="B8477" s="37"/>
    </row>
    <row r="8478" spans="2:2" ht="15.9" customHeight="1" x14ac:dyDescent="0.3">
      <c r="B8478" s="37"/>
    </row>
    <row r="8479" spans="2:2" ht="15.9" customHeight="1" x14ac:dyDescent="0.3">
      <c r="B8479" s="37"/>
    </row>
    <row r="8480" spans="2:2" ht="15.9" customHeight="1" x14ac:dyDescent="0.3">
      <c r="B8480" s="37"/>
    </row>
    <row r="8481" spans="2:2" ht="15.9" customHeight="1" x14ac:dyDescent="0.3">
      <c r="B8481" s="37"/>
    </row>
    <row r="8482" spans="2:2" ht="15.9" customHeight="1" x14ac:dyDescent="0.3">
      <c r="B8482" s="37"/>
    </row>
    <row r="8483" spans="2:2" ht="15.9" customHeight="1" x14ac:dyDescent="0.3">
      <c r="B8483" s="37"/>
    </row>
    <row r="8484" spans="2:2" ht="15.9" customHeight="1" x14ac:dyDescent="0.3">
      <c r="B8484" s="37"/>
    </row>
    <row r="8485" spans="2:2" ht="15.9" customHeight="1" x14ac:dyDescent="0.3">
      <c r="B8485" s="37"/>
    </row>
    <row r="8486" spans="2:2" ht="15.9" customHeight="1" x14ac:dyDescent="0.3">
      <c r="B8486" s="37"/>
    </row>
    <row r="8487" spans="2:2" ht="15.9" customHeight="1" x14ac:dyDescent="0.3">
      <c r="B8487" s="37"/>
    </row>
    <row r="8488" spans="2:2" ht="15.9" customHeight="1" x14ac:dyDescent="0.3">
      <c r="B8488" s="37"/>
    </row>
    <row r="8489" spans="2:2" ht="15.9" customHeight="1" x14ac:dyDescent="0.3">
      <c r="B8489" s="37"/>
    </row>
    <row r="8490" spans="2:2" ht="15.9" customHeight="1" x14ac:dyDescent="0.3">
      <c r="B8490" s="37"/>
    </row>
    <row r="8491" spans="2:2" ht="15.9" customHeight="1" x14ac:dyDescent="0.3">
      <c r="B8491" s="37"/>
    </row>
    <row r="8492" spans="2:2" ht="15.9" customHeight="1" x14ac:dyDescent="0.3">
      <c r="B8492" s="37"/>
    </row>
    <row r="8493" spans="2:2" ht="15.9" customHeight="1" x14ac:dyDescent="0.3">
      <c r="B8493" s="37"/>
    </row>
    <row r="8494" spans="2:2" ht="15.9" customHeight="1" x14ac:dyDescent="0.3">
      <c r="B8494" s="37"/>
    </row>
    <row r="8495" spans="2:2" ht="15.9" customHeight="1" x14ac:dyDescent="0.3">
      <c r="B8495" s="37"/>
    </row>
    <row r="8496" spans="2:2" ht="15.9" customHeight="1" x14ac:dyDescent="0.3">
      <c r="B8496" s="37"/>
    </row>
    <row r="8497" spans="2:2" ht="15.9" customHeight="1" x14ac:dyDescent="0.3">
      <c r="B8497" s="37"/>
    </row>
    <row r="8498" spans="2:2" ht="15.9" customHeight="1" x14ac:dyDescent="0.3">
      <c r="B8498" s="37"/>
    </row>
    <row r="8499" spans="2:2" ht="15.9" customHeight="1" x14ac:dyDescent="0.3">
      <c r="B8499" s="37"/>
    </row>
    <row r="8500" spans="2:2" ht="15.9" customHeight="1" x14ac:dyDescent="0.3">
      <c r="B8500" s="37"/>
    </row>
    <row r="8501" spans="2:2" ht="15.9" customHeight="1" x14ac:dyDescent="0.3">
      <c r="B8501" s="37"/>
    </row>
    <row r="8502" spans="2:2" ht="15.9" customHeight="1" x14ac:dyDescent="0.3">
      <c r="B8502" s="37"/>
    </row>
    <row r="8503" spans="2:2" ht="15.9" customHeight="1" x14ac:dyDescent="0.3">
      <c r="B8503" s="37"/>
    </row>
    <row r="8504" spans="2:2" ht="15.9" customHeight="1" x14ac:dyDescent="0.3">
      <c r="B8504" s="37"/>
    </row>
    <row r="8505" spans="2:2" ht="15.9" customHeight="1" x14ac:dyDescent="0.3">
      <c r="B8505" s="37"/>
    </row>
    <row r="8506" spans="2:2" ht="15.9" customHeight="1" x14ac:dyDescent="0.3">
      <c r="B8506" s="37"/>
    </row>
    <row r="8507" spans="2:2" ht="15.9" customHeight="1" x14ac:dyDescent="0.3">
      <c r="B8507" s="37"/>
    </row>
    <row r="8508" spans="2:2" ht="15.9" customHeight="1" x14ac:dyDescent="0.3">
      <c r="B8508" s="37"/>
    </row>
    <row r="8509" spans="2:2" ht="15.9" customHeight="1" x14ac:dyDescent="0.3">
      <c r="B8509" s="37"/>
    </row>
    <row r="8510" spans="2:2" ht="15.9" customHeight="1" x14ac:dyDescent="0.3">
      <c r="B8510" s="37"/>
    </row>
    <row r="8511" spans="2:2" ht="15.9" customHeight="1" x14ac:dyDescent="0.3">
      <c r="B8511" s="37"/>
    </row>
    <row r="8512" spans="2:2" ht="15.9" customHeight="1" x14ac:dyDescent="0.3">
      <c r="B8512" s="37"/>
    </row>
    <row r="8513" spans="2:2" ht="15.9" customHeight="1" x14ac:dyDescent="0.3">
      <c r="B8513" s="37"/>
    </row>
    <row r="8514" spans="2:2" ht="15.9" customHeight="1" x14ac:dyDescent="0.3">
      <c r="B8514" s="37"/>
    </row>
    <row r="8515" spans="2:2" ht="15.9" customHeight="1" x14ac:dyDescent="0.3">
      <c r="B8515" s="37"/>
    </row>
    <row r="8516" spans="2:2" ht="15.9" customHeight="1" x14ac:dyDescent="0.3">
      <c r="B8516" s="37"/>
    </row>
    <row r="8517" spans="2:2" ht="15.9" customHeight="1" x14ac:dyDescent="0.3">
      <c r="B8517" s="37"/>
    </row>
    <row r="8518" spans="2:2" ht="15.9" customHeight="1" x14ac:dyDescent="0.3">
      <c r="B8518" s="37"/>
    </row>
    <row r="8519" spans="2:2" ht="15.9" customHeight="1" x14ac:dyDescent="0.3">
      <c r="B8519" s="37"/>
    </row>
    <row r="8520" spans="2:2" ht="15.9" customHeight="1" x14ac:dyDescent="0.3">
      <c r="B8520" s="37"/>
    </row>
    <row r="8521" spans="2:2" ht="15.9" customHeight="1" x14ac:dyDescent="0.3">
      <c r="B8521" s="37"/>
    </row>
    <row r="8522" spans="2:2" ht="15.9" customHeight="1" x14ac:dyDescent="0.3">
      <c r="B8522" s="37"/>
    </row>
    <row r="8523" spans="2:2" ht="15.9" customHeight="1" x14ac:dyDescent="0.3">
      <c r="B8523" s="37"/>
    </row>
    <row r="8524" spans="2:2" ht="15.9" customHeight="1" x14ac:dyDescent="0.3">
      <c r="B8524" s="37"/>
    </row>
    <row r="8525" spans="2:2" ht="15.9" customHeight="1" x14ac:dyDescent="0.3">
      <c r="B8525" s="37"/>
    </row>
    <row r="8526" spans="2:2" ht="15.9" customHeight="1" x14ac:dyDescent="0.3">
      <c r="B8526" s="37"/>
    </row>
    <row r="8527" spans="2:2" ht="15.9" customHeight="1" x14ac:dyDescent="0.3">
      <c r="B8527" s="37"/>
    </row>
    <row r="8528" spans="2:2" ht="15.9" customHeight="1" x14ac:dyDescent="0.3">
      <c r="B8528" s="37"/>
    </row>
    <row r="8529" spans="2:2" ht="15.9" customHeight="1" x14ac:dyDescent="0.3">
      <c r="B8529" s="37"/>
    </row>
    <row r="8530" spans="2:2" ht="15.9" customHeight="1" x14ac:dyDescent="0.3">
      <c r="B8530" s="37"/>
    </row>
    <row r="8531" spans="2:2" ht="15.9" customHeight="1" x14ac:dyDescent="0.3">
      <c r="B8531" s="37"/>
    </row>
    <row r="8532" spans="2:2" ht="15.9" customHeight="1" x14ac:dyDescent="0.3">
      <c r="B8532" s="37"/>
    </row>
    <row r="8533" spans="2:2" ht="15.9" customHeight="1" x14ac:dyDescent="0.3">
      <c r="B8533" s="37"/>
    </row>
    <row r="8534" spans="2:2" ht="15.9" customHeight="1" x14ac:dyDescent="0.3">
      <c r="B8534" s="37"/>
    </row>
    <row r="8535" spans="2:2" ht="15.9" customHeight="1" x14ac:dyDescent="0.3">
      <c r="B8535" s="37"/>
    </row>
    <row r="8536" spans="2:2" ht="15.9" customHeight="1" x14ac:dyDescent="0.3">
      <c r="B8536" s="37"/>
    </row>
    <row r="8537" spans="2:2" ht="15.9" customHeight="1" x14ac:dyDescent="0.3">
      <c r="B8537" s="37"/>
    </row>
    <row r="8538" spans="2:2" ht="15.9" customHeight="1" x14ac:dyDescent="0.3">
      <c r="B8538" s="37"/>
    </row>
    <row r="8539" spans="2:2" ht="15.9" customHeight="1" x14ac:dyDescent="0.3">
      <c r="B8539" s="37"/>
    </row>
    <row r="8540" spans="2:2" ht="15.9" customHeight="1" x14ac:dyDescent="0.3">
      <c r="B8540" s="37"/>
    </row>
    <row r="8541" spans="2:2" ht="15.9" customHeight="1" x14ac:dyDescent="0.3">
      <c r="B8541" s="37"/>
    </row>
    <row r="8542" spans="2:2" ht="15.9" customHeight="1" x14ac:dyDescent="0.3">
      <c r="B8542" s="37"/>
    </row>
    <row r="8543" spans="2:2" ht="15.9" customHeight="1" x14ac:dyDescent="0.3">
      <c r="B8543" s="37"/>
    </row>
    <row r="8544" spans="2:2" ht="15.9" customHeight="1" x14ac:dyDescent="0.3">
      <c r="B8544" s="37"/>
    </row>
    <row r="8545" spans="2:2" ht="15.9" customHeight="1" x14ac:dyDescent="0.3">
      <c r="B8545" s="37"/>
    </row>
    <row r="8546" spans="2:2" ht="15.9" customHeight="1" x14ac:dyDescent="0.3">
      <c r="B8546" s="37"/>
    </row>
    <row r="8547" spans="2:2" ht="15.9" customHeight="1" x14ac:dyDescent="0.3">
      <c r="B8547" s="37"/>
    </row>
    <row r="8548" spans="2:2" ht="15.9" customHeight="1" x14ac:dyDescent="0.3">
      <c r="B8548" s="37"/>
    </row>
    <row r="8549" spans="2:2" ht="15.9" customHeight="1" x14ac:dyDescent="0.3">
      <c r="B8549" s="37"/>
    </row>
    <row r="8550" spans="2:2" ht="15.9" customHeight="1" x14ac:dyDescent="0.3">
      <c r="B8550" s="37"/>
    </row>
    <row r="8551" spans="2:2" ht="15.9" customHeight="1" x14ac:dyDescent="0.3">
      <c r="B8551" s="37"/>
    </row>
    <row r="8552" spans="2:2" ht="15.9" customHeight="1" x14ac:dyDescent="0.3">
      <c r="B8552" s="37"/>
    </row>
    <row r="8553" spans="2:2" ht="15.9" customHeight="1" x14ac:dyDescent="0.3">
      <c r="B8553" s="37"/>
    </row>
    <row r="8554" spans="2:2" ht="15.9" customHeight="1" x14ac:dyDescent="0.3">
      <c r="B8554" s="37"/>
    </row>
    <row r="8555" spans="2:2" ht="15.9" customHeight="1" x14ac:dyDescent="0.3">
      <c r="B8555" s="37"/>
    </row>
    <row r="8556" spans="2:2" ht="15.9" customHeight="1" x14ac:dyDescent="0.3">
      <c r="B8556" s="37"/>
    </row>
    <row r="8557" spans="2:2" ht="15.9" customHeight="1" x14ac:dyDescent="0.3">
      <c r="B8557" s="37"/>
    </row>
    <row r="8558" spans="2:2" ht="15.9" customHeight="1" x14ac:dyDescent="0.3">
      <c r="B8558" s="37"/>
    </row>
    <row r="8559" spans="2:2" ht="15.9" customHeight="1" x14ac:dyDescent="0.3">
      <c r="B8559" s="37"/>
    </row>
    <row r="8560" spans="2:2" ht="15.9" customHeight="1" x14ac:dyDescent="0.3">
      <c r="B8560" s="37"/>
    </row>
    <row r="8561" spans="2:2" ht="15.9" customHeight="1" x14ac:dyDescent="0.3">
      <c r="B8561" s="37"/>
    </row>
    <row r="8562" spans="2:2" ht="15.9" customHeight="1" x14ac:dyDescent="0.3">
      <c r="B8562" s="37"/>
    </row>
    <row r="8563" spans="2:2" ht="15.9" customHeight="1" x14ac:dyDescent="0.3">
      <c r="B8563" s="37"/>
    </row>
    <row r="8564" spans="2:2" ht="15.9" customHeight="1" x14ac:dyDescent="0.3">
      <c r="B8564" s="37"/>
    </row>
    <row r="8565" spans="2:2" ht="15.9" customHeight="1" x14ac:dyDescent="0.3">
      <c r="B8565" s="37"/>
    </row>
    <row r="8566" spans="2:2" ht="15.9" customHeight="1" x14ac:dyDescent="0.3">
      <c r="B8566" s="37"/>
    </row>
    <row r="8567" spans="2:2" ht="15.9" customHeight="1" x14ac:dyDescent="0.3">
      <c r="B8567" s="37"/>
    </row>
    <row r="8568" spans="2:2" ht="15.9" customHeight="1" x14ac:dyDescent="0.3">
      <c r="B8568" s="37"/>
    </row>
    <row r="8569" spans="2:2" ht="15.9" customHeight="1" x14ac:dyDescent="0.3">
      <c r="B8569" s="37"/>
    </row>
    <row r="8570" spans="2:2" ht="15.9" customHeight="1" x14ac:dyDescent="0.3">
      <c r="B8570" s="37"/>
    </row>
    <row r="8571" spans="2:2" ht="15.9" customHeight="1" x14ac:dyDescent="0.3">
      <c r="B8571" s="37"/>
    </row>
    <row r="8572" spans="2:2" ht="15.9" customHeight="1" x14ac:dyDescent="0.3">
      <c r="B8572" s="37"/>
    </row>
    <row r="8573" spans="2:2" ht="15.9" customHeight="1" x14ac:dyDescent="0.3">
      <c r="B8573" s="37"/>
    </row>
    <row r="8574" spans="2:2" ht="15.9" customHeight="1" x14ac:dyDescent="0.3">
      <c r="B8574" s="37"/>
    </row>
    <row r="8575" spans="2:2" ht="15.9" customHeight="1" x14ac:dyDescent="0.3">
      <c r="B8575" s="37"/>
    </row>
    <row r="8576" spans="2:2" ht="15.9" customHeight="1" x14ac:dyDescent="0.3">
      <c r="B8576" s="37"/>
    </row>
    <row r="8577" spans="2:2" ht="15.9" customHeight="1" x14ac:dyDescent="0.3">
      <c r="B8577" s="37"/>
    </row>
    <row r="8578" spans="2:2" ht="15.9" customHeight="1" x14ac:dyDescent="0.3">
      <c r="B8578" s="37"/>
    </row>
    <row r="8579" spans="2:2" ht="15.9" customHeight="1" x14ac:dyDescent="0.3">
      <c r="B8579" s="37"/>
    </row>
    <row r="8580" spans="2:2" ht="15.9" customHeight="1" x14ac:dyDescent="0.3">
      <c r="B8580" s="37"/>
    </row>
    <row r="8581" spans="2:2" ht="15.9" customHeight="1" x14ac:dyDescent="0.3">
      <c r="B8581" s="37"/>
    </row>
    <row r="8582" spans="2:2" ht="15.9" customHeight="1" x14ac:dyDescent="0.3">
      <c r="B8582" s="37"/>
    </row>
    <row r="8583" spans="2:2" ht="15.9" customHeight="1" x14ac:dyDescent="0.3">
      <c r="B8583" s="37"/>
    </row>
    <row r="8584" spans="2:2" ht="15.9" customHeight="1" x14ac:dyDescent="0.3">
      <c r="B8584" s="37"/>
    </row>
    <row r="8585" spans="2:2" ht="15.9" customHeight="1" x14ac:dyDescent="0.3">
      <c r="B8585" s="37"/>
    </row>
    <row r="8586" spans="2:2" ht="15.9" customHeight="1" x14ac:dyDescent="0.3">
      <c r="B8586" s="37"/>
    </row>
    <row r="8587" spans="2:2" ht="15.9" customHeight="1" x14ac:dyDescent="0.3">
      <c r="B8587" s="37"/>
    </row>
    <row r="8588" spans="2:2" ht="15.9" customHeight="1" x14ac:dyDescent="0.3">
      <c r="B8588" s="37"/>
    </row>
    <row r="8589" spans="2:2" ht="15.9" customHeight="1" x14ac:dyDescent="0.3">
      <c r="B8589" s="37"/>
    </row>
    <row r="8590" spans="2:2" ht="15.9" customHeight="1" x14ac:dyDescent="0.3">
      <c r="B8590" s="37"/>
    </row>
    <row r="8591" spans="2:2" ht="15.9" customHeight="1" x14ac:dyDescent="0.3">
      <c r="B8591" s="37"/>
    </row>
    <row r="8592" spans="2:2" ht="15.9" customHeight="1" x14ac:dyDescent="0.3">
      <c r="B8592" s="37"/>
    </row>
    <row r="8593" spans="2:2" ht="15.9" customHeight="1" x14ac:dyDescent="0.3">
      <c r="B8593" s="37"/>
    </row>
    <row r="8594" spans="2:2" ht="15.9" customHeight="1" x14ac:dyDescent="0.3">
      <c r="B8594" s="37"/>
    </row>
    <row r="8595" spans="2:2" ht="15.9" customHeight="1" x14ac:dyDescent="0.3">
      <c r="B8595" s="37"/>
    </row>
    <row r="8596" spans="2:2" ht="15.9" customHeight="1" x14ac:dyDescent="0.3">
      <c r="B8596" s="37"/>
    </row>
    <row r="8597" spans="2:2" ht="15.9" customHeight="1" x14ac:dyDescent="0.3">
      <c r="B8597" s="37"/>
    </row>
    <row r="8598" spans="2:2" ht="15.9" customHeight="1" x14ac:dyDescent="0.3">
      <c r="B8598" s="37"/>
    </row>
    <row r="8599" spans="2:2" ht="15.9" customHeight="1" x14ac:dyDescent="0.3">
      <c r="B8599" s="37"/>
    </row>
    <row r="8600" spans="2:2" ht="15.9" customHeight="1" x14ac:dyDescent="0.3">
      <c r="B8600" s="37"/>
    </row>
    <row r="8601" spans="2:2" ht="15.9" customHeight="1" x14ac:dyDescent="0.3">
      <c r="B8601" s="37"/>
    </row>
    <row r="8602" spans="2:2" ht="15.9" customHeight="1" x14ac:dyDescent="0.3">
      <c r="B8602" s="37"/>
    </row>
    <row r="8603" spans="2:2" ht="15.9" customHeight="1" x14ac:dyDescent="0.3">
      <c r="B8603" s="37"/>
    </row>
    <row r="8604" spans="2:2" ht="15.9" customHeight="1" x14ac:dyDescent="0.3">
      <c r="B8604" s="37"/>
    </row>
    <row r="8605" spans="2:2" ht="15.9" customHeight="1" x14ac:dyDescent="0.3">
      <c r="B8605" s="37"/>
    </row>
    <row r="8606" spans="2:2" ht="15.9" customHeight="1" x14ac:dyDescent="0.3">
      <c r="B8606" s="37"/>
    </row>
    <row r="8607" spans="2:2" ht="15.9" customHeight="1" x14ac:dyDescent="0.3">
      <c r="B8607" s="37"/>
    </row>
    <row r="8608" spans="2:2" ht="15.9" customHeight="1" x14ac:dyDescent="0.3">
      <c r="B8608" s="37"/>
    </row>
    <row r="8609" spans="2:2" ht="15.9" customHeight="1" x14ac:dyDescent="0.3">
      <c r="B8609" s="37"/>
    </row>
    <row r="8610" spans="2:2" ht="15.9" customHeight="1" x14ac:dyDescent="0.3">
      <c r="B8610" s="37"/>
    </row>
    <row r="8611" spans="2:2" ht="15.9" customHeight="1" x14ac:dyDescent="0.3">
      <c r="B8611" s="37"/>
    </row>
    <row r="8612" spans="2:2" ht="15.9" customHeight="1" x14ac:dyDescent="0.3">
      <c r="B8612" s="37"/>
    </row>
    <row r="8613" spans="2:2" ht="15.9" customHeight="1" x14ac:dyDescent="0.3">
      <c r="B8613" s="37"/>
    </row>
    <row r="8614" spans="2:2" ht="15.9" customHeight="1" x14ac:dyDescent="0.3">
      <c r="B8614" s="37"/>
    </row>
    <row r="8615" spans="2:2" ht="15.9" customHeight="1" x14ac:dyDescent="0.3">
      <c r="B8615" s="37"/>
    </row>
    <row r="8616" spans="2:2" ht="15.9" customHeight="1" x14ac:dyDescent="0.3">
      <c r="B8616" s="37"/>
    </row>
    <row r="8617" spans="2:2" ht="15.9" customHeight="1" x14ac:dyDescent="0.3">
      <c r="B8617" s="37"/>
    </row>
    <row r="8618" spans="2:2" ht="15.9" customHeight="1" x14ac:dyDescent="0.3">
      <c r="B8618" s="37"/>
    </row>
    <row r="8619" spans="2:2" ht="15.9" customHeight="1" x14ac:dyDescent="0.3">
      <c r="B8619" s="37"/>
    </row>
    <row r="8620" spans="2:2" ht="15.9" customHeight="1" x14ac:dyDescent="0.3">
      <c r="B8620" s="37"/>
    </row>
    <row r="8621" spans="2:2" ht="15.9" customHeight="1" x14ac:dyDescent="0.3">
      <c r="B8621" s="37"/>
    </row>
    <row r="8622" spans="2:2" ht="15.9" customHeight="1" x14ac:dyDescent="0.3">
      <c r="B8622" s="37"/>
    </row>
    <row r="8623" spans="2:2" ht="15.9" customHeight="1" x14ac:dyDescent="0.3">
      <c r="B8623" s="37"/>
    </row>
    <row r="8624" spans="2:2" ht="15.9" customHeight="1" x14ac:dyDescent="0.3">
      <c r="B8624" s="37"/>
    </row>
    <row r="8625" spans="2:2" ht="15.9" customHeight="1" x14ac:dyDescent="0.3">
      <c r="B8625" s="37"/>
    </row>
    <row r="8626" spans="2:2" ht="15.9" customHeight="1" x14ac:dyDescent="0.3">
      <c r="B8626" s="37"/>
    </row>
    <row r="8627" spans="2:2" ht="15.9" customHeight="1" x14ac:dyDescent="0.3">
      <c r="B8627" s="37"/>
    </row>
    <row r="8628" spans="2:2" ht="15.9" customHeight="1" x14ac:dyDescent="0.3">
      <c r="B8628" s="37"/>
    </row>
    <row r="8629" spans="2:2" ht="15.9" customHeight="1" x14ac:dyDescent="0.3">
      <c r="B8629" s="37"/>
    </row>
    <row r="8630" spans="2:2" ht="15.9" customHeight="1" x14ac:dyDescent="0.3">
      <c r="B8630" s="37"/>
    </row>
    <row r="8631" spans="2:2" ht="15.9" customHeight="1" x14ac:dyDescent="0.3">
      <c r="B8631" s="37"/>
    </row>
    <row r="8632" spans="2:2" ht="15.9" customHeight="1" x14ac:dyDescent="0.3">
      <c r="B8632" s="37"/>
    </row>
    <row r="8633" spans="2:2" ht="15.9" customHeight="1" x14ac:dyDescent="0.3">
      <c r="B8633" s="37"/>
    </row>
    <row r="8634" spans="2:2" ht="15.9" customHeight="1" x14ac:dyDescent="0.3">
      <c r="B8634" s="37"/>
    </row>
    <row r="8635" spans="2:2" ht="15.9" customHeight="1" x14ac:dyDescent="0.3">
      <c r="B8635" s="37"/>
    </row>
    <row r="8636" spans="2:2" ht="15.9" customHeight="1" x14ac:dyDescent="0.3">
      <c r="B8636" s="37"/>
    </row>
    <row r="8637" spans="2:2" ht="15.9" customHeight="1" x14ac:dyDescent="0.3">
      <c r="B8637" s="37"/>
    </row>
    <row r="8638" spans="2:2" ht="15.9" customHeight="1" x14ac:dyDescent="0.3">
      <c r="B8638" s="37"/>
    </row>
    <row r="8639" spans="2:2" ht="15.9" customHeight="1" x14ac:dyDescent="0.3">
      <c r="B8639" s="37"/>
    </row>
    <row r="8640" spans="2:2" ht="15.9" customHeight="1" x14ac:dyDescent="0.3">
      <c r="B8640" s="37"/>
    </row>
    <row r="8641" spans="2:2" ht="15.9" customHeight="1" x14ac:dyDescent="0.3">
      <c r="B8641" s="37"/>
    </row>
    <row r="8642" spans="2:2" ht="15.9" customHeight="1" x14ac:dyDescent="0.3">
      <c r="B8642" s="37"/>
    </row>
    <row r="8643" spans="2:2" ht="15.9" customHeight="1" x14ac:dyDescent="0.3">
      <c r="B8643" s="37"/>
    </row>
    <row r="8644" spans="2:2" ht="15.9" customHeight="1" x14ac:dyDescent="0.3">
      <c r="B8644" s="37"/>
    </row>
    <row r="8645" spans="2:2" ht="15.9" customHeight="1" x14ac:dyDescent="0.3">
      <c r="B8645" s="37"/>
    </row>
    <row r="8646" spans="2:2" ht="15.9" customHeight="1" x14ac:dyDescent="0.3">
      <c r="B8646" s="37"/>
    </row>
    <row r="8647" spans="2:2" ht="15.9" customHeight="1" x14ac:dyDescent="0.3">
      <c r="B8647" s="37"/>
    </row>
    <row r="8648" spans="2:2" ht="15.9" customHeight="1" x14ac:dyDescent="0.3">
      <c r="B8648" s="37"/>
    </row>
    <row r="8649" spans="2:2" ht="15.9" customHeight="1" x14ac:dyDescent="0.3">
      <c r="B8649" s="37"/>
    </row>
    <row r="8650" spans="2:2" ht="15.9" customHeight="1" x14ac:dyDescent="0.3">
      <c r="B8650" s="37"/>
    </row>
    <row r="8651" spans="2:2" ht="15.9" customHeight="1" x14ac:dyDescent="0.3">
      <c r="B8651" s="37"/>
    </row>
    <row r="8652" spans="2:2" ht="15.9" customHeight="1" x14ac:dyDescent="0.3">
      <c r="B8652" s="37"/>
    </row>
    <row r="8653" spans="2:2" ht="15.9" customHeight="1" x14ac:dyDescent="0.3">
      <c r="B8653" s="37"/>
    </row>
    <row r="8654" spans="2:2" ht="15.9" customHeight="1" x14ac:dyDescent="0.3">
      <c r="B8654" s="37"/>
    </row>
    <row r="8655" spans="2:2" ht="15.9" customHeight="1" x14ac:dyDescent="0.3">
      <c r="B8655" s="37"/>
    </row>
    <row r="8656" spans="2:2" ht="15.9" customHeight="1" x14ac:dyDescent="0.3">
      <c r="B8656" s="37"/>
    </row>
    <row r="8657" spans="2:2" ht="15.9" customHeight="1" x14ac:dyDescent="0.3">
      <c r="B8657" s="37"/>
    </row>
    <row r="8658" spans="2:2" ht="15.9" customHeight="1" x14ac:dyDescent="0.3">
      <c r="B8658" s="37"/>
    </row>
    <row r="8659" spans="2:2" ht="15.9" customHeight="1" x14ac:dyDescent="0.3">
      <c r="B8659" s="37"/>
    </row>
    <row r="8660" spans="2:2" ht="15.9" customHeight="1" x14ac:dyDescent="0.3">
      <c r="B8660" s="37"/>
    </row>
    <row r="8661" spans="2:2" ht="15.9" customHeight="1" x14ac:dyDescent="0.3">
      <c r="B8661" s="37"/>
    </row>
    <row r="8662" spans="2:2" ht="15.9" customHeight="1" x14ac:dyDescent="0.3">
      <c r="B8662" s="37"/>
    </row>
    <row r="8663" spans="2:2" ht="15.9" customHeight="1" x14ac:dyDescent="0.3">
      <c r="B8663" s="37"/>
    </row>
    <row r="8664" spans="2:2" ht="15.9" customHeight="1" x14ac:dyDescent="0.3">
      <c r="B8664" s="37"/>
    </row>
    <row r="8665" spans="2:2" ht="15.9" customHeight="1" x14ac:dyDescent="0.3">
      <c r="B8665" s="37"/>
    </row>
    <row r="8666" spans="2:2" ht="15.9" customHeight="1" x14ac:dyDescent="0.3">
      <c r="B8666" s="37"/>
    </row>
    <row r="8667" spans="2:2" ht="15.9" customHeight="1" x14ac:dyDescent="0.3">
      <c r="B8667" s="37"/>
    </row>
    <row r="8668" spans="2:2" ht="15.9" customHeight="1" x14ac:dyDescent="0.3">
      <c r="B8668" s="37"/>
    </row>
    <row r="8669" spans="2:2" ht="15.9" customHeight="1" x14ac:dyDescent="0.3">
      <c r="B8669" s="37"/>
    </row>
    <row r="8670" spans="2:2" ht="15.9" customHeight="1" x14ac:dyDescent="0.3">
      <c r="B8670" s="37"/>
    </row>
    <row r="8671" spans="2:2" ht="15.9" customHeight="1" x14ac:dyDescent="0.3">
      <c r="B8671" s="37"/>
    </row>
    <row r="8672" spans="2:2" ht="15.9" customHeight="1" x14ac:dyDescent="0.3">
      <c r="B8672" s="37"/>
    </row>
    <row r="8673" spans="2:2" ht="15.9" customHeight="1" x14ac:dyDescent="0.3">
      <c r="B8673" s="37"/>
    </row>
    <row r="8674" spans="2:2" ht="15.9" customHeight="1" x14ac:dyDescent="0.3">
      <c r="B8674" s="37"/>
    </row>
    <row r="8675" spans="2:2" ht="15.9" customHeight="1" x14ac:dyDescent="0.3">
      <c r="B8675" s="37"/>
    </row>
    <row r="8676" spans="2:2" ht="15.9" customHeight="1" x14ac:dyDescent="0.3">
      <c r="B8676" s="37"/>
    </row>
    <row r="8677" spans="2:2" ht="15.9" customHeight="1" x14ac:dyDescent="0.3">
      <c r="B8677" s="37"/>
    </row>
    <row r="8678" spans="2:2" ht="15.9" customHeight="1" x14ac:dyDescent="0.3">
      <c r="B8678" s="37"/>
    </row>
    <row r="8679" spans="2:2" ht="15.9" customHeight="1" x14ac:dyDescent="0.3">
      <c r="B8679" s="37"/>
    </row>
    <row r="8680" spans="2:2" ht="15.9" customHeight="1" x14ac:dyDescent="0.3">
      <c r="B8680" s="37"/>
    </row>
    <row r="8681" spans="2:2" ht="15.9" customHeight="1" x14ac:dyDescent="0.3">
      <c r="B8681" s="37"/>
    </row>
    <row r="8682" spans="2:2" ht="15.9" customHeight="1" x14ac:dyDescent="0.3">
      <c r="B8682" s="37"/>
    </row>
    <row r="8683" spans="2:2" ht="15.9" customHeight="1" x14ac:dyDescent="0.3">
      <c r="B8683" s="37"/>
    </row>
    <row r="8684" spans="2:2" ht="15.9" customHeight="1" x14ac:dyDescent="0.3">
      <c r="B8684" s="37"/>
    </row>
    <row r="8685" spans="2:2" ht="15.9" customHeight="1" x14ac:dyDescent="0.3">
      <c r="B8685" s="37"/>
    </row>
    <row r="8686" spans="2:2" ht="15.9" customHeight="1" x14ac:dyDescent="0.3">
      <c r="B8686" s="37"/>
    </row>
    <row r="8687" spans="2:2" ht="15.9" customHeight="1" x14ac:dyDescent="0.3">
      <c r="B8687" s="37"/>
    </row>
    <row r="8688" spans="2:2" ht="15.9" customHeight="1" x14ac:dyDescent="0.3">
      <c r="B8688" s="37"/>
    </row>
    <row r="8689" spans="2:2" ht="15.9" customHeight="1" x14ac:dyDescent="0.3">
      <c r="B8689" s="37"/>
    </row>
    <row r="8690" spans="2:2" ht="15.9" customHeight="1" x14ac:dyDescent="0.3">
      <c r="B8690" s="37"/>
    </row>
    <row r="8691" spans="2:2" ht="15.9" customHeight="1" x14ac:dyDescent="0.3">
      <c r="B8691" s="37"/>
    </row>
    <row r="8692" spans="2:2" ht="15.9" customHeight="1" x14ac:dyDescent="0.3">
      <c r="B8692" s="37"/>
    </row>
    <row r="8693" spans="2:2" ht="15.9" customHeight="1" x14ac:dyDescent="0.3">
      <c r="B8693" s="37"/>
    </row>
    <row r="8694" spans="2:2" ht="15.9" customHeight="1" x14ac:dyDescent="0.3">
      <c r="B8694" s="37"/>
    </row>
    <row r="8695" spans="2:2" ht="15.9" customHeight="1" x14ac:dyDescent="0.3">
      <c r="B8695" s="37"/>
    </row>
    <row r="8696" spans="2:2" ht="15.9" customHeight="1" x14ac:dyDescent="0.3">
      <c r="B8696" s="37"/>
    </row>
    <row r="8697" spans="2:2" ht="15.9" customHeight="1" x14ac:dyDescent="0.3">
      <c r="B8697" s="37"/>
    </row>
    <row r="8698" spans="2:2" ht="15.9" customHeight="1" x14ac:dyDescent="0.3">
      <c r="B8698" s="37"/>
    </row>
    <row r="8699" spans="2:2" ht="15.9" customHeight="1" x14ac:dyDescent="0.3">
      <c r="B8699" s="37"/>
    </row>
    <row r="8700" spans="2:2" ht="15.9" customHeight="1" x14ac:dyDescent="0.3">
      <c r="B8700" s="37"/>
    </row>
    <row r="8701" spans="2:2" ht="15.9" customHeight="1" x14ac:dyDescent="0.3">
      <c r="B8701" s="37"/>
    </row>
    <row r="8702" spans="2:2" ht="15.9" customHeight="1" x14ac:dyDescent="0.3">
      <c r="B8702" s="37"/>
    </row>
    <row r="8703" spans="2:2" ht="15.9" customHeight="1" x14ac:dyDescent="0.3">
      <c r="B8703" s="37"/>
    </row>
    <row r="8704" spans="2:2" ht="15.9" customHeight="1" x14ac:dyDescent="0.3">
      <c r="B8704" s="37"/>
    </row>
    <row r="8705" spans="2:2" ht="15.9" customHeight="1" x14ac:dyDescent="0.3">
      <c r="B8705" s="37"/>
    </row>
    <row r="8706" spans="2:2" ht="15.9" customHeight="1" x14ac:dyDescent="0.3">
      <c r="B8706" s="37"/>
    </row>
    <row r="8707" spans="2:2" ht="15.9" customHeight="1" x14ac:dyDescent="0.3">
      <c r="B8707" s="37"/>
    </row>
    <row r="8708" spans="2:2" ht="15.9" customHeight="1" x14ac:dyDescent="0.3">
      <c r="B8708" s="37"/>
    </row>
    <row r="8709" spans="2:2" ht="15.9" customHeight="1" x14ac:dyDescent="0.3">
      <c r="B8709" s="37"/>
    </row>
    <row r="8710" spans="2:2" ht="15.9" customHeight="1" x14ac:dyDescent="0.3">
      <c r="B8710" s="37"/>
    </row>
    <row r="8711" spans="2:2" ht="15.9" customHeight="1" x14ac:dyDescent="0.3">
      <c r="B8711" s="37"/>
    </row>
    <row r="8712" spans="2:2" ht="15.9" customHeight="1" x14ac:dyDescent="0.3">
      <c r="B8712" s="37"/>
    </row>
    <row r="8713" spans="2:2" ht="15.9" customHeight="1" x14ac:dyDescent="0.3">
      <c r="B8713" s="37"/>
    </row>
    <row r="8714" spans="2:2" ht="15.9" customHeight="1" x14ac:dyDescent="0.3">
      <c r="B8714" s="37"/>
    </row>
    <row r="8715" spans="2:2" ht="15.9" customHeight="1" x14ac:dyDescent="0.3">
      <c r="B8715" s="37"/>
    </row>
    <row r="8716" spans="2:2" ht="15.9" customHeight="1" x14ac:dyDescent="0.3">
      <c r="B8716" s="37"/>
    </row>
    <row r="8717" spans="2:2" ht="15.9" customHeight="1" x14ac:dyDescent="0.3">
      <c r="B8717" s="37"/>
    </row>
    <row r="8718" spans="2:2" ht="15.9" customHeight="1" x14ac:dyDescent="0.3">
      <c r="B8718" s="37"/>
    </row>
    <row r="8719" spans="2:2" ht="15.9" customHeight="1" x14ac:dyDescent="0.3">
      <c r="B8719" s="37"/>
    </row>
    <row r="8720" spans="2:2" ht="15.9" customHeight="1" x14ac:dyDescent="0.3">
      <c r="B8720" s="37"/>
    </row>
    <row r="8721" spans="2:2" ht="15.9" customHeight="1" x14ac:dyDescent="0.3">
      <c r="B8721" s="37"/>
    </row>
    <row r="8722" spans="2:2" ht="15.9" customHeight="1" x14ac:dyDescent="0.3">
      <c r="B8722" s="37"/>
    </row>
    <row r="8723" spans="2:2" ht="15.9" customHeight="1" x14ac:dyDescent="0.3">
      <c r="B8723" s="37"/>
    </row>
    <row r="8724" spans="2:2" ht="15.9" customHeight="1" x14ac:dyDescent="0.3">
      <c r="B8724" s="37"/>
    </row>
    <row r="8725" spans="2:2" ht="15.9" customHeight="1" x14ac:dyDescent="0.3">
      <c r="B8725" s="37"/>
    </row>
    <row r="8726" spans="2:2" ht="15.9" customHeight="1" x14ac:dyDescent="0.3">
      <c r="B8726" s="37"/>
    </row>
    <row r="8727" spans="2:2" ht="15.9" customHeight="1" x14ac:dyDescent="0.3">
      <c r="B8727" s="37"/>
    </row>
    <row r="8728" spans="2:2" ht="15.9" customHeight="1" x14ac:dyDescent="0.3">
      <c r="B8728" s="37"/>
    </row>
    <row r="8729" spans="2:2" ht="15.9" customHeight="1" x14ac:dyDescent="0.3">
      <c r="B8729" s="37"/>
    </row>
    <row r="8730" spans="2:2" ht="15.9" customHeight="1" x14ac:dyDescent="0.3">
      <c r="B8730" s="37"/>
    </row>
    <row r="8731" spans="2:2" ht="15.9" customHeight="1" x14ac:dyDescent="0.3">
      <c r="B8731" s="37"/>
    </row>
    <row r="8732" spans="2:2" ht="15.9" customHeight="1" x14ac:dyDescent="0.3">
      <c r="B8732" s="37"/>
    </row>
    <row r="8733" spans="2:2" ht="15.9" customHeight="1" x14ac:dyDescent="0.3">
      <c r="B8733" s="37"/>
    </row>
    <row r="8734" spans="2:2" ht="15.9" customHeight="1" x14ac:dyDescent="0.3">
      <c r="B8734" s="37"/>
    </row>
    <row r="8735" spans="2:2" ht="15.9" customHeight="1" x14ac:dyDescent="0.3">
      <c r="B8735" s="37"/>
    </row>
    <row r="8736" spans="2:2" ht="15.9" customHeight="1" x14ac:dyDescent="0.3">
      <c r="B8736" s="37"/>
    </row>
    <row r="8737" spans="2:2" ht="15.9" customHeight="1" x14ac:dyDescent="0.3">
      <c r="B8737" s="37"/>
    </row>
    <row r="8738" spans="2:2" ht="15.9" customHeight="1" x14ac:dyDescent="0.3">
      <c r="B8738" s="37"/>
    </row>
    <row r="8739" spans="2:2" ht="15.9" customHeight="1" x14ac:dyDescent="0.3">
      <c r="B8739" s="37"/>
    </row>
    <row r="8740" spans="2:2" ht="15.9" customHeight="1" x14ac:dyDescent="0.3">
      <c r="B8740" s="37"/>
    </row>
    <row r="8741" spans="2:2" ht="15.9" customHeight="1" x14ac:dyDescent="0.3">
      <c r="B8741" s="37"/>
    </row>
    <row r="8742" spans="2:2" ht="15.9" customHeight="1" x14ac:dyDescent="0.3">
      <c r="B8742" s="37"/>
    </row>
    <row r="8743" spans="2:2" ht="15.9" customHeight="1" x14ac:dyDescent="0.3">
      <c r="B8743" s="37"/>
    </row>
    <row r="8744" spans="2:2" ht="15.9" customHeight="1" x14ac:dyDescent="0.3">
      <c r="B8744" s="37"/>
    </row>
    <row r="8745" spans="2:2" ht="15.9" customHeight="1" x14ac:dyDescent="0.3">
      <c r="B8745" s="37"/>
    </row>
    <row r="8746" spans="2:2" ht="15.9" customHeight="1" x14ac:dyDescent="0.3">
      <c r="B8746" s="37"/>
    </row>
    <row r="8747" spans="2:2" ht="15.9" customHeight="1" x14ac:dyDescent="0.3">
      <c r="B8747" s="37"/>
    </row>
    <row r="8748" spans="2:2" ht="15.9" customHeight="1" x14ac:dyDescent="0.3">
      <c r="B8748" s="37"/>
    </row>
    <row r="8749" spans="2:2" ht="15.9" customHeight="1" x14ac:dyDescent="0.3">
      <c r="B8749" s="37"/>
    </row>
    <row r="8750" spans="2:2" ht="15.9" customHeight="1" x14ac:dyDescent="0.3">
      <c r="B8750" s="37"/>
    </row>
    <row r="8751" spans="2:2" ht="15.9" customHeight="1" x14ac:dyDescent="0.3">
      <c r="B8751" s="37"/>
    </row>
    <row r="8752" spans="2:2" ht="15.9" customHeight="1" x14ac:dyDescent="0.3">
      <c r="B8752" s="37"/>
    </row>
    <row r="8753" spans="2:2" ht="15.9" customHeight="1" x14ac:dyDescent="0.3">
      <c r="B8753" s="37"/>
    </row>
    <row r="8754" spans="2:2" ht="15.9" customHeight="1" x14ac:dyDescent="0.3">
      <c r="B8754" s="37"/>
    </row>
    <row r="8755" spans="2:2" ht="15.9" customHeight="1" x14ac:dyDescent="0.3">
      <c r="B8755" s="37"/>
    </row>
    <row r="8756" spans="2:2" ht="15.9" customHeight="1" x14ac:dyDescent="0.3">
      <c r="B8756" s="37"/>
    </row>
    <row r="8757" spans="2:2" ht="15.9" customHeight="1" x14ac:dyDescent="0.3">
      <c r="B8757" s="37"/>
    </row>
    <row r="8758" spans="2:2" ht="15.9" customHeight="1" x14ac:dyDescent="0.3">
      <c r="B8758" s="37"/>
    </row>
    <row r="8759" spans="2:2" ht="15.9" customHeight="1" x14ac:dyDescent="0.3">
      <c r="B8759" s="37"/>
    </row>
    <row r="8760" spans="2:2" ht="15.9" customHeight="1" x14ac:dyDescent="0.3">
      <c r="B8760" s="37"/>
    </row>
    <row r="8761" spans="2:2" ht="15.9" customHeight="1" x14ac:dyDescent="0.3">
      <c r="B8761" s="37"/>
    </row>
    <row r="8762" spans="2:2" ht="15.9" customHeight="1" x14ac:dyDescent="0.3">
      <c r="B8762" s="37"/>
    </row>
    <row r="8763" spans="2:2" ht="15.9" customHeight="1" x14ac:dyDescent="0.3">
      <c r="B8763" s="37"/>
    </row>
    <row r="8764" spans="2:2" ht="15.9" customHeight="1" x14ac:dyDescent="0.3">
      <c r="B8764" s="37"/>
    </row>
    <row r="8765" spans="2:2" ht="15.9" customHeight="1" x14ac:dyDescent="0.3">
      <c r="B8765" s="37"/>
    </row>
    <row r="8766" spans="2:2" ht="15.9" customHeight="1" x14ac:dyDescent="0.3">
      <c r="B8766" s="37"/>
    </row>
    <row r="8767" spans="2:2" ht="15.9" customHeight="1" x14ac:dyDescent="0.3">
      <c r="B8767" s="37"/>
    </row>
    <row r="8768" spans="2:2" ht="15.9" customHeight="1" x14ac:dyDescent="0.3">
      <c r="B8768" s="37"/>
    </row>
    <row r="8769" spans="2:2" ht="15.9" customHeight="1" x14ac:dyDescent="0.3">
      <c r="B8769" s="37"/>
    </row>
    <row r="8770" spans="2:2" ht="15.9" customHeight="1" x14ac:dyDescent="0.3">
      <c r="B8770" s="37"/>
    </row>
    <row r="8771" spans="2:2" ht="15.9" customHeight="1" x14ac:dyDescent="0.3">
      <c r="B8771" s="37"/>
    </row>
    <row r="8772" spans="2:2" ht="15.9" customHeight="1" x14ac:dyDescent="0.3">
      <c r="B8772" s="37"/>
    </row>
    <row r="8773" spans="2:2" ht="15.9" customHeight="1" x14ac:dyDescent="0.3">
      <c r="B8773" s="37"/>
    </row>
    <row r="8774" spans="2:2" ht="15.9" customHeight="1" x14ac:dyDescent="0.3">
      <c r="B8774" s="37"/>
    </row>
    <row r="8775" spans="2:2" ht="15.9" customHeight="1" x14ac:dyDescent="0.3">
      <c r="B8775" s="37"/>
    </row>
    <row r="8776" spans="2:2" ht="15.9" customHeight="1" x14ac:dyDescent="0.3">
      <c r="B8776" s="37"/>
    </row>
    <row r="8777" spans="2:2" ht="15.9" customHeight="1" x14ac:dyDescent="0.3">
      <c r="B8777" s="37"/>
    </row>
    <row r="8778" spans="2:2" ht="15.9" customHeight="1" x14ac:dyDescent="0.3">
      <c r="B8778" s="37"/>
    </row>
    <row r="8779" spans="2:2" ht="15.9" customHeight="1" x14ac:dyDescent="0.3">
      <c r="B8779" s="37"/>
    </row>
    <row r="8780" spans="2:2" ht="15.9" customHeight="1" x14ac:dyDescent="0.3">
      <c r="B8780" s="37"/>
    </row>
    <row r="8781" spans="2:2" ht="15.9" customHeight="1" x14ac:dyDescent="0.3">
      <c r="B8781" s="37"/>
    </row>
    <row r="8782" spans="2:2" ht="15.9" customHeight="1" x14ac:dyDescent="0.3">
      <c r="B8782" s="37"/>
    </row>
    <row r="8783" spans="2:2" ht="15.9" customHeight="1" x14ac:dyDescent="0.3">
      <c r="B8783" s="37"/>
    </row>
    <row r="8784" spans="2:2" ht="15.9" customHeight="1" x14ac:dyDescent="0.3">
      <c r="B8784" s="37"/>
    </row>
    <row r="8785" spans="2:2" ht="15.9" customHeight="1" x14ac:dyDescent="0.3">
      <c r="B8785" s="37"/>
    </row>
    <row r="8786" spans="2:2" ht="15.9" customHeight="1" x14ac:dyDescent="0.3">
      <c r="B8786" s="37"/>
    </row>
    <row r="8787" spans="2:2" ht="15.9" customHeight="1" x14ac:dyDescent="0.3">
      <c r="B8787" s="37"/>
    </row>
    <row r="8788" spans="2:2" ht="15.9" customHeight="1" x14ac:dyDescent="0.3">
      <c r="B8788" s="37"/>
    </row>
    <row r="8789" spans="2:2" ht="15.9" customHeight="1" x14ac:dyDescent="0.3">
      <c r="B8789" s="37"/>
    </row>
    <row r="8790" spans="2:2" ht="15.9" customHeight="1" x14ac:dyDescent="0.3">
      <c r="B8790" s="37"/>
    </row>
    <row r="8791" spans="2:2" ht="15.9" customHeight="1" x14ac:dyDescent="0.3">
      <c r="B8791" s="37"/>
    </row>
    <row r="8792" spans="2:2" ht="15.9" customHeight="1" x14ac:dyDescent="0.3">
      <c r="B8792" s="37"/>
    </row>
    <row r="8793" spans="2:2" ht="15.9" customHeight="1" x14ac:dyDescent="0.3">
      <c r="B8793" s="37"/>
    </row>
    <row r="8794" spans="2:2" ht="15.9" customHeight="1" x14ac:dyDescent="0.3">
      <c r="B8794" s="37"/>
    </row>
    <row r="8795" spans="2:2" ht="15.9" customHeight="1" x14ac:dyDescent="0.3">
      <c r="B8795" s="37"/>
    </row>
    <row r="8796" spans="2:2" ht="15.9" customHeight="1" x14ac:dyDescent="0.3">
      <c r="B8796" s="37"/>
    </row>
    <row r="8797" spans="2:2" ht="15.9" customHeight="1" x14ac:dyDescent="0.3">
      <c r="B8797" s="37"/>
    </row>
    <row r="8798" spans="2:2" ht="15.9" customHeight="1" x14ac:dyDescent="0.3">
      <c r="B8798" s="37"/>
    </row>
    <row r="8799" spans="2:2" ht="15.9" customHeight="1" x14ac:dyDescent="0.3">
      <c r="B8799" s="37"/>
    </row>
    <row r="8800" spans="2:2" ht="15.9" customHeight="1" x14ac:dyDescent="0.3">
      <c r="B8800" s="37"/>
    </row>
    <row r="8801" spans="2:2" ht="15.9" customHeight="1" x14ac:dyDescent="0.3">
      <c r="B8801" s="37"/>
    </row>
    <row r="8802" spans="2:2" ht="15.9" customHeight="1" x14ac:dyDescent="0.3">
      <c r="B8802" s="37"/>
    </row>
    <row r="8803" spans="2:2" ht="15.9" customHeight="1" x14ac:dyDescent="0.3">
      <c r="B8803" s="37"/>
    </row>
    <row r="8804" spans="2:2" ht="15.9" customHeight="1" x14ac:dyDescent="0.3">
      <c r="B8804" s="37"/>
    </row>
    <row r="8805" spans="2:2" ht="15.9" customHeight="1" x14ac:dyDescent="0.3">
      <c r="B8805" s="37"/>
    </row>
    <row r="8806" spans="2:2" ht="15.9" customHeight="1" x14ac:dyDescent="0.3">
      <c r="B8806" s="37"/>
    </row>
    <row r="8807" spans="2:2" ht="15.9" customHeight="1" x14ac:dyDescent="0.3">
      <c r="B8807" s="37"/>
    </row>
    <row r="8808" spans="2:2" ht="15.9" customHeight="1" x14ac:dyDescent="0.3">
      <c r="B8808" s="37"/>
    </row>
    <row r="8809" spans="2:2" ht="15.9" customHeight="1" x14ac:dyDescent="0.3">
      <c r="B8809" s="37"/>
    </row>
    <row r="8810" spans="2:2" ht="15.9" customHeight="1" x14ac:dyDescent="0.3">
      <c r="B8810" s="37"/>
    </row>
    <row r="8811" spans="2:2" ht="15.9" customHeight="1" x14ac:dyDescent="0.3">
      <c r="B8811" s="37"/>
    </row>
    <row r="8812" spans="2:2" ht="15.9" customHeight="1" x14ac:dyDescent="0.3">
      <c r="B8812" s="37"/>
    </row>
    <row r="8813" spans="2:2" ht="15.9" customHeight="1" x14ac:dyDescent="0.3">
      <c r="B8813" s="37"/>
    </row>
    <row r="8814" spans="2:2" ht="15.9" customHeight="1" x14ac:dyDescent="0.3">
      <c r="B8814" s="37"/>
    </row>
    <row r="8815" spans="2:2" ht="15.9" customHeight="1" x14ac:dyDescent="0.3">
      <c r="B8815" s="37"/>
    </row>
    <row r="8816" spans="2:2" ht="15.9" customHeight="1" x14ac:dyDescent="0.3">
      <c r="B8816" s="37"/>
    </row>
    <row r="8817" spans="2:2" ht="15.9" customHeight="1" x14ac:dyDescent="0.3">
      <c r="B8817" s="37"/>
    </row>
    <row r="8818" spans="2:2" ht="15.9" customHeight="1" x14ac:dyDescent="0.3">
      <c r="B8818" s="37"/>
    </row>
    <row r="8819" spans="2:2" ht="15.9" customHeight="1" x14ac:dyDescent="0.3">
      <c r="B8819" s="37"/>
    </row>
    <row r="8820" spans="2:2" ht="15.9" customHeight="1" x14ac:dyDescent="0.3">
      <c r="B8820" s="37"/>
    </row>
    <row r="8821" spans="2:2" ht="15.9" customHeight="1" x14ac:dyDescent="0.3">
      <c r="B8821" s="37"/>
    </row>
    <row r="8822" spans="2:2" ht="15.9" customHeight="1" x14ac:dyDescent="0.3">
      <c r="B8822" s="37"/>
    </row>
    <row r="8823" spans="2:2" ht="15.9" customHeight="1" x14ac:dyDescent="0.3">
      <c r="B8823" s="37"/>
    </row>
    <row r="8824" spans="2:2" ht="15.9" customHeight="1" x14ac:dyDescent="0.3">
      <c r="B8824" s="37"/>
    </row>
    <row r="8825" spans="2:2" ht="15.9" customHeight="1" x14ac:dyDescent="0.3">
      <c r="B8825" s="37"/>
    </row>
    <row r="8826" spans="2:2" ht="15.9" customHeight="1" x14ac:dyDescent="0.3">
      <c r="B8826" s="37"/>
    </row>
    <row r="8827" spans="2:2" ht="15.9" customHeight="1" x14ac:dyDescent="0.3">
      <c r="B8827" s="37"/>
    </row>
    <row r="8828" spans="2:2" ht="15.9" customHeight="1" x14ac:dyDescent="0.3">
      <c r="B8828" s="37"/>
    </row>
    <row r="8829" spans="2:2" ht="15.9" customHeight="1" x14ac:dyDescent="0.3">
      <c r="B8829" s="37"/>
    </row>
    <row r="8830" spans="2:2" ht="15.9" customHeight="1" x14ac:dyDescent="0.3">
      <c r="B8830" s="37"/>
    </row>
    <row r="8831" spans="2:2" ht="15.9" customHeight="1" x14ac:dyDescent="0.3">
      <c r="B8831" s="37"/>
    </row>
    <row r="8832" spans="2:2" ht="15.9" customHeight="1" x14ac:dyDescent="0.3">
      <c r="B8832" s="37"/>
    </row>
    <row r="8833" spans="2:2" ht="15.9" customHeight="1" x14ac:dyDescent="0.3">
      <c r="B8833" s="37"/>
    </row>
    <row r="8834" spans="2:2" ht="15.9" customHeight="1" x14ac:dyDescent="0.3">
      <c r="B8834" s="37"/>
    </row>
    <row r="8835" spans="2:2" ht="15.9" customHeight="1" x14ac:dyDescent="0.3">
      <c r="B8835" s="37"/>
    </row>
    <row r="8836" spans="2:2" ht="15.9" customHeight="1" x14ac:dyDescent="0.3">
      <c r="B8836" s="37"/>
    </row>
    <row r="8837" spans="2:2" ht="15.9" customHeight="1" x14ac:dyDescent="0.3">
      <c r="B8837" s="37"/>
    </row>
    <row r="8838" spans="2:2" ht="15.9" customHeight="1" x14ac:dyDescent="0.3">
      <c r="B8838" s="37"/>
    </row>
    <row r="8839" spans="2:2" ht="15.9" customHeight="1" x14ac:dyDescent="0.3">
      <c r="B8839" s="37"/>
    </row>
    <row r="8840" spans="2:2" ht="15.9" customHeight="1" x14ac:dyDescent="0.3">
      <c r="B8840" s="37"/>
    </row>
    <row r="8841" spans="2:2" ht="15.9" customHeight="1" x14ac:dyDescent="0.3">
      <c r="B8841" s="37"/>
    </row>
    <row r="8842" spans="2:2" ht="15.9" customHeight="1" x14ac:dyDescent="0.3">
      <c r="B8842" s="37"/>
    </row>
    <row r="8843" spans="2:2" ht="15.9" customHeight="1" x14ac:dyDescent="0.3">
      <c r="B8843" s="37"/>
    </row>
    <row r="8844" spans="2:2" ht="15.9" customHeight="1" x14ac:dyDescent="0.3">
      <c r="B8844" s="37"/>
    </row>
    <row r="8845" spans="2:2" ht="15.9" customHeight="1" x14ac:dyDescent="0.3">
      <c r="B8845" s="37"/>
    </row>
    <row r="8846" spans="2:2" ht="15.9" customHeight="1" x14ac:dyDescent="0.3">
      <c r="B8846" s="37"/>
    </row>
    <row r="8847" spans="2:2" ht="15.9" customHeight="1" x14ac:dyDescent="0.3">
      <c r="B8847" s="37"/>
    </row>
    <row r="8848" spans="2:2" ht="15.9" customHeight="1" x14ac:dyDescent="0.3">
      <c r="B8848" s="37"/>
    </row>
    <row r="8849" spans="2:2" ht="15.9" customHeight="1" x14ac:dyDescent="0.3">
      <c r="B8849" s="37"/>
    </row>
    <row r="8850" spans="2:2" ht="15.9" customHeight="1" x14ac:dyDescent="0.3">
      <c r="B8850" s="37"/>
    </row>
    <row r="8851" spans="2:2" ht="15.9" customHeight="1" x14ac:dyDescent="0.3">
      <c r="B8851" s="37"/>
    </row>
    <row r="8852" spans="2:2" ht="15.9" customHeight="1" x14ac:dyDescent="0.3">
      <c r="B8852" s="37"/>
    </row>
    <row r="8853" spans="2:2" ht="15.9" customHeight="1" x14ac:dyDescent="0.3">
      <c r="B8853" s="37"/>
    </row>
    <row r="8854" spans="2:2" ht="15.9" customHeight="1" x14ac:dyDescent="0.3">
      <c r="B8854" s="37"/>
    </row>
    <row r="8855" spans="2:2" ht="15.9" customHeight="1" x14ac:dyDescent="0.3">
      <c r="B8855" s="37"/>
    </row>
    <row r="8856" spans="2:2" ht="15.9" customHeight="1" x14ac:dyDescent="0.3">
      <c r="B8856" s="37"/>
    </row>
    <row r="8857" spans="2:2" ht="15.9" customHeight="1" x14ac:dyDescent="0.3">
      <c r="B8857" s="37"/>
    </row>
    <row r="8858" spans="2:2" ht="15.9" customHeight="1" x14ac:dyDescent="0.3">
      <c r="B8858" s="37"/>
    </row>
    <row r="8859" spans="2:2" ht="15.9" customHeight="1" x14ac:dyDescent="0.3">
      <c r="B8859" s="37"/>
    </row>
    <row r="8860" spans="2:2" ht="15.9" customHeight="1" x14ac:dyDescent="0.3">
      <c r="B8860" s="37"/>
    </row>
    <row r="8861" spans="2:2" ht="15.9" customHeight="1" x14ac:dyDescent="0.3">
      <c r="B8861" s="37"/>
    </row>
    <row r="8862" spans="2:2" ht="15.9" customHeight="1" x14ac:dyDescent="0.3">
      <c r="B8862" s="37"/>
    </row>
    <row r="8863" spans="2:2" ht="15.9" customHeight="1" x14ac:dyDescent="0.3">
      <c r="B8863" s="37"/>
    </row>
    <row r="8864" spans="2:2" ht="15.9" customHeight="1" x14ac:dyDescent="0.3">
      <c r="B8864" s="37"/>
    </row>
    <row r="8865" spans="2:2" ht="15.9" customHeight="1" x14ac:dyDescent="0.3">
      <c r="B8865" s="37"/>
    </row>
    <row r="8866" spans="2:2" ht="15.9" customHeight="1" x14ac:dyDescent="0.3">
      <c r="B8866" s="37"/>
    </row>
    <row r="8867" spans="2:2" ht="15.9" customHeight="1" x14ac:dyDescent="0.3">
      <c r="B8867" s="37"/>
    </row>
    <row r="8868" spans="2:2" ht="15.9" customHeight="1" x14ac:dyDescent="0.3">
      <c r="B8868" s="37"/>
    </row>
    <row r="8869" spans="2:2" ht="15.9" customHeight="1" x14ac:dyDescent="0.3">
      <c r="B8869" s="37"/>
    </row>
    <row r="8870" spans="2:2" ht="15.9" customHeight="1" x14ac:dyDescent="0.3">
      <c r="B8870" s="37"/>
    </row>
    <row r="8871" spans="2:2" ht="15.9" customHeight="1" x14ac:dyDescent="0.3">
      <c r="B8871" s="37"/>
    </row>
    <row r="8872" spans="2:2" ht="15.9" customHeight="1" x14ac:dyDescent="0.3">
      <c r="B8872" s="37"/>
    </row>
    <row r="8873" spans="2:2" ht="15.9" customHeight="1" x14ac:dyDescent="0.3">
      <c r="B8873" s="37"/>
    </row>
    <row r="8874" spans="2:2" ht="15.9" customHeight="1" x14ac:dyDescent="0.3">
      <c r="B8874" s="37"/>
    </row>
    <row r="8875" spans="2:2" ht="15.9" customHeight="1" x14ac:dyDescent="0.3">
      <c r="B8875" s="37"/>
    </row>
    <row r="8876" spans="2:2" ht="15.9" customHeight="1" x14ac:dyDescent="0.3">
      <c r="B8876" s="37"/>
    </row>
    <row r="8877" spans="2:2" ht="15.9" customHeight="1" x14ac:dyDescent="0.3">
      <c r="B8877" s="37"/>
    </row>
    <row r="8878" spans="2:2" ht="15.9" customHeight="1" x14ac:dyDescent="0.3">
      <c r="B8878" s="37"/>
    </row>
    <row r="8879" spans="2:2" ht="15.9" customHeight="1" x14ac:dyDescent="0.3">
      <c r="B8879" s="37"/>
    </row>
    <row r="8880" spans="2:2" ht="15.9" customHeight="1" x14ac:dyDescent="0.3">
      <c r="B8880" s="37"/>
    </row>
    <row r="8881" spans="2:2" ht="15.9" customHeight="1" x14ac:dyDescent="0.3">
      <c r="B8881" s="37"/>
    </row>
    <row r="8882" spans="2:2" ht="15.9" customHeight="1" x14ac:dyDescent="0.3">
      <c r="B8882" s="37"/>
    </row>
    <row r="8883" spans="2:2" ht="15.9" customHeight="1" x14ac:dyDescent="0.3">
      <c r="B8883" s="37"/>
    </row>
    <row r="8884" spans="2:2" ht="15.9" customHeight="1" x14ac:dyDescent="0.3">
      <c r="B8884" s="37"/>
    </row>
    <row r="8885" spans="2:2" ht="15.9" customHeight="1" x14ac:dyDescent="0.3">
      <c r="B8885" s="37"/>
    </row>
    <row r="8886" spans="2:2" ht="15.9" customHeight="1" x14ac:dyDescent="0.3">
      <c r="B8886" s="37"/>
    </row>
    <row r="8887" spans="2:2" ht="15.9" customHeight="1" x14ac:dyDescent="0.3">
      <c r="B8887" s="37"/>
    </row>
    <row r="8888" spans="2:2" ht="15.9" customHeight="1" x14ac:dyDescent="0.3">
      <c r="B8888" s="37"/>
    </row>
    <row r="8889" spans="2:2" ht="15.9" customHeight="1" x14ac:dyDescent="0.3">
      <c r="B8889" s="37"/>
    </row>
    <row r="8890" spans="2:2" ht="15.9" customHeight="1" x14ac:dyDescent="0.3">
      <c r="B8890" s="37"/>
    </row>
    <row r="8891" spans="2:2" ht="15.9" customHeight="1" x14ac:dyDescent="0.3">
      <c r="B8891" s="37"/>
    </row>
    <row r="8892" spans="2:2" ht="15.9" customHeight="1" x14ac:dyDescent="0.3">
      <c r="B8892" s="37"/>
    </row>
    <row r="8893" spans="2:2" ht="15.9" customHeight="1" x14ac:dyDescent="0.3">
      <c r="B8893" s="37"/>
    </row>
    <row r="8894" spans="2:2" ht="15.9" customHeight="1" x14ac:dyDescent="0.3">
      <c r="B8894" s="37"/>
    </row>
    <row r="8895" spans="2:2" ht="15.9" customHeight="1" x14ac:dyDescent="0.3">
      <c r="B8895" s="37"/>
    </row>
    <row r="8896" spans="2:2" ht="15.9" customHeight="1" x14ac:dyDescent="0.3">
      <c r="B8896" s="37"/>
    </row>
    <row r="8897" spans="2:2" ht="15.9" customHeight="1" x14ac:dyDescent="0.3">
      <c r="B8897" s="37"/>
    </row>
    <row r="8898" spans="2:2" ht="15.9" customHeight="1" x14ac:dyDescent="0.3">
      <c r="B8898" s="37"/>
    </row>
    <row r="8899" spans="2:2" ht="15.9" customHeight="1" x14ac:dyDescent="0.3">
      <c r="B8899" s="37"/>
    </row>
    <row r="8900" spans="2:2" ht="15.9" customHeight="1" x14ac:dyDescent="0.3">
      <c r="B8900" s="37"/>
    </row>
    <row r="8901" spans="2:2" ht="15.9" customHeight="1" x14ac:dyDescent="0.3">
      <c r="B8901" s="37"/>
    </row>
    <row r="8902" spans="2:2" ht="15.9" customHeight="1" x14ac:dyDescent="0.3">
      <c r="B8902" s="37"/>
    </row>
    <row r="8903" spans="2:2" ht="15.9" customHeight="1" x14ac:dyDescent="0.3">
      <c r="B8903" s="37"/>
    </row>
    <row r="8904" spans="2:2" ht="15.9" customHeight="1" x14ac:dyDescent="0.3">
      <c r="B8904" s="37"/>
    </row>
    <row r="8905" spans="2:2" ht="15.9" customHeight="1" x14ac:dyDescent="0.3">
      <c r="B8905" s="37"/>
    </row>
    <row r="8906" spans="2:2" ht="15.9" customHeight="1" x14ac:dyDescent="0.3">
      <c r="B8906" s="37"/>
    </row>
    <row r="8907" spans="2:2" ht="15.9" customHeight="1" x14ac:dyDescent="0.3">
      <c r="B8907" s="37"/>
    </row>
    <row r="8908" spans="2:2" ht="15.9" customHeight="1" x14ac:dyDescent="0.3">
      <c r="B8908" s="37"/>
    </row>
    <row r="8909" spans="2:2" ht="15.9" customHeight="1" x14ac:dyDescent="0.3">
      <c r="B8909" s="37"/>
    </row>
    <row r="8910" spans="2:2" ht="15.9" customHeight="1" x14ac:dyDescent="0.3">
      <c r="B8910" s="37"/>
    </row>
    <row r="8911" spans="2:2" ht="15.9" customHeight="1" x14ac:dyDescent="0.3">
      <c r="B8911" s="37"/>
    </row>
    <row r="8912" spans="2:2" ht="15.9" customHeight="1" x14ac:dyDescent="0.3">
      <c r="B8912" s="37"/>
    </row>
    <row r="8913" spans="2:2" ht="15.9" customHeight="1" x14ac:dyDescent="0.3">
      <c r="B8913" s="37"/>
    </row>
    <row r="8914" spans="2:2" ht="15.9" customHeight="1" x14ac:dyDescent="0.3">
      <c r="B8914" s="37"/>
    </row>
    <row r="8915" spans="2:2" ht="15.9" customHeight="1" x14ac:dyDescent="0.3">
      <c r="B8915" s="37"/>
    </row>
    <row r="8916" spans="2:2" ht="15.9" customHeight="1" x14ac:dyDescent="0.3">
      <c r="B8916" s="37"/>
    </row>
    <row r="8917" spans="2:2" ht="15.9" customHeight="1" x14ac:dyDescent="0.3">
      <c r="B8917" s="37"/>
    </row>
    <row r="8918" spans="2:2" ht="15.9" customHeight="1" x14ac:dyDescent="0.3">
      <c r="B8918" s="37"/>
    </row>
    <row r="8919" spans="2:2" ht="15.9" customHeight="1" x14ac:dyDescent="0.3">
      <c r="B8919" s="37"/>
    </row>
    <row r="8920" spans="2:2" ht="15.9" customHeight="1" x14ac:dyDescent="0.3">
      <c r="B8920" s="37"/>
    </row>
    <row r="8921" spans="2:2" ht="15.9" customHeight="1" x14ac:dyDescent="0.3">
      <c r="B8921" s="37"/>
    </row>
    <row r="8922" spans="2:2" ht="15.9" customHeight="1" x14ac:dyDescent="0.3">
      <c r="B8922" s="37"/>
    </row>
    <row r="8923" spans="2:2" ht="15.9" customHeight="1" x14ac:dyDescent="0.3">
      <c r="B8923" s="37"/>
    </row>
    <row r="8924" spans="2:2" ht="15.9" customHeight="1" x14ac:dyDescent="0.3">
      <c r="B8924" s="37"/>
    </row>
    <row r="8925" spans="2:2" ht="15.9" customHeight="1" x14ac:dyDescent="0.3">
      <c r="B8925" s="37"/>
    </row>
    <row r="8926" spans="2:2" ht="15.9" customHeight="1" x14ac:dyDescent="0.3">
      <c r="B8926" s="37"/>
    </row>
    <row r="8927" spans="2:2" ht="15.9" customHeight="1" x14ac:dyDescent="0.3">
      <c r="B8927" s="37"/>
    </row>
    <row r="8928" spans="2:2" ht="15.9" customHeight="1" x14ac:dyDescent="0.3">
      <c r="B8928" s="37"/>
    </row>
    <row r="8929" spans="2:2" ht="15.9" customHeight="1" x14ac:dyDescent="0.3">
      <c r="B8929" s="37"/>
    </row>
    <row r="8930" spans="2:2" ht="15.9" customHeight="1" x14ac:dyDescent="0.3">
      <c r="B8930" s="37"/>
    </row>
    <row r="8931" spans="2:2" ht="15.9" customHeight="1" x14ac:dyDescent="0.3">
      <c r="B8931" s="37"/>
    </row>
    <row r="8932" spans="2:2" ht="15.9" customHeight="1" x14ac:dyDescent="0.3">
      <c r="B8932" s="37"/>
    </row>
    <row r="8933" spans="2:2" ht="15.9" customHeight="1" x14ac:dyDescent="0.3">
      <c r="B8933" s="37"/>
    </row>
    <row r="8934" spans="2:2" ht="15.9" customHeight="1" x14ac:dyDescent="0.3">
      <c r="B8934" s="37"/>
    </row>
    <row r="8935" spans="2:2" ht="15.9" customHeight="1" x14ac:dyDescent="0.3">
      <c r="B8935" s="37"/>
    </row>
    <row r="8936" spans="2:2" ht="15.9" customHeight="1" x14ac:dyDescent="0.3">
      <c r="B8936" s="37"/>
    </row>
    <row r="8937" spans="2:2" ht="15.9" customHeight="1" x14ac:dyDescent="0.3">
      <c r="B8937" s="37"/>
    </row>
    <row r="8938" spans="2:2" ht="15.9" customHeight="1" x14ac:dyDescent="0.3">
      <c r="B8938" s="37"/>
    </row>
    <row r="8939" spans="2:2" ht="15.9" customHeight="1" x14ac:dyDescent="0.3">
      <c r="B8939" s="37"/>
    </row>
    <row r="8940" spans="2:2" ht="15.9" customHeight="1" x14ac:dyDescent="0.3">
      <c r="B8940" s="37"/>
    </row>
    <row r="8941" spans="2:2" ht="15.9" customHeight="1" x14ac:dyDescent="0.3">
      <c r="B8941" s="37"/>
    </row>
    <row r="8942" spans="2:2" ht="15.9" customHeight="1" x14ac:dyDescent="0.3">
      <c r="B8942" s="37"/>
    </row>
    <row r="8943" spans="2:2" ht="15.9" customHeight="1" x14ac:dyDescent="0.3">
      <c r="B8943" s="37"/>
    </row>
    <row r="8944" spans="2:2" ht="15.9" customHeight="1" x14ac:dyDescent="0.3">
      <c r="B8944" s="37"/>
    </row>
    <row r="8945" spans="2:2" ht="15.9" customHeight="1" x14ac:dyDescent="0.3">
      <c r="B8945" s="37"/>
    </row>
    <row r="8946" spans="2:2" ht="15.9" customHeight="1" x14ac:dyDescent="0.3">
      <c r="B8946" s="37"/>
    </row>
    <row r="8947" spans="2:2" ht="15.9" customHeight="1" x14ac:dyDescent="0.3">
      <c r="B8947" s="37"/>
    </row>
    <row r="8948" spans="2:2" ht="15.9" customHeight="1" x14ac:dyDescent="0.3">
      <c r="B8948" s="37"/>
    </row>
    <row r="8949" spans="2:2" ht="15.9" customHeight="1" x14ac:dyDescent="0.3">
      <c r="B8949" s="37"/>
    </row>
    <row r="8950" spans="2:2" ht="15.9" customHeight="1" x14ac:dyDescent="0.3">
      <c r="B8950" s="37"/>
    </row>
    <row r="8951" spans="2:2" ht="15.9" customHeight="1" x14ac:dyDescent="0.3">
      <c r="B8951" s="37"/>
    </row>
    <row r="8952" spans="2:2" ht="15.9" customHeight="1" x14ac:dyDescent="0.3">
      <c r="B8952" s="37"/>
    </row>
    <row r="8953" spans="2:2" ht="15.9" customHeight="1" x14ac:dyDescent="0.3">
      <c r="B8953" s="37"/>
    </row>
    <row r="8954" spans="2:2" ht="15.9" customHeight="1" x14ac:dyDescent="0.3">
      <c r="B8954" s="37"/>
    </row>
    <row r="8955" spans="2:2" ht="15.9" customHeight="1" x14ac:dyDescent="0.3">
      <c r="B8955" s="37"/>
    </row>
    <row r="8956" spans="2:2" ht="15.9" customHeight="1" x14ac:dyDescent="0.3">
      <c r="B8956" s="37"/>
    </row>
    <row r="8957" spans="2:2" ht="15.9" customHeight="1" x14ac:dyDescent="0.3">
      <c r="B8957" s="37"/>
    </row>
    <row r="8958" spans="2:2" ht="15.9" customHeight="1" x14ac:dyDescent="0.3">
      <c r="B8958" s="37"/>
    </row>
    <row r="8959" spans="2:2" ht="15.9" customHeight="1" x14ac:dyDescent="0.3">
      <c r="B8959" s="37"/>
    </row>
    <row r="8960" spans="2:2" ht="15.9" customHeight="1" x14ac:dyDescent="0.3">
      <c r="B8960" s="37"/>
    </row>
    <row r="8961" spans="2:2" ht="15.9" customHeight="1" x14ac:dyDescent="0.3">
      <c r="B8961" s="37"/>
    </row>
    <row r="8962" spans="2:2" ht="15.9" customHeight="1" x14ac:dyDescent="0.3">
      <c r="B8962" s="37"/>
    </row>
    <row r="8963" spans="2:2" ht="15.9" customHeight="1" x14ac:dyDescent="0.3">
      <c r="B8963" s="37"/>
    </row>
    <row r="8964" spans="2:2" ht="15.9" customHeight="1" x14ac:dyDescent="0.3">
      <c r="B8964" s="37"/>
    </row>
    <row r="8965" spans="2:2" ht="15.9" customHeight="1" x14ac:dyDescent="0.3">
      <c r="B8965" s="37"/>
    </row>
    <row r="8966" spans="2:2" ht="15.9" customHeight="1" x14ac:dyDescent="0.3">
      <c r="B8966" s="37"/>
    </row>
    <row r="8967" spans="2:2" ht="15.9" customHeight="1" x14ac:dyDescent="0.3">
      <c r="B8967" s="37"/>
    </row>
    <row r="8968" spans="2:2" ht="15.9" customHeight="1" x14ac:dyDescent="0.3">
      <c r="B8968" s="37"/>
    </row>
    <row r="8969" spans="2:2" ht="15.9" customHeight="1" x14ac:dyDescent="0.3">
      <c r="B8969" s="37"/>
    </row>
    <row r="8970" spans="2:2" ht="15.9" customHeight="1" x14ac:dyDescent="0.3">
      <c r="B8970" s="37"/>
    </row>
    <row r="8971" spans="2:2" ht="15.9" customHeight="1" x14ac:dyDescent="0.3">
      <c r="B8971" s="37"/>
    </row>
    <row r="8972" spans="2:2" ht="15.9" customHeight="1" x14ac:dyDescent="0.3">
      <c r="B8972" s="37"/>
    </row>
    <row r="8973" spans="2:2" ht="15.9" customHeight="1" x14ac:dyDescent="0.3">
      <c r="B8973" s="37"/>
    </row>
    <row r="8974" spans="2:2" ht="15.9" customHeight="1" x14ac:dyDescent="0.3">
      <c r="B8974" s="37"/>
    </row>
    <row r="8975" spans="2:2" ht="15.9" customHeight="1" x14ac:dyDescent="0.3">
      <c r="B8975" s="37"/>
    </row>
    <row r="8976" spans="2:2" ht="15.9" customHeight="1" x14ac:dyDescent="0.3">
      <c r="B8976" s="37"/>
    </row>
    <row r="8977" spans="2:2" ht="15.9" customHeight="1" x14ac:dyDescent="0.3">
      <c r="B8977" s="37"/>
    </row>
    <row r="8978" spans="2:2" ht="15.9" customHeight="1" x14ac:dyDescent="0.3">
      <c r="B8978" s="37"/>
    </row>
    <row r="8979" spans="2:2" ht="15.9" customHeight="1" x14ac:dyDescent="0.3">
      <c r="B8979" s="37"/>
    </row>
    <row r="8980" spans="2:2" ht="15.9" customHeight="1" x14ac:dyDescent="0.3">
      <c r="B8980" s="37"/>
    </row>
    <row r="8981" spans="2:2" ht="15.9" customHeight="1" x14ac:dyDescent="0.3">
      <c r="B8981" s="37"/>
    </row>
    <row r="8982" spans="2:2" ht="15.9" customHeight="1" x14ac:dyDescent="0.3">
      <c r="B8982" s="37"/>
    </row>
    <row r="8983" spans="2:2" ht="15.9" customHeight="1" x14ac:dyDescent="0.3">
      <c r="B8983" s="37"/>
    </row>
    <row r="8984" spans="2:2" ht="15.9" customHeight="1" x14ac:dyDescent="0.3">
      <c r="B8984" s="37"/>
    </row>
    <row r="8985" spans="2:2" ht="15.9" customHeight="1" x14ac:dyDescent="0.3">
      <c r="B8985" s="37"/>
    </row>
    <row r="8986" spans="2:2" ht="15.9" customHeight="1" x14ac:dyDescent="0.3">
      <c r="B8986" s="37"/>
    </row>
    <row r="8987" spans="2:2" ht="15.9" customHeight="1" x14ac:dyDescent="0.3">
      <c r="B8987" s="37"/>
    </row>
    <row r="8988" spans="2:2" ht="15.9" customHeight="1" x14ac:dyDescent="0.3">
      <c r="B8988" s="37"/>
    </row>
    <row r="8989" spans="2:2" ht="15.9" customHeight="1" x14ac:dyDescent="0.3">
      <c r="B8989" s="37"/>
    </row>
    <row r="8990" spans="2:2" ht="15.9" customHeight="1" x14ac:dyDescent="0.3">
      <c r="B8990" s="37"/>
    </row>
    <row r="8991" spans="2:2" ht="15.9" customHeight="1" x14ac:dyDescent="0.3">
      <c r="B8991" s="37"/>
    </row>
    <row r="8992" spans="2:2" ht="15.9" customHeight="1" x14ac:dyDescent="0.3">
      <c r="B8992" s="37"/>
    </row>
    <row r="8993" spans="2:2" ht="15.9" customHeight="1" x14ac:dyDescent="0.3">
      <c r="B8993" s="37"/>
    </row>
    <row r="8994" spans="2:2" ht="15.9" customHeight="1" x14ac:dyDescent="0.3">
      <c r="B8994" s="37"/>
    </row>
    <row r="8995" spans="2:2" ht="15.9" customHeight="1" x14ac:dyDescent="0.3">
      <c r="B8995" s="37"/>
    </row>
    <row r="8996" spans="2:2" ht="15.9" customHeight="1" x14ac:dyDescent="0.3">
      <c r="B8996" s="37"/>
    </row>
    <row r="8997" spans="2:2" ht="15.9" customHeight="1" x14ac:dyDescent="0.3">
      <c r="B8997" s="37"/>
    </row>
    <row r="8998" spans="2:2" ht="15.9" customHeight="1" x14ac:dyDescent="0.3">
      <c r="B8998" s="37"/>
    </row>
    <row r="8999" spans="2:2" ht="15.9" customHeight="1" x14ac:dyDescent="0.3">
      <c r="B8999" s="37"/>
    </row>
    <row r="9000" spans="2:2" ht="15.9" customHeight="1" x14ac:dyDescent="0.3">
      <c r="B9000" s="37"/>
    </row>
    <row r="9001" spans="2:2" ht="15.9" customHeight="1" x14ac:dyDescent="0.3">
      <c r="B9001" s="37"/>
    </row>
    <row r="9002" spans="2:2" ht="15.9" customHeight="1" x14ac:dyDescent="0.3">
      <c r="B9002" s="37"/>
    </row>
    <row r="9003" spans="2:2" ht="15.9" customHeight="1" x14ac:dyDescent="0.3">
      <c r="B9003" s="37"/>
    </row>
    <row r="9004" spans="2:2" ht="15.9" customHeight="1" x14ac:dyDescent="0.3">
      <c r="B9004" s="37"/>
    </row>
    <row r="9005" spans="2:2" ht="15.9" customHeight="1" x14ac:dyDescent="0.3">
      <c r="B9005" s="37"/>
    </row>
    <row r="9006" spans="2:2" ht="15.9" customHeight="1" x14ac:dyDescent="0.3">
      <c r="B9006" s="37"/>
    </row>
    <row r="9007" spans="2:2" ht="15.9" customHeight="1" x14ac:dyDescent="0.3">
      <c r="B9007" s="37"/>
    </row>
    <row r="9008" spans="2:2" ht="15.9" customHeight="1" x14ac:dyDescent="0.3">
      <c r="B9008" s="37"/>
    </row>
    <row r="9009" spans="2:2" ht="15.9" customHeight="1" x14ac:dyDescent="0.3">
      <c r="B9009" s="37"/>
    </row>
    <row r="9010" spans="2:2" ht="15.9" customHeight="1" x14ac:dyDescent="0.3">
      <c r="B9010" s="37"/>
    </row>
    <row r="9011" spans="2:2" ht="15.9" customHeight="1" x14ac:dyDescent="0.3">
      <c r="B9011" s="37"/>
    </row>
    <row r="9012" spans="2:2" ht="15.9" customHeight="1" x14ac:dyDescent="0.3">
      <c r="B9012" s="37"/>
    </row>
    <row r="9013" spans="2:2" ht="15.9" customHeight="1" x14ac:dyDescent="0.3">
      <c r="B9013" s="37"/>
    </row>
    <row r="9014" spans="2:2" ht="15.9" customHeight="1" x14ac:dyDescent="0.3">
      <c r="B9014" s="37"/>
    </row>
    <row r="9015" spans="2:2" ht="15.9" customHeight="1" x14ac:dyDescent="0.3">
      <c r="B9015" s="37"/>
    </row>
    <row r="9016" spans="2:2" ht="15.9" customHeight="1" x14ac:dyDescent="0.3">
      <c r="B9016" s="37"/>
    </row>
    <row r="9017" spans="2:2" ht="15.9" customHeight="1" x14ac:dyDescent="0.3">
      <c r="B9017" s="37"/>
    </row>
    <row r="9018" spans="2:2" ht="15.9" customHeight="1" x14ac:dyDescent="0.3">
      <c r="B9018" s="37"/>
    </row>
    <row r="9019" spans="2:2" ht="15.9" customHeight="1" x14ac:dyDescent="0.3">
      <c r="B9019" s="37"/>
    </row>
    <row r="9020" spans="2:2" ht="15.9" customHeight="1" x14ac:dyDescent="0.3">
      <c r="B9020" s="37"/>
    </row>
    <row r="9021" spans="2:2" ht="15.9" customHeight="1" x14ac:dyDescent="0.3">
      <c r="B9021" s="37"/>
    </row>
    <row r="9022" spans="2:2" ht="15.9" customHeight="1" x14ac:dyDescent="0.3">
      <c r="B9022" s="37"/>
    </row>
    <row r="9023" spans="2:2" ht="15.9" customHeight="1" x14ac:dyDescent="0.3">
      <c r="B9023" s="37"/>
    </row>
    <row r="9024" spans="2:2" ht="15.9" customHeight="1" x14ac:dyDescent="0.3">
      <c r="B9024" s="37"/>
    </row>
    <row r="9025" spans="2:2" ht="15.9" customHeight="1" x14ac:dyDescent="0.3">
      <c r="B9025" s="37"/>
    </row>
    <row r="9026" spans="2:2" ht="15.9" customHeight="1" x14ac:dyDescent="0.3">
      <c r="B9026" s="37"/>
    </row>
    <row r="9027" spans="2:2" ht="15.9" customHeight="1" x14ac:dyDescent="0.3">
      <c r="B9027" s="37"/>
    </row>
    <row r="9028" spans="2:2" ht="15.9" customHeight="1" x14ac:dyDescent="0.3">
      <c r="B9028" s="37"/>
    </row>
    <row r="9029" spans="2:2" ht="15.9" customHeight="1" x14ac:dyDescent="0.3">
      <c r="B9029" s="37"/>
    </row>
    <row r="9030" spans="2:2" ht="15.9" customHeight="1" x14ac:dyDescent="0.3">
      <c r="B9030" s="37"/>
    </row>
    <row r="9031" spans="2:2" ht="15.9" customHeight="1" x14ac:dyDescent="0.3">
      <c r="B9031" s="37"/>
    </row>
    <row r="9032" spans="2:2" ht="15.9" customHeight="1" x14ac:dyDescent="0.3">
      <c r="B9032" s="37"/>
    </row>
    <row r="9033" spans="2:2" ht="15.9" customHeight="1" x14ac:dyDescent="0.3">
      <c r="B9033" s="37"/>
    </row>
    <row r="9034" spans="2:2" ht="15.9" customHeight="1" x14ac:dyDescent="0.3">
      <c r="B9034" s="37"/>
    </row>
    <row r="9035" spans="2:2" ht="15.9" customHeight="1" x14ac:dyDescent="0.3">
      <c r="B9035" s="37"/>
    </row>
    <row r="9036" spans="2:2" ht="15.9" customHeight="1" x14ac:dyDescent="0.3">
      <c r="B9036" s="37"/>
    </row>
    <row r="9037" spans="2:2" ht="15.9" customHeight="1" x14ac:dyDescent="0.3">
      <c r="B9037" s="37"/>
    </row>
    <row r="9038" spans="2:2" ht="15.9" customHeight="1" x14ac:dyDescent="0.3">
      <c r="B9038" s="37"/>
    </row>
    <row r="9039" spans="2:2" ht="15.9" customHeight="1" x14ac:dyDescent="0.3">
      <c r="B9039" s="37"/>
    </row>
    <row r="9040" spans="2:2" ht="15.9" customHeight="1" x14ac:dyDescent="0.3">
      <c r="B9040" s="37"/>
    </row>
    <row r="9041" spans="2:2" ht="15.9" customHeight="1" x14ac:dyDescent="0.3">
      <c r="B9041" s="37"/>
    </row>
    <row r="9042" spans="2:2" ht="15.9" customHeight="1" x14ac:dyDescent="0.3">
      <c r="B9042" s="37"/>
    </row>
    <row r="9043" spans="2:2" ht="15.9" customHeight="1" x14ac:dyDescent="0.3">
      <c r="B9043" s="37"/>
    </row>
    <row r="9044" spans="2:2" ht="15.9" customHeight="1" x14ac:dyDescent="0.3">
      <c r="B9044" s="37"/>
    </row>
    <row r="9045" spans="2:2" ht="15.9" customHeight="1" x14ac:dyDescent="0.3">
      <c r="B9045" s="37"/>
    </row>
    <row r="9046" spans="2:2" ht="15.9" customHeight="1" x14ac:dyDescent="0.3">
      <c r="B9046" s="37"/>
    </row>
    <row r="9047" spans="2:2" ht="15.9" customHeight="1" x14ac:dyDescent="0.3">
      <c r="B9047" s="37"/>
    </row>
    <row r="9048" spans="2:2" ht="15.9" customHeight="1" x14ac:dyDescent="0.3">
      <c r="B9048" s="37"/>
    </row>
    <row r="9049" spans="2:2" ht="15.9" customHeight="1" x14ac:dyDescent="0.3">
      <c r="B9049" s="37"/>
    </row>
    <row r="9050" spans="2:2" ht="15.9" customHeight="1" x14ac:dyDescent="0.3">
      <c r="B9050" s="37"/>
    </row>
    <row r="9051" spans="2:2" ht="15.9" customHeight="1" x14ac:dyDescent="0.3">
      <c r="B9051" s="37"/>
    </row>
    <row r="9052" spans="2:2" ht="15.9" customHeight="1" x14ac:dyDescent="0.3">
      <c r="B9052" s="37"/>
    </row>
    <row r="9053" spans="2:2" ht="15.9" customHeight="1" x14ac:dyDescent="0.3">
      <c r="B9053" s="37"/>
    </row>
    <row r="9054" spans="2:2" ht="15.9" customHeight="1" x14ac:dyDescent="0.3">
      <c r="B9054" s="37"/>
    </row>
    <row r="9055" spans="2:2" ht="15.9" customHeight="1" x14ac:dyDescent="0.3">
      <c r="B9055" s="37"/>
    </row>
    <row r="9056" spans="2:2" ht="15.9" customHeight="1" x14ac:dyDescent="0.3">
      <c r="B9056" s="37"/>
    </row>
    <row r="9057" spans="2:2" ht="15.9" customHeight="1" x14ac:dyDescent="0.3">
      <c r="B9057" s="37"/>
    </row>
    <row r="9058" spans="2:2" ht="15.9" customHeight="1" x14ac:dyDescent="0.3">
      <c r="B9058" s="37"/>
    </row>
    <row r="9059" spans="2:2" ht="15.9" customHeight="1" x14ac:dyDescent="0.3">
      <c r="B9059" s="37"/>
    </row>
    <row r="9060" spans="2:2" ht="15.9" customHeight="1" x14ac:dyDescent="0.3">
      <c r="B9060" s="37"/>
    </row>
    <row r="9061" spans="2:2" ht="15.9" customHeight="1" x14ac:dyDescent="0.3">
      <c r="B9061" s="37"/>
    </row>
    <row r="9062" spans="2:2" ht="15.9" customHeight="1" x14ac:dyDescent="0.3">
      <c r="B9062" s="37"/>
    </row>
    <row r="9063" spans="2:2" ht="15.9" customHeight="1" x14ac:dyDescent="0.3">
      <c r="B9063" s="37"/>
    </row>
    <row r="9064" spans="2:2" ht="15.9" customHeight="1" x14ac:dyDescent="0.3">
      <c r="B9064" s="37"/>
    </row>
    <row r="9065" spans="2:2" ht="15.9" customHeight="1" x14ac:dyDescent="0.3">
      <c r="B9065" s="37"/>
    </row>
    <row r="9066" spans="2:2" ht="15.9" customHeight="1" x14ac:dyDescent="0.3">
      <c r="B9066" s="37"/>
    </row>
    <row r="9067" spans="2:2" ht="15.9" customHeight="1" x14ac:dyDescent="0.3">
      <c r="B9067" s="37"/>
    </row>
    <row r="9068" spans="2:2" ht="15.9" customHeight="1" x14ac:dyDescent="0.3">
      <c r="B9068" s="37"/>
    </row>
    <row r="9069" spans="2:2" ht="15.9" customHeight="1" x14ac:dyDescent="0.3">
      <c r="B9069" s="37"/>
    </row>
    <row r="9070" spans="2:2" ht="15.9" customHeight="1" x14ac:dyDescent="0.3">
      <c r="B9070" s="37"/>
    </row>
    <row r="9071" spans="2:2" ht="15.9" customHeight="1" x14ac:dyDescent="0.3">
      <c r="B9071" s="37"/>
    </row>
    <row r="9072" spans="2:2" ht="15.9" customHeight="1" x14ac:dyDescent="0.3">
      <c r="B9072" s="37"/>
    </row>
    <row r="9073" spans="2:2" ht="15.9" customHeight="1" x14ac:dyDescent="0.3">
      <c r="B9073" s="37"/>
    </row>
    <row r="9074" spans="2:2" ht="15.9" customHeight="1" x14ac:dyDescent="0.3">
      <c r="B9074" s="37"/>
    </row>
    <row r="9075" spans="2:2" ht="15.9" customHeight="1" x14ac:dyDescent="0.3">
      <c r="B9075" s="37"/>
    </row>
    <row r="9076" spans="2:2" ht="15.9" customHeight="1" x14ac:dyDescent="0.3">
      <c r="B9076" s="37"/>
    </row>
    <row r="9077" spans="2:2" ht="15.9" customHeight="1" x14ac:dyDescent="0.3">
      <c r="B9077" s="37"/>
    </row>
    <row r="9078" spans="2:2" ht="15.9" customHeight="1" x14ac:dyDescent="0.3">
      <c r="B9078" s="37"/>
    </row>
    <row r="9079" spans="2:2" ht="15.9" customHeight="1" x14ac:dyDescent="0.3">
      <c r="B9079" s="37"/>
    </row>
    <row r="9080" spans="2:2" ht="15.9" customHeight="1" x14ac:dyDescent="0.3">
      <c r="B9080" s="37"/>
    </row>
    <row r="9081" spans="2:2" ht="15.9" customHeight="1" x14ac:dyDescent="0.3">
      <c r="B9081" s="37"/>
    </row>
    <row r="9082" spans="2:2" ht="15.9" customHeight="1" x14ac:dyDescent="0.3">
      <c r="B9082" s="37"/>
    </row>
    <row r="9083" spans="2:2" ht="15.9" customHeight="1" x14ac:dyDescent="0.3">
      <c r="B9083" s="37"/>
    </row>
    <row r="9084" spans="2:2" ht="15.9" customHeight="1" x14ac:dyDescent="0.3">
      <c r="B9084" s="37"/>
    </row>
    <row r="9085" spans="2:2" ht="15.9" customHeight="1" x14ac:dyDescent="0.3">
      <c r="B9085" s="37"/>
    </row>
    <row r="9086" spans="2:2" ht="15.9" customHeight="1" x14ac:dyDescent="0.3">
      <c r="B9086" s="37"/>
    </row>
    <row r="9087" spans="2:2" ht="15.9" customHeight="1" x14ac:dyDescent="0.3">
      <c r="B9087" s="37"/>
    </row>
    <row r="9088" spans="2:2" ht="15.9" customHeight="1" x14ac:dyDescent="0.3">
      <c r="B9088" s="37"/>
    </row>
    <row r="9089" spans="2:2" ht="15.9" customHeight="1" x14ac:dyDescent="0.3">
      <c r="B9089" s="37"/>
    </row>
    <row r="9090" spans="2:2" ht="15.9" customHeight="1" x14ac:dyDescent="0.3">
      <c r="B9090" s="37"/>
    </row>
    <row r="9091" spans="2:2" ht="15.9" customHeight="1" x14ac:dyDescent="0.3">
      <c r="B9091" s="37"/>
    </row>
    <row r="9092" spans="2:2" ht="15.9" customHeight="1" x14ac:dyDescent="0.3">
      <c r="B9092" s="37"/>
    </row>
    <row r="9093" spans="2:2" ht="15.9" customHeight="1" x14ac:dyDescent="0.3">
      <c r="B9093" s="37"/>
    </row>
    <row r="9094" spans="2:2" ht="15.9" customHeight="1" x14ac:dyDescent="0.3">
      <c r="B9094" s="37"/>
    </row>
    <row r="9095" spans="2:2" ht="15.9" customHeight="1" x14ac:dyDescent="0.3">
      <c r="B9095" s="37"/>
    </row>
    <row r="9096" spans="2:2" ht="15.9" customHeight="1" x14ac:dyDescent="0.3">
      <c r="B9096" s="37"/>
    </row>
    <row r="9097" spans="2:2" ht="15.9" customHeight="1" x14ac:dyDescent="0.3">
      <c r="B9097" s="37"/>
    </row>
    <row r="9098" spans="2:2" ht="15.9" customHeight="1" x14ac:dyDescent="0.3">
      <c r="B9098" s="37"/>
    </row>
    <row r="9099" spans="2:2" ht="15.9" customHeight="1" x14ac:dyDescent="0.3">
      <c r="B9099" s="37"/>
    </row>
    <row r="9100" spans="2:2" ht="15.9" customHeight="1" x14ac:dyDescent="0.3">
      <c r="B9100" s="37"/>
    </row>
    <row r="9101" spans="2:2" ht="15.9" customHeight="1" x14ac:dyDescent="0.3">
      <c r="B9101" s="37"/>
    </row>
    <row r="9102" spans="2:2" ht="15.9" customHeight="1" x14ac:dyDescent="0.3">
      <c r="B9102" s="37"/>
    </row>
    <row r="9103" spans="2:2" ht="15.9" customHeight="1" x14ac:dyDescent="0.3">
      <c r="B9103" s="37"/>
    </row>
    <row r="9104" spans="2:2" ht="15.9" customHeight="1" x14ac:dyDescent="0.3">
      <c r="B9104" s="37"/>
    </row>
    <row r="9105" spans="2:2" ht="15.9" customHeight="1" x14ac:dyDescent="0.3">
      <c r="B9105" s="37"/>
    </row>
    <row r="9106" spans="2:2" ht="15.9" customHeight="1" x14ac:dyDescent="0.3">
      <c r="B9106" s="37"/>
    </row>
    <row r="9107" spans="2:2" ht="15.9" customHeight="1" x14ac:dyDescent="0.3">
      <c r="B9107" s="37"/>
    </row>
    <row r="9108" spans="2:2" ht="15.9" customHeight="1" x14ac:dyDescent="0.3">
      <c r="B9108" s="37"/>
    </row>
    <row r="9109" spans="2:2" ht="15.9" customHeight="1" x14ac:dyDescent="0.3">
      <c r="B9109" s="37"/>
    </row>
    <row r="9110" spans="2:2" ht="15.9" customHeight="1" x14ac:dyDescent="0.3">
      <c r="B9110" s="37"/>
    </row>
    <row r="9111" spans="2:2" ht="15.9" customHeight="1" x14ac:dyDescent="0.3">
      <c r="B9111" s="37"/>
    </row>
    <row r="9112" spans="2:2" ht="15.9" customHeight="1" x14ac:dyDescent="0.3">
      <c r="B9112" s="37"/>
    </row>
    <row r="9113" spans="2:2" ht="15.9" customHeight="1" x14ac:dyDescent="0.3">
      <c r="B9113" s="37"/>
    </row>
    <row r="9114" spans="2:2" ht="15.9" customHeight="1" x14ac:dyDescent="0.3">
      <c r="B9114" s="37"/>
    </row>
    <row r="9115" spans="2:2" ht="15.9" customHeight="1" x14ac:dyDescent="0.3">
      <c r="B9115" s="37"/>
    </row>
    <row r="9116" spans="2:2" ht="15.9" customHeight="1" x14ac:dyDescent="0.3">
      <c r="B9116" s="37"/>
    </row>
    <row r="9117" spans="2:2" ht="15.9" customHeight="1" x14ac:dyDescent="0.3">
      <c r="B9117" s="37"/>
    </row>
    <row r="9118" spans="2:2" ht="15.9" customHeight="1" x14ac:dyDescent="0.3">
      <c r="B9118" s="37"/>
    </row>
    <row r="9119" spans="2:2" ht="15.9" customHeight="1" x14ac:dyDescent="0.3">
      <c r="B9119" s="37"/>
    </row>
    <row r="9120" spans="2:2" ht="15.9" customHeight="1" x14ac:dyDescent="0.3">
      <c r="B9120" s="37"/>
    </row>
    <row r="9121" spans="2:2" ht="15.9" customHeight="1" x14ac:dyDescent="0.3">
      <c r="B9121" s="37"/>
    </row>
    <row r="9122" spans="2:2" ht="15.9" customHeight="1" x14ac:dyDescent="0.3">
      <c r="B9122" s="37"/>
    </row>
    <row r="9123" spans="2:2" ht="15.9" customHeight="1" x14ac:dyDescent="0.3">
      <c r="B9123" s="37"/>
    </row>
    <row r="9124" spans="2:2" ht="15.9" customHeight="1" x14ac:dyDescent="0.3">
      <c r="B9124" s="37"/>
    </row>
    <row r="9125" spans="2:2" ht="15.9" customHeight="1" x14ac:dyDescent="0.3">
      <c r="B9125" s="37"/>
    </row>
    <row r="9126" spans="2:2" ht="15.9" customHeight="1" x14ac:dyDescent="0.3">
      <c r="B9126" s="37"/>
    </row>
    <row r="9127" spans="2:2" ht="15.9" customHeight="1" x14ac:dyDescent="0.3">
      <c r="B9127" s="37"/>
    </row>
    <row r="9128" spans="2:2" ht="15.9" customHeight="1" x14ac:dyDescent="0.3">
      <c r="B9128" s="37"/>
    </row>
    <row r="9129" spans="2:2" ht="15.9" customHeight="1" x14ac:dyDescent="0.3">
      <c r="B9129" s="37"/>
    </row>
    <row r="9130" spans="2:2" ht="15.9" customHeight="1" x14ac:dyDescent="0.3">
      <c r="B9130" s="37"/>
    </row>
    <row r="9131" spans="2:2" ht="15.9" customHeight="1" x14ac:dyDescent="0.3">
      <c r="B9131" s="37"/>
    </row>
    <row r="9132" spans="2:2" ht="15.9" customHeight="1" x14ac:dyDescent="0.3">
      <c r="B9132" s="37"/>
    </row>
    <row r="9133" spans="2:2" ht="15.9" customHeight="1" x14ac:dyDescent="0.3">
      <c r="B9133" s="37"/>
    </row>
    <row r="9134" spans="2:2" ht="15.9" customHeight="1" x14ac:dyDescent="0.3">
      <c r="B9134" s="37"/>
    </row>
    <row r="9135" spans="2:2" ht="15.9" customHeight="1" x14ac:dyDescent="0.3">
      <c r="B9135" s="37"/>
    </row>
    <row r="9136" spans="2:2" ht="15.9" customHeight="1" x14ac:dyDescent="0.3">
      <c r="B9136" s="37"/>
    </row>
    <row r="9137" spans="2:2" ht="15.9" customHeight="1" x14ac:dyDescent="0.3">
      <c r="B9137" s="37"/>
    </row>
    <row r="9138" spans="2:2" ht="15.9" customHeight="1" x14ac:dyDescent="0.3">
      <c r="B9138" s="37"/>
    </row>
    <row r="9139" spans="2:2" ht="15.9" customHeight="1" x14ac:dyDescent="0.3">
      <c r="B9139" s="37"/>
    </row>
    <row r="9140" spans="2:2" ht="15.9" customHeight="1" x14ac:dyDescent="0.3">
      <c r="B9140" s="37"/>
    </row>
    <row r="9141" spans="2:2" ht="15.9" customHeight="1" x14ac:dyDescent="0.3">
      <c r="B9141" s="37"/>
    </row>
    <row r="9142" spans="2:2" ht="15.9" customHeight="1" x14ac:dyDescent="0.3">
      <c r="B9142" s="37"/>
    </row>
    <row r="9143" spans="2:2" ht="15.9" customHeight="1" x14ac:dyDescent="0.3">
      <c r="B9143" s="37"/>
    </row>
    <row r="9144" spans="2:2" ht="15.9" customHeight="1" x14ac:dyDescent="0.3">
      <c r="B9144" s="37"/>
    </row>
    <row r="9145" spans="2:2" ht="15.9" customHeight="1" x14ac:dyDescent="0.3">
      <c r="B9145" s="37"/>
    </row>
    <row r="9146" spans="2:2" ht="15.9" customHeight="1" x14ac:dyDescent="0.3">
      <c r="B9146" s="37"/>
    </row>
    <row r="9147" spans="2:2" ht="15.9" customHeight="1" x14ac:dyDescent="0.3">
      <c r="B9147" s="37"/>
    </row>
    <row r="9148" spans="2:2" ht="15.9" customHeight="1" x14ac:dyDescent="0.3">
      <c r="B9148" s="37"/>
    </row>
    <row r="9149" spans="2:2" ht="15.9" customHeight="1" x14ac:dyDescent="0.3">
      <c r="B9149" s="37"/>
    </row>
    <row r="9150" spans="2:2" ht="15.9" customHeight="1" x14ac:dyDescent="0.3">
      <c r="B9150" s="37"/>
    </row>
    <row r="9151" spans="2:2" ht="15.9" customHeight="1" x14ac:dyDescent="0.3">
      <c r="B9151" s="37"/>
    </row>
    <row r="9152" spans="2:2" ht="15.9" customHeight="1" x14ac:dyDescent="0.3">
      <c r="B9152" s="37"/>
    </row>
    <row r="9153" spans="2:2" ht="15.9" customHeight="1" x14ac:dyDescent="0.3">
      <c r="B9153" s="37"/>
    </row>
    <row r="9154" spans="2:2" ht="15.9" customHeight="1" x14ac:dyDescent="0.3">
      <c r="B9154" s="37"/>
    </row>
    <row r="9155" spans="2:2" ht="15.9" customHeight="1" x14ac:dyDescent="0.3">
      <c r="B9155" s="37"/>
    </row>
    <row r="9156" spans="2:2" ht="15.9" customHeight="1" x14ac:dyDescent="0.3">
      <c r="B9156" s="37"/>
    </row>
    <row r="9157" spans="2:2" ht="15.9" customHeight="1" x14ac:dyDescent="0.3">
      <c r="B9157" s="37"/>
    </row>
    <row r="9158" spans="2:2" ht="15.9" customHeight="1" x14ac:dyDescent="0.3">
      <c r="B9158" s="37"/>
    </row>
    <row r="9159" spans="2:2" ht="15.9" customHeight="1" x14ac:dyDescent="0.3">
      <c r="B9159" s="37"/>
    </row>
    <row r="9160" spans="2:2" ht="15.9" customHeight="1" x14ac:dyDescent="0.3">
      <c r="B9160" s="37"/>
    </row>
    <row r="9161" spans="2:2" ht="15.9" customHeight="1" x14ac:dyDescent="0.3">
      <c r="B9161" s="37"/>
    </row>
    <row r="9162" spans="2:2" ht="15.9" customHeight="1" x14ac:dyDescent="0.3">
      <c r="B9162" s="37"/>
    </row>
    <row r="9163" spans="2:2" ht="15.9" customHeight="1" x14ac:dyDescent="0.3">
      <c r="B9163" s="37"/>
    </row>
    <row r="9164" spans="2:2" ht="15.9" customHeight="1" x14ac:dyDescent="0.3">
      <c r="B9164" s="37"/>
    </row>
    <row r="9165" spans="2:2" ht="15.9" customHeight="1" x14ac:dyDescent="0.3">
      <c r="B9165" s="37"/>
    </row>
    <row r="9166" spans="2:2" ht="15.9" customHeight="1" x14ac:dyDescent="0.3">
      <c r="B9166" s="37"/>
    </row>
    <row r="9167" spans="2:2" ht="15.9" customHeight="1" x14ac:dyDescent="0.3">
      <c r="B9167" s="37"/>
    </row>
    <row r="9168" spans="2:2" ht="15.9" customHeight="1" x14ac:dyDescent="0.3">
      <c r="B9168" s="37"/>
    </row>
    <row r="9169" spans="2:2" ht="15.9" customHeight="1" x14ac:dyDescent="0.3">
      <c r="B9169" s="37"/>
    </row>
    <row r="9170" spans="2:2" ht="15.9" customHeight="1" x14ac:dyDescent="0.3">
      <c r="B9170" s="37"/>
    </row>
    <row r="9171" spans="2:2" ht="15.9" customHeight="1" x14ac:dyDescent="0.3">
      <c r="B9171" s="37"/>
    </row>
    <row r="9172" spans="2:2" ht="15.9" customHeight="1" x14ac:dyDescent="0.3">
      <c r="B9172" s="37"/>
    </row>
    <row r="9173" spans="2:2" ht="15.9" customHeight="1" x14ac:dyDescent="0.3">
      <c r="B9173" s="37"/>
    </row>
    <row r="9174" spans="2:2" ht="15.9" customHeight="1" x14ac:dyDescent="0.3">
      <c r="B9174" s="37"/>
    </row>
    <row r="9175" spans="2:2" ht="15.9" customHeight="1" x14ac:dyDescent="0.3">
      <c r="B9175" s="37"/>
    </row>
    <row r="9176" spans="2:2" ht="15.9" customHeight="1" x14ac:dyDescent="0.3">
      <c r="B9176" s="37"/>
    </row>
    <row r="9177" spans="2:2" ht="15.9" customHeight="1" x14ac:dyDescent="0.3">
      <c r="B9177" s="37"/>
    </row>
    <row r="9178" spans="2:2" ht="15.9" customHeight="1" x14ac:dyDescent="0.3">
      <c r="B9178" s="37"/>
    </row>
    <row r="9179" spans="2:2" ht="15.9" customHeight="1" x14ac:dyDescent="0.3">
      <c r="B9179" s="37"/>
    </row>
    <row r="9180" spans="2:2" ht="15.9" customHeight="1" x14ac:dyDescent="0.3">
      <c r="B9180" s="37"/>
    </row>
    <row r="9181" spans="2:2" ht="15.9" customHeight="1" x14ac:dyDescent="0.3">
      <c r="B9181" s="37"/>
    </row>
    <row r="9182" spans="2:2" ht="15.9" customHeight="1" x14ac:dyDescent="0.3">
      <c r="B9182" s="37"/>
    </row>
    <row r="9183" spans="2:2" ht="15.9" customHeight="1" x14ac:dyDescent="0.3">
      <c r="B9183" s="37"/>
    </row>
    <row r="9184" spans="2:2" ht="15.9" customHeight="1" x14ac:dyDescent="0.3">
      <c r="B9184" s="37"/>
    </row>
    <row r="9185" spans="2:2" ht="15.9" customHeight="1" x14ac:dyDescent="0.3">
      <c r="B9185" s="37"/>
    </row>
    <row r="9186" spans="2:2" ht="15.9" customHeight="1" x14ac:dyDescent="0.3">
      <c r="B9186" s="37"/>
    </row>
    <row r="9187" spans="2:2" ht="15.9" customHeight="1" x14ac:dyDescent="0.3">
      <c r="B9187" s="37"/>
    </row>
    <row r="9188" spans="2:2" ht="15.9" customHeight="1" x14ac:dyDescent="0.3">
      <c r="B9188" s="37"/>
    </row>
    <row r="9189" spans="2:2" ht="15.9" customHeight="1" x14ac:dyDescent="0.3">
      <c r="B9189" s="37"/>
    </row>
    <row r="9190" spans="2:2" ht="15.9" customHeight="1" x14ac:dyDescent="0.3">
      <c r="B9190" s="37"/>
    </row>
    <row r="9191" spans="2:2" ht="15.9" customHeight="1" x14ac:dyDescent="0.3">
      <c r="B9191" s="37"/>
    </row>
    <row r="9192" spans="2:2" ht="15.9" customHeight="1" x14ac:dyDescent="0.3">
      <c r="B9192" s="37"/>
    </row>
    <row r="9193" spans="2:2" ht="15.9" customHeight="1" x14ac:dyDescent="0.3">
      <c r="B9193" s="37"/>
    </row>
    <row r="9194" spans="2:2" ht="15.9" customHeight="1" x14ac:dyDescent="0.3">
      <c r="B9194" s="37"/>
    </row>
    <row r="9195" spans="2:2" ht="15.9" customHeight="1" x14ac:dyDescent="0.3">
      <c r="B9195" s="37"/>
    </row>
    <row r="9196" spans="2:2" ht="15.9" customHeight="1" x14ac:dyDescent="0.3">
      <c r="B9196" s="37"/>
    </row>
    <row r="9197" spans="2:2" ht="15.9" customHeight="1" x14ac:dyDescent="0.3">
      <c r="B9197" s="37"/>
    </row>
    <row r="9198" spans="2:2" ht="15.9" customHeight="1" x14ac:dyDescent="0.3">
      <c r="B9198" s="37"/>
    </row>
    <row r="9199" spans="2:2" ht="15.9" customHeight="1" x14ac:dyDescent="0.3">
      <c r="B9199" s="37"/>
    </row>
    <row r="9200" spans="2:2" ht="15.9" customHeight="1" x14ac:dyDescent="0.3">
      <c r="B9200" s="37"/>
    </row>
    <row r="9201" spans="2:2" ht="15.9" customHeight="1" x14ac:dyDescent="0.3">
      <c r="B9201" s="37"/>
    </row>
    <row r="9202" spans="2:2" ht="15.9" customHeight="1" x14ac:dyDescent="0.3">
      <c r="B9202" s="37"/>
    </row>
    <row r="9203" spans="2:2" ht="15.9" customHeight="1" x14ac:dyDescent="0.3">
      <c r="B9203" s="37"/>
    </row>
    <row r="9204" spans="2:2" ht="15.9" customHeight="1" x14ac:dyDescent="0.3">
      <c r="B9204" s="37"/>
    </row>
    <row r="9205" spans="2:2" ht="15.9" customHeight="1" x14ac:dyDescent="0.3">
      <c r="B9205" s="37"/>
    </row>
    <row r="9206" spans="2:2" ht="15.9" customHeight="1" x14ac:dyDescent="0.3">
      <c r="B9206" s="37"/>
    </row>
    <row r="9207" spans="2:2" ht="15.9" customHeight="1" x14ac:dyDescent="0.3">
      <c r="B9207" s="37"/>
    </row>
    <row r="9208" spans="2:2" ht="15.9" customHeight="1" x14ac:dyDescent="0.3">
      <c r="B9208" s="37"/>
    </row>
    <row r="9209" spans="2:2" ht="15.9" customHeight="1" x14ac:dyDescent="0.3">
      <c r="B9209" s="37"/>
    </row>
    <row r="9210" spans="2:2" ht="15.9" customHeight="1" x14ac:dyDescent="0.3">
      <c r="B9210" s="37"/>
    </row>
    <row r="9211" spans="2:2" ht="15.9" customHeight="1" x14ac:dyDescent="0.3">
      <c r="B9211" s="37"/>
    </row>
    <row r="9212" spans="2:2" ht="15.9" customHeight="1" x14ac:dyDescent="0.3">
      <c r="B9212" s="37"/>
    </row>
    <row r="9213" spans="2:2" ht="15.9" customHeight="1" x14ac:dyDescent="0.3">
      <c r="B9213" s="37"/>
    </row>
    <row r="9214" spans="2:2" ht="15.9" customHeight="1" x14ac:dyDescent="0.3">
      <c r="B9214" s="37"/>
    </row>
    <row r="9215" spans="2:2" ht="15.9" customHeight="1" x14ac:dyDescent="0.3">
      <c r="B9215" s="37"/>
    </row>
    <row r="9216" spans="2:2" ht="15.9" customHeight="1" x14ac:dyDescent="0.3">
      <c r="B9216" s="37"/>
    </row>
    <row r="9217" spans="2:2" ht="15.9" customHeight="1" x14ac:dyDescent="0.3">
      <c r="B9217" s="37"/>
    </row>
    <row r="9218" spans="2:2" ht="15.9" customHeight="1" x14ac:dyDescent="0.3">
      <c r="B9218" s="37"/>
    </row>
    <row r="9219" spans="2:2" ht="15.9" customHeight="1" x14ac:dyDescent="0.3">
      <c r="B9219" s="37"/>
    </row>
    <row r="9220" spans="2:2" ht="15.9" customHeight="1" x14ac:dyDescent="0.3">
      <c r="B9220" s="37"/>
    </row>
    <row r="9221" spans="2:2" ht="15.9" customHeight="1" x14ac:dyDescent="0.3">
      <c r="B9221" s="37"/>
    </row>
    <row r="9222" spans="2:2" ht="15.9" customHeight="1" x14ac:dyDescent="0.3">
      <c r="B9222" s="37"/>
    </row>
    <row r="9223" spans="2:2" ht="15.9" customHeight="1" x14ac:dyDescent="0.3">
      <c r="B9223" s="37"/>
    </row>
    <row r="9224" spans="2:2" ht="15.9" customHeight="1" x14ac:dyDescent="0.3">
      <c r="B9224" s="37"/>
    </row>
    <row r="9225" spans="2:2" ht="15.9" customHeight="1" x14ac:dyDescent="0.3">
      <c r="B9225" s="37"/>
    </row>
    <row r="9226" spans="2:2" ht="15.9" customHeight="1" x14ac:dyDescent="0.3">
      <c r="B9226" s="37"/>
    </row>
    <row r="9227" spans="2:2" ht="15.9" customHeight="1" x14ac:dyDescent="0.3">
      <c r="B9227" s="37"/>
    </row>
    <row r="9228" spans="2:2" ht="15.9" customHeight="1" x14ac:dyDescent="0.3">
      <c r="B9228" s="37"/>
    </row>
    <row r="9229" spans="2:2" ht="15.9" customHeight="1" x14ac:dyDescent="0.3">
      <c r="B9229" s="37"/>
    </row>
    <row r="9230" spans="2:2" ht="15.9" customHeight="1" x14ac:dyDescent="0.3">
      <c r="B9230" s="37"/>
    </row>
    <row r="9231" spans="2:2" ht="15.9" customHeight="1" x14ac:dyDescent="0.3">
      <c r="B9231" s="37"/>
    </row>
    <row r="9232" spans="2:2" ht="15.9" customHeight="1" x14ac:dyDescent="0.3">
      <c r="B9232" s="37"/>
    </row>
    <row r="9233" spans="2:2" ht="15.9" customHeight="1" x14ac:dyDescent="0.3">
      <c r="B9233" s="37"/>
    </row>
    <row r="9234" spans="2:2" ht="15.9" customHeight="1" x14ac:dyDescent="0.3">
      <c r="B9234" s="37"/>
    </row>
    <row r="9235" spans="2:2" ht="15.9" customHeight="1" x14ac:dyDescent="0.3">
      <c r="B9235" s="37"/>
    </row>
    <row r="9236" spans="2:2" ht="15.9" customHeight="1" x14ac:dyDescent="0.3">
      <c r="B9236" s="37"/>
    </row>
    <row r="9237" spans="2:2" ht="15.9" customHeight="1" x14ac:dyDescent="0.3">
      <c r="B9237" s="37"/>
    </row>
    <row r="9238" spans="2:2" ht="15.9" customHeight="1" x14ac:dyDescent="0.3">
      <c r="B9238" s="37"/>
    </row>
    <row r="9239" spans="2:2" ht="15.9" customHeight="1" x14ac:dyDescent="0.3">
      <c r="B9239" s="37"/>
    </row>
    <row r="9240" spans="2:2" ht="15.9" customHeight="1" x14ac:dyDescent="0.3">
      <c r="B9240" s="37"/>
    </row>
    <row r="9241" spans="2:2" ht="15.9" customHeight="1" x14ac:dyDescent="0.3">
      <c r="B9241" s="37"/>
    </row>
    <row r="9242" spans="2:2" ht="15.9" customHeight="1" x14ac:dyDescent="0.3">
      <c r="B9242" s="37"/>
    </row>
    <row r="9243" spans="2:2" ht="15.9" customHeight="1" x14ac:dyDescent="0.3">
      <c r="B9243" s="37"/>
    </row>
    <row r="9244" spans="2:2" ht="15.9" customHeight="1" x14ac:dyDescent="0.3">
      <c r="B9244" s="37"/>
    </row>
    <row r="9245" spans="2:2" ht="15.9" customHeight="1" x14ac:dyDescent="0.3">
      <c r="B9245" s="37"/>
    </row>
    <row r="9246" spans="2:2" ht="15.9" customHeight="1" x14ac:dyDescent="0.3">
      <c r="B9246" s="37"/>
    </row>
    <row r="9247" spans="2:2" ht="15.9" customHeight="1" x14ac:dyDescent="0.3">
      <c r="B9247" s="37"/>
    </row>
    <row r="9248" spans="2:2" ht="15.9" customHeight="1" x14ac:dyDescent="0.3">
      <c r="B9248" s="37"/>
    </row>
    <row r="9249" spans="2:2" ht="15.9" customHeight="1" x14ac:dyDescent="0.3">
      <c r="B9249" s="37"/>
    </row>
    <row r="9250" spans="2:2" ht="15.9" customHeight="1" x14ac:dyDescent="0.3">
      <c r="B9250" s="37"/>
    </row>
    <row r="9251" spans="2:2" ht="15.9" customHeight="1" x14ac:dyDescent="0.3">
      <c r="B9251" s="37"/>
    </row>
    <row r="9252" spans="2:2" ht="15.9" customHeight="1" x14ac:dyDescent="0.3">
      <c r="B9252" s="37"/>
    </row>
    <row r="9253" spans="2:2" ht="15.9" customHeight="1" x14ac:dyDescent="0.3">
      <c r="B9253" s="37"/>
    </row>
    <row r="9254" spans="2:2" ht="15.9" customHeight="1" x14ac:dyDescent="0.3">
      <c r="B9254" s="37"/>
    </row>
    <row r="9255" spans="2:2" ht="15.9" customHeight="1" x14ac:dyDescent="0.3">
      <c r="B9255" s="37"/>
    </row>
    <row r="9256" spans="2:2" ht="15.9" customHeight="1" x14ac:dyDescent="0.3">
      <c r="B9256" s="37"/>
    </row>
    <row r="9257" spans="2:2" ht="15.9" customHeight="1" x14ac:dyDescent="0.3">
      <c r="B9257" s="37"/>
    </row>
    <row r="9258" spans="2:2" ht="15.9" customHeight="1" x14ac:dyDescent="0.3">
      <c r="B9258" s="37"/>
    </row>
    <row r="9259" spans="2:2" ht="15.9" customHeight="1" x14ac:dyDescent="0.3">
      <c r="B9259" s="37"/>
    </row>
    <row r="9260" spans="2:2" ht="15.9" customHeight="1" x14ac:dyDescent="0.3">
      <c r="B9260" s="37"/>
    </row>
    <row r="9261" spans="2:2" ht="15.9" customHeight="1" x14ac:dyDescent="0.3">
      <c r="B9261" s="37"/>
    </row>
    <row r="9262" spans="2:2" ht="15.9" customHeight="1" x14ac:dyDescent="0.3">
      <c r="B9262" s="37"/>
    </row>
    <row r="9263" spans="2:2" ht="15.9" customHeight="1" x14ac:dyDescent="0.3">
      <c r="B9263" s="37"/>
    </row>
    <row r="9264" spans="2:2" ht="15.9" customHeight="1" x14ac:dyDescent="0.3">
      <c r="B9264" s="37"/>
    </row>
    <row r="9265" spans="2:2" ht="15.9" customHeight="1" x14ac:dyDescent="0.3">
      <c r="B9265" s="37"/>
    </row>
    <row r="9266" spans="2:2" ht="15.9" customHeight="1" x14ac:dyDescent="0.3">
      <c r="B9266" s="37"/>
    </row>
    <row r="9267" spans="2:2" ht="15.9" customHeight="1" x14ac:dyDescent="0.3">
      <c r="B9267" s="37"/>
    </row>
    <row r="9268" spans="2:2" ht="15.9" customHeight="1" x14ac:dyDescent="0.3">
      <c r="B9268" s="37"/>
    </row>
    <row r="9269" spans="2:2" ht="15.9" customHeight="1" x14ac:dyDescent="0.3">
      <c r="B9269" s="37"/>
    </row>
    <row r="9270" spans="2:2" ht="15.9" customHeight="1" x14ac:dyDescent="0.3">
      <c r="B9270" s="37"/>
    </row>
    <row r="9271" spans="2:2" ht="15.9" customHeight="1" x14ac:dyDescent="0.3">
      <c r="B9271" s="37"/>
    </row>
    <row r="9272" spans="2:2" ht="15.9" customHeight="1" x14ac:dyDescent="0.3">
      <c r="B9272" s="37"/>
    </row>
    <row r="9273" spans="2:2" ht="15.9" customHeight="1" x14ac:dyDescent="0.3">
      <c r="B9273" s="37"/>
    </row>
    <row r="9274" spans="2:2" ht="15.9" customHeight="1" x14ac:dyDescent="0.3">
      <c r="B9274" s="37"/>
    </row>
    <row r="9275" spans="2:2" ht="15.9" customHeight="1" x14ac:dyDescent="0.3">
      <c r="B9275" s="37"/>
    </row>
    <row r="9276" spans="2:2" ht="15.9" customHeight="1" x14ac:dyDescent="0.3">
      <c r="B9276" s="37"/>
    </row>
    <row r="9277" spans="2:2" ht="15.9" customHeight="1" x14ac:dyDescent="0.3">
      <c r="B9277" s="37"/>
    </row>
    <row r="9278" spans="2:2" ht="15.9" customHeight="1" x14ac:dyDescent="0.3">
      <c r="B9278" s="37"/>
    </row>
    <row r="9279" spans="2:2" ht="15.9" customHeight="1" x14ac:dyDescent="0.3">
      <c r="B9279" s="37"/>
    </row>
    <row r="9280" spans="2:2" ht="15.9" customHeight="1" x14ac:dyDescent="0.3">
      <c r="B9280" s="37"/>
    </row>
    <row r="9281" spans="2:2" ht="15.9" customHeight="1" x14ac:dyDescent="0.3">
      <c r="B9281" s="37"/>
    </row>
    <row r="9282" spans="2:2" ht="15.9" customHeight="1" x14ac:dyDescent="0.3">
      <c r="B9282" s="37"/>
    </row>
    <row r="9283" spans="2:2" ht="15.9" customHeight="1" x14ac:dyDescent="0.3">
      <c r="B9283" s="37"/>
    </row>
    <row r="9284" spans="2:2" ht="15.9" customHeight="1" x14ac:dyDescent="0.3">
      <c r="B9284" s="37"/>
    </row>
    <row r="9285" spans="2:2" ht="15.9" customHeight="1" x14ac:dyDescent="0.3">
      <c r="B9285" s="37"/>
    </row>
    <row r="9286" spans="2:2" ht="15.9" customHeight="1" x14ac:dyDescent="0.3">
      <c r="B9286" s="37"/>
    </row>
    <row r="9287" spans="2:2" ht="15.9" customHeight="1" x14ac:dyDescent="0.3">
      <c r="B9287" s="37"/>
    </row>
    <row r="9288" spans="2:2" ht="15.9" customHeight="1" x14ac:dyDescent="0.3">
      <c r="B9288" s="37"/>
    </row>
    <row r="9289" spans="2:2" ht="15.9" customHeight="1" x14ac:dyDescent="0.3">
      <c r="B9289" s="37"/>
    </row>
    <row r="9290" spans="2:2" ht="15.9" customHeight="1" x14ac:dyDescent="0.3">
      <c r="B9290" s="37"/>
    </row>
    <row r="9291" spans="2:2" ht="15.9" customHeight="1" x14ac:dyDescent="0.3">
      <c r="B9291" s="37"/>
    </row>
    <row r="9292" spans="2:2" ht="15.9" customHeight="1" x14ac:dyDescent="0.3">
      <c r="B9292" s="37"/>
    </row>
    <row r="9293" spans="2:2" ht="15.9" customHeight="1" x14ac:dyDescent="0.3">
      <c r="B9293" s="37"/>
    </row>
    <row r="9294" spans="2:2" ht="15.9" customHeight="1" x14ac:dyDescent="0.3">
      <c r="B9294" s="37"/>
    </row>
    <row r="9295" spans="2:2" ht="15.9" customHeight="1" x14ac:dyDescent="0.3">
      <c r="B9295" s="37"/>
    </row>
    <row r="9296" spans="2:2" ht="15.9" customHeight="1" x14ac:dyDescent="0.3">
      <c r="B9296" s="37"/>
    </row>
    <row r="9297" spans="2:2" ht="15.9" customHeight="1" x14ac:dyDescent="0.3">
      <c r="B9297" s="37"/>
    </row>
    <row r="9298" spans="2:2" ht="15.9" customHeight="1" x14ac:dyDescent="0.3">
      <c r="B9298" s="37"/>
    </row>
    <row r="9299" spans="2:2" ht="15.9" customHeight="1" x14ac:dyDescent="0.3">
      <c r="B9299" s="37"/>
    </row>
    <row r="9300" spans="2:2" ht="15.9" customHeight="1" x14ac:dyDescent="0.3">
      <c r="B9300" s="37"/>
    </row>
    <row r="9301" spans="2:2" ht="15.9" customHeight="1" x14ac:dyDescent="0.3">
      <c r="B9301" s="37"/>
    </row>
    <row r="9302" spans="2:2" ht="15.9" customHeight="1" x14ac:dyDescent="0.3">
      <c r="B9302" s="37"/>
    </row>
    <row r="9303" spans="2:2" ht="15.9" customHeight="1" x14ac:dyDescent="0.3">
      <c r="B9303" s="37"/>
    </row>
    <row r="9304" spans="2:2" ht="15.9" customHeight="1" x14ac:dyDescent="0.3">
      <c r="B9304" s="37"/>
    </row>
    <row r="9305" spans="2:2" ht="15.9" customHeight="1" x14ac:dyDescent="0.3">
      <c r="B9305" s="37"/>
    </row>
    <row r="9306" spans="2:2" ht="15.9" customHeight="1" x14ac:dyDescent="0.3">
      <c r="B9306" s="37"/>
    </row>
    <row r="9307" spans="2:2" ht="15.9" customHeight="1" x14ac:dyDescent="0.3">
      <c r="B9307" s="37"/>
    </row>
    <row r="9308" spans="2:2" ht="15.9" customHeight="1" x14ac:dyDescent="0.3">
      <c r="B9308" s="37"/>
    </row>
    <row r="9309" spans="2:2" ht="15.9" customHeight="1" x14ac:dyDescent="0.3">
      <c r="B9309" s="37"/>
    </row>
    <row r="9310" spans="2:2" ht="15.9" customHeight="1" x14ac:dyDescent="0.3">
      <c r="B9310" s="37"/>
    </row>
    <row r="9311" spans="2:2" ht="15.9" customHeight="1" x14ac:dyDescent="0.3">
      <c r="B9311" s="37"/>
    </row>
    <row r="9312" spans="2:2" ht="15.9" customHeight="1" x14ac:dyDescent="0.3">
      <c r="B9312" s="37"/>
    </row>
    <row r="9313" spans="2:2" ht="15.9" customHeight="1" x14ac:dyDescent="0.3">
      <c r="B9313" s="37"/>
    </row>
    <row r="9314" spans="2:2" ht="15.9" customHeight="1" x14ac:dyDescent="0.3">
      <c r="B9314" s="37"/>
    </row>
    <row r="9315" spans="2:2" ht="15.9" customHeight="1" x14ac:dyDescent="0.3">
      <c r="B9315" s="37"/>
    </row>
    <row r="9316" spans="2:2" ht="15.9" customHeight="1" x14ac:dyDescent="0.3">
      <c r="B9316" s="37"/>
    </row>
    <row r="9317" spans="2:2" ht="15.9" customHeight="1" x14ac:dyDescent="0.3">
      <c r="B9317" s="37"/>
    </row>
    <row r="9318" spans="2:2" ht="15.9" customHeight="1" x14ac:dyDescent="0.3">
      <c r="B9318" s="37"/>
    </row>
    <row r="9319" spans="2:2" ht="15.9" customHeight="1" x14ac:dyDescent="0.3">
      <c r="B9319" s="37"/>
    </row>
    <row r="9320" spans="2:2" ht="15.9" customHeight="1" x14ac:dyDescent="0.3">
      <c r="B9320" s="37"/>
    </row>
    <row r="9321" spans="2:2" ht="15.9" customHeight="1" x14ac:dyDescent="0.3">
      <c r="B9321" s="37"/>
    </row>
    <row r="9322" spans="2:2" ht="15.9" customHeight="1" x14ac:dyDescent="0.3">
      <c r="B9322" s="37"/>
    </row>
    <row r="9323" spans="2:2" ht="15.9" customHeight="1" x14ac:dyDescent="0.3">
      <c r="B9323" s="37"/>
    </row>
    <row r="9324" spans="2:2" ht="15.9" customHeight="1" x14ac:dyDescent="0.3">
      <c r="B9324" s="37"/>
    </row>
    <row r="9325" spans="2:2" ht="15.9" customHeight="1" x14ac:dyDescent="0.3">
      <c r="B9325" s="37"/>
    </row>
    <row r="9326" spans="2:2" ht="15.9" customHeight="1" x14ac:dyDescent="0.3">
      <c r="B9326" s="37"/>
    </row>
    <row r="9327" spans="2:2" ht="15.9" customHeight="1" x14ac:dyDescent="0.3">
      <c r="B9327" s="37"/>
    </row>
    <row r="9328" spans="2:2" ht="15.9" customHeight="1" x14ac:dyDescent="0.3">
      <c r="B9328" s="37"/>
    </row>
    <row r="9329" spans="2:2" ht="15.9" customHeight="1" x14ac:dyDescent="0.3">
      <c r="B9329" s="37"/>
    </row>
    <row r="9330" spans="2:2" ht="15.9" customHeight="1" x14ac:dyDescent="0.3">
      <c r="B9330" s="37"/>
    </row>
    <row r="9331" spans="2:2" ht="15.9" customHeight="1" x14ac:dyDescent="0.3">
      <c r="B9331" s="37"/>
    </row>
    <row r="9332" spans="2:2" ht="15.9" customHeight="1" x14ac:dyDescent="0.3">
      <c r="B9332" s="37"/>
    </row>
    <row r="9333" spans="2:2" ht="15.9" customHeight="1" x14ac:dyDescent="0.3">
      <c r="B9333" s="37"/>
    </row>
    <row r="9334" spans="2:2" ht="15.9" customHeight="1" x14ac:dyDescent="0.3">
      <c r="B9334" s="37"/>
    </row>
    <row r="9335" spans="2:2" ht="15.9" customHeight="1" x14ac:dyDescent="0.3">
      <c r="B9335" s="37"/>
    </row>
    <row r="9336" spans="2:2" ht="15.9" customHeight="1" x14ac:dyDescent="0.3">
      <c r="B9336" s="37"/>
    </row>
    <row r="9337" spans="2:2" ht="15.9" customHeight="1" x14ac:dyDescent="0.3">
      <c r="B9337" s="37"/>
    </row>
    <row r="9338" spans="2:2" ht="15.9" customHeight="1" x14ac:dyDescent="0.3">
      <c r="B9338" s="37"/>
    </row>
    <row r="9339" spans="2:2" ht="15.9" customHeight="1" x14ac:dyDescent="0.3">
      <c r="B9339" s="37"/>
    </row>
    <row r="9340" spans="2:2" ht="15.9" customHeight="1" x14ac:dyDescent="0.3">
      <c r="B9340" s="37"/>
    </row>
    <row r="9341" spans="2:2" ht="15.9" customHeight="1" x14ac:dyDescent="0.3">
      <c r="B9341" s="37"/>
    </row>
    <row r="9342" spans="2:2" ht="15.9" customHeight="1" x14ac:dyDescent="0.3">
      <c r="B9342" s="37"/>
    </row>
    <row r="9343" spans="2:2" ht="15.9" customHeight="1" x14ac:dyDescent="0.3">
      <c r="B9343" s="37"/>
    </row>
    <row r="9344" spans="2:2" ht="15.9" customHeight="1" x14ac:dyDescent="0.3">
      <c r="B9344" s="37"/>
    </row>
    <row r="9345" spans="2:2" ht="15.9" customHeight="1" x14ac:dyDescent="0.3">
      <c r="B9345" s="37"/>
    </row>
    <row r="9346" spans="2:2" ht="15.9" customHeight="1" x14ac:dyDescent="0.3">
      <c r="B9346" s="37"/>
    </row>
    <row r="9347" spans="2:2" ht="15.9" customHeight="1" x14ac:dyDescent="0.3">
      <c r="B9347" s="37"/>
    </row>
    <row r="9348" spans="2:2" ht="15.9" customHeight="1" x14ac:dyDescent="0.3">
      <c r="B9348" s="37"/>
    </row>
    <row r="9349" spans="2:2" ht="15.9" customHeight="1" x14ac:dyDescent="0.3">
      <c r="B9349" s="37"/>
    </row>
    <row r="9350" spans="2:2" ht="15.9" customHeight="1" x14ac:dyDescent="0.3">
      <c r="B9350" s="37"/>
    </row>
    <row r="9351" spans="2:2" ht="15.9" customHeight="1" x14ac:dyDescent="0.3">
      <c r="B9351" s="37"/>
    </row>
    <row r="9352" spans="2:2" ht="15.9" customHeight="1" x14ac:dyDescent="0.3">
      <c r="B9352" s="37"/>
    </row>
    <row r="9353" spans="2:2" ht="15.9" customHeight="1" x14ac:dyDescent="0.3">
      <c r="B9353" s="37"/>
    </row>
    <row r="9354" spans="2:2" ht="15.9" customHeight="1" x14ac:dyDescent="0.3">
      <c r="B9354" s="37"/>
    </row>
    <row r="9355" spans="2:2" ht="15.9" customHeight="1" x14ac:dyDescent="0.3">
      <c r="B9355" s="37"/>
    </row>
    <row r="9356" spans="2:2" ht="15.9" customHeight="1" x14ac:dyDescent="0.3">
      <c r="B9356" s="37"/>
    </row>
    <row r="9357" spans="2:2" ht="15.9" customHeight="1" x14ac:dyDescent="0.3">
      <c r="B9357" s="37"/>
    </row>
    <row r="9358" spans="2:2" ht="15.9" customHeight="1" x14ac:dyDescent="0.3">
      <c r="B9358" s="37"/>
    </row>
    <row r="9359" spans="2:2" ht="15.9" customHeight="1" x14ac:dyDescent="0.3">
      <c r="B9359" s="37"/>
    </row>
    <row r="9360" spans="2:2" ht="15.9" customHeight="1" x14ac:dyDescent="0.3">
      <c r="B9360" s="37"/>
    </row>
    <row r="9361" spans="2:2" ht="15.9" customHeight="1" x14ac:dyDescent="0.3">
      <c r="B9361" s="37"/>
    </row>
    <row r="9362" spans="2:2" ht="15.9" customHeight="1" x14ac:dyDescent="0.3">
      <c r="B9362" s="37"/>
    </row>
    <row r="9363" spans="2:2" ht="15.9" customHeight="1" x14ac:dyDescent="0.3">
      <c r="B9363" s="37"/>
    </row>
    <row r="9364" spans="2:2" ht="15.9" customHeight="1" x14ac:dyDescent="0.3">
      <c r="B9364" s="37"/>
    </row>
    <row r="9365" spans="2:2" ht="15.9" customHeight="1" x14ac:dyDescent="0.3">
      <c r="B9365" s="37"/>
    </row>
    <row r="9366" spans="2:2" ht="15.9" customHeight="1" x14ac:dyDescent="0.3">
      <c r="B9366" s="37"/>
    </row>
    <row r="9367" spans="2:2" ht="15.9" customHeight="1" x14ac:dyDescent="0.3">
      <c r="B9367" s="37"/>
    </row>
    <row r="9368" spans="2:2" ht="15.9" customHeight="1" x14ac:dyDescent="0.3">
      <c r="B9368" s="37"/>
    </row>
    <row r="9369" spans="2:2" ht="15.9" customHeight="1" x14ac:dyDescent="0.3">
      <c r="B9369" s="37"/>
    </row>
    <row r="9370" spans="2:2" ht="15.9" customHeight="1" x14ac:dyDescent="0.3">
      <c r="B9370" s="37"/>
    </row>
    <row r="9371" spans="2:2" ht="15.9" customHeight="1" x14ac:dyDescent="0.3">
      <c r="B9371" s="37"/>
    </row>
    <row r="9372" spans="2:2" ht="15.9" customHeight="1" x14ac:dyDescent="0.3">
      <c r="B9372" s="37"/>
    </row>
    <row r="9373" spans="2:2" ht="15.9" customHeight="1" x14ac:dyDescent="0.3">
      <c r="B9373" s="37"/>
    </row>
    <row r="9374" spans="2:2" ht="15.9" customHeight="1" x14ac:dyDescent="0.3">
      <c r="B9374" s="37"/>
    </row>
    <row r="9375" spans="2:2" ht="15.9" customHeight="1" x14ac:dyDescent="0.3">
      <c r="B9375" s="37"/>
    </row>
    <row r="9376" spans="2:2" ht="15.9" customHeight="1" x14ac:dyDescent="0.3">
      <c r="B9376" s="37"/>
    </row>
    <row r="9377" spans="2:2" ht="15.9" customHeight="1" x14ac:dyDescent="0.3">
      <c r="B9377" s="37"/>
    </row>
    <row r="9378" spans="2:2" ht="15.9" customHeight="1" x14ac:dyDescent="0.3">
      <c r="B9378" s="37"/>
    </row>
    <row r="9379" spans="2:2" ht="15.9" customHeight="1" x14ac:dyDescent="0.3">
      <c r="B9379" s="37"/>
    </row>
    <row r="9380" spans="2:2" ht="15.9" customHeight="1" x14ac:dyDescent="0.3">
      <c r="B9380" s="37"/>
    </row>
    <row r="9381" spans="2:2" ht="15.9" customHeight="1" x14ac:dyDescent="0.3">
      <c r="B9381" s="37"/>
    </row>
    <row r="9382" spans="2:2" ht="15.9" customHeight="1" x14ac:dyDescent="0.3">
      <c r="B9382" s="37"/>
    </row>
    <row r="9383" spans="2:2" ht="15.9" customHeight="1" x14ac:dyDescent="0.3">
      <c r="B9383" s="37"/>
    </row>
    <row r="9384" spans="2:2" ht="15.9" customHeight="1" x14ac:dyDescent="0.3">
      <c r="B9384" s="37"/>
    </row>
    <row r="9385" spans="2:2" ht="15.9" customHeight="1" x14ac:dyDescent="0.3">
      <c r="B9385" s="37"/>
    </row>
    <row r="9386" spans="2:2" ht="15.9" customHeight="1" x14ac:dyDescent="0.3">
      <c r="B9386" s="37"/>
    </row>
    <row r="9387" spans="2:2" ht="15.9" customHeight="1" x14ac:dyDescent="0.3">
      <c r="B9387" s="37"/>
    </row>
    <row r="9388" spans="2:2" ht="15.9" customHeight="1" x14ac:dyDescent="0.3">
      <c r="B9388" s="37"/>
    </row>
    <row r="9389" spans="2:2" ht="15.9" customHeight="1" x14ac:dyDescent="0.3">
      <c r="B9389" s="37"/>
    </row>
    <row r="9390" spans="2:2" ht="15.9" customHeight="1" x14ac:dyDescent="0.3">
      <c r="B9390" s="37"/>
    </row>
    <row r="9391" spans="2:2" ht="15.9" customHeight="1" x14ac:dyDescent="0.3">
      <c r="B9391" s="37"/>
    </row>
    <row r="9392" spans="2:2" ht="15.9" customHeight="1" x14ac:dyDescent="0.3">
      <c r="B9392" s="37"/>
    </row>
    <row r="9393" spans="2:2" ht="15.9" customHeight="1" x14ac:dyDescent="0.3">
      <c r="B9393" s="37"/>
    </row>
    <row r="9394" spans="2:2" ht="15.9" customHeight="1" x14ac:dyDescent="0.3">
      <c r="B9394" s="37"/>
    </row>
    <row r="9395" spans="2:2" ht="15.9" customHeight="1" x14ac:dyDescent="0.3">
      <c r="B9395" s="37"/>
    </row>
    <row r="9396" spans="2:2" ht="15.9" customHeight="1" x14ac:dyDescent="0.3">
      <c r="B9396" s="37"/>
    </row>
    <row r="9397" spans="2:2" ht="15.9" customHeight="1" x14ac:dyDescent="0.3">
      <c r="B9397" s="37"/>
    </row>
    <row r="9398" spans="2:2" ht="15.9" customHeight="1" x14ac:dyDescent="0.3">
      <c r="B9398" s="37"/>
    </row>
    <row r="9399" spans="2:2" ht="15.9" customHeight="1" x14ac:dyDescent="0.3">
      <c r="B9399" s="37"/>
    </row>
    <row r="9400" spans="2:2" ht="15.9" customHeight="1" x14ac:dyDescent="0.3">
      <c r="B9400" s="37"/>
    </row>
    <row r="9401" spans="2:2" ht="15.9" customHeight="1" x14ac:dyDescent="0.3">
      <c r="B9401" s="37"/>
    </row>
    <row r="9402" spans="2:2" ht="15.9" customHeight="1" x14ac:dyDescent="0.3">
      <c r="B9402" s="37"/>
    </row>
    <row r="9403" spans="2:2" ht="15.9" customHeight="1" x14ac:dyDescent="0.3">
      <c r="B9403" s="37"/>
    </row>
    <row r="9404" spans="2:2" ht="15.9" customHeight="1" x14ac:dyDescent="0.3">
      <c r="B9404" s="37"/>
    </row>
    <row r="9405" spans="2:2" ht="15.9" customHeight="1" x14ac:dyDescent="0.3">
      <c r="B9405" s="37"/>
    </row>
    <row r="9406" spans="2:2" ht="15.9" customHeight="1" x14ac:dyDescent="0.3">
      <c r="B9406" s="37"/>
    </row>
    <row r="9407" spans="2:2" ht="15.9" customHeight="1" x14ac:dyDescent="0.3">
      <c r="B9407" s="37"/>
    </row>
    <row r="9408" spans="2:2" ht="15.9" customHeight="1" x14ac:dyDescent="0.3">
      <c r="B9408" s="37"/>
    </row>
    <row r="9409" spans="2:2" ht="15.9" customHeight="1" x14ac:dyDescent="0.3">
      <c r="B9409" s="37"/>
    </row>
    <row r="9410" spans="2:2" ht="15.9" customHeight="1" x14ac:dyDescent="0.3">
      <c r="B9410" s="37"/>
    </row>
    <row r="9411" spans="2:2" ht="15.9" customHeight="1" x14ac:dyDescent="0.3">
      <c r="B9411" s="37"/>
    </row>
    <row r="9412" spans="2:2" ht="15.9" customHeight="1" x14ac:dyDescent="0.3">
      <c r="B9412" s="37"/>
    </row>
    <row r="9413" spans="2:2" ht="15.9" customHeight="1" x14ac:dyDescent="0.3">
      <c r="B9413" s="37"/>
    </row>
    <row r="9414" spans="2:2" ht="15.9" customHeight="1" x14ac:dyDescent="0.3">
      <c r="B9414" s="37"/>
    </row>
    <row r="9415" spans="2:2" ht="15.9" customHeight="1" x14ac:dyDescent="0.3">
      <c r="B9415" s="37"/>
    </row>
    <row r="9416" spans="2:2" ht="15.9" customHeight="1" x14ac:dyDescent="0.3">
      <c r="B9416" s="37"/>
    </row>
    <row r="9417" spans="2:2" ht="15.9" customHeight="1" x14ac:dyDescent="0.3">
      <c r="B9417" s="37"/>
    </row>
    <row r="9418" spans="2:2" ht="15.9" customHeight="1" x14ac:dyDescent="0.3">
      <c r="B9418" s="37"/>
    </row>
    <row r="9419" spans="2:2" ht="15.9" customHeight="1" x14ac:dyDescent="0.3">
      <c r="B9419" s="37"/>
    </row>
    <row r="9420" spans="2:2" ht="15.9" customHeight="1" x14ac:dyDescent="0.3">
      <c r="B9420" s="37"/>
    </row>
    <row r="9421" spans="2:2" ht="15.9" customHeight="1" x14ac:dyDescent="0.3">
      <c r="B9421" s="37"/>
    </row>
    <row r="9422" spans="2:2" ht="15.9" customHeight="1" x14ac:dyDescent="0.3">
      <c r="B9422" s="37"/>
    </row>
    <row r="9423" spans="2:2" ht="15.9" customHeight="1" x14ac:dyDescent="0.3">
      <c r="B9423" s="37"/>
    </row>
    <row r="9424" spans="2:2" ht="15.9" customHeight="1" x14ac:dyDescent="0.3">
      <c r="B9424" s="37"/>
    </row>
    <row r="9425" spans="2:2" ht="15.9" customHeight="1" x14ac:dyDescent="0.3">
      <c r="B9425" s="37"/>
    </row>
    <row r="9426" spans="2:2" ht="15.9" customHeight="1" x14ac:dyDescent="0.3">
      <c r="B9426" s="37"/>
    </row>
    <row r="9427" spans="2:2" ht="15.9" customHeight="1" x14ac:dyDescent="0.3">
      <c r="B9427" s="37"/>
    </row>
    <row r="9428" spans="2:2" ht="15.9" customHeight="1" x14ac:dyDescent="0.3">
      <c r="B9428" s="37"/>
    </row>
    <row r="9429" spans="2:2" ht="15.9" customHeight="1" x14ac:dyDescent="0.3">
      <c r="B9429" s="37"/>
    </row>
    <row r="9430" spans="2:2" ht="15.9" customHeight="1" x14ac:dyDescent="0.3">
      <c r="B9430" s="37"/>
    </row>
    <row r="9431" spans="2:2" ht="15.9" customHeight="1" x14ac:dyDescent="0.3">
      <c r="B9431" s="37"/>
    </row>
    <row r="9432" spans="2:2" ht="15.9" customHeight="1" x14ac:dyDescent="0.3">
      <c r="B9432" s="37"/>
    </row>
    <row r="9433" spans="2:2" ht="15.9" customHeight="1" x14ac:dyDescent="0.3">
      <c r="B9433" s="37"/>
    </row>
    <row r="9434" spans="2:2" ht="15.9" customHeight="1" x14ac:dyDescent="0.3">
      <c r="B9434" s="37"/>
    </row>
    <row r="9435" spans="2:2" ht="15.9" customHeight="1" x14ac:dyDescent="0.3">
      <c r="B9435" s="37"/>
    </row>
    <row r="9436" spans="2:2" ht="15.9" customHeight="1" x14ac:dyDescent="0.3">
      <c r="B9436" s="37"/>
    </row>
    <row r="9437" spans="2:2" ht="15.9" customHeight="1" x14ac:dyDescent="0.3">
      <c r="B9437" s="37"/>
    </row>
    <row r="9438" spans="2:2" ht="15.9" customHeight="1" x14ac:dyDescent="0.3">
      <c r="B9438" s="37"/>
    </row>
    <row r="9439" spans="2:2" ht="15.9" customHeight="1" x14ac:dyDescent="0.3">
      <c r="B9439" s="37"/>
    </row>
    <row r="9440" spans="2:2" ht="15.9" customHeight="1" x14ac:dyDescent="0.3">
      <c r="B9440" s="37"/>
    </row>
    <row r="9441" spans="2:2" ht="15.9" customHeight="1" x14ac:dyDescent="0.3">
      <c r="B9441" s="37"/>
    </row>
    <row r="9442" spans="2:2" ht="15.9" customHeight="1" x14ac:dyDescent="0.3">
      <c r="B9442" s="37"/>
    </row>
    <row r="9443" spans="2:2" ht="15.9" customHeight="1" x14ac:dyDescent="0.3">
      <c r="B9443" s="37"/>
    </row>
    <row r="9444" spans="2:2" ht="15.9" customHeight="1" x14ac:dyDescent="0.3">
      <c r="B9444" s="37"/>
    </row>
    <row r="9445" spans="2:2" ht="15.9" customHeight="1" x14ac:dyDescent="0.3">
      <c r="B9445" s="37"/>
    </row>
    <row r="9446" spans="2:2" ht="15.9" customHeight="1" x14ac:dyDescent="0.3">
      <c r="B9446" s="37"/>
    </row>
    <row r="9447" spans="2:2" ht="15.9" customHeight="1" x14ac:dyDescent="0.3">
      <c r="B9447" s="37"/>
    </row>
    <row r="9448" spans="2:2" ht="15.9" customHeight="1" x14ac:dyDescent="0.3">
      <c r="B9448" s="37"/>
    </row>
    <row r="9449" spans="2:2" ht="15.9" customHeight="1" x14ac:dyDescent="0.3">
      <c r="B9449" s="37"/>
    </row>
    <row r="9450" spans="2:2" ht="15.9" customHeight="1" x14ac:dyDescent="0.3">
      <c r="B9450" s="37"/>
    </row>
    <row r="9451" spans="2:2" ht="15.9" customHeight="1" x14ac:dyDescent="0.3">
      <c r="B9451" s="37"/>
    </row>
    <row r="9452" spans="2:2" ht="15.9" customHeight="1" x14ac:dyDescent="0.3">
      <c r="B9452" s="37"/>
    </row>
    <row r="9453" spans="2:2" ht="15.9" customHeight="1" x14ac:dyDescent="0.3">
      <c r="B9453" s="37"/>
    </row>
    <row r="9454" spans="2:2" ht="15.9" customHeight="1" x14ac:dyDescent="0.3">
      <c r="B9454" s="37"/>
    </row>
    <row r="9455" spans="2:2" ht="15.9" customHeight="1" x14ac:dyDescent="0.3">
      <c r="B9455" s="37"/>
    </row>
    <row r="9456" spans="2:2" ht="15.9" customHeight="1" x14ac:dyDescent="0.3">
      <c r="B9456" s="37"/>
    </row>
    <row r="9457" spans="2:2" ht="15.9" customHeight="1" x14ac:dyDescent="0.3">
      <c r="B9457" s="37"/>
    </row>
    <row r="9458" spans="2:2" ht="15.9" customHeight="1" x14ac:dyDescent="0.3">
      <c r="B9458" s="37"/>
    </row>
    <row r="9459" spans="2:2" ht="15.9" customHeight="1" x14ac:dyDescent="0.3">
      <c r="B9459" s="37"/>
    </row>
    <row r="9460" spans="2:2" ht="15.9" customHeight="1" x14ac:dyDescent="0.3">
      <c r="B9460" s="37"/>
    </row>
    <row r="9461" spans="2:2" ht="15.9" customHeight="1" x14ac:dyDescent="0.3">
      <c r="B9461" s="37"/>
    </row>
    <row r="9462" spans="2:2" ht="15.9" customHeight="1" x14ac:dyDescent="0.3">
      <c r="B9462" s="37"/>
    </row>
    <row r="9463" spans="2:2" ht="15.9" customHeight="1" x14ac:dyDescent="0.3">
      <c r="B9463" s="37"/>
    </row>
    <row r="9464" spans="2:2" ht="15.9" customHeight="1" x14ac:dyDescent="0.3">
      <c r="B9464" s="37"/>
    </row>
    <row r="9465" spans="2:2" ht="15.9" customHeight="1" x14ac:dyDescent="0.3">
      <c r="B9465" s="37"/>
    </row>
    <row r="9466" spans="2:2" ht="15.9" customHeight="1" x14ac:dyDescent="0.3">
      <c r="B9466" s="37"/>
    </row>
    <row r="9467" spans="2:2" ht="15.9" customHeight="1" x14ac:dyDescent="0.3">
      <c r="B9467" s="37"/>
    </row>
    <row r="9468" spans="2:2" ht="15.9" customHeight="1" x14ac:dyDescent="0.3">
      <c r="B9468" s="37"/>
    </row>
    <row r="9469" spans="2:2" ht="15.9" customHeight="1" x14ac:dyDescent="0.3">
      <c r="B9469" s="37"/>
    </row>
    <row r="9470" spans="2:2" ht="15.9" customHeight="1" x14ac:dyDescent="0.3">
      <c r="B9470" s="37"/>
    </row>
    <row r="9471" spans="2:2" ht="15.9" customHeight="1" x14ac:dyDescent="0.3">
      <c r="B9471" s="37"/>
    </row>
    <row r="9472" spans="2:2" ht="15.9" customHeight="1" x14ac:dyDescent="0.3">
      <c r="B9472" s="37"/>
    </row>
    <row r="9473" spans="2:2" ht="15.9" customHeight="1" x14ac:dyDescent="0.3">
      <c r="B9473" s="37"/>
    </row>
    <row r="9474" spans="2:2" ht="15.9" customHeight="1" x14ac:dyDescent="0.3">
      <c r="B9474" s="37"/>
    </row>
    <row r="9475" spans="2:2" ht="15.9" customHeight="1" x14ac:dyDescent="0.3">
      <c r="B9475" s="37"/>
    </row>
    <row r="9476" spans="2:2" ht="15.9" customHeight="1" x14ac:dyDescent="0.3">
      <c r="B9476" s="37"/>
    </row>
    <row r="9477" spans="2:2" ht="15.9" customHeight="1" x14ac:dyDescent="0.3">
      <c r="B9477" s="37"/>
    </row>
    <row r="9478" spans="2:2" ht="15.9" customHeight="1" x14ac:dyDescent="0.3">
      <c r="B9478" s="37"/>
    </row>
    <row r="9479" spans="2:2" ht="15.9" customHeight="1" x14ac:dyDescent="0.3">
      <c r="B9479" s="37"/>
    </row>
    <row r="9480" spans="2:2" ht="15.9" customHeight="1" x14ac:dyDescent="0.3">
      <c r="B9480" s="37"/>
    </row>
    <row r="9481" spans="2:2" ht="15.9" customHeight="1" x14ac:dyDescent="0.3">
      <c r="B9481" s="37"/>
    </row>
    <row r="9482" spans="2:2" ht="15.9" customHeight="1" x14ac:dyDescent="0.3">
      <c r="B9482" s="37"/>
    </row>
    <row r="9483" spans="2:2" ht="15.9" customHeight="1" x14ac:dyDescent="0.3">
      <c r="B9483" s="37"/>
    </row>
    <row r="9484" spans="2:2" ht="15.9" customHeight="1" x14ac:dyDescent="0.3">
      <c r="B9484" s="37"/>
    </row>
    <row r="9485" spans="2:2" ht="15.9" customHeight="1" x14ac:dyDescent="0.3">
      <c r="B9485" s="37"/>
    </row>
    <row r="9486" spans="2:2" ht="15.9" customHeight="1" x14ac:dyDescent="0.3">
      <c r="B9486" s="37"/>
    </row>
    <row r="9487" spans="2:2" ht="15.9" customHeight="1" x14ac:dyDescent="0.3">
      <c r="B9487" s="37"/>
    </row>
    <row r="9488" spans="2:2" ht="15.9" customHeight="1" x14ac:dyDescent="0.3">
      <c r="B9488" s="37"/>
    </row>
    <row r="9489" spans="2:2" ht="15.9" customHeight="1" x14ac:dyDescent="0.3">
      <c r="B9489" s="37"/>
    </row>
    <row r="9490" spans="2:2" ht="15.9" customHeight="1" x14ac:dyDescent="0.3">
      <c r="B9490" s="37"/>
    </row>
    <row r="9491" spans="2:2" ht="15.9" customHeight="1" x14ac:dyDescent="0.3">
      <c r="B9491" s="37"/>
    </row>
    <row r="9492" spans="2:2" ht="15.9" customHeight="1" x14ac:dyDescent="0.3">
      <c r="B9492" s="37"/>
    </row>
    <row r="9493" spans="2:2" ht="15.9" customHeight="1" x14ac:dyDescent="0.3">
      <c r="B9493" s="37"/>
    </row>
    <row r="9494" spans="2:2" ht="15.9" customHeight="1" x14ac:dyDescent="0.3">
      <c r="B9494" s="37"/>
    </row>
    <row r="9495" spans="2:2" ht="15.9" customHeight="1" x14ac:dyDescent="0.3">
      <c r="B9495" s="37"/>
    </row>
    <row r="9496" spans="2:2" ht="15.9" customHeight="1" x14ac:dyDescent="0.3">
      <c r="B9496" s="37"/>
    </row>
    <row r="9497" spans="2:2" ht="15.9" customHeight="1" x14ac:dyDescent="0.3">
      <c r="B9497" s="37"/>
    </row>
    <row r="9498" spans="2:2" ht="15.9" customHeight="1" x14ac:dyDescent="0.3">
      <c r="B9498" s="37"/>
    </row>
    <row r="9499" spans="2:2" ht="15.9" customHeight="1" x14ac:dyDescent="0.3">
      <c r="B9499" s="37"/>
    </row>
    <row r="9500" spans="2:2" ht="15.9" customHeight="1" x14ac:dyDescent="0.3">
      <c r="B9500" s="37"/>
    </row>
    <row r="9501" spans="2:2" ht="15.9" customHeight="1" x14ac:dyDescent="0.3">
      <c r="B9501" s="37"/>
    </row>
    <row r="9502" spans="2:2" ht="15.9" customHeight="1" x14ac:dyDescent="0.3">
      <c r="B9502" s="37"/>
    </row>
    <row r="9503" spans="2:2" ht="15.9" customHeight="1" x14ac:dyDescent="0.3">
      <c r="B9503" s="37"/>
    </row>
    <row r="9504" spans="2:2" ht="15.9" customHeight="1" x14ac:dyDescent="0.3">
      <c r="B9504" s="37"/>
    </row>
    <row r="9505" spans="2:2" ht="15.9" customHeight="1" x14ac:dyDescent="0.3">
      <c r="B9505" s="37"/>
    </row>
    <row r="9506" spans="2:2" ht="15.9" customHeight="1" x14ac:dyDescent="0.3">
      <c r="B9506" s="37"/>
    </row>
    <row r="9507" spans="2:2" ht="15.9" customHeight="1" x14ac:dyDescent="0.3">
      <c r="B9507" s="37"/>
    </row>
    <row r="9508" spans="2:2" ht="15.9" customHeight="1" x14ac:dyDescent="0.3">
      <c r="B9508" s="37"/>
    </row>
    <row r="9509" spans="2:2" ht="15.9" customHeight="1" x14ac:dyDescent="0.3">
      <c r="B9509" s="37"/>
    </row>
    <row r="9510" spans="2:2" ht="15.9" customHeight="1" x14ac:dyDescent="0.3">
      <c r="B9510" s="37"/>
    </row>
    <row r="9511" spans="2:2" ht="15.9" customHeight="1" x14ac:dyDescent="0.3">
      <c r="B9511" s="37"/>
    </row>
    <row r="9512" spans="2:2" ht="15.9" customHeight="1" x14ac:dyDescent="0.3">
      <c r="B9512" s="37"/>
    </row>
    <row r="9513" spans="2:2" ht="15.9" customHeight="1" x14ac:dyDescent="0.3">
      <c r="B9513" s="37"/>
    </row>
    <row r="9514" spans="2:2" ht="15.9" customHeight="1" x14ac:dyDescent="0.3">
      <c r="B9514" s="37"/>
    </row>
    <row r="9515" spans="2:2" ht="15.9" customHeight="1" x14ac:dyDescent="0.3">
      <c r="B9515" s="37"/>
    </row>
    <row r="9516" spans="2:2" ht="15.9" customHeight="1" x14ac:dyDescent="0.3">
      <c r="B9516" s="37"/>
    </row>
    <row r="9517" spans="2:2" ht="15.9" customHeight="1" x14ac:dyDescent="0.3">
      <c r="B9517" s="37"/>
    </row>
    <row r="9518" spans="2:2" ht="15.9" customHeight="1" x14ac:dyDescent="0.3">
      <c r="B9518" s="37"/>
    </row>
    <row r="9519" spans="2:2" ht="15.9" customHeight="1" x14ac:dyDescent="0.3">
      <c r="B9519" s="37"/>
    </row>
    <row r="9520" spans="2:2" ht="15.9" customHeight="1" x14ac:dyDescent="0.3">
      <c r="B9520" s="37"/>
    </row>
    <row r="9521" spans="2:2" ht="15.9" customHeight="1" x14ac:dyDescent="0.3">
      <c r="B9521" s="37"/>
    </row>
    <row r="9522" spans="2:2" ht="15.9" customHeight="1" x14ac:dyDescent="0.3">
      <c r="B9522" s="37"/>
    </row>
    <row r="9523" spans="2:2" ht="15.9" customHeight="1" x14ac:dyDescent="0.3">
      <c r="B9523" s="37"/>
    </row>
    <row r="9524" spans="2:2" ht="15.9" customHeight="1" x14ac:dyDescent="0.3">
      <c r="B9524" s="37"/>
    </row>
    <row r="9525" spans="2:2" ht="15.9" customHeight="1" x14ac:dyDescent="0.3">
      <c r="B9525" s="37"/>
    </row>
    <row r="9526" spans="2:2" ht="15.9" customHeight="1" x14ac:dyDescent="0.3">
      <c r="B9526" s="37"/>
    </row>
    <row r="9527" spans="2:2" ht="15.9" customHeight="1" x14ac:dyDescent="0.3">
      <c r="B9527" s="37"/>
    </row>
    <row r="9528" spans="2:2" ht="15.9" customHeight="1" x14ac:dyDescent="0.3">
      <c r="B9528" s="37"/>
    </row>
    <row r="9529" spans="2:2" ht="15.9" customHeight="1" x14ac:dyDescent="0.3">
      <c r="B9529" s="37"/>
    </row>
    <row r="9530" spans="2:2" ht="15.9" customHeight="1" x14ac:dyDescent="0.3">
      <c r="B9530" s="37"/>
    </row>
    <row r="9531" spans="2:2" ht="15.9" customHeight="1" x14ac:dyDescent="0.3">
      <c r="B9531" s="37"/>
    </row>
    <row r="9532" spans="2:2" ht="15.9" customHeight="1" x14ac:dyDescent="0.3">
      <c r="B9532" s="37"/>
    </row>
    <row r="9533" spans="2:2" ht="15.9" customHeight="1" x14ac:dyDescent="0.3">
      <c r="B9533" s="37"/>
    </row>
    <row r="9534" spans="2:2" ht="15.9" customHeight="1" x14ac:dyDescent="0.3">
      <c r="B9534" s="37"/>
    </row>
    <row r="9535" spans="2:2" ht="15.9" customHeight="1" x14ac:dyDescent="0.3">
      <c r="B9535" s="37"/>
    </row>
    <row r="9536" spans="2:2" ht="15.9" customHeight="1" x14ac:dyDescent="0.3">
      <c r="B9536" s="37"/>
    </row>
    <row r="9537" spans="2:2" ht="15.9" customHeight="1" x14ac:dyDescent="0.3">
      <c r="B9537" s="37"/>
    </row>
    <row r="9538" spans="2:2" ht="15.9" customHeight="1" x14ac:dyDescent="0.3">
      <c r="B9538" s="37"/>
    </row>
    <row r="9539" spans="2:2" ht="15.9" customHeight="1" x14ac:dyDescent="0.3">
      <c r="B9539" s="37"/>
    </row>
    <row r="9540" spans="2:2" ht="15.9" customHeight="1" x14ac:dyDescent="0.3">
      <c r="B9540" s="37"/>
    </row>
    <row r="9541" spans="2:2" ht="15.9" customHeight="1" x14ac:dyDescent="0.3">
      <c r="B9541" s="37"/>
    </row>
    <row r="9542" spans="2:2" ht="15.9" customHeight="1" x14ac:dyDescent="0.3">
      <c r="B9542" s="37"/>
    </row>
    <row r="9543" spans="2:2" ht="15.9" customHeight="1" x14ac:dyDescent="0.3">
      <c r="B9543" s="37"/>
    </row>
    <row r="9544" spans="2:2" ht="15.9" customHeight="1" x14ac:dyDescent="0.3">
      <c r="B9544" s="37"/>
    </row>
    <row r="9545" spans="2:2" ht="15.9" customHeight="1" x14ac:dyDescent="0.3">
      <c r="B9545" s="37"/>
    </row>
    <row r="9546" spans="2:2" ht="15.9" customHeight="1" x14ac:dyDescent="0.3">
      <c r="B9546" s="37"/>
    </row>
    <row r="9547" spans="2:2" ht="15.9" customHeight="1" x14ac:dyDescent="0.3">
      <c r="B9547" s="37"/>
    </row>
    <row r="9548" spans="2:2" ht="15.9" customHeight="1" x14ac:dyDescent="0.3">
      <c r="B9548" s="37"/>
    </row>
    <row r="9549" spans="2:2" ht="15.9" customHeight="1" x14ac:dyDescent="0.3">
      <c r="B9549" s="37"/>
    </row>
    <row r="9550" spans="2:2" ht="15.9" customHeight="1" x14ac:dyDescent="0.3">
      <c r="B9550" s="37"/>
    </row>
    <row r="9551" spans="2:2" ht="15.9" customHeight="1" x14ac:dyDescent="0.3">
      <c r="B9551" s="37"/>
    </row>
    <row r="9552" spans="2:2" ht="15.9" customHeight="1" x14ac:dyDescent="0.3">
      <c r="B9552" s="37"/>
    </row>
    <row r="9553" spans="2:2" ht="15.9" customHeight="1" x14ac:dyDescent="0.3">
      <c r="B9553" s="37"/>
    </row>
    <row r="9554" spans="2:2" ht="15.9" customHeight="1" x14ac:dyDescent="0.3">
      <c r="B9554" s="37"/>
    </row>
    <row r="9555" spans="2:2" ht="15.9" customHeight="1" x14ac:dyDescent="0.3">
      <c r="B9555" s="37"/>
    </row>
    <row r="9556" spans="2:2" ht="15.9" customHeight="1" x14ac:dyDescent="0.3">
      <c r="B9556" s="37"/>
    </row>
    <row r="9557" spans="2:2" ht="15.9" customHeight="1" x14ac:dyDescent="0.3">
      <c r="B9557" s="37"/>
    </row>
    <row r="9558" spans="2:2" ht="15.9" customHeight="1" x14ac:dyDescent="0.3">
      <c r="B9558" s="37"/>
    </row>
    <row r="9559" spans="2:2" ht="15.9" customHeight="1" x14ac:dyDescent="0.3">
      <c r="B9559" s="37"/>
    </row>
    <row r="9560" spans="2:2" ht="15.9" customHeight="1" x14ac:dyDescent="0.3">
      <c r="B9560" s="37"/>
    </row>
    <row r="9561" spans="2:2" ht="15.9" customHeight="1" x14ac:dyDescent="0.3">
      <c r="B9561" s="37"/>
    </row>
    <row r="9562" spans="2:2" ht="15.9" customHeight="1" x14ac:dyDescent="0.3">
      <c r="B9562" s="37"/>
    </row>
    <row r="9563" spans="2:2" ht="15.9" customHeight="1" x14ac:dyDescent="0.3">
      <c r="B9563" s="37"/>
    </row>
    <row r="9564" spans="2:2" ht="15.9" customHeight="1" x14ac:dyDescent="0.3">
      <c r="B9564" s="37"/>
    </row>
    <row r="9565" spans="2:2" ht="15.9" customHeight="1" x14ac:dyDescent="0.3">
      <c r="B9565" s="37"/>
    </row>
    <row r="9566" spans="2:2" ht="15.9" customHeight="1" x14ac:dyDescent="0.3">
      <c r="B9566" s="37"/>
    </row>
    <row r="9567" spans="2:2" ht="15.9" customHeight="1" x14ac:dyDescent="0.3">
      <c r="B9567" s="37"/>
    </row>
    <row r="9568" spans="2:2" ht="15.9" customHeight="1" x14ac:dyDescent="0.3">
      <c r="B9568" s="37"/>
    </row>
    <row r="9569" spans="2:2" ht="15.9" customHeight="1" x14ac:dyDescent="0.3">
      <c r="B9569" s="37"/>
    </row>
    <row r="9570" spans="2:2" ht="15.9" customHeight="1" x14ac:dyDescent="0.3">
      <c r="B9570" s="37"/>
    </row>
    <row r="9571" spans="2:2" ht="15.9" customHeight="1" x14ac:dyDescent="0.3">
      <c r="B9571" s="37"/>
    </row>
    <row r="9572" spans="2:2" ht="15.9" customHeight="1" x14ac:dyDescent="0.3">
      <c r="B9572" s="37"/>
    </row>
    <row r="9573" spans="2:2" ht="15.9" customHeight="1" x14ac:dyDescent="0.3">
      <c r="B9573" s="37"/>
    </row>
    <row r="9574" spans="2:2" ht="15.9" customHeight="1" x14ac:dyDescent="0.3">
      <c r="B9574" s="37"/>
    </row>
    <row r="9575" spans="2:2" ht="15.9" customHeight="1" x14ac:dyDescent="0.3">
      <c r="B9575" s="37"/>
    </row>
    <row r="9576" spans="2:2" ht="15.9" customHeight="1" x14ac:dyDescent="0.3">
      <c r="B9576" s="37"/>
    </row>
    <row r="9577" spans="2:2" ht="15.9" customHeight="1" x14ac:dyDescent="0.3">
      <c r="B9577" s="37"/>
    </row>
    <row r="9578" spans="2:2" ht="15.9" customHeight="1" x14ac:dyDescent="0.3">
      <c r="B9578" s="37"/>
    </row>
    <row r="9579" spans="2:2" ht="15.9" customHeight="1" x14ac:dyDescent="0.3">
      <c r="B9579" s="37"/>
    </row>
    <row r="9580" spans="2:2" ht="15.9" customHeight="1" x14ac:dyDescent="0.3">
      <c r="B9580" s="37"/>
    </row>
    <row r="9581" spans="2:2" ht="15.9" customHeight="1" x14ac:dyDescent="0.3">
      <c r="B9581" s="37"/>
    </row>
    <row r="9582" spans="2:2" ht="15.9" customHeight="1" x14ac:dyDescent="0.3">
      <c r="B9582" s="37"/>
    </row>
    <row r="9583" spans="2:2" ht="15.9" customHeight="1" x14ac:dyDescent="0.3">
      <c r="B9583" s="37"/>
    </row>
    <row r="9584" spans="2:2" ht="15.9" customHeight="1" x14ac:dyDescent="0.3">
      <c r="B9584" s="37"/>
    </row>
    <row r="9585" spans="2:2" ht="15.9" customHeight="1" x14ac:dyDescent="0.3">
      <c r="B9585" s="37"/>
    </row>
    <row r="9586" spans="2:2" ht="15.9" customHeight="1" x14ac:dyDescent="0.3">
      <c r="B9586" s="37"/>
    </row>
    <row r="9587" spans="2:2" ht="15.9" customHeight="1" x14ac:dyDescent="0.3">
      <c r="B9587" s="37"/>
    </row>
    <row r="9588" spans="2:2" ht="15.9" customHeight="1" x14ac:dyDescent="0.3">
      <c r="B9588" s="37"/>
    </row>
    <row r="9589" spans="2:2" ht="15.9" customHeight="1" x14ac:dyDescent="0.3">
      <c r="B9589" s="37"/>
    </row>
    <row r="9590" spans="2:2" ht="15.9" customHeight="1" x14ac:dyDescent="0.3">
      <c r="B9590" s="37"/>
    </row>
    <row r="9591" spans="2:2" ht="15.9" customHeight="1" x14ac:dyDescent="0.3">
      <c r="B9591" s="37"/>
    </row>
    <row r="9592" spans="2:2" ht="15.9" customHeight="1" x14ac:dyDescent="0.3">
      <c r="B9592" s="37"/>
    </row>
    <row r="9593" spans="2:2" ht="15.9" customHeight="1" x14ac:dyDescent="0.3">
      <c r="B9593" s="37"/>
    </row>
    <row r="9594" spans="2:2" ht="15.9" customHeight="1" x14ac:dyDescent="0.3">
      <c r="B9594" s="37"/>
    </row>
    <row r="9595" spans="2:2" ht="15.9" customHeight="1" x14ac:dyDescent="0.3">
      <c r="B9595" s="37"/>
    </row>
    <row r="9596" spans="2:2" ht="15.9" customHeight="1" x14ac:dyDescent="0.3">
      <c r="B9596" s="37"/>
    </row>
    <row r="9597" spans="2:2" ht="15.9" customHeight="1" x14ac:dyDescent="0.3">
      <c r="B9597" s="37"/>
    </row>
    <row r="9598" spans="2:2" ht="15.9" customHeight="1" x14ac:dyDescent="0.3">
      <c r="B9598" s="37"/>
    </row>
    <row r="9599" spans="2:2" ht="15.9" customHeight="1" x14ac:dyDescent="0.3">
      <c r="B9599" s="37"/>
    </row>
    <row r="9600" spans="2:2" ht="15.9" customHeight="1" x14ac:dyDescent="0.3">
      <c r="B9600" s="37"/>
    </row>
    <row r="9601" spans="2:2" ht="15.9" customHeight="1" x14ac:dyDescent="0.3">
      <c r="B9601" s="37"/>
    </row>
    <row r="9602" spans="2:2" ht="15.9" customHeight="1" x14ac:dyDescent="0.3">
      <c r="B9602" s="37"/>
    </row>
    <row r="9603" spans="2:2" ht="15.9" customHeight="1" x14ac:dyDescent="0.3">
      <c r="B9603" s="37"/>
    </row>
    <row r="9604" spans="2:2" ht="15.9" customHeight="1" x14ac:dyDescent="0.3">
      <c r="B9604" s="37"/>
    </row>
    <row r="9605" spans="2:2" ht="15.9" customHeight="1" x14ac:dyDescent="0.3">
      <c r="B9605" s="37"/>
    </row>
    <row r="9606" spans="2:2" ht="15.9" customHeight="1" x14ac:dyDescent="0.3">
      <c r="B9606" s="37"/>
    </row>
    <row r="9607" spans="2:2" ht="15.9" customHeight="1" x14ac:dyDescent="0.3">
      <c r="B9607" s="37"/>
    </row>
    <row r="9608" spans="2:2" ht="15.9" customHeight="1" x14ac:dyDescent="0.3">
      <c r="B9608" s="37"/>
    </row>
    <row r="9609" spans="2:2" ht="15.9" customHeight="1" x14ac:dyDescent="0.3">
      <c r="B9609" s="37"/>
    </row>
    <row r="9610" spans="2:2" ht="15.9" customHeight="1" x14ac:dyDescent="0.3">
      <c r="B9610" s="37"/>
    </row>
    <row r="9611" spans="2:2" ht="15.9" customHeight="1" x14ac:dyDescent="0.3">
      <c r="B9611" s="37"/>
    </row>
    <row r="9612" spans="2:2" ht="15.9" customHeight="1" x14ac:dyDescent="0.3">
      <c r="B9612" s="37"/>
    </row>
    <row r="9613" spans="2:2" ht="15.9" customHeight="1" x14ac:dyDescent="0.3">
      <c r="B9613" s="37"/>
    </row>
    <row r="9614" spans="2:2" ht="15.9" customHeight="1" x14ac:dyDescent="0.3">
      <c r="B9614" s="37"/>
    </row>
    <row r="9615" spans="2:2" ht="15.9" customHeight="1" x14ac:dyDescent="0.3">
      <c r="B9615" s="37"/>
    </row>
    <row r="9616" spans="2:2" ht="15.9" customHeight="1" x14ac:dyDescent="0.3">
      <c r="B9616" s="37"/>
    </row>
    <row r="9617" spans="2:2" ht="15.9" customHeight="1" x14ac:dyDescent="0.3">
      <c r="B9617" s="37"/>
    </row>
    <row r="9618" spans="2:2" ht="15.9" customHeight="1" x14ac:dyDescent="0.3">
      <c r="B9618" s="37"/>
    </row>
    <row r="9619" spans="2:2" ht="15.9" customHeight="1" x14ac:dyDescent="0.3">
      <c r="B9619" s="37"/>
    </row>
    <row r="9620" spans="2:2" ht="15.9" customHeight="1" x14ac:dyDescent="0.3">
      <c r="B9620" s="37"/>
    </row>
    <row r="9621" spans="2:2" ht="15.9" customHeight="1" x14ac:dyDescent="0.3">
      <c r="B9621" s="37"/>
    </row>
    <row r="9622" spans="2:2" ht="15.9" customHeight="1" x14ac:dyDescent="0.3">
      <c r="B9622" s="37"/>
    </row>
    <row r="9623" spans="2:2" ht="15.9" customHeight="1" x14ac:dyDescent="0.3">
      <c r="B9623" s="37"/>
    </row>
    <row r="9624" spans="2:2" ht="15.9" customHeight="1" x14ac:dyDescent="0.3">
      <c r="B9624" s="37"/>
    </row>
    <row r="9625" spans="2:2" ht="15.9" customHeight="1" x14ac:dyDescent="0.3">
      <c r="B9625" s="37"/>
    </row>
    <row r="9626" spans="2:2" ht="15.9" customHeight="1" x14ac:dyDescent="0.3">
      <c r="B9626" s="37"/>
    </row>
    <row r="9627" spans="2:2" ht="15.9" customHeight="1" x14ac:dyDescent="0.3">
      <c r="B9627" s="37"/>
    </row>
    <row r="9628" spans="2:2" ht="15.9" customHeight="1" x14ac:dyDescent="0.3">
      <c r="B9628" s="37"/>
    </row>
    <row r="9629" spans="2:2" ht="15.9" customHeight="1" x14ac:dyDescent="0.3">
      <c r="B9629" s="37"/>
    </row>
    <row r="9630" spans="2:2" ht="15.9" customHeight="1" x14ac:dyDescent="0.3">
      <c r="B9630" s="37"/>
    </row>
    <row r="9631" spans="2:2" ht="15.9" customHeight="1" x14ac:dyDescent="0.3">
      <c r="B9631" s="37"/>
    </row>
    <row r="9632" spans="2:2" ht="15.9" customHeight="1" x14ac:dyDescent="0.3">
      <c r="B9632" s="37"/>
    </row>
    <row r="9633" spans="2:2" ht="15.9" customHeight="1" x14ac:dyDescent="0.3">
      <c r="B9633" s="37"/>
    </row>
    <row r="9634" spans="2:2" ht="15.9" customHeight="1" x14ac:dyDescent="0.3">
      <c r="B9634" s="37"/>
    </row>
    <row r="9635" spans="2:2" ht="15.9" customHeight="1" x14ac:dyDescent="0.3">
      <c r="B9635" s="37"/>
    </row>
    <row r="9636" spans="2:2" ht="15.9" customHeight="1" x14ac:dyDescent="0.3">
      <c r="B9636" s="37"/>
    </row>
    <row r="9637" spans="2:2" ht="15.9" customHeight="1" x14ac:dyDescent="0.3">
      <c r="B9637" s="37"/>
    </row>
    <row r="9638" spans="2:2" ht="15.9" customHeight="1" x14ac:dyDescent="0.3">
      <c r="B9638" s="37"/>
    </row>
    <row r="9639" spans="2:2" ht="15.9" customHeight="1" x14ac:dyDescent="0.3">
      <c r="B9639" s="37"/>
    </row>
    <row r="9640" spans="2:2" ht="15.9" customHeight="1" x14ac:dyDescent="0.3">
      <c r="B9640" s="37"/>
    </row>
    <row r="9641" spans="2:2" ht="15.9" customHeight="1" x14ac:dyDescent="0.3">
      <c r="B9641" s="37"/>
    </row>
    <row r="9642" spans="2:2" ht="15.9" customHeight="1" x14ac:dyDescent="0.3">
      <c r="B9642" s="37"/>
    </row>
    <row r="9643" spans="2:2" ht="15.9" customHeight="1" x14ac:dyDescent="0.3">
      <c r="B9643" s="37"/>
    </row>
    <row r="9644" spans="2:2" ht="15.9" customHeight="1" x14ac:dyDescent="0.3">
      <c r="B9644" s="37"/>
    </row>
    <row r="9645" spans="2:2" ht="15.9" customHeight="1" x14ac:dyDescent="0.3">
      <c r="B9645" s="37"/>
    </row>
    <row r="9646" spans="2:2" ht="15.9" customHeight="1" x14ac:dyDescent="0.3">
      <c r="B9646" s="37"/>
    </row>
    <row r="9647" spans="2:2" ht="15.9" customHeight="1" x14ac:dyDescent="0.3">
      <c r="B9647" s="37"/>
    </row>
    <row r="9648" spans="2:2" ht="15.9" customHeight="1" x14ac:dyDescent="0.3">
      <c r="B9648" s="37"/>
    </row>
    <row r="9649" spans="2:2" ht="15.9" customHeight="1" x14ac:dyDescent="0.3">
      <c r="B9649" s="37"/>
    </row>
    <row r="9650" spans="2:2" ht="15.9" customHeight="1" x14ac:dyDescent="0.3">
      <c r="B9650" s="37"/>
    </row>
    <row r="9651" spans="2:2" ht="15.9" customHeight="1" x14ac:dyDescent="0.3">
      <c r="B9651" s="37"/>
    </row>
    <row r="9652" spans="2:2" ht="15.9" customHeight="1" x14ac:dyDescent="0.3">
      <c r="B9652" s="37"/>
    </row>
    <row r="9653" spans="2:2" ht="15.9" customHeight="1" x14ac:dyDescent="0.3">
      <c r="B9653" s="37"/>
    </row>
    <row r="9654" spans="2:2" ht="15.9" customHeight="1" x14ac:dyDescent="0.3">
      <c r="B9654" s="37"/>
    </row>
    <row r="9655" spans="2:2" ht="15.9" customHeight="1" x14ac:dyDescent="0.3">
      <c r="B9655" s="37"/>
    </row>
    <row r="9656" spans="2:2" ht="15.9" customHeight="1" x14ac:dyDescent="0.3">
      <c r="B9656" s="37"/>
    </row>
    <row r="9657" spans="2:2" ht="15.9" customHeight="1" x14ac:dyDescent="0.3">
      <c r="B9657" s="37"/>
    </row>
    <row r="9658" spans="2:2" ht="15.9" customHeight="1" x14ac:dyDescent="0.3">
      <c r="B9658" s="37"/>
    </row>
    <row r="9659" spans="2:2" ht="15.9" customHeight="1" x14ac:dyDescent="0.3">
      <c r="B9659" s="37"/>
    </row>
    <row r="9660" spans="2:2" ht="15.9" customHeight="1" x14ac:dyDescent="0.3">
      <c r="B9660" s="37"/>
    </row>
    <row r="9661" spans="2:2" ht="15.9" customHeight="1" x14ac:dyDescent="0.3">
      <c r="B9661" s="37"/>
    </row>
    <row r="9662" spans="2:2" ht="15.9" customHeight="1" x14ac:dyDescent="0.3">
      <c r="B9662" s="37"/>
    </row>
    <row r="9663" spans="2:2" ht="15.9" customHeight="1" x14ac:dyDescent="0.3">
      <c r="B9663" s="37"/>
    </row>
    <row r="9664" spans="2:2" ht="15.9" customHeight="1" x14ac:dyDescent="0.3">
      <c r="B9664" s="37"/>
    </row>
    <row r="9665" spans="2:2" ht="15.9" customHeight="1" x14ac:dyDescent="0.3">
      <c r="B9665" s="37"/>
    </row>
    <row r="9666" spans="2:2" ht="15.9" customHeight="1" x14ac:dyDescent="0.3">
      <c r="B9666" s="37"/>
    </row>
    <row r="9667" spans="2:2" ht="15.9" customHeight="1" x14ac:dyDescent="0.3">
      <c r="B9667" s="37"/>
    </row>
    <row r="9668" spans="2:2" ht="15.9" customHeight="1" x14ac:dyDescent="0.3">
      <c r="B9668" s="37"/>
    </row>
    <row r="9669" spans="2:2" ht="15.9" customHeight="1" x14ac:dyDescent="0.3">
      <c r="B9669" s="37"/>
    </row>
    <row r="9670" spans="2:2" ht="15.9" customHeight="1" x14ac:dyDescent="0.3">
      <c r="B9670" s="37"/>
    </row>
    <row r="9671" spans="2:2" ht="15.9" customHeight="1" x14ac:dyDescent="0.3">
      <c r="B9671" s="37"/>
    </row>
    <row r="9672" spans="2:2" ht="15.9" customHeight="1" x14ac:dyDescent="0.3">
      <c r="B9672" s="37"/>
    </row>
    <row r="9673" spans="2:2" ht="15.9" customHeight="1" x14ac:dyDescent="0.3">
      <c r="B9673" s="37"/>
    </row>
    <row r="9674" spans="2:2" ht="15.9" customHeight="1" x14ac:dyDescent="0.3">
      <c r="B9674" s="37"/>
    </row>
    <row r="9675" spans="2:2" ht="15.9" customHeight="1" x14ac:dyDescent="0.3">
      <c r="B9675" s="37"/>
    </row>
    <row r="9676" spans="2:2" ht="15.9" customHeight="1" x14ac:dyDescent="0.3">
      <c r="B9676" s="37"/>
    </row>
    <row r="9677" spans="2:2" ht="15.9" customHeight="1" x14ac:dyDescent="0.3">
      <c r="B9677" s="37"/>
    </row>
    <row r="9678" spans="2:2" ht="15.9" customHeight="1" x14ac:dyDescent="0.3">
      <c r="B9678" s="37"/>
    </row>
    <row r="9679" spans="2:2" ht="15.9" customHeight="1" x14ac:dyDescent="0.3">
      <c r="B9679" s="37"/>
    </row>
    <row r="9680" spans="2:2" ht="15.9" customHeight="1" x14ac:dyDescent="0.3">
      <c r="B9680" s="37"/>
    </row>
    <row r="9681" spans="2:2" ht="15.9" customHeight="1" x14ac:dyDescent="0.3">
      <c r="B9681" s="37"/>
    </row>
    <row r="9682" spans="2:2" ht="15.9" customHeight="1" x14ac:dyDescent="0.3">
      <c r="B9682" s="37"/>
    </row>
    <row r="9683" spans="2:2" ht="15.9" customHeight="1" x14ac:dyDescent="0.3">
      <c r="B9683" s="37"/>
    </row>
    <row r="9684" spans="2:2" ht="15.9" customHeight="1" x14ac:dyDescent="0.3">
      <c r="B9684" s="37"/>
    </row>
    <row r="9685" spans="2:2" ht="15.9" customHeight="1" x14ac:dyDescent="0.3">
      <c r="B9685" s="37"/>
    </row>
    <row r="9686" spans="2:2" ht="15.9" customHeight="1" x14ac:dyDescent="0.3">
      <c r="B9686" s="37"/>
    </row>
    <row r="9687" spans="2:2" ht="15.9" customHeight="1" x14ac:dyDescent="0.3">
      <c r="B9687" s="37"/>
    </row>
    <row r="9688" spans="2:2" ht="15.9" customHeight="1" x14ac:dyDescent="0.3">
      <c r="B9688" s="37"/>
    </row>
    <row r="9689" spans="2:2" ht="15.9" customHeight="1" x14ac:dyDescent="0.3">
      <c r="B9689" s="37"/>
    </row>
    <row r="9690" spans="2:2" ht="15.9" customHeight="1" x14ac:dyDescent="0.3">
      <c r="B9690" s="37"/>
    </row>
    <row r="9691" spans="2:2" ht="15.9" customHeight="1" x14ac:dyDescent="0.3">
      <c r="B9691" s="37"/>
    </row>
    <row r="9692" spans="2:2" ht="15.9" customHeight="1" x14ac:dyDescent="0.3">
      <c r="B9692" s="37"/>
    </row>
    <row r="9693" spans="2:2" ht="15.9" customHeight="1" x14ac:dyDescent="0.3">
      <c r="B9693" s="37"/>
    </row>
    <row r="9694" spans="2:2" ht="15.9" customHeight="1" x14ac:dyDescent="0.3">
      <c r="B9694" s="37"/>
    </row>
    <row r="9695" spans="2:2" ht="15.9" customHeight="1" x14ac:dyDescent="0.3">
      <c r="B9695" s="37"/>
    </row>
    <row r="9696" spans="2:2" ht="15.9" customHeight="1" x14ac:dyDescent="0.3">
      <c r="B9696" s="37"/>
    </row>
    <row r="9697" spans="2:2" ht="15.9" customHeight="1" x14ac:dyDescent="0.3">
      <c r="B9697" s="37"/>
    </row>
    <row r="9698" spans="2:2" ht="15.9" customHeight="1" x14ac:dyDescent="0.3">
      <c r="B9698" s="37"/>
    </row>
    <row r="9699" spans="2:2" ht="15.9" customHeight="1" x14ac:dyDescent="0.3">
      <c r="B9699" s="37"/>
    </row>
    <row r="9700" spans="2:2" ht="15.9" customHeight="1" x14ac:dyDescent="0.3">
      <c r="B9700" s="37"/>
    </row>
    <row r="9701" spans="2:2" ht="15.9" customHeight="1" x14ac:dyDescent="0.3">
      <c r="B9701" s="37"/>
    </row>
    <row r="9702" spans="2:2" ht="15.9" customHeight="1" x14ac:dyDescent="0.3">
      <c r="B9702" s="37"/>
    </row>
    <row r="9703" spans="2:2" ht="15.9" customHeight="1" x14ac:dyDescent="0.3">
      <c r="B9703" s="37"/>
    </row>
    <row r="9704" spans="2:2" ht="15.9" customHeight="1" x14ac:dyDescent="0.3">
      <c r="B9704" s="37"/>
    </row>
    <row r="9705" spans="2:2" ht="15.9" customHeight="1" x14ac:dyDescent="0.3">
      <c r="B9705" s="37"/>
    </row>
    <row r="9706" spans="2:2" ht="15.9" customHeight="1" x14ac:dyDescent="0.3">
      <c r="B9706" s="37"/>
    </row>
    <row r="9707" spans="2:2" ht="15.9" customHeight="1" x14ac:dyDescent="0.3">
      <c r="B9707" s="37"/>
    </row>
    <row r="9708" spans="2:2" ht="15.9" customHeight="1" x14ac:dyDescent="0.3">
      <c r="B9708" s="37"/>
    </row>
    <row r="9709" spans="2:2" ht="15.9" customHeight="1" x14ac:dyDescent="0.3">
      <c r="B9709" s="37"/>
    </row>
    <row r="9710" spans="2:2" ht="15.9" customHeight="1" x14ac:dyDescent="0.3">
      <c r="B9710" s="37"/>
    </row>
    <row r="9711" spans="2:2" ht="15.9" customHeight="1" x14ac:dyDescent="0.3">
      <c r="B9711" s="37"/>
    </row>
    <row r="9712" spans="2:2" ht="15.9" customHeight="1" x14ac:dyDescent="0.3">
      <c r="B9712" s="37"/>
    </row>
    <row r="9713" spans="2:2" ht="15.9" customHeight="1" x14ac:dyDescent="0.3">
      <c r="B9713" s="37"/>
    </row>
    <row r="9714" spans="2:2" ht="15.9" customHeight="1" x14ac:dyDescent="0.3">
      <c r="B9714" s="37"/>
    </row>
    <row r="9715" spans="2:2" ht="15.9" customHeight="1" x14ac:dyDescent="0.3">
      <c r="B9715" s="37"/>
    </row>
    <row r="9716" spans="2:2" ht="15.9" customHeight="1" x14ac:dyDescent="0.3">
      <c r="B9716" s="37"/>
    </row>
    <row r="9717" spans="2:2" ht="15.9" customHeight="1" x14ac:dyDescent="0.3">
      <c r="B9717" s="37"/>
    </row>
    <row r="9718" spans="2:2" ht="15.9" customHeight="1" x14ac:dyDescent="0.3">
      <c r="B9718" s="37"/>
    </row>
    <row r="9719" spans="2:2" ht="15.9" customHeight="1" x14ac:dyDescent="0.3">
      <c r="B9719" s="37"/>
    </row>
    <row r="9720" spans="2:2" ht="15.9" customHeight="1" x14ac:dyDescent="0.3">
      <c r="B9720" s="37"/>
    </row>
    <row r="9721" spans="2:2" ht="15.9" customHeight="1" x14ac:dyDescent="0.3">
      <c r="B9721" s="37"/>
    </row>
    <row r="9722" spans="2:2" ht="15.9" customHeight="1" x14ac:dyDescent="0.3">
      <c r="B9722" s="37"/>
    </row>
    <row r="9723" spans="2:2" ht="15.9" customHeight="1" x14ac:dyDescent="0.3">
      <c r="B9723" s="37"/>
    </row>
    <row r="9724" spans="2:2" ht="15.9" customHeight="1" x14ac:dyDescent="0.3">
      <c r="B9724" s="37"/>
    </row>
    <row r="9725" spans="2:2" ht="15.9" customHeight="1" x14ac:dyDescent="0.3">
      <c r="B9725" s="37"/>
    </row>
    <row r="9726" spans="2:2" ht="15.9" customHeight="1" x14ac:dyDescent="0.3">
      <c r="B9726" s="37"/>
    </row>
    <row r="9727" spans="2:2" ht="15.9" customHeight="1" x14ac:dyDescent="0.3">
      <c r="B9727" s="37"/>
    </row>
    <row r="9728" spans="2:2" ht="15.9" customHeight="1" x14ac:dyDescent="0.3">
      <c r="B9728" s="37"/>
    </row>
    <row r="9729" spans="2:2" ht="15.9" customHeight="1" x14ac:dyDescent="0.3">
      <c r="B9729" s="37"/>
    </row>
    <row r="9730" spans="2:2" ht="15.9" customHeight="1" x14ac:dyDescent="0.3">
      <c r="B9730" s="37"/>
    </row>
    <row r="9731" spans="2:2" ht="15.9" customHeight="1" x14ac:dyDescent="0.3">
      <c r="B9731" s="37"/>
    </row>
    <row r="9732" spans="2:2" ht="15.9" customHeight="1" x14ac:dyDescent="0.3">
      <c r="B9732" s="37"/>
    </row>
    <row r="9733" spans="2:2" ht="15.9" customHeight="1" x14ac:dyDescent="0.3">
      <c r="B9733" s="37"/>
    </row>
    <row r="9734" spans="2:2" ht="15.9" customHeight="1" x14ac:dyDescent="0.3">
      <c r="B9734" s="37"/>
    </row>
    <row r="9735" spans="2:2" ht="15.9" customHeight="1" x14ac:dyDescent="0.3">
      <c r="B9735" s="37"/>
    </row>
    <row r="9736" spans="2:2" ht="15.9" customHeight="1" x14ac:dyDescent="0.3">
      <c r="B9736" s="37"/>
    </row>
    <row r="9737" spans="2:2" ht="15.9" customHeight="1" x14ac:dyDescent="0.3">
      <c r="B9737" s="37"/>
    </row>
    <row r="9738" spans="2:2" ht="15.9" customHeight="1" x14ac:dyDescent="0.3">
      <c r="B9738" s="37"/>
    </row>
    <row r="9739" spans="2:2" ht="15.9" customHeight="1" x14ac:dyDescent="0.3">
      <c r="B9739" s="37"/>
    </row>
    <row r="9740" spans="2:2" ht="15.9" customHeight="1" x14ac:dyDescent="0.3">
      <c r="B9740" s="37"/>
    </row>
    <row r="9741" spans="2:2" ht="15.9" customHeight="1" x14ac:dyDescent="0.3">
      <c r="B9741" s="37"/>
    </row>
    <row r="9742" spans="2:2" ht="15.9" customHeight="1" x14ac:dyDescent="0.3">
      <c r="B9742" s="37"/>
    </row>
    <row r="9743" spans="2:2" ht="15.9" customHeight="1" x14ac:dyDescent="0.3">
      <c r="B9743" s="37"/>
    </row>
    <row r="9744" spans="2:2" ht="15.9" customHeight="1" x14ac:dyDescent="0.3">
      <c r="B9744" s="37"/>
    </row>
    <row r="9745" spans="2:2" ht="15.9" customHeight="1" x14ac:dyDescent="0.3">
      <c r="B9745" s="37"/>
    </row>
    <row r="9746" spans="2:2" ht="15.9" customHeight="1" x14ac:dyDescent="0.3">
      <c r="B9746" s="37"/>
    </row>
    <row r="9747" spans="2:2" ht="15.9" customHeight="1" x14ac:dyDescent="0.3">
      <c r="B9747" s="37"/>
    </row>
    <row r="9748" spans="2:2" ht="15.9" customHeight="1" x14ac:dyDescent="0.3">
      <c r="B9748" s="37"/>
    </row>
    <row r="9749" spans="2:2" ht="15.9" customHeight="1" x14ac:dyDescent="0.3">
      <c r="B9749" s="37"/>
    </row>
    <row r="9750" spans="2:2" ht="15.9" customHeight="1" x14ac:dyDescent="0.3">
      <c r="B9750" s="37"/>
    </row>
    <row r="9751" spans="2:2" ht="15.9" customHeight="1" x14ac:dyDescent="0.3">
      <c r="B9751" s="37"/>
    </row>
    <row r="9752" spans="2:2" ht="15.9" customHeight="1" x14ac:dyDescent="0.3">
      <c r="B9752" s="37"/>
    </row>
    <row r="9753" spans="2:2" ht="15.9" customHeight="1" x14ac:dyDescent="0.3">
      <c r="B9753" s="37"/>
    </row>
    <row r="9754" spans="2:2" ht="15.9" customHeight="1" x14ac:dyDescent="0.3">
      <c r="B9754" s="37"/>
    </row>
    <row r="9755" spans="2:2" ht="15.9" customHeight="1" x14ac:dyDescent="0.3">
      <c r="B9755" s="37"/>
    </row>
    <row r="9756" spans="2:2" ht="15.9" customHeight="1" x14ac:dyDescent="0.3">
      <c r="B9756" s="37"/>
    </row>
    <row r="9757" spans="2:2" ht="15.9" customHeight="1" x14ac:dyDescent="0.3">
      <c r="B9757" s="37"/>
    </row>
    <row r="9758" spans="2:2" ht="15.9" customHeight="1" x14ac:dyDescent="0.3">
      <c r="B9758" s="37"/>
    </row>
    <row r="9759" spans="2:2" ht="15.9" customHeight="1" x14ac:dyDescent="0.3">
      <c r="B9759" s="37"/>
    </row>
    <row r="9760" spans="2:2" ht="15.9" customHeight="1" x14ac:dyDescent="0.3">
      <c r="B9760" s="37"/>
    </row>
    <row r="9761" spans="2:2" ht="15.9" customHeight="1" x14ac:dyDescent="0.3">
      <c r="B9761" s="37"/>
    </row>
    <row r="9762" spans="2:2" ht="15.9" customHeight="1" x14ac:dyDescent="0.3">
      <c r="B9762" s="37"/>
    </row>
    <row r="9763" spans="2:2" ht="15.9" customHeight="1" x14ac:dyDescent="0.3">
      <c r="B9763" s="37"/>
    </row>
    <row r="9764" spans="2:2" ht="15.9" customHeight="1" x14ac:dyDescent="0.3">
      <c r="B9764" s="37"/>
    </row>
    <row r="9765" spans="2:2" ht="15.9" customHeight="1" x14ac:dyDescent="0.3">
      <c r="B9765" s="37"/>
    </row>
    <row r="9766" spans="2:2" ht="15.9" customHeight="1" x14ac:dyDescent="0.3">
      <c r="B9766" s="37"/>
    </row>
    <row r="9767" spans="2:2" ht="15.9" customHeight="1" x14ac:dyDescent="0.3">
      <c r="B9767" s="37"/>
    </row>
    <row r="9768" spans="2:2" ht="15.9" customHeight="1" x14ac:dyDescent="0.3">
      <c r="B9768" s="37"/>
    </row>
    <row r="9769" spans="2:2" ht="15.9" customHeight="1" x14ac:dyDescent="0.3">
      <c r="B9769" s="37"/>
    </row>
    <row r="9770" spans="2:2" ht="15.9" customHeight="1" x14ac:dyDescent="0.3">
      <c r="B9770" s="37"/>
    </row>
    <row r="9771" spans="2:2" ht="15.9" customHeight="1" x14ac:dyDescent="0.3">
      <c r="B9771" s="37"/>
    </row>
    <row r="9772" spans="2:2" ht="15.9" customHeight="1" x14ac:dyDescent="0.3">
      <c r="B9772" s="37"/>
    </row>
    <row r="9773" spans="2:2" ht="15.9" customHeight="1" x14ac:dyDescent="0.3">
      <c r="B9773" s="37"/>
    </row>
    <row r="9774" spans="2:2" ht="15.9" customHeight="1" x14ac:dyDescent="0.3">
      <c r="B9774" s="37"/>
    </row>
    <row r="9775" spans="2:2" ht="15.9" customHeight="1" x14ac:dyDescent="0.3">
      <c r="B9775" s="37"/>
    </row>
    <row r="9776" spans="2:2" ht="15.9" customHeight="1" x14ac:dyDescent="0.3">
      <c r="B9776" s="37"/>
    </row>
    <row r="9777" spans="2:2" ht="15.9" customHeight="1" x14ac:dyDescent="0.3">
      <c r="B9777" s="37"/>
    </row>
    <row r="9778" spans="2:2" ht="15.9" customHeight="1" x14ac:dyDescent="0.3">
      <c r="B9778" s="37"/>
    </row>
    <row r="9779" spans="2:2" ht="15.9" customHeight="1" x14ac:dyDescent="0.3">
      <c r="B9779" s="37"/>
    </row>
    <row r="9780" spans="2:2" ht="15.9" customHeight="1" x14ac:dyDescent="0.3">
      <c r="B9780" s="37"/>
    </row>
    <row r="9781" spans="2:2" ht="15.9" customHeight="1" x14ac:dyDescent="0.3">
      <c r="B9781" s="37"/>
    </row>
    <row r="9782" spans="2:2" ht="15.9" customHeight="1" x14ac:dyDescent="0.3">
      <c r="B9782" s="37"/>
    </row>
    <row r="9783" spans="2:2" ht="15.9" customHeight="1" x14ac:dyDescent="0.3">
      <c r="B9783" s="37"/>
    </row>
    <row r="9784" spans="2:2" ht="15.9" customHeight="1" x14ac:dyDescent="0.3">
      <c r="B9784" s="37"/>
    </row>
    <row r="9785" spans="2:2" ht="15.9" customHeight="1" x14ac:dyDescent="0.3">
      <c r="B9785" s="37"/>
    </row>
    <row r="9786" spans="2:2" ht="15.9" customHeight="1" x14ac:dyDescent="0.3">
      <c r="B9786" s="37"/>
    </row>
    <row r="9787" spans="2:2" ht="15.9" customHeight="1" x14ac:dyDescent="0.3">
      <c r="B9787" s="37"/>
    </row>
    <row r="9788" spans="2:2" ht="15.9" customHeight="1" x14ac:dyDescent="0.3">
      <c r="B9788" s="37"/>
    </row>
    <row r="9789" spans="2:2" ht="15.9" customHeight="1" x14ac:dyDescent="0.3">
      <c r="B9789" s="37"/>
    </row>
    <row r="9790" spans="2:2" ht="15.9" customHeight="1" x14ac:dyDescent="0.3">
      <c r="B9790" s="37"/>
    </row>
    <row r="9791" spans="2:2" ht="15.9" customHeight="1" x14ac:dyDescent="0.3">
      <c r="B9791" s="37"/>
    </row>
    <row r="9792" spans="2:2" ht="15.9" customHeight="1" x14ac:dyDescent="0.3">
      <c r="B9792" s="37"/>
    </row>
    <row r="9793" spans="2:2" ht="15.9" customHeight="1" x14ac:dyDescent="0.3">
      <c r="B9793" s="37"/>
    </row>
    <row r="9794" spans="2:2" ht="15.9" customHeight="1" x14ac:dyDescent="0.3">
      <c r="B9794" s="37"/>
    </row>
    <row r="9795" spans="2:2" ht="15.9" customHeight="1" x14ac:dyDescent="0.3">
      <c r="B9795" s="37"/>
    </row>
    <row r="9796" spans="2:2" ht="15.9" customHeight="1" x14ac:dyDescent="0.3">
      <c r="B9796" s="37"/>
    </row>
    <row r="9797" spans="2:2" ht="15.9" customHeight="1" x14ac:dyDescent="0.3">
      <c r="B9797" s="37"/>
    </row>
    <row r="9798" spans="2:2" ht="15.9" customHeight="1" x14ac:dyDescent="0.3">
      <c r="B9798" s="37"/>
    </row>
    <row r="9799" spans="2:2" ht="15.9" customHeight="1" x14ac:dyDescent="0.3">
      <c r="B9799" s="37"/>
    </row>
    <row r="9800" spans="2:2" ht="15.9" customHeight="1" x14ac:dyDescent="0.3">
      <c r="B9800" s="37"/>
    </row>
    <row r="9801" spans="2:2" ht="15.9" customHeight="1" x14ac:dyDescent="0.3">
      <c r="B9801" s="37"/>
    </row>
    <row r="9802" spans="2:2" ht="15.9" customHeight="1" x14ac:dyDescent="0.3">
      <c r="B9802" s="37"/>
    </row>
    <row r="9803" spans="2:2" ht="15.9" customHeight="1" x14ac:dyDescent="0.3">
      <c r="B9803" s="37"/>
    </row>
    <row r="9804" spans="2:2" ht="15.9" customHeight="1" x14ac:dyDescent="0.3">
      <c r="B9804" s="37"/>
    </row>
    <row r="9805" spans="2:2" ht="15.9" customHeight="1" x14ac:dyDescent="0.3">
      <c r="B9805" s="37"/>
    </row>
    <row r="9806" spans="2:2" ht="15.9" customHeight="1" x14ac:dyDescent="0.3">
      <c r="B9806" s="37"/>
    </row>
    <row r="9807" spans="2:2" ht="15.9" customHeight="1" x14ac:dyDescent="0.3">
      <c r="B9807" s="37"/>
    </row>
    <row r="9808" spans="2:2" ht="15.9" customHeight="1" x14ac:dyDescent="0.3">
      <c r="B9808" s="37"/>
    </row>
    <row r="9809" spans="2:2" ht="15.9" customHeight="1" x14ac:dyDescent="0.3">
      <c r="B9809" s="37"/>
    </row>
    <row r="9810" spans="2:2" ht="15.9" customHeight="1" x14ac:dyDescent="0.3">
      <c r="B9810" s="37"/>
    </row>
    <row r="9811" spans="2:2" ht="15.9" customHeight="1" x14ac:dyDescent="0.3">
      <c r="B9811" s="37"/>
    </row>
    <row r="9812" spans="2:2" ht="15.9" customHeight="1" x14ac:dyDescent="0.3">
      <c r="B9812" s="37"/>
    </row>
    <row r="9813" spans="2:2" ht="15.9" customHeight="1" x14ac:dyDescent="0.3">
      <c r="B9813" s="37"/>
    </row>
    <row r="9814" spans="2:2" ht="15.9" customHeight="1" x14ac:dyDescent="0.3">
      <c r="B9814" s="37"/>
    </row>
    <row r="9815" spans="2:2" ht="15.9" customHeight="1" x14ac:dyDescent="0.3">
      <c r="B9815" s="37"/>
    </row>
    <row r="9816" spans="2:2" ht="15.9" customHeight="1" x14ac:dyDescent="0.3">
      <c r="B9816" s="37"/>
    </row>
    <row r="9817" spans="2:2" ht="15.9" customHeight="1" x14ac:dyDescent="0.3">
      <c r="B9817" s="37"/>
    </row>
    <row r="9818" spans="2:2" ht="15.9" customHeight="1" x14ac:dyDescent="0.3">
      <c r="B9818" s="37"/>
    </row>
    <row r="9819" spans="2:2" ht="15.9" customHeight="1" x14ac:dyDescent="0.3">
      <c r="B9819" s="37"/>
    </row>
    <row r="9820" spans="2:2" ht="15.9" customHeight="1" x14ac:dyDescent="0.3">
      <c r="B9820" s="37"/>
    </row>
    <row r="9821" spans="2:2" ht="15.9" customHeight="1" x14ac:dyDescent="0.3">
      <c r="B9821" s="37"/>
    </row>
    <row r="9822" spans="2:2" ht="15.9" customHeight="1" x14ac:dyDescent="0.3">
      <c r="B9822" s="37"/>
    </row>
    <row r="9823" spans="2:2" ht="15.9" customHeight="1" x14ac:dyDescent="0.3">
      <c r="B9823" s="37"/>
    </row>
    <row r="9824" spans="2:2" ht="15.9" customHeight="1" x14ac:dyDescent="0.3">
      <c r="B9824" s="37"/>
    </row>
    <row r="9825" spans="2:2" ht="15.9" customHeight="1" x14ac:dyDescent="0.3">
      <c r="B9825" s="37"/>
    </row>
    <row r="9826" spans="2:2" ht="15.9" customHeight="1" x14ac:dyDescent="0.3">
      <c r="B9826" s="37"/>
    </row>
    <row r="9827" spans="2:2" ht="15.9" customHeight="1" x14ac:dyDescent="0.3">
      <c r="B9827" s="37"/>
    </row>
    <row r="9828" spans="2:2" ht="15.9" customHeight="1" x14ac:dyDescent="0.3">
      <c r="B9828" s="37"/>
    </row>
    <row r="9829" spans="2:2" ht="15.9" customHeight="1" x14ac:dyDescent="0.3">
      <c r="B9829" s="37"/>
    </row>
    <row r="9830" spans="2:2" ht="15.9" customHeight="1" x14ac:dyDescent="0.3">
      <c r="B9830" s="37"/>
    </row>
    <row r="9831" spans="2:2" ht="15.9" customHeight="1" x14ac:dyDescent="0.3">
      <c r="B9831" s="37"/>
    </row>
    <row r="9832" spans="2:2" ht="15.9" customHeight="1" x14ac:dyDescent="0.3">
      <c r="B9832" s="37"/>
    </row>
    <row r="9833" spans="2:2" ht="15.9" customHeight="1" x14ac:dyDescent="0.3">
      <c r="B9833" s="37"/>
    </row>
    <row r="9834" spans="2:2" ht="15.9" customHeight="1" x14ac:dyDescent="0.3">
      <c r="B9834" s="37"/>
    </row>
    <row r="9835" spans="2:2" ht="15.9" customHeight="1" x14ac:dyDescent="0.3">
      <c r="B9835" s="37"/>
    </row>
    <row r="9836" spans="2:2" ht="15.9" customHeight="1" x14ac:dyDescent="0.3">
      <c r="B9836" s="37"/>
    </row>
    <row r="9837" spans="2:2" ht="15.9" customHeight="1" x14ac:dyDescent="0.3">
      <c r="B9837" s="37"/>
    </row>
    <row r="9838" spans="2:2" ht="15.9" customHeight="1" x14ac:dyDescent="0.3">
      <c r="B9838" s="37"/>
    </row>
    <row r="9839" spans="2:2" ht="15.9" customHeight="1" x14ac:dyDescent="0.3">
      <c r="B9839" s="37"/>
    </row>
    <row r="9840" spans="2:2" ht="15.9" customHeight="1" x14ac:dyDescent="0.3">
      <c r="B9840" s="37"/>
    </row>
    <row r="9841" spans="2:2" ht="15.9" customHeight="1" x14ac:dyDescent="0.3">
      <c r="B9841" s="37"/>
    </row>
    <row r="9842" spans="2:2" ht="15.9" customHeight="1" x14ac:dyDescent="0.3">
      <c r="B9842" s="37"/>
    </row>
    <row r="9843" spans="2:2" ht="15.9" customHeight="1" x14ac:dyDescent="0.3">
      <c r="B9843" s="37"/>
    </row>
    <row r="9844" spans="2:2" ht="15.9" customHeight="1" x14ac:dyDescent="0.3">
      <c r="B9844" s="37"/>
    </row>
    <row r="9845" spans="2:2" ht="15.9" customHeight="1" x14ac:dyDescent="0.3">
      <c r="B9845" s="37"/>
    </row>
    <row r="9846" spans="2:2" ht="15.9" customHeight="1" x14ac:dyDescent="0.3">
      <c r="B9846" s="37"/>
    </row>
    <row r="9847" spans="2:2" ht="15.9" customHeight="1" x14ac:dyDescent="0.3">
      <c r="B9847" s="37"/>
    </row>
    <row r="9848" spans="2:2" ht="15.9" customHeight="1" x14ac:dyDescent="0.3">
      <c r="B9848" s="37"/>
    </row>
    <row r="9849" spans="2:2" ht="15.9" customHeight="1" x14ac:dyDescent="0.3">
      <c r="B9849" s="37"/>
    </row>
    <row r="9850" spans="2:2" ht="15.9" customHeight="1" x14ac:dyDescent="0.3">
      <c r="B9850" s="37"/>
    </row>
    <row r="9851" spans="2:2" ht="15.9" customHeight="1" x14ac:dyDescent="0.3">
      <c r="B9851" s="37"/>
    </row>
    <row r="9852" spans="2:2" ht="15.9" customHeight="1" x14ac:dyDescent="0.3">
      <c r="B9852" s="37"/>
    </row>
    <row r="9853" spans="2:2" ht="15.9" customHeight="1" x14ac:dyDescent="0.3">
      <c r="B9853" s="37"/>
    </row>
    <row r="9854" spans="2:2" ht="15.9" customHeight="1" x14ac:dyDescent="0.3">
      <c r="B9854" s="37"/>
    </row>
    <row r="9855" spans="2:2" ht="15.9" customHeight="1" x14ac:dyDescent="0.3">
      <c r="B9855" s="37"/>
    </row>
    <row r="9856" spans="2:2" ht="15.9" customHeight="1" x14ac:dyDescent="0.3">
      <c r="B9856" s="37"/>
    </row>
    <row r="9857" spans="2:2" ht="15.9" customHeight="1" x14ac:dyDescent="0.3">
      <c r="B9857" s="37"/>
    </row>
    <row r="9858" spans="2:2" ht="15.9" customHeight="1" x14ac:dyDescent="0.3">
      <c r="B9858" s="37"/>
    </row>
    <row r="9859" spans="2:2" ht="15.9" customHeight="1" x14ac:dyDescent="0.3">
      <c r="B9859" s="37"/>
    </row>
    <row r="9860" spans="2:2" ht="15.9" customHeight="1" x14ac:dyDescent="0.3">
      <c r="B9860" s="37"/>
    </row>
    <row r="9861" spans="2:2" ht="15.9" customHeight="1" x14ac:dyDescent="0.3">
      <c r="B9861" s="37"/>
    </row>
    <row r="9862" spans="2:2" ht="15.9" customHeight="1" x14ac:dyDescent="0.3">
      <c r="B9862" s="37"/>
    </row>
    <row r="9863" spans="2:2" ht="15.9" customHeight="1" x14ac:dyDescent="0.3">
      <c r="B9863" s="37"/>
    </row>
    <row r="9864" spans="2:2" ht="15.9" customHeight="1" x14ac:dyDescent="0.3">
      <c r="B9864" s="37"/>
    </row>
    <row r="9865" spans="2:2" ht="15.9" customHeight="1" x14ac:dyDescent="0.3">
      <c r="B9865" s="37"/>
    </row>
    <row r="9866" spans="2:2" ht="15.9" customHeight="1" x14ac:dyDescent="0.3">
      <c r="B9866" s="37"/>
    </row>
    <row r="9867" spans="2:2" ht="15.9" customHeight="1" x14ac:dyDescent="0.3">
      <c r="B9867" s="37"/>
    </row>
    <row r="9868" spans="2:2" ht="15.9" customHeight="1" x14ac:dyDescent="0.3">
      <c r="B9868" s="37"/>
    </row>
    <row r="9869" spans="2:2" ht="15.9" customHeight="1" x14ac:dyDescent="0.3">
      <c r="B9869" s="37"/>
    </row>
    <row r="9870" spans="2:2" ht="15.9" customHeight="1" x14ac:dyDescent="0.3">
      <c r="B9870" s="37"/>
    </row>
    <row r="9871" spans="2:2" ht="15.9" customHeight="1" x14ac:dyDescent="0.3">
      <c r="B9871" s="37"/>
    </row>
    <row r="9872" spans="2:2" ht="15.9" customHeight="1" x14ac:dyDescent="0.3">
      <c r="B9872" s="37"/>
    </row>
    <row r="9873" spans="2:2" ht="15.9" customHeight="1" x14ac:dyDescent="0.3">
      <c r="B9873" s="37"/>
    </row>
    <row r="9874" spans="2:2" ht="15.9" customHeight="1" x14ac:dyDescent="0.3">
      <c r="B9874" s="37"/>
    </row>
    <row r="9875" spans="2:2" ht="15.9" customHeight="1" x14ac:dyDescent="0.3">
      <c r="B9875" s="37"/>
    </row>
    <row r="9876" spans="2:2" ht="15.9" customHeight="1" x14ac:dyDescent="0.3">
      <c r="B9876" s="37"/>
    </row>
    <row r="9877" spans="2:2" ht="15.9" customHeight="1" x14ac:dyDescent="0.3">
      <c r="B9877" s="37"/>
    </row>
    <row r="9878" spans="2:2" ht="15.9" customHeight="1" x14ac:dyDescent="0.3">
      <c r="B9878" s="37"/>
    </row>
    <row r="9879" spans="2:2" ht="15.9" customHeight="1" x14ac:dyDescent="0.3">
      <c r="B9879" s="37"/>
    </row>
    <row r="9880" spans="2:2" ht="15.9" customHeight="1" x14ac:dyDescent="0.3">
      <c r="B9880" s="37"/>
    </row>
    <row r="9881" spans="2:2" ht="15.9" customHeight="1" x14ac:dyDescent="0.3">
      <c r="B9881" s="37"/>
    </row>
    <row r="9882" spans="2:2" ht="15.9" customHeight="1" x14ac:dyDescent="0.3">
      <c r="B9882" s="37"/>
    </row>
    <row r="9883" spans="2:2" ht="15.9" customHeight="1" x14ac:dyDescent="0.3">
      <c r="B9883" s="37"/>
    </row>
    <row r="9884" spans="2:2" ht="15.9" customHeight="1" x14ac:dyDescent="0.3">
      <c r="B9884" s="37"/>
    </row>
    <row r="9885" spans="2:2" ht="15.9" customHeight="1" x14ac:dyDescent="0.3">
      <c r="B9885" s="37"/>
    </row>
    <row r="9886" spans="2:2" ht="15.9" customHeight="1" x14ac:dyDescent="0.3">
      <c r="B9886" s="37"/>
    </row>
    <row r="9887" spans="2:2" ht="15.9" customHeight="1" x14ac:dyDescent="0.3">
      <c r="B9887" s="37"/>
    </row>
    <row r="9888" spans="2:2" ht="15.9" customHeight="1" x14ac:dyDescent="0.3">
      <c r="B9888" s="37"/>
    </row>
    <row r="9889" spans="2:2" ht="15.9" customHeight="1" x14ac:dyDescent="0.3">
      <c r="B9889" s="37"/>
    </row>
    <row r="9890" spans="2:2" ht="15.9" customHeight="1" x14ac:dyDescent="0.3">
      <c r="B9890" s="37"/>
    </row>
    <row r="9891" spans="2:2" ht="15.9" customHeight="1" x14ac:dyDescent="0.3">
      <c r="B9891" s="37"/>
    </row>
    <row r="9892" spans="2:2" ht="15.9" customHeight="1" x14ac:dyDescent="0.3">
      <c r="B9892" s="37"/>
    </row>
    <row r="9893" spans="2:2" ht="15.9" customHeight="1" x14ac:dyDescent="0.3">
      <c r="B9893" s="37"/>
    </row>
    <row r="9894" spans="2:2" ht="15.9" customHeight="1" x14ac:dyDescent="0.3">
      <c r="B9894" s="37"/>
    </row>
    <row r="9895" spans="2:2" ht="15.9" customHeight="1" x14ac:dyDescent="0.3">
      <c r="B9895" s="37"/>
    </row>
    <row r="9896" spans="2:2" ht="15.9" customHeight="1" x14ac:dyDescent="0.3">
      <c r="B9896" s="37"/>
    </row>
    <row r="9897" spans="2:2" ht="15.9" customHeight="1" x14ac:dyDescent="0.3">
      <c r="B9897" s="37"/>
    </row>
    <row r="9898" spans="2:2" ht="15.9" customHeight="1" x14ac:dyDescent="0.3">
      <c r="B9898" s="37"/>
    </row>
    <row r="9899" spans="2:2" ht="15.9" customHeight="1" x14ac:dyDescent="0.3">
      <c r="B9899" s="37"/>
    </row>
    <row r="9900" spans="2:2" ht="15.9" customHeight="1" x14ac:dyDescent="0.3">
      <c r="B9900" s="37"/>
    </row>
    <row r="9901" spans="2:2" ht="15.9" customHeight="1" x14ac:dyDescent="0.3">
      <c r="B9901" s="37"/>
    </row>
    <row r="9902" spans="2:2" ht="15.9" customHeight="1" x14ac:dyDescent="0.3">
      <c r="B9902" s="37"/>
    </row>
    <row r="9903" spans="2:2" ht="15.9" customHeight="1" x14ac:dyDescent="0.3">
      <c r="B9903" s="37"/>
    </row>
    <row r="9904" spans="2:2" ht="15.9" customHeight="1" x14ac:dyDescent="0.3">
      <c r="B9904" s="37"/>
    </row>
    <row r="9905" spans="2:2" ht="15.9" customHeight="1" x14ac:dyDescent="0.3">
      <c r="B9905" s="37"/>
    </row>
    <row r="9906" spans="2:2" ht="15.9" customHeight="1" x14ac:dyDescent="0.3">
      <c r="B9906" s="37"/>
    </row>
    <row r="9907" spans="2:2" ht="15.9" customHeight="1" x14ac:dyDescent="0.3">
      <c r="B9907" s="37"/>
    </row>
    <row r="9908" spans="2:2" ht="15.9" customHeight="1" x14ac:dyDescent="0.3">
      <c r="B9908" s="37"/>
    </row>
    <row r="9909" spans="2:2" ht="15.9" customHeight="1" x14ac:dyDescent="0.3">
      <c r="B9909" s="37"/>
    </row>
    <row r="9910" spans="2:2" ht="15.9" customHeight="1" x14ac:dyDescent="0.3">
      <c r="B9910" s="37"/>
    </row>
    <row r="9911" spans="2:2" ht="15.9" customHeight="1" x14ac:dyDescent="0.3">
      <c r="B9911" s="37"/>
    </row>
    <row r="9912" spans="2:2" ht="15.9" customHeight="1" x14ac:dyDescent="0.3">
      <c r="B9912" s="37"/>
    </row>
    <row r="9913" spans="2:2" ht="15.9" customHeight="1" x14ac:dyDescent="0.3">
      <c r="B9913" s="37"/>
    </row>
    <row r="9914" spans="2:2" ht="15.9" customHeight="1" x14ac:dyDescent="0.3">
      <c r="B9914" s="37"/>
    </row>
    <row r="9915" spans="2:2" ht="15.9" customHeight="1" x14ac:dyDescent="0.3">
      <c r="B9915" s="37"/>
    </row>
    <row r="9916" spans="2:2" ht="15.9" customHeight="1" x14ac:dyDescent="0.3">
      <c r="B9916" s="37"/>
    </row>
    <row r="9917" spans="2:2" ht="15.9" customHeight="1" x14ac:dyDescent="0.3">
      <c r="B9917" s="37"/>
    </row>
    <row r="9918" spans="2:2" ht="15.9" customHeight="1" x14ac:dyDescent="0.3">
      <c r="B9918" s="37"/>
    </row>
    <row r="9919" spans="2:2" ht="15.9" customHeight="1" x14ac:dyDescent="0.3">
      <c r="B9919" s="37"/>
    </row>
    <row r="9920" spans="2:2" ht="15.9" customHeight="1" x14ac:dyDescent="0.3">
      <c r="B9920" s="37"/>
    </row>
    <row r="9921" spans="2:2" ht="15.9" customHeight="1" x14ac:dyDescent="0.3">
      <c r="B9921" s="37"/>
    </row>
    <row r="9922" spans="2:2" ht="15.9" customHeight="1" x14ac:dyDescent="0.3">
      <c r="B9922" s="37"/>
    </row>
    <row r="9923" spans="2:2" ht="15.9" customHeight="1" x14ac:dyDescent="0.3">
      <c r="B9923" s="37"/>
    </row>
    <row r="9924" spans="2:2" ht="15.9" customHeight="1" x14ac:dyDescent="0.3">
      <c r="B9924" s="37"/>
    </row>
    <row r="9925" spans="2:2" ht="15.9" customHeight="1" x14ac:dyDescent="0.3">
      <c r="B9925" s="37"/>
    </row>
    <row r="9926" spans="2:2" ht="15.9" customHeight="1" x14ac:dyDescent="0.3">
      <c r="B9926" s="37"/>
    </row>
    <row r="9927" spans="2:2" ht="15.9" customHeight="1" x14ac:dyDescent="0.3">
      <c r="B9927" s="37"/>
    </row>
    <row r="9928" spans="2:2" ht="15.9" customHeight="1" x14ac:dyDescent="0.3">
      <c r="B9928" s="37"/>
    </row>
    <row r="9929" spans="2:2" ht="15.9" customHeight="1" x14ac:dyDescent="0.3">
      <c r="B9929" s="37"/>
    </row>
    <row r="9930" spans="2:2" ht="15.9" customHeight="1" x14ac:dyDescent="0.3">
      <c r="B9930" s="37"/>
    </row>
    <row r="9931" spans="2:2" ht="15.9" customHeight="1" x14ac:dyDescent="0.3">
      <c r="B9931" s="37"/>
    </row>
    <row r="9932" spans="2:2" ht="15.9" customHeight="1" x14ac:dyDescent="0.3">
      <c r="B9932" s="37"/>
    </row>
    <row r="9933" spans="2:2" ht="15.9" customHeight="1" x14ac:dyDescent="0.3">
      <c r="B9933" s="37"/>
    </row>
    <row r="9934" spans="2:2" ht="15.9" customHeight="1" x14ac:dyDescent="0.3">
      <c r="B9934" s="37"/>
    </row>
    <row r="9935" spans="2:2" ht="15.9" customHeight="1" x14ac:dyDescent="0.3">
      <c r="B9935" s="37"/>
    </row>
    <row r="9936" spans="2:2" ht="15.9" customHeight="1" x14ac:dyDescent="0.3">
      <c r="B9936" s="37"/>
    </row>
    <row r="9937" spans="2:2" ht="15.9" customHeight="1" x14ac:dyDescent="0.3">
      <c r="B9937" s="37"/>
    </row>
    <row r="9938" spans="2:2" ht="15.9" customHeight="1" x14ac:dyDescent="0.3">
      <c r="B9938" s="37"/>
    </row>
    <row r="9939" spans="2:2" ht="15.9" customHeight="1" x14ac:dyDescent="0.3">
      <c r="B9939" s="37"/>
    </row>
    <row r="9940" spans="2:2" ht="15.9" customHeight="1" x14ac:dyDescent="0.3">
      <c r="B9940" s="37"/>
    </row>
    <row r="9941" spans="2:2" ht="15.9" customHeight="1" x14ac:dyDescent="0.3">
      <c r="B9941" s="37"/>
    </row>
    <row r="9942" spans="2:2" ht="15.9" customHeight="1" x14ac:dyDescent="0.3">
      <c r="B9942" s="37"/>
    </row>
    <row r="9943" spans="2:2" ht="15.9" customHeight="1" x14ac:dyDescent="0.3">
      <c r="B9943" s="37"/>
    </row>
    <row r="9944" spans="2:2" ht="15.9" customHeight="1" x14ac:dyDescent="0.3">
      <c r="B9944" s="37"/>
    </row>
    <row r="9945" spans="2:2" ht="15.9" customHeight="1" x14ac:dyDescent="0.3">
      <c r="B9945" s="37"/>
    </row>
    <row r="9946" spans="2:2" ht="15.9" customHeight="1" x14ac:dyDescent="0.3">
      <c r="B9946" s="37"/>
    </row>
    <row r="9947" spans="2:2" ht="15.9" customHeight="1" x14ac:dyDescent="0.3">
      <c r="B9947" s="37"/>
    </row>
    <row r="9948" spans="2:2" ht="15.9" customHeight="1" x14ac:dyDescent="0.3">
      <c r="B9948" s="37"/>
    </row>
    <row r="9949" spans="2:2" ht="15.9" customHeight="1" x14ac:dyDescent="0.3">
      <c r="B9949" s="37"/>
    </row>
    <row r="9950" spans="2:2" ht="15.9" customHeight="1" x14ac:dyDescent="0.3">
      <c r="B9950" s="37"/>
    </row>
    <row r="9951" spans="2:2" ht="15.9" customHeight="1" x14ac:dyDescent="0.3">
      <c r="B9951" s="37"/>
    </row>
    <row r="9952" spans="2:2" ht="15.9" customHeight="1" x14ac:dyDescent="0.3">
      <c r="B9952" s="37"/>
    </row>
    <row r="9953" spans="2:2" ht="15.9" customHeight="1" x14ac:dyDescent="0.3">
      <c r="B9953" s="37"/>
    </row>
    <row r="9954" spans="2:2" ht="15.9" customHeight="1" x14ac:dyDescent="0.3">
      <c r="B9954" s="37"/>
    </row>
    <row r="9955" spans="2:2" ht="15.9" customHeight="1" x14ac:dyDescent="0.3">
      <c r="B9955" s="37"/>
    </row>
    <row r="9956" spans="2:2" ht="15.9" customHeight="1" x14ac:dyDescent="0.3">
      <c r="B9956" s="37"/>
    </row>
    <row r="9957" spans="2:2" ht="15.9" customHeight="1" x14ac:dyDescent="0.3">
      <c r="B9957" s="37"/>
    </row>
    <row r="9958" spans="2:2" ht="15.9" customHeight="1" x14ac:dyDescent="0.3">
      <c r="B9958" s="37"/>
    </row>
    <row r="9959" spans="2:2" ht="15.9" customHeight="1" x14ac:dyDescent="0.3">
      <c r="B9959" s="37"/>
    </row>
    <row r="9960" spans="2:2" ht="15.9" customHeight="1" x14ac:dyDescent="0.3">
      <c r="B9960" s="37"/>
    </row>
    <row r="9961" spans="2:2" ht="15.9" customHeight="1" x14ac:dyDescent="0.3">
      <c r="B9961" s="37"/>
    </row>
    <row r="9962" spans="2:2" ht="15.9" customHeight="1" x14ac:dyDescent="0.3">
      <c r="B9962" s="37"/>
    </row>
    <row r="9963" spans="2:2" ht="15.9" customHeight="1" x14ac:dyDescent="0.3">
      <c r="B9963" s="37"/>
    </row>
    <row r="9964" spans="2:2" ht="15.9" customHeight="1" x14ac:dyDescent="0.3">
      <c r="B9964" s="37"/>
    </row>
    <row r="9965" spans="2:2" ht="15.9" customHeight="1" x14ac:dyDescent="0.3">
      <c r="B9965" s="37"/>
    </row>
    <row r="9966" spans="2:2" ht="15.9" customHeight="1" x14ac:dyDescent="0.3">
      <c r="B9966" s="37"/>
    </row>
    <row r="9967" spans="2:2" ht="15.9" customHeight="1" x14ac:dyDescent="0.3">
      <c r="B9967" s="37"/>
    </row>
    <row r="9968" spans="2:2" ht="15.9" customHeight="1" x14ac:dyDescent="0.3">
      <c r="B9968" s="37"/>
    </row>
    <row r="9969" spans="2:2" ht="15.9" customHeight="1" x14ac:dyDescent="0.3">
      <c r="B9969" s="37"/>
    </row>
    <row r="9970" spans="2:2" ht="15.9" customHeight="1" x14ac:dyDescent="0.3">
      <c r="B9970" s="37"/>
    </row>
    <row r="9971" spans="2:2" ht="15.9" customHeight="1" x14ac:dyDescent="0.3">
      <c r="B9971" s="37"/>
    </row>
    <row r="9972" spans="2:2" ht="15.9" customHeight="1" x14ac:dyDescent="0.3">
      <c r="B9972" s="37"/>
    </row>
    <row r="9973" spans="2:2" ht="15.9" customHeight="1" x14ac:dyDescent="0.3">
      <c r="B9973" s="37"/>
    </row>
    <row r="9974" spans="2:2" ht="15.9" customHeight="1" x14ac:dyDescent="0.3">
      <c r="B9974" s="37"/>
    </row>
    <row r="9975" spans="2:2" ht="15.9" customHeight="1" x14ac:dyDescent="0.3">
      <c r="B9975" s="37"/>
    </row>
    <row r="9976" spans="2:2" ht="15.9" customHeight="1" x14ac:dyDescent="0.3">
      <c r="B9976" s="37"/>
    </row>
    <row r="9977" spans="2:2" ht="15.9" customHeight="1" x14ac:dyDescent="0.3">
      <c r="B9977" s="37"/>
    </row>
    <row r="9978" spans="2:2" ht="15.9" customHeight="1" x14ac:dyDescent="0.3">
      <c r="B9978" s="37"/>
    </row>
    <row r="9979" spans="2:2" ht="15.9" customHeight="1" x14ac:dyDescent="0.3">
      <c r="B9979" s="37"/>
    </row>
    <row r="9980" spans="2:2" ht="15.9" customHeight="1" x14ac:dyDescent="0.3">
      <c r="B9980" s="37"/>
    </row>
    <row r="9981" spans="2:2" ht="15.9" customHeight="1" x14ac:dyDescent="0.3">
      <c r="B9981" s="37"/>
    </row>
    <row r="9982" spans="2:2" ht="15.9" customHeight="1" x14ac:dyDescent="0.3">
      <c r="B9982" s="37"/>
    </row>
    <row r="9983" spans="2:2" ht="15.9" customHeight="1" x14ac:dyDescent="0.3">
      <c r="B9983" s="37"/>
    </row>
    <row r="9984" spans="2:2" ht="15.9" customHeight="1" x14ac:dyDescent="0.3">
      <c r="B9984" s="37"/>
    </row>
    <row r="9985" spans="2:2" ht="15.9" customHeight="1" x14ac:dyDescent="0.3">
      <c r="B9985" s="37"/>
    </row>
    <row r="9986" spans="2:2" ht="15.9" customHeight="1" x14ac:dyDescent="0.3">
      <c r="B9986" s="37"/>
    </row>
    <row r="9987" spans="2:2" ht="15.9" customHeight="1" x14ac:dyDescent="0.3">
      <c r="B9987" s="37"/>
    </row>
    <row r="9988" spans="2:2" ht="15.9" customHeight="1" x14ac:dyDescent="0.3">
      <c r="B9988" s="37"/>
    </row>
    <row r="9989" spans="2:2" ht="15.9" customHeight="1" x14ac:dyDescent="0.3">
      <c r="B9989" s="37"/>
    </row>
    <row r="9990" spans="2:2" ht="15.9" customHeight="1" x14ac:dyDescent="0.3">
      <c r="B9990" s="37"/>
    </row>
    <row r="9991" spans="2:2" ht="15.9" customHeight="1" x14ac:dyDescent="0.3">
      <c r="B9991" s="37"/>
    </row>
    <row r="9992" spans="2:2" ht="15.9" customHeight="1" x14ac:dyDescent="0.3">
      <c r="B9992" s="37"/>
    </row>
    <row r="9993" spans="2:2" ht="15.9" customHeight="1" x14ac:dyDescent="0.3">
      <c r="B9993" s="37"/>
    </row>
    <row r="9994" spans="2:2" ht="15.9" customHeight="1" x14ac:dyDescent="0.3">
      <c r="B9994" s="37"/>
    </row>
    <row r="9995" spans="2:2" ht="15.9" customHeight="1" x14ac:dyDescent="0.3">
      <c r="B9995" s="37"/>
    </row>
    <row r="9996" spans="2:2" ht="15.9" customHeight="1" x14ac:dyDescent="0.3">
      <c r="B9996" s="37"/>
    </row>
    <row r="9997" spans="2:2" ht="15.9" customHeight="1" x14ac:dyDescent="0.3">
      <c r="B9997" s="37"/>
    </row>
    <row r="9998" spans="2:2" ht="15.9" customHeight="1" x14ac:dyDescent="0.3">
      <c r="B9998" s="37"/>
    </row>
    <row r="9999" spans="2:2" ht="15.9" customHeight="1" x14ac:dyDescent="0.3">
      <c r="B9999" s="37"/>
    </row>
    <row r="10000" spans="2:2" ht="15.9" customHeight="1" x14ac:dyDescent="0.3">
      <c r="B10000" s="37"/>
    </row>
    <row r="10001" spans="2:2" ht="15.9" customHeight="1" x14ac:dyDescent="0.3">
      <c r="B10001" s="37"/>
    </row>
    <row r="10002" spans="2:2" ht="15.9" customHeight="1" x14ac:dyDescent="0.3">
      <c r="B10002" s="37"/>
    </row>
    <row r="10003" spans="2:2" ht="15.9" customHeight="1" x14ac:dyDescent="0.3">
      <c r="B10003" s="37"/>
    </row>
    <row r="10004" spans="2:2" ht="15.9" customHeight="1" x14ac:dyDescent="0.3">
      <c r="B10004" s="37"/>
    </row>
    <row r="10005" spans="2:2" ht="15.9" customHeight="1" x14ac:dyDescent="0.3">
      <c r="B10005" s="37"/>
    </row>
    <row r="10006" spans="2:2" ht="15.9" customHeight="1" x14ac:dyDescent="0.3">
      <c r="B10006" s="37"/>
    </row>
    <row r="10007" spans="2:2" ht="15.9" customHeight="1" x14ac:dyDescent="0.3">
      <c r="B10007" s="37"/>
    </row>
    <row r="10008" spans="2:2" ht="15.9" customHeight="1" x14ac:dyDescent="0.3">
      <c r="B10008" s="37"/>
    </row>
    <row r="10009" spans="2:2" ht="15.9" customHeight="1" x14ac:dyDescent="0.3">
      <c r="B10009" s="37"/>
    </row>
    <row r="10010" spans="2:2" ht="15.9" customHeight="1" x14ac:dyDescent="0.3">
      <c r="B10010" s="37"/>
    </row>
    <row r="10011" spans="2:2" ht="15.9" customHeight="1" x14ac:dyDescent="0.3">
      <c r="B10011" s="37"/>
    </row>
    <row r="10012" spans="2:2" ht="15.9" customHeight="1" x14ac:dyDescent="0.3">
      <c r="B10012" s="37"/>
    </row>
    <row r="10013" spans="2:2" ht="15.9" customHeight="1" x14ac:dyDescent="0.3">
      <c r="B10013" s="37"/>
    </row>
    <row r="10014" spans="2:2" ht="15.9" customHeight="1" x14ac:dyDescent="0.3">
      <c r="B10014" s="37"/>
    </row>
    <row r="10015" spans="2:2" ht="15.9" customHeight="1" x14ac:dyDescent="0.3">
      <c r="B10015" s="37"/>
    </row>
    <row r="10016" spans="2:2" ht="15.9" customHeight="1" x14ac:dyDescent="0.3">
      <c r="B10016" s="37"/>
    </row>
    <row r="10017" spans="2:2" ht="15.9" customHeight="1" x14ac:dyDescent="0.3">
      <c r="B10017" s="37"/>
    </row>
    <row r="10018" spans="2:2" ht="15.9" customHeight="1" x14ac:dyDescent="0.3">
      <c r="B10018" s="37"/>
    </row>
    <row r="10019" spans="2:2" ht="15.9" customHeight="1" x14ac:dyDescent="0.3">
      <c r="B10019" s="37"/>
    </row>
    <row r="10020" spans="2:2" ht="15.9" customHeight="1" x14ac:dyDescent="0.3">
      <c r="B10020" s="37"/>
    </row>
    <row r="10021" spans="2:2" ht="15.9" customHeight="1" x14ac:dyDescent="0.3">
      <c r="B10021" s="37"/>
    </row>
    <row r="10022" spans="2:2" ht="15.9" customHeight="1" x14ac:dyDescent="0.3">
      <c r="B10022" s="37"/>
    </row>
    <row r="10023" spans="2:2" ht="15.9" customHeight="1" x14ac:dyDescent="0.3">
      <c r="B10023" s="37"/>
    </row>
    <row r="10024" spans="2:2" ht="15.9" customHeight="1" x14ac:dyDescent="0.3">
      <c r="B10024" s="37"/>
    </row>
    <row r="10025" spans="2:2" ht="15.9" customHeight="1" x14ac:dyDescent="0.3">
      <c r="B10025" s="37"/>
    </row>
    <row r="10026" spans="2:2" ht="15.9" customHeight="1" x14ac:dyDescent="0.3">
      <c r="B10026" s="37"/>
    </row>
    <row r="10027" spans="2:2" ht="15.9" customHeight="1" x14ac:dyDescent="0.3">
      <c r="B10027" s="37"/>
    </row>
    <row r="10028" spans="2:2" ht="15.9" customHeight="1" x14ac:dyDescent="0.3">
      <c r="B10028" s="37"/>
    </row>
    <row r="10029" spans="2:2" ht="15.9" customHeight="1" x14ac:dyDescent="0.3">
      <c r="B10029" s="37"/>
    </row>
    <row r="10030" spans="2:2" ht="15.9" customHeight="1" x14ac:dyDescent="0.3">
      <c r="B10030" s="37"/>
    </row>
    <row r="10031" spans="2:2" ht="15.9" customHeight="1" x14ac:dyDescent="0.3">
      <c r="B10031" s="37"/>
    </row>
    <row r="10032" spans="2:2" ht="15.9" customHeight="1" x14ac:dyDescent="0.3">
      <c r="B10032" s="37"/>
    </row>
    <row r="10033" spans="2:2" ht="15.9" customHeight="1" x14ac:dyDescent="0.3">
      <c r="B10033" s="37"/>
    </row>
    <row r="10034" spans="2:2" ht="15.9" customHeight="1" x14ac:dyDescent="0.3">
      <c r="B10034" s="37"/>
    </row>
    <row r="10035" spans="2:2" ht="15.9" customHeight="1" x14ac:dyDescent="0.3">
      <c r="B10035" s="37"/>
    </row>
    <row r="10036" spans="2:2" ht="15.9" customHeight="1" x14ac:dyDescent="0.3">
      <c r="B10036" s="37"/>
    </row>
    <row r="10037" spans="2:2" ht="15.9" customHeight="1" x14ac:dyDescent="0.3">
      <c r="B10037" s="37"/>
    </row>
    <row r="10038" spans="2:2" ht="15.9" customHeight="1" x14ac:dyDescent="0.3">
      <c r="B10038" s="37"/>
    </row>
    <row r="10039" spans="2:2" ht="15.9" customHeight="1" x14ac:dyDescent="0.3">
      <c r="B10039" s="37"/>
    </row>
    <row r="10040" spans="2:2" ht="15.9" customHeight="1" x14ac:dyDescent="0.3">
      <c r="B10040" s="37"/>
    </row>
    <row r="10041" spans="2:2" ht="15.9" customHeight="1" x14ac:dyDescent="0.3">
      <c r="B10041" s="37"/>
    </row>
    <row r="10042" spans="2:2" ht="15.9" customHeight="1" x14ac:dyDescent="0.3">
      <c r="B10042" s="37"/>
    </row>
    <row r="10043" spans="2:2" ht="15.9" customHeight="1" x14ac:dyDescent="0.3">
      <c r="B10043" s="37"/>
    </row>
    <row r="10044" spans="2:2" ht="15.9" customHeight="1" x14ac:dyDescent="0.3">
      <c r="B10044" s="37"/>
    </row>
    <row r="10045" spans="2:2" ht="15.9" customHeight="1" x14ac:dyDescent="0.3">
      <c r="B10045" s="37"/>
    </row>
    <row r="10046" spans="2:2" ht="15.9" customHeight="1" x14ac:dyDescent="0.3">
      <c r="B10046" s="37"/>
    </row>
    <row r="10047" spans="2:2" ht="15.9" customHeight="1" x14ac:dyDescent="0.3">
      <c r="B10047" s="37"/>
    </row>
    <row r="10048" spans="2:2" ht="15.9" customHeight="1" x14ac:dyDescent="0.3">
      <c r="B10048" s="37"/>
    </row>
    <row r="10049" spans="2:2" ht="15.9" customHeight="1" x14ac:dyDescent="0.3">
      <c r="B10049" s="37"/>
    </row>
    <row r="10050" spans="2:2" ht="15.9" customHeight="1" x14ac:dyDescent="0.3">
      <c r="B10050" s="37"/>
    </row>
    <row r="10051" spans="2:2" ht="15.9" customHeight="1" x14ac:dyDescent="0.3">
      <c r="B10051" s="37"/>
    </row>
    <row r="10052" spans="2:2" ht="15.9" customHeight="1" x14ac:dyDescent="0.3">
      <c r="B10052" s="37"/>
    </row>
    <row r="10053" spans="2:2" ht="15.9" customHeight="1" x14ac:dyDescent="0.3">
      <c r="B10053" s="37"/>
    </row>
    <row r="10054" spans="2:2" ht="15.9" customHeight="1" x14ac:dyDescent="0.3">
      <c r="B10054" s="37"/>
    </row>
    <row r="10055" spans="2:2" ht="15.9" customHeight="1" x14ac:dyDescent="0.3">
      <c r="B10055" s="37"/>
    </row>
    <row r="10056" spans="2:2" ht="15.9" customHeight="1" x14ac:dyDescent="0.3">
      <c r="B10056" s="37"/>
    </row>
    <row r="10057" spans="2:2" ht="15.9" customHeight="1" x14ac:dyDescent="0.3">
      <c r="B10057" s="37"/>
    </row>
    <row r="10058" spans="2:2" ht="15.9" customHeight="1" x14ac:dyDescent="0.3">
      <c r="B10058" s="37"/>
    </row>
    <row r="10059" spans="2:2" ht="15.9" customHeight="1" x14ac:dyDescent="0.3">
      <c r="B10059" s="37"/>
    </row>
    <row r="10060" spans="2:2" ht="15.9" customHeight="1" x14ac:dyDescent="0.3">
      <c r="B10060" s="37"/>
    </row>
    <row r="10061" spans="2:2" ht="15.9" customHeight="1" x14ac:dyDescent="0.3">
      <c r="B10061" s="37"/>
    </row>
    <row r="10062" spans="2:2" ht="15.9" customHeight="1" x14ac:dyDescent="0.3">
      <c r="B10062" s="37"/>
    </row>
    <row r="10063" spans="2:2" ht="15.9" customHeight="1" x14ac:dyDescent="0.3">
      <c r="B10063" s="37"/>
    </row>
    <row r="10064" spans="2:2" ht="15.9" customHeight="1" x14ac:dyDescent="0.3">
      <c r="B10064" s="37"/>
    </row>
    <row r="10065" spans="2:2" ht="15.9" customHeight="1" x14ac:dyDescent="0.3">
      <c r="B10065" s="37"/>
    </row>
    <row r="10066" spans="2:2" ht="15.9" customHeight="1" x14ac:dyDescent="0.3">
      <c r="B10066" s="37"/>
    </row>
    <row r="10067" spans="2:2" ht="15.9" customHeight="1" x14ac:dyDescent="0.3">
      <c r="B10067" s="37"/>
    </row>
    <row r="10068" spans="2:2" ht="15.9" customHeight="1" x14ac:dyDescent="0.3">
      <c r="B10068" s="37"/>
    </row>
    <row r="10069" spans="2:2" ht="15.9" customHeight="1" x14ac:dyDescent="0.3">
      <c r="B10069" s="37"/>
    </row>
    <row r="10070" spans="2:2" ht="15.9" customHeight="1" x14ac:dyDescent="0.3">
      <c r="B10070" s="37"/>
    </row>
    <row r="10071" spans="2:2" ht="15.9" customHeight="1" x14ac:dyDescent="0.3">
      <c r="B10071" s="37"/>
    </row>
    <row r="10072" spans="2:2" ht="15.9" customHeight="1" x14ac:dyDescent="0.3">
      <c r="B10072" s="37"/>
    </row>
    <row r="10073" spans="2:2" ht="15.9" customHeight="1" x14ac:dyDescent="0.3">
      <c r="B10073" s="37"/>
    </row>
    <row r="10074" spans="2:2" ht="15.9" customHeight="1" x14ac:dyDescent="0.3">
      <c r="B10074" s="37"/>
    </row>
    <row r="10075" spans="2:2" ht="15.9" customHeight="1" x14ac:dyDescent="0.3">
      <c r="B10075" s="37"/>
    </row>
    <row r="10076" spans="2:2" ht="15.9" customHeight="1" x14ac:dyDescent="0.3">
      <c r="B10076" s="37"/>
    </row>
    <row r="10077" spans="2:2" ht="15.9" customHeight="1" x14ac:dyDescent="0.3">
      <c r="B10077" s="37"/>
    </row>
    <row r="10078" spans="2:2" ht="15.9" customHeight="1" x14ac:dyDescent="0.3">
      <c r="B10078" s="37"/>
    </row>
    <row r="10079" spans="2:2" ht="15.9" customHeight="1" x14ac:dyDescent="0.3">
      <c r="B10079" s="37"/>
    </row>
    <row r="10080" spans="2:2" ht="15.9" customHeight="1" x14ac:dyDescent="0.3">
      <c r="B10080" s="37"/>
    </row>
    <row r="10081" spans="2:2" ht="15.9" customHeight="1" x14ac:dyDescent="0.3">
      <c r="B10081" s="37"/>
    </row>
    <row r="10082" spans="2:2" ht="15.9" customHeight="1" x14ac:dyDescent="0.3">
      <c r="B10082" s="37"/>
    </row>
    <row r="10083" spans="2:2" ht="15.9" customHeight="1" x14ac:dyDescent="0.3">
      <c r="B10083" s="37"/>
    </row>
    <row r="10084" spans="2:2" ht="15.9" customHeight="1" x14ac:dyDescent="0.3">
      <c r="B10084" s="37"/>
    </row>
    <row r="10085" spans="2:2" ht="15.9" customHeight="1" x14ac:dyDescent="0.3">
      <c r="B10085" s="37"/>
    </row>
    <row r="10086" spans="2:2" ht="15.9" customHeight="1" x14ac:dyDescent="0.3">
      <c r="B10086" s="37"/>
    </row>
    <row r="10087" spans="2:2" ht="15.9" customHeight="1" x14ac:dyDescent="0.3">
      <c r="B10087" s="37"/>
    </row>
    <row r="10088" spans="2:2" ht="15.9" customHeight="1" x14ac:dyDescent="0.3">
      <c r="B10088" s="37"/>
    </row>
    <row r="10089" spans="2:2" ht="15.9" customHeight="1" x14ac:dyDescent="0.3">
      <c r="B10089" s="37"/>
    </row>
    <row r="10090" spans="2:2" ht="15.9" customHeight="1" x14ac:dyDescent="0.3">
      <c r="B10090" s="37"/>
    </row>
    <row r="10091" spans="2:2" ht="15.9" customHeight="1" x14ac:dyDescent="0.3">
      <c r="B10091" s="37"/>
    </row>
    <row r="10092" spans="2:2" ht="15.9" customHeight="1" x14ac:dyDescent="0.3">
      <c r="B10092" s="37"/>
    </row>
    <row r="10093" spans="2:2" ht="15.9" customHeight="1" x14ac:dyDescent="0.3">
      <c r="B10093" s="37"/>
    </row>
    <row r="10094" spans="2:2" ht="15.9" customHeight="1" x14ac:dyDescent="0.3">
      <c r="B10094" s="37"/>
    </row>
    <row r="10095" spans="2:2" ht="15.9" customHeight="1" x14ac:dyDescent="0.3">
      <c r="B10095" s="37"/>
    </row>
    <row r="10096" spans="2:2" ht="15.9" customHeight="1" x14ac:dyDescent="0.3">
      <c r="B10096" s="37"/>
    </row>
    <row r="10097" spans="2:2" ht="15.9" customHeight="1" x14ac:dyDescent="0.3">
      <c r="B10097" s="37"/>
    </row>
    <row r="10098" spans="2:2" ht="15.9" customHeight="1" x14ac:dyDescent="0.3">
      <c r="B10098" s="37"/>
    </row>
    <row r="10099" spans="2:2" ht="15.9" customHeight="1" x14ac:dyDescent="0.3">
      <c r="B10099" s="37"/>
    </row>
    <row r="10100" spans="2:2" ht="15.9" customHeight="1" x14ac:dyDescent="0.3">
      <c r="B10100" s="37"/>
    </row>
    <row r="10101" spans="2:2" ht="15.9" customHeight="1" x14ac:dyDescent="0.3">
      <c r="B10101" s="37"/>
    </row>
    <row r="10102" spans="2:2" ht="15.9" customHeight="1" x14ac:dyDescent="0.3">
      <c r="B10102" s="37"/>
    </row>
    <row r="10103" spans="2:2" ht="15.9" customHeight="1" x14ac:dyDescent="0.3">
      <c r="B10103" s="37"/>
    </row>
    <row r="10104" spans="2:2" ht="15.9" customHeight="1" x14ac:dyDescent="0.3">
      <c r="B10104" s="37"/>
    </row>
    <row r="10105" spans="2:2" ht="15.9" customHeight="1" x14ac:dyDescent="0.3">
      <c r="B10105" s="37"/>
    </row>
    <row r="10106" spans="2:2" ht="15.9" customHeight="1" x14ac:dyDescent="0.3">
      <c r="B10106" s="37"/>
    </row>
    <row r="10107" spans="2:2" ht="15.9" customHeight="1" x14ac:dyDescent="0.3">
      <c r="B10107" s="37"/>
    </row>
    <row r="10108" spans="2:2" ht="15.9" customHeight="1" x14ac:dyDescent="0.3">
      <c r="B10108" s="37"/>
    </row>
    <row r="10109" spans="2:2" ht="15.9" customHeight="1" x14ac:dyDescent="0.3">
      <c r="B10109" s="37"/>
    </row>
    <row r="10110" spans="2:2" ht="15.9" customHeight="1" x14ac:dyDescent="0.3">
      <c r="B10110" s="37"/>
    </row>
    <row r="10111" spans="2:2" ht="15.9" customHeight="1" x14ac:dyDescent="0.3">
      <c r="B10111" s="37"/>
    </row>
    <row r="10112" spans="2:2" ht="15.9" customHeight="1" x14ac:dyDescent="0.3">
      <c r="B10112" s="37"/>
    </row>
    <row r="10113" spans="2:2" ht="15.9" customHeight="1" x14ac:dyDescent="0.3">
      <c r="B10113" s="37"/>
    </row>
    <row r="10114" spans="2:2" ht="15.9" customHeight="1" x14ac:dyDescent="0.3">
      <c r="B10114" s="37"/>
    </row>
    <row r="10115" spans="2:2" ht="15.9" customHeight="1" x14ac:dyDescent="0.3">
      <c r="B10115" s="37"/>
    </row>
    <row r="10116" spans="2:2" ht="15.9" customHeight="1" x14ac:dyDescent="0.3">
      <c r="B10116" s="37"/>
    </row>
    <row r="10117" spans="2:2" ht="15.9" customHeight="1" x14ac:dyDescent="0.3">
      <c r="B10117" s="37"/>
    </row>
    <row r="10118" spans="2:2" ht="15.9" customHeight="1" x14ac:dyDescent="0.3">
      <c r="B10118" s="37"/>
    </row>
    <row r="10119" spans="2:2" ht="15.9" customHeight="1" x14ac:dyDescent="0.3">
      <c r="B10119" s="37"/>
    </row>
    <row r="10120" spans="2:2" ht="15.9" customHeight="1" x14ac:dyDescent="0.3">
      <c r="B10120" s="37"/>
    </row>
    <row r="10121" spans="2:2" ht="15.9" customHeight="1" x14ac:dyDescent="0.3">
      <c r="B10121" s="37"/>
    </row>
    <row r="10122" spans="2:2" ht="15.9" customHeight="1" x14ac:dyDescent="0.3">
      <c r="B10122" s="37"/>
    </row>
    <row r="10123" spans="2:2" ht="15.9" customHeight="1" x14ac:dyDescent="0.3">
      <c r="B10123" s="37"/>
    </row>
    <row r="10124" spans="2:2" ht="15.9" customHeight="1" x14ac:dyDescent="0.3">
      <c r="B10124" s="37"/>
    </row>
    <row r="10125" spans="2:2" ht="15.9" customHeight="1" x14ac:dyDescent="0.3">
      <c r="B10125" s="37"/>
    </row>
    <row r="10126" spans="2:2" ht="15.9" customHeight="1" x14ac:dyDescent="0.3">
      <c r="B10126" s="37"/>
    </row>
    <row r="10127" spans="2:2" ht="15.9" customHeight="1" x14ac:dyDescent="0.3">
      <c r="B10127" s="37"/>
    </row>
    <row r="10128" spans="2:2" ht="15.9" customHeight="1" x14ac:dyDescent="0.3">
      <c r="B10128" s="37"/>
    </row>
    <row r="10129" spans="2:2" ht="15.9" customHeight="1" x14ac:dyDescent="0.3">
      <c r="B10129" s="37"/>
    </row>
    <row r="10130" spans="2:2" ht="15.9" customHeight="1" x14ac:dyDescent="0.3">
      <c r="B10130" s="37"/>
    </row>
    <row r="10131" spans="2:2" ht="15.9" customHeight="1" x14ac:dyDescent="0.3">
      <c r="B10131" s="37"/>
    </row>
    <row r="10132" spans="2:2" ht="15.9" customHeight="1" x14ac:dyDescent="0.3">
      <c r="B10132" s="37"/>
    </row>
    <row r="10133" spans="2:2" ht="15.9" customHeight="1" x14ac:dyDescent="0.3">
      <c r="B10133" s="37"/>
    </row>
    <row r="10134" spans="2:2" ht="15.9" customHeight="1" x14ac:dyDescent="0.3">
      <c r="B10134" s="37"/>
    </row>
    <row r="10135" spans="2:2" ht="15.9" customHeight="1" x14ac:dyDescent="0.3">
      <c r="B10135" s="37"/>
    </row>
    <row r="10136" spans="2:2" ht="15.9" customHeight="1" x14ac:dyDescent="0.3">
      <c r="B10136" s="37"/>
    </row>
    <row r="10137" spans="2:2" ht="15.9" customHeight="1" x14ac:dyDescent="0.3">
      <c r="B10137" s="37"/>
    </row>
    <row r="10138" spans="2:2" ht="15.9" customHeight="1" x14ac:dyDescent="0.3">
      <c r="B10138" s="37"/>
    </row>
    <row r="10139" spans="2:2" ht="15.9" customHeight="1" x14ac:dyDescent="0.3">
      <c r="B10139" s="37"/>
    </row>
    <row r="10140" spans="2:2" ht="15.9" customHeight="1" x14ac:dyDescent="0.3">
      <c r="B10140" s="37"/>
    </row>
    <row r="10141" spans="2:2" ht="15.9" customHeight="1" x14ac:dyDescent="0.3">
      <c r="B10141" s="37"/>
    </row>
    <row r="10142" spans="2:2" ht="15.9" customHeight="1" x14ac:dyDescent="0.3">
      <c r="B10142" s="37"/>
    </row>
    <row r="10143" spans="2:2" ht="15.9" customHeight="1" x14ac:dyDescent="0.3">
      <c r="B10143" s="37"/>
    </row>
    <row r="10144" spans="2:2" ht="15.9" customHeight="1" x14ac:dyDescent="0.3">
      <c r="B10144" s="37"/>
    </row>
    <row r="10145" spans="2:2" ht="15.9" customHeight="1" x14ac:dyDescent="0.3">
      <c r="B10145" s="37"/>
    </row>
    <row r="10146" spans="2:2" ht="15.9" customHeight="1" x14ac:dyDescent="0.3">
      <c r="B10146" s="37"/>
    </row>
    <row r="10147" spans="2:2" ht="15.9" customHeight="1" x14ac:dyDescent="0.3">
      <c r="B10147" s="37"/>
    </row>
    <row r="10148" spans="2:2" ht="15.9" customHeight="1" x14ac:dyDescent="0.3">
      <c r="B10148" s="37"/>
    </row>
    <row r="10149" spans="2:2" ht="15.9" customHeight="1" x14ac:dyDescent="0.3">
      <c r="B10149" s="37"/>
    </row>
    <row r="10150" spans="2:2" ht="15.9" customHeight="1" x14ac:dyDescent="0.3">
      <c r="B10150" s="37"/>
    </row>
    <row r="10151" spans="2:2" ht="15.9" customHeight="1" x14ac:dyDescent="0.3">
      <c r="B10151" s="37"/>
    </row>
    <row r="10152" spans="2:2" ht="15.9" customHeight="1" x14ac:dyDescent="0.3">
      <c r="B10152" s="37"/>
    </row>
    <row r="10153" spans="2:2" ht="15.9" customHeight="1" x14ac:dyDescent="0.3">
      <c r="B10153" s="37"/>
    </row>
    <row r="10154" spans="2:2" ht="15.9" customHeight="1" x14ac:dyDescent="0.3">
      <c r="B10154" s="37"/>
    </row>
    <row r="10155" spans="2:2" ht="15.9" customHeight="1" x14ac:dyDescent="0.3">
      <c r="B10155" s="37"/>
    </row>
    <row r="10156" spans="2:2" ht="15.9" customHeight="1" x14ac:dyDescent="0.3">
      <c r="B10156" s="37"/>
    </row>
    <row r="10157" spans="2:2" ht="15.9" customHeight="1" x14ac:dyDescent="0.3">
      <c r="B10157" s="37"/>
    </row>
    <row r="10158" spans="2:2" ht="15.9" customHeight="1" x14ac:dyDescent="0.3">
      <c r="B10158" s="37"/>
    </row>
    <row r="10159" spans="2:2" ht="15.9" customHeight="1" x14ac:dyDescent="0.3">
      <c r="B10159" s="37"/>
    </row>
    <row r="10160" spans="2:2" ht="15.9" customHeight="1" x14ac:dyDescent="0.3">
      <c r="B10160" s="37"/>
    </row>
    <row r="10161" spans="2:2" ht="15.9" customHeight="1" x14ac:dyDescent="0.3">
      <c r="B10161" s="37"/>
    </row>
    <row r="10162" spans="2:2" ht="15.9" customHeight="1" x14ac:dyDescent="0.3">
      <c r="B10162" s="37"/>
    </row>
    <row r="10163" spans="2:2" ht="15.9" customHeight="1" x14ac:dyDescent="0.3">
      <c r="B10163" s="37"/>
    </row>
    <row r="10164" spans="2:2" ht="15.9" customHeight="1" x14ac:dyDescent="0.3">
      <c r="B10164" s="37"/>
    </row>
    <row r="10165" spans="2:2" ht="15.9" customHeight="1" x14ac:dyDescent="0.3">
      <c r="B10165" s="37"/>
    </row>
    <row r="10166" spans="2:2" ht="15.9" customHeight="1" x14ac:dyDescent="0.3">
      <c r="B10166" s="37"/>
    </row>
    <row r="10167" spans="2:2" ht="15.9" customHeight="1" x14ac:dyDescent="0.3">
      <c r="B10167" s="37"/>
    </row>
    <row r="10168" spans="2:2" ht="15.9" customHeight="1" x14ac:dyDescent="0.3">
      <c r="B10168" s="37"/>
    </row>
    <row r="10169" spans="2:2" ht="15.9" customHeight="1" x14ac:dyDescent="0.3">
      <c r="B10169" s="37"/>
    </row>
    <row r="10170" spans="2:2" ht="15.9" customHeight="1" x14ac:dyDescent="0.3">
      <c r="B10170" s="37"/>
    </row>
    <row r="10171" spans="2:2" ht="15.9" customHeight="1" x14ac:dyDescent="0.3">
      <c r="B10171" s="37"/>
    </row>
    <row r="10172" spans="2:2" ht="15.9" customHeight="1" x14ac:dyDescent="0.3">
      <c r="B10172" s="37"/>
    </row>
    <row r="10173" spans="2:2" ht="15.9" customHeight="1" x14ac:dyDescent="0.3">
      <c r="B10173" s="37"/>
    </row>
    <row r="10174" spans="2:2" ht="15.9" customHeight="1" x14ac:dyDescent="0.3">
      <c r="B10174" s="37"/>
    </row>
    <row r="10175" spans="2:2" ht="15.9" customHeight="1" x14ac:dyDescent="0.3">
      <c r="B10175" s="37"/>
    </row>
    <row r="10176" spans="2:2" ht="15.9" customHeight="1" x14ac:dyDescent="0.3">
      <c r="B10176" s="37"/>
    </row>
    <row r="10177" spans="2:2" ht="15.9" customHeight="1" x14ac:dyDescent="0.3">
      <c r="B10177" s="37"/>
    </row>
    <row r="10178" spans="2:2" ht="15.9" customHeight="1" x14ac:dyDescent="0.3">
      <c r="B10178" s="37"/>
    </row>
    <row r="10179" spans="2:2" ht="15.9" customHeight="1" x14ac:dyDescent="0.3">
      <c r="B10179" s="37"/>
    </row>
    <row r="10180" spans="2:2" ht="15.9" customHeight="1" x14ac:dyDescent="0.3">
      <c r="B10180" s="37"/>
    </row>
    <row r="10181" spans="2:2" ht="15.9" customHeight="1" x14ac:dyDescent="0.3">
      <c r="B10181" s="37"/>
    </row>
    <row r="10182" spans="2:2" ht="15.9" customHeight="1" x14ac:dyDescent="0.3">
      <c r="B10182" s="37"/>
    </row>
    <row r="10183" spans="2:2" ht="15.9" customHeight="1" x14ac:dyDescent="0.3">
      <c r="B10183" s="37"/>
    </row>
    <row r="10184" spans="2:2" ht="15.9" customHeight="1" x14ac:dyDescent="0.3">
      <c r="B10184" s="37"/>
    </row>
    <row r="10185" spans="2:2" ht="15.9" customHeight="1" x14ac:dyDescent="0.3">
      <c r="B10185" s="37"/>
    </row>
    <row r="10186" spans="2:2" ht="15.9" customHeight="1" x14ac:dyDescent="0.3">
      <c r="B10186" s="37"/>
    </row>
    <row r="10187" spans="2:2" ht="15.9" customHeight="1" x14ac:dyDescent="0.3">
      <c r="B10187" s="37"/>
    </row>
    <row r="10188" spans="2:2" ht="15.9" customHeight="1" x14ac:dyDescent="0.3">
      <c r="B10188" s="37"/>
    </row>
    <row r="10189" spans="2:2" ht="15.9" customHeight="1" x14ac:dyDescent="0.3">
      <c r="B10189" s="37"/>
    </row>
    <row r="10190" spans="2:2" ht="15.9" customHeight="1" x14ac:dyDescent="0.3">
      <c r="B10190" s="37"/>
    </row>
    <row r="10191" spans="2:2" ht="15.9" customHeight="1" x14ac:dyDescent="0.3">
      <c r="B10191" s="37"/>
    </row>
    <row r="10192" spans="2:2" ht="15.9" customHeight="1" x14ac:dyDescent="0.3">
      <c r="B10192" s="37"/>
    </row>
    <row r="10193" spans="2:2" ht="15.9" customHeight="1" x14ac:dyDescent="0.3">
      <c r="B10193" s="37"/>
    </row>
    <row r="10194" spans="2:2" ht="15.9" customHeight="1" x14ac:dyDescent="0.3">
      <c r="B10194" s="37"/>
    </row>
    <row r="10195" spans="2:2" ht="15.9" customHeight="1" x14ac:dyDescent="0.3">
      <c r="B10195" s="37"/>
    </row>
    <row r="10196" spans="2:2" ht="15.9" customHeight="1" x14ac:dyDescent="0.3">
      <c r="B10196" s="37"/>
    </row>
    <row r="10197" spans="2:2" ht="15.9" customHeight="1" x14ac:dyDescent="0.3">
      <c r="B10197" s="37"/>
    </row>
    <row r="10198" spans="2:2" ht="15.9" customHeight="1" x14ac:dyDescent="0.3">
      <c r="B10198" s="37"/>
    </row>
    <row r="10199" spans="2:2" ht="15.9" customHeight="1" x14ac:dyDescent="0.3">
      <c r="B10199" s="37"/>
    </row>
    <row r="10200" spans="2:2" ht="15.9" customHeight="1" x14ac:dyDescent="0.3">
      <c r="B10200" s="37"/>
    </row>
    <row r="10201" spans="2:2" ht="15.9" customHeight="1" x14ac:dyDescent="0.3">
      <c r="B10201" s="37"/>
    </row>
    <row r="10202" spans="2:2" ht="15.9" customHeight="1" x14ac:dyDescent="0.3">
      <c r="B10202" s="37"/>
    </row>
    <row r="10203" spans="2:2" ht="15.9" customHeight="1" x14ac:dyDescent="0.3">
      <c r="B10203" s="37"/>
    </row>
    <row r="10204" spans="2:2" ht="15.9" customHeight="1" x14ac:dyDescent="0.3">
      <c r="B10204" s="37"/>
    </row>
    <row r="10205" spans="2:2" ht="15.9" customHeight="1" x14ac:dyDescent="0.3">
      <c r="B10205" s="37"/>
    </row>
    <row r="10206" spans="2:2" ht="15.9" customHeight="1" x14ac:dyDescent="0.3">
      <c r="B10206" s="37"/>
    </row>
    <row r="10207" spans="2:2" ht="15.9" customHeight="1" x14ac:dyDescent="0.3">
      <c r="B10207" s="37"/>
    </row>
    <row r="10208" spans="2:2" ht="15.9" customHeight="1" x14ac:dyDescent="0.3">
      <c r="B10208" s="37"/>
    </row>
    <row r="10209" spans="2:2" ht="15.9" customHeight="1" x14ac:dyDescent="0.3">
      <c r="B10209" s="37"/>
    </row>
    <row r="10210" spans="2:2" ht="15.9" customHeight="1" x14ac:dyDescent="0.3">
      <c r="B10210" s="37"/>
    </row>
    <row r="10211" spans="2:2" ht="15.9" customHeight="1" x14ac:dyDescent="0.3">
      <c r="B10211" s="37"/>
    </row>
    <row r="10212" spans="2:2" ht="15.9" customHeight="1" x14ac:dyDescent="0.3">
      <c r="B10212" s="37"/>
    </row>
    <row r="10213" spans="2:2" ht="15.9" customHeight="1" x14ac:dyDescent="0.3">
      <c r="B10213" s="37"/>
    </row>
    <row r="10214" spans="2:2" ht="15.9" customHeight="1" x14ac:dyDescent="0.3">
      <c r="B10214" s="37"/>
    </row>
    <row r="10215" spans="2:2" ht="15.9" customHeight="1" x14ac:dyDescent="0.3">
      <c r="B10215" s="37"/>
    </row>
    <row r="10216" spans="2:2" ht="15.9" customHeight="1" x14ac:dyDescent="0.3">
      <c r="B10216" s="37"/>
    </row>
    <row r="10217" spans="2:2" ht="15.9" customHeight="1" x14ac:dyDescent="0.3">
      <c r="B10217" s="37"/>
    </row>
    <row r="10218" spans="2:2" ht="15.9" customHeight="1" x14ac:dyDescent="0.3">
      <c r="B10218" s="37"/>
    </row>
    <row r="10219" spans="2:2" ht="15.9" customHeight="1" x14ac:dyDescent="0.3">
      <c r="B10219" s="37"/>
    </row>
    <row r="10220" spans="2:2" ht="15.9" customHeight="1" x14ac:dyDescent="0.3">
      <c r="B10220" s="37"/>
    </row>
    <row r="10221" spans="2:2" ht="15.9" customHeight="1" x14ac:dyDescent="0.3">
      <c r="B10221" s="37"/>
    </row>
    <row r="10222" spans="2:2" ht="15.9" customHeight="1" x14ac:dyDescent="0.3">
      <c r="B10222" s="37"/>
    </row>
    <row r="10223" spans="2:2" ht="15.9" customHeight="1" x14ac:dyDescent="0.3">
      <c r="B10223" s="37"/>
    </row>
    <row r="10224" spans="2:2" ht="15.9" customHeight="1" x14ac:dyDescent="0.3">
      <c r="B10224" s="37"/>
    </row>
    <row r="10225" spans="2:2" ht="15.9" customHeight="1" x14ac:dyDescent="0.3">
      <c r="B10225" s="37"/>
    </row>
    <row r="10226" spans="2:2" ht="15.9" customHeight="1" x14ac:dyDescent="0.3">
      <c r="B10226" s="37"/>
    </row>
    <row r="10227" spans="2:2" ht="15.9" customHeight="1" x14ac:dyDescent="0.3">
      <c r="B10227" s="37"/>
    </row>
    <row r="10228" spans="2:2" ht="15.9" customHeight="1" x14ac:dyDescent="0.3">
      <c r="B10228" s="37"/>
    </row>
    <row r="10229" spans="2:2" ht="15.9" customHeight="1" x14ac:dyDescent="0.3">
      <c r="B10229" s="37"/>
    </row>
    <row r="10230" spans="2:2" ht="15.9" customHeight="1" x14ac:dyDescent="0.3">
      <c r="B10230" s="37"/>
    </row>
    <row r="10231" spans="2:2" ht="15.9" customHeight="1" x14ac:dyDescent="0.3">
      <c r="B10231" s="37"/>
    </row>
    <row r="10232" spans="2:2" ht="15.9" customHeight="1" x14ac:dyDescent="0.3">
      <c r="B10232" s="37"/>
    </row>
    <row r="10233" spans="2:2" ht="15.9" customHeight="1" x14ac:dyDescent="0.3">
      <c r="B10233" s="37"/>
    </row>
    <row r="10234" spans="2:2" ht="15.9" customHeight="1" x14ac:dyDescent="0.3">
      <c r="B10234" s="37"/>
    </row>
    <row r="10235" spans="2:2" ht="15.9" customHeight="1" x14ac:dyDescent="0.3">
      <c r="B10235" s="37"/>
    </row>
    <row r="10236" spans="2:2" ht="15.9" customHeight="1" x14ac:dyDescent="0.3">
      <c r="B10236" s="37"/>
    </row>
    <row r="10237" spans="2:2" ht="15.9" customHeight="1" x14ac:dyDescent="0.3">
      <c r="B10237" s="37"/>
    </row>
    <row r="10238" spans="2:2" ht="15.9" customHeight="1" x14ac:dyDescent="0.3">
      <c r="B10238" s="37"/>
    </row>
    <row r="10239" spans="2:2" ht="15.9" customHeight="1" x14ac:dyDescent="0.3">
      <c r="B10239" s="37"/>
    </row>
    <row r="10240" spans="2:2" ht="15.9" customHeight="1" x14ac:dyDescent="0.3">
      <c r="B10240" s="37"/>
    </row>
    <row r="10241" spans="2:2" ht="15.9" customHeight="1" x14ac:dyDescent="0.3">
      <c r="B10241" s="37"/>
    </row>
    <row r="10242" spans="2:2" ht="15.9" customHeight="1" x14ac:dyDescent="0.3">
      <c r="B10242" s="37"/>
    </row>
    <row r="10243" spans="2:2" ht="15.9" customHeight="1" x14ac:dyDescent="0.3">
      <c r="B10243" s="37"/>
    </row>
    <row r="10244" spans="2:2" ht="15.9" customHeight="1" x14ac:dyDescent="0.3">
      <c r="B10244" s="37"/>
    </row>
    <row r="10245" spans="2:2" ht="15.9" customHeight="1" x14ac:dyDescent="0.3">
      <c r="B10245" s="37"/>
    </row>
    <row r="10246" spans="2:2" ht="15.9" customHeight="1" x14ac:dyDescent="0.3">
      <c r="B10246" s="37"/>
    </row>
    <row r="10247" spans="2:2" ht="15.9" customHeight="1" x14ac:dyDescent="0.3">
      <c r="B10247" s="37"/>
    </row>
    <row r="10248" spans="2:2" ht="15.9" customHeight="1" x14ac:dyDescent="0.3">
      <c r="B10248" s="37"/>
    </row>
    <row r="10249" spans="2:2" ht="15.9" customHeight="1" x14ac:dyDescent="0.3">
      <c r="B10249" s="37"/>
    </row>
    <row r="10250" spans="2:2" ht="15.9" customHeight="1" x14ac:dyDescent="0.3">
      <c r="B10250" s="37"/>
    </row>
    <row r="10251" spans="2:2" ht="15.9" customHeight="1" x14ac:dyDescent="0.3">
      <c r="B10251" s="37"/>
    </row>
    <row r="10252" spans="2:2" ht="15.9" customHeight="1" x14ac:dyDescent="0.3">
      <c r="B10252" s="37"/>
    </row>
    <row r="10253" spans="2:2" ht="15.9" customHeight="1" x14ac:dyDescent="0.3">
      <c r="B10253" s="37"/>
    </row>
    <row r="10254" spans="2:2" ht="15.9" customHeight="1" x14ac:dyDescent="0.3">
      <c r="B10254" s="37"/>
    </row>
    <row r="10255" spans="2:2" ht="15.9" customHeight="1" x14ac:dyDescent="0.3">
      <c r="B10255" s="37"/>
    </row>
    <row r="10256" spans="2:2" ht="15.9" customHeight="1" x14ac:dyDescent="0.3">
      <c r="B10256" s="37"/>
    </row>
    <row r="10257" spans="2:2" ht="15.9" customHeight="1" x14ac:dyDescent="0.3">
      <c r="B10257" s="37"/>
    </row>
    <row r="10258" spans="2:2" ht="15.9" customHeight="1" x14ac:dyDescent="0.3">
      <c r="B10258" s="37"/>
    </row>
    <row r="10259" spans="2:2" ht="15.9" customHeight="1" x14ac:dyDescent="0.3">
      <c r="B10259" s="37"/>
    </row>
    <row r="10260" spans="2:2" ht="15.9" customHeight="1" x14ac:dyDescent="0.3">
      <c r="B10260" s="37"/>
    </row>
    <row r="10261" spans="2:2" ht="15.9" customHeight="1" x14ac:dyDescent="0.3">
      <c r="B10261" s="37"/>
    </row>
    <row r="10262" spans="2:2" ht="15.9" customHeight="1" x14ac:dyDescent="0.3">
      <c r="B10262" s="37"/>
    </row>
    <row r="10263" spans="2:2" ht="15.9" customHeight="1" x14ac:dyDescent="0.3">
      <c r="B10263" s="37"/>
    </row>
    <row r="10264" spans="2:2" ht="15.9" customHeight="1" x14ac:dyDescent="0.3">
      <c r="B10264" s="37"/>
    </row>
    <row r="10265" spans="2:2" ht="15.9" customHeight="1" x14ac:dyDescent="0.3">
      <c r="B10265" s="37"/>
    </row>
    <row r="10266" spans="2:2" ht="15.9" customHeight="1" x14ac:dyDescent="0.3">
      <c r="B10266" s="37"/>
    </row>
    <row r="10267" spans="2:2" ht="15.9" customHeight="1" x14ac:dyDescent="0.3">
      <c r="B10267" s="37"/>
    </row>
    <row r="10268" spans="2:2" ht="15.9" customHeight="1" x14ac:dyDescent="0.3">
      <c r="B10268" s="37"/>
    </row>
    <row r="10269" spans="2:2" ht="15.9" customHeight="1" x14ac:dyDescent="0.3">
      <c r="B10269" s="37"/>
    </row>
    <row r="10270" spans="2:2" ht="15.9" customHeight="1" x14ac:dyDescent="0.3">
      <c r="B10270" s="37"/>
    </row>
    <row r="10271" spans="2:2" ht="15.9" customHeight="1" x14ac:dyDescent="0.3">
      <c r="B10271" s="37"/>
    </row>
    <row r="10272" spans="2:2" ht="15.9" customHeight="1" x14ac:dyDescent="0.3">
      <c r="B10272" s="37"/>
    </row>
    <row r="10273" spans="2:2" ht="15.9" customHeight="1" x14ac:dyDescent="0.3">
      <c r="B10273" s="37"/>
    </row>
    <row r="10274" spans="2:2" ht="15.9" customHeight="1" x14ac:dyDescent="0.3">
      <c r="B10274" s="37"/>
    </row>
    <row r="10275" spans="2:2" ht="15.9" customHeight="1" x14ac:dyDescent="0.3">
      <c r="B10275" s="37"/>
    </row>
    <row r="10276" spans="2:2" ht="15.9" customHeight="1" x14ac:dyDescent="0.3">
      <c r="B10276" s="37"/>
    </row>
    <row r="10277" spans="2:2" ht="15.9" customHeight="1" x14ac:dyDescent="0.3">
      <c r="B10277" s="37"/>
    </row>
    <row r="10278" spans="2:2" ht="15.9" customHeight="1" x14ac:dyDescent="0.3">
      <c r="B10278" s="37"/>
    </row>
    <row r="10279" spans="2:2" ht="15.9" customHeight="1" x14ac:dyDescent="0.3">
      <c r="B10279" s="37"/>
    </row>
    <row r="10280" spans="2:2" ht="15.9" customHeight="1" x14ac:dyDescent="0.3">
      <c r="B10280" s="37"/>
    </row>
    <row r="10281" spans="2:2" ht="15.9" customHeight="1" x14ac:dyDescent="0.3">
      <c r="B10281" s="37"/>
    </row>
    <row r="10282" spans="2:2" ht="15.9" customHeight="1" x14ac:dyDescent="0.3">
      <c r="B10282" s="37"/>
    </row>
    <row r="10283" spans="2:2" ht="15.9" customHeight="1" x14ac:dyDescent="0.3">
      <c r="B10283" s="37"/>
    </row>
    <row r="10284" spans="2:2" ht="15.9" customHeight="1" x14ac:dyDescent="0.3">
      <c r="B10284" s="37"/>
    </row>
    <row r="10285" spans="2:2" ht="15.9" customHeight="1" x14ac:dyDescent="0.3">
      <c r="B10285" s="37"/>
    </row>
    <row r="10286" spans="2:2" ht="15.9" customHeight="1" x14ac:dyDescent="0.3">
      <c r="B10286" s="37"/>
    </row>
    <row r="10287" spans="2:2" ht="15.9" customHeight="1" x14ac:dyDescent="0.3">
      <c r="B10287" s="37"/>
    </row>
    <row r="10288" spans="2:2" ht="15.9" customHeight="1" x14ac:dyDescent="0.3">
      <c r="B10288" s="37"/>
    </row>
    <row r="10289" spans="2:2" ht="15.9" customHeight="1" x14ac:dyDescent="0.3">
      <c r="B10289" s="37"/>
    </row>
    <row r="10290" spans="2:2" ht="15.9" customHeight="1" x14ac:dyDescent="0.3">
      <c r="B10290" s="37"/>
    </row>
    <row r="10291" spans="2:2" ht="15.9" customHeight="1" x14ac:dyDescent="0.3">
      <c r="B10291" s="37"/>
    </row>
    <row r="10292" spans="2:2" ht="15.9" customHeight="1" x14ac:dyDescent="0.3">
      <c r="B10292" s="37"/>
    </row>
    <row r="10293" spans="2:2" ht="15.9" customHeight="1" x14ac:dyDescent="0.3">
      <c r="B10293" s="37"/>
    </row>
    <row r="10294" spans="2:2" ht="15.9" customHeight="1" x14ac:dyDescent="0.3">
      <c r="B10294" s="37"/>
    </row>
    <row r="10295" spans="2:2" ht="15.9" customHeight="1" x14ac:dyDescent="0.3">
      <c r="B10295" s="37"/>
    </row>
    <row r="10296" spans="2:2" ht="15.9" customHeight="1" x14ac:dyDescent="0.3">
      <c r="B10296" s="37"/>
    </row>
    <row r="10297" spans="2:2" ht="15.9" customHeight="1" x14ac:dyDescent="0.3">
      <c r="B10297" s="37"/>
    </row>
    <row r="10298" spans="2:2" ht="15.9" customHeight="1" x14ac:dyDescent="0.3">
      <c r="B10298" s="37"/>
    </row>
    <row r="10299" spans="2:2" ht="15.9" customHeight="1" x14ac:dyDescent="0.3">
      <c r="B10299" s="37"/>
    </row>
    <row r="10300" spans="2:2" ht="15.9" customHeight="1" x14ac:dyDescent="0.3">
      <c r="B10300" s="37"/>
    </row>
    <row r="10301" spans="2:2" ht="15.9" customHeight="1" x14ac:dyDescent="0.3">
      <c r="B10301" s="37"/>
    </row>
    <row r="10302" spans="2:2" ht="15.9" customHeight="1" x14ac:dyDescent="0.3">
      <c r="B10302" s="37"/>
    </row>
    <row r="10303" spans="2:2" ht="15.9" customHeight="1" x14ac:dyDescent="0.3">
      <c r="B10303" s="37"/>
    </row>
    <row r="10304" spans="2:2" ht="15.9" customHeight="1" x14ac:dyDescent="0.3">
      <c r="B10304" s="37"/>
    </row>
    <row r="10305" spans="2:2" ht="15.9" customHeight="1" x14ac:dyDescent="0.3">
      <c r="B10305" s="37"/>
    </row>
    <row r="10306" spans="2:2" ht="15.9" customHeight="1" x14ac:dyDescent="0.3">
      <c r="B10306" s="37"/>
    </row>
    <row r="10307" spans="2:2" ht="15.9" customHeight="1" x14ac:dyDescent="0.3">
      <c r="B10307" s="37"/>
    </row>
    <row r="10308" spans="2:2" ht="15.9" customHeight="1" x14ac:dyDescent="0.3">
      <c r="B10308" s="37"/>
    </row>
    <row r="10309" spans="2:2" ht="15.9" customHeight="1" x14ac:dyDescent="0.3">
      <c r="B10309" s="37"/>
    </row>
    <row r="10310" spans="2:2" ht="15.9" customHeight="1" x14ac:dyDescent="0.3">
      <c r="B10310" s="37"/>
    </row>
    <row r="10311" spans="2:2" ht="15.9" customHeight="1" x14ac:dyDescent="0.3">
      <c r="B10311" s="37"/>
    </row>
    <row r="10312" spans="2:2" ht="15.9" customHeight="1" x14ac:dyDescent="0.3">
      <c r="B10312" s="37"/>
    </row>
    <row r="10313" spans="2:2" ht="15.9" customHeight="1" x14ac:dyDescent="0.3">
      <c r="B10313" s="37"/>
    </row>
    <row r="10314" spans="2:2" ht="15.9" customHeight="1" x14ac:dyDescent="0.3">
      <c r="B10314" s="37"/>
    </row>
    <row r="10315" spans="2:2" ht="15.9" customHeight="1" x14ac:dyDescent="0.3">
      <c r="B10315" s="37"/>
    </row>
    <row r="10316" spans="2:2" ht="15.9" customHeight="1" x14ac:dyDescent="0.3">
      <c r="B10316" s="37"/>
    </row>
    <row r="10317" spans="2:2" ht="15.9" customHeight="1" x14ac:dyDescent="0.3">
      <c r="B10317" s="37"/>
    </row>
    <row r="10318" spans="2:2" ht="15.9" customHeight="1" x14ac:dyDescent="0.3">
      <c r="B10318" s="37"/>
    </row>
    <row r="10319" spans="2:2" ht="15.9" customHeight="1" x14ac:dyDescent="0.3">
      <c r="B10319" s="37"/>
    </row>
    <row r="10320" spans="2:2" ht="15.9" customHeight="1" x14ac:dyDescent="0.3">
      <c r="B10320" s="37"/>
    </row>
    <row r="10321" spans="2:2" ht="15.9" customHeight="1" x14ac:dyDescent="0.3">
      <c r="B10321" s="37"/>
    </row>
    <row r="10322" spans="2:2" ht="15.9" customHeight="1" x14ac:dyDescent="0.3">
      <c r="B10322" s="37"/>
    </row>
    <row r="10323" spans="2:2" ht="15.9" customHeight="1" x14ac:dyDescent="0.3">
      <c r="B10323" s="37"/>
    </row>
    <row r="10324" spans="2:2" ht="15.9" customHeight="1" x14ac:dyDescent="0.3">
      <c r="B10324" s="37"/>
    </row>
    <row r="10325" spans="2:2" ht="15.9" customHeight="1" x14ac:dyDescent="0.3">
      <c r="B10325" s="37"/>
    </row>
    <row r="10326" spans="2:2" ht="15.9" customHeight="1" x14ac:dyDescent="0.3">
      <c r="B10326" s="37"/>
    </row>
    <row r="10327" spans="2:2" ht="15.9" customHeight="1" x14ac:dyDescent="0.3">
      <c r="B10327" s="37"/>
    </row>
    <row r="10328" spans="2:2" ht="15.9" customHeight="1" x14ac:dyDescent="0.3">
      <c r="B10328" s="37"/>
    </row>
    <row r="10329" spans="2:2" ht="15.9" customHeight="1" x14ac:dyDescent="0.3">
      <c r="B10329" s="37"/>
    </row>
    <row r="10330" spans="2:2" ht="15.9" customHeight="1" x14ac:dyDescent="0.3">
      <c r="B10330" s="37"/>
    </row>
    <row r="10331" spans="2:2" ht="15.9" customHeight="1" x14ac:dyDescent="0.3">
      <c r="B10331" s="37"/>
    </row>
    <row r="10332" spans="2:2" ht="15.9" customHeight="1" x14ac:dyDescent="0.3">
      <c r="B10332" s="37"/>
    </row>
    <row r="10333" spans="2:2" ht="15.9" customHeight="1" x14ac:dyDescent="0.3">
      <c r="B10333" s="37"/>
    </row>
    <row r="10334" spans="2:2" ht="15.9" customHeight="1" x14ac:dyDescent="0.3">
      <c r="B10334" s="37"/>
    </row>
    <row r="10335" spans="2:2" ht="15.9" customHeight="1" x14ac:dyDescent="0.3">
      <c r="B10335" s="37"/>
    </row>
    <row r="10336" spans="2:2" ht="15.9" customHeight="1" x14ac:dyDescent="0.3">
      <c r="B10336" s="37"/>
    </row>
    <row r="10337" spans="2:2" ht="15.9" customHeight="1" x14ac:dyDescent="0.3">
      <c r="B10337" s="37"/>
    </row>
    <row r="10338" spans="2:2" ht="15.9" customHeight="1" x14ac:dyDescent="0.3">
      <c r="B10338" s="37"/>
    </row>
    <row r="10339" spans="2:2" ht="15.9" customHeight="1" x14ac:dyDescent="0.3">
      <c r="B10339" s="37"/>
    </row>
    <row r="10340" spans="2:2" ht="15.9" customHeight="1" x14ac:dyDescent="0.3">
      <c r="B10340" s="37"/>
    </row>
    <row r="10341" spans="2:2" ht="15.9" customHeight="1" x14ac:dyDescent="0.3">
      <c r="B10341" s="37"/>
    </row>
    <row r="10342" spans="2:2" ht="15.9" customHeight="1" x14ac:dyDescent="0.3">
      <c r="B10342" s="37"/>
    </row>
    <row r="10343" spans="2:2" ht="15.9" customHeight="1" x14ac:dyDescent="0.3">
      <c r="B10343" s="37"/>
    </row>
    <row r="10344" spans="2:2" ht="15.9" customHeight="1" x14ac:dyDescent="0.3">
      <c r="B10344" s="37"/>
    </row>
    <row r="10345" spans="2:2" ht="15.9" customHeight="1" x14ac:dyDescent="0.3">
      <c r="B10345" s="37"/>
    </row>
    <row r="10346" spans="2:2" ht="15.9" customHeight="1" x14ac:dyDescent="0.3">
      <c r="B10346" s="37"/>
    </row>
    <row r="10347" spans="2:2" ht="15.9" customHeight="1" x14ac:dyDescent="0.3">
      <c r="B10347" s="37"/>
    </row>
    <row r="10348" spans="2:2" ht="15.9" customHeight="1" x14ac:dyDescent="0.3">
      <c r="B10348" s="37"/>
    </row>
    <row r="10349" spans="2:2" ht="15.9" customHeight="1" x14ac:dyDescent="0.3">
      <c r="B10349" s="37"/>
    </row>
    <row r="10350" spans="2:2" ht="15.9" customHeight="1" x14ac:dyDescent="0.3">
      <c r="B10350" s="37"/>
    </row>
    <row r="10351" spans="2:2" ht="15.9" customHeight="1" x14ac:dyDescent="0.3">
      <c r="B10351" s="37"/>
    </row>
    <row r="10352" spans="2:2" ht="15.9" customHeight="1" x14ac:dyDescent="0.3">
      <c r="B10352" s="37"/>
    </row>
    <row r="10353" spans="2:2" ht="15.9" customHeight="1" x14ac:dyDescent="0.3">
      <c r="B10353" s="37"/>
    </row>
    <row r="10354" spans="2:2" ht="15.9" customHeight="1" x14ac:dyDescent="0.3">
      <c r="B10354" s="37"/>
    </row>
    <row r="10355" spans="2:2" ht="15.9" customHeight="1" x14ac:dyDescent="0.3">
      <c r="B10355" s="37"/>
    </row>
    <row r="10356" spans="2:2" ht="15.9" customHeight="1" x14ac:dyDescent="0.3">
      <c r="B10356" s="37"/>
    </row>
    <row r="10357" spans="2:2" ht="15.9" customHeight="1" x14ac:dyDescent="0.3">
      <c r="B10357" s="37"/>
    </row>
    <row r="10358" spans="2:2" ht="15.9" customHeight="1" x14ac:dyDescent="0.3">
      <c r="B10358" s="37"/>
    </row>
    <row r="10359" spans="2:2" ht="15.9" customHeight="1" x14ac:dyDescent="0.3">
      <c r="B10359" s="37"/>
    </row>
    <row r="10360" spans="2:2" ht="15.9" customHeight="1" x14ac:dyDescent="0.3">
      <c r="B10360" s="37"/>
    </row>
    <row r="10361" spans="2:2" ht="15.9" customHeight="1" x14ac:dyDescent="0.3">
      <c r="B10361" s="37"/>
    </row>
    <row r="10362" spans="2:2" ht="15.9" customHeight="1" x14ac:dyDescent="0.3">
      <c r="B10362" s="37"/>
    </row>
    <row r="10363" spans="2:2" ht="15.9" customHeight="1" x14ac:dyDescent="0.3">
      <c r="B10363" s="37"/>
    </row>
    <row r="10364" spans="2:2" ht="15.9" customHeight="1" x14ac:dyDescent="0.3">
      <c r="B10364" s="37"/>
    </row>
    <row r="10365" spans="2:2" ht="15.9" customHeight="1" x14ac:dyDescent="0.3">
      <c r="B10365" s="37"/>
    </row>
    <row r="10366" spans="2:2" ht="15.9" customHeight="1" x14ac:dyDescent="0.3">
      <c r="B10366" s="37"/>
    </row>
    <row r="10367" spans="2:2" ht="15.9" customHeight="1" x14ac:dyDescent="0.3">
      <c r="B10367" s="37"/>
    </row>
    <row r="10368" spans="2:2" ht="15.9" customHeight="1" x14ac:dyDescent="0.3">
      <c r="B10368" s="37"/>
    </row>
    <row r="10369" spans="2:2" ht="15.9" customHeight="1" x14ac:dyDescent="0.3">
      <c r="B10369" s="37"/>
    </row>
    <row r="10370" spans="2:2" ht="15.9" customHeight="1" x14ac:dyDescent="0.3">
      <c r="B10370" s="37"/>
    </row>
    <row r="10371" spans="2:2" ht="15.9" customHeight="1" x14ac:dyDescent="0.3">
      <c r="B10371" s="37"/>
    </row>
    <row r="10372" spans="2:2" ht="15.9" customHeight="1" x14ac:dyDescent="0.3">
      <c r="B10372" s="37"/>
    </row>
    <row r="10373" spans="2:2" ht="15.9" customHeight="1" x14ac:dyDescent="0.3">
      <c r="B10373" s="37"/>
    </row>
    <row r="10374" spans="2:2" ht="15.9" customHeight="1" x14ac:dyDescent="0.3">
      <c r="B10374" s="37"/>
    </row>
    <row r="10375" spans="2:2" ht="15.9" customHeight="1" x14ac:dyDescent="0.3">
      <c r="B10375" s="37"/>
    </row>
    <row r="10376" spans="2:2" ht="15.9" customHeight="1" x14ac:dyDescent="0.3">
      <c r="B10376" s="37"/>
    </row>
    <row r="10377" spans="2:2" ht="15.9" customHeight="1" x14ac:dyDescent="0.3">
      <c r="B10377" s="37"/>
    </row>
    <row r="10378" spans="2:2" ht="15.9" customHeight="1" x14ac:dyDescent="0.3">
      <c r="B10378" s="37"/>
    </row>
    <row r="10379" spans="2:2" ht="15.9" customHeight="1" x14ac:dyDescent="0.3">
      <c r="B10379" s="37"/>
    </row>
    <row r="10380" spans="2:2" ht="15.9" customHeight="1" x14ac:dyDescent="0.3">
      <c r="B10380" s="37"/>
    </row>
    <row r="10381" spans="2:2" ht="15.9" customHeight="1" x14ac:dyDescent="0.3">
      <c r="B10381" s="37"/>
    </row>
    <row r="10382" spans="2:2" ht="15.9" customHeight="1" x14ac:dyDescent="0.3">
      <c r="B10382" s="37"/>
    </row>
    <row r="10383" spans="2:2" ht="15.9" customHeight="1" x14ac:dyDescent="0.3">
      <c r="B10383" s="37"/>
    </row>
    <row r="10384" spans="2:2" ht="15.9" customHeight="1" x14ac:dyDescent="0.3">
      <c r="B10384" s="37"/>
    </row>
    <row r="10385" spans="2:2" ht="15.9" customHeight="1" x14ac:dyDescent="0.3">
      <c r="B10385" s="37"/>
    </row>
    <row r="10386" spans="2:2" ht="15.9" customHeight="1" x14ac:dyDescent="0.3">
      <c r="B10386" s="37"/>
    </row>
    <row r="10387" spans="2:2" ht="15.9" customHeight="1" x14ac:dyDescent="0.3">
      <c r="B10387" s="37"/>
    </row>
    <row r="10388" spans="2:2" ht="15.9" customHeight="1" x14ac:dyDescent="0.3">
      <c r="B10388" s="37"/>
    </row>
    <row r="10389" spans="2:2" ht="15.9" customHeight="1" x14ac:dyDescent="0.3">
      <c r="B10389" s="37"/>
    </row>
    <row r="10390" spans="2:2" ht="15.9" customHeight="1" x14ac:dyDescent="0.3">
      <c r="B10390" s="37"/>
    </row>
    <row r="10391" spans="2:2" ht="15.9" customHeight="1" x14ac:dyDescent="0.3">
      <c r="B10391" s="37"/>
    </row>
    <row r="10392" spans="2:2" ht="15.9" customHeight="1" x14ac:dyDescent="0.3">
      <c r="B10392" s="37"/>
    </row>
    <row r="10393" spans="2:2" ht="15.9" customHeight="1" x14ac:dyDescent="0.3">
      <c r="B10393" s="37"/>
    </row>
    <row r="10394" spans="2:2" ht="15.9" customHeight="1" x14ac:dyDescent="0.3">
      <c r="B10394" s="37"/>
    </row>
    <row r="10395" spans="2:2" ht="15.9" customHeight="1" x14ac:dyDescent="0.3">
      <c r="B10395" s="37"/>
    </row>
    <row r="10396" spans="2:2" ht="15.9" customHeight="1" x14ac:dyDescent="0.3">
      <c r="B10396" s="37"/>
    </row>
    <row r="10397" spans="2:2" ht="15.9" customHeight="1" x14ac:dyDescent="0.3">
      <c r="B10397" s="37"/>
    </row>
    <row r="10398" spans="2:2" ht="15.9" customHeight="1" x14ac:dyDescent="0.3">
      <c r="B10398" s="37"/>
    </row>
    <row r="10399" spans="2:2" ht="15.9" customHeight="1" x14ac:dyDescent="0.3">
      <c r="B10399" s="37"/>
    </row>
    <row r="10400" spans="2:2" ht="15.9" customHeight="1" x14ac:dyDescent="0.3">
      <c r="B10400" s="37"/>
    </row>
    <row r="10401" spans="2:2" ht="15.9" customHeight="1" x14ac:dyDescent="0.3">
      <c r="B10401" s="37"/>
    </row>
    <row r="10402" spans="2:2" ht="15.9" customHeight="1" x14ac:dyDescent="0.3">
      <c r="B10402" s="37"/>
    </row>
    <row r="10403" spans="2:2" ht="15.9" customHeight="1" x14ac:dyDescent="0.3">
      <c r="B10403" s="37"/>
    </row>
    <row r="10404" spans="2:2" ht="15.9" customHeight="1" x14ac:dyDescent="0.3">
      <c r="B10404" s="37"/>
    </row>
    <row r="10405" spans="2:2" ht="15.9" customHeight="1" x14ac:dyDescent="0.3">
      <c r="B10405" s="37"/>
    </row>
    <row r="10406" spans="2:2" ht="15.9" customHeight="1" x14ac:dyDescent="0.3">
      <c r="B10406" s="37"/>
    </row>
    <row r="10407" spans="2:2" ht="15.9" customHeight="1" x14ac:dyDescent="0.3">
      <c r="B10407" s="37"/>
    </row>
    <row r="10408" spans="2:2" ht="15.9" customHeight="1" x14ac:dyDescent="0.3">
      <c r="B10408" s="37"/>
    </row>
    <row r="10409" spans="2:2" ht="15.9" customHeight="1" x14ac:dyDescent="0.3">
      <c r="B10409" s="37"/>
    </row>
    <row r="10410" spans="2:2" ht="15.9" customHeight="1" x14ac:dyDescent="0.3">
      <c r="B10410" s="37"/>
    </row>
    <row r="10411" spans="2:2" ht="15.9" customHeight="1" x14ac:dyDescent="0.3">
      <c r="B10411" s="37"/>
    </row>
    <row r="10412" spans="2:2" ht="15.9" customHeight="1" x14ac:dyDescent="0.3">
      <c r="B10412" s="37"/>
    </row>
    <row r="10413" spans="2:2" ht="15.9" customHeight="1" x14ac:dyDescent="0.3">
      <c r="B10413" s="37"/>
    </row>
    <row r="10414" spans="2:2" ht="15.9" customHeight="1" x14ac:dyDescent="0.3">
      <c r="B10414" s="37"/>
    </row>
    <row r="10415" spans="2:2" ht="15.9" customHeight="1" x14ac:dyDescent="0.3">
      <c r="B10415" s="37"/>
    </row>
    <row r="10416" spans="2:2" ht="15.9" customHeight="1" x14ac:dyDescent="0.3">
      <c r="B10416" s="37"/>
    </row>
    <row r="10417" spans="2:2" ht="15.9" customHeight="1" x14ac:dyDescent="0.3">
      <c r="B10417" s="37"/>
    </row>
    <row r="10418" spans="2:2" ht="15.9" customHeight="1" x14ac:dyDescent="0.3">
      <c r="B10418" s="37"/>
    </row>
    <row r="10419" spans="2:2" ht="15.9" customHeight="1" x14ac:dyDescent="0.3">
      <c r="B10419" s="37"/>
    </row>
    <row r="10420" spans="2:2" ht="15.9" customHeight="1" x14ac:dyDescent="0.3">
      <c r="B10420" s="37"/>
    </row>
    <row r="10421" spans="2:2" ht="15.9" customHeight="1" x14ac:dyDescent="0.3">
      <c r="B10421" s="37"/>
    </row>
    <row r="10422" spans="2:2" ht="15.9" customHeight="1" x14ac:dyDescent="0.3">
      <c r="B10422" s="37"/>
    </row>
    <row r="10423" spans="2:2" ht="15.9" customHeight="1" x14ac:dyDescent="0.3">
      <c r="B10423" s="37"/>
    </row>
    <row r="10424" spans="2:2" ht="15.9" customHeight="1" x14ac:dyDescent="0.3">
      <c r="B10424" s="37"/>
    </row>
    <row r="10425" spans="2:2" ht="15.9" customHeight="1" x14ac:dyDescent="0.3">
      <c r="B10425" s="37"/>
    </row>
    <row r="10426" spans="2:2" ht="15.9" customHeight="1" x14ac:dyDescent="0.3">
      <c r="B10426" s="37"/>
    </row>
    <row r="10427" spans="2:2" ht="15.9" customHeight="1" x14ac:dyDescent="0.3">
      <c r="B10427" s="37"/>
    </row>
    <row r="10428" spans="2:2" ht="15.9" customHeight="1" x14ac:dyDescent="0.3">
      <c r="B10428" s="37"/>
    </row>
    <row r="10429" spans="2:2" ht="15.9" customHeight="1" x14ac:dyDescent="0.3">
      <c r="B10429" s="37"/>
    </row>
    <row r="10430" spans="2:2" ht="15.9" customHeight="1" x14ac:dyDescent="0.3">
      <c r="B10430" s="37"/>
    </row>
    <row r="10431" spans="2:2" ht="15.9" customHeight="1" x14ac:dyDescent="0.3">
      <c r="B10431" s="37"/>
    </row>
    <row r="10432" spans="2:2" ht="15.9" customHeight="1" x14ac:dyDescent="0.3">
      <c r="B10432" s="37"/>
    </row>
    <row r="10433" spans="2:2" ht="15.9" customHeight="1" x14ac:dyDescent="0.3">
      <c r="B10433" s="37"/>
    </row>
    <row r="10434" spans="2:2" ht="15.9" customHeight="1" x14ac:dyDescent="0.3">
      <c r="B10434" s="37"/>
    </row>
    <row r="10435" spans="2:2" ht="15.9" customHeight="1" x14ac:dyDescent="0.3">
      <c r="B10435" s="37"/>
    </row>
    <row r="10436" spans="2:2" ht="15.9" customHeight="1" x14ac:dyDescent="0.3">
      <c r="B10436" s="37"/>
    </row>
    <row r="10437" spans="2:2" ht="15.9" customHeight="1" x14ac:dyDescent="0.3">
      <c r="B10437" s="37"/>
    </row>
    <row r="10438" spans="2:2" ht="15.9" customHeight="1" x14ac:dyDescent="0.3">
      <c r="B10438" s="37"/>
    </row>
    <row r="10439" spans="2:2" ht="15.9" customHeight="1" x14ac:dyDescent="0.3">
      <c r="B10439" s="37"/>
    </row>
    <row r="10440" spans="2:2" ht="15.9" customHeight="1" x14ac:dyDescent="0.3">
      <c r="B10440" s="37"/>
    </row>
    <row r="10441" spans="2:2" ht="15.9" customHeight="1" x14ac:dyDescent="0.3">
      <c r="B10441" s="37"/>
    </row>
    <row r="10442" spans="2:2" ht="15.9" customHeight="1" x14ac:dyDescent="0.3">
      <c r="B10442" s="37"/>
    </row>
    <row r="10443" spans="2:2" ht="15.9" customHeight="1" x14ac:dyDescent="0.3">
      <c r="B10443" s="37"/>
    </row>
    <row r="10444" spans="2:2" ht="15.9" customHeight="1" x14ac:dyDescent="0.3">
      <c r="B10444" s="37"/>
    </row>
    <row r="10445" spans="2:2" ht="15.9" customHeight="1" x14ac:dyDescent="0.3">
      <c r="B10445" s="37"/>
    </row>
    <row r="10446" spans="2:2" ht="15.9" customHeight="1" x14ac:dyDescent="0.3">
      <c r="B10446" s="37"/>
    </row>
    <row r="10447" spans="2:2" ht="15.9" customHeight="1" x14ac:dyDescent="0.3">
      <c r="B10447" s="37"/>
    </row>
    <row r="10448" spans="2:2" ht="15.9" customHeight="1" x14ac:dyDescent="0.3">
      <c r="B10448" s="37"/>
    </row>
    <row r="10449" spans="2:2" ht="15.9" customHeight="1" x14ac:dyDescent="0.3">
      <c r="B10449" s="37"/>
    </row>
    <row r="10450" spans="2:2" ht="15.9" customHeight="1" x14ac:dyDescent="0.3">
      <c r="B10450" s="37"/>
    </row>
    <row r="10451" spans="2:2" ht="15.9" customHeight="1" x14ac:dyDescent="0.3">
      <c r="B10451" s="37"/>
    </row>
    <row r="10452" spans="2:2" ht="15.9" customHeight="1" x14ac:dyDescent="0.3">
      <c r="B10452" s="37"/>
    </row>
    <row r="10453" spans="2:2" ht="15.9" customHeight="1" x14ac:dyDescent="0.3">
      <c r="B10453" s="37"/>
    </row>
    <row r="10454" spans="2:2" ht="15.9" customHeight="1" x14ac:dyDescent="0.3">
      <c r="B10454" s="37"/>
    </row>
    <row r="10455" spans="2:2" ht="15.9" customHeight="1" x14ac:dyDescent="0.3">
      <c r="B10455" s="37"/>
    </row>
    <row r="10456" spans="2:2" ht="15.9" customHeight="1" x14ac:dyDescent="0.3">
      <c r="B10456" s="37"/>
    </row>
    <row r="10457" spans="2:2" ht="15.9" customHeight="1" x14ac:dyDescent="0.3">
      <c r="B10457" s="37"/>
    </row>
    <row r="10458" spans="2:2" ht="15.9" customHeight="1" x14ac:dyDescent="0.3">
      <c r="B10458" s="37"/>
    </row>
    <row r="10459" spans="2:2" ht="15.9" customHeight="1" x14ac:dyDescent="0.3">
      <c r="B10459" s="37"/>
    </row>
    <row r="10460" spans="2:2" ht="15.9" customHeight="1" x14ac:dyDescent="0.3">
      <c r="B10460" s="37"/>
    </row>
    <row r="10461" spans="2:2" ht="15.9" customHeight="1" x14ac:dyDescent="0.3">
      <c r="B10461" s="37"/>
    </row>
    <row r="10462" spans="2:2" ht="15.9" customHeight="1" x14ac:dyDescent="0.3">
      <c r="B10462" s="37"/>
    </row>
    <row r="10463" spans="2:2" ht="15.9" customHeight="1" x14ac:dyDescent="0.3">
      <c r="B10463" s="37"/>
    </row>
    <row r="10464" spans="2:2" ht="15.9" customHeight="1" x14ac:dyDescent="0.3">
      <c r="B10464" s="37"/>
    </row>
    <row r="10465" spans="2:2" ht="15.9" customHeight="1" x14ac:dyDescent="0.3">
      <c r="B10465" s="37"/>
    </row>
    <row r="10466" spans="2:2" ht="15.9" customHeight="1" x14ac:dyDescent="0.3">
      <c r="B10466" s="37"/>
    </row>
    <row r="10467" spans="2:2" ht="15.9" customHeight="1" x14ac:dyDescent="0.3">
      <c r="B10467" s="37"/>
    </row>
    <row r="10468" spans="2:2" ht="15.9" customHeight="1" x14ac:dyDescent="0.3">
      <c r="B10468" s="37"/>
    </row>
    <row r="10469" spans="2:2" ht="15.9" customHeight="1" x14ac:dyDescent="0.3">
      <c r="B10469" s="37"/>
    </row>
    <row r="10470" spans="2:2" ht="15.9" customHeight="1" x14ac:dyDescent="0.3">
      <c r="B10470" s="37"/>
    </row>
    <row r="10471" spans="2:2" ht="15.9" customHeight="1" x14ac:dyDescent="0.3">
      <c r="B10471" s="37"/>
    </row>
    <row r="10472" spans="2:2" ht="15.9" customHeight="1" x14ac:dyDescent="0.3">
      <c r="B10472" s="37"/>
    </row>
    <row r="10473" spans="2:2" ht="15.9" customHeight="1" x14ac:dyDescent="0.3">
      <c r="B10473" s="37"/>
    </row>
    <row r="10474" spans="2:2" ht="15.9" customHeight="1" x14ac:dyDescent="0.3">
      <c r="B10474" s="37"/>
    </row>
    <row r="10475" spans="2:2" ht="15.9" customHeight="1" x14ac:dyDescent="0.3">
      <c r="B10475" s="37"/>
    </row>
    <row r="10476" spans="2:2" ht="15.9" customHeight="1" x14ac:dyDescent="0.3">
      <c r="B10476" s="37"/>
    </row>
    <row r="10477" spans="2:2" ht="15.9" customHeight="1" x14ac:dyDescent="0.3">
      <c r="B10477" s="37"/>
    </row>
    <row r="10478" spans="2:2" ht="15.9" customHeight="1" x14ac:dyDescent="0.3">
      <c r="B10478" s="37"/>
    </row>
    <row r="10479" spans="2:2" ht="15.9" customHeight="1" x14ac:dyDescent="0.3">
      <c r="B10479" s="37"/>
    </row>
    <row r="10480" spans="2:2" ht="15.9" customHeight="1" x14ac:dyDescent="0.3">
      <c r="B10480" s="37"/>
    </row>
    <row r="10481" spans="2:2" ht="15.9" customHeight="1" x14ac:dyDescent="0.3">
      <c r="B10481" s="37"/>
    </row>
    <row r="10482" spans="2:2" ht="15.9" customHeight="1" x14ac:dyDescent="0.3">
      <c r="B10482" s="37"/>
    </row>
    <row r="10483" spans="2:2" ht="15.9" customHeight="1" x14ac:dyDescent="0.3">
      <c r="B10483" s="37"/>
    </row>
    <row r="10484" spans="2:2" ht="15.9" customHeight="1" x14ac:dyDescent="0.3">
      <c r="B10484" s="37"/>
    </row>
    <row r="10485" spans="2:2" ht="15.9" customHeight="1" x14ac:dyDescent="0.3">
      <c r="B10485" s="37"/>
    </row>
    <row r="10486" spans="2:2" ht="15.9" customHeight="1" x14ac:dyDescent="0.3">
      <c r="B10486" s="37"/>
    </row>
    <row r="10487" spans="2:2" ht="15.9" customHeight="1" x14ac:dyDescent="0.3">
      <c r="B10487" s="37"/>
    </row>
    <row r="10488" spans="2:2" ht="15.9" customHeight="1" x14ac:dyDescent="0.3">
      <c r="B10488" s="37"/>
    </row>
    <row r="10489" spans="2:2" ht="15.9" customHeight="1" x14ac:dyDescent="0.3">
      <c r="B10489" s="37"/>
    </row>
    <row r="10490" spans="2:2" ht="15.9" customHeight="1" x14ac:dyDescent="0.3">
      <c r="B10490" s="37"/>
    </row>
    <row r="10491" spans="2:2" ht="15.9" customHeight="1" x14ac:dyDescent="0.3">
      <c r="B10491" s="37"/>
    </row>
    <row r="10492" spans="2:2" ht="15.9" customHeight="1" x14ac:dyDescent="0.3">
      <c r="B10492" s="37"/>
    </row>
    <row r="10493" spans="2:2" ht="15.9" customHeight="1" x14ac:dyDescent="0.3">
      <c r="B10493" s="37"/>
    </row>
    <row r="10494" spans="2:2" ht="15.9" customHeight="1" x14ac:dyDescent="0.3">
      <c r="B10494" s="37"/>
    </row>
    <row r="10495" spans="2:2" ht="15.9" customHeight="1" x14ac:dyDescent="0.3">
      <c r="B10495" s="37"/>
    </row>
    <row r="10496" spans="2:2" ht="15.9" customHeight="1" x14ac:dyDescent="0.3">
      <c r="B10496" s="37"/>
    </row>
    <row r="10497" spans="2:2" ht="15.9" customHeight="1" x14ac:dyDescent="0.3">
      <c r="B10497" s="37"/>
    </row>
    <row r="10498" spans="2:2" ht="15.9" customHeight="1" x14ac:dyDescent="0.3">
      <c r="B10498" s="37"/>
    </row>
    <row r="10499" spans="2:2" ht="15.9" customHeight="1" x14ac:dyDescent="0.3">
      <c r="B10499" s="37"/>
    </row>
    <row r="10500" spans="2:2" ht="15.9" customHeight="1" x14ac:dyDescent="0.3">
      <c r="B10500" s="37"/>
    </row>
    <row r="10501" spans="2:2" ht="15.9" customHeight="1" x14ac:dyDescent="0.3">
      <c r="B10501" s="37"/>
    </row>
    <row r="10502" spans="2:2" ht="15.9" customHeight="1" x14ac:dyDescent="0.3">
      <c r="B10502" s="37"/>
    </row>
    <row r="10503" spans="2:2" ht="15.9" customHeight="1" x14ac:dyDescent="0.3">
      <c r="B10503" s="37"/>
    </row>
    <row r="10504" spans="2:2" ht="15.9" customHeight="1" x14ac:dyDescent="0.3">
      <c r="B10504" s="37"/>
    </row>
    <row r="10505" spans="2:2" ht="15.9" customHeight="1" x14ac:dyDescent="0.3">
      <c r="B10505" s="37"/>
    </row>
    <row r="10506" spans="2:2" ht="15.9" customHeight="1" x14ac:dyDescent="0.3">
      <c r="B10506" s="37"/>
    </row>
    <row r="10507" spans="2:2" ht="15.9" customHeight="1" x14ac:dyDescent="0.3">
      <c r="B10507" s="37"/>
    </row>
    <row r="10508" spans="2:2" ht="15.9" customHeight="1" x14ac:dyDescent="0.3">
      <c r="B10508" s="37"/>
    </row>
    <row r="10509" spans="2:2" ht="15.9" customHeight="1" x14ac:dyDescent="0.3">
      <c r="B10509" s="37"/>
    </row>
    <row r="10510" spans="2:2" ht="15.9" customHeight="1" x14ac:dyDescent="0.3">
      <c r="B10510" s="37"/>
    </row>
    <row r="10511" spans="2:2" ht="15.9" customHeight="1" x14ac:dyDescent="0.3">
      <c r="B10511" s="37"/>
    </row>
    <row r="10512" spans="2:2" ht="15.9" customHeight="1" x14ac:dyDescent="0.3">
      <c r="B10512" s="37"/>
    </row>
    <row r="10513" spans="2:2" ht="15.9" customHeight="1" x14ac:dyDescent="0.3">
      <c r="B10513" s="37"/>
    </row>
    <row r="10514" spans="2:2" ht="15.9" customHeight="1" x14ac:dyDescent="0.3">
      <c r="B10514" s="37"/>
    </row>
    <row r="10515" spans="2:2" ht="15.9" customHeight="1" x14ac:dyDescent="0.3">
      <c r="B10515" s="37"/>
    </row>
    <row r="10516" spans="2:2" ht="15.9" customHeight="1" x14ac:dyDescent="0.3">
      <c r="B10516" s="37"/>
    </row>
    <row r="10517" spans="2:2" ht="15.9" customHeight="1" x14ac:dyDescent="0.3">
      <c r="B10517" s="37"/>
    </row>
    <row r="10518" spans="2:2" ht="15.9" customHeight="1" x14ac:dyDescent="0.3">
      <c r="B10518" s="37"/>
    </row>
    <row r="10519" spans="2:2" ht="15.9" customHeight="1" x14ac:dyDescent="0.3">
      <c r="B10519" s="37"/>
    </row>
    <row r="10520" spans="2:2" ht="15.9" customHeight="1" x14ac:dyDescent="0.3">
      <c r="B10520" s="37"/>
    </row>
    <row r="10521" spans="2:2" ht="15.9" customHeight="1" x14ac:dyDescent="0.3">
      <c r="B10521" s="37"/>
    </row>
    <row r="10522" spans="2:2" ht="15.9" customHeight="1" x14ac:dyDescent="0.3">
      <c r="B10522" s="37"/>
    </row>
    <row r="10523" spans="2:2" ht="15.9" customHeight="1" x14ac:dyDescent="0.3">
      <c r="B10523" s="37"/>
    </row>
    <row r="10524" spans="2:2" ht="15.9" customHeight="1" x14ac:dyDescent="0.3">
      <c r="B10524" s="37"/>
    </row>
    <row r="10525" spans="2:2" ht="15.9" customHeight="1" x14ac:dyDescent="0.3">
      <c r="B10525" s="37"/>
    </row>
    <row r="10526" spans="2:2" ht="15.9" customHeight="1" x14ac:dyDescent="0.3">
      <c r="B10526" s="37"/>
    </row>
    <row r="10527" spans="2:2" ht="15.9" customHeight="1" x14ac:dyDescent="0.3">
      <c r="B10527" s="37"/>
    </row>
    <row r="10528" spans="2:2" ht="15.9" customHeight="1" x14ac:dyDescent="0.3">
      <c r="B10528" s="37"/>
    </row>
    <row r="10529" spans="2:2" ht="15.9" customHeight="1" x14ac:dyDescent="0.3">
      <c r="B10529" s="37"/>
    </row>
    <row r="10530" spans="2:2" ht="15.9" customHeight="1" x14ac:dyDescent="0.3">
      <c r="B10530" s="37"/>
    </row>
    <row r="10531" spans="2:2" ht="15.9" customHeight="1" x14ac:dyDescent="0.3">
      <c r="B10531" s="37"/>
    </row>
    <row r="10532" spans="2:2" ht="15.9" customHeight="1" x14ac:dyDescent="0.3">
      <c r="B10532" s="37"/>
    </row>
    <row r="10533" spans="2:2" ht="15.9" customHeight="1" x14ac:dyDescent="0.3">
      <c r="B10533" s="37"/>
    </row>
    <row r="10534" spans="2:2" ht="15.9" customHeight="1" x14ac:dyDescent="0.3">
      <c r="B10534" s="37"/>
    </row>
    <row r="10535" spans="2:2" ht="15.9" customHeight="1" x14ac:dyDescent="0.3">
      <c r="B10535" s="37"/>
    </row>
    <row r="10536" spans="2:2" ht="15.9" customHeight="1" x14ac:dyDescent="0.3">
      <c r="B10536" s="37"/>
    </row>
    <row r="10537" spans="2:2" ht="15.9" customHeight="1" x14ac:dyDescent="0.3">
      <c r="B10537" s="37"/>
    </row>
    <row r="10538" spans="2:2" ht="15.9" customHeight="1" x14ac:dyDescent="0.3">
      <c r="B10538" s="37"/>
    </row>
    <row r="10539" spans="2:2" ht="15.9" customHeight="1" x14ac:dyDescent="0.3">
      <c r="B10539" s="37"/>
    </row>
    <row r="10540" spans="2:2" ht="15.9" customHeight="1" x14ac:dyDescent="0.3">
      <c r="B10540" s="37"/>
    </row>
    <row r="10541" spans="2:2" ht="15.9" customHeight="1" x14ac:dyDescent="0.3">
      <c r="B10541" s="37"/>
    </row>
    <row r="10542" spans="2:2" ht="15.9" customHeight="1" x14ac:dyDescent="0.3">
      <c r="B10542" s="37"/>
    </row>
    <row r="10543" spans="2:2" ht="15.9" customHeight="1" x14ac:dyDescent="0.3">
      <c r="B10543" s="37"/>
    </row>
    <row r="10544" spans="2:2" ht="15.9" customHeight="1" x14ac:dyDescent="0.3">
      <c r="B10544" s="37"/>
    </row>
    <row r="10545" spans="2:2" ht="15.9" customHeight="1" x14ac:dyDescent="0.3">
      <c r="B10545" s="37"/>
    </row>
    <row r="10546" spans="2:2" ht="15.9" customHeight="1" x14ac:dyDescent="0.3">
      <c r="B10546" s="37"/>
    </row>
    <row r="10547" spans="2:2" ht="15.9" customHeight="1" x14ac:dyDescent="0.3">
      <c r="B10547" s="37"/>
    </row>
    <row r="10548" spans="2:2" ht="15.9" customHeight="1" x14ac:dyDescent="0.3">
      <c r="B10548" s="37"/>
    </row>
    <row r="10549" spans="2:2" ht="15.9" customHeight="1" x14ac:dyDescent="0.3">
      <c r="B10549" s="37"/>
    </row>
    <row r="10550" spans="2:2" ht="15.9" customHeight="1" x14ac:dyDescent="0.3">
      <c r="B10550" s="37"/>
    </row>
    <row r="10551" spans="2:2" ht="15.9" customHeight="1" x14ac:dyDescent="0.3">
      <c r="B10551" s="37"/>
    </row>
    <row r="10552" spans="2:2" ht="15.9" customHeight="1" x14ac:dyDescent="0.3">
      <c r="B10552" s="37"/>
    </row>
    <row r="10553" spans="2:2" ht="15.9" customHeight="1" x14ac:dyDescent="0.3">
      <c r="B10553" s="37"/>
    </row>
    <row r="10554" spans="2:2" ht="15.9" customHeight="1" x14ac:dyDescent="0.3">
      <c r="B10554" s="37"/>
    </row>
    <row r="10555" spans="2:2" ht="15.9" customHeight="1" x14ac:dyDescent="0.3">
      <c r="B10555" s="37"/>
    </row>
    <row r="10556" spans="2:2" ht="15.9" customHeight="1" x14ac:dyDescent="0.3">
      <c r="B10556" s="37"/>
    </row>
    <row r="10557" spans="2:2" ht="15.9" customHeight="1" x14ac:dyDescent="0.3">
      <c r="B10557" s="37"/>
    </row>
    <row r="10558" spans="2:2" ht="15.9" customHeight="1" x14ac:dyDescent="0.3">
      <c r="B10558" s="37"/>
    </row>
    <row r="10559" spans="2:2" ht="15.9" customHeight="1" x14ac:dyDescent="0.3">
      <c r="B10559" s="37"/>
    </row>
    <row r="10560" spans="2:2" ht="15.9" customHeight="1" x14ac:dyDescent="0.3">
      <c r="B10560" s="37"/>
    </row>
    <row r="10561" spans="2:2" ht="15.9" customHeight="1" x14ac:dyDescent="0.3">
      <c r="B10561" s="37"/>
    </row>
    <row r="10562" spans="2:2" ht="15.9" customHeight="1" x14ac:dyDescent="0.3">
      <c r="B10562" s="37"/>
    </row>
    <row r="10563" spans="2:2" ht="15.9" customHeight="1" x14ac:dyDescent="0.3">
      <c r="B10563" s="37"/>
    </row>
    <row r="10564" spans="2:2" ht="15.9" customHeight="1" x14ac:dyDescent="0.3">
      <c r="B10564" s="37"/>
    </row>
    <row r="10565" spans="2:2" ht="15.9" customHeight="1" x14ac:dyDescent="0.3">
      <c r="B10565" s="37"/>
    </row>
    <row r="10566" spans="2:2" ht="15.9" customHeight="1" x14ac:dyDescent="0.3">
      <c r="B10566" s="37"/>
    </row>
    <row r="10567" spans="2:2" ht="15.9" customHeight="1" x14ac:dyDescent="0.3">
      <c r="B10567" s="37"/>
    </row>
    <row r="10568" spans="2:2" ht="15.9" customHeight="1" x14ac:dyDescent="0.3">
      <c r="B10568" s="37"/>
    </row>
    <row r="10569" spans="2:2" ht="15.9" customHeight="1" x14ac:dyDescent="0.3">
      <c r="B10569" s="37"/>
    </row>
    <row r="10570" spans="2:2" ht="15.9" customHeight="1" x14ac:dyDescent="0.3">
      <c r="B10570" s="37"/>
    </row>
    <row r="10571" spans="2:2" ht="15.9" customHeight="1" x14ac:dyDescent="0.3">
      <c r="B10571" s="37"/>
    </row>
    <row r="10572" spans="2:2" ht="15.9" customHeight="1" x14ac:dyDescent="0.3">
      <c r="B10572" s="37"/>
    </row>
    <row r="10573" spans="2:2" ht="15.9" customHeight="1" x14ac:dyDescent="0.3">
      <c r="B10573" s="37"/>
    </row>
    <row r="10574" spans="2:2" ht="15.9" customHeight="1" x14ac:dyDescent="0.3">
      <c r="B10574" s="37"/>
    </row>
    <row r="10575" spans="2:2" ht="15.9" customHeight="1" x14ac:dyDescent="0.3">
      <c r="B10575" s="37"/>
    </row>
    <row r="10576" spans="2:2" ht="15.9" customHeight="1" x14ac:dyDescent="0.3">
      <c r="B10576" s="37"/>
    </row>
    <row r="10577" spans="2:2" ht="15.9" customHeight="1" x14ac:dyDescent="0.3">
      <c r="B10577" s="37"/>
    </row>
    <row r="10578" spans="2:2" ht="15.9" customHeight="1" x14ac:dyDescent="0.3">
      <c r="B10578" s="37"/>
    </row>
    <row r="10579" spans="2:2" ht="15.9" customHeight="1" x14ac:dyDescent="0.3">
      <c r="B10579" s="37"/>
    </row>
    <row r="10580" spans="2:2" ht="15.9" customHeight="1" x14ac:dyDescent="0.3">
      <c r="B10580" s="37"/>
    </row>
    <row r="10581" spans="2:2" ht="15.9" customHeight="1" x14ac:dyDescent="0.3">
      <c r="B10581" s="37"/>
    </row>
    <row r="10582" spans="2:2" ht="15.9" customHeight="1" x14ac:dyDescent="0.3">
      <c r="B10582" s="37"/>
    </row>
    <row r="10583" spans="2:2" ht="15.9" customHeight="1" x14ac:dyDescent="0.3">
      <c r="B10583" s="37"/>
    </row>
    <row r="10584" spans="2:2" ht="15.9" customHeight="1" x14ac:dyDescent="0.3">
      <c r="B10584" s="37"/>
    </row>
    <row r="10585" spans="2:2" ht="15.9" customHeight="1" x14ac:dyDescent="0.3">
      <c r="B10585" s="37"/>
    </row>
    <row r="10586" spans="2:2" ht="15.9" customHeight="1" x14ac:dyDescent="0.3">
      <c r="B10586" s="37"/>
    </row>
    <row r="10587" spans="2:2" ht="15.9" customHeight="1" x14ac:dyDescent="0.3">
      <c r="B10587" s="37"/>
    </row>
    <row r="10588" spans="2:2" ht="15.9" customHeight="1" x14ac:dyDescent="0.3">
      <c r="B10588" s="37"/>
    </row>
    <row r="10589" spans="2:2" ht="15.9" customHeight="1" x14ac:dyDescent="0.3">
      <c r="B10589" s="37"/>
    </row>
    <row r="10590" spans="2:2" ht="15.9" customHeight="1" x14ac:dyDescent="0.3">
      <c r="B10590" s="37"/>
    </row>
    <row r="10591" spans="2:2" ht="15.9" customHeight="1" x14ac:dyDescent="0.3">
      <c r="B10591" s="37"/>
    </row>
    <row r="10592" spans="2:2" ht="15.9" customHeight="1" x14ac:dyDescent="0.3">
      <c r="B10592" s="37"/>
    </row>
    <row r="10593" spans="2:2" ht="15.9" customHeight="1" x14ac:dyDescent="0.3">
      <c r="B10593" s="37"/>
    </row>
    <row r="10594" spans="2:2" ht="15.9" customHeight="1" x14ac:dyDescent="0.3">
      <c r="B10594" s="37"/>
    </row>
    <row r="10595" spans="2:2" ht="15.9" customHeight="1" x14ac:dyDescent="0.3">
      <c r="B10595" s="37"/>
    </row>
    <row r="10596" spans="2:2" ht="15.9" customHeight="1" x14ac:dyDescent="0.3">
      <c r="B10596" s="37"/>
    </row>
    <row r="10597" spans="2:2" ht="15.9" customHeight="1" x14ac:dyDescent="0.3">
      <c r="B10597" s="37"/>
    </row>
    <row r="10598" spans="2:2" ht="15.9" customHeight="1" x14ac:dyDescent="0.3">
      <c r="B10598" s="37"/>
    </row>
    <row r="10599" spans="2:2" ht="15.9" customHeight="1" x14ac:dyDescent="0.3">
      <c r="B10599" s="37"/>
    </row>
    <row r="10600" spans="2:2" ht="15.9" customHeight="1" x14ac:dyDescent="0.3">
      <c r="B10600" s="37"/>
    </row>
    <row r="10601" spans="2:2" ht="15.9" customHeight="1" x14ac:dyDescent="0.3">
      <c r="B10601" s="37"/>
    </row>
    <row r="10602" spans="2:2" ht="15.9" customHeight="1" x14ac:dyDescent="0.3">
      <c r="B10602" s="37"/>
    </row>
    <row r="10603" spans="2:2" ht="15.9" customHeight="1" x14ac:dyDescent="0.3">
      <c r="B10603" s="37"/>
    </row>
    <row r="10604" spans="2:2" ht="15.9" customHeight="1" x14ac:dyDescent="0.3">
      <c r="B10604" s="37"/>
    </row>
    <row r="10605" spans="2:2" ht="15.9" customHeight="1" x14ac:dyDescent="0.3">
      <c r="B10605" s="37"/>
    </row>
    <row r="10606" spans="2:2" ht="15.9" customHeight="1" x14ac:dyDescent="0.3">
      <c r="B10606" s="37"/>
    </row>
    <row r="10607" spans="2:2" ht="15.9" customHeight="1" x14ac:dyDescent="0.3">
      <c r="B10607" s="37"/>
    </row>
    <row r="10608" spans="2:2" ht="15.9" customHeight="1" x14ac:dyDescent="0.3">
      <c r="B10608" s="37"/>
    </row>
    <row r="10609" spans="2:2" ht="15.9" customHeight="1" x14ac:dyDescent="0.3">
      <c r="B10609" s="37"/>
    </row>
    <row r="10610" spans="2:2" ht="15.9" customHeight="1" x14ac:dyDescent="0.3">
      <c r="B10610" s="37"/>
    </row>
    <row r="10611" spans="2:2" ht="15.9" customHeight="1" x14ac:dyDescent="0.3">
      <c r="B10611" s="37"/>
    </row>
    <row r="10612" spans="2:2" ht="15.9" customHeight="1" x14ac:dyDescent="0.3">
      <c r="B10612" s="37"/>
    </row>
    <row r="10613" spans="2:2" ht="15.9" customHeight="1" x14ac:dyDescent="0.3">
      <c r="B10613" s="37"/>
    </row>
    <row r="10614" spans="2:2" ht="15.9" customHeight="1" x14ac:dyDescent="0.3">
      <c r="B10614" s="37"/>
    </row>
    <row r="10615" spans="2:2" ht="15.9" customHeight="1" x14ac:dyDescent="0.3">
      <c r="B10615" s="37"/>
    </row>
    <row r="10616" spans="2:2" ht="15.9" customHeight="1" x14ac:dyDescent="0.3">
      <c r="B10616" s="37"/>
    </row>
    <row r="10617" spans="2:2" ht="15.9" customHeight="1" x14ac:dyDescent="0.3">
      <c r="B10617" s="37"/>
    </row>
    <row r="10618" spans="2:2" ht="15.9" customHeight="1" x14ac:dyDescent="0.3">
      <c r="B10618" s="37"/>
    </row>
    <row r="10619" spans="2:2" ht="15.9" customHeight="1" x14ac:dyDescent="0.3">
      <c r="B10619" s="37"/>
    </row>
    <row r="10620" spans="2:2" ht="15.9" customHeight="1" x14ac:dyDescent="0.3">
      <c r="B10620" s="37"/>
    </row>
    <row r="10621" spans="2:2" ht="15.9" customHeight="1" x14ac:dyDescent="0.3">
      <c r="B10621" s="37"/>
    </row>
    <row r="10622" spans="2:2" ht="15.9" customHeight="1" x14ac:dyDescent="0.3">
      <c r="B10622" s="37"/>
    </row>
    <row r="10623" spans="2:2" ht="15.9" customHeight="1" x14ac:dyDescent="0.3">
      <c r="B10623" s="37"/>
    </row>
    <row r="10624" spans="2:2" ht="15.9" customHeight="1" x14ac:dyDescent="0.3">
      <c r="B10624" s="37"/>
    </row>
    <row r="10625" spans="2:2" ht="15.9" customHeight="1" x14ac:dyDescent="0.3">
      <c r="B10625" s="37"/>
    </row>
    <row r="10626" spans="2:2" ht="15.9" customHeight="1" x14ac:dyDescent="0.3">
      <c r="B10626" s="37"/>
    </row>
    <row r="10627" spans="2:2" ht="15.9" customHeight="1" x14ac:dyDescent="0.3">
      <c r="B10627" s="37"/>
    </row>
    <row r="10628" spans="2:2" ht="15.9" customHeight="1" x14ac:dyDescent="0.3">
      <c r="B10628" s="37"/>
    </row>
    <row r="10629" spans="2:2" ht="15.9" customHeight="1" x14ac:dyDescent="0.3">
      <c r="B10629" s="37"/>
    </row>
    <row r="10630" spans="2:2" ht="15.9" customHeight="1" x14ac:dyDescent="0.3">
      <c r="B10630" s="37"/>
    </row>
    <row r="10631" spans="2:2" ht="15.9" customHeight="1" x14ac:dyDescent="0.3">
      <c r="B10631" s="37"/>
    </row>
    <row r="10632" spans="2:2" ht="15.9" customHeight="1" x14ac:dyDescent="0.3">
      <c r="B10632" s="37"/>
    </row>
    <row r="10633" spans="2:2" ht="15.9" customHeight="1" x14ac:dyDescent="0.3">
      <c r="B10633" s="37"/>
    </row>
    <row r="10634" spans="2:2" ht="15.9" customHeight="1" x14ac:dyDescent="0.3">
      <c r="B10634" s="37"/>
    </row>
    <row r="10635" spans="2:2" ht="15.9" customHeight="1" x14ac:dyDescent="0.3">
      <c r="B10635" s="37"/>
    </row>
    <row r="10636" spans="2:2" ht="15.9" customHeight="1" x14ac:dyDescent="0.3">
      <c r="B10636" s="37"/>
    </row>
    <row r="10637" spans="2:2" ht="15.9" customHeight="1" x14ac:dyDescent="0.3">
      <c r="B10637" s="37"/>
    </row>
    <row r="10638" spans="2:2" ht="15.9" customHeight="1" x14ac:dyDescent="0.3">
      <c r="B10638" s="37"/>
    </row>
    <row r="10639" spans="2:2" ht="15.9" customHeight="1" x14ac:dyDescent="0.3">
      <c r="B10639" s="37"/>
    </row>
    <row r="10640" spans="2:2" ht="15.9" customHeight="1" x14ac:dyDescent="0.3">
      <c r="B10640" s="37"/>
    </row>
    <row r="10641" spans="2:2" ht="15.9" customHeight="1" x14ac:dyDescent="0.3">
      <c r="B10641" s="37"/>
    </row>
    <row r="10642" spans="2:2" ht="15.9" customHeight="1" x14ac:dyDescent="0.3">
      <c r="B10642" s="37"/>
    </row>
    <row r="10643" spans="2:2" ht="15.9" customHeight="1" x14ac:dyDescent="0.3">
      <c r="B10643" s="37"/>
    </row>
    <row r="10644" spans="2:2" ht="15.9" customHeight="1" x14ac:dyDescent="0.3">
      <c r="B10644" s="37"/>
    </row>
    <row r="10645" spans="2:2" ht="15.9" customHeight="1" x14ac:dyDescent="0.3">
      <c r="B10645" s="37"/>
    </row>
    <row r="10646" spans="2:2" ht="15.9" customHeight="1" x14ac:dyDescent="0.3">
      <c r="B10646" s="37"/>
    </row>
    <row r="10647" spans="2:2" ht="15.9" customHeight="1" x14ac:dyDescent="0.3">
      <c r="B10647" s="37"/>
    </row>
    <row r="10648" spans="2:2" ht="15.9" customHeight="1" x14ac:dyDescent="0.3">
      <c r="B10648" s="37"/>
    </row>
    <row r="10649" spans="2:2" ht="15.9" customHeight="1" x14ac:dyDescent="0.3">
      <c r="B10649" s="37"/>
    </row>
    <row r="10650" spans="2:2" ht="15.9" customHeight="1" x14ac:dyDescent="0.3">
      <c r="B10650" s="37"/>
    </row>
    <row r="10651" spans="2:2" ht="15.9" customHeight="1" x14ac:dyDescent="0.3">
      <c r="B10651" s="37"/>
    </row>
    <row r="10652" spans="2:2" ht="15.9" customHeight="1" x14ac:dyDescent="0.3">
      <c r="B10652" s="37"/>
    </row>
    <row r="10653" spans="2:2" ht="15.9" customHeight="1" x14ac:dyDescent="0.3">
      <c r="B10653" s="37"/>
    </row>
    <row r="10654" spans="2:2" ht="15.9" customHeight="1" x14ac:dyDescent="0.3">
      <c r="B10654" s="37"/>
    </row>
    <row r="10655" spans="2:2" ht="15.9" customHeight="1" x14ac:dyDescent="0.3">
      <c r="B10655" s="37"/>
    </row>
    <row r="10656" spans="2:2" ht="15.9" customHeight="1" x14ac:dyDescent="0.3">
      <c r="B10656" s="37"/>
    </row>
    <row r="10657" spans="2:2" ht="15.9" customHeight="1" x14ac:dyDescent="0.3">
      <c r="B10657" s="37"/>
    </row>
    <row r="10658" spans="2:2" ht="15.9" customHeight="1" x14ac:dyDescent="0.3">
      <c r="B10658" s="37"/>
    </row>
    <row r="10659" spans="2:2" ht="15.9" customHeight="1" x14ac:dyDescent="0.3">
      <c r="B10659" s="37"/>
    </row>
    <row r="10660" spans="2:2" ht="15.9" customHeight="1" x14ac:dyDescent="0.3">
      <c r="B10660" s="37"/>
    </row>
    <row r="10661" spans="2:2" ht="15.9" customHeight="1" x14ac:dyDescent="0.3">
      <c r="B10661" s="37"/>
    </row>
    <row r="10662" spans="2:2" ht="15.9" customHeight="1" x14ac:dyDescent="0.3">
      <c r="B10662" s="37"/>
    </row>
    <row r="10663" spans="2:2" ht="15.9" customHeight="1" x14ac:dyDescent="0.3">
      <c r="B10663" s="37"/>
    </row>
    <row r="10664" spans="2:2" ht="15.9" customHeight="1" x14ac:dyDescent="0.3">
      <c r="B10664" s="37"/>
    </row>
    <row r="10665" spans="2:2" ht="15.9" customHeight="1" x14ac:dyDescent="0.3">
      <c r="B10665" s="37"/>
    </row>
    <row r="10666" spans="2:2" ht="15.9" customHeight="1" x14ac:dyDescent="0.3">
      <c r="B10666" s="37"/>
    </row>
    <row r="10667" spans="2:2" ht="15.9" customHeight="1" x14ac:dyDescent="0.3">
      <c r="B10667" s="37"/>
    </row>
    <row r="10668" spans="2:2" ht="15.9" customHeight="1" x14ac:dyDescent="0.3">
      <c r="B10668" s="37"/>
    </row>
    <row r="10669" spans="2:2" ht="15.9" customHeight="1" x14ac:dyDescent="0.3">
      <c r="B10669" s="37"/>
    </row>
    <row r="10670" spans="2:2" ht="15.9" customHeight="1" x14ac:dyDescent="0.3">
      <c r="B10670" s="37"/>
    </row>
    <row r="10671" spans="2:2" ht="15.9" customHeight="1" x14ac:dyDescent="0.3">
      <c r="B10671" s="37"/>
    </row>
    <row r="10672" spans="2:2" ht="15.9" customHeight="1" x14ac:dyDescent="0.3">
      <c r="B10672" s="37"/>
    </row>
    <row r="10673" spans="2:2" ht="15.9" customHeight="1" x14ac:dyDescent="0.3">
      <c r="B10673" s="37"/>
    </row>
    <row r="10674" spans="2:2" ht="15.9" customHeight="1" x14ac:dyDescent="0.3">
      <c r="B10674" s="37"/>
    </row>
    <row r="10675" spans="2:2" ht="15.9" customHeight="1" x14ac:dyDescent="0.3">
      <c r="B10675" s="37"/>
    </row>
    <row r="10676" spans="2:2" ht="15.9" customHeight="1" x14ac:dyDescent="0.3">
      <c r="B10676" s="37"/>
    </row>
    <row r="10677" spans="2:2" ht="15.9" customHeight="1" x14ac:dyDescent="0.3">
      <c r="B10677" s="37"/>
    </row>
    <row r="10678" spans="2:2" ht="15.9" customHeight="1" x14ac:dyDescent="0.3">
      <c r="B10678" s="37"/>
    </row>
    <row r="10679" spans="2:2" ht="15.9" customHeight="1" x14ac:dyDescent="0.3">
      <c r="B10679" s="37"/>
    </row>
    <row r="10680" spans="2:2" ht="15.9" customHeight="1" x14ac:dyDescent="0.3">
      <c r="B10680" s="37"/>
    </row>
    <row r="10681" spans="2:2" ht="15.9" customHeight="1" x14ac:dyDescent="0.3">
      <c r="B10681" s="37"/>
    </row>
    <row r="10682" spans="2:2" ht="15.9" customHeight="1" x14ac:dyDescent="0.3">
      <c r="B10682" s="37"/>
    </row>
    <row r="10683" spans="2:2" ht="15.9" customHeight="1" x14ac:dyDescent="0.3">
      <c r="B10683" s="37"/>
    </row>
    <row r="10684" spans="2:2" ht="15.9" customHeight="1" x14ac:dyDescent="0.3">
      <c r="B10684" s="37"/>
    </row>
    <row r="10685" spans="2:2" ht="15.9" customHeight="1" x14ac:dyDescent="0.3">
      <c r="B10685" s="37"/>
    </row>
    <row r="10686" spans="2:2" ht="15.9" customHeight="1" x14ac:dyDescent="0.3">
      <c r="B10686" s="37"/>
    </row>
    <row r="10687" spans="2:2" ht="15.9" customHeight="1" x14ac:dyDescent="0.3">
      <c r="B10687" s="37"/>
    </row>
    <row r="10688" spans="2:2" ht="15.9" customHeight="1" x14ac:dyDescent="0.3">
      <c r="B10688" s="37"/>
    </row>
    <row r="10689" spans="2:2" ht="15.9" customHeight="1" x14ac:dyDescent="0.3">
      <c r="B10689" s="37"/>
    </row>
    <row r="10690" spans="2:2" ht="15.9" customHeight="1" x14ac:dyDescent="0.3">
      <c r="B10690" s="37"/>
    </row>
    <row r="10691" spans="2:2" ht="15.9" customHeight="1" x14ac:dyDescent="0.3">
      <c r="B10691" s="37"/>
    </row>
    <row r="10692" spans="2:2" ht="15.9" customHeight="1" x14ac:dyDescent="0.3">
      <c r="B10692" s="37"/>
    </row>
    <row r="10693" spans="2:2" ht="15.9" customHeight="1" x14ac:dyDescent="0.3">
      <c r="B10693" s="37"/>
    </row>
    <row r="10694" spans="2:2" ht="15.9" customHeight="1" x14ac:dyDescent="0.3">
      <c r="B10694" s="37"/>
    </row>
    <row r="10695" spans="2:2" ht="15.9" customHeight="1" x14ac:dyDescent="0.3">
      <c r="B10695" s="37"/>
    </row>
    <row r="10696" spans="2:2" ht="15.9" customHeight="1" x14ac:dyDescent="0.3">
      <c r="B10696" s="37"/>
    </row>
    <row r="10697" spans="2:2" ht="15.9" customHeight="1" x14ac:dyDescent="0.3">
      <c r="B10697" s="37"/>
    </row>
    <row r="10698" spans="2:2" ht="15.9" customHeight="1" x14ac:dyDescent="0.3">
      <c r="B10698" s="37"/>
    </row>
    <row r="10699" spans="2:2" ht="15.9" customHeight="1" x14ac:dyDescent="0.3">
      <c r="B10699" s="37"/>
    </row>
    <row r="10700" spans="2:2" ht="15.9" customHeight="1" x14ac:dyDescent="0.3">
      <c r="B10700" s="37"/>
    </row>
    <row r="10701" spans="2:2" ht="15.9" customHeight="1" x14ac:dyDescent="0.3">
      <c r="B10701" s="37"/>
    </row>
    <row r="10702" spans="2:2" ht="15.9" customHeight="1" x14ac:dyDescent="0.3">
      <c r="B10702" s="37"/>
    </row>
    <row r="10703" spans="2:2" ht="15.9" customHeight="1" x14ac:dyDescent="0.3">
      <c r="B10703" s="37"/>
    </row>
    <row r="10704" spans="2:2" ht="15.9" customHeight="1" x14ac:dyDescent="0.3">
      <c r="B10704" s="37"/>
    </row>
    <row r="10705" spans="2:2" ht="15.9" customHeight="1" x14ac:dyDescent="0.3">
      <c r="B10705" s="37"/>
    </row>
    <row r="10706" spans="2:2" ht="15.9" customHeight="1" x14ac:dyDescent="0.3">
      <c r="B10706" s="37"/>
    </row>
    <row r="10707" spans="2:2" ht="15.9" customHeight="1" x14ac:dyDescent="0.3">
      <c r="B10707" s="37"/>
    </row>
    <row r="10708" spans="2:2" ht="15.9" customHeight="1" x14ac:dyDescent="0.3">
      <c r="B10708" s="37"/>
    </row>
    <row r="10709" spans="2:2" ht="15.9" customHeight="1" x14ac:dyDescent="0.3">
      <c r="B10709" s="37"/>
    </row>
    <row r="10710" spans="2:2" ht="15.9" customHeight="1" x14ac:dyDescent="0.3">
      <c r="B10710" s="37"/>
    </row>
    <row r="10711" spans="2:2" ht="15.9" customHeight="1" x14ac:dyDescent="0.3">
      <c r="B10711" s="37"/>
    </row>
    <row r="10712" spans="2:2" ht="15.9" customHeight="1" x14ac:dyDescent="0.3">
      <c r="B10712" s="37"/>
    </row>
    <row r="10713" spans="2:2" ht="15.9" customHeight="1" x14ac:dyDescent="0.3">
      <c r="B10713" s="37"/>
    </row>
    <row r="10714" spans="2:2" ht="15.9" customHeight="1" x14ac:dyDescent="0.3">
      <c r="B10714" s="37"/>
    </row>
    <row r="10715" spans="2:2" ht="15.9" customHeight="1" x14ac:dyDescent="0.3">
      <c r="B10715" s="37"/>
    </row>
    <row r="10716" spans="2:2" ht="15.9" customHeight="1" x14ac:dyDescent="0.3">
      <c r="B10716" s="37"/>
    </row>
    <row r="10717" spans="2:2" ht="15.9" customHeight="1" x14ac:dyDescent="0.3">
      <c r="B10717" s="37"/>
    </row>
    <row r="10718" spans="2:2" ht="15.9" customHeight="1" x14ac:dyDescent="0.3">
      <c r="B10718" s="37"/>
    </row>
    <row r="10719" spans="2:2" ht="15.9" customHeight="1" x14ac:dyDescent="0.3">
      <c r="B10719" s="37"/>
    </row>
    <row r="10720" spans="2:2" ht="15.9" customHeight="1" x14ac:dyDescent="0.3">
      <c r="B10720" s="37"/>
    </row>
    <row r="10721" spans="2:2" ht="15.9" customHeight="1" x14ac:dyDescent="0.3">
      <c r="B10721" s="37"/>
    </row>
    <row r="10722" spans="2:2" ht="15.9" customHeight="1" x14ac:dyDescent="0.3">
      <c r="B10722" s="37"/>
    </row>
    <row r="10723" spans="2:2" ht="15.9" customHeight="1" x14ac:dyDescent="0.3">
      <c r="B10723" s="37"/>
    </row>
    <row r="10724" spans="2:2" ht="15.9" customHeight="1" x14ac:dyDescent="0.3">
      <c r="B10724" s="37"/>
    </row>
    <row r="10725" spans="2:2" ht="15.9" customHeight="1" x14ac:dyDescent="0.3">
      <c r="B10725" s="37"/>
    </row>
    <row r="10726" spans="2:2" ht="15.9" customHeight="1" x14ac:dyDescent="0.3">
      <c r="B10726" s="37"/>
    </row>
    <row r="10727" spans="2:2" ht="15.9" customHeight="1" x14ac:dyDescent="0.3">
      <c r="B10727" s="37"/>
    </row>
    <row r="10728" spans="2:2" ht="15.9" customHeight="1" x14ac:dyDescent="0.3">
      <c r="B10728" s="37"/>
    </row>
    <row r="10729" spans="2:2" ht="15.9" customHeight="1" x14ac:dyDescent="0.3">
      <c r="B10729" s="37"/>
    </row>
    <row r="10730" spans="2:2" ht="15.9" customHeight="1" x14ac:dyDescent="0.3">
      <c r="B10730" s="37"/>
    </row>
    <row r="10731" spans="2:2" ht="15.9" customHeight="1" x14ac:dyDescent="0.3">
      <c r="B10731" s="37"/>
    </row>
    <row r="10732" spans="2:2" ht="15.9" customHeight="1" x14ac:dyDescent="0.3">
      <c r="B10732" s="37"/>
    </row>
    <row r="10733" spans="2:2" ht="15.9" customHeight="1" x14ac:dyDescent="0.3">
      <c r="B10733" s="37"/>
    </row>
    <row r="10734" spans="2:2" ht="15.9" customHeight="1" x14ac:dyDescent="0.3">
      <c r="B10734" s="37"/>
    </row>
    <row r="10735" spans="2:2" ht="15.9" customHeight="1" x14ac:dyDescent="0.3">
      <c r="B10735" s="37"/>
    </row>
    <row r="10736" spans="2:2" ht="15.9" customHeight="1" x14ac:dyDescent="0.3">
      <c r="B10736" s="37"/>
    </row>
    <row r="10737" spans="2:2" ht="15.9" customHeight="1" x14ac:dyDescent="0.3">
      <c r="B10737" s="37"/>
    </row>
    <row r="10738" spans="2:2" ht="15.9" customHeight="1" x14ac:dyDescent="0.3">
      <c r="B10738" s="37"/>
    </row>
    <row r="10739" spans="2:2" ht="15.9" customHeight="1" x14ac:dyDescent="0.3">
      <c r="B10739" s="37"/>
    </row>
    <row r="10740" spans="2:2" ht="15.9" customHeight="1" x14ac:dyDescent="0.3">
      <c r="B10740" s="37"/>
    </row>
    <row r="10741" spans="2:2" ht="15.9" customHeight="1" x14ac:dyDescent="0.3">
      <c r="B10741" s="37"/>
    </row>
    <row r="10742" spans="2:2" ht="15.9" customHeight="1" x14ac:dyDescent="0.3">
      <c r="B10742" s="37"/>
    </row>
    <row r="10743" spans="2:2" ht="15.9" customHeight="1" x14ac:dyDescent="0.3">
      <c r="B10743" s="37"/>
    </row>
    <row r="10744" spans="2:2" ht="15.9" customHeight="1" x14ac:dyDescent="0.3">
      <c r="B10744" s="37"/>
    </row>
    <row r="10745" spans="2:2" ht="15.9" customHeight="1" x14ac:dyDescent="0.3">
      <c r="B10745" s="37"/>
    </row>
    <row r="10746" spans="2:2" ht="15.9" customHeight="1" x14ac:dyDescent="0.3">
      <c r="B10746" s="37"/>
    </row>
    <row r="10747" spans="2:2" ht="15.9" customHeight="1" x14ac:dyDescent="0.3">
      <c r="B10747" s="37"/>
    </row>
    <row r="10748" spans="2:2" ht="15.9" customHeight="1" x14ac:dyDescent="0.3">
      <c r="B10748" s="37"/>
    </row>
    <row r="10749" spans="2:2" ht="15.9" customHeight="1" x14ac:dyDescent="0.3">
      <c r="B10749" s="37"/>
    </row>
    <row r="10750" spans="2:2" ht="15.9" customHeight="1" x14ac:dyDescent="0.3">
      <c r="B10750" s="37"/>
    </row>
    <row r="10751" spans="2:2" ht="15.9" customHeight="1" x14ac:dyDescent="0.3">
      <c r="B10751" s="37"/>
    </row>
    <row r="10752" spans="2:2" ht="15.9" customHeight="1" x14ac:dyDescent="0.3">
      <c r="B10752" s="37"/>
    </row>
    <row r="10753" spans="2:2" ht="15.9" customHeight="1" x14ac:dyDescent="0.3">
      <c r="B10753" s="37"/>
    </row>
    <row r="10754" spans="2:2" ht="15.9" customHeight="1" x14ac:dyDescent="0.3">
      <c r="B10754" s="37"/>
    </row>
    <row r="10755" spans="2:2" ht="15.9" customHeight="1" x14ac:dyDescent="0.3">
      <c r="B10755" s="37"/>
    </row>
    <row r="10756" spans="2:2" ht="15.9" customHeight="1" x14ac:dyDescent="0.3">
      <c r="B10756" s="37"/>
    </row>
    <row r="10757" spans="2:2" ht="15.9" customHeight="1" x14ac:dyDescent="0.3">
      <c r="B10757" s="37"/>
    </row>
    <row r="10758" spans="2:2" ht="15.9" customHeight="1" x14ac:dyDescent="0.3">
      <c r="B10758" s="37"/>
    </row>
    <row r="10759" spans="2:2" ht="15.9" customHeight="1" x14ac:dyDescent="0.3">
      <c r="B10759" s="37"/>
    </row>
    <row r="10760" spans="2:2" ht="15.9" customHeight="1" x14ac:dyDescent="0.3">
      <c r="B10760" s="37"/>
    </row>
    <row r="10761" spans="2:2" ht="15.9" customHeight="1" x14ac:dyDescent="0.3">
      <c r="B10761" s="37"/>
    </row>
    <row r="10762" spans="2:2" ht="15.9" customHeight="1" x14ac:dyDescent="0.3">
      <c r="B10762" s="37"/>
    </row>
    <row r="10763" spans="2:2" ht="15.9" customHeight="1" x14ac:dyDescent="0.3">
      <c r="B10763" s="37"/>
    </row>
    <row r="10764" spans="2:2" ht="15.9" customHeight="1" x14ac:dyDescent="0.3">
      <c r="B10764" s="37"/>
    </row>
    <row r="10765" spans="2:2" ht="15.9" customHeight="1" x14ac:dyDescent="0.3">
      <c r="B10765" s="37"/>
    </row>
    <row r="10766" spans="2:2" ht="15.9" customHeight="1" x14ac:dyDescent="0.3">
      <c r="B10766" s="37"/>
    </row>
    <row r="10767" spans="2:2" ht="15.9" customHeight="1" x14ac:dyDescent="0.3">
      <c r="B10767" s="37"/>
    </row>
    <row r="10768" spans="2:2" ht="15.9" customHeight="1" x14ac:dyDescent="0.3">
      <c r="B10768" s="37"/>
    </row>
    <row r="10769" spans="2:2" ht="15.9" customHeight="1" x14ac:dyDescent="0.3">
      <c r="B10769" s="37"/>
    </row>
    <row r="10770" spans="2:2" ht="15.9" customHeight="1" x14ac:dyDescent="0.3">
      <c r="B10770" s="37"/>
    </row>
    <row r="10771" spans="2:2" ht="15.9" customHeight="1" x14ac:dyDescent="0.3">
      <c r="B10771" s="37"/>
    </row>
    <row r="10772" spans="2:2" ht="15.9" customHeight="1" x14ac:dyDescent="0.3">
      <c r="B10772" s="37"/>
    </row>
    <row r="10773" spans="2:2" ht="15.9" customHeight="1" x14ac:dyDescent="0.3">
      <c r="B10773" s="37"/>
    </row>
    <row r="10774" spans="2:2" ht="15.9" customHeight="1" x14ac:dyDescent="0.3">
      <c r="B10774" s="37"/>
    </row>
    <row r="10775" spans="2:2" ht="15.9" customHeight="1" x14ac:dyDescent="0.3">
      <c r="B10775" s="37"/>
    </row>
    <row r="10776" spans="2:2" ht="15.9" customHeight="1" x14ac:dyDescent="0.3">
      <c r="B10776" s="37"/>
    </row>
    <row r="10777" spans="2:2" ht="15.9" customHeight="1" x14ac:dyDescent="0.3">
      <c r="B10777" s="37"/>
    </row>
    <row r="10778" spans="2:2" ht="15.9" customHeight="1" x14ac:dyDescent="0.3">
      <c r="B10778" s="37"/>
    </row>
    <row r="10779" spans="2:2" ht="15.9" customHeight="1" x14ac:dyDescent="0.3">
      <c r="B10779" s="37"/>
    </row>
    <row r="10780" spans="2:2" ht="15.9" customHeight="1" x14ac:dyDescent="0.3">
      <c r="B10780" s="37"/>
    </row>
    <row r="10781" spans="2:2" ht="15.9" customHeight="1" x14ac:dyDescent="0.3">
      <c r="B10781" s="37"/>
    </row>
    <row r="10782" spans="2:2" ht="15.9" customHeight="1" x14ac:dyDescent="0.3">
      <c r="B10782" s="37"/>
    </row>
    <row r="10783" spans="2:2" ht="15.9" customHeight="1" x14ac:dyDescent="0.3">
      <c r="B10783" s="37"/>
    </row>
    <row r="10784" spans="2:2" ht="15.9" customHeight="1" x14ac:dyDescent="0.3">
      <c r="B10784" s="37"/>
    </row>
    <row r="10785" spans="2:2" ht="15.9" customHeight="1" x14ac:dyDescent="0.3">
      <c r="B10785" s="37"/>
    </row>
    <row r="10786" spans="2:2" ht="15.9" customHeight="1" x14ac:dyDescent="0.3">
      <c r="B10786" s="37"/>
    </row>
    <row r="10787" spans="2:2" ht="15.9" customHeight="1" x14ac:dyDescent="0.3">
      <c r="B10787" s="37"/>
    </row>
    <row r="10788" spans="2:2" ht="15.9" customHeight="1" x14ac:dyDescent="0.3">
      <c r="B10788" s="37"/>
    </row>
    <row r="10789" spans="2:2" ht="15.9" customHeight="1" x14ac:dyDescent="0.3">
      <c r="B10789" s="37"/>
    </row>
    <row r="10790" spans="2:2" ht="15.9" customHeight="1" x14ac:dyDescent="0.3">
      <c r="B10790" s="37"/>
    </row>
    <row r="10791" spans="2:2" ht="15.9" customHeight="1" x14ac:dyDescent="0.3">
      <c r="B10791" s="37"/>
    </row>
    <row r="10792" spans="2:2" ht="15.9" customHeight="1" x14ac:dyDescent="0.3">
      <c r="B10792" s="37"/>
    </row>
    <row r="10793" spans="2:2" ht="15.9" customHeight="1" x14ac:dyDescent="0.3">
      <c r="B10793" s="37"/>
    </row>
    <row r="10794" spans="2:2" ht="15.9" customHeight="1" x14ac:dyDescent="0.3">
      <c r="B10794" s="37"/>
    </row>
    <row r="10795" spans="2:2" ht="15.9" customHeight="1" x14ac:dyDescent="0.3">
      <c r="B10795" s="37"/>
    </row>
    <row r="10796" spans="2:2" ht="15.9" customHeight="1" x14ac:dyDescent="0.3">
      <c r="B10796" s="37"/>
    </row>
    <row r="10797" spans="2:2" ht="15.9" customHeight="1" x14ac:dyDescent="0.3">
      <c r="B10797" s="37"/>
    </row>
    <row r="10798" spans="2:2" ht="15.9" customHeight="1" x14ac:dyDescent="0.3">
      <c r="B10798" s="37"/>
    </row>
    <row r="10799" spans="2:2" ht="15.9" customHeight="1" x14ac:dyDescent="0.3">
      <c r="B10799" s="37"/>
    </row>
    <row r="10800" spans="2:2" ht="15.9" customHeight="1" x14ac:dyDescent="0.3">
      <c r="B10800" s="37"/>
    </row>
    <row r="10801" spans="2:2" ht="15.9" customHeight="1" x14ac:dyDescent="0.3">
      <c r="B10801" s="37"/>
    </row>
    <row r="10802" spans="2:2" ht="15.9" customHeight="1" x14ac:dyDescent="0.3">
      <c r="B10802" s="37"/>
    </row>
    <row r="10803" spans="2:2" ht="15.9" customHeight="1" x14ac:dyDescent="0.3">
      <c r="B10803" s="37"/>
    </row>
    <row r="10804" spans="2:2" ht="15.9" customHeight="1" x14ac:dyDescent="0.3">
      <c r="B10804" s="37"/>
    </row>
    <row r="10805" spans="2:2" ht="15.9" customHeight="1" x14ac:dyDescent="0.3">
      <c r="B10805" s="37"/>
    </row>
    <row r="10806" spans="2:2" ht="15.9" customHeight="1" x14ac:dyDescent="0.3">
      <c r="B10806" s="37"/>
    </row>
    <row r="10807" spans="2:2" ht="15.9" customHeight="1" x14ac:dyDescent="0.3">
      <c r="B10807" s="37"/>
    </row>
    <row r="10808" spans="2:2" ht="15.9" customHeight="1" x14ac:dyDescent="0.3">
      <c r="B10808" s="37"/>
    </row>
    <row r="10809" spans="2:2" ht="15.9" customHeight="1" x14ac:dyDescent="0.3">
      <c r="B10809" s="37"/>
    </row>
    <row r="10810" spans="2:2" ht="15.9" customHeight="1" x14ac:dyDescent="0.3">
      <c r="B10810" s="37"/>
    </row>
    <row r="10811" spans="2:2" ht="15.9" customHeight="1" x14ac:dyDescent="0.3">
      <c r="B10811" s="37"/>
    </row>
    <row r="10812" spans="2:2" ht="15.9" customHeight="1" x14ac:dyDescent="0.3">
      <c r="B10812" s="37"/>
    </row>
    <row r="10813" spans="2:2" ht="15.9" customHeight="1" x14ac:dyDescent="0.3">
      <c r="B10813" s="37"/>
    </row>
    <row r="10814" spans="2:2" ht="15.9" customHeight="1" x14ac:dyDescent="0.3">
      <c r="B10814" s="37"/>
    </row>
    <row r="10815" spans="2:2" ht="15.9" customHeight="1" x14ac:dyDescent="0.3">
      <c r="B10815" s="37"/>
    </row>
    <row r="10816" spans="2:2" ht="15.9" customHeight="1" x14ac:dyDescent="0.3">
      <c r="B10816" s="37"/>
    </row>
    <row r="10817" spans="2:2" ht="15.9" customHeight="1" x14ac:dyDescent="0.3">
      <c r="B10817" s="37"/>
    </row>
    <row r="10818" spans="2:2" ht="15.9" customHeight="1" x14ac:dyDescent="0.3">
      <c r="B10818" s="37"/>
    </row>
    <row r="10819" spans="2:2" ht="15.9" customHeight="1" x14ac:dyDescent="0.3">
      <c r="B10819" s="37"/>
    </row>
    <row r="10820" spans="2:2" ht="15.9" customHeight="1" x14ac:dyDescent="0.3">
      <c r="B10820" s="37"/>
    </row>
    <row r="10821" spans="2:2" ht="15.9" customHeight="1" x14ac:dyDescent="0.3">
      <c r="B10821" s="37"/>
    </row>
    <row r="10822" spans="2:2" ht="15.9" customHeight="1" x14ac:dyDescent="0.3">
      <c r="B10822" s="37"/>
    </row>
    <row r="10823" spans="2:2" ht="15.9" customHeight="1" x14ac:dyDescent="0.3">
      <c r="B10823" s="37"/>
    </row>
    <row r="10824" spans="2:2" ht="15.9" customHeight="1" x14ac:dyDescent="0.3">
      <c r="B10824" s="37"/>
    </row>
    <row r="10825" spans="2:2" ht="15.9" customHeight="1" x14ac:dyDescent="0.3">
      <c r="B10825" s="37"/>
    </row>
    <row r="10826" spans="2:2" ht="15.9" customHeight="1" x14ac:dyDescent="0.3">
      <c r="B10826" s="37"/>
    </row>
    <row r="10827" spans="2:2" ht="15.9" customHeight="1" x14ac:dyDescent="0.3">
      <c r="B10827" s="37"/>
    </row>
    <row r="10828" spans="2:2" ht="15.9" customHeight="1" x14ac:dyDescent="0.3">
      <c r="B10828" s="37"/>
    </row>
    <row r="10829" spans="2:2" ht="15.9" customHeight="1" x14ac:dyDescent="0.3">
      <c r="B10829" s="37"/>
    </row>
    <row r="10830" spans="2:2" ht="15.9" customHeight="1" x14ac:dyDescent="0.3">
      <c r="B10830" s="37"/>
    </row>
    <row r="10831" spans="2:2" ht="15.9" customHeight="1" x14ac:dyDescent="0.3">
      <c r="B10831" s="37"/>
    </row>
    <row r="10832" spans="2:2" ht="15.9" customHeight="1" x14ac:dyDescent="0.3">
      <c r="B10832" s="37"/>
    </row>
    <row r="10833" spans="2:2" ht="15.9" customHeight="1" x14ac:dyDescent="0.3">
      <c r="B10833" s="37"/>
    </row>
    <row r="10834" spans="2:2" ht="15.9" customHeight="1" x14ac:dyDescent="0.3">
      <c r="B10834" s="37"/>
    </row>
    <row r="10835" spans="2:2" ht="15.9" customHeight="1" x14ac:dyDescent="0.3">
      <c r="B10835" s="37"/>
    </row>
    <row r="10836" spans="2:2" ht="15.9" customHeight="1" x14ac:dyDescent="0.3">
      <c r="B10836" s="37"/>
    </row>
    <row r="10837" spans="2:2" ht="15.9" customHeight="1" x14ac:dyDescent="0.3">
      <c r="B10837" s="37"/>
    </row>
    <row r="10838" spans="2:2" ht="15.9" customHeight="1" x14ac:dyDescent="0.3">
      <c r="B10838" s="37"/>
    </row>
    <row r="10839" spans="2:2" ht="15.9" customHeight="1" x14ac:dyDescent="0.3">
      <c r="B10839" s="37"/>
    </row>
    <row r="10840" spans="2:2" ht="15.9" customHeight="1" x14ac:dyDescent="0.3">
      <c r="B10840" s="37"/>
    </row>
    <row r="10841" spans="2:2" ht="15.9" customHeight="1" x14ac:dyDescent="0.3">
      <c r="B10841" s="37"/>
    </row>
    <row r="10842" spans="2:2" ht="15.9" customHeight="1" x14ac:dyDescent="0.3">
      <c r="B10842" s="37"/>
    </row>
    <row r="10843" spans="2:2" ht="15.9" customHeight="1" x14ac:dyDescent="0.3">
      <c r="B10843" s="37"/>
    </row>
    <row r="10844" spans="2:2" ht="15.9" customHeight="1" x14ac:dyDescent="0.3">
      <c r="B10844" s="37"/>
    </row>
    <row r="10845" spans="2:2" ht="15.9" customHeight="1" x14ac:dyDescent="0.3">
      <c r="B10845" s="37"/>
    </row>
    <row r="10846" spans="2:2" ht="15.9" customHeight="1" x14ac:dyDescent="0.3">
      <c r="B10846" s="37"/>
    </row>
    <row r="10847" spans="2:2" ht="15.9" customHeight="1" x14ac:dyDescent="0.3">
      <c r="B10847" s="37"/>
    </row>
    <row r="10848" spans="2:2" ht="15.9" customHeight="1" x14ac:dyDescent="0.3">
      <c r="B10848" s="37"/>
    </row>
    <row r="10849" spans="2:2" ht="15.9" customHeight="1" x14ac:dyDescent="0.3">
      <c r="B10849" s="37"/>
    </row>
    <row r="10850" spans="2:2" ht="15.9" customHeight="1" x14ac:dyDescent="0.3">
      <c r="B10850" s="37"/>
    </row>
    <row r="10851" spans="2:2" ht="15.9" customHeight="1" x14ac:dyDescent="0.3">
      <c r="B10851" s="37"/>
    </row>
    <row r="10852" spans="2:2" ht="15.9" customHeight="1" x14ac:dyDescent="0.3">
      <c r="B10852" s="37"/>
    </row>
    <row r="10853" spans="2:2" ht="15.9" customHeight="1" x14ac:dyDescent="0.3">
      <c r="B10853" s="37"/>
    </row>
    <row r="10854" spans="2:2" ht="15.9" customHeight="1" x14ac:dyDescent="0.3">
      <c r="B10854" s="37"/>
    </row>
    <row r="10855" spans="2:2" ht="15.9" customHeight="1" x14ac:dyDescent="0.3">
      <c r="B10855" s="37"/>
    </row>
    <row r="10856" spans="2:2" ht="15.9" customHeight="1" x14ac:dyDescent="0.3">
      <c r="B10856" s="37"/>
    </row>
    <row r="10857" spans="2:2" ht="15.9" customHeight="1" x14ac:dyDescent="0.3">
      <c r="B10857" s="37"/>
    </row>
    <row r="10858" spans="2:2" ht="15.9" customHeight="1" x14ac:dyDescent="0.3">
      <c r="B10858" s="37"/>
    </row>
    <row r="10859" spans="2:2" ht="15.9" customHeight="1" x14ac:dyDescent="0.3">
      <c r="B10859" s="37"/>
    </row>
    <row r="10860" spans="2:2" ht="15.9" customHeight="1" x14ac:dyDescent="0.3">
      <c r="B10860" s="37"/>
    </row>
    <row r="10861" spans="2:2" ht="15.9" customHeight="1" x14ac:dyDescent="0.3">
      <c r="B10861" s="37"/>
    </row>
    <row r="10862" spans="2:2" ht="15.9" customHeight="1" x14ac:dyDescent="0.3">
      <c r="B10862" s="37"/>
    </row>
    <row r="10863" spans="2:2" ht="15.9" customHeight="1" x14ac:dyDescent="0.3">
      <c r="B10863" s="37"/>
    </row>
    <row r="10864" spans="2:2" ht="15.9" customHeight="1" x14ac:dyDescent="0.3">
      <c r="B10864" s="37"/>
    </row>
    <row r="10865" spans="2:2" ht="15.9" customHeight="1" x14ac:dyDescent="0.3">
      <c r="B10865" s="37"/>
    </row>
    <row r="10866" spans="2:2" ht="15.9" customHeight="1" x14ac:dyDescent="0.3">
      <c r="B10866" s="37"/>
    </row>
    <row r="10867" spans="2:2" ht="15.9" customHeight="1" x14ac:dyDescent="0.3">
      <c r="B10867" s="37"/>
    </row>
    <row r="10868" spans="2:2" ht="15.9" customHeight="1" x14ac:dyDescent="0.3">
      <c r="B10868" s="37"/>
    </row>
    <row r="10869" spans="2:2" ht="15.9" customHeight="1" x14ac:dyDescent="0.3">
      <c r="B10869" s="37"/>
    </row>
    <row r="10870" spans="2:2" ht="15.9" customHeight="1" x14ac:dyDescent="0.3">
      <c r="B10870" s="37"/>
    </row>
    <row r="10871" spans="2:2" ht="15.9" customHeight="1" x14ac:dyDescent="0.3">
      <c r="B10871" s="37"/>
    </row>
    <row r="10872" spans="2:2" ht="15.9" customHeight="1" x14ac:dyDescent="0.3">
      <c r="B10872" s="37"/>
    </row>
    <row r="10873" spans="2:2" ht="15.9" customHeight="1" x14ac:dyDescent="0.3">
      <c r="B10873" s="37"/>
    </row>
    <row r="10874" spans="2:2" ht="15.9" customHeight="1" x14ac:dyDescent="0.3">
      <c r="B10874" s="37"/>
    </row>
    <row r="10875" spans="2:2" ht="15.9" customHeight="1" x14ac:dyDescent="0.3">
      <c r="B10875" s="37"/>
    </row>
    <row r="10876" spans="2:2" ht="15.9" customHeight="1" x14ac:dyDescent="0.3">
      <c r="B10876" s="37"/>
    </row>
    <row r="10877" spans="2:2" ht="15.9" customHeight="1" x14ac:dyDescent="0.3">
      <c r="B10877" s="37"/>
    </row>
    <row r="10878" spans="2:2" ht="15.9" customHeight="1" x14ac:dyDescent="0.3">
      <c r="B10878" s="37"/>
    </row>
    <row r="10879" spans="2:2" ht="15.9" customHeight="1" x14ac:dyDescent="0.3">
      <c r="B10879" s="37"/>
    </row>
    <row r="10880" spans="2:2" ht="15.9" customHeight="1" x14ac:dyDescent="0.3">
      <c r="B10880" s="37"/>
    </row>
    <row r="10881" spans="2:2" ht="15.9" customHeight="1" x14ac:dyDescent="0.3">
      <c r="B10881" s="37"/>
    </row>
    <row r="10882" spans="2:2" ht="15.9" customHeight="1" x14ac:dyDescent="0.3">
      <c r="B10882" s="37"/>
    </row>
    <row r="10883" spans="2:2" ht="15.9" customHeight="1" x14ac:dyDescent="0.3">
      <c r="B10883" s="37"/>
    </row>
    <row r="10884" spans="2:2" ht="15.9" customHeight="1" x14ac:dyDescent="0.3">
      <c r="B10884" s="37"/>
    </row>
    <row r="10885" spans="2:2" ht="15.9" customHeight="1" x14ac:dyDescent="0.3">
      <c r="B10885" s="37"/>
    </row>
    <row r="10886" spans="2:2" ht="15.9" customHeight="1" x14ac:dyDescent="0.3">
      <c r="B10886" s="37"/>
    </row>
    <row r="10887" spans="2:2" ht="15.9" customHeight="1" x14ac:dyDescent="0.3">
      <c r="B10887" s="37"/>
    </row>
    <row r="10888" spans="2:2" ht="15.9" customHeight="1" x14ac:dyDescent="0.3">
      <c r="B10888" s="37"/>
    </row>
    <row r="10889" spans="2:2" ht="15.9" customHeight="1" x14ac:dyDescent="0.3">
      <c r="B10889" s="37"/>
    </row>
    <row r="10890" spans="2:2" ht="15.9" customHeight="1" x14ac:dyDescent="0.3">
      <c r="B10890" s="37"/>
    </row>
    <row r="10891" spans="2:2" ht="15.9" customHeight="1" x14ac:dyDescent="0.3">
      <c r="B10891" s="37"/>
    </row>
    <row r="10892" spans="2:2" ht="15.9" customHeight="1" x14ac:dyDescent="0.3">
      <c r="B10892" s="37"/>
    </row>
    <row r="10893" spans="2:2" ht="15.9" customHeight="1" x14ac:dyDescent="0.3">
      <c r="B10893" s="37"/>
    </row>
    <row r="10894" spans="2:2" ht="15.9" customHeight="1" x14ac:dyDescent="0.3">
      <c r="B10894" s="37"/>
    </row>
    <row r="10895" spans="2:2" ht="15.9" customHeight="1" x14ac:dyDescent="0.3">
      <c r="B10895" s="37"/>
    </row>
    <row r="10896" spans="2:2" ht="15.9" customHeight="1" x14ac:dyDescent="0.3">
      <c r="B10896" s="37"/>
    </row>
    <row r="10897" spans="2:2" ht="15.9" customHeight="1" x14ac:dyDescent="0.3">
      <c r="B10897" s="37"/>
    </row>
    <row r="10898" spans="2:2" ht="15.9" customHeight="1" x14ac:dyDescent="0.3">
      <c r="B10898" s="37"/>
    </row>
    <row r="10899" spans="2:2" ht="15.9" customHeight="1" x14ac:dyDescent="0.3">
      <c r="B10899" s="37"/>
    </row>
    <row r="10900" spans="2:2" ht="15.9" customHeight="1" x14ac:dyDescent="0.3">
      <c r="B10900" s="37"/>
    </row>
    <row r="10901" spans="2:2" ht="15.9" customHeight="1" x14ac:dyDescent="0.3">
      <c r="B10901" s="37"/>
    </row>
    <row r="10902" spans="2:2" ht="15.9" customHeight="1" x14ac:dyDescent="0.3">
      <c r="B10902" s="37"/>
    </row>
    <row r="10903" spans="2:2" ht="15.9" customHeight="1" x14ac:dyDescent="0.3">
      <c r="B10903" s="37"/>
    </row>
    <row r="10904" spans="2:2" ht="15.9" customHeight="1" x14ac:dyDescent="0.3">
      <c r="B10904" s="37"/>
    </row>
    <row r="10905" spans="2:2" ht="15.9" customHeight="1" x14ac:dyDescent="0.3">
      <c r="B10905" s="37"/>
    </row>
    <row r="10906" spans="2:2" ht="15.9" customHeight="1" x14ac:dyDescent="0.3">
      <c r="B10906" s="37"/>
    </row>
    <row r="10907" spans="2:2" ht="15.9" customHeight="1" x14ac:dyDescent="0.3">
      <c r="B10907" s="37"/>
    </row>
    <row r="10908" spans="2:2" ht="15.9" customHeight="1" x14ac:dyDescent="0.3">
      <c r="B10908" s="37"/>
    </row>
    <row r="10909" spans="2:2" ht="15.9" customHeight="1" x14ac:dyDescent="0.3">
      <c r="B10909" s="37"/>
    </row>
    <row r="10910" spans="2:2" ht="15.9" customHeight="1" x14ac:dyDescent="0.3">
      <c r="B10910" s="37"/>
    </row>
    <row r="10911" spans="2:2" ht="15.9" customHeight="1" x14ac:dyDescent="0.3">
      <c r="B10911" s="37"/>
    </row>
    <row r="10912" spans="2:2" ht="15.9" customHeight="1" x14ac:dyDescent="0.3">
      <c r="B10912" s="37"/>
    </row>
    <row r="10913" spans="2:2" ht="15.9" customHeight="1" x14ac:dyDescent="0.3">
      <c r="B10913" s="37"/>
    </row>
    <row r="10914" spans="2:2" ht="15.9" customHeight="1" x14ac:dyDescent="0.3">
      <c r="B10914" s="37"/>
    </row>
    <row r="10915" spans="2:2" ht="15.9" customHeight="1" x14ac:dyDescent="0.3">
      <c r="B10915" s="37"/>
    </row>
    <row r="10916" spans="2:2" ht="15.9" customHeight="1" x14ac:dyDescent="0.3">
      <c r="B10916" s="37"/>
    </row>
    <row r="10917" spans="2:2" ht="15.9" customHeight="1" x14ac:dyDescent="0.3">
      <c r="B10917" s="37"/>
    </row>
    <row r="10918" spans="2:2" ht="15.9" customHeight="1" x14ac:dyDescent="0.3">
      <c r="B10918" s="37"/>
    </row>
    <row r="10919" spans="2:2" ht="15.9" customHeight="1" x14ac:dyDescent="0.3">
      <c r="B10919" s="37"/>
    </row>
    <row r="10920" spans="2:2" ht="15.9" customHeight="1" x14ac:dyDescent="0.3">
      <c r="B10920" s="37"/>
    </row>
    <row r="10921" spans="2:2" ht="15.9" customHeight="1" x14ac:dyDescent="0.3">
      <c r="B10921" s="37"/>
    </row>
    <row r="10922" spans="2:2" ht="15.9" customHeight="1" x14ac:dyDescent="0.3">
      <c r="B10922" s="37"/>
    </row>
    <row r="10923" spans="2:2" ht="15.9" customHeight="1" x14ac:dyDescent="0.3">
      <c r="B10923" s="37"/>
    </row>
    <row r="10924" spans="2:2" ht="15.9" customHeight="1" x14ac:dyDescent="0.3">
      <c r="B10924" s="37"/>
    </row>
    <row r="10925" spans="2:2" ht="15.9" customHeight="1" x14ac:dyDescent="0.3">
      <c r="B10925" s="37"/>
    </row>
    <row r="10926" spans="2:2" ht="15.9" customHeight="1" x14ac:dyDescent="0.3">
      <c r="B10926" s="37"/>
    </row>
    <row r="10927" spans="2:2" ht="15.9" customHeight="1" x14ac:dyDescent="0.3">
      <c r="B10927" s="37"/>
    </row>
    <row r="10928" spans="2:2" ht="15.9" customHeight="1" x14ac:dyDescent="0.3">
      <c r="B10928" s="37"/>
    </row>
    <row r="10929" spans="2:2" ht="15.9" customHeight="1" x14ac:dyDescent="0.3">
      <c r="B10929" s="37"/>
    </row>
    <row r="10930" spans="2:2" ht="15.9" customHeight="1" x14ac:dyDescent="0.3">
      <c r="B10930" s="37"/>
    </row>
    <row r="10931" spans="2:2" ht="15.9" customHeight="1" x14ac:dyDescent="0.3">
      <c r="B10931" s="37"/>
    </row>
    <row r="10932" spans="2:2" ht="15.9" customHeight="1" x14ac:dyDescent="0.3">
      <c r="B10932" s="37"/>
    </row>
    <row r="10933" spans="2:2" ht="15.9" customHeight="1" x14ac:dyDescent="0.3">
      <c r="B10933" s="37"/>
    </row>
    <row r="10934" spans="2:2" ht="15.9" customHeight="1" x14ac:dyDescent="0.3">
      <c r="B10934" s="37"/>
    </row>
    <row r="10935" spans="2:2" ht="15.9" customHeight="1" x14ac:dyDescent="0.3">
      <c r="B10935" s="37"/>
    </row>
    <row r="10936" spans="2:2" ht="15.9" customHeight="1" x14ac:dyDescent="0.3">
      <c r="B10936" s="37"/>
    </row>
    <row r="10937" spans="2:2" ht="15.9" customHeight="1" x14ac:dyDescent="0.3">
      <c r="B10937" s="37"/>
    </row>
    <row r="10938" spans="2:2" ht="15.9" customHeight="1" x14ac:dyDescent="0.3">
      <c r="B10938" s="37"/>
    </row>
    <row r="10939" spans="2:2" ht="15.9" customHeight="1" x14ac:dyDescent="0.3">
      <c r="B10939" s="37"/>
    </row>
    <row r="10940" spans="2:2" ht="15.9" customHeight="1" x14ac:dyDescent="0.3">
      <c r="B10940" s="37"/>
    </row>
    <row r="10941" spans="2:2" ht="15.9" customHeight="1" x14ac:dyDescent="0.3">
      <c r="B10941" s="37"/>
    </row>
    <row r="10942" spans="2:2" ht="15.9" customHeight="1" x14ac:dyDescent="0.3">
      <c r="B10942" s="37"/>
    </row>
    <row r="10943" spans="2:2" ht="15.9" customHeight="1" x14ac:dyDescent="0.3">
      <c r="B10943" s="37"/>
    </row>
    <row r="10944" spans="2:2" ht="15.9" customHeight="1" x14ac:dyDescent="0.3">
      <c r="B10944" s="37"/>
    </row>
    <row r="10945" spans="2:2" ht="15.9" customHeight="1" x14ac:dyDescent="0.3">
      <c r="B10945" s="37"/>
    </row>
    <row r="10946" spans="2:2" ht="15.9" customHeight="1" x14ac:dyDescent="0.3">
      <c r="B10946" s="37"/>
    </row>
    <row r="10947" spans="2:2" ht="15.9" customHeight="1" x14ac:dyDescent="0.3">
      <c r="B10947" s="37"/>
    </row>
    <row r="10948" spans="2:2" ht="15.9" customHeight="1" x14ac:dyDescent="0.3">
      <c r="B10948" s="37"/>
    </row>
    <row r="10949" spans="2:2" ht="15.9" customHeight="1" x14ac:dyDescent="0.3">
      <c r="B10949" s="37"/>
    </row>
    <row r="10950" spans="2:2" ht="15.9" customHeight="1" x14ac:dyDescent="0.3">
      <c r="B10950" s="37"/>
    </row>
    <row r="10951" spans="2:2" ht="15.9" customHeight="1" x14ac:dyDescent="0.3">
      <c r="B10951" s="37"/>
    </row>
    <row r="10952" spans="2:2" ht="15.9" customHeight="1" x14ac:dyDescent="0.3">
      <c r="B10952" s="37"/>
    </row>
    <row r="10953" spans="2:2" ht="15.9" customHeight="1" x14ac:dyDescent="0.3">
      <c r="B10953" s="37"/>
    </row>
    <row r="10954" spans="2:2" ht="15.9" customHeight="1" x14ac:dyDescent="0.3">
      <c r="B10954" s="37"/>
    </row>
    <row r="10955" spans="2:2" ht="15.9" customHeight="1" x14ac:dyDescent="0.3">
      <c r="B10955" s="37"/>
    </row>
    <row r="10956" spans="2:2" ht="15.9" customHeight="1" x14ac:dyDescent="0.3">
      <c r="B10956" s="37"/>
    </row>
    <row r="10957" spans="2:2" ht="15.9" customHeight="1" x14ac:dyDescent="0.3">
      <c r="B10957" s="37"/>
    </row>
    <row r="10958" spans="2:2" ht="15.9" customHeight="1" x14ac:dyDescent="0.3">
      <c r="B10958" s="37"/>
    </row>
    <row r="10959" spans="2:2" ht="15.9" customHeight="1" x14ac:dyDescent="0.3">
      <c r="B10959" s="37"/>
    </row>
    <row r="10960" spans="2:2" ht="15.9" customHeight="1" x14ac:dyDescent="0.3">
      <c r="B10960" s="37"/>
    </row>
    <row r="10961" spans="2:2" ht="15.9" customHeight="1" x14ac:dyDescent="0.3">
      <c r="B10961" s="37"/>
    </row>
    <row r="10962" spans="2:2" ht="15.9" customHeight="1" x14ac:dyDescent="0.3">
      <c r="B10962" s="37"/>
    </row>
    <row r="10963" spans="2:2" ht="15.9" customHeight="1" x14ac:dyDescent="0.3">
      <c r="B10963" s="37"/>
    </row>
    <row r="10964" spans="2:2" ht="15.9" customHeight="1" x14ac:dyDescent="0.3">
      <c r="B10964" s="37"/>
    </row>
    <row r="10965" spans="2:2" ht="15.9" customHeight="1" x14ac:dyDescent="0.3">
      <c r="B10965" s="37"/>
    </row>
    <row r="10966" spans="2:2" ht="15.9" customHeight="1" x14ac:dyDescent="0.3">
      <c r="B10966" s="37"/>
    </row>
    <row r="10967" spans="2:2" ht="15.9" customHeight="1" x14ac:dyDescent="0.3">
      <c r="B10967" s="37"/>
    </row>
    <row r="10968" spans="2:2" ht="15.9" customHeight="1" x14ac:dyDescent="0.3">
      <c r="B10968" s="37"/>
    </row>
    <row r="10969" spans="2:2" ht="15.9" customHeight="1" x14ac:dyDescent="0.3">
      <c r="B10969" s="37"/>
    </row>
    <row r="10970" spans="2:2" ht="15.9" customHeight="1" x14ac:dyDescent="0.3">
      <c r="B10970" s="37"/>
    </row>
    <row r="10971" spans="2:2" ht="15.9" customHeight="1" x14ac:dyDescent="0.3">
      <c r="B10971" s="37"/>
    </row>
    <row r="10972" spans="2:2" ht="15.9" customHeight="1" x14ac:dyDescent="0.3">
      <c r="B10972" s="37"/>
    </row>
    <row r="10973" spans="2:2" ht="15.9" customHeight="1" x14ac:dyDescent="0.3">
      <c r="B10973" s="37"/>
    </row>
    <row r="10974" spans="2:2" ht="15.9" customHeight="1" x14ac:dyDescent="0.3">
      <c r="B10974" s="37"/>
    </row>
    <row r="10975" spans="2:2" ht="15.9" customHeight="1" x14ac:dyDescent="0.3">
      <c r="B10975" s="37"/>
    </row>
    <row r="10976" spans="2:2" ht="15.9" customHeight="1" x14ac:dyDescent="0.3">
      <c r="B10976" s="37"/>
    </row>
    <row r="10977" spans="2:2" ht="15.9" customHeight="1" x14ac:dyDescent="0.3">
      <c r="B10977" s="37"/>
    </row>
    <row r="10978" spans="2:2" ht="15.9" customHeight="1" x14ac:dyDescent="0.3">
      <c r="B10978" s="37"/>
    </row>
    <row r="10979" spans="2:2" ht="15.9" customHeight="1" x14ac:dyDescent="0.3">
      <c r="B10979" s="37"/>
    </row>
    <row r="10980" spans="2:2" ht="15.9" customHeight="1" x14ac:dyDescent="0.3">
      <c r="B10980" s="37"/>
    </row>
    <row r="10981" spans="2:2" ht="15.9" customHeight="1" x14ac:dyDescent="0.3">
      <c r="B10981" s="37"/>
    </row>
    <row r="10982" spans="2:2" ht="15.9" customHeight="1" x14ac:dyDescent="0.3">
      <c r="B10982" s="37"/>
    </row>
    <row r="10983" spans="2:2" ht="15.9" customHeight="1" x14ac:dyDescent="0.3">
      <c r="B10983" s="37"/>
    </row>
    <row r="10984" spans="2:2" ht="15.9" customHeight="1" x14ac:dyDescent="0.3">
      <c r="B10984" s="37"/>
    </row>
    <row r="10985" spans="2:2" ht="15.9" customHeight="1" x14ac:dyDescent="0.3">
      <c r="B10985" s="37"/>
    </row>
    <row r="10986" spans="2:2" ht="15.9" customHeight="1" x14ac:dyDescent="0.3">
      <c r="B10986" s="37"/>
    </row>
    <row r="10987" spans="2:2" ht="15.9" customHeight="1" x14ac:dyDescent="0.3">
      <c r="B10987" s="37"/>
    </row>
    <row r="10988" spans="2:2" ht="15.9" customHeight="1" x14ac:dyDescent="0.3">
      <c r="B10988" s="37"/>
    </row>
    <row r="10989" spans="2:2" ht="15.9" customHeight="1" x14ac:dyDescent="0.3">
      <c r="B10989" s="37"/>
    </row>
    <row r="10990" spans="2:2" ht="15.9" customHeight="1" x14ac:dyDescent="0.3">
      <c r="B10990" s="37"/>
    </row>
    <row r="10991" spans="2:2" ht="15.9" customHeight="1" x14ac:dyDescent="0.3">
      <c r="B10991" s="37"/>
    </row>
    <row r="10992" spans="2:2" ht="15.9" customHeight="1" x14ac:dyDescent="0.3">
      <c r="B10992" s="37"/>
    </row>
    <row r="10993" spans="2:2" ht="15.9" customHeight="1" x14ac:dyDescent="0.3">
      <c r="B10993" s="37"/>
    </row>
    <row r="10994" spans="2:2" ht="15.9" customHeight="1" x14ac:dyDescent="0.3">
      <c r="B10994" s="37"/>
    </row>
    <row r="10995" spans="2:2" ht="15.9" customHeight="1" x14ac:dyDescent="0.3">
      <c r="B10995" s="37"/>
    </row>
    <row r="10996" spans="2:2" ht="15.9" customHeight="1" x14ac:dyDescent="0.3">
      <c r="B10996" s="37"/>
    </row>
    <row r="10997" spans="2:2" ht="15.9" customHeight="1" x14ac:dyDescent="0.3">
      <c r="B10997" s="37"/>
    </row>
    <row r="10998" spans="2:2" ht="15.9" customHeight="1" x14ac:dyDescent="0.3">
      <c r="B10998" s="37"/>
    </row>
    <row r="10999" spans="2:2" ht="15.9" customHeight="1" x14ac:dyDescent="0.3">
      <c r="B10999" s="37"/>
    </row>
    <row r="11000" spans="2:2" ht="15.9" customHeight="1" x14ac:dyDescent="0.3">
      <c r="B11000" s="37"/>
    </row>
    <row r="11001" spans="2:2" ht="15.9" customHeight="1" x14ac:dyDescent="0.3">
      <c r="B11001" s="37"/>
    </row>
    <row r="11002" spans="2:2" ht="15.9" customHeight="1" x14ac:dyDescent="0.3">
      <c r="B11002" s="37"/>
    </row>
    <row r="11003" spans="2:2" ht="15.9" customHeight="1" x14ac:dyDescent="0.3">
      <c r="B11003" s="37"/>
    </row>
    <row r="11004" spans="2:2" ht="15.9" customHeight="1" x14ac:dyDescent="0.3">
      <c r="B11004" s="37"/>
    </row>
    <row r="11005" spans="2:2" ht="15.9" customHeight="1" x14ac:dyDescent="0.3">
      <c r="B11005" s="37"/>
    </row>
    <row r="11006" spans="2:2" ht="15.9" customHeight="1" x14ac:dyDescent="0.3">
      <c r="B11006" s="37"/>
    </row>
    <row r="11007" spans="2:2" ht="15.9" customHeight="1" x14ac:dyDescent="0.3">
      <c r="B11007" s="37"/>
    </row>
    <row r="11008" spans="2:2" ht="15.9" customHeight="1" x14ac:dyDescent="0.3">
      <c r="B11008" s="37"/>
    </row>
    <row r="11009" spans="2:2" ht="15.9" customHeight="1" x14ac:dyDescent="0.3">
      <c r="B11009" s="37"/>
    </row>
    <row r="11010" spans="2:2" ht="15.9" customHeight="1" x14ac:dyDescent="0.3">
      <c r="B11010" s="37"/>
    </row>
    <row r="11011" spans="2:2" ht="15.9" customHeight="1" x14ac:dyDescent="0.3">
      <c r="B11011" s="37"/>
    </row>
    <row r="11012" spans="2:2" ht="15.9" customHeight="1" x14ac:dyDescent="0.3">
      <c r="B11012" s="37"/>
    </row>
    <row r="11013" spans="2:2" ht="15.9" customHeight="1" x14ac:dyDescent="0.3">
      <c r="B11013" s="37"/>
    </row>
    <row r="11014" spans="2:2" ht="15.9" customHeight="1" x14ac:dyDescent="0.3">
      <c r="B11014" s="37"/>
    </row>
    <row r="11015" spans="2:2" ht="15.9" customHeight="1" x14ac:dyDescent="0.3">
      <c r="B11015" s="37"/>
    </row>
    <row r="11016" spans="2:2" ht="15.9" customHeight="1" x14ac:dyDescent="0.3">
      <c r="B11016" s="37"/>
    </row>
    <row r="11017" spans="2:2" ht="15.9" customHeight="1" x14ac:dyDescent="0.3">
      <c r="B11017" s="37"/>
    </row>
    <row r="11018" spans="2:2" ht="15.9" customHeight="1" x14ac:dyDescent="0.3">
      <c r="B11018" s="37"/>
    </row>
    <row r="11019" spans="2:2" ht="15.9" customHeight="1" x14ac:dyDescent="0.3">
      <c r="B11019" s="37"/>
    </row>
    <row r="11020" spans="2:2" ht="15.9" customHeight="1" x14ac:dyDescent="0.3">
      <c r="B11020" s="37"/>
    </row>
    <row r="11021" spans="2:2" ht="15.9" customHeight="1" x14ac:dyDescent="0.3">
      <c r="B11021" s="37"/>
    </row>
    <row r="11022" spans="2:2" ht="15.9" customHeight="1" x14ac:dyDescent="0.3">
      <c r="B11022" s="37"/>
    </row>
    <row r="11023" spans="2:2" ht="15.9" customHeight="1" x14ac:dyDescent="0.3">
      <c r="B11023" s="37"/>
    </row>
    <row r="11024" spans="2:2" ht="15.9" customHeight="1" x14ac:dyDescent="0.3">
      <c r="B11024" s="37"/>
    </row>
    <row r="11025" spans="2:2" ht="15.9" customHeight="1" x14ac:dyDescent="0.3">
      <c r="B11025" s="37"/>
    </row>
    <row r="11026" spans="2:2" ht="15.9" customHeight="1" x14ac:dyDescent="0.3">
      <c r="B11026" s="37"/>
    </row>
    <row r="11027" spans="2:2" ht="15.9" customHeight="1" x14ac:dyDescent="0.3">
      <c r="B11027" s="37"/>
    </row>
    <row r="11028" spans="2:2" ht="15.9" customHeight="1" x14ac:dyDescent="0.3">
      <c r="B11028" s="37"/>
    </row>
    <row r="11029" spans="2:2" ht="15.9" customHeight="1" x14ac:dyDescent="0.3">
      <c r="B11029" s="37"/>
    </row>
    <row r="11030" spans="2:2" ht="15.9" customHeight="1" x14ac:dyDescent="0.3">
      <c r="B11030" s="37"/>
    </row>
    <row r="11031" spans="2:2" ht="15.9" customHeight="1" x14ac:dyDescent="0.3">
      <c r="B11031" s="37"/>
    </row>
    <row r="11032" spans="2:2" ht="15.9" customHeight="1" x14ac:dyDescent="0.3">
      <c r="B11032" s="37"/>
    </row>
    <row r="11033" spans="2:2" ht="15.9" customHeight="1" x14ac:dyDescent="0.3">
      <c r="B11033" s="37"/>
    </row>
    <row r="11034" spans="2:2" ht="15.9" customHeight="1" x14ac:dyDescent="0.3">
      <c r="B11034" s="37"/>
    </row>
    <row r="11035" spans="2:2" ht="15.9" customHeight="1" x14ac:dyDescent="0.3">
      <c r="B11035" s="37"/>
    </row>
    <row r="11036" spans="2:2" ht="15.9" customHeight="1" x14ac:dyDescent="0.3">
      <c r="B11036" s="37"/>
    </row>
    <row r="11037" spans="2:2" ht="15.9" customHeight="1" x14ac:dyDescent="0.3">
      <c r="B11037" s="37"/>
    </row>
    <row r="11038" spans="2:2" ht="15.9" customHeight="1" x14ac:dyDescent="0.3">
      <c r="B11038" s="37"/>
    </row>
    <row r="11039" spans="2:2" ht="15.9" customHeight="1" x14ac:dyDescent="0.3">
      <c r="B11039" s="37"/>
    </row>
    <row r="11040" spans="2:2" ht="15.9" customHeight="1" x14ac:dyDescent="0.3">
      <c r="B11040" s="37"/>
    </row>
    <row r="11041" spans="2:2" ht="15.9" customHeight="1" x14ac:dyDescent="0.3">
      <c r="B11041" s="37"/>
    </row>
    <row r="11042" spans="2:2" ht="15.9" customHeight="1" x14ac:dyDescent="0.3">
      <c r="B11042" s="37"/>
    </row>
    <row r="11043" spans="2:2" ht="15.9" customHeight="1" x14ac:dyDescent="0.3">
      <c r="B11043" s="37"/>
    </row>
    <row r="11044" spans="2:2" ht="15.9" customHeight="1" x14ac:dyDescent="0.3">
      <c r="B11044" s="37"/>
    </row>
    <row r="11045" spans="2:2" ht="15.9" customHeight="1" x14ac:dyDescent="0.3">
      <c r="B11045" s="37"/>
    </row>
    <row r="11046" spans="2:2" ht="15.9" customHeight="1" x14ac:dyDescent="0.3">
      <c r="B11046" s="37"/>
    </row>
    <row r="11047" spans="2:2" ht="15.9" customHeight="1" x14ac:dyDescent="0.3">
      <c r="B11047" s="37"/>
    </row>
    <row r="11048" spans="2:2" ht="15.9" customHeight="1" x14ac:dyDescent="0.3">
      <c r="B11048" s="37"/>
    </row>
    <row r="11049" spans="2:2" ht="15.9" customHeight="1" x14ac:dyDescent="0.3">
      <c r="B11049" s="37"/>
    </row>
    <row r="11050" spans="2:2" ht="15.9" customHeight="1" x14ac:dyDescent="0.3">
      <c r="B11050" s="37"/>
    </row>
    <row r="11051" spans="2:2" ht="15.9" customHeight="1" x14ac:dyDescent="0.3">
      <c r="B11051" s="37"/>
    </row>
    <row r="11052" spans="2:2" ht="15.9" customHeight="1" x14ac:dyDescent="0.3">
      <c r="B11052" s="37"/>
    </row>
    <row r="11053" spans="2:2" ht="15.9" customHeight="1" x14ac:dyDescent="0.3">
      <c r="B11053" s="37"/>
    </row>
    <row r="11054" spans="2:2" ht="15.9" customHeight="1" x14ac:dyDescent="0.3">
      <c r="B11054" s="37"/>
    </row>
    <row r="11055" spans="2:2" ht="15.9" customHeight="1" x14ac:dyDescent="0.3">
      <c r="B11055" s="37"/>
    </row>
    <row r="11056" spans="2:2" ht="15.9" customHeight="1" x14ac:dyDescent="0.3">
      <c r="B11056" s="37"/>
    </row>
    <row r="11057" spans="2:2" ht="15.9" customHeight="1" x14ac:dyDescent="0.3">
      <c r="B11057" s="37"/>
    </row>
    <row r="11058" spans="2:2" ht="15.9" customHeight="1" x14ac:dyDescent="0.3">
      <c r="B11058" s="37"/>
    </row>
    <row r="11059" spans="2:2" ht="15.9" customHeight="1" x14ac:dyDescent="0.3">
      <c r="B11059" s="37"/>
    </row>
    <row r="11060" spans="2:2" ht="15.9" customHeight="1" x14ac:dyDescent="0.3">
      <c r="B11060" s="37"/>
    </row>
    <row r="11061" spans="2:2" ht="15.9" customHeight="1" x14ac:dyDescent="0.3">
      <c r="B11061" s="37"/>
    </row>
    <row r="11062" spans="2:2" ht="15.9" customHeight="1" x14ac:dyDescent="0.3">
      <c r="B11062" s="37"/>
    </row>
    <row r="11063" spans="2:2" ht="15.9" customHeight="1" x14ac:dyDescent="0.3">
      <c r="B11063" s="37"/>
    </row>
    <row r="11064" spans="2:2" ht="15.9" customHeight="1" x14ac:dyDescent="0.3">
      <c r="B11064" s="37"/>
    </row>
    <row r="11065" spans="2:2" ht="15.9" customHeight="1" x14ac:dyDescent="0.3">
      <c r="B11065" s="37"/>
    </row>
    <row r="11066" spans="2:2" ht="15.9" customHeight="1" x14ac:dyDescent="0.3">
      <c r="B11066" s="37"/>
    </row>
    <row r="11067" spans="2:2" ht="15.9" customHeight="1" x14ac:dyDescent="0.3">
      <c r="B11067" s="37"/>
    </row>
    <row r="11068" spans="2:2" ht="15.9" customHeight="1" x14ac:dyDescent="0.3">
      <c r="B11068" s="37"/>
    </row>
    <row r="11069" spans="2:2" ht="15.9" customHeight="1" x14ac:dyDescent="0.3">
      <c r="B11069" s="37"/>
    </row>
    <row r="11070" spans="2:2" ht="15.9" customHeight="1" x14ac:dyDescent="0.3">
      <c r="B11070" s="37"/>
    </row>
    <row r="11071" spans="2:2" ht="15.9" customHeight="1" x14ac:dyDescent="0.3">
      <c r="B11071" s="37"/>
    </row>
    <row r="11072" spans="2:2" ht="15.9" customHeight="1" x14ac:dyDescent="0.3">
      <c r="B11072" s="37"/>
    </row>
    <row r="11073" spans="2:2" ht="15.9" customHeight="1" x14ac:dyDescent="0.3">
      <c r="B11073" s="37"/>
    </row>
    <row r="11074" spans="2:2" ht="15.9" customHeight="1" x14ac:dyDescent="0.3">
      <c r="B11074" s="37"/>
    </row>
    <row r="11075" spans="2:2" ht="15.9" customHeight="1" x14ac:dyDescent="0.3">
      <c r="B11075" s="37"/>
    </row>
    <row r="11076" spans="2:2" ht="15.9" customHeight="1" x14ac:dyDescent="0.3">
      <c r="B11076" s="37"/>
    </row>
    <row r="11077" spans="2:2" ht="15.9" customHeight="1" x14ac:dyDescent="0.3">
      <c r="B11077" s="37"/>
    </row>
    <row r="11078" spans="2:2" ht="15.9" customHeight="1" x14ac:dyDescent="0.3">
      <c r="B11078" s="37"/>
    </row>
    <row r="11079" spans="2:2" ht="15.9" customHeight="1" x14ac:dyDescent="0.3">
      <c r="B11079" s="37"/>
    </row>
    <row r="11080" spans="2:2" ht="15.9" customHeight="1" x14ac:dyDescent="0.3">
      <c r="B11080" s="37"/>
    </row>
    <row r="11081" spans="2:2" ht="15.9" customHeight="1" x14ac:dyDescent="0.3">
      <c r="B11081" s="37"/>
    </row>
    <row r="11082" spans="2:2" ht="15.9" customHeight="1" x14ac:dyDescent="0.3">
      <c r="B11082" s="37"/>
    </row>
    <row r="11083" spans="2:2" ht="15.9" customHeight="1" x14ac:dyDescent="0.3">
      <c r="B11083" s="37"/>
    </row>
    <row r="11084" spans="2:2" ht="15.9" customHeight="1" x14ac:dyDescent="0.3">
      <c r="B11084" s="37"/>
    </row>
    <row r="11085" spans="2:2" ht="15.9" customHeight="1" x14ac:dyDescent="0.3">
      <c r="B11085" s="37"/>
    </row>
    <row r="11086" spans="2:2" ht="15.9" customHeight="1" x14ac:dyDescent="0.3">
      <c r="B11086" s="37"/>
    </row>
    <row r="11087" spans="2:2" ht="15.9" customHeight="1" x14ac:dyDescent="0.3">
      <c r="B11087" s="37"/>
    </row>
    <row r="11088" spans="2:2" ht="15.9" customHeight="1" x14ac:dyDescent="0.3">
      <c r="B11088" s="37"/>
    </row>
    <row r="11089" spans="2:2" ht="15.9" customHeight="1" x14ac:dyDescent="0.3">
      <c r="B11089" s="37"/>
    </row>
    <row r="11090" spans="2:2" ht="15.9" customHeight="1" x14ac:dyDescent="0.3">
      <c r="B11090" s="37"/>
    </row>
    <row r="11091" spans="2:2" ht="15.9" customHeight="1" x14ac:dyDescent="0.3">
      <c r="B11091" s="37"/>
    </row>
    <row r="11092" spans="2:2" ht="15.9" customHeight="1" x14ac:dyDescent="0.3">
      <c r="B11092" s="37"/>
    </row>
    <row r="11093" spans="2:2" ht="15.9" customHeight="1" x14ac:dyDescent="0.3">
      <c r="B11093" s="37"/>
    </row>
    <row r="11094" spans="2:2" ht="15.9" customHeight="1" x14ac:dyDescent="0.3">
      <c r="B11094" s="37"/>
    </row>
    <row r="11095" spans="2:2" ht="15.9" customHeight="1" x14ac:dyDescent="0.3">
      <c r="B11095" s="37"/>
    </row>
    <row r="11096" spans="2:2" ht="15.9" customHeight="1" x14ac:dyDescent="0.3">
      <c r="B11096" s="37"/>
    </row>
    <row r="11097" spans="2:2" ht="15.9" customHeight="1" x14ac:dyDescent="0.3">
      <c r="B11097" s="37"/>
    </row>
    <row r="11098" spans="2:2" ht="15.9" customHeight="1" x14ac:dyDescent="0.3">
      <c r="B11098" s="37"/>
    </row>
    <row r="11099" spans="2:2" ht="15.9" customHeight="1" x14ac:dyDescent="0.3">
      <c r="B11099" s="37"/>
    </row>
    <row r="11100" spans="2:2" ht="15.9" customHeight="1" x14ac:dyDescent="0.3">
      <c r="B11100" s="37"/>
    </row>
    <row r="11101" spans="2:2" ht="15.9" customHeight="1" x14ac:dyDescent="0.3">
      <c r="B11101" s="37"/>
    </row>
    <row r="11102" spans="2:2" ht="15.9" customHeight="1" x14ac:dyDescent="0.3">
      <c r="B11102" s="37"/>
    </row>
    <row r="11103" spans="2:2" ht="15.9" customHeight="1" x14ac:dyDescent="0.3">
      <c r="B11103" s="37"/>
    </row>
    <row r="11104" spans="2:2" ht="15.9" customHeight="1" x14ac:dyDescent="0.3">
      <c r="B11104" s="37"/>
    </row>
    <row r="11105" spans="2:2" ht="15.9" customHeight="1" x14ac:dyDescent="0.3">
      <c r="B11105" s="37"/>
    </row>
    <row r="11106" spans="2:2" ht="15.9" customHeight="1" x14ac:dyDescent="0.3">
      <c r="B11106" s="37"/>
    </row>
    <row r="11107" spans="2:2" ht="15.9" customHeight="1" x14ac:dyDescent="0.3">
      <c r="B11107" s="37"/>
    </row>
    <row r="11108" spans="2:2" ht="15.9" customHeight="1" x14ac:dyDescent="0.3">
      <c r="B11108" s="37"/>
    </row>
    <row r="11109" spans="2:2" ht="15.9" customHeight="1" x14ac:dyDescent="0.3">
      <c r="B11109" s="37"/>
    </row>
    <row r="11110" spans="2:2" ht="15.9" customHeight="1" x14ac:dyDescent="0.3">
      <c r="B11110" s="37"/>
    </row>
    <row r="11111" spans="2:2" ht="15.9" customHeight="1" x14ac:dyDescent="0.3">
      <c r="B11111" s="37"/>
    </row>
    <row r="11112" spans="2:2" ht="15.9" customHeight="1" x14ac:dyDescent="0.3">
      <c r="B11112" s="37"/>
    </row>
    <row r="11113" spans="2:2" ht="15.9" customHeight="1" x14ac:dyDescent="0.3">
      <c r="B11113" s="37"/>
    </row>
    <row r="11114" spans="2:2" ht="15.9" customHeight="1" x14ac:dyDescent="0.3">
      <c r="B11114" s="37"/>
    </row>
    <row r="11115" spans="2:2" ht="15.9" customHeight="1" x14ac:dyDescent="0.3">
      <c r="B11115" s="37"/>
    </row>
    <row r="11116" spans="2:2" ht="15.9" customHeight="1" x14ac:dyDescent="0.3">
      <c r="B11116" s="37"/>
    </row>
    <row r="11117" spans="2:2" ht="15.9" customHeight="1" x14ac:dyDescent="0.3">
      <c r="B11117" s="37"/>
    </row>
    <row r="11118" spans="2:2" ht="15.9" customHeight="1" x14ac:dyDescent="0.3">
      <c r="B11118" s="37"/>
    </row>
    <row r="11119" spans="2:2" ht="15.9" customHeight="1" x14ac:dyDescent="0.3">
      <c r="B11119" s="37"/>
    </row>
    <row r="11120" spans="2:2" ht="15.9" customHeight="1" x14ac:dyDescent="0.3">
      <c r="B11120" s="37"/>
    </row>
    <row r="11121" spans="2:2" ht="15.9" customHeight="1" x14ac:dyDescent="0.3">
      <c r="B11121" s="37"/>
    </row>
    <row r="11122" spans="2:2" ht="15.9" customHeight="1" x14ac:dyDescent="0.3">
      <c r="B11122" s="37"/>
    </row>
    <row r="11123" spans="2:2" ht="15.9" customHeight="1" x14ac:dyDescent="0.3">
      <c r="B11123" s="37"/>
    </row>
    <row r="11124" spans="2:2" ht="15.9" customHeight="1" x14ac:dyDescent="0.3">
      <c r="B11124" s="37"/>
    </row>
    <row r="11125" spans="2:2" ht="15.9" customHeight="1" x14ac:dyDescent="0.3">
      <c r="B11125" s="37"/>
    </row>
    <row r="11126" spans="2:2" ht="15.9" customHeight="1" x14ac:dyDescent="0.3">
      <c r="B11126" s="37"/>
    </row>
    <row r="11127" spans="2:2" ht="15.9" customHeight="1" x14ac:dyDescent="0.3">
      <c r="B11127" s="37"/>
    </row>
    <row r="11128" spans="2:2" ht="15.9" customHeight="1" x14ac:dyDescent="0.3">
      <c r="B11128" s="37"/>
    </row>
    <row r="11129" spans="2:2" ht="15.9" customHeight="1" x14ac:dyDescent="0.3">
      <c r="B11129" s="37"/>
    </row>
    <row r="11130" spans="2:2" ht="15.9" customHeight="1" x14ac:dyDescent="0.3">
      <c r="B11130" s="37"/>
    </row>
    <row r="11131" spans="2:2" ht="15.9" customHeight="1" x14ac:dyDescent="0.3">
      <c r="B11131" s="37"/>
    </row>
    <row r="11132" spans="2:2" ht="15.9" customHeight="1" x14ac:dyDescent="0.3">
      <c r="B11132" s="37"/>
    </row>
    <row r="11133" spans="2:2" ht="15.9" customHeight="1" x14ac:dyDescent="0.3">
      <c r="B11133" s="37"/>
    </row>
    <row r="11134" spans="2:2" ht="15.9" customHeight="1" x14ac:dyDescent="0.3">
      <c r="B11134" s="37"/>
    </row>
    <row r="11135" spans="2:2" ht="15.9" customHeight="1" x14ac:dyDescent="0.3">
      <c r="B11135" s="37"/>
    </row>
    <row r="11136" spans="2:2" ht="15.9" customHeight="1" x14ac:dyDescent="0.3">
      <c r="B11136" s="37"/>
    </row>
    <row r="11137" spans="2:2" ht="15.9" customHeight="1" x14ac:dyDescent="0.3">
      <c r="B11137" s="37"/>
    </row>
    <row r="11138" spans="2:2" ht="15.9" customHeight="1" x14ac:dyDescent="0.3">
      <c r="B11138" s="37"/>
    </row>
    <row r="11139" spans="2:2" ht="15.9" customHeight="1" x14ac:dyDescent="0.3">
      <c r="B11139" s="37"/>
    </row>
    <row r="11140" spans="2:2" ht="15.9" customHeight="1" x14ac:dyDescent="0.3">
      <c r="B11140" s="37"/>
    </row>
    <row r="11141" spans="2:2" ht="15.9" customHeight="1" x14ac:dyDescent="0.3">
      <c r="B11141" s="37"/>
    </row>
    <row r="11142" spans="2:2" ht="15.9" customHeight="1" x14ac:dyDescent="0.3">
      <c r="B11142" s="37"/>
    </row>
    <row r="11143" spans="2:2" ht="15.9" customHeight="1" x14ac:dyDescent="0.3">
      <c r="B11143" s="37"/>
    </row>
    <row r="11144" spans="2:2" ht="15.9" customHeight="1" x14ac:dyDescent="0.3">
      <c r="B11144" s="37"/>
    </row>
    <row r="11145" spans="2:2" ht="15.9" customHeight="1" x14ac:dyDescent="0.3">
      <c r="B11145" s="37"/>
    </row>
    <row r="11146" spans="2:2" ht="15.9" customHeight="1" x14ac:dyDescent="0.3">
      <c r="B11146" s="37"/>
    </row>
    <row r="11147" spans="2:2" ht="15.9" customHeight="1" x14ac:dyDescent="0.3">
      <c r="B11147" s="37"/>
    </row>
    <row r="11148" spans="2:2" ht="15.9" customHeight="1" x14ac:dyDescent="0.3">
      <c r="B11148" s="37"/>
    </row>
    <row r="11149" spans="2:2" ht="15.9" customHeight="1" x14ac:dyDescent="0.3">
      <c r="B11149" s="37"/>
    </row>
    <row r="11150" spans="2:2" ht="15.9" customHeight="1" x14ac:dyDescent="0.3">
      <c r="B11150" s="37"/>
    </row>
    <row r="11151" spans="2:2" ht="15.9" customHeight="1" x14ac:dyDescent="0.3">
      <c r="B11151" s="37"/>
    </row>
    <row r="11152" spans="2:2" ht="15.9" customHeight="1" x14ac:dyDescent="0.3">
      <c r="B11152" s="37"/>
    </row>
    <row r="11153" spans="2:2" ht="15.9" customHeight="1" x14ac:dyDescent="0.3">
      <c r="B11153" s="37"/>
    </row>
    <row r="11154" spans="2:2" ht="15.9" customHeight="1" x14ac:dyDescent="0.3">
      <c r="B11154" s="37"/>
    </row>
    <row r="11155" spans="2:2" ht="15.9" customHeight="1" x14ac:dyDescent="0.3">
      <c r="B11155" s="37"/>
    </row>
    <row r="11156" spans="2:2" ht="15.9" customHeight="1" x14ac:dyDescent="0.3">
      <c r="B11156" s="37"/>
    </row>
    <row r="11157" spans="2:2" ht="15.9" customHeight="1" x14ac:dyDescent="0.3">
      <c r="B11157" s="37"/>
    </row>
    <row r="11158" spans="2:2" ht="15.9" customHeight="1" x14ac:dyDescent="0.3">
      <c r="B11158" s="37"/>
    </row>
    <row r="11159" spans="2:2" ht="15.9" customHeight="1" x14ac:dyDescent="0.3">
      <c r="B11159" s="37"/>
    </row>
    <row r="11160" spans="2:2" ht="15.9" customHeight="1" x14ac:dyDescent="0.3">
      <c r="B11160" s="37"/>
    </row>
    <row r="11161" spans="2:2" ht="15.9" customHeight="1" x14ac:dyDescent="0.3">
      <c r="B11161" s="37"/>
    </row>
    <row r="11162" spans="2:2" ht="15.9" customHeight="1" x14ac:dyDescent="0.3">
      <c r="B11162" s="37"/>
    </row>
    <row r="11163" spans="2:2" ht="15.9" customHeight="1" x14ac:dyDescent="0.3">
      <c r="B11163" s="37"/>
    </row>
    <row r="11164" spans="2:2" ht="15.9" customHeight="1" x14ac:dyDescent="0.3">
      <c r="B11164" s="37"/>
    </row>
    <row r="11165" spans="2:2" ht="15.9" customHeight="1" x14ac:dyDescent="0.3">
      <c r="B11165" s="37"/>
    </row>
    <row r="11166" spans="2:2" ht="15.9" customHeight="1" x14ac:dyDescent="0.3">
      <c r="B11166" s="37"/>
    </row>
    <row r="11167" spans="2:2" ht="15.9" customHeight="1" x14ac:dyDescent="0.3">
      <c r="B11167" s="37"/>
    </row>
    <row r="11168" spans="2:2" ht="15.9" customHeight="1" x14ac:dyDescent="0.3">
      <c r="B11168" s="37"/>
    </row>
    <row r="11169" spans="2:2" ht="15.9" customHeight="1" x14ac:dyDescent="0.3">
      <c r="B11169" s="37"/>
    </row>
    <row r="11170" spans="2:2" ht="15.9" customHeight="1" x14ac:dyDescent="0.3">
      <c r="B11170" s="37"/>
    </row>
    <row r="11171" spans="2:2" ht="15.9" customHeight="1" x14ac:dyDescent="0.3">
      <c r="B11171" s="37"/>
    </row>
    <row r="11172" spans="2:2" ht="15.9" customHeight="1" x14ac:dyDescent="0.3">
      <c r="B11172" s="37"/>
    </row>
    <row r="11173" spans="2:2" ht="15.9" customHeight="1" x14ac:dyDescent="0.3">
      <c r="B11173" s="37"/>
    </row>
    <row r="11174" spans="2:2" ht="15.9" customHeight="1" x14ac:dyDescent="0.3">
      <c r="B11174" s="37"/>
    </row>
    <row r="11175" spans="2:2" ht="15.9" customHeight="1" x14ac:dyDescent="0.3">
      <c r="B11175" s="37"/>
    </row>
    <row r="11176" spans="2:2" ht="15.9" customHeight="1" x14ac:dyDescent="0.3">
      <c r="B11176" s="37"/>
    </row>
    <row r="11177" spans="2:2" ht="15.9" customHeight="1" x14ac:dyDescent="0.3">
      <c r="B11177" s="37"/>
    </row>
    <row r="11178" spans="2:2" ht="15.9" customHeight="1" x14ac:dyDescent="0.3">
      <c r="B11178" s="37"/>
    </row>
    <row r="11179" spans="2:2" ht="15.9" customHeight="1" x14ac:dyDescent="0.3">
      <c r="B11179" s="37"/>
    </row>
    <row r="11180" spans="2:2" ht="15.9" customHeight="1" x14ac:dyDescent="0.3">
      <c r="B11180" s="37"/>
    </row>
    <row r="11181" spans="2:2" ht="15.9" customHeight="1" x14ac:dyDescent="0.3">
      <c r="B11181" s="37"/>
    </row>
    <row r="11182" spans="2:2" ht="15.9" customHeight="1" x14ac:dyDescent="0.3">
      <c r="B11182" s="37"/>
    </row>
    <row r="11183" spans="2:2" ht="15.9" customHeight="1" x14ac:dyDescent="0.3">
      <c r="B11183" s="37"/>
    </row>
    <row r="11184" spans="2:2" ht="15.9" customHeight="1" x14ac:dyDescent="0.3">
      <c r="B11184" s="37"/>
    </row>
    <row r="11185" spans="2:2" ht="15.9" customHeight="1" x14ac:dyDescent="0.3">
      <c r="B11185" s="37"/>
    </row>
    <row r="11186" spans="2:2" ht="15.9" customHeight="1" x14ac:dyDescent="0.3">
      <c r="B11186" s="37"/>
    </row>
    <row r="11187" spans="2:2" ht="15.9" customHeight="1" x14ac:dyDescent="0.3">
      <c r="B11187" s="37"/>
    </row>
    <row r="11188" spans="2:2" ht="15.9" customHeight="1" x14ac:dyDescent="0.3">
      <c r="B11188" s="37"/>
    </row>
    <row r="11189" spans="2:2" ht="15.9" customHeight="1" x14ac:dyDescent="0.3">
      <c r="B11189" s="37"/>
    </row>
    <row r="11190" spans="2:2" ht="15.9" customHeight="1" x14ac:dyDescent="0.3">
      <c r="B11190" s="37"/>
    </row>
    <row r="11191" spans="2:2" ht="15.9" customHeight="1" x14ac:dyDescent="0.3">
      <c r="B11191" s="37"/>
    </row>
    <row r="11192" spans="2:2" ht="15.9" customHeight="1" x14ac:dyDescent="0.3">
      <c r="B11192" s="37"/>
    </row>
    <row r="11193" spans="2:2" ht="15.9" customHeight="1" x14ac:dyDescent="0.3">
      <c r="B11193" s="37"/>
    </row>
    <row r="11194" spans="2:2" ht="15.9" customHeight="1" x14ac:dyDescent="0.3">
      <c r="B11194" s="37"/>
    </row>
    <row r="11195" spans="2:2" ht="15.9" customHeight="1" x14ac:dyDescent="0.3">
      <c r="B11195" s="37"/>
    </row>
    <row r="11196" spans="2:2" ht="15.9" customHeight="1" x14ac:dyDescent="0.3">
      <c r="B11196" s="37"/>
    </row>
    <row r="11197" spans="2:2" ht="15.9" customHeight="1" x14ac:dyDescent="0.3">
      <c r="B11197" s="37"/>
    </row>
    <row r="11198" spans="2:2" ht="15.9" customHeight="1" x14ac:dyDescent="0.3">
      <c r="B11198" s="37"/>
    </row>
    <row r="11199" spans="2:2" ht="15.9" customHeight="1" x14ac:dyDescent="0.3">
      <c r="B11199" s="37"/>
    </row>
    <row r="11200" spans="2:2" ht="15.9" customHeight="1" x14ac:dyDescent="0.3">
      <c r="B11200" s="37"/>
    </row>
    <row r="11201" spans="2:2" ht="15.9" customHeight="1" x14ac:dyDescent="0.3">
      <c r="B11201" s="37"/>
    </row>
    <row r="11202" spans="2:2" ht="15.9" customHeight="1" x14ac:dyDescent="0.3">
      <c r="B11202" s="37"/>
    </row>
    <row r="11203" spans="2:2" ht="15.9" customHeight="1" x14ac:dyDescent="0.3">
      <c r="B11203" s="37"/>
    </row>
    <row r="11204" spans="2:2" ht="15.9" customHeight="1" x14ac:dyDescent="0.3">
      <c r="B11204" s="37"/>
    </row>
    <row r="11205" spans="2:2" ht="15.9" customHeight="1" x14ac:dyDescent="0.3">
      <c r="B11205" s="37"/>
    </row>
    <row r="11206" spans="2:2" ht="15.9" customHeight="1" x14ac:dyDescent="0.3">
      <c r="B11206" s="37"/>
    </row>
    <row r="11207" spans="2:2" ht="15.9" customHeight="1" x14ac:dyDescent="0.3">
      <c r="B11207" s="37"/>
    </row>
    <row r="11208" spans="2:2" ht="15.9" customHeight="1" x14ac:dyDescent="0.3">
      <c r="B11208" s="37"/>
    </row>
    <row r="11209" spans="2:2" ht="15.9" customHeight="1" x14ac:dyDescent="0.3">
      <c r="B11209" s="37"/>
    </row>
    <row r="11210" spans="2:2" ht="15.9" customHeight="1" x14ac:dyDescent="0.3">
      <c r="B11210" s="37"/>
    </row>
    <row r="11211" spans="2:2" ht="15.9" customHeight="1" x14ac:dyDescent="0.3">
      <c r="B11211" s="37"/>
    </row>
    <row r="11212" spans="2:2" ht="15.9" customHeight="1" x14ac:dyDescent="0.3">
      <c r="B11212" s="37"/>
    </row>
    <row r="11213" spans="2:2" ht="15.9" customHeight="1" x14ac:dyDescent="0.3">
      <c r="B11213" s="37"/>
    </row>
    <row r="11214" spans="2:2" ht="15.9" customHeight="1" x14ac:dyDescent="0.3">
      <c r="B11214" s="37"/>
    </row>
    <row r="11215" spans="2:2" ht="15.9" customHeight="1" x14ac:dyDescent="0.3">
      <c r="B11215" s="37"/>
    </row>
    <row r="11216" spans="2:2" ht="15.9" customHeight="1" x14ac:dyDescent="0.3">
      <c r="B11216" s="37"/>
    </row>
    <row r="11217" spans="2:2" ht="15.9" customHeight="1" x14ac:dyDescent="0.3">
      <c r="B11217" s="37"/>
    </row>
    <row r="11218" spans="2:2" ht="15.9" customHeight="1" x14ac:dyDescent="0.3">
      <c r="B11218" s="37"/>
    </row>
    <row r="11219" spans="2:2" ht="15.9" customHeight="1" x14ac:dyDescent="0.3">
      <c r="B11219" s="37"/>
    </row>
    <row r="11220" spans="2:2" ht="15.9" customHeight="1" x14ac:dyDescent="0.3">
      <c r="B11220" s="37"/>
    </row>
    <row r="11221" spans="2:2" ht="15.9" customHeight="1" x14ac:dyDescent="0.3">
      <c r="B11221" s="37"/>
    </row>
    <row r="11222" spans="2:2" ht="15.9" customHeight="1" x14ac:dyDescent="0.3">
      <c r="B11222" s="37"/>
    </row>
    <row r="11223" spans="2:2" ht="15.9" customHeight="1" x14ac:dyDescent="0.3">
      <c r="B11223" s="37"/>
    </row>
    <row r="11224" spans="2:2" ht="15.9" customHeight="1" x14ac:dyDescent="0.3">
      <c r="B11224" s="37"/>
    </row>
    <row r="11225" spans="2:2" ht="15.9" customHeight="1" x14ac:dyDescent="0.3">
      <c r="B11225" s="37"/>
    </row>
    <row r="11226" spans="2:2" ht="15.9" customHeight="1" x14ac:dyDescent="0.3">
      <c r="B11226" s="37"/>
    </row>
    <row r="11227" spans="2:2" ht="15.9" customHeight="1" x14ac:dyDescent="0.3">
      <c r="B11227" s="37"/>
    </row>
    <row r="11228" spans="2:2" ht="15.9" customHeight="1" x14ac:dyDescent="0.3">
      <c r="B11228" s="37"/>
    </row>
    <row r="11229" spans="2:2" ht="15.9" customHeight="1" x14ac:dyDescent="0.3">
      <c r="B11229" s="37"/>
    </row>
    <row r="11230" spans="2:2" ht="15.9" customHeight="1" x14ac:dyDescent="0.3">
      <c r="B11230" s="37"/>
    </row>
    <row r="11231" spans="2:2" ht="15.9" customHeight="1" x14ac:dyDescent="0.3">
      <c r="B11231" s="37"/>
    </row>
    <row r="11232" spans="2:2" ht="15.9" customHeight="1" x14ac:dyDescent="0.3">
      <c r="B11232" s="37"/>
    </row>
    <row r="11233" spans="2:2" ht="15.9" customHeight="1" x14ac:dyDescent="0.3">
      <c r="B11233" s="37"/>
    </row>
    <row r="11234" spans="2:2" ht="15.9" customHeight="1" x14ac:dyDescent="0.3">
      <c r="B11234" s="37"/>
    </row>
    <row r="11235" spans="2:2" ht="15.9" customHeight="1" x14ac:dyDescent="0.3">
      <c r="B11235" s="37"/>
    </row>
    <row r="11236" spans="2:2" ht="15.9" customHeight="1" x14ac:dyDescent="0.3">
      <c r="B11236" s="37"/>
    </row>
    <row r="11237" spans="2:2" ht="15.9" customHeight="1" x14ac:dyDescent="0.3">
      <c r="B11237" s="37"/>
    </row>
    <row r="11238" spans="2:2" ht="15.9" customHeight="1" x14ac:dyDescent="0.3">
      <c r="B11238" s="37"/>
    </row>
    <row r="11239" spans="2:2" ht="15.9" customHeight="1" x14ac:dyDescent="0.3">
      <c r="B11239" s="37"/>
    </row>
    <row r="11240" spans="2:2" ht="15.9" customHeight="1" x14ac:dyDescent="0.3">
      <c r="B11240" s="37"/>
    </row>
    <row r="11241" spans="2:2" ht="15.9" customHeight="1" x14ac:dyDescent="0.3">
      <c r="B11241" s="37"/>
    </row>
    <row r="11242" spans="2:2" ht="15.9" customHeight="1" x14ac:dyDescent="0.3">
      <c r="B11242" s="37"/>
    </row>
    <row r="11243" spans="2:2" ht="15.9" customHeight="1" x14ac:dyDescent="0.3">
      <c r="B11243" s="37"/>
    </row>
    <row r="11244" spans="2:2" ht="15.9" customHeight="1" x14ac:dyDescent="0.3">
      <c r="B11244" s="37"/>
    </row>
    <row r="11245" spans="2:2" ht="15.9" customHeight="1" x14ac:dyDescent="0.3">
      <c r="B11245" s="37"/>
    </row>
    <row r="11246" spans="2:2" ht="15.9" customHeight="1" x14ac:dyDescent="0.3">
      <c r="B11246" s="37"/>
    </row>
    <row r="11247" spans="2:2" ht="15.9" customHeight="1" x14ac:dyDescent="0.3">
      <c r="B11247" s="37"/>
    </row>
    <row r="11248" spans="2:2" ht="15.9" customHeight="1" x14ac:dyDescent="0.3">
      <c r="B11248" s="37"/>
    </row>
    <row r="11249" spans="2:2" ht="15.9" customHeight="1" x14ac:dyDescent="0.3">
      <c r="B11249" s="37"/>
    </row>
    <row r="11250" spans="2:2" ht="15.9" customHeight="1" x14ac:dyDescent="0.3">
      <c r="B11250" s="37"/>
    </row>
    <row r="11251" spans="2:2" ht="15.9" customHeight="1" x14ac:dyDescent="0.3">
      <c r="B11251" s="37"/>
    </row>
    <row r="11252" spans="2:2" ht="15.9" customHeight="1" x14ac:dyDescent="0.3">
      <c r="B11252" s="37"/>
    </row>
    <row r="11253" spans="2:2" ht="15.9" customHeight="1" x14ac:dyDescent="0.3">
      <c r="B11253" s="37"/>
    </row>
    <row r="11254" spans="2:2" ht="15.9" customHeight="1" x14ac:dyDescent="0.3">
      <c r="B11254" s="37"/>
    </row>
    <row r="11255" spans="2:2" ht="15.9" customHeight="1" x14ac:dyDescent="0.3">
      <c r="B11255" s="37"/>
    </row>
    <row r="11256" spans="2:2" ht="15.9" customHeight="1" x14ac:dyDescent="0.3">
      <c r="B11256" s="37"/>
    </row>
    <row r="11257" spans="2:2" ht="15.9" customHeight="1" x14ac:dyDescent="0.3">
      <c r="B11257" s="37"/>
    </row>
    <row r="11258" spans="2:2" ht="15.9" customHeight="1" x14ac:dyDescent="0.3">
      <c r="B11258" s="37"/>
    </row>
    <row r="11259" spans="2:2" ht="15.9" customHeight="1" x14ac:dyDescent="0.3">
      <c r="B11259" s="37"/>
    </row>
    <row r="11260" spans="2:2" ht="15.9" customHeight="1" x14ac:dyDescent="0.3">
      <c r="B11260" s="37"/>
    </row>
    <row r="11261" spans="2:2" ht="15.9" customHeight="1" x14ac:dyDescent="0.3">
      <c r="B11261" s="37"/>
    </row>
    <row r="11262" spans="2:2" ht="15.9" customHeight="1" x14ac:dyDescent="0.3">
      <c r="B11262" s="37"/>
    </row>
    <row r="11263" spans="2:2" ht="15.9" customHeight="1" x14ac:dyDescent="0.3">
      <c r="B11263" s="37"/>
    </row>
    <row r="11264" spans="2:2" ht="15.9" customHeight="1" x14ac:dyDescent="0.3">
      <c r="B11264" s="37"/>
    </row>
    <row r="11265" spans="2:2" ht="15.9" customHeight="1" x14ac:dyDescent="0.3">
      <c r="B11265" s="37"/>
    </row>
    <row r="11266" spans="2:2" ht="15.9" customHeight="1" x14ac:dyDescent="0.3">
      <c r="B11266" s="37"/>
    </row>
    <row r="11267" spans="2:2" ht="15.9" customHeight="1" x14ac:dyDescent="0.3">
      <c r="B11267" s="37"/>
    </row>
    <row r="11268" spans="2:2" ht="15.9" customHeight="1" x14ac:dyDescent="0.3">
      <c r="B11268" s="37"/>
    </row>
    <row r="11269" spans="2:2" ht="15.9" customHeight="1" x14ac:dyDescent="0.3">
      <c r="B11269" s="37"/>
    </row>
    <row r="11270" spans="2:2" ht="15.9" customHeight="1" x14ac:dyDescent="0.3">
      <c r="B11270" s="37"/>
    </row>
    <row r="11271" spans="2:2" ht="15.9" customHeight="1" x14ac:dyDescent="0.3">
      <c r="B11271" s="37"/>
    </row>
    <row r="11272" spans="2:2" ht="15.9" customHeight="1" x14ac:dyDescent="0.3">
      <c r="B11272" s="37"/>
    </row>
    <row r="11273" spans="2:2" ht="15.9" customHeight="1" x14ac:dyDescent="0.3">
      <c r="B11273" s="37"/>
    </row>
    <row r="11274" spans="2:2" ht="15.9" customHeight="1" x14ac:dyDescent="0.3">
      <c r="B11274" s="37"/>
    </row>
    <row r="11275" spans="2:2" ht="15.9" customHeight="1" x14ac:dyDescent="0.3">
      <c r="B11275" s="37"/>
    </row>
    <row r="11276" spans="2:2" ht="15.9" customHeight="1" x14ac:dyDescent="0.3">
      <c r="B11276" s="37"/>
    </row>
    <row r="11277" spans="2:2" ht="15.9" customHeight="1" x14ac:dyDescent="0.3">
      <c r="B11277" s="37"/>
    </row>
    <row r="11278" spans="2:2" ht="15.9" customHeight="1" x14ac:dyDescent="0.3">
      <c r="B11278" s="37"/>
    </row>
    <row r="11279" spans="2:2" ht="15.9" customHeight="1" x14ac:dyDescent="0.3">
      <c r="B11279" s="37"/>
    </row>
    <row r="11280" spans="2:2" ht="15.9" customHeight="1" x14ac:dyDescent="0.3">
      <c r="B11280" s="37"/>
    </row>
    <row r="11281" spans="2:2" ht="15.9" customHeight="1" x14ac:dyDescent="0.3">
      <c r="B11281" s="37"/>
    </row>
    <row r="11282" spans="2:2" ht="15.9" customHeight="1" x14ac:dyDescent="0.3">
      <c r="B11282" s="37"/>
    </row>
    <row r="11283" spans="2:2" ht="15.9" customHeight="1" x14ac:dyDescent="0.3">
      <c r="B11283" s="37"/>
    </row>
    <row r="11284" spans="2:2" ht="15.9" customHeight="1" x14ac:dyDescent="0.3">
      <c r="B11284" s="37"/>
    </row>
    <row r="11285" spans="2:2" ht="15.9" customHeight="1" x14ac:dyDescent="0.3">
      <c r="B11285" s="37"/>
    </row>
    <row r="11286" spans="2:2" ht="15.9" customHeight="1" x14ac:dyDescent="0.3">
      <c r="B11286" s="37"/>
    </row>
    <row r="11287" spans="2:2" ht="15.9" customHeight="1" x14ac:dyDescent="0.3">
      <c r="B11287" s="37"/>
    </row>
    <row r="11288" spans="2:2" ht="15.9" customHeight="1" x14ac:dyDescent="0.3">
      <c r="B11288" s="37"/>
    </row>
    <row r="11289" spans="2:2" ht="15.9" customHeight="1" x14ac:dyDescent="0.3">
      <c r="B11289" s="37"/>
    </row>
    <row r="11290" spans="2:2" ht="15.9" customHeight="1" x14ac:dyDescent="0.3">
      <c r="B11290" s="37"/>
    </row>
    <row r="11291" spans="2:2" ht="15.9" customHeight="1" x14ac:dyDescent="0.3">
      <c r="B11291" s="37"/>
    </row>
    <row r="11292" spans="2:2" ht="15.9" customHeight="1" x14ac:dyDescent="0.3">
      <c r="B11292" s="37"/>
    </row>
    <row r="11293" spans="2:2" ht="15.9" customHeight="1" x14ac:dyDescent="0.3">
      <c r="B11293" s="37"/>
    </row>
    <row r="11294" spans="2:2" ht="15.9" customHeight="1" x14ac:dyDescent="0.3">
      <c r="B11294" s="37"/>
    </row>
    <row r="11295" spans="2:2" ht="15.9" customHeight="1" x14ac:dyDescent="0.3">
      <c r="B11295" s="37"/>
    </row>
    <row r="11296" spans="2:2" ht="15.9" customHeight="1" x14ac:dyDescent="0.3">
      <c r="B11296" s="37"/>
    </row>
    <row r="11297" spans="2:2" ht="15.9" customHeight="1" x14ac:dyDescent="0.3">
      <c r="B11297" s="37"/>
    </row>
    <row r="11298" spans="2:2" ht="15.9" customHeight="1" x14ac:dyDescent="0.3">
      <c r="B11298" s="37"/>
    </row>
    <row r="11299" spans="2:2" ht="15.9" customHeight="1" x14ac:dyDescent="0.3">
      <c r="B11299" s="37"/>
    </row>
    <row r="11300" spans="2:2" ht="15.9" customHeight="1" x14ac:dyDescent="0.3">
      <c r="B11300" s="37"/>
    </row>
    <row r="11301" spans="2:2" ht="15.9" customHeight="1" x14ac:dyDescent="0.3">
      <c r="B11301" s="37"/>
    </row>
    <row r="11302" spans="2:2" ht="15.9" customHeight="1" x14ac:dyDescent="0.3">
      <c r="B11302" s="37"/>
    </row>
    <row r="11303" spans="2:2" ht="15.9" customHeight="1" x14ac:dyDescent="0.3">
      <c r="B11303" s="37"/>
    </row>
    <row r="11304" spans="2:2" ht="15.9" customHeight="1" x14ac:dyDescent="0.3">
      <c r="B11304" s="37"/>
    </row>
    <row r="11305" spans="2:2" ht="15.9" customHeight="1" x14ac:dyDescent="0.3">
      <c r="B11305" s="37"/>
    </row>
    <row r="11306" spans="2:2" ht="15.9" customHeight="1" x14ac:dyDescent="0.3">
      <c r="B11306" s="37"/>
    </row>
    <row r="11307" spans="2:2" ht="15.9" customHeight="1" x14ac:dyDescent="0.3">
      <c r="B11307" s="37"/>
    </row>
    <row r="11308" spans="2:2" ht="15.9" customHeight="1" x14ac:dyDescent="0.3">
      <c r="B11308" s="37"/>
    </row>
    <row r="11309" spans="2:2" ht="15.9" customHeight="1" x14ac:dyDescent="0.3">
      <c r="B11309" s="37"/>
    </row>
    <row r="11310" spans="2:2" ht="15.9" customHeight="1" x14ac:dyDescent="0.3">
      <c r="B11310" s="37"/>
    </row>
    <row r="11311" spans="2:2" ht="15.9" customHeight="1" x14ac:dyDescent="0.3">
      <c r="B11311" s="37"/>
    </row>
    <row r="11312" spans="2:2" ht="15.9" customHeight="1" x14ac:dyDescent="0.3">
      <c r="B11312" s="37"/>
    </row>
    <row r="11313" spans="2:2" ht="15.9" customHeight="1" x14ac:dyDescent="0.3">
      <c r="B11313" s="37"/>
    </row>
    <row r="11314" spans="2:2" ht="15.9" customHeight="1" x14ac:dyDescent="0.3">
      <c r="B11314" s="37"/>
    </row>
    <row r="11315" spans="2:2" ht="15.9" customHeight="1" x14ac:dyDescent="0.3">
      <c r="B11315" s="37"/>
    </row>
    <row r="11316" spans="2:2" ht="15.9" customHeight="1" x14ac:dyDescent="0.3">
      <c r="B11316" s="37"/>
    </row>
    <row r="11317" spans="2:2" ht="15.9" customHeight="1" x14ac:dyDescent="0.3">
      <c r="B11317" s="37"/>
    </row>
    <row r="11318" spans="2:2" ht="15.9" customHeight="1" x14ac:dyDescent="0.3">
      <c r="B11318" s="37"/>
    </row>
    <row r="11319" spans="2:2" ht="15.9" customHeight="1" x14ac:dyDescent="0.3">
      <c r="B11319" s="37"/>
    </row>
    <row r="11320" spans="2:2" ht="15.9" customHeight="1" x14ac:dyDescent="0.3">
      <c r="B11320" s="37"/>
    </row>
    <row r="11321" spans="2:2" ht="15.9" customHeight="1" x14ac:dyDescent="0.3">
      <c r="B11321" s="37"/>
    </row>
    <row r="11322" spans="2:2" ht="15.9" customHeight="1" x14ac:dyDescent="0.3">
      <c r="B11322" s="37"/>
    </row>
    <row r="11323" spans="2:2" ht="15.9" customHeight="1" x14ac:dyDescent="0.3">
      <c r="B11323" s="37"/>
    </row>
    <row r="11324" spans="2:2" ht="15.9" customHeight="1" x14ac:dyDescent="0.3">
      <c r="B11324" s="37"/>
    </row>
    <row r="11325" spans="2:2" ht="15.9" customHeight="1" x14ac:dyDescent="0.3">
      <c r="B11325" s="37"/>
    </row>
    <row r="11326" spans="2:2" ht="15.9" customHeight="1" x14ac:dyDescent="0.3">
      <c r="B11326" s="37"/>
    </row>
    <row r="11327" spans="2:2" ht="15.9" customHeight="1" x14ac:dyDescent="0.3">
      <c r="B11327" s="37"/>
    </row>
    <row r="11328" spans="2:2" ht="15.9" customHeight="1" x14ac:dyDescent="0.3">
      <c r="B11328" s="37"/>
    </row>
    <row r="11329" spans="2:2" ht="15.9" customHeight="1" x14ac:dyDescent="0.3">
      <c r="B11329" s="37"/>
    </row>
    <row r="11330" spans="2:2" ht="15.9" customHeight="1" x14ac:dyDescent="0.3">
      <c r="B11330" s="37"/>
    </row>
    <row r="11331" spans="2:2" ht="15.9" customHeight="1" x14ac:dyDescent="0.3">
      <c r="B11331" s="37"/>
    </row>
    <row r="11332" spans="2:2" ht="15.9" customHeight="1" x14ac:dyDescent="0.3">
      <c r="B11332" s="37"/>
    </row>
    <row r="11333" spans="2:2" ht="15.9" customHeight="1" x14ac:dyDescent="0.3">
      <c r="B11333" s="37"/>
    </row>
    <row r="11334" spans="2:2" ht="15.9" customHeight="1" x14ac:dyDescent="0.3">
      <c r="B11334" s="37"/>
    </row>
    <row r="11335" spans="2:2" ht="15.9" customHeight="1" x14ac:dyDescent="0.3">
      <c r="B11335" s="37"/>
    </row>
    <row r="11336" spans="2:2" ht="15.9" customHeight="1" x14ac:dyDescent="0.3">
      <c r="B11336" s="37"/>
    </row>
    <row r="11337" spans="2:2" ht="15.9" customHeight="1" x14ac:dyDescent="0.3">
      <c r="B11337" s="37"/>
    </row>
    <row r="11338" spans="2:2" ht="15.9" customHeight="1" x14ac:dyDescent="0.3">
      <c r="B11338" s="37"/>
    </row>
    <row r="11339" spans="2:2" ht="15.9" customHeight="1" x14ac:dyDescent="0.3">
      <c r="B11339" s="37"/>
    </row>
    <row r="11340" spans="2:2" ht="15.9" customHeight="1" x14ac:dyDescent="0.3">
      <c r="B11340" s="37"/>
    </row>
    <row r="11341" spans="2:2" ht="15.9" customHeight="1" x14ac:dyDescent="0.3">
      <c r="B11341" s="37"/>
    </row>
    <row r="11342" spans="2:2" ht="15.9" customHeight="1" x14ac:dyDescent="0.3">
      <c r="B11342" s="37"/>
    </row>
    <row r="11343" spans="2:2" ht="15.9" customHeight="1" x14ac:dyDescent="0.3">
      <c r="B11343" s="37"/>
    </row>
    <row r="11344" spans="2:2" ht="15.9" customHeight="1" x14ac:dyDescent="0.3">
      <c r="B11344" s="37"/>
    </row>
    <row r="11345" spans="2:2" ht="15.9" customHeight="1" x14ac:dyDescent="0.3">
      <c r="B11345" s="37"/>
    </row>
    <row r="11346" spans="2:2" ht="15.9" customHeight="1" x14ac:dyDescent="0.3">
      <c r="B11346" s="37"/>
    </row>
    <row r="11347" spans="2:2" ht="15.9" customHeight="1" x14ac:dyDescent="0.3">
      <c r="B11347" s="37"/>
    </row>
    <row r="11348" spans="2:2" ht="15.9" customHeight="1" x14ac:dyDescent="0.3">
      <c r="B11348" s="37"/>
    </row>
    <row r="11349" spans="2:2" ht="15.9" customHeight="1" x14ac:dyDescent="0.3">
      <c r="B11349" s="37"/>
    </row>
    <row r="11350" spans="2:2" ht="15.9" customHeight="1" x14ac:dyDescent="0.3">
      <c r="B11350" s="37"/>
    </row>
    <row r="11351" spans="2:2" ht="15.9" customHeight="1" x14ac:dyDescent="0.3">
      <c r="B11351" s="37"/>
    </row>
    <row r="11352" spans="2:2" ht="15.9" customHeight="1" x14ac:dyDescent="0.3">
      <c r="B11352" s="37"/>
    </row>
    <row r="11353" spans="2:2" ht="15.9" customHeight="1" x14ac:dyDescent="0.3">
      <c r="B11353" s="37"/>
    </row>
    <row r="11354" spans="2:2" ht="15.9" customHeight="1" x14ac:dyDescent="0.3">
      <c r="B11354" s="37"/>
    </row>
    <row r="11355" spans="2:2" ht="15.9" customHeight="1" x14ac:dyDescent="0.3">
      <c r="B11355" s="37"/>
    </row>
    <row r="11356" spans="2:2" ht="15.9" customHeight="1" x14ac:dyDescent="0.3">
      <c r="B11356" s="37"/>
    </row>
    <row r="11357" spans="2:2" ht="15.9" customHeight="1" x14ac:dyDescent="0.3">
      <c r="B11357" s="37"/>
    </row>
    <row r="11358" spans="2:2" ht="15.9" customHeight="1" x14ac:dyDescent="0.3">
      <c r="B11358" s="37"/>
    </row>
    <row r="11359" spans="2:2" ht="15.9" customHeight="1" x14ac:dyDescent="0.3">
      <c r="B11359" s="37"/>
    </row>
    <row r="11360" spans="2:2" ht="15.9" customHeight="1" x14ac:dyDescent="0.3">
      <c r="B11360" s="37"/>
    </row>
    <row r="11361" spans="2:2" ht="15.9" customHeight="1" x14ac:dyDescent="0.3">
      <c r="B11361" s="37"/>
    </row>
    <row r="11362" spans="2:2" ht="15.9" customHeight="1" x14ac:dyDescent="0.3">
      <c r="B11362" s="37"/>
    </row>
    <row r="11363" spans="2:2" ht="15.9" customHeight="1" x14ac:dyDescent="0.3">
      <c r="B11363" s="37"/>
    </row>
    <row r="11364" spans="2:2" ht="15.9" customHeight="1" x14ac:dyDescent="0.3">
      <c r="B11364" s="37"/>
    </row>
    <row r="11365" spans="2:2" ht="15.9" customHeight="1" x14ac:dyDescent="0.3">
      <c r="B11365" s="37"/>
    </row>
    <row r="11366" spans="2:2" ht="15.9" customHeight="1" x14ac:dyDescent="0.3">
      <c r="B11366" s="37"/>
    </row>
    <row r="11367" spans="2:2" ht="15.9" customHeight="1" x14ac:dyDescent="0.3">
      <c r="B11367" s="37"/>
    </row>
    <row r="11368" spans="2:2" ht="15.9" customHeight="1" x14ac:dyDescent="0.3">
      <c r="B11368" s="37"/>
    </row>
    <row r="11369" spans="2:2" ht="15.9" customHeight="1" x14ac:dyDescent="0.3">
      <c r="B11369" s="37"/>
    </row>
    <row r="11370" spans="2:2" ht="15.9" customHeight="1" x14ac:dyDescent="0.3">
      <c r="B11370" s="37"/>
    </row>
    <row r="11371" spans="2:2" ht="15.9" customHeight="1" x14ac:dyDescent="0.3">
      <c r="B11371" s="37"/>
    </row>
    <row r="11372" spans="2:2" ht="15.9" customHeight="1" x14ac:dyDescent="0.3">
      <c r="B11372" s="37"/>
    </row>
    <row r="11373" spans="2:2" ht="15.9" customHeight="1" x14ac:dyDescent="0.3">
      <c r="B11373" s="37"/>
    </row>
    <row r="11374" spans="2:2" ht="15.9" customHeight="1" x14ac:dyDescent="0.3">
      <c r="B11374" s="37"/>
    </row>
    <row r="11375" spans="2:2" ht="15.9" customHeight="1" x14ac:dyDescent="0.3">
      <c r="B11375" s="37"/>
    </row>
    <row r="11376" spans="2:2" ht="15.9" customHeight="1" x14ac:dyDescent="0.3">
      <c r="B11376" s="37"/>
    </row>
    <row r="11377" spans="2:2" ht="15.9" customHeight="1" x14ac:dyDescent="0.3">
      <c r="B11377" s="37"/>
    </row>
    <row r="11378" spans="2:2" ht="15.9" customHeight="1" x14ac:dyDescent="0.3">
      <c r="B11378" s="37"/>
    </row>
    <row r="11379" spans="2:2" ht="15.9" customHeight="1" x14ac:dyDescent="0.3">
      <c r="B11379" s="37"/>
    </row>
    <row r="11380" spans="2:2" ht="15.9" customHeight="1" x14ac:dyDescent="0.3">
      <c r="B11380" s="37"/>
    </row>
    <row r="11381" spans="2:2" ht="15.9" customHeight="1" x14ac:dyDescent="0.3">
      <c r="B11381" s="37"/>
    </row>
    <row r="11382" spans="2:2" ht="15.9" customHeight="1" x14ac:dyDescent="0.3">
      <c r="B11382" s="37"/>
    </row>
    <row r="11383" spans="2:2" ht="15.9" customHeight="1" x14ac:dyDescent="0.3">
      <c r="B11383" s="37"/>
    </row>
    <row r="11384" spans="2:2" ht="15.9" customHeight="1" x14ac:dyDescent="0.3">
      <c r="B11384" s="37"/>
    </row>
    <row r="11385" spans="2:2" ht="15.9" customHeight="1" x14ac:dyDescent="0.3">
      <c r="B11385" s="37"/>
    </row>
    <row r="11386" spans="2:2" ht="15.9" customHeight="1" x14ac:dyDescent="0.3">
      <c r="B11386" s="37"/>
    </row>
    <row r="11387" spans="2:2" ht="15.9" customHeight="1" x14ac:dyDescent="0.3">
      <c r="B11387" s="37"/>
    </row>
    <row r="11388" spans="2:2" ht="15.9" customHeight="1" x14ac:dyDescent="0.3">
      <c r="B11388" s="37"/>
    </row>
    <row r="11389" spans="2:2" ht="15.9" customHeight="1" x14ac:dyDescent="0.3">
      <c r="B11389" s="37"/>
    </row>
    <row r="11390" spans="2:2" ht="15.9" customHeight="1" x14ac:dyDescent="0.3">
      <c r="B11390" s="37"/>
    </row>
    <row r="11391" spans="2:2" ht="15.9" customHeight="1" x14ac:dyDescent="0.3">
      <c r="B11391" s="37"/>
    </row>
    <row r="11392" spans="2:2" ht="15.9" customHeight="1" x14ac:dyDescent="0.3">
      <c r="B11392" s="37"/>
    </row>
    <row r="11393" spans="2:2" ht="15.9" customHeight="1" x14ac:dyDescent="0.3">
      <c r="B11393" s="37"/>
    </row>
    <row r="11394" spans="2:2" ht="15.9" customHeight="1" x14ac:dyDescent="0.3">
      <c r="B11394" s="37"/>
    </row>
    <row r="11395" spans="2:2" ht="15.9" customHeight="1" x14ac:dyDescent="0.3">
      <c r="B11395" s="37"/>
    </row>
    <row r="11396" spans="2:2" ht="15.9" customHeight="1" x14ac:dyDescent="0.3">
      <c r="B11396" s="37"/>
    </row>
    <row r="11397" spans="2:2" ht="15.9" customHeight="1" x14ac:dyDescent="0.3">
      <c r="B11397" s="37"/>
    </row>
    <row r="11398" spans="2:2" ht="15.9" customHeight="1" x14ac:dyDescent="0.3">
      <c r="B11398" s="37"/>
    </row>
    <row r="11399" spans="2:2" ht="15.9" customHeight="1" x14ac:dyDescent="0.3">
      <c r="B11399" s="37"/>
    </row>
    <row r="11400" spans="2:2" ht="15.9" customHeight="1" x14ac:dyDescent="0.3">
      <c r="B11400" s="37"/>
    </row>
    <row r="11401" spans="2:2" ht="15.9" customHeight="1" x14ac:dyDescent="0.3">
      <c r="B11401" s="37"/>
    </row>
    <row r="11402" spans="2:2" ht="15.9" customHeight="1" x14ac:dyDescent="0.3">
      <c r="B11402" s="37"/>
    </row>
    <row r="11403" spans="2:2" ht="15.9" customHeight="1" x14ac:dyDescent="0.3">
      <c r="B11403" s="37"/>
    </row>
    <row r="11404" spans="2:2" ht="15.9" customHeight="1" x14ac:dyDescent="0.3">
      <c r="B11404" s="37"/>
    </row>
    <row r="11405" spans="2:2" ht="15.9" customHeight="1" x14ac:dyDescent="0.3">
      <c r="B11405" s="37"/>
    </row>
    <row r="11406" spans="2:2" ht="15.9" customHeight="1" x14ac:dyDescent="0.3">
      <c r="B11406" s="37"/>
    </row>
    <row r="11407" spans="2:2" ht="15.9" customHeight="1" x14ac:dyDescent="0.3">
      <c r="B11407" s="37"/>
    </row>
    <row r="11408" spans="2:2" ht="15.9" customHeight="1" x14ac:dyDescent="0.3">
      <c r="B11408" s="37"/>
    </row>
    <row r="11409" spans="2:2" ht="15.9" customHeight="1" x14ac:dyDescent="0.3">
      <c r="B11409" s="37"/>
    </row>
    <row r="11410" spans="2:2" ht="15.9" customHeight="1" x14ac:dyDescent="0.3">
      <c r="B11410" s="37"/>
    </row>
    <row r="11411" spans="2:2" ht="15.9" customHeight="1" x14ac:dyDescent="0.3">
      <c r="B11411" s="37"/>
    </row>
    <row r="11412" spans="2:2" ht="15.9" customHeight="1" x14ac:dyDescent="0.3">
      <c r="B11412" s="37"/>
    </row>
    <row r="11413" spans="2:2" ht="15.9" customHeight="1" x14ac:dyDescent="0.3">
      <c r="B11413" s="37"/>
    </row>
    <row r="11414" spans="2:2" ht="15.9" customHeight="1" x14ac:dyDescent="0.3">
      <c r="B11414" s="37"/>
    </row>
    <row r="11415" spans="2:2" ht="15.9" customHeight="1" x14ac:dyDescent="0.3">
      <c r="B11415" s="37"/>
    </row>
    <row r="11416" spans="2:2" ht="15.9" customHeight="1" x14ac:dyDescent="0.3">
      <c r="B11416" s="37"/>
    </row>
    <row r="11417" spans="2:2" ht="15.9" customHeight="1" x14ac:dyDescent="0.3">
      <c r="B11417" s="37"/>
    </row>
    <row r="11418" spans="2:2" ht="15.9" customHeight="1" x14ac:dyDescent="0.3">
      <c r="B11418" s="37"/>
    </row>
    <row r="11419" spans="2:2" ht="15.9" customHeight="1" x14ac:dyDescent="0.3">
      <c r="B11419" s="37"/>
    </row>
    <row r="11420" spans="2:2" ht="15.9" customHeight="1" x14ac:dyDescent="0.3">
      <c r="B11420" s="37"/>
    </row>
    <row r="11421" spans="2:2" ht="15.9" customHeight="1" x14ac:dyDescent="0.3">
      <c r="B11421" s="37"/>
    </row>
    <row r="11422" spans="2:2" ht="15.9" customHeight="1" x14ac:dyDescent="0.3">
      <c r="B11422" s="37"/>
    </row>
    <row r="11423" spans="2:2" ht="15.9" customHeight="1" x14ac:dyDescent="0.3">
      <c r="B11423" s="37"/>
    </row>
    <row r="11424" spans="2:2" ht="15.9" customHeight="1" x14ac:dyDescent="0.3">
      <c r="B11424" s="37"/>
    </row>
    <row r="11425" spans="2:2" ht="15.9" customHeight="1" x14ac:dyDescent="0.3">
      <c r="B11425" s="37"/>
    </row>
    <row r="11426" spans="2:2" ht="15.9" customHeight="1" x14ac:dyDescent="0.3">
      <c r="B11426" s="37"/>
    </row>
    <row r="11427" spans="2:2" ht="15.9" customHeight="1" x14ac:dyDescent="0.3">
      <c r="B11427" s="37"/>
    </row>
    <row r="11428" spans="2:2" ht="15.9" customHeight="1" x14ac:dyDescent="0.3">
      <c r="B11428" s="37"/>
    </row>
    <row r="11429" spans="2:2" ht="15.9" customHeight="1" x14ac:dyDescent="0.3">
      <c r="B11429" s="37"/>
    </row>
    <row r="11430" spans="2:2" ht="15.9" customHeight="1" x14ac:dyDescent="0.3">
      <c r="B11430" s="37"/>
    </row>
    <row r="11431" spans="2:2" ht="15.9" customHeight="1" x14ac:dyDescent="0.3">
      <c r="B11431" s="37"/>
    </row>
    <row r="11432" spans="2:2" ht="15.9" customHeight="1" x14ac:dyDescent="0.3">
      <c r="B11432" s="37"/>
    </row>
    <row r="11433" spans="2:2" ht="15.9" customHeight="1" x14ac:dyDescent="0.3">
      <c r="B11433" s="37"/>
    </row>
    <row r="11434" spans="2:2" ht="15.9" customHeight="1" x14ac:dyDescent="0.3">
      <c r="B11434" s="37"/>
    </row>
    <row r="11435" spans="2:2" ht="15.9" customHeight="1" x14ac:dyDescent="0.3">
      <c r="B11435" s="37"/>
    </row>
    <row r="11436" spans="2:2" ht="15.9" customHeight="1" x14ac:dyDescent="0.3">
      <c r="B11436" s="37"/>
    </row>
    <row r="11437" spans="2:2" ht="15.9" customHeight="1" x14ac:dyDescent="0.3">
      <c r="B11437" s="37"/>
    </row>
    <row r="11438" spans="2:2" ht="15.9" customHeight="1" x14ac:dyDescent="0.3">
      <c r="B11438" s="37"/>
    </row>
    <row r="11439" spans="2:2" ht="15.9" customHeight="1" x14ac:dyDescent="0.3">
      <c r="B11439" s="37"/>
    </row>
    <row r="11440" spans="2:2" ht="15.9" customHeight="1" x14ac:dyDescent="0.3">
      <c r="B11440" s="37"/>
    </row>
    <row r="11441" spans="2:2" ht="15.9" customHeight="1" x14ac:dyDescent="0.3">
      <c r="B11441" s="37"/>
    </row>
    <row r="11442" spans="2:2" ht="15.9" customHeight="1" x14ac:dyDescent="0.3">
      <c r="B11442" s="37"/>
    </row>
    <row r="11443" spans="2:2" ht="15.9" customHeight="1" x14ac:dyDescent="0.3">
      <c r="B11443" s="37"/>
    </row>
    <row r="11444" spans="2:2" ht="15.9" customHeight="1" x14ac:dyDescent="0.3">
      <c r="B11444" s="37"/>
    </row>
    <row r="11445" spans="2:2" ht="15.9" customHeight="1" x14ac:dyDescent="0.3">
      <c r="B11445" s="37"/>
    </row>
    <row r="11446" spans="2:2" ht="15.9" customHeight="1" x14ac:dyDescent="0.3">
      <c r="B11446" s="37"/>
    </row>
    <row r="11447" spans="2:2" ht="15.9" customHeight="1" x14ac:dyDescent="0.3">
      <c r="B11447" s="37"/>
    </row>
    <row r="11448" spans="2:2" ht="15.9" customHeight="1" x14ac:dyDescent="0.3">
      <c r="B11448" s="37"/>
    </row>
    <row r="11449" spans="2:2" ht="15.9" customHeight="1" x14ac:dyDescent="0.3">
      <c r="B11449" s="37"/>
    </row>
    <row r="11450" spans="2:2" ht="15.9" customHeight="1" x14ac:dyDescent="0.3">
      <c r="B11450" s="37"/>
    </row>
    <row r="11451" spans="2:2" ht="15.9" customHeight="1" x14ac:dyDescent="0.3">
      <c r="B11451" s="37"/>
    </row>
    <row r="11452" spans="2:2" ht="15.9" customHeight="1" x14ac:dyDescent="0.3">
      <c r="B11452" s="37"/>
    </row>
    <row r="11453" spans="2:2" ht="15.9" customHeight="1" x14ac:dyDescent="0.3">
      <c r="B11453" s="37"/>
    </row>
    <row r="11454" spans="2:2" ht="15.9" customHeight="1" x14ac:dyDescent="0.3">
      <c r="B11454" s="37"/>
    </row>
    <row r="11455" spans="2:2" ht="15.9" customHeight="1" x14ac:dyDescent="0.3">
      <c r="B11455" s="37"/>
    </row>
    <row r="11456" spans="2:2" ht="15.9" customHeight="1" x14ac:dyDescent="0.3">
      <c r="B11456" s="37"/>
    </row>
    <row r="11457" spans="2:2" ht="15.9" customHeight="1" x14ac:dyDescent="0.3">
      <c r="B11457" s="37"/>
    </row>
    <row r="11458" spans="2:2" ht="15.9" customHeight="1" x14ac:dyDescent="0.3">
      <c r="B11458" s="37"/>
    </row>
    <row r="11459" spans="2:2" ht="15.9" customHeight="1" x14ac:dyDescent="0.3">
      <c r="B11459" s="37"/>
    </row>
    <row r="11460" spans="2:2" ht="15.9" customHeight="1" x14ac:dyDescent="0.3">
      <c r="B11460" s="37"/>
    </row>
    <row r="11461" spans="2:2" ht="15.9" customHeight="1" x14ac:dyDescent="0.3">
      <c r="B11461" s="37"/>
    </row>
    <row r="11462" spans="2:2" ht="15.9" customHeight="1" x14ac:dyDescent="0.3">
      <c r="B11462" s="37"/>
    </row>
    <row r="11463" spans="2:2" ht="15.9" customHeight="1" x14ac:dyDescent="0.3">
      <c r="B11463" s="37"/>
    </row>
    <row r="11464" spans="2:2" ht="15.9" customHeight="1" x14ac:dyDescent="0.3">
      <c r="B11464" s="37"/>
    </row>
    <row r="11465" spans="2:2" ht="15.9" customHeight="1" x14ac:dyDescent="0.3">
      <c r="B11465" s="37"/>
    </row>
    <row r="11466" spans="2:2" ht="15.9" customHeight="1" x14ac:dyDescent="0.3">
      <c r="B11466" s="37"/>
    </row>
    <row r="11467" spans="2:2" ht="15.9" customHeight="1" x14ac:dyDescent="0.3">
      <c r="B11467" s="37"/>
    </row>
    <row r="11468" spans="2:2" ht="15.9" customHeight="1" x14ac:dyDescent="0.3">
      <c r="B11468" s="37"/>
    </row>
    <row r="11469" spans="2:2" ht="15.9" customHeight="1" x14ac:dyDescent="0.3">
      <c r="B11469" s="37"/>
    </row>
    <row r="11470" spans="2:2" ht="15.9" customHeight="1" x14ac:dyDescent="0.3">
      <c r="B11470" s="37"/>
    </row>
    <row r="11471" spans="2:2" ht="15.9" customHeight="1" x14ac:dyDescent="0.3">
      <c r="B11471" s="37"/>
    </row>
    <row r="11472" spans="2:2" ht="15.9" customHeight="1" x14ac:dyDescent="0.3">
      <c r="B11472" s="37"/>
    </row>
    <row r="11473" spans="2:2" ht="15.9" customHeight="1" x14ac:dyDescent="0.3">
      <c r="B11473" s="37"/>
    </row>
    <row r="11474" spans="2:2" ht="15.9" customHeight="1" x14ac:dyDescent="0.3">
      <c r="B11474" s="37"/>
    </row>
    <row r="11475" spans="2:2" ht="15.9" customHeight="1" x14ac:dyDescent="0.3">
      <c r="B11475" s="37"/>
    </row>
    <row r="11476" spans="2:2" ht="15.9" customHeight="1" x14ac:dyDescent="0.3">
      <c r="B11476" s="37"/>
    </row>
    <row r="11477" spans="2:2" ht="15.9" customHeight="1" x14ac:dyDescent="0.3">
      <c r="B11477" s="37"/>
    </row>
    <row r="11478" spans="2:2" ht="15.9" customHeight="1" x14ac:dyDescent="0.3">
      <c r="B11478" s="37"/>
    </row>
    <row r="11479" spans="2:2" ht="15.9" customHeight="1" x14ac:dyDescent="0.3">
      <c r="B11479" s="37"/>
    </row>
    <row r="11480" spans="2:2" ht="15.9" customHeight="1" x14ac:dyDescent="0.3">
      <c r="B11480" s="37"/>
    </row>
    <row r="11481" spans="2:2" ht="15.9" customHeight="1" x14ac:dyDescent="0.3">
      <c r="B11481" s="37"/>
    </row>
    <row r="11482" spans="2:2" ht="15.9" customHeight="1" x14ac:dyDescent="0.3">
      <c r="B11482" s="37"/>
    </row>
    <row r="11483" spans="2:2" ht="15.9" customHeight="1" x14ac:dyDescent="0.3">
      <c r="B11483" s="37"/>
    </row>
    <row r="11484" spans="2:2" ht="15.9" customHeight="1" x14ac:dyDescent="0.3">
      <c r="B11484" s="37"/>
    </row>
    <row r="11485" spans="2:2" ht="15.9" customHeight="1" x14ac:dyDescent="0.3">
      <c r="B11485" s="37"/>
    </row>
    <row r="11486" spans="2:2" ht="15.9" customHeight="1" x14ac:dyDescent="0.3">
      <c r="B11486" s="37"/>
    </row>
    <row r="11487" spans="2:2" ht="15.9" customHeight="1" x14ac:dyDescent="0.3">
      <c r="B11487" s="37"/>
    </row>
    <row r="11488" spans="2:2" ht="15.9" customHeight="1" x14ac:dyDescent="0.3">
      <c r="B11488" s="37"/>
    </row>
    <row r="11489" spans="2:2" ht="15.9" customHeight="1" x14ac:dyDescent="0.3">
      <c r="B11489" s="37"/>
    </row>
    <row r="11490" spans="2:2" ht="15.9" customHeight="1" x14ac:dyDescent="0.3">
      <c r="B11490" s="37"/>
    </row>
    <row r="11491" spans="2:2" ht="15.9" customHeight="1" x14ac:dyDescent="0.3">
      <c r="B11491" s="37"/>
    </row>
    <row r="11492" spans="2:2" ht="15.9" customHeight="1" x14ac:dyDescent="0.3">
      <c r="B11492" s="37"/>
    </row>
    <row r="11493" spans="2:2" ht="15.9" customHeight="1" x14ac:dyDescent="0.3">
      <c r="B11493" s="37"/>
    </row>
    <row r="11494" spans="2:2" ht="15.9" customHeight="1" x14ac:dyDescent="0.3">
      <c r="B11494" s="37"/>
    </row>
    <row r="11495" spans="2:2" ht="15.9" customHeight="1" x14ac:dyDescent="0.3">
      <c r="B11495" s="37"/>
    </row>
    <row r="11496" spans="2:2" ht="15.9" customHeight="1" x14ac:dyDescent="0.3">
      <c r="B11496" s="37"/>
    </row>
    <row r="11497" spans="2:2" ht="15.9" customHeight="1" x14ac:dyDescent="0.3">
      <c r="B11497" s="37"/>
    </row>
    <row r="11498" spans="2:2" ht="15.9" customHeight="1" x14ac:dyDescent="0.3">
      <c r="B11498" s="37"/>
    </row>
    <row r="11499" spans="2:2" ht="15.9" customHeight="1" x14ac:dyDescent="0.3">
      <c r="B11499" s="37"/>
    </row>
    <row r="11500" spans="2:2" ht="15.9" customHeight="1" x14ac:dyDescent="0.3">
      <c r="B11500" s="37"/>
    </row>
    <row r="11501" spans="2:2" ht="15.9" customHeight="1" x14ac:dyDescent="0.3">
      <c r="B11501" s="37"/>
    </row>
    <row r="11502" spans="2:2" ht="15.9" customHeight="1" x14ac:dyDescent="0.3">
      <c r="B11502" s="37"/>
    </row>
    <row r="11503" spans="2:2" ht="15.9" customHeight="1" x14ac:dyDescent="0.3">
      <c r="B11503" s="37"/>
    </row>
    <row r="11504" spans="2:2" ht="15.9" customHeight="1" x14ac:dyDescent="0.3">
      <c r="B11504" s="37"/>
    </row>
    <row r="11505" spans="2:2" ht="15.9" customHeight="1" x14ac:dyDescent="0.3">
      <c r="B11505" s="37"/>
    </row>
    <row r="11506" spans="2:2" ht="15.9" customHeight="1" x14ac:dyDescent="0.3">
      <c r="B11506" s="37"/>
    </row>
    <row r="11507" spans="2:2" ht="15.9" customHeight="1" x14ac:dyDescent="0.3">
      <c r="B11507" s="37"/>
    </row>
    <row r="11508" spans="2:2" ht="15.9" customHeight="1" x14ac:dyDescent="0.3">
      <c r="B11508" s="37"/>
    </row>
    <row r="11509" spans="2:2" ht="15.9" customHeight="1" x14ac:dyDescent="0.3">
      <c r="B11509" s="37"/>
    </row>
    <row r="11510" spans="2:2" ht="15.9" customHeight="1" x14ac:dyDescent="0.3">
      <c r="B11510" s="37"/>
    </row>
    <row r="11511" spans="2:2" ht="15.9" customHeight="1" x14ac:dyDescent="0.3">
      <c r="B11511" s="37"/>
    </row>
    <row r="11512" spans="2:2" ht="15.9" customHeight="1" x14ac:dyDescent="0.3">
      <c r="B11512" s="37"/>
    </row>
    <row r="11513" spans="2:2" ht="15.9" customHeight="1" x14ac:dyDescent="0.3">
      <c r="B11513" s="37"/>
    </row>
    <row r="11514" spans="2:2" ht="15.9" customHeight="1" x14ac:dyDescent="0.3">
      <c r="B11514" s="37"/>
    </row>
    <row r="11515" spans="2:2" ht="15.9" customHeight="1" x14ac:dyDescent="0.3">
      <c r="B11515" s="37"/>
    </row>
    <row r="11516" spans="2:2" ht="15.9" customHeight="1" x14ac:dyDescent="0.3">
      <c r="B11516" s="37"/>
    </row>
    <row r="11517" spans="2:2" ht="15.9" customHeight="1" x14ac:dyDescent="0.3">
      <c r="B11517" s="37"/>
    </row>
    <row r="11518" spans="2:2" ht="15.9" customHeight="1" x14ac:dyDescent="0.3">
      <c r="B11518" s="37"/>
    </row>
    <row r="11519" spans="2:2" ht="15.9" customHeight="1" x14ac:dyDescent="0.3">
      <c r="B11519" s="37"/>
    </row>
    <row r="11520" spans="2:2" ht="15.9" customHeight="1" x14ac:dyDescent="0.3">
      <c r="B11520" s="37"/>
    </row>
    <row r="11521" spans="2:2" ht="15.9" customHeight="1" x14ac:dyDescent="0.3">
      <c r="B11521" s="37"/>
    </row>
    <row r="11522" spans="2:2" ht="15.9" customHeight="1" x14ac:dyDescent="0.3">
      <c r="B11522" s="37"/>
    </row>
    <row r="11523" spans="2:2" ht="15.9" customHeight="1" x14ac:dyDescent="0.3">
      <c r="B11523" s="37"/>
    </row>
    <row r="11524" spans="2:2" ht="15.9" customHeight="1" x14ac:dyDescent="0.3">
      <c r="B11524" s="37"/>
    </row>
    <row r="11525" spans="2:2" ht="15.9" customHeight="1" x14ac:dyDescent="0.3">
      <c r="B11525" s="37"/>
    </row>
    <row r="11526" spans="2:2" ht="15.9" customHeight="1" x14ac:dyDescent="0.3">
      <c r="B11526" s="37"/>
    </row>
    <row r="11527" spans="2:2" ht="15.9" customHeight="1" x14ac:dyDescent="0.3">
      <c r="B11527" s="37"/>
    </row>
    <row r="11528" spans="2:2" ht="15.9" customHeight="1" x14ac:dyDescent="0.3">
      <c r="B11528" s="37"/>
    </row>
    <row r="11529" spans="2:2" ht="15.9" customHeight="1" x14ac:dyDescent="0.3">
      <c r="B11529" s="37"/>
    </row>
    <row r="11530" spans="2:2" ht="15.9" customHeight="1" x14ac:dyDescent="0.3">
      <c r="B11530" s="37"/>
    </row>
    <row r="11531" spans="2:2" ht="15.9" customHeight="1" x14ac:dyDescent="0.3">
      <c r="B11531" s="37"/>
    </row>
    <row r="11532" spans="2:2" ht="15.9" customHeight="1" x14ac:dyDescent="0.3">
      <c r="B11532" s="37"/>
    </row>
    <row r="11533" spans="2:2" ht="15.9" customHeight="1" x14ac:dyDescent="0.3">
      <c r="B11533" s="37"/>
    </row>
    <row r="11534" spans="2:2" ht="15.9" customHeight="1" x14ac:dyDescent="0.3">
      <c r="B11534" s="37"/>
    </row>
    <row r="11535" spans="2:2" ht="15.9" customHeight="1" x14ac:dyDescent="0.3">
      <c r="B11535" s="37"/>
    </row>
    <row r="11536" spans="2:2" ht="15.9" customHeight="1" x14ac:dyDescent="0.3">
      <c r="B11536" s="37"/>
    </row>
    <row r="11537" spans="2:2" ht="15.9" customHeight="1" x14ac:dyDescent="0.3">
      <c r="B11537" s="37"/>
    </row>
    <row r="11538" spans="2:2" ht="15.9" customHeight="1" x14ac:dyDescent="0.3">
      <c r="B11538" s="37"/>
    </row>
    <row r="11539" spans="2:2" ht="15.9" customHeight="1" x14ac:dyDescent="0.3">
      <c r="B11539" s="37"/>
    </row>
    <row r="11540" spans="2:2" ht="15.9" customHeight="1" x14ac:dyDescent="0.3">
      <c r="B11540" s="37"/>
    </row>
    <row r="11541" spans="2:2" ht="15.9" customHeight="1" x14ac:dyDescent="0.3">
      <c r="B11541" s="37"/>
    </row>
    <row r="11542" spans="2:2" ht="15.9" customHeight="1" x14ac:dyDescent="0.3">
      <c r="B11542" s="37"/>
    </row>
    <row r="11543" spans="2:2" ht="15.9" customHeight="1" x14ac:dyDescent="0.3">
      <c r="B11543" s="37"/>
    </row>
    <row r="11544" spans="2:2" ht="15.9" customHeight="1" x14ac:dyDescent="0.3">
      <c r="B11544" s="37"/>
    </row>
    <row r="11545" spans="2:2" ht="15.9" customHeight="1" x14ac:dyDescent="0.3">
      <c r="B11545" s="37"/>
    </row>
    <row r="11546" spans="2:2" ht="15.9" customHeight="1" x14ac:dyDescent="0.3">
      <c r="B11546" s="37"/>
    </row>
    <row r="11547" spans="2:2" ht="15.9" customHeight="1" x14ac:dyDescent="0.3">
      <c r="B11547" s="37"/>
    </row>
    <row r="11548" spans="2:2" ht="15.9" customHeight="1" x14ac:dyDescent="0.3">
      <c r="B11548" s="37"/>
    </row>
    <row r="11549" spans="2:2" ht="15.9" customHeight="1" x14ac:dyDescent="0.3">
      <c r="B11549" s="37"/>
    </row>
    <row r="11550" spans="2:2" ht="15.9" customHeight="1" x14ac:dyDescent="0.3">
      <c r="B11550" s="37"/>
    </row>
    <row r="11551" spans="2:2" ht="15.9" customHeight="1" x14ac:dyDescent="0.3">
      <c r="B11551" s="37"/>
    </row>
    <row r="11552" spans="2:2" ht="15.9" customHeight="1" x14ac:dyDescent="0.3">
      <c r="B11552" s="37"/>
    </row>
    <row r="11553" spans="2:2" ht="15.9" customHeight="1" x14ac:dyDescent="0.3">
      <c r="B11553" s="37"/>
    </row>
    <row r="11554" spans="2:2" ht="15.9" customHeight="1" x14ac:dyDescent="0.3">
      <c r="B11554" s="37"/>
    </row>
    <row r="11555" spans="2:2" ht="15.9" customHeight="1" x14ac:dyDescent="0.3">
      <c r="B11555" s="37"/>
    </row>
    <row r="11556" spans="2:2" ht="15.9" customHeight="1" x14ac:dyDescent="0.3">
      <c r="B11556" s="37"/>
    </row>
    <row r="11557" spans="2:2" ht="15.9" customHeight="1" x14ac:dyDescent="0.3">
      <c r="B11557" s="37"/>
    </row>
    <row r="11558" spans="2:2" ht="15.9" customHeight="1" x14ac:dyDescent="0.3">
      <c r="B11558" s="37"/>
    </row>
    <row r="11559" spans="2:2" ht="15.9" customHeight="1" x14ac:dyDescent="0.3">
      <c r="B11559" s="37"/>
    </row>
    <row r="11560" spans="2:2" ht="15.9" customHeight="1" x14ac:dyDescent="0.3">
      <c r="B11560" s="37"/>
    </row>
    <row r="11561" spans="2:2" ht="15.9" customHeight="1" x14ac:dyDescent="0.3">
      <c r="B11561" s="37"/>
    </row>
    <row r="11562" spans="2:2" ht="15.9" customHeight="1" x14ac:dyDescent="0.3">
      <c r="B11562" s="37"/>
    </row>
    <row r="11563" spans="2:2" ht="15.9" customHeight="1" x14ac:dyDescent="0.3">
      <c r="B11563" s="37"/>
    </row>
    <row r="11564" spans="2:2" ht="15.9" customHeight="1" x14ac:dyDescent="0.3">
      <c r="B11564" s="37"/>
    </row>
    <row r="11565" spans="2:2" ht="15.9" customHeight="1" x14ac:dyDescent="0.3">
      <c r="B11565" s="37"/>
    </row>
    <row r="11566" spans="2:2" ht="15.9" customHeight="1" x14ac:dyDescent="0.3">
      <c r="B11566" s="37"/>
    </row>
    <row r="11567" spans="2:2" ht="15.9" customHeight="1" x14ac:dyDescent="0.3">
      <c r="B11567" s="37"/>
    </row>
    <row r="11568" spans="2:2" ht="15.9" customHeight="1" x14ac:dyDescent="0.3">
      <c r="B11568" s="37"/>
    </row>
    <row r="11569" spans="2:2" ht="15.9" customHeight="1" x14ac:dyDescent="0.3">
      <c r="B11569" s="37"/>
    </row>
    <row r="11570" spans="2:2" ht="15.9" customHeight="1" x14ac:dyDescent="0.3">
      <c r="B11570" s="37"/>
    </row>
    <row r="11571" spans="2:2" ht="15.9" customHeight="1" x14ac:dyDescent="0.3">
      <c r="B11571" s="37"/>
    </row>
    <row r="11572" spans="2:2" ht="15.9" customHeight="1" x14ac:dyDescent="0.3">
      <c r="B11572" s="37"/>
    </row>
    <row r="11573" spans="2:2" ht="15.9" customHeight="1" x14ac:dyDescent="0.3">
      <c r="B11573" s="37"/>
    </row>
    <row r="11574" spans="2:2" ht="15.9" customHeight="1" x14ac:dyDescent="0.3">
      <c r="B11574" s="37"/>
    </row>
    <row r="11575" spans="2:2" ht="15.9" customHeight="1" x14ac:dyDescent="0.3">
      <c r="B11575" s="37"/>
    </row>
    <row r="11576" spans="2:2" ht="15.9" customHeight="1" x14ac:dyDescent="0.3">
      <c r="B11576" s="37"/>
    </row>
    <row r="11577" spans="2:2" ht="15.9" customHeight="1" x14ac:dyDescent="0.3">
      <c r="B11577" s="37"/>
    </row>
    <row r="11578" spans="2:2" ht="15.9" customHeight="1" x14ac:dyDescent="0.3">
      <c r="B11578" s="37"/>
    </row>
    <row r="11579" spans="2:2" ht="15.9" customHeight="1" x14ac:dyDescent="0.3">
      <c r="B11579" s="37"/>
    </row>
    <row r="11580" spans="2:2" ht="15.9" customHeight="1" x14ac:dyDescent="0.3">
      <c r="B11580" s="37"/>
    </row>
    <row r="11581" spans="2:2" ht="15.9" customHeight="1" x14ac:dyDescent="0.3">
      <c r="B11581" s="37"/>
    </row>
    <row r="11582" spans="2:2" ht="15.9" customHeight="1" x14ac:dyDescent="0.3">
      <c r="B11582" s="37"/>
    </row>
    <row r="11583" spans="2:2" ht="15.9" customHeight="1" x14ac:dyDescent="0.3">
      <c r="B11583" s="37"/>
    </row>
    <row r="11584" spans="2:2" ht="15.9" customHeight="1" x14ac:dyDescent="0.3">
      <c r="B11584" s="37"/>
    </row>
    <row r="11585" spans="2:2" ht="15.9" customHeight="1" x14ac:dyDescent="0.3">
      <c r="B11585" s="37"/>
    </row>
    <row r="11586" spans="2:2" ht="15.9" customHeight="1" x14ac:dyDescent="0.3">
      <c r="B11586" s="37"/>
    </row>
    <row r="11587" spans="2:2" ht="15.9" customHeight="1" x14ac:dyDescent="0.3">
      <c r="B11587" s="37"/>
    </row>
    <row r="11588" spans="2:2" ht="15.9" customHeight="1" x14ac:dyDescent="0.3">
      <c r="B11588" s="37"/>
    </row>
    <row r="11589" spans="2:2" ht="15.9" customHeight="1" x14ac:dyDescent="0.3">
      <c r="B11589" s="37"/>
    </row>
    <row r="11590" spans="2:2" ht="15.9" customHeight="1" x14ac:dyDescent="0.3">
      <c r="B11590" s="37"/>
    </row>
    <row r="11591" spans="2:2" ht="15.9" customHeight="1" x14ac:dyDescent="0.3">
      <c r="B11591" s="37"/>
    </row>
    <row r="11592" spans="2:2" ht="15.9" customHeight="1" x14ac:dyDescent="0.3">
      <c r="B11592" s="37"/>
    </row>
    <row r="11593" spans="2:2" ht="15.9" customHeight="1" x14ac:dyDescent="0.3">
      <c r="B11593" s="37"/>
    </row>
    <row r="11594" spans="2:2" ht="15.9" customHeight="1" x14ac:dyDescent="0.3">
      <c r="B11594" s="37"/>
    </row>
    <row r="11595" spans="2:2" ht="15.9" customHeight="1" x14ac:dyDescent="0.3">
      <c r="B11595" s="37"/>
    </row>
    <row r="11596" spans="2:2" ht="15.9" customHeight="1" x14ac:dyDescent="0.3">
      <c r="B11596" s="37"/>
    </row>
    <row r="11597" spans="2:2" ht="15.9" customHeight="1" x14ac:dyDescent="0.3">
      <c r="B11597" s="37"/>
    </row>
    <row r="11598" spans="2:2" ht="15.9" customHeight="1" x14ac:dyDescent="0.3">
      <c r="B11598" s="37"/>
    </row>
    <row r="11599" spans="2:2" ht="15.9" customHeight="1" x14ac:dyDescent="0.3">
      <c r="B11599" s="37"/>
    </row>
    <row r="11600" spans="2:2" ht="15.9" customHeight="1" x14ac:dyDescent="0.3">
      <c r="B11600" s="37"/>
    </row>
    <row r="11601" spans="2:2" ht="15.9" customHeight="1" x14ac:dyDescent="0.3">
      <c r="B11601" s="37"/>
    </row>
    <row r="11602" spans="2:2" ht="15.9" customHeight="1" x14ac:dyDescent="0.3">
      <c r="B11602" s="37"/>
    </row>
    <row r="11603" spans="2:2" ht="15.9" customHeight="1" x14ac:dyDescent="0.3">
      <c r="B11603" s="37"/>
    </row>
    <row r="11604" spans="2:2" ht="15.9" customHeight="1" x14ac:dyDescent="0.3">
      <c r="B11604" s="37"/>
    </row>
    <row r="11605" spans="2:2" ht="15.9" customHeight="1" x14ac:dyDescent="0.3">
      <c r="B11605" s="37"/>
    </row>
    <row r="11606" spans="2:2" ht="15.9" customHeight="1" x14ac:dyDescent="0.3">
      <c r="B11606" s="37"/>
    </row>
    <row r="11607" spans="2:2" ht="15.9" customHeight="1" x14ac:dyDescent="0.3">
      <c r="B11607" s="37"/>
    </row>
    <row r="11608" spans="2:2" ht="15.9" customHeight="1" x14ac:dyDescent="0.3">
      <c r="B11608" s="37"/>
    </row>
    <row r="11609" spans="2:2" ht="15.9" customHeight="1" x14ac:dyDescent="0.3">
      <c r="B11609" s="37"/>
    </row>
    <row r="11610" spans="2:2" ht="15.9" customHeight="1" x14ac:dyDescent="0.3">
      <c r="B11610" s="37"/>
    </row>
    <row r="11611" spans="2:2" ht="15.9" customHeight="1" x14ac:dyDescent="0.3">
      <c r="B11611" s="37"/>
    </row>
    <row r="11612" spans="2:2" ht="15.9" customHeight="1" x14ac:dyDescent="0.3">
      <c r="B11612" s="37"/>
    </row>
    <row r="11613" spans="2:2" ht="15.9" customHeight="1" x14ac:dyDescent="0.3">
      <c r="B11613" s="37"/>
    </row>
    <row r="11614" spans="2:2" ht="15.9" customHeight="1" x14ac:dyDescent="0.3">
      <c r="B11614" s="37"/>
    </row>
    <row r="11615" spans="2:2" ht="15.9" customHeight="1" x14ac:dyDescent="0.3">
      <c r="B11615" s="37"/>
    </row>
    <row r="11616" spans="2:2" ht="15.9" customHeight="1" x14ac:dyDescent="0.3">
      <c r="B11616" s="37"/>
    </row>
    <row r="11617" spans="2:2" ht="15.9" customHeight="1" x14ac:dyDescent="0.3">
      <c r="B11617" s="37"/>
    </row>
    <row r="11618" spans="2:2" ht="15.9" customHeight="1" x14ac:dyDescent="0.3">
      <c r="B11618" s="37"/>
    </row>
    <row r="11619" spans="2:2" ht="15.9" customHeight="1" x14ac:dyDescent="0.3">
      <c r="B11619" s="37"/>
    </row>
    <row r="11620" spans="2:2" ht="15.9" customHeight="1" x14ac:dyDescent="0.3">
      <c r="B11620" s="37"/>
    </row>
    <row r="11621" spans="2:2" ht="15.9" customHeight="1" x14ac:dyDescent="0.3">
      <c r="B11621" s="37"/>
    </row>
    <row r="11622" spans="2:2" ht="15.9" customHeight="1" x14ac:dyDescent="0.3">
      <c r="B11622" s="37"/>
    </row>
    <row r="11623" spans="2:2" ht="15.9" customHeight="1" x14ac:dyDescent="0.3">
      <c r="B11623" s="37"/>
    </row>
    <row r="11624" spans="2:2" ht="15.9" customHeight="1" x14ac:dyDescent="0.3">
      <c r="B11624" s="37"/>
    </row>
    <row r="11625" spans="2:2" ht="15.9" customHeight="1" x14ac:dyDescent="0.3">
      <c r="B11625" s="37"/>
    </row>
    <row r="11626" spans="2:2" ht="15.9" customHeight="1" x14ac:dyDescent="0.3">
      <c r="B11626" s="37"/>
    </row>
    <row r="11627" spans="2:2" ht="15.9" customHeight="1" x14ac:dyDescent="0.3">
      <c r="B11627" s="37"/>
    </row>
    <row r="11628" spans="2:2" ht="15.9" customHeight="1" x14ac:dyDescent="0.3">
      <c r="B11628" s="37"/>
    </row>
    <row r="11629" spans="2:2" ht="15.9" customHeight="1" x14ac:dyDescent="0.3">
      <c r="B11629" s="37"/>
    </row>
    <row r="11630" spans="2:2" ht="15.9" customHeight="1" x14ac:dyDescent="0.3">
      <c r="B11630" s="37"/>
    </row>
    <row r="11631" spans="2:2" ht="15.9" customHeight="1" x14ac:dyDescent="0.3">
      <c r="B11631" s="37"/>
    </row>
    <row r="11632" spans="2:2" ht="15.9" customHeight="1" x14ac:dyDescent="0.3">
      <c r="B11632" s="37"/>
    </row>
    <row r="11633" spans="2:2" ht="15.9" customHeight="1" x14ac:dyDescent="0.3">
      <c r="B11633" s="37"/>
    </row>
    <row r="11634" spans="2:2" ht="15.9" customHeight="1" x14ac:dyDescent="0.3">
      <c r="B11634" s="37"/>
    </row>
    <row r="11635" spans="2:2" ht="15.9" customHeight="1" x14ac:dyDescent="0.3">
      <c r="B11635" s="37"/>
    </row>
    <row r="11636" spans="2:2" ht="15.9" customHeight="1" x14ac:dyDescent="0.3">
      <c r="B11636" s="37"/>
    </row>
    <row r="11637" spans="2:2" ht="15.9" customHeight="1" x14ac:dyDescent="0.3">
      <c r="B11637" s="37"/>
    </row>
    <row r="11638" spans="2:2" ht="15.9" customHeight="1" x14ac:dyDescent="0.3">
      <c r="B11638" s="37"/>
    </row>
    <row r="11639" spans="2:2" ht="15.9" customHeight="1" x14ac:dyDescent="0.3">
      <c r="B11639" s="37"/>
    </row>
    <row r="11640" spans="2:2" ht="15.9" customHeight="1" x14ac:dyDescent="0.3">
      <c r="B11640" s="37"/>
    </row>
    <row r="11641" spans="2:2" ht="15.9" customHeight="1" x14ac:dyDescent="0.3">
      <c r="B11641" s="37"/>
    </row>
    <row r="11642" spans="2:2" ht="15.9" customHeight="1" x14ac:dyDescent="0.3">
      <c r="B11642" s="37"/>
    </row>
    <row r="11643" spans="2:2" ht="15.9" customHeight="1" x14ac:dyDescent="0.3">
      <c r="B11643" s="37"/>
    </row>
    <row r="11644" spans="2:2" ht="15.9" customHeight="1" x14ac:dyDescent="0.3">
      <c r="B11644" s="37"/>
    </row>
    <row r="11645" spans="2:2" ht="15.9" customHeight="1" x14ac:dyDescent="0.3">
      <c r="B11645" s="37"/>
    </row>
    <row r="11646" spans="2:2" ht="15.9" customHeight="1" x14ac:dyDescent="0.3">
      <c r="B11646" s="37"/>
    </row>
    <row r="11647" spans="2:2" ht="15.9" customHeight="1" x14ac:dyDescent="0.3">
      <c r="B11647" s="37"/>
    </row>
    <row r="11648" spans="2:2" ht="15.9" customHeight="1" x14ac:dyDescent="0.3">
      <c r="B11648" s="37"/>
    </row>
    <row r="11649" spans="2:2" ht="15.9" customHeight="1" x14ac:dyDescent="0.3">
      <c r="B11649" s="37"/>
    </row>
    <row r="11650" spans="2:2" ht="15.9" customHeight="1" x14ac:dyDescent="0.3">
      <c r="B11650" s="37"/>
    </row>
    <row r="11651" spans="2:2" ht="15.9" customHeight="1" x14ac:dyDescent="0.3">
      <c r="B11651" s="37"/>
    </row>
    <row r="11652" spans="2:2" ht="15.9" customHeight="1" x14ac:dyDescent="0.3">
      <c r="B11652" s="37"/>
    </row>
    <row r="11653" spans="2:2" ht="15.9" customHeight="1" x14ac:dyDescent="0.3">
      <c r="B11653" s="37"/>
    </row>
    <row r="11654" spans="2:2" ht="15.9" customHeight="1" x14ac:dyDescent="0.3">
      <c r="B11654" s="37"/>
    </row>
    <row r="11655" spans="2:2" ht="15.9" customHeight="1" x14ac:dyDescent="0.3">
      <c r="B11655" s="37"/>
    </row>
    <row r="11656" spans="2:2" ht="15.9" customHeight="1" x14ac:dyDescent="0.3">
      <c r="B11656" s="37"/>
    </row>
    <row r="11657" spans="2:2" ht="15.9" customHeight="1" x14ac:dyDescent="0.3">
      <c r="B11657" s="37"/>
    </row>
    <row r="11658" spans="2:2" ht="15.9" customHeight="1" x14ac:dyDescent="0.3">
      <c r="B11658" s="37"/>
    </row>
    <row r="11659" spans="2:2" ht="15.9" customHeight="1" x14ac:dyDescent="0.3">
      <c r="B11659" s="37"/>
    </row>
    <row r="11660" spans="2:2" ht="15.9" customHeight="1" x14ac:dyDescent="0.3">
      <c r="B11660" s="37"/>
    </row>
    <row r="11661" spans="2:2" ht="15.9" customHeight="1" x14ac:dyDescent="0.3">
      <c r="B11661" s="37"/>
    </row>
    <row r="11662" spans="2:2" ht="15.9" customHeight="1" x14ac:dyDescent="0.3">
      <c r="B11662" s="37"/>
    </row>
    <row r="11663" spans="2:2" ht="15.9" customHeight="1" x14ac:dyDescent="0.3">
      <c r="B11663" s="37"/>
    </row>
    <row r="11664" spans="2:2" ht="15.9" customHeight="1" x14ac:dyDescent="0.3">
      <c r="B11664" s="37"/>
    </row>
    <row r="11665" spans="2:2" ht="15.9" customHeight="1" x14ac:dyDescent="0.3">
      <c r="B11665" s="37"/>
    </row>
    <row r="11666" spans="2:2" ht="15.9" customHeight="1" x14ac:dyDescent="0.3">
      <c r="B11666" s="37"/>
    </row>
    <row r="11667" spans="2:2" ht="15.9" customHeight="1" x14ac:dyDescent="0.3">
      <c r="B11667" s="37"/>
    </row>
    <row r="11668" spans="2:2" ht="15.9" customHeight="1" x14ac:dyDescent="0.3">
      <c r="B11668" s="37"/>
    </row>
    <row r="11669" spans="2:2" ht="15.9" customHeight="1" x14ac:dyDescent="0.3">
      <c r="B11669" s="37"/>
    </row>
    <row r="11670" spans="2:2" ht="15.9" customHeight="1" x14ac:dyDescent="0.3">
      <c r="B11670" s="37"/>
    </row>
    <row r="11671" spans="2:2" ht="15.9" customHeight="1" x14ac:dyDescent="0.3">
      <c r="B11671" s="37"/>
    </row>
    <row r="11672" spans="2:2" ht="15.9" customHeight="1" x14ac:dyDescent="0.3">
      <c r="B11672" s="37"/>
    </row>
    <row r="11673" spans="2:2" ht="15.9" customHeight="1" x14ac:dyDescent="0.3">
      <c r="B11673" s="37"/>
    </row>
    <row r="11674" spans="2:2" ht="15.9" customHeight="1" x14ac:dyDescent="0.3">
      <c r="B11674" s="37"/>
    </row>
    <row r="11675" spans="2:2" ht="15.9" customHeight="1" x14ac:dyDescent="0.3">
      <c r="B11675" s="37"/>
    </row>
    <row r="11676" spans="2:2" ht="15.9" customHeight="1" x14ac:dyDescent="0.3">
      <c r="B11676" s="37"/>
    </row>
    <row r="11677" spans="2:2" ht="15.9" customHeight="1" x14ac:dyDescent="0.3">
      <c r="B11677" s="37"/>
    </row>
    <row r="11678" spans="2:2" ht="15.9" customHeight="1" x14ac:dyDescent="0.3">
      <c r="B11678" s="37"/>
    </row>
    <row r="11679" spans="2:2" ht="15.9" customHeight="1" x14ac:dyDescent="0.3">
      <c r="B11679" s="37"/>
    </row>
    <row r="11680" spans="2:2" ht="15.9" customHeight="1" x14ac:dyDescent="0.3">
      <c r="B11680" s="37"/>
    </row>
    <row r="11681" spans="2:2" ht="15.9" customHeight="1" x14ac:dyDescent="0.3">
      <c r="B11681" s="37"/>
    </row>
    <row r="11682" spans="2:2" ht="15.9" customHeight="1" x14ac:dyDescent="0.3">
      <c r="B11682" s="37"/>
    </row>
    <row r="11683" spans="2:2" ht="15.9" customHeight="1" x14ac:dyDescent="0.3">
      <c r="B11683" s="37"/>
    </row>
    <row r="11684" spans="2:2" ht="15.9" customHeight="1" x14ac:dyDescent="0.3">
      <c r="B11684" s="37"/>
    </row>
    <row r="11685" spans="2:2" ht="15.9" customHeight="1" x14ac:dyDescent="0.3">
      <c r="B11685" s="37"/>
    </row>
    <row r="11686" spans="2:2" ht="15.9" customHeight="1" x14ac:dyDescent="0.3">
      <c r="B11686" s="37"/>
    </row>
    <row r="11687" spans="2:2" ht="15.9" customHeight="1" x14ac:dyDescent="0.3">
      <c r="B11687" s="37"/>
    </row>
    <row r="11688" spans="2:2" ht="15.9" customHeight="1" x14ac:dyDescent="0.3">
      <c r="B11688" s="37"/>
    </row>
    <row r="11689" spans="2:2" ht="15.9" customHeight="1" x14ac:dyDescent="0.3">
      <c r="B11689" s="37"/>
    </row>
    <row r="11690" spans="2:2" ht="15.9" customHeight="1" x14ac:dyDescent="0.3">
      <c r="B11690" s="37"/>
    </row>
    <row r="11691" spans="2:2" ht="15.9" customHeight="1" x14ac:dyDescent="0.3">
      <c r="B11691" s="37"/>
    </row>
    <row r="11692" spans="2:2" ht="15.9" customHeight="1" x14ac:dyDescent="0.3">
      <c r="B11692" s="37"/>
    </row>
    <row r="11693" spans="2:2" ht="15.9" customHeight="1" x14ac:dyDescent="0.3">
      <c r="B11693" s="37"/>
    </row>
    <row r="11694" spans="2:2" ht="15.9" customHeight="1" x14ac:dyDescent="0.3">
      <c r="B11694" s="37"/>
    </row>
    <row r="11695" spans="2:2" ht="15.9" customHeight="1" x14ac:dyDescent="0.3">
      <c r="B11695" s="37"/>
    </row>
    <row r="11696" spans="2:2" ht="15.9" customHeight="1" x14ac:dyDescent="0.3">
      <c r="B11696" s="37"/>
    </row>
    <row r="11697" spans="2:2" ht="15.9" customHeight="1" x14ac:dyDescent="0.3">
      <c r="B11697" s="37"/>
    </row>
    <row r="11698" spans="2:2" ht="15.9" customHeight="1" x14ac:dyDescent="0.3">
      <c r="B11698" s="37"/>
    </row>
    <row r="11699" spans="2:2" ht="15.9" customHeight="1" x14ac:dyDescent="0.3">
      <c r="B11699" s="37"/>
    </row>
    <row r="11700" spans="2:2" ht="15.9" customHeight="1" x14ac:dyDescent="0.3">
      <c r="B11700" s="37"/>
    </row>
    <row r="11701" spans="2:2" ht="15.9" customHeight="1" x14ac:dyDescent="0.3">
      <c r="B11701" s="37"/>
    </row>
    <row r="11702" spans="2:2" ht="15.9" customHeight="1" x14ac:dyDescent="0.3">
      <c r="B11702" s="37"/>
    </row>
    <row r="11703" spans="2:2" ht="15.9" customHeight="1" x14ac:dyDescent="0.3">
      <c r="B11703" s="37"/>
    </row>
    <row r="11704" spans="2:2" ht="15.9" customHeight="1" x14ac:dyDescent="0.3">
      <c r="B11704" s="37"/>
    </row>
    <row r="11705" spans="2:2" ht="15.9" customHeight="1" x14ac:dyDescent="0.3">
      <c r="B11705" s="37"/>
    </row>
    <row r="11706" spans="2:2" ht="15.9" customHeight="1" x14ac:dyDescent="0.3">
      <c r="B11706" s="37"/>
    </row>
    <row r="11707" spans="2:2" ht="15.9" customHeight="1" x14ac:dyDescent="0.3">
      <c r="B11707" s="37"/>
    </row>
    <row r="11708" spans="2:2" ht="15.9" customHeight="1" x14ac:dyDescent="0.3">
      <c r="B11708" s="37"/>
    </row>
    <row r="11709" spans="2:2" ht="15.9" customHeight="1" x14ac:dyDescent="0.3">
      <c r="B11709" s="37"/>
    </row>
    <row r="11710" spans="2:2" ht="15.9" customHeight="1" x14ac:dyDescent="0.3">
      <c r="B11710" s="37"/>
    </row>
    <row r="11711" spans="2:2" ht="15.9" customHeight="1" x14ac:dyDescent="0.3">
      <c r="B11711" s="37"/>
    </row>
    <row r="11712" spans="2:2" ht="15.9" customHeight="1" x14ac:dyDescent="0.3">
      <c r="B11712" s="37"/>
    </row>
    <row r="11713" spans="2:2" ht="15.9" customHeight="1" x14ac:dyDescent="0.3">
      <c r="B11713" s="37"/>
    </row>
    <row r="11714" spans="2:2" ht="15.9" customHeight="1" x14ac:dyDescent="0.3">
      <c r="B11714" s="37"/>
    </row>
    <row r="11715" spans="2:2" ht="15.9" customHeight="1" x14ac:dyDescent="0.3">
      <c r="B11715" s="37"/>
    </row>
    <row r="11716" spans="2:2" ht="15.9" customHeight="1" x14ac:dyDescent="0.3">
      <c r="B11716" s="37"/>
    </row>
    <row r="11717" spans="2:2" ht="15.9" customHeight="1" x14ac:dyDescent="0.3">
      <c r="B11717" s="37"/>
    </row>
    <row r="11718" spans="2:2" ht="15.9" customHeight="1" x14ac:dyDescent="0.3">
      <c r="B11718" s="37"/>
    </row>
    <row r="11719" spans="2:2" ht="15.9" customHeight="1" x14ac:dyDescent="0.3">
      <c r="B11719" s="37"/>
    </row>
    <row r="11720" spans="2:2" ht="15.9" customHeight="1" x14ac:dyDescent="0.3">
      <c r="B11720" s="37"/>
    </row>
    <row r="11721" spans="2:2" ht="15.9" customHeight="1" x14ac:dyDescent="0.3">
      <c r="B11721" s="37"/>
    </row>
    <row r="11722" spans="2:2" ht="15.9" customHeight="1" x14ac:dyDescent="0.3">
      <c r="B11722" s="37"/>
    </row>
    <row r="11723" spans="2:2" ht="15.9" customHeight="1" x14ac:dyDescent="0.3">
      <c r="B11723" s="37"/>
    </row>
    <row r="11724" spans="2:2" ht="15.9" customHeight="1" x14ac:dyDescent="0.3">
      <c r="B11724" s="37"/>
    </row>
    <row r="11725" spans="2:2" ht="15.9" customHeight="1" x14ac:dyDescent="0.3">
      <c r="B11725" s="37"/>
    </row>
    <row r="11726" spans="2:2" ht="15.9" customHeight="1" x14ac:dyDescent="0.3">
      <c r="B11726" s="37"/>
    </row>
    <row r="11727" spans="2:2" ht="15.9" customHeight="1" x14ac:dyDescent="0.3">
      <c r="B11727" s="37"/>
    </row>
    <row r="11728" spans="2:2" ht="15.9" customHeight="1" x14ac:dyDescent="0.3">
      <c r="B11728" s="37"/>
    </row>
    <row r="11729" spans="2:2" ht="15.9" customHeight="1" x14ac:dyDescent="0.3">
      <c r="B11729" s="37"/>
    </row>
    <row r="11730" spans="2:2" ht="15.9" customHeight="1" x14ac:dyDescent="0.3">
      <c r="B11730" s="37"/>
    </row>
    <row r="11731" spans="2:2" ht="15.9" customHeight="1" x14ac:dyDescent="0.3">
      <c r="B11731" s="37"/>
    </row>
    <row r="11732" spans="2:2" ht="15.9" customHeight="1" x14ac:dyDescent="0.3">
      <c r="B11732" s="37"/>
    </row>
    <row r="11733" spans="2:2" ht="15.9" customHeight="1" x14ac:dyDescent="0.3">
      <c r="B11733" s="37"/>
    </row>
    <row r="11734" spans="2:2" ht="15.9" customHeight="1" x14ac:dyDescent="0.3">
      <c r="B11734" s="37"/>
    </row>
    <row r="11735" spans="2:2" ht="15.9" customHeight="1" x14ac:dyDescent="0.3">
      <c r="B11735" s="37"/>
    </row>
    <row r="11736" spans="2:2" ht="15.9" customHeight="1" x14ac:dyDescent="0.3">
      <c r="B11736" s="37"/>
    </row>
    <row r="11737" spans="2:2" ht="15.9" customHeight="1" x14ac:dyDescent="0.3">
      <c r="B11737" s="37"/>
    </row>
    <row r="11738" spans="2:2" ht="15.9" customHeight="1" x14ac:dyDescent="0.3">
      <c r="B11738" s="37"/>
    </row>
    <row r="11739" spans="2:2" ht="15.9" customHeight="1" x14ac:dyDescent="0.3">
      <c r="B11739" s="37"/>
    </row>
    <row r="11740" spans="2:2" ht="15.9" customHeight="1" x14ac:dyDescent="0.3">
      <c r="B11740" s="37"/>
    </row>
    <row r="11741" spans="2:2" ht="15.9" customHeight="1" x14ac:dyDescent="0.3">
      <c r="B11741" s="37"/>
    </row>
    <row r="11742" spans="2:2" ht="15.9" customHeight="1" x14ac:dyDescent="0.3">
      <c r="B11742" s="37"/>
    </row>
    <row r="11743" spans="2:2" ht="15.9" customHeight="1" x14ac:dyDescent="0.3">
      <c r="B11743" s="37"/>
    </row>
    <row r="11744" spans="2:2" ht="15.9" customHeight="1" x14ac:dyDescent="0.3">
      <c r="B11744" s="37"/>
    </row>
    <row r="11745" spans="2:2" ht="15.9" customHeight="1" x14ac:dyDescent="0.3">
      <c r="B11745" s="37"/>
    </row>
    <row r="11746" spans="2:2" ht="15.9" customHeight="1" x14ac:dyDescent="0.3">
      <c r="B11746" s="37"/>
    </row>
    <row r="11747" spans="2:2" ht="15.9" customHeight="1" x14ac:dyDescent="0.3">
      <c r="B11747" s="37"/>
    </row>
    <row r="11748" spans="2:2" ht="15.9" customHeight="1" x14ac:dyDescent="0.3">
      <c r="B11748" s="37"/>
    </row>
    <row r="11749" spans="2:2" ht="15.9" customHeight="1" x14ac:dyDescent="0.3">
      <c r="B11749" s="37"/>
    </row>
    <row r="11750" spans="2:2" ht="15.9" customHeight="1" x14ac:dyDescent="0.3">
      <c r="B11750" s="37"/>
    </row>
    <row r="11751" spans="2:2" ht="15.9" customHeight="1" x14ac:dyDescent="0.3">
      <c r="B11751" s="37"/>
    </row>
    <row r="11752" spans="2:2" ht="15.9" customHeight="1" x14ac:dyDescent="0.3">
      <c r="B11752" s="37"/>
    </row>
    <row r="11753" spans="2:2" ht="15.9" customHeight="1" x14ac:dyDescent="0.3">
      <c r="B11753" s="37"/>
    </row>
    <row r="11754" spans="2:2" ht="15.9" customHeight="1" x14ac:dyDescent="0.3">
      <c r="B11754" s="37"/>
    </row>
    <row r="11755" spans="2:2" ht="15.9" customHeight="1" x14ac:dyDescent="0.3">
      <c r="B11755" s="37"/>
    </row>
    <row r="11756" spans="2:2" ht="15.9" customHeight="1" x14ac:dyDescent="0.3">
      <c r="B11756" s="37"/>
    </row>
    <row r="11757" spans="2:2" ht="15.9" customHeight="1" x14ac:dyDescent="0.3">
      <c r="B11757" s="37"/>
    </row>
    <row r="11758" spans="2:2" ht="15.9" customHeight="1" x14ac:dyDescent="0.3">
      <c r="B11758" s="37"/>
    </row>
    <row r="11759" spans="2:2" ht="15.9" customHeight="1" x14ac:dyDescent="0.3">
      <c r="B11759" s="37"/>
    </row>
    <row r="11760" spans="2:2" ht="15.9" customHeight="1" x14ac:dyDescent="0.3">
      <c r="B11760" s="37"/>
    </row>
    <row r="11761" spans="2:2" ht="15.9" customHeight="1" x14ac:dyDescent="0.3">
      <c r="B11761" s="37"/>
    </row>
    <row r="11762" spans="2:2" ht="15.9" customHeight="1" x14ac:dyDescent="0.3">
      <c r="B11762" s="37"/>
    </row>
    <row r="11763" spans="2:2" ht="15.9" customHeight="1" x14ac:dyDescent="0.3">
      <c r="B11763" s="37"/>
    </row>
    <row r="11764" spans="2:2" ht="15.9" customHeight="1" x14ac:dyDescent="0.3">
      <c r="B11764" s="37"/>
    </row>
    <row r="11765" spans="2:2" ht="15.9" customHeight="1" x14ac:dyDescent="0.3">
      <c r="B11765" s="37"/>
    </row>
    <row r="11766" spans="2:2" ht="15.9" customHeight="1" x14ac:dyDescent="0.3">
      <c r="B11766" s="37"/>
    </row>
    <row r="11767" spans="2:2" ht="15.9" customHeight="1" x14ac:dyDescent="0.3">
      <c r="B11767" s="37"/>
    </row>
    <row r="11768" spans="2:2" ht="15.9" customHeight="1" x14ac:dyDescent="0.3">
      <c r="B11768" s="37"/>
    </row>
    <row r="11769" spans="2:2" ht="15.9" customHeight="1" x14ac:dyDescent="0.3">
      <c r="B11769" s="37"/>
    </row>
    <row r="11770" spans="2:2" ht="15.9" customHeight="1" x14ac:dyDescent="0.3">
      <c r="B11770" s="37"/>
    </row>
    <row r="11771" spans="2:2" ht="15.9" customHeight="1" x14ac:dyDescent="0.3">
      <c r="B11771" s="37"/>
    </row>
    <row r="11772" spans="2:2" ht="15.9" customHeight="1" x14ac:dyDescent="0.3">
      <c r="B11772" s="37"/>
    </row>
    <row r="11773" spans="2:2" ht="15.9" customHeight="1" x14ac:dyDescent="0.3">
      <c r="B11773" s="37"/>
    </row>
    <row r="11774" spans="2:2" ht="15.9" customHeight="1" x14ac:dyDescent="0.3">
      <c r="B11774" s="37"/>
    </row>
    <row r="11775" spans="2:2" ht="15.9" customHeight="1" x14ac:dyDescent="0.3">
      <c r="B11775" s="37"/>
    </row>
    <row r="11776" spans="2:2" ht="15.9" customHeight="1" x14ac:dyDescent="0.3">
      <c r="B11776" s="37"/>
    </row>
    <row r="11777" spans="2:2" ht="15.9" customHeight="1" x14ac:dyDescent="0.3">
      <c r="B11777" s="37"/>
    </row>
    <row r="11778" spans="2:2" ht="15.9" customHeight="1" x14ac:dyDescent="0.3">
      <c r="B11778" s="37"/>
    </row>
    <row r="11779" spans="2:2" ht="15.9" customHeight="1" x14ac:dyDescent="0.3">
      <c r="B11779" s="37"/>
    </row>
    <row r="11780" spans="2:2" ht="15.9" customHeight="1" x14ac:dyDescent="0.3">
      <c r="B11780" s="37"/>
    </row>
    <row r="11781" spans="2:2" ht="15.9" customHeight="1" x14ac:dyDescent="0.3">
      <c r="B11781" s="37"/>
    </row>
    <row r="11782" spans="2:2" ht="15.9" customHeight="1" x14ac:dyDescent="0.3">
      <c r="B11782" s="37"/>
    </row>
    <row r="11783" spans="2:2" ht="15.9" customHeight="1" x14ac:dyDescent="0.3">
      <c r="B11783" s="37"/>
    </row>
    <row r="11784" spans="2:2" ht="15.9" customHeight="1" x14ac:dyDescent="0.3">
      <c r="B11784" s="37"/>
    </row>
    <row r="11785" spans="2:2" ht="15.9" customHeight="1" x14ac:dyDescent="0.3">
      <c r="B11785" s="37"/>
    </row>
    <row r="11786" spans="2:2" ht="15.9" customHeight="1" x14ac:dyDescent="0.3">
      <c r="B11786" s="37"/>
    </row>
    <row r="11787" spans="2:2" ht="15.9" customHeight="1" x14ac:dyDescent="0.3">
      <c r="B11787" s="37"/>
    </row>
    <row r="11788" spans="2:2" ht="15.9" customHeight="1" x14ac:dyDescent="0.3">
      <c r="B11788" s="37"/>
    </row>
    <row r="11789" spans="2:2" ht="15.9" customHeight="1" x14ac:dyDescent="0.3">
      <c r="B11789" s="37"/>
    </row>
    <row r="11790" spans="2:2" ht="15.9" customHeight="1" x14ac:dyDescent="0.3">
      <c r="B11790" s="37"/>
    </row>
    <row r="11791" spans="2:2" ht="15.9" customHeight="1" x14ac:dyDescent="0.3">
      <c r="B11791" s="37"/>
    </row>
    <row r="11792" spans="2:2" ht="15.9" customHeight="1" x14ac:dyDescent="0.3">
      <c r="B11792" s="37"/>
    </row>
    <row r="11793" spans="2:2" ht="15.9" customHeight="1" x14ac:dyDescent="0.3">
      <c r="B11793" s="37"/>
    </row>
    <row r="11794" spans="2:2" ht="15.9" customHeight="1" x14ac:dyDescent="0.3">
      <c r="B11794" s="37"/>
    </row>
    <row r="11795" spans="2:2" ht="15.9" customHeight="1" x14ac:dyDescent="0.3">
      <c r="B11795" s="37"/>
    </row>
    <row r="11796" spans="2:2" ht="15.9" customHeight="1" x14ac:dyDescent="0.3">
      <c r="B11796" s="37"/>
    </row>
    <row r="11797" spans="2:2" ht="15.9" customHeight="1" x14ac:dyDescent="0.3">
      <c r="B11797" s="37"/>
    </row>
    <row r="11798" spans="2:2" ht="15.9" customHeight="1" x14ac:dyDescent="0.3">
      <c r="B11798" s="37"/>
    </row>
    <row r="11799" spans="2:2" ht="15.9" customHeight="1" x14ac:dyDescent="0.3">
      <c r="B11799" s="37"/>
    </row>
    <row r="11800" spans="2:2" ht="15.9" customHeight="1" x14ac:dyDescent="0.3">
      <c r="B11800" s="37"/>
    </row>
    <row r="11801" spans="2:2" ht="15.9" customHeight="1" x14ac:dyDescent="0.3">
      <c r="B11801" s="37"/>
    </row>
    <row r="11802" spans="2:2" ht="15.9" customHeight="1" x14ac:dyDescent="0.3">
      <c r="B11802" s="37"/>
    </row>
    <row r="11803" spans="2:2" ht="15.9" customHeight="1" x14ac:dyDescent="0.3">
      <c r="B11803" s="37"/>
    </row>
    <row r="11804" spans="2:2" ht="15.9" customHeight="1" x14ac:dyDescent="0.3">
      <c r="B11804" s="37"/>
    </row>
    <row r="11805" spans="2:2" ht="15.9" customHeight="1" x14ac:dyDescent="0.3">
      <c r="B11805" s="37"/>
    </row>
    <row r="11806" spans="2:2" ht="15.9" customHeight="1" x14ac:dyDescent="0.3">
      <c r="B11806" s="37"/>
    </row>
    <row r="11807" spans="2:2" ht="15.9" customHeight="1" x14ac:dyDescent="0.3">
      <c r="B11807" s="37"/>
    </row>
    <row r="11808" spans="2:2" ht="15.9" customHeight="1" x14ac:dyDescent="0.3">
      <c r="B11808" s="37"/>
    </row>
    <row r="11809" spans="2:2" ht="15.9" customHeight="1" x14ac:dyDescent="0.3">
      <c r="B11809" s="37"/>
    </row>
    <row r="11810" spans="2:2" ht="15.9" customHeight="1" x14ac:dyDescent="0.3">
      <c r="B11810" s="37"/>
    </row>
    <row r="11811" spans="2:2" ht="15.9" customHeight="1" x14ac:dyDescent="0.3">
      <c r="B11811" s="37"/>
    </row>
    <row r="11812" spans="2:2" ht="15.9" customHeight="1" x14ac:dyDescent="0.3">
      <c r="B11812" s="37"/>
    </row>
    <row r="11813" spans="2:2" ht="15.9" customHeight="1" x14ac:dyDescent="0.3">
      <c r="B11813" s="37"/>
    </row>
    <row r="11814" spans="2:2" ht="15.9" customHeight="1" x14ac:dyDescent="0.3">
      <c r="B11814" s="37"/>
    </row>
    <row r="11815" spans="2:2" ht="15.9" customHeight="1" x14ac:dyDescent="0.3">
      <c r="B11815" s="37"/>
    </row>
    <row r="11816" spans="2:2" ht="15.9" customHeight="1" x14ac:dyDescent="0.3">
      <c r="B11816" s="37"/>
    </row>
    <row r="11817" spans="2:2" ht="15.9" customHeight="1" x14ac:dyDescent="0.3">
      <c r="B11817" s="37"/>
    </row>
    <row r="11818" spans="2:2" ht="15.9" customHeight="1" x14ac:dyDescent="0.3">
      <c r="B11818" s="37"/>
    </row>
    <row r="11819" spans="2:2" ht="15.9" customHeight="1" x14ac:dyDescent="0.3">
      <c r="B11819" s="37"/>
    </row>
    <row r="11820" spans="2:2" ht="15.9" customHeight="1" x14ac:dyDescent="0.3">
      <c r="B11820" s="37"/>
    </row>
    <row r="11821" spans="2:2" ht="15.9" customHeight="1" x14ac:dyDescent="0.3">
      <c r="B11821" s="37"/>
    </row>
    <row r="11822" spans="2:2" ht="15.9" customHeight="1" x14ac:dyDescent="0.3">
      <c r="B11822" s="37"/>
    </row>
    <row r="11823" spans="2:2" ht="15.9" customHeight="1" x14ac:dyDescent="0.3">
      <c r="B11823" s="37"/>
    </row>
    <row r="11824" spans="2:2" ht="15.9" customHeight="1" x14ac:dyDescent="0.3">
      <c r="B11824" s="37"/>
    </row>
    <row r="11825" spans="2:2" ht="15.9" customHeight="1" x14ac:dyDescent="0.3">
      <c r="B11825" s="37"/>
    </row>
    <row r="11826" spans="2:2" ht="15.9" customHeight="1" x14ac:dyDescent="0.3">
      <c r="B11826" s="37"/>
    </row>
    <row r="11827" spans="2:2" ht="15.9" customHeight="1" x14ac:dyDescent="0.3">
      <c r="B11827" s="37"/>
    </row>
    <row r="11828" spans="2:2" ht="15.9" customHeight="1" x14ac:dyDescent="0.3">
      <c r="B11828" s="37"/>
    </row>
    <row r="11829" spans="2:2" ht="15.9" customHeight="1" x14ac:dyDescent="0.3">
      <c r="B11829" s="37"/>
    </row>
    <row r="11830" spans="2:2" ht="15.9" customHeight="1" x14ac:dyDescent="0.3">
      <c r="B11830" s="37"/>
    </row>
    <row r="11831" spans="2:2" ht="15.9" customHeight="1" x14ac:dyDescent="0.3">
      <c r="B11831" s="37"/>
    </row>
    <row r="11832" spans="2:2" ht="15.9" customHeight="1" x14ac:dyDescent="0.3">
      <c r="B11832" s="37"/>
    </row>
    <row r="11833" spans="2:2" ht="15.9" customHeight="1" x14ac:dyDescent="0.3">
      <c r="B11833" s="37"/>
    </row>
    <row r="11834" spans="2:2" ht="15.9" customHeight="1" x14ac:dyDescent="0.3">
      <c r="B11834" s="37"/>
    </row>
    <row r="11835" spans="2:2" ht="15.9" customHeight="1" x14ac:dyDescent="0.3">
      <c r="B11835" s="37"/>
    </row>
    <row r="11836" spans="2:2" ht="15.9" customHeight="1" x14ac:dyDescent="0.3">
      <c r="B11836" s="37"/>
    </row>
    <row r="11837" spans="2:2" ht="15.9" customHeight="1" x14ac:dyDescent="0.3">
      <c r="B11837" s="37"/>
    </row>
    <row r="11838" spans="2:2" ht="15.9" customHeight="1" x14ac:dyDescent="0.3">
      <c r="B11838" s="37"/>
    </row>
    <row r="11839" spans="2:2" ht="15.9" customHeight="1" x14ac:dyDescent="0.3">
      <c r="B11839" s="37"/>
    </row>
    <row r="11840" spans="2:2" ht="15.9" customHeight="1" x14ac:dyDescent="0.3">
      <c r="B11840" s="37"/>
    </row>
    <row r="11841" spans="2:2" ht="15.9" customHeight="1" x14ac:dyDescent="0.3">
      <c r="B11841" s="37"/>
    </row>
    <row r="11842" spans="2:2" ht="15.9" customHeight="1" x14ac:dyDescent="0.3">
      <c r="B11842" s="37"/>
    </row>
    <row r="11843" spans="2:2" ht="15.9" customHeight="1" x14ac:dyDescent="0.3">
      <c r="B11843" s="37"/>
    </row>
    <row r="11844" spans="2:2" ht="15.9" customHeight="1" x14ac:dyDescent="0.3">
      <c r="B11844" s="37"/>
    </row>
    <row r="11845" spans="2:2" ht="15.9" customHeight="1" x14ac:dyDescent="0.3">
      <c r="B11845" s="37"/>
    </row>
    <row r="11846" spans="2:2" ht="15.9" customHeight="1" x14ac:dyDescent="0.3">
      <c r="B11846" s="37"/>
    </row>
    <row r="11847" spans="2:2" ht="15.9" customHeight="1" x14ac:dyDescent="0.3">
      <c r="B11847" s="37"/>
    </row>
    <row r="11848" spans="2:2" ht="15.9" customHeight="1" x14ac:dyDescent="0.3">
      <c r="B11848" s="37"/>
    </row>
    <row r="11849" spans="2:2" ht="15.9" customHeight="1" x14ac:dyDescent="0.3">
      <c r="B11849" s="37"/>
    </row>
    <row r="11850" spans="2:2" ht="15.9" customHeight="1" x14ac:dyDescent="0.3">
      <c r="B11850" s="37"/>
    </row>
    <row r="11851" spans="2:2" ht="15.9" customHeight="1" x14ac:dyDescent="0.3">
      <c r="B11851" s="37"/>
    </row>
    <row r="11852" spans="2:2" ht="15.9" customHeight="1" x14ac:dyDescent="0.3">
      <c r="B11852" s="37"/>
    </row>
    <row r="11853" spans="2:2" ht="15.9" customHeight="1" x14ac:dyDescent="0.3">
      <c r="B11853" s="37"/>
    </row>
    <row r="11854" spans="2:2" ht="15.9" customHeight="1" x14ac:dyDescent="0.3">
      <c r="B11854" s="37"/>
    </row>
    <row r="11855" spans="2:2" ht="15.9" customHeight="1" x14ac:dyDescent="0.3">
      <c r="B11855" s="37"/>
    </row>
    <row r="11856" spans="2:2" ht="15.9" customHeight="1" x14ac:dyDescent="0.3">
      <c r="B11856" s="37"/>
    </row>
    <row r="11857" spans="2:2" ht="15.9" customHeight="1" x14ac:dyDescent="0.3">
      <c r="B11857" s="37"/>
    </row>
    <row r="11858" spans="2:2" ht="15.9" customHeight="1" x14ac:dyDescent="0.3">
      <c r="B11858" s="37"/>
    </row>
    <row r="11859" spans="2:2" ht="15.9" customHeight="1" x14ac:dyDescent="0.3">
      <c r="B11859" s="37"/>
    </row>
    <row r="11860" spans="2:2" ht="15.9" customHeight="1" x14ac:dyDescent="0.3">
      <c r="B11860" s="37"/>
    </row>
    <row r="11861" spans="2:2" ht="15.9" customHeight="1" x14ac:dyDescent="0.3">
      <c r="B11861" s="37"/>
    </row>
    <row r="11862" spans="2:2" ht="15.9" customHeight="1" x14ac:dyDescent="0.3">
      <c r="B11862" s="37"/>
    </row>
    <row r="11863" spans="2:2" ht="15.9" customHeight="1" x14ac:dyDescent="0.3">
      <c r="B11863" s="37"/>
    </row>
    <row r="11864" spans="2:2" ht="15.9" customHeight="1" x14ac:dyDescent="0.3">
      <c r="B11864" s="37"/>
    </row>
    <row r="11865" spans="2:2" ht="15.9" customHeight="1" x14ac:dyDescent="0.3">
      <c r="B11865" s="37"/>
    </row>
    <row r="11866" spans="2:2" ht="15.9" customHeight="1" x14ac:dyDescent="0.3">
      <c r="B11866" s="37"/>
    </row>
    <row r="11867" spans="2:2" ht="15.9" customHeight="1" x14ac:dyDescent="0.3">
      <c r="B11867" s="37"/>
    </row>
    <row r="11868" spans="2:2" ht="15.9" customHeight="1" x14ac:dyDescent="0.3">
      <c r="B11868" s="37"/>
    </row>
    <row r="11869" spans="2:2" ht="15.9" customHeight="1" x14ac:dyDescent="0.3">
      <c r="B11869" s="37"/>
    </row>
    <row r="11870" spans="2:2" ht="15.9" customHeight="1" x14ac:dyDescent="0.3">
      <c r="B11870" s="37"/>
    </row>
    <row r="11871" spans="2:2" ht="15.9" customHeight="1" x14ac:dyDescent="0.3">
      <c r="B11871" s="37"/>
    </row>
    <row r="11872" spans="2:2" ht="15.9" customHeight="1" x14ac:dyDescent="0.3">
      <c r="B11872" s="37"/>
    </row>
    <row r="11873" spans="2:2" ht="15.9" customHeight="1" x14ac:dyDescent="0.3">
      <c r="B11873" s="37"/>
    </row>
    <row r="11874" spans="2:2" ht="15.9" customHeight="1" x14ac:dyDescent="0.3">
      <c r="B11874" s="37"/>
    </row>
    <row r="11875" spans="2:2" ht="15.9" customHeight="1" x14ac:dyDescent="0.3">
      <c r="B11875" s="37"/>
    </row>
    <row r="11876" spans="2:2" ht="15.9" customHeight="1" x14ac:dyDescent="0.3">
      <c r="B11876" s="37"/>
    </row>
    <row r="11877" spans="2:2" ht="15.9" customHeight="1" x14ac:dyDescent="0.3">
      <c r="B11877" s="37"/>
    </row>
    <row r="11878" spans="2:2" ht="15.9" customHeight="1" x14ac:dyDescent="0.3">
      <c r="B11878" s="37"/>
    </row>
    <row r="11879" spans="2:2" ht="15.9" customHeight="1" x14ac:dyDescent="0.3">
      <c r="B11879" s="37"/>
    </row>
    <row r="11880" spans="2:2" ht="15.9" customHeight="1" x14ac:dyDescent="0.3">
      <c r="B11880" s="37"/>
    </row>
    <row r="11881" spans="2:2" ht="15.9" customHeight="1" x14ac:dyDescent="0.3">
      <c r="B11881" s="37"/>
    </row>
    <row r="11882" spans="2:2" ht="15.9" customHeight="1" x14ac:dyDescent="0.3">
      <c r="B11882" s="37"/>
    </row>
    <row r="11883" spans="2:2" ht="15.9" customHeight="1" x14ac:dyDescent="0.3">
      <c r="B11883" s="37"/>
    </row>
    <row r="11884" spans="2:2" ht="15.9" customHeight="1" x14ac:dyDescent="0.3">
      <c r="B11884" s="37"/>
    </row>
    <row r="11885" spans="2:2" ht="15.9" customHeight="1" x14ac:dyDescent="0.3">
      <c r="B11885" s="37"/>
    </row>
    <row r="11886" spans="2:2" ht="15.9" customHeight="1" x14ac:dyDescent="0.3">
      <c r="B11886" s="37"/>
    </row>
    <row r="11887" spans="2:2" ht="15.9" customHeight="1" x14ac:dyDescent="0.3">
      <c r="B11887" s="37"/>
    </row>
    <row r="11888" spans="2:2" ht="15.9" customHeight="1" x14ac:dyDescent="0.3">
      <c r="B11888" s="37"/>
    </row>
    <row r="11889" spans="2:2" ht="15.9" customHeight="1" x14ac:dyDescent="0.3">
      <c r="B11889" s="37"/>
    </row>
    <row r="11890" spans="2:2" ht="15.9" customHeight="1" x14ac:dyDescent="0.3">
      <c r="B11890" s="37"/>
    </row>
    <row r="11891" spans="2:2" ht="15.9" customHeight="1" x14ac:dyDescent="0.3">
      <c r="B11891" s="37"/>
    </row>
    <row r="11892" spans="2:2" ht="15.9" customHeight="1" x14ac:dyDescent="0.3">
      <c r="B11892" s="37"/>
    </row>
    <row r="11893" spans="2:2" ht="15.9" customHeight="1" x14ac:dyDescent="0.3">
      <c r="B11893" s="37"/>
    </row>
    <row r="11894" spans="2:2" ht="15.9" customHeight="1" x14ac:dyDescent="0.3">
      <c r="B11894" s="37"/>
    </row>
    <row r="11895" spans="2:2" ht="15.9" customHeight="1" x14ac:dyDescent="0.3">
      <c r="B11895" s="37"/>
    </row>
    <row r="11896" spans="2:2" ht="15.9" customHeight="1" x14ac:dyDescent="0.3">
      <c r="B11896" s="37"/>
    </row>
    <row r="11897" spans="2:2" ht="15.9" customHeight="1" x14ac:dyDescent="0.3">
      <c r="B11897" s="37"/>
    </row>
    <row r="11898" spans="2:2" ht="15.9" customHeight="1" x14ac:dyDescent="0.3">
      <c r="B11898" s="37"/>
    </row>
    <row r="11899" spans="2:2" ht="15.9" customHeight="1" x14ac:dyDescent="0.3">
      <c r="B11899" s="37"/>
    </row>
    <row r="11900" spans="2:2" ht="15.9" customHeight="1" x14ac:dyDescent="0.3">
      <c r="B11900" s="37"/>
    </row>
    <row r="11901" spans="2:2" ht="15.9" customHeight="1" x14ac:dyDescent="0.3">
      <c r="B11901" s="37"/>
    </row>
    <row r="11902" spans="2:2" ht="15.9" customHeight="1" x14ac:dyDescent="0.3">
      <c r="B11902" s="37"/>
    </row>
    <row r="11903" spans="2:2" ht="15.9" customHeight="1" x14ac:dyDescent="0.3">
      <c r="B11903" s="37"/>
    </row>
    <row r="11904" spans="2:2" ht="15.9" customHeight="1" x14ac:dyDescent="0.3">
      <c r="B11904" s="37"/>
    </row>
    <row r="11905" spans="2:2" ht="15.9" customHeight="1" x14ac:dyDescent="0.3">
      <c r="B11905" s="37"/>
    </row>
    <row r="11906" spans="2:2" ht="15.9" customHeight="1" x14ac:dyDescent="0.3">
      <c r="B11906" s="37"/>
    </row>
    <row r="11907" spans="2:2" ht="15.9" customHeight="1" x14ac:dyDescent="0.3">
      <c r="B11907" s="37"/>
    </row>
    <row r="11908" spans="2:2" ht="15.9" customHeight="1" x14ac:dyDescent="0.3">
      <c r="B11908" s="37"/>
    </row>
    <row r="11909" spans="2:2" ht="15.9" customHeight="1" x14ac:dyDescent="0.3">
      <c r="B11909" s="37"/>
    </row>
    <row r="11910" spans="2:2" ht="15.9" customHeight="1" x14ac:dyDescent="0.3">
      <c r="B11910" s="37"/>
    </row>
    <row r="11911" spans="2:2" ht="15.9" customHeight="1" x14ac:dyDescent="0.3">
      <c r="B11911" s="37"/>
    </row>
    <row r="11912" spans="2:2" ht="15.9" customHeight="1" x14ac:dyDescent="0.3">
      <c r="B11912" s="37"/>
    </row>
    <row r="11913" spans="2:2" ht="15.9" customHeight="1" x14ac:dyDescent="0.3">
      <c r="B11913" s="37"/>
    </row>
    <row r="11914" spans="2:2" ht="15.9" customHeight="1" x14ac:dyDescent="0.3">
      <c r="B11914" s="37"/>
    </row>
    <row r="11915" spans="2:2" ht="15.9" customHeight="1" x14ac:dyDescent="0.3">
      <c r="B11915" s="37"/>
    </row>
    <row r="11916" spans="2:2" ht="15.9" customHeight="1" x14ac:dyDescent="0.3">
      <c r="B11916" s="37"/>
    </row>
    <row r="11917" spans="2:2" ht="15.9" customHeight="1" x14ac:dyDescent="0.3">
      <c r="B11917" s="37"/>
    </row>
    <row r="11918" spans="2:2" ht="15.9" customHeight="1" x14ac:dyDescent="0.3">
      <c r="B11918" s="37"/>
    </row>
    <row r="11919" spans="2:2" ht="15.9" customHeight="1" x14ac:dyDescent="0.3">
      <c r="B11919" s="37"/>
    </row>
    <row r="11920" spans="2:2" ht="15.9" customHeight="1" x14ac:dyDescent="0.3">
      <c r="B11920" s="37"/>
    </row>
    <row r="11921" spans="2:2" ht="15.9" customHeight="1" x14ac:dyDescent="0.3">
      <c r="B11921" s="37"/>
    </row>
    <row r="11922" spans="2:2" ht="15.9" customHeight="1" x14ac:dyDescent="0.3">
      <c r="B11922" s="37"/>
    </row>
    <row r="11923" spans="2:2" ht="15.9" customHeight="1" x14ac:dyDescent="0.3">
      <c r="B11923" s="37"/>
    </row>
    <row r="11924" spans="2:2" ht="15.9" customHeight="1" x14ac:dyDescent="0.3">
      <c r="B11924" s="37"/>
    </row>
    <row r="11925" spans="2:2" ht="15.9" customHeight="1" x14ac:dyDescent="0.3">
      <c r="B11925" s="37"/>
    </row>
    <row r="11926" spans="2:2" ht="15.9" customHeight="1" x14ac:dyDescent="0.3">
      <c r="B11926" s="37"/>
    </row>
    <row r="11927" spans="2:2" ht="15.9" customHeight="1" x14ac:dyDescent="0.3">
      <c r="B11927" s="37"/>
    </row>
    <row r="11928" spans="2:2" ht="15.9" customHeight="1" x14ac:dyDescent="0.3">
      <c r="B11928" s="37"/>
    </row>
    <row r="11929" spans="2:2" ht="15.9" customHeight="1" x14ac:dyDescent="0.3">
      <c r="B11929" s="37"/>
    </row>
    <row r="11930" spans="2:2" ht="15.9" customHeight="1" x14ac:dyDescent="0.3">
      <c r="B11930" s="37"/>
    </row>
    <row r="11931" spans="2:2" ht="15.9" customHeight="1" x14ac:dyDescent="0.3">
      <c r="B11931" s="37"/>
    </row>
    <row r="11932" spans="2:2" ht="15.9" customHeight="1" x14ac:dyDescent="0.3">
      <c r="B11932" s="37"/>
    </row>
    <row r="11933" spans="2:2" ht="15.9" customHeight="1" x14ac:dyDescent="0.3">
      <c r="B11933" s="37"/>
    </row>
    <row r="11934" spans="2:2" ht="15.9" customHeight="1" x14ac:dyDescent="0.3">
      <c r="B11934" s="37"/>
    </row>
    <row r="11935" spans="2:2" ht="15.9" customHeight="1" x14ac:dyDescent="0.3">
      <c r="B11935" s="37"/>
    </row>
    <row r="11936" spans="2:2" ht="15.9" customHeight="1" x14ac:dyDescent="0.3">
      <c r="B11936" s="37"/>
    </row>
    <row r="11937" spans="2:2" ht="15.9" customHeight="1" x14ac:dyDescent="0.3">
      <c r="B11937" s="37"/>
    </row>
    <row r="11938" spans="2:2" ht="15.9" customHeight="1" x14ac:dyDescent="0.3">
      <c r="B11938" s="37"/>
    </row>
    <row r="11939" spans="2:2" ht="15.9" customHeight="1" x14ac:dyDescent="0.3">
      <c r="B11939" s="37"/>
    </row>
    <row r="11940" spans="2:2" ht="15.9" customHeight="1" x14ac:dyDescent="0.3">
      <c r="B11940" s="37"/>
    </row>
    <row r="11941" spans="2:2" ht="15.9" customHeight="1" x14ac:dyDescent="0.3">
      <c r="B11941" s="37"/>
    </row>
    <row r="11942" spans="2:2" ht="15.9" customHeight="1" x14ac:dyDescent="0.3">
      <c r="B11942" s="37"/>
    </row>
    <row r="11943" spans="2:2" ht="15.9" customHeight="1" x14ac:dyDescent="0.3">
      <c r="B11943" s="37"/>
    </row>
    <row r="11944" spans="2:2" ht="15.9" customHeight="1" x14ac:dyDescent="0.3">
      <c r="B11944" s="37"/>
    </row>
    <row r="11945" spans="2:2" ht="15.9" customHeight="1" x14ac:dyDescent="0.3">
      <c r="B11945" s="37"/>
    </row>
    <row r="11946" spans="2:2" ht="15.9" customHeight="1" x14ac:dyDescent="0.3">
      <c r="B11946" s="37"/>
    </row>
    <row r="11947" spans="2:2" ht="15.9" customHeight="1" x14ac:dyDescent="0.3">
      <c r="B11947" s="37"/>
    </row>
    <row r="11948" spans="2:2" ht="15.9" customHeight="1" x14ac:dyDescent="0.3">
      <c r="B11948" s="37"/>
    </row>
    <row r="11949" spans="2:2" ht="15.9" customHeight="1" x14ac:dyDescent="0.3">
      <c r="B11949" s="37"/>
    </row>
    <row r="11950" spans="2:2" ht="15.9" customHeight="1" x14ac:dyDescent="0.3">
      <c r="B11950" s="37"/>
    </row>
    <row r="11951" spans="2:2" ht="15.9" customHeight="1" x14ac:dyDescent="0.3">
      <c r="B11951" s="37"/>
    </row>
    <row r="11952" spans="2:2" ht="15.9" customHeight="1" x14ac:dyDescent="0.3">
      <c r="B11952" s="37"/>
    </row>
    <row r="11953" spans="2:2" ht="15.9" customHeight="1" x14ac:dyDescent="0.3">
      <c r="B11953" s="37"/>
    </row>
    <row r="11954" spans="2:2" ht="15.9" customHeight="1" x14ac:dyDescent="0.3">
      <c r="B11954" s="37"/>
    </row>
    <row r="11955" spans="2:2" ht="15.9" customHeight="1" x14ac:dyDescent="0.3">
      <c r="B11955" s="37"/>
    </row>
    <row r="11956" spans="2:2" ht="15.9" customHeight="1" x14ac:dyDescent="0.3">
      <c r="B11956" s="37"/>
    </row>
    <row r="11957" spans="2:2" ht="15.9" customHeight="1" x14ac:dyDescent="0.3">
      <c r="B11957" s="37"/>
    </row>
    <row r="11958" spans="2:2" ht="15.9" customHeight="1" x14ac:dyDescent="0.3">
      <c r="B11958" s="37"/>
    </row>
    <row r="11959" spans="2:2" ht="15.9" customHeight="1" x14ac:dyDescent="0.3">
      <c r="B11959" s="37"/>
    </row>
    <row r="11960" spans="2:2" ht="15.9" customHeight="1" x14ac:dyDescent="0.3">
      <c r="B11960" s="37"/>
    </row>
    <row r="11961" spans="2:2" ht="15.9" customHeight="1" x14ac:dyDescent="0.3">
      <c r="B11961" s="37"/>
    </row>
    <row r="11962" spans="2:2" ht="15.9" customHeight="1" x14ac:dyDescent="0.3">
      <c r="B11962" s="37"/>
    </row>
    <row r="11963" spans="2:2" ht="15.9" customHeight="1" x14ac:dyDescent="0.3">
      <c r="B11963" s="37"/>
    </row>
    <row r="11964" spans="2:2" ht="15.9" customHeight="1" x14ac:dyDescent="0.3">
      <c r="B11964" s="37"/>
    </row>
    <row r="11965" spans="2:2" ht="15.9" customHeight="1" x14ac:dyDescent="0.3">
      <c r="B11965" s="37"/>
    </row>
    <row r="11966" spans="2:2" ht="15.9" customHeight="1" x14ac:dyDescent="0.3">
      <c r="B11966" s="37"/>
    </row>
    <row r="11967" spans="2:2" ht="15.9" customHeight="1" x14ac:dyDescent="0.3">
      <c r="B11967" s="37"/>
    </row>
    <row r="11968" spans="2:2" ht="15.9" customHeight="1" x14ac:dyDescent="0.3">
      <c r="B11968" s="37"/>
    </row>
    <row r="11969" spans="2:2" ht="15.9" customHeight="1" x14ac:dyDescent="0.3">
      <c r="B11969" s="37"/>
    </row>
    <row r="11970" spans="2:2" ht="15.9" customHeight="1" x14ac:dyDescent="0.3">
      <c r="B11970" s="37"/>
    </row>
    <row r="11971" spans="2:2" ht="15.9" customHeight="1" x14ac:dyDescent="0.3">
      <c r="B11971" s="37"/>
    </row>
    <row r="11972" spans="2:2" ht="15.9" customHeight="1" x14ac:dyDescent="0.3">
      <c r="B11972" s="37"/>
    </row>
    <row r="11973" spans="2:2" ht="15.9" customHeight="1" x14ac:dyDescent="0.3">
      <c r="B11973" s="37"/>
    </row>
    <row r="11974" spans="2:2" ht="15.9" customHeight="1" x14ac:dyDescent="0.3">
      <c r="B11974" s="37"/>
    </row>
    <row r="11975" spans="2:2" ht="15.9" customHeight="1" x14ac:dyDescent="0.3">
      <c r="B11975" s="37"/>
    </row>
    <row r="11976" spans="2:2" ht="15.9" customHeight="1" x14ac:dyDescent="0.3">
      <c r="B11976" s="37"/>
    </row>
    <row r="11977" spans="2:2" ht="15.9" customHeight="1" x14ac:dyDescent="0.3">
      <c r="B11977" s="37"/>
    </row>
    <row r="11978" spans="2:2" ht="15.9" customHeight="1" x14ac:dyDescent="0.3">
      <c r="B11978" s="37"/>
    </row>
    <row r="11979" spans="2:2" ht="15.9" customHeight="1" x14ac:dyDescent="0.3">
      <c r="B11979" s="37"/>
    </row>
    <row r="11980" spans="2:2" ht="15.9" customHeight="1" x14ac:dyDescent="0.3">
      <c r="B11980" s="37"/>
    </row>
    <row r="11981" spans="2:2" ht="15.9" customHeight="1" x14ac:dyDescent="0.3">
      <c r="B11981" s="37"/>
    </row>
    <row r="11982" spans="2:2" ht="15.9" customHeight="1" x14ac:dyDescent="0.3">
      <c r="B11982" s="37"/>
    </row>
    <row r="11983" spans="2:2" ht="15.9" customHeight="1" x14ac:dyDescent="0.3">
      <c r="B11983" s="37"/>
    </row>
    <row r="11984" spans="2:2" ht="15.9" customHeight="1" x14ac:dyDescent="0.3">
      <c r="B11984" s="37"/>
    </row>
    <row r="11985" spans="2:2" ht="15.9" customHeight="1" x14ac:dyDescent="0.3">
      <c r="B11985" s="37"/>
    </row>
    <row r="11986" spans="2:2" ht="15.9" customHeight="1" x14ac:dyDescent="0.3">
      <c r="B11986" s="37"/>
    </row>
    <row r="11987" spans="2:2" ht="15.9" customHeight="1" x14ac:dyDescent="0.3">
      <c r="B11987" s="37"/>
    </row>
    <row r="11988" spans="2:2" ht="15.9" customHeight="1" x14ac:dyDescent="0.3">
      <c r="B11988" s="37"/>
    </row>
    <row r="11989" spans="2:2" ht="15.9" customHeight="1" x14ac:dyDescent="0.3">
      <c r="B11989" s="37"/>
    </row>
    <row r="11990" spans="2:2" ht="15.9" customHeight="1" x14ac:dyDescent="0.3">
      <c r="B11990" s="37"/>
    </row>
    <row r="11991" spans="2:2" ht="15.9" customHeight="1" x14ac:dyDescent="0.3">
      <c r="B11991" s="37"/>
    </row>
    <row r="11992" spans="2:2" ht="15.9" customHeight="1" x14ac:dyDescent="0.3">
      <c r="B11992" s="37"/>
    </row>
    <row r="11993" spans="2:2" ht="15.9" customHeight="1" x14ac:dyDescent="0.3">
      <c r="B11993" s="37"/>
    </row>
    <row r="11994" spans="2:2" ht="15.9" customHeight="1" x14ac:dyDescent="0.3">
      <c r="B11994" s="37"/>
    </row>
    <row r="11995" spans="2:2" ht="15.9" customHeight="1" x14ac:dyDescent="0.3">
      <c r="B11995" s="37"/>
    </row>
    <row r="11996" spans="2:2" ht="15.9" customHeight="1" x14ac:dyDescent="0.3">
      <c r="B11996" s="37"/>
    </row>
    <row r="11997" spans="2:2" ht="15.9" customHeight="1" x14ac:dyDescent="0.3">
      <c r="B11997" s="37"/>
    </row>
    <row r="11998" spans="2:2" ht="15.9" customHeight="1" x14ac:dyDescent="0.3">
      <c r="B11998" s="37"/>
    </row>
    <row r="11999" spans="2:2" ht="15.9" customHeight="1" x14ac:dyDescent="0.3">
      <c r="B11999" s="37"/>
    </row>
    <row r="12000" spans="2:2" ht="15.9" customHeight="1" x14ac:dyDescent="0.3">
      <c r="B12000" s="37"/>
    </row>
    <row r="12001" spans="2:2" ht="15.9" customHeight="1" x14ac:dyDescent="0.3">
      <c r="B12001" s="37"/>
    </row>
    <row r="12002" spans="2:2" ht="15.9" customHeight="1" x14ac:dyDescent="0.3">
      <c r="B12002" s="37"/>
    </row>
    <row r="12003" spans="2:2" ht="15.9" customHeight="1" x14ac:dyDescent="0.3">
      <c r="B12003" s="37"/>
    </row>
    <row r="12004" spans="2:2" ht="15.9" customHeight="1" x14ac:dyDescent="0.3">
      <c r="B12004" s="37"/>
    </row>
    <row r="12005" spans="2:2" ht="15.9" customHeight="1" x14ac:dyDescent="0.3">
      <c r="B12005" s="37"/>
    </row>
    <row r="12006" spans="2:2" ht="15.9" customHeight="1" x14ac:dyDescent="0.3">
      <c r="B12006" s="37"/>
    </row>
    <row r="12007" spans="2:2" ht="15.9" customHeight="1" x14ac:dyDescent="0.3">
      <c r="B12007" s="37"/>
    </row>
    <row r="12008" spans="2:2" ht="15.9" customHeight="1" x14ac:dyDescent="0.3">
      <c r="B12008" s="37"/>
    </row>
    <row r="12009" spans="2:2" ht="15.9" customHeight="1" x14ac:dyDescent="0.3">
      <c r="B12009" s="37"/>
    </row>
    <row r="12010" spans="2:2" ht="15.9" customHeight="1" x14ac:dyDescent="0.3">
      <c r="B12010" s="37"/>
    </row>
    <row r="12011" spans="2:2" ht="15.9" customHeight="1" x14ac:dyDescent="0.3">
      <c r="B12011" s="37"/>
    </row>
    <row r="12012" spans="2:2" ht="15.9" customHeight="1" x14ac:dyDescent="0.3">
      <c r="B12012" s="37"/>
    </row>
    <row r="12013" spans="2:2" ht="15.9" customHeight="1" x14ac:dyDescent="0.3">
      <c r="B12013" s="37"/>
    </row>
    <row r="12014" spans="2:2" ht="15.9" customHeight="1" x14ac:dyDescent="0.3">
      <c r="B12014" s="37"/>
    </row>
    <row r="12015" spans="2:2" ht="15.9" customHeight="1" x14ac:dyDescent="0.3">
      <c r="B12015" s="37"/>
    </row>
    <row r="12016" spans="2:2" ht="15.9" customHeight="1" x14ac:dyDescent="0.3">
      <c r="B12016" s="37"/>
    </row>
    <row r="12017" spans="2:2" ht="15.9" customHeight="1" x14ac:dyDescent="0.3">
      <c r="B12017" s="37"/>
    </row>
    <row r="12018" spans="2:2" ht="15.9" customHeight="1" x14ac:dyDescent="0.3">
      <c r="B12018" s="37"/>
    </row>
    <row r="12019" spans="2:2" ht="15.9" customHeight="1" x14ac:dyDescent="0.3">
      <c r="B12019" s="37"/>
    </row>
    <row r="12020" spans="2:2" ht="15.9" customHeight="1" x14ac:dyDescent="0.3">
      <c r="B12020" s="37"/>
    </row>
    <row r="12021" spans="2:2" ht="15.9" customHeight="1" x14ac:dyDescent="0.3">
      <c r="B12021" s="37"/>
    </row>
    <row r="12022" spans="2:2" ht="15.9" customHeight="1" x14ac:dyDescent="0.3">
      <c r="B12022" s="37"/>
    </row>
    <row r="12023" spans="2:2" ht="15.9" customHeight="1" x14ac:dyDescent="0.3">
      <c r="B12023" s="37"/>
    </row>
    <row r="12024" spans="2:2" ht="15.9" customHeight="1" x14ac:dyDescent="0.3">
      <c r="B12024" s="37"/>
    </row>
    <row r="12025" spans="2:2" ht="15.9" customHeight="1" x14ac:dyDescent="0.3">
      <c r="B12025" s="37"/>
    </row>
    <row r="12026" spans="2:2" ht="15.9" customHeight="1" x14ac:dyDescent="0.3">
      <c r="B12026" s="37"/>
    </row>
    <row r="12027" spans="2:2" ht="15.9" customHeight="1" x14ac:dyDescent="0.3">
      <c r="B12027" s="37"/>
    </row>
    <row r="12028" spans="2:2" ht="15.9" customHeight="1" x14ac:dyDescent="0.3">
      <c r="B12028" s="37"/>
    </row>
    <row r="12029" spans="2:2" ht="15.9" customHeight="1" x14ac:dyDescent="0.3">
      <c r="B12029" s="37"/>
    </row>
    <row r="12030" spans="2:2" ht="15.9" customHeight="1" x14ac:dyDescent="0.3">
      <c r="B12030" s="37"/>
    </row>
    <row r="12031" spans="2:2" ht="15.9" customHeight="1" x14ac:dyDescent="0.3">
      <c r="B12031" s="37"/>
    </row>
    <row r="12032" spans="2:2" ht="15.9" customHeight="1" x14ac:dyDescent="0.3">
      <c r="B12032" s="37"/>
    </row>
    <row r="12033" spans="2:2" ht="15.9" customHeight="1" x14ac:dyDescent="0.3">
      <c r="B12033" s="37"/>
    </row>
    <row r="12034" spans="2:2" ht="15.9" customHeight="1" x14ac:dyDescent="0.3">
      <c r="B12034" s="37"/>
    </row>
    <row r="12035" spans="2:2" ht="15.9" customHeight="1" x14ac:dyDescent="0.3">
      <c r="B12035" s="37"/>
    </row>
    <row r="12036" spans="2:2" ht="15.9" customHeight="1" x14ac:dyDescent="0.3">
      <c r="B12036" s="37"/>
    </row>
    <row r="12037" spans="2:2" ht="15.9" customHeight="1" x14ac:dyDescent="0.3">
      <c r="B12037" s="37"/>
    </row>
    <row r="12038" spans="2:2" ht="15.9" customHeight="1" x14ac:dyDescent="0.3">
      <c r="B12038" s="37"/>
    </row>
    <row r="12039" spans="2:2" ht="15.9" customHeight="1" x14ac:dyDescent="0.3">
      <c r="B12039" s="37"/>
    </row>
    <row r="12040" spans="2:2" ht="15.9" customHeight="1" x14ac:dyDescent="0.3">
      <c r="B12040" s="37"/>
    </row>
    <row r="12041" spans="2:2" ht="15.9" customHeight="1" x14ac:dyDescent="0.3">
      <c r="B12041" s="37"/>
    </row>
    <row r="12042" spans="2:2" ht="15.9" customHeight="1" x14ac:dyDescent="0.3">
      <c r="B12042" s="37"/>
    </row>
    <row r="12043" spans="2:2" ht="15.9" customHeight="1" x14ac:dyDescent="0.3">
      <c r="B12043" s="37"/>
    </row>
    <row r="12044" spans="2:2" ht="15.9" customHeight="1" x14ac:dyDescent="0.3">
      <c r="B12044" s="37"/>
    </row>
    <row r="12045" spans="2:2" ht="15.9" customHeight="1" x14ac:dyDescent="0.3">
      <c r="B12045" s="37"/>
    </row>
    <row r="12046" spans="2:2" ht="15.9" customHeight="1" x14ac:dyDescent="0.3">
      <c r="B12046" s="37"/>
    </row>
    <row r="12047" spans="2:2" ht="15.9" customHeight="1" x14ac:dyDescent="0.3">
      <c r="B12047" s="37"/>
    </row>
    <row r="12048" spans="2:2" ht="15.9" customHeight="1" x14ac:dyDescent="0.3">
      <c r="B12048" s="37"/>
    </row>
    <row r="12049" spans="2:2" ht="15.9" customHeight="1" x14ac:dyDescent="0.3">
      <c r="B12049" s="37"/>
    </row>
    <row r="12050" spans="2:2" ht="15.9" customHeight="1" x14ac:dyDescent="0.3">
      <c r="B12050" s="37"/>
    </row>
    <row r="12051" spans="2:2" ht="15.9" customHeight="1" x14ac:dyDescent="0.3">
      <c r="B12051" s="37"/>
    </row>
    <row r="12052" spans="2:2" ht="15.9" customHeight="1" x14ac:dyDescent="0.3">
      <c r="B12052" s="37"/>
    </row>
    <row r="12053" spans="2:2" ht="15.9" customHeight="1" x14ac:dyDescent="0.3">
      <c r="B12053" s="37"/>
    </row>
    <row r="12054" spans="2:2" ht="15.9" customHeight="1" x14ac:dyDescent="0.3">
      <c r="B12054" s="37"/>
    </row>
    <row r="12055" spans="2:2" ht="15.9" customHeight="1" x14ac:dyDescent="0.3">
      <c r="B12055" s="37"/>
    </row>
    <row r="12056" spans="2:2" ht="15.9" customHeight="1" x14ac:dyDescent="0.3">
      <c r="B12056" s="37"/>
    </row>
    <row r="12057" spans="2:2" ht="15.9" customHeight="1" x14ac:dyDescent="0.3">
      <c r="B12057" s="37"/>
    </row>
    <row r="12058" spans="2:2" ht="15.9" customHeight="1" x14ac:dyDescent="0.3">
      <c r="B12058" s="37"/>
    </row>
    <row r="12059" spans="2:2" ht="15.9" customHeight="1" x14ac:dyDescent="0.3">
      <c r="B12059" s="37"/>
    </row>
    <row r="12060" spans="2:2" ht="15.9" customHeight="1" x14ac:dyDescent="0.3">
      <c r="B12060" s="37"/>
    </row>
    <row r="12061" spans="2:2" ht="15.9" customHeight="1" x14ac:dyDescent="0.3">
      <c r="B12061" s="37"/>
    </row>
    <row r="12062" spans="2:2" ht="15.9" customHeight="1" x14ac:dyDescent="0.3">
      <c r="B12062" s="37"/>
    </row>
    <row r="12063" spans="2:2" ht="15.9" customHeight="1" x14ac:dyDescent="0.3">
      <c r="B12063" s="37"/>
    </row>
    <row r="12064" spans="2:2" ht="15.9" customHeight="1" x14ac:dyDescent="0.3">
      <c r="B12064" s="37"/>
    </row>
    <row r="12065" spans="2:2" ht="15.9" customHeight="1" x14ac:dyDescent="0.3">
      <c r="B12065" s="37"/>
    </row>
    <row r="12066" spans="2:2" ht="15.9" customHeight="1" x14ac:dyDescent="0.3">
      <c r="B12066" s="37"/>
    </row>
    <row r="12067" spans="2:2" ht="15.9" customHeight="1" x14ac:dyDescent="0.3">
      <c r="B12067" s="37"/>
    </row>
    <row r="12068" spans="2:2" ht="15.9" customHeight="1" x14ac:dyDescent="0.3">
      <c r="B12068" s="37"/>
    </row>
    <row r="12069" spans="2:2" ht="15.9" customHeight="1" x14ac:dyDescent="0.3">
      <c r="B12069" s="37"/>
    </row>
    <row r="12070" spans="2:2" ht="15.9" customHeight="1" x14ac:dyDescent="0.3">
      <c r="B12070" s="37"/>
    </row>
    <row r="12071" spans="2:2" ht="15.9" customHeight="1" x14ac:dyDescent="0.3">
      <c r="B12071" s="37"/>
    </row>
    <row r="12072" spans="2:2" ht="15.9" customHeight="1" x14ac:dyDescent="0.3">
      <c r="B12072" s="37"/>
    </row>
    <row r="12073" spans="2:2" ht="15.9" customHeight="1" x14ac:dyDescent="0.3">
      <c r="B12073" s="37"/>
    </row>
    <row r="12074" spans="2:2" ht="15.9" customHeight="1" x14ac:dyDescent="0.3">
      <c r="B12074" s="37"/>
    </row>
    <row r="12075" spans="2:2" ht="15.9" customHeight="1" x14ac:dyDescent="0.3">
      <c r="B12075" s="37"/>
    </row>
    <row r="12076" spans="2:2" ht="15.9" customHeight="1" x14ac:dyDescent="0.3">
      <c r="B12076" s="37"/>
    </row>
    <row r="12077" spans="2:2" ht="15.9" customHeight="1" x14ac:dyDescent="0.3">
      <c r="B12077" s="37"/>
    </row>
    <row r="12078" spans="2:2" ht="15.9" customHeight="1" x14ac:dyDescent="0.3">
      <c r="B12078" s="37"/>
    </row>
    <row r="12079" spans="2:2" ht="15.9" customHeight="1" x14ac:dyDescent="0.3">
      <c r="B12079" s="37"/>
    </row>
    <row r="12080" spans="2:2" ht="15.9" customHeight="1" x14ac:dyDescent="0.3">
      <c r="B12080" s="37"/>
    </row>
    <row r="12081" spans="2:2" ht="15.9" customHeight="1" x14ac:dyDescent="0.3">
      <c r="B12081" s="37"/>
    </row>
    <row r="12082" spans="2:2" ht="15.9" customHeight="1" x14ac:dyDescent="0.3">
      <c r="B12082" s="37"/>
    </row>
    <row r="12083" spans="2:2" ht="15.9" customHeight="1" x14ac:dyDescent="0.3">
      <c r="B12083" s="37"/>
    </row>
    <row r="12084" spans="2:2" ht="15.9" customHeight="1" x14ac:dyDescent="0.3">
      <c r="B12084" s="37"/>
    </row>
    <row r="12085" spans="2:2" ht="15.9" customHeight="1" x14ac:dyDescent="0.3">
      <c r="B12085" s="37"/>
    </row>
    <row r="12086" spans="2:2" ht="15.9" customHeight="1" x14ac:dyDescent="0.3">
      <c r="B12086" s="37"/>
    </row>
    <row r="12087" spans="2:2" ht="15.9" customHeight="1" x14ac:dyDescent="0.3">
      <c r="B12087" s="37"/>
    </row>
    <row r="12088" spans="2:2" ht="15.9" customHeight="1" x14ac:dyDescent="0.3">
      <c r="B12088" s="37"/>
    </row>
    <row r="12089" spans="2:2" ht="15.9" customHeight="1" x14ac:dyDescent="0.3">
      <c r="B12089" s="37"/>
    </row>
    <row r="12090" spans="2:2" ht="15.9" customHeight="1" x14ac:dyDescent="0.3">
      <c r="B12090" s="37"/>
    </row>
    <row r="12091" spans="2:2" ht="15.9" customHeight="1" x14ac:dyDescent="0.3">
      <c r="B12091" s="37"/>
    </row>
    <row r="12092" spans="2:2" ht="15.9" customHeight="1" x14ac:dyDescent="0.3">
      <c r="B12092" s="37"/>
    </row>
    <row r="12093" spans="2:2" ht="15.9" customHeight="1" x14ac:dyDescent="0.3">
      <c r="B12093" s="37"/>
    </row>
    <row r="12094" spans="2:2" ht="15.9" customHeight="1" x14ac:dyDescent="0.3">
      <c r="B12094" s="37"/>
    </row>
    <row r="12095" spans="2:2" ht="15.9" customHeight="1" x14ac:dyDescent="0.3">
      <c r="B12095" s="37"/>
    </row>
    <row r="12096" spans="2:2" ht="15.9" customHeight="1" x14ac:dyDescent="0.3">
      <c r="B12096" s="37"/>
    </row>
    <row r="12097" spans="2:2" ht="15.9" customHeight="1" x14ac:dyDescent="0.3">
      <c r="B12097" s="37"/>
    </row>
    <row r="12098" spans="2:2" ht="15.9" customHeight="1" x14ac:dyDescent="0.3">
      <c r="B12098" s="37"/>
    </row>
    <row r="12099" spans="2:2" ht="15.9" customHeight="1" x14ac:dyDescent="0.3">
      <c r="B12099" s="37"/>
    </row>
    <row r="12100" spans="2:2" ht="15.9" customHeight="1" x14ac:dyDescent="0.3">
      <c r="B12100" s="37"/>
    </row>
    <row r="12101" spans="2:2" ht="15.9" customHeight="1" x14ac:dyDescent="0.3">
      <c r="B12101" s="37"/>
    </row>
    <row r="12102" spans="2:2" ht="15.9" customHeight="1" x14ac:dyDescent="0.3">
      <c r="B12102" s="37"/>
    </row>
    <row r="12103" spans="2:2" ht="15.9" customHeight="1" x14ac:dyDescent="0.3">
      <c r="B12103" s="37"/>
    </row>
    <row r="12104" spans="2:2" ht="15.9" customHeight="1" x14ac:dyDescent="0.3">
      <c r="B12104" s="37"/>
    </row>
    <row r="12105" spans="2:2" ht="15.9" customHeight="1" x14ac:dyDescent="0.3">
      <c r="B12105" s="37"/>
    </row>
    <row r="12106" spans="2:2" ht="15.9" customHeight="1" x14ac:dyDescent="0.3">
      <c r="B12106" s="37"/>
    </row>
    <row r="12107" spans="2:2" ht="15.9" customHeight="1" x14ac:dyDescent="0.3">
      <c r="B12107" s="37"/>
    </row>
    <row r="12108" spans="2:2" ht="15.9" customHeight="1" x14ac:dyDescent="0.3">
      <c r="B12108" s="37"/>
    </row>
    <row r="12109" spans="2:2" ht="15.9" customHeight="1" x14ac:dyDescent="0.3">
      <c r="B12109" s="37"/>
    </row>
    <row r="12110" spans="2:2" ht="15.9" customHeight="1" x14ac:dyDescent="0.3">
      <c r="B12110" s="37"/>
    </row>
    <row r="12111" spans="2:2" ht="15.9" customHeight="1" x14ac:dyDescent="0.3">
      <c r="B12111" s="37"/>
    </row>
    <row r="12112" spans="2:2" ht="15.9" customHeight="1" x14ac:dyDescent="0.3">
      <c r="B12112" s="37"/>
    </row>
    <row r="12113" spans="2:2" ht="15.9" customHeight="1" x14ac:dyDescent="0.3">
      <c r="B12113" s="37"/>
    </row>
    <row r="12114" spans="2:2" ht="15.9" customHeight="1" x14ac:dyDescent="0.3">
      <c r="B12114" s="37"/>
    </row>
    <row r="12115" spans="2:2" ht="15.9" customHeight="1" x14ac:dyDescent="0.3">
      <c r="B12115" s="37"/>
    </row>
    <row r="12116" spans="2:2" ht="15.9" customHeight="1" x14ac:dyDescent="0.3">
      <c r="B12116" s="37"/>
    </row>
    <row r="12117" spans="2:2" ht="15.9" customHeight="1" x14ac:dyDescent="0.3">
      <c r="B12117" s="37"/>
    </row>
    <row r="12118" spans="2:2" ht="15.9" customHeight="1" x14ac:dyDescent="0.3">
      <c r="B12118" s="37"/>
    </row>
    <row r="12119" spans="2:2" ht="15.9" customHeight="1" x14ac:dyDescent="0.3">
      <c r="B12119" s="37"/>
    </row>
    <row r="12120" spans="2:2" ht="15.9" customHeight="1" x14ac:dyDescent="0.3">
      <c r="B12120" s="37"/>
    </row>
    <row r="12121" spans="2:2" ht="15.9" customHeight="1" x14ac:dyDescent="0.3">
      <c r="B12121" s="37"/>
    </row>
    <row r="12122" spans="2:2" ht="15.9" customHeight="1" x14ac:dyDescent="0.3">
      <c r="B12122" s="37"/>
    </row>
    <row r="12123" spans="2:2" ht="15.9" customHeight="1" x14ac:dyDescent="0.3">
      <c r="B12123" s="37"/>
    </row>
    <row r="12124" spans="2:2" ht="15.9" customHeight="1" x14ac:dyDescent="0.3">
      <c r="B12124" s="37"/>
    </row>
    <row r="12125" spans="2:2" ht="15.9" customHeight="1" x14ac:dyDescent="0.3">
      <c r="B12125" s="37"/>
    </row>
    <row r="12126" spans="2:2" ht="15.9" customHeight="1" x14ac:dyDescent="0.3">
      <c r="B12126" s="37"/>
    </row>
    <row r="12127" spans="2:2" ht="15.9" customHeight="1" x14ac:dyDescent="0.3">
      <c r="B12127" s="37"/>
    </row>
    <row r="12128" spans="2:2" ht="15.9" customHeight="1" x14ac:dyDescent="0.3">
      <c r="B12128" s="37"/>
    </row>
    <row r="12129" spans="2:2" ht="15.9" customHeight="1" x14ac:dyDescent="0.3">
      <c r="B12129" s="37"/>
    </row>
    <row r="12130" spans="2:2" ht="15.9" customHeight="1" x14ac:dyDescent="0.3">
      <c r="B12130" s="37"/>
    </row>
    <row r="12131" spans="2:2" ht="15.9" customHeight="1" x14ac:dyDescent="0.3">
      <c r="B12131" s="37"/>
    </row>
    <row r="12132" spans="2:2" ht="15.9" customHeight="1" x14ac:dyDescent="0.3">
      <c r="B12132" s="37"/>
    </row>
    <row r="12133" spans="2:2" ht="15.9" customHeight="1" x14ac:dyDescent="0.3">
      <c r="B12133" s="37"/>
    </row>
    <row r="12134" spans="2:2" ht="15.9" customHeight="1" x14ac:dyDescent="0.3">
      <c r="B12134" s="37"/>
    </row>
    <row r="12135" spans="2:2" ht="15.9" customHeight="1" x14ac:dyDescent="0.3">
      <c r="B12135" s="37"/>
    </row>
    <row r="12136" spans="2:2" ht="15.9" customHeight="1" x14ac:dyDescent="0.3">
      <c r="B12136" s="37"/>
    </row>
    <row r="12137" spans="2:2" ht="15.9" customHeight="1" x14ac:dyDescent="0.3">
      <c r="B12137" s="37"/>
    </row>
    <row r="12138" spans="2:2" ht="15.9" customHeight="1" x14ac:dyDescent="0.3">
      <c r="B12138" s="37"/>
    </row>
    <row r="12139" spans="2:2" ht="15.9" customHeight="1" x14ac:dyDescent="0.3">
      <c r="B12139" s="37"/>
    </row>
    <row r="12140" spans="2:2" ht="15.9" customHeight="1" x14ac:dyDescent="0.3">
      <c r="B12140" s="37"/>
    </row>
    <row r="12141" spans="2:2" ht="15.9" customHeight="1" x14ac:dyDescent="0.3">
      <c r="B12141" s="37"/>
    </row>
    <row r="12142" spans="2:2" ht="15.9" customHeight="1" x14ac:dyDescent="0.3">
      <c r="B12142" s="37"/>
    </row>
    <row r="12143" spans="2:2" ht="15.9" customHeight="1" x14ac:dyDescent="0.3">
      <c r="B12143" s="37"/>
    </row>
    <row r="12144" spans="2:2" ht="15.9" customHeight="1" x14ac:dyDescent="0.3">
      <c r="B12144" s="37"/>
    </row>
    <row r="12145" spans="2:2" ht="15.9" customHeight="1" x14ac:dyDescent="0.3">
      <c r="B12145" s="37"/>
    </row>
    <row r="12146" spans="2:2" ht="15.9" customHeight="1" x14ac:dyDescent="0.3">
      <c r="B12146" s="37"/>
    </row>
    <row r="12147" spans="2:2" ht="15.9" customHeight="1" x14ac:dyDescent="0.3">
      <c r="B12147" s="37"/>
    </row>
    <row r="12148" spans="2:2" ht="15.9" customHeight="1" x14ac:dyDescent="0.3">
      <c r="B12148" s="37"/>
    </row>
    <row r="12149" spans="2:2" ht="15.9" customHeight="1" x14ac:dyDescent="0.3">
      <c r="B12149" s="37"/>
    </row>
    <row r="12150" spans="2:2" ht="15.9" customHeight="1" x14ac:dyDescent="0.3">
      <c r="B12150" s="37"/>
    </row>
    <row r="12151" spans="2:2" ht="15.9" customHeight="1" x14ac:dyDescent="0.3">
      <c r="B12151" s="37"/>
    </row>
    <row r="12152" spans="2:2" ht="15.9" customHeight="1" x14ac:dyDescent="0.3">
      <c r="B12152" s="37"/>
    </row>
    <row r="12153" spans="2:2" ht="15.9" customHeight="1" x14ac:dyDescent="0.3">
      <c r="B12153" s="37"/>
    </row>
    <row r="12154" spans="2:2" ht="15.9" customHeight="1" x14ac:dyDescent="0.3">
      <c r="B12154" s="37"/>
    </row>
    <row r="12155" spans="2:2" ht="15.9" customHeight="1" x14ac:dyDescent="0.3">
      <c r="B12155" s="37"/>
    </row>
    <row r="12156" spans="2:2" ht="15.9" customHeight="1" x14ac:dyDescent="0.3">
      <c r="B12156" s="37"/>
    </row>
    <row r="12157" spans="2:2" ht="15.9" customHeight="1" x14ac:dyDescent="0.3">
      <c r="B12157" s="37"/>
    </row>
    <row r="12158" spans="2:2" ht="15.9" customHeight="1" x14ac:dyDescent="0.3">
      <c r="B12158" s="37"/>
    </row>
    <row r="12159" spans="2:2" ht="15.9" customHeight="1" x14ac:dyDescent="0.3">
      <c r="B12159" s="37"/>
    </row>
    <row r="12160" spans="2:2" ht="15.9" customHeight="1" x14ac:dyDescent="0.3">
      <c r="B12160" s="37"/>
    </row>
    <row r="12161" spans="2:2" ht="15.9" customHeight="1" x14ac:dyDescent="0.3">
      <c r="B12161" s="37"/>
    </row>
    <row r="12162" spans="2:2" ht="15.9" customHeight="1" x14ac:dyDescent="0.3">
      <c r="B12162" s="37"/>
    </row>
    <row r="12163" spans="2:2" ht="15.9" customHeight="1" x14ac:dyDescent="0.3">
      <c r="B12163" s="37"/>
    </row>
    <row r="12164" spans="2:2" ht="15.9" customHeight="1" x14ac:dyDescent="0.3">
      <c r="B12164" s="37"/>
    </row>
    <row r="12165" spans="2:2" ht="15.9" customHeight="1" x14ac:dyDescent="0.3">
      <c r="B12165" s="37"/>
    </row>
    <row r="12166" spans="2:2" ht="15.9" customHeight="1" x14ac:dyDescent="0.3">
      <c r="B12166" s="37"/>
    </row>
    <row r="12167" spans="2:2" ht="15.9" customHeight="1" x14ac:dyDescent="0.3">
      <c r="B12167" s="37"/>
    </row>
    <row r="12168" spans="2:2" ht="15.9" customHeight="1" x14ac:dyDescent="0.3">
      <c r="B12168" s="37"/>
    </row>
    <row r="12169" spans="2:2" ht="15.9" customHeight="1" x14ac:dyDescent="0.3">
      <c r="B12169" s="37"/>
    </row>
    <row r="12170" spans="2:2" ht="15.9" customHeight="1" x14ac:dyDescent="0.3">
      <c r="B12170" s="37"/>
    </row>
    <row r="12171" spans="2:2" ht="15.9" customHeight="1" x14ac:dyDescent="0.3">
      <c r="B12171" s="37"/>
    </row>
    <row r="12172" spans="2:2" ht="15.9" customHeight="1" x14ac:dyDescent="0.3">
      <c r="B12172" s="37"/>
    </row>
    <row r="12173" spans="2:2" ht="15.9" customHeight="1" x14ac:dyDescent="0.3">
      <c r="B12173" s="37"/>
    </row>
    <row r="12174" spans="2:2" ht="15.9" customHeight="1" x14ac:dyDescent="0.3">
      <c r="B12174" s="37"/>
    </row>
    <row r="12175" spans="2:2" ht="15.9" customHeight="1" x14ac:dyDescent="0.3">
      <c r="B12175" s="37"/>
    </row>
    <row r="12176" spans="2:2" ht="15.9" customHeight="1" x14ac:dyDescent="0.3">
      <c r="B12176" s="37"/>
    </row>
    <row r="12177" spans="2:2" ht="15.9" customHeight="1" x14ac:dyDescent="0.3">
      <c r="B12177" s="37"/>
    </row>
    <row r="12178" spans="2:2" ht="15.9" customHeight="1" x14ac:dyDescent="0.3">
      <c r="B12178" s="37"/>
    </row>
    <row r="12179" spans="2:2" ht="15.9" customHeight="1" x14ac:dyDescent="0.3">
      <c r="B12179" s="37"/>
    </row>
    <row r="12180" spans="2:2" ht="15.9" customHeight="1" x14ac:dyDescent="0.3">
      <c r="B12180" s="37"/>
    </row>
    <row r="12181" spans="2:2" ht="15.9" customHeight="1" x14ac:dyDescent="0.3">
      <c r="B12181" s="37"/>
    </row>
    <row r="12182" spans="2:2" ht="15.9" customHeight="1" x14ac:dyDescent="0.3">
      <c r="B12182" s="37"/>
    </row>
    <row r="12183" spans="2:2" ht="15.9" customHeight="1" x14ac:dyDescent="0.3">
      <c r="B12183" s="37"/>
    </row>
    <row r="12184" spans="2:2" ht="15.9" customHeight="1" x14ac:dyDescent="0.3">
      <c r="B12184" s="37"/>
    </row>
    <row r="12185" spans="2:2" ht="15.9" customHeight="1" x14ac:dyDescent="0.3">
      <c r="B12185" s="37"/>
    </row>
    <row r="12186" spans="2:2" ht="15.9" customHeight="1" x14ac:dyDescent="0.3">
      <c r="B12186" s="37"/>
    </row>
    <row r="12187" spans="2:2" ht="15.9" customHeight="1" x14ac:dyDescent="0.3">
      <c r="B12187" s="37"/>
    </row>
    <row r="12188" spans="2:2" ht="15.9" customHeight="1" x14ac:dyDescent="0.3">
      <c r="B12188" s="37"/>
    </row>
    <row r="12189" spans="2:2" ht="15.9" customHeight="1" x14ac:dyDescent="0.3">
      <c r="B12189" s="37"/>
    </row>
    <row r="12190" spans="2:2" ht="15.9" customHeight="1" x14ac:dyDescent="0.3">
      <c r="B12190" s="37"/>
    </row>
    <row r="12191" spans="2:2" ht="15.9" customHeight="1" x14ac:dyDescent="0.3">
      <c r="B12191" s="37"/>
    </row>
    <row r="12192" spans="2:2" ht="15.9" customHeight="1" x14ac:dyDescent="0.3">
      <c r="B12192" s="37"/>
    </row>
    <row r="12193" spans="2:2" ht="15.9" customHeight="1" x14ac:dyDescent="0.3">
      <c r="B12193" s="37"/>
    </row>
    <row r="12194" spans="2:2" ht="15.9" customHeight="1" x14ac:dyDescent="0.3">
      <c r="B12194" s="37"/>
    </row>
    <row r="12195" spans="2:2" ht="15.9" customHeight="1" x14ac:dyDescent="0.3">
      <c r="B12195" s="37"/>
    </row>
    <row r="12196" spans="2:2" ht="15.9" customHeight="1" x14ac:dyDescent="0.3">
      <c r="B12196" s="37"/>
    </row>
    <row r="12197" spans="2:2" ht="15.9" customHeight="1" x14ac:dyDescent="0.3">
      <c r="B12197" s="37"/>
    </row>
    <row r="12198" spans="2:2" ht="15.9" customHeight="1" x14ac:dyDescent="0.3">
      <c r="B12198" s="37"/>
    </row>
    <row r="12199" spans="2:2" ht="15.9" customHeight="1" x14ac:dyDescent="0.3">
      <c r="B12199" s="37"/>
    </row>
    <row r="12200" spans="2:2" ht="15.9" customHeight="1" x14ac:dyDescent="0.3">
      <c r="B12200" s="37"/>
    </row>
    <row r="12201" spans="2:2" ht="15.9" customHeight="1" x14ac:dyDescent="0.3">
      <c r="B12201" s="37"/>
    </row>
    <row r="12202" spans="2:2" ht="15.9" customHeight="1" x14ac:dyDescent="0.3">
      <c r="B12202" s="37"/>
    </row>
    <row r="12203" spans="2:2" ht="15.9" customHeight="1" x14ac:dyDescent="0.3">
      <c r="B12203" s="37"/>
    </row>
    <row r="12204" spans="2:2" ht="15.9" customHeight="1" x14ac:dyDescent="0.3">
      <c r="B12204" s="37"/>
    </row>
    <row r="12205" spans="2:2" ht="15.9" customHeight="1" x14ac:dyDescent="0.3">
      <c r="B12205" s="37"/>
    </row>
    <row r="12206" spans="2:2" ht="15.9" customHeight="1" x14ac:dyDescent="0.3">
      <c r="B12206" s="37"/>
    </row>
    <row r="12207" spans="2:2" ht="15.9" customHeight="1" x14ac:dyDescent="0.3">
      <c r="B12207" s="37"/>
    </row>
    <row r="12208" spans="2:2" ht="15.9" customHeight="1" x14ac:dyDescent="0.3">
      <c r="B12208" s="37"/>
    </row>
    <row r="12209" spans="2:2" ht="15.9" customHeight="1" x14ac:dyDescent="0.3">
      <c r="B12209" s="37"/>
    </row>
    <row r="12210" spans="2:2" ht="15.9" customHeight="1" x14ac:dyDescent="0.3">
      <c r="B12210" s="37"/>
    </row>
    <row r="12211" spans="2:2" ht="15.9" customHeight="1" x14ac:dyDescent="0.3">
      <c r="B12211" s="37"/>
    </row>
    <row r="12212" spans="2:2" ht="15.9" customHeight="1" x14ac:dyDescent="0.3">
      <c r="B12212" s="37"/>
    </row>
    <row r="12213" spans="2:2" ht="15.9" customHeight="1" x14ac:dyDescent="0.3">
      <c r="B12213" s="37"/>
    </row>
    <row r="12214" spans="2:2" ht="15.9" customHeight="1" x14ac:dyDescent="0.3">
      <c r="B12214" s="37"/>
    </row>
    <row r="12215" spans="2:2" ht="15.9" customHeight="1" x14ac:dyDescent="0.3">
      <c r="B12215" s="37"/>
    </row>
    <row r="12216" spans="2:2" ht="15.9" customHeight="1" x14ac:dyDescent="0.3">
      <c r="B12216" s="37"/>
    </row>
    <row r="12217" spans="2:2" ht="15.9" customHeight="1" x14ac:dyDescent="0.3">
      <c r="B12217" s="37"/>
    </row>
    <row r="12218" spans="2:2" ht="15.9" customHeight="1" x14ac:dyDescent="0.3">
      <c r="B12218" s="37"/>
    </row>
    <row r="12219" spans="2:2" ht="15.9" customHeight="1" x14ac:dyDescent="0.3">
      <c r="B12219" s="37"/>
    </row>
    <row r="12220" spans="2:2" ht="15.9" customHeight="1" x14ac:dyDescent="0.3">
      <c r="B12220" s="37"/>
    </row>
    <row r="12221" spans="2:2" ht="15.9" customHeight="1" x14ac:dyDescent="0.3">
      <c r="B12221" s="37"/>
    </row>
    <row r="12222" spans="2:2" ht="15.9" customHeight="1" x14ac:dyDescent="0.3">
      <c r="B12222" s="37"/>
    </row>
    <row r="12223" spans="2:2" ht="15.9" customHeight="1" x14ac:dyDescent="0.3">
      <c r="B12223" s="37"/>
    </row>
    <row r="12224" spans="2:2" ht="15.9" customHeight="1" x14ac:dyDescent="0.3">
      <c r="B12224" s="37"/>
    </row>
    <row r="12225" spans="2:2" ht="15.9" customHeight="1" x14ac:dyDescent="0.3">
      <c r="B12225" s="37"/>
    </row>
    <row r="12226" spans="2:2" ht="15.9" customHeight="1" x14ac:dyDescent="0.3">
      <c r="B12226" s="37"/>
    </row>
    <row r="12227" spans="2:2" ht="15.9" customHeight="1" x14ac:dyDescent="0.3">
      <c r="B12227" s="37"/>
    </row>
    <row r="12228" spans="2:2" ht="15.9" customHeight="1" x14ac:dyDescent="0.3">
      <c r="B12228" s="37"/>
    </row>
    <row r="12229" spans="2:2" ht="15.9" customHeight="1" x14ac:dyDescent="0.3">
      <c r="B12229" s="37"/>
    </row>
    <row r="12230" spans="2:2" ht="15.9" customHeight="1" x14ac:dyDescent="0.3">
      <c r="B12230" s="37"/>
    </row>
    <row r="12231" spans="2:2" ht="15.9" customHeight="1" x14ac:dyDescent="0.3">
      <c r="B12231" s="37"/>
    </row>
    <row r="12232" spans="2:2" ht="15.9" customHeight="1" x14ac:dyDescent="0.3">
      <c r="B12232" s="37"/>
    </row>
    <row r="12233" spans="2:2" ht="15.9" customHeight="1" x14ac:dyDescent="0.3">
      <c r="B12233" s="37"/>
    </row>
    <row r="12234" spans="2:2" ht="15.9" customHeight="1" x14ac:dyDescent="0.3">
      <c r="B12234" s="37"/>
    </row>
    <row r="12235" spans="2:2" ht="15.9" customHeight="1" x14ac:dyDescent="0.3">
      <c r="B12235" s="37"/>
    </row>
    <row r="12236" spans="2:2" ht="15.9" customHeight="1" x14ac:dyDescent="0.3">
      <c r="B12236" s="37"/>
    </row>
    <row r="12237" spans="2:2" ht="15.9" customHeight="1" x14ac:dyDescent="0.3">
      <c r="B12237" s="37"/>
    </row>
    <row r="12238" spans="2:2" ht="15.9" customHeight="1" x14ac:dyDescent="0.3">
      <c r="B12238" s="37"/>
    </row>
    <row r="12239" spans="2:2" ht="15.9" customHeight="1" x14ac:dyDescent="0.3">
      <c r="B12239" s="37"/>
    </row>
    <row r="12240" spans="2:2" ht="15.9" customHeight="1" x14ac:dyDescent="0.3">
      <c r="B12240" s="37"/>
    </row>
    <row r="12241" spans="2:2" ht="15.9" customHeight="1" x14ac:dyDescent="0.3">
      <c r="B12241" s="37"/>
    </row>
    <row r="12242" spans="2:2" ht="15.9" customHeight="1" x14ac:dyDescent="0.3">
      <c r="B12242" s="37"/>
    </row>
    <row r="12243" spans="2:2" ht="15.9" customHeight="1" x14ac:dyDescent="0.3">
      <c r="B12243" s="37"/>
    </row>
    <row r="12244" spans="2:2" ht="15.9" customHeight="1" x14ac:dyDescent="0.3">
      <c r="B12244" s="37"/>
    </row>
    <row r="12245" spans="2:2" ht="15.9" customHeight="1" x14ac:dyDescent="0.3">
      <c r="B12245" s="37"/>
    </row>
    <row r="12246" spans="2:2" ht="15.9" customHeight="1" x14ac:dyDescent="0.3">
      <c r="B12246" s="37"/>
    </row>
    <row r="12247" spans="2:2" ht="15.9" customHeight="1" x14ac:dyDescent="0.3">
      <c r="B12247" s="37"/>
    </row>
    <row r="12248" spans="2:2" ht="15.9" customHeight="1" x14ac:dyDescent="0.3">
      <c r="B12248" s="37"/>
    </row>
    <row r="12249" spans="2:2" ht="15.9" customHeight="1" x14ac:dyDescent="0.3">
      <c r="B12249" s="37"/>
    </row>
    <row r="12250" spans="2:2" ht="15.9" customHeight="1" x14ac:dyDescent="0.3">
      <c r="B12250" s="37"/>
    </row>
    <row r="12251" spans="2:2" ht="15.9" customHeight="1" x14ac:dyDescent="0.3">
      <c r="B12251" s="37"/>
    </row>
    <row r="12252" spans="2:2" ht="15.9" customHeight="1" x14ac:dyDescent="0.3">
      <c r="B12252" s="37"/>
    </row>
    <row r="12253" spans="2:2" ht="15.9" customHeight="1" x14ac:dyDescent="0.3">
      <c r="B12253" s="37"/>
    </row>
    <row r="12254" spans="2:2" ht="15.9" customHeight="1" x14ac:dyDescent="0.3">
      <c r="B12254" s="37"/>
    </row>
    <row r="12255" spans="2:2" ht="15.9" customHeight="1" x14ac:dyDescent="0.3">
      <c r="B12255" s="37"/>
    </row>
    <row r="12256" spans="2:2" ht="15.9" customHeight="1" x14ac:dyDescent="0.3">
      <c r="B12256" s="37"/>
    </row>
    <row r="12257" spans="2:2" ht="15.9" customHeight="1" x14ac:dyDescent="0.3">
      <c r="B12257" s="37"/>
    </row>
    <row r="12258" spans="2:2" ht="15.9" customHeight="1" x14ac:dyDescent="0.3">
      <c r="B12258" s="37"/>
    </row>
    <row r="12259" spans="2:2" ht="15.9" customHeight="1" x14ac:dyDescent="0.3">
      <c r="B12259" s="37"/>
    </row>
    <row r="12260" spans="2:2" ht="15.9" customHeight="1" x14ac:dyDescent="0.3">
      <c r="B12260" s="37"/>
    </row>
    <row r="12261" spans="2:2" ht="15.9" customHeight="1" x14ac:dyDescent="0.3">
      <c r="B12261" s="37"/>
    </row>
    <row r="12262" spans="2:2" ht="15.9" customHeight="1" x14ac:dyDescent="0.3">
      <c r="B12262" s="37"/>
    </row>
    <row r="12263" spans="2:2" ht="15.9" customHeight="1" x14ac:dyDescent="0.3">
      <c r="B12263" s="37"/>
    </row>
    <row r="12264" spans="2:2" ht="15.9" customHeight="1" x14ac:dyDescent="0.3">
      <c r="B12264" s="37"/>
    </row>
    <row r="12265" spans="2:2" ht="15.9" customHeight="1" x14ac:dyDescent="0.3">
      <c r="B12265" s="37"/>
    </row>
    <row r="12266" spans="2:2" ht="15.9" customHeight="1" x14ac:dyDescent="0.3">
      <c r="B12266" s="37"/>
    </row>
    <row r="12267" spans="2:2" ht="15.9" customHeight="1" x14ac:dyDescent="0.3">
      <c r="B12267" s="37"/>
    </row>
    <row r="12268" spans="2:2" ht="15.9" customHeight="1" x14ac:dyDescent="0.3">
      <c r="B12268" s="37"/>
    </row>
    <row r="12269" spans="2:2" ht="15.9" customHeight="1" x14ac:dyDescent="0.3">
      <c r="B12269" s="37"/>
    </row>
    <row r="12270" spans="2:2" ht="15.9" customHeight="1" x14ac:dyDescent="0.3">
      <c r="B12270" s="37"/>
    </row>
    <row r="12271" spans="2:2" ht="15.9" customHeight="1" x14ac:dyDescent="0.3">
      <c r="B12271" s="37"/>
    </row>
    <row r="12272" spans="2:2" ht="15.9" customHeight="1" x14ac:dyDescent="0.3">
      <c r="B12272" s="37"/>
    </row>
    <row r="12273" spans="2:2" ht="15.9" customHeight="1" x14ac:dyDescent="0.3">
      <c r="B12273" s="37"/>
    </row>
    <row r="12274" spans="2:2" ht="15.9" customHeight="1" x14ac:dyDescent="0.3">
      <c r="B12274" s="37"/>
    </row>
    <row r="12275" spans="2:2" ht="15.9" customHeight="1" x14ac:dyDescent="0.3">
      <c r="B12275" s="37"/>
    </row>
    <row r="12276" spans="2:2" ht="15.9" customHeight="1" x14ac:dyDescent="0.3">
      <c r="B12276" s="37"/>
    </row>
    <row r="12277" spans="2:2" ht="15.9" customHeight="1" x14ac:dyDescent="0.3">
      <c r="B12277" s="37"/>
    </row>
    <row r="12278" spans="2:2" ht="15.9" customHeight="1" x14ac:dyDescent="0.3">
      <c r="B12278" s="37"/>
    </row>
    <row r="12279" spans="2:2" ht="15.9" customHeight="1" x14ac:dyDescent="0.3">
      <c r="B12279" s="37"/>
    </row>
    <row r="12280" spans="2:2" ht="15.9" customHeight="1" x14ac:dyDescent="0.3">
      <c r="B12280" s="37"/>
    </row>
    <row r="12281" spans="2:2" ht="15.9" customHeight="1" x14ac:dyDescent="0.3">
      <c r="B12281" s="37"/>
    </row>
    <row r="12282" spans="2:2" ht="15.9" customHeight="1" x14ac:dyDescent="0.3">
      <c r="B12282" s="37"/>
    </row>
    <row r="12283" spans="2:2" ht="15.9" customHeight="1" x14ac:dyDescent="0.3">
      <c r="B12283" s="37"/>
    </row>
    <row r="12284" spans="2:2" ht="15.9" customHeight="1" x14ac:dyDescent="0.3">
      <c r="B12284" s="37"/>
    </row>
    <row r="12285" spans="2:2" ht="15.9" customHeight="1" x14ac:dyDescent="0.3">
      <c r="B12285" s="37"/>
    </row>
    <row r="12286" spans="2:2" ht="15.9" customHeight="1" x14ac:dyDescent="0.3">
      <c r="B12286" s="37"/>
    </row>
    <row r="12287" spans="2:2" ht="15.9" customHeight="1" x14ac:dyDescent="0.3">
      <c r="B12287" s="37"/>
    </row>
    <row r="12288" spans="2:2" ht="15.9" customHeight="1" x14ac:dyDescent="0.3">
      <c r="B12288" s="37"/>
    </row>
    <row r="12289" spans="2:2" ht="15.9" customHeight="1" x14ac:dyDescent="0.3">
      <c r="B12289" s="37"/>
    </row>
    <row r="12290" spans="2:2" ht="15.9" customHeight="1" x14ac:dyDescent="0.3">
      <c r="B12290" s="37"/>
    </row>
    <row r="12291" spans="2:2" ht="15.9" customHeight="1" x14ac:dyDescent="0.3">
      <c r="B12291" s="37"/>
    </row>
    <row r="12292" spans="2:2" ht="15.9" customHeight="1" x14ac:dyDescent="0.3">
      <c r="B12292" s="37"/>
    </row>
    <row r="12293" spans="2:2" ht="15.9" customHeight="1" x14ac:dyDescent="0.3">
      <c r="B12293" s="37"/>
    </row>
    <row r="12294" spans="2:2" ht="15.9" customHeight="1" x14ac:dyDescent="0.3">
      <c r="B12294" s="37"/>
    </row>
    <row r="12295" spans="2:2" ht="15.9" customHeight="1" x14ac:dyDescent="0.3">
      <c r="B12295" s="37"/>
    </row>
    <row r="12296" spans="2:2" ht="15.9" customHeight="1" x14ac:dyDescent="0.3">
      <c r="B12296" s="37"/>
    </row>
    <row r="12297" spans="2:2" ht="15.9" customHeight="1" x14ac:dyDescent="0.3">
      <c r="B12297" s="37"/>
    </row>
    <row r="12298" spans="2:2" ht="15.9" customHeight="1" x14ac:dyDescent="0.3">
      <c r="B12298" s="37"/>
    </row>
    <row r="12299" spans="2:2" ht="15.9" customHeight="1" x14ac:dyDescent="0.3">
      <c r="B12299" s="37"/>
    </row>
    <row r="12300" spans="2:2" ht="15.9" customHeight="1" x14ac:dyDescent="0.3">
      <c r="B12300" s="37"/>
    </row>
    <row r="12301" spans="2:2" ht="15.9" customHeight="1" x14ac:dyDescent="0.3">
      <c r="B12301" s="37"/>
    </row>
    <row r="12302" spans="2:2" ht="15.9" customHeight="1" x14ac:dyDescent="0.3">
      <c r="B12302" s="37"/>
    </row>
    <row r="12303" spans="2:2" ht="15.9" customHeight="1" x14ac:dyDescent="0.3">
      <c r="B12303" s="37"/>
    </row>
    <row r="12304" spans="2:2" ht="15.9" customHeight="1" x14ac:dyDescent="0.3">
      <c r="B12304" s="37"/>
    </row>
    <row r="12305" spans="2:2" ht="15.9" customHeight="1" x14ac:dyDescent="0.3">
      <c r="B12305" s="37"/>
    </row>
    <row r="12306" spans="2:2" ht="15.9" customHeight="1" x14ac:dyDescent="0.3">
      <c r="B12306" s="37"/>
    </row>
    <row r="12307" spans="2:2" ht="15.9" customHeight="1" x14ac:dyDescent="0.3">
      <c r="B12307" s="37"/>
    </row>
    <row r="12308" spans="2:2" ht="15.9" customHeight="1" x14ac:dyDescent="0.3">
      <c r="B12308" s="37"/>
    </row>
    <row r="12309" spans="2:2" ht="15.9" customHeight="1" x14ac:dyDescent="0.3">
      <c r="B12309" s="37"/>
    </row>
    <row r="12310" spans="2:2" ht="15.9" customHeight="1" x14ac:dyDescent="0.3">
      <c r="B12310" s="37"/>
    </row>
    <row r="12311" spans="2:2" ht="15.9" customHeight="1" x14ac:dyDescent="0.3">
      <c r="B12311" s="37"/>
    </row>
    <row r="12312" spans="2:2" ht="15.9" customHeight="1" x14ac:dyDescent="0.3">
      <c r="B12312" s="37"/>
    </row>
    <row r="12313" spans="2:2" ht="15.9" customHeight="1" x14ac:dyDescent="0.3">
      <c r="B12313" s="37"/>
    </row>
    <row r="12314" spans="2:2" ht="15.9" customHeight="1" x14ac:dyDescent="0.3">
      <c r="B12314" s="37"/>
    </row>
    <row r="12315" spans="2:2" ht="15.9" customHeight="1" x14ac:dyDescent="0.3">
      <c r="B12315" s="37"/>
    </row>
    <row r="12316" spans="2:2" ht="15.9" customHeight="1" x14ac:dyDescent="0.3">
      <c r="B12316" s="37"/>
    </row>
    <row r="12317" spans="2:2" ht="15.9" customHeight="1" x14ac:dyDescent="0.3">
      <c r="B12317" s="37"/>
    </row>
    <row r="12318" spans="2:2" ht="15.9" customHeight="1" x14ac:dyDescent="0.3">
      <c r="B12318" s="37"/>
    </row>
    <row r="12319" spans="2:2" ht="15.9" customHeight="1" x14ac:dyDescent="0.3">
      <c r="B12319" s="37"/>
    </row>
    <row r="12320" spans="2:2" ht="15.9" customHeight="1" x14ac:dyDescent="0.3">
      <c r="B12320" s="37"/>
    </row>
    <row r="12321" spans="2:2" ht="15.9" customHeight="1" x14ac:dyDescent="0.3">
      <c r="B12321" s="37"/>
    </row>
    <row r="12322" spans="2:2" ht="15.9" customHeight="1" x14ac:dyDescent="0.3">
      <c r="B12322" s="37"/>
    </row>
    <row r="12323" spans="2:2" ht="15.9" customHeight="1" x14ac:dyDescent="0.3">
      <c r="B12323" s="37"/>
    </row>
    <row r="12324" spans="2:2" ht="15.9" customHeight="1" x14ac:dyDescent="0.3">
      <c r="B12324" s="37"/>
    </row>
    <row r="12325" spans="2:2" ht="15.9" customHeight="1" x14ac:dyDescent="0.3">
      <c r="B12325" s="37"/>
    </row>
    <row r="12326" spans="2:2" ht="15.9" customHeight="1" x14ac:dyDescent="0.3">
      <c r="B12326" s="37"/>
    </row>
    <row r="12327" spans="2:2" ht="15.9" customHeight="1" x14ac:dyDescent="0.3">
      <c r="B12327" s="37"/>
    </row>
    <row r="12328" spans="2:2" ht="15.9" customHeight="1" x14ac:dyDescent="0.3">
      <c r="B12328" s="37"/>
    </row>
    <row r="12329" spans="2:2" ht="15.9" customHeight="1" x14ac:dyDescent="0.3">
      <c r="B12329" s="37"/>
    </row>
    <row r="12330" spans="2:2" ht="15.9" customHeight="1" x14ac:dyDescent="0.3">
      <c r="B12330" s="37"/>
    </row>
    <row r="12331" spans="2:2" ht="15.9" customHeight="1" x14ac:dyDescent="0.3">
      <c r="B12331" s="37"/>
    </row>
    <row r="12332" spans="2:2" ht="15.9" customHeight="1" x14ac:dyDescent="0.3">
      <c r="B12332" s="37"/>
    </row>
    <row r="12333" spans="2:2" ht="15.9" customHeight="1" x14ac:dyDescent="0.3">
      <c r="B12333" s="37"/>
    </row>
    <row r="12334" spans="2:2" ht="15.9" customHeight="1" x14ac:dyDescent="0.3">
      <c r="B12334" s="37"/>
    </row>
    <row r="12335" spans="2:2" ht="15.9" customHeight="1" x14ac:dyDescent="0.3">
      <c r="B12335" s="37"/>
    </row>
    <row r="12336" spans="2:2" ht="15.9" customHeight="1" x14ac:dyDescent="0.3">
      <c r="B12336" s="37"/>
    </row>
    <row r="12337" spans="2:2" ht="15.9" customHeight="1" x14ac:dyDescent="0.3">
      <c r="B12337" s="37"/>
    </row>
    <row r="12338" spans="2:2" ht="15.9" customHeight="1" x14ac:dyDescent="0.3">
      <c r="B12338" s="37"/>
    </row>
    <row r="12339" spans="2:2" ht="15.9" customHeight="1" x14ac:dyDescent="0.3">
      <c r="B12339" s="37"/>
    </row>
    <row r="12340" spans="2:2" ht="15.9" customHeight="1" x14ac:dyDescent="0.3">
      <c r="B12340" s="37"/>
    </row>
    <row r="12341" spans="2:2" ht="15.9" customHeight="1" x14ac:dyDescent="0.3">
      <c r="B12341" s="37"/>
    </row>
    <row r="12342" spans="2:2" ht="15.9" customHeight="1" x14ac:dyDescent="0.3">
      <c r="B12342" s="37"/>
    </row>
    <row r="12343" spans="2:2" ht="15.9" customHeight="1" x14ac:dyDescent="0.3">
      <c r="B12343" s="37"/>
    </row>
    <row r="12344" spans="2:2" ht="15.9" customHeight="1" x14ac:dyDescent="0.3">
      <c r="B12344" s="37"/>
    </row>
    <row r="12345" spans="2:2" ht="15.9" customHeight="1" x14ac:dyDescent="0.3">
      <c r="B12345" s="37"/>
    </row>
    <row r="12346" spans="2:2" ht="15.9" customHeight="1" x14ac:dyDescent="0.3">
      <c r="B12346" s="37"/>
    </row>
    <row r="12347" spans="2:2" ht="15.9" customHeight="1" x14ac:dyDescent="0.3">
      <c r="B12347" s="37"/>
    </row>
    <row r="12348" spans="2:2" ht="15.9" customHeight="1" x14ac:dyDescent="0.3">
      <c r="B12348" s="37"/>
    </row>
    <row r="12349" spans="2:2" ht="15.9" customHeight="1" x14ac:dyDescent="0.3">
      <c r="B12349" s="37"/>
    </row>
    <row r="12350" spans="2:2" ht="15.9" customHeight="1" x14ac:dyDescent="0.3">
      <c r="B12350" s="37"/>
    </row>
    <row r="12351" spans="2:2" ht="15.9" customHeight="1" x14ac:dyDescent="0.3">
      <c r="B12351" s="37"/>
    </row>
    <row r="12352" spans="2:2" ht="15.9" customHeight="1" x14ac:dyDescent="0.3">
      <c r="B12352" s="37"/>
    </row>
    <row r="12353" spans="2:2" ht="15.9" customHeight="1" x14ac:dyDescent="0.3">
      <c r="B12353" s="37"/>
    </row>
    <row r="12354" spans="2:2" ht="15.9" customHeight="1" x14ac:dyDescent="0.3">
      <c r="B12354" s="37"/>
    </row>
    <row r="12355" spans="2:2" ht="15.9" customHeight="1" x14ac:dyDescent="0.3">
      <c r="B12355" s="37"/>
    </row>
    <row r="12356" spans="2:2" ht="15.9" customHeight="1" x14ac:dyDescent="0.3">
      <c r="B12356" s="37"/>
    </row>
    <row r="12357" spans="2:2" ht="15.9" customHeight="1" x14ac:dyDescent="0.3">
      <c r="B12357" s="37"/>
    </row>
    <row r="12358" spans="2:2" ht="15.9" customHeight="1" x14ac:dyDescent="0.3">
      <c r="B12358" s="37"/>
    </row>
    <row r="12359" spans="2:2" ht="15.9" customHeight="1" x14ac:dyDescent="0.3">
      <c r="B12359" s="37"/>
    </row>
    <row r="12360" spans="2:2" ht="15.9" customHeight="1" x14ac:dyDescent="0.3">
      <c r="B12360" s="37"/>
    </row>
    <row r="12361" spans="2:2" ht="15.9" customHeight="1" x14ac:dyDescent="0.3">
      <c r="B12361" s="37"/>
    </row>
    <row r="12362" spans="2:2" ht="15.9" customHeight="1" x14ac:dyDescent="0.3">
      <c r="B12362" s="37"/>
    </row>
    <row r="12363" spans="2:2" ht="15.9" customHeight="1" x14ac:dyDescent="0.3">
      <c r="B12363" s="37"/>
    </row>
    <row r="12364" spans="2:2" ht="15.9" customHeight="1" x14ac:dyDescent="0.3">
      <c r="B12364" s="37"/>
    </row>
    <row r="12365" spans="2:2" ht="15.9" customHeight="1" x14ac:dyDescent="0.3">
      <c r="B12365" s="37"/>
    </row>
    <row r="12366" spans="2:2" ht="15.9" customHeight="1" x14ac:dyDescent="0.3">
      <c r="B12366" s="37"/>
    </row>
    <row r="12367" spans="2:2" ht="15.9" customHeight="1" x14ac:dyDescent="0.3">
      <c r="B12367" s="37"/>
    </row>
    <row r="12368" spans="2:2" ht="15.9" customHeight="1" x14ac:dyDescent="0.3">
      <c r="B12368" s="37"/>
    </row>
    <row r="12369" spans="2:2" ht="15.9" customHeight="1" x14ac:dyDescent="0.3">
      <c r="B12369" s="37"/>
    </row>
    <row r="12370" spans="2:2" ht="15.9" customHeight="1" x14ac:dyDescent="0.3">
      <c r="B12370" s="37"/>
    </row>
    <row r="12371" spans="2:2" ht="15.9" customHeight="1" x14ac:dyDescent="0.3">
      <c r="B12371" s="37"/>
    </row>
    <row r="12372" spans="2:2" ht="15.9" customHeight="1" x14ac:dyDescent="0.3">
      <c r="B12372" s="37"/>
    </row>
    <row r="12373" spans="2:2" ht="15.9" customHeight="1" x14ac:dyDescent="0.3">
      <c r="B12373" s="37"/>
    </row>
    <row r="12374" spans="2:2" ht="15.9" customHeight="1" x14ac:dyDescent="0.3">
      <c r="B12374" s="37"/>
    </row>
    <row r="12375" spans="2:2" ht="15.9" customHeight="1" x14ac:dyDescent="0.3">
      <c r="B12375" s="37"/>
    </row>
    <row r="12376" spans="2:2" ht="15.9" customHeight="1" x14ac:dyDescent="0.3">
      <c r="B12376" s="37"/>
    </row>
    <row r="12377" spans="2:2" ht="15.9" customHeight="1" x14ac:dyDescent="0.3">
      <c r="B12377" s="37"/>
    </row>
    <row r="12378" spans="2:2" ht="15.9" customHeight="1" x14ac:dyDescent="0.3">
      <c r="B12378" s="37"/>
    </row>
    <row r="12379" spans="2:2" ht="15.9" customHeight="1" x14ac:dyDescent="0.3">
      <c r="B12379" s="37"/>
    </row>
    <row r="12380" spans="2:2" ht="15.9" customHeight="1" x14ac:dyDescent="0.3">
      <c r="B12380" s="37"/>
    </row>
    <row r="12381" spans="2:2" ht="15.9" customHeight="1" x14ac:dyDescent="0.3">
      <c r="B12381" s="37"/>
    </row>
    <row r="12382" spans="2:2" ht="15.9" customHeight="1" x14ac:dyDescent="0.3">
      <c r="B12382" s="37"/>
    </row>
    <row r="12383" spans="2:2" ht="15.9" customHeight="1" x14ac:dyDescent="0.3">
      <c r="B12383" s="37"/>
    </row>
    <row r="12384" spans="2:2" ht="15.9" customHeight="1" x14ac:dyDescent="0.3">
      <c r="B12384" s="37"/>
    </row>
    <row r="12385" spans="2:2" ht="15.9" customHeight="1" x14ac:dyDescent="0.3">
      <c r="B12385" s="37"/>
    </row>
    <row r="12386" spans="2:2" ht="15.9" customHeight="1" x14ac:dyDescent="0.3">
      <c r="B12386" s="37"/>
    </row>
    <row r="12387" spans="2:2" ht="15.9" customHeight="1" x14ac:dyDescent="0.3">
      <c r="B12387" s="37"/>
    </row>
    <row r="12388" spans="2:2" ht="15.9" customHeight="1" x14ac:dyDescent="0.3">
      <c r="B12388" s="37"/>
    </row>
    <row r="12389" spans="2:2" ht="15.9" customHeight="1" x14ac:dyDescent="0.3">
      <c r="B12389" s="37"/>
    </row>
    <row r="12390" spans="2:2" ht="15.9" customHeight="1" x14ac:dyDescent="0.3">
      <c r="B12390" s="37"/>
    </row>
    <row r="12391" spans="2:2" ht="15.9" customHeight="1" x14ac:dyDescent="0.3">
      <c r="B12391" s="37"/>
    </row>
    <row r="12392" spans="2:2" ht="15.9" customHeight="1" x14ac:dyDescent="0.3">
      <c r="B12392" s="37"/>
    </row>
    <row r="12393" spans="2:2" ht="15.9" customHeight="1" x14ac:dyDescent="0.3">
      <c r="B12393" s="37"/>
    </row>
    <row r="12394" spans="2:2" ht="15.9" customHeight="1" x14ac:dyDescent="0.3">
      <c r="B12394" s="37"/>
    </row>
    <row r="12395" spans="2:2" ht="15.9" customHeight="1" x14ac:dyDescent="0.3">
      <c r="B12395" s="37"/>
    </row>
    <row r="12396" spans="2:2" ht="15.9" customHeight="1" x14ac:dyDescent="0.3">
      <c r="B12396" s="37"/>
    </row>
    <row r="12397" spans="2:2" ht="15.9" customHeight="1" x14ac:dyDescent="0.3">
      <c r="B12397" s="37"/>
    </row>
    <row r="12398" spans="2:2" ht="15.9" customHeight="1" x14ac:dyDescent="0.3">
      <c r="B12398" s="37"/>
    </row>
    <row r="12399" spans="2:2" ht="15.9" customHeight="1" x14ac:dyDescent="0.3">
      <c r="B12399" s="37"/>
    </row>
    <row r="12400" spans="2:2" ht="15.9" customHeight="1" x14ac:dyDescent="0.3">
      <c r="B12400" s="37"/>
    </row>
    <row r="12401" spans="2:2" ht="15.9" customHeight="1" x14ac:dyDescent="0.3">
      <c r="B12401" s="37"/>
    </row>
    <row r="12402" spans="2:2" ht="15.9" customHeight="1" x14ac:dyDescent="0.3">
      <c r="B12402" s="37"/>
    </row>
    <row r="12403" spans="2:2" ht="15.9" customHeight="1" x14ac:dyDescent="0.3">
      <c r="B12403" s="37"/>
    </row>
    <row r="12404" spans="2:2" ht="15.9" customHeight="1" x14ac:dyDescent="0.3">
      <c r="B12404" s="37"/>
    </row>
    <row r="12405" spans="2:2" ht="15.9" customHeight="1" x14ac:dyDescent="0.3">
      <c r="B12405" s="37"/>
    </row>
    <row r="12406" spans="2:2" ht="15.9" customHeight="1" x14ac:dyDescent="0.3">
      <c r="B12406" s="37"/>
    </row>
    <row r="12407" spans="2:2" ht="15.9" customHeight="1" x14ac:dyDescent="0.3">
      <c r="B12407" s="37"/>
    </row>
    <row r="12408" spans="2:2" ht="15.9" customHeight="1" x14ac:dyDescent="0.3">
      <c r="B12408" s="37"/>
    </row>
    <row r="12409" spans="2:2" ht="15.9" customHeight="1" x14ac:dyDescent="0.3">
      <c r="B12409" s="37"/>
    </row>
    <row r="12410" spans="2:2" ht="15.9" customHeight="1" x14ac:dyDescent="0.3">
      <c r="B12410" s="37"/>
    </row>
    <row r="12411" spans="2:2" ht="15.9" customHeight="1" x14ac:dyDescent="0.3">
      <c r="B12411" s="37"/>
    </row>
    <row r="12412" spans="2:2" ht="15.9" customHeight="1" x14ac:dyDescent="0.3">
      <c r="B12412" s="37"/>
    </row>
    <row r="12413" spans="2:2" ht="15.9" customHeight="1" x14ac:dyDescent="0.3">
      <c r="B12413" s="37"/>
    </row>
    <row r="12414" spans="2:2" ht="15.9" customHeight="1" x14ac:dyDescent="0.3">
      <c r="B12414" s="37"/>
    </row>
    <row r="12415" spans="2:2" ht="15.9" customHeight="1" x14ac:dyDescent="0.3">
      <c r="B12415" s="37"/>
    </row>
    <row r="12416" spans="2:2" ht="15.9" customHeight="1" x14ac:dyDescent="0.3">
      <c r="B12416" s="37"/>
    </row>
    <row r="12417" spans="2:2" ht="15.9" customHeight="1" x14ac:dyDescent="0.3">
      <c r="B12417" s="37"/>
    </row>
    <row r="12418" spans="2:2" ht="15.9" customHeight="1" x14ac:dyDescent="0.3">
      <c r="B12418" s="37"/>
    </row>
    <row r="12419" spans="2:2" ht="15.9" customHeight="1" x14ac:dyDescent="0.3">
      <c r="B12419" s="37"/>
    </row>
    <row r="12420" spans="2:2" ht="15.9" customHeight="1" x14ac:dyDescent="0.3">
      <c r="B12420" s="37"/>
    </row>
    <row r="12421" spans="2:2" ht="15.9" customHeight="1" x14ac:dyDescent="0.3">
      <c r="B12421" s="37"/>
    </row>
    <row r="12422" spans="2:2" ht="15.9" customHeight="1" x14ac:dyDescent="0.3">
      <c r="B12422" s="37"/>
    </row>
    <row r="12423" spans="2:2" ht="15.9" customHeight="1" x14ac:dyDescent="0.3">
      <c r="B12423" s="37"/>
    </row>
    <row r="12424" spans="2:2" ht="15.9" customHeight="1" x14ac:dyDescent="0.3">
      <c r="B12424" s="37"/>
    </row>
    <row r="12425" spans="2:2" ht="15.9" customHeight="1" x14ac:dyDescent="0.3">
      <c r="B12425" s="37"/>
    </row>
    <row r="12426" spans="2:2" ht="15.9" customHeight="1" x14ac:dyDescent="0.3">
      <c r="B12426" s="37"/>
    </row>
    <row r="12427" spans="2:2" ht="15.9" customHeight="1" x14ac:dyDescent="0.3">
      <c r="B12427" s="37"/>
    </row>
    <row r="12428" spans="2:2" ht="15.9" customHeight="1" x14ac:dyDescent="0.3">
      <c r="B12428" s="37"/>
    </row>
    <row r="12429" spans="2:2" ht="15.9" customHeight="1" x14ac:dyDescent="0.3">
      <c r="B12429" s="37"/>
    </row>
    <row r="12430" spans="2:2" ht="15.9" customHeight="1" x14ac:dyDescent="0.3">
      <c r="B12430" s="37"/>
    </row>
    <row r="12431" spans="2:2" ht="15.9" customHeight="1" x14ac:dyDescent="0.3">
      <c r="B12431" s="37"/>
    </row>
    <row r="12432" spans="2:2" ht="15.9" customHeight="1" x14ac:dyDescent="0.3">
      <c r="B12432" s="37"/>
    </row>
    <row r="12433" spans="2:2" ht="15.9" customHeight="1" x14ac:dyDescent="0.3">
      <c r="B12433" s="37"/>
    </row>
    <row r="12434" spans="2:2" ht="15.9" customHeight="1" x14ac:dyDescent="0.3">
      <c r="B12434" s="37"/>
    </row>
    <row r="12435" spans="2:2" ht="15.9" customHeight="1" x14ac:dyDescent="0.3">
      <c r="B12435" s="37"/>
    </row>
    <row r="12436" spans="2:2" ht="15.9" customHeight="1" x14ac:dyDescent="0.3">
      <c r="B12436" s="37"/>
    </row>
    <row r="12437" spans="2:2" ht="15.9" customHeight="1" x14ac:dyDescent="0.3">
      <c r="B12437" s="37"/>
    </row>
    <row r="12438" spans="2:2" ht="15.9" customHeight="1" x14ac:dyDescent="0.3">
      <c r="B12438" s="37"/>
    </row>
    <row r="12439" spans="2:2" ht="15.9" customHeight="1" x14ac:dyDescent="0.3">
      <c r="B12439" s="37"/>
    </row>
    <row r="12440" spans="2:2" ht="15.9" customHeight="1" x14ac:dyDescent="0.3">
      <c r="B12440" s="37"/>
    </row>
    <row r="12441" spans="2:2" ht="15.9" customHeight="1" x14ac:dyDescent="0.3">
      <c r="B12441" s="37"/>
    </row>
    <row r="12442" spans="2:2" ht="15.9" customHeight="1" x14ac:dyDescent="0.3">
      <c r="B12442" s="37"/>
    </row>
    <row r="12443" spans="2:2" ht="15.9" customHeight="1" x14ac:dyDescent="0.3">
      <c r="B12443" s="37"/>
    </row>
    <row r="12444" spans="2:2" ht="15.9" customHeight="1" x14ac:dyDescent="0.3">
      <c r="B12444" s="37"/>
    </row>
    <row r="12445" spans="2:2" ht="15.9" customHeight="1" x14ac:dyDescent="0.3">
      <c r="B12445" s="37"/>
    </row>
    <row r="12446" spans="2:2" ht="15.9" customHeight="1" x14ac:dyDescent="0.3">
      <c r="B12446" s="37"/>
    </row>
    <row r="12447" spans="2:2" ht="15.9" customHeight="1" x14ac:dyDescent="0.3">
      <c r="B12447" s="37"/>
    </row>
    <row r="12448" spans="2:2" ht="15.9" customHeight="1" x14ac:dyDescent="0.3">
      <c r="B12448" s="37"/>
    </row>
    <row r="12449" spans="2:2" ht="15.9" customHeight="1" x14ac:dyDescent="0.3">
      <c r="B12449" s="37"/>
    </row>
    <row r="12450" spans="2:2" ht="15.9" customHeight="1" x14ac:dyDescent="0.3">
      <c r="B12450" s="37"/>
    </row>
    <row r="12451" spans="2:2" ht="15.9" customHeight="1" x14ac:dyDescent="0.3">
      <c r="B12451" s="37"/>
    </row>
    <row r="12452" spans="2:2" ht="15.9" customHeight="1" x14ac:dyDescent="0.3">
      <c r="B12452" s="37"/>
    </row>
    <row r="12453" spans="2:2" ht="15.9" customHeight="1" x14ac:dyDescent="0.3">
      <c r="B12453" s="37"/>
    </row>
    <row r="12454" spans="2:2" ht="15.9" customHeight="1" x14ac:dyDescent="0.3">
      <c r="B12454" s="37"/>
    </row>
    <row r="12455" spans="2:2" ht="15.9" customHeight="1" x14ac:dyDescent="0.3">
      <c r="B12455" s="37"/>
    </row>
    <row r="12456" spans="2:2" ht="15.9" customHeight="1" x14ac:dyDescent="0.3">
      <c r="B12456" s="37"/>
    </row>
    <row r="12457" spans="2:2" ht="15.9" customHeight="1" x14ac:dyDescent="0.3">
      <c r="B12457" s="37"/>
    </row>
    <row r="12458" spans="2:2" ht="15.9" customHeight="1" x14ac:dyDescent="0.3">
      <c r="B12458" s="37"/>
    </row>
    <row r="12459" spans="2:2" ht="15.9" customHeight="1" x14ac:dyDescent="0.3">
      <c r="B12459" s="37"/>
    </row>
    <row r="12460" spans="2:2" ht="15.9" customHeight="1" x14ac:dyDescent="0.3">
      <c r="B12460" s="37"/>
    </row>
    <row r="12461" spans="2:2" ht="15.9" customHeight="1" x14ac:dyDescent="0.3">
      <c r="B12461" s="37"/>
    </row>
    <row r="12462" spans="2:2" ht="15.9" customHeight="1" x14ac:dyDescent="0.3">
      <c r="B12462" s="37"/>
    </row>
    <row r="12463" spans="2:2" ht="15.9" customHeight="1" x14ac:dyDescent="0.3">
      <c r="B12463" s="37"/>
    </row>
    <row r="12464" spans="2:2" ht="15.9" customHeight="1" x14ac:dyDescent="0.3">
      <c r="B12464" s="37"/>
    </row>
    <row r="12465" spans="2:2" ht="15.9" customHeight="1" x14ac:dyDescent="0.3">
      <c r="B12465" s="37"/>
    </row>
    <row r="12466" spans="2:2" ht="15.9" customHeight="1" x14ac:dyDescent="0.3">
      <c r="B12466" s="37"/>
    </row>
    <row r="12467" spans="2:2" ht="15.9" customHeight="1" x14ac:dyDescent="0.3">
      <c r="B12467" s="37"/>
    </row>
    <row r="12468" spans="2:2" ht="15.9" customHeight="1" x14ac:dyDescent="0.3">
      <c r="B12468" s="37"/>
    </row>
    <row r="12469" spans="2:2" ht="15.9" customHeight="1" x14ac:dyDescent="0.3">
      <c r="B12469" s="37"/>
    </row>
    <row r="12470" spans="2:2" ht="15.9" customHeight="1" x14ac:dyDescent="0.3">
      <c r="B12470" s="37"/>
    </row>
    <row r="12471" spans="2:2" ht="15.9" customHeight="1" x14ac:dyDescent="0.3">
      <c r="B12471" s="37"/>
    </row>
    <row r="12472" spans="2:2" ht="15.9" customHeight="1" x14ac:dyDescent="0.3">
      <c r="B12472" s="37"/>
    </row>
    <row r="12473" spans="2:2" ht="15.9" customHeight="1" x14ac:dyDescent="0.3">
      <c r="B12473" s="37"/>
    </row>
    <row r="12474" spans="2:2" ht="15.9" customHeight="1" x14ac:dyDescent="0.3">
      <c r="B12474" s="37"/>
    </row>
    <row r="12475" spans="2:2" ht="15.9" customHeight="1" x14ac:dyDescent="0.3">
      <c r="B12475" s="37"/>
    </row>
    <row r="12476" spans="2:2" ht="15.9" customHeight="1" x14ac:dyDescent="0.3">
      <c r="B12476" s="37"/>
    </row>
    <row r="12477" spans="2:2" ht="15.9" customHeight="1" x14ac:dyDescent="0.3">
      <c r="B12477" s="37"/>
    </row>
    <row r="12478" spans="2:2" ht="15.9" customHeight="1" x14ac:dyDescent="0.3">
      <c r="B12478" s="37"/>
    </row>
    <row r="12479" spans="2:2" ht="15.9" customHeight="1" x14ac:dyDescent="0.3">
      <c r="B12479" s="37"/>
    </row>
    <row r="12480" spans="2:2" ht="15.9" customHeight="1" x14ac:dyDescent="0.3">
      <c r="B12480" s="37"/>
    </row>
    <row r="12481" spans="2:2" ht="15.9" customHeight="1" x14ac:dyDescent="0.3">
      <c r="B12481" s="37"/>
    </row>
    <row r="12482" spans="2:2" ht="15.9" customHeight="1" x14ac:dyDescent="0.3">
      <c r="B12482" s="37"/>
    </row>
    <row r="12483" spans="2:2" ht="15.9" customHeight="1" x14ac:dyDescent="0.3">
      <c r="B12483" s="37"/>
    </row>
    <row r="12484" spans="2:2" ht="15.9" customHeight="1" x14ac:dyDescent="0.3">
      <c r="B12484" s="37"/>
    </row>
    <row r="12485" spans="2:2" ht="15.9" customHeight="1" x14ac:dyDescent="0.3">
      <c r="B12485" s="37"/>
    </row>
    <row r="12486" spans="2:2" ht="15.9" customHeight="1" x14ac:dyDescent="0.3">
      <c r="B12486" s="37"/>
    </row>
    <row r="12487" spans="2:2" ht="15.9" customHeight="1" x14ac:dyDescent="0.3">
      <c r="B12487" s="37"/>
    </row>
    <row r="12488" spans="2:2" ht="15.9" customHeight="1" x14ac:dyDescent="0.3">
      <c r="B12488" s="37"/>
    </row>
    <row r="12489" spans="2:2" ht="15.9" customHeight="1" x14ac:dyDescent="0.3">
      <c r="B12489" s="37"/>
    </row>
    <row r="12490" spans="2:2" ht="15.9" customHeight="1" x14ac:dyDescent="0.3">
      <c r="B12490" s="37"/>
    </row>
    <row r="12491" spans="2:2" ht="15.9" customHeight="1" x14ac:dyDescent="0.3">
      <c r="B12491" s="37"/>
    </row>
    <row r="12492" spans="2:2" ht="15.9" customHeight="1" x14ac:dyDescent="0.3">
      <c r="B12492" s="37"/>
    </row>
    <row r="12493" spans="2:2" ht="15.9" customHeight="1" x14ac:dyDescent="0.3">
      <c r="B12493" s="37"/>
    </row>
    <row r="12494" spans="2:2" ht="15.9" customHeight="1" x14ac:dyDescent="0.3">
      <c r="B12494" s="37"/>
    </row>
    <row r="12495" spans="2:2" ht="15.9" customHeight="1" x14ac:dyDescent="0.3">
      <c r="B12495" s="37"/>
    </row>
    <row r="12496" spans="2:2" ht="15.9" customHeight="1" x14ac:dyDescent="0.3">
      <c r="B12496" s="37"/>
    </row>
    <row r="12497" spans="2:2" ht="15.9" customHeight="1" x14ac:dyDescent="0.3">
      <c r="B12497" s="37"/>
    </row>
    <row r="12498" spans="2:2" ht="15.9" customHeight="1" x14ac:dyDescent="0.3">
      <c r="B12498" s="37"/>
    </row>
    <row r="12499" spans="2:2" ht="15.9" customHeight="1" x14ac:dyDescent="0.3">
      <c r="B12499" s="37"/>
    </row>
    <row r="12500" spans="2:2" ht="15.9" customHeight="1" x14ac:dyDescent="0.3">
      <c r="B12500" s="37"/>
    </row>
    <row r="12501" spans="2:2" ht="15.9" customHeight="1" x14ac:dyDescent="0.3">
      <c r="B12501" s="37"/>
    </row>
    <row r="12502" spans="2:2" ht="15.9" customHeight="1" x14ac:dyDescent="0.3">
      <c r="B12502" s="37"/>
    </row>
    <row r="12503" spans="2:2" ht="15.9" customHeight="1" x14ac:dyDescent="0.3">
      <c r="B12503" s="37"/>
    </row>
    <row r="12504" spans="2:2" ht="15.9" customHeight="1" x14ac:dyDescent="0.3">
      <c r="B12504" s="37"/>
    </row>
    <row r="12505" spans="2:2" ht="15.9" customHeight="1" x14ac:dyDescent="0.3">
      <c r="B12505" s="37"/>
    </row>
    <row r="12506" spans="2:2" ht="15.9" customHeight="1" x14ac:dyDescent="0.3">
      <c r="B12506" s="37"/>
    </row>
    <row r="12507" spans="2:2" ht="15.9" customHeight="1" x14ac:dyDescent="0.3">
      <c r="B12507" s="37"/>
    </row>
    <row r="12508" spans="2:2" ht="15.9" customHeight="1" x14ac:dyDescent="0.3">
      <c r="B12508" s="37"/>
    </row>
    <row r="12509" spans="2:2" ht="15.9" customHeight="1" x14ac:dyDescent="0.3">
      <c r="B12509" s="37"/>
    </row>
    <row r="12510" spans="2:2" ht="15.9" customHeight="1" x14ac:dyDescent="0.3">
      <c r="B12510" s="37"/>
    </row>
    <row r="12511" spans="2:2" ht="15.9" customHeight="1" x14ac:dyDescent="0.3">
      <c r="B12511" s="37"/>
    </row>
    <row r="12512" spans="2:2" ht="15.9" customHeight="1" x14ac:dyDescent="0.3">
      <c r="B12512" s="37"/>
    </row>
    <row r="12513" spans="2:2" ht="15.9" customHeight="1" x14ac:dyDescent="0.3">
      <c r="B12513" s="37"/>
    </row>
    <row r="12514" spans="2:2" ht="15.9" customHeight="1" x14ac:dyDescent="0.3">
      <c r="B12514" s="37"/>
    </row>
    <row r="12515" spans="2:2" ht="15.9" customHeight="1" x14ac:dyDescent="0.3">
      <c r="B12515" s="37"/>
    </row>
    <row r="12516" spans="2:2" ht="15.9" customHeight="1" x14ac:dyDescent="0.3">
      <c r="B12516" s="37"/>
    </row>
    <row r="12517" spans="2:2" ht="15.9" customHeight="1" x14ac:dyDescent="0.3">
      <c r="B12517" s="37"/>
    </row>
    <row r="12518" spans="2:2" ht="15.9" customHeight="1" x14ac:dyDescent="0.3">
      <c r="B12518" s="37"/>
    </row>
    <row r="12519" spans="2:2" ht="15.9" customHeight="1" x14ac:dyDescent="0.3">
      <c r="B12519" s="37"/>
    </row>
    <row r="12520" spans="2:2" ht="15.9" customHeight="1" x14ac:dyDescent="0.3">
      <c r="B12520" s="37"/>
    </row>
    <row r="12521" spans="2:2" ht="15.9" customHeight="1" x14ac:dyDescent="0.3">
      <c r="B12521" s="37"/>
    </row>
    <row r="12522" spans="2:2" ht="15.9" customHeight="1" x14ac:dyDescent="0.3">
      <c r="B12522" s="37"/>
    </row>
    <row r="12523" spans="2:2" ht="15.9" customHeight="1" x14ac:dyDescent="0.3">
      <c r="B12523" s="37"/>
    </row>
    <row r="12524" spans="2:2" ht="15.9" customHeight="1" x14ac:dyDescent="0.3">
      <c r="B12524" s="37"/>
    </row>
    <row r="12525" spans="2:2" ht="15.9" customHeight="1" x14ac:dyDescent="0.3">
      <c r="B12525" s="37"/>
    </row>
    <row r="12526" spans="2:2" ht="15.9" customHeight="1" x14ac:dyDescent="0.3">
      <c r="B12526" s="37"/>
    </row>
    <row r="12527" spans="2:2" ht="15.9" customHeight="1" x14ac:dyDescent="0.3">
      <c r="B12527" s="37"/>
    </row>
    <row r="12528" spans="2:2" ht="15.9" customHeight="1" x14ac:dyDescent="0.3">
      <c r="B12528" s="37"/>
    </row>
    <row r="12529" spans="2:2" ht="15.9" customHeight="1" x14ac:dyDescent="0.3">
      <c r="B12529" s="37"/>
    </row>
    <row r="12530" spans="2:2" ht="15.9" customHeight="1" x14ac:dyDescent="0.3">
      <c r="B12530" s="37"/>
    </row>
    <row r="12531" spans="2:2" ht="15.9" customHeight="1" x14ac:dyDescent="0.3">
      <c r="B12531" s="37"/>
    </row>
    <row r="12532" spans="2:2" ht="15.9" customHeight="1" x14ac:dyDescent="0.3">
      <c r="B12532" s="37"/>
    </row>
    <row r="12533" spans="2:2" ht="15.9" customHeight="1" x14ac:dyDescent="0.3">
      <c r="B12533" s="37"/>
    </row>
    <row r="12534" spans="2:2" ht="15.9" customHeight="1" x14ac:dyDescent="0.3">
      <c r="B12534" s="37"/>
    </row>
    <row r="12535" spans="2:2" ht="15.9" customHeight="1" x14ac:dyDescent="0.3">
      <c r="B12535" s="37"/>
    </row>
    <row r="12536" spans="2:2" ht="15.9" customHeight="1" x14ac:dyDescent="0.3">
      <c r="B12536" s="37"/>
    </row>
    <row r="12537" spans="2:2" ht="15.9" customHeight="1" x14ac:dyDescent="0.3">
      <c r="B12537" s="37"/>
    </row>
    <row r="12538" spans="2:2" ht="15.9" customHeight="1" x14ac:dyDescent="0.3">
      <c r="B12538" s="37"/>
    </row>
    <row r="12539" spans="2:2" ht="15.9" customHeight="1" x14ac:dyDescent="0.3">
      <c r="B12539" s="37"/>
    </row>
    <row r="12540" spans="2:2" ht="15.9" customHeight="1" x14ac:dyDescent="0.3">
      <c r="B12540" s="37"/>
    </row>
    <row r="12541" spans="2:2" ht="15.9" customHeight="1" x14ac:dyDescent="0.3">
      <c r="B12541" s="37"/>
    </row>
    <row r="12542" spans="2:2" ht="15.9" customHeight="1" x14ac:dyDescent="0.3">
      <c r="B12542" s="37"/>
    </row>
    <row r="12543" spans="2:2" ht="15.9" customHeight="1" x14ac:dyDescent="0.3">
      <c r="B12543" s="37"/>
    </row>
    <row r="12544" spans="2:2" ht="15.9" customHeight="1" x14ac:dyDescent="0.3">
      <c r="B12544" s="37"/>
    </row>
    <row r="12545" spans="2:2" ht="15.9" customHeight="1" x14ac:dyDescent="0.3">
      <c r="B12545" s="37"/>
    </row>
    <row r="12546" spans="2:2" ht="15.9" customHeight="1" x14ac:dyDescent="0.3">
      <c r="B12546" s="37"/>
    </row>
    <row r="12547" spans="2:2" ht="15.9" customHeight="1" x14ac:dyDescent="0.3">
      <c r="B12547" s="37"/>
    </row>
    <row r="12548" spans="2:2" ht="15.9" customHeight="1" x14ac:dyDescent="0.3">
      <c r="B12548" s="37"/>
    </row>
    <row r="12549" spans="2:2" ht="15.9" customHeight="1" x14ac:dyDescent="0.3">
      <c r="B12549" s="37"/>
    </row>
    <row r="12550" spans="2:2" ht="15.9" customHeight="1" x14ac:dyDescent="0.3">
      <c r="B12550" s="37"/>
    </row>
    <row r="12551" spans="2:2" ht="15.9" customHeight="1" x14ac:dyDescent="0.3">
      <c r="B12551" s="37"/>
    </row>
    <row r="12552" spans="2:2" ht="15.9" customHeight="1" x14ac:dyDescent="0.3">
      <c r="B12552" s="37"/>
    </row>
    <row r="12553" spans="2:2" ht="15.9" customHeight="1" x14ac:dyDescent="0.3">
      <c r="B12553" s="37"/>
    </row>
    <row r="12554" spans="2:2" ht="15.9" customHeight="1" x14ac:dyDescent="0.3">
      <c r="B12554" s="37"/>
    </row>
    <row r="12555" spans="2:2" ht="15.9" customHeight="1" x14ac:dyDescent="0.3">
      <c r="B12555" s="37"/>
    </row>
    <row r="12556" spans="2:2" ht="15.9" customHeight="1" x14ac:dyDescent="0.3">
      <c r="B12556" s="37"/>
    </row>
    <row r="12557" spans="2:2" ht="15.9" customHeight="1" x14ac:dyDescent="0.3">
      <c r="B12557" s="37"/>
    </row>
    <row r="12558" spans="2:2" ht="15.9" customHeight="1" x14ac:dyDescent="0.3">
      <c r="B12558" s="37"/>
    </row>
    <row r="12559" spans="2:2" ht="15.9" customHeight="1" x14ac:dyDescent="0.3">
      <c r="B12559" s="37"/>
    </row>
    <row r="12560" spans="2:2" ht="15.9" customHeight="1" x14ac:dyDescent="0.3">
      <c r="B12560" s="37"/>
    </row>
    <row r="12561" spans="2:2" ht="15.9" customHeight="1" x14ac:dyDescent="0.3">
      <c r="B12561" s="37"/>
    </row>
    <row r="12562" spans="2:2" ht="15.9" customHeight="1" x14ac:dyDescent="0.3">
      <c r="B12562" s="37"/>
    </row>
    <row r="12563" spans="2:2" ht="15.9" customHeight="1" x14ac:dyDescent="0.3">
      <c r="B12563" s="37"/>
    </row>
    <row r="12564" spans="2:2" ht="15.9" customHeight="1" x14ac:dyDescent="0.3">
      <c r="B12564" s="37"/>
    </row>
    <row r="12565" spans="2:2" ht="15.9" customHeight="1" x14ac:dyDescent="0.3">
      <c r="B12565" s="37"/>
    </row>
    <row r="12566" spans="2:2" ht="15.9" customHeight="1" x14ac:dyDescent="0.3">
      <c r="B12566" s="37"/>
    </row>
    <row r="12567" spans="2:2" ht="15.9" customHeight="1" x14ac:dyDescent="0.3">
      <c r="B12567" s="37"/>
    </row>
    <row r="12568" spans="2:2" ht="15.9" customHeight="1" x14ac:dyDescent="0.3">
      <c r="B12568" s="37"/>
    </row>
    <row r="12569" spans="2:2" ht="15.9" customHeight="1" x14ac:dyDescent="0.3">
      <c r="B12569" s="37"/>
    </row>
    <row r="12570" spans="2:2" ht="15.9" customHeight="1" x14ac:dyDescent="0.3">
      <c r="B12570" s="37"/>
    </row>
    <row r="12571" spans="2:2" ht="15.9" customHeight="1" x14ac:dyDescent="0.3">
      <c r="B12571" s="37"/>
    </row>
    <row r="12572" spans="2:2" ht="15.9" customHeight="1" x14ac:dyDescent="0.3">
      <c r="B12572" s="37"/>
    </row>
    <row r="12573" spans="2:2" ht="15.9" customHeight="1" x14ac:dyDescent="0.3">
      <c r="B12573" s="37"/>
    </row>
    <row r="12574" spans="2:2" ht="15.9" customHeight="1" x14ac:dyDescent="0.3">
      <c r="B12574" s="37"/>
    </row>
    <row r="12575" spans="2:2" ht="15.9" customHeight="1" x14ac:dyDescent="0.3">
      <c r="B12575" s="37"/>
    </row>
    <row r="12576" spans="2:2" ht="15.9" customHeight="1" x14ac:dyDescent="0.3">
      <c r="B12576" s="37"/>
    </row>
    <row r="12577" spans="2:2" ht="15.9" customHeight="1" x14ac:dyDescent="0.3">
      <c r="B12577" s="37"/>
    </row>
    <row r="12578" spans="2:2" ht="15.9" customHeight="1" x14ac:dyDescent="0.3">
      <c r="B12578" s="37"/>
    </row>
    <row r="12579" spans="2:2" ht="15.9" customHeight="1" x14ac:dyDescent="0.3">
      <c r="B12579" s="37"/>
    </row>
    <row r="12580" spans="2:2" ht="15.9" customHeight="1" x14ac:dyDescent="0.3">
      <c r="B12580" s="37"/>
    </row>
    <row r="12581" spans="2:2" ht="15.9" customHeight="1" x14ac:dyDescent="0.3">
      <c r="B12581" s="37"/>
    </row>
    <row r="12582" spans="2:2" ht="15.9" customHeight="1" x14ac:dyDescent="0.3">
      <c r="B12582" s="37"/>
    </row>
    <row r="12583" spans="2:2" ht="15.9" customHeight="1" x14ac:dyDescent="0.3">
      <c r="B12583" s="37"/>
    </row>
    <row r="12584" spans="2:2" ht="15.9" customHeight="1" x14ac:dyDescent="0.3">
      <c r="B12584" s="37"/>
    </row>
    <row r="12585" spans="2:2" ht="15.9" customHeight="1" x14ac:dyDescent="0.3">
      <c r="B12585" s="37"/>
    </row>
    <row r="12586" spans="2:2" ht="15.9" customHeight="1" x14ac:dyDescent="0.3">
      <c r="B12586" s="37"/>
    </row>
    <row r="12587" spans="2:2" ht="15.9" customHeight="1" x14ac:dyDescent="0.3">
      <c r="B12587" s="37"/>
    </row>
    <row r="12588" spans="2:2" ht="15.9" customHeight="1" x14ac:dyDescent="0.3">
      <c r="B12588" s="37"/>
    </row>
    <row r="12589" spans="2:2" ht="15.9" customHeight="1" x14ac:dyDescent="0.3">
      <c r="B12589" s="37"/>
    </row>
    <row r="12590" spans="2:2" ht="15.9" customHeight="1" x14ac:dyDescent="0.3">
      <c r="B12590" s="37"/>
    </row>
    <row r="12591" spans="2:2" ht="15.9" customHeight="1" x14ac:dyDescent="0.3">
      <c r="B12591" s="37"/>
    </row>
    <row r="12592" spans="2:2" ht="15.9" customHeight="1" x14ac:dyDescent="0.3">
      <c r="B12592" s="37"/>
    </row>
    <row r="12593" spans="2:2" ht="15.9" customHeight="1" x14ac:dyDescent="0.3">
      <c r="B12593" s="37"/>
    </row>
    <row r="12594" spans="2:2" ht="15.9" customHeight="1" x14ac:dyDescent="0.3">
      <c r="B12594" s="37"/>
    </row>
    <row r="12595" spans="2:2" ht="15.9" customHeight="1" x14ac:dyDescent="0.3">
      <c r="B12595" s="37"/>
    </row>
    <row r="12596" spans="2:2" ht="15.9" customHeight="1" x14ac:dyDescent="0.3">
      <c r="B12596" s="37"/>
    </row>
    <row r="12597" spans="2:2" ht="15.9" customHeight="1" x14ac:dyDescent="0.3">
      <c r="B12597" s="37"/>
    </row>
    <row r="12598" spans="2:2" ht="15.9" customHeight="1" x14ac:dyDescent="0.3">
      <c r="B12598" s="37"/>
    </row>
    <row r="12599" spans="2:2" ht="15.9" customHeight="1" x14ac:dyDescent="0.3">
      <c r="B12599" s="37"/>
    </row>
    <row r="12600" spans="2:2" ht="15.9" customHeight="1" x14ac:dyDescent="0.3">
      <c r="B12600" s="37"/>
    </row>
    <row r="12601" spans="2:2" ht="15.9" customHeight="1" x14ac:dyDescent="0.3">
      <c r="B12601" s="37"/>
    </row>
    <row r="12602" spans="2:2" ht="15.9" customHeight="1" x14ac:dyDescent="0.3">
      <c r="B12602" s="37"/>
    </row>
    <row r="12603" spans="2:2" ht="15.9" customHeight="1" x14ac:dyDescent="0.3">
      <c r="B12603" s="37"/>
    </row>
    <row r="12604" spans="2:2" ht="15.9" customHeight="1" x14ac:dyDescent="0.3">
      <c r="B12604" s="37"/>
    </row>
    <row r="12605" spans="2:2" ht="15.9" customHeight="1" x14ac:dyDescent="0.3">
      <c r="B12605" s="37"/>
    </row>
    <row r="12606" spans="2:2" ht="15.9" customHeight="1" x14ac:dyDescent="0.3">
      <c r="B12606" s="37"/>
    </row>
    <row r="12607" spans="2:2" ht="15.9" customHeight="1" x14ac:dyDescent="0.3">
      <c r="B12607" s="37"/>
    </row>
    <row r="12608" spans="2:2" ht="15.9" customHeight="1" x14ac:dyDescent="0.3">
      <c r="B12608" s="37"/>
    </row>
    <row r="12609" spans="2:2" ht="15.9" customHeight="1" x14ac:dyDescent="0.3">
      <c r="B12609" s="37"/>
    </row>
    <row r="12610" spans="2:2" ht="15.9" customHeight="1" x14ac:dyDescent="0.3">
      <c r="B12610" s="37"/>
    </row>
    <row r="12611" spans="2:2" ht="15.9" customHeight="1" x14ac:dyDescent="0.3">
      <c r="B12611" s="37"/>
    </row>
    <row r="12612" spans="2:2" ht="15.9" customHeight="1" x14ac:dyDescent="0.3">
      <c r="B12612" s="37"/>
    </row>
    <row r="12613" spans="2:2" ht="15.9" customHeight="1" x14ac:dyDescent="0.3">
      <c r="B12613" s="37"/>
    </row>
    <row r="12614" spans="2:2" ht="15.9" customHeight="1" x14ac:dyDescent="0.3">
      <c r="B12614" s="37"/>
    </row>
    <row r="12615" spans="2:2" ht="15.9" customHeight="1" x14ac:dyDescent="0.3">
      <c r="B12615" s="37"/>
    </row>
    <row r="12616" spans="2:2" ht="15.9" customHeight="1" x14ac:dyDescent="0.3">
      <c r="B12616" s="37"/>
    </row>
    <row r="12617" spans="2:2" ht="15.9" customHeight="1" x14ac:dyDescent="0.3">
      <c r="B12617" s="37"/>
    </row>
    <row r="12618" spans="2:2" ht="15.9" customHeight="1" x14ac:dyDescent="0.3">
      <c r="B12618" s="37"/>
    </row>
    <row r="12619" spans="2:2" ht="15.9" customHeight="1" x14ac:dyDescent="0.3">
      <c r="B12619" s="37"/>
    </row>
    <row r="12620" spans="2:2" ht="15.9" customHeight="1" x14ac:dyDescent="0.3">
      <c r="B12620" s="37"/>
    </row>
    <row r="12621" spans="2:2" ht="15.9" customHeight="1" x14ac:dyDescent="0.3">
      <c r="B12621" s="37"/>
    </row>
    <row r="12622" spans="2:2" ht="15.9" customHeight="1" x14ac:dyDescent="0.3">
      <c r="B12622" s="37"/>
    </row>
    <row r="12623" spans="2:2" ht="15.9" customHeight="1" x14ac:dyDescent="0.3">
      <c r="B12623" s="37"/>
    </row>
    <row r="12624" spans="2:2" ht="15.9" customHeight="1" x14ac:dyDescent="0.3">
      <c r="B12624" s="37"/>
    </row>
    <row r="12625" spans="2:2" ht="15.9" customHeight="1" x14ac:dyDescent="0.3">
      <c r="B12625" s="37"/>
    </row>
    <row r="12626" spans="2:2" ht="15.9" customHeight="1" x14ac:dyDescent="0.3">
      <c r="B12626" s="37"/>
    </row>
    <row r="12627" spans="2:2" ht="15.9" customHeight="1" x14ac:dyDescent="0.3">
      <c r="B12627" s="37"/>
    </row>
    <row r="12628" spans="2:2" ht="15.9" customHeight="1" x14ac:dyDescent="0.3">
      <c r="B12628" s="37"/>
    </row>
    <row r="12629" spans="2:2" ht="15.9" customHeight="1" x14ac:dyDescent="0.3">
      <c r="B12629" s="37"/>
    </row>
    <row r="12630" spans="2:2" ht="15.9" customHeight="1" x14ac:dyDescent="0.3">
      <c r="B12630" s="37"/>
    </row>
    <row r="12631" spans="2:2" ht="15.9" customHeight="1" x14ac:dyDescent="0.3">
      <c r="B12631" s="37"/>
    </row>
    <row r="12632" spans="2:2" ht="15.9" customHeight="1" x14ac:dyDescent="0.3">
      <c r="B12632" s="37"/>
    </row>
    <row r="12633" spans="2:2" ht="15.9" customHeight="1" x14ac:dyDescent="0.3">
      <c r="B12633" s="37"/>
    </row>
    <row r="12634" spans="2:2" ht="15.9" customHeight="1" x14ac:dyDescent="0.3">
      <c r="B12634" s="37"/>
    </row>
    <row r="12635" spans="2:2" ht="15.9" customHeight="1" x14ac:dyDescent="0.3">
      <c r="B12635" s="37"/>
    </row>
    <row r="12636" spans="2:2" ht="15.9" customHeight="1" x14ac:dyDescent="0.3">
      <c r="B12636" s="37"/>
    </row>
    <row r="12637" spans="2:2" ht="15.9" customHeight="1" x14ac:dyDescent="0.3">
      <c r="B12637" s="37"/>
    </row>
    <row r="12638" spans="2:2" ht="15.9" customHeight="1" x14ac:dyDescent="0.3">
      <c r="B12638" s="37"/>
    </row>
    <row r="12639" spans="2:2" ht="15.9" customHeight="1" x14ac:dyDescent="0.3">
      <c r="B12639" s="37"/>
    </row>
    <row r="12640" spans="2:2" ht="15.9" customHeight="1" x14ac:dyDescent="0.3">
      <c r="B12640" s="37"/>
    </row>
    <row r="12641" spans="2:2" ht="15.9" customHeight="1" x14ac:dyDescent="0.3">
      <c r="B12641" s="37"/>
    </row>
    <row r="12642" spans="2:2" ht="15.9" customHeight="1" x14ac:dyDescent="0.3">
      <c r="B12642" s="37"/>
    </row>
    <row r="12643" spans="2:2" ht="15.9" customHeight="1" x14ac:dyDescent="0.3">
      <c r="B12643" s="37"/>
    </row>
    <row r="12644" spans="2:2" ht="15.9" customHeight="1" x14ac:dyDescent="0.3">
      <c r="B12644" s="37"/>
    </row>
    <row r="12645" spans="2:2" ht="15.9" customHeight="1" x14ac:dyDescent="0.3">
      <c r="B12645" s="37"/>
    </row>
    <row r="12646" spans="2:2" ht="15.9" customHeight="1" x14ac:dyDescent="0.3">
      <c r="B12646" s="37"/>
    </row>
    <row r="12647" spans="2:2" ht="15.9" customHeight="1" x14ac:dyDescent="0.3">
      <c r="B12647" s="37"/>
    </row>
    <row r="12648" spans="2:2" ht="15.9" customHeight="1" x14ac:dyDescent="0.3">
      <c r="B12648" s="37"/>
    </row>
    <row r="12649" spans="2:2" ht="15.9" customHeight="1" x14ac:dyDescent="0.3">
      <c r="B12649" s="37"/>
    </row>
    <row r="12650" spans="2:2" ht="15.9" customHeight="1" x14ac:dyDescent="0.3">
      <c r="B12650" s="37"/>
    </row>
    <row r="12651" spans="2:2" ht="15.9" customHeight="1" x14ac:dyDescent="0.3">
      <c r="B12651" s="37"/>
    </row>
    <row r="12652" spans="2:2" ht="15.9" customHeight="1" x14ac:dyDescent="0.3">
      <c r="B12652" s="37"/>
    </row>
    <row r="12653" spans="2:2" ht="15.9" customHeight="1" x14ac:dyDescent="0.3">
      <c r="B12653" s="37"/>
    </row>
    <row r="12654" spans="2:2" ht="15.9" customHeight="1" x14ac:dyDescent="0.3">
      <c r="B12654" s="37"/>
    </row>
    <row r="12655" spans="2:2" ht="15.9" customHeight="1" x14ac:dyDescent="0.3">
      <c r="B12655" s="37"/>
    </row>
    <row r="12656" spans="2:2" ht="15.9" customHeight="1" x14ac:dyDescent="0.3">
      <c r="B12656" s="37"/>
    </row>
    <row r="12657" spans="2:2" ht="15.9" customHeight="1" x14ac:dyDescent="0.3">
      <c r="B12657" s="37"/>
    </row>
    <row r="12658" spans="2:2" ht="15.9" customHeight="1" x14ac:dyDescent="0.3">
      <c r="B12658" s="37"/>
    </row>
    <row r="12659" spans="2:2" ht="15.9" customHeight="1" x14ac:dyDescent="0.3">
      <c r="B12659" s="37"/>
    </row>
    <row r="12660" spans="2:2" ht="15.9" customHeight="1" x14ac:dyDescent="0.3">
      <c r="B12660" s="37"/>
    </row>
    <row r="12661" spans="2:2" ht="15.9" customHeight="1" x14ac:dyDescent="0.3">
      <c r="B12661" s="37"/>
    </row>
    <row r="12662" spans="2:2" ht="15.9" customHeight="1" x14ac:dyDescent="0.3">
      <c r="B12662" s="37"/>
    </row>
    <row r="12663" spans="2:2" ht="15.9" customHeight="1" x14ac:dyDescent="0.3">
      <c r="B12663" s="37"/>
    </row>
    <row r="12664" spans="2:2" ht="15.9" customHeight="1" x14ac:dyDescent="0.3">
      <c r="B12664" s="37"/>
    </row>
    <row r="12665" spans="2:2" ht="15.9" customHeight="1" x14ac:dyDescent="0.3">
      <c r="B12665" s="37"/>
    </row>
    <row r="12666" spans="2:2" ht="15.9" customHeight="1" x14ac:dyDescent="0.3">
      <c r="B12666" s="37"/>
    </row>
    <row r="12667" spans="2:2" ht="15.9" customHeight="1" x14ac:dyDescent="0.3">
      <c r="B12667" s="37"/>
    </row>
    <row r="12668" spans="2:2" ht="15.9" customHeight="1" x14ac:dyDescent="0.3">
      <c r="B12668" s="37"/>
    </row>
    <row r="12669" spans="2:2" ht="15.9" customHeight="1" x14ac:dyDescent="0.3">
      <c r="B12669" s="37"/>
    </row>
    <row r="12670" spans="2:2" ht="15.9" customHeight="1" x14ac:dyDescent="0.3">
      <c r="B12670" s="37"/>
    </row>
    <row r="12671" spans="2:2" ht="15.9" customHeight="1" x14ac:dyDescent="0.3">
      <c r="B12671" s="37"/>
    </row>
    <row r="12672" spans="2:2" ht="15.9" customHeight="1" x14ac:dyDescent="0.3">
      <c r="B12672" s="37"/>
    </row>
    <row r="12673" spans="2:2" ht="15.9" customHeight="1" x14ac:dyDescent="0.3">
      <c r="B12673" s="37"/>
    </row>
    <row r="12674" spans="2:2" ht="15.9" customHeight="1" x14ac:dyDescent="0.3">
      <c r="B12674" s="37"/>
    </row>
    <row r="12675" spans="2:2" ht="15.9" customHeight="1" x14ac:dyDescent="0.3">
      <c r="B12675" s="37"/>
    </row>
    <row r="12676" spans="2:2" ht="15.9" customHeight="1" x14ac:dyDescent="0.3">
      <c r="B12676" s="37"/>
    </row>
    <row r="12677" spans="2:2" ht="15.9" customHeight="1" x14ac:dyDescent="0.3">
      <c r="B12677" s="37"/>
    </row>
    <row r="12678" spans="2:2" ht="15.9" customHeight="1" x14ac:dyDescent="0.3">
      <c r="B12678" s="37"/>
    </row>
    <row r="12679" spans="2:2" ht="15.9" customHeight="1" x14ac:dyDescent="0.3">
      <c r="B12679" s="37"/>
    </row>
    <row r="12680" spans="2:2" ht="15.9" customHeight="1" x14ac:dyDescent="0.3">
      <c r="B12680" s="37"/>
    </row>
    <row r="12681" spans="2:2" ht="15.9" customHeight="1" x14ac:dyDescent="0.3">
      <c r="B12681" s="37"/>
    </row>
    <row r="12682" spans="2:2" ht="15.9" customHeight="1" x14ac:dyDescent="0.3">
      <c r="B12682" s="37"/>
    </row>
    <row r="12683" spans="2:2" ht="15.9" customHeight="1" x14ac:dyDescent="0.3">
      <c r="B12683" s="37"/>
    </row>
    <row r="12684" spans="2:2" ht="15.9" customHeight="1" x14ac:dyDescent="0.3">
      <c r="B12684" s="37"/>
    </row>
    <row r="12685" spans="2:2" ht="15.9" customHeight="1" x14ac:dyDescent="0.3">
      <c r="B12685" s="37"/>
    </row>
    <row r="12686" spans="2:2" ht="15.9" customHeight="1" x14ac:dyDescent="0.3">
      <c r="B12686" s="37"/>
    </row>
    <row r="12687" spans="2:2" ht="15.9" customHeight="1" x14ac:dyDescent="0.3">
      <c r="B12687" s="37"/>
    </row>
    <row r="12688" spans="2:2" ht="15.9" customHeight="1" x14ac:dyDescent="0.3">
      <c r="B12688" s="37"/>
    </row>
    <row r="12689" spans="2:2" ht="15.9" customHeight="1" x14ac:dyDescent="0.3">
      <c r="B12689" s="37"/>
    </row>
    <row r="12690" spans="2:2" ht="15.9" customHeight="1" x14ac:dyDescent="0.3">
      <c r="B12690" s="37"/>
    </row>
    <row r="12691" spans="2:2" ht="15.9" customHeight="1" x14ac:dyDescent="0.3">
      <c r="B12691" s="37"/>
    </row>
    <row r="12692" spans="2:2" ht="15.9" customHeight="1" x14ac:dyDescent="0.3">
      <c r="B12692" s="37"/>
    </row>
    <row r="12693" spans="2:2" ht="15.9" customHeight="1" x14ac:dyDescent="0.3">
      <c r="B12693" s="37"/>
    </row>
    <row r="12694" spans="2:2" ht="15.9" customHeight="1" x14ac:dyDescent="0.3">
      <c r="B12694" s="37"/>
    </row>
    <row r="12695" spans="2:2" ht="15.9" customHeight="1" x14ac:dyDescent="0.3">
      <c r="B12695" s="37"/>
    </row>
    <row r="12696" spans="2:2" ht="15.9" customHeight="1" x14ac:dyDescent="0.3">
      <c r="B12696" s="37"/>
    </row>
    <row r="12697" spans="2:2" ht="15.9" customHeight="1" x14ac:dyDescent="0.3">
      <c r="B12697" s="37"/>
    </row>
    <row r="12698" spans="2:2" ht="15.9" customHeight="1" x14ac:dyDescent="0.3">
      <c r="B12698" s="37"/>
    </row>
    <row r="12699" spans="2:2" ht="15.9" customHeight="1" x14ac:dyDescent="0.3">
      <c r="B12699" s="37"/>
    </row>
    <row r="12700" spans="2:2" ht="15.9" customHeight="1" x14ac:dyDescent="0.3">
      <c r="B12700" s="37"/>
    </row>
    <row r="12701" spans="2:2" ht="15.9" customHeight="1" x14ac:dyDescent="0.3">
      <c r="B12701" s="37"/>
    </row>
    <row r="12702" spans="2:2" ht="15.9" customHeight="1" x14ac:dyDescent="0.3">
      <c r="B12702" s="37"/>
    </row>
    <row r="12703" spans="2:2" ht="15.9" customHeight="1" x14ac:dyDescent="0.3">
      <c r="B12703" s="37"/>
    </row>
    <row r="12704" spans="2:2" ht="15.9" customHeight="1" x14ac:dyDescent="0.3">
      <c r="B12704" s="37"/>
    </row>
    <row r="12705" spans="2:2" ht="15.9" customHeight="1" x14ac:dyDescent="0.3">
      <c r="B12705" s="37"/>
    </row>
    <row r="12706" spans="2:2" ht="15.9" customHeight="1" x14ac:dyDescent="0.3">
      <c r="B12706" s="37"/>
    </row>
    <row r="12707" spans="2:2" ht="15.9" customHeight="1" x14ac:dyDescent="0.3">
      <c r="B12707" s="37"/>
    </row>
    <row r="12708" spans="2:2" ht="15.9" customHeight="1" x14ac:dyDescent="0.3">
      <c r="B12708" s="37"/>
    </row>
    <row r="12709" spans="2:2" ht="15.9" customHeight="1" x14ac:dyDescent="0.3">
      <c r="B12709" s="37"/>
    </row>
    <row r="12710" spans="2:2" ht="15.9" customHeight="1" x14ac:dyDescent="0.3">
      <c r="B12710" s="37"/>
    </row>
    <row r="12711" spans="2:2" ht="15.9" customHeight="1" x14ac:dyDescent="0.3">
      <c r="B12711" s="37"/>
    </row>
    <row r="12712" spans="2:2" ht="15.9" customHeight="1" x14ac:dyDescent="0.3">
      <c r="B12712" s="37"/>
    </row>
    <row r="12713" spans="2:2" ht="15.9" customHeight="1" x14ac:dyDescent="0.3">
      <c r="B12713" s="37"/>
    </row>
    <row r="12714" spans="2:2" ht="15.9" customHeight="1" x14ac:dyDescent="0.3">
      <c r="B12714" s="37"/>
    </row>
    <row r="12715" spans="2:2" ht="15.9" customHeight="1" x14ac:dyDescent="0.3">
      <c r="B12715" s="37"/>
    </row>
    <row r="12716" spans="2:2" ht="15.9" customHeight="1" x14ac:dyDescent="0.3">
      <c r="B12716" s="37"/>
    </row>
    <row r="12717" spans="2:2" ht="15.9" customHeight="1" x14ac:dyDescent="0.3">
      <c r="B12717" s="37"/>
    </row>
    <row r="12718" spans="2:2" ht="15.9" customHeight="1" x14ac:dyDescent="0.3">
      <c r="B12718" s="37"/>
    </row>
    <row r="12719" spans="2:2" ht="15.9" customHeight="1" x14ac:dyDescent="0.3">
      <c r="B12719" s="37"/>
    </row>
    <row r="12720" spans="2:2" ht="15.9" customHeight="1" x14ac:dyDescent="0.3">
      <c r="B12720" s="37"/>
    </row>
    <row r="12721" spans="2:2" ht="15.9" customHeight="1" x14ac:dyDescent="0.3">
      <c r="B12721" s="37"/>
    </row>
    <row r="12722" spans="2:2" ht="15.9" customHeight="1" x14ac:dyDescent="0.3">
      <c r="B12722" s="37"/>
    </row>
    <row r="12723" spans="2:2" ht="15.9" customHeight="1" x14ac:dyDescent="0.3">
      <c r="B12723" s="37"/>
    </row>
    <row r="12724" spans="2:2" ht="15.9" customHeight="1" x14ac:dyDescent="0.3">
      <c r="B12724" s="37"/>
    </row>
    <row r="12725" spans="2:2" ht="15.9" customHeight="1" x14ac:dyDescent="0.3">
      <c r="B12725" s="37"/>
    </row>
    <row r="12726" spans="2:2" ht="15.9" customHeight="1" x14ac:dyDescent="0.3">
      <c r="B12726" s="37"/>
    </row>
    <row r="12727" spans="2:2" ht="15.9" customHeight="1" x14ac:dyDescent="0.3">
      <c r="B12727" s="37"/>
    </row>
    <row r="12728" spans="2:2" ht="15.9" customHeight="1" x14ac:dyDescent="0.3">
      <c r="B12728" s="37"/>
    </row>
    <row r="12729" spans="2:2" ht="15.9" customHeight="1" x14ac:dyDescent="0.3">
      <c r="B12729" s="37"/>
    </row>
    <row r="12730" spans="2:2" ht="15.9" customHeight="1" x14ac:dyDescent="0.3">
      <c r="B12730" s="37"/>
    </row>
    <row r="12731" spans="2:2" ht="15.9" customHeight="1" x14ac:dyDescent="0.3">
      <c r="B12731" s="37"/>
    </row>
    <row r="12732" spans="2:2" ht="15.9" customHeight="1" x14ac:dyDescent="0.3">
      <c r="B12732" s="37"/>
    </row>
    <row r="12733" spans="2:2" ht="15.9" customHeight="1" x14ac:dyDescent="0.3">
      <c r="B12733" s="37"/>
    </row>
    <row r="12734" spans="2:2" ht="15.9" customHeight="1" x14ac:dyDescent="0.3">
      <c r="B12734" s="37"/>
    </row>
    <row r="12735" spans="2:2" ht="15.9" customHeight="1" x14ac:dyDescent="0.3">
      <c r="B12735" s="37"/>
    </row>
    <row r="12736" spans="2:2" ht="15.9" customHeight="1" x14ac:dyDescent="0.3">
      <c r="B12736" s="37"/>
    </row>
    <row r="12737" spans="2:2" ht="15.9" customHeight="1" x14ac:dyDescent="0.3">
      <c r="B12737" s="37"/>
    </row>
    <row r="12738" spans="2:2" ht="15.9" customHeight="1" x14ac:dyDescent="0.3">
      <c r="B12738" s="37"/>
    </row>
    <row r="12739" spans="2:2" ht="15.9" customHeight="1" x14ac:dyDescent="0.3">
      <c r="B12739" s="37"/>
    </row>
    <row r="12740" spans="2:2" ht="15.9" customHeight="1" x14ac:dyDescent="0.3">
      <c r="B12740" s="37"/>
    </row>
    <row r="12741" spans="2:2" ht="15.9" customHeight="1" x14ac:dyDescent="0.3">
      <c r="B12741" s="37"/>
    </row>
    <row r="12742" spans="2:2" ht="15.9" customHeight="1" x14ac:dyDescent="0.3">
      <c r="B12742" s="37"/>
    </row>
    <row r="12743" spans="2:2" ht="15.9" customHeight="1" x14ac:dyDescent="0.3">
      <c r="B12743" s="37"/>
    </row>
    <row r="12744" spans="2:2" ht="15.9" customHeight="1" x14ac:dyDescent="0.3">
      <c r="B12744" s="37"/>
    </row>
    <row r="12745" spans="2:2" ht="15.9" customHeight="1" x14ac:dyDescent="0.3">
      <c r="B12745" s="37"/>
    </row>
    <row r="12746" spans="2:2" ht="15.9" customHeight="1" x14ac:dyDescent="0.3">
      <c r="B12746" s="37"/>
    </row>
    <row r="12747" spans="2:2" ht="15.9" customHeight="1" x14ac:dyDescent="0.3">
      <c r="B12747" s="37"/>
    </row>
    <row r="12748" spans="2:2" ht="15.9" customHeight="1" x14ac:dyDescent="0.3">
      <c r="B12748" s="37"/>
    </row>
    <row r="12749" spans="2:2" ht="15.9" customHeight="1" x14ac:dyDescent="0.3">
      <c r="B12749" s="37"/>
    </row>
    <row r="12750" spans="2:2" ht="15.9" customHeight="1" x14ac:dyDescent="0.3">
      <c r="B12750" s="37"/>
    </row>
    <row r="12751" spans="2:2" ht="15.9" customHeight="1" x14ac:dyDescent="0.3">
      <c r="B12751" s="37"/>
    </row>
    <row r="12752" spans="2:2" ht="15.9" customHeight="1" x14ac:dyDescent="0.3">
      <c r="B12752" s="37"/>
    </row>
    <row r="12753" spans="2:2" ht="15.9" customHeight="1" x14ac:dyDescent="0.3">
      <c r="B12753" s="37"/>
    </row>
    <row r="12754" spans="2:2" ht="15.9" customHeight="1" x14ac:dyDescent="0.3">
      <c r="B12754" s="37"/>
    </row>
    <row r="12755" spans="2:2" ht="15.9" customHeight="1" x14ac:dyDescent="0.3">
      <c r="B12755" s="37"/>
    </row>
    <row r="12756" spans="2:2" ht="15.9" customHeight="1" x14ac:dyDescent="0.3">
      <c r="B12756" s="37"/>
    </row>
    <row r="12757" spans="2:2" ht="15.9" customHeight="1" x14ac:dyDescent="0.3">
      <c r="B12757" s="37"/>
    </row>
    <row r="12758" spans="2:2" ht="15.9" customHeight="1" x14ac:dyDescent="0.3">
      <c r="B12758" s="37"/>
    </row>
    <row r="12759" spans="2:2" ht="15.9" customHeight="1" x14ac:dyDescent="0.3">
      <c r="B12759" s="37"/>
    </row>
    <row r="12760" spans="2:2" ht="15.9" customHeight="1" x14ac:dyDescent="0.3">
      <c r="B12760" s="37"/>
    </row>
    <row r="12761" spans="2:2" ht="15.9" customHeight="1" x14ac:dyDescent="0.3">
      <c r="B12761" s="37"/>
    </row>
    <row r="12762" spans="2:2" ht="15.9" customHeight="1" x14ac:dyDescent="0.3">
      <c r="B12762" s="37"/>
    </row>
    <row r="12763" spans="2:2" ht="15.9" customHeight="1" x14ac:dyDescent="0.3">
      <c r="B12763" s="37"/>
    </row>
    <row r="12764" spans="2:2" ht="15.9" customHeight="1" x14ac:dyDescent="0.3">
      <c r="B12764" s="37"/>
    </row>
    <row r="12765" spans="2:2" ht="15.9" customHeight="1" x14ac:dyDescent="0.3">
      <c r="B12765" s="37"/>
    </row>
    <row r="12766" spans="2:2" ht="15.9" customHeight="1" x14ac:dyDescent="0.3">
      <c r="B12766" s="37"/>
    </row>
    <row r="12767" spans="2:2" ht="15.9" customHeight="1" x14ac:dyDescent="0.3">
      <c r="B12767" s="37"/>
    </row>
    <row r="12768" spans="2:2" ht="15.9" customHeight="1" x14ac:dyDescent="0.3">
      <c r="B12768" s="37"/>
    </row>
    <row r="12769" spans="2:2" ht="15.9" customHeight="1" x14ac:dyDescent="0.3">
      <c r="B12769" s="37"/>
    </row>
    <row r="12770" spans="2:2" ht="15.9" customHeight="1" x14ac:dyDescent="0.3">
      <c r="B12770" s="37"/>
    </row>
    <row r="12771" spans="2:2" ht="15.9" customHeight="1" x14ac:dyDescent="0.3">
      <c r="B12771" s="37"/>
    </row>
    <row r="12772" spans="2:2" ht="15.9" customHeight="1" x14ac:dyDescent="0.3">
      <c r="B12772" s="37"/>
    </row>
    <row r="12773" spans="2:2" ht="15.9" customHeight="1" x14ac:dyDescent="0.3">
      <c r="B12773" s="37"/>
    </row>
    <row r="12774" spans="2:2" ht="15.9" customHeight="1" x14ac:dyDescent="0.3">
      <c r="B12774" s="37"/>
    </row>
    <row r="12775" spans="2:2" ht="15.9" customHeight="1" x14ac:dyDescent="0.3">
      <c r="B12775" s="37"/>
    </row>
    <row r="12776" spans="2:2" ht="15.9" customHeight="1" x14ac:dyDescent="0.3">
      <c r="B12776" s="37"/>
    </row>
    <row r="12777" spans="2:2" ht="15.9" customHeight="1" x14ac:dyDescent="0.3">
      <c r="B12777" s="37"/>
    </row>
    <row r="12778" spans="2:2" ht="15.9" customHeight="1" x14ac:dyDescent="0.3">
      <c r="B12778" s="37"/>
    </row>
    <row r="12779" spans="2:2" ht="15.9" customHeight="1" x14ac:dyDescent="0.3">
      <c r="B12779" s="37"/>
    </row>
    <row r="12780" spans="2:2" ht="15.9" customHeight="1" x14ac:dyDescent="0.3">
      <c r="B12780" s="37"/>
    </row>
    <row r="12781" spans="2:2" ht="15.9" customHeight="1" x14ac:dyDescent="0.3">
      <c r="B12781" s="37"/>
    </row>
    <row r="12782" spans="2:2" ht="15.9" customHeight="1" x14ac:dyDescent="0.3">
      <c r="B12782" s="37"/>
    </row>
    <row r="12783" spans="2:2" ht="15.9" customHeight="1" x14ac:dyDescent="0.3">
      <c r="B12783" s="37"/>
    </row>
    <row r="12784" spans="2:2" ht="15.9" customHeight="1" x14ac:dyDescent="0.3">
      <c r="B12784" s="37"/>
    </row>
    <row r="12785" spans="2:2" ht="15.9" customHeight="1" x14ac:dyDescent="0.3">
      <c r="B12785" s="37"/>
    </row>
    <row r="12786" spans="2:2" ht="15.9" customHeight="1" x14ac:dyDescent="0.3">
      <c r="B12786" s="37"/>
    </row>
    <row r="12787" spans="2:2" ht="15.9" customHeight="1" x14ac:dyDescent="0.3">
      <c r="B12787" s="37"/>
    </row>
    <row r="12788" spans="2:2" ht="15.9" customHeight="1" x14ac:dyDescent="0.3">
      <c r="B12788" s="37"/>
    </row>
    <row r="12789" spans="2:2" ht="15.9" customHeight="1" x14ac:dyDescent="0.3">
      <c r="B12789" s="37"/>
    </row>
    <row r="12790" spans="2:2" ht="15.9" customHeight="1" x14ac:dyDescent="0.3">
      <c r="B12790" s="37"/>
    </row>
    <row r="12791" spans="2:2" ht="15.9" customHeight="1" x14ac:dyDescent="0.3">
      <c r="B12791" s="37"/>
    </row>
    <row r="12792" spans="2:2" ht="15.9" customHeight="1" x14ac:dyDescent="0.3">
      <c r="B12792" s="37"/>
    </row>
    <row r="12793" spans="2:2" ht="15.9" customHeight="1" x14ac:dyDescent="0.3">
      <c r="B12793" s="37"/>
    </row>
    <row r="12794" spans="2:2" ht="15.9" customHeight="1" x14ac:dyDescent="0.3">
      <c r="B12794" s="37"/>
    </row>
    <row r="12795" spans="2:2" ht="15.9" customHeight="1" x14ac:dyDescent="0.3">
      <c r="B12795" s="37"/>
    </row>
    <row r="12796" spans="2:2" ht="15.9" customHeight="1" x14ac:dyDescent="0.3">
      <c r="B12796" s="37"/>
    </row>
    <row r="12797" spans="2:2" ht="15.9" customHeight="1" x14ac:dyDescent="0.3">
      <c r="B12797" s="37"/>
    </row>
    <row r="12798" spans="2:2" ht="15.9" customHeight="1" x14ac:dyDescent="0.3">
      <c r="B12798" s="37"/>
    </row>
    <row r="12799" spans="2:2" ht="15.9" customHeight="1" x14ac:dyDescent="0.3">
      <c r="B12799" s="37"/>
    </row>
    <row r="12800" spans="2:2" ht="15.9" customHeight="1" x14ac:dyDescent="0.3">
      <c r="B12800" s="37"/>
    </row>
    <row r="12801" spans="2:2" ht="15.9" customHeight="1" x14ac:dyDescent="0.3">
      <c r="B12801" s="37"/>
    </row>
    <row r="12802" spans="2:2" ht="15.9" customHeight="1" x14ac:dyDescent="0.3">
      <c r="B12802" s="37"/>
    </row>
    <row r="12803" spans="2:2" ht="15.9" customHeight="1" x14ac:dyDescent="0.3">
      <c r="B12803" s="37"/>
    </row>
    <row r="12804" spans="2:2" ht="15.9" customHeight="1" x14ac:dyDescent="0.3">
      <c r="B12804" s="37"/>
    </row>
    <row r="12805" spans="2:2" ht="15.9" customHeight="1" x14ac:dyDescent="0.3">
      <c r="B12805" s="37"/>
    </row>
    <row r="12806" spans="2:2" ht="15.9" customHeight="1" x14ac:dyDescent="0.3">
      <c r="B12806" s="37"/>
    </row>
    <row r="12807" spans="2:2" ht="15.9" customHeight="1" x14ac:dyDescent="0.3">
      <c r="B12807" s="37"/>
    </row>
    <row r="12808" spans="2:2" ht="15.9" customHeight="1" x14ac:dyDescent="0.3">
      <c r="B12808" s="37"/>
    </row>
    <row r="12809" spans="2:2" ht="15.9" customHeight="1" x14ac:dyDescent="0.3">
      <c r="B12809" s="37"/>
    </row>
    <row r="12810" spans="2:2" ht="15.9" customHeight="1" x14ac:dyDescent="0.3">
      <c r="B12810" s="37"/>
    </row>
    <row r="12811" spans="2:2" ht="15.9" customHeight="1" x14ac:dyDescent="0.3">
      <c r="B12811" s="37"/>
    </row>
    <row r="12812" spans="2:2" ht="15.9" customHeight="1" x14ac:dyDescent="0.3">
      <c r="B12812" s="37"/>
    </row>
    <row r="12813" spans="2:2" ht="15.9" customHeight="1" x14ac:dyDescent="0.3">
      <c r="B12813" s="37"/>
    </row>
    <row r="12814" spans="2:2" ht="15.9" customHeight="1" x14ac:dyDescent="0.3">
      <c r="B12814" s="37"/>
    </row>
    <row r="12815" spans="2:2" ht="15.9" customHeight="1" x14ac:dyDescent="0.3">
      <c r="B12815" s="37"/>
    </row>
    <row r="12816" spans="2:2" ht="15.9" customHeight="1" x14ac:dyDescent="0.3">
      <c r="B12816" s="37"/>
    </row>
    <row r="12817" spans="2:2" ht="15.9" customHeight="1" x14ac:dyDescent="0.3">
      <c r="B12817" s="37"/>
    </row>
    <row r="12818" spans="2:2" ht="15.9" customHeight="1" x14ac:dyDescent="0.3">
      <c r="B12818" s="37"/>
    </row>
    <row r="12819" spans="2:2" ht="15.9" customHeight="1" x14ac:dyDescent="0.3">
      <c r="B12819" s="37"/>
    </row>
    <row r="12820" spans="2:2" ht="15.9" customHeight="1" x14ac:dyDescent="0.3">
      <c r="B12820" s="37"/>
    </row>
    <row r="12821" spans="2:2" ht="15.9" customHeight="1" x14ac:dyDescent="0.3">
      <c r="B12821" s="37"/>
    </row>
    <row r="12822" spans="2:2" ht="15.9" customHeight="1" x14ac:dyDescent="0.3">
      <c r="B12822" s="37"/>
    </row>
    <row r="12823" spans="2:2" ht="15.9" customHeight="1" x14ac:dyDescent="0.3">
      <c r="B12823" s="37"/>
    </row>
    <row r="12824" spans="2:2" ht="15.9" customHeight="1" x14ac:dyDescent="0.3">
      <c r="B12824" s="37"/>
    </row>
    <row r="12825" spans="2:2" ht="15.9" customHeight="1" x14ac:dyDescent="0.3">
      <c r="B12825" s="37"/>
    </row>
    <row r="12826" spans="2:2" ht="15.9" customHeight="1" x14ac:dyDescent="0.3">
      <c r="B12826" s="37"/>
    </row>
    <row r="12827" spans="2:2" ht="15.9" customHeight="1" x14ac:dyDescent="0.3">
      <c r="B12827" s="37"/>
    </row>
    <row r="12828" spans="2:2" ht="15.9" customHeight="1" x14ac:dyDescent="0.3">
      <c r="B12828" s="37"/>
    </row>
    <row r="12829" spans="2:2" ht="15.9" customHeight="1" x14ac:dyDescent="0.3">
      <c r="B12829" s="37"/>
    </row>
    <row r="12830" spans="2:2" ht="15.9" customHeight="1" x14ac:dyDescent="0.3">
      <c r="B12830" s="37"/>
    </row>
    <row r="12831" spans="2:2" ht="15.9" customHeight="1" x14ac:dyDescent="0.3">
      <c r="B12831" s="37"/>
    </row>
    <row r="12832" spans="2:2" ht="15.9" customHeight="1" x14ac:dyDescent="0.3">
      <c r="B12832" s="37"/>
    </row>
    <row r="12833" spans="2:2" ht="15.9" customHeight="1" x14ac:dyDescent="0.3">
      <c r="B12833" s="37"/>
    </row>
    <row r="12834" spans="2:2" ht="15.9" customHeight="1" x14ac:dyDescent="0.3">
      <c r="B12834" s="37"/>
    </row>
    <row r="12835" spans="2:2" ht="15.9" customHeight="1" x14ac:dyDescent="0.3">
      <c r="B12835" s="37"/>
    </row>
    <row r="12836" spans="2:2" ht="15.9" customHeight="1" x14ac:dyDescent="0.3">
      <c r="B12836" s="37"/>
    </row>
    <row r="12837" spans="2:2" ht="15.9" customHeight="1" x14ac:dyDescent="0.3">
      <c r="B12837" s="37"/>
    </row>
    <row r="12838" spans="2:2" ht="15.9" customHeight="1" x14ac:dyDescent="0.3">
      <c r="B12838" s="37"/>
    </row>
    <row r="12839" spans="2:2" ht="15.9" customHeight="1" x14ac:dyDescent="0.3">
      <c r="B12839" s="37"/>
    </row>
    <row r="12840" spans="2:2" ht="15.9" customHeight="1" x14ac:dyDescent="0.3">
      <c r="B12840" s="37"/>
    </row>
    <row r="12841" spans="2:2" ht="15.9" customHeight="1" x14ac:dyDescent="0.3">
      <c r="B12841" s="37"/>
    </row>
    <row r="12842" spans="2:2" ht="15.9" customHeight="1" x14ac:dyDescent="0.3">
      <c r="B12842" s="37"/>
    </row>
    <row r="12843" spans="2:2" ht="15.9" customHeight="1" x14ac:dyDescent="0.3">
      <c r="B12843" s="37"/>
    </row>
    <row r="12844" spans="2:2" ht="15.9" customHeight="1" x14ac:dyDescent="0.3">
      <c r="B12844" s="37"/>
    </row>
    <row r="12845" spans="2:2" ht="15.9" customHeight="1" x14ac:dyDescent="0.3">
      <c r="B12845" s="37"/>
    </row>
    <row r="12846" spans="2:2" ht="15.9" customHeight="1" x14ac:dyDescent="0.3">
      <c r="B12846" s="37"/>
    </row>
    <row r="12847" spans="2:2" ht="15.9" customHeight="1" x14ac:dyDescent="0.3">
      <c r="B12847" s="37"/>
    </row>
    <row r="12848" spans="2:2" ht="15.9" customHeight="1" x14ac:dyDescent="0.3">
      <c r="B12848" s="37"/>
    </row>
    <row r="12849" spans="2:2" ht="15.9" customHeight="1" x14ac:dyDescent="0.3">
      <c r="B12849" s="37"/>
    </row>
    <row r="12850" spans="2:2" ht="15.9" customHeight="1" x14ac:dyDescent="0.3">
      <c r="B12850" s="37"/>
    </row>
    <row r="12851" spans="2:2" ht="15.9" customHeight="1" x14ac:dyDescent="0.3">
      <c r="B12851" s="37"/>
    </row>
    <row r="12852" spans="2:2" ht="15.9" customHeight="1" x14ac:dyDescent="0.3">
      <c r="B12852" s="37"/>
    </row>
    <row r="12853" spans="2:2" ht="15.9" customHeight="1" x14ac:dyDescent="0.3">
      <c r="B12853" s="37"/>
    </row>
    <row r="12854" spans="2:2" ht="15.9" customHeight="1" x14ac:dyDescent="0.3">
      <c r="B12854" s="37"/>
    </row>
    <row r="12855" spans="2:2" ht="15.9" customHeight="1" x14ac:dyDescent="0.3">
      <c r="B12855" s="37"/>
    </row>
    <row r="12856" spans="2:2" ht="15.9" customHeight="1" x14ac:dyDescent="0.3">
      <c r="B12856" s="37"/>
    </row>
    <row r="12857" spans="2:2" ht="15.9" customHeight="1" x14ac:dyDescent="0.3">
      <c r="B12857" s="37"/>
    </row>
    <row r="12858" spans="2:2" ht="15.9" customHeight="1" x14ac:dyDescent="0.3">
      <c r="B12858" s="37"/>
    </row>
    <row r="12859" spans="2:2" ht="15.9" customHeight="1" x14ac:dyDescent="0.3">
      <c r="B12859" s="37"/>
    </row>
    <row r="12860" spans="2:2" ht="15.9" customHeight="1" x14ac:dyDescent="0.3">
      <c r="B12860" s="37"/>
    </row>
    <row r="12861" spans="2:2" ht="15.9" customHeight="1" x14ac:dyDescent="0.3">
      <c r="B12861" s="37"/>
    </row>
    <row r="12862" spans="2:2" ht="15.9" customHeight="1" x14ac:dyDescent="0.3">
      <c r="B12862" s="37"/>
    </row>
    <row r="12863" spans="2:2" ht="15.9" customHeight="1" x14ac:dyDescent="0.3">
      <c r="B12863" s="37"/>
    </row>
    <row r="12864" spans="2:2" ht="15.9" customHeight="1" x14ac:dyDescent="0.3">
      <c r="B12864" s="37"/>
    </row>
    <row r="12865" spans="2:2" ht="15.9" customHeight="1" x14ac:dyDescent="0.3">
      <c r="B12865" s="37"/>
    </row>
    <row r="12866" spans="2:2" ht="15.9" customHeight="1" x14ac:dyDescent="0.3">
      <c r="B12866" s="37"/>
    </row>
    <row r="12867" spans="2:2" ht="15.9" customHeight="1" x14ac:dyDescent="0.3">
      <c r="B12867" s="37"/>
    </row>
    <row r="12868" spans="2:2" ht="15.9" customHeight="1" x14ac:dyDescent="0.3">
      <c r="B12868" s="37"/>
    </row>
    <row r="12869" spans="2:2" ht="15.9" customHeight="1" x14ac:dyDescent="0.3">
      <c r="B12869" s="37"/>
    </row>
    <row r="12870" spans="2:2" ht="15.9" customHeight="1" x14ac:dyDescent="0.3">
      <c r="B12870" s="37"/>
    </row>
    <row r="12871" spans="2:2" ht="15.9" customHeight="1" x14ac:dyDescent="0.3">
      <c r="B12871" s="37"/>
    </row>
    <row r="12872" spans="2:2" ht="15.9" customHeight="1" x14ac:dyDescent="0.3">
      <c r="B12872" s="37"/>
    </row>
    <row r="12873" spans="2:2" ht="15.9" customHeight="1" x14ac:dyDescent="0.3">
      <c r="B12873" s="37"/>
    </row>
    <row r="12874" spans="2:2" ht="15.9" customHeight="1" x14ac:dyDescent="0.3">
      <c r="B12874" s="37"/>
    </row>
    <row r="12875" spans="2:2" ht="15.9" customHeight="1" x14ac:dyDescent="0.3">
      <c r="B12875" s="37"/>
    </row>
    <row r="12876" spans="2:2" ht="15.9" customHeight="1" x14ac:dyDescent="0.3">
      <c r="B12876" s="37"/>
    </row>
    <row r="12877" spans="2:2" ht="15.9" customHeight="1" x14ac:dyDescent="0.3">
      <c r="B12877" s="37"/>
    </row>
    <row r="12878" spans="2:2" ht="15.9" customHeight="1" x14ac:dyDescent="0.3">
      <c r="B12878" s="37"/>
    </row>
    <row r="12879" spans="2:2" ht="15.9" customHeight="1" x14ac:dyDescent="0.3">
      <c r="B12879" s="37"/>
    </row>
    <row r="12880" spans="2:2" ht="15.9" customHeight="1" x14ac:dyDescent="0.3">
      <c r="B12880" s="37"/>
    </row>
    <row r="12881" spans="2:2" ht="15.9" customHeight="1" x14ac:dyDescent="0.3">
      <c r="B12881" s="37"/>
    </row>
    <row r="12882" spans="2:2" ht="15.9" customHeight="1" x14ac:dyDescent="0.3">
      <c r="B12882" s="37"/>
    </row>
    <row r="12883" spans="2:2" ht="15.9" customHeight="1" x14ac:dyDescent="0.3">
      <c r="B12883" s="37"/>
    </row>
    <row r="12884" spans="2:2" ht="15.9" customHeight="1" x14ac:dyDescent="0.3">
      <c r="B12884" s="37"/>
    </row>
    <row r="12885" spans="2:2" ht="15.9" customHeight="1" x14ac:dyDescent="0.3">
      <c r="B12885" s="37"/>
    </row>
    <row r="12886" spans="2:2" ht="15.9" customHeight="1" x14ac:dyDescent="0.3">
      <c r="B12886" s="37"/>
    </row>
    <row r="12887" spans="2:2" ht="15.9" customHeight="1" x14ac:dyDescent="0.3">
      <c r="B12887" s="37"/>
    </row>
    <row r="12888" spans="2:2" ht="15.9" customHeight="1" x14ac:dyDescent="0.3">
      <c r="B12888" s="37"/>
    </row>
    <row r="12889" spans="2:2" ht="15.9" customHeight="1" x14ac:dyDescent="0.3">
      <c r="B12889" s="37"/>
    </row>
    <row r="12890" spans="2:2" ht="15.9" customHeight="1" x14ac:dyDescent="0.3">
      <c r="B12890" s="37"/>
    </row>
    <row r="12891" spans="2:2" ht="15.9" customHeight="1" x14ac:dyDescent="0.3">
      <c r="B12891" s="37"/>
    </row>
    <row r="12892" spans="2:2" ht="15.9" customHeight="1" x14ac:dyDescent="0.3">
      <c r="B12892" s="37"/>
    </row>
    <row r="12893" spans="2:2" ht="15.9" customHeight="1" x14ac:dyDescent="0.3">
      <c r="B12893" s="37"/>
    </row>
    <row r="12894" spans="2:2" ht="15.9" customHeight="1" x14ac:dyDescent="0.3">
      <c r="B12894" s="37"/>
    </row>
    <row r="12895" spans="2:2" ht="15.9" customHeight="1" x14ac:dyDescent="0.3">
      <c r="B12895" s="37"/>
    </row>
    <row r="12896" spans="2:2" ht="15.9" customHeight="1" x14ac:dyDescent="0.3">
      <c r="B12896" s="37"/>
    </row>
    <row r="12897" spans="2:2" ht="15.9" customHeight="1" x14ac:dyDescent="0.3">
      <c r="B12897" s="37"/>
    </row>
    <row r="12898" spans="2:2" ht="15.9" customHeight="1" x14ac:dyDescent="0.3">
      <c r="B12898" s="37"/>
    </row>
    <row r="12899" spans="2:2" ht="15.9" customHeight="1" x14ac:dyDescent="0.3">
      <c r="B12899" s="37"/>
    </row>
    <row r="12900" spans="2:2" ht="15.9" customHeight="1" x14ac:dyDescent="0.3">
      <c r="B12900" s="37"/>
    </row>
    <row r="12901" spans="2:2" ht="15.9" customHeight="1" x14ac:dyDescent="0.3">
      <c r="B12901" s="37"/>
    </row>
    <row r="12902" spans="2:2" ht="15.9" customHeight="1" x14ac:dyDescent="0.3">
      <c r="B12902" s="37"/>
    </row>
    <row r="12903" spans="2:2" ht="15.9" customHeight="1" x14ac:dyDescent="0.3">
      <c r="B12903" s="37"/>
    </row>
    <row r="12904" spans="2:2" ht="15.9" customHeight="1" x14ac:dyDescent="0.3">
      <c r="B12904" s="37"/>
    </row>
    <row r="12905" spans="2:2" ht="15.9" customHeight="1" x14ac:dyDescent="0.3">
      <c r="B12905" s="37"/>
    </row>
    <row r="12906" spans="2:2" ht="15.9" customHeight="1" x14ac:dyDescent="0.3">
      <c r="B12906" s="37"/>
    </row>
    <row r="12907" spans="2:2" ht="15.9" customHeight="1" x14ac:dyDescent="0.3">
      <c r="B12907" s="37"/>
    </row>
    <row r="12908" spans="2:2" ht="15.9" customHeight="1" x14ac:dyDescent="0.3">
      <c r="B12908" s="37"/>
    </row>
    <row r="12909" spans="2:2" ht="15.9" customHeight="1" x14ac:dyDescent="0.3">
      <c r="B12909" s="37"/>
    </row>
    <row r="12910" spans="2:2" ht="15.9" customHeight="1" x14ac:dyDescent="0.3">
      <c r="B12910" s="37"/>
    </row>
    <row r="12911" spans="2:2" ht="15.9" customHeight="1" x14ac:dyDescent="0.3">
      <c r="B12911" s="37"/>
    </row>
    <row r="12912" spans="2:2" ht="15.9" customHeight="1" x14ac:dyDescent="0.3">
      <c r="B12912" s="37"/>
    </row>
    <row r="12913" spans="2:2" ht="15.9" customHeight="1" x14ac:dyDescent="0.3">
      <c r="B12913" s="37"/>
    </row>
    <row r="12914" spans="2:2" ht="15.9" customHeight="1" x14ac:dyDescent="0.3">
      <c r="B12914" s="37"/>
    </row>
    <row r="12915" spans="2:2" ht="15.9" customHeight="1" x14ac:dyDescent="0.3">
      <c r="B12915" s="37"/>
    </row>
    <row r="12916" spans="2:2" ht="15.9" customHeight="1" x14ac:dyDescent="0.3">
      <c r="B12916" s="37"/>
    </row>
    <row r="12917" spans="2:2" ht="15.9" customHeight="1" x14ac:dyDescent="0.3">
      <c r="B12917" s="37"/>
    </row>
    <row r="12918" spans="2:2" ht="15.9" customHeight="1" x14ac:dyDescent="0.3">
      <c r="B12918" s="37"/>
    </row>
    <row r="12919" spans="2:2" ht="15.9" customHeight="1" x14ac:dyDescent="0.3">
      <c r="B12919" s="37"/>
    </row>
    <row r="12920" spans="2:2" ht="15.9" customHeight="1" x14ac:dyDescent="0.3">
      <c r="B12920" s="37"/>
    </row>
    <row r="12921" spans="2:2" ht="15.9" customHeight="1" x14ac:dyDescent="0.3">
      <c r="B12921" s="37"/>
    </row>
    <row r="12922" spans="2:2" ht="15.9" customHeight="1" x14ac:dyDescent="0.3">
      <c r="B12922" s="37"/>
    </row>
    <row r="12923" spans="2:2" ht="15.9" customHeight="1" x14ac:dyDescent="0.3">
      <c r="B12923" s="37"/>
    </row>
    <row r="12924" spans="2:2" ht="15.9" customHeight="1" x14ac:dyDescent="0.3">
      <c r="B12924" s="37"/>
    </row>
    <row r="12925" spans="2:2" ht="15.9" customHeight="1" x14ac:dyDescent="0.3">
      <c r="B12925" s="37"/>
    </row>
    <row r="12926" spans="2:2" ht="15.9" customHeight="1" x14ac:dyDescent="0.3">
      <c r="B12926" s="37"/>
    </row>
    <row r="12927" spans="2:2" ht="15.9" customHeight="1" x14ac:dyDescent="0.3">
      <c r="B12927" s="37"/>
    </row>
    <row r="12928" spans="2:2" ht="15.9" customHeight="1" x14ac:dyDescent="0.3">
      <c r="B12928" s="37"/>
    </row>
    <row r="12929" spans="2:2" ht="15.9" customHeight="1" x14ac:dyDescent="0.3">
      <c r="B12929" s="37"/>
    </row>
    <row r="12930" spans="2:2" ht="15.9" customHeight="1" x14ac:dyDescent="0.3">
      <c r="B12930" s="37"/>
    </row>
    <row r="12931" spans="2:2" ht="15.9" customHeight="1" x14ac:dyDescent="0.3">
      <c r="B12931" s="37"/>
    </row>
    <row r="12932" spans="2:2" ht="15.9" customHeight="1" x14ac:dyDescent="0.3">
      <c r="B12932" s="37"/>
    </row>
    <row r="12933" spans="2:2" ht="15.9" customHeight="1" x14ac:dyDescent="0.3">
      <c r="B12933" s="37"/>
    </row>
    <row r="12934" spans="2:2" ht="15.9" customHeight="1" x14ac:dyDescent="0.3">
      <c r="B12934" s="37"/>
    </row>
    <row r="12935" spans="2:2" ht="15.9" customHeight="1" x14ac:dyDescent="0.3">
      <c r="B12935" s="37"/>
    </row>
    <row r="12936" spans="2:2" ht="15.9" customHeight="1" x14ac:dyDescent="0.3">
      <c r="B12936" s="37"/>
    </row>
    <row r="12937" spans="2:2" ht="15.9" customHeight="1" x14ac:dyDescent="0.3">
      <c r="B12937" s="37"/>
    </row>
    <row r="12938" spans="2:2" ht="15.9" customHeight="1" x14ac:dyDescent="0.3">
      <c r="B12938" s="37"/>
    </row>
    <row r="12939" spans="2:2" ht="15.9" customHeight="1" x14ac:dyDescent="0.3">
      <c r="B12939" s="37"/>
    </row>
    <row r="12940" spans="2:2" ht="15.9" customHeight="1" x14ac:dyDescent="0.3">
      <c r="B12940" s="37"/>
    </row>
    <row r="12941" spans="2:2" ht="15.9" customHeight="1" x14ac:dyDescent="0.3">
      <c r="B12941" s="37"/>
    </row>
    <row r="12942" spans="2:2" ht="15.9" customHeight="1" x14ac:dyDescent="0.3">
      <c r="B12942" s="37"/>
    </row>
    <row r="12943" spans="2:2" ht="15.9" customHeight="1" x14ac:dyDescent="0.3">
      <c r="B12943" s="37"/>
    </row>
    <row r="12944" spans="2:2" ht="15.9" customHeight="1" x14ac:dyDescent="0.3">
      <c r="B12944" s="37"/>
    </row>
    <row r="12945" spans="2:2" ht="15.9" customHeight="1" x14ac:dyDescent="0.3">
      <c r="B12945" s="37"/>
    </row>
    <row r="12946" spans="2:2" ht="15.9" customHeight="1" x14ac:dyDescent="0.3">
      <c r="B12946" s="37"/>
    </row>
    <row r="12947" spans="2:2" ht="15.9" customHeight="1" x14ac:dyDescent="0.3">
      <c r="B12947" s="37"/>
    </row>
    <row r="12948" spans="2:2" ht="15.9" customHeight="1" x14ac:dyDescent="0.3">
      <c r="B12948" s="37"/>
    </row>
    <row r="12949" spans="2:2" ht="15.9" customHeight="1" x14ac:dyDescent="0.3">
      <c r="B12949" s="37"/>
    </row>
    <row r="12950" spans="2:2" ht="15.9" customHeight="1" x14ac:dyDescent="0.3">
      <c r="B12950" s="37"/>
    </row>
    <row r="12951" spans="2:2" ht="15.9" customHeight="1" x14ac:dyDescent="0.3">
      <c r="B12951" s="37"/>
    </row>
    <row r="12952" spans="2:2" ht="15.9" customHeight="1" x14ac:dyDescent="0.3">
      <c r="B12952" s="37"/>
    </row>
    <row r="12953" spans="2:2" ht="15.9" customHeight="1" x14ac:dyDescent="0.3">
      <c r="B12953" s="37"/>
    </row>
    <row r="12954" spans="2:2" ht="15.9" customHeight="1" x14ac:dyDescent="0.3">
      <c r="B12954" s="37"/>
    </row>
    <row r="12955" spans="2:2" ht="15.9" customHeight="1" x14ac:dyDescent="0.3">
      <c r="B12955" s="37"/>
    </row>
    <row r="12956" spans="2:2" ht="15.9" customHeight="1" x14ac:dyDescent="0.3">
      <c r="B12956" s="37"/>
    </row>
    <row r="12957" spans="2:2" ht="15.9" customHeight="1" x14ac:dyDescent="0.3">
      <c r="B12957" s="37"/>
    </row>
    <row r="12958" spans="2:2" ht="15.9" customHeight="1" x14ac:dyDescent="0.3">
      <c r="B12958" s="37"/>
    </row>
    <row r="12959" spans="2:2" ht="15.9" customHeight="1" x14ac:dyDescent="0.3">
      <c r="B12959" s="37"/>
    </row>
    <row r="12960" spans="2:2" ht="15.9" customHeight="1" x14ac:dyDescent="0.3">
      <c r="B12960" s="37"/>
    </row>
    <row r="12961" spans="2:2" ht="15.9" customHeight="1" x14ac:dyDescent="0.3">
      <c r="B12961" s="37"/>
    </row>
    <row r="12962" spans="2:2" ht="15.9" customHeight="1" x14ac:dyDescent="0.3">
      <c r="B12962" s="37"/>
    </row>
    <row r="12963" spans="2:2" ht="15.9" customHeight="1" x14ac:dyDescent="0.3">
      <c r="B12963" s="37"/>
    </row>
    <row r="12964" spans="2:2" ht="15.9" customHeight="1" x14ac:dyDescent="0.3">
      <c r="B12964" s="37"/>
    </row>
    <row r="12965" spans="2:2" ht="15.9" customHeight="1" x14ac:dyDescent="0.3">
      <c r="B12965" s="37"/>
    </row>
    <row r="12966" spans="2:2" ht="15.9" customHeight="1" x14ac:dyDescent="0.3">
      <c r="B12966" s="37"/>
    </row>
    <row r="12967" spans="2:2" ht="15.9" customHeight="1" x14ac:dyDescent="0.3">
      <c r="B12967" s="37"/>
    </row>
    <row r="12968" spans="2:2" ht="15.9" customHeight="1" x14ac:dyDescent="0.3">
      <c r="B12968" s="37"/>
    </row>
    <row r="12969" spans="2:2" ht="15.9" customHeight="1" x14ac:dyDescent="0.3">
      <c r="B12969" s="37"/>
    </row>
    <row r="12970" spans="2:2" ht="15.9" customHeight="1" x14ac:dyDescent="0.3">
      <c r="B12970" s="37"/>
    </row>
    <row r="12971" spans="2:2" ht="15.9" customHeight="1" x14ac:dyDescent="0.3">
      <c r="B12971" s="37"/>
    </row>
    <row r="12972" spans="2:2" ht="15.9" customHeight="1" x14ac:dyDescent="0.3">
      <c r="B12972" s="37"/>
    </row>
    <row r="12973" spans="2:2" ht="15.9" customHeight="1" x14ac:dyDescent="0.3">
      <c r="B12973" s="37"/>
    </row>
    <row r="12974" spans="2:2" ht="15.9" customHeight="1" x14ac:dyDescent="0.3">
      <c r="B12974" s="37"/>
    </row>
    <row r="12975" spans="2:2" ht="15.9" customHeight="1" x14ac:dyDescent="0.3">
      <c r="B12975" s="37"/>
    </row>
    <row r="12976" spans="2:2" ht="15.9" customHeight="1" x14ac:dyDescent="0.3">
      <c r="B12976" s="37"/>
    </row>
    <row r="12977" spans="2:2" ht="15.9" customHeight="1" x14ac:dyDescent="0.3">
      <c r="B12977" s="37"/>
    </row>
    <row r="12978" spans="2:2" ht="15.9" customHeight="1" x14ac:dyDescent="0.3">
      <c r="B12978" s="37"/>
    </row>
    <row r="12979" spans="2:2" ht="15.9" customHeight="1" x14ac:dyDescent="0.3">
      <c r="B12979" s="37"/>
    </row>
    <row r="12980" spans="2:2" ht="15.9" customHeight="1" x14ac:dyDescent="0.3">
      <c r="B12980" s="37"/>
    </row>
    <row r="12981" spans="2:2" ht="15.9" customHeight="1" x14ac:dyDescent="0.3">
      <c r="B12981" s="37"/>
    </row>
    <row r="12982" spans="2:2" ht="15.9" customHeight="1" x14ac:dyDescent="0.3">
      <c r="B12982" s="37"/>
    </row>
    <row r="12983" spans="2:2" ht="15.9" customHeight="1" x14ac:dyDescent="0.3">
      <c r="B12983" s="37"/>
    </row>
    <row r="12984" spans="2:2" ht="15.9" customHeight="1" x14ac:dyDescent="0.3">
      <c r="B12984" s="37"/>
    </row>
    <row r="12985" spans="2:2" ht="15.9" customHeight="1" x14ac:dyDescent="0.3">
      <c r="B12985" s="37"/>
    </row>
    <row r="12986" spans="2:2" ht="15.9" customHeight="1" x14ac:dyDescent="0.3">
      <c r="B12986" s="37"/>
    </row>
    <row r="12987" spans="2:2" ht="15.9" customHeight="1" x14ac:dyDescent="0.3">
      <c r="B12987" s="37"/>
    </row>
    <row r="12988" spans="2:2" ht="15.9" customHeight="1" x14ac:dyDescent="0.3">
      <c r="B12988" s="37"/>
    </row>
    <row r="12989" spans="2:2" ht="15.9" customHeight="1" x14ac:dyDescent="0.3">
      <c r="B12989" s="37"/>
    </row>
    <row r="12990" spans="2:2" ht="15.9" customHeight="1" x14ac:dyDescent="0.3">
      <c r="B12990" s="37"/>
    </row>
    <row r="12991" spans="2:2" ht="15.9" customHeight="1" x14ac:dyDescent="0.3">
      <c r="B12991" s="37"/>
    </row>
    <row r="12992" spans="2:2" ht="15.9" customHeight="1" x14ac:dyDescent="0.3">
      <c r="B12992" s="37"/>
    </row>
    <row r="12993" spans="2:2" ht="15.9" customHeight="1" x14ac:dyDescent="0.3">
      <c r="B12993" s="37"/>
    </row>
    <row r="12994" spans="2:2" ht="15.9" customHeight="1" x14ac:dyDescent="0.3">
      <c r="B12994" s="37"/>
    </row>
    <row r="12995" spans="2:2" ht="15.9" customHeight="1" x14ac:dyDescent="0.3">
      <c r="B12995" s="37"/>
    </row>
    <row r="12996" spans="2:2" ht="15.9" customHeight="1" x14ac:dyDescent="0.3">
      <c r="B12996" s="37"/>
    </row>
    <row r="12997" spans="2:2" ht="15.9" customHeight="1" x14ac:dyDescent="0.3">
      <c r="B12997" s="37"/>
    </row>
    <row r="12998" spans="2:2" ht="15.9" customHeight="1" x14ac:dyDescent="0.3">
      <c r="B12998" s="37"/>
    </row>
    <row r="12999" spans="2:2" ht="15.9" customHeight="1" x14ac:dyDescent="0.3">
      <c r="B12999" s="37"/>
    </row>
    <row r="13000" spans="2:2" ht="15.9" customHeight="1" x14ac:dyDescent="0.3">
      <c r="B13000" s="37"/>
    </row>
    <row r="13001" spans="2:2" ht="15.9" customHeight="1" x14ac:dyDescent="0.3">
      <c r="B13001" s="37"/>
    </row>
    <row r="13002" spans="2:2" ht="15.9" customHeight="1" x14ac:dyDescent="0.3">
      <c r="B13002" s="37"/>
    </row>
    <row r="13003" spans="2:2" ht="15.9" customHeight="1" x14ac:dyDescent="0.3">
      <c r="B13003" s="37"/>
    </row>
    <row r="13004" spans="2:2" ht="15.9" customHeight="1" x14ac:dyDescent="0.3">
      <c r="B13004" s="37"/>
    </row>
    <row r="13005" spans="2:2" ht="15.9" customHeight="1" x14ac:dyDescent="0.3">
      <c r="B13005" s="37"/>
    </row>
    <row r="13006" spans="2:2" ht="15.9" customHeight="1" x14ac:dyDescent="0.3">
      <c r="B13006" s="37"/>
    </row>
    <row r="13007" spans="2:2" ht="15.9" customHeight="1" x14ac:dyDescent="0.3">
      <c r="B13007" s="37"/>
    </row>
    <row r="13008" spans="2:2" ht="15.9" customHeight="1" x14ac:dyDescent="0.3">
      <c r="B13008" s="37"/>
    </row>
    <row r="13009" spans="2:2" ht="15.9" customHeight="1" x14ac:dyDescent="0.3">
      <c r="B13009" s="37"/>
    </row>
    <row r="13010" spans="2:2" ht="15.9" customHeight="1" x14ac:dyDescent="0.3">
      <c r="B13010" s="37"/>
    </row>
    <row r="13011" spans="2:2" ht="15.9" customHeight="1" x14ac:dyDescent="0.3">
      <c r="B13011" s="37"/>
    </row>
    <row r="13012" spans="2:2" ht="15.9" customHeight="1" x14ac:dyDescent="0.3">
      <c r="B13012" s="37"/>
    </row>
    <row r="13013" spans="2:2" ht="15.9" customHeight="1" x14ac:dyDescent="0.3">
      <c r="B13013" s="37"/>
    </row>
    <row r="13014" spans="2:2" ht="15.9" customHeight="1" x14ac:dyDescent="0.3">
      <c r="B13014" s="37"/>
    </row>
    <row r="13015" spans="2:2" ht="15.9" customHeight="1" x14ac:dyDescent="0.3">
      <c r="B13015" s="37"/>
    </row>
    <row r="13016" spans="2:2" ht="15.9" customHeight="1" x14ac:dyDescent="0.3">
      <c r="B13016" s="37"/>
    </row>
    <row r="13017" spans="2:2" ht="15.9" customHeight="1" x14ac:dyDescent="0.3">
      <c r="B13017" s="37"/>
    </row>
    <row r="13018" spans="2:2" ht="15.9" customHeight="1" x14ac:dyDescent="0.3">
      <c r="B13018" s="37"/>
    </row>
    <row r="13019" spans="2:2" ht="15.9" customHeight="1" x14ac:dyDescent="0.3">
      <c r="B13019" s="37"/>
    </row>
    <row r="13020" spans="2:2" ht="15.9" customHeight="1" x14ac:dyDescent="0.3">
      <c r="B13020" s="37"/>
    </row>
    <row r="13021" spans="2:2" ht="15.9" customHeight="1" x14ac:dyDescent="0.3">
      <c r="B13021" s="37"/>
    </row>
    <row r="13022" spans="2:2" ht="15.9" customHeight="1" x14ac:dyDescent="0.3">
      <c r="B13022" s="37"/>
    </row>
    <row r="13023" spans="2:2" ht="15.9" customHeight="1" x14ac:dyDescent="0.3">
      <c r="B13023" s="37"/>
    </row>
    <row r="13024" spans="2:2" ht="15.9" customHeight="1" x14ac:dyDescent="0.3">
      <c r="B13024" s="37"/>
    </row>
    <row r="13025" spans="2:2" ht="15.9" customHeight="1" x14ac:dyDescent="0.3">
      <c r="B13025" s="37"/>
    </row>
    <row r="13026" spans="2:2" ht="15.9" customHeight="1" x14ac:dyDescent="0.3">
      <c r="B13026" s="37"/>
    </row>
    <row r="13027" spans="2:2" ht="15.9" customHeight="1" x14ac:dyDescent="0.3">
      <c r="B13027" s="37"/>
    </row>
    <row r="13028" spans="2:2" ht="15.9" customHeight="1" x14ac:dyDescent="0.3">
      <c r="B13028" s="37"/>
    </row>
    <row r="13029" spans="2:2" ht="15.9" customHeight="1" x14ac:dyDescent="0.3">
      <c r="B13029" s="37"/>
    </row>
    <row r="13030" spans="2:2" ht="15.9" customHeight="1" x14ac:dyDescent="0.3">
      <c r="B13030" s="37"/>
    </row>
    <row r="13031" spans="2:2" ht="15.9" customHeight="1" x14ac:dyDescent="0.3">
      <c r="B13031" s="37"/>
    </row>
    <row r="13032" spans="2:2" ht="15.9" customHeight="1" x14ac:dyDescent="0.3">
      <c r="B13032" s="37"/>
    </row>
    <row r="13033" spans="2:2" ht="15.9" customHeight="1" x14ac:dyDescent="0.3">
      <c r="B13033" s="37"/>
    </row>
    <row r="13034" spans="2:2" ht="15.9" customHeight="1" x14ac:dyDescent="0.3">
      <c r="B13034" s="37"/>
    </row>
    <row r="13035" spans="2:2" ht="15.9" customHeight="1" x14ac:dyDescent="0.3">
      <c r="B13035" s="37"/>
    </row>
    <row r="13036" spans="2:2" ht="15.9" customHeight="1" x14ac:dyDescent="0.3">
      <c r="B13036" s="37"/>
    </row>
    <row r="13037" spans="2:2" ht="15.9" customHeight="1" x14ac:dyDescent="0.3">
      <c r="B13037" s="37"/>
    </row>
    <row r="13038" spans="2:2" ht="15.9" customHeight="1" x14ac:dyDescent="0.3">
      <c r="B13038" s="37"/>
    </row>
    <row r="13039" spans="2:2" ht="15.9" customHeight="1" x14ac:dyDescent="0.3">
      <c r="B13039" s="37"/>
    </row>
    <row r="13040" spans="2:2" ht="15.9" customHeight="1" x14ac:dyDescent="0.3">
      <c r="B13040" s="37"/>
    </row>
    <row r="13041" spans="2:2" ht="15.9" customHeight="1" x14ac:dyDescent="0.3">
      <c r="B13041" s="37"/>
    </row>
    <row r="13042" spans="2:2" ht="15.9" customHeight="1" x14ac:dyDescent="0.3">
      <c r="B13042" s="37"/>
    </row>
    <row r="13043" spans="2:2" ht="15.9" customHeight="1" x14ac:dyDescent="0.3">
      <c r="B13043" s="37"/>
    </row>
    <row r="13044" spans="2:2" ht="15.9" customHeight="1" x14ac:dyDescent="0.3">
      <c r="B13044" s="37"/>
    </row>
    <row r="13045" spans="2:2" ht="15.9" customHeight="1" x14ac:dyDescent="0.3">
      <c r="B13045" s="37"/>
    </row>
    <row r="13046" spans="2:2" ht="15.9" customHeight="1" x14ac:dyDescent="0.3">
      <c r="B13046" s="37"/>
    </row>
    <row r="13047" spans="2:2" ht="15.9" customHeight="1" x14ac:dyDescent="0.3">
      <c r="B13047" s="37"/>
    </row>
    <row r="13048" spans="2:2" ht="15.9" customHeight="1" x14ac:dyDescent="0.3">
      <c r="B13048" s="37"/>
    </row>
    <row r="13049" spans="2:2" ht="15.9" customHeight="1" x14ac:dyDescent="0.3">
      <c r="B13049" s="37"/>
    </row>
    <row r="13050" spans="2:2" ht="15.9" customHeight="1" x14ac:dyDescent="0.3">
      <c r="B13050" s="37"/>
    </row>
    <row r="13051" spans="2:2" ht="15.9" customHeight="1" x14ac:dyDescent="0.3">
      <c r="B13051" s="37"/>
    </row>
    <row r="13052" spans="2:2" ht="15.9" customHeight="1" x14ac:dyDescent="0.3">
      <c r="B13052" s="37"/>
    </row>
    <row r="13053" spans="2:2" ht="15.9" customHeight="1" x14ac:dyDescent="0.3">
      <c r="B13053" s="37"/>
    </row>
    <row r="13054" spans="2:2" ht="15.9" customHeight="1" x14ac:dyDescent="0.3">
      <c r="B13054" s="37"/>
    </row>
    <row r="13055" spans="2:2" ht="15.9" customHeight="1" x14ac:dyDescent="0.3">
      <c r="B13055" s="37"/>
    </row>
    <row r="13056" spans="2:2" ht="15.9" customHeight="1" x14ac:dyDescent="0.3">
      <c r="B13056" s="37"/>
    </row>
    <row r="13057" spans="2:2" ht="15.9" customHeight="1" x14ac:dyDescent="0.3">
      <c r="B13057" s="37"/>
    </row>
    <row r="13058" spans="2:2" ht="15.9" customHeight="1" x14ac:dyDescent="0.3">
      <c r="B13058" s="37"/>
    </row>
    <row r="13059" spans="2:2" ht="15.9" customHeight="1" x14ac:dyDescent="0.3">
      <c r="B13059" s="37"/>
    </row>
    <row r="13060" spans="2:2" ht="15.9" customHeight="1" x14ac:dyDescent="0.3">
      <c r="B13060" s="37"/>
    </row>
    <row r="13061" spans="2:2" ht="15.9" customHeight="1" x14ac:dyDescent="0.3">
      <c r="B13061" s="37"/>
    </row>
    <row r="13062" spans="2:2" ht="15.9" customHeight="1" x14ac:dyDescent="0.3">
      <c r="B13062" s="37"/>
    </row>
    <row r="13063" spans="2:2" ht="15.9" customHeight="1" x14ac:dyDescent="0.3">
      <c r="B13063" s="37"/>
    </row>
    <row r="13064" spans="2:2" ht="15.9" customHeight="1" x14ac:dyDescent="0.3">
      <c r="B13064" s="37"/>
    </row>
    <row r="13065" spans="2:2" ht="15.9" customHeight="1" x14ac:dyDescent="0.3">
      <c r="B13065" s="37"/>
    </row>
    <row r="13066" spans="2:2" ht="15.9" customHeight="1" x14ac:dyDescent="0.3">
      <c r="B13066" s="37"/>
    </row>
    <row r="13067" spans="2:2" ht="15.9" customHeight="1" x14ac:dyDescent="0.3">
      <c r="B13067" s="37"/>
    </row>
    <row r="13068" spans="2:2" ht="15.9" customHeight="1" x14ac:dyDescent="0.3">
      <c r="B13068" s="37"/>
    </row>
    <row r="13069" spans="2:2" ht="15.9" customHeight="1" x14ac:dyDescent="0.3">
      <c r="B13069" s="37"/>
    </row>
    <row r="13070" spans="2:2" ht="15.9" customHeight="1" x14ac:dyDescent="0.3">
      <c r="B13070" s="37"/>
    </row>
    <row r="13071" spans="2:2" ht="15.9" customHeight="1" x14ac:dyDescent="0.3">
      <c r="B13071" s="37"/>
    </row>
    <row r="13072" spans="2:2" ht="15.9" customHeight="1" x14ac:dyDescent="0.3">
      <c r="B13072" s="37"/>
    </row>
    <row r="13073" spans="2:2" ht="15.9" customHeight="1" x14ac:dyDescent="0.3">
      <c r="B13073" s="37"/>
    </row>
    <row r="13074" spans="2:2" ht="15.9" customHeight="1" x14ac:dyDescent="0.3">
      <c r="B13074" s="37"/>
    </row>
    <row r="13075" spans="2:2" ht="15.9" customHeight="1" x14ac:dyDescent="0.3">
      <c r="B13075" s="37"/>
    </row>
    <row r="13076" spans="2:2" ht="15.9" customHeight="1" x14ac:dyDescent="0.3">
      <c r="B13076" s="37"/>
    </row>
    <row r="13077" spans="2:2" ht="15.9" customHeight="1" x14ac:dyDescent="0.3">
      <c r="B13077" s="37"/>
    </row>
    <row r="13078" spans="2:2" ht="15.9" customHeight="1" x14ac:dyDescent="0.3">
      <c r="B13078" s="37"/>
    </row>
    <row r="13079" spans="2:2" ht="15.9" customHeight="1" x14ac:dyDescent="0.3">
      <c r="B13079" s="37"/>
    </row>
    <row r="13080" spans="2:2" ht="15.9" customHeight="1" x14ac:dyDescent="0.3">
      <c r="B13080" s="37"/>
    </row>
    <row r="13081" spans="2:2" ht="15.9" customHeight="1" x14ac:dyDescent="0.3">
      <c r="B13081" s="37"/>
    </row>
    <row r="13082" spans="2:2" ht="15.9" customHeight="1" x14ac:dyDescent="0.3">
      <c r="B13082" s="37"/>
    </row>
    <row r="13083" spans="2:2" ht="15.9" customHeight="1" x14ac:dyDescent="0.3">
      <c r="B13083" s="37"/>
    </row>
    <row r="13084" spans="2:2" ht="15.9" customHeight="1" x14ac:dyDescent="0.3">
      <c r="B13084" s="37"/>
    </row>
    <row r="13085" spans="2:2" ht="15.9" customHeight="1" x14ac:dyDescent="0.3">
      <c r="B13085" s="37"/>
    </row>
    <row r="13086" spans="2:2" ht="15.9" customHeight="1" x14ac:dyDescent="0.3">
      <c r="B13086" s="37"/>
    </row>
    <row r="13087" spans="2:2" ht="15.9" customHeight="1" x14ac:dyDescent="0.3">
      <c r="B13087" s="37"/>
    </row>
    <row r="13088" spans="2:2" ht="15.9" customHeight="1" x14ac:dyDescent="0.3">
      <c r="B13088" s="37"/>
    </row>
    <row r="13089" spans="2:2" ht="15.9" customHeight="1" x14ac:dyDescent="0.3">
      <c r="B13089" s="37"/>
    </row>
    <row r="13090" spans="2:2" ht="15.9" customHeight="1" x14ac:dyDescent="0.3">
      <c r="B13090" s="37"/>
    </row>
    <row r="13091" spans="2:2" ht="15.9" customHeight="1" x14ac:dyDescent="0.3">
      <c r="B13091" s="37"/>
    </row>
    <row r="13092" spans="2:2" ht="15.9" customHeight="1" x14ac:dyDescent="0.3">
      <c r="B13092" s="37"/>
    </row>
    <row r="13093" spans="2:2" ht="15.9" customHeight="1" x14ac:dyDescent="0.3">
      <c r="B13093" s="37"/>
    </row>
    <row r="13094" spans="2:2" ht="15.9" customHeight="1" x14ac:dyDescent="0.3">
      <c r="B13094" s="37"/>
    </row>
    <row r="13095" spans="2:2" ht="15.9" customHeight="1" x14ac:dyDescent="0.3">
      <c r="B13095" s="37"/>
    </row>
    <row r="13096" spans="2:2" ht="15.9" customHeight="1" x14ac:dyDescent="0.3">
      <c r="B13096" s="37"/>
    </row>
    <row r="13097" spans="2:2" ht="15.9" customHeight="1" x14ac:dyDescent="0.3">
      <c r="B13097" s="37"/>
    </row>
    <row r="13098" spans="2:2" ht="15.9" customHeight="1" x14ac:dyDescent="0.3">
      <c r="B13098" s="37"/>
    </row>
    <row r="13099" spans="2:2" ht="15.9" customHeight="1" x14ac:dyDescent="0.3">
      <c r="B13099" s="37"/>
    </row>
    <row r="13100" spans="2:2" ht="15.9" customHeight="1" x14ac:dyDescent="0.3">
      <c r="B13100" s="37"/>
    </row>
    <row r="13101" spans="2:2" ht="15.9" customHeight="1" x14ac:dyDescent="0.3">
      <c r="B13101" s="37"/>
    </row>
    <row r="13102" spans="2:2" ht="15.9" customHeight="1" x14ac:dyDescent="0.3">
      <c r="B13102" s="37"/>
    </row>
    <row r="13103" spans="2:2" ht="15.9" customHeight="1" x14ac:dyDescent="0.3">
      <c r="B13103" s="37"/>
    </row>
    <row r="13104" spans="2:2" ht="15.9" customHeight="1" x14ac:dyDescent="0.3">
      <c r="B13104" s="37"/>
    </row>
    <row r="13105" spans="2:2" ht="15.9" customHeight="1" x14ac:dyDescent="0.3">
      <c r="B13105" s="37"/>
    </row>
    <row r="13106" spans="2:2" ht="15.9" customHeight="1" x14ac:dyDescent="0.3">
      <c r="B13106" s="37"/>
    </row>
    <row r="13107" spans="2:2" ht="15.9" customHeight="1" x14ac:dyDescent="0.3">
      <c r="B13107" s="37"/>
    </row>
    <row r="13108" spans="2:2" ht="15.9" customHeight="1" x14ac:dyDescent="0.3">
      <c r="B13108" s="37"/>
    </row>
    <row r="13109" spans="2:2" ht="15.9" customHeight="1" x14ac:dyDescent="0.3">
      <c r="B13109" s="37"/>
    </row>
    <row r="13110" spans="2:2" ht="15.9" customHeight="1" x14ac:dyDescent="0.3">
      <c r="B13110" s="37"/>
    </row>
    <row r="13111" spans="2:2" ht="15.9" customHeight="1" x14ac:dyDescent="0.3">
      <c r="B13111" s="37"/>
    </row>
    <row r="13112" spans="2:2" ht="15.9" customHeight="1" x14ac:dyDescent="0.3">
      <c r="B13112" s="37"/>
    </row>
    <row r="13113" spans="2:2" ht="15.9" customHeight="1" x14ac:dyDescent="0.3">
      <c r="B13113" s="37"/>
    </row>
    <row r="13114" spans="2:2" ht="15.9" customHeight="1" x14ac:dyDescent="0.3">
      <c r="B13114" s="37"/>
    </row>
    <row r="13115" spans="2:2" ht="15.9" customHeight="1" x14ac:dyDescent="0.3">
      <c r="B13115" s="37"/>
    </row>
    <row r="13116" spans="2:2" ht="15.9" customHeight="1" x14ac:dyDescent="0.3">
      <c r="B13116" s="37"/>
    </row>
    <row r="13117" spans="2:2" ht="15.9" customHeight="1" x14ac:dyDescent="0.3">
      <c r="B13117" s="37"/>
    </row>
    <row r="13118" spans="2:2" ht="15.9" customHeight="1" x14ac:dyDescent="0.3">
      <c r="B13118" s="37"/>
    </row>
    <row r="13119" spans="2:2" ht="15.9" customHeight="1" x14ac:dyDescent="0.3">
      <c r="B13119" s="37"/>
    </row>
    <row r="13120" spans="2:2" ht="15.9" customHeight="1" x14ac:dyDescent="0.3">
      <c r="B13120" s="37"/>
    </row>
    <row r="13121" spans="2:2" ht="15.9" customHeight="1" x14ac:dyDescent="0.3">
      <c r="B13121" s="37"/>
    </row>
    <row r="13122" spans="2:2" ht="15.9" customHeight="1" x14ac:dyDescent="0.3">
      <c r="B13122" s="37"/>
    </row>
    <row r="13123" spans="2:2" ht="15.9" customHeight="1" x14ac:dyDescent="0.3">
      <c r="B13123" s="37"/>
    </row>
    <row r="13124" spans="2:2" ht="15.9" customHeight="1" x14ac:dyDescent="0.3">
      <c r="B13124" s="37"/>
    </row>
    <row r="13125" spans="2:2" ht="15.9" customHeight="1" x14ac:dyDescent="0.3">
      <c r="B13125" s="37"/>
    </row>
    <row r="13126" spans="2:2" ht="15.9" customHeight="1" x14ac:dyDescent="0.3">
      <c r="B13126" s="37"/>
    </row>
    <row r="13127" spans="2:2" ht="15.9" customHeight="1" x14ac:dyDescent="0.3">
      <c r="B13127" s="37"/>
    </row>
    <row r="13128" spans="2:2" ht="15.9" customHeight="1" x14ac:dyDescent="0.3">
      <c r="B13128" s="37"/>
    </row>
    <row r="13129" spans="2:2" ht="15.9" customHeight="1" x14ac:dyDescent="0.3">
      <c r="B13129" s="37"/>
    </row>
    <row r="13130" spans="2:2" ht="15.9" customHeight="1" x14ac:dyDescent="0.3">
      <c r="B13130" s="37"/>
    </row>
    <row r="13131" spans="2:2" ht="15.9" customHeight="1" x14ac:dyDescent="0.3">
      <c r="B13131" s="37"/>
    </row>
    <row r="13132" spans="2:2" ht="15.9" customHeight="1" x14ac:dyDescent="0.3">
      <c r="B13132" s="37"/>
    </row>
    <row r="13133" spans="2:2" ht="15.9" customHeight="1" x14ac:dyDescent="0.3">
      <c r="B13133" s="37"/>
    </row>
    <row r="13134" spans="2:2" ht="15.9" customHeight="1" x14ac:dyDescent="0.3">
      <c r="B13134" s="37"/>
    </row>
    <row r="13135" spans="2:2" ht="15.9" customHeight="1" x14ac:dyDescent="0.3">
      <c r="B13135" s="37"/>
    </row>
    <row r="13136" spans="2:2" ht="15.9" customHeight="1" x14ac:dyDescent="0.3">
      <c r="B13136" s="37"/>
    </row>
    <row r="13137" spans="2:2" ht="15.9" customHeight="1" x14ac:dyDescent="0.3">
      <c r="B13137" s="37"/>
    </row>
    <row r="13138" spans="2:2" ht="15.9" customHeight="1" x14ac:dyDescent="0.3">
      <c r="B13138" s="37"/>
    </row>
    <row r="13139" spans="2:2" ht="15.9" customHeight="1" x14ac:dyDescent="0.3">
      <c r="B13139" s="37"/>
    </row>
    <row r="13140" spans="2:2" ht="15.9" customHeight="1" x14ac:dyDescent="0.3">
      <c r="B13140" s="37"/>
    </row>
    <row r="13141" spans="2:2" ht="15.9" customHeight="1" x14ac:dyDescent="0.3">
      <c r="B13141" s="37"/>
    </row>
    <row r="13142" spans="2:2" ht="15.9" customHeight="1" x14ac:dyDescent="0.3">
      <c r="B13142" s="37"/>
    </row>
    <row r="13143" spans="2:2" ht="15.9" customHeight="1" x14ac:dyDescent="0.3">
      <c r="B13143" s="37"/>
    </row>
    <row r="13144" spans="2:2" ht="15.9" customHeight="1" x14ac:dyDescent="0.3">
      <c r="B13144" s="37"/>
    </row>
    <row r="13145" spans="2:2" ht="15.9" customHeight="1" x14ac:dyDescent="0.3">
      <c r="B13145" s="37"/>
    </row>
    <row r="13146" spans="2:2" ht="15.9" customHeight="1" x14ac:dyDescent="0.3">
      <c r="B13146" s="37"/>
    </row>
    <row r="13147" spans="2:2" ht="15.9" customHeight="1" x14ac:dyDescent="0.3">
      <c r="B13147" s="37"/>
    </row>
    <row r="13148" spans="2:2" ht="15.9" customHeight="1" x14ac:dyDescent="0.3">
      <c r="B13148" s="37"/>
    </row>
    <row r="13149" spans="2:2" ht="15.9" customHeight="1" x14ac:dyDescent="0.3">
      <c r="B13149" s="37"/>
    </row>
    <row r="13150" spans="2:2" ht="15.9" customHeight="1" x14ac:dyDescent="0.3">
      <c r="B13150" s="37"/>
    </row>
    <row r="13151" spans="2:2" ht="15.9" customHeight="1" x14ac:dyDescent="0.3">
      <c r="B13151" s="37"/>
    </row>
    <row r="13152" spans="2:2" ht="15.9" customHeight="1" x14ac:dyDescent="0.3">
      <c r="B13152" s="37"/>
    </row>
    <row r="13153" spans="2:2" ht="15.9" customHeight="1" x14ac:dyDescent="0.3">
      <c r="B13153" s="37"/>
    </row>
    <row r="13154" spans="2:2" ht="15.9" customHeight="1" x14ac:dyDescent="0.3">
      <c r="B13154" s="37"/>
    </row>
    <row r="13155" spans="2:2" ht="15.9" customHeight="1" x14ac:dyDescent="0.3">
      <c r="B13155" s="37"/>
    </row>
    <row r="13156" spans="2:2" ht="15.9" customHeight="1" x14ac:dyDescent="0.3">
      <c r="B13156" s="37"/>
    </row>
    <row r="13157" spans="2:2" ht="15.9" customHeight="1" x14ac:dyDescent="0.3">
      <c r="B13157" s="37"/>
    </row>
    <row r="13158" spans="2:2" ht="15.9" customHeight="1" x14ac:dyDescent="0.3">
      <c r="B13158" s="37"/>
    </row>
    <row r="13159" spans="2:2" ht="15.9" customHeight="1" x14ac:dyDescent="0.3">
      <c r="B13159" s="37"/>
    </row>
    <row r="13160" spans="2:2" ht="15.9" customHeight="1" x14ac:dyDescent="0.3">
      <c r="B13160" s="37"/>
    </row>
    <row r="13161" spans="2:2" ht="15.9" customHeight="1" x14ac:dyDescent="0.3">
      <c r="B13161" s="37"/>
    </row>
    <row r="13162" spans="2:2" ht="15.9" customHeight="1" x14ac:dyDescent="0.3">
      <c r="B13162" s="37"/>
    </row>
    <row r="13163" spans="2:2" ht="15.9" customHeight="1" x14ac:dyDescent="0.3">
      <c r="B13163" s="37"/>
    </row>
    <row r="13164" spans="2:2" ht="15.9" customHeight="1" x14ac:dyDescent="0.3">
      <c r="B13164" s="37"/>
    </row>
    <row r="13165" spans="2:2" ht="15.9" customHeight="1" x14ac:dyDescent="0.3">
      <c r="B13165" s="37"/>
    </row>
    <row r="13166" spans="2:2" ht="15.9" customHeight="1" x14ac:dyDescent="0.3">
      <c r="B13166" s="37"/>
    </row>
    <row r="13167" spans="2:2" ht="15.9" customHeight="1" x14ac:dyDescent="0.3">
      <c r="B13167" s="37"/>
    </row>
    <row r="13168" spans="2:2" ht="15.9" customHeight="1" x14ac:dyDescent="0.3">
      <c r="B13168" s="37"/>
    </row>
    <row r="13169" spans="2:2" ht="15.9" customHeight="1" x14ac:dyDescent="0.3">
      <c r="B13169" s="37"/>
    </row>
    <row r="13170" spans="2:2" ht="15.9" customHeight="1" x14ac:dyDescent="0.3">
      <c r="B13170" s="37"/>
    </row>
    <row r="13171" spans="2:2" ht="15.9" customHeight="1" x14ac:dyDescent="0.3">
      <c r="B13171" s="37"/>
    </row>
    <row r="13172" spans="2:2" ht="15.9" customHeight="1" x14ac:dyDescent="0.3">
      <c r="B13172" s="37"/>
    </row>
    <row r="13173" spans="2:2" ht="15.9" customHeight="1" x14ac:dyDescent="0.3">
      <c r="B13173" s="37"/>
    </row>
    <row r="13174" spans="2:2" ht="15.9" customHeight="1" x14ac:dyDescent="0.3">
      <c r="B13174" s="37"/>
    </row>
    <row r="13175" spans="2:2" ht="15.9" customHeight="1" x14ac:dyDescent="0.3">
      <c r="B13175" s="37"/>
    </row>
    <row r="13176" spans="2:2" ht="15.9" customHeight="1" x14ac:dyDescent="0.3">
      <c r="B13176" s="37"/>
    </row>
    <row r="13177" spans="2:2" ht="15.9" customHeight="1" x14ac:dyDescent="0.3">
      <c r="B13177" s="37"/>
    </row>
    <row r="13178" spans="2:2" ht="15.9" customHeight="1" x14ac:dyDescent="0.3">
      <c r="B13178" s="37"/>
    </row>
    <row r="13179" spans="2:2" ht="15.9" customHeight="1" x14ac:dyDescent="0.3">
      <c r="B13179" s="37"/>
    </row>
    <row r="13180" spans="2:2" ht="15.9" customHeight="1" x14ac:dyDescent="0.3">
      <c r="B13180" s="37"/>
    </row>
    <row r="13181" spans="2:2" ht="15.9" customHeight="1" x14ac:dyDescent="0.3">
      <c r="B13181" s="37"/>
    </row>
    <row r="13182" spans="2:2" ht="15.9" customHeight="1" x14ac:dyDescent="0.3">
      <c r="B13182" s="37"/>
    </row>
    <row r="13183" spans="2:2" ht="15.9" customHeight="1" x14ac:dyDescent="0.3">
      <c r="B13183" s="37"/>
    </row>
    <row r="13184" spans="2:2" ht="15.9" customHeight="1" x14ac:dyDescent="0.3">
      <c r="B13184" s="37"/>
    </row>
    <row r="13185" spans="2:2" ht="15.9" customHeight="1" x14ac:dyDescent="0.3">
      <c r="B13185" s="37"/>
    </row>
    <row r="13186" spans="2:2" ht="15.9" customHeight="1" x14ac:dyDescent="0.3">
      <c r="B13186" s="37"/>
    </row>
    <row r="13187" spans="2:2" ht="15.9" customHeight="1" x14ac:dyDescent="0.3">
      <c r="B13187" s="37"/>
    </row>
    <row r="13188" spans="2:2" ht="15.9" customHeight="1" x14ac:dyDescent="0.3">
      <c r="B13188" s="37"/>
    </row>
    <row r="13189" spans="2:2" ht="15.9" customHeight="1" x14ac:dyDescent="0.3">
      <c r="B13189" s="37"/>
    </row>
    <row r="13190" spans="2:2" ht="15.9" customHeight="1" x14ac:dyDescent="0.3">
      <c r="B13190" s="37"/>
    </row>
    <row r="13191" spans="2:2" ht="15.9" customHeight="1" x14ac:dyDescent="0.3">
      <c r="B13191" s="37"/>
    </row>
    <row r="13192" spans="2:2" ht="15.9" customHeight="1" x14ac:dyDescent="0.3">
      <c r="B13192" s="37"/>
    </row>
    <row r="13193" spans="2:2" ht="15.9" customHeight="1" x14ac:dyDescent="0.3">
      <c r="B13193" s="37"/>
    </row>
    <row r="13194" spans="2:2" ht="15.9" customHeight="1" x14ac:dyDescent="0.3">
      <c r="B13194" s="37"/>
    </row>
    <row r="13195" spans="2:2" ht="15.9" customHeight="1" x14ac:dyDescent="0.3">
      <c r="B13195" s="37"/>
    </row>
    <row r="13196" spans="2:2" ht="15.9" customHeight="1" x14ac:dyDescent="0.3">
      <c r="B13196" s="37"/>
    </row>
    <row r="13197" spans="2:2" ht="15.9" customHeight="1" x14ac:dyDescent="0.3">
      <c r="B13197" s="37"/>
    </row>
    <row r="13198" spans="2:2" ht="15.9" customHeight="1" x14ac:dyDescent="0.3">
      <c r="B13198" s="37"/>
    </row>
    <row r="13199" spans="2:2" ht="15.9" customHeight="1" x14ac:dyDescent="0.3">
      <c r="B13199" s="37"/>
    </row>
    <row r="13200" spans="2:2" ht="15.9" customHeight="1" x14ac:dyDescent="0.3">
      <c r="B13200" s="37"/>
    </row>
    <row r="13201" spans="2:2" ht="15.9" customHeight="1" x14ac:dyDescent="0.3">
      <c r="B13201" s="37"/>
    </row>
    <row r="13202" spans="2:2" ht="15.9" customHeight="1" x14ac:dyDescent="0.3">
      <c r="B13202" s="37"/>
    </row>
    <row r="13203" spans="2:2" ht="15.9" customHeight="1" x14ac:dyDescent="0.3">
      <c r="B13203" s="37"/>
    </row>
    <row r="13204" spans="2:2" ht="15.9" customHeight="1" x14ac:dyDescent="0.3">
      <c r="B13204" s="37"/>
    </row>
    <row r="13205" spans="2:2" ht="15.9" customHeight="1" x14ac:dyDescent="0.3">
      <c r="B13205" s="37"/>
    </row>
    <row r="13206" spans="2:2" ht="15.9" customHeight="1" x14ac:dyDescent="0.3">
      <c r="B13206" s="37"/>
    </row>
    <row r="13207" spans="2:2" ht="15.9" customHeight="1" x14ac:dyDescent="0.3">
      <c r="B13207" s="37"/>
    </row>
    <row r="13208" spans="2:2" ht="15.9" customHeight="1" x14ac:dyDescent="0.3">
      <c r="B13208" s="37"/>
    </row>
    <row r="13209" spans="2:2" ht="15.9" customHeight="1" x14ac:dyDescent="0.3">
      <c r="B13209" s="37"/>
    </row>
    <row r="13210" spans="2:2" ht="15.9" customHeight="1" x14ac:dyDescent="0.3">
      <c r="B13210" s="37"/>
    </row>
    <row r="13211" spans="2:2" ht="15.9" customHeight="1" x14ac:dyDescent="0.3">
      <c r="B13211" s="37"/>
    </row>
    <row r="13212" spans="2:2" ht="15.9" customHeight="1" x14ac:dyDescent="0.3">
      <c r="B13212" s="37"/>
    </row>
    <row r="13213" spans="2:2" ht="15.9" customHeight="1" x14ac:dyDescent="0.3">
      <c r="B13213" s="37"/>
    </row>
    <row r="13214" spans="2:2" ht="15.9" customHeight="1" x14ac:dyDescent="0.3">
      <c r="B13214" s="37"/>
    </row>
    <row r="13215" spans="2:2" ht="15.9" customHeight="1" x14ac:dyDescent="0.3">
      <c r="B13215" s="37"/>
    </row>
    <row r="13216" spans="2:2" ht="15.9" customHeight="1" x14ac:dyDescent="0.3">
      <c r="B13216" s="37"/>
    </row>
    <row r="13217" spans="2:2" ht="15.9" customHeight="1" x14ac:dyDescent="0.3">
      <c r="B13217" s="37"/>
    </row>
    <row r="13218" spans="2:2" ht="15.9" customHeight="1" x14ac:dyDescent="0.3">
      <c r="B13218" s="37"/>
    </row>
    <row r="13219" spans="2:2" ht="15.9" customHeight="1" x14ac:dyDescent="0.3">
      <c r="B13219" s="37"/>
    </row>
    <row r="13220" spans="2:2" ht="15.9" customHeight="1" x14ac:dyDescent="0.3">
      <c r="B13220" s="37"/>
    </row>
    <row r="13221" spans="2:2" ht="15.9" customHeight="1" x14ac:dyDescent="0.3">
      <c r="B13221" s="37"/>
    </row>
    <row r="13222" spans="2:2" ht="15.9" customHeight="1" x14ac:dyDescent="0.3">
      <c r="B13222" s="37"/>
    </row>
    <row r="13223" spans="2:2" ht="15.9" customHeight="1" x14ac:dyDescent="0.3">
      <c r="B13223" s="37"/>
    </row>
    <row r="13224" spans="2:2" ht="15.9" customHeight="1" x14ac:dyDescent="0.3">
      <c r="B13224" s="37"/>
    </row>
    <row r="13225" spans="2:2" ht="15.9" customHeight="1" x14ac:dyDescent="0.3">
      <c r="B13225" s="37"/>
    </row>
    <row r="13226" spans="2:2" ht="15.9" customHeight="1" x14ac:dyDescent="0.3">
      <c r="B13226" s="37"/>
    </row>
    <row r="13227" spans="2:2" ht="15.9" customHeight="1" x14ac:dyDescent="0.3">
      <c r="B13227" s="37"/>
    </row>
    <row r="13228" spans="2:2" ht="15.9" customHeight="1" x14ac:dyDescent="0.3">
      <c r="B13228" s="37"/>
    </row>
    <row r="13229" spans="2:2" ht="15.9" customHeight="1" x14ac:dyDescent="0.3">
      <c r="B13229" s="37"/>
    </row>
    <row r="13230" spans="2:2" ht="15.9" customHeight="1" x14ac:dyDescent="0.3">
      <c r="B13230" s="37"/>
    </row>
    <row r="13231" spans="2:2" ht="15.9" customHeight="1" x14ac:dyDescent="0.3">
      <c r="B13231" s="37"/>
    </row>
    <row r="13232" spans="2:2" ht="15.9" customHeight="1" x14ac:dyDescent="0.3">
      <c r="B13232" s="37"/>
    </row>
    <row r="13233" spans="2:2" ht="15.9" customHeight="1" x14ac:dyDescent="0.3">
      <c r="B13233" s="37"/>
    </row>
    <row r="13234" spans="2:2" ht="15.9" customHeight="1" x14ac:dyDescent="0.3">
      <c r="B13234" s="37"/>
    </row>
    <row r="13235" spans="2:2" ht="15.9" customHeight="1" x14ac:dyDescent="0.3">
      <c r="B13235" s="37"/>
    </row>
    <row r="13236" spans="2:2" ht="15.9" customHeight="1" x14ac:dyDescent="0.3">
      <c r="B13236" s="37"/>
    </row>
    <row r="13237" spans="2:2" ht="15.9" customHeight="1" x14ac:dyDescent="0.3">
      <c r="B13237" s="37"/>
    </row>
    <row r="13238" spans="2:2" ht="15.9" customHeight="1" x14ac:dyDescent="0.3">
      <c r="B13238" s="37"/>
    </row>
    <row r="13239" spans="2:2" ht="15.9" customHeight="1" x14ac:dyDescent="0.3">
      <c r="B13239" s="37"/>
    </row>
    <row r="13240" spans="2:2" ht="15.9" customHeight="1" x14ac:dyDescent="0.3">
      <c r="B13240" s="37"/>
    </row>
    <row r="13241" spans="2:2" ht="15.9" customHeight="1" x14ac:dyDescent="0.3">
      <c r="B13241" s="37"/>
    </row>
    <row r="13242" spans="2:2" ht="15.9" customHeight="1" x14ac:dyDescent="0.3">
      <c r="B13242" s="37"/>
    </row>
    <row r="13243" spans="2:2" ht="15.9" customHeight="1" x14ac:dyDescent="0.3">
      <c r="B13243" s="37"/>
    </row>
    <row r="13244" spans="2:2" ht="15.9" customHeight="1" x14ac:dyDescent="0.3">
      <c r="B13244" s="37"/>
    </row>
    <row r="13245" spans="2:2" ht="15.9" customHeight="1" x14ac:dyDescent="0.3">
      <c r="B13245" s="37"/>
    </row>
    <row r="13246" spans="2:2" ht="15.9" customHeight="1" x14ac:dyDescent="0.3">
      <c r="B13246" s="37"/>
    </row>
    <row r="13247" spans="2:2" ht="15.9" customHeight="1" x14ac:dyDescent="0.3">
      <c r="B13247" s="37"/>
    </row>
    <row r="13248" spans="2:2" ht="15.9" customHeight="1" x14ac:dyDescent="0.3">
      <c r="B13248" s="37"/>
    </row>
    <row r="13249" spans="2:2" ht="15.9" customHeight="1" x14ac:dyDescent="0.3">
      <c r="B13249" s="37"/>
    </row>
    <row r="13250" spans="2:2" ht="15.9" customHeight="1" x14ac:dyDescent="0.3">
      <c r="B13250" s="37"/>
    </row>
    <row r="13251" spans="2:2" ht="15.9" customHeight="1" x14ac:dyDescent="0.3">
      <c r="B13251" s="37"/>
    </row>
    <row r="13252" spans="2:2" ht="15.9" customHeight="1" x14ac:dyDescent="0.3">
      <c r="B13252" s="37"/>
    </row>
    <row r="13253" spans="2:2" ht="15.9" customHeight="1" x14ac:dyDescent="0.3">
      <c r="B13253" s="37"/>
    </row>
    <row r="13254" spans="2:2" ht="15.9" customHeight="1" x14ac:dyDescent="0.3">
      <c r="B13254" s="37"/>
    </row>
    <row r="13255" spans="2:2" ht="15.9" customHeight="1" x14ac:dyDescent="0.3">
      <c r="B13255" s="37"/>
    </row>
    <row r="13256" spans="2:2" ht="15.9" customHeight="1" x14ac:dyDescent="0.3">
      <c r="B13256" s="37"/>
    </row>
    <row r="13257" spans="2:2" ht="15.9" customHeight="1" x14ac:dyDescent="0.3">
      <c r="B13257" s="37"/>
    </row>
    <row r="13258" spans="2:2" ht="15.9" customHeight="1" x14ac:dyDescent="0.3">
      <c r="B13258" s="37"/>
    </row>
    <row r="13259" spans="2:2" ht="15.9" customHeight="1" x14ac:dyDescent="0.3">
      <c r="B13259" s="37"/>
    </row>
    <row r="13260" spans="2:2" ht="15.9" customHeight="1" x14ac:dyDescent="0.3">
      <c r="B13260" s="37"/>
    </row>
    <row r="13261" spans="2:2" ht="15.9" customHeight="1" x14ac:dyDescent="0.3">
      <c r="B13261" s="37"/>
    </row>
    <row r="13262" spans="2:2" ht="15.9" customHeight="1" x14ac:dyDescent="0.3">
      <c r="B13262" s="37"/>
    </row>
    <row r="13263" spans="2:2" ht="15.9" customHeight="1" x14ac:dyDescent="0.3">
      <c r="B13263" s="37"/>
    </row>
    <row r="13264" spans="2:2" ht="15.9" customHeight="1" x14ac:dyDescent="0.3">
      <c r="B13264" s="37"/>
    </row>
    <row r="13265" spans="2:2" ht="15.9" customHeight="1" x14ac:dyDescent="0.3">
      <c r="B13265" s="37"/>
    </row>
    <row r="13266" spans="2:2" ht="15.9" customHeight="1" x14ac:dyDescent="0.3">
      <c r="B13266" s="37"/>
    </row>
    <row r="13267" spans="2:2" ht="15.9" customHeight="1" x14ac:dyDescent="0.3">
      <c r="B13267" s="37"/>
    </row>
    <row r="13268" spans="2:2" ht="15.9" customHeight="1" x14ac:dyDescent="0.3">
      <c r="B13268" s="37"/>
    </row>
    <row r="13269" spans="2:2" ht="15.9" customHeight="1" x14ac:dyDescent="0.3">
      <c r="B13269" s="37"/>
    </row>
    <row r="13270" spans="2:2" ht="15.9" customHeight="1" x14ac:dyDescent="0.3">
      <c r="B13270" s="37"/>
    </row>
    <row r="13271" spans="2:2" ht="15.9" customHeight="1" x14ac:dyDescent="0.3">
      <c r="B13271" s="37"/>
    </row>
    <row r="13272" spans="2:2" ht="15.9" customHeight="1" x14ac:dyDescent="0.3">
      <c r="B13272" s="37"/>
    </row>
    <row r="13273" spans="2:2" ht="15.9" customHeight="1" x14ac:dyDescent="0.3">
      <c r="B13273" s="37"/>
    </row>
    <row r="13274" spans="2:2" ht="15.9" customHeight="1" x14ac:dyDescent="0.3">
      <c r="B13274" s="37"/>
    </row>
    <row r="13275" spans="2:2" ht="15.9" customHeight="1" x14ac:dyDescent="0.3">
      <c r="B13275" s="37"/>
    </row>
    <row r="13276" spans="2:2" ht="15.9" customHeight="1" x14ac:dyDescent="0.3">
      <c r="B13276" s="37"/>
    </row>
    <row r="13277" spans="2:2" ht="15.9" customHeight="1" x14ac:dyDescent="0.3">
      <c r="B13277" s="37"/>
    </row>
    <row r="13278" spans="2:2" ht="15.9" customHeight="1" x14ac:dyDescent="0.3">
      <c r="B13278" s="37"/>
    </row>
    <row r="13279" spans="2:2" ht="15.9" customHeight="1" x14ac:dyDescent="0.3">
      <c r="B13279" s="37"/>
    </row>
    <row r="13280" spans="2:2" ht="15.9" customHeight="1" x14ac:dyDescent="0.3">
      <c r="B13280" s="37"/>
    </row>
    <row r="13281" spans="2:2" ht="15.9" customHeight="1" x14ac:dyDescent="0.3">
      <c r="B13281" s="37"/>
    </row>
    <row r="13282" spans="2:2" ht="15.9" customHeight="1" x14ac:dyDescent="0.3">
      <c r="B13282" s="37"/>
    </row>
    <row r="13283" spans="2:2" ht="15.9" customHeight="1" x14ac:dyDescent="0.3">
      <c r="B13283" s="37"/>
    </row>
    <row r="13284" spans="2:2" ht="15.9" customHeight="1" x14ac:dyDescent="0.3">
      <c r="B13284" s="37"/>
    </row>
    <row r="13285" spans="2:2" ht="15.9" customHeight="1" x14ac:dyDescent="0.3">
      <c r="B13285" s="37"/>
    </row>
    <row r="13286" spans="2:2" ht="15.9" customHeight="1" x14ac:dyDescent="0.3">
      <c r="B13286" s="37"/>
    </row>
    <row r="13287" spans="2:2" ht="15.9" customHeight="1" x14ac:dyDescent="0.3">
      <c r="B13287" s="37"/>
    </row>
    <row r="13288" spans="2:2" ht="15.9" customHeight="1" x14ac:dyDescent="0.3">
      <c r="B13288" s="37"/>
    </row>
    <row r="13289" spans="2:2" ht="15.9" customHeight="1" x14ac:dyDescent="0.3">
      <c r="B13289" s="37"/>
    </row>
    <row r="13290" spans="2:2" ht="15.9" customHeight="1" x14ac:dyDescent="0.3">
      <c r="B13290" s="37"/>
    </row>
    <row r="13291" spans="2:2" ht="15.9" customHeight="1" x14ac:dyDescent="0.3">
      <c r="B13291" s="37"/>
    </row>
    <row r="13292" spans="2:2" ht="15.9" customHeight="1" x14ac:dyDescent="0.3">
      <c r="B13292" s="37"/>
    </row>
    <row r="13293" spans="2:2" ht="15.9" customHeight="1" x14ac:dyDescent="0.3">
      <c r="B13293" s="37"/>
    </row>
    <row r="13294" spans="2:2" ht="15.9" customHeight="1" x14ac:dyDescent="0.3">
      <c r="B13294" s="37"/>
    </row>
    <row r="13295" spans="2:2" ht="15.9" customHeight="1" x14ac:dyDescent="0.3">
      <c r="B13295" s="37"/>
    </row>
    <row r="13296" spans="2:2" ht="15.9" customHeight="1" x14ac:dyDescent="0.3">
      <c r="B13296" s="37"/>
    </row>
    <row r="13297" spans="2:2" ht="15.9" customHeight="1" x14ac:dyDescent="0.3">
      <c r="B13297" s="37"/>
    </row>
    <row r="13298" spans="2:2" ht="15.9" customHeight="1" x14ac:dyDescent="0.3">
      <c r="B13298" s="37"/>
    </row>
    <row r="13299" spans="2:2" ht="15.9" customHeight="1" x14ac:dyDescent="0.3">
      <c r="B13299" s="37"/>
    </row>
    <row r="13300" spans="2:2" ht="15.9" customHeight="1" x14ac:dyDescent="0.3">
      <c r="B13300" s="37"/>
    </row>
    <row r="13301" spans="2:2" ht="15.9" customHeight="1" x14ac:dyDescent="0.3">
      <c r="B13301" s="37"/>
    </row>
    <row r="13302" spans="2:2" ht="15.9" customHeight="1" x14ac:dyDescent="0.3">
      <c r="B13302" s="37"/>
    </row>
    <row r="13303" spans="2:2" ht="15.9" customHeight="1" x14ac:dyDescent="0.3">
      <c r="B13303" s="37"/>
    </row>
    <row r="13304" spans="2:2" ht="15.9" customHeight="1" x14ac:dyDescent="0.3">
      <c r="B13304" s="37"/>
    </row>
    <row r="13305" spans="2:2" ht="15.9" customHeight="1" x14ac:dyDescent="0.3">
      <c r="B13305" s="37"/>
    </row>
    <row r="13306" spans="2:2" ht="15.9" customHeight="1" x14ac:dyDescent="0.3">
      <c r="B13306" s="37"/>
    </row>
    <row r="13307" spans="2:2" ht="15.9" customHeight="1" x14ac:dyDescent="0.3">
      <c r="B13307" s="37"/>
    </row>
    <row r="13308" spans="2:2" ht="15.9" customHeight="1" x14ac:dyDescent="0.3">
      <c r="B13308" s="37"/>
    </row>
    <row r="13309" spans="2:2" ht="15.9" customHeight="1" x14ac:dyDescent="0.3">
      <c r="B13309" s="37"/>
    </row>
    <row r="13310" spans="2:2" ht="15.9" customHeight="1" x14ac:dyDescent="0.3">
      <c r="B13310" s="37"/>
    </row>
    <row r="13311" spans="2:2" ht="15.9" customHeight="1" x14ac:dyDescent="0.3">
      <c r="B13311" s="37"/>
    </row>
    <row r="13312" spans="2:2" ht="15.9" customHeight="1" x14ac:dyDescent="0.3">
      <c r="B13312" s="37"/>
    </row>
    <row r="13313" spans="2:2" ht="15.9" customHeight="1" x14ac:dyDescent="0.3">
      <c r="B13313" s="37"/>
    </row>
    <row r="13314" spans="2:2" ht="15.9" customHeight="1" x14ac:dyDescent="0.3">
      <c r="B13314" s="37"/>
    </row>
    <row r="13315" spans="2:2" ht="15.9" customHeight="1" x14ac:dyDescent="0.3">
      <c r="B13315" s="37"/>
    </row>
    <row r="13316" spans="2:2" ht="15.9" customHeight="1" x14ac:dyDescent="0.3">
      <c r="B13316" s="37"/>
    </row>
    <row r="13317" spans="2:2" ht="15.9" customHeight="1" x14ac:dyDescent="0.3">
      <c r="B13317" s="37"/>
    </row>
    <row r="13318" spans="2:2" ht="15.9" customHeight="1" x14ac:dyDescent="0.3">
      <c r="B13318" s="37"/>
    </row>
    <row r="13319" spans="2:2" ht="15.9" customHeight="1" x14ac:dyDescent="0.3">
      <c r="B13319" s="37"/>
    </row>
    <row r="13320" spans="2:2" ht="15.9" customHeight="1" x14ac:dyDescent="0.3">
      <c r="B13320" s="37"/>
    </row>
    <row r="13321" spans="2:2" ht="15.9" customHeight="1" x14ac:dyDescent="0.3">
      <c r="B13321" s="37"/>
    </row>
    <row r="13322" spans="2:2" ht="15.9" customHeight="1" x14ac:dyDescent="0.3">
      <c r="B13322" s="37"/>
    </row>
    <row r="13323" spans="2:2" ht="15.9" customHeight="1" x14ac:dyDescent="0.3">
      <c r="B13323" s="37"/>
    </row>
    <row r="13324" spans="2:2" ht="15.9" customHeight="1" x14ac:dyDescent="0.3">
      <c r="B13324" s="37"/>
    </row>
    <row r="13325" spans="2:2" ht="15.9" customHeight="1" x14ac:dyDescent="0.3">
      <c r="B13325" s="37"/>
    </row>
    <row r="13326" spans="2:2" ht="15.9" customHeight="1" x14ac:dyDescent="0.3">
      <c r="B13326" s="37"/>
    </row>
    <row r="13327" spans="2:2" ht="15.9" customHeight="1" x14ac:dyDescent="0.3">
      <c r="B13327" s="37"/>
    </row>
    <row r="13328" spans="2:2" ht="15.9" customHeight="1" x14ac:dyDescent="0.3">
      <c r="B13328" s="37"/>
    </row>
    <row r="13329" spans="2:2" ht="15.9" customHeight="1" x14ac:dyDescent="0.3">
      <c r="B13329" s="37"/>
    </row>
    <row r="13330" spans="2:2" ht="15.9" customHeight="1" x14ac:dyDescent="0.3">
      <c r="B13330" s="37"/>
    </row>
    <row r="13331" spans="2:2" ht="15.9" customHeight="1" x14ac:dyDescent="0.3">
      <c r="B13331" s="37"/>
    </row>
    <row r="13332" spans="2:2" ht="15.9" customHeight="1" x14ac:dyDescent="0.3">
      <c r="B13332" s="37"/>
    </row>
    <row r="13333" spans="2:2" ht="15.9" customHeight="1" x14ac:dyDescent="0.3">
      <c r="B13333" s="37"/>
    </row>
    <row r="13334" spans="2:2" ht="15.9" customHeight="1" x14ac:dyDescent="0.3">
      <c r="B13334" s="37"/>
    </row>
    <row r="13335" spans="2:2" ht="15.9" customHeight="1" x14ac:dyDescent="0.3">
      <c r="B13335" s="37"/>
    </row>
    <row r="13336" spans="2:2" ht="15.9" customHeight="1" x14ac:dyDescent="0.3">
      <c r="B13336" s="37"/>
    </row>
    <row r="13337" spans="2:2" ht="15.9" customHeight="1" x14ac:dyDescent="0.3">
      <c r="B13337" s="37"/>
    </row>
    <row r="13338" spans="2:2" ht="15.9" customHeight="1" x14ac:dyDescent="0.3">
      <c r="B13338" s="37"/>
    </row>
    <row r="13339" spans="2:2" ht="15.9" customHeight="1" x14ac:dyDescent="0.3">
      <c r="B13339" s="37"/>
    </row>
    <row r="13340" spans="2:2" ht="15.9" customHeight="1" x14ac:dyDescent="0.3">
      <c r="B13340" s="37"/>
    </row>
    <row r="13341" spans="2:2" ht="15.9" customHeight="1" x14ac:dyDescent="0.3">
      <c r="B13341" s="37"/>
    </row>
    <row r="13342" spans="2:2" ht="15.9" customHeight="1" x14ac:dyDescent="0.3">
      <c r="B13342" s="37"/>
    </row>
    <row r="13343" spans="2:2" ht="15.9" customHeight="1" x14ac:dyDescent="0.3">
      <c r="B13343" s="37"/>
    </row>
    <row r="13344" spans="2:2" ht="15.9" customHeight="1" x14ac:dyDescent="0.3">
      <c r="B13344" s="37"/>
    </row>
    <row r="13345" spans="2:2" ht="15.9" customHeight="1" x14ac:dyDescent="0.3">
      <c r="B13345" s="37"/>
    </row>
    <row r="13346" spans="2:2" ht="15.9" customHeight="1" x14ac:dyDescent="0.3">
      <c r="B13346" s="37"/>
    </row>
    <row r="13347" spans="2:2" ht="15.9" customHeight="1" x14ac:dyDescent="0.3">
      <c r="B13347" s="37"/>
    </row>
    <row r="13348" spans="2:2" ht="15.9" customHeight="1" x14ac:dyDescent="0.3">
      <c r="B13348" s="37"/>
    </row>
    <row r="13349" spans="2:2" ht="15.9" customHeight="1" x14ac:dyDescent="0.3">
      <c r="B13349" s="37"/>
    </row>
    <row r="13350" spans="2:2" ht="15.9" customHeight="1" x14ac:dyDescent="0.3">
      <c r="B13350" s="37"/>
    </row>
    <row r="13351" spans="2:2" ht="15.9" customHeight="1" x14ac:dyDescent="0.3">
      <c r="B13351" s="37"/>
    </row>
    <row r="13352" spans="2:2" ht="15.9" customHeight="1" x14ac:dyDescent="0.3">
      <c r="B13352" s="37"/>
    </row>
    <row r="13353" spans="2:2" ht="15.9" customHeight="1" x14ac:dyDescent="0.3">
      <c r="B13353" s="37"/>
    </row>
    <row r="13354" spans="2:2" ht="15.9" customHeight="1" x14ac:dyDescent="0.3">
      <c r="B13354" s="37"/>
    </row>
    <row r="13355" spans="2:2" ht="15.9" customHeight="1" x14ac:dyDescent="0.3">
      <c r="B13355" s="37"/>
    </row>
    <row r="13356" spans="2:2" ht="15.9" customHeight="1" x14ac:dyDescent="0.3">
      <c r="B13356" s="37"/>
    </row>
    <row r="13357" spans="2:2" ht="15.9" customHeight="1" x14ac:dyDescent="0.3">
      <c r="B13357" s="37"/>
    </row>
    <row r="13358" spans="2:2" ht="15.9" customHeight="1" x14ac:dyDescent="0.3">
      <c r="B13358" s="37"/>
    </row>
    <row r="13359" spans="2:2" ht="15.9" customHeight="1" x14ac:dyDescent="0.3">
      <c r="B13359" s="37"/>
    </row>
    <row r="13360" spans="2:2" ht="15.9" customHeight="1" x14ac:dyDescent="0.3">
      <c r="B13360" s="37"/>
    </row>
    <row r="13361" spans="2:2" ht="15.9" customHeight="1" x14ac:dyDescent="0.3">
      <c r="B13361" s="37"/>
    </row>
    <row r="13362" spans="2:2" ht="15.9" customHeight="1" x14ac:dyDescent="0.3">
      <c r="B13362" s="37"/>
    </row>
    <row r="13363" spans="2:2" ht="15.9" customHeight="1" x14ac:dyDescent="0.3">
      <c r="B13363" s="37"/>
    </row>
    <row r="13364" spans="2:2" ht="15.9" customHeight="1" x14ac:dyDescent="0.3">
      <c r="B13364" s="37"/>
    </row>
    <row r="13365" spans="2:2" ht="15.9" customHeight="1" x14ac:dyDescent="0.3">
      <c r="B13365" s="37"/>
    </row>
    <row r="13366" spans="2:2" ht="15.9" customHeight="1" x14ac:dyDescent="0.3">
      <c r="B13366" s="37"/>
    </row>
    <row r="13367" spans="2:2" ht="15.9" customHeight="1" x14ac:dyDescent="0.3">
      <c r="B13367" s="37"/>
    </row>
    <row r="13368" spans="2:2" ht="15.9" customHeight="1" x14ac:dyDescent="0.3">
      <c r="B13368" s="37"/>
    </row>
    <row r="13369" spans="2:2" ht="15.9" customHeight="1" x14ac:dyDescent="0.3">
      <c r="B13369" s="37"/>
    </row>
    <row r="13370" spans="2:2" ht="15.9" customHeight="1" x14ac:dyDescent="0.3">
      <c r="B13370" s="37"/>
    </row>
    <row r="13371" spans="2:2" ht="15.9" customHeight="1" x14ac:dyDescent="0.3">
      <c r="B13371" s="37"/>
    </row>
    <row r="13372" spans="2:2" ht="15.9" customHeight="1" x14ac:dyDescent="0.3">
      <c r="B13372" s="37"/>
    </row>
    <row r="13373" spans="2:2" ht="15.9" customHeight="1" x14ac:dyDescent="0.3">
      <c r="B13373" s="37"/>
    </row>
    <row r="13374" spans="2:2" ht="15.9" customHeight="1" x14ac:dyDescent="0.3">
      <c r="B13374" s="37"/>
    </row>
    <row r="13375" spans="2:2" ht="15.9" customHeight="1" x14ac:dyDescent="0.3">
      <c r="B13375" s="37"/>
    </row>
    <row r="13376" spans="2:2" ht="15.9" customHeight="1" x14ac:dyDescent="0.3">
      <c r="B13376" s="37"/>
    </row>
    <row r="13377" spans="2:2" ht="15.9" customHeight="1" x14ac:dyDescent="0.3">
      <c r="B13377" s="37"/>
    </row>
    <row r="13378" spans="2:2" ht="15.9" customHeight="1" x14ac:dyDescent="0.3">
      <c r="B13378" s="37"/>
    </row>
    <row r="13379" spans="2:2" ht="15.9" customHeight="1" x14ac:dyDescent="0.3">
      <c r="B13379" s="37"/>
    </row>
    <row r="13380" spans="2:2" ht="15.9" customHeight="1" x14ac:dyDescent="0.3">
      <c r="B13380" s="37"/>
    </row>
    <row r="13381" spans="2:2" ht="15.9" customHeight="1" x14ac:dyDescent="0.3">
      <c r="B13381" s="37"/>
    </row>
    <row r="13382" spans="2:2" ht="15.9" customHeight="1" x14ac:dyDescent="0.3">
      <c r="B13382" s="37"/>
    </row>
    <row r="13383" spans="2:2" ht="15.9" customHeight="1" x14ac:dyDescent="0.3">
      <c r="B13383" s="37"/>
    </row>
    <row r="13384" spans="2:2" ht="15.9" customHeight="1" x14ac:dyDescent="0.3">
      <c r="B13384" s="37"/>
    </row>
    <row r="13385" spans="2:2" ht="15.9" customHeight="1" x14ac:dyDescent="0.3">
      <c r="B13385" s="37"/>
    </row>
    <row r="13386" spans="2:2" ht="15.9" customHeight="1" x14ac:dyDescent="0.3">
      <c r="B13386" s="37"/>
    </row>
    <row r="13387" spans="2:2" ht="15.9" customHeight="1" x14ac:dyDescent="0.3">
      <c r="B13387" s="37"/>
    </row>
    <row r="13388" spans="2:2" ht="15.9" customHeight="1" x14ac:dyDescent="0.3">
      <c r="B13388" s="37"/>
    </row>
    <row r="13389" spans="2:2" ht="15.9" customHeight="1" x14ac:dyDescent="0.3">
      <c r="B13389" s="37"/>
    </row>
    <row r="13390" spans="2:2" ht="15.9" customHeight="1" x14ac:dyDescent="0.3">
      <c r="B13390" s="37"/>
    </row>
    <row r="13391" spans="2:2" ht="15.9" customHeight="1" x14ac:dyDescent="0.3">
      <c r="B13391" s="37"/>
    </row>
    <row r="13392" spans="2:2" ht="15.9" customHeight="1" x14ac:dyDescent="0.3">
      <c r="B13392" s="37"/>
    </row>
    <row r="13393" spans="2:2" ht="15.9" customHeight="1" x14ac:dyDescent="0.3">
      <c r="B13393" s="37"/>
    </row>
    <row r="13394" spans="2:2" ht="15.9" customHeight="1" x14ac:dyDescent="0.3">
      <c r="B13394" s="37"/>
    </row>
    <row r="13395" spans="2:2" ht="15.9" customHeight="1" x14ac:dyDescent="0.3">
      <c r="B13395" s="37"/>
    </row>
    <row r="13396" spans="2:2" ht="15.9" customHeight="1" x14ac:dyDescent="0.3">
      <c r="B13396" s="37"/>
    </row>
    <row r="13397" spans="2:2" ht="15.9" customHeight="1" x14ac:dyDescent="0.3">
      <c r="B13397" s="37"/>
    </row>
    <row r="13398" spans="2:2" ht="15.9" customHeight="1" x14ac:dyDescent="0.3">
      <c r="B13398" s="37"/>
    </row>
    <row r="13399" spans="2:2" ht="15.9" customHeight="1" x14ac:dyDescent="0.3">
      <c r="B13399" s="37"/>
    </row>
    <row r="13400" spans="2:2" ht="15.9" customHeight="1" x14ac:dyDescent="0.3">
      <c r="B13400" s="37"/>
    </row>
    <row r="13401" spans="2:2" ht="15.9" customHeight="1" x14ac:dyDescent="0.3">
      <c r="B13401" s="37"/>
    </row>
    <row r="13402" spans="2:2" ht="15.9" customHeight="1" x14ac:dyDescent="0.3">
      <c r="B13402" s="37"/>
    </row>
    <row r="13403" spans="2:2" ht="15.9" customHeight="1" x14ac:dyDescent="0.3">
      <c r="B13403" s="37"/>
    </row>
    <row r="13404" spans="2:2" ht="15.9" customHeight="1" x14ac:dyDescent="0.3">
      <c r="B13404" s="37"/>
    </row>
    <row r="13405" spans="2:2" ht="15.9" customHeight="1" x14ac:dyDescent="0.3">
      <c r="B13405" s="37"/>
    </row>
    <row r="13406" spans="2:2" ht="15.9" customHeight="1" x14ac:dyDescent="0.3">
      <c r="B13406" s="37"/>
    </row>
    <row r="13407" spans="2:2" ht="15.9" customHeight="1" x14ac:dyDescent="0.3">
      <c r="B13407" s="37"/>
    </row>
    <row r="13408" spans="2:2" ht="15.9" customHeight="1" x14ac:dyDescent="0.3">
      <c r="B13408" s="37"/>
    </row>
    <row r="13409" spans="2:2" ht="15.9" customHeight="1" x14ac:dyDescent="0.3">
      <c r="B13409" s="37"/>
    </row>
    <row r="13410" spans="2:2" ht="15.9" customHeight="1" x14ac:dyDescent="0.3">
      <c r="B13410" s="37"/>
    </row>
    <row r="13411" spans="2:2" ht="15.9" customHeight="1" x14ac:dyDescent="0.3">
      <c r="B13411" s="37"/>
    </row>
    <row r="13412" spans="2:2" ht="15.9" customHeight="1" x14ac:dyDescent="0.3">
      <c r="B13412" s="37"/>
    </row>
    <row r="13413" spans="2:2" ht="15.9" customHeight="1" x14ac:dyDescent="0.3">
      <c r="B13413" s="37"/>
    </row>
    <row r="13414" spans="2:2" ht="15.9" customHeight="1" x14ac:dyDescent="0.3">
      <c r="B13414" s="37"/>
    </row>
    <row r="13415" spans="2:2" ht="15.9" customHeight="1" x14ac:dyDescent="0.3">
      <c r="B13415" s="37"/>
    </row>
    <row r="13416" spans="2:2" ht="15.9" customHeight="1" x14ac:dyDescent="0.3">
      <c r="B13416" s="37"/>
    </row>
    <row r="13417" spans="2:2" ht="15.9" customHeight="1" x14ac:dyDescent="0.3">
      <c r="B13417" s="37"/>
    </row>
    <row r="13418" spans="2:2" ht="15.9" customHeight="1" x14ac:dyDescent="0.3">
      <c r="B13418" s="37"/>
    </row>
    <row r="13419" spans="2:2" ht="15.9" customHeight="1" x14ac:dyDescent="0.3">
      <c r="B13419" s="37"/>
    </row>
    <row r="13420" spans="2:2" ht="15.9" customHeight="1" x14ac:dyDescent="0.3">
      <c r="B13420" s="37"/>
    </row>
    <row r="13421" spans="2:2" ht="15.9" customHeight="1" x14ac:dyDescent="0.3">
      <c r="B13421" s="37"/>
    </row>
    <row r="13422" spans="2:2" ht="15.9" customHeight="1" x14ac:dyDescent="0.3">
      <c r="B13422" s="37"/>
    </row>
    <row r="13423" spans="2:2" ht="15.9" customHeight="1" x14ac:dyDescent="0.3">
      <c r="B13423" s="37"/>
    </row>
    <row r="13424" spans="2:2" ht="15.9" customHeight="1" x14ac:dyDescent="0.3">
      <c r="B13424" s="37"/>
    </row>
    <row r="13425" spans="2:2" ht="15.9" customHeight="1" x14ac:dyDescent="0.3">
      <c r="B13425" s="37"/>
    </row>
    <row r="13426" spans="2:2" ht="15.9" customHeight="1" x14ac:dyDescent="0.3">
      <c r="B13426" s="37"/>
    </row>
    <row r="13427" spans="2:2" ht="15.9" customHeight="1" x14ac:dyDescent="0.3">
      <c r="B13427" s="37"/>
    </row>
    <row r="13428" spans="2:2" ht="15.9" customHeight="1" x14ac:dyDescent="0.3">
      <c r="B13428" s="37"/>
    </row>
    <row r="13429" spans="2:2" ht="15.9" customHeight="1" x14ac:dyDescent="0.3">
      <c r="B13429" s="37"/>
    </row>
    <row r="13430" spans="2:2" ht="15.9" customHeight="1" x14ac:dyDescent="0.3">
      <c r="B13430" s="37"/>
    </row>
    <row r="13431" spans="2:2" ht="15.9" customHeight="1" x14ac:dyDescent="0.3">
      <c r="B13431" s="37"/>
    </row>
    <row r="13432" spans="2:2" ht="15.9" customHeight="1" x14ac:dyDescent="0.3">
      <c r="B13432" s="37"/>
    </row>
    <row r="13433" spans="2:2" ht="15.9" customHeight="1" x14ac:dyDescent="0.3">
      <c r="B13433" s="37"/>
    </row>
    <row r="13434" spans="2:2" ht="15.9" customHeight="1" x14ac:dyDescent="0.3">
      <c r="B13434" s="37"/>
    </row>
    <row r="13435" spans="2:2" ht="15.9" customHeight="1" x14ac:dyDescent="0.3">
      <c r="B13435" s="37"/>
    </row>
    <row r="13436" spans="2:2" ht="15.9" customHeight="1" x14ac:dyDescent="0.3">
      <c r="B13436" s="37"/>
    </row>
    <row r="13437" spans="2:2" ht="15.9" customHeight="1" x14ac:dyDescent="0.3">
      <c r="B13437" s="37"/>
    </row>
    <row r="13438" spans="2:2" ht="15.9" customHeight="1" x14ac:dyDescent="0.3">
      <c r="B13438" s="37"/>
    </row>
    <row r="13439" spans="2:2" ht="15.9" customHeight="1" x14ac:dyDescent="0.3">
      <c r="B13439" s="37"/>
    </row>
    <row r="13440" spans="2:2" ht="15.9" customHeight="1" x14ac:dyDescent="0.3">
      <c r="B13440" s="37"/>
    </row>
    <row r="13441" spans="2:2" ht="15.9" customHeight="1" x14ac:dyDescent="0.3">
      <c r="B13441" s="37"/>
    </row>
    <row r="13442" spans="2:2" ht="15.9" customHeight="1" x14ac:dyDescent="0.3">
      <c r="B13442" s="37"/>
    </row>
    <row r="13443" spans="2:2" ht="15.9" customHeight="1" x14ac:dyDescent="0.3">
      <c r="B13443" s="37"/>
    </row>
    <row r="13444" spans="2:2" ht="15.9" customHeight="1" x14ac:dyDescent="0.3">
      <c r="B13444" s="37"/>
    </row>
    <row r="13445" spans="2:2" ht="15.9" customHeight="1" x14ac:dyDescent="0.3">
      <c r="B13445" s="37"/>
    </row>
    <row r="13446" spans="2:2" ht="15.9" customHeight="1" x14ac:dyDescent="0.3">
      <c r="B13446" s="37"/>
    </row>
    <row r="13447" spans="2:2" ht="15.9" customHeight="1" x14ac:dyDescent="0.3">
      <c r="B13447" s="37"/>
    </row>
    <row r="13448" spans="2:2" ht="15.9" customHeight="1" x14ac:dyDescent="0.3">
      <c r="B13448" s="37"/>
    </row>
    <row r="13449" spans="2:2" ht="15.9" customHeight="1" x14ac:dyDescent="0.3">
      <c r="B13449" s="37"/>
    </row>
    <row r="13450" spans="2:2" ht="15.9" customHeight="1" x14ac:dyDescent="0.3">
      <c r="B13450" s="37"/>
    </row>
    <row r="13451" spans="2:2" ht="15.9" customHeight="1" x14ac:dyDescent="0.3">
      <c r="B13451" s="37"/>
    </row>
    <row r="13452" spans="2:2" ht="15.9" customHeight="1" x14ac:dyDescent="0.3">
      <c r="B13452" s="37"/>
    </row>
    <row r="13453" spans="2:2" ht="15.9" customHeight="1" x14ac:dyDescent="0.3">
      <c r="B13453" s="37"/>
    </row>
    <row r="13454" spans="2:2" ht="15.9" customHeight="1" x14ac:dyDescent="0.3">
      <c r="B13454" s="37"/>
    </row>
    <row r="13455" spans="2:2" ht="15.9" customHeight="1" x14ac:dyDescent="0.3">
      <c r="B13455" s="37"/>
    </row>
    <row r="13456" spans="2:2" ht="15.9" customHeight="1" x14ac:dyDescent="0.3">
      <c r="B13456" s="37"/>
    </row>
    <row r="13457" spans="2:2" ht="15.9" customHeight="1" x14ac:dyDescent="0.3">
      <c r="B13457" s="37"/>
    </row>
    <row r="13458" spans="2:2" ht="15.9" customHeight="1" x14ac:dyDescent="0.3">
      <c r="B13458" s="37"/>
    </row>
    <row r="13459" spans="2:2" ht="15.9" customHeight="1" x14ac:dyDescent="0.3">
      <c r="B13459" s="37"/>
    </row>
    <row r="13460" spans="2:2" ht="15.9" customHeight="1" x14ac:dyDescent="0.3">
      <c r="B13460" s="37"/>
    </row>
    <row r="13461" spans="2:2" ht="15.9" customHeight="1" x14ac:dyDescent="0.3">
      <c r="B13461" s="37"/>
    </row>
    <row r="13462" spans="2:2" ht="15.9" customHeight="1" x14ac:dyDescent="0.3">
      <c r="B13462" s="37"/>
    </row>
    <row r="13463" spans="2:2" ht="15.9" customHeight="1" x14ac:dyDescent="0.3">
      <c r="B13463" s="37"/>
    </row>
    <row r="13464" spans="2:2" ht="15.9" customHeight="1" x14ac:dyDescent="0.3">
      <c r="B13464" s="37"/>
    </row>
    <row r="13465" spans="2:2" ht="15.9" customHeight="1" x14ac:dyDescent="0.3">
      <c r="B13465" s="37"/>
    </row>
    <row r="13466" spans="2:2" ht="15.9" customHeight="1" x14ac:dyDescent="0.3">
      <c r="B13466" s="37"/>
    </row>
    <row r="13467" spans="2:2" ht="15.9" customHeight="1" x14ac:dyDescent="0.3">
      <c r="B13467" s="37"/>
    </row>
    <row r="13468" spans="2:2" ht="15.9" customHeight="1" x14ac:dyDescent="0.3">
      <c r="B13468" s="37"/>
    </row>
    <row r="13469" spans="2:2" ht="15.9" customHeight="1" x14ac:dyDescent="0.3">
      <c r="B13469" s="37"/>
    </row>
    <row r="13470" spans="2:2" ht="15.9" customHeight="1" x14ac:dyDescent="0.3">
      <c r="B13470" s="37"/>
    </row>
    <row r="13471" spans="2:2" ht="15.9" customHeight="1" x14ac:dyDescent="0.3">
      <c r="B13471" s="37"/>
    </row>
    <row r="13472" spans="2:2" ht="15.9" customHeight="1" x14ac:dyDescent="0.3">
      <c r="B13472" s="37"/>
    </row>
    <row r="13473" spans="2:2" ht="15.9" customHeight="1" x14ac:dyDescent="0.3">
      <c r="B13473" s="37"/>
    </row>
    <row r="13474" spans="2:2" ht="15.9" customHeight="1" x14ac:dyDescent="0.3">
      <c r="B13474" s="37"/>
    </row>
    <row r="13475" spans="2:2" ht="15.9" customHeight="1" x14ac:dyDescent="0.3">
      <c r="B13475" s="37"/>
    </row>
    <row r="13476" spans="2:2" ht="15.9" customHeight="1" x14ac:dyDescent="0.3">
      <c r="B13476" s="37"/>
    </row>
    <row r="13477" spans="2:2" ht="15.9" customHeight="1" x14ac:dyDescent="0.3">
      <c r="B13477" s="37"/>
    </row>
    <row r="13478" spans="2:2" ht="15.9" customHeight="1" x14ac:dyDescent="0.3">
      <c r="B13478" s="37"/>
    </row>
    <row r="13479" spans="2:2" ht="15.9" customHeight="1" x14ac:dyDescent="0.3">
      <c r="B13479" s="37"/>
    </row>
    <row r="13480" spans="2:2" ht="15.9" customHeight="1" x14ac:dyDescent="0.3">
      <c r="B13480" s="37"/>
    </row>
    <row r="13481" spans="2:2" ht="15.9" customHeight="1" x14ac:dyDescent="0.3">
      <c r="B13481" s="37"/>
    </row>
    <row r="13482" spans="2:2" ht="15.9" customHeight="1" x14ac:dyDescent="0.3">
      <c r="B13482" s="37"/>
    </row>
    <row r="13483" spans="2:2" ht="15.9" customHeight="1" x14ac:dyDescent="0.3">
      <c r="B13483" s="37"/>
    </row>
    <row r="13484" spans="2:2" ht="15.9" customHeight="1" x14ac:dyDescent="0.3">
      <c r="B13484" s="37"/>
    </row>
    <row r="13485" spans="2:2" ht="15.9" customHeight="1" x14ac:dyDescent="0.3">
      <c r="B13485" s="37"/>
    </row>
    <row r="13486" spans="2:2" ht="15.9" customHeight="1" x14ac:dyDescent="0.3">
      <c r="B13486" s="37"/>
    </row>
    <row r="13487" spans="2:2" ht="15.9" customHeight="1" x14ac:dyDescent="0.3">
      <c r="B13487" s="37"/>
    </row>
    <row r="13488" spans="2:2" ht="15.9" customHeight="1" x14ac:dyDescent="0.3">
      <c r="B13488" s="37"/>
    </row>
    <row r="13489" spans="2:2" ht="15.9" customHeight="1" x14ac:dyDescent="0.3">
      <c r="B13489" s="37"/>
    </row>
    <row r="13490" spans="2:2" ht="15.9" customHeight="1" x14ac:dyDescent="0.3">
      <c r="B13490" s="37"/>
    </row>
    <row r="13491" spans="2:2" ht="15.9" customHeight="1" x14ac:dyDescent="0.3">
      <c r="B13491" s="37"/>
    </row>
    <row r="13492" spans="2:2" ht="15.9" customHeight="1" x14ac:dyDescent="0.3">
      <c r="B13492" s="37"/>
    </row>
    <row r="13493" spans="2:2" ht="15.9" customHeight="1" x14ac:dyDescent="0.3">
      <c r="B13493" s="37"/>
    </row>
    <row r="13494" spans="2:2" ht="15.9" customHeight="1" x14ac:dyDescent="0.3">
      <c r="B13494" s="37"/>
    </row>
    <row r="13495" spans="2:2" ht="15.9" customHeight="1" x14ac:dyDescent="0.3">
      <c r="B13495" s="37"/>
    </row>
    <row r="13496" spans="2:2" ht="15.9" customHeight="1" x14ac:dyDescent="0.3">
      <c r="B13496" s="37"/>
    </row>
    <row r="13497" spans="2:2" ht="15.9" customHeight="1" x14ac:dyDescent="0.3">
      <c r="B13497" s="37"/>
    </row>
    <row r="13498" spans="2:2" ht="15.9" customHeight="1" x14ac:dyDescent="0.3">
      <c r="B13498" s="37"/>
    </row>
    <row r="13499" spans="2:2" ht="15.9" customHeight="1" x14ac:dyDescent="0.3">
      <c r="B13499" s="37"/>
    </row>
    <row r="13500" spans="2:2" ht="15.9" customHeight="1" x14ac:dyDescent="0.3">
      <c r="B13500" s="37"/>
    </row>
    <row r="13501" spans="2:2" ht="15.9" customHeight="1" x14ac:dyDescent="0.3">
      <c r="B13501" s="37"/>
    </row>
    <row r="13502" spans="2:2" ht="15.9" customHeight="1" x14ac:dyDescent="0.3">
      <c r="B13502" s="37"/>
    </row>
    <row r="13503" spans="2:2" ht="15.9" customHeight="1" x14ac:dyDescent="0.3">
      <c r="B13503" s="37"/>
    </row>
    <row r="13504" spans="2:2" ht="15.9" customHeight="1" x14ac:dyDescent="0.3">
      <c r="B13504" s="37"/>
    </row>
    <row r="13505" spans="2:2" ht="15.9" customHeight="1" x14ac:dyDescent="0.3">
      <c r="B13505" s="37"/>
    </row>
    <row r="13506" spans="2:2" ht="15.9" customHeight="1" x14ac:dyDescent="0.3">
      <c r="B13506" s="37"/>
    </row>
    <row r="13507" spans="2:2" ht="15.9" customHeight="1" x14ac:dyDescent="0.3">
      <c r="B13507" s="37"/>
    </row>
    <row r="13508" spans="2:2" ht="15.9" customHeight="1" x14ac:dyDescent="0.3">
      <c r="B13508" s="37"/>
    </row>
    <row r="13509" spans="2:2" ht="15.9" customHeight="1" x14ac:dyDescent="0.3">
      <c r="B13509" s="37"/>
    </row>
    <row r="13510" spans="2:2" ht="15.9" customHeight="1" x14ac:dyDescent="0.3">
      <c r="B13510" s="37"/>
    </row>
    <row r="13511" spans="2:2" ht="15.9" customHeight="1" x14ac:dyDescent="0.3">
      <c r="B13511" s="37"/>
    </row>
    <row r="13512" spans="2:2" ht="15.9" customHeight="1" x14ac:dyDescent="0.3">
      <c r="B13512" s="37"/>
    </row>
    <row r="13513" spans="2:2" ht="15.9" customHeight="1" x14ac:dyDescent="0.3">
      <c r="B13513" s="37"/>
    </row>
    <row r="13514" spans="2:2" ht="15.9" customHeight="1" x14ac:dyDescent="0.3">
      <c r="B13514" s="37"/>
    </row>
    <row r="13515" spans="2:2" ht="15.9" customHeight="1" x14ac:dyDescent="0.3">
      <c r="B13515" s="37"/>
    </row>
    <row r="13516" spans="2:2" ht="15.9" customHeight="1" x14ac:dyDescent="0.3">
      <c r="B13516" s="37"/>
    </row>
    <row r="13517" spans="2:2" ht="15.9" customHeight="1" x14ac:dyDescent="0.3">
      <c r="B13517" s="37"/>
    </row>
    <row r="13518" spans="2:2" ht="15.9" customHeight="1" x14ac:dyDescent="0.3">
      <c r="B13518" s="37"/>
    </row>
    <row r="13519" spans="2:2" ht="15.9" customHeight="1" x14ac:dyDescent="0.3">
      <c r="B13519" s="37"/>
    </row>
    <row r="13520" spans="2:2" ht="15.9" customHeight="1" x14ac:dyDescent="0.3">
      <c r="B13520" s="37"/>
    </row>
    <row r="13521" spans="2:2" ht="15.9" customHeight="1" x14ac:dyDescent="0.3">
      <c r="B13521" s="37"/>
    </row>
    <row r="13522" spans="2:2" ht="15.9" customHeight="1" x14ac:dyDescent="0.3">
      <c r="B13522" s="37"/>
    </row>
    <row r="13523" spans="2:2" ht="15.9" customHeight="1" x14ac:dyDescent="0.3">
      <c r="B13523" s="37"/>
    </row>
    <row r="13524" spans="2:2" ht="15.9" customHeight="1" x14ac:dyDescent="0.3">
      <c r="B13524" s="37"/>
    </row>
    <row r="13525" spans="2:2" ht="15.9" customHeight="1" x14ac:dyDescent="0.3">
      <c r="B13525" s="37"/>
    </row>
    <row r="13526" spans="2:2" ht="15.9" customHeight="1" x14ac:dyDescent="0.3">
      <c r="B13526" s="37"/>
    </row>
    <row r="13527" spans="2:2" ht="15.9" customHeight="1" x14ac:dyDescent="0.3">
      <c r="B13527" s="37"/>
    </row>
    <row r="13528" spans="2:2" ht="15.9" customHeight="1" x14ac:dyDescent="0.3">
      <c r="B13528" s="37"/>
    </row>
    <row r="13529" spans="2:2" ht="15.9" customHeight="1" x14ac:dyDescent="0.3">
      <c r="B13529" s="37"/>
    </row>
    <row r="13530" spans="2:2" ht="15.9" customHeight="1" x14ac:dyDescent="0.3">
      <c r="B13530" s="37"/>
    </row>
    <row r="13531" spans="2:2" ht="15.9" customHeight="1" x14ac:dyDescent="0.3">
      <c r="B13531" s="37"/>
    </row>
    <row r="13532" spans="2:2" ht="15.9" customHeight="1" x14ac:dyDescent="0.3">
      <c r="B13532" s="37"/>
    </row>
    <row r="13533" spans="2:2" ht="15.9" customHeight="1" x14ac:dyDescent="0.3">
      <c r="B13533" s="37"/>
    </row>
    <row r="13534" spans="2:2" ht="15.9" customHeight="1" x14ac:dyDescent="0.3">
      <c r="B13534" s="37"/>
    </row>
    <row r="13535" spans="2:2" ht="15.9" customHeight="1" x14ac:dyDescent="0.3">
      <c r="B13535" s="37"/>
    </row>
    <row r="13536" spans="2:2" ht="15.9" customHeight="1" x14ac:dyDescent="0.3">
      <c r="B13536" s="37"/>
    </row>
    <row r="13537" spans="2:2" ht="15.9" customHeight="1" x14ac:dyDescent="0.3">
      <c r="B13537" s="37"/>
    </row>
    <row r="13538" spans="2:2" ht="15.9" customHeight="1" x14ac:dyDescent="0.3">
      <c r="B13538" s="37"/>
    </row>
    <row r="13539" spans="2:2" ht="15.9" customHeight="1" x14ac:dyDescent="0.3">
      <c r="B13539" s="37"/>
    </row>
    <row r="13540" spans="2:2" ht="15.9" customHeight="1" x14ac:dyDescent="0.3">
      <c r="B13540" s="37"/>
    </row>
    <row r="13541" spans="2:2" ht="15.9" customHeight="1" x14ac:dyDescent="0.3">
      <c r="B13541" s="37"/>
    </row>
    <row r="13542" spans="2:2" ht="15.9" customHeight="1" x14ac:dyDescent="0.3">
      <c r="B13542" s="37"/>
    </row>
    <row r="13543" spans="2:2" ht="15.9" customHeight="1" x14ac:dyDescent="0.3">
      <c r="B13543" s="37"/>
    </row>
    <row r="13544" spans="2:2" ht="15.9" customHeight="1" x14ac:dyDescent="0.3">
      <c r="B13544" s="37"/>
    </row>
    <row r="13545" spans="2:2" ht="15.9" customHeight="1" x14ac:dyDescent="0.3">
      <c r="B13545" s="37"/>
    </row>
    <row r="13546" spans="2:2" ht="15.9" customHeight="1" x14ac:dyDescent="0.3">
      <c r="B13546" s="37"/>
    </row>
    <row r="13547" spans="2:2" ht="15.9" customHeight="1" x14ac:dyDescent="0.3">
      <c r="B13547" s="37"/>
    </row>
    <row r="13548" spans="2:2" ht="15.9" customHeight="1" x14ac:dyDescent="0.3">
      <c r="B13548" s="37"/>
    </row>
    <row r="13549" spans="2:2" ht="15.9" customHeight="1" x14ac:dyDescent="0.3">
      <c r="B13549" s="37"/>
    </row>
    <row r="13550" spans="2:2" ht="15.9" customHeight="1" x14ac:dyDescent="0.3">
      <c r="B13550" s="37"/>
    </row>
    <row r="13551" spans="2:2" ht="15.9" customHeight="1" x14ac:dyDescent="0.3">
      <c r="B13551" s="37"/>
    </row>
    <row r="13552" spans="2:2" ht="15.9" customHeight="1" x14ac:dyDescent="0.3">
      <c r="B13552" s="37"/>
    </row>
    <row r="13553" spans="2:2" ht="15.9" customHeight="1" x14ac:dyDescent="0.3">
      <c r="B13553" s="37"/>
    </row>
    <row r="13554" spans="2:2" ht="15.9" customHeight="1" x14ac:dyDescent="0.3">
      <c r="B13554" s="37"/>
    </row>
    <row r="13555" spans="2:2" ht="15.9" customHeight="1" x14ac:dyDescent="0.3">
      <c r="B13555" s="37"/>
    </row>
    <row r="13556" spans="2:2" ht="15.9" customHeight="1" x14ac:dyDescent="0.3">
      <c r="B13556" s="37"/>
    </row>
    <row r="13557" spans="2:2" ht="15.9" customHeight="1" x14ac:dyDescent="0.3">
      <c r="B13557" s="37"/>
    </row>
    <row r="13558" spans="2:2" ht="15.9" customHeight="1" x14ac:dyDescent="0.3">
      <c r="B13558" s="37"/>
    </row>
    <row r="13559" spans="2:2" ht="15.9" customHeight="1" x14ac:dyDescent="0.3">
      <c r="B13559" s="37"/>
    </row>
    <row r="13560" spans="2:2" ht="15.9" customHeight="1" x14ac:dyDescent="0.3">
      <c r="B13560" s="37"/>
    </row>
    <row r="13561" spans="2:2" ht="15.9" customHeight="1" x14ac:dyDescent="0.3">
      <c r="B13561" s="37"/>
    </row>
    <row r="13562" spans="2:2" ht="15.9" customHeight="1" x14ac:dyDescent="0.3">
      <c r="B13562" s="37"/>
    </row>
    <row r="13563" spans="2:2" ht="15.9" customHeight="1" x14ac:dyDescent="0.3">
      <c r="B13563" s="37"/>
    </row>
    <row r="13564" spans="2:2" ht="15.9" customHeight="1" x14ac:dyDescent="0.3">
      <c r="B13564" s="37"/>
    </row>
    <row r="13565" spans="2:2" ht="15.9" customHeight="1" x14ac:dyDescent="0.3">
      <c r="B13565" s="37"/>
    </row>
    <row r="13566" spans="2:2" ht="15.9" customHeight="1" x14ac:dyDescent="0.3">
      <c r="B13566" s="37"/>
    </row>
    <row r="13567" spans="2:2" ht="15.9" customHeight="1" x14ac:dyDescent="0.3">
      <c r="B13567" s="37"/>
    </row>
    <row r="13568" spans="2:2" ht="15.9" customHeight="1" x14ac:dyDescent="0.3">
      <c r="B13568" s="37"/>
    </row>
    <row r="13569" spans="2:2" ht="15.9" customHeight="1" x14ac:dyDescent="0.3">
      <c r="B13569" s="37"/>
    </row>
    <row r="13570" spans="2:2" ht="15.9" customHeight="1" x14ac:dyDescent="0.3">
      <c r="B13570" s="37"/>
    </row>
    <row r="13571" spans="2:2" ht="15.9" customHeight="1" x14ac:dyDescent="0.3">
      <c r="B13571" s="37"/>
    </row>
    <row r="13572" spans="2:2" ht="15.9" customHeight="1" x14ac:dyDescent="0.3">
      <c r="B13572" s="37"/>
    </row>
    <row r="13573" spans="2:2" ht="15.9" customHeight="1" x14ac:dyDescent="0.3">
      <c r="B13573" s="37"/>
    </row>
    <row r="13574" spans="2:2" ht="15.9" customHeight="1" x14ac:dyDescent="0.3">
      <c r="B13574" s="37"/>
    </row>
    <row r="13575" spans="2:2" ht="15.9" customHeight="1" x14ac:dyDescent="0.3">
      <c r="B13575" s="37"/>
    </row>
    <row r="13576" spans="2:2" ht="15.9" customHeight="1" x14ac:dyDescent="0.3">
      <c r="B13576" s="37"/>
    </row>
    <row r="13577" spans="2:2" ht="15.9" customHeight="1" x14ac:dyDescent="0.3">
      <c r="B13577" s="37"/>
    </row>
    <row r="13578" spans="2:2" ht="15.9" customHeight="1" x14ac:dyDescent="0.3">
      <c r="B13578" s="37"/>
    </row>
    <row r="13579" spans="2:2" ht="15.9" customHeight="1" x14ac:dyDescent="0.3">
      <c r="B13579" s="37"/>
    </row>
    <row r="13580" spans="2:2" ht="15.9" customHeight="1" x14ac:dyDescent="0.3">
      <c r="B13580" s="37"/>
    </row>
    <row r="13581" spans="2:2" ht="15.9" customHeight="1" x14ac:dyDescent="0.3">
      <c r="B13581" s="37"/>
    </row>
    <row r="13582" spans="2:2" ht="15.9" customHeight="1" x14ac:dyDescent="0.3">
      <c r="B13582" s="37"/>
    </row>
    <row r="13583" spans="2:2" ht="15.9" customHeight="1" x14ac:dyDescent="0.3">
      <c r="B13583" s="37"/>
    </row>
    <row r="13584" spans="2:2" ht="15.9" customHeight="1" x14ac:dyDescent="0.3">
      <c r="B13584" s="37"/>
    </row>
    <row r="13585" spans="2:2" ht="15.9" customHeight="1" x14ac:dyDescent="0.3">
      <c r="B13585" s="37"/>
    </row>
    <row r="13586" spans="2:2" ht="15.9" customHeight="1" x14ac:dyDescent="0.3">
      <c r="B13586" s="37"/>
    </row>
    <row r="13587" spans="2:2" ht="15.9" customHeight="1" x14ac:dyDescent="0.3">
      <c r="B13587" s="37"/>
    </row>
    <row r="13588" spans="2:2" ht="15.9" customHeight="1" x14ac:dyDescent="0.3">
      <c r="B13588" s="37"/>
    </row>
    <row r="13589" spans="2:2" ht="15.9" customHeight="1" x14ac:dyDescent="0.3">
      <c r="B13589" s="37"/>
    </row>
    <row r="13590" spans="2:2" ht="15.9" customHeight="1" x14ac:dyDescent="0.3">
      <c r="B13590" s="37"/>
    </row>
    <row r="13591" spans="2:2" ht="15.9" customHeight="1" x14ac:dyDescent="0.3">
      <c r="B13591" s="37"/>
    </row>
    <row r="13592" spans="2:2" ht="15.9" customHeight="1" x14ac:dyDescent="0.3">
      <c r="B13592" s="37"/>
    </row>
    <row r="13593" spans="2:2" ht="15.9" customHeight="1" x14ac:dyDescent="0.3">
      <c r="B13593" s="37"/>
    </row>
    <row r="13594" spans="2:2" ht="15.9" customHeight="1" x14ac:dyDescent="0.3">
      <c r="B13594" s="37"/>
    </row>
    <row r="13595" spans="2:2" ht="15.9" customHeight="1" x14ac:dyDescent="0.3">
      <c r="B13595" s="37"/>
    </row>
    <row r="13596" spans="2:2" ht="15.9" customHeight="1" x14ac:dyDescent="0.3">
      <c r="B13596" s="37"/>
    </row>
    <row r="13597" spans="2:2" ht="15.9" customHeight="1" x14ac:dyDescent="0.3">
      <c r="B13597" s="37"/>
    </row>
    <row r="13598" spans="2:2" ht="15.9" customHeight="1" x14ac:dyDescent="0.3">
      <c r="B13598" s="37"/>
    </row>
    <row r="13599" spans="2:2" ht="15.9" customHeight="1" x14ac:dyDescent="0.3">
      <c r="B13599" s="37"/>
    </row>
    <row r="13600" spans="2:2" ht="15.9" customHeight="1" x14ac:dyDescent="0.3">
      <c r="B13600" s="37"/>
    </row>
    <row r="13601" spans="2:2" ht="15.9" customHeight="1" x14ac:dyDescent="0.3">
      <c r="B13601" s="37"/>
    </row>
    <row r="13602" spans="2:2" ht="15.9" customHeight="1" x14ac:dyDescent="0.3">
      <c r="B13602" s="37"/>
    </row>
    <row r="13603" spans="2:2" ht="15.9" customHeight="1" x14ac:dyDescent="0.3">
      <c r="B13603" s="37"/>
    </row>
    <row r="13604" spans="2:2" ht="15.9" customHeight="1" x14ac:dyDescent="0.3">
      <c r="B13604" s="37"/>
    </row>
    <row r="13605" spans="2:2" ht="15.9" customHeight="1" x14ac:dyDescent="0.3">
      <c r="B13605" s="37"/>
    </row>
    <row r="13606" spans="2:2" ht="15.9" customHeight="1" x14ac:dyDescent="0.3">
      <c r="B13606" s="37"/>
    </row>
    <row r="13607" spans="2:2" ht="15.9" customHeight="1" x14ac:dyDescent="0.3">
      <c r="B13607" s="37"/>
    </row>
    <row r="13608" spans="2:2" ht="15.9" customHeight="1" x14ac:dyDescent="0.3">
      <c r="B13608" s="37"/>
    </row>
    <row r="13609" spans="2:2" ht="15.9" customHeight="1" x14ac:dyDescent="0.3">
      <c r="B13609" s="37"/>
    </row>
    <row r="13610" spans="2:2" ht="15.9" customHeight="1" x14ac:dyDescent="0.3">
      <c r="B13610" s="37"/>
    </row>
    <row r="13611" spans="2:2" ht="15.9" customHeight="1" x14ac:dyDescent="0.3">
      <c r="B13611" s="37"/>
    </row>
    <row r="13612" spans="2:2" ht="15.9" customHeight="1" x14ac:dyDescent="0.3">
      <c r="B13612" s="37"/>
    </row>
    <row r="13613" spans="2:2" ht="15.9" customHeight="1" x14ac:dyDescent="0.3">
      <c r="B13613" s="37"/>
    </row>
    <row r="13614" spans="2:2" ht="15.9" customHeight="1" x14ac:dyDescent="0.3">
      <c r="B13614" s="37"/>
    </row>
    <row r="13615" spans="2:2" ht="15.9" customHeight="1" x14ac:dyDescent="0.3">
      <c r="B13615" s="37"/>
    </row>
    <row r="13616" spans="2:2" ht="15.9" customHeight="1" x14ac:dyDescent="0.3">
      <c r="B13616" s="37"/>
    </row>
    <row r="13617" spans="2:2" ht="15.9" customHeight="1" x14ac:dyDescent="0.3">
      <c r="B13617" s="37"/>
    </row>
    <row r="13618" spans="2:2" ht="15.9" customHeight="1" x14ac:dyDescent="0.3">
      <c r="B13618" s="37"/>
    </row>
    <row r="13619" spans="2:2" ht="15.9" customHeight="1" x14ac:dyDescent="0.3">
      <c r="B13619" s="37"/>
    </row>
    <row r="13620" spans="2:2" ht="15.9" customHeight="1" x14ac:dyDescent="0.3">
      <c r="B13620" s="37"/>
    </row>
    <row r="13621" spans="2:2" ht="15.9" customHeight="1" x14ac:dyDescent="0.3">
      <c r="B13621" s="37"/>
    </row>
    <row r="13622" spans="2:2" ht="15.9" customHeight="1" x14ac:dyDescent="0.3">
      <c r="B13622" s="37"/>
    </row>
    <row r="13623" spans="2:2" ht="15.9" customHeight="1" x14ac:dyDescent="0.3">
      <c r="B13623" s="37"/>
    </row>
    <row r="13624" spans="2:2" ht="15.9" customHeight="1" x14ac:dyDescent="0.3">
      <c r="B13624" s="37"/>
    </row>
    <row r="13625" spans="2:2" ht="15.9" customHeight="1" x14ac:dyDescent="0.3">
      <c r="B13625" s="37"/>
    </row>
    <row r="13626" spans="2:2" ht="15.9" customHeight="1" x14ac:dyDescent="0.3">
      <c r="B13626" s="37"/>
    </row>
    <row r="13627" spans="2:2" ht="15.9" customHeight="1" x14ac:dyDescent="0.3">
      <c r="B13627" s="37"/>
    </row>
    <row r="13628" spans="2:2" ht="15.9" customHeight="1" x14ac:dyDescent="0.3">
      <c r="B13628" s="37"/>
    </row>
    <row r="13629" spans="2:2" ht="15.9" customHeight="1" x14ac:dyDescent="0.3">
      <c r="B13629" s="37"/>
    </row>
    <row r="13630" spans="2:2" ht="15.9" customHeight="1" x14ac:dyDescent="0.3">
      <c r="B13630" s="37"/>
    </row>
    <row r="13631" spans="2:2" ht="15.9" customHeight="1" x14ac:dyDescent="0.3">
      <c r="B13631" s="37"/>
    </row>
    <row r="13632" spans="2:2" ht="15.9" customHeight="1" x14ac:dyDescent="0.3">
      <c r="B13632" s="37"/>
    </row>
    <row r="13633" spans="2:2" ht="15.9" customHeight="1" x14ac:dyDescent="0.3">
      <c r="B13633" s="37"/>
    </row>
    <row r="13634" spans="2:2" ht="15.9" customHeight="1" x14ac:dyDescent="0.3">
      <c r="B13634" s="37"/>
    </row>
    <row r="13635" spans="2:2" ht="15.9" customHeight="1" x14ac:dyDescent="0.3">
      <c r="B13635" s="37"/>
    </row>
    <row r="13636" spans="2:2" ht="15.9" customHeight="1" x14ac:dyDescent="0.3">
      <c r="B13636" s="37"/>
    </row>
    <row r="13637" spans="2:2" ht="15.9" customHeight="1" x14ac:dyDescent="0.3">
      <c r="B13637" s="37"/>
    </row>
    <row r="13638" spans="2:2" ht="15.9" customHeight="1" x14ac:dyDescent="0.3">
      <c r="B13638" s="37"/>
    </row>
    <row r="13639" spans="2:2" ht="15.9" customHeight="1" x14ac:dyDescent="0.3">
      <c r="B13639" s="37"/>
    </row>
    <row r="13640" spans="2:2" ht="15.9" customHeight="1" x14ac:dyDescent="0.3">
      <c r="B13640" s="37"/>
    </row>
    <row r="13641" spans="2:2" ht="15.9" customHeight="1" x14ac:dyDescent="0.3">
      <c r="B13641" s="37"/>
    </row>
    <row r="13642" spans="2:2" ht="15.9" customHeight="1" x14ac:dyDescent="0.3">
      <c r="B13642" s="37"/>
    </row>
    <row r="13643" spans="2:2" ht="15.9" customHeight="1" x14ac:dyDescent="0.3">
      <c r="B13643" s="37"/>
    </row>
    <row r="13644" spans="2:2" ht="15.9" customHeight="1" x14ac:dyDescent="0.3">
      <c r="B13644" s="37"/>
    </row>
    <row r="13645" spans="2:2" ht="15.9" customHeight="1" x14ac:dyDescent="0.3">
      <c r="B13645" s="37"/>
    </row>
    <row r="13646" spans="2:2" ht="15.9" customHeight="1" x14ac:dyDescent="0.3">
      <c r="B13646" s="37"/>
    </row>
    <row r="13647" spans="2:2" ht="15.9" customHeight="1" x14ac:dyDescent="0.3">
      <c r="B13647" s="37"/>
    </row>
    <row r="13648" spans="2:2" ht="15.9" customHeight="1" x14ac:dyDescent="0.3">
      <c r="B13648" s="37"/>
    </row>
    <row r="13649" spans="2:2" ht="15.9" customHeight="1" x14ac:dyDescent="0.3">
      <c r="B13649" s="37"/>
    </row>
    <row r="13650" spans="2:2" ht="15.9" customHeight="1" x14ac:dyDescent="0.3">
      <c r="B13650" s="37"/>
    </row>
    <row r="13651" spans="2:2" ht="15.9" customHeight="1" x14ac:dyDescent="0.3">
      <c r="B13651" s="37"/>
    </row>
    <row r="13652" spans="2:2" ht="15.9" customHeight="1" x14ac:dyDescent="0.3">
      <c r="B13652" s="37"/>
    </row>
    <row r="13653" spans="2:2" ht="15.9" customHeight="1" x14ac:dyDescent="0.3">
      <c r="B13653" s="37"/>
    </row>
    <row r="13654" spans="2:2" ht="15.9" customHeight="1" x14ac:dyDescent="0.3">
      <c r="B13654" s="37"/>
    </row>
    <row r="13655" spans="2:2" ht="15.9" customHeight="1" x14ac:dyDescent="0.3">
      <c r="B13655" s="37"/>
    </row>
    <row r="13656" spans="2:2" ht="15.9" customHeight="1" x14ac:dyDescent="0.3">
      <c r="B13656" s="37"/>
    </row>
    <row r="13657" spans="2:2" ht="15.9" customHeight="1" x14ac:dyDescent="0.3">
      <c r="B13657" s="37"/>
    </row>
    <row r="13658" spans="2:2" ht="15.9" customHeight="1" x14ac:dyDescent="0.3">
      <c r="B13658" s="37"/>
    </row>
    <row r="13659" spans="2:2" ht="15.9" customHeight="1" x14ac:dyDescent="0.3">
      <c r="B13659" s="37"/>
    </row>
    <row r="13660" spans="2:2" ht="15.9" customHeight="1" x14ac:dyDescent="0.3">
      <c r="B13660" s="37"/>
    </row>
    <row r="13661" spans="2:2" ht="15.9" customHeight="1" x14ac:dyDescent="0.3">
      <c r="B13661" s="37"/>
    </row>
    <row r="13662" spans="2:2" ht="15.9" customHeight="1" x14ac:dyDescent="0.3">
      <c r="B13662" s="37"/>
    </row>
    <row r="13663" spans="2:2" ht="15.9" customHeight="1" x14ac:dyDescent="0.3">
      <c r="B13663" s="37"/>
    </row>
    <row r="13664" spans="2:2" ht="15.9" customHeight="1" x14ac:dyDescent="0.3">
      <c r="B13664" s="37"/>
    </row>
    <row r="13665" spans="2:2" ht="15.9" customHeight="1" x14ac:dyDescent="0.3">
      <c r="B13665" s="37"/>
    </row>
    <row r="13666" spans="2:2" ht="15.9" customHeight="1" x14ac:dyDescent="0.3">
      <c r="B13666" s="37"/>
    </row>
    <row r="13667" spans="2:2" ht="15.9" customHeight="1" x14ac:dyDescent="0.3">
      <c r="B13667" s="37"/>
    </row>
    <row r="13668" spans="2:2" ht="15.9" customHeight="1" x14ac:dyDescent="0.3">
      <c r="B13668" s="37"/>
    </row>
    <row r="13669" spans="2:2" ht="15.9" customHeight="1" x14ac:dyDescent="0.3">
      <c r="B13669" s="37"/>
    </row>
    <row r="13670" spans="2:2" ht="15.9" customHeight="1" x14ac:dyDescent="0.3">
      <c r="B13670" s="37"/>
    </row>
    <row r="13671" spans="2:2" ht="15.9" customHeight="1" x14ac:dyDescent="0.3">
      <c r="B13671" s="37"/>
    </row>
    <row r="13672" spans="2:2" ht="15.9" customHeight="1" x14ac:dyDescent="0.3">
      <c r="B13672" s="37"/>
    </row>
    <row r="13673" spans="2:2" ht="15.9" customHeight="1" x14ac:dyDescent="0.3">
      <c r="B13673" s="37"/>
    </row>
    <row r="13674" spans="2:2" ht="15.9" customHeight="1" x14ac:dyDescent="0.3">
      <c r="B13674" s="37"/>
    </row>
    <row r="13675" spans="2:2" ht="15.9" customHeight="1" x14ac:dyDescent="0.3">
      <c r="B13675" s="37"/>
    </row>
    <row r="13676" spans="2:2" ht="15.9" customHeight="1" x14ac:dyDescent="0.3">
      <c r="B13676" s="37"/>
    </row>
    <row r="13677" spans="2:2" ht="15.9" customHeight="1" x14ac:dyDescent="0.3">
      <c r="B13677" s="37"/>
    </row>
    <row r="13678" spans="2:2" ht="15.9" customHeight="1" x14ac:dyDescent="0.3">
      <c r="B13678" s="37"/>
    </row>
    <row r="13679" spans="2:2" ht="15.9" customHeight="1" x14ac:dyDescent="0.3">
      <c r="B13679" s="37"/>
    </row>
    <row r="13680" spans="2:2" ht="15.9" customHeight="1" x14ac:dyDescent="0.3">
      <c r="B13680" s="37"/>
    </row>
    <row r="13681" spans="2:2" ht="15.9" customHeight="1" x14ac:dyDescent="0.3">
      <c r="B13681" s="37"/>
    </row>
    <row r="13682" spans="2:2" ht="15.9" customHeight="1" x14ac:dyDescent="0.3">
      <c r="B13682" s="37"/>
    </row>
    <row r="13683" spans="2:2" ht="15.9" customHeight="1" x14ac:dyDescent="0.3">
      <c r="B13683" s="37"/>
    </row>
    <row r="13684" spans="2:2" ht="15.9" customHeight="1" x14ac:dyDescent="0.3">
      <c r="B13684" s="37"/>
    </row>
    <row r="13685" spans="2:2" ht="15.9" customHeight="1" x14ac:dyDescent="0.3">
      <c r="B13685" s="37"/>
    </row>
    <row r="13686" spans="2:2" ht="15.9" customHeight="1" x14ac:dyDescent="0.3">
      <c r="B13686" s="37"/>
    </row>
    <row r="13687" spans="2:2" ht="15.9" customHeight="1" x14ac:dyDescent="0.3">
      <c r="B13687" s="37"/>
    </row>
    <row r="13688" spans="2:2" ht="15.9" customHeight="1" x14ac:dyDescent="0.3">
      <c r="B13688" s="37"/>
    </row>
    <row r="13689" spans="2:2" ht="15.9" customHeight="1" x14ac:dyDescent="0.3">
      <c r="B13689" s="37"/>
    </row>
    <row r="13690" spans="2:2" ht="15.9" customHeight="1" x14ac:dyDescent="0.3">
      <c r="B13690" s="37"/>
    </row>
    <row r="13691" spans="2:2" ht="15.9" customHeight="1" x14ac:dyDescent="0.3">
      <c r="B13691" s="37"/>
    </row>
    <row r="13692" spans="2:2" ht="15.9" customHeight="1" x14ac:dyDescent="0.3">
      <c r="B13692" s="37"/>
    </row>
    <row r="13693" spans="2:2" ht="15.9" customHeight="1" x14ac:dyDescent="0.3">
      <c r="B13693" s="37"/>
    </row>
    <row r="13694" spans="2:2" ht="15.9" customHeight="1" x14ac:dyDescent="0.3">
      <c r="B13694" s="37"/>
    </row>
    <row r="13695" spans="2:2" ht="15.9" customHeight="1" x14ac:dyDescent="0.3">
      <c r="B13695" s="37"/>
    </row>
    <row r="13696" spans="2:2" ht="15.9" customHeight="1" x14ac:dyDescent="0.3">
      <c r="B13696" s="37"/>
    </row>
    <row r="13697" spans="2:2" ht="15.9" customHeight="1" x14ac:dyDescent="0.3">
      <c r="B13697" s="37"/>
    </row>
    <row r="13698" spans="2:2" ht="15.9" customHeight="1" x14ac:dyDescent="0.3">
      <c r="B13698" s="37"/>
    </row>
    <row r="13699" spans="2:2" ht="15.9" customHeight="1" x14ac:dyDescent="0.3">
      <c r="B13699" s="37"/>
    </row>
    <row r="13700" spans="2:2" ht="15.9" customHeight="1" x14ac:dyDescent="0.3">
      <c r="B13700" s="37"/>
    </row>
    <row r="13701" spans="2:2" ht="15.9" customHeight="1" x14ac:dyDescent="0.3">
      <c r="B13701" s="37"/>
    </row>
    <row r="13702" spans="2:2" ht="15.9" customHeight="1" x14ac:dyDescent="0.3">
      <c r="B13702" s="37"/>
    </row>
    <row r="13703" spans="2:2" ht="15.9" customHeight="1" x14ac:dyDescent="0.3">
      <c r="B13703" s="37"/>
    </row>
    <row r="13704" spans="2:2" ht="15.9" customHeight="1" x14ac:dyDescent="0.3">
      <c r="B13704" s="37"/>
    </row>
    <row r="13705" spans="2:2" ht="15.9" customHeight="1" x14ac:dyDescent="0.3">
      <c r="B13705" s="37"/>
    </row>
    <row r="13706" spans="2:2" ht="15.9" customHeight="1" x14ac:dyDescent="0.3">
      <c r="B13706" s="37"/>
    </row>
    <row r="13707" spans="2:2" ht="15.9" customHeight="1" x14ac:dyDescent="0.3">
      <c r="B13707" s="37"/>
    </row>
    <row r="13708" spans="2:2" ht="15.9" customHeight="1" x14ac:dyDescent="0.3">
      <c r="B13708" s="37"/>
    </row>
    <row r="13709" spans="2:2" ht="15.9" customHeight="1" x14ac:dyDescent="0.3">
      <c r="B13709" s="37"/>
    </row>
    <row r="13710" spans="2:2" ht="15.9" customHeight="1" x14ac:dyDescent="0.3">
      <c r="B13710" s="37"/>
    </row>
    <row r="13711" spans="2:2" ht="15.9" customHeight="1" x14ac:dyDescent="0.3">
      <c r="B13711" s="37"/>
    </row>
    <row r="13712" spans="2:2" ht="15.9" customHeight="1" x14ac:dyDescent="0.3">
      <c r="B13712" s="37"/>
    </row>
    <row r="13713" spans="2:2" ht="15.9" customHeight="1" x14ac:dyDescent="0.3">
      <c r="B13713" s="37"/>
    </row>
    <row r="13714" spans="2:2" ht="15.9" customHeight="1" x14ac:dyDescent="0.3">
      <c r="B13714" s="37"/>
    </row>
    <row r="13715" spans="2:2" ht="15.9" customHeight="1" x14ac:dyDescent="0.3">
      <c r="B13715" s="37"/>
    </row>
    <row r="13716" spans="2:2" ht="15.9" customHeight="1" x14ac:dyDescent="0.3">
      <c r="B13716" s="37"/>
    </row>
    <row r="13717" spans="2:2" ht="15.9" customHeight="1" x14ac:dyDescent="0.3">
      <c r="B13717" s="37"/>
    </row>
    <row r="13718" spans="2:2" ht="15.9" customHeight="1" x14ac:dyDescent="0.3">
      <c r="B13718" s="37"/>
    </row>
    <row r="13719" spans="2:2" ht="15.9" customHeight="1" x14ac:dyDescent="0.3">
      <c r="B13719" s="37"/>
    </row>
    <row r="13720" spans="2:2" ht="15.9" customHeight="1" x14ac:dyDescent="0.3">
      <c r="B13720" s="37"/>
    </row>
    <row r="13721" spans="2:2" ht="15.9" customHeight="1" x14ac:dyDescent="0.3">
      <c r="B13721" s="37"/>
    </row>
    <row r="13722" spans="2:2" ht="15.9" customHeight="1" x14ac:dyDescent="0.3">
      <c r="B13722" s="37"/>
    </row>
    <row r="13723" spans="2:2" ht="15.9" customHeight="1" x14ac:dyDescent="0.3">
      <c r="B13723" s="37"/>
    </row>
    <row r="13724" spans="2:2" ht="15.9" customHeight="1" x14ac:dyDescent="0.3">
      <c r="B13724" s="37"/>
    </row>
    <row r="13725" spans="2:2" ht="15.9" customHeight="1" x14ac:dyDescent="0.3">
      <c r="B13725" s="37"/>
    </row>
    <row r="13726" spans="2:2" ht="15.9" customHeight="1" x14ac:dyDescent="0.3">
      <c r="B13726" s="37"/>
    </row>
    <row r="13727" spans="2:2" ht="15.9" customHeight="1" x14ac:dyDescent="0.3">
      <c r="B13727" s="37"/>
    </row>
    <row r="13728" spans="2:2" ht="15.9" customHeight="1" x14ac:dyDescent="0.3">
      <c r="B13728" s="37"/>
    </row>
    <row r="13729" spans="2:2" ht="15.9" customHeight="1" x14ac:dyDescent="0.3">
      <c r="B13729" s="37"/>
    </row>
    <row r="13730" spans="2:2" ht="15.9" customHeight="1" x14ac:dyDescent="0.3">
      <c r="B13730" s="37"/>
    </row>
    <row r="13731" spans="2:2" ht="15.9" customHeight="1" x14ac:dyDescent="0.3">
      <c r="B13731" s="37"/>
    </row>
    <row r="13732" spans="2:2" ht="15.9" customHeight="1" x14ac:dyDescent="0.3">
      <c r="B13732" s="37"/>
    </row>
    <row r="13733" spans="2:2" ht="15.9" customHeight="1" x14ac:dyDescent="0.3">
      <c r="B13733" s="37"/>
    </row>
    <row r="13734" spans="2:2" ht="15.9" customHeight="1" x14ac:dyDescent="0.3">
      <c r="B13734" s="37"/>
    </row>
    <row r="13735" spans="2:2" ht="15.9" customHeight="1" x14ac:dyDescent="0.3">
      <c r="B13735" s="37"/>
    </row>
    <row r="13736" spans="2:2" ht="15.9" customHeight="1" x14ac:dyDescent="0.3">
      <c r="B13736" s="37"/>
    </row>
    <row r="13737" spans="2:2" ht="15.9" customHeight="1" x14ac:dyDescent="0.3">
      <c r="B13737" s="37"/>
    </row>
    <row r="13738" spans="2:2" ht="15.9" customHeight="1" x14ac:dyDescent="0.3">
      <c r="B13738" s="37"/>
    </row>
    <row r="13739" spans="2:2" ht="15.9" customHeight="1" x14ac:dyDescent="0.3">
      <c r="B13739" s="37"/>
    </row>
    <row r="13740" spans="2:2" ht="15.9" customHeight="1" x14ac:dyDescent="0.3">
      <c r="B13740" s="37"/>
    </row>
    <row r="13741" spans="2:2" ht="15.9" customHeight="1" x14ac:dyDescent="0.3">
      <c r="B13741" s="37"/>
    </row>
    <row r="13742" spans="2:2" ht="15.9" customHeight="1" x14ac:dyDescent="0.3">
      <c r="B13742" s="37"/>
    </row>
    <row r="13743" spans="2:2" ht="15.9" customHeight="1" x14ac:dyDescent="0.3">
      <c r="B13743" s="37"/>
    </row>
    <row r="13744" spans="2:2" ht="15.9" customHeight="1" x14ac:dyDescent="0.3">
      <c r="B13744" s="37"/>
    </row>
    <row r="13745" spans="2:2" ht="15.9" customHeight="1" x14ac:dyDescent="0.3">
      <c r="B13745" s="37"/>
    </row>
    <row r="13746" spans="2:2" ht="15.9" customHeight="1" x14ac:dyDescent="0.3">
      <c r="B13746" s="37"/>
    </row>
    <row r="13747" spans="2:2" ht="15.9" customHeight="1" x14ac:dyDescent="0.3">
      <c r="B13747" s="37"/>
    </row>
    <row r="13748" spans="2:2" ht="15.9" customHeight="1" x14ac:dyDescent="0.3">
      <c r="B13748" s="37"/>
    </row>
    <row r="13749" spans="2:2" ht="15.9" customHeight="1" x14ac:dyDescent="0.3">
      <c r="B13749" s="37"/>
    </row>
    <row r="13750" spans="2:2" ht="15.9" customHeight="1" x14ac:dyDescent="0.3">
      <c r="B13750" s="37"/>
    </row>
    <row r="13751" spans="2:2" ht="15.9" customHeight="1" x14ac:dyDescent="0.3">
      <c r="B13751" s="37"/>
    </row>
    <row r="13752" spans="2:2" ht="15.9" customHeight="1" x14ac:dyDescent="0.3">
      <c r="B13752" s="37"/>
    </row>
    <row r="13753" spans="2:2" ht="15.9" customHeight="1" x14ac:dyDescent="0.3">
      <c r="B13753" s="37"/>
    </row>
    <row r="13754" spans="2:2" ht="15.9" customHeight="1" x14ac:dyDescent="0.3">
      <c r="B13754" s="37"/>
    </row>
    <row r="13755" spans="2:2" ht="15.9" customHeight="1" x14ac:dyDescent="0.3">
      <c r="B13755" s="37"/>
    </row>
    <row r="13756" spans="2:2" ht="15.9" customHeight="1" x14ac:dyDescent="0.3">
      <c r="B13756" s="37"/>
    </row>
    <row r="13757" spans="2:2" ht="15.9" customHeight="1" x14ac:dyDescent="0.3">
      <c r="B13757" s="37"/>
    </row>
    <row r="13758" spans="2:2" ht="15.9" customHeight="1" x14ac:dyDescent="0.3">
      <c r="B13758" s="37"/>
    </row>
    <row r="13759" spans="2:2" ht="15.9" customHeight="1" x14ac:dyDescent="0.3">
      <c r="B13759" s="37"/>
    </row>
    <row r="13760" spans="2:2" ht="15.9" customHeight="1" x14ac:dyDescent="0.3">
      <c r="B13760" s="37"/>
    </row>
    <row r="13761" spans="2:2" ht="15.9" customHeight="1" x14ac:dyDescent="0.3">
      <c r="B13761" s="37"/>
    </row>
    <row r="13762" spans="2:2" ht="15.9" customHeight="1" x14ac:dyDescent="0.3">
      <c r="B13762" s="37"/>
    </row>
    <row r="13763" spans="2:2" ht="15.9" customHeight="1" x14ac:dyDescent="0.3">
      <c r="B13763" s="37"/>
    </row>
    <row r="13764" spans="2:2" ht="15.9" customHeight="1" x14ac:dyDescent="0.3">
      <c r="B13764" s="37"/>
    </row>
    <row r="13765" spans="2:2" ht="15.9" customHeight="1" x14ac:dyDescent="0.3">
      <c r="B13765" s="37"/>
    </row>
    <row r="13766" spans="2:2" ht="15.9" customHeight="1" x14ac:dyDescent="0.3">
      <c r="B13766" s="37"/>
    </row>
    <row r="13767" spans="2:2" ht="15.9" customHeight="1" x14ac:dyDescent="0.3">
      <c r="B13767" s="37"/>
    </row>
    <row r="13768" spans="2:2" ht="15.9" customHeight="1" x14ac:dyDescent="0.3">
      <c r="B13768" s="37"/>
    </row>
    <row r="13769" spans="2:2" ht="15.9" customHeight="1" x14ac:dyDescent="0.3">
      <c r="B13769" s="37"/>
    </row>
    <row r="13770" spans="2:2" ht="15.9" customHeight="1" x14ac:dyDescent="0.3">
      <c r="B13770" s="37"/>
    </row>
    <row r="13771" spans="2:2" ht="15.9" customHeight="1" x14ac:dyDescent="0.3">
      <c r="B13771" s="37"/>
    </row>
    <row r="13772" spans="2:2" ht="15.9" customHeight="1" x14ac:dyDescent="0.3">
      <c r="B13772" s="37"/>
    </row>
    <row r="13773" spans="2:2" ht="15.9" customHeight="1" x14ac:dyDescent="0.3">
      <c r="B13773" s="37"/>
    </row>
    <row r="13774" spans="2:2" ht="15.9" customHeight="1" x14ac:dyDescent="0.3">
      <c r="B13774" s="37"/>
    </row>
    <row r="13775" spans="2:2" ht="15.9" customHeight="1" x14ac:dyDescent="0.3">
      <c r="B13775" s="37"/>
    </row>
    <row r="13776" spans="2:2" ht="15.9" customHeight="1" x14ac:dyDescent="0.3">
      <c r="B13776" s="37"/>
    </row>
    <row r="13777" spans="2:2" ht="15.9" customHeight="1" x14ac:dyDescent="0.3">
      <c r="B13777" s="37"/>
    </row>
    <row r="13778" spans="2:2" ht="15.9" customHeight="1" x14ac:dyDescent="0.3">
      <c r="B13778" s="37"/>
    </row>
    <row r="13779" spans="2:2" ht="15.9" customHeight="1" x14ac:dyDescent="0.3">
      <c r="B13779" s="37"/>
    </row>
    <row r="13780" spans="2:2" ht="15.9" customHeight="1" x14ac:dyDescent="0.3">
      <c r="B13780" s="37"/>
    </row>
    <row r="13781" spans="2:2" ht="15.9" customHeight="1" x14ac:dyDescent="0.3">
      <c r="B13781" s="37"/>
    </row>
    <row r="13782" spans="2:2" ht="15.9" customHeight="1" x14ac:dyDescent="0.3">
      <c r="B13782" s="37"/>
    </row>
    <row r="13783" spans="2:2" ht="15.9" customHeight="1" x14ac:dyDescent="0.3">
      <c r="B13783" s="37"/>
    </row>
    <row r="13784" spans="2:2" ht="15.9" customHeight="1" x14ac:dyDescent="0.3">
      <c r="B13784" s="37"/>
    </row>
    <row r="13785" spans="2:2" ht="15.9" customHeight="1" x14ac:dyDescent="0.3">
      <c r="B13785" s="37"/>
    </row>
    <row r="13786" spans="2:2" ht="15.9" customHeight="1" x14ac:dyDescent="0.3">
      <c r="B13786" s="37"/>
    </row>
    <row r="13787" spans="2:2" ht="15.9" customHeight="1" x14ac:dyDescent="0.3">
      <c r="B13787" s="37"/>
    </row>
    <row r="13788" spans="2:2" ht="15.9" customHeight="1" x14ac:dyDescent="0.3">
      <c r="B13788" s="37"/>
    </row>
    <row r="13789" spans="2:2" ht="15.9" customHeight="1" x14ac:dyDescent="0.3">
      <c r="B13789" s="37"/>
    </row>
    <row r="13790" spans="2:2" ht="15.9" customHeight="1" x14ac:dyDescent="0.3">
      <c r="B13790" s="37"/>
    </row>
    <row r="13791" spans="2:2" ht="15.9" customHeight="1" x14ac:dyDescent="0.3">
      <c r="B13791" s="37"/>
    </row>
    <row r="13792" spans="2:2" ht="15.9" customHeight="1" x14ac:dyDescent="0.3">
      <c r="B13792" s="37"/>
    </row>
    <row r="13793" spans="2:2" ht="15.9" customHeight="1" x14ac:dyDescent="0.3">
      <c r="B13793" s="37"/>
    </row>
    <row r="13794" spans="2:2" ht="15.9" customHeight="1" x14ac:dyDescent="0.3">
      <c r="B13794" s="37"/>
    </row>
    <row r="13795" spans="2:2" ht="15.9" customHeight="1" x14ac:dyDescent="0.3">
      <c r="B13795" s="37"/>
    </row>
    <row r="13796" spans="2:2" ht="15.9" customHeight="1" x14ac:dyDescent="0.3">
      <c r="B13796" s="37"/>
    </row>
    <row r="13797" spans="2:2" ht="15.9" customHeight="1" x14ac:dyDescent="0.3">
      <c r="B13797" s="37"/>
    </row>
    <row r="13798" spans="2:2" ht="15.9" customHeight="1" x14ac:dyDescent="0.3">
      <c r="B13798" s="37"/>
    </row>
    <row r="13799" spans="2:2" ht="15.9" customHeight="1" x14ac:dyDescent="0.3">
      <c r="B13799" s="37"/>
    </row>
    <row r="13800" spans="2:2" ht="15.9" customHeight="1" x14ac:dyDescent="0.3">
      <c r="B13800" s="37"/>
    </row>
    <row r="13801" spans="2:2" ht="15.9" customHeight="1" x14ac:dyDescent="0.3">
      <c r="B13801" s="37"/>
    </row>
    <row r="13802" spans="2:2" ht="15.9" customHeight="1" x14ac:dyDescent="0.3">
      <c r="B13802" s="37"/>
    </row>
    <row r="13803" spans="2:2" ht="15.9" customHeight="1" x14ac:dyDescent="0.3">
      <c r="B13803" s="37"/>
    </row>
    <row r="13804" spans="2:2" ht="15.9" customHeight="1" x14ac:dyDescent="0.3">
      <c r="B13804" s="37"/>
    </row>
    <row r="13805" spans="2:2" ht="15.9" customHeight="1" x14ac:dyDescent="0.3">
      <c r="B13805" s="37"/>
    </row>
    <row r="13806" spans="2:2" ht="15.9" customHeight="1" x14ac:dyDescent="0.3">
      <c r="B13806" s="37"/>
    </row>
    <row r="13807" spans="2:2" ht="15.9" customHeight="1" x14ac:dyDescent="0.3">
      <c r="B13807" s="37"/>
    </row>
    <row r="13808" spans="2:2" ht="15.9" customHeight="1" x14ac:dyDescent="0.3">
      <c r="B13808" s="37"/>
    </row>
    <row r="13809" spans="2:2" ht="15.9" customHeight="1" x14ac:dyDescent="0.3">
      <c r="B13809" s="37"/>
    </row>
    <row r="13810" spans="2:2" ht="15.9" customHeight="1" x14ac:dyDescent="0.3">
      <c r="B13810" s="37"/>
    </row>
    <row r="13811" spans="2:2" ht="15.9" customHeight="1" x14ac:dyDescent="0.3">
      <c r="B13811" s="37"/>
    </row>
    <row r="13812" spans="2:2" ht="15.9" customHeight="1" x14ac:dyDescent="0.3">
      <c r="B13812" s="37"/>
    </row>
    <row r="13813" spans="2:2" ht="15.9" customHeight="1" x14ac:dyDescent="0.3">
      <c r="B13813" s="37"/>
    </row>
    <row r="13814" spans="2:2" ht="15.9" customHeight="1" x14ac:dyDescent="0.3">
      <c r="B13814" s="37"/>
    </row>
    <row r="13815" spans="2:2" ht="15.9" customHeight="1" x14ac:dyDescent="0.3">
      <c r="B13815" s="37"/>
    </row>
    <row r="13816" spans="2:2" ht="15.9" customHeight="1" x14ac:dyDescent="0.3">
      <c r="B13816" s="37"/>
    </row>
    <row r="13817" spans="2:2" ht="15.9" customHeight="1" x14ac:dyDescent="0.3">
      <c r="B13817" s="37"/>
    </row>
    <row r="13818" spans="2:2" ht="15.9" customHeight="1" x14ac:dyDescent="0.3">
      <c r="B13818" s="37"/>
    </row>
    <row r="13819" spans="2:2" ht="15.9" customHeight="1" x14ac:dyDescent="0.3">
      <c r="B13819" s="37"/>
    </row>
    <row r="13820" spans="2:2" ht="15.9" customHeight="1" x14ac:dyDescent="0.3">
      <c r="B13820" s="37"/>
    </row>
    <row r="13821" spans="2:2" ht="15.9" customHeight="1" x14ac:dyDescent="0.3">
      <c r="B13821" s="37"/>
    </row>
    <row r="13822" spans="2:2" ht="15.9" customHeight="1" x14ac:dyDescent="0.3">
      <c r="B13822" s="37"/>
    </row>
    <row r="13823" spans="2:2" ht="15.9" customHeight="1" x14ac:dyDescent="0.3">
      <c r="B13823" s="37"/>
    </row>
    <row r="13824" spans="2:2" ht="15.9" customHeight="1" x14ac:dyDescent="0.3">
      <c r="B13824" s="37"/>
    </row>
    <row r="13825" spans="2:2" ht="15.9" customHeight="1" x14ac:dyDescent="0.3">
      <c r="B13825" s="37"/>
    </row>
    <row r="13826" spans="2:2" ht="15.9" customHeight="1" x14ac:dyDescent="0.3">
      <c r="B13826" s="37"/>
    </row>
    <row r="13827" spans="2:2" ht="15.9" customHeight="1" x14ac:dyDescent="0.3">
      <c r="B13827" s="37"/>
    </row>
    <row r="13828" spans="2:2" ht="15.9" customHeight="1" x14ac:dyDescent="0.3">
      <c r="B13828" s="37"/>
    </row>
    <row r="13829" spans="2:2" ht="15.9" customHeight="1" x14ac:dyDescent="0.3">
      <c r="B13829" s="37"/>
    </row>
    <row r="13830" spans="2:2" ht="15.9" customHeight="1" x14ac:dyDescent="0.3">
      <c r="B13830" s="37"/>
    </row>
    <row r="13831" spans="2:2" ht="15.9" customHeight="1" x14ac:dyDescent="0.3">
      <c r="B13831" s="37"/>
    </row>
    <row r="13832" spans="2:2" ht="15.9" customHeight="1" x14ac:dyDescent="0.3">
      <c r="B13832" s="37"/>
    </row>
    <row r="13833" spans="2:2" ht="15.9" customHeight="1" x14ac:dyDescent="0.3">
      <c r="B13833" s="37"/>
    </row>
    <row r="13834" spans="2:2" ht="15.9" customHeight="1" x14ac:dyDescent="0.3">
      <c r="B13834" s="37"/>
    </row>
    <row r="13835" spans="2:2" ht="15.9" customHeight="1" x14ac:dyDescent="0.3">
      <c r="B13835" s="37"/>
    </row>
    <row r="13836" spans="2:2" ht="15.9" customHeight="1" x14ac:dyDescent="0.3">
      <c r="B13836" s="37"/>
    </row>
    <row r="13837" spans="2:2" ht="15.9" customHeight="1" x14ac:dyDescent="0.3">
      <c r="B13837" s="37"/>
    </row>
    <row r="13838" spans="2:2" ht="15.9" customHeight="1" x14ac:dyDescent="0.3">
      <c r="B13838" s="37"/>
    </row>
    <row r="13839" spans="2:2" ht="15.9" customHeight="1" x14ac:dyDescent="0.3">
      <c r="B13839" s="37"/>
    </row>
    <row r="13840" spans="2:2" ht="15.9" customHeight="1" x14ac:dyDescent="0.3">
      <c r="B13840" s="37"/>
    </row>
    <row r="13841" spans="2:2" ht="15.9" customHeight="1" x14ac:dyDescent="0.3">
      <c r="B13841" s="37"/>
    </row>
    <row r="13842" spans="2:2" ht="15.9" customHeight="1" x14ac:dyDescent="0.3">
      <c r="B13842" s="37"/>
    </row>
    <row r="13843" spans="2:2" ht="15.9" customHeight="1" x14ac:dyDescent="0.3">
      <c r="B13843" s="37"/>
    </row>
    <row r="13844" spans="2:2" ht="15.9" customHeight="1" x14ac:dyDescent="0.3">
      <c r="B13844" s="37"/>
    </row>
    <row r="13845" spans="2:2" ht="15.9" customHeight="1" x14ac:dyDescent="0.3">
      <c r="B13845" s="37"/>
    </row>
    <row r="13846" spans="2:2" ht="15.9" customHeight="1" x14ac:dyDescent="0.3">
      <c r="B13846" s="37"/>
    </row>
    <row r="13847" spans="2:2" ht="15.9" customHeight="1" x14ac:dyDescent="0.3">
      <c r="B13847" s="37"/>
    </row>
    <row r="13848" spans="2:2" ht="15.9" customHeight="1" x14ac:dyDescent="0.3">
      <c r="B13848" s="37"/>
    </row>
    <row r="13849" spans="2:2" ht="15.9" customHeight="1" x14ac:dyDescent="0.3">
      <c r="B13849" s="37"/>
    </row>
    <row r="13850" spans="2:2" ht="15.9" customHeight="1" x14ac:dyDescent="0.3">
      <c r="B13850" s="37"/>
    </row>
    <row r="13851" spans="2:2" ht="15.9" customHeight="1" x14ac:dyDescent="0.3">
      <c r="B13851" s="37"/>
    </row>
    <row r="13852" spans="2:2" ht="15.9" customHeight="1" x14ac:dyDescent="0.3">
      <c r="B13852" s="37"/>
    </row>
    <row r="13853" spans="2:2" ht="15.9" customHeight="1" x14ac:dyDescent="0.3">
      <c r="B13853" s="37"/>
    </row>
    <row r="13854" spans="2:2" ht="15.9" customHeight="1" x14ac:dyDescent="0.3">
      <c r="B13854" s="37"/>
    </row>
    <row r="13855" spans="2:2" ht="15.9" customHeight="1" x14ac:dyDescent="0.3">
      <c r="B13855" s="37"/>
    </row>
    <row r="13856" spans="2:2" ht="15.9" customHeight="1" x14ac:dyDescent="0.3">
      <c r="B13856" s="37"/>
    </row>
    <row r="13857" spans="2:2" ht="15.9" customHeight="1" x14ac:dyDescent="0.3">
      <c r="B13857" s="37"/>
    </row>
    <row r="13858" spans="2:2" ht="15.9" customHeight="1" x14ac:dyDescent="0.3">
      <c r="B13858" s="37"/>
    </row>
    <row r="13859" spans="2:2" ht="15.9" customHeight="1" x14ac:dyDescent="0.3">
      <c r="B13859" s="37"/>
    </row>
    <row r="13860" spans="2:2" ht="15.9" customHeight="1" x14ac:dyDescent="0.3">
      <c r="B13860" s="37"/>
    </row>
    <row r="13861" spans="2:2" ht="15.9" customHeight="1" x14ac:dyDescent="0.3">
      <c r="B13861" s="37"/>
    </row>
    <row r="13862" spans="2:2" ht="15.9" customHeight="1" x14ac:dyDescent="0.3">
      <c r="B13862" s="37"/>
    </row>
    <row r="13863" spans="2:2" ht="15.9" customHeight="1" x14ac:dyDescent="0.3">
      <c r="B13863" s="37"/>
    </row>
    <row r="13864" spans="2:2" ht="15.9" customHeight="1" x14ac:dyDescent="0.3">
      <c r="B13864" s="37"/>
    </row>
    <row r="13865" spans="2:2" ht="15.9" customHeight="1" x14ac:dyDescent="0.3">
      <c r="B13865" s="37"/>
    </row>
    <row r="13866" spans="2:2" ht="15.9" customHeight="1" x14ac:dyDescent="0.3">
      <c r="B13866" s="37"/>
    </row>
    <row r="13867" spans="2:2" ht="15.9" customHeight="1" x14ac:dyDescent="0.3">
      <c r="B13867" s="37"/>
    </row>
    <row r="13868" spans="2:2" ht="15.9" customHeight="1" x14ac:dyDescent="0.3">
      <c r="B13868" s="37"/>
    </row>
    <row r="13869" spans="2:2" ht="15.9" customHeight="1" x14ac:dyDescent="0.3">
      <c r="B13869" s="37"/>
    </row>
    <row r="13870" spans="2:2" ht="15.9" customHeight="1" x14ac:dyDescent="0.3">
      <c r="B13870" s="37"/>
    </row>
    <row r="13871" spans="2:2" ht="15.9" customHeight="1" x14ac:dyDescent="0.3">
      <c r="B13871" s="37"/>
    </row>
    <row r="13872" spans="2:2" ht="15.9" customHeight="1" x14ac:dyDescent="0.3">
      <c r="B13872" s="37"/>
    </row>
    <row r="13873" spans="2:2" ht="15.9" customHeight="1" x14ac:dyDescent="0.3">
      <c r="B13873" s="37"/>
    </row>
    <row r="13874" spans="2:2" ht="15.9" customHeight="1" x14ac:dyDescent="0.3">
      <c r="B13874" s="37"/>
    </row>
    <row r="13875" spans="2:2" ht="15.9" customHeight="1" x14ac:dyDescent="0.3">
      <c r="B13875" s="37"/>
    </row>
    <row r="13876" spans="2:2" ht="15.9" customHeight="1" x14ac:dyDescent="0.3">
      <c r="B13876" s="37"/>
    </row>
    <row r="13877" spans="2:2" ht="15.9" customHeight="1" x14ac:dyDescent="0.3">
      <c r="B13877" s="37"/>
    </row>
    <row r="13878" spans="2:2" ht="15.9" customHeight="1" x14ac:dyDescent="0.3">
      <c r="B13878" s="37"/>
    </row>
    <row r="13879" spans="2:2" ht="15.9" customHeight="1" x14ac:dyDescent="0.3">
      <c r="B13879" s="37"/>
    </row>
    <row r="13880" spans="2:2" ht="15.9" customHeight="1" x14ac:dyDescent="0.3">
      <c r="B13880" s="37"/>
    </row>
    <row r="13881" spans="2:2" ht="15.9" customHeight="1" x14ac:dyDescent="0.3">
      <c r="B13881" s="37"/>
    </row>
    <row r="13882" spans="2:2" ht="15.9" customHeight="1" x14ac:dyDescent="0.3">
      <c r="B13882" s="37"/>
    </row>
    <row r="13883" spans="2:2" ht="15.9" customHeight="1" x14ac:dyDescent="0.3">
      <c r="B13883" s="37"/>
    </row>
    <row r="13884" spans="2:2" ht="15.9" customHeight="1" x14ac:dyDescent="0.3">
      <c r="B13884" s="37"/>
    </row>
    <row r="13885" spans="2:2" ht="15.9" customHeight="1" x14ac:dyDescent="0.3">
      <c r="B13885" s="37"/>
    </row>
    <row r="13886" spans="2:2" ht="15.9" customHeight="1" x14ac:dyDescent="0.3">
      <c r="B13886" s="37"/>
    </row>
    <row r="13887" spans="2:2" ht="15.9" customHeight="1" x14ac:dyDescent="0.3">
      <c r="B13887" s="37"/>
    </row>
    <row r="13888" spans="2:2" ht="15.9" customHeight="1" x14ac:dyDescent="0.3">
      <c r="B13888" s="37"/>
    </row>
    <row r="13889" spans="2:2" ht="15.9" customHeight="1" x14ac:dyDescent="0.3">
      <c r="B13889" s="37"/>
    </row>
    <row r="13890" spans="2:2" ht="15.9" customHeight="1" x14ac:dyDescent="0.3">
      <c r="B13890" s="37"/>
    </row>
    <row r="13891" spans="2:2" ht="15.9" customHeight="1" x14ac:dyDescent="0.3">
      <c r="B13891" s="37"/>
    </row>
    <row r="13892" spans="2:2" ht="15.9" customHeight="1" x14ac:dyDescent="0.3">
      <c r="B13892" s="37"/>
    </row>
    <row r="13893" spans="2:2" ht="15.9" customHeight="1" x14ac:dyDescent="0.3">
      <c r="B13893" s="37"/>
    </row>
    <row r="13894" spans="2:2" ht="15.9" customHeight="1" x14ac:dyDescent="0.3">
      <c r="B13894" s="37"/>
    </row>
    <row r="13895" spans="2:2" ht="15.9" customHeight="1" x14ac:dyDescent="0.3">
      <c r="B13895" s="37"/>
    </row>
    <row r="13896" spans="2:2" ht="15.9" customHeight="1" x14ac:dyDescent="0.3">
      <c r="B13896" s="37"/>
    </row>
    <row r="13897" spans="2:2" ht="15.9" customHeight="1" x14ac:dyDescent="0.3">
      <c r="B13897" s="37"/>
    </row>
    <row r="13898" spans="2:2" ht="15.9" customHeight="1" x14ac:dyDescent="0.3">
      <c r="B13898" s="37"/>
    </row>
    <row r="13899" spans="2:2" ht="15.9" customHeight="1" x14ac:dyDescent="0.3">
      <c r="B13899" s="37"/>
    </row>
    <row r="13900" spans="2:2" ht="15.9" customHeight="1" x14ac:dyDescent="0.3">
      <c r="B13900" s="37"/>
    </row>
    <row r="13901" spans="2:2" ht="15.9" customHeight="1" x14ac:dyDescent="0.3">
      <c r="B13901" s="37"/>
    </row>
    <row r="13902" spans="2:2" ht="15.9" customHeight="1" x14ac:dyDescent="0.3">
      <c r="B13902" s="37"/>
    </row>
    <row r="13903" spans="2:2" ht="15.9" customHeight="1" x14ac:dyDescent="0.3">
      <c r="B13903" s="37"/>
    </row>
    <row r="13904" spans="2:2" ht="15.9" customHeight="1" x14ac:dyDescent="0.3">
      <c r="B13904" s="37"/>
    </row>
    <row r="13905" spans="2:2" ht="15.9" customHeight="1" x14ac:dyDescent="0.3">
      <c r="B13905" s="37"/>
    </row>
    <row r="13906" spans="2:2" ht="15.9" customHeight="1" x14ac:dyDescent="0.3">
      <c r="B13906" s="37"/>
    </row>
    <row r="13907" spans="2:2" ht="15.9" customHeight="1" x14ac:dyDescent="0.3">
      <c r="B13907" s="37"/>
    </row>
    <row r="13908" spans="2:2" ht="15.9" customHeight="1" x14ac:dyDescent="0.3">
      <c r="B13908" s="37"/>
    </row>
    <row r="13909" spans="2:2" ht="15.9" customHeight="1" x14ac:dyDescent="0.3">
      <c r="B13909" s="37"/>
    </row>
    <row r="13910" spans="2:2" ht="15.9" customHeight="1" x14ac:dyDescent="0.3">
      <c r="B13910" s="37"/>
    </row>
    <row r="13911" spans="2:2" ht="15.9" customHeight="1" x14ac:dyDescent="0.3">
      <c r="B13911" s="37"/>
    </row>
    <row r="13912" spans="2:2" ht="15.9" customHeight="1" x14ac:dyDescent="0.3">
      <c r="B13912" s="37"/>
    </row>
    <row r="13913" spans="2:2" ht="15.9" customHeight="1" x14ac:dyDescent="0.3">
      <c r="B13913" s="37"/>
    </row>
    <row r="13914" spans="2:2" ht="15.9" customHeight="1" x14ac:dyDescent="0.3">
      <c r="B13914" s="37"/>
    </row>
    <row r="13915" spans="2:2" ht="15.9" customHeight="1" x14ac:dyDescent="0.3">
      <c r="B13915" s="37"/>
    </row>
    <row r="13916" spans="2:2" ht="15.9" customHeight="1" x14ac:dyDescent="0.3">
      <c r="B13916" s="37"/>
    </row>
    <row r="13917" spans="2:2" ht="15.9" customHeight="1" x14ac:dyDescent="0.3">
      <c r="B13917" s="37"/>
    </row>
    <row r="13918" spans="2:2" ht="15.9" customHeight="1" x14ac:dyDescent="0.3">
      <c r="B13918" s="37"/>
    </row>
    <row r="13919" spans="2:2" ht="15.9" customHeight="1" x14ac:dyDescent="0.3">
      <c r="B13919" s="37"/>
    </row>
    <row r="13920" spans="2:2" ht="15.9" customHeight="1" x14ac:dyDescent="0.3">
      <c r="B13920" s="37"/>
    </row>
    <row r="13921" spans="2:2" ht="15.9" customHeight="1" x14ac:dyDescent="0.3">
      <c r="B13921" s="37"/>
    </row>
    <row r="13922" spans="2:2" ht="15.9" customHeight="1" x14ac:dyDescent="0.3">
      <c r="B13922" s="37"/>
    </row>
    <row r="13923" spans="2:2" ht="15.9" customHeight="1" x14ac:dyDescent="0.3">
      <c r="B13923" s="37"/>
    </row>
    <row r="13924" spans="2:2" ht="15.9" customHeight="1" x14ac:dyDescent="0.3">
      <c r="B13924" s="37"/>
    </row>
    <row r="13925" spans="2:2" ht="15.9" customHeight="1" x14ac:dyDescent="0.3">
      <c r="B13925" s="37"/>
    </row>
    <row r="13926" spans="2:2" ht="15.9" customHeight="1" x14ac:dyDescent="0.3">
      <c r="B13926" s="37"/>
    </row>
    <row r="13927" spans="2:2" ht="15.9" customHeight="1" x14ac:dyDescent="0.3">
      <c r="B13927" s="37"/>
    </row>
    <row r="13928" spans="2:2" ht="15.9" customHeight="1" x14ac:dyDescent="0.3">
      <c r="B13928" s="37"/>
    </row>
    <row r="13929" spans="2:2" ht="15.9" customHeight="1" x14ac:dyDescent="0.3">
      <c r="B13929" s="37"/>
    </row>
    <row r="13930" spans="2:2" ht="15.9" customHeight="1" x14ac:dyDescent="0.3">
      <c r="B13930" s="37"/>
    </row>
    <row r="13931" spans="2:2" ht="15.9" customHeight="1" x14ac:dyDescent="0.3">
      <c r="B13931" s="37"/>
    </row>
    <row r="13932" spans="2:2" ht="15.9" customHeight="1" x14ac:dyDescent="0.3">
      <c r="B13932" s="37"/>
    </row>
    <row r="13933" spans="2:2" ht="15.9" customHeight="1" x14ac:dyDescent="0.3">
      <c r="B13933" s="37"/>
    </row>
    <row r="13934" spans="2:2" ht="15.9" customHeight="1" x14ac:dyDescent="0.3">
      <c r="B13934" s="37"/>
    </row>
    <row r="13935" spans="2:2" ht="15.9" customHeight="1" x14ac:dyDescent="0.3">
      <c r="B13935" s="37"/>
    </row>
    <row r="13936" spans="2:2" ht="15.9" customHeight="1" x14ac:dyDescent="0.3">
      <c r="B13936" s="37"/>
    </row>
    <row r="13937" spans="2:2" ht="15.9" customHeight="1" x14ac:dyDescent="0.3">
      <c r="B13937" s="37"/>
    </row>
    <row r="13938" spans="2:2" ht="15.9" customHeight="1" x14ac:dyDescent="0.3">
      <c r="B13938" s="37"/>
    </row>
    <row r="13939" spans="2:2" ht="15.9" customHeight="1" x14ac:dyDescent="0.3">
      <c r="B13939" s="37"/>
    </row>
    <row r="13940" spans="2:2" ht="15.9" customHeight="1" x14ac:dyDescent="0.3">
      <c r="B13940" s="37"/>
    </row>
    <row r="13941" spans="2:2" ht="15.9" customHeight="1" x14ac:dyDescent="0.3">
      <c r="B13941" s="37"/>
    </row>
    <row r="13942" spans="2:2" ht="15.9" customHeight="1" x14ac:dyDescent="0.3">
      <c r="B13942" s="37"/>
    </row>
    <row r="13943" spans="2:2" ht="15.9" customHeight="1" x14ac:dyDescent="0.3">
      <c r="B13943" s="37"/>
    </row>
    <row r="13944" spans="2:2" ht="15.9" customHeight="1" x14ac:dyDescent="0.3">
      <c r="B13944" s="37"/>
    </row>
    <row r="13945" spans="2:2" ht="15.9" customHeight="1" x14ac:dyDescent="0.3">
      <c r="B13945" s="37"/>
    </row>
    <row r="13946" spans="2:2" ht="15.9" customHeight="1" x14ac:dyDescent="0.3">
      <c r="B13946" s="37"/>
    </row>
    <row r="13947" spans="2:2" ht="15.9" customHeight="1" x14ac:dyDescent="0.3">
      <c r="B13947" s="37"/>
    </row>
    <row r="13948" spans="2:2" ht="15.9" customHeight="1" x14ac:dyDescent="0.3">
      <c r="B13948" s="37"/>
    </row>
    <row r="13949" spans="2:2" ht="15.9" customHeight="1" x14ac:dyDescent="0.3">
      <c r="B13949" s="37"/>
    </row>
    <row r="13950" spans="2:2" ht="15.9" customHeight="1" x14ac:dyDescent="0.3">
      <c r="B13950" s="37"/>
    </row>
    <row r="13951" spans="2:2" ht="15.9" customHeight="1" x14ac:dyDescent="0.3">
      <c r="B13951" s="37"/>
    </row>
    <row r="13952" spans="2:2" ht="15.9" customHeight="1" x14ac:dyDescent="0.3">
      <c r="B13952" s="37"/>
    </row>
    <row r="13953" spans="2:2" ht="15.9" customHeight="1" x14ac:dyDescent="0.3">
      <c r="B13953" s="37"/>
    </row>
    <row r="13954" spans="2:2" ht="15.9" customHeight="1" x14ac:dyDescent="0.3">
      <c r="B13954" s="37"/>
    </row>
    <row r="13955" spans="2:2" ht="15.9" customHeight="1" x14ac:dyDescent="0.3">
      <c r="B13955" s="37"/>
    </row>
    <row r="13956" spans="2:2" ht="15.9" customHeight="1" x14ac:dyDescent="0.3">
      <c r="B13956" s="37"/>
    </row>
    <row r="13957" spans="2:2" ht="15.9" customHeight="1" x14ac:dyDescent="0.3">
      <c r="B13957" s="37"/>
    </row>
    <row r="13958" spans="2:2" ht="15.9" customHeight="1" x14ac:dyDescent="0.3">
      <c r="B13958" s="37"/>
    </row>
    <row r="13959" spans="2:2" ht="15.9" customHeight="1" x14ac:dyDescent="0.3">
      <c r="B13959" s="37"/>
    </row>
    <row r="13960" spans="2:2" ht="15.9" customHeight="1" x14ac:dyDescent="0.3">
      <c r="B13960" s="37"/>
    </row>
    <row r="13961" spans="2:2" ht="15.9" customHeight="1" x14ac:dyDescent="0.3">
      <c r="B13961" s="37"/>
    </row>
    <row r="13962" spans="2:2" ht="15.9" customHeight="1" x14ac:dyDescent="0.3">
      <c r="B13962" s="37"/>
    </row>
    <row r="13963" spans="2:2" ht="15.9" customHeight="1" x14ac:dyDescent="0.3">
      <c r="B13963" s="37"/>
    </row>
    <row r="13964" spans="2:2" ht="15.9" customHeight="1" x14ac:dyDescent="0.3">
      <c r="B13964" s="37"/>
    </row>
    <row r="13965" spans="2:2" ht="15.9" customHeight="1" x14ac:dyDescent="0.3">
      <c r="B13965" s="37"/>
    </row>
    <row r="13966" spans="2:2" ht="15.9" customHeight="1" x14ac:dyDescent="0.3">
      <c r="B13966" s="37"/>
    </row>
    <row r="13967" spans="2:2" ht="15.9" customHeight="1" x14ac:dyDescent="0.3">
      <c r="B13967" s="37"/>
    </row>
    <row r="13968" spans="2:2" ht="15.9" customHeight="1" x14ac:dyDescent="0.3">
      <c r="B13968" s="37"/>
    </row>
    <row r="13969" spans="2:2" ht="15.9" customHeight="1" x14ac:dyDescent="0.3">
      <c r="B13969" s="37"/>
    </row>
    <row r="13970" spans="2:2" ht="15.9" customHeight="1" x14ac:dyDescent="0.3">
      <c r="B13970" s="37"/>
    </row>
    <row r="13971" spans="2:2" ht="15.9" customHeight="1" x14ac:dyDescent="0.3">
      <c r="B13971" s="37"/>
    </row>
    <row r="13972" spans="2:2" ht="15.9" customHeight="1" x14ac:dyDescent="0.3">
      <c r="B13972" s="37"/>
    </row>
    <row r="13973" spans="2:2" ht="15.9" customHeight="1" x14ac:dyDescent="0.3">
      <c r="B13973" s="37"/>
    </row>
    <row r="13974" spans="2:2" ht="15.9" customHeight="1" x14ac:dyDescent="0.3">
      <c r="B13974" s="37"/>
    </row>
    <row r="13975" spans="2:2" ht="15.9" customHeight="1" x14ac:dyDescent="0.3">
      <c r="B13975" s="37"/>
    </row>
    <row r="13976" spans="2:2" ht="15.9" customHeight="1" x14ac:dyDescent="0.3">
      <c r="B13976" s="37"/>
    </row>
    <row r="13977" spans="2:2" ht="15.9" customHeight="1" x14ac:dyDescent="0.3">
      <c r="B13977" s="37"/>
    </row>
    <row r="13978" spans="2:2" ht="15.9" customHeight="1" x14ac:dyDescent="0.3">
      <c r="B13978" s="37"/>
    </row>
    <row r="13979" spans="2:2" ht="15.9" customHeight="1" x14ac:dyDescent="0.3">
      <c r="B13979" s="37"/>
    </row>
    <row r="13980" spans="2:2" ht="15.9" customHeight="1" x14ac:dyDescent="0.3">
      <c r="B13980" s="37"/>
    </row>
    <row r="13981" spans="2:2" ht="15.9" customHeight="1" x14ac:dyDescent="0.3">
      <c r="B13981" s="37"/>
    </row>
    <row r="13982" spans="2:2" ht="15.9" customHeight="1" x14ac:dyDescent="0.3">
      <c r="B13982" s="37"/>
    </row>
    <row r="13983" spans="2:2" ht="15.9" customHeight="1" x14ac:dyDescent="0.3">
      <c r="B13983" s="37"/>
    </row>
    <row r="13984" spans="2:2" ht="15.9" customHeight="1" x14ac:dyDescent="0.3">
      <c r="B13984" s="37"/>
    </row>
    <row r="13985" spans="2:2" ht="15.9" customHeight="1" x14ac:dyDescent="0.3">
      <c r="B13985" s="37"/>
    </row>
    <row r="13986" spans="2:2" ht="15.9" customHeight="1" x14ac:dyDescent="0.3">
      <c r="B13986" s="37"/>
    </row>
    <row r="13987" spans="2:2" ht="15.9" customHeight="1" x14ac:dyDescent="0.3">
      <c r="B13987" s="37"/>
    </row>
    <row r="13988" spans="2:2" ht="15.9" customHeight="1" x14ac:dyDescent="0.3">
      <c r="B13988" s="37"/>
    </row>
    <row r="13989" spans="2:2" ht="15.9" customHeight="1" x14ac:dyDescent="0.3">
      <c r="B13989" s="37"/>
    </row>
    <row r="13990" spans="2:2" ht="15.9" customHeight="1" x14ac:dyDescent="0.3">
      <c r="B13990" s="37"/>
    </row>
    <row r="13991" spans="2:2" ht="15.9" customHeight="1" x14ac:dyDescent="0.3">
      <c r="B13991" s="37"/>
    </row>
    <row r="13992" spans="2:2" ht="15.9" customHeight="1" x14ac:dyDescent="0.3">
      <c r="B13992" s="37"/>
    </row>
    <row r="13993" spans="2:2" ht="15.9" customHeight="1" x14ac:dyDescent="0.3">
      <c r="B13993" s="37"/>
    </row>
    <row r="13994" spans="2:2" ht="15.9" customHeight="1" x14ac:dyDescent="0.3">
      <c r="B13994" s="37"/>
    </row>
    <row r="13995" spans="2:2" ht="15.9" customHeight="1" x14ac:dyDescent="0.3">
      <c r="B13995" s="37"/>
    </row>
    <row r="13996" spans="2:2" ht="15.9" customHeight="1" x14ac:dyDescent="0.3">
      <c r="B13996" s="37"/>
    </row>
    <row r="13997" spans="2:2" ht="15.9" customHeight="1" x14ac:dyDescent="0.3">
      <c r="B13997" s="37"/>
    </row>
    <row r="13998" spans="2:2" ht="15.9" customHeight="1" x14ac:dyDescent="0.3">
      <c r="B13998" s="37"/>
    </row>
    <row r="13999" spans="2:2" ht="15.9" customHeight="1" x14ac:dyDescent="0.3">
      <c r="B13999" s="37"/>
    </row>
    <row r="14000" spans="2:2" ht="15.9" customHeight="1" x14ac:dyDescent="0.3">
      <c r="B14000" s="37"/>
    </row>
    <row r="14001" spans="2:2" ht="15.9" customHeight="1" x14ac:dyDescent="0.3">
      <c r="B14001" s="37"/>
    </row>
    <row r="14002" spans="2:2" ht="15.9" customHeight="1" x14ac:dyDescent="0.3">
      <c r="B14002" s="37"/>
    </row>
    <row r="14003" spans="2:2" ht="15.9" customHeight="1" x14ac:dyDescent="0.3">
      <c r="B14003" s="37"/>
    </row>
    <row r="14004" spans="2:2" ht="15.9" customHeight="1" x14ac:dyDescent="0.3">
      <c r="B14004" s="37"/>
    </row>
    <row r="14005" spans="2:2" ht="15.9" customHeight="1" x14ac:dyDescent="0.3">
      <c r="B14005" s="37"/>
    </row>
    <row r="14006" spans="2:2" ht="15.9" customHeight="1" x14ac:dyDescent="0.3">
      <c r="B14006" s="37"/>
    </row>
    <row r="14007" spans="2:2" ht="15.9" customHeight="1" x14ac:dyDescent="0.3">
      <c r="B14007" s="37"/>
    </row>
    <row r="14008" spans="2:2" ht="15.9" customHeight="1" x14ac:dyDescent="0.3">
      <c r="B14008" s="37"/>
    </row>
    <row r="14009" spans="2:2" ht="15.9" customHeight="1" x14ac:dyDescent="0.3">
      <c r="B14009" s="37"/>
    </row>
    <row r="14010" spans="2:2" ht="15.9" customHeight="1" x14ac:dyDescent="0.3">
      <c r="B14010" s="37"/>
    </row>
    <row r="14011" spans="2:2" ht="15.9" customHeight="1" x14ac:dyDescent="0.3">
      <c r="B14011" s="37"/>
    </row>
    <row r="14012" spans="2:2" ht="15.9" customHeight="1" x14ac:dyDescent="0.3">
      <c r="B14012" s="37"/>
    </row>
    <row r="14013" spans="2:2" ht="15.9" customHeight="1" x14ac:dyDescent="0.3">
      <c r="B14013" s="37"/>
    </row>
    <row r="14014" spans="2:2" ht="15.9" customHeight="1" x14ac:dyDescent="0.3">
      <c r="B14014" s="37"/>
    </row>
    <row r="14015" spans="2:2" ht="15.9" customHeight="1" x14ac:dyDescent="0.3">
      <c r="B14015" s="37"/>
    </row>
    <row r="14016" spans="2:2" ht="15.9" customHeight="1" x14ac:dyDescent="0.3">
      <c r="B14016" s="37"/>
    </row>
    <row r="14017" spans="2:2" ht="15.9" customHeight="1" x14ac:dyDescent="0.3">
      <c r="B14017" s="37"/>
    </row>
    <row r="14018" spans="2:2" ht="15.9" customHeight="1" x14ac:dyDescent="0.3">
      <c r="B14018" s="37"/>
    </row>
    <row r="14019" spans="2:2" ht="15.9" customHeight="1" x14ac:dyDescent="0.3">
      <c r="B14019" s="37"/>
    </row>
    <row r="14020" spans="2:2" ht="15.9" customHeight="1" x14ac:dyDescent="0.3">
      <c r="B14020" s="37"/>
    </row>
    <row r="14021" spans="2:2" ht="15.9" customHeight="1" x14ac:dyDescent="0.3">
      <c r="B14021" s="37"/>
    </row>
    <row r="14022" spans="2:2" ht="15.9" customHeight="1" x14ac:dyDescent="0.3">
      <c r="B14022" s="37"/>
    </row>
    <row r="14023" spans="2:2" ht="15.9" customHeight="1" x14ac:dyDescent="0.3">
      <c r="B14023" s="37"/>
    </row>
    <row r="14024" spans="2:2" ht="15.9" customHeight="1" x14ac:dyDescent="0.3">
      <c r="B14024" s="37"/>
    </row>
    <row r="14025" spans="2:2" ht="15.9" customHeight="1" x14ac:dyDescent="0.3">
      <c r="B14025" s="37"/>
    </row>
    <row r="14026" spans="2:2" ht="15.9" customHeight="1" x14ac:dyDescent="0.3">
      <c r="B14026" s="37"/>
    </row>
    <row r="14027" spans="2:2" ht="15.9" customHeight="1" x14ac:dyDescent="0.3">
      <c r="B14027" s="37"/>
    </row>
    <row r="14028" spans="2:2" ht="15.9" customHeight="1" x14ac:dyDescent="0.3">
      <c r="B14028" s="37"/>
    </row>
    <row r="14029" spans="2:2" ht="15.9" customHeight="1" x14ac:dyDescent="0.3">
      <c r="B14029" s="37"/>
    </row>
    <row r="14030" spans="2:2" ht="15.9" customHeight="1" x14ac:dyDescent="0.3">
      <c r="B14030" s="37"/>
    </row>
    <row r="14031" spans="2:2" ht="15.9" customHeight="1" x14ac:dyDescent="0.3">
      <c r="B14031" s="37"/>
    </row>
    <row r="14032" spans="2:2" ht="15.9" customHeight="1" x14ac:dyDescent="0.3">
      <c r="B14032" s="37"/>
    </row>
    <row r="14033" spans="2:2" ht="15.9" customHeight="1" x14ac:dyDescent="0.3">
      <c r="B14033" s="37"/>
    </row>
    <row r="14034" spans="2:2" ht="15.9" customHeight="1" x14ac:dyDescent="0.3">
      <c r="B14034" s="37"/>
    </row>
    <row r="14035" spans="2:2" ht="15.9" customHeight="1" x14ac:dyDescent="0.3">
      <c r="B14035" s="37"/>
    </row>
    <row r="14036" spans="2:2" ht="15.9" customHeight="1" x14ac:dyDescent="0.3">
      <c r="B14036" s="37"/>
    </row>
    <row r="14037" spans="2:2" ht="15.9" customHeight="1" x14ac:dyDescent="0.3">
      <c r="B14037" s="37"/>
    </row>
    <row r="14038" spans="2:2" ht="15.9" customHeight="1" x14ac:dyDescent="0.3">
      <c r="B14038" s="37"/>
    </row>
    <row r="14039" spans="2:2" ht="15.9" customHeight="1" x14ac:dyDescent="0.3">
      <c r="B14039" s="37"/>
    </row>
    <row r="14040" spans="2:2" ht="15.9" customHeight="1" x14ac:dyDescent="0.3">
      <c r="B14040" s="37"/>
    </row>
    <row r="14041" spans="2:2" ht="15.9" customHeight="1" x14ac:dyDescent="0.3">
      <c r="B14041" s="37"/>
    </row>
    <row r="14042" spans="2:2" ht="15.9" customHeight="1" x14ac:dyDescent="0.3">
      <c r="B14042" s="37"/>
    </row>
    <row r="14043" spans="2:2" ht="15.9" customHeight="1" x14ac:dyDescent="0.3">
      <c r="B14043" s="37"/>
    </row>
    <row r="14044" spans="2:2" ht="15.9" customHeight="1" x14ac:dyDescent="0.3">
      <c r="B14044" s="37"/>
    </row>
    <row r="14045" spans="2:2" ht="15.9" customHeight="1" x14ac:dyDescent="0.3">
      <c r="B14045" s="37"/>
    </row>
    <row r="14046" spans="2:2" ht="15.9" customHeight="1" x14ac:dyDescent="0.3">
      <c r="B14046" s="37"/>
    </row>
    <row r="14047" spans="2:2" ht="15.9" customHeight="1" x14ac:dyDescent="0.3">
      <c r="B14047" s="37"/>
    </row>
    <row r="14048" spans="2:2" ht="15.9" customHeight="1" x14ac:dyDescent="0.3">
      <c r="B14048" s="37"/>
    </row>
    <row r="14049" spans="2:2" ht="15.9" customHeight="1" x14ac:dyDescent="0.3">
      <c r="B14049" s="37"/>
    </row>
    <row r="14050" spans="2:2" ht="15.9" customHeight="1" x14ac:dyDescent="0.3">
      <c r="B14050" s="37"/>
    </row>
    <row r="14051" spans="2:2" ht="15.9" customHeight="1" x14ac:dyDescent="0.3">
      <c r="B14051" s="37"/>
    </row>
    <row r="14052" spans="2:2" ht="15.9" customHeight="1" x14ac:dyDescent="0.3">
      <c r="B14052" s="37"/>
    </row>
    <row r="14053" spans="2:2" ht="15.9" customHeight="1" x14ac:dyDescent="0.3">
      <c r="B14053" s="37"/>
    </row>
    <row r="14054" spans="2:2" ht="15.9" customHeight="1" x14ac:dyDescent="0.3">
      <c r="B14054" s="37"/>
    </row>
    <row r="14055" spans="2:2" ht="15.9" customHeight="1" x14ac:dyDescent="0.3">
      <c r="B14055" s="37"/>
    </row>
    <row r="14056" spans="2:2" ht="15.9" customHeight="1" x14ac:dyDescent="0.3">
      <c r="B14056" s="37"/>
    </row>
    <row r="14057" spans="2:2" ht="15.9" customHeight="1" x14ac:dyDescent="0.3">
      <c r="B14057" s="37"/>
    </row>
    <row r="14058" spans="2:2" ht="15.9" customHeight="1" x14ac:dyDescent="0.3">
      <c r="B14058" s="37"/>
    </row>
    <row r="14059" spans="2:2" ht="15.9" customHeight="1" x14ac:dyDescent="0.3">
      <c r="B14059" s="37"/>
    </row>
    <row r="14060" spans="2:2" ht="15.9" customHeight="1" x14ac:dyDescent="0.3">
      <c r="B14060" s="37"/>
    </row>
    <row r="14061" spans="2:2" ht="15.9" customHeight="1" x14ac:dyDescent="0.3">
      <c r="B14061" s="37"/>
    </row>
    <row r="14062" spans="2:2" ht="15.9" customHeight="1" x14ac:dyDescent="0.3">
      <c r="B14062" s="37"/>
    </row>
    <row r="14063" spans="2:2" ht="15.9" customHeight="1" x14ac:dyDescent="0.3">
      <c r="B14063" s="37"/>
    </row>
    <row r="14064" spans="2:2" ht="15.9" customHeight="1" x14ac:dyDescent="0.3">
      <c r="B14064" s="37"/>
    </row>
    <row r="14065" spans="2:2" ht="15.9" customHeight="1" x14ac:dyDescent="0.3">
      <c r="B14065" s="37"/>
    </row>
    <row r="14066" spans="2:2" ht="15.9" customHeight="1" x14ac:dyDescent="0.3">
      <c r="B14066" s="37"/>
    </row>
    <row r="14067" spans="2:2" ht="15.9" customHeight="1" x14ac:dyDescent="0.3">
      <c r="B14067" s="37"/>
    </row>
    <row r="14068" spans="2:2" ht="15.9" customHeight="1" x14ac:dyDescent="0.3">
      <c r="B14068" s="37"/>
    </row>
    <row r="14069" spans="2:2" ht="15.9" customHeight="1" x14ac:dyDescent="0.3">
      <c r="B14069" s="37"/>
    </row>
    <row r="14070" spans="2:2" ht="15.9" customHeight="1" x14ac:dyDescent="0.3">
      <c r="B14070" s="37"/>
    </row>
    <row r="14071" spans="2:2" ht="15.9" customHeight="1" x14ac:dyDescent="0.3">
      <c r="B14071" s="37"/>
    </row>
    <row r="14072" spans="2:2" ht="15.9" customHeight="1" x14ac:dyDescent="0.3">
      <c r="B14072" s="37"/>
    </row>
    <row r="14073" spans="2:2" ht="15.9" customHeight="1" x14ac:dyDescent="0.3">
      <c r="B14073" s="37"/>
    </row>
    <row r="14074" spans="2:2" ht="15.9" customHeight="1" x14ac:dyDescent="0.3">
      <c r="B14074" s="37"/>
    </row>
    <row r="14075" spans="2:2" ht="15.9" customHeight="1" x14ac:dyDescent="0.3">
      <c r="B14075" s="37"/>
    </row>
    <row r="14076" spans="2:2" ht="15.9" customHeight="1" x14ac:dyDescent="0.3">
      <c r="B14076" s="37"/>
    </row>
    <row r="14077" spans="2:2" ht="15.9" customHeight="1" x14ac:dyDescent="0.3">
      <c r="B14077" s="37"/>
    </row>
    <row r="14078" spans="2:2" ht="15.9" customHeight="1" x14ac:dyDescent="0.3">
      <c r="B14078" s="37"/>
    </row>
    <row r="14079" spans="2:2" ht="15.9" customHeight="1" x14ac:dyDescent="0.3">
      <c r="B14079" s="37"/>
    </row>
    <row r="14080" spans="2:2" ht="15.9" customHeight="1" x14ac:dyDescent="0.3">
      <c r="B14080" s="37"/>
    </row>
    <row r="14081" spans="2:2" ht="15.9" customHeight="1" x14ac:dyDescent="0.3">
      <c r="B14081" s="37"/>
    </row>
    <row r="14082" spans="2:2" ht="15.9" customHeight="1" x14ac:dyDescent="0.3">
      <c r="B14082" s="37"/>
    </row>
    <row r="14083" spans="2:2" ht="15.9" customHeight="1" x14ac:dyDescent="0.3">
      <c r="B14083" s="37"/>
    </row>
    <row r="14084" spans="2:2" ht="15.9" customHeight="1" x14ac:dyDescent="0.3">
      <c r="B14084" s="37"/>
    </row>
    <row r="14085" spans="2:2" ht="15.9" customHeight="1" x14ac:dyDescent="0.3">
      <c r="B14085" s="37"/>
    </row>
    <row r="14086" spans="2:2" ht="15.9" customHeight="1" x14ac:dyDescent="0.3">
      <c r="B14086" s="37"/>
    </row>
    <row r="14087" spans="2:2" ht="15.9" customHeight="1" x14ac:dyDescent="0.3">
      <c r="B14087" s="37"/>
    </row>
    <row r="14088" spans="2:2" ht="15.9" customHeight="1" x14ac:dyDescent="0.3">
      <c r="B14088" s="37"/>
    </row>
    <row r="14089" spans="2:2" ht="15.9" customHeight="1" x14ac:dyDescent="0.3">
      <c r="B14089" s="37"/>
    </row>
    <row r="14090" spans="2:2" ht="15.9" customHeight="1" x14ac:dyDescent="0.3">
      <c r="B14090" s="37"/>
    </row>
    <row r="14091" spans="2:2" ht="15.9" customHeight="1" x14ac:dyDescent="0.3">
      <c r="B14091" s="37"/>
    </row>
    <row r="14092" spans="2:2" ht="15.9" customHeight="1" x14ac:dyDescent="0.3">
      <c r="B14092" s="37"/>
    </row>
    <row r="14093" spans="2:2" ht="15.9" customHeight="1" x14ac:dyDescent="0.3">
      <c r="B14093" s="37"/>
    </row>
    <row r="14094" spans="2:2" ht="15.9" customHeight="1" x14ac:dyDescent="0.3">
      <c r="B14094" s="37"/>
    </row>
    <row r="14095" spans="2:2" ht="15.9" customHeight="1" x14ac:dyDescent="0.3">
      <c r="B14095" s="37"/>
    </row>
    <row r="14096" spans="2:2" ht="15.9" customHeight="1" x14ac:dyDescent="0.3">
      <c r="B14096" s="37"/>
    </row>
    <row r="14097" spans="2:2" ht="15.9" customHeight="1" x14ac:dyDescent="0.3">
      <c r="B14097" s="37"/>
    </row>
    <row r="14098" spans="2:2" ht="15.9" customHeight="1" x14ac:dyDescent="0.3">
      <c r="B14098" s="37"/>
    </row>
    <row r="14099" spans="2:2" ht="15.9" customHeight="1" x14ac:dyDescent="0.3">
      <c r="B14099" s="37"/>
    </row>
    <row r="14100" spans="2:2" ht="15.9" customHeight="1" x14ac:dyDescent="0.3">
      <c r="B14100" s="37"/>
    </row>
    <row r="14101" spans="2:2" ht="15.9" customHeight="1" x14ac:dyDescent="0.3">
      <c r="B14101" s="37"/>
    </row>
    <row r="14102" spans="2:2" ht="15.9" customHeight="1" x14ac:dyDescent="0.3">
      <c r="B14102" s="37"/>
    </row>
    <row r="14103" spans="2:2" ht="15.9" customHeight="1" x14ac:dyDescent="0.3">
      <c r="B14103" s="37"/>
    </row>
    <row r="14104" spans="2:2" ht="15.9" customHeight="1" x14ac:dyDescent="0.3">
      <c r="B14104" s="37"/>
    </row>
    <row r="14105" spans="2:2" ht="15.9" customHeight="1" x14ac:dyDescent="0.3">
      <c r="B14105" s="37"/>
    </row>
    <row r="14106" spans="2:2" ht="15.9" customHeight="1" x14ac:dyDescent="0.3">
      <c r="B14106" s="37"/>
    </row>
    <row r="14107" spans="2:2" ht="15.9" customHeight="1" x14ac:dyDescent="0.3">
      <c r="B14107" s="37"/>
    </row>
    <row r="14108" spans="2:2" ht="15.9" customHeight="1" x14ac:dyDescent="0.3">
      <c r="B14108" s="37"/>
    </row>
    <row r="14109" spans="2:2" ht="15.9" customHeight="1" x14ac:dyDescent="0.3">
      <c r="B14109" s="37"/>
    </row>
    <row r="14110" spans="2:2" ht="15.9" customHeight="1" x14ac:dyDescent="0.3">
      <c r="B14110" s="37"/>
    </row>
    <row r="14111" spans="2:2" ht="15.9" customHeight="1" x14ac:dyDescent="0.3">
      <c r="B14111" s="37"/>
    </row>
    <row r="14112" spans="2:2" ht="15.9" customHeight="1" x14ac:dyDescent="0.3">
      <c r="B14112" s="37"/>
    </row>
    <row r="14113" spans="2:2" ht="15.9" customHeight="1" x14ac:dyDescent="0.3">
      <c r="B14113" s="37"/>
    </row>
    <row r="14114" spans="2:2" ht="15.9" customHeight="1" x14ac:dyDescent="0.3">
      <c r="B14114" s="37"/>
    </row>
    <row r="14115" spans="2:2" ht="15.9" customHeight="1" x14ac:dyDescent="0.3">
      <c r="B14115" s="37"/>
    </row>
    <row r="14116" spans="2:2" ht="15.9" customHeight="1" x14ac:dyDescent="0.3">
      <c r="B14116" s="37"/>
    </row>
    <row r="14117" spans="2:2" ht="15.9" customHeight="1" x14ac:dyDescent="0.3">
      <c r="B14117" s="37"/>
    </row>
    <row r="14118" spans="2:2" ht="15.9" customHeight="1" x14ac:dyDescent="0.3">
      <c r="B14118" s="37"/>
    </row>
    <row r="14119" spans="2:2" ht="15.9" customHeight="1" x14ac:dyDescent="0.3">
      <c r="B14119" s="37"/>
    </row>
    <row r="14120" spans="2:2" ht="15.9" customHeight="1" x14ac:dyDescent="0.3">
      <c r="B14120" s="37"/>
    </row>
    <row r="14121" spans="2:2" ht="15.9" customHeight="1" x14ac:dyDescent="0.3">
      <c r="B14121" s="37"/>
    </row>
    <row r="14122" spans="2:2" ht="15.9" customHeight="1" x14ac:dyDescent="0.3">
      <c r="B14122" s="37"/>
    </row>
    <row r="14123" spans="2:2" ht="15.9" customHeight="1" x14ac:dyDescent="0.3">
      <c r="B14123" s="37"/>
    </row>
    <row r="14124" spans="2:2" ht="15.9" customHeight="1" x14ac:dyDescent="0.3">
      <c r="B14124" s="37"/>
    </row>
    <row r="14125" spans="2:2" ht="15.9" customHeight="1" x14ac:dyDescent="0.3">
      <c r="B14125" s="37"/>
    </row>
    <row r="14126" spans="2:2" ht="15.9" customHeight="1" x14ac:dyDescent="0.3">
      <c r="B14126" s="37"/>
    </row>
    <row r="14127" spans="2:2" ht="15.9" customHeight="1" x14ac:dyDescent="0.3">
      <c r="B14127" s="37"/>
    </row>
    <row r="14128" spans="2:2" ht="15.9" customHeight="1" x14ac:dyDescent="0.3">
      <c r="B14128" s="37"/>
    </row>
    <row r="14129" spans="2:2" ht="15.9" customHeight="1" x14ac:dyDescent="0.3">
      <c r="B14129" s="37"/>
    </row>
    <row r="14130" spans="2:2" ht="15.9" customHeight="1" x14ac:dyDescent="0.3">
      <c r="B14130" s="37"/>
    </row>
    <row r="14131" spans="2:2" ht="15.9" customHeight="1" x14ac:dyDescent="0.3">
      <c r="B14131" s="37"/>
    </row>
    <row r="14132" spans="2:2" ht="15.9" customHeight="1" x14ac:dyDescent="0.3">
      <c r="B14132" s="37"/>
    </row>
    <row r="14133" spans="2:2" ht="15.9" customHeight="1" x14ac:dyDescent="0.3">
      <c r="B14133" s="37"/>
    </row>
    <row r="14134" spans="2:2" ht="15.9" customHeight="1" x14ac:dyDescent="0.3">
      <c r="B14134" s="37"/>
    </row>
    <row r="14135" spans="2:2" ht="15.9" customHeight="1" x14ac:dyDescent="0.3">
      <c r="B14135" s="37"/>
    </row>
    <row r="14136" spans="2:2" ht="15.9" customHeight="1" x14ac:dyDescent="0.3">
      <c r="B14136" s="37"/>
    </row>
    <row r="14137" spans="2:2" ht="15.9" customHeight="1" x14ac:dyDescent="0.3">
      <c r="B14137" s="37"/>
    </row>
    <row r="14138" spans="2:2" ht="15.9" customHeight="1" x14ac:dyDescent="0.3">
      <c r="B14138" s="37"/>
    </row>
    <row r="14139" spans="2:2" ht="15.9" customHeight="1" x14ac:dyDescent="0.3">
      <c r="B14139" s="37"/>
    </row>
    <row r="14140" spans="2:2" ht="15.9" customHeight="1" x14ac:dyDescent="0.3">
      <c r="B14140" s="37"/>
    </row>
    <row r="14141" spans="2:2" ht="15.9" customHeight="1" x14ac:dyDescent="0.3">
      <c r="B14141" s="37"/>
    </row>
    <row r="14142" spans="2:2" ht="15.9" customHeight="1" x14ac:dyDescent="0.3">
      <c r="B14142" s="37"/>
    </row>
    <row r="14143" spans="2:2" ht="15.9" customHeight="1" x14ac:dyDescent="0.3">
      <c r="B14143" s="37"/>
    </row>
    <row r="14144" spans="2:2" ht="15.9" customHeight="1" x14ac:dyDescent="0.3">
      <c r="B14144" s="37"/>
    </row>
    <row r="14145" spans="2:2" ht="15.9" customHeight="1" x14ac:dyDescent="0.3">
      <c r="B14145" s="37"/>
    </row>
    <row r="14146" spans="2:2" ht="15.9" customHeight="1" x14ac:dyDescent="0.3">
      <c r="B14146" s="37"/>
    </row>
    <row r="14147" spans="2:2" ht="15.9" customHeight="1" x14ac:dyDescent="0.3">
      <c r="B14147" s="37"/>
    </row>
    <row r="14148" spans="2:2" ht="15.9" customHeight="1" x14ac:dyDescent="0.3">
      <c r="B14148" s="37"/>
    </row>
    <row r="14149" spans="2:2" ht="15.9" customHeight="1" x14ac:dyDescent="0.3">
      <c r="B14149" s="37"/>
    </row>
    <row r="14150" spans="2:2" ht="15.9" customHeight="1" x14ac:dyDescent="0.3">
      <c r="B14150" s="37"/>
    </row>
    <row r="14151" spans="2:2" ht="15.9" customHeight="1" x14ac:dyDescent="0.3">
      <c r="B14151" s="37"/>
    </row>
    <row r="14152" spans="2:2" ht="15.9" customHeight="1" x14ac:dyDescent="0.3">
      <c r="B14152" s="37"/>
    </row>
    <row r="14153" spans="2:2" ht="15.9" customHeight="1" x14ac:dyDescent="0.3">
      <c r="B14153" s="37"/>
    </row>
    <row r="14154" spans="2:2" ht="15.9" customHeight="1" x14ac:dyDescent="0.3">
      <c r="B14154" s="37"/>
    </row>
    <row r="14155" spans="2:2" ht="15.9" customHeight="1" x14ac:dyDescent="0.3">
      <c r="B14155" s="37"/>
    </row>
    <row r="14156" spans="2:2" ht="15.9" customHeight="1" x14ac:dyDescent="0.3">
      <c r="B14156" s="37"/>
    </row>
    <row r="14157" spans="2:2" ht="15.9" customHeight="1" x14ac:dyDescent="0.3">
      <c r="B14157" s="37"/>
    </row>
    <row r="14158" spans="2:2" ht="15.9" customHeight="1" x14ac:dyDescent="0.3">
      <c r="B14158" s="37"/>
    </row>
    <row r="14159" spans="2:2" ht="15.9" customHeight="1" x14ac:dyDescent="0.3">
      <c r="B14159" s="37"/>
    </row>
    <row r="14160" spans="2:2" ht="15.9" customHeight="1" x14ac:dyDescent="0.3">
      <c r="B14160" s="37"/>
    </row>
    <row r="14161" spans="2:2" ht="15.9" customHeight="1" x14ac:dyDescent="0.3">
      <c r="B14161" s="37"/>
    </row>
    <row r="14162" spans="2:2" ht="15.9" customHeight="1" x14ac:dyDescent="0.3">
      <c r="B14162" s="37"/>
    </row>
    <row r="14163" spans="2:2" ht="15.9" customHeight="1" x14ac:dyDescent="0.3">
      <c r="B14163" s="37"/>
    </row>
    <row r="14164" spans="2:2" ht="15.9" customHeight="1" x14ac:dyDescent="0.3">
      <c r="B14164" s="37"/>
    </row>
    <row r="14165" spans="2:2" ht="15.9" customHeight="1" x14ac:dyDescent="0.3">
      <c r="B14165" s="37"/>
    </row>
    <row r="14166" spans="2:2" ht="15.9" customHeight="1" x14ac:dyDescent="0.3">
      <c r="B14166" s="37"/>
    </row>
    <row r="14167" spans="2:2" ht="15.9" customHeight="1" x14ac:dyDescent="0.3">
      <c r="B14167" s="37"/>
    </row>
    <row r="14168" spans="2:2" ht="15.9" customHeight="1" x14ac:dyDescent="0.3">
      <c r="B14168" s="37"/>
    </row>
    <row r="14169" spans="2:2" ht="15.9" customHeight="1" x14ac:dyDescent="0.3">
      <c r="B14169" s="37"/>
    </row>
    <row r="14170" spans="2:2" ht="15.9" customHeight="1" x14ac:dyDescent="0.3">
      <c r="B14170" s="37"/>
    </row>
    <row r="14171" spans="2:2" ht="15.9" customHeight="1" x14ac:dyDescent="0.3">
      <c r="B14171" s="37"/>
    </row>
    <row r="14172" spans="2:2" ht="15.9" customHeight="1" x14ac:dyDescent="0.3">
      <c r="B14172" s="37"/>
    </row>
    <row r="14173" spans="2:2" ht="15.9" customHeight="1" x14ac:dyDescent="0.3">
      <c r="B14173" s="37"/>
    </row>
    <row r="14174" spans="2:2" ht="15.9" customHeight="1" x14ac:dyDescent="0.3">
      <c r="B14174" s="37"/>
    </row>
    <row r="14175" spans="2:2" ht="15.9" customHeight="1" x14ac:dyDescent="0.3">
      <c r="B14175" s="37"/>
    </row>
    <row r="14176" spans="2:2" ht="15.9" customHeight="1" x14ac:dyDescent="0.3">
      <c r="B14176" s="37"/>
    </row>
    <row r="14177" spans="2:2" ht="15.9" customHeight="1" x14ac:dyDescent="0.3">
      <c r="B14177" s="37"/>
    </row>
    <row r="14178" spans="2:2" ht="15.9" customHeight="1" x14ac:dyDescent="0.3">
      <c r="B14178" s="37"/>
    </row>
    <row r="14179" spans="2:2" ht="15.9" customHeight="1" x14ac:dyDescent="0.3">
      <c r="B14179" s="37"/>
    </row>
    <row r="14180" spans="2:2" ht="15.9" customHeight="1" x14ac:dyDescent="0.3">
      <c r="B14180" s="37"/>
    </row>
    <row r="14181" spans="2:2" ht="15.9" customHeight="1" x14ac:dyDescent="0.3">
      <c r="B14181" s="37"/>
    </row>
    <row r="14182" spans="2:2" ht="15.9" customHeight="1" x14ac:dyDescent="0.3">
      <c r="B14182" s="37"/>
    </row>
    <row r="14183" spans="2:2" ht="15.9" customHeight="1" x14ac:dyDescent="0.3">
      <c r="B14183" s="37"/>
    </row>
    <row r="14184" spans="2:2" ht="15.9" customHeight="1" x14ac:dyDescent="0.3">
      <c r="B14184" s="37"/>
    </row>
    <row r="14185" spans="2:2" ht="15.9" customHeight="1" x14ac:dyDescent="0.3">
      <c r="B14185" s="37"/>
    </row>
    <row r="14186" spans="2:2" ht="15.9" customHeight="1" x14ac:dyDescent="0.3">
      <c r="B14186" s="37"/>
    </row>
    <row r="14187" spans="2:2" ht="15.9" customHeight="1" x14ac:dyDescent="0.3">
      <c r="B14187" s="37"/>
    </row>
    <row r="14188" spans="2:2" ht="15.9" customHeight="1" x14ac:dyDescent="0.3">
      <c r="B14188" s="37"/>
    </row>
    <row r="14189" spans="2:2" ht="15.9" customHeight="1" x14ac:dyDescent="0.3">
      <c r="B14189" s="37"/>
    </row>
    <row r="14190" spans="2:2" ht="15.9" customHeight="1" x14ac:dyDescent="0.3">
      <c r="B14190" s="37"/>
    </row>
    <row r="14191" spans="2:2" ht="15.9" customHeight="1" x14ac:dyDescent="0.3">
      <c r="B14191" s="37"/>
    </row>
    <row r="14192" spans="2:2" ht="15.9" customHeight="1" x14ac:dyDescent="0.3">
      <c r="B14192" s="37"/>
    </row>
    <row r="14193" spans="2:2" ht="15.9" customHeight="1" x14ac:dyDescent="0.3">
      <c r="B14193" s="37"/>
    </row>
    <row r="14194" spans="2:2" ht="15.9" customHeight="1" x14ac:dyDescent="0.3">
      <c r="B14194" s="37"/>
    </row>
    <row r="14195" spans="2:2" ht="15.9" customHeight="1" x14ac:dyDescent="0.3">
      <c r="B14195" s="37"/>
    </row>
    <row r="14196" spans="2:2" ht="15.9" customHeight="1" x14ac:dyDescent="0.3">
      <c r="B14196" s="37"/>
    </row>
    <row r="14197" spans="2:2" ht="15.9" customHeight="1" x14ac:dyDescent="0.3">
      <c r="B14197" s="37"/>
    </row>
    <row r="14198" spans="2:2" ht="15.9" customHeight="1" x14ac:dyDescent="0.3">
      <c r="B14198" s="37"/>
    </row>
    <row r="14199" spans="2:2" ht="15.9" customHeight="1" x14ac:dyDescent="0.3">
      <c r="B14199" s="37"/>
    </row>
    <row r="14200" spans="2:2" ht="15.9" customHeight="1" x14ac:dyDescent="0.3">
      <c r="B14200" s="37"/>
    </row>
    <row r="14201" spans="2:2" ht="15.9" customHeight="1" x14ac:dyDescent="0.3">
      <c r="B14201" s="37"/>
    </row>
    <row r="14202" spans="2:2" ht="15.9" customHeight="1" x14ac:dyDescent="0.3">
      <c r="B14202" s="37"/>
    </row>
    <row r="14203" spans="2:2" ht="15.9" customHeight="1" x14ac:dyDescent="0.3">
      <c r="B14203" s="37"/>
    </row>
    <row r="14204" spans="2:2" ht="15.9" customHeight="1" x14ac:dyDescent="0.3">
      <c r="B14204" s="37"/>
    </row>
    <row r="14205" spans="2:2" ht="15.9" customHeight="1" x14ac:dyDescent="0.3">
      <c r="B14205" s="37"/>
    </row>
    <row r="14206" spans="2:2" ht="15.9" customHeight="1" x14ac:dyDescent="0.3">
      <c r="B14206" s="37"/>
    </row>
    <row r="14207" spans="2:2" ht="15.9" customHeight="1" x14ac:dyDescent="0.3">
      <c r="B14207" s="37"/>
    </row>
    <row r="14208" spans="2:2" ht="15.9" customHeight="1" x14ac:dyDescent="0.3">
      <c r="B14208" s="37"/>
    </row>
    <row r="14209" spans="2:2" ht="15.9" customHeight="1" x14ac:dyDescent="0.3">
      <c r="B14209" s="37"/>
    </row>
    <row r="14210" spans="2:2" ht="15.9" customHeight="1" x14ac:dyDescent="0.3">
      <c r="B14210" s="37"/>
    </row>
    <row r="14211" spans="2:2" ht="15.9" customHeight="1" x14ac:dyDescent="0.3">
      <c r="B14211" s="37"/>
    </row>
    <row r="14212" spans="2:2" ht="15.9" customHeight="1" x14ac:dyDescent="0.3">
      <c r="B14212" s="37"/>
    </row>
    <row r="14213" spans="2:2" ht="15.9" customHeight="1" x14ac:dyDescent="0.3">
      <c r="B14213" s="37"/>
    </row>
    <row r="14214" spans="2:2" ht="15.9" customHeight="1" x14ac:dyDescent="0.3">
      <c r="B14214" s="37"/>
    </row>
    <row r="14215" spans="2:2" ht="15.9" customHeight="1" x14ac:dyDescent="0.3">
      <c r="B14215" s="37"/>
    </row>
    <row r="14216" spans="2:2" ht="15.9" customHeight="1" x14ac:dyDescent="0.3">
      <c r="B14216" s="37"/>
    </row>
    <row r="14217" spans="2:2" ht="15.9" customHeight="1" x14ac:dyDescent="0.3">
      <c r="B14217" s="37"/>
    </row>
    <row r="14218" spans="2:2" ht="15.9" customHeight="1" x14ac:dyDescent="0.3">
      <c r="B14218" s="37"/>
    </row>
    <row r="14219" spans="2:2" ht="15.9" customHeight="1" x14ac:dyDescent="0.3">
      <c r="B14219" s="37"/>
    </row>
    <row r="14220" spans="2:2" ht="15.9" customHeight="1" x14ac:dyDescent="0.3">
      <c r="B14220" s="37"/>
    </row>
    <row r="14221" spans="2:2" ht="15.9" customHeight="1" x14ac:dyDescent="0.3">
      <c r="B14221" s="37"/>
    </row>
    <row r="14222" spans="2:2" ht="15.9" customHeight="1" x14ac:dyDescent="0.3">
      <c r="B14222" s="37"/>
    </row>
    <row r="14223" spans="2:2" ht="15.9" customHeight="1" x14ac:dyDescent="0.3">
      <c r="B14223" s="37"/>
    </row>
    <row r="14224" spans="2:2" ht="15.9" customHeight="1" x14ac:dyDescent="0.3">
      <c r="B14224" s="37"/>
    </row>
    <row r="14225" spans="2:2" ht="15.9" customHeight="1" x14ac:dyDescent="0.3">
      <c r="B14225" s="37"/>
    </row>
    <row r="14226" spans="2:2" ht="15.9" customHeight="1" x14ac:dyDescent="0.3">
      <c r="B14226" s="37"/>
    </row>
    <row r="14227" spans="2:2" ht="15.9" customHeight="1" x14ac:dyDescent="0.3">
      <c r="B14227" s="37"/>
    </row>
    <row r="14228" spans="2:2" ht="15.9" customHeight="1" x14ac:dyDescent="0.3">
      <c r="B14228" s="37"/>
    </row>
    <row r="14229" spans="2:2" ht="15.9" customHeight="1" x14ac:dyDescent="0.3">
      <c r="B14229" s="37"/>
    </row>
    <row r="14230" spans="2:2" ht="15.9" customHeight="1" x14ac:dyDescent="0.3">
      <c r="B14230" s="37"/>
    </row>
    <row r="14231" spans="2:2" ht="15.9" customHeight="1" x14ac:dyDescent="0.3">
      <c r="B14231" s="37"/>
    </row>
    <row r="14232" spans="2:2" ht="15.9" customHeight="1" x14ac:dyDescent="0.3">
      <c r="B14232" s="37"/>
    </row>
    <row r="14233" spans="2:2" ht="15.9" customHeight="1" x14ac:dyDescent="0.3">
      <c r="B14233" s="37"/>
    </row>
    <row r="14234" spans="2:2" ht="15.9" customHeight="1" x14ac:dyDescent="0.3">
      <c r="B14234" s="37"/>
    </row>
    <row r="14235" spans="2:2" ht="15.9" customHeight="1" x14ac:dyDescent="0.3">
      <c r="B14235" s="37"/>
    </row>
    <row r="14236" spans="2:2" ht="15.9" customHeight="1" x14ac:dyDescent="0.3">
      <c r="B14236" s="37"/>
    </row>
    <row r="14237" spans="2:2" ht="15.9" customHeight="1" x14ac:dyDescent="0.3">
      <c r="B14237" s="37"/>
    </row>
    <row r="14238" spans="2:2" ht="15.9" customHeight="1" x14ac:dyDescent="0.3">
      <c r="B14238" s="37"/>
    </row>
    <row r="14239" spans="2:2" ht="15.9" customHeight="1" x14ac:dyDescent="0.3">
      <c r="B14239" s="37"/>
    </row>
    <row r="14240" spans="2:2" ht="15.9" customHeight="1" x14ac:dyDescent="0.3">
      <c r="B14240" s="37"/>
    </row>
    <row r="14241" spans="2:2" ht="15.9" customHeight="1" x14ac:dyDescent="0.3">
      <c r="B14241" s="37"/>
    </row>
    <row r="14242" spans="2:2" ht="15.9" customHeight="1" x14ac:dyDescent="0.3">
      <c r="B14242" s="37"/>
    </row>
    <row r="14243" spans="2:2" ht="15.9" customHeight="1" x14ac:dyDescent="0.3">
      <c r="B14243" s="37"/>
    </row>
    <row r="14244" spans="2:2" ht="15.9" customHeight="1" x14ac:dyDescent="0.3">
      <c r="B14244" s="37"/>
    </row>
    <row r="14245" spans="2:2" ht="15.9" customHeight="1" x14ac:dyDescent="0.3">
      <c r="B14245" s="37"/>
    </row>
    <row r="14246" spans="2:2" ht="15.9" customHeight="1" x14ac:dyDescent="0.3">
      <c r="B14246" s="37"/>
    </row>
    <row r="14247" spans="2:2" ht="15.9" customHeight="1" x14ac:dyDescent="0.3">
      <c r="B14247" s="37"/>
    </row>
    <row r="14248" spans="2:2" ht="15.9" customHeight="1" x14ac:dyDescent="0.3">
      <c r="B14248" s="37"/>
    </row>
    <row r="14249" spans="2:2" ht="15.9" customHeight="1" x14ac:dyDescent="0.3">
      <c r="B14249" s="37"/>
    </row>
    <row r="14250" spans="2:2" ht="15.9" customHeight="1" x14ac:dyDescent="0.3">
      <c r="B14250" s="37"/>
    </row>
    <row r="14251" spans="2:2" ht="15.9" customHeight="1" x14ac:dyDescent="0.3">
      <c r="B14251" s="37"/>
    </row>
    <row r="14252" spans="2:2" ht="15.9" customHeight="1" x14ac:dyDescent="0.3">
      <c r="B14252" s="37"/>
    </row>
    <row r="14253" spans="2:2" ht="15.9" customHeight="1" x14ac:dyDescent="0.3">
      <c r="B14253" s="37"/>
    </row>
    <row r="14254" spans="2:2" ht="15.9" customHeight="1" x14ac:dyDescent="0.3">
      <c r="B14254" s="37"/>
    </row>
    <row r="14255" spans="2:2" ht="15.9" customHeight="1" x14ac:dyDescent="0.3">
      <c r="B14255" s="37"/>
    </row>
    <row r="14256" spans="2:2" ht="15.9" customHeight="1" x14ac:dyDescent="0.3">
      <c r="B14256" s="37"/>
    </row>
    <row r="14257" spans="2:2" ht="15.9" customHeight="1" x14ac:dyDescent="0.3">
      <c r="B14257" s="37"/>
    </row>
    <row r="14258" spans="2:2" ht="15.9" customHeight="1" x14ac:dyDescent="0.3">
      <c r="B14258" s="37"/>
    </row>
    <row r="14259" spans="2:2" ht="15.9" customHeight="1" x14ac:dyDescent="0.3">
      <c r="B14259" s="37"/>
    </row>
    <row r="14260" spans="2:2" ht="15.9" customHeight="1" x14ac:dyDescent="0.3">
      <c r="B14260" s="37"/>
    </row>
    <row r="14261" spans="2:2" ht="15.9" customHeight="1" x14ac:dyDescent="0.3">
      <c r="B14261" s="37"/>
    </row>
    <row r="14262" spans="2:2" ht="15.9" customHeight="1" x14ac:dyDescent="0.3">
      <c r="B14262" s="37"/>
    </row>
    <row r="14263" spans="2:2" ht="15.9" customHeight="1" x14ac:dyDescent="0.3">
      <c r="B14263" s="37"/>
    </row>
    <row r="14264" spans="2:2" ht="15.9" customHeight="1" x14ac:dyDescent="0.3">
      <c r="B14264" s="37"/>
    </row>
    <row r="14265" spans="2:2" ht="15.9" customHeight="1" x14ac:dyDescent="0.3">
      <c r="B14265" s="37"/>
    </row>
    <row r="14266" spans="2:2" ht="15.9" customHeight="1" x14ac:dyDescent="0.3">
      <c r="B14266" s="37"/>
    </row>
    <row r="14267" spans="2:2" ht="15.9" customHeight="1" x14ac:dyDescent="0.3">
      <c r="B14267" s="37"/>
    </row>
    <row r="14268" spans="2:2" ht="15.9" customHeight="1" x14ac:dyDescent="0.3">
      <c r="B14268" s="37"/>
    </row>
    <row r="14269" spans="2:2" ht="15.9" customHeight="1" x14ac:dyDescent="0.3">
      <c r="B14269" s="37"/>
    </row>
    <row r="14270" spans="2:2" ht="15.9" customHeight="1" x14ac:dyDescent="0.3">
      <c r="B14270" s="37"/>
    </row>
    <row r="14271" spans="2:2" ht="15.9" customHeight="1" x14ac:dyDescent="0.3">
      <c r="B14271" s="37"/>
    </row>
    <row r="14272" spans="2:2" ht="15.9" customHeight="1" x14ac:dyDescent="0.3">
      <c r="B14272" s="37"/>
    </row>
    <row r="14273" spans="2:2" ht="15.9" customHeight="1" x14ac:dyDescent="0.3">
      <c r="B14273" s="37"/>
    </row>
    <row r="14274" spans="2:2" ht="15.9" customHeight="1" x14ac:dyDescent="0.3">
      <c r="B14274" s="37"/>
    </row>
    <row r="14275" spans="2:2" ht="15.9" customHeight="1" x14ac:dyDescent="0.3">
      <c r="B14275" s="37"/>
    </row>
    <row r="14276" spans="2:2" ht="15.9" customHeight="1" x14ac:dyDescent="0.3">
      <c r="B14276" s="37"/>
    </row>
    <row r="14277" spans="2:2" ht="15.9" customHeight="1" x14ac:dyDescent="0.3">
      <c r="B14277" s="37"/>
    </row>
    <row r="14278" spans="2:2" ht="15.9" customHeight="1" x14ac:dyDescent="0.3">
      <c r="B14278" s="37"/>
    </row>
    <row r="14279" spans="2:2" ht="15.9" customHeight="1" x14ac:dyDescent="0.3">
      <c r="B14279" s="37"/>
    </row>
    <row r="14280" spans="2:2" ht="15.9" customHeight="1" x14ac:dyDescent="0.3">
      <c r="B14280" s="37"/>
    </row>
    <row r="14281" spans="2:2" ht="15.9" customHeight="1" x14ac:dyDescent="0.3">
      <c r="B14281" s="37"/>
    </row>
    <row r="14282" spans="2:2" ht="15.9" customHeight="1" x14ac:dyDescent="0.3">
      <c r="B14282" s="37"/>
    </row>
    <row r="14283" spans="2:2" ht="15.9" customHeight="1" x14ac:dyDescent="0.3">
      <c r="B14283" s="37"/>
    </row>
    <row r="14284" spans="2:2" ht="15.9" customHeight="1" x14ac:dyDescent="0.3">
      <c r="B14284" s="37"/>
    </row>
    <row r="14285" spans="2:2" ht="15.9" customHeight="1" x14ac:dyDescent="0.3">
      <c r="B14285" s="37"/>
    </row>
    <row r="14286" spans="2:2" ht="15.9" customHeight="1" x14ac:dyDescent="0.3">
      <c r="B14286" s="37"/>
    </row>
    <row r="14287" spans="2:2" ht="15.9" customHeight="1" x14ac:dyDescent="0.3">
      <c r="B14287" s="37"/>
    </row>
    <row r="14288" spans="2:2" ht="15.9" customHeight="1" x14ac:dyDescent="0.3">
      <c r="B14288" s="37"/>
    </row>
    <row r="14289" spans="2:2" ht="15.9" customHeight="1" x14ac:dyDescent="0.3">
      <c r="B14289" s="37"/>
    </row>
    <row r="14290" spans="2:2" ht="15.9" customHeight="1" x14ac:dyDescent="0.3">
      <c r="B14290" s="37"/>
    </row>
    <row r="14291" spans="2:2" ht="15.9" customHeight="1" x14ac:dyDescent="0.3">
      <c r="B14291" s="37"/>
    </row>
    <row r="14292" spans="2:2" ht="15.9" customHeight="1" x14ac:dyDescent="0.3">
      <c r="B14292" s="37"/>
    </row>
    <row r="14293" spans="2:2" ht="15.9" customHeight="1" x14ac:dyDescent="0.3">
      <c r="B14293" s="37"/>
    </row>
    <row r="14294" spans="2:2" ht="15.9" customHeight="1" x14ac:dyDescent="0.3">
      <c r="B14294" s="37"/>
    </row>
    <row r="14295" spans="2:2" ht="15.9" customHeight="1" x14ac:dyDescent="0.3">
      <c r="B14295" s="37"/>
    </row>
    <row r="14296" spans="2:2" ht="15.9" customHeight="1" x14ac:dyDescent="0.3">
      <c r="B14296" s="37"/>
    </row>
    <row r="14297" spans="2:2" ht="15.9" customHeight="1" x14ac:dyDescent="0.3">
      <c r="B14297" s="37"/>
    </row>
    <row r="14298" spans="2:2" ht="15.9" customHeight="1" x14ac:dyDescent="0.3">
      <c r="B14298" s="37"/>
    </row>
    <row r="14299" spans="2:2" ht="15.9" customHeight="1" x14ac:dyDescent="0.3">
      <c r="B14299" s="37"/>
    </row>
    <row r="14300" spans="2:2" ht="15.9" customHeight="1" x14ac:dyDescent="0.3">
      <c r="B14300" s="37"/>
    </row>
    <row r="14301" spans="2:2" ht="15.9" customHeight="1" x14ac:dyDescent="0.3">
      <c r="B14301" s="37"/>
    </row>
    <row r="14302" spans="2:2" ht="15.9" customHeight="1" x14ac:dyDescent="0.3">
      <c r="B14302" s="37"/>
    </row>
    <row r="14303" spans="2:2" ht="15.9" customHeight="1" x14ac:dyDescent="0.3">
      <c r="B14303" s="37"/>
    </row>
    <row r="14304" spans="2:2" ht="15.9" customHeight="1" x14ac:dyDescent="0.3">
      <c r="B14304" s="37"/>
    </row>
    <row r="14305" spans="2:2" ht="15.9" customHeight="1" x14ac:dyDescent="0.3">
      <c r="B14305" s="37"/>
    </row>
    <row r="14306" spans="2:2" ht="15.9" customHeight="1" x14ac:dyDescent="0.3">
      <c r="B14306" s="37"/>
    </row>
    <row r="14307" spans="2:2" ht="15.9" customHeight="1" x14ac:dyDescent="0.3">
      <c r="B14307" s="37"/>
    </row>
    <row r="14308" spans="2:2" ht="15.9" customHeight="1" x14ac:dyDescent="0.3">
      <c r="B14308" s="37"/>
    </row>
    <row r="14309" spans="2:2" ht="15.9" customHeight="1" x14ac:dyDescent="0.3">
      <c r="B14309" s="37"/>
    </row>
    <row r="14310" spans="2:2" ht="15.9" customHeight="1" x14ac:dyDescent="0.3">
      <c r="B14310" s="37"/>
    </row>
    <row r="14311" spans="2:2" ht="15.9" customHeight="1" x14ac:dyDescent="0.3">
      <c r="B14311" s="37"/>
    </row>
    <row r="14312" spans="2:2" ht="15.9" customHeight="1" x14ac:dyDescent="0.3">
      <c r="B14312" s="37"/>
    </row>
    <row r="14313" spans="2:2" ht="15.9" customHeight="1" x14ac:dyDescent="0.3">
      <c r="B14313" s="37"/>
    </row>
    <row r="14314" spans="2:2" ht="15.9" customHeight="1" x14ac:dyDescent="0.3">
      <c r="B14314" s="37"/>
    </row>
    <row r="14315" spans="2:2" ht="15.9" customHeight="1" x14ac:dyDescent="0.3">
      <c r="B14315" s="37"/>
    </row>
    <row r="14316" spans="2:2" ht="15.9" customHeight="1" x14ac:dyDescent="0.3">
      <c r="B14316" s="37"/>
    </row>
    <row r="14317" spans="2:2" ht="15.9" customHeight="1" x14ac:dyDescent="0.3">
      <c r="B14317" s="37"/>
    </row>
    <row r="14318" spans="2:2" ht="15.9" customHeight="1" x14ac:dyDescent="0.3">
      <c r="B14318" s="37"/>
    </row>
    <row r="14319" spans="2:2" ht="15.9" customHeight="1" x14ac:dyDescent="0.3">
      <c r="B14319" s="37"/>
    </row>
    <row r="14320" spans="2:2" ht="15.9" customHeight="1" x14ac:dyDescent="0.3">
      <c r="B14320" s="37"/>
    </row>
    <row r="14321" spans="2:2" ht="15.9" customHeight="1" x14ac:dyDescent="0.3">
      <c r="B14321" s="37"/>
    </row>
    <row r="14322" spans="2:2" ht="15.9" customHeight="1" x14ac:dyDescent="0.3">
      <c r="B14322" s="37"/>
    </row>
    <row r="14323" spans="2:2" ht="15.9" customHeight="1" x14ac:dyDescent="0.3">
      <c r="B14323" s="37"/>
    </row>
    <row r="14324" spans="2:2" ht="15.9" customHeight="1" x14ac:dyDescent="0.3">
      <c r="B14324" s="37"/>
    </row>
    <row r="14325" spans="2:2" ht="15.9" customHeight="1" x14ac:dyDescent="0.3">
      <c r="B14325" s="37"/>
    </row>
    <row r="14326" spans="2:2" ht="15.9" customHeight="1" x14ac:dyDescent="0.3">
      <c r="B14326" s="37"/>
    </row>
    <row r="14327" spans="2:2" ht="15.9" customHeight="1" x14ac:dyDescent="0.3">
      <c r="B14327" s="37"/>
    </row>
    <row r="14328" spans="2:2" ht="15.9" customHeight="1" x14ac:dyDescent="0.3">
      <c r="B14328" s="37"/>
    </row>
    <row r="14329" spans="2:2" ht="15.9" customHeight="1" x14ac:dyDescent="0.3">
      <c r="B14329" s="37"/>
    </row>
    <row r="14330" spans="2:2" ht="15.9" customHeight="1" x14ac:dyDescent="0.3">
      <c r="B14330" s="37"/>
    </row>
    <row r="14331" spans="2:2" ht="15.9" customHeight="1" x14ac:dyDescent="0.3">
      <c r="B14331" s="37"/>
    </row>
    <row r="14332" spans="2:2" ht="15.9" customHeight="1" x14ac:dyDescent="0.3">
      <c r="B14332" s="37"/>
    </row>
    <row r="14333" spans="2:2" ht="15.9" customHeight="1" x14ac:dyDescent="0.3">
      <c r="B14333" s="37"/>
    </row>
    <row r="14334" spans="2:2" ht="15.9" customHeight="1" x14ac:dyDescent="0.3">
      <c r="B14334" s="37"/>
    </row>
    <row r="14335" spans="2:2" ht="15.9" customHeight="1" x14ac:dyDescent="0.3">
      <c r="B14335" s="37"/>
    </row>
    <row r="14336" spans="2:2" ht="15.9" customHeight="1" x14ac:dyDescent="0.3">
      <c r="B14336" s="37"/>
    </row>
    <row r="14337" spans="2:2" ht="15.9" customHeight="1" x14ac:dyDescent="0.3">
      <c r="B14337" s="37"/>
    </row>
    <row r="14338" spans="2:2" ht="15.9" customHeight="1" x14ac:dyDescent="0.3">
      <c r="B14338" s="37"/>
    </row>
    <row r="14339" spans="2:2" ht="15.9" customHeight="1" x14ac:dyDescent="0.3">
      <c r="B14339" s="37"/>
    </row>
    <row r="14340" spans="2:2" ht="15.9" customHeight="1" x14ac:dyDescent="0.3">
      <c r="B14340" s="37"/>
    </row>
    <row r="14341" spans="2:2" ht="15.9" customHeight="1" x14ac:dyDescent="0.3">
      <c r="B14341" s="37"/>
    </row>
    <row r="14342" spans="2:2" ht="15.9" customHeight="1" x14ac:dyDescent="0.3">
      <c r="B14342" s="37"/>
    </row>
    <row r="14343" spans="2:2" ht="15.9" customHeight="1" x14ac:dyDescent="0.3">
      <c r="B14343" s="37"/>
    </row>
    <row r="14344" spans="2:2" ht="15.9" customHeight="1" x14ac:dyDescent="0.3">
      <c r="B14344" s="37"/>
    </row>
    <row r="14345" spans="2:2" ht="15.9" customHeight="1" x14ac:dyDescent="0.3">
      <c r="B14345" s="37"/>
    </row>
    <row r="14346" spans="2:2" ht="15.9" customHeight="1" x14ac:dyDescent="0.3">
      <c r="B14346" s="37"/>
    </row>
    <row r="14347" spans="2:2" ht="15.9" customHeight="1" x14ac:dyDescent="0.3">
      <c r="B14347" s="37"/>
    </row>
    <row r="14348" spans="2:2" ht="15.9" customHeight="1" x14ac:dyDescent="0.3">
      <c r="B14348" s="37"/>
    </row>
    <row r="14349" spans="2:2" ht="15.9" customHeight="1" x14ac:dyDescent="0.3">
      <c r="B14349" s="37"/>
    </row>
    <row r="14350" spans="2:2" ht="15.9" customHeight="1" x14ac:dyDescent="0.3">
      <c r="B14350" s="37"/>
    </row>
    <row r="14351" spans="2:2" ht="15.9" customHeight="1" x14ac:dyDescent="0.3">
      <c r="B14351" s="37"/>
    </row>
    <row r="14352" spans="2:2" ht="15.9" customHeight="1" x14ac:dyDescent="0.3">
      <c r="B14352" s="37"/>
    </row>
    <row r="14353" spans="2:2" ht="15.9" customHeight="1" x14ac:dyDescent="0.3">
      <c r="B14353" s="37"/>
    </row>
    <row r="14354" spans="2:2" ht="15.9" customHeight="1" x14ac:dyDescent="0.3">
      <c r="B14354" s="37"/>
    </row>
    <row r="14355" spans="2:2" ht="15.9" customHeight="1" x14ac:dyDescent="0.3">
      <c r="B14355" s="37"/>
    </row>
    <row r="14356" spans="2:2" ht="15.9" customHeight="1" x14ac:dyDescent="0.3">
      <c r="B14356" s="37"/>
    </row>
    <row r="14357" spans="2:2" ht="15.9" customHeight="1" x14ac:dyDescent="0.3">
      <c r="B14357" s="37"/>
    </row>
    <row r="14358" spans="2:2" ht="15.9" customHeight="1" x14ac:dyDescent="0.3">
      <c r="B14358" s="37"/>
    </row>
    <row r="14359" spans="2:2" ht="15.9" customHeight="1" x14ac:dyDescent="0.3">
      <c r="B14359" s="37"/>
    </row>
    <row r="14360" spans="2:2" ht="15.9" customHeight="1" x14ac:dyDescent="0.3">
      <c r="B14360" s="37"/>
    </row>
    <row r="14361" spans="2:2" ht="15.9" customHeight="1" x14ac:dyDescent="0.3">
      <c r="B14361" s="37"/>
    </row>
    <row r="14362" spans="2:2" ht="15.9" customHeight="1" x14ac:dyDescent="0.3">
      <c r="B14362" s="37"/>
    </row>
    <row r="14363" spans="2:2" ht="15.9" customHeight="1" x14ac:dyDescent="0.3">
      <c r="B14363" s="37"/>
    </row>
    <row r="14364" spans="2:2" ht="15.9" customHeight="1" x14ac:dyDescent="0.3">
      <c r="B14364" s="37"/>
    </row>
    <row r="14365" spans="2:2" ht="15.9" customHeight="1" x14ac:dyDescent="0.3">
      <c r="B14365" s="37"/>
    </row>
    <row r="14366" spans="2:2" ht="15.9" customHeight="1" x14ac:dyDescent="0.3">
      <c r="B14366" s="37"/>
    </row>
    <row r="14367" spans="2:2" ht="15.9" customHeight="1" x14ac:dyDescent="0.3">
      <c r="B14367" s="37"/>
    </row>
    <row r="14368" spans="2:2" ht="15.9" customHeight="1" x14ac:dyDescent="0.3">
      <c r="B14368" s="37"/>
    </row>
    <row r="14369" spans="2:2" ht="15.9" customHeight="1" x14ac:dyDescent="0.3">
      <c r="B14369" s="37"/>
    </row>
    <row r="14370" spans="2:2" ht="15.9" customHeight="1" x14ac:dyDescent="0.3">
      <c r="B14370" s="37"/>
    </row>
    <row r="14371" spans="2:2" ht="15.9" customHeight="1" x14ac:dyDescent="0.3">
      <c r="B14371" s="37"/>
    </row>
    <row r="14372" spans="2:2" ht="15.9" customHeight="1" x14ac:dyDescent="0.3">
      <c r="B14372" s="37"/>
    </row>
    <row r="14373" spans="2:2" ht="15.9" customHeight="1" x14ac:dyDescent="0.3">
      <c r="B14373" s="37"/>
    </row>
    <row r="14374" spans="2:2" ht="15.9" customHeight="1" x14ac:dyDescent="0.3">
      <c r="B14374" s="37"/>
    </row>
    <row r="14375" spans="2:2" ht="15.9" customHeight="1" x14ac:dyDescent="0.3">
      <c r="B14375" s="37"/>
    </row>
    <row r="14376" spans="2:2" ht="15.9" customHeight="1" x14ac:dyDescent="0.3">
      <c r="B14376" s="37"/>
    </row>
    <row r="14377" spans="2:2" ht="15.9" customHeight="1" x14ac:dyDescent="0.3">
      <c r="B14377" s="37"/>
    </row>
    <row r="14378" spans="2:2" ht="15.9" customHeight="1" x14ac:dyDescent="0.3">
      <c r="B14378" s="37"/>
    </row>
    <row r="14379" spans="2:2" ht="15.9" customHeight="1" x14ac:dyDescent="0.3">
      <c r="B14379" s="37"/>
    </row>
    <row r="14380" spans="2:2" ht="15.9" customHeight="1" x14ac:dyDescent="0.3">
      <c r="B14380" s="37"/>
    </row>
    <row r="14381" spans="2:2" ht="15.9" customHeight="1" x14ac:dyDescent="0.3">
      <c r="B14381" s="37"/>
    </row>
    <row r="14382" spans="2:2" ht="15.9" customHeight="1" x14ac:dyDescent="0.3">
      <c r="B14382" s="37"/>
    </row>
    <row r="14383" spans="2:2" ht="15.9" customHeight="1" x14ac:dyDescent="0.3">
      <c r="B14383" s="37"/>
    </row>
    <row r="14384" spans="2:2" ht="15.9" customHeight="1" x14ac:dyDescent="0.3">
      <c r="B14384" s="37"/>
    </row>
    <row r="14385" spans="2:2" ht="15.9" customHeight="1" x14ac:dyDescent="0.3">
      <c r="B14385" s="37"/>
    </row>
    <row r="14386" spans="2:2" ht="15.9" customHeight="1" x14ac:dyDescent="0.3">
      <c r="B14386" s="37"/>
    </row>
    <row r="14387" spans="2:2" ht="15.9" customHeight="1" x14ac:dyDescent="0.3">
      <c r="B14387" s="37"/>
    </row>
    <row r="14388" spans="2:2" ht="15.9" customHeight="1" x14ac:dyDescent="0.3">
      <c r="B14388" s="37"/>
    </row>
    <row r="14389" spans="2:2" ht="15.9" customHeight="1" x14ac:dyDescent="0.3">
      <c r="B14389" s="37"/>
    </row>
    <row r="14390" spans="2:2" ht="15.9" customHeight="1" x14ac:dyDescent="0.3">
      <c r="B14390" s="37"/>
    </row>
    <row r="14391" spans="2:2" ht="15.9" customHeight="1" x14ac:dyDescent="0.3">
      <c r="B14391" s="37"/>
    </row>
    <row r="14392" spans="2:2" ht="15.9" customHeight="1" x14ac:dyDescent="0.3">
      <c r="B14392" s="37"/>
    </row>
    <row r="14393" spans="2:2" ht="15.9" customHeight="1" x14ac:dyDescent="0.3">
      <c r="B14393" s="37"/>
    </row>
    <row r="14394" spans="2:2" ht="15.9" customHeight="1" x14ac:dyDescent="0.3">
      <c r="B14394" s="37"/>
    </row>
    <row r="14395" spans="2:2" ht="15.9" customHeight="1" x14ac:dyDescent="0.3">
      <c r="B14395" s="37"/>
    </row>
    <row r="14396" spans="2:2" ht="15.9" customHeight="1" x14ac:dyDescent="0.3">
      <c r="B14396" s="37"/>
    </row>
    <row r="14397" spans="2:2" ht="15.9" customHeight="1" x14ac:dyDescent="0.3">
      <c r="B14397" s="37"/>
    </row>
    <row r="14398" spans="2:2" ht="15.9" customHeight="1" x14ac:dyDescent="0.3">
      <c r="B14398" s="37"/>
    </row>
    <row r="14399" spans="2:2" ht="15.9" customHeight="1" x14ac:dyDescent="0.3">
      <c r="B14399" s="37"/>
    </row>
    <row r="14400" spans="2:2" ht="15.9" customHeight="1" x14ac:dyDescent="0.3">
      <c r="B14400" s="37"/>
    </row>
    <row r="14401" spans="2:2" ht="15.9" customHeight="1" x14ac:dyDescent="0.3">
      <c r="B14401" s="37"/>
    </row>
    <row r="14402" spans="2:2" ht="15.9" customHeight="1" x14ac:dyDescent="0.3">
      <c r="B14402" s="37"/>
    </row>
    <row r="14403" spans="2:2" ht="15.9" customHeight="1" x14ac:dyDescent="0.3">
      <c r="B14403" s="37"/>
    </row>
    <row r="14404" spans="2:2" ht="15.9" customHeight="1" x14ac:dyDescent="0.3">
      <c r="B14404" s="37"/>
    </row>
    <row r="14405" spans="2:2" ht="15.9" customHeight="1" x14ac:dyDescent="0.3">
      <c r="B14405" s="37"/>
    </row>
    <row r="14406" spans="2:2" ht="15.9" customHeight="1" x14ac:dyDescent="0.3">
      <c r="B14406" s="37"/>
    </row>
    <row r="14407" spans="2:2" ht="15.9" customHeight="1" x14ac:dyDescent="0.3">
      <c r="B14407" s="37"/>
    </row>
    <row r="14408" spans="2:2" ht="15.9" customHeight="1" x14ac:dyDescent="0.3">
      <c r="B14408" s="37"/>
    </row>
    <row r="14409" spans="2:2" ht="15.9" customHeight="1" x14ac:dyDescent="0.3">
      <c r="B14409" s="37"/>
    </row>
    <row r="14410" spans="2:2" ht="15.9" customHeight="1" x14ac:dyDescent="0.3">
      <c r="B14410" s="37"/>
    </row>
    <row r="14411" spans="2:2" ht="15.9" customHeight="1" x14ac:dyDescent="0.3">
      <c r="B14411" s="37"/>
    </row>
    <row r="14412" spans="2:2" ht="15.9" customHeight="1" x14ac:dyDescent="0.3">
      <c r="B14412" s="37"/>
    </row>
    <row r="14413" spans="2:2" ht="15.9" customHeight="1" x14ac:dyDescent="0.3">
      <c r="B14413" s="37"/>
    </row>
    <row r="14414" spans="2:2" ht="15.9" customHeight="1" x14ac:dyDescent="0.3">
      <c r="B14414" s="37"/>
    </row>
    <row r="14415" spans="2:2" ht="15.9" customHeight="1" x14ac:dyDescent="0.3">
      <c r="B14415" s="37"/>
    </row>
    <row r="14416" spans="2:2" ht="15.9" customHeight="1" x14ac:dyDescent="0.3">
      <c r="B14416" s="37"/>
    </row>
    <row r="14417" spans="2:2" ht="15.9" customHeight="1" x14ac:dyDescent="0.3">
      <c r="B14417" s="37"/>
    </row>
    <row r="14418" spans="2:2" ht="15.9" customHeight="1" x14ac:dyDescent="0.3">
      <c r="B14418" s="37"/>
    </row>
    <row r="14419" spans="2:2" ht="15.9" customHeight="1" x14ac:dyDescent="0.3">
      <c r="B14419" s="37"/>
    </row>
    <row r="14420" spans="2:2" ht="15.9" customHeight="1" x14ac:dyDescent="0.3">
      <c r="B14420" s="37"/>
    </row>
    <row r="14421" spans="2:2" ht="15.9" customHeight="1" x14ac:dyDescent="0.3">
      <c r="B14421" s="37"/>
    </row>
    <row r="14422" spans="2:2" ht="15.9" customHeight="1" x14ac:dyDescent="0.3">
      <c r="B14422" s="37"/>
    </row>
    <row r="14423" spans="2:2" ht="15.9" customHeight="1" x14ac:dyDescent="0.3">
      <c r="B14423" s="37"/>
    </row>
    <row r="14424" spans="2:2" ht="15.9" customHeight="1" x14ac:dyDescent="0.3">
      <c r="B14424" s="37"/>
    </row>
    <row r="14425" spans="2:2" ht="15.9" customHeight="1" x14ac:dyDescent="0.3">
      <c r="B14425" s="37"/>
    </row>
    <row r="14426" spans="2:2" ht="15.9" customHeight="1" x14ac:dyDescent="0.3">
      <c r="B14426" s="37"/>
    </row>
    <row r="14427" spans="2:2" ht="15.9" customHeight="1" x14ac:dyDescent="0.3">
      <c r="B14427" s="37"/>
    </row>
    <row r="14428" spans="2:2" ht="15.9" customHeight="1" x14ac:dyDescent="0.3">
      <c r="B14428" s="37"/>
    </row>
    <row r="14429" spans="2:2" ht="15.9" customHeight="1" x14ac:dyDescent="0.3">
      <c r="B14429" s="37"/>
    </row>
    <row r="14430" spans="2:2" ht="15.9" customHeight="1" x14ac:dyDescent="0.3">
      <c r="B14430" s="37"/>
    </row>
    <row r="14431" spans="2:2" ht="15.9" customHeight="1" x14ac:dyDescent="0.3">
      <c r="B14431" s="37"/>
    </row>
    <row r="14432" spans="2:2" ht="15.9" customHeight="1" x14ac:dyDescent="0.3">
      <c r="B14432" s="37"/>
    </row>
    <row r="14433" spans="2:2" ht="15.9" customHeight="1" x14ac:dyDescent="0.3">
      <c r="B14433" s="37"/>
    </row>
    <row r="14434" spans="2:2" ht="15.9" customHeight="1" x14ac:dyDescent="0.3">
      <c r="B14434" s="37"/>
    </row>
    <row r="14435" spans="2:2" ht="15.9" customHeight="1" x14ac:dyDescent="0.3">
      <c r="B14435" s="37"/>
    </row>
    <row r="14436" spans="2:2" ht="15.9" customHeight="1" x14ac:dyDescent="0.3">
      <c r="B14436" s="37"/>
    </row>
    <row r="14437" spans="2:2" ht="15.9" customHeight="1" x14ac:dyDescent="0.3">
      <c r="B14437" s="37"/>
    </row>
    <row r="14438" spans="2:2" ht="15.9" customHeight="1" x14ac:dyDescent="0.3">
      <c r="B14438" s="37"/>
    </row>
    <row r="14439" spans="2:2" ht="15.9" customHeight="1" x14ac:dyDescent="0.3">
      <c r="B14439" s="37"/>
    </row>
    <row r="14440" spans="2:2" ht="15.9" customHeight="1" x14ac:dyDescent="0.3">
      <c r="B14440" s="37"/>
    </row>
    <row r="14441" spans="2:2" ht="15.9" customHeight="1" x14ac:dyDescent="0.3">
      <c r="B14441" s="37"/>
    </row>
    <row r="14442" spans="2:2" ht="15.9" customHeight="1" x14ac:dyDescent="0.3">
      <c r="B14442" s="37"/>
    </row>
    <row r="14443" spans="2:2" ht="15.9" customHeight="1" x14ac:dyDescent="0.3">
      <c r="B14443" s="37"/>
    </row>
    <row r="14444" spans="2:2" ht="15.9" customHeight="1" x14ac:dyDescent="0.3">
      <c r="B14444" s="37"/>
    </row>
    <row r="14445" spans="2:2" ht="15.9" customHeight="1" x14ac:dyDescent="0.3">
      <c r="B14445" s="37"/>
    </row>
    <row r="14446" spans="2:2" ht="15.9" customHeight="1" x14ac:dyDescent="0.3">
      <c r="B14446" s="37"/>
    </row>
    <row r="14447" spans="2:2" ht="15.9" customHeight="1" x14ac:dyDescent="0.3">
      <c r="B14447" s="37"/>
    </row>
    <row r="14448" spans="2:2" ht="15.9" customHeight="1" x14ac:dyDescent="0.3">
      <c r="B14448" s="37"/>
    </row>
    <row r="14449" spans="2:2" ht="15.9" customHeight="1" x14ac:dyDescent="0.3">
      <c r="B14449" s="37"/>
    </row>
    <row r="14450" spans="2:2" ht="15.9" customHeight="1" x14ac:dyDescent="0.3">
      <c r="B14450" s="37"/>
    </row>
    <row r="14451" spans="2:2" ht="15.9" customHeight="1" x14ac:dyDescent="0.3">
      <c r="B14451" s="37"/>
    </row>
    <row r="14452" spans="2:2" ht="15.9" customHeight="1" x14ac:dyDescent="0.3">
      <c r="B14452" s="37"/>
    </row>
    <row r="14453" spans="2:2" ht="15.9" customHeight="1" x14ac:dyDescent="0.3">
      <c r="B14453" s="37"/>
    </row>
    <row r="14454" spans="2:2" ht="15.9" customHeight="1" x14ac:dyDescent="0.3">
      <c r="B14454" s="37"/>
    </row>
    <row r="14455" spans="2:2" ht="15.9" customHeight="1" x14ac:dyDescent="0.3">
      <c r="B14455" s="37"/>
    </row>
    <row r="14456" spans="2:2" ht="15.9" customHeight="1" x14ac:dyDescent="0.3">
      <c r="B14456" s="37"/>
    </row>
    <row r="14457" spans="2:2" ht="15.9" customHeight="1" x14ac:dyDescent="0.3">
      <c r="B14457" s="37"/>
    </row>
    <row r="14458" spans="2:2" ht="15.9" customHeight="1" x14ac:dyDescent="0.3">
      <c r="B14458" s="37"/>
    </row>
    <row r="14459" spans="2:2" ht="15.9" customHeight="1" x14ac:dyDescent="0.3">
      <c r="B14459" s="37"/>
    </row>
    <row r="14460" spans="2:2" ht="15.9" customHeight="1" x14ac:dyDescent="0.3">
      <c r="B14460" s="37"/>
    </row>
    <row r="14461" spans="2:2" ht="15.9" customHeight="1" x14ac:dyDescent="0.3">
      <c r="B14461" s="37"/>
    </row>
    <row r="14462" spans="2:2" ht="15.9" customHeight="1" x14ac:dyDescent="0.3">
      <c r="B14462" s="37"/>
    </row>
    <row r="14463" spans="2:2" ht="15.9" customHeight="1" x14ac:dyDescent="0.3">
      <c r="B14463" s="37"/>
    </row>
    <row r="14464" spans="2:2" ht="15.9" customHeight="1" x14ac:dyDescent="0.3">
      <c r="B14464" s="37"/>
    </row>
    <row r="14465" spans="2:2" ht="15.9" customHeight="1" x14ac:dyDescent="0.3">
      <c r="B14465" s="37"/>
    </row>
    <row r="14466" spans="2:2" ht="15.9" customHeight="1" x14ac:dyDescent="0.3">
      <c r="B14466" s="37"/>
    </row>
    <row r="14467" spans="2:2" ht="15.9" customHeight="1" x14ac:dyDescent="0.3">
      <c r="B14467" s="37"/>
    </row>
    <row r="14468" spans="2:2" ht="15.9" customHeight="1" x14ac:dyDescent="0.3">
      <c r="B14468" s="37"/>
    </row>
    <row r="14469" spans="2:2" ht="15.9" customHeight="1" x14ac:dyDescent="0.3">
      <c r="B14469" s="37"/>
    </row>
    <row r="14470" spans="2:2" ht="15.9" customHeight="1" x14ac:dyDescent="0.3">
      <c r="B14470" s="37"/>
    </row>
    <row r="14471" spans="2:2" ht="15.9" customHeight="1" x14ac:dyDescent="0.3">
      <c r="B14471" s="37"/>
    </row>
    <row r="14472" spans="2:2" ht="15.9" customHeight="1" x14ac:dyDescent="0.3">
      <c r="B14472" s="37"/>
    </row>
    <row r="14473" spans="2:2" ht="15.9" customHeight="1" x14ac:dyDescent="0.3">
      <c r="B14473" s="37"/>
    </row>
    <row r="14474" spans="2:2" ht="15.9" customHeight="1" x14ac:dyDescent="0.3">
      <c r="B14474" s="37"/>
    </row>
    <row r="14475" spans="2:2" ht="15.9" customHeight="1" x14ac:dyDescent="0.3">
      <c r="B14475" s="37"/>
    </row>
    <row r="14476" spans="2:2" ht="15.9" customHeight="1" x14ac:dyDescent="0.3">
      <c r="B14476" s="37"/>
    </row>
    <row r="14477" spans="2:2" ht="15.9" customHeight="1" x14ac:dyDescent="0.3">
      <c r="B14477" s="37"/>
    </row>
    <row r="14478" spans="2:2" ht="15.9" customHeight="1" x14ac:dyDescent="0.3">
      <c r="B14478" s="37"/>
    </row>
    <row r="14479" spans="2:2" ht="15.9" customHeight="1" x14ac:dyDescent="0.3">
      <c r="B14479" s="37"/>
    </row>
    <row r="14480" spans="2:2" ht="15.9" customHeight="1" x14ac:dyDescent="0.3">
      <c r="B14480" s="37"/>
    </row>
    <row r="14481" spans="2:2" ht="15.9" customHeight="1" x14ac:dyDescent="0.3">
      <c r="B14481" s="37"/>
    </row>
    <row r="14482" spans="2:2" ht="15.9" customHeight="1" x14ac:dyDescent="0.3">
      <c r="B14482" s="37"/>
    </row>
    <row r="14483" spans="2:2" ht="15.9" customHeight="1" x14ac:dyDescent="0.3">
      <c r="B14483" s="37"/>
    </row>
    <row r="14484" spans="2:2" ht="15.9" customHeight="1" x14ac:dyDescent="0.3">
      <c r="B14484" s="37"/>
    </row>
    <row r="14485" spans="2:2" ht="15.9" customHeight="1" x14ac:dyDescent="0.3">
      <c r="B14485" s="37"/>
    </row>
    <row r="14486" spans="2:2" ht="15.9" customHeight="1" x14ac:dyDescent="0.3">
      <c r="B14486" s="37"/>
    </row>
    <row r="14487" spans="2:2" ht="15.9" customHeight="1" x14ac:dyDescent="0.3">
      <c r="B14487" s="37"/>
    </row>
    <row r="14488" spans="2:2" ht="15.9" customHeight="1" x14ac:dyDescent="0.3">
      <c r="B14488" s="37"/>
    </row>
    <row r="14489" spans="2:2" ht="15.9" customHeight="1" x14ac:dyDescent="0.3">
      <c r="B14489" s="37"/>
    </row>
    <row r="14490" spans="2:2" ht="15.9" customHeight="1" x14ac:dyDescent="0.3">
      <c r="B14490" s="37"/>
    </row>
    <row r="14491" spans="2:2" ht="15.9" customHeight="1" x14ac:dyDescent="0.3">
      <c r="B14491" s="37"/>
    </row>
    <row r="14492" spans="2:2" ht="15.9" customHeight="1" x14ac:dyDescent="0.3">
      <c r="B14492" s="37"/>
    </row>
    <row r="14493" spans="2:2" ht="15.9" customHeight="1" x14ac:dyDescent="0.3">
      <c r="B14493" s="37"/>
    </row>
    <row r="14494" spans="2:2" ht="15.9" customHeight="1" x14ac:dyDescent="0.3">
      <c r="B14494" s="37"/>
    </row>
    <row r="14495" spans="2:2" ht="15.9" customHeight="1" x14ac:dyDescent="0.3">
      <c r="B14495" s="37"/>
    </row>
    <row r="14496" spans="2:2" ht="15.9" customHeight="1" x14ac:dyDescent="0.3">
      <c r="B14496" s="37"/>
    </row>
    <row r="14497" spans="2:2" ht="15.9" customHeight="1" x14ac:dyDescent="0.3">
      <c r="B14497" s="37"/>
    </row>
    <row r="14498" spans="2:2" ht="15.9" customHeight="1" x14ac:dyDescent="0.3">
      <c r="B14498" s="37"/>
    </row>
    <row r="14499" spans="2:2" ht="15.9" customHeight="1" x14ac:dyDescent="0.3">
      <c r="B14499" s="37"/>
    </row>
    <row r="14500" spans="2:2" ht="15.9" customHeight="1" x14ac:dyDescent="0.3">
      <c r="B14500" s="37"/>
    </row>
    <row r="14501" spans="2:2" ht="15.9" customHeight="1" x14ac:dyDescent="0.3">
      <c r="B14501" s="37"/>
    </row>
    <row r="14502" spans="2:2" ht="15.9" customHeight="1" x14ac:dyDescent="0.3">
      <c r="B14502" s="37"/>
    </row>
    <row r="14503" spans="2:2" ht="15.9" customHeight="1" x14ac:dyDescent="0.3">
      <c r="B14503" s="37"/>
    </row>
    <row r="14504" spans="2:2" ht="15.9" customHeight="1" x14ac:dyDescent="0.3">
      <c r="B14504" s="37"/>
    </row>
    <row r="14505" spans="2:2" ht="15.9" customHeight="1" x14ac:dyDescent="0.3">
      <c r="B14505" s="37"/>
    </row>
    <row r="14506" spans="2:2" ht="15.9" customHeight="1" x14ac:dyDescent="0.3">
      <c r="B14506" s="37"/>
    </row>
    <row r="14507" spans="2:2" ht="15.9" customHeight="1" x14ac:dyDescent="0.3">
      <c r="B14507" s="37"/>
    </row>
    <row r="14508" spans="2:2" ht="15.9" customHeight="1" x14ac:dyDescent="0.3">
      <c r="B14508" s="37"/>
    </row>
    <row r="14509" spans="2:2" ht="15.9" customHeight="1" x14ac:dyDescent="0.3">
      <c r="B14509" s="37"/>
    </row>
    <row r="14510" spans="2:2" ht="15.9" customHeight="1" x14ac:dyDescent="0.3">
      <c r="B14510" s="37"/>
    </row>
    <row r="14511" spans="2:2" ht="15.9" customHeight="1" x14ac:dyDescent="0.3">
      <c r="B14511" s="37"/>
    </row>
    <row r="14512" spans="2:2" ht="15.9" customHeight="1" x14ac:dyDescent="0.3">
      <c r="B14512" s="37"/>
    </row>
    <row r="14513" spans="2:2" ht="15.9" customHeight="1" x14ac:dyDescent="0.3">
      <c r="B14513" s="37"/>
    </row>
    <row r="14514" spans="2:2" ht="15.9" customHeight="1" x14ac:dyDescent="0.3">
      <c r="B14514" s="37"/>
    </row>
    <row r="14515" spans="2:2" ht="15.9" customHeight="1" x14ac:dyDescent="0.3">
      <c r="B14515" s="37"/>
    </row>
    <row r="14516" spans="2:2" ht="15.9" customHeight="1" x14ac:dyDescent="0.3">
      <c r="B14516" s="37"/>
    </row>
    <row r="14517" spans="2:2" ht="15.9" customHeight="1" x14ac:dyDescent="0.3">
      <c r="B14517" s="37"/>
    </row>
    <row r="14518" spans="2:2" ht="15.9" customHeight="1" x14ac:dyDescent="0.3">
      <c r="B14518" s="37"/>
    </row>
    <row r="14519" spans="2:2" ht="15.9" customHeight="1" x14ac:dyDescent="0.3">
      <c r="B14519" s="37"/>
    </row>
    <row r="14520" spans="2:2" ht="15.9" customHeight="1" x14ac:dyDescent="0.3">
      <c r="B14520" s="37"/>
    </row>
    <row r="14521" spans="2:2" ht="15.9" customHeight="1" x14ac:dyDescent="0.3">
      <c r="B14521" s="37"/>
    </row>
    <row r="14522" spans="2:2" ht="15.9" customHeight="1" x14ac:dyDescent="0.3">
      <c r="B14522" s="37"/>
    </row>
    <row r="14523" spans="2:2" ht="15.9" customHeight="1" x14ac:dyDescent="0.3">
      <c r="B14523" s="37"/>
    </row>
    <row r="14524" spans="2:2" ht="15.9" customHeight="1" x14ac:dyDescent="0.3">
      <c r="B14524" s="37"/>
    </row>
    <row r="14525" spans="2:2" ht="15.9" customHeight="1" x14ac:dyDescent="0.3">
      <c r="B14525" s="37"/>
    </row>
    <row r="14526" spans="2:2" ht="15.9" customHeight="1" x14ac:dyDescent="0.3">
      <c r="B14526" s="37"/>
    </row>
    <row r="14527" spans="2:2" ht="15.9" customHeight="1" x14ac:dyDescent="0.3">
      <c r="B14527" s="37"/>
    </row>
    <row r="14528" spans="2:2" ht="15.9" customHeight="1" x14ac:dyDescent="0.3">
      <c r="B14528" s="37"/>
    </row>
    <row r="14529" spans="2:2" ht="15.9" customHeight="1" x14ac:dyDescent="0.3">
      <c r="B14529" s="37"/>
    </row>
    <row r="14530" spans="2:2" ht="15.9" customHeight="1" x14ac:dyDescent="0.3">
      <c r="B14530" s="37"/>
    </row>
    <row r="14531" spans="2:2" ht="15.9" customHeight="1" x14ac:dyDescent="0.3">
      <c r="B14531" s="37"/>
    </row>
    <row r="14532" spans="2:2" ht="15.9" customHeight="1" x14ac:dyDescent="0.3">
      <c r="B14532" s="37"/>
    </row>
    <row r="14533" spans="2:2" ht="15.9" customHeight="1" x14ac:dyDescent="0.3">
      <c r="B14533" s="37"/>
    </row>
    <row r="14534" spans="2:2" ht="15.9" customHeight="1" x14ac:dyDescent="0.3">
      <c r="B14534" s="37"/>
    </row>
    <row r="14535" spans="2:2" ht="15.9" customHeight="1" x14ac:dyDescent="0.3">
      <c r="B14535" s="37"/>
    </row>
    <row r="14536" spans="2:2" ht="15.9" customHeight="1" x14ac:dyDescent="0.3">
      <c r="B14536" s="37"/>
    </row>
    <row r="14537" spans="2:2" ht="15.9" customHeight="1" x14ac:dyDescent="0.3">
      <c r="B14537" s="37"/>
    </row>
    <row r="14538" spans="2:2" ht="15.9" customHeight="1" x14ac:dyDescent="0.3">
      <c r="B14538" s="37"/>
    </row>
    <row r="14539" spans="2:2" ht="15.9" customHeight="1" x14ac:dyDescent="0.3">
      <c r="B14539" s="37"/>
    </row>
    <row r="14540" spans="2:2" ht="15.9" customHeight="1" x14ac:dyDescent="0.3">
      <c r="B14540" s="37"/>
    </row>
    <row r="14541" spans="2:2" ht="15.9" customHeight="1" x14ac:dyDescent="0.3">
      <c r="B14541" s="37"/>
    </row>
    <row r="14542" spans="2:2" ht="15.9" customHeight="1" x14ac:dyDescent="0.3">
      <c r="B14542" s="37"/>
    </row>
    <row r="14543" spans="2:2" ht="15.9" customHeight="1" x14ac:dyDescent="0.3">
      <c r="B14543" s="37"/>
    </row>
    <row r="14544" spans="2:2" ht="15.9" customHeight="1" x14ac:dyDescent="0.3">
      <c r="B14544" s="37"/>
    </row>
    <row r="14545" spans="2:2" ht="15.9" customHeight="1" x14ac:dyDescent="0.3">
      <c r="B14545" s="37"/>
    </row>
    <row r="14546" spans="2:2" ht="15.9" customHeight="1" x14ac:dyDescent="0.3">
      <c r="B14546" s="37"/>
    </row>
    <row r="14547" spans="2:2" ht="15.9" customHeight="1" x14ac:dyDescent="0.3">
      <c r="B14547" s="37"/>
    </row>
    <row r="14548" spans="2:2" ht="15.9" customHeight="1" x14ac:dyDescent="0.3">
      <c r="B14548" s="37"/>
    </row>
    <row r="14549" spans="2:2" ht="15.9" customHeight="1" x14ac:dyDescent="0.3">
      <c r="B14549" s="37"/>
    </row>
    <row r="14550" spans="2:2" ht="15.9" customHeight="1" x14ac:dyDescent="0.3">
      <c r="B14550" s="37"/>
    </row>
    <row r="14551" spans="2:2" ht="15.9" customHeight="1" x14ac:dyDescent="0.3">
      <c r="B14551" s="37"/>
    </row>
    <row r="14552" spans="2:2" ht="15.9" customHeight="1" x14ac:dyDescent="0.3">
      <c r="B14552" s="37"/>
    </row>
    <row r="14553" spans="2:2" ht="15.9" customHeight="1" x14ac:dyDescent="0.3">
      <c r="B14553" s="37"/>
    </row>
    <row r="14554" spans="2:2" ht="15.9" customHeight="1" x14ac:dyDescent="0.3">
      <c r="B14554" s="37"/>
    </row>
    <row r="14555" spans="2:2" ht="15.9" customHeight="1" x14ac:dyDescent="0.3">
      <c r="B14555" s="37"/>
    </row>
    <row r="14556" spans="2:2" ht="15.9" customHeight="1" x14ac:dyDescent="0.3">
      <c r="B14556" s="37"/>
    </row>
    <row r="14557" spans="2:2" ht="15.9" customHeight="1" x14ac:dyDescent="0.3">
      <c r="B14557" s="37"/>
    </row>
    <row r="14558" spans="2:2" ht="15.9" customHeight="1" x14ac:dyDescent="0.3">
      <c r="B14558" s="37"/>
    </row>
    <row r="14559" spans="2:2" ht="15.9" customHeight="1" x14ac:dyDescent="0.3">
      <c r="B14559" s="37"/>
    </row>
    <row r="14560" spans="2:2" ht="15.9" customHeight="1" x14ac:dyDescent="0.3">
      <c r="B14560" s="37"/>
    </row>
    <row r="14561" spans="2:2" ht="15.9" customHeight="1" x14ac:dyDescent="0.3">
      <c r="B14561" s="37"/>
    </row>
    <row r="14562" spans="2:2" ht="15.9" customHeight="1" x14ac:dyDescent="0.3">
      <c r="B14562" s="37"/>
    </row>
    <row r="14563" spans="2:2" ht="15.9" customHeight="1" x14ac:dyDescent="0.3">
      <c r="B14563" s="37"/>
    </row>
    <row r="14564" spans="2:2" ht="15.9" customHeight="1" x14ac:dyDescent="0.3">
      <c r="B14564" s="37"/>
    </row>
    <row r="14565" spans="2:2" ht="15.9" customHeight="1" x14ac:dyDescent="0.3">
      <c r="B14565" s="37"/>
    </row>
    <row r="14566" spans="2:2" ht="15.9" customHeight="1" x14ac:dyDescent="0.3">
      <c r="B14566" s="37"/>
    </row>
    <row r="14567" spans="2:2" ht="15.9" customHeight="1" x14ac:dyDescent="0.3">
      <c r="B14567" s="37"/>
    </row>
    <row r="14568" spans="2:2" ht="15.9" customHeight="1" x14ac:dyDescent="0.3">
      <c r="B14568" s="37"/>
    </row>
    <row r="14569" spans="2:2" ht="15.9" customHeight="1" x14ac:dyDescent="0.3">
      <c r="B14569" s="37"/>
    </row>
    <row r="14570" spans="2:2" ht="15.9" customHeight="1" x14ac:dyDescent="0.3">
      <c r="B14570" s="37"/>
    </row>
    <row r="14571" spans="2:2" ht="15.9" customHeight="1" x14ac:dyDescent="0.3">
      <c r="B14571" s="37"/>
    </row>
    <row r="14572" spans="2:2" ht="15.9" customHeight="1" x14ac:dyDescent="0.3">
      <c r="B14572" s="37"/>
    </row>
    <row r="14573" spans="2:2" ht="15.9" customHeight="1" x14ac:dyDescent="0.3">
      <c r="B14573" s="37"/>
    </row>
    <row r="14574" spans="2:2" ht="15.9" customHeight="1" x14ac:dyDescent="0.3">
      <c r="B14574" s="37"/>
    </row>
    <row r="14575" spans="2:2" ht="15.9" customHeight="1" x14ac:dyDescent="0.3">
      <c r="B14575" s="37"/>
    </row>
    <row r="14576" spans="2:2" ht="15.9" customHeight="1" x14ac:dyDescent="0.3">
      <c r="B14576" s="37"/>
    </row>
    <row r="14577" spans="2:2" ht="15.9" customHeight="1" x14ac:dyDescent="0.3">
      <c r="B14577" s="37"/>
    </row>
    <row r="14578" spans="2:2" ht="15.9" customHeight="1" x14ac:dyDescent="0.3">
      <c r="B14578" s="37"/>
    </row>
    <row r="14579" spans="2:2" ht="15.9" customHeight="1" x14ac:dyDescent="0.3">
      <c r="B14579" s="37"/>
    </row>
    <row r="14580" spans="2:2" ht="15.9" customHeight="1" x14ac:dyDescent="0.3">
      <c r="B14580" s="37"/>
    </row>
    <row r="14581" spans="2:2" ht="15.9" customHeight="1" x14ac:dyDescent="0.3">
      <c r="B14581" s="37"/>
    </row>
    <row r="14582" spans="2:2" ht="15.9" customHeight="1" x14ac:dyDescent="0.3">
      <c r="B14582" s="37"/>
    </row>
    <row r="14583" spans="2:2" ht="15.9" customHeight="1" x14ac:dyDescent="0.3">
      <c r="B14583" s="37"/>
    </row>
    <row r="14584" spans="2:2" ht="15.9" customHeight="1" x14ac:dyDescent="0.3">
      <c r="B14584" s="37"/>
    </row>
    <row r="14585" spans="2:2" ht="15.9" customHeight="1" x14ac:dyDescent="0.3">
      <c r="B14585" s="37"/>
    </row>
    <row r="14586" spans="2:2" ht="15.9" customHeight="1" x14ac:dyDescent="0.3">
      <c r="B14586" s="37"/>
    </row>
    <row r="14587" spans="2:2" ht="15.9" customHeight="1" x14ac:dyDescent="0.3">
      <c r="B14587" s="37"/>
    </row>
    <row r="14588" spans="2:2" ht="15.9" customHeight="1" x14ac:dyDescent="0.3">
      <c r="B14588" s="37"/>
    </row>
    <row r="14589" spans="2:2" ht="15.9" customHeight="1" x14ac:dyDescent="0.3">
      <c r="B14589" s="37"/>
    </row>
    <row r="14590" spans="2:2" ht="15.9" customHeight="1" x14ac:dyDescent="0.3">
      <c r="B14590" s="37"/>
    </row>
    <row r="14591" spans="2:2" ht="15.9" customHeight="1" x14ac:dyDescent="0.3">
      <c r="B14591" s="37"/>
    </row>
    <row r="14592" spans="2:2" ht="15.9" customHeight="1" x14ac:dyDescent="0.3">
      <c r="B14592" s="37"/>
    </row>
    <row r="14593" spans="2:2" ht="15.9" customHeight="1" x14ac:dyDescent="0.3">
      <c r="B14593" s="37"/>
    </row>
    <row r="14594" spans="2:2" ht="15.9" customHeight="1" x14ac:dyDescent="0.3">
      <c r="B14594" s="37"/>
    </row>
    <row r="14595" spans="2:2" ht="15.9" customHeight="1" x14ac:dyDescent="0.3">
      <c r="B14595" s="37"/>
    </row>
    <row r="14596" spans="2:2" ht="15.9" customHeight="1" x14ac:dyDescent="0.3">
      <c r="B14596" s="37"/>
    </row>
    <row r="14597" spans="2:2" ht="15.9" customHeight="1" x14ac:dyDescent="0.3">
      <c r="B14597" s="37"/>
    </row>
    <row r="14598" spans="2:2" ht="15.9" customHeight="1" x14ac:dyDescent="0.3">
      <c r="B14598" s="37"/>
    </row>
    <row r="14599" spans="2:2" ht="15.9" customHeight="1" x14ac:dyDescent="0.3">
      <c r="B14599" s="37"/>
    </row>
    <row r="14600" spans="2:2" ht="15.9" customHeight="1" x14ac:dyDescent="0.3">
      <c r="B14600" s="37"/>
    </row>
    <row r="14601" spans="2:2" ht="15.9" customHeight="1" x14ac:dyDescent="0.3">
      <c r="B14601" s="37"/>
    </row>
    <row r="14602" spans="2:2" ht="15.9" customHeight="1" x14ac:dyDescent="0.3">
      <c r="B14602" s="37"/>
    </row>
    <row r="14603" spans="2:2" ht="15.9" customHeight="1" x14ac:dyDescent="0.3">
      <c r="B14603" s="37"/>
    </row>
    <row r="14604" spans="2:2" ht="15.9" customHeight="1" x14ac:dyDescent="0.3">
      <c r="B14604" s="37"/>
    </row>
    <row r="14605" spans="2:2" ht="15.9" customHeight="1" x14ac:dyDescent="0.3">
      <c r="B14605" s="37"/>
    </row>
    <row r="14606" spans="2:2" ht="15.9" customHeight="1" x14ac:dyDescent="0.3">
      <c r="B14606" s="37"/>
    </row>
    <row r="14607" spans="2:2" ht="15.9" customHeight="1" x14ac:dyDescent="0.3">
      <c r="B14607" s="37"/>
    </row>
    <row r="14608" spans="2:2" ht="15.9" customHeight="1" x14ac:dyDescent="0.3">
      <c r="B14608" s="37"/>
    </row>
    <row r="14609" spans="2:2" ht="15.9" customHeight="1" x14ac:dyDescent="0.3">
      <c r="B14609" s="37"/>
    </row>
    <row r="14610" spans="2:2" ht="15.9" customHeight="1" x14ac:dyDescent="0.3">
      <c r="B14610" s="37"/>
    </row>
    <row r="14611" spans="2:2" ht="15.9" customHeight="1" x14ac:dyDescent="0.3">
      <c r="B14611" s="37"/>
    </row>
    <row r="14612" spans="2:2" ht="15.9" customHeight="1" x14ac:dyDescent="0.3">
      <c r="B14612" s="37"/>
    </row>
    <row r="14613" spans="2:2" ht="15.9" customHeight="1" x14ac:dyDescent="0.3">
      <c r="B14613" s="37"/>
    </row>
    <row r="14614" spans="2:2" ht="15.9" customHeight="1" x14ac:dyDescent="0.3">
      <c r="B14614" s="37"/>
    </row>
    <row r="14615" spans="2:2" ht="15.9" customHeight="1" x14ac:dyDescent="0.3">
      <c r="B14615" s="37"/>
    </row>
    <row r="14616" spans="2:2" ht="15.9" customHeight="1" x14ac:dyDescent="0.3">
      <c r="B14616" s="37"/>
    </row>
    <row r="14617" spans="2:2" ht="15.9" customHeight="1" x14ac:dyDescent="0.3">
      <c r="B14617" s="37"/>
    </row>
    <row r="14618" spans="2:2" ht="15.9" customHeight="1" x14ac:dyDescent="0.3">
      <c r="B14618" s="37"/>
    </row>
    <row r="14619" spans="2:2" ht="15.9" customHeight="1" x14ac:dyDescent="0.3">
      <c r="B14619" s="37"/>
    </row>
    <row r="14620" spans="2:2" ht="15.9" customHeight="1" x14ac:dyDescent="0.3">
      <c r="B14620" s="37"/>
    </row>
    <row r="14621" spans="2:2" ht="15.9" customHeight="1" x14ac:dyDescent="0.3">
      <c r="B14621" s="37"/>
    </row>
    <row r="14622" spans="2:2" ht="15.9" customHeight="1" x14ac:dyDescent="0.3">
      <c r="B14622" s="37"/>
    </row>
    <row r="14623" spans="2:2" ht="15.9" customHeight="1" x14ac:dyDescent="0.3">
      <c r="B14623" s="37"/>
    </row>
    <row r="14624" spans="2:2" ht="15.9" customHeight="1" x14ac:dyDescent="0.3">
      <c r="B14624" s="37"/>
    </row>
    <row r="14625" spans="2:2" ht="15.9" customHeight="1" x14ac:dyDescent="0.3">
      <c r="B14625" s="37"/>
    </row>
    <row r="14626" spans="2:2" ht="15.9" customHeight="1" x14ac:dyDescent="0.3">
      <c r="B14626" s="37"/>
    </row>
    <row r="14627" spans="2:2" ht="15.9" customHeight="1" x14ac:dyDescent="0.3">
      <c r="B14627" s="37"/>
    </row>
    <row r="14628" spans="2:2" ht="15.9" customHeight="1" x14ac:dyDescent="0.3">
      <c r="B14628" s="37"/>
    </row>
    <row r="14629" spans="2:2" ht="15.9" customHeight="1" x14ac:dyDescent="0.3">
      <c r="B14629" s="37"/>
    </row>
    <row r="14630" spans="2:2" ht="15.9" customHeight="1" x14ac:dyDescent="0.3">
      <c r="B14630" s="37"/>
    </row>
    <row r="14631" spans="2:2" ht="15.9" customHeight="1" x14ac:dyDescent="0.3">
      <c r="B14631" s="37"/>
    </row>
    <row r="14632" spans="2:2" ht="15.9" customHeight="1" x14ac:dyDescent="0.3">
      <c r="B14632" s="37"/>
    </row>
    <row r="14633" spans="2:2" ht="15.9" customHeight="1" x14ac:dyDescent="0.3">
      <c r="B14633" s="37"/>
    </row>
    <row r="14634" spans="2:2" ht="15.9" customHeight="1" x14ac:dyDescent="0.3">
      <c r="B14634" s="37"/>
    </row>
    <row r="14635" spans="2:2" ht="15.9" customHeight="1" x14ac:dyDescent="0.3">
      <c r="B14635" s="37"/>
    </row>
    <row r="14636" spans="2:2" ht="15.9" customHeight="1" x14ac:dyDescent="0.3">
      <c r="B14636" s="37"/>
    </row>
    <row r="14637" spans="2:2" ht="15.9" customHeight="1" x14ac:dyDescent="0.3">
      <c r="B14637" s="37"/>
    </row>
    <row r="14638" spans="2:2" ht="15.9" customHeight="1" x14ac:dyDescent="0.3">
      <c r="B14638" s="37"/>
    </row>
    <row r="14639" spans="2:2" ht="15.9" customHeight="1" x14ac:dyDescent="0.3">
      <c r="B14639" s="37"/>
    </row>
    <row r="14640" spans="2:2" ht="15.9" customHeight="1" x14ac:dyDescent="0.3">
      <c r="B14640" s="37"/>
    </row>
    <row r="14641" spans="2:2" ht="15.9" customHeight="1" x14ac:dyDescent="0.3">
      <c r="B14641" s="37"/>
    </row>
    <row r="14642" spans="2:2" ht="15.9" customHeight="1" x14ac:dyDescent="0.3">
      <c r="B14642" s="37"/>
    </row>
    <row r="14643" spans="2:2" ht="15.9" customHeight="1" x14ac:dyDescent="0.3">
      <c r="B14643" s="37"/>
    </row>
    <row r="14644" spans="2:2" ht="15.9" customHeight="1" x14ac:dyDescent="0.3">
      <c r="B14644" s="37"/>
    </row>
    <row r="14645" spans="2:2" ht="15.9" customHeight="1" x14ac:dyDescent="0.3">
      <c r="B14645" s="37"/>
    </row>
    <row r="14646" spans="2:2" ht="15.9" customHeight="1" x14ac:dyDescent="0.3">
      <c r="B14646" s="37"/>
    </row>
    <row r="14647" spans="2:2" ht="15.9" customHeight="1" x14ac:dyDescent="0.3">
      <c r="B14647" s="37"/>
    </row>
    <row r="14648" spans="2:2" ht="15.9" customHeight="1" x14ac:dyDescent="0.3">
      <c r="B14648" s="37"/>
    </row>
    <row r="14649" spans="2:2" ht="15.9" customHeight="1" x14ac:dyDescent="0.3">
      <c r="B14649" s="37"/>
    </row>
    <row r="14650" spans="2:2" ht="15.9" customHeight="1" x14ac:dyDescent="0.3">
      <c r="B14650" s="37"/>
    </row>
    <row r="14651" spans="2:2" ht="15.9" customHeight="1" x14ac:dyDescent="0.3">
      <c r="B14651" s="37"/>
    </row>
    <row r="14652" spans="2:2" ht="15.9" customHeight="1" x14ac:dyDescent="0.3">
      <c r="B14652" s="37"/>
    </row>
    <row r="14653" spans="2:2" ht="15.9" customHeight="1" x14ac:dyDescent="0.3">
      <c r="B14653" s="37"/>
    </row>
    <row r="14654" spans="2:2" ht="15.9" customHeight="1" x14ac:dyDescent="0.3">
      <c r="B14654" s="37"/>
    </row>
    <row r="14655" spans="2:2" ht="15.9" customHeight="1" x14ac:dyDescent="0.3">
      <c r="B14655" s="37"/>
    </row>
    <row r="14656" spans="2:2" ht="15.9" customHeight="1" x14ac:dyDescent="0.3">
      <c r="B14656" s="37"/>
    </row>
    <row r="14657" spans="2:2" ht="15.9" customHeight="1" x14ac:dyDescent="0.3">
      <c r="B14657" s="37"/>
    </row>
    <row r="14658" spans="2:2" ht="15.9" customHeight="1" x14ac:dyDescent="0.3">
      <c r="B14658" s="37"/>
    </row>
    <row r="14659" spans="2:2" ht="15.9" customHeight="1" x14ac:dyDescent="0.3">
      <c r="B14659" s="37"/>
    </row>
    <row r="14660" spans="2:2" ht="15.9" customHeight="1" x14ac:dyDescent="0.3">
      <c r="B14660" s="37"/>
    </row>
    <row r="14661" spans="2:2" ht="15.9" customHeight="1" x14ac:dyDescent="0.3">
      <c r="B14661" s="37"/>
    </row>
    <row r="14662" spans="2:2" ht="15.9" customHeight="1" x14ac:dyDescent="0.3">
      <c r="B14662" s="37"/>
    </row>
    <row r="14663" spans="2:2" ht="15.9" customHeight="1" x14ac:dyDescent="0.3">
      <c r="B14663" s="37"/>
    </row>
    <row r="14664" spans="2:2" ht="15.9" customHeight="1" x14ac:dyDescent="0.3">
      <c r="B14664" s="37"/>
    </row>
    <row r="14665" spans="2:2" ht="15.9" customHeight="1" x14ac:dyDescent="0.3">
      <c r="B14665" s="37"/>
    </row>
    <row r="14666" spans="2:2" ht="15.9" customHeight="1" x14ac:dyDescent="0.3">
      <c r="B14666" s="37"/>
    </row>
    <row r="14667" spans="2:2" ht="15.9" customHeight="1" x14ac:dyDescent="0.3">
      <c r="B14667" s="37"/>
    </row>
    <row r="14668" spans="2:2" ht="15.9" customHeight="1" x14ac:dyDescent="0.3">
      <c r="B14668" s="37"/>
    </row>
    <row r="14669" spans="2:2" ht="15.9" customHeight="1" x14ac:dyDescent="0.3">
      <c r="B14669" s="37"/>
    </row>
    <row r="14670" spans="2:2" ht="15.9" customHeight="1" x14ac:dyDescent="0.3">
      <c r="B14670" s="37"/>
    </row>
    <row r="14671" spans="2:2" ht="15.9" customHeight="1" x14ac:dyDescent="0.3">
      <c r="B14671" s="37"/>
    </row>
    <row r="14672" spans="2:2" ht="15.9" customHeight="1" x14ac:dyDescent="0.3">
      <c r="B14672" s="37"/>
    </row>
    <row r="14673" spans="2:2" ht="15.9" customHeight="1" x14ac:dyDescent="0.3">
      <c r="B14673" s="37"/>
    </row>
    <row r="14674" spans="2:2" ht="15.9" customHeight="1" x14ac:dyDescent="0.3">
      <c r="B14674" s="37"/>
    </row>
    <row r="14675" spans="2:2" ht="15.9" customHeight="1" x14ac:dyDescent="0.3">
      <c r="B14675" s="37"/>
    </row>
    <row r="14676" spans="2:2" ht="15.9" customHeight="1" x14ac:dyDescent="0.3">
      <c r="B14676" s="37"/>
    </row>
    <row r="14677" spans="2:2" ht="15.9" customHeight="1" x14ac:dyDescent="0.3">
      <c r="B14677" s="37"/>
    </row>
    <row r="14678" spans="2:2" ht="15.9" customHeight="1" x14ac:dyDescent="0.3">
      <c r="B14678" s="37"/>
    </row>
    <row r="14679" spans="2:2" ht="15.9" customHeight="1" x14ac:dyDescent="0.3">
      <c r="B14679" s="37"/>
    </row>
    <row r="14680" spans="2:2" ht="15.9" customHeight="1" x14ac:dyDescent="0.3">
      <c r="B14680" s="37"/>
    </row>
    <row r="14681" spans="2:2" ht="15.9" customHeight="1" x14ac:dyDescent="0.3">
      <c r="B14681" s="37"/>
    </row>
    <row r="14682" spans="2:2" ht="15.9" customHeight="1" x14ac:dyDescent="0.3">
      <c r="B14682" s="37"/>
    </row>
    <row r="14683" spans="2:2" ht="15.9" customHeight="1" x14ac:dyDescent="0.3">
      <c r="B14683" s="37"/>
    </row>
    <row r="14684" spans="2:2" ht="15.9" customHeight="1" x14ac:dyDescent="0.3">
      <c r="B14684" s="37"/>
    </row>
    <row r="14685" spans="2:2" ht="15.9" customHeight="1" x14ac:dyDescent="0.3">
      <c r="B14685" s="37"/>
    </row>
    <row r="14686" spans="2:2" ht="15.9" customHeight="1" x14ac:dyDescent="0.3">
      <c r="B14686" s="37"/>
    </row>
    <row r="14687" spans="2:2" ht="15.9" customHeight="1" x14ac:dyDescent="0.3">
      <c r="B14687" s="37"/>
    </row>
    <row r="14688" spans="2:2" ht="15.9" customHeight="1" x14ac:dyDescent="0.3">
      <c r="B14688" s="37"/>
    </row>
    <row r="14689" spans="2:2" ht="15.9" customHeight="1" x14ac:dyDescent="0.3">
      <c r="B14689" s="37"/>
    </row>
    <row r="14690" spans="2:2" ht="15.9" customHeight="1" x14ac:dyDescent="0.3">
      <c r="B14690" s="37"/>
    </row>
    <row r="14691" spans="2:2" ht="15.9" customHeight="1" x14ac:dyDescent="0.3">
      <c r="B14691" s="37"/>
    </row>
    <row r="14692" spans="2:2" ht="15.9" customHeight="1" x14ac:dyDescent="0.3">
      <c r="B14692" s="37"/>
    </row>
    <row r="14693" spans="2:2" ht="15.9" customHeight="1" x14ac:dyDescent="0.3">
      <c r="B14693" s="37"/>
    </row>
    <row r="14694" spans="2:2" ht="15.9" customHeight="1" x14ac:dyDescent="0.3">
      <c r="B14694" s="37"/>
    </row>
    <row r="14695" spans="2:2" ht="15.9" customHeight="1" x14ac:dyDescent="0.3">
      <c r="B14695" s="37"/>
    </row>
    <row r="14696" spans="2:2" ht="15.9" customHeight="1" x14ac:dyDescent="0.3">
      <c r="B14696" s="37"/>
    </row>
    <row r="14697" spans="2:2" ht="15.9" customHeight="1" x14ac:dyDescent="0.3">
      <c r="B14697" s="37"/>
    </row>
    <row r="14698" spans="2:2" ht="15.9" customHeight="1" x14ac:dyDescent="0.3">
      <c r="B14698" s="37"/>
    </row>
    <row r="14699" spans="2:2" ht="15.9" customHeight="1" x14ac:dyDescent="0.3">
      <c r="B14699" s="37"/>
    </row>
    <row r="14700" spans="2:2" ht="15.9" customHeight="1" x14ac:dyDescent="0.3">
      <c r="B14700" s="37"/>
    </row>
    <row r="14701" spans="2:2" ht="15.9" customHeight="1" x14ac:dyDescent="0.3">
      <c r="B14701" s="37"/>
    </row>
    <row r="14702" spans="2:2" ht="15.9" customHeight="1" x14ac:dyDescent="0.3">
      <c r="B14702" s="37"/>
    </row>
    <row r="14703" spans="2:2" ht="15.9" customHeight="1" x14ac:dyDescent="0.3">
      <c r="B14703" s="37"/>
    </row>
    <row r="14704" spans="2:2" ht="15.9" customHeight="1" x14ac:dyDescent="0.3">
      <c r="B14704" s="37"/>
    </row>
    <row r="14705" spans="2:2" ht="15.9" customHeight="1" x14ac:dyDescent="0.3">
      <c r="B14705" s="37"/>
    </row>
    <row r="14706" spans="2:2" ht="15.9" customHeight="1" x14ac:dyDescent="0.3">
      <c r="B14706" s="37"/>
    </row>
    <row r="14707" spans="2:2" ht="15.9" customHeight="1" x14ac:dyDescent="0.3">
      <c r="B14707" s="37"/>
    </row>
    <row r="14708" spans="2:2" ht="15.9" customHeight="1" x14ac:dyDescent="0.3">
      <c r="B14708" s="37"/>
    </row>
    <row r="14709" spans="2:2" ht="15.9" customHeight="1" x14ac:dyDescent="0.3">
      <c r="B14709" s="37"/>
    </row>
    <row r="14710" spans="2:2" ht="15.9" customHeight="1" x14ac:dyDescent="0.3">
      <c r="B14710" s="37"/>
    </row>
    <row r="14711" spans="2:2" ht="15.9" customHeight="1" x14ac:dyDescent="0.3">
      <c r="B14711" s="37"/>
    </row>
    <row r="14712" spans="2:2" ht="15.9" customHeight="1" x14ac:dyDescent="0.3">
      <c r="B14712" s="37"/>
    </row>
    <row r="14713" spans="2:2" ht="15.9" customHeight="1" x14ac:dyDescent="0.3">
      <c r="B14713" s="37"/>
    </row>
    <row r="14714" spans="2:2" ht="15.9" customHeight="1" x14ac:dyDescent="0.3">
      <c r="B14714" s="37"/>
    </row>
    <row r="14715" spans="2:2" ht="15.9" customHeight="1" x14ac:dyDescent="0.3">
      <c r="B14715" s="37"/>
    </row>
    <row r="14716" spans="2:2" ht="15.9" customHeight="1" x14ac:dyDescent="0.3">
      <c r="B14716" s="37"/>
    </row>
    <row r="14717" spans="2:2" ht="15.9" customHeight="1" x14ac:dyDescent="0.3">
      <c r="B14717" s="37"/>
    </row>
    <row r="14718" spans="2:2" ht="15.9" customHeight="1" x14ac:dyDescent="0.3">
      <c r="B14718" s="37"/>
    </row>
    <row r="14719" spans="2:2" ht="15.9" customHeight="1" x14ac:dyDescent="0.3">
      <c r="B14719" s="37"/>
    </row>
    <row r="14720" spans="2:2" ht="15.9" customHeight="1" x14ac:dyDescent="0.3">
      <c r="B14720" s="37"/>
    </row>
    <row r="14721" spans="2:2" ht="15.9" customHeight="1" x14ac:dyDescent="0.3">
      <c r="B14721" s="37"/>
    </row>
    <row r="14722" spans="2:2" ht="15.9" customHeight="1" x14ac:dyDescent="0.3">
      <c r="B14722" s="37"/>
    </row>
    <row r="14723" spans="2:2" ht="15.9" customHeight="1" x14ac:dyDescent="0.3">
      <c r="B14723" s="37"/>
    </row>
    <row r="14724" spans="2:2" ht="15.9" customHeight="1" x14ac:dyDescent="0.3">
      <c r="B14724" s="37"/>
    </row>
    <row r="14725" spans="2:2" ht="15.9" customHeight="1" x14ac:dyDescent="0.3">
      <c r="B14725" s="37"/>
    </row>
    <row r="14726" spans="2:2" ht="15.9" customHeight="1" x14ac:dyDescent="0.3">
      <c r="B14726" s="37"/>
    </row>
    <row r="14727" spans="2:2" ht="15.9" customHeight="1" x14ac:dyDescent="0.3">
      <c r="B14727" s="37"/>
    </row>
    <row r="14728" spans="2:2" ht="15.9" customHeight="1" x14ac:dyDescent="0.3">
      <c r="B14728" s="37"/>
    </row>
    <row r="14729" spans="2:2" ht="15.9" customHeight="1" x14ac:dyDescent="0.3">
      <c r="B14729" s="37"/>
    </row>
    <row r="14730" spans="2:2" ht="15.9" customHeight="1" x14ac:dyDescent="0.3">
      <c r="B14730" s="37"/>
    </row>
    <row r="14731" spans="2:2" ht="15.9" customHeight="1" x14ac:dyDescent="0.3">
      <c r="B14731" s="37"/>
    </row>
    <row r="14732" spans="2:2" ht="15.9" customHeight="1" x14ac:dyDescent="0.3">
      <c r="B14732" s="37"/>
    </row>
    <row r="14733" spans="2:2" ht="15.9" customHeight="1" x14ac:dyDescent="0.3">
      <c r="B14733" s="37"/>
    </row>
    <row r="14734" spans="2:2" ht="15.9" customHeight="1" x14ac:dyDescent="0.3">
      <c r="B14734" s="37"/>
    </row>
    <row r="14735" spans="2:2" ht="15.9" customHeight="1" x14ac:dyDescent="0.3">
      <c r="B14735" s="37"/>
    </row>
    <row r="14736" spans="2:2" ht="15.9" customHeight="1" x14ac:dyDescent="0.3">
      <c r="B14736" s="37"/>
    </row>
    <row r="14737" spans="2:2" ht="15.9" customHeight="1" x14ac:dyDescent="0.3">
      <c r="B14737" s="37"/>
    </row>
    <row r="14738" spans="2:2" ht="15.9" customHeight="1" x14ac:dyDescent="0.3">
      <c r="B14738" s="37"/>
    </row>
    <row r="14739" spans="2:2" ht="15.9" customHeight="1" x14ac:dyDescent="0.3">
      <c r="B14739" s="37"/>
    </row>
    <row r="14740" spans="2:2" ht="15.9" customHeight="1" x14ac:dyDescent="0.3">
      <c r="B14740" s="37"/>
    </row>
    <row r="14741" spans="2:2" ht="15.9" customHeight="1" x14ac:dyDescent="0.3">
      <c r="B14741" s="37"/>
    </row>
    <row r="14742" spans="2:2" ht="15.9" customHeight="1" x14ac:dyDescent="0.3">
      <c r="B14742" s="37"/>
    </row>
    <row r="14743" spans="2:2" ht="15.9" customHeight="1" x14ac:dyDescent="0.3">
      <c r="B14743" s="37"/>
    </row>
    <row r="14744" spans="2:2" ht="15.9" customHeight="1" x14ac:dyDescent="0.3">
      <c r="B14744" s="37"/>
    </row>
    <row r="14745" spans="2:2" ht="15.9" customHeight="1" x14ac:dyDescent="0.3">
      <c r="B14745" s="37"/>
    </row>
    <row r="14746" spans="2:2" ht="15.9" customHeight="1" x14ac:dyDescent="0.3">
      <c r="B14746" s="37"/>
    </row>
    <row r="14747" spans="2:2" ht="15.9" customHeight="1" x14ac:dyDescent="0.3">
      <c r="B14747" s="37"/>
    </row>
    <row r="14748" spans="2:2" ht="15.9" customHeight="1" x14ac:dyDescent="0.3">
      <c r="B14748" s="37"/>
    </row>
    <row r="14749" spans="2:2" ht="15.9" customHeight="1" x14ac:dyDescent="0.3">
      <c r="B14749" s="37"/>
    </row>
    <row r="14750" spans="2:2" ht="15.9" customHeight="1" x14ac:dyDescent="0.3">
      <c r="B14750" s="37"/>
    </row>
    <row r="14751" spans="2:2" ht="15.9" customHeight="1" x14ac:dyDescent="0.3">
      <c r="B14751" s="37"/>
    </row>
    <row r="14752" spans="2:2" ht="15.9" customHeight="1" x14ac:dyDescent="0.3">
      <c r="B14752" s="37"/>
    </row>
    <row r="14753" spans="2:2" ht="15.9" customHeight="1" x14ac:dyDescent="0.3">
      <c r="B14753" s="37"/>
    </row>
    <row r="14754" spans="2:2" ht="15.9" customHeight="1" x14ac:dyDescent="0.3">
      <c r="B14754" s="37"/>
    </row>
    <row r="14755" spans="2:2" ht="15.9" customHeight="1" x14ac:dyDescent="0.3">
      <c r="B14755" s="37"/>
    </row>
    <row r="14756" spans="2:2" ht="15.9" customHeight="1" x14ac:dyDescent="0.3">
      <c r="B14756" s="37"/>
    </row>
    <row r="14757" spans="2:2" ht="15.9" customHeight="1" x14ac:dyDescent="0.3">
      <c r="B14757" s="37"/>
    </row>
    <row r="14758" spans="2:2" ht="15.9" customHeight="1" x14ac:dyDescent="0.3">
      <c r="B14758" s="37"/>
    </row>
    <row r="14759" spans="2:2" ht="15.9" customHeight="1" x14ac:dyDescent="0.3">
      <c r="B14759" s="37"/>
    </row>
    <row r="14760" spans="2:2" ht="15.9" customHeight="1" x14ac:dyDescent="0.3">
      <c r="B14760" s="37"/>
    </row>
    <row r="14761" spans="2:2" ht="15.9" customHeight="1" x14ac:dyDescent="0.3">
      <c r="B14761" s="37"/>
    </row>
    <row r="14762" spans="2:2" ht="15.9" customHeight="1" x14ac:dyDescent="0.3">
      <c r="B14762" s="37"/>
    </row>
    <row r="14763" spans="2:2" ht="15.9" customHeight="1" x14ac:dyDescent="0.3">
      <c r="B14763" s="37"/>
    </row>
    <row r="14764" spans="2:2" ht="15.9" customHeight="1" x14ac:dyDescent="0.3">
      <c r="B14764" s="37"/>
    </row>
    <row r="14765" spans="2:2" ht="15.9" customHeight="1" x14ac:dyDescent="0.3">
      <c r="B14765" s="37"/>
    </row>
    <row r="14766" spans="2:2" ht="15.9" customHeight="1" x14ac:dyDescent="0.3">
      <c r="B14766" s="37"/>
    </row>
    <row r="14767" spans="2:2" ht="15.9" customHeight="1" x14ac:dyDescent="0.3">
      <c r="B14767" s="37"/>
    </row>
    <row r="14768" spans="2:2" ht="15.9" customHeight="1" x14ac:dyDescent="0.3">
      <c r="B14768" s="37"/>
    </row>
    <row r="14769" spans="2:2" ht="15.9" customHeight="1" x14ac:dyDescent="0.3">
      <c r="B14769" s="37"/>
    </row>
    <row r="14770" spans="2:2" ht="15.9" customHeight="1" x14ac:dyDescent="0.3">
      <c r="B14770" s="37"/>
    </row>
    <row r="14771" spans="2:2" ht="15.9" customHeight="1" x14ac:dyDescent="0.3">
      <c r="B14771" s="37"/>
    </row>
    <row r="14772" spans="2:2" ht="15.9" customHeight="1" x14ac:dyDescent="0.3">
      <c r="B14772" s="37"/>
    </row>
    <row r="14773" spans="2:2" ht="15.9" customHeight="1" x14ac:dyDescent="0.3">
      <c r="B14773" s="37"/>
    </row>
    <row r="14774" spans="2:2" ht="15.9" customHeight="1" x14ac:dyDescent="0.3">
      <c r="B14774" s="37"/>
    </row>
    <row r="14775" spans="2:2" ht="15.9" customHeight="1" x14ac:dyDescent="0.3">
      <c r="B14775" s="37"/>
    </row>
    <row r="14776" spans="2:2" ht="15.9" customHeight="1" x14ac:dyDescent="0.3">
      <c r="B14776" s="37"/>
    </row>
    <row r="14777" spans="2:2" ht="15.9" customHeight="1" x14ac:dyDescent="0.3">
      <c r="B14777" s="37"/>
    </row>
    <row r="14778" spans="2:2" ht="15.9" customHeight="1" x14ac:dyDescent="0.3">
      <c r="B14778" s="37"/>
    </row>
    <row r="14779" spans="2:2" ht="15.9" customHeight="1" x14ac:dyDescent="0.3">
      <c r="B14779" s="37"/>
    </row>
    <row r="14780" spans="2:2" ht="15.9" customHeight="1" x14ac:dyDescent="0.3">
      <c r="B14780" s="37"/>
    </row>
    <row r="14781" spans="2:2" ht="15.9" customHeight="1" x14ac:dyDescent="0.3">
      <c r="B14781" s="37"/>
    </row>
    <row r="14782" spans="2:2" ht="15.9" customHeight="1" x14ac:dyDescent="0.3">
      <c r="B14782" s="37"/>
    </row>
    <row r="14783" spans="2:2" ht="15.9" customHeight="1" x14ac:dyDescent="0.3">
      <c r="B14783" s="37"/>
    </row>
    <row r="14784" spans="2:2" ht="15.9" customHeight="1" x14ac:dyDescent="0.3">
      <c r="B14784" s="37"/>
    </row>
    <row r="14785" spans="2:2" ht="15.9" customHeight="1" x14ac:dyDescent="0.3">
      <c r="B14785" s="37"/>
    </row>
    <row r="14786" spans="2:2" ht="15.9" customHeight="1" x14ac:dyDescent="0.3">
      <c r="B14786" s="37"/>
    </row>
    <row r="14787" spans="2:2" ht="15.9" customHeight="1" x14ac:dyDescent="0.3">
      <c r="B14787" s="37"/>
    </row>
    <row r="14788" spans="2:2" ht="15.9" customHeight="1" x14ac:dyDescent="0.3">
      <c r="B14788" s="37"/>
    </row>
    <row r="14789" spans="2:2" ht="15.9" customHeight="1" x14ac:dyDescent="0.3">
      <c r="B14789" s="37"/>
    </row>
    <row r="14790" spans="2:2" ht="15.9" customHeight="1" x14ac:dyDescent="0.3">
      <c r="B14790" s="37"/>
    </row>
    <row r="14791" spans="2:2" ht="15.9" customHeight="1" x14ac:dyDescent="0.3">
      <c r="B14791" s="37"/>
    </row>
    <row r="14792" spans="2:2" ht="15.9" customHeight="1" x14ac:dyDescent="0.3">
      <c r="B14792" s="37"/>
    </row>
    <row r="14793" spans="2:2" ht="15.9" customHeight="1" x14ac:dyDescent="0.3">
      <c r="B14793" s="37"/>
    </row>
    <row r="14794" spans="2:2" ht="15.9" customHeight="1" x14ac:dyDescent="0.3">
      <c r="B14794" s="37"/>
    </row>
    <row r="14795" spans="2:2" ht="15.9" customHeight="1" x14ac:dyDescent="0.3">
      <c r="B14795" s="37"/>
    </row>
    <row r="14796" spans="2:2" ht="15.9" customHeight="1" x14ac:dyDescent="0.3">
      <c r="B14796" s="37"/>
    </row>
    <row r="14797" spans="2:2" ht="15.9" customHeight="1" x14ac:dyDescent="0.3">
      <c r="B14797" s="37"/>
    </row>
    <row r="14798" spans="2:2" ht="15.9" customHeight="1" x14ac:dyDescent="0.3">
      <c r="B14798" s="37"/>
    </row>
    <row r="14799" spans="2:2" ht="15.9" customHeight="1" x14ac:dyDescent="0.3">
      <c r="B14799" s="37"/>
    </row>
    <row r="14800" spans="2:2" ht="15.9" customHeight="1" x14ac:dyDescent="0.3">
      <c r="B14800" s="37"/>
    </row>
    <row r="14801" spans="2:2" ht="15.9" customHeight="1" x14ac:dyDescent="0.3">
      <c r="B14801" s="37"/>
    </row>
    <row r="14802" spans="2:2" ht="15.9" customHeight="1" x14ac:dyDescent="0.3">
      <c r="B14802" s="37"/>
    </row>
    <row r="14803" spans="2:2" ht="15.9" customHeight="1" x14ac:dyDescent="0.3">
      <c r="B14803" s="37"/>
    </row>
    <row r="14804" spans="2:2" ht="15.9" customHeight="1" x14ac:dyDescent="0.3">
      <c r="B14804" s="37"/>
    </row>
    <row r="14805" spans="2:2" ht="15.9" customHeight="1" x14ac:dyDescent="0.3">
      <c r="B14805" s="37"/>
    </row>
    <row r="14806" spans="2:2" ht="15.9" customHeight="1" x14ac:dyDescent="0.3">
      <c r="B14806" s="37"/>
    </row>
    <row r="14807" spans="2:2" ht="15.9" customHeight="1" x14ac:dyDescent="0.3">
      <c r="B14807" s="37"/>
    </row>
    <row r="14808" spans="2:2" ht="15.9" customHeight="1" x14ac:dyDescent="0.3">
      <c r="B14808" s="37"/>
    </row>
    <row r="14809" spans="2:2" ht="15.9" customHeight="1" x14ac:dyDescent="0.3">
      <c r="B14809" s="37"/>
    </row>
    <row r="14810" spans="2:2" ht="15.9" customHeight="1" x14ac:dyDescent="0.3">
      <c r="B14810" s="37"/>
    </row>
    <row r="14811" spans="2:2" ht="15.9" customHeight="1" x14ac:dyDescent="0.3">
      <c r="B14811" s="37"/>
    </row>
    <row r="14812" spans="2:2" ht="15.9" customHeight="1" x14ac:dyDescent="0.3">
      <c r="B14812" s="37"/>
    </row>
    <row r="14813" spans="2:2" ht="15.9" customHeight="1" x14ac:dyDescent="0.3">
      <c r="B14813" s="37"/>
    </row>
    <row r="14814" spans="2:2" ht="15.9" customHeight="1" x14ac:dyDescent="0.3">
      <c r="B14814" s="37"/>
    </row>
    <row r="14815" spans="2:2" ht="15.9" customHeight="1" x14ac:dyDescent="0.3">
      <c r="B14815" s="37"/>
    </row>
    <row r="14816" spans="2:2" ht="15.9" customHeight="1" x14ac:dyDescent="0.3">
      <c r="B14816" s="37"/>
    </row>
    <row r="14817" spans="2:2" ht="15.9" customHeight="1" x14ac:dyDescent="0.3">
      <c r="B14817" s="37"/>
    </row>
    <row r="14818" spans="2:2" ht="15.9" customHeight="1" x14ac:dyDescent="0.3">
      <c r="B14818" s="37"/>
    </row>
    <row r="14819" spans="2:2" ht="15.9" customHeight="1" x14ac:dyDescent="0.3">
      <c r="B14819" s="37"/>
    </row>
    <row r="14820" spans="2:2" ht="15.9" customHeight="1" x14ac:dyDescent="0.3">
      <c r="B14820" s="37"/>
    </row>
    <row r="14821" spans="2:2" ht="15.9" customHeight="1" x14ac:dyDescent="0.3">
      <c r="B14821" s="37"/>
    </row>
    <row r="14822" spans="2:2" ht="15.9" customHeight="1" x14ac:dyDescent="0.3">
      <c r="B14822" s="37"/>
    </row>
    <row r="14823" spans="2:2" ht="15.9" customHeight="1" x14ac:dyDescent="0.3">
      <c r="B14823" s="37"/>
    </row>
    <row r="14824" spans="2:2" ht="15.9" customHeight="1" x14ac:dyDescent="0.3">
      <c r="B14824" s="37"/>
    </row>
    <row r="14825" spans="2:2" ht="15.9" customHeight="1" x14ac:dyDescent="0.3">
      <c r="B14825" s="37"/>
    </row>
    <row r="14826" spans="2:2" ht="15.9" customHeight="1" x14ac:dyDescent="0.3">
      <c r="B14826" s="37"/>
    </row>
    <row r="14827" spans="2:2" ht="15.9" customHeight="1" x14ac:dyDescent="0.3">
      <c r="B14827" s="37"/>
    </row>
    <row r="14828" spans="2:2" ht="15.9" customHeight="1" x14ac:dyDescent="0.3">
      <c r="B14828" s="37"/>
    </row>
    <row r="14829" spans="2:2" ht="15.9" customHeight="1" x14ac:dyDescent="0.3">
      <c r="B14829" s="37"/>
    </row>
    <row r="14830" spans="2:2" ht="15.9" customHeight="1" x14ac:dyDescent="0.3">
      <c r="B14830" s="37"/>
    </row>
    <row r="14831" spans="2:2" ht="15.9" customHeight="1" x14ac:dyDescent="0.3">
      <c r="B14831" s="37"/>
    </row>
    <row r="14832" spans="2:2" ht="15.9" customHeight="1" x14ac:dyDescent="0.3">
      <c r="B14832" s="37"/>
    </row>
    <row r="14833" spans="2:2" ht="15.9" customHeight="1" x14ac:dyDescent="0.3">
      <c r="B14833" s="37"/>
    </row>
    <row r="14834" spans="2:2" ht="15.9" customHeight="1" x14ac:dyDescent="0.3">
      <c r="B14834" s="37"/>
    </row>
    <row r="14835" spans="2:2" ht="15.9" customHeight="1" x14ac:dyDescent="0.3">
      <c r="B14835" s="37"/>
    </row>
    <row r="14836" spans="2:2" ht="15.9" customHeight="1" x14ac:dyDescent="0.3">
      <c r="B14836" s="37"/>
    </row>
    <row r="14837" spans="2:2" ht="15.9" customHeight="1" x14ac:dyDescent="0.3">
      <c r="B14837" s="37"/>
    </row>
    <row r="14838" spans="2:2" ht="15.9" customHeight="1" x14ac:dyDescent="0.3">
      <c r="B14838" s="37"/>
    </row>
    <row r="14839" spans="2:2" ht="15.9" customHeight="1" x14ac:dyDescent="0.3">
      <c r="B14839" s="37"/>
    </row>
    <row r="14840" spans="2:2" ht="15.9" customHeight="1" x14ac:dyDescent="0.3">
      <c r="B14840" s="37"/>
    </row>
    <row r="14841" spans="2:2" ht="15.9" customHeight="1" x14ac:dyDescent="0.3">
      <c r="B14841" s="37"/>
    </row>
    <row r="14842" spans="2:2" ht="15.9" customHeight="1" x14ac:dyDescent="0.3">
      <c r="B14842" s="37"/>
    </row>
    <row r="14843" spans="2:2" ht="15.9" customHeight="1" x14ac:dyDescent="0.3">
      <c r="B14843" s="37"/>
    </row>
    <row r="14844" spans="2:2" ht="15.9" customHeight="1" x14ac:dyDescent="0.3">
      <c r="B14844" s="37"/>
    </row>
    <row r="14845" spans="2:2" ht="15.9" customHeight="1" x14ac:dyDescent="0.3">
      <c r="B14845" s="37"/>
    </row>
    <row r="14846" spans="2:2" ht="15.9" customHeight="1" x14ac:dyDescent="0.3">
      <c r="B14846" s="37"/>
    </row>
    <row r="14847" spans="2:2" ht="15.9" customHeight="1" x14ac:dyDescent="0.3">
      <c r="B14847" s="37"/>
    </row>
    <row r="14848" spans="2:2" ht="15.9" customHeight="1" x14ac:dyDescent="0.3">
      <c r="B14848" s="37"/>
    </row>
    <row r="14849" spans="2:2" ht="15.9" customHeight="1" x14ac:dyDescent="0.3">
      <c r="B14849" s="37"/>
    </row>
    <row r="14850" spans="2:2" ht="15.9" customHeight="1" x14ac:dyDescent="0.3">
      <c r="B14850" s="37"/>
    </row>
    <row r="14851" spans="2:2" ht="15.9" customHeight="1" x14ac:dyDescent="0.3">
      <c r="B14851" s="37"/>
    </row>
    <row r="14852" spans="2:2" ht="15.9" customHeight="1" x14ac:dyDescent="0.3">
      <c r="B14852" s="37"/>
    </row>
    <row r="14853" spans="2:2" ht="15.9" customHeight="1" x14ac:dyDescent="0.3">
      <c r="B14853" s="37"/>
    </row>
    <row r="14854" spans="2:2" ht="15.9" customHeight="1" x14ac:dyDescent="0.3">
      <c r="B14854" s="37"/>
    </row>
    <row r="14855" spans="2:2" ht="15.9" customHeight="1" x14ac:dyDescent="0.3">
      <c r="B14855" s="37"/>
    </row>
    <row r="14856" spans="2:2" ht="15.9" customHeight="1" x14ac:dyDescent="0.3">
      <c r="B14856" s="37"/>
    </row>
    <row r="14857" spans="2:2" ht="15.9" customHeight="1" x14ac:dyDescent="0.3">
      <c r="B14857" s="37"/>
    </row>
    <row r="14858" spans="2:2" ht="15.9" customHeight="1" x14ac:dyDescent="0.3">
      <c r="B14858" s="37"/>
    </row>
    <row r="14859" spans="2:2" ht="15.9" customHeight="1" x14ac:dyDescent="0.3">
      <c r="B14859" s="37"/>
    </row>
    <row r="14860" spans="2:2" ht="15.9" customHeight="1" x14ac:dyDescent="0.3">
      <c r="B14860" s="37"/>
    </row>
    <row r="14861" spans="2:2" ht="15.9" customHeight="1" x14ac:dyDescent="0.3">
      <c r="B14861" s="37"/>
    </row>
    <row r="14862" spans="2:2" ht="15.9" customHeight="1" x14ac:dyDescent="0.3">
      <c r="B14862" s="37"/>
    </row>
    <row r="14863" spans="2:2" ht="15.9" customHeight="1" x14ac:dyDescent="0.3">
      <c r="B14863" s="37"/>
    </row>
    <row r="14864" spans="2:2" ht="15.9" customHeight="1" x14ac:dyDescent="0.3">
      <c r="B14864" s="37"/>
    </row>
    <row r="14865" spans="2:2" ht="15.9" customHeight="1" x14ac:dyDescent="0.3">
      <c r="B14865" s="37"/>
    </row>
    <row r="14866" spans="2:2" ht="15.9" customHeight="1" x14ac:dyDescent="0.3">
      <c r="B14866" s="37"/>
    </row>
    <row r="14867" spans="2:2" ht="15.9" customHeight="1" x14ac:dyDescent="0.3">
      <c r="B14867" s="37"/>
    </row>
    <row r="14868" spans="2:2" ht="15.9" customHeight="1" x14ac:dyDescent="0.3">
      <c r="B14868" s="37"/>
    </row>
    <row r="14869" spans="2:2" ht="15.9" customHeight="1" x14ac:dyDescent="0.3">
      <c r="B14869" s="37"/>
    </row>
    <row r="14870" spans="2:2" ht="15.9" customHeight="1" x14ac:dyDescent="0.3">
      <c r="B14870" s="37"/>
    </row>
    <row r="14871" spans="2:2" ht="15.9" customHeight="1" x14ac:dyDescent="0.3">
      <c r="B14871" s="37"/>
    </row>
    <row r="14872" spans="2:2" ht="15.9" customHeight="1" x14ac:dyDescent="0.3">
      <c r="B14872" s="37"/>
    </row>
    <row r="14873" spans="2:2" ht="15.9" customHeight="1" x14ac:dyDescent="0.3">
      <c r="B14873" s="37"/>
    </row>
    <row r="14874" spans="2:2" ht="15.9" customHeight="1" x14ac:dyDescent="0.3">
      <c r="B14874" s="37"/>
    </row>
    <row r="14875" spans="2:2" ht="15.9" customHeight="1" x14ac:dyDescent="0.3">
      <c r="B14875" s="37"/>
    </row>
    <row r="14876" spans="2:2" ht="15.9" customHeight="1" x14ac:dyDescent="0.3">
      <c r="B14876" s="37"/>
    </row>
    <row r="14877" spans="2:2" ht="15.9" customHeight="1" x14ac:dyDescent="0.3">
      <c r="B14877" s="37"/>
    </row>
    <row r="14878" spans="2:2" ht="15.9" customHeight="1" x14ac:dyDescent="0.3">
      <c r="B14878" s="37"/>
    </row>
    <row r="14879" spans="2:2" ht="15.9" customHeight="1" x14ac:dyDescent="0.3">
      <c r="B14879" s="37"/>
    </row>
    <row r="14880" spans="2:2" ht="15.9" customHeight="1" x14ac:dyDescent="0.3">
      <c r="B14880" s="37"/>
    </row>
    <row r="14881" spans="2:2" ht="15.9" customHeight="1" x14ac:dyDescent="0.3">
      <c r="B14881" s="37"/>
    </row>
    <row r="14882" spans="2:2" ht="15.9" customHeight="1" x14ac:dyDescent="0.3">
      <c r="B14882" s="37"/>
    </row>
    <row r="14883" spans="2:2" ht="15.9" customHeight="1" x14ac:dyDescent="0.3">
      <c r="B14883" s="37"/>
    </row>
    <row r="14884" spans="2:2" ht="15.9" customHeight="1" x14ac:dyDescent="0.3">
      <c r="B14884" s="37"/>
    </row>
    <row r="14885" spans="2:2" ht="15.9" customHeight="1" x14ac:dyDescent="0.3">
      <c r="B14885" s="37"/>
    </row>
    <row r="14886" spans="2:2" ht="15.9" customHeight="1" x14ac:dyDescent="0.3">
      <c r="B14886" s="37"/>
    </row>
    <row r="14887" spans="2:2" ht="15.9" customHeight="1" x14ac:dyDescent="0.3">
      <c r="B14887" s="37"/>
    </row>
    <row r="14888" spans="2:2" ht="15.9" customHeight="1" x14ac:dyDescent="0.3">
      <c r="B14888" s="37"/>
    </row>
    <row r="14889" spans="2:2" ht="15.9" customHeight="1" x14ac:dyDescent="0.3">
      <c r="B14889" s="37"/>
    </row>
    <row r="14890" spans="2:2" ht="15.9" customHeight="1" x14ac:dyDescent="0.3">
      <c r="B14890" s="37"/>
    </row>
    <row r="14891" spans="2:2" ht="15.9" customHeight="1" x14ac:dyDescent="0.3">
      <c r="B14891" s="37"/>
    </row>
    <row r="14892" spans="2:2" ht="15.9" customHeight="1" x14ac:dyDescent="0.3">
      <c r="B14892" s="37"/>
    </row>
    <row r="14893" spans="2:2" ht="15.9" customHeight="1" x14ac:dyDescent="0.3">
      <c r="B14893" s="37"/>
    </row>
    <row r="14894" spans="2:2" ht="15.9" customHeight="1" x14ac:dyDescent="0.3">
      <c r="B14894" s="37"/>
    </row>
    <row r="14895" spans="2:2" ht="15.9" customHeight="1" x14ac:dyDescent="0.3">
      <c r="B14895" s="37"/>
    </row>
    <row r="14896" spans="2:2" ht="15.9" customHeight="1" x14ac:dyDescent="0.3">
      <c r="B14896" s="37"/>
    </row>
    <row r="14897" spans="2:2" ht="15.9" customHeight="1" x14ac:dyDescent="0.3">
      <c r="B14897" s="37"/>
    </row>
    <row r="14898" spans="2:2" ht="15.9" customHeight="1" x14ac:dyDescent="0.3">
      <c r="B14898" s="37"/>
    </row>
    <row r="14899" spans="2:2" ht="15.9" customHeight="1" x14ac:dyDescent="0.3">
      <c r="B14899" s="37"/>
    </row>
    <row r="14900" spans="2:2" ht="15.9" customHeight="1" x14ac:dyDescent="0.3">
      <c r="B14900" s="37"/>
    </row>
    <row r="14901" spans="2:2" ht="15.9" customHeight="1" x14ac:dyDescent="0.3">
      <c r="B14901" s="37"/>
    </row>
    <row r="14902" spans="2:2" ht="15.9" customHeight="1" x14ac:dyDescent="0.3">
      <c r="B14902" s="37"/>
    </row>
    <row r="14903" spans="2:2" ht="15.9" customHeight="1" x14ac:dyDescent="0.3">
      <c r="B14903" s="37"/>
    </row>
    <row r="14904" spans="2:2" ht="15.9" customHeight="1" x14ac:dyDescent="0.3">
      <c r="B14904" s="37"/>
    </row>
    <row r="14905" spans="2:2" ht="15.9" customHeight="1" x14ac:dyDescent="0.3">
      <c r="B14905" s="37"/>
    </row>
    <row r="14906" spans="2:2" ht="15.9" customHeight="1" x14ac:dyDescent="0.3">
      <c r="B14906" s="37"/>
    </row>
    <row r="14907" spans="2:2" ht="15.9" customHeight="1" x14ac:dyDescent="0.3">
      <c r="B14907" s="37"/>
    </row>
    <row r="14908" spans="2:2" ht="15.9" customHeight="1" x14ac:dyDescent="0.3">
      <c r="B14908" s="37"/>
    </row>
    <row r="14909" spans="2:2" ht="15.9" customHeight="1" x14ac:dyDescent="0.3">
      <c r="B14909" s="37"/>
    </row>
    <row r="14910" spans="2:2" ht="15.9" customHeight="1" x14ac:dyDescent="0.3">
      <c r="B14910" s="37"/>
    </row>
    <row r="14911" spans="2:2" ht="15.9" customHeight="1" x14ac:dyDescent="0.3">
      <c r="B14911" s="37"/>
    </row>
    <row r="14912" spans="2:2" ht="15.9" customHeight="1" x14ac:dyDescent="0.3">
      <c r="B14912" s="37"/>
    </row>
    <row r="14913" spans="2:2" ht="15.9" customHeight="1" x14ac:dyDescent="0.3">
      <c r="B14913" s="37"/>
    </row>
    <row r="14914" spans="2:2" ht="15.9" customHeight="1" x14ac:dyDescent="0.3">
      <c r="B14914" s="37"/>
    </row>
    <row r="14915" spans="2:2" ht="15.9" customHeight="1" x14ac:dyDescent="0.3">
      <c r="B14915" s="37"/>
    </row>
    <row r="14916" spans="2:2" ht="15.9" customHeight="1" x14ac:dyDescent="0.3">
      <c r="B14916" s="37"/>
    </row>
    <row r="14917" spans="2:2" ht="15.9" customHeight="1" x14ac:dyDescent="0.3">
      <c r="B14917" s="37"/>
    </row>
    <row r="14918" spans="2:2" ht="15.9" customHeight="1" x14ac:dyDescent="0.3">
      <c r="B14918" s="37"/>
    </row>
    <row r="14919" spans="2:2" ht="15.9" customHeight="1" x14ac:dyDescent="0.3">
      <c r="B14919" s="37"/>
    </row>
    <row r="14920" spans="2:2" ht="15.9" customHeight="1" x14ac:dyDescent="0.3">
      <c r="B14920" s="37"/>
    </row>
    <row r="14921" spans="2:2" ht="15.9" customHeight="1" x14ac:dyDescent="0.3">
      <c r="B14921" s="37"/>
    </row>
    <row r="14922" spans="2:2" ht="15.9" customHeight="1" x14ac:dyDescent="0.3">
      <c r="B14922" s="37"/>
    </row>
    <row r="14923" spans="2:2" ht="15.9" customHeight="1" x14ac:dyDescent="0.3">
      <c r="B14923" s="37"/>
    </row>
    <row r="14924" spans="2:2" ht="15.9" customHeight="1" x14ac:dyDescent="0.3">
      <c r="B14924" s="37"/>
    </row>
    <row r="14925" spans="2:2" ht="15.9" customHeight="1" x14ac:dyDescent="0.3">
      <c r="B14925" s="37"/>
    </row>
    <row r="14926" spans="2:2" ht="15.9" customHeight="1" x14ac:dyDescent="0.3">
      <c r="B14926" s="37"/>
    </row>
    <row r="14927" spans="2:2" ht="15.9" customHeight="1" x14ac:dyDescent="0.3">
      <c r="B14927" s="37"/>
    </row>
    <row r="14928" spans="2:2" ht="15.9" customHeight="1" x14ac:dyDescent="0.3">
      <c r="B14928" s="37"/>
    </row>
    <row r="14929" spans="2:2" ht="15.9" customHeight="1" x14ac:dyDescent="0.3">
      <c r="B14929" s="37"/>
    </row>
    <row r="14930" spans="2:2" ht="15.9" customHeight="1" x14ac:dyDescent="0.3">
      <c r="B14930" s="37"/>
    </row>
    <row r="14931" spans="2:2" ht="15.9" customHeight="1" x14ac:dyDescent="0.3">
      <c r="B14931" s="37"/>
    </row>
    <row r="14932" spans="2:2" ht="15.9" customHeight="1" x14ac:dyDescent="0.3">
      <c r="B14932" s="37"/>
    </row>
    <row r="14933" spans="2:2" ht="15.9" customHeight="1" x14ac:dyDescent="0.3">
      <c r="B14933" s="37"/>
    </row>
    <row r="14934" spans="2:2" ht="15.9" customHeight="1" x14ac:dyDescent="0.3">
      <c r="B14934" s="37"/>
    </row>
    <row r="14935" spans="2:2" ht="15.9" customHeight="1" x14ac:dyDescent="0.3">
      <c r="B14935" s="37"/>
    </row>
    <row r="14936" spans="2:2" ht="15.9" customHeight="1" x14ac:dyDescent="0.3">
      <c r="B14936" s="37"/>
    </row>
    <row r="14937" spans="2:2" ht="15.9" customHeight="1" x14ac:dyDescent="0.3">
      <c r="B14937" s="37"/>
    </row>
    <row r="14938" spans="2:2" ht="15.9" customHeight="1" x14ac:dyDescent="0.3">
      <c r="B14938" s="37"/>
    </row>
    <row r="14939" spans="2:2" ht="15.9" customHeight="1" x14ac:dyDescent="0.3">
      <c r="B14939" s="37"/>
    </row>
    <row r="14940" spans="2:2" ht="15.9" customHeight="1" x14ac:dyDescent="0.3">
      <c r="B14940" s="37"/>
    </row>
    <row r="14941" spans="2:2" ht="15.9" customHeight="1" x14ac:dyDescent="0.3">
      <c r="B14941" s="37"/>
    </row>
    <row r="14942" spans="2:2" ht="15.9" customHeight="1" x14ac:dyDescent="0.3">
      <c r="B14942" s="37"/>
    </row>
    <row r="14943" spans="2:2" ht="15.9" customHeight="1" x14ac:dyDescent="0.3">
      <c r="B14943" s="37"/>
    </row>
    <row r="14944" spans="2:2" ht="15.9" customHeight="1" x14ac:dyDescent="0.3">
      <c r="B14944" s="37"/>
    </row>
    <row r="14945" spans="2:2" ht="15.9" customHeight="1" x14ac:dyDescent="0.3">
      <c r="B14945" s="37"/>
    </row>
    <row r="14946" spans="2:2" ht="15.9" customHeight="1" x14ac:dyDescent="0.3">
      <c r="B14946" s="37"/>
    </row>
    <row r="14947" spans="2:2" ht="15.9" customHeight="1" x14ac:dyDescent="0.3">
      <c r="B14947" s="37"/>
    </row>
    <row r="14948" spans="2:2" ht="15.9" customHeight="1" x14ac:dyDescent="0.3">
      <c r="B14948" s="37"/>
    </row>
    <row r="14949" spans="2:2" ht="15.9" customHeight="1" x14ac:dyDescent="0.3">
      <c r="B14949" s="37"/>
    </row>
    <row r="14950" spans="2:2" ht="15.9" customHeight="1" x14ac:dyDescent="0.3">
      <c r="B14950" s="37"/>
    </row>
    <row r="14951" spans="2:2" ht="15.9" customHeight="1" x14ac:dyDescent="0.3">
      <c r="B14951" s="37"/>
    </row>
    <row r="14952" spans="2:2" ht="15.9" customHeight="1" x14ac:dyDescent="0.3">
      <c r="B14952" s="37"/>
    </row>
    <row r="14953" spans="2:2" ht="15.9" customHeight="1" x14ac:dyDescent="0.3">
      <c r="B14953" s="37"/>
    </row>
    <row r="14954" spans="2:2" ht="15.9" customHeight="1" x14ac:dyDescent="0.3">
      <c r="B14954" s="37"/>
    </row>
    <row r="14955" spans="2:2" ht="15.9" customHeight="1" x14ac:dyDescent="0.3">
      <c r="B14955" s="37"/>
    </row>
    <row r="14956" spans="2:2" ht="15.9" customHeight="1" x14ac:dyDescent="0.3">
      <c r="B14956" s="37"/>
    </row>
    <row r="14957" spans="2:2" ht="15.9" customHeight="1" x14ac:dyDescent="0.3">
      <c r="B14957" s="37"/>
    </row>
    <row r="14958" spans="2:2" ht="15.9" customHeight="1" x14ac:dyDescent="0.3">
      <c r="B14958" s="37"/>
    </row>
    <row r="14959" spans="2:2" ht="15.9" customHeight="1" x14ac:dyDescent="0.3">
      <c r="B14959" s="37"/>
    </row>
    <row r="14960" spans="2:2" ht="15.9" customHeight="1" x14ac:dyDescent="0.3">
      <c r="B14960" s="37"/>
    </row>
    <row r="14961" spans="2:2" ht="15.9" customHeight="1" x14ac:dyDescent="0.3">
      <c r="B14961" s="37"/>
    </row>
    <row r="14962" spans="2:2" ht="15.9" customHeight="1" x14ac:dyDescent="0.3">
      <c r="B14962" s="37"/>
    </row>
    <row r="14963" spans="2:2" ht="15.9" customHeight="1" x14ac:dyDescent="0.3">
      <c r="B14963" s="37"/>
    </row>
    <row r="14964" spans="2:2" ht="15.9" customHeight="1" x14ac:dyDescent="0.3">
      <c r="B14964" s="37"/>
    </row>
    <row r="14965" spans="2:2" ht="15.9" customHeight="1" x14ac:dyDescent="0.3">
      <c r="B14965" s="37"/>
    </row>
    <row r="14966" spans="2:2" ht="15.9" customHeight="1" x14ac:dyDescent="0.3">
      <c r="B14966" s="37"/>
    </row>
    <row r="14967" spans="2:2" ht="15.9" customHeight="1" x14ac:dyDescent="0.3">
      <c r="B14967" s="37"/>
    </row>
    <row r="14968" spans="2:2" ht="15.9" customHeight="1" x14ac:dyDescent="0.3">
      <c r="B14968" s="37"/>
    </row>
    <row r="14969" spans="2:2" ht="15.9" customHeight="1" x14ac:dyDescent="0.3">
      <c r="B14969" s="37"/>
    </row>
    <row r="14970" spans="2:2" ht="15.9" customHeight="1" x14ac:dyDescent="0.3">
      <c r="B14970" s="37"/>
    </row>
    <row r="14971" spans="2:2" ht="15.9" customHeight="1" x14ac:dyDescent="0.3">
      <c r="B14971" s="37"/>
    </row>
    <row r="14972" spans="2:2" ht="15.9" customHeight="1" x14ac:dyDescent="0.3">
      <c r="B14972" s="37"/>
    </row>
    <row r="14973" spans="2:2" ht="15.9" customHeight="1" x14ac:dyDescent="0.3">
      <c r="B14973" s="37"/>
    </row>
    <row r="14974" spans="2:2" ht="15.9" customHeight="1" x14ac:dyDescent="0.3">
      <c r="B14974" s="37"/>
    </row>
    <row r="14975" spans="2:2" ht="15.9" customHeight="1" x14ac:dyDescent="0.3">
      <c r="B14975" s="37"/>
    </row>
    <row r="14976" spans="2:2" ht="15.9" customHeight="1" x14ac:dyDescent="0.3">
      <c r="B14976" s="37"/>
    </row>
    <row r="14977" spans="2:2" ht="15.9" customHeight="1" x14ac:dyDescent="0.3">
      <c r="B14977" s="37"/>
    </row>
    <row r="14978" spans="2:2" ht="15.9" customHeight="1" x14ac:dyDescent="0.3">
      <c r="B14978" s="37"/>
    </row>
    <row r="14979" spans="2:2" ht="15.9" customHeight="1" x14ac:dyDescent="0.3">
      <c r="B14979" s="37"/>
    </row>
    <row r="14980" spans="2:2" ht="15.9" customHeight="1" x14ac:dyDescent="0.3">
      <c r="B14980" s="37"/>
    </row>
    <row r="14981" spans="2:2" ht="15.9" customHeight="1" x14ac:dyDescent="0.3">
      <c r="B14981" s="37"/>
    </row>
    <row r="14982" spans="2:2" ht="15.9" customHeight="1" x14ac:dyDescent="0.3">
      <c r="B14982" s="37"/>
    </row>
    <row r="14983" spans="2:2" ht="15.9" customHeight="1" x14ac:dyDescent="0.3">
      <c r="B14983" s="37"/>
    </row>
    <row r="14984" spans="2:2" ht="15.9" customHeight="1" x14ac:dyDescent="0.3">
      <c r="B14984" s="37"/>
    </row>
    <row r="14985" spans="2:2" ht="15.9" customHeight="1" x14ac:dyDescent="0.3">
      <c r="B14985" s="37"/>
    </row>
    <row r="14986" spans="2:2" ht="15.9" customHeight="1" x14ac:dyDescent="0.3">
      <c r="B14986" s="37"/>
    </row>
    <row r="14987" spans="2:2" ht="15.9" customHeight="1" x14ac:dyDescent="0.3">
      <c r="B14987" s="37"/>
    </row>
    <row r="14988" spans="2:2" ht="15.9" customHeight="1" x14ac:dyDescent="0.3">
      <c r="B14988" s="37"/>
    </row>
    <row r="14989" spans="2:2" ht="15.9" customHeight="1" x14ac:dyDescent="0.3">
      <c r="B14989" s="37"/>
    </row>
    <row r="14990" spans="2:2" ht="15.9" customHeight="1" x14ac:dyDescent="0.3">
      <c r="B14990" s="37"/>
    </row>
    <row r="14991" spans="2:2" ht="15.9" customHeight="1" x14ac:dyDescent="0.3">
      <c r="B14991" s="37"/>
    </row>
    <row r="14992" spans="2:2" ht="15.9" customHeight="1" x14ac:dyDescent="0.3">
      <c r="B14992" s="37"/>
    </row>
    <row r="14993" spans="2:2" ht="15.9" customHeight="1" x14ac:dyDescent="0.3">
      <c r="B14993" s="37"/>
    </row>
    <row r="14994" spans="2:2" ht="15.9" customHeight="1" x14ac:dyDescent="0.3">
      <c r="B14994" s="37"/>
    </row>
    <row r="14995" spans="2:2" ht="15.9" customHeight="1" x14ac:dyDescent="0.3">
      <c r="B14995" s="37"/>
    </row>
    <row r="14996" spans="2:2" ht="15.9" customHeight="1" x14ac:dyDescent="0.3">
      <c r="B14996" s="37"/>
    </row>
    <row r="14997" spans="2:2" ht="15.9" customHeight="1" x14ac:dyDescent="0.3">
      <c r="B14997" s="37"/>
    </row>
    <row r="14998" spans="2:2" ht="15.9" customHeight="1" x14ac:dyDescent="0.3">
      <c r="B14998" s="37"/>
    </row>
    <row r="14999" spans="2:2" ht="15.9" customHeight="1" x14ac:dyDescent="0.3">
      <c r="B14999" s="37"/>
    </row>
    <row r="15000" spans="2:2" ht="15.9" customHeight="1" x14ac:dyDescent="0.3">
      <c r="B15000" s="37"/>
    </row>
    <row r="15001" spans="2:2" ht="15.9" customHeight="1" x14ac:dyDescent="0.3">
      <c r="B15001" s="37"/>
    </row>
    <row r="15002" spans="2:2" ht="15.9" customHeight="1" x14ac:dyDescent="0.3">
      <c r="B15002" s="37"/>
    </row>
    <row r="15003" spans="2:2" ht="15.9" customHeight="1" x14ac:dyDescent="0.3">
      <c r="B15003" s="37"/>
    </row>
    <row r="15004" spans="2:2" ht="15.9" customHeight="1" x14ac:dyDescent="0.3">
      <c r="B15004" s="37"/>
    </row>
    <row r="15005" spans="2:2" ht="15.9" customHeight="1" x14ac:dyDescent="0.3">
      <c r="B15005" s="37"/>
    </row>
    <row r="15006" spans="2:2" ht="15.9" customHeight="1" x14ac:dyDescent="0.3">
      <c r="B15006" s="37"/>
    </row>
    <row r="15007" spans="2:2" ht="15.9" customHeight="1" x14ac:dyDescent="0.3">
      <c r="B15007" s="37"/>
    </row>
    <row r="15008" spans="2:2" ht="15.9" customHeight="1" x14ac:dyDescent="0.3">
      <c r="B15008" s="37"/>
    </row>
    <row r="15009" spans="2:2" ht="15.9" customHeight="1" x14ac:dyDescent="0.3">
      <c r="B15009" s="37"/>
    </row>
    <row r="15010" spans="2:2" ht="15.9" customHeight="1" x14ac:dyDescent="0.3">
      <c r="B15010" s="37"/>
    </row>
    <row r="15011" spans="2:2" ht="15.9" customHeight="1" x14ac:dyDescent="0.3">
      <c r="B15011" s="37"/>
    </row>
    <row r="15012" spans="2:2" ht="15.9" customHeight="1" x14ac:dyDescent="0.3">
      <c r="B15012" s="37"/>
    </row>
    <row r="15013" spans="2:2" ht="15.9" customHeight="1" x14ac:dyDescent="0.3">
      <c r="B15013" s="37"/>
    </row>
    <row r="15014" spans="2:2" ht="15.9" customHeight="1" x14ac:dyDescent="0.3">
      <c r="B15014" s="37"/>
    </row>
    <row r="15015" spans="2:2" ht="15.9" customHeight="1" x14ac:dyDescent="0.3">
      <c r="B15015" s="37"/>
    </row>
    <row r="15016" spans="2:2" ht="15.9" customHeight="1" x14ac:dyDescent="0.3">
      <c r="B15016" s="37"/>
    </row>
    <row r="15017" spans="2:2" ht="15.9" customHeight="1" x14ac:dyDescent="0.3">
      <c r="B15017" s="37"/>
    </row>
    <row r="15018" spans="2:2" ht="15.9" customHeight="1" x14ac:dyDescent="0.3">
      <c r="B15018" s="37"/>
    </row>
    <row r="15019" spans="2:2" ht="15.9" customHeight="1" x14ac:dyDescent="0.3">
      <c r="B15019" s="37"/>
    </row>
    <row r="15020" spans="2:2" ht="15.9" customHeight="1" x14ac:dyDescent="0.3">
      <c r="B15020" s="37"/>
    </row>
    <row r="15021" spans="2:2" ht="15.9" customHeight="1" x14ac:dyDescent="0.3">
      <c r="B15021" s="37"/>
    </row>
    <row r="15022" spans="2:2" ht="15.9" customHeight="1" x14ac:dyDescent="0.3">
      <c r="B15022" s="37"/>
    </row>
    <row r="15023" spans="2:2" ht="15.9" customHeight="1" x14ac:dyDescent="0.3">
      <c r="B15023" s="37"/>
    </row>
    <row r="15024" spans="2:2" ht="15.9" customHeight="1" x14ac:dyDescent="0.3">
      <c r="B15024" s="37"/>
    </row>
    <row r="15025" spans="2:2" ht="15.9" customHeight="1" x14ac:dyDescent="0.3">
      <c r="B15025" s="37"/>
    </row>
    <row r="15026" spans="2:2" ht="15.9" customHeight="1" x14ac:dyDescent="0.3">
      <c r="B15026" s="37"/>
    </row>
    <row r="15027" spans="2:2" ht="15.9" customHeight="1" x14ac:dyDescent="0.3">
      <c r="B15027" s="37"/>
    </row>
    <row r="15028" spans="2:2" ht="15.9" customHeight="1" x14ac:dyDescent="0.3">
      <c r="B15028" s="37"/>
    </row>
    <row r="15029" spans="2:2" ht="15.9" customHeight="1" x14ac:dyDescent="0.3">
      <c r="B15029" s="37"/>
    </row>
    <row r="15030" spans="2:2" ht="15.9" customHeight="1" x14ac:dyDescent="0.3">
      <c r="B15030" s="37"/>
    </row>
    <row r="15031" spans="2:2" ht="15.9" customHeight="1" x14ac:dyDescent="0.3">
      <c r="B15031" s="37"/>
    </row>
    <row r="15032" spans="2:2" ht="15.9" customHeight="1" x14ac:dyDescent="0.3">
      <c r="B15032" s="37"/>
    </row>
    <row r="15033" spans="2:2" ht="15.9" customHeight="1" x14ac:dyDescent="0.3">
      <c r="B15033" s="37"/>
    </row>
    <row r="15034" spans="2:2" ht="15.9" customHeight="1" x14ac:dyDescent="0.3">
      <c r="B15034" s="37"/>
    </row>
    <row r="15035" spans="2:2" ht="15.9" customHeight="1" x14ac:dyDescent="0.3">
      <c r="B15035" s="37"/>
    </row>
    <row r="15036" spans="2:2" ht="15.9" customHeight="1" x14ac:dyDescent="0.3">
      <c r="B15036" s="37"/>
    </row>
    <row r="15037" spans="2:2" ht="15.9" customHeight="1" x14ac:dyDescent="0.3">
      <c r="B15037" s="37"/>
    </row>
    <row r="15038" spans="2:2" ht="15.9" customHeight="1" x14ac:dyDescent="0.3">
      <c r="B15038" s="37"/>
    </row>
    <row r="15039" spans="2:2" ht="15.9" customHeight="1" x14ac:dyDescent="0.3">
      <c r="B15039" s="37"/>
    </row>
    <row r="15040" spans="2:2" ht="15.9" customHeight="1" x14ac:dyDescent="0.3">
      <c r="B15040" s="37"/>
    </row>
    <row r="15041" spans="2:2" ht="15.9" customHeight="1" x14ac:dyDescent="0.3">
      <c r="B15041" s="37"/>
    </row>
    <row r="15042" spans="2:2" ht="15.9" customHeight="1" x14ac:dyDescent="0.3">
      <c r="B15042" s="37"/>
    </row>
    <row r="15043" spans="2:2" ht="15.9" customHeight="1" x14ac:dyDescent="0.3">
      <c r="B15043" s="37"/>
    </row>
    <row r="15044" spans="2:2" ht="15.9" customHeight="1" x14ac:dyDescent="0.3">
      <c r="B15044" s="37"/>
    </row>
    <row r="15045" spans="2:2" ht="15.9" customHeight="1" x14ac:dyDescent="0.3">
      <c r="B15045" s="37"/>
    </row>
    <row r="15046" spans="2:2" ht="15.9" customHeight="1" x14ac:dyDescent="0.3">
      <c r="B15046" s="37"/>
    </row>
    <row r="15047" spans="2:2" ht="15.9" customHeight="1" x14ac:dyDescent="0.3">
      <c r="B15047" s="37"/>
    </row>
    <row r="15048" spans="2:2" ht="15.9" customHeight="1" x14ac:dyDescent="0.3">
      <c r="B15048" s="37"/>
    </row>
    <row r="15049" spans="2:2" ht="15.9" customHeight="1" x14ac:dyDescent="0.3">
      <c r="B15049" s="37"/>
    </row>
    <row r="15050" spans="2:2" ht="15.9" customHeight="1" x14ac:dyDescent="0.3">
      <c r="B15050" s="37"/>
    </row>
    <row r="15051" spans="2:2" ht="15.9" customHeight="1" x14ac:dyDescent="0.3">
      <c r="B15051" s="37"/>
    </row>
    <row r="15052" spans="2:2" ht="15.9" customHeight="1" x14ac:dyDescent="0.3">
      <c r="B15052" s="37"/>
    </row>
    <row r="15053" spans="2:2" ht="15.9" customHeight="1" x14ac:dyDescent="0.3">
      <c r="B15053" s="37"/>
    </row>
    <row r="15054" spans="2:2" ht="15.9" customHeight="1" x14ac:dyDescent="0.3">
      <c r="B15054" s="37"/>
    </row>
    <row r="15055" spans="2:2" ht="15.9" customHeight="1" x14ac:dyDescent="0.3">
      <c r="B15055" s="37"/>
    </row>
    <row r="15056" spans="2:2" ht="15.9" customHeight="1" x14ac:dyDescent="0.3">
      <c r="B15056" s="37"/>
    </row>
    <row r="15057" spans="2:2" ht="15.9" customHeight="1" x14ac:dyDescent="0.3">
      <c r="B15057" s="37"/>
    </row>
    <row r="15058" spans="2:2" ht="15.9" customHeight="1" x14ac:dyDescent="0.3">
      <c r="B15058" s="37"/>
    </row>
    <row r="15059" spans="2:2" ht="15.9" customHeight="1" x14ac:dyDescent="0.3">
      <c r="B15059" s="37"/>
    </row>
    <row r="15060" spans="2:2" ht="15.9" customHeight="1" x14ac:dyDescent="0.3">
      <c r="B15060" s="37"/>
    </row>
    <row r="15061" spans="2:2" ht="15.9" customHeight="1" x14ac:dyDescent="0.3">
      <c r="B15061" s="37"/>
    </row>
    <row r="15062" spans="2:2" ht="15.9" customHeight="1" x14ac:dyDescent="0.3">
      <c r="B15062" s="37"/>
    </row>
    <row r="15063" spans="2:2" ht="15.9" customHeight="1" x14ac:dyDescent="0.3">
      <c r="B15063" s="37"/>
    </row>
    <row r="15064" spans="2:2" ht="15.9" customHeight="1" x14ac:dyDescent="0.3">
      <c r="B15064" s="37"/>
    </row>
    <row r="15065" spans="2:2" ht="15.9" customHeight="1" x14ac:dyDescent="0.3">
      <c r="B15065" s="37"/>
    </row>
    <row r="15066" spans="2:2" ht="15.9" customHeight="1" x14ac:dyDescent="0.3">
      <c r="B15066" s="37"/>
    </row>
    <row r="15067" spans="2:2" ht="15.9" customHeight="1" x14ac:dyDescent="0.3">
      <c r="B15067" s="37"/>
    </row>
    <row r="15068" spans="2:2" ht="15.9" customHeight="1" x14ac:dyDescent="0.3">
      <c r="B15068" s="37"/>
    </row>
    <row r="15069" spans="2:2" ht="15.9" customHeight="1" x14ac:dyDescent="0.3">
      <c r="B15069" s="37"/>
    </row>
    <row r="15070" spans="2:2" ht="15.9" customHeight="1" x14ac:dyDescent="0.3">
      <c r="B15070" s="37"/>
    </row>
    <row r="15071" spans="2:2" ht="15.9" customHeight="1" x14ac:dyDescent="0.3">
      <c r="B15071" s="37"/>
    </row>
    <row r="15072" spans="2:2" ht="15.9" customHeight="1" x14ac:dyDescent="0.3">
      <c r="B15072" s="37"/>
    </row>
    <row r="15073" spans="2:2" ht="15.9" customHeight="1" x14ac:dyDescent="0.3">
      <c r="B15073" s="37"/>
    </row>
    <row r="15074" spans="2:2" ht="15.9" customHeight="1" x14ac:dyDescent="0.3">
      <c r="B15074" s="37"/>
    </row>
    <row r="15075" spans="2:2" ht="15.9" customHeight="1" x14ac:dyDescent="0.3">
      <c r="B15075" s="37"/>
    </row>
    <row r="15076" spans="2:2" ht="15.9" customHeight="1" x14ac:dyDescent="0.3">
      <c r="B15076" s="37"/>
    </row>
    <row r="15077" spans="2:2" ht="15.9" customHeight="1" x14ac:dyDescent="0.3">
      <c r="B15077" s="37"/>
    </row>
    <row r="15078" spans="2:2" ht="15.9" customHeight="1" x14ac:dyDescent="0.3">
      <c r="B15078" s="37"/>
    </row>
    <row r="15079" spans="2:2" ht="15.9" customHeight="1" x14ac:dyDescent="0.3">
      <c r="B15079" s="37"/>
    </row>
    <row r="15080" spans="2:2" ht="15.9" customHeight="1" x14ac:dyDescent="0.3">
      <c r="B15080" s="37"/>
    </row>
    <row r="15081" spans="2:2" ht="15.9" customHeight="1" x14ac:dyDescent="0.3">
      <c r="B15081" s="37"/>
    </row>
    <row r="15082" spans="2:2" ht="15.9" customHeight="1" x14ac:dyDescent="0.3">
      <c r="B15082" s="37"/>
    </row>
    <row r="15083" spans="2:2" ht="15.9" customHeight="1" x14ac:dyDescent="0.3">
      <c r="B15083" s="37"/>
    </row>
    <row r="15084" spans="2:2" ht="15.9" customHeight="1" x14ac:dyDescent="0.3">
      <c r="B15084" s="37"/>
    </row>
    <row r="15085" spans="2:2" ht="15.9" customHeight="1" x14ac:dyDescent="0.3">
      <c r="B15085" s="37"/>
    </row>
    <row r="15086" spans="2:2" ht="15.9" customHeight="1" x14ac:dyDescent="0.3">
      <c r="B15086" s="37"/>
    </row>
    <row r="15087" spans="2:2" ht="15.9" customHeight="1" x14ac:dyDescent="0.3">
      <c r="B15087" s="37"/>
    </row>
    <row r="15088" spans="2:2" ht="15.9" customHeight="1" x14ac:dyDescent="0.3">
      <c r="B15088" s="37"/>
    </row>
    <row r="15089" spans="2:2" ht="15.9" customHeight="1" x14ac:dyDescent="0.3">
      <c r="B15089" s="37"/>
    </row>
    <row r="15090" spans="2:2" ht="15.9" customHeight="1" x14ac:dyDescent="0.3">
      <c r="B15090" s="37"/>
    </row>
    <row r="15091" spans="2:2" ht="15.9" customHeight="1" x14ac:dyDescent="0.3">
      <c r="B15091" s="37"/>
    </row>
    <row r="15092" spans="2:2" ht="15.9" customHeight="1" x14ac:dyDescent="0.3">
      <c r="B15092" s="37"/>
    </row>
    <row r="15093" spans="2:2" ht="15.9" customHeight="1" x14ac:dyDescent="0.3">
      <c r="B15093" s="37"/>
    </row>
    <row r="15094" spans="2:2" ht="15.9" customHeight="1" x14ac:dyDescent="0.3">
      <c r="B15094" s="37"/>
    </row>
    <row r="15095" spans="2:2" ht="15.9" customHeight="1" x14ac:dyDescent="0.3">
      <c r="B15095" s="37"/>
    </row>
    <row r="15096" spans="2:2" ht="15.9" customHeight="1" x14ac:dyDescent="0.3">
      <c r="B15096" s="37"/>
    </row>
    <row r="15097" spans="2:2" ht="15.9" customHeight="1" x14ac:dyDescent="0.3">
      <c r="B15097" s="37"/>
    </row>
    <row r="15098" spans="2:2" ht="15.9" customHeight="1" x14ac:dyDescent="0.3">
      <c r="B15098" s="37"/>
    </row>
    <row r="15099" spans="2:2" ht="15.9" customHeight="1" x14ac:dyDescent="0.3">
      <c r="B15099" s="37"/>
    </row>
    <row r="15100" spans="2:2" ht="15.9" customHeight="1" x14ac:dyDescent="0.3">
      <c r="B15100" s="37"/>
    </row>
    <row r="15101" spans="2:2" ht="15.9" customHeight="1" x14ac:dyDescent="0.3">
      <c r="B15101" s="37"/>
    </row>
    <row r="15102" spans="2:2" ht="15.9" customHeight="1" x14ac:dyDescent="0.3">
      <c r="B15102" s="37"/>
    </row>
    <row r="15103" spans="2:2" ht="15.9" customHeight="1" x14ac:dyDescent="0.3">
      <c r="B15103" s="37"/>
    </row>
    <row r="15104" spans="2:2" ht="15.9" customHeight="1" x14ac:dyDescent="0.3">
      <c r="B15104" s="37"/>
    </row>
    <row r="15105" spans="2:2" ht="15.9" customHeight="1" x14ac:dyDescent="0.3">
      <c r="B15105" s="37"/>
    </row>
    <row r="15106" spans="2:2" ht="15.9" customHeight="1" x14ac:dyDescent="0.3">
      <c r="B15106" s="37"/>
    </row>
    <row r="15107" spans="2:2" ht="15.9" customHeight="1" x14ac:dyDescent="0.3">
      <c r="B15107" s="37"/>
    </row>
    <row r="15108" spans="2:2" ht="15.9" customHeight="1" x14ac:dyDescent="0.3">
      <c r="B15108" s="37"/>
    </row>
    <row r="15109" spans="2:2" ht="15.9" customHeight="1" x14ac:dyDescent="0.3">
      <c r="B15109" s="37"/>
    </row>
    <row r="15110" spans="2:2" ht="15.9" customHeight="1" x14ac:dyDescent="0.3">
      <c r="B15110" s="37"/>
    </row>
    <row r="15111" spans="2:2" ht="15.9" customHeight="1" x14ac:dyDescent="0.3">
      <c r="B15111" s="37"/>
    </row>
    <row r="15112" spans="2:2" ht="15.9" customHeight="1" x14ac:dyDescent="0.3">
      <c r="B15112" s="37"/>
    </row>
    <row r="15113" spans="2:2" ht="15.9" customHeight="1" x14ac:dyDescent="0.3">
      <c r="B15113" s="37"/>
    </row>
    <row r="15114" spans="2:2" ht="15.9" customHeight="1" x14ac:dyDescent="0.3">
      <c r="B15114" s="37"/>
    </row>
    <row r="15115" spans="2:2" ht="15.9" customHeight="1" x14ac:dyDescent="0.3">
      <c r="B15115" s="37"/>
    </row>
    <row r="15116" spans="2:2" ht="15.9" customHeight="1" x14ac:dyDescent="0.3">
      <c r="B15116" s="37"/>
    </row>
    <row r="15117" spans="2:2" ht="15.9" customHeight="1" x14ac:dyDescent="0.3">
      <c r="B15117" s="37"/>
    </row>
    <row r="15118" spans="2:2" ht="15.9" customHeight="1" x14ac:dyDescent="0.3">
      <c r="B15118" s="37"/>
    </row>
    <row r="15119" spans="2:2" ht="15.9" customHeight="1" x14ac:dyDescent="0.3">
      <c r="B15119" s="37"/>
    </row>
    <row r="15120" spans="2:2" ht="15.9" customHeight="1" x14ac:dyDescent="0.3">
      <c r="B15120" s="37"/>
    </row>
    <row r="15121" spans="2:2" ht="15.9" customHeight="1" x14ac:dyDescent="0.3">
      <c r="B15121" s="37"/>
    </row>
    <row r="15122" spans="2:2" ht="15.9" customHeight="1" x14ac:dyDescent="0.3">
      <c r="B15122" s="37"/>
    </row>
    <row r="15123" spans="2:2" ht="15.9" customHeight="1" x14ac:dyDescent="0.3">
      <c r="B15123" s="37"/>
    </row>
    <row r="15124" spans="2:2" ht="15.9" customHeight="1" x14ac:dyDescent="0.3">
      <c r="B15124" s="37"/>
    </row>
    <row r="15125" spans="2:2" ht="15.9" customHeight="1" x14ac:dyDescent="0.3">
      <c r="B15125" s="37"/>
    </row>
    <row r="15126" spans="2:2" ht="15.9" customHeight="1" x14ac:dyDescent="0.3">
      <c r="B15126" s="37"/>
    </row>
    <row r="15127" spans="2:2" ht="15.9" customHeight="1" x14ac:dyDescent="0.3">
      <c r="B15127" s="37"/>
    </row>
    <row r="15128" spans="2:2" ht="15.9" customHeight="1" x14ac:dyDescent="0.3">
      <c r="B15128" s="37"/>
    </row>
    <row r="15129" spans="2:2" ht="15.9" customHeight="1" x14ac:dyDescent="0.3">
      <c r="B15129" s="37"/>
    </row>
    <row r="15130" spans="2:2" ht="15.9" customHeight="1" x14ac:dyDescent="0.3">
      <c r="B15130" s="37"/>
    </row>
    <row r="15131" spans="2:2" ht="15.9" customHeight="1" x14ac:dyDescent="0.3">
      <c r="B15131" s="37"/>
    </row>
    <row r="15132" spans="2:2" ht="15.9" customHeight="1" x14ac:dyDescent="0.3">
      <c r="B15132" s="37"/>
    </row>
    <row r="15133" spans="2:2" ht="15.9" customHeight="1" x14ac:dyDescent="0.3">
      <c r="B15133" s="37"/>
    </row>
    <row r="15134" spans="2:2" ht="15.9" customHeight="1" x14ac:dyDescent="0.3">
      <c r="B15134" s="37"/>
    </row>
    <row r="15135" spans="2:2" ht="15.9" customHeight="1" x14ac:dyDescent="0.3">
      <c r="B15135" s="37"/>
    </row>
    <row r="15136" spans="2:2" ht="15.9" customHeight="1" x14ac:dyDescent="0.3">
      <c r="B15136" s="37"/>
    </row>
    <row r="15137" spans="2:2" ht="15.9" customHeight="1" x14ac:dyDescent="0.3">
      <c r="B15137" s="37"/>
    </row>
    <row r="15138" spans="2:2" ht="15.9" customHeight="1" x14ac:dyDescent="0.3">
      <c r="B15138" s="37"/>
    </row>
    <row r="15139" spans="2:2" ht="15.9" customHeight="1" x14ac:dyDescent="0.3">
      <c r="B15139" s="37"/>
    </row>
    <row r="15140" spans="2:2" ht="15.9" customHeight="1" x14ac:dyDescent="0.3">
      <c r="B15140" s="37"/>
    </row>
    <row r="15141" spans="2:2" ht="15.9" customHeight="1" x14ac:dyDescent="0.3">
      <c r="B15141" s="37"/>
    </row>
    <row r="15142" spans="2:2" ht="15.9" customHeight="1" x14ac:dyDescent="0.3">
      <c r="B15142" s="37"/>
    </row>
    <row r="15143" spans="2:2" ht="15.9" customHeight="1" x14ac:dyDescent="0.3">
      <c r="B15143" s="37"/>
    </row>
    <row r="15144" spans="2:2" ht="15.9" customHeight="1" x14ac:dyDescent="0.3">
      <c r="B15144" s="37"/>
    </row>
    <row r="15145" spans="2:2" ht="15.9" customHeight="1" x14ac:dyDescent="0.3">
      <c r="B15145" s="37"/>
    </row>
    <row r="15146" spans="2:2" ht="15.9" customHeight="1" x14ac:dyDescent="0.3">
      <c r="B15146" s="37"/>
    </row>
    <row r="15147" spans="2:2" ht="15.9" customHeight="1" x14ac:dyDescent="0.3">
      <c r="B15147" s="37"/>
    </row>
    <row r="15148" spans="2:2" ht="15.9" customHeight="1" x14ac:dyDescent="0.3">
      <c r="B15148" s="37"/>
    </row>
    <row r="15149" spans="2:2" ht="15.9" customHeight="1" x14ac:dyDescent="0.3">
      <c r="B15149" s="37"/>
    </row>
    <row r="15150" spans="2:2" ht="15.9" customHeight="1" x14ac:dyDescent="0.3">
      <c r="B15150" s="37"/>
    </row>
    <row r="15151" spans="2:2" ht="15.9" customHeight="1" x14ac:dyDescent="0.3">
      <c r="B15151" s="37"/>
    </row>
    <row r="15152" spans="2:2" ht="15.9" customHeight="1" x14ac:dyDescent="0.3">
      <c r="B15152" s="37"/>
    </row>
    <row r="15153" spans="2:2" ht="15.9" customHeight="1" x14ac:dyDescent="0.3">
      <c r="B15153" s="37"/>
    </row>
    <row r="15154" spans="2:2" ht="15.9" customHeight="1" x14ac:dyDescent="0.3">
      <c r="B15154" s="37"/>
    </row>
    <row r="15155" spans="2:2" ht="15.9" customHeight="1" x14ac:dyDescent="0.3">
      <c r="B15155" s="37"/>
    </row>
    <row r="15156" spans="2:2" ht="15.9" customHeight="1" x14ac:dyDescent="0.3">
      <c r="B15156" s="37"/>
    </row>
    <row r="15157" spans="2:2" ht="15.9" customHeight="1" x14ac:dyDescent="0.3">
      <c r="B15157" s="37"/>
    </row>
    <row r="15158" spans="2:2" ht="15.9" customHeight="1" x14ac:dyDescent="0.3">
      <c r="B15158" s="37"/>
    </row>
    <row r="15159" spans="2:2" ht="15.9" customHeight="1" x14ac:dyDescent="0.3">
      <c r="B15159" s="37"/>
    </row>
    <row r="15160" spans="2:2" ht="15.9" customHeight="1" x14ac:dyDescent="0.3">
      <c r="B15160" s="37"/>
    </row>
    <row r="15161" spans="2:2" ht="15.9" customHeight="1" x14ac:dyDescent="0.3">
      <c r="B15161" s="37"/>
    </row>
    <row r="15162" spans="2:2" ht="15.9" customHeight="1" x14ac:dyDescent="0.3">
      <c r="B15162" s="37"/>
    </row>
    <row r="15163" spans="2:2" ht="15.9" customHeight="1" x14ac:dyDescent="0.3">
      <c r="B15163" s="37"/>
    </row>
    <row r="15164" spans="2:2" ht="15.9" customHeight="1" x14ac:dyDescent="0.3">
      <c r="B15164" s="37"/>
    </row>
    <row r="15165" spans="2:2" ht="15.9" customHeight="1" x14ac:dyDescent="0.3">
      <c r="B15165" s="37"/>
    </row>
    <row r="15166" spans="2:2" ht="15.9" customHeight="1" x14ac:dyDescent="0.3">
      <c r="B15166" s="37"/>
    </row>
    <row r="15167" spans="2:2" ht="15.9" customHeight="1" x14ac:dyDescent="0.3">
      <c r="B15167" s="37"/>
    </row>
    <row r="15168" spans="2:2" ht="15.9" customHeight="1" x14ac:dyDescent="0.3">
      <c r="B15168" s="37"/>
    </row>
    <row r="15169" spans="2:2" ht="15.9" customHeight="1" x14ac:dyDescent="0.3">
      <c r="B15169" s="37"/>
    </row>
    <row r="15170" spans="2:2" ht="15.9" customHeight="1" x14ac:dyDescent="0.3">
      <c r="B15170" s="37"/>
    </row>
    <row r="15171" spans="2:2" ht="15.9" customHeight="1" x14ac:dyDescent="0.3">
      <c r="B15171" s="37"/>
    </row>
    <row r="15172" spans="2:2" ht="15.9" customHeight="1" x14ac:dyDescent="0.3">
      <c r="B15172" s="37"/>
    </row>
    <row r="15173" spans="2:2" ht="15.9" customHeight="1" x14ac:dyDescent="0.3">
      <c r="B15173" s="37"/>
    </row>
    <row r="15174" spans="2:2" ht="15.9" customHeight="1" x14ac:dyDescent="0.3">
      <c r="B15174" s="37"/>
    </row>
    <row r="15175" spans="2:2" ht="15.9" customHeight="1" x14ac:dyDescent="0.3">
      <c r="B15175" s="37"/>
    </row>
    <row r="15176" spans="2:2" ht="15.9" customHeight="1" x14ac:dyDescent="0.3">
      <c r="B15176" s="37"/>
    </row>
    <row r="15177" spans="2:2" ht="15.9" customHeight="1" x14ac:dyDescent="0.3">
      <c r="B15177" s="37"/>
    </row>
    <row r="15178" spans="2:2" ht="15.9" customHeight="1" x14ac:dyDescent="0.3">
      <c r="B15178" s="37"/>
    </row>
    <row r="15179" spans="2:2" ht="15.9" customHeight="1" x14ac:dyDescent="0.3">
      <c r="B15179" s="37"/>
    </row>
    <row r="15180" spans="2:2" ht="15.9" customHeight="1" x14ac:dyDescent="0.3">
      <c r="B15180" s="37"/>
    </row>
    <row r="15181" spans="2:2" ht="15.9" customHeight="1" x14ac:dyDescent="0.3">
      <c r="B15181" s="37"/>
    </row>
    <row r="15182" spans="2:2" ht="15.9" customHeight="1" x14ac:dyDescent="0.3">
      <c r="B15182" s="37"/>
    </row>
    <row r="15183" spans="2:2" ht="15.9" customHeight="1" x14ac:dyDescent="0.3">
      <c r="B15183" s="37"/>
    </row>
    <row r="15184" spans="2:2" ht="15.9" customHeight="1" x14ac:dyDescent="0.3">
      <c r="B15184" s="37"/>
    </row>
    <row r="15185" spans="2:2" ht="15.9" customHeight="1" x14ac:dyDescent="0.3">
      <c r="B15185" s="37"/>
    </row>
    <row r="15186" spans="2:2" ht="15.9" customHeight="1" x14ac:dyDescent="0.3">
      <c r="B15186" s="37"/>
    </row>
    <row r="15187" spans="2:2" ht="15.9" customHeight="1" x14ac:dyDescent="0.3">
      <c r="B15187" s="37"/>
    </row>
    <row r="15188" spans="2:2" ht="15.9" customHeight="1" x14ac:dyDescent="0.3">
      <c r="B15188" s="37"/>
    </row>
    <row r="15189" spans="2:2" ht="15.9" customHeight="1" x14ac:dyDescent="0.3">
      <c r="B15189" s="37"/>
    </row>
    <row r="15190" spans="2:2" ht="15.9" customHeight="1" x14ac:dyDescent="0.3">
      <c r="B15190" s="37"/>
    </row>
    <row r="15191" spans="2:2" ht="15.9" customHeight="1" x14ac:dyDescent="0.3">
      <c r="B15191" s="37"/>
    </row>
    <row r="15192" spans="2:2" ht="15.9" customHeight="1" x14ac:dyDescent="0.3">
      <c r="B15192" s="37"/>
    </row>
    <row r="15193" spans="2:2" ht="15.9" customHeight="1" x14ac:dyDescent="0.3">
      <c r="B15193" s="37"/>
    </row>
    <row r="15194" spans="2:2" ht="15.9" customHeight="1" x14ac:dyDescent="0.3">
      <c r="B15194" s="37"/>
    </row>
    <row r="15195" spans="2:2" ht="15.9" customHeight="1" x14ac:dyDescent="0.3">
      <c r="B15195" s="37"/>
    </row>
    <row r="15196" spans="2:2" ht="15.9" customHeight="1" x14ac:dyDescent="0.3">
      <c r="B15196" s="37"/>
    </row>
    <row r="15197" spans="2:2" ht="15.9" customHeight="1" x14ac:dyDescent="0.3">
      <c r="B15197" s="37"/>
    </row>
    <row r="15198" spans="2:2" ht="15.9" customHeight="1" x14ac:dyDescent="0.3">
      <c r="B15198" s="37"/>
    </row>
    <row r="15199" spans="2:2" ht="15.9" customHeight="1" x14ac:dyDescent="0.3">
      <c r="B15199" s="37"/>
    </row>
    <row r="15200" spans="2:2" ht="15.9" customHeight="1" x14ac:dyDescent="0.3">
      <c r="B15200" s="37"/>
    </row>
    <row r="15201" spans="2:2" ht="15.9" customHeight="1" x14ac:dyDescent="0.3">
      <c r="B15201" s="37"/>
    </row>
    <row r="15202" spans="2:2" ht="15.9" customHeight="1" x14ac:dyDescent="0.3">
      <c r="B15202" s="37"/>
    </row>
    <row r="15203" spans="2:2" ht="15.9" customHeight="1" x14ac:dyDescent="0.3">
      <c r="B15203" s="37"/>
    </row>
    <row r="15204" spans="2:2" ht="15.9" customHeight="1" x14ac:dyDescent="0.3">
      <c r="B15204" s="37"/>
    </row>
    <row r="15205" spans="2:2" ht="15.9" customHeight="1" x14ac:dyDescent="0.3">
      <c r="B15205" s="37"/>
    </row>
    <row r="15206" spans="2:2" ht="15.9" customHeight="1" x14ac:dyDescent="0.3">
      <c r="B15206" s="37"/>
    </row>
    <row r="15207" spans="2:2" ht="15.9" customHeight="1" x14ac:dyDescent="0.3">
      <c r="B15207" s="37"/>
    </row>
    <row r="15208" spans="2:2" ht="15.9" customHeight="1" x14ac:dyDescent="0.3">
      <c r="B15208" s="37"/>
    </row>
    <row r="15209" spans="2:2" ht="15.9" customHeight="1" x14ac:dyDescent="0.3">
      <c r="B15209" s="37"/>
    </row>
    <row r="15210" spans="2:2" ht="15.9" customHeight="1" x14ac:dyDescent="0.3">
      <c r="B15210" s="37"/>
    </row>
    <row r="15211" spans="2:2" ht="15.9" customHeight="1" x14ac:dyDescent="0.3">
      <c r="B15211" s="37"/>
    </row>
    <row r="15212" spans="2:2" ht="15.9" customHeight="1" x14ac:dyDescent="0.3">
      <c r="B15212" s="37"/>
    </row>
    <row r="15213" spans="2:2" ht="15.9" customHeight="1" x14ac:dyDescent="0.3">
      <c r="B15213" s="37"/>
    </row>
    <row r="15214" spans="2:2" ht="15.9" customHeight="1" x14ac:dyDescent="0.3">
      <c r="B15214" s="37"/>
    </row>
    <row r="15215" spans="2:2" ht="15.9" customHeight="1" x14ac:dyDescent="0.3">
      <c r="B15215" s="37"/>
    </row>
    <row r="15216" spans="2:2" ht="15.9" customHeight="1" x14ac:dyDescent="0.3">
      <c r="B15216" s="37"/>
    </row>
    <row r="15217" spans="2:2" ht="15.9" customHeight="1" x14ac:dyDescent="0.3">
      <c r="B15217" s="37"/>
    </row>
    <row r="15218" spans="2:2" ht="15.9" customHeight="1" x14ac:dyDescent="0.3">
      <c r="B15218" s="37"/>
    </row>
    <row r="15219" spans="2:2" ht="15.9" customHeight="1" x14ac:dyDescent="0.3">
      <c r="B15219" s="37"/>
    </row>
    <row r="15220" spans="2:2" ht="15.9" customHeight="1" x14ac:dyDescent="0.3">
      <c r="B15220" s="37"/>
    </row>
    <row r="15221" spans="2:2" ht="15.9" customHeight="1" x14ac:dyDescent="0.3">
      <c r="B15221" s="37"/>
    </row>
    <row r="15222" spans="2:2" ht="15.9" customHeight="1" x14ac:dyDescent="0.3">
      <c r="B15222" s="37"/>
    </row>
    <row r="15223" spans="2:2" ht="15.9" customHeight="1" x14ac:dyDescent="0.3">
      <c r="B15223" s="37"/>
    </row>
    <row r="15224" spans="2:2" ht="15.9" customHeight="1" x14ac:dyDescent="0.3">
      <c r="B15224" s="37"/>
    </row>
    <row r="15225" spans="2:2" ht="15.9" customHeight="1" x14ac:dyDescent="0.3">
      <c r="B15225" s="37"/>
    </row>
    <row r="15226" spans="2:2" ht="15.9" customHeight="1" x14ac:dyDescent="0.3">
      <c r="B15226" s="37"/>
    </row>
    <row r="15227" spans="2:2" ht="15.9" customHeight="1" x14ac:dyDescent="0.3">
      <c r="B15227" s="37"/>
    </row>
    <row r="15228" spans="2:2" ht="15.9" customHeight="1" x14ac:dyDescent="0.3">
      <c r="B15228" s="37"/>
    </row>
    <row r="15229" spans="2:2" ht="15.9" customHeight="1" x14ac:dyDescent="0.3">
      <c r="B15229" s="37"/>
    </row>
    <row r="15230" spans="2:2" ht="15.9" customHeight="1" x14ac:dyDescent="0.3">
      <c r="B15230" s="37"/>
    </row>
    <row r="15231" spans="2:2" ht="15.9" customHeight="1" x14ac:dyDescent="0.3">
      <c r="B15231" s="37"/>
    </row>
    <row r="15232" spans="2:2" ht="15.9" customHeight="1" x14ac:dyDescent="0.3">
      <c r="B15232" s="37"/>
    </row>
    <row r="15233" spans="2:2" ht="15.9" customHeight="1" x14ac:dyDescent="0.3">
      <c r="B15233" s="37"/>
    </row>
    <row r="15234" spans="2:2" ht="15.9" customHeight="1" x14ac:dyDescent="0.3">
      <c r="B15234" s="37"/>
    </row>
    <row r="15235" spans="2:2" ht="15.9" customHeight="1" x14ac:dyDescent="0.3">
      <c r="B15235" s="37"/>
    </row>
    <row r="15236" spans="2:2" ht="15.9" customHeight="1" x14ac:dyDescent="0.3">
      <c r="B15236" s="37"/>
    </row>
    <row r="15237" spans="2:2" ht="15.9" customHeight="1" x14ac:dyDescent="0.3">
      <c r="B15237" s="37"/>
    </row>
    <row r="15238" spans="2:2" ht="15.9" customHeight="1" x14ac:dyDescent="0.3">
      <c r="B15238" s="37"/>
    </row>
    <row r="15239" spans="2:2" ht="15.9" customHeight="1" x14ac:dyDescent="0.3">
      <c r="B15239" s="37"/>
    </row>
    <row r="15240" spans="2:2" ht="15.9" customHeight="1" x14ac:dyDescent="0.3">
      <c r="B15240" s="37"/>
    </row>
    <row r="15241" spans="2:2" ht="15.9" customHeight="1" x14ac:dyDescent="0.3">
      <c r="B15241" s="37"/>
    </row>
    <row r="15242" spans="2:2" ht="15.9" customHeight="1" x14ac:dyDescent="0.3">
      <c r="B15242" s="37"/>
    </row>
    <row r="15243" spans="2:2" ht="15.9" customHeight="1" x14ac:dyDescent="0.3">
      <c r="B15243" s="37"/>
    </row>
    <row r="15244" spans="2:2" ht="15.9" customHeight="1" x14ac:dyDescent="0.3">
      <c r="B15244" s="37"/>
    </row>
    <row r="15245" spans="2:2" ht="15.9" customHeight="1" x14ac:dyDescent="0.3">
      <c r="B15245" s="37"/>
    </row>
    <row r="15246" spans="2:2" ht="15.9" customHeight="1" x14ac:dyDescent="0.3">
      <c r="B15246" s="37"/>
    </row>
    <row r="15247" spans="2:2" ht="15.9" customHeight="1" x14ac:dyDescent="0.3">
      <c r="B15247" s="37"/>
    </row>
    <row r="15248" spans="2:2" ht="15.9" customHeight="1" x14ac:dyDescent="0.3">
      <c r="B15248" s="37"/>
    </row>
    <row r="15249" spans="2:2" ht="15.9" customHeight="1" x14ac:dyDescent="0.3">
      <c r="B15249" s="37"/>
    </row>
    <row r="15250" spans="2:2" ht="15.9" customHeight="1" x14ac:dyDescent="0.3">
      <c r="B15250" s="37"/>
    </row>
    <row r="15251" spans="2:2" ht="15.9" customHeight="1" x14ac:dyDescent="0.3">
      <c r="B15251" s="37"/>
    </row>
    <row r="15252" spans="2:2" ht="15.9" customHeight="1" x14ac:dyDescent="0.3">
      <c r="B15252" s="37"/>
    </row>
    <row r="15253" spans="2:2" ht="15.9" customHeight="1" x14ac:dyDescent="0.3">
      <c r="B15253" s="37"/>
    </row>
    <row r="15254" spans="2:2" ht="15.9" customHeight="1" x14ac:dyDescent="0.3">
      <c r="B15254" s="37"/>
    </row>
    <row r="15255" spans="2:2" ht="15.9" customHeight="1" x14ac:dyDescent="0.3">
      <c r="B15255" s="37"/>
    </row>
    <row r="15256" spans="2:2" ht="15.9" customHeight="1" x14ac:dyDescent="0.3">
      <c r="B15256" s="37"/>
    </row>
    <row r="15257" spans="2:2" ht="15.9" customHeight="1" x14ac:dyDescent="0.3">
      <c r="B15257" s="37"/>
    </row>
    <row r="15258" spans="2:2" ht="15.9" customHeight="1" x14ac:dyDescent="0.3">
      <c r="B15258" s="37"/>
    </row>
    <row r="15259" spans="2:2" ht="15.9" customHeight="1" x14ac:dyDescent="0.3">
      <c r="B15259" s="37"/>
    </row>
    <row r="15260" spans="2:2" ht="15.9" customHeight="1" x14ac:dyDescent="0.3">
      <c r="B15260" s="37"/>
    </row>
    <row r="15261" spans="2:2" ht="15.9" customHeight="1" x14ac:dyDescent="0.3">
      <c r="B15261" s="37"/>
    </row>
    <row r="15262" spans="2:2" ht="15.9" customHeight="1" x14ac:dyDescent="0.3">
      <c r="B15262" s="37"/>
    </row>
    <row r="15263" spans="2:2" ht="15.9" customHeight="1" x14ac:dyDescent="0.3">
      <c r="B15263" s="37"/>
    </row>
    <row r="15264" spans="2:2" ht="15.9" customHeight="1" x14ac:dyDescent="0.3">
      <c r="B15264" s="37"/>
    </row>
    <row r="15265" spans="2:2" ht="15.9" customHeight="1" x14ac:dyDescent="0.3">
      <c r="B15265" s="37"/>
    </row>
    <row r="15266" spans="2:2" ht="15.9" customHeight="1" x14ac:dyDescent="0.3">
      <c r="B15266" s="37"/>
    </row>
    <row r="15267" spans="2:2" ht="15.9" customHeight="1" x14ac:dyDescent="0.3">
      <c r="B15267" s="37"/>
    </row>
    <row r="15268" spans="2:2" ht="15.9" customHeight="1" x14ac:dyDescent="0.3">
      <c r="B15268" s="37"/>
    </row>
    <row r="15269" spans="2:2" ht="15.9" customHeight="1" x14ac:dyDescent="0.3">
      <c r="B15269" s="37"/>
    </row>
    <row r="15270" spans="2:2" ht="15.9" customHeight="1" x14ac:dyDescent="0.3">
      <c r="B15270" s="37"/>
    </row>
    <row r="15271" spans="2:2" ht="15.9" customHeight="1" x14ac:dyDescent="0.3">
      <c r="B15271" s="37"/>
    </row>
    <row r="15272" spans="2:2" ht="15.9" customHeight="1" x14ac:dyDescent="0.3">
      <c r="B15272" s="37"/>
    </row>
    <row r="15273" spans="2:2" ht="15.9" customHeight="1" x14ac:dyDescent="0.3">
      <c r="B15273" s="37"/>
    </row>
    <row r="15274" spans="2:2" ht="15.9" customHeight="1" x14ac:dyDescent="0.3">
      <c r="B15274" s="37"/>
    </row>
    <row r="15275" spans="2:2" ht="15.9" customHeight="1" x14ac:dyDescent="0.3">
      <c r="B15275" s="37"/>
    </row>
    <row r="15276" spans="2:2" ht="15.9" customHeight="1" x14ac:dyDescent="0.3">
      <c r="B15276" s="37"/>
    </row>
    <row r="15277" spans="2:2" ht="15.9" customHeight="1" x14ac:dyDescent="0.3">
      <c r="B15277" s="37"/>
    </row>
    <row r="15278" spans="2:2" ht="15.9" customHeight="1" x14ac:dyDescent="0.3">
      <c r="B15278" s="37"/>
    </row>
    <row r="15279" spans="2:2" ht="15.9" customHeight="1" x14ac:dyDescent="0.3">
      <c r="B15279" s="37"/>
    </row>
    <row r="15280" spans="2:2" ht="15.9" customHeight="1" x14ac:dyDescent="0.3">
      <c r="B15280" s="37"/>
    </row>
    <row r="15281" spans="2:2" ht="15.9" customHeight="1" x14ac:dyDescent="0.3">
      <c r="B15281" s="37"/>
    </row>
    <row r="15282" spans="2:2" ht="15.9" customHeight="1" x14ac:dyDescent="0.3">
      <c r="B15282" s="37"/>
    </row>
    <row r="15283" spans="2:2" ht="15.9" customHeight="1" x14ac:dyDescent="0.3">
      <c r="B15283" s="37"/>
    </row>
    <row r="15284" spans="2:2" ht="15.9" customHeight="1" x14ac:dyDescent="0.3">
      <c r="B15284" s="37"/>
    </row>
    <row r="15285" spans="2:2" ht="15.9" customHeight="1" x14ac:dyDescent="0.3">
      <c r="B15285" s="37"/>
    </row>
    <row r="15286" spans="2:2" ht="15.9" customHeight="1" x14ac:dyDescent="0.3">
      <c r="B15286" s="37"/>
    </row>
    <row r="15287" spans="2:2" ht="15.9" customHeight="1" x14ac:dyDescent="0.3">
      <c r="B15287" s="37"/>
    </row>
    <row r="15288" spans="2:2" ht="15.9" customHeight="1" x14ac:dyDescent="0.3">
      <c r="B15288" s="37"/>
    </row>
    <row r="15289" spans="2:2" ht="15.9" customHeight="1" x14ac:dyDescent="0.3">
      <c r="B15289" s="37"/>
    </row>
    <row r="15290" spans="2:2" ht="15.9" customHeight="1" x14ac:dyDescent="0.3">
      <c r="B15290" s="37"/>
    </row>
    <row r="15291" spans="2:2" ht="15.9" customHeight="1" x14ac:dyDescent="0.3">
      <c r="B15291" s="37"/>
    </row>
    <row r="15292" spans="2:2" ht="15.9" customHeight="1" x14ac:dyDescent="0.3">
      <c r="B15292" s="37"/>
    </row>
    <row r="15293" spans="2:2" ht="15.9" customHeight="1" x14ac:dyDescent="0.3">
      <c r="B15293" s="37"/>
    </row>
    <row r="15294" spans="2:2" ht="15.9" customHeight="1" x14ac:dyDescent="0.3">
      <c r="B15294" s="37"/>
    </row>
    <row r="15295" spans="2:2" ht="15.9" customHeight="1" x14ac:dyDescent="0.3">
      <c r="B15295" s="37"/>
    </row>
    <row r="15296" spans="2:2" ht="15.9" customHeight="1" x14ac:dyDescent="0.3">
      <c r="B15296" s="37"/>
    </row>
    <row r="15297" spans="2:2" ht="15.9" customHeight="1" x14ac:dyDescent="0.3">
      <c r="B15297" s="37"/>
    </row>
    <row r="15298" spans="2:2" ht="15.9" customHeight="1" x14ac:dyDescent="0.3">
      <c r="B15298" s="37"/>
    </row>
    <row r="15299" spans="2:2" ht="15.9" customHeight="1" x14ac:dyDescent="0.3">
      <c r="B15299" s="37"/>
    </row>
    <row r="15300" spans="2:2" ht="15.9" customHeight="1" x14ac:dyDescent="0.3">
      <c r="B15300" s="37"/>
    </row>
    <row r="15301" spans="2:2" ht="15.9" customHeight="1" x14ac:dyDescent="0.3">
      <c r="B15301" s="37"/>
    </row>
    <row r="15302" spans="2:2" ht="15.9" customHeight="1" x14ac:dyDescent="0.3">
      <c r="B15302" s="37"/>
    </row>
    <row r="15303" spans="2:2" ht="15.9" customHeight="1" x14ac:dyDescent="0.3">
      <c r="B15303" s="37"/>
    </row>
    <row r="15304" spans="2:2" ht="15.9" customHeight="1" x14ac:dyDescent="0.3">
      <c r="B15304" s="37"/>
    </row>
    <row r="15305" spans="2:2" ht="15.9" customHeight="1" x14ac:dyDescent="0.3">
      <c r="B15305" s="37"/>
    </row>
    <row r="15306" spans="2:2" ht="15.9" customHeight="1" x14ac:dyDescent="0.3">
      <c r="B15306" s="37"/>
    </row>
    <row r="15307" spans="2:2" ht="15.9" customHeight="1" x14ac:dyDescent="0.3">
      <c r="B15307" s="37"/>
    </row>
    <row r="15308" spans="2:2" ht="15.9" customHeight="1" x14ac:dyDescent="0.3">
      <c r="B15308" s="37"/>
    </row>
    <row r="15309" spans="2:2" ht="15.9" customHeight="1" x14ac:dyDescent="0.3">
      <c r="B15309" s="37"/>
    </row>
    <row r="15310" spans="2:2" ht="15.9" customHeight="1" x14ac:dyDescent="0.3">
      <c r="B15310" s="37"/>
    </row>
    <row r="15311" spans="2:2" ht="15.9" customHeight="1" x14ac:dyDescent="0.3">
      <c r="B15311" s="37"/>
    </row>
    <row r="15312" spans="2:2" ht="15.9" customHeight="1" x14ac:dyDescent="0.3">
      <c r="B15312" s="37"/>
    </row>
    <row r="15313" spans="2:2" ht="15.9" customHeight="1" x14ac:dyDescent="0.3">
      <c r="B15313" s="37"/>
    </row>
    <row r="15314" spans="2:2" ht="15.9" customHeight="1" x14ac:dyDescent="0.3">
      <c r="B15314" s="37"/>
    </row>
    <row r="15315" spans="2:2" ht="15.9" customHeight="1" x14ac:dyDescent="0.3">
      <c r="B15315" s="37"/>
    </row>
    <row r="15316" spans="2:2" ht="15.9" customHeight="1" x14ac:dyDescent="0.3">
      <c r="B15316" s="37"/>
    </row>
    <row r="15317" spans="2:2" ht="15.9" customHeight="1" x14ac:dyDescent="0.3">
      <c r="B15317" s="37"/>
    </row>
    <row r="15318" spans="2:2" ht="15.9" customHeight="1" x14ac:dyDescent="0.3">
      <c r="B15318" s="37"/>
    </row>
    <row r="15319" spans="2:2" ht="15.9" customHeight="1" x14ac:dyDescent="0.3">
      <c r="B15319" s="37"/>
    </row>
    <row r="15320" spans="2:2" ht="15.9" customHeight="1" x14ac:dyDescent="0.3">
      <c r="B15320" s="37"/>
    </row>
    <row r="15321" spans="2:2" ht="15.9" customHeight="1" x14ac:dyDescent="0.3">
      <c r="B15321" s="37"/>
    </row>
    <row r="15322" spans="2:2" ht="15.9" customHeight="1" x14ac:dyDescent="0.3">
      <c r="B15322" s="37"/>
    </row>
    <row r="15323" spans="2:2" ht="15.9" customHeight="1" x14ac:dyDescent="0.3">
      <c r="B15323" s="37"/>
    </row>
    <row r="15324" spans="2:2" ht="15.9" customHeight="1" x14ac:dyDescent="0.3">
      <c r="B15324" s="37"/>
    </row>
    <row r="15325" spans="2:2" ht="15.9" customHeight="1" x14ac:dyDescent="0.3">
      <c r="B15325" s="37"/>
    </row>
    <row r="15326" spans="2:2" ht="15.9" customHeight="1" x14ac:dyDescent="0.3">
      <c r="B15326" s="37"/>
    </row>
    <row r="15327" spans="2:2" ht="15.9" customHeight="1" x14ac:dyDescent="0.3">
      <c r="B15327" s="37"/>
    </row>
    <row r="15328" spans="2:2" ht="15.9" customHeight="1" x14ac:dyDescent="0.3">
      <c r="B15328" s="37"/>
    </row>
    <row r="15329" spans="2:2" ht="15.9" customHeight="1" x14ac:dyDescent="0.3">
      <c r="B15329" s="37"/>
    </row>
    <row r="15330" spans="2:2" ht="15.9" customHeight="1" x14ac:dyDescent="0.3">
      <c r="B15330" s="37"/>
    </row>
    <row r="15331" spans="2:2" ht="15.9" customHeight="1" x14ac:dyDescent="0.3">
      <c r="B15331" s="37"/>
    </row>
    <row r="15332" spans="2:2" ht="15.9" customHeight="1" x14ac:dyDescent="0.3">
      <c r="B15332" s="37"/>
    </row>
    <row r="15333" spans="2:2" ht="15.9" customHeight="1" x14ac:dyDescent="0.3">
      <c r="B15333" s="37"/>
    </row>
    <row r="15334" spans="2:2" ht="15.9" customHeight="1" x14ac:dyDescent="0.3">
      <c r="B15334" s="37"/>
    </row>
    <row r="15335" spans="2:2" ht="15.9" customHeight="1" x14ac:dyDescent="0.3">
      <c r="B15335" s="37"/>
    </row>
    <row r="15336" spans="2:2" ht="15.9" customHeight="1" x14ac:dyDescent="0.3">
      <c r="B15336" s="37"/>
    </row>
    <row r="15337" spans="2:2" ht="15.9" customHeight="1" x14ac:dyDescent="0.3">
      <c r="B15337" s="37"/>
    </row>
    <row r="15338" spans="2:2" ht="15.9" customHeight="1" x14ac:dyDescent="0.3">
      <c r="B15338" s="37"/>
    </row>
    <row r="15339" spans="2:2" ht="15.9" customHeight="1" x14ac:dyDescent="0.3">
      <c r="B15339" s="37"/>
    </row>
    <row r="15340" spans="2:2" ht="15.9" customHeight="1" x14ac:dyDescent="0.3">
      <c r="B15340" s="37"/>
    </row>
    <row r="15341" spans="2:2" ht="15.9" customHeight="1" x14ac:dyDescent="0.3">
      <c r="B15341" s="37"/>
    </row>
    <row r="15342" spans="2:2" ht="15.9" customHeight="1" x14ac:dyDescent="0.3">
      <c r="B15342" s="37"/>
    </row>
    <row r="15343" spans="2:2" ht="15.9" customHeight="1" x14ac:dyDescent="0.3">
      <c r="B15343" s="37"/>
    </row>
    <row r="15344" spans="2:2" ht="15.9" customHeight="1" x14ac:dyDescent="0.3">
      <c r="B15344" s="37"/>
    </row>
    <row r="15345" spans="2:2" ht="15.9" customHeight="1" x14ac:dyDescent="0.3">
      <c r="B15345" s="37"/>
    </row>
    <row r="15346" spans="2:2" ht="15.9" customHeight="1" x14ac:dyDescent="0.3">
      <c r="B15346" s="37"/>
    </row>
    <row r="15347" spans="2:2" ht="15.9" customHeight="1" x14ac:dyDescent="0.3">
      <c r="B15347" s="37"/>
    </row>
    <row r="15348" spans="2:2" ht="15.9" customHeight="1" x14ac:dyDescent="0.3">
      <c r="B15348" s="37"/>
    </row>
    <row r="15349" spans="2:2" ht="15.9" customHeight="1" x14ac:dyDescent="0.3">
      <c r="B15349" s="37"/>
    </row>
    <row r="15350" spans="2:2" ht="15.9" customHeight="1" x14ac:dyDescent="0.3">
      <c r="B15350" s="37"/>
    </row>
    <row r="15351" spans="2:2" ht="15.9" customHeight="1" x14ac:dyDescent="0.3">
      <c r="B15351" s="37"/>
    </row>
    <row r="15352" spans="2:2" ht="15.9" customHeight="1" x14ac:dyDescent="0.3">
      <c r="B15352" s="37"/>
    </row>
    <row r="15353" spans="2:2" ht="15.9" customHeight="1" x14ac:dyDescent="0.3">
      <c r="B15353" s="37"/>
    </row>
    <row r="15354" spans="2:2" ht="15.9" customHeight="1" x14ac:dyDescent="0.3">
      <c r="B15354" s="37"/>
    </row>
    <row r="15355" spans="2:2" ht="15.9" customHeight="1" x14ac:dyDescent="0.3">
      <c r="B15355" s="37"/>
    </row>
    <row r="15356" spans="2:2" ht="15.9" customHeight="1" x14ac:dyDescent="0.3">
      <c r="B15356" s="37"/>
    </row>
    <row r="15357" spans="2:2" ht="15.9" customHeight="1" x14ac:dyDescent="0.3">
      <c r="B15357" s="37"/>
    </row>
    <row r="15358" spans="2:2" ht="15.9" customHeight="1" x14ac:dyDescent="0.3">
      <c r="B15358" s="37"/>
    </row>
    <row r="15359" spans="2:2" ht="15.9" customHeight="1" x14ac:dyDescent="0.3">
      <c r="B15359" s="37"/>
    </row>
    <row r="15360" spans="2:2" ht="15.9" customHeight="1" x14ac:dyDescent="0.3">
      <c r="B15360" s="37"/>
    </row>
    <row r="15361" spans="2:2" ht="15.9" customHeight="1" x14ac:dyDescent="0.3">
      <c r="B15361" s="37"/>
    </row>
    <row r="15362" spans="2:2" ht="15.9" customHeight="1" x14ac:dyDescent="0.3">
      <c r="B15362" s="37"/>
    </row>
    <row r="15363" spans="2:2" ht="15.9" customHeight="1" x14ac:dyDescent="0.3">
      <c r="B15363" s="37"/>
    </row>
    <row r="15364" spans="2:2" ht="15.9" customHeight="1" x14ac:dyDescent="0.3">
      <c r="B15364" s="37"/>
    </row>
    <row r="15365" spans="2:2" ht="15.9" customHeight="1" x14ac:dyDescent="0.3">
      <c r="B15365" s="37"/>
    </row>
    <row r="15366" spans="2:2" ht="15.9" customHeight="1" x14ac:dyDescent="0.3">
      <c r="B15366" s="37"/>
    </row>
    <row r="15367" spans="2:2" ht="15.9" customHeight="1" x14ac:dyDescent="0.3">
      <c r="B15367" s="37"/>
    </row>
    <row r="15368" spans="2:2" ht="15.9" customHeight="1" x14ac:dyDescent="0.3">
      <c r="B15368" s="37"/>
    </row>
    <row r="15369" spans="2:2" ht="15.9" customHeight="1" x14ac:dyDescent="0.3">
      <c r="B15369" s="37"/>
    </row>
    <row r="15370" spans="2:2" ht="15.9" customHeight="1" x14ac:dyDescent="0.3">
      <c r="B15370" s="37"/>
    </row>
    <row r="15371" spans="2:2" ht="15.9" customHeight="1" x14ac:dyDescent="0.3">
      <c r="B15371" s="37"/>
    </row>
    <row r="15372" spans="2:2" ht="15.9" customHeight="1" x14ac:dyDescent="0.3">
      <c r="B15372" s="37"/>
    </row>
    <row r="15373" spans="2:2" ht="15.9" customHeight="1" x14ac:dyDescent="0.3">
      <c r="B15373" s="37"/>
    </row>
    <row r="15374" spans="2:2" ht="15.9" customHeight="1" x14ac:dyDescent="0.3">
      <c r="B15374" s="37"/>
    </row>
    <row r="15375" spans="2:2" ht="15.9" customHeight="1" x14ac:dyDescent="0.3">
      <c r="B15375" s="37"/>
    </row>
    <row r="15376" spans="2:2" ht="15.9" customHeight="1" x14ac:dyDescent="0.3">
      <c r="B15376" s="37"/>
    </row>
    <row r="15377" spans="2:2" ht="15.9" customHeight="1" x14ac:dyDescent="0.3">
      <c r="B15377" s="37"/>
    </row>
    <row r="15378" spans="2:2" ht="15.9" customHeight="1" x14ac:dyDescent="0.3">
      <c r="B15378" s="37"/>
    </row>
    <row r="15379" spans="2:2" ht="15.9" customHeight="1" x14ac:dyDescent="0.3">
      <c r="B15379" s="37"/>
    </row>
    <row r="15380" spans="2:2" ht="15.9" customHeight="1" x14ac:dyDescent="0.3">
      <c r="B15380" s="37"/>
    </row>
    <row r="15381" spans="2:2" ht="15.9" customHeight="1" x14ac:dyDescent="0.3">
      <c r="B15381" s="37"/>
    </row>
    <row r="15382" spans="2:2" ht="15.9" customHeight="1" x14ac:dyDescent="0.3">
      <c r="B15382" s="37"/>
    </row>
    <row r="15383" spans="2:2" ht="15.9" customHeight="1" x14ac:dyDescent="0.3">
      <c r="B15383" s="37"/>
    </row>
    <row r="15384" spans="2:2" ht="15.9" customHeight="1" x14ac:dyDescent="0.3">
      <c r="B15384" s="37"/>
    </row>
    <row r="15385" spans="2:2" ht="15.9" customHeight="1" x14ac:dyDescent="0.3">
      <c r="B15385" s="37"/>
    </row>
    <row r="15386" spans="2:2" ht="15.9" customHeight="1" x14ac:dyDescent="0.3">
      <c r="B15386" s="37"/>
    </row>
    <row r="15387" spans="2:2" ht="15.9" customHeight="1" x14ac:dyDescent="0.3">
      <c r="B15387" s="37"/>
    </row>
    <row r="15388" spans="2:2" ht="15.9" customHeight="1" x14ac:dyDescent="0.3">
      <c r="B15388" s="37"/>
    </row>
    <row r="15389" spans="2:2" ht="15.9" customHeight="1" x14ac:dyDescent="0.3">
      <c r="B15389" s="37"/>
    </row>
    <row r="15390" spans="2:2" ht="15.9" customHeight="1" x14ac:dyDescent="0.3">
      <c r="B15390" s="37"/>
    </row>
    <row r="15391" spans="2:2" ht="15.9" customHeight="1" x14ac:dyDescent="0.3">
      <c r="B15391" s="37"/>
    </row>
    <row r="15392" spans="2:2" ht="15.9" customHeight="1" x14ac:dyDescent="0.3">
      <c r="B15392" s="37"/>
    </row>
    <row r="15393" spans="2:2" ht="15.9" customHeight="1" x14ac:dyDescent="0.3">
      <c r="B15393" s="37"/>
    </row>
    <row r="15394" spans="2:2" ht="15.9" customHeight="1" x14ac:dyDescent="0.3">
      <c r="B15394" s="37"/>
    </row>
    <row r="15395" spans="2:2" ht="15.9" customHeight="1" x14ac:dyDescent="0.3">
      <c r="B15395" s="37"/>
    </row>
    <row r="15396" spans="2:2" ht="15.9" customHeight="1" x14ac:dyDescent="0.3">
      <c r="B15396" s="37"/>
    </row>
    <row r="15397" spans="2:2" ht="15.9" customHeight="1" x14ac:dyDescent="0.3">
      <c r="B15397" s="37"/>
    </row>
    <row r="15398" spans="2:2" ht="15.9" customHeight="1" x14ac:dyDescent="0.3">
      <c r="B15398" s="37"/>
    </row>
    <row r="15399" spans="2:2" ht="15.9" customHeight="1" x14ac:dyDescent="0.3">
      <c r="B15399" s="37"/>
    </row>
    <row r="15400" spans="2:2" ht="15.9" customHeight="1" x14ac:dyDescent="0.3">
      <c r="B15400" s="37"/>
    </row>
    <row r="15401" spans="2:2" ht="15.9" customHeight="1" x14ac:dyDescent="0.3">
      <c r="B15401" s="37"/>
    </row>
    <row r="15402" spans="2:2" ht="15.9" customHeight="1" x14ac:dyDescent="0.3">
      <c r="B15402" s="37"/>
    </row>
    <row r="15403" spans="2:2" ht="15.9" customHeight="1" x14ac:dyDescent="0.3">
      <c r="B15403" s="37"/>
    </row>
    <row r="15404" spans="2:2" ht="15.9" customHeight="1" x14ac:dyDescent="0.3">
      <c r="B15404" s="37"/>
    </row>
    <row r="15405" spans="2:2" ht="15.9" customHeight="1" x14ac:dyDescent="0.3">
      <c r="B15405" s="37"/>
    </row>
    <row r="15406" spans="2:2" ht="15.9" customHeight="1" x14ac:dyDescent="0.3">
      <c r="B15406" s="37"/>
    </row>
    <row r="15407" spans="2:2" ht="15.9" customHeight="1" x14ac:dyDescent="0.3">
      <c r="B15407" s="37"/>
    </row>
    <row r="15408" spans="2:2" ht="15.9" customHeight="1" x14ac:dyDescent="0.3">
      <c r="B15408" s="37"/>
    </row>
    <row r="15409" spans="2:2" ht="15.9" customHeight="1" x14ac:dyDescent="0.3">
      <c r="B15409" s="37"/>
    </row>
    <row r="15410" spans="2:2" ht="15.9" customHeight="1" x14ac:dyDescent="0.3">
      <c r="B15410" s="37"/>
    </row>
    <row r="15411" spans="2:2" ht="15.9" customHeight="1" x14ac:dyDescent="0.3">
      <c r="B15411" s="37"/>
    </row>
    <row r="15412" spans="2:2" ht="15.9" customHeight="1" x14ac:dyDescent="0.3">
      <c r="B15412" s="37"/>
    </row>
    <row r="15413" spans="2:2" ht="15.9" customHeight="1" x14ac:dyDescent="0.3">
      <c r="B15413" s="37"/>
    </row>
    <row r="15414" spans="2:2" ht="15.9" customHeight="1" x14ac:dyDescent="0.3">
      <c r="B15414" s="37"/>
    </row>
    <row r="15415" spans="2:2" ht="15.9" customHeight="1" x14ac:dyDescent="0.3">
      <c r="B15415" s="37"/>
    </row>
    <row r="15416" spans="2:2" ht="15.9" customHeight="1" x14ac:dyDescent="0.3">
      <c r="B15416" s="37"/>
    </row>
    <row r="15417" spans="2:2" ht="15.9" customHeight="1" x14ac:dyDescent="0.3">
      <c r="B15417" s="37"/>
    </row>
    <row r="15418" spans="2:2" ht="15.9" customHeight="1" x14ac:dyDescent="0.3">
      <c r="B15418" s="37"/>
    </row>
    <row r="15419" spans="2:2" ht="15.9" customHeight="1" x14ac:dyDescent="0.3">
      <c r="B15419" s="37"/>
    </row>
    <row r="15420" spans="2:2" ht="15.9" customHeight="1" x14ac:dyDescent="0.3">
      <c r="B15420" s="37"/>
    </row>
    <row r="15421" spans="2:2" ht="15.9" customHeight="1" x14ac:dyDescent="0.3">
      <c r="B15421" s="37"/>
    </row>
    <row r="15422" spans="2:2" ht="15.9" customHeight="1" x14ac:dyDescent="0.3">
      <c r="B15422" s="37"/>
    </row>
    <row r="15423" spans="2:2" ht="15.9" customHeight="1" x14ac:dyDescent="0.3">
      <c r="B15423" s="37"/>
    </row>
    <row r="15424" spans="2:2" ht="15.9" customHeight="1" x14ac:dyDescent="0.3">
      <c r="B15424" s="37"/>
    </row>
    <row r="15425" spans="2:2" ht="15.9" customHeight="1" x14ac:dyDescent="0.3">
      <c r="B15425" s="37"/>
    </row>
    <row r="15426" spans="2:2" ht="15.9" customHeight="1" x14ac:dyDescent="0.3">
      <c r="B15426" s="37"/>
    </row>
    <row r="15427" spans="2:2" ht="15.9" customHeight="1" x14ac:dyDescent="0.3">
      <c r="B15427" s="37"/>
    </row>
    <row r="15428" spans="2:2" ht="15.9" customHeight="1" x14ac:dyDescent="0.3">
      <c r="B15428" s="37"/>
    </row>
    <row r="15429" spans="2:2" ht="15.9" customHeight="1" x14ac:dyDescent="0.3">
      <c r="B15429" s="37"/>
    </row>
    <row r="15430" spans="2:2" ht="15.9" customHeight="1" x14ac:dyDescent="0.3">
      <c r="B15430" s="37"/>
    </row>
    <row r="15431" spans="2:2" ht="15.9" customHeight="1" x14ac:dyDescent="0.3">
      <c r="B15431" s="37"/>
    </row>
    <row r="15432" spans="2:2" ht="15.9" customHeight="1" x14ac:dyDescent="0.3">
      <c r="B15432" s="37"/>
    </row>
    <row r="15433" spans="2:2" ht="15.9" customHeight="1" x14ac:dyDescent="0.3">
      <c r="B15433" s="37"/>
    </row>
    <row r="15434" spans="2:2" ht="15.9" customHeight="1" x14ac:dyDescent="0.3">
      <c r="B15434" s="37"/>
    </row>
    <row r="15435" spans="2:2" ht="15.9" customHeight="1" x14ac:dyDescent="0.3">
      <c r="B15435" s="37"/>
    </row>
    <row r="15436" spans="2:2" ht="15.9" customHeight="1" x14ac:dyDescent="0.3">
      <c r="B15436" s="37"/>
    </row>
    <row r="15437" spans="2:2" ht="15.9" customHeight="1" x14ac:dyDescent="0.3">
      <c r="B15437" s="37"/>
    </row>
    <row r="15438" spans="2:2" ht="15.9" customHeight="1" x14ac:dyDescent="0.3">
      <c r="B15438" s="37"/>
    </row>
    <row r="15439" spans="2:2" ht="15.9" customHeight="1" x14ac:dyDescent="0.3">
      <c r="B15439" s="37"/>
    </row>
    <row r="15440" spans="2:2" ht="15.9" customHeight="1" x14ac:dyDescent="0.3">
      <c r="B15440" s="37"/>
    </row>
    <row r="15441" spans="2:2" ht="15.9" customHeight="1" x14ac:dyDescent="0.3">
      <c r="B15441" s="37"/>
    </row>
    <row r="15442" spans="2:2" ht="15.9" customHeight="1" x14ac:dyDescent="0.3">
      <c r="B15442" s="37"/>
    </row>
    <row r="15443" spans="2:2" ht="15.9" customHeight="1" x14ac:dyDescent="0.3">
      <c r="B15443" s="37"/>
    </row>
    <row r="15444" spans="2:2" ht="15.9" customHeight="1" x14ac:dyDescent="0.3">
      <c r="B15444" s="37"/>
    </row>
    <row r="15445" spans="2:2" ht="15.9" customHeight="1" x14ac:dyDescent="0.3">
      <c r="B15445" s="37"/>
    </row>
    <row r="15446" spans="2:2" ht="15.9" customHeight="1" x14ac:dyDescent="0.3">
      <c r="B15446" s="37"/>
    </row>
    <row r="15447" spans="2:2" ht="15.9" customHeight="1" x14ac:dyDescent="0.3">
      <c r="B15447" s="37"/>
    </row>
    <row r="15448" spans="2:2" ht="15.9" customHeight="1" x14ac:dyDescent="0.3">
      <c r="B15448" s="37"/>
    </row>
    <row r="15449" spans="2:2" ht="15.9" customHeight="1" x14ac:dyDescent="0.3">
      <c r="B15449" s="37"/>
    </row>
    <row r="15450" spans="2:2" ht="15.9" customHeight="1" x14ac:dyDescent="0.3">
      <c r="B15450" s="37"/>
    </row>
    <row r="15451" spans="2:2" ht="15.9" customHeight="1" x14ac:dyDescent="0.3">
      <c r="B15451" s="37"/>
    </row>
    <row r="15452" spans="2:2" ht="15.9" customHeight="1" x14ac:dyDescent="0.3">
      <c r="B15452" s="37"/>
    </row>
    <row r="15453" spans="2:2" ht="15.9" customHeight="1" x14ac:dyDescent="0.3">
      <c r="B15453" s="37"/>
    </row>
    <row r="15454" spans="2:2" ht="15.9" customHeight="1" x14ac:dyDescent="0.3">
      <c r="B15454" s="37"/>
    </row>
    <row r="15455" spans="2:2" ht="15.9" customHeight="1" x14ac:dyDescent="0.3">
      <c r="B15455" s="37"/>
    </row>
    <row r="15456" spans="2:2" ht="15.9" customHeight="1" x14ac:dyDescent="0.3">
      <c r="B15456" s="37"/>
    </row>
    <row r="15457" spans="2:2" ht="15.9" customHeight="1" x14ac:dyDescent="0.3">
      <c r="B15457" s="37"/>
    </row>
    <row r="15458" spans="2:2" ht="15.9" customHeight="1" x14ac:dyDescent="0.3">
      <c r="B15458" s="37"/>
    </row>
    <row r="15459" spans="2:2" ht="15.9" customHeight="1" x14ac:dyDescent="0.3">
      <c r="B15459" s="37"/>
    </row>
    <row r="15460" spans="2:2" ht="15.9" customHeight="1" x14ac:dyDescent="0.3">
      <c r="B15460" s="37"/>
    </row>
    <row r="15461" spans="2:2" ht="15.9" customHeight="1" x14ac:dyDescent="0.3">
      <c r="B15461" s="37"/>
    </row>
    <row r="15462" spans="2:2" ht="15.9" customHeight="1" x14ac:dyDescent="0.3">
      <c r="B15462" s="37"/>
    </row>
    <row r="15463" spans="2:2" ht="15.9" customHeight="1" x14ac:dyDescent="0.3">
      <c r="B15463" s="37"/>
    </row>
    <row r="15464" spans="2:2" ht="15.9" customHeight="1" x14ac:dyDescent="0.3">
      <c r="B15464" s="37"/>
    </row>
    <row r="15465" spans="2:2" ht="15.9" customHeight="1" x14ac:dyDescent="0.3">
      <c r="B15465" s="37"/>
    </row>
    <row r="15466" spans="2:2" ht="15.9" customHeight="1" x14ac:dyDescent="0.3">
      <c r="B15466" s="37"/>
    </row>
    <row r="15467" spans="2:2" ht="15.9" customHeight="1" x14ac:dyDescent="0.3">
      <c r="B15467" s="37"/>
    </row>
    <row r="15468" spans="2:2" ht="15.9" customHeight="1" x14ac:dyDescent="0.3">
      <c r="B15468" s="37"/>
    </row>
    <row r="15469" spans="2:2" ht="15.9" customHeight="1" x14ac:dyDescent="0.3">
      <c r="B15469" s="37"/>
    </row>
    <row r="15470" spans="2:2" ht="15.9" customHeight="1" x14ac:dyDescent="0.3">
      <c r="B15470" s="37"/>
    </row>
    <row r="15471" spans="2:2" ht="15.9" customHeight="1" x14ac:dyDescent="0.3">
      <c r="B15471" s="37"/>
    </row>
    <row r="15472" spans="2:2" ht="15.9" customHeight="1" x14ac:dyDescent="0.3">
      <c r="B15472" s="37"/>
    </row>
    <row r="15473" spans="2:2" ht="15.9" customHeight="1" x14ac:dyDescent="0.3">
      <c r="B15473" s="37"/>
    </row>
    <row r="15474" spans="2:2" ht="15.9" customHeight="1" x14ac:dyDescent="0.3">
      <c r="B15474" s="37"/>
    </row>
    <row r="15475" spans="2:2" ht="15.9" customHeight="1" x14ac:dyDescent="0.3">
      <c r="B15475" s="37"/>
    </row>
    <row r="15476" spans="2:2" ht="15.9" customHeight="1" x14ac:dyDescent="0.3">
      <c r="B15476" s="37"/>
    </row>
    <row r="15477" spans="2:2" ht="15.9" customHeight="1" x14ac:dyDescent="0.3">
      <c r="B15477" s="37"/>
    </row>
    <row r="15478" spans="2:2" ht="15.9" customHeight="1" x14ac:dyDescent="0.3">
      <c r="B15478" s="37"/>
    </row>
    <row r="15479" spans="2:2" ht="15.9" customHeight="1" x14ac:dyDescent="0.3">
      <c r="B15479" s="37"/>
    </row>
    <row r="15480" spans="2:2" ht="15.9" customHeight="1" x14ac:dyDescent="0.3">
      <c r="B15480" s="37"/>
    </row>
    <row r="15481" spans="2:2" ht="15.9" customHeight="1" x14ac:dyDescent="0.3">
      <c r="B15481" s="37"/>
    </row>
    <row r="15482" spans="2:2" ht="15.9" customHeight="1" x14ac:dyDescent="0.3">
      <c r="B15482" s="37"/>
    </row>
    <row r="15483" spans="2:2" ht="15.9" customHeight="1" x14ac:dyDescent="0.3">
      <c r="B15483" s="37"/>
    </row>
    <row r="15484" spans="2:2" ht="15.9" customHeight="1" x14ac:dyDescent="0.3">
      <c r="B15484" s="37"/>
    </row>
    <row r="15485" spans="2:2" ht="15.9" customHeight="1" x14ac:dyDescent="0.3">
      <c r="B15485" s="37"/>
    </row>
    <row r="15486" spans="2:2" ht="15.9" customHeight="1" x14ac:dyDescent="0.3">
      <c r="B15486" s="37"/>
    </row>
    <row r="15487" spans="2:2" ht="15.9" customHeight="1" x14ac:dyDescent="0.3">
      <c r="B15487" s="37"/>
    </row>
    <row r="15488" spans="2:2" ht="15.9" customHeight="1" x14ac:dyDescent="0.3">
      <c r="B15488" s="37"/>
    </row>
    <row r="15489" spans="2:2" ht="15.9" customHeight="1" x14ac:dyDescent="0.3">
      <c r="B15489" s="37"/>
    </row>
    <row r="15490" spans="2:2" ht="15.9" customHeight="1" x14ac:dyDescent="0.3">
      <c r="B15490" s="37"/>
    </row>
    <row r="15491" spans="2:2" ht="15.9" customHeight="1" x14ac:dyDescent="0.3">
      <c r="B15491" s="37"/>
    </row>
    <row r="15492" spans="2:2" ht="15.9" customHeight="1" x14ac:dyDescent="0.3">
      <c r="B15492" s="37"/>
    </row>
    <row r="15493" spans="2:2" ht="15.9" customHeight="1" x14ac:dyDescent="0.3">
      <c r="B15493" s="37"/>
    </row>
    <row r="15494" spans="2:2" ht="15.9" customHeight="1" x14ac:dyDescent="0.3">
      <c r="B15494" s="37"/>
    </row>
    <row r="15495" spans="2:2" ht="15.9" customHeight="1" x14ac:dyDescent="0.3">
      <c r="B15495" s="37"/>
    </row>
    <row r="15496" spans="2:2" ht="15.9" customHeight="1" x14ac:dyDescent="0.3">
      <c r="B15496" s="37"/>
    </row>
    <row r="15497" spans="2:2" ht="15.9" customHeight="1" x14ac:dyDescent="0.3">
      <c r="B15497" s="37"/>
    </row>
    <row r="15498" spans="2:2" ht="15.9" customHeight="1" x14ac:dyDescent="0.3">
      <c r="B15498" s="37"/>
    </row>
    <row r="15499" spans="2:2" ht="15.9" customHeight="1" x14ac:dyDescent="0.3">
      <c r="B15499" s="37"/>
    </row>
    <row r="15500" spans="2:2" ht="15.9" customHeight="1" x14ac:dyDescent="0.3">
      <c r="B15500" s="37"/>
    </row>
    <row r="15501" spans="2:2" ht="15.9" customHeight="1" x14ac:dyDescent="0.3">
      <c r="B15501" s="37"/>
    </row>
    <row r="15502" spans="2:2" ht="15.9" customHeight="1" x14ac:dyDescent="0.3">
      <c r="B15502" s="37"/>
    </row>
    <row r="15503" spans="2:2" ht="15.9" customHeight="1" x14ac:dyDescent="0.3">
      <c r="B15503" s="37"/>
    </row>
    <row r="15504" spans="2:2" ht="15.9" customHeight="1" x14ac:dyDescent="0.3">
      <c r="B15504" s="37"/>
    </row>
    <row r="15505" spans="2:2" ht="15.9" customHeight="1" x14ac:dyDescent="0.3">
      <c r="B15505" s="37"/>
    </row>
    <row r="15506" spans="2:2" ht="15.9" customHeight="1" x14ac:dyDescent="0.3">
      <c r="B15506" s="37"/>
    </row>
    <row r="15507" spans="2:2" ht="15.9" customHeight="1" x14ac:dyDescent="0.3">
      <c r="B15507" s="37"/>
    </row>
    <row r="15508" spans="2:2" ht="15.9" customHeight="1" x14ac:dyDescent="0.3">
      <c r="B15508" s="37"/>
    </row>
    <row r="15509" spans="2:2" ht="15.9" customHeight="1" x14ac:dyDescent="0.3">
      <c r="B15509" s="37"/>
    </row>
    <row r="15510" spans="2:2" ht="15.9" customHeight="1" x14ac:dyDescent="0.3">
      <c r="B15510" s="37"/>
    </row>
    <row r="15511" spans="2:2" ht="15.9" customHeight="1" x14ac:dyDescent="0.3">
      <c r="B15511" s="37"/>
    </row>
    <row r="15512" spans="2:2" ht="15.9" customHeight="1" x14ac:dyDescent="0.3">
      <c r="B15512" s="37"/>
    </row>
    <row r="15513" spans="2:2" ht="15.9" customHeight="1" x14ac:dyDescent="0.3">
      <c r="B15513" s="37"/>
    </row>
    <row r="15514" spans="2:2" ht="15.9" customHeight="1" x14ac:dyDescent="0.3">
      <c r="B15514" s="37"/>
    </row>
    <row r="15515" spans="2:2" ht="15.9" customHeight="1" x14ac:dyDescent="0.3">
      <c r="B15515" s="37"/>
    </row>
    <row r="15516" spans="2:2" ht="15.9" customHeight="1" x14ac:dyDescent="0.3">
      <c r="B15516" s="37"/>
    </row>
    <row r="15517" spans="2:2" ht="15.9" customHeight="1" x14ac:dyDescent="0.3">
      <c r="B15517" s="37"/>
    </row>
    <row r="15518" spans="2:2" ht="15.9" customHeight="1" x14ac:dyDescent="0.3">
      <c r="B15518" s="37"/>
    </row>
    <row r="15519" spans="2:2" ht="15.9" customHeight="1" x14ac:dyDescent="0.3">
      <c r="B15519" s="37"/>
    </row>
    <row r="15520" spans="2:2" ht="15.9" customHeight="1" x14ac:dyDescent="0.3">
      <c r="B15520" s="37"/>
    </row>
    <row r="15521" spans="2:2" ht="15.9" customHeight="1" x14ac:dyDescent="0.3">
      <c r="B15521" s="37"/>
    </row>
    <row r="15522" spans="2:2" ht="15.9" customHeight="1" x14ac:dyDescent="0.3">
      <c r="B15522" s="37"/>
    </row>
    <row r="15523" spans="2:2" ht="15.9" customHeight="1" x14ac:dyDescent="0.3">
      <c r="B15523" s="37"/>
    </row>
    <row r="15524" spans="2:2" ht="15.9" customHeight="1" x14ac:dyDescent="0.3">
      <c r="B15524" s="37"/>
    </row>
    <row r="15525" spans="2:2" ht="15.9" customHeight="1" x14ac:dyDescent="0.3">
      <c r="B15525" s="37"/>
    </row>
    <row r="15526" spans="2:2" ht="15.9" customHeight="1" x14ac:dyDescent="0.3">
      <c r="B15526" s="37"/>
    </row>
    <row r="15527" spans="2:2" ht="15.9" customHeight="1" x14ac:dyDescent="0.3">
      <c r="B15527" s="37"/>
    </row>
    <row r="15528" spans="2:2" ht="15.9" customHeight="1" x14ac:dyDescent="0.3">
      <c r="B15528" s="37"/>
    </row>
    <row r="15529" spans="2:2" ht="15.9" customHeight="1" x14ac:dyDescent="0.3">
      <c r="B15529" s="37"/>
    </row>
    <row r="15530" spans="2:2" ht="15.9" customHeight="1" x14ac:dyDescent="0.3">
      <c r="B15530" s="37"/>
    </row>
    <row r="15531" spans="2:2" ht="15.9" customHeight="1" x14ac:dyDescent="0.3">
      <c r="B15531" s="37"/>
    </row>
    <row r="15532" spans="2:2" ht="15.9" customHeight="1" x14ac:dyDescent="0.3">
      <c r="B15532" s="37"/>
    </row>
    <row r="15533" spans="2:2" ht="15.9" customHeight="1" x14ac:dyDescent="0.3">
      <c r="B15533" s="37"/>
    </row>
    <row r="15534" spans="2:2" ht="15.9" customHeight="1" x14ac:dyDescent="0.3">
      <c r="B15534" s="37"/>
    </row>
    <row r="15535" spans="2:2" ht="15.9" customHeight="1" x14ac:dyDescent="0.3">
      <c r="B15535" s="37"/>
    </row>
    <row r="15536" spans="2:2" ht="15.9" customHeight="1" x14ac:dyDescent="0.3">
      <c r="B15536" s="37"/>
    </row>
    <row r="15537" spans="2:2" ht="15.9" customHeight="1" x14ac:dyDescent="0.3">
      <c r="B15537" s="37"/>
    </row>
    <row r="15538" spans="2:2" ht="15.9" customHeight="1" x14ac:dyDescent="0.3">
      <c r="B15538" s="37"/>
    </row>
    <row r="15539" spans="2:2" ht="15.9" customHeight="1" x14ac:dyDescent="0.3">
      <c r="B15539" s="37"/>
    </row>
    <row r="15540" spans="2:2" ht="15.9" customHeight="1" x14ac:dyDescent="0.3">
      <c r="B15540" s="37"/>
    </row>
    <row r="15541" spans="2:2" ht="15.9" customHeight="1" x14ac:dyDescent="0.3">
      <c r="B15541" s="37"/>
    </row>
    <row r="15542" spans="2:2" ht="15.9" customHeight="1" x14ac:dyDescent="0.3">
      <c r="B15542" s="37"/>
    </row>
    <row r="15543" spans="2:2" ht="15.9" customHeight="1" x14ac:dyDescent="0.3">
      <c r="B15543" s="37"/>
    </row>
    <row r="15544" spans="2:2" ht="15.9" customHeight="1" x14ac:dyDescent="0.3">
      <c r="B15544" s="37"/>
    </row>
    <row r="15545" spans="2:2" ht="15.9" customHeight="1" x14ac:dyDescent="0.3">
      <c r="B15545" s="37"/>
    </row>
    <row r="15546" spans="2:2" ht="15.9" customHeight="1" x14ac:dyDescent="0.3">
      <c r="B15546" s="37"/>
    </row>
    <row r="15547" spans="2:2" ht="15.9" customHeight="1" x14ac:dyDescent="0.3">
      <c r="B15547" s="37"/>
    </row>
    <row r="15548" spans="2:2" ht="15.9" customHeight="1" x14ac:dyDescent="0.3">
      <c r="B15548" s="37"/>
    </row>
    <row r="15549" spans="2:2" ht="15.9" customHeight="1" x14ac:dyDescent="0.3">
      <c r="B15549" s="37"/>
    </row>
    <row r="15550" spans="2:2" ht="15.9" customHeight="1" x14ac:dyDescent="0.3">
      <c r="B15550" s="37"/>
    </row>
    <row r="15551" spans="2:2" ht="15.9" customHeight="1" x14ac:dyDescent="0.3">
      <c r="B15551" s="37"/>
    </row>
    <row r="15552" spans="2:2" ht="15.9" customHeight="1" x14ac:dyDescent="0.3">
      <c r="B15552" s="37"/>
    </row>
    <row r="15553" spans="2:2" ht="15.9" customHeight="1" x14ac:dyDescent="0.3">
      <c r="B15553" s="37"/>
    </row>
    <row r="15554" spans="2:2" ht="15.9" customHeight="1" x14ac:dyDescent="0.3">
      <c r="B15554" s="37"/>
    </row>
    <row r="15555" spans="2:2" ht="15.9" customHeight="1" x14ac:dyDescent="0.3">
      <c r="B15555" s="37"/>
    </row>
    <row r="15556" spans="2:2" ht="15.9" customHeight="1" x14ac:dyDescent="0.3">
      <c r="B15556" s="37"/>
    </row>
    <row r="15557" spans="2:2" ht="15.9" customHeight="1" x14ac:dyDescent="0.3">
      <c r="B15557" s="37"/>
    </row>
    <row r="15558" spans="2:2" ht="15.9" customHeight="1" x14ac:dyDescent="0.3">
      <c r="B15558" s="37"/>
    </row>
    <row r="15559" spans="2:2" ht="15.9" customHeight="1" x14ac:dyDescent="0.3">
      <c r="B15559" s="37"/>
    </row>
    <row r="15560" spans="2:2" ht="15.9" customHeight="1" x14ac:dyDescent="0.3">
      <c r="B15560" s="37"/>
    </row>
    <row r="15561" spans="2:2" ht="15.9" customHeight="1" x14ac:dyDescent="0.3">
      <c r="B15561" s="37"/>
    </row>
    <row r="15562" spans="2:2" ht="15.9" customHeight="1" x14ac:dyDescent="0.3">
      <c r="B15562" s="37"/>
    </row>
    <row r="15563" spans="2:2" ht="15.9" customHeight="1" x14ac:dyDescent="0.3">
      <c r="B15563" s="37"/>
    </row>
    <row r="15564" spans="2:2" ht="15.9" customHeight="1" x14ac:dyDescent="0.3">
      <c r="B15564" s="37"/>
    </row>
    <row r="15565" spans="2:2" ht="15.9" customHeight="1" x14ac:dyDescent="0.3">
      <c r="B15565" s="37"/>
    </row>
    <row r="15566" spans="2:2" ht="15.9" customHeight="1" x14ac:dyDescent="0.3">
      <c r="B15566" s="37"/>
    </row>
    <row r="15567" spans="2:2" ht="15.9" customHeight="1" x14ac:dyDescent="0.3">
      <c r="B15567" s="37"/>
    </row>
    <row r="15568" spans="2:2" ht="15.9" customHeight="1" x14ac:dyDescent="0.3">
      <c r="B15568" s="37"/>
    </row>
    <row r="15569" spans="2:2" ht="15.9" customHeight="1" x14ac:dyDescent="0.3">
      <c r="B15569" s="37"/>
    </row>
    <row r="15570" spans="2:2" ht="15.9" customHeight="1" x14ac:dyDescent="0.3">
      <c r="B15570" s="37"/>
    </row>
    <row r="15571" spans="2:2" ht="15.9" customHeight="1" x14ac:dyDescent="0.3">
      <c r="B15571" s="37"/>
    </row>
    <row r="15572" spans="2:2" ht="15.9" customHeight="1" x14ac:dyDescent="0.3">
      <c r="B15572" s="37"/>
    </row>
    <row r="15573" spans="2:2" ht="15.9" customHeight="1" x14ac:dyDescent="0.3">
      <c r="B15573" s="37"/>
    </row>
    <row r="15574" spans="2:2" ht="15.9" customHeight="1" x14ac:dyDescent="0.3">
      <c r="B15574" s="37"/>
    </row>
    <row r="15575" spans="2:2" ht="15.9" customHeight="1" x14ac:dyDescent="0.3">
      <c r="B15575" s="37"/>
    </row>
    <row r="15576" spans="2:2" ht="15.9" customHeight="1" x14ac:dyDescent="0.3">
      <c r="B15576" s="37"/>
    </row>
    <row r="15577" spans="2:2" ht="15.9" customHeight="1" x14ac:dyDescent="0.3">
      <c r="B15577" s="37"/>
    </row>
    <row r="15578" spans="2:2" ht="15.9" customHeight="1" x14ac:dyDescent="0.3">
      <c r="B15578" s="37"/>
    </row>
    <row r="15579" spans="2:2" ht="15.9" customHeight="1" x14ac:dyDescent="0.3">
      <c r="B15579" s="37"/>
    </row>
    <row r="15580" spans="2:2" ht="15.9" customHeight="1" x14ac:dyDescent="0.3">
      <c r="B15580" s="37"/>
    </row>
    <row r="15581" spans="2:2" ht="15.9" customHeight="1" x14ac:dyDescent="0.3">
      <c r="B15581" s="37"/>
    </row>
    <row r="15582" spans="2:2" ht="15.9" customHeight="1" x14ac:dyDescent="0.3">
      <c r="B15582" s="37"/>
    </row>
    <row r="15583" spans="2:2" ht="15.9" customHeight="1" x14ac:dyDescent="0.3">
      <c r="B15583" s="37"/>
    </row>
    <row r="15584" spans="2:2" ht="15.9" customHeight="1" x14ac:dyDescent="0.3">
      <c r="B15584" s="37"/>
    </row>
    <row r="15585" spans="2:2" ht="15.9" customHeight="1" x14ac:dyDescent="0.3">
      <c r="B15585" s="37"/>
    </row>
    <row r="15586" spans="2:2" ht="15.9" customHeight="1" x14ac:dyDescent="0.3">
      <c r="B15586" s="37"/>
    </row>
    <row r="15587" spans="2:2" ht="15.9" customHeight="1" x14ac:dyDescent="0.3">
      <c r="B15587" s="37"/>
    </row>
    <row r="15588" spans="2:2" ht="15.9" customHeight="1" x14ac:dyDescent="0.3">
      <c r="B15588" s="37"/>
    </row>
    <row r="15589" spans="2:2" ht="15.9" customHeight="1" x14ac:dyDescent="0.3">
      <c r="B15589" s="37"/>
    </row>
    <row r="15590" spans="2:2" ht="15.9" customHeight="1" x14ac:dyDescent="0.3">
      <c r="B15590" s="37"/>
    </row>
    <row r="15591" spans="2:2" ht="15.9" customHeight="1" x14ac:dyDescent="0.3">
      <c r="B15591" s="37"/>
    </row>
    <row r="15592" spans="2:2" ht="15.9" customHeight="1" x14ac:dyDescent="0.3">
      <c r="B15592" s="37"/>
    </row>
    <row r="15593" spans="2:2" ht="15.9" customHeight="1" x14ac:dyDescent="0.3">
      <c r="B15593" s="37"/>
    </row>
    <row r="15594" spans="2:2" ht="15.9" customHeight="1" x14ac:dyDescent="0.3">
      <c r="B15594" s="37"/>
    </row>
    <row r="15595" spans="2:2" ht="15.9" customHeight="1" x14ac:dyDescent="0.3">
      <c r="B15595" s="37"/>
    </row>
    <row r="15596" spans="2:2" ht="15.9" customHeight="1" x14ac:dyDescent="0.3">
      <c r="B15596" s="37"/>
    </row>
    <row r="15597" spans="2:2" ht="15.9" customHeight="1" x14ac:dyDescent="0.3">
      <c r="B15597" s="37"/>
    </row>
    <row r="15598" spans="2:2" ht="15.9" customHeight="1" x14ac:dyDescent="0.3">
      <c r="B15598" s="37"/>
    </row>
    <row r="15599" spans="2:2" ht="15.9" customHeight="1" x14ac:dyDescent="0.3">
      <c r="B15599" s="37"/>
    </row>
    <row r="15600" spans="2:2" ht="15.9" customHeight="1" x14ac:dyDescent="0.3">
      <c r="B15600" s="37"/>
    </row>
    <row r="15601" spans="2:2" ht="15.9" customHeight="1" x14ac:dyDescent="0.3">
      <c r="B15601" s="37"/>
    </row>
    <row r="15602" spans="2:2" ht="15.9" customHeight="1" x14ac:dyDescent="0.3">
      <c r="B15602" s="37"/>
    </row>
    <row r="15603" spans="2:2" ht="15.9" customHeight="1" x14ac:dyDescent="0.3">
      <c r="B15603" s="37"/>
    </row>
    <row r="15604" spans="2:2" ht="15.9" customHeight="1" x14ac:dyDescent="0.3">
      <c r="B15604" s="37"/>
    </row>
    <row r="15605" spans="2:2" ht="15.9" customHeight="1" x14ac:dyDescent="0.3">
      <c r="B15605" s="37"/>
    </row>
    <row r="15606" spans="2:2" ht="15.9" customHeight="1" x14ac:dyDescent="0.3">
      <c r="B15606" s="37"/>
    </row>
    <row r="15607" spans="2:2" ht="15.9" customHeight="1" x14ac:dyDescent="0.3">
      <c r="B15607" s="37"/>
    </row>
    <row r="15608" spans="2:2" ht="15.9" customHeight="1" x14ac:dyDescent="0.3">
      <c r="B15608" s="37"/>
    </row>
    <row r="15609" spans="2:2" ht="15.9" customHeight="1" x14ac:dyDescent="0.3">
      <c r="B15609" s="37"/>
    </row>
    <row r="15610" spans="2:2" ht="15.9" customHeight="1" x14ac:dyDescent="0.3">
      <c r="B15610" s="37"/>
    </row>
    <row r="15611" spans="2:2" ht="15.9" customHeight="1" x14ac:dyDescent="0.3">
      <c r="B15611" s="37"/>
    </row>
    <row r="15612" spans="2:2" ht="15.9" customHeight="1" x14ac:dyDescent="0.3">
      <c r="B15612" s="37"/>
    </row>
    <row r="15613" spans="2:2" ht="15.9" customHeight="1" x14ac:dyDescent="0.3">
      <c r="B15613" s="37"/>
    </row>
    <row r="15614" spans="2:2" ht="15.9" customHeight="1" x14ac:dyDescent="0.3">
      <c r="B15614" s="37"/>
    </row>
    <row r="15615" spans="2:2" ht="15.9" customHeight="1" x14ac:dyDescent="0.3">
      <c r="B15615" s="37"/>
    </row>
    <row r="15616" spans="2:2" ht="15.9" customHeight="1" x14ac:dyDescent="0.3">
      <c r="B15616" s="37"/>
    </row>
    <row r="15617" spans="2:2" ht="15.9" customHeight="1" x14ac:dyDescent="0.3">
      <c r="B15617" s="37"/>
    </row>
    <row r="15618" spans="2:2" ht="15.9" customHeight="1" x14ac:dyDescent="0.3">
      <c r="B15618" s="37"/>
    </row>
    <row r="15619" spans="2:2" ht="15.9" customHeight="1" x14ac:dyDescent="0.3">
      <c r="B15619" s="37"/>
    </row>
    <row r="15620" spans="2:2" ht="15.9" customHeight="1" x14ac:dyDescent="0.3">
      <c r="B15620" s="37"/>
    </row>
    <row r="15621" spans="2:2" ht="15.9" customHeight="1" x14ac:dyDescent="0.3">
      <c r="B15621" s="37"/>
    </row>
    <row r="15622" spans="2:2" ht="15.9" customHeight="1" x14ac:dyDescent="0.3">
      <c r="B15622" s="37"/>
    </row>
    <row r="15623" spans="2:2" ht="15.9" customHeight="1" x14ac:dyDescent="0.3">
      <c r="B15623" s="37"/>
    </row>
    <row r="15624" spans="2:2" ht="15.9" customHeight="1" x14ac:dyDescent="0.3">
      <c r="B15624" s="37"/>
    </row>
    <row r="15625" spans="2:2" ht="15.9" customHeight="1" x14ac:dyDescent="0.3">
      <c r="B15625" s="37"/>
    </row>
    <row r="15626" spans="2:2" ht="15.9" customHeight="1" x14ac:dyDescent="0.3">
      <c r="B15626" s="37"/>
    </row>
    <row r="15627" spans="2:2" ht="15.9" customHeight="1" x14ac:dyDescent="0.3">
      <c r="B15627" s="37"/>
    </row>
    <row r="15628" spans="2:2" ht="15.9" customHeight="1" x14ac:dyDescent="0.3">
      <c r="B15628" s="37"/>
    </row>
    <row r="15629" spans="2:2" ht="15.9" customHeight="1" x14ac:dyDescent="0.3">
      <c r="B15629" s="37"/>
    </row>
    <row r="15630" spans="2:2" ht="15.9" customHeight="1" x14ac:dyDescent="0.3">
      <c r="B15630" s="37"/>
    </row>
    <row r="15631" spans="2:2" ht="15.9" customHeight="1" x14ac:dyDescent="0.3">
      <c r="B15631" s="37"/>
    </row>
    <row r="15632" spans="2:2" ht="15.9" customHeight="1" x14ac:dyDescent="0.3">
      <c r="B15632" s="37"/>
    </row>
    <row r="15633" spans="2:2" ht="15.9" customHeight="1" x14ac:dyDescent="0.3">
      <c r="B15633" s="37"/>
    </row>
    <row r="15634" spans="2:2" ht="15.9" customHeight="1" x14ac:dyDescent="0.3">
      <c r="B15634" s="37"/>
    </row>
    <row r="15635" spans="2:2" ht="15.9" customHeight="1" x14ac:dyDescent="0.3">
      <c r="B15635" s="37"/>
    </row>
    <row r="15636" spans="2:2" ht="15.9" customHeight="1" x14ac:dyDescent="0.3">
      <c r="B15636" s="37"/>
    </row>
    <row r="15637" spans="2:2" ht="15.9" customHeight="1" x14ac:dyDescent="0.3">
      <c r="B15637" s="37"/>
    </row>
    <row r="15638" spans="2:2" ht="15.9" customHeight="1" x14ac:dyDescent="0.3">
      <c r="B15638" s="37"/>
    </row>
    <row r="15639" spans="2:2" ht="15.9" customHeight="1" x14ac:dyDescent="0.3">
      <c r="B15639" s="37"/>
    </row>
    <row r="15640" spans="2:2" ht="15.9" customHeight="1" x14ac:dyDescent="0.3">
      <c r="B15640" s="37"/>
    </row>
    <row r="15641" spans="2:2" ht="15.9" customHeight="1" x14ac:dyDescent="0.3">
      <c r="B15641" s="37"/>
    </row>
    <row r="15642" spans="2:2" ht="15.9" customHeight="1" x14ac:dyDescent="0.3">
      <c r="B15642" s="37"/>
    </row>
    <row r="15643" spans="2:2" ht="15.9" customHeight="1" x14ac:dyDescent="0.3">
      <c r="B15643" s="37"/>
    </row>
    <row r="15644" spans="2:2" ht="15.9" customHeight="1" x14ac:dyDescent="0.3">
      <c r="B15644" s="37"/>
    </row>
    <row r="15645" spans="2:2" ht="15.9" customHeight="1" x14ac:dyDescent="0.3">
      <c r="B15645" s="37"/>
    </row>
    <row r="15646" spans="2:2" ht="15.9" customHeight="1" x14ac:dyDescent="0.3">
      <c r="B15646" s="37"/>
    </row>
    <row r="15647" spans="2:2" ht="15.9" customHeight="1" x14ac:dyDescent="0.3">
      <c r="B15647" s="37"/>
    </row>
    <row r="15648" spans="2:2" ht="15.9" customHeight="1" x14ac:dyDescent="0.3">
      <c r="B15648" s="37"/>
    </row>
    <row r="15649" spans="2:2" ht="15.9" customHeight="1" x14ac:dyDescent="0.3">
      <c r="B15649" s="37"/>
    </row>
    <row r="15650" spans="2:2" ht="15.9" customHeight="1" x14ac:dyDescent="0.3">
      <c r="B15650" s="37"/>
    </row>
    <row r="15651" spans="2:2" ht="15.9" customHeight="1" x14ac:dyDescent="0.3">
      <c r="B15651" s="37"/>
    </row>
    <row r="15652" spans="2:2" ht="15.9" customHeight="1" x14ac:dyDescent="0.3">
      <c r="B15652" s="37"/>
    </row>
    <row r="15653" spans="2:2" ht="15.9" customHeight="1" x14ac:dyDescent="0.3">
      <c r="B15653" s="37"/>
    </row>
    <row r="15654" spans="2:2" ht="15.9" customHeight="1" x14ac:dyDescent="0.3">
      <c r="B15654" s="37"/>
    </row>
    <row r="15655" spans="2:2" ht="15.9" customHeight="1" x14ac:dyDescent="0.3">
      <c r="B15655" s="37"/>
    </row>
    <row r="15656" spans="2:2" ht="15.9" customHeight="1" x14ac:dyDescent="0.3">
      <c r="B15656" s="37"/>
    </row>
    <row r="15657" spans="2:2" ht="15.9" customHeight="1" x14ac:dyDescent="0.3">
      <c r="B15657" s="37"/>
    </row>
    <row r="15658" spans="2:2" ht="15.9" customHeight="1" x14ac:dyDescent="0.3">
      <c r="B15658" s="37"/>
    </row>
    <row r="15659" spans="2:2" ht="15.9" customHeight="1" x14ac:dyDescent="0.3">
      <c r="B15659" s="37"/>
    </row>
    <row r="15660" spans="2:2" ht="15.9" customHeight="1" x14ac:dyDescent="0.3">
      <c r="B15660" s="37"/>
    </row>
    <row r="15661" spans="2:2" ht="15.9" customHeight="1" x14ac:dyDescent="0.3">
      <c r="B15661" s="37"/>
    </row>
    <row r="15662" spans="2:2" ht="15.9" customHeight="1" x14ac:dyDescent="0.3">
      <c r="B15662" s="37"/>
    </row>
    <row r="15663" spans="2:2" ht="15.9" customHeight="1" x14ac:dyDescent="0.3">
      <c r="B15663" s="37"/>
    </row>
    <row r="15664" spans="2:2" ht="15.9" customHeight="1" x14ac:dyDescent="0.3">
      <c r="B15664" s="37"/>
    </row>
    <row r="15665" spans="2:2" ht="15.9" customHeight="1" x14ac:dyDescent="0.3">
      <c r="B15665" s="37"/>
    </row>
    <row r="15666" spans="2:2" ht="15.9" customHeight="1" x14ac:dyDescent="0.3">
      <c r="B15666" s="37"/>
    </row>
    <row r="15667" spans="2:2" ht="15.9" customHeight="1" x14ac:dyDescent="0.3">
      <c r="B15667" s="37"/>
    </row>
    <row r="15668" spans="2:2" ht="15.9" customHeight="1" x14ac:dyDescent="0.3">
      <c r="B15668" s="37"/>
    </row>
    <row r="15669" spans="2:2" ht="15.9" customHeight="1" x14ac:dyDescent="0.3">
      <c r="B15669" s="37"/>
    </row>
    <row r="15670" spans="2:2" ht="15.9" customHeight="1" x14ac:dyDescent="0.3">
      <c r="B15670" s="37"/>
    </row>
    <row r="15671" spans="2:2" ht="15.9" customHeight="1" x14ac:dyDescent="0.3">
      <c r="B15671" s="37"/>
    </row>
    <row r="15672" spans="2:2" ht="15.9" customHeight="1" x14ac:dyDescent="0.3">
      <c r="B15672" s="37"/>
    </row>
    <row r="15673" spans="2:2" ht="15.9" customHeight="1" x14ac:dyDescent="0.3">
      <c r="B15673" s="37"/>
    </row>
    <row r="15674" spans="2:2" ht="15.9" customHeight="1" x14ac:dyDescent="0.3">
      <c r="B15674" s="37"/>
    </row>
    <row r="15675" spans="2:2" ht="15.9" customHeight="1" x14ac:dyDescent="0.3">
      <c r="B15675" s="37"/>
    </row>
    <row r="15676" spans="2:2" ht="15.9" customHeight="1" x14ac:dyDescent="0.3">
      <c r="B15676" s="37"/>
    </row>
    <row r="15677" spans="2:2" ht="15.9" customHeight="1" x14ac:dyDescent="0.3">
      <c r="B15677" s="37"/>
    </row>
    <row r="15678" spans="2:2" ht="15.9" customHeight="1" x14ac:dyDescent="0.3">
      <c r="B15678" s="37"/>
    </row>
    <row r="15679" spans="2:2" ht="15.9" customHeight="1" x14ac:dyDescent="0.3">
      <c r="B15679" s="37"/>
    </row>
    <row r="15680" spans="2:2" ht="15.9" customHeight="1" x14ac:dyDescent="0.3">
      <c r="B15680" s="37"/>
    </row>
    <row r="15681" spans="2:2" ht="15.9" customHeight="1" x14ac:dyDescent="0.3">
      <c r="B15681" s="37"/>
    </row>
    <row r="15682" spans="2:2" ht="15.9" customHeight="1" x14ac:dyDescent="0.3">
      <c r="B15682" s="37"/>
    </row>
    <row r="15683" spans="2:2" ht="15.9" customHeight="1" x14ac:dyDescent="0.3">
      <c r="B15683" s="37"/>
    </row>
    <row r="15684" spans="2:2" ht="15.9" customHeight="1" x14ac:dyDescent="0.3">
      <c r="B15684" s="37"/>
    </row>
    <row r="15685" spans="2:2" ht="15.9" customHeight="1" x14ac:dyDescent="0.3">
      <c r="B15685" s="37"/>
    </row>
    <row r="15686" spans="2:2" ht="15.9" customHeight="1" x14ac:dyDescent="0.3">
      <c r="B15686" s="37"/>
    </row>
    <row r="15687" spans="2:2" ht="15.9" customHeight="1" x14ac:dyDescent="0.3">
      <c r="B15687" s="37"/>
    </row>
    <row r="15688" spans="2:2" ht="15.9" customHeight="1" x14ac:dyDescent="0.3">
      <c r="B15688" s="37"/>
    </row>
    <row r="15689" spans="2:2" ht="15.9" customHeight="1" x14ac:dyDescent="0.3">
      <c r="B15689" s="37"/>
    </row>
    <row r="15690" spans="2:2" ht="15.9" customHeight="1" x14ac:dyDescent="0.3">
      <c r="B15690" s="37"/>
    </row>
    <row r="15691" spans="2:2" ht="15.9" customHeight="1" x14ac:dyDescent="0.3">
      <c r="B15691" s="37"/>
    </row>
    <row r="15692" spans="2:2" ht="15.9" customHeight="1" x14ac:dyDescent="0.3">
      <c r="B15692" s="37"/>
    </row>
    <row r="15693" spans="2:2" ht="15.9" customHeight="1" x14ac:dyDescent="0.3">
      <c r="B15693" s="37"/>
    </row>
    <row r="15694" spans="2:2" ht="15.9" customHeight="1" x14ac:dyDescent="0.3">
      <c r="B15694" s="37"/>
    </row>
    <row r="15695" spans="2:2" ht="15.9" customHeight="1" x14ac:dyDescent="0.3">
      <c r="B15695" s="37"/>
    </row>
    <row r="15696" spans="2:2" ht="15.9" customHeight="1" x14ac:dyDescent="0.3">
      <c r="B15696" s="37"/>
    </row>
    <row r="15697" spans="2:2" ht="15.9" customHeight="1" x14ac:dyDescent="0.3">
      <c r="B15697" s="37"/>
    </row>
    <row r="15698" spans="2:2" ht="15.9" customHeight="1" x14ac:dyDescent="0.3">
      <c r="B15698" s="37"/>
    </row>
    <row r="15699" spans="2:2" ht="15.9" customHeight="1" x14ac:dyDescent="0.3">
      <c r="B15699" s="37"/>
    </row>
    <row r="15700" spans="2:2" ht="15.9" customHeight="1" x14ac:dyDescent="0.3">
      <c r="B15700" s="37"/>
    </row>
    <row r="15701" spans="2:2" ht="15.9" customHeight="1" x14ac:dyDescent="0.3">
      <c r="B15701" s="37"/>
    </row>
    <row r="15702" spans="2:2" ht="15.9" customHeight="1" x14ac:dyDescent="0.3">
      <c r="B15702" s="37"/>
    </row>
    <row r="15703" spans="2:2" ht="15.9" customHeight="1" x14ac:dyDescent="0.3">
      <c r="B15703" s="37"/>
    </row>
    <row r="15704" spans="2:2" ht="15.9" customHeight="1" x14ac:dyDescent="0.3">
      <c r="B15704" s="37"/>
    </row>
    <row r="15705" spans="2:2" ht="15.9" customHeight="1" x14ac:dyDescent="0.3">
      <c r="B15705" s="37"/>
    </row>
    <row r="15706" spans="2:2" ht="15.9" customHeight="1" x14ac:dyDescent="0.3">
      <c r="B15706" s="37"/>
    </row>
    <row r="15707" spans="2:2" ht="15.9" customHeight="1" x14ac:dyDescent="0.3">
      <c r="B15707" s="37"/>
    </row>
    <row r="15708" spans="2:2" ht="15.9" customHeight="1" x14ac:dyDescent="0.3">
      <c r="B15708" s="37"/>
    </row>
    <row r="15709" spans="2:2" ht="15.9" customHeight="1" x14ac:dyDescent="0.3">
      <c r="B15709" s="37"/>
    </row>
    <row r="15710" spans="2:2" ht="15.9" customHeight="1" x14ac:dyDescent="0.3">
      <c r="B15710" s="37"/>
    </row>
    <row r="15711" spans="2:2" ht="15.9" customHeight="1" x14ac:dyDescent="0.3">
      <c r="B15711" s="37"/>
    </row>
    <row r="15712" spans="2:2" ht="15.9" customHeight="1" x14ac:dyDescent="0.3">
      <c r="B15712" s="37"/>
    </row>
    <row r="15713" spans="2:2" ht="15.9" customHeight="1" x14ac:dyDescent="0.3">
      <c r="B15713" s="37"/>
    </row>
    <row r="15714" spans="2:2" ht="15.9" customHeight="1" x14ac:dyDescent="0.3">
      <c r="B15714" s="37"/>
    </row>
    <row r="15715" spans="2:2" ht="15.9" customHeight="1" x14ac:dyDescent="0.3">
      <c r="B15715" s="37"/>
    </row>
    <row r="15716" spans="2:2" ht="15.9" customHeight="1" x14ac:dyDescent="0.3">
      <c r="B15716" s="37"/>
    </row>
    <row r="15717" spans="2:2" ht="15.9" customHeight="1" x14ac:dyDescent="0.3">
      <c r="B15717" s="37"/>
    </row>
    <row r="15718" spans="2:2" ht="15.9" customHeight="1" x14ac:dyDescent="0.3">
      <c r="B15718" s="37"/>
    </row>
    <row r="15719" spans="2:2" ht="15.9" customHeight="1" x14ac:dyDescent="0.3">
      <c r="B15719" s="37"/>
    </row>
    <row r="15720" spans="2:2" ht="15.9" customHeight="1" x14ac:dyDescent="0.3">
      <c r="B15720" s="37"/>
    </row>
    <row r="15721" spans="2:2" ht="15.9" customHeight="1" x14ac:dyDescent="0.3">
      <c r="B15721" s="37"/>
    </row>
    <row r="15722" spans="2:2" ht="15.9" customHeight="1" x14ac:dyDescent="0.3">
      <c r="B15722" s="37"/>
    </row>
    <row r="15723" spans="2:2" ht="15.9" customHeight="1" x14ac:dyDescent="0.3">
      <c r="B15723" s="37"/>
    </row>
    <row r="15724" spans="2:2" ht="15.9" customHeight="1" x14ac:dyDescent="0.3">
      <c r="B15724" s="37"/>
    </row>
    <row r="15725" spans="2:2" ht="15.9" customHeight="1" x14ac:dyDescent="0.3">
      <c r="B15725" s="37"/>
    </row>
    <row r="15726" spans="2:2" ht="15.9" customHeight="1" x14ac:dyDescent="0.3">
      <c r="B15726" s="37"/>
    </row>
    <row r="15727" spans="2:2" ht="15.9" customHeight="1" x14ac:dyDescent="0.3">
      <c r="B15727" s="37"/>
    </row>
    <row r="15728" spans="2:2" ht="15.9" customHeight="1" x14ac:dyDescent="0.3">
      <c r="B15728" s="37"/>
    </row>
    <row r="15729" spans="2:2" ht="15.9" customHeight="1" x14ac:dyDescent="0.3">
      <c r="B15729" s="37"/>
    </row>
    <row r="15730" spans="2:2" ht="15.9" customHeight="1" x14ac:dyDescent="0.3">
      <c r="B15730" s="37"/>
    </row>
    <row r="15731" spans="2:2" ht="15.9" customHeight="1" x14ac:dyDescent="0.3">
      <c r="B15731" s="37"/>
    </row>
    <row r="15732" spans="2:2" ht="15.9" customHeight="1" x14ac:dyDescent="0.3">
      <c r="B15732" s="37"/>
    </row>
    <row r="15733" spans="2:2" ht="15.9" customHeight="1" x14ac:dyDescent="0.3">
      <c r="B15733" s="37"/>
    </row>
    <row r="15734" spans="2:2" ht="15.9" customHeight="1" x14ac:dyDescent="0.3">
      <c r="B15734" s="37"/>
    </row>
    <row r="15735" spans="2:2" ht="15.9" customHeight="1" x14ac:dyDescent="0.3">
      <c r="B15735" s="37"/>
    </row>
    <row r="15736" spans="2:2" ht="15.9" customHeight="1" x14ac:dyDescent="0.3">
      <c r="B15736" s="37"/>
    </row>
    <row r="15737" spans="2:2" ht="15.9" customHeight="1" x14ac:dyDescent="0.3">
      <c r="B15737" s="37"/>
    </row>
    <row r="15738" spans="2:2" ht="15.9" customHeight="1" x14ac:dyDescent="0.3">
      <c r="B15738" s="37"/>
    </row>
    <row r="15739" spans="2:2" ht="15.9" customHeight="1" x14ac:dyDescent="0.3">
      <c r="B15739" s="37"/>
    </row>
    <row r="15740" spans="2:2" ht="15.9" customHeight="1" x14ac:dyDescent="0.3">
      <c r="B15740" s="37"/>
    </row>
    <row r="15741" spans="2:2" ht="15.9" customHeight="1" x14ac:dyDescent="0.3">
      <c r="B15741" s="37"/>
    </row>
    <row r="15742" spans="2:2" ht="15.9" customHeight="1" x14ac:dyDescent="0.3">
      <c r="B15742" s="37"/>
    </row>
    <row r="15743" spans="2:2" ht="15.9" customHeight="1" x14ac:dyDescent="0.3">
      <c r="B15743" s="37"/>
    </row>
    <row r="15744" spans="2:2" ht="15.9" customHeight="1" x14ac:dyDescent="0.3">
      <c r="B15744" s="37"/>
    </row>
    <row r="15745" spans="2:2" ht="15.9" customHeight="1" x14ac:dyDescent="0.3">
      <c r="B15745" s="37"/>
    </row>
    <row r="15746" spans="2:2" ht="15.9" customHeight="1" x14ac:dyDescent="0.3">
      <c r="B15746" s="37"/>
    </row>
    <row r="15747" spans="2:2" ht="15.9" customHeight="1" x14ac:dyDescent="0.3">
      <c r="B15747" s="37"/>
    </row>
    <row r="15748" spans="2:2" ht="15.9" customHeight="1" x14ac:dyDescent="0.3">
      <c r="B15748" s="37"/>
    </row>
    <row r="15749" spans="2:2" ht="15.9" customHeight="1" x14ac:dyDescent="0.3">
      <c r="B15749" s="37"/>
    </row>
    <row r="15750" spans="2:2" ht="15.9" customHeight="1" x14ac:dyDescent="0.3">
      <c r="B15750" s="37"/>
    </row>
    <row r="15751" spans="2:2" ht="15.9" customHeight="1" x14ac:dyDescent="0.3">
      <c r="B15751" s="37"/>
    </row>
    <row r="15752" spans="2:2" ht="15.9" customHeight="1" x14ac:dyDescent="0.3">
      <c r="B15752" s="37"/>
    </row>
    <row r="15753" spans="2:2" ht="15.9" customHeight="1" x14ac:dyDescent="0.3">
      <c r="B15753" s="37"/>
    </row>
    <row r="15754" spans="2:2" ht="15.9" customHeight="1" x14ac:dyDescent="0.3">
      <c r="B15754" s="37"/>
    </row>
    <row r="15755" spans="2:2" ht="15.9" customHeight="1" x14ac:dyDescent="0.3">
      <c r="B15755" s="37"/>
    </row>
    <row r="15756" spans="2:2" ht="15.9" customHeight="1" x14ac:dyDescent="0.3">
      <c r="B15756" s="37"/>
    </row>
    <row r="15757" spans="2:2" ht="15.9" customHeight="1" x14ac:dyDescent="0.3">
      <c r="B15757" s="37"/>
    </row>
    <row r="15758" spans="2:2" ht="15.9" customHeight="1" x14ac:dyDescent="0.3">
      <c r="B15758" s="37"/>
    </row>
    <row r="15759" spans="2:2" ht="15.9" customHeight="1" x14ac:dyDescent="0.3">
      <c r="B15759" s="37"/>
    </row>
    <row r="15760" spans="2:2" ht="15.9" customHeight="1" x14ac:dyDescent="0.3">
      <c r="B15760" s="37"/>
    </row>
    <row r="15761" spans="2:2" ht="15.9" customHeight="1" x14ac:dyDescent="0.3">
      <c r="B15761" s="37"/>
    </row>
    <row r="15762" spans="2:2" ht="15.9" customHeight="1" x14ac:dyDescent="0.3">
      <c r="B15762" s="37"/>
    </row>
    <row r="15763" spans="2:2" ht="15.9" customHeight="1" x14ac:dyDescent="0.3">
      <c r="B15763" s="37"/>
    </row>
    <row r="15764" spans="2:2" ht="15.9" customHeight="1" x14ac:dyDescent="0.3">
      <c r="B15764" s="37"/>
    </row>
    <row r="15765" spans="2:2" ht="15.9" customHeight="1" x14ac:dyDescent="0.3">
      <c r="B15765" s="37"/>
    </row>
    <row r="15766" spans="2:2" ht="15.9" customHeight="1" x14ac:dyDescent="0.3">
      <c r="B15766" s="37"/>
    </row>
    <row r="15767" spans="2:2" ht="15.9" customHeight="1" x14ac:dyDescent="0.3">
      <c r="B15767" s="37"/>
    </row>
    <row r="15768" spans="2:2" ht="15.9" customHeight="1" x14ac:dyDescent="0.3">
      <c r="B15768" s="37"/>
    </row>
    <row r="15769" spans="2:2" ht="15.9" customHeight="1" x14ac:dyDescent="0.3">
      <c r="B15769" s="37"/>
    </row>
    <row r="15770" spans="2:2" ht="15.9" customHeight="1" x14ac:dyDescent="0.3">
      <c r="B15770" s="37"/>
    </row>
    <row r="15771" spans="2:2" ht="15.9" customHeight="1" x14ac:dyDescent="0.3">
      <c r="B15771" s="37"/>
    </row>
    <row r="15772" spans="2:2" ht="15.9" customHeight="1" x14ac:dyDescent="0.3">
      <c r="B15772" s="37"/>
    </row>
    <row r="15773" spans="2:2" ht="15.9" customHeight="1" x14ac:dyDescent="0.3">
      <c r="B15773" s="37"/>
    </row>
    <row r="15774" spans="2:2" ht="15.9" customHeight="1" x14ac:dyDescent="0.3">
      <c r="B15774" s="37"/>
    </row>
    <row r="15775" spans="2:2" ht="15.9" customHeight="1" x14ac:dyDescent="0.3">
      <c r="B15775" s="37"/>
    </row>
    <row r="15776" spans="2:2" ht="15.9" customHeight="1" x14ac:dyDescent="0.3">
      <c r="B15776" s="37"/>
    </row>
    <row r="15777" spans="2:2" ht="15.9" customHeight="1" x14ac:dyDescent="0.3">
      <c r="B15777" s="37"/>
    </row>
    <row r="15778" spans="2:2" ht="15.9" customHeight="1" x14ac:dyDescent="0.3">
      <c r="B15778" s="37"/>
    </row>
    <row r="15779" spans="2:2" ht="15.9" customHeight="1" x14ac:dyDescent="0.3">
      <c r="B15779" s="37"/>
    </row>
    <row r="15780" spans="2:2" ht="15.9" customHeight="1" x14ac:dyDescent="0.3">
      <c r="B15780" s="37"/>
    </row>
    <row r="15781" spans="2:2" ht="15.9" customHeight="1" x14ac:dyDescent="0.3">
      <c r="B15781" s="37"/>
    </row>
    <row r="15782" spans="2:2" ht="15.9" customHeight="1" x14ac:dyDescent="0.3">
      <c r="B15782" s="37"/>
    </row>
    <row r="15783" spans="2:2" ht="15.9" customHeight="1" x14ac:dyDescent="0.3">
      <c r="B15783" s="37"/>
    </row>
    <row r="15784" spans="2:2" ht="15.9" customHeight="1" x14ac:dyDescent="0.3">
      <c r="B15784" s="37"/>
    </row>
    <row r="15785" spans="2:2" ht="15.9" customHeight="1" x14ac:dyDescent="0.3">
      <c r="B15785" s="37"/>
    </row>
    <row r="15786" spans="2:2" ht="15.9" customHeight="1" x14ac:dyDescent="0.3">
      <c r="B15786" s="37"/>
    </row>
    <row r="15787" spans="2:2" ht="15.9" customHeight="1" x14ac:dyDescent="0.3">
      <c r="B15787" s="37"/>
    </row>
    <row r="15788" spans="2:2" ht="15.9" customHeight="1" x14ac:dyDescent="0.3">
      <c r="B15788" s="37"/>
    </row>
    <row r="15789" spans="2:2" ht="15.9" customHeight="1" x14ac:dyDescent="0.3">
      <c r="B15789" s="37"/>
    </row>
    <row r="15790" spans="2:2" ht="15.9" customHeight="1" x14ac:dyDescent="0.3">
      <c r="B15790" s="37"/>
    </row>
    <row r="15791" spans="2:2" ht="15.9" customHeight="1" x14ac:dyDescent="0.3">
      <c r="B15791" s="37"/>
    </row>
    <row r="15792" spans="2:2" ht="15.9" customHeight="1" x14ac:dyDescent="0.3">
      <c r="B15792" s="37"/>
    </row>
    <row r="15793" spans="2:2" ht="15.9" customHeight="1" x14ac:dyDescent="0.3">
      <c r="B15793" s="37"/>
    </row>
    <row r="15794" spans="2:2" ht="15.9" customHeight="1" x14ac:dyDescent="0.3">
      <c r="B15794" s="37"/>
    </row>
    <row r="15795" spans="2:2" ht="15.9" customHeight="1" x14ac:dyDescent="0.3">
      <c r="B15795" s="37"/>
    </row>
    <row r="15796" spans="2:2" ht="15.9" customHeight="1" x14ac:dyDescent="0.3">
      <c r="B15796" s="37"/>
    </row>
    <row r="15797" spans="2:2" ht="15.9" customHeight="1" x14ac:dyDescent="0.3">
      <c r="B15797" s="37"/>
    </row>
    <row r="15798" spans="2:2" ht="15.9" customHeight="1" x14ac:dyDescent="0.3">
      <c r="B15798" s="37"/>
    </row>
    <row r="15799" spans="2:2" ht="15.9" customHeight="1" x14ac:dyDescent="0.3">
      <c r="B15799" s="37"/>
    </row>
    <row r="15800" spans="2:2" ht="15.9" customHeight="1" x14ac:dyDescent="0.3">
      <c r="B15800" s="37"/>
    </row>
    <row r="15801" spans="2:2" ht="15.9" customHeight="1" x14ac:dyDescent="0.3">
      <c r="B15801" s="37"/>
    </row>
    <row r="15802" spans="2:2" ht="15.9" customHeight="1" x14ac:dyDescent="0.3">
      <c r="B15802" s="37"/>
    </row>
    <row r="15803" spans="2:2" ht="15.9" customHeight="1" x14ac:dyDescent="0.3">
      <c r="B15803" s="37"/>
    </row>
    <row r="15804" spans="2:2" ht="15.9" customHeight="1" x14ac:dyDescent="0.3">
      <c r="B15804" s="37"/>
    </row>
    <row r="15805" spans="2:2" ht="15.9" customHeight="1" x14ac:dyDescent="0.3">
      <c r="B15805" s="37"/>
    </row>
    <row r="15806" spans="2:2" ht="15.9" customHeight="1" x14ac:dyDescent="0.3">
      <c r="B15806" s="37"/>
    </row>
    <row r="15807" spans="2:2" ht="15.9" customHeight="1" x14ac:dyDescent="0.3">
      <c r="B15807" s="37"/>
    </row>
    <row r="15808" spans="2:2" ht="15.9" customHeight="1" x14ac:dyDescent="0.3">
      <c r="B15808" s="37"/>
    </row>
    <row r="15809" spans="2:2" ht="15.9" customHeight="1" x14ac:dyDescent="0.3">
      <c r="B15809" s="37"/>
    </row>
    <row r="15810" spans="2:2" ht="15.9" customHeight="1" x14ac:dyDescent="0.3">
      <c r="B15810" s="37"/>
    </row>
    <row r="15811" spans="2:2" ht="15.9" customHeight="1" x14ac:dyDescent="0.3">
      <c r="B15811" s="37"/>
    </row>
    <row r="15812" spans="2:2" ht="15.9" customHeight="1" x14ac:dyDescent="0.3">
      <c r="B15812" s="37"/>
    </row>
    <row r="15813" spans="2:2" ht="15.9" customHeight="1" x14ac:dyDescent="0.3">
      <c r="B15813" s="37"/>
    </row>
    <row r="15814" spans="2:2" ht="15.9" customHeight="1" x14ac:dyDescent="0.3">
      <c r="B15814" s="37"/>
    </row>
    <row r="15815" spans="2:2" ht="15.9" customHeight="1" x14ac:dyDescent="0.3">
      <c r="B15815" s="37"/>
    </row>
    <row r="15816" spans="2:2" ht="15.9" customHeight="1" x14ac:dyDescent="0.3">
      <c r="B15816" s="37"/>
    </row>
    <row r="15817" spans="2:2" ht="15.9" customHeight="1" x14ac:dyDescent="0.3">
      <c r="B15817" s="37"/>
    </row>
    <row r="15818" spans="2:2" ht="15.9" customHeight="1" x14ac:dyDescent="0.3">
      <c r="B15818" s="37"/>
    </row>
    <row r="15819" spans="2:2" ht="15.9" customHeight="1" x14ac:dyDescent="0.3">
      <c r="B15819" s="37"/>
    </row>
    <row r="15820" spans="2:2" ht="15.9" customHeight="1" x14ac:dyDescent="0.3">
      <c r="B15820" s="37"/>
    </row>
    <row r="15821" spans="2:2" ht="15.9" customHeight="1" x14ac:dyDescent="0.3">
      <c r="B15821" s="37"/>
    </row>
    <row r="15822" spans="2:2" ht="15.9" customHeight="1" x14ac:dyDescent="0.3">
      <c r="B15822" s="37"/>
    </row>
    <row r="15823" spans="2:2" ht="15.9" customHeight="1" x14ac:dyDescent="0.3">
      <c r="B15823" s="37"/>
    </row>
    <row r="15824" spans="2:2" ht="15.9" customHeight="1" x14ac:dyDescent="0.3">
      <c r="B15824" s="37"/>
    </row>
    <row r="15825" spans="2:2" ht="15.9" customHeight="1" x14ac:dyDescent="0.3">
      <c r="B15825" s="37"/>
    </row>
    <row r="15826" spans="2:2" ht="15.9" customHeight="1" x14ac:dyDescent="0.3">
      <c r="B15826" s="37"/>
    </row>
    <row r="15827" spans="2:2" ht="15.9" customHeight="1" x14ac:dyDescent="0.3">
      <c r="B15827" s="37"/>
    </row>
    <row r="15828" spans="2:2" ht="15.9" customHeight="1" x14ac:dyDescent="0.3">
      <c r="B15828" s="37"/>
    </row>
    <row r="15829" spans="2:2" ht="15.9" customHeight="1" x14ac:dyDescent="0.3">
      <c r="B15829" s="37"/>
    </row>
    <row r="15830" spans="2:2" ht="15.9" customHeight="1" x14ac:dyDescent="0.3">
      <c r="B15830" s="37"/>
    </row>
    <row r="15831" spans="2:2" ht="15.9" customHeight="1" x14ac:dyDescent="0.3">
      <c r="B15831" s="37"/>
    </row>
    <row r="15832" spans="2:2" ht="15.9" customHeight="1" x14ac:dyDescent="0.3">
      <c r="B15832" s="37"/>
    </row>
    <row r="15833" spans="2:2" ht="15.9" customHeight="1" x14ac:dyDescent="0.3">
      <c r="B15833" s="37"/>
    </row>
    <row r="15834" spans="2:2" ht="15.9" customHeight="1" x14ac:dyDescent="0.3">
      <c r="B15834" s="37"/>
    </row>
    <row r="15835" spans="2:2" ht="15.9" customHeight="1" x14ac:dyDescent="0.3">
      <c r="B15835" s="37"/>
    </row>
    <row r="15836" spans="2:2" ht="15.9" customHeight="1" x14ac:dyDescent="0.3">
      <c r="B15836" s="37"/>
    </row>
    <row r="15837" spans="2:2" ht="15.9" customHeight="1" x14ac:dyDescent="0.3">
      <c r="B15837" s="37"/>
    </row>
    <row r="15838" spans="2:2" ht="15.9" customHeight="1" x14ac:dyDescent="0.3">
      <c r="B15838" s="37"/>
    </row>
    <row r="15839" spans="2:2" ht="15.9" customHeight="1" x14ac:dyDescent="0.3">
      <c r="B15839" s="37"/>
    </row>
    <row r="15840" spans="2:2" ht="15.9" customHeight="1" x14ac:dyDescent="0.3">
      <c r="B15840" s="37"/>
    </row>
    <row r="15841" spans="2:2" ht="15.9" customHeight="1" x14ac:dyDescent="0.3">
      <c r="B15841" s="37"/>
    </row>
    <row r="15842" spans="2:2" ht="15.9" customHeight="1" x14ac:dyDescent="0.3">
      <c r="B15842" s="37"/>
    </row>
    <row r="15843" spans="2:2" ht="15.9" customHeight="1" x14ac:dyDescent="0.3">
      <c r="B15843" s="37"/>
    </row>
    <row r="15844" spans="2:2" ht="15.9" customHeight="1" x14ac:dyDescent="0.3">
      <c r="B15844" s="37"/>
    </row>
    <row r="15845" spans="2:2" ht="15.9" customHeight="1" x14ac:dyDescent="0.3">
      <c r="B15845" s="37"/>
    </row>
    <row r="15846" spans="2:2" ht="15.9" customHeight="1" x14ac:dyDescent="0.3">
      <c r="B15846" s="37"/>
    </row>
    <row r="15847" spans="2:2" ht="15.9" customHeight="1" x14ac:dyDescent="0.3">
      <c r="B15847" s="37"/>
    </row>
    <row r="15848" spans="2:2" ht="15.9" customHeight="1" x14ac:dyDescent="0.3">
      <c r="B15848" s="37"/>
    </row>
    <row r="15849" spans="2:2" ht="15.9" customHeight="1" x14ac:dyDescent="0.3">
      <c r="B15849" s="37"/>
    </row>
    <row r="15850" spans="2:2" ht="15.9" customHeight="1" x14ac:dyDescent="0.3">
      <c r="B15850" s="37"/>
    </row>
    <row r="15851" spans="2:2" ht="15.9" customHeight="1" x14ac:dyDescent="0.3">
      <c r="B15851" s="37"/>
    </row>
    <row r="15852" spans="2:2" ht="15.9" customHeight="1" x14ac:dyDescent="0.3">
      <c r="B15852" s="37"/>
    </row>
    <row r="15853" spans="2:2" ht="15.9" customHeight="1" x14ac:dyDescent="0.3">
      <c r="B15853" s="37"/>
    </row>
    <row r="15854" spans="2:2" ht="15.9" customHeight="1" x14ac:dyDescent="0.3">
      <c r="B15854" s="37"/>
    </row>
    <row r="15855" spans="2:2" ht="15.9" customHeight="1" x14ac:dyDescent="0.3">
      <c r="B15855" s="37"/>
    </row>
    <row r="15856" spans="2:2" ht="15.9" customHeight="1" x14ac:dyDescent="0.3">
      <c r="B15856" s="37"/>
    </row>
    <row r="15857" spans="2:2" ht="15.9" customHeight="1" x14ac:dyDescent="0.3">
      <c r="B15857" s="37"/>
    </row>
    <row r="15858" spans="2:2" ht="15.9" customHeight="1" x14ac:dyDescent="0.3">
      <c r="B15858" s="37"/>
    </row>
    <row r="15859" spans="2:2" ht="15.9" customHeight="1" x14ac:dyDescent="0.3">
      <c r="B15859" s="37"/>
    </row>
    <row r="15860" spans="2:2" ht="15.9" customHeight="1" x14ac:dyDescent="0.3">
      <c r="B15860" s="37"/>
    </row>
    <row r="15861" spans="2:2" ht="15.9" customHeight="1" x14ac:dyDescent="0.3">
      <c r="B15861" s="37"/>
    </row>
    <row r="15862" spans="2:2" ht="15.9" customHeight="1" x14ac:dyDescent="0.3">
      <c r="B15862" s="37"/>
    </row>
    <row r="15863" spans="2:2" ht="15.9" customHeight="1" x14ac:dyDescent="0.3">
      <c r="B15863" s="37"/>
    </row>
    <row r="15864" spans="2:2" ht="15.9" customHeight="1" x14ac:dyDescent="0.3">
      <c r="B15864" s="37"/>
    </row>
    <row r="15865" spans="2:2" ht="15.9" customHeight="1" x14ac:dyDescent="0.3">
      <c r="B15865" s="37"/>
    </row>
    <row r="15866" spans="2:2" ht="15.9" customHeight="1" x14ac:dyDescent="0.3">
      <c r="B15866" s="37"/>
    </row>
    <row r="15867" spans="2:2" ht="15.9" customHeight="1" x14ac:dyDescent="0.3">
      <c r="B15867" s="37"/>
    </row>
    <row r="15868" spans="2:2" ht="15.9" customHeight="1" x14ac:dyDescent="0.3">
      <c r="B15868" s="37"/>
    </row>
    <row r="15869" spans="2:2" ht="15.9" customHeight="1" x14ac:dyDescent="0.3">
      <c r="B15869" s="37"/>
    </row>
    <row r="15870" spans="2:2" ht="15.9" customHeight="1" x14ac:dyDescent="0.3">
      <c r="B15870" s="37"/>
    </row>
    <row r="15871" spans="2:2" ht="15.9" customHeight="1" x14ac:dyDescent="0.3">
      <c r="B15871" s="37"/>
    </row>
    <row r="15872" spans="2:2" ht="15.9" customHeight="1" x14ac:dyDescent="0.3">
      <c r="B15872" s="37"/>
    </row>
    <row r="15873" spans="2:2" ht="15.9" customHeight="1" x14ac:dyDescent="0.3">
      <c r="B15873" s="37"/>
    </row>
    <row r="15874" spans="2:2" ht="15.9" customHeight="1" x14ac:dyDescent="0.3">
      <c r="B15874" s="37"/>
    </row>
    <row r="15875" spans="2:2" ht="15.9" customHeight="1" x14ac:dyDescent="0.3">
      <c r="B15875" s="37"/>
    </row>
    <row r="15876" spans="2:2" ht="15.9" customHeight="1" x14ac:dyDescent="0.3">
      <c r="B15876" s="37"/>
    </row>
    <row r="15877" spans="2:2" ht="15.9" customHeight="1" x14ac:dyDescent="0.3">
      <c r="B15877" s="37"/>
    </row>
    <row r="15878" spans="2:2" ht="15.9" customHeight="1" x14ac:dyDescent="0.3">
      <c r="B15878" s="37"/>
    </row>
    <row r="15879" spans="2:2" ht="15.9" customHeight="1" x14ac:dyDescent="0.3">
      <c r="B15879" s="37"/>
    </row>
    <row r="15880" spans="2:2" ht="15.9" customHeight="1" x14ac:dyDescent="0.3">
      <c r="B15880" s="37"/>
    </row>
    <row r="15881" spans="2:2" ht="15.9" customHeight="1" x14ac:dyDescent="0.3">
      <c r="B15881" s="37"/>
    </row>
    <row r="15882" spans="2:2" ht="15.9" customHeight="1" x14ac:dyDescent="0.3">
      <c r="B15882" s="37"/>
    </row>
    <row r="15883" spans="2:2" ht="15.9" customHeight="1" x14ac:dyDescent="0.3">
      <c r="B15883" s="37"/>
    </row>
    <row r="15884" spans="2:2" ht="15.9" customHeight="1" x14ac:dyDescent="0.3">
      <c r="B15884" s="37"/>
    </row>
    <row r="15885" spans="2:2" ht="15.9" customHeight="1" x14ac:dyDescent="0.3">
      <c r="B15885" s="37"/>
    </row>
    <row r="15886" spans="2:2" ht="15.9" customHeight="1" x14ac:dyDescent="0.3">
      <c r="B15886" s="37"/>
    </row>
    <row r="15887" spans="2:2" ht="15.9" customHeight="1" x14ac:dyDescent="0.3">
      <c r="B15887" s="37"/>
    </row>
    <row r="15888" spans="2:2" ht="15.9" customHeight="1" x14ac:dyDescent="0.3">
      <c r="B15888" s="37"/>
    </row>
    <row r="15889" spans="2:2" ht="15.9" customHeight="1" x14ac:dyDescent="0.3">
      <c r="B15889" s="37"/>
    </row>
    <row r="15890" spans="2:2" ht="15.9" customHeight="1" x14ac:dyDescent="0.3">
      <c r="B15890" s="37"/>
    </row>
    <row r="15891" spans="2:2" ht="15.9" customHeight="1" x14ac:dyDescent="0.3">
      <c r="B15891" s="37"/>
    </row>
    <row r="15892" spans="2:2" ht="15.9" customHeight="1" x14ac:dyDescent="0.3">
      <c r="B15892" s="37"/>
    </row>
    <row r="15893" spans="2:2" ht="15.9" customHeight="1" x14ac:dyDescent="0.3">
      <c r="B15893" s="37"/>
    </row>
    <row r="15894" spans="2:2" ht="15.9" customHeight="1" x14ac:dyDescent="0.3">
      <c r="B15894" s="37"/>
    </row>
    <row r="15895" spans="2:2" ht="15.9" customHeight="1" x14ac:dyDescent="0.3">
      <c r="B15895" s="37"/>
    </row>
    <row r="15896" spans="2:2" ht="15.9" customHeight="1" x14ac:dyDescent="0.3">
      <c r="B15896" s="37"/>
    </row>
    <row r="15897" spans="2:2" ht="15.9" customHeight="1" x14ac:dyDescent="0.3">
      <c r="B15897" s="37"/>
    </row>
    <row r="15898" spans="2:2" ht="15.9" customHeight="1" x14ac:dyDescent="0.3">
      <c r="B15898" s="37"/>
    </row>
    <row r="15899" spans="2:2" ht="15.9" customHeight="1" x14ac:dyDescent="0.3">
      <c r="B15899" s="37"/>
    </row>
    <row r="15900" spans="2:2" ht="15.9" customHeight="1" x14ac:dyDescent="0.3">
      <c r="B15900" s="37"/>
    </row>
    <row r="15901" spans="2:2" ht="15.9" customHeight="1" x14ac:dyDescent="0.3">
      <c r="B15901" s="37"/>
    </row>
    <row r="15902" spans="2:2" ht="15.9" customHeight="1" x14ac:dyDescent="0.3">
      <c r="B15902" s="37"/>
    </row>
    <row r="15903" spans="2:2" ht="15.9" customHeight="1" x14ac:dyDescent="0.3">
      <c r="B15903" s="37"/>
    </row>
    <row r="15904" spans="2:2" ht="15.9" customHeight="1" x14ac:dyDescent="0.3">
      <c r="B15904" s="37"/>
    </row>
    <row r="15905" spans="2:2" ht="15.9" customHeight="1" x14ac:dyDescent="0.3">
      <c r="B15905" s="37"/>
    </row>
    <row r="15906" spans="2:2" ht="15.9" customHeight="1" x14ac:dyDescent="0.3">
      <c r="B15906" s="37"/>
    </row>
    <row r="15907" spans="2:2" ht="15.9" customHeight="1" x14ac:dyDescent="0.3">
      <c r="B15907" s="37"/>
    </row>
    <row r="15908" spans="2:2" ht="15.9" customHeight="1" x14ac:dyDescent="0.3">
      <c r="B15908" s="37"/>
    </row>
    <row r="15909" spans="2:2" ht="15.9" customHeight="1" x14ac:dyDescent="0.3">
      <c r="B15909" s="37"/>
    </row>
    <row r="15910" spans="2:2" ht="15.9" customHeight="1" x14ac:dyDescent="0.3">
      <c r="B15910" s="37"/>
    </row>
    <row r="15911" spans="2:2" ht="15.9" customHeight="1" x14ac:dyDescent="0.3">
      <c r="B15911" s="37"/>
    </row>
    <row r="15912" spans="2:2" ht="15.9" customHeight="1" x14ac:dyDescent="0.3">
      <c r="B15912" s="37"/>
    </row>
    <row r="15913" spans="2:2" ht="15.9" customHeight="1" x14ac:dyDescent="0.3">
      <c r="B15913" s="37"/>
    </row>
    <row r="15914" spans="2:2" ht="15.9" customHeight="1" x14ac:dyDescent="0.3">
      <c r="B15914" s="37"/>
    </row>
    <row r="15915" spans="2:2" ht="15.9" customHeight="1" x14ac:dyDescent="0.3">
      <c r="B15915" s="37"/>
    </row>
    <row r="15916" spans="2:2" ht="15.9" customHeight="1" x14ac:dyDescent="0.3">
      <c r="B15916" s="37"/>
    </row>
    <row r="15917" spans="2:2" ht="15.9" customHeight="1" x14ac:dyDescent="0.3">
      <c r="B15917" s="37"/>
    </row>
    <row r="15918" spans="2:2" ht="15.9" customHeight="1" x14ac:dyDescent="0.3">
      <c r="B15918" s="37"/>
    </row>
    <row r="15919" spans="2:2" ht="15.9" customHeight="1" x14ac:dyDescent="0.3">
      <c r="B15919" s="37"/>
    </row>
    <row r="15920" spans="2:2" ht="15.9" customHeight="1" x14ac:dyDescent="0.3">
      <c r="B15920" s="37"/>
    </row>
    <row r="15921" spans="2:2" ht="15.9" customHeight="1" x14ac:dyDescent="0.3">
      <c r="B15921" s="37"/>
    </row>
    <row r="15922" spans="2:2" ht="15.9" customHeight="1" x14ac:dyDescent="0.3">
      <c r="B15922" s="37"/>
    </row>
    <row r="15923" spans="2:2" ht="15.9" customHeight="1" x14ac:dyDescent="0.3">
      <c r="B15923" s="37"/>
    </row>
    <row r="15924" spans="2:2" ht="15.9" customHeight="1" x14ac:dyDescent="0.3">
      <c r="B15924" s="37"/>
    </row>
    <row r="15925" spans="2:2" ht="15.9" customHeight="1" x14ac:dyDescent="0.3">
      <c r="B15925" s="37"/>
    </row>
    <row r="15926" spans="2:2" ht="15.9" customHeight="1" x14ac:dyDescent="0.3">
      <c r="B15926" s="37"/>
    </row>
    <row r="15927" spans="2:2" ht="15.9" customHeight="1" x14ac:dyDescent="0.3">
      <c r="B15927" s="37"/>
    </row>
    <row r="15928" spans="2:2" ht="15.9" customHeight="1" x14ac:dyDescent="0.3">
      <c r="B15928" s="37"/>
    </row>
    <row r="15929" spans="2:2" ht="15.9" customHeight="1" x14ac:dyDescent="0.3">
      <c r="B15929" s="37"/>
    </row>
    <row r="15930" spans="2:2" ht="15.9" customHeight="1" x14ac:dyDescent="0.3">
      <c r="B15930" s="37"/>
    </row>
    <row r="15931" spans="2:2" ht="15.9" customHeight="1" x14ac:dyDescent="0.3">
      <c r="B15931" s="37"/>
    </row>
    <row r="15932" spans="2:2" ht="15.9" customHeight="1" x14ac:dyDescent="0.3">
      <c r="B15932" s="37"/>
    </row>
    <row r="15933" spans="2:2" ht="15.9" customHeight="1" x14ac:dyDescent="0.3">
      <c r="B15933" s="37"/>
    </row>
    <row r="15934" spans="2:2" ht="15.9" customHeight="1" x14ac:dyDescent="0.3">
      <c r="B15934" s="37"/>
    </row>
    <row r="15935" spans="2:2" ht="15.9" customHeight="1" x14ac:dyDescent="0.3">
      <c r="B15935" s="37"/>
    </row>
    <row r="15936" spans="2:2" ht="15.9" customHeight="1" x14ac:dyDescent="0.3">
      <c r="B15936" s="37"/>
    </row>
    <row r="15937" spans="2:2" ht="15.9" customHeight="1" x14ac:dyDescent="0.3">
      <c r="B15937" s="37"/>
    </row>
    <row r="15938" spans="2:2" ht="15.9" customHeight="1" x14ac:dyDescent="0.3">
      <c r="B15938" s="37"/>
    </row>
    <row r="15939" spans="2:2" ht="15.9" customHeight="1" x14ac:dyDescent="0.3">
      <c r="B15939" s="37"/>
    </row>
    <row r="15940" spans="2:2" ht="15.9" customHeight="1" x14ac:dyDescent="0.3">
      <c r="B15940" s="37"/>
    </row>
    <row r="15941" spans="2:2" ht="15.9" customHeight="1" x14ac:dyDescent="0.3">
      <c r="B15941" s="37"/>
    </row>
    <row r="15942" spans="2:2" ht="15.9" customHeight="1" x14ac:dyDescent="0.3">
      <c r="B15942" s="37"/>
    </row>
    <row r="15943" spans="2:2" ht="15.9" customHeight="1" x14ac:dyDescent="0.3">
      <c r="B15943" s="37"/>
    </row>
    <row r="15944" spans="2:2" ht="15.9" customHeight="1" x14ac:dyDescent="0.3">
      <c r="B15944" s="37"/>
    </row>
    <row r="15945" spans="2:2" ht="15.9" customHeight="1" x14ac:dyDescent="0.3">
      <c r="B15945" s="37"/>
    </row>
    <row r="15946" spans="2:2" ht="15.9" customHeight="1" x14ac:dyDescent="0.3">
      <c r="B15946" s="37"/>
    </row>
    <row r="15947" spans="2:2" ht="15.9" customHeight="1" x14ac:dyDescent="0.3">
      <c r="B15947" s="37"/>
    </row>
    <row r="15948" spans="2:2" ht="15.9" customHeight="1" x14ac:dyDescent="0.3">
      <c r="B15948" s="37"/>
    </row>
    <row r="15949" spans="2:2" ht="15.9" customHeight="1" x14ac:dyDescent="0.3">
      <c r="B15949" s="37"/>
    </row>
    <row r="15950" spans="2:2" ht="15.9" customHeight="1" x14ac:dyDescent="0.3">
      <c r="B15950" s="37"/>
    </row>
    <row r="15951" spans="2:2" ht="15.9" customHeight="1" x14ac:dyDescent="0.3">
      <c r="B15951" s="37"/>
    </row>
    <row r="15952" spans="2:2" ht="15.9" customHeight="1" x14ac:dyDescent="0.3">
      <c r="B15952" s="37"/>
    </row>
    <row r="15953" spans="2:2" ht="15.9" customHeight="1" x14ac:dyDescent="0.3">
      <c r="B15953" s="37"/>
    </row>
    <row r="15954" spans="2:2" ht="15.9" customHeight="1" x14ac:dyDescent="0.3">
      <c r="B15954" s="37"/>
    </row>
    <row r="15955" spans="2:2" ht="15.9" customHeight="1" x14ac:dyDescent="0.3">
      <c r="B15955" s="37"/>
    </row>
    <row r="15956" spans="2:2" ht="15.9" customHeight="1" x14ac:dyDescent="0.3">
      <c r="B15956" s="37"/>
    </row>
    <row r="15957" spans="2:2" ht="15.9" customHeight="1" x14ac:dyDescent="0.3">
      <c r="B15957" s="37"/>
    </row>
    <row r="15958" spans="2:2" ht="15.9" customHeight="1" x14ac:dyDescent="0.3">
      <c r="B15958" s="37"/>
    </row>
    <row r="15959" spans="2:2" ht="15.9" customHeight="1" x14ac:dyDescent="0.3">
      <c r="B15959" s="37"/>
    </row>
    <row r="15960" spans="2:2" ht="15.9" customHeight="1" x14ac:dyDescent="0.3">
      <c r="B15960" s="37"/>
    </row>
    <row r="15961" spans="2:2" ht="15.9" customHeight="1" x14ac:dyDescent="0.3">
      <c r="B15961" s="37"/>
    </row>
    <row r="15962" spans="2:2" ht="15.9" customHeight="1" x14ac:dyDescent="0.3">
      <c r="B15962" s="37"/>
    </row>
    <row r="15963" spans="2:2" ht="15.9" customHeight="1" x14ac:dyDescent="0.3">
      <c r="B15963" s="37"/>
    </row>
    <row r="15964" spans="2:2" ht="15.9" customHeight="1" x14ac:dyDescent="0.3">
      <c r="B15964" s="37"/>
    </row>
    <row r="15965" spans="2:2" ht="15.9" customHeight="1" x14ac:dyDescent="0.3">
      <c r="B15965" s="37"/>
    </row>
    <row r="15966" spans="2:2" ht="15.9" customHeight="1" x14ac:dyDescent="0.3">
      <c r="B15966" s="37"/>
    </row>
    <row r="15967" spans="2:2" ht="15.9" customHeight="1" x14ac:dyDescent="0.3">
      <c r="B15967" s="37"/>
    </row>
    <row r="15968" spans="2:2" ht="15.9" customHeight="1" x14ac:dyDescent="0.3">
      <c r="B15968" s="37"/>
    </row>
    <row r="15969" spans="2:2" ht="15.9" customHeight="1" x14ac:dyDescent="0.3">
      <c r="B15969" s="37"/>
    </row>
    <row r="15970" spans="2:2" ht="15.9" customHeight="1" x14ac:dyDescent="0.3">
      <c r="B15970" s="37"/>
    </row>
    <row r="15971" spans="2:2" ht="15.9" customHeight="1" x14ac:dyDescent="0.3">
      <c r="B15971" s="37"/>
    </row>
    <row r="15972" spans="2:2" ht="15.9" customHeight="1" x14ac:dyDescent="0.3">
      <c r="B15972" s="37"/>
    </row>
    <row r="15973" spans="2:2" ht="15.9" customHeight="1" x14ac:dyDescent="0.3">
      <c r="B15973" s="37"/>
    </row>
    <row r="15974" spans="2:2" ht="15.9" customHeight="1" x14ac:dyDescent="0.3">
      <c r="B15974" s="37"/>
    </row>
    <row r="15975" spans="2:2" ht="15.9" customHeight="1" x14ac:dyDescent="0.3">
      <c r="B15975" s="37"/>
    </row>
    <row r="15976" spans="2:2" ht="15.9" customHeight="1" x14ac:dyDescent="0.3">
      <c r="B15976" s="37"/>
    </row>
    <row r="15977" spans="2:2" ht="15.9" customHeight="1" x14ac:dyDescent="0.3">
      <c r="B15977" s="37"/>
    </row>
    <row r="15978" spans="2:2" ht="15.9" customHeight="1" x14ac:dyDescent="0.3">
      <c r="B15978" s="37"/>
    </row>
    <row r="15979" spans="2:2" ht="15.9" customHeight="1" x14ac:dyDescent="0.3">
      <c r="B15979" s="37"/>
    </row>
    <row r="15980" spans="2:2" ht="15.9" customHeight="1" x14ac:dyDescent="0.3">
      <c r="B15980" s="37"/>
    </row>
    <row r="15981" spans="2:2" ht="15.9" customHeight="1" x14ac:dyDescent="0.3">
      <c r="B15981" s="37"/>
    </row>
    <row r="15982" spans="2:2" ht="15.9" customHeight="1" x14ac:dyDescent="0.3">
      <c r="B15982" s="37"/>
    </row>
    <row r="15983" spans="2:2" ht="15.9" customHeight="1" x14ac:dyDescent="0.3">
      <c r="B15983" s="37"/>
    </row>
    <row r="15984" spans="2:2" ht="15.9" customHeight="1" x14ac:dyDescent="0.3">
      <c r="B15984" s="37"/>
    </row>
    <row r="15985" spans="2:2" ht="15.9" customHeight="1" x14ac:dyDescent="0.3">
      <c r="B15985" s="37"/>
    </row>
    <row r="15986" spans="2:2" ht="15.9" customHeight="1" x14ac:dyDescent="0.3">
      <c r="B15986" s="37"/>
    </row>
    <row r="15987" spans="2:2" ht="15.9" customHeight="1" x14ac:dyDescent="0.3">
      <c r="B15987" s="37"/>
    </row>
    <row r="15988" spans="2:2" ht="15.9" customHeight="1" x14ac:dyDescent="0.3">
      <c r="B15988" s="37"/>
    </row>
    <row r="15989" spans="2:2" ht="15.9" customHeight="1" x14ac:dyDescent="0.3">
      <c r="B15989" s="37"/>
    </row>
    <row r="15990" spans="2:2" ht="15.9" customHeight="1" x14ac:dyDescent="0.3">
      <c r="B15990" s="37"/>
    </row>
    <row r="15991" spans="2:2" ht="15.9" customHeight="1" x14ac:dyDescent="0.3">
      <c r="B15991" s="37"/>
    </row>
    <row r="15992" spans="2:2" ht="15.9" customHeight="1" x14ac:dyDescent="0.3">
      <c r="B15992" s="37"/>
    </row>
    <row r="15993" spans="2:2" ht="15.9" customHeight="1" x14ac:dyDescent="0.3">
      <c r="B15993" s="37"/>
    </row>
    <row r="15994" spans="2:2" ht="15.9" customHeight="1" x14ac:dyDescent="0.3">
      <c r="B15994" s="37"/>
    </row>
    <row r="15995" spans="2:2" ht="15.9" customHeight="1" x14ac:dyDescent="0.3">
      <c r="B15995" s="37"/>
    </row>
    <row r="15996" spans="2:2" ht="15.9" customHeight="1" x14ac:dyDescent="0.3">
      <c r="B15996" s="37"/>
    </row>
    <row r="15997" spans="2:2" ht="15.9" customHeight="1" x14ac:dyDescent="0.3">
      <c r="B15997" s="37"/>
    </row>
    <row r="15998" spans="2:2" ht="15.9" customHeight="1" x14ac:dyDescent="0.3">
      <c r="B15998" s="37"/>
    </row>
    <row r="15999" spans="2:2" ht="15.9" customHeight="1" x14ac:dyDescent="0.3">
      <c r="B15999" s="37"/>
    </row>
    <row r="16000" spans="2:2" ht="15.9" customHeight="1" x14ac:dyDescent="0.3">
      <c r="B16000" s="37"/>
    </row>
    <row r="16001" spans="2:2" ht="15.9" customHeight="1" x14ac:dyDescent="0.3">
      <c r="B16001" s="37"/>
    </row>
    <row r="16002" spans="2:2" ht="15.9" customHeight="1" x14ac:dyDescent="0.3">
      <c r="B16002" s="37"/>
    </row>
    <row r="16003" spans="2:2" ht="15.9" customHeight="1" x14ac:dyDescent="0.3">
      <c r="B16003" s="37"/>
    </row>
    <row r="16004" spans="2:2" ht="15.9" customHeight="1" x14ac:dyDescent="0.3">
      <c r="B16004" s="37"/>
    </row>
    <row r="16005" spans="2:2" ht="15.9" customHeight="1" x14ac:dyDescent="0.3">
      <c r="B16005" s="37"/>
    </row>
    <row r="16006" spans="2:2" ht="15.9" customHeight="1" x14ac:dyDescent="0.3">
      <c r="B16006" s="37"/>
    </row>
    <row r="16007" spans="2:2" ht="15.9" customHeight="1" x14ac:dyDescent="0.3">
      <c r="B16007" s="37"/>
    </row>
    <row r="16008" spans="2:2" ht="15.9" customHeight="1" x14ac:dyDescent="0.3">
      <c r="B16008" s="37"/>
    </row>
    <row r="16009" spans="2:2" ht="15.9" customHeight="1" x14ac:dyDescent="0.3">
      <c r="B16009" s="37"/>
    </row>
    <row r="16010" spans="2:2" ht="15.9" customHeight="1" x14ac:dyDescent="0.3">
      <c r="B16010" s="37"/>
    </row>
    <row r="16011" spans="2:2" ht="15.9" customHeight="1" x14ac:dyDescent="0.3">
      <c r="B16011" s="37"/>
    </row>
    <row r="16012" spans="2:2" ht="15.9" customHeight="1" x14ac:dyDescent="0.3">
      <c r="B16012" s="37"/>
    </row>
    <row r="16013" spans="2:2" ht="15.9" customHeight="1" x14ac:dyDescent="0.3">
      <c r="B16013" s="37"/>
    </row>
    <row r="16014" spans="2:2" ht="15.9" customHeight="1" x14ac:dyDescent="0.3">
      <c r="B16014" s="37"/>
    </row>
    <row r="16015" spans="2:2" ht="15.9" customHeight="1" x14ac:dyDescent="0.3">
      <c r="B16015" s="37"/>
    </row>
    <row r="16016" spans="2:2" ht="15.9" customHeight="1" x14ac:dyDescent="0.3">
      <c r="B16016" s="37"/>
    </row>
    <row r="16017" spans="2:2" ht="15.9" customHeight="1" x14ac:dyDescent="0.3">
      <c r="B16017" s="37"/>
    </row>
    <row r="16018" spans="2:2" ht="15.9" customHeight="1" x14ac:dyDescent="0.3">
      <c r="B16018" s="37"/>
    </row>
    <row r="16019" spans="2:2" ht="15.9" customHeight="1" x14ac:dyDescent="0.3">
      <c r="B16019" s="37"/>
    </row>
    <row r="16020" spans="2:2" ht="15.9" customHeight="1" x14ac:dyDescent="0.3">
      <c r="B16020" s="37"/>
    </row>
    <row r="16021" spans="2:2" ht="15.9" customHeight="1" x14ac:dyDescent="0.3">
      <c r="B16021" s="37"/>
    </row>
    <row r="16022" spans="2:2" ht="15.9" customHeight="1" x14ac:dyDescent="0.3">
      <c r="B16022" s="37"/>
    </row>
    <row r="16023" spans="2:2" ht="15.9" customHeight="1" x14ac:dyDescent="0.3">
      <c r="B16023" s="37"/>
    </row>
    <row r="16024" spans="2:2" ht="15.9" customHeight="1" x14ac:dyDescent="0.3">
      <c r="B16024" s="37"/>
    </row>
    <row r="16025" spans="2:2" ht="15.9" customHeight="1" x14ac:dyDescent="0.3">
      <c r="B16025" s="37"/>
    </row>
    <row r="16026" spans="2:2" ht="15.9" customHeight="1" x14ac:dyDescent="0.3">
      <c r="B16026" s="37"/>
    </row>
    <row r="16027" spans="2:2" ht="15.9" customHeight="1" x14ac:dyDescent="0.3">
      <c r="B16027" s="37"/>
    </row>
    <row r="16028" spans="2:2" ht="15.9" customHeight="1" x14ac:dyDescent="0.3">
      <c r="B16028" s="37"/>
    </row>
    <row r="16029" spans="2:2" ht="15.9" customHeight="1" x14ac:dyDescent="0.3">
      <c r="B16029" s="37"/>
    </row>
    <row r="16030" spans="2:2" ht="15.9" customHeight="1" x14ac:dyDescent="0.3">
      <c r="B16030" s="37"/>
    </row>
    <row r="16031" spans="2:2" ht="15.9" customHeight="1" x14ac:dyDescent="0.3">
      <c r="B16031" s="37"/>
    </row>
    <row r="16032" spans="2:2" ht="15.9" customHeight="1" x14ac:dyDescent="0.3">
      <c r="B16032" s="37"/>
    </row>
    <row r="16033" spans="2:2" ht="15.9" customHeight="1" x14ac:dyDescent="0.3">
      <c r="B16033" s="37"/>
    </row>
    <row r="16034" spans="2:2" ht="15.9" customHeight="1" x14ac:dyDescent="0.3">
      <c r="B16034" s="37"/>
    </row>
    <row r="16035" spans="2:2" ht="15.9" customHeight="1" x14ac:dyDescent="0.3">
      <c r="B16035" s="37"/>
    </row>
    <row r="16036" spans="2:2" ht="15.9" customHeight="1" x14ac:dyDescent="0.3">
      <c r="B16036" s="37"/>
    </row>
    <row r="16037" spans="2:2" ht="15.9" customHeight="1" x14ac:dyDescent="0.3">
      <c r="B16037" s="37"/>
    </row>
    <row r="16038" spans="2:2" ht="15.9" customHeight="1" x14ac:dyDescent="0.3">
      <c r="B16038" s="37"/>
    </row>
    <row r="16039" spans="2:2" ht="15.9" customHeight="1" x14ac:dyDescent="0.3">
      <c r="B16039" s="37"/>
    </row>
    <row r="16040" spans="2:2" ht="15.9" customHeight="1" x14ac:dyDescent="0.3">
      <c r="B16040" s="37"/>
    </row>
    <row r="16041" spans="2:2" ht="15.9" customHeight="1" x14ac:dyDescent="0.3">
      <c r="B16041" s="37"/>
    </row>
    <row r="16042" spans="2:2" ht="15.9" customHeight="1" x14ac:dyDescent="0.3">
      <c r="B16042" s="37"/>
    </row>
    <row r="16043" spans="2:2" ht="15.9" customHeight="1" x14ac:dyDescent="0.3">
      <c r="B16043" s="37"/>
    </row>
    <row r="16044" spans="2:2" ht="15.9" customHeight="1" x14ac:dyDescent="0.3">
      <c r="B16044" s="37"/>
    </row>
    <row r="16045" spans="2:2" ht="15.9" customHeight="1" x14ac:dyDescent="0.3">
      <c r="B16045" s="37"/>
    </row>
    <row r="16046" spans="2:2" ht="15.9" customHeight="1" x14ac:dyDescent="0.3">
      <c r="B16046" s="37"/>
    </row>
    <row r="16047" spans="2:2" ht="15.9" customHeight="1" x14ac:dyDescent="0.3">
      <c r="B16047" s="37"/>
    </row>
    <row r="16048" spans="2:2" ht="15.9" customHeight="1" x14ac:dyDescent="0.3">
      <c r="B16048" s="37"/>
    </row>
    <row r="16049" spans="2:2" ht="15.9" customHeight="1" x14ac:dyDescent="0.3">
      <c r="B16049" s="37"/>
    </row>
    <row r="16050" spans="2:2" ht="15.9" customHeight="1" x14ac:dyDescent="0.3">
      <c r="B16050" s="37"/>
    </row>
    <row r="16051" spans="2:2" ht="15.9" customHeight="1" x14ac:dyDescent="0.3">
      <c r="B16051" s="37"/>
    </row>
    <row r="16052" spans="2:2" ht="15.9" customHeight="1" x14ac:dyDescent="0.3">
      <c r="B16052" s="37"/>
    </row>
    <row r="16053" spans="2:2" ht="15.9" customHeight="1" x14ac:dyDescent="0.3">
      <c r="B16053" s="37"/>
    </row>
    <row r="16054" spans="2:2" ht="15.9" customHeight="1" x14ac:dyDescent="0.3">
      <c r="B16054" s="37"/>
    </row>
    <row r="16055" spans="2:2" ht="15.9" customHeight="1" x14ac:dyDescent="0.3">
      <c r="B16055" s="37"/>
    </row>
    <row r="16056" spans="2:2" ht="15.9" customHeight="1" x14ac:dyDescent="0.3">
      <c r="B16056" s="37"/>
    </row>
    <row r="16057" spans="2:2" ht="15.9" customHeight="1" x14ac:dyDescent="0.3">
      <c r="B16057" s="37"/>
    </row>
    <row r="16058" spans="2:2" ht="15.9" customHeight="1" x14ac:dyDescent="0.3">
      <c r="B16058" s="37"/>
    </row>
    <row r="16059" spans="2:2" ht="15.9" customHeight="1" x14ac:dyDescent="0.3">
      <c r="B16059" s="37"/>
    </row>
    <row r="16060" spans="2:2" ht="15.9" customHeight="1" x14ac:dyDescent="0.3">
      <c r="B16060" s="37"/>
    </row>
    <row r="16061" spans="2:2" ht="15.9" customHeight="1" x14ac:dyDescent="0.3">
      <c r="B16061" s="37"/>
    </row>
    <row r="16062" spans="2:2" ht="15.9" customHeight="1" x14ac:dyDescent="0.3">
      <c r="B16062" s="37"/>
    </row>
    <row r="16063" spans="2:2" ht="15.9" customHeight="1" x14ac:dyDescent="0.3">
      <c r="B16063" s="37"/>
    </row>
    <row r="16064" spans="2:2" ht="15.9" customHeight="1" x14ac:dyDescent="0.3">
      <c r="B16064" s="37"/>
    </row>
    <row r="16065" spans="2:2" ht="15.9" customHeight="1" x14ac:dyDescent="0.3">
      <c r="B16065" s="37"/>
    </row>
    <row r="16066" spans="2:2" ht="15.9" customHeight="1" x14ac:dyDescent="0.3">
      <c r="B16066" s="37"/>
    </row>
    <row r="16067" spans="2:2" ht="15.9" customHeight="1" x14ac:dyDescent="0.3">
      <c r="B16067" s="37"/>
    </row>
    <row r="16068" spans="2:2" ht="15.9" customHeight="1" x14ac:dyDescent="0.3">
      <c r="B16068" s="37"/>
    </row>
    <row r="16069" spans="2:2" ht="15.9" customHeight="1" x14ac:dyDescent="0.3">
      <c r="B16069" s="37"/>
    </row>
    <row r="16070" spans="2:2" ht="15.9" customHeight="1" x14ac:dyDescent="0.3">
      <c r="B16070" s="37"/>
    </row>
    <row r="16071" spans="2:2" ht="15.9" customHeight="1" x14ac:dyDescent="0.3">
      <c r="B16071" s="37"/>
    </row>
    <row r="16072" spans="2:2" ht="15.9" customHeight="1" x14ac:dyDescent="0.3">
      <c r="B16072" s="37"/>
    </row>
    <row r="16073" spans="2:2" ht="15.9" customHeight="1" x14ac:dyDescent="0.3">
      <c r="B16073" s="37"/>
    </row>
    <row r="16074" spans="2:2" ht="15.9" customHeight="1" x14ac:dyDescent="0.3">
      <c r="B16074" s="37"/>
    </row>
    <row r="16075" spans="2:2" ht="15.9" customHeight="1" x14ac:dyDescent="0.3">
      <c r="B16075" s="37"/>
    </row>
    <row r="16076" spans="2:2" ht="15.9" customHeight="1" x14ac:dyDescent="0.3">
      <c r="B16076" s="37"/>
    </row>
    <row r="16077" spans="2:2" ht="15.9" customHeight="1" x14ac:dyDescent="0.3">
      <c r="B16077" s="37"/>
    </row>
    <row r="16078" spans="2:2" ht="15.9" customHeight="1" x14ac:dyDescent="0.3">
      <c r="B16078" s="37"/>
    </row>
    <row r="16079" spans="2:2" ht="15.9" customHeight="1" x14ac:dyDescent="0.3">
      <c r="B16079" s="37"/>
    </row>
    <row r="16080" spans="2:2" ht="15.9" customHeight="1" x14ac:dyDescent="0.3">
      <c r="B16080" s="37"/>
    </row>
    <row r="16081" spans="2:2" ht="15.9" customHeight="1" x14ac:dyDescent="0.3">
      <c r="B16081" s="37"/>
    </row>
    <row r="16082" spans="2:2" ht="15.9" customHeight="1" x14ac:dyDescent="0.3">
      <c r="B16082" s="37"/>
    </row>
    <row r="16083" spans="2:2" ht="15.9" customHeight="1" x14ac:dyDescent="0.3">
      <c r="B16083" s="37"/>
    </row>
    <row r="16084" spans="2:2" ht="15.9" customHeight="1" x14ac:dyDescent="0.3">
      <c r="B16084" s="37"/>
    </row>
    <row r="16085" spans="2:2" ht="15.9" customHeight="1" x14ac:dyDescent="0.3">
      <c r="B16085" s="37"/>
    </row>
    <row r="16086" spans="2:2" ht="15.9" customHeight="1" x14ac:dyDescent="0.3">
      <c r="B16086" s="37"/>
    </row>
    <row r="16087" spans="2:2" ht="15.9" customHeight="1" x14ac:dyDescent="0.3">
      <c r="B16087" s="37"/>
    </row>
    <row r="16088" spans="2:2" ht="15.9" customHeight="1" x14ac:dyDescent="0.3">
      <c r="B16088" s="37"/>
    </row>
    <row r="16089" spans="2:2" ht="15.9" customHeight="1" x14ac:dyDescent="0.3">
      <c r="B16089" s="37"/>
    </row>
    <row r="16090" spans="2:2" ht="15.9" customHeight="1" x14ac:dyDescent="0.3">
      <c r="B16090" s="37"/>
    </row>
    <row r="16091" spans="2:2" ht="15.9" customHeight="1" x14ac:dyDescent="0.3">
      <c r="B16091" s="37"/>
    </row>
    <row r="16092" spans="2:2" ht="15.9" customHeight="1" x14ac:dyDescent="0.3">
      <c r="B16092" s="37"/>
    </row>
    <row r="16093" spans="2:2" ht="15.9" customHeight="1" x14ac:dyDescent="0.3">
      <c r="B16093" s="37"/>
    </row>
    <row r="16094" spans="2:2" ht="15.9" customHeight="1" x14ac:dyDescent="0.3">
      <c r="B16094" s="37"/>
    </row>
    <row r="16095" spans="2:2" ht="15.9" customHeight="1" x14ac:dyDescent="0.3">
      <c r="B16095" s="37"/>
    </row>
    <row r="16096" spans="2:2" ht="15.9" customHeight="1" x14ac:dyDescent="0.3">
      <c r="B16096" s="37"/>
    </row>
    <row r="16097" spans="2:2" ht="15.9" customHeight="1" x14ac:dyDescent="0.3">
      <c r="B16097" s="37"/>
    </row>
    <row r="16098" spans="2:2" ht="15.9" customHeight="1" x14ac:dyDescent="0.3">
      <c r="B16098" s="37"/>
    </row>
    <row r="16099" spans="2:2" ht="15.9" customHeight="1" x14ac:dyDescent="0.3">
      <c r="B16099" s="37"/>
    </row>
    <row r="16100" spans="2:2" ht="15.9" customHeight="1" x14ac:dyDescent="0.3">
      <c r="B16100" s="37"/>
    </row>
    <row r="16101" spans="2:2" ht="15.9" customHeight="1" x14ac:dyDescent="0.3">
      <c r="B16101" s="37"/>
    </row>
    <row r="16102" spans="2:2" ht="15.9" customHeight="1" x14ac:dyDescent="0.3">
      <c r="B16102" s="37"/>
    </row>
    <row r="16103" spans="2:2" ht="15.9" customHeight="1" x14ac:dyDescent="0.3">
      <c r="B16103" s="37"/>
    </row>
    <row r="16104" spans="2:2" ht="15.9" customHeight="1" x14ac:dyDescent="0.3">
      <c r="B16104" s="37"/>
    </row>
    <row r="16105" spans="2:2" ht="15.9" customHeight="1" x14ac:dyDescent="0.3">
      <c r="B16105" s="37"/>
    </row>
    <row r="16106" spans="2:2" ht="15.9" customHeight="1" x14ac:dyDescent="0.3">
      <c r="B16106" s="37"/>
    </row>
    <row r="16107" spans="2:2" ht="15.9" customHeight="1" x14ac:dyDescent="0.3">
      <c r="B16107" s="37"/>
    </row>
    <row r="16108" spans="2:2" ht="15.9" customHeight="1" x14ac:dyDescent="0.3">
      <c r="B16108" s="37"/>
    </row>
    <row r="16109" spans="2:2" ht="15.9" customHeight="1" x14ac:dyDescent="0.3">
      <c r="B16109" s="37"/>
    </row>
    <row r="16110" spans="2:2" ht="15.9" customHeight="1" x14ac:dyDescent="0.3">
      <c r="B16110" s="37"/>
    </row>
    <row r="16111" spans="2:2" ht="15.9" customHeight="1" x14ac:dyDescent="0.3">
      <c r="B16111" s="37"/>
    </row>
    <row r="16112" spans="2:2" ht="15.9" customHeight="1" x14ac:dyDescent="0.3">
      <c r="B16112" s="37"/>
    </row>
    <row r="16113" spans="2:2" ht="15.9" customHeight="1" x14ac:dyDescent="0.3">
      <c r="B16113" s="37"/>
    </row>
    <row r="16114" spans="2:2" ht="15.9" customHeight="1" x14ac:dyDescent="0.3">
      <c r="B16114" s="37"/>
    </row>
    <row r="16115" spans="2:2" ht="15.9" customHeight="1" x14ac:dyDescent="0.3">
      <c r="B16115" s="37"/>
    </row>
    <row r="16116" spans="2:2" ht="15.9" customHeight="1" x14ac:dyDescent="0.3">
      <c r="B16116" s="37"/>
    </row>
    <row r="16117" spans="2:2" ht="15.9" customHeight="1" x14ac:dyDescent="0.3">
      <c r="B16117" s="37"/>
    </row>
    <row r="16118" spans="2:2" ht="15.9" customHeight="1" x14ac:dyDescent="0.3">
      <c r="B16118" s="37"/>
    </row>
    <row r="16119" spans="2:2" ht="15.9" customHeight="1" x14ac:dyDescent="0.3">
      <c r="B16119" s="37"/>
    </row>
    <row r="16120" spans="2:2" ht="15.9" customHeight="1" x14ac:dyDescent="0.3">
      <c r="B16120" s="37"/>
    </row>
    <row r="16121" spans="2:2" ht="15.9" customHeight="1" x14ac:dyDescent="0.3">
      <c r="B16121" s="37"/>
    </row>
    <row r="16122" spans="2:2" ht="15.9" customHeight="1" x14ac:dyDescent="0.3">
      <c r="B16122" s="37"/>
    </row>
    <row r="16123" spans="2:2" ht="15.9" customHeight="1" x14ac:dyDescent="0.3">
      <c r="B16123" s="37"/>
    </row>
    <row r="16124" spans="2:2" ht="15.9" customHeight="1" x14ac:dyDescent="0.3">
      <c r="B16124" s="37"/>
    </row>
    <row r="16125" spans="2:2" ht="15.9" customHeight="1" x14ac:dyDescent="0.3">
      <c r="B16125" s="37"/>
    </row>
    <row r="16126" spans="2:2" ht="15.9" customHeight="1" x14ac:dyDescent="0.3">
      <c r="B16126" s="37"/>
    </row>
    <row r="16127" spans="2:2" ht="15.9" customHeight="1" x14ac:dyDescent="0.3">
      <c r="B16127" s="37"/>
    </row>
    <row r="16128" spans="2:2" ht="15.9" customHeight="1" x14ac:dyDescent="0.3">
      <c r="B16128" s="37"/>
    </row>
    <row r="16129" spans="2:2" ht="15.9" customHeight="1" x14ac:dyDescent="0.3">
      <c r="B16129" s="37"/>
    </row>
    <row r="16130" spans="2:2" ht="15.9" customHeight="1" x14ac:dyDescent="0.3">
      <c r="B16130" s="37"/>
    </row>
    <row r="16131" spans="2:2" ht="15.9" customHeight="1" x14ac:dyDescent="0.3">
      <c r="B16131" s="37"/>
    </row>
    <row r="16132" spans="2:2" ht="15.9" customHeight="1" x14ac:dyDescent="0.3">
      <c r="B16132" s="37"/>
    </row>
    <row r="16133" spans="2:2" ht="15.9" customHeight="1" x14ac:dyDescent="0.3">
      <c r="B16133" s="37"/>
    </row>
    <row r="16134" spans="2:2" ht="15.9" customHeight="1" x14ac:dyDescent="0.3">
      <c r="B16134" s="37"/>
    </row>
    <row r="16135" spans="2:2" ht="15.9" customHeight="1" x14ac:dyDescent="0.3">
      <c r="B16135" s="37"/>
    </row>
    <row r="16136" spans="2:2" ht="15.9" customHeight="1" x14ac:dyDescent="0.3">
      <c r="B16136" s="37"/>
    </row>
    <row r="16137" spans="2:2" ht="15.9" customHeight="1" x14ac:dyDescent="0.3">
      <c r="B16137" s="37"/>
    </row>
    <row r="16138" spans="2:2" ht="15.9" customHeight="1" x14ac:dyDescent="0.3">
      <c r="B16138" s="37"/>
    </row>
    <row r="16139" spans="2:2" ht="15.9" customHeight="1" x14ac:dyDescent="0.3">
      <c r="B16139" s="37"/>
    </row>
    <row r="16140" spans="2:2" ht="15.9" customHeight="1" x14ac:dyDescent="0.3">
      <c r="B16140" s="37"/>
    </row>
    <row r="16141" spans="2:2" ht="15.9" customHeight="1" x14ac:dyDescent="0.3">
      <c r="B16141" s="37"/>
    </row>
    <row r="16142" spans="2:2" ht="15.9" customHeight="1" x14ac:dyDescent="0.3">
      <c r="B16142" s="37"/>
    </row>
    <row r="16143" spans="2:2" ht="15.9" customHeight="1" x14ac:dyDescent="0.3">
      <c r="B16143" s="37"/>
    </row>
    <row r="16144" spans="2:2" ht="15.9" customHeight="1" x14ac:dyDescent="0.3">
      <c r="B16144" s="37"/>
    </row>
    <row r="16145" spans="2:2" ht="15.9" customHeight="1" x14ac:dyDescent="0.3">
      <c r="B16145" s="37"/>
    </row>
    <row r="16146" spans="2:2" ht="15.9" customHeight="1" x14ac:dyDescent="0.3">
      <c r="B16146" s="37"/>
    </row>
    <row r="16147" spans="2:2" ht="15.9" customHeight="1" x14ac:dyDescent="0.3">
      <c r="B16147" s="37"/>
    </row>
    <row r="16148" spans="2:2" ht="15.9" customHeight="1" x14ac:dyDescent="0.3">
      <c r="B16148" s="37"/>
    </row>
    <row r="16149" spans="2:2" ht="15.9" customHeight="1" x14ac:dyDescent="0.3">
      <c r="B16149" s="37"/>
    </row>
    <row r="16150" spans="2:2" ht="15.9" customHeight="1" x14ac:dyDescent="0.3">
      <c r="B16150" s="37"/>
    </row>
    <row r="16151" spans="2:2" ht="15.9" customHeight="1" x14ac:dyDescent="0.3">
      <c r="B16151" s="37"/>
    </row>
    <row r="16152" spans="2:2" ht="15.9" customHeight="1" x14ac:dyDescent="0.3">
      <c r="B16152" s="37"/>
    </row>
    <row r="16153" spans="2:2" ht="15.9" customHeight="1" x14ac:dyDescent="0.3">
      <c r="B16153" s="37"/>
    </row>
    <row r="16154" spans="2:2" ht="15.9" customHeight="1" x14ac:dyDescent="0.3">
      <c r="B16154" s="37"/>
    </row>
    <row r="16155" spans="2:2" ht="15.9" customHeight="1" x14ac:dyDescent="0.3">
      <c r="B16155" s="37"/>
    </row>
    <row r="16156" spans="2:2" ht="15.9" customHeight="1" x14ac:dyDescent="0.3">
      <c r="B16156" s="37"/>
    </row>
    <row r="16157" spans="2:2" ht="15.9" customHeight="1" x14ac:dyDescent="0.3">
      <c r="B16157" s="37"/>
    </row>
    <row r="16158" spans="2:2" ht="15.9" customHeight="1" x14ac:dyDescent="0.3">
      <c r="B16158" s="37"/>
    </row>
    <row r="16159" spans="2:2" ht="15.9" customHeight="1" x14ac:dyDescent="0.3">
      <c r="B16159" s="37"/>
    </row>
    <row r="16160" spans="2:2" ht="15.9" customHeight="1" x14ac:dyDescent="0.3">
      <c r="B16160" s="37"/>
    </row>
    <row r="16161" spans="2:2" ht="15.9" customHeight="1" x14ac:dyDescent="0.3">
      <c r="B16161" s="37"/>
    </row>
    <row r="16162" spans="2:2" ht="15.9" customHeight="1" x14ac:dyDescent="0.3">
      <c r="B16162" s="37"/>
    </row>
    <row r="16163" spans="2:2" ht="15.9" customHeight="1" x14ac:dyDescent="0.3">
      <c r="B16163" s="37"/>
    </row>
    <row r="16164" spans="2:2" ht="15.9" customHeight="1" x14ac:dyDescent="0.3">
      <c r="B16164" s="37"/>
    </row>
    <row r="16165" spans="2:2" ht="15.9" customHeight="1" x14ac:dyDescent="0.3">
      <c r="B16165" s="37"/>
    </row>
    <row r="16166" spans="2:2" ht="15.9" customHeight="1" x14ac:dyDescent="0.3">
      <c r="B16166" s="37"/>
    </row>
    <row r="16167" spans="2:2" ht="15.9" customHeight="1" x14ac:dyDescent="0.3">
      <c r="B16167" s="37"/>
    </row>
    <row r="16168" spans="2:2" ht="15.9" customHeight="1" x14ac:dyDescent="0.3">
      <c r="B16168" s="37"/>
    </row>
    <row r="16169" spans="2:2" ht="15.9" customHeight="1" x14ac:dyDescent="0.3">
      <c r="B16169" s="37"/>
    </row>
    <row r="16170" spans="2:2" ht="15.9" customHeight="1" x14ac:dyDescent="0.3">
      <c r="B16170" s="37"/>
    </row>
    <row r="16171" spans="2:2" ht="15.9" customHeight="1" x14ac:dyDescent="0.3">
      <c r="B16171" s="37"/>
    </row>
    <row r="16172" spans="2:2" ht="15.9" customHeight="1" x14ac:dyDescent="0.3">
      <c r="B16172" s="37"/>
    </row>
    <row r="16173" spans="2:2" ht="15.9" customHeight="1" x14ac:dyDescent="0.3">
      <c r="B16173" s="37"/>
    </row>
    <row r="16174" spans="2:2" ht="15.9" customHeight="1" x14ac:dyDescent="0.3">
      <c r="B16174" s="37"/>
    </row>
    <row r="16175" spans="2:2" ht="15.9" customHeight="1" x14ac:dyDescent="0.3">
      <c r="B16175" s="37"/>
    </row>
    <row r="16176" spans="2:2" ht="15.9" customHeight="1" x14ac:dyDescent="0.3">
      <c r="B16176" s="37"/>
    </row>
    <row r="16177" spans="2:2" ht="15.9" customHeight="1" x14ac:dyDescent="0.3">
      <c r="B16177" s="37"/>
    </row>
    <row r="16178" spans="2:2" ht="15.9" customHeight="1" x14ac:dyDescent="0.3">
      <c r="B16178" s="37"/>
    </row>
    <row r="16179" spans="2:2" ht="15.9" customHeight="1" x14ac:dyDescent="0.3">
      <c r="B16179" s="37"/>
    </row>
    <row r="16180" spans="2:2" ht="15.9" customHeight="1" x14ac:dyDescent="0.3">
      <c r="B16180" s="37"/>
    </row>
    <row r="16181" spans="2:2" ht="15.9" customHeight="1" x14ac:dyDescent="0.3">
      <c r="B16181" s="37"/>
    </row>
    <row r="16182" spans="2:2" ht="15.9" customHeight="1" x14ac:dyDescent="0.3">
      <c r="B16182" s="37"/>
    </row>
    <row r="16183" spans="2:2" ht="15.9" customHeight="1" x14ac:dyDescent="0.3">
      <c r="B16183" s="37"/>
    </row>
    <row r="16184" spans="2:2" ht="15.9" customHeight="1" x14ac:dyDescent="0.3">
      <c r="B16184" s="37"/>
    </row>
    <row r="16185" spans="2:2" ht="15.9" customHeight="1" x14ac:dyDescent="0.3">
      <c r="B16185" s="37"/>
    </row>
    <row r="16186" spans="2:2" ht="15.9" customHeight="1" x14ac:dyDescent="0.3">
      <c r="B16186" s="37"/>
    </row>
    <row r="16187" spans="2:2" ht="15.9" customHeight="1" x14ac:dyDescent="0.3">
      <c r="B16187" s="37"/>
    </row>
    <row r="16188" spans="2:2" ht="15.9" customHeight="1" x14ac:dyDescent="0.3">
      <c r="B16188" s="37"/>
    </row>
    <row r="16189" spans="2:2" ht="15.9" customHeight="1" x14ac:dyDescent="0.3">
      <c r="B16189" s="37"/>
    </row>
    <row r="16190" spans="2:2" ht="15.9" customHeight="1" x14ac:dyDescent="0.3">
      <c r="B16190" s="37"/>
    </row>
    <row r="16191" spans="2:2" ht="15.9" customHeight="1" x14ac:dyDescent="0.3">
      <c r="B16191" s="37"/>
    </row>
    <row r="16192" spans="2:2" ht="15.9" customHeight="1" x14ac:dyDescent="0.3">
      <c r="B16192" s="37"/>
    </row>
    <row r="16193" spans="2:2" ht="15.9" customHeight="1" x14ac:dyDescent="0.3">
      <c r="B16193" s="37"/>
    </row>
    <row r="16194" spans="2:2" ht="15.9" customHeight="1" x14ac:dyDescent="0.3">
      <c r="B16194" s="37"/>
    </row>
    <row r="16195" spans="2:2" ht="15.9" customHeight="1" x14ac:dyDescent="0.3">
      <c r="B16195" s="37"/>
    </row>
    <row r="16196" spans="2:2" ht="15.9" customHeight="1" x14ac:dyDescent="0.3">
      <c r="B16196" s="37"/>
    </row>
    <row r="16197" spans="2:2" ht="15.9" customHeight="1" x14ac:dyDescent="0.3">
      <c r="B16197" s="37"/>
    </row>
    <row r="16198" spans="2:2" ht="15.9" customHeight="1" x14ac:dyDescent="0.3">
      <c r="B16198" s="37"/>
    </row>
    <row r="16199" spans="2:2" ht="15.9" customHeight="1" x14ac:dyDescent="0.3">
      <c r="B16199" s="37"/>
    </row>
    <row r="16200" spans="2:2" ht="15.9" customHeight="1" x14ac:dyDescent="0.3">
      <c r="B16200" s="37"/>
    </row>
    <row r="16201" spans="2:2" ht="15.9" customHeight="1" x14ac:dyDescent="0.3">
      <c r="B16201" s="37"/>
    </row>
    <row r="16202" spans="2:2" ht="15.9" customHeight="1" x14ac:dyDescent="0.3">
      <c r="B16202" s="37"/>
    </row>
    <row r="16203" spans="2:2" ht="15.9" customHeight="1" x14ac:dyDescent="0.3">
      <c r="B16203" s="37"/>
    </row>
    <row r="16204" spans="2:2" ht="15.9" customHeight="1" x14ac:dyDescent="0.3">
      <c r="B16204" s="37"/>
    </row>
    <row r="16205" spans="2:2" ht="15.9" customHeight="1" x14ac:dyDescent="0.3">
      <c r="B16205" s="37"/>
    </row>
    <row r="16206" spans="2:2" ht="15.9" customHeight="1" x14ac:dyDescent="0.3">
      <c r="B16206" s="37"/>
    </row>
    <row r="16207" spans="2:2" ht="15.9" customHeight="1" x14ac:dyDescent="0.3">
      <c r="B16207" s="37"/>
    </row>
    <row r="16208" spans="2:2" ht="15.9" customHeight="1" x14ac:dyDescent="0.3">
      <c r="B16208" s="37"/>
    </row>
    <row r="16209" spans="2:2" ht="15.9" customHeight="1" x14ac:dyDescent="0.3">
      <c r="B16209" s="37"/>
    </row>
    <row r="16210" spans="2:2" ht="15.9" customHeight="1" x14ac:dyDescent="0.3">
      <c r="B16210" s="37"/>
    </row>
    <row r="16211" spans="2:2" ht="15.9" customHeight="1" x14ac:dyDescent="0.3">
      <c r="B16211" s="37"/>
    </row>
    <row r="16212" spans="2:2" ht="15.9" customHeight="1" x14ac:dyDescent="0.3">
      <c r="B16212" s="37"/>
    </row>
    <row r="16213" spans="2:2" ht="15.9" customHeight="1" x14ac:dyDescent="0.3">
      <c r="B16213" s="37"/>
    </row>
    <row r="16214" spans="2:2" ht="15.9" customHeight="1" x14ac:dyDescent="0.3">
      <c r="B16214" s="37"/>
    </row>
    <row r="16215" spans="2:2" ht="15.9" customHeight="1" x14ac:dyDescent="0.3">
      <c r="B16215" s="37"/>
    </row>
    <row r="16216" spans="2:2" ht="15.9" customHeight="1" x14ac:dyDescent="0.3">
      <c r="B16216" s="37"/>
    </row>
    <row r="16217" spans="2:2" ht="15.9" customHeight="1" x14ac:dyDescent="0.3">
      <c r="B16217" s="37"/>
    </row>
    <row r="16218" spans="2:2" ht="15.9" customHeight="1" x14ac:dyDescent="0.3">
      <c r="B16218" s="37"/>
    </row>
    <row r="16219" spans="2:2" ht="15.9" customHeight="1" x14ac:dyDescent="0.3">
      <c r="B16219" s="37"/>
    </row>
    <row r="16220" spans="2:2" ht="15.9" customHeight="1" x14ac:dyDescent="0.3">
      <c r="B16220" s="37"/>
    </row>
  </sheetData>
  <mergeCells count="10">
    <mergeCell ref="C28:R28"/>
    <mergeCell ref="C30:R30"/>
    <mergeCell ref="B2:M3"/>
    <mergeCell ref="B6:M6"/>
    <mergeCell ref="B4:M4"/>
    <mergeCell ref="B16:R18"/>
    <mergeCell ref="B24:B25"/>
    <mergeCell ref="C20:R22"/>
    <mergeCell ref="C24:R26"/>
    <mergeCell ref="B11:P12"/>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A1:K66"/>
  <sheetViews>
    <sheetView showGridLines="0" topLeftCell="A31" zoomScaleNormal="100" workbookViewId="0"/>
  </sheetViews>
  <sheetFormatPr baseColWidth="10" defaultColWidth="8.59765625" defaultRowHeight="15.9" customHeight="1" x14ac:dyDescent="0.3"/>
  <cols>
    <col min="1" max="1" width="8.59765625" style="2" customWidth="1"/>
    <col min="2" max="2" width="25.5" style="39" customWidth="1"/>
    <col min="3" max="3" width="30.09765625" style="49" customWidth="1"/>
    <col min="4" max="4" width="13.59765625" style="40" customWidth="1"/>
    <col min="5" max="16384" width="8.59765625" style="40"/>
  </cols>
  <sheetData>
    <row r="1" spans="1:11" s="35" customFormat="1" ht="15.9" customHeight="1" x14ac:dyDescent="0.3">
      <c r="B1" s="39"/>
      <c r="C1" s="148"/>
    </row>
    <row r="2" spans="1:11" s="643" customFormat="1" ht="24.75" customHeight="1" x14ac:dyDescent="0.3">
      <c r="A2" s="639"/>
      <c r="B2" s="439" t="s">
        <v>3555</v>
      </c>
      <c r="C2" s="642"/>
      <c r="D2" s="642"/>
      <c r="E2" s="642"/>
    </row>
    <row r="3" spans="1:11" s="43" customFormat="1" ht="15.9" customHeight="1" x14ac:dyDescent="0.35">
      <c r="A3" s="35"/>
      <c r="B3" s="42"/>
      <c r="C3" s="147"/>
      <c r="D3" s="147"/>
      <c r="E3" s="147"/>
      <c r="G3" s="167"/>
    </row>
    <row r="4" spans="1:11" s="43" customFormat="1" ht="15.9" customHeight="1" x14ac:dyDescent="0.3">
      <c r="A4" s="35"/>
      <c r="B4" s="1177" t="s">
        <v>3556</v>
      </c>
      <c r="C4" s="1177"/>
      <c r="D4" s="1177"/>
      <c r="E4" s="1177"/>
      <c r="F4" s="1177"/>
      <c r="G4" s="1177"/>
      <c r="H4" s="1177"/>
      <c r="I4" s="1177"/>
      <c r="J4" s="1177"/>
      <c r="K4" s="1177"/>
    </row>
    <row r="5" spans="1:11" s="43" customFormat="1" ht="15.9" customHeight="1" x14ac:dyDescent="0.3">
      <c r="A5" s="35"/>
      <c r="B5" s="1177"/>
      <c r="C5" s="1177"/>
      <c r="D5" s="1177"/>
      <c r="E5" s="1177"/>
      <c r="F5" s="1177"/>
      <c r="G5" s="1177"/>
      <c r="H5" s="1177"/>
      <c r="I5" s="1177"/>
      <c r="J5" s="1177"/>
      <c r="K5" s="1177"/>
    </row>
    <row r="6" spans="1:11" s="43" customFormat="1" ht="15.9" customHeight="1" x14ac:dyDescent="0.3">
      <c r="A6" s="35"/>
      <c r="B6" s="1177"/>
      <c r="C6" s="1177"/>
      <c r="D6" s="1177"/>
      <c r="E6" s="1177"/>
      <c r="F6" s="1177"/>
      <c r="G6" s="1177"/>
      <c r="H6" s="1177"/>
      <c r="I6" s="1177"/>
      <c r="J6" s="1177"/>
      <c r="K6" s="1177"/>
    </row>
    <row r="7" spans="1:11" s="43" customFormat="1" ht="15.9" customHeight="1" x14ac:dyDescent="0.3">
      <c r="A7" s="35"/>
      <c r="B7" s="1177"/>
      <c r="C7" s="1177"/>
      <c r="D7" s="1177"/>
      <c r="E7" s="1177"/>
      <c r="F7" s="1177"/>
      <c r="G7" s="1177"/>
      <c r="H7" s="1177"/>
      <c r="I7" s="1177"/>
      <c r="J7" s="1177"/>
      <c r="K7" s="1177"/>
    </row>
    <row r="8" spans="1:11" s="43" customFormat="1" ht="15.9" customHeight="1" x14ac:dyDescent="0.3">
      <c r="A8" s="35"/>
      <c r="B8" s="1177"/>
      <c r="C8" s="1177"/>
      <c r="D8" s="1177"/>
      <c r="E8" s="1177"/>
      <c r="F8" s="1177"/>
      <c r="G8" s="1177"/>
      <c r="H8" s="1177"/>
      <c r="I8" s="1177"/>
      <c r="J8" s="1177"/>
      <c r="K8" s="1177"/>
    </row>
    <row r="9" spans="1:11" s="43" customFormat="1" ht="15.9" customHeight="1" x14ac:dyDescent="0.3">
      <c r="A9" s="35"/>
      <c r="B9" s="1177"/>
      <c r="C9" s="1177"/>
      <c r="D9" s="1177"/>
      <c r="E9" s="1177"/>
      <c r="F9" s="1177"/>
      <c r="G9" s="1177"/>
      <c r="H9" s="1177"/>
      <c r="I9" s="1177"/>
      <c r="J9" s="1177"/>
      <c r="K9" s="1177"/>
    </row>
    <row r="11" spans="1:11" ht="24.75" customHeight="1" x14ac:dyDescent="0.3">
      <c r="B11" s="413" t="s">
        <v>3499</v>
      </c>
      <c r="C11" s="500" t="s">
        <v>3504</v>
      </c>
      <c r="E11" s="438" t="s">
        <v>3557</v>
      </c>
    </row>
    <row r="12" spans="1:11" ht="15.9" customHeight="1" x14ac:dyDescent="0.3">
      <c r="B12" s="44" t="s">
        <v>937</v>
      </c>
      <c r="C12" s="49">
        <f>VLOOKUP(B12,'Country Summary'!B:J,9,0)</f>
        <v>1.0714702516680921</v>
      </c>
    </row>
    <row r="13" spans="1:11" ht="15.9" customHeight="1" x14ac:dyDescent="0.3">
      <c r="B13" s="39" t="s">
        <v>1861</v>
      </c>
      <c r="C13" s="49">
        <f>VLOOKUP(B13,'Country Summary'!B:J,9,0)</f>
        <v>0.97530930817809547</v>
      </c>
    </row>
    <row r="14" spans="1:11" ht="15.9" customHeight="1" x14ac:dyDescent="0.3">
      <c r="B14" s="44" t="s">
        <v>1919</v>
      </c>
      <c r="C14" s="49">
        <f>VLOOKUP(B14,'Country Summary'!B:J,9,0)</f>
        <v>0.65175917502903802</v>
      </c>
    </row>
    <row r="15" spans="1:11" ht="15.9" customHeight="1" x14ac:dyDescent="0.3">
      <c r="B15" s="44" t="s">
        <v>2303</v>
      </c>
      <c r="C15" s="49">
        <f>VLOOKUP(B15,'Country Summary'!B:J,9,0)</f>
        <v>0.62629240486194215</v>
      </c>
    </row>
    <row r="16" spans="1:11" ht="15.9" customHeight="1" x14ac:dyDescent="0.3">
      <c r="B16" s="44" t="s">
        <v>3038</v>
      </c>
      <c r="C16" s="49">
        <f>VLOOKUP(B16,'Country Summary'!B:J,9,0)</f>
        <v>0.36670361752930236</v>
      </c>
    </row>
    <row r="17" spans="2:3" ht="15.9" customHeight="1" x14ac:dyDescent="0.3">
      <c r="B17" s="44" t="s">
        <v>480</v>
      </c>
      <c r="C17" s="49">
        <f>VLOOKUP(B17,'Country Summary'!B:J,9,0)</f>
        <v>0.36056136389535975</v>
      </c>
    </row>
    <row r="18" spans="2:3" ht="15.9" customHeight="1" x14ac:dyDescent="0.3">
      <c r="B18" s="44" t="s">
        <v>2206</v>
      </c>
      <c r="C18" s="49">
        <f>VLOOKUP(B18,'Country Summary'!B:J,9,0)</f>
        <v>0.35881458597507954</v>
      </c>
    </row>
    <row r="19" spans="2:3" ht="15.9" customHeight="1" x14ac:dyDescent="0.3">
      <c r="B19" s="44" t="s">
        <v>2864</v>
      </c>
      <c r="C19" s="49">
        <f>VLOOKUP(B19,'Country Summary'!B:J,9,0)</f>
        <v>0.31603739506644191</v>
      </c>
    </row>
    <row r="20" spans="2:3" ht="15.9" customHeight="1" x14ac:dyDescent="0.3">
      <c r="B20" s="40" t="s">
        <v>517</v>
      </c>
      <c r="C20" s="49">
        <f>VLOOKUP(B20,'Country Summary'!B:J,9,0)</f>
        <v>0.25632117619333006</v>
      </c>
    </row>
    <row r="21" spans="2:3" ht="15.9" customHeight="1" x14ac:dyDescent="0.3">
      <c r="B21" s="44" t="s">
        <v>716</v>
      </c>
      <c r="C21" s="49">
        <f>VLOOKUP(B21,'Country Summary'!B:J,9,0)</f>
        <v>0.24401173304736024</v>
      </c>
    </row>
    <row r="22" spans="2:3" ht="15.9" customHeight="1" x14ac:dyDescent="0.3">
      <c r="B22" s="44" t="s">
        <v>2489</v>
      </c>
      <c r="C22" s="49">
        <f>VLOOKUP(B22,'Country Summary'!B:J,9,0)</f>
        <v>0.22369549234134833</v>
      </c>
    </row>
    <row r="23" spans="2:3" ht="15.9" customHeight="1" x14ac:dyDescent="0.3">
      <c r="B23" s="44" t="s">
        <v>2370</v>
      </c>
      <c r="C23" s="49">
        <f>VLOOKUP(B23,'Country Summary'!B:J,9,0)</f>
        <v>0.21250619097011536</v>
      </c>
    </row>
    <row r="24" spans="2:3" ht="15.9" customHeight="1" x14ac:dyDescent="0.3">
      <c r="B24" s="44" t="s">
        <v>856</v>
      </c>
      <c r="C24" s="49">
        <f>VLOOKUP(B24,'Country Summary'!B:J,9,0)</f>
        <v>0.2122186724732939</v>
      </c>
    </row>
    <row r="25" spans="2:3" ht="15.9" customHeight="1" x14ac:dyDescent="0.3">
      <c r="B25" s="44" t="s">
        <v>1288</v>
      </c>
      <c r="C25" s="49">
        <f>VLOOKUP(B25,'Country Summary'!B:J,9,0)</f>
        <v>0.16791640519043149</v>
      </c>
    </row>
    <row r="26" spans="2:3" ht="15.9" customHeight="1" x14ac:dyDescent="0.3">
      <c r="B26" s="44" t="s">
        <v>2076</v>
      </c>
      <c r="C26" s="49">
        <f>VLOOKUP(B26,'Country Summary'!B:J,9,0)</f>
        <v>0.16304488604120476</v>
      </c>
    </row>
    <row r="27" spans="2:3" ht="15.9" customHeight="1" x14ac:dyDescent="0.3">
      <c r="B27" s="44" t="s">
        <v>2715</v>
      </c>
      <c r="C27" s="49">
        <f>VLOOKUP(B27,'Country Summary'!B:J,9,0)</f>
        <v>0.1560201905102156</v>
      </c>
    </row>
    <row r="28" spans="2:3" ht="15.9" customHeight="1" x14ac:dyDescent="0.3">
      <c r="B28" s="44" t="s">
        <v>344</v>
      </c>
      <c r="C28" s="49">
        <f>VLOOKUP(B28,'Country Summary'!B:J,9,0)</f>
        <v>0.15156942553252337</v>
      </c>
    </row>
    <row r="29" spans="2:3" ht="15.9" customHeight="1" x14ac:dyDescent="0.3">
      <c r="B29" s="44" t="s">
        <v>1025</v>
      </c>
      <c r="C29" s="49">
        <f>VLOOKUP(B29,'Country Summary'!B:J,9,0)</f>
        <v>0.13218725299739614</v>
      </c>
    </row>
    <row r="30" spans="2:3" ht="15.9" customHeight="1" x14ac:dyDescent="0.3">
      <c r="B30" s="44" t="s">
        <v>2547</v>
      </c>
      <c r="C30" s="49">
        <f>VLOOKUP(B30,'Country Summary'!B:J,9,0)</f>
        <v>0.12092412980552034</v>
      </c>
    </row>
    <row r="31" spans="2:3" ht="15.9" customHeight="1" x14ac:dyDescent="0.3">
      <c r="B31" s="44" t="s">
        <v>2024</v>
      </c>
      <c r="C31" s="49">
        <f>VLOOKUP(B31,'Country Summary'!B:J,9,0)</f>
        <v>0.11308310906433033</v>
      </c>
    </row>
    <row r="32" spans="2:3" ht="15.9" customHeight="1" x14ac:dyDescent="0.3">
      <c r="B32" s="40" t="s">
        <v>1606</v>
      </c>
      <c r="C32" s="49">
        <f>VLOOKUP(B32,'Country Summary'!B:J,9,0)</f>
        <v>0.10158985634034334</v>
      </c>
    </row>
    <row r="33" spans="2:3" ht="15.9" customHeight="1" x14ac:dyDescent="0.3">
      <c r="B33" s="44" t="s">
        <v>1131</v>
      </c>
      <c r="C33" s="49">
        <f>VLOOKUP(B33,'Country Summary'!B:J,9,0)</f>
        <v>6.6849255151842313E-2</v>
      </c>
    </row>
    <row r="34" spans="2:3" ht="15.9" customHeight="1" x14ac:dyDescent="0.3">
      <c r="B34" s="44" t="s">
        <v>1730</v>
      </c>
      <c r="C34" s="49">
        <f>VLOOKUP(B34,'Country Summary'!B:J,9,0)</f>
        <v>5.6879145193287982E-2</v>
      </c>
    </row>
    <row r="35" spans="2:3" ht="15.9" customHeight="1" x14ac:dyDescent="0.3">
      <c r="B35" s="44" t="s">
        <v>413</v>
      </c>
      <c r="C35" s="49">
        <f>VLOOKUP(B35,'Country Summary'!B:J,9,0)</f>
        <v>4.9236359339854457E-2</v>
      </c>
    </row>
    <row r="36" spans="2:3" ht="15.9" customHeight="1" x14ac:dyDescent="0.3">
      <c r="B36" s="44" t="s">
        <v>664</v>
      </c>
      <c r="C36" s="49">
        <f>VLOOKUP(B36,'Country Summary'!B:J,9,0)</f>
        <v>4.751612804745621E-2</v>
      </c>
    </row>
    <row r="37" spans="2:3" ht="15.9" customHeight="1" x14ac:dyDescent="0.3">
      <c r="B37" s="44" t="s">
        <v>255</v>
      </c>
      <c r="C37" s="49">
        <f>VLOOKUP(B37,'Country Summary'!B:J,9,0)</f>
        <v>3.3783675894588923E-2</v>
      </c>
    </row>
    <row r="38" spans="2:3" ht="15.9" customHeight="1" x14ac:dyDescent="0.3">
      <c r="B38" s="40" t="s">
        <v>2792</v>
      </c>
      <c r="C38" s="49">
        <f>VLOOKUP(B38,'Country Summary'!B:J,9,0)</f>
        <v>3.3774324203310994E-2</v>
      </c>
    </row>
    <row r="39" spans="2:3" ht="15.9" customHeight="1" x14ac:dyDescent="0.3">
      <c r="B39" s="40" t="s">
        <v>1646</v>
      </c>
      <c r="C39" s="49">
        <f>VLOOKUP(B39,'Country Summary'!B:J,9,0)</f>
        <v>3.1865036188883679E-2</v>
      </c>
    </row>
    <row r="40" spans="2:3" ht="15.9" customHeight="1" x14ac:dyDescent="0.3">
      <c r="B40" s="44" t="s">
        <v>2615</v>
      </c>
      <c r="C40" s="49">
        <f>VLOOKUP(B40,'Country Summary'!B:J,9,0)</f>
        <v>3.1743111359855275E-2</v>
      </c>
    </row>
    <row r="41" spans="2:3" ht="15.9" customHeight="1" x14ac:dyDescent="0.3">
      <c r="B41" s="39" t="s">
        <v>1804</v>
      </c>
      <c r="C41" s="49">
        <f>VLOOKUP(B41,'Country Summary'!B:J,9,0)</f>
        <v>2.1834816145528613E-2</v>
      </c>
    </row>
    <row r="42" spans="2:3" ht="15.9" customHeight="1" x14ac:dyDescent="0.3">
      <c r="B42" s="44" t="s">
        <v>1701</v>
      </c>
      <c r="C42" s="49">
        <f>VLOOKUP(B42,'Country Summary'!B:J,9,0)</f>
        <v>1.6901668275066981E-2</v>
      </c>
    </row>
    <row r="43" spans="2:3" ht="15.9" customHeight="1" x14ac:dyDescent="0.3">
      <c r="B43" s="44" t="s">
        <v>696</v>
      </c>
      <c r="C43" s="49">
        <f>VLOOKUP(B43,'Country Summary'!B:J,9,0)</f>
        <v>1.2798296810786326E-2</v>
      </c>
    </row>
    <row r="44" spans="2:3" ht="15.9" customHeight="1" x14ac:dyDescent="0.3">
      <c r="B44" s="40" t="s">
        <v>2066</v>
      </c>
      <c r="C44" s="49">
        <f>VLOOKUP(B44,'Country Summary'!B:J,9,0)</f>
        <v>1.2186479766347293E-2</v>
      </c>
    </row>
    <row r="45" spans="2:3" ht="15.9" customHeight="1" x14ac:dyDescent="0.3">
      <c r="B45" s="40" t="s">
        <v>2840</v>
      </c>
      <c r="C45" s="49">
        <f>VLOOKUP(B45,'Country Summary'!B:J,9,0)</f>
        <v>1.1189738764522157E-2</v>
      </c>
    </row>
    <row r="46" spans="2:3" ht="15.9" customHeight="1" x14ac:dyDescent="0.3">
      <c r="B46" s="44" t="s">
        <v>2168</v>
      </c>
      <c r="C46" s="49">
        <f>VLOOKUP(B46,'Country Summary'!B:J,9,0)</f>
        <v>1.033595062238561E-2</v>
      </c>
    </row>
    <row r="47" spans="2:3" ht="15.9" customHeight="1" x14ac:dyDescent="0.3">
      <c r="B47" s="44" t="s">
        <v>2820</v>
      </c>
      <c r="C47" s="49">
        <f>VLOOKUP(B47,'Country Summary'!B:J,9,0)</f>
        <v>8.9827208669556458E-3</v>
      </c>
    </row>
    <row r="48" spans="2:3" ht="15.9" customHeight="1" x14ac:dyDescent="0.3">
      <c r="B48" s="39" t="s">
        <v>2424</v>
      </c>
      <c r="C48" s="49">
        <f>VLOOKUP(B48,'Country Summary'!B:J,9,0)</f>
        <v>6.323967606692558E-3</v>
      </c>
    </row>
    <row r="49" spans="2:7" ht="15.9" customHeight="1" x14ac:dyDescent="0.3">
      <c r="B49" s="44" t="s">
        <v>2460</v>
      </c>
      <c r="C49" s="49">
        <f>VLOOKUP(B49,'Country Summary'!B:J,9,0)</f>
        <v>4.5117974874776083E-3</v>
      </c>
    </row>
    <row r="50" spans="2:7" ht="15.9" customHeight="1" x14ac:dyDescent="0.3">
      <c r="B50" s="39" t="s">
        <v>1687</v>
      </c>
      <c r="C50" s="49">
        <f>VLOOKUP(B50,'Country Summary'!B:J,9,0)</f>
        <v>7.3198138435895518E-5</v>
      </c>
      <c r="D50" s="50"/>
      <c r="E50" s="50"/>
      <c r="F50" s="50"/>
      <c r="G50" s="50"/>
    </row>
    <row r="51" spans="2:7" ht="15.9" customHeight="1" x14ac:dyDescent="0.3">
      <c r="B51" s="51" t="s">
        <v>656</v>
      </c>
      <c r="C51" s="51">
        <f>VLOOKUP(B51,'Country Summary'!B:J,9,0)</f>
        <v>1.4848696966057873E-5</v>
      </c>
      <c r="D51" s="50"/>
      <c r="E51" s="50"/>
      <c r="F51" s="50"/>
      <c r="G51" s="50"/>
    </row>
    <row r="52" spans="2:7" ht="15.9" customHeight="1" x14ac:dyDescent="0.3">
      <c r="B52" s="49"/>
      <c r="D52" s="50"/>
      <c r="E52" s="50"/>
      <c r="F52" s="50"/>
      <c r="G52" s="50"/>
    </row>
    <row r="53" spans="2:7" ht="15.9" customHeight="1" x14ac:dyDescent="0.3">
      <c r="B53" s="49"/>
      <c r="D53" s="50"/>
      <c r="E53" s="50"/>
      <c r="F53" s="50"/>
      <c r="G53" s="50"/>
    </row>
    <row r="54" spans="2:7" ht="15.9" customHeight="1" x14ac:dyDescent="0.3">
      <c r="B54" s="49"/>
      <c r="D54" s="50"/>
      <c r="E54" s="50"/>
      <c r="F54" s="50"/>
      <c r="G54" s="50"/>
    </row>
    <row r="55" spans="2:7" ht="15.9" customHeight="1" x14ac:dyDescent="0.3">
      <c r="B55" s="49"/>
      <c r="D55" s="50"/>
      <c r="E55" s="50"/>
      <c r="F55" s="50"/>
      <c r="G55" s="50"/>
    </row>
    <row r="56" spans="2:7" ht="15.9" customHeight="1" x14ac:dyDescent="0.3">
      <c r="B56" s="48"/>
    </row>
    <row r="57" spans="2:7" ht="15.9" customHeight="1" x14ac:dyDescent="0.3">
      <c r="B57" s="48"/>
    </row>
    <row r="58" spans="2:7" ht="15.9" customHeight="1" x14ac:dyDescent="0.3">
      <c r="B58" s="48"/>
    </row>
    <row r="59" spans="2:7" ht="15.9" customHeight="1" x14ac:dyDescent="0.3">
      <c r="B59" s="48"/>
    </row>
    <row r="60" spans="2:7" ht="15.9" customHeight="1" x14ac:dyDescent="0.3">
      <c r="B60" s="48"/>
    </row>
    <row r="61" spans="2:7" ht="15.9" customHeight="1" x14ac:dyDescent="0.3">
      <c r="B61" s="48"/>
    </row>
    <row r="62" spans="2:7" ht="15.9" customHeight="1" x14ac:dyDescent="0.3">
      <c r="B62" s="48"/>
    </row>
    <row r="63" spans="2:7" ht="15.9" customHeight="1" x14ac:dyDescent="0.3">
      <c r="B63" s="48"/>
    </row>
    <row r="64" spans="2:7" ht="15.9" customHeight="1" x14ac:dyDescent="0.3">
      <c r="B64" s="48"/>
    </row>
    <row r="65" spans="2:2" ht="15.9" customHeight="1" x14ac:dyDescent="0.3">
      <c r="B65" s="48"/>
    </row>
    <row r="66" spans="2:2" ht="15.9" customHeight="1" x14ac:dyDescent="0.3">
      <c r="B66" s="48"/>
    </row>
  </sheetData>
  <sortState ref="B12:C51">
    <sortCondition descending="1" ref="C12:C51"/>
  </sortState>
  <mergeCells count="1">
    <mergeCell ref="B4:K9"/>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B4C6E7"/>
  </sheetPr>
  <dimension ref="A1:AC60"/>
  <sheetViews>
    <sheetView showGridLines="0" zoomScaleNormal="100" workbookViewId="0"/>
  </sheetViews>
  <sheetFormatPr baseColWidth="10" defaultColWidth="8.59765625" defaultRowHeight="15.9" customHeight="1" x14ac:dyDescent="0.3"/>
  <cols>
    <col min="1" max="1" width="8.59765625" style="13" customWidth="1"/>
    <col min="2" max="2" width="25.5" style="40" customWidth="1"/>
    <col min="3" max="3" width="27.8984375" style="40" bestFit="1" customWidth="1"/>
    <col min="4" max="4" width="50.59765625" style="40" bestFit="1" customWidth="1"/>
    <col min="5" max="5" width="18.59765625" style="40" customWidth="1"/>
    <col min="6" max="6" width="13.59765625" style="40" customWidth="1"/>
    <col min="7" max="18" width="8.59765625" style="40" customWidth="1"/>
    <col min="19" max="19" width="8.59765625" style="85" customWidth="1"/>
    <col min="20" max="28" width="8.59765625" style="82" customWidth="1"/>
    <col min="29" max="29" width="8.59765625" style="83" customWidth="1"/>
    <col min="30" max="30" width="8.59765625" style="40" customWidth="1"/>
    <col min="31" max="16384" width="8.59765625" style="40"/>
  </cols>
  <sheetData>
    <row r="1" spans="1:29" s="35" customFormat="1" ht="15.9" customHeight="1" x14ac:dyDescent="0.3">
      <c r="B1" s="39"/>
      <c r="C1" s="148"/>
      <c r="D1" s="148"/>
      <c r="E1" s="148"/>
    </row>
    <row r="2" spans="1:29" s="647" customFormat="1" ht="24.75" customHeight="1" x14ac:dyDescent="0.3">
      <c r="B2" s="646" t="s">
        <v>3558</v>
      </c>
    </row>
    <row r="3" spans="1:29" s="116" customFormat="1" ht="15.9" customHeight="1" x14ac:dyDescent="0.25"/>
    <row r="4" spans="1:29" s="116" customFormat="1" ht="15.9" customHeight="1" x14ac:dyDescent="0.25">
      <c r="B4" s="1182" t="s">
        <v>3559</v>
      </c>
      <c r="C4" s="1182"/>
      <c r="D4" s="1182"/>
      <c r="E4" s="1182"/>
      <c r="F4" s="444"/>
    </row>
    <row r="5" spans="1:29" s="116" customFormat="1" ht="15.9" customHeight="1" x14ac:dyDescent="0.25">
      <c r="B5" s="1182"/>
      <c r="C5" s="1182"/>
      <c r="D5" s="1182"/>
      <c r="E5" s="1182"/>
      <c r="F5" s="444"/>
    </row>
    <row r="6" spans="1:29" s="116" customFormat="1" ht="15.9" customHeight="1" x14ac:dyDescent="0.25">
      <c r="B6" s="1182"/>
      <c r="C6" s="1182"/>
      <c r="D6" s="1182"/>
      <c r="E6" s="1182"/>
      <c r="F6" s="444"/>
    </row>
    <row r="7" spans="1:29" s="116" customFormat="1" ht="15.9" customHeight="1" x14ac:dyDescent="0.25">
      <c r="B7" s="1182"/>
      <c r="C7" s="1182"/>
      <c r="D7" s="1182"/>
      <c r="E7" s="1182"/>
      <c r="F7" s="444"/>
    </row>
    <row r="8" spans="1:29" s="116" customFormat="1" ht="15.9" customHeight="1" x14ac:dyDescent="0.25">
      <c r="B8" s="1182"/>
      <c r="C8" s="1182"/>
      <c r="D8" s="1182"/>
      <c r="E8" s="1182"/>
      <c r="F8" s="444"/>
    </row>
    <row r="9" spans="1:29" s="116" customFormat="1" ht="15.9" customHeight="1" x14ac:dyDescent="0.25">
      <c r="B9" s="1182"/>
      <c r="C9" s="1182"/>
      <c r="D9" s="1182"/>
      <c r="E9" s="1182"/>
      <c r="F9" s="444"/>
    </row>
    <row r="10" spans="1:29" ht="15.9" customHeight="1" x14ac:dyDescent="0.3">
      <c r="A10" s="20"/>
      <c r="S10" s="86"/>
      <c r="U10" s="89"/>
      <c r="V10" s="90"/>
      <c r="W10" s="91"/>
      <c r="Y10" s="86"/>
      <c r="Z10" s="90"/>
      <c r="AA10" s="91"/>
      <c r="AB10" s="92"/>
    </row>
    <row r="11" spans="1:29" s="651" customFormat="1" ht="24.75" customHeight="1" x14ac:dyDescent="0.3">
      <c r="A11" s="182"/>
      <c r="B11" s="413" t="s">
        <v>3499</v>
      </c>
      <c r="C11" s="500" t="s">
        <v>3504</v>
      </c>
      <c r="D11" s="501" t="s">
        <v>3560</v>
      </c>
      <c r="E11" s="500" t="s">
        <v>3517</v>
      </c>
      <c r="G11" s="649" t="s">
        <v>3561</v>
      </c>
      <c r="S11" s="652"/>
      <c r="T11" s="653"/>
      <c r="U11" s="89"/>
      <c r="V11" s="654"/>
      <c r="W11" s="655"/>
      <c r="X11" s="653"/>
      <c r="Y11" s="652"/>
      <c r="Z11" s="654"/>
      <c r="AA11" s="655"/>
      <c r="AB11" s="656"/>
      <c r="AC11" s="657"/>
    </row>
    <row r="12" spans="1:29" ht="15.9" customHeight="1" x14ac:dyDescent="0.3">
      <c r="B12" s="40" t="s">
        <v>3038</v>
      </c>
      <c r="C12" s="49">
        <f>VLOOKUP(B12,'Country Summary'!B:J,6,0)</f>
        <v>73.176684754285702</v>
      </c>
      <c r="D12" s="49">
        <f>VLOOKUP(B12,'Country Summary'!B:N,13,0)</f>
        <v>0</v>
      </c>
      <c r="E12" s="49">
        <f>VLOOKUP(B12,'Country Summary'!B:P,15,0)</f>
        <v>73.176684754285702</v>
      </c>
      <c r="S12" s="86"/>
      <c r="U12" s="89"/>
      <c r="V12" s="90"/>
      <c r="W12" s="91"/>
      <c r="Y12" s="86"/>
      <c r="Z12" s="90"/>
      <c r="AA12" s="91"/>
      <c r="AB12" s="92"/>
    </row>
    <row r="13" spans="1:29" ht="15.9" customHeight="1" x14ac:dyDescent="0.3">
      <c r="B13" s="40" t="s">
        <v>1288</v>
      </c>
      <c r="C13" s="49">
        <f>VLOOKUP(B13,'Country Summary'!B:J,6,0)</f>
        <v>6.1512000000000002</v>
      </c>
      <c r="D13" s="49">
        <f>VLOOKUP(B13,'Country Summary'!B:N,13,0)</f>
        <v>7.1798954769725452</v>
      </c>
      <c r="E13" s="49">
        <f>VLOOKUP(B13,'Country Summary'!B:P,15,0)</f>
        <v>13.331095476972546</v>
      </c>
      <c r="S13" s="86"/>
      <c r="U13" s="89"/>
      <c r="V13" s="90"/>
      <c r="W13" s="91"/>
      <c r="Y13" s="86"/>
      <c r="Z13" s="90"/>
      <c r="AA13" s="91"/>
      <c r="AB13" s="92"/>
    </row>
    <row r="14" spans="1:29" ht="15.9" customHeight="1" x14ac:dyDescent="0.3">
      <c r="B14" s="40" t="s">
        <v>2864</v>
      </c>
      <c r="C14" s="49">
        <f>VLOOKUP(B14,'Country Summary'!B:J,6,0)</f>
        <v>8.3066789144399067</v>
      </c>
      <c r="D14" s="49">
        <f>VLOOKUP(B14,'Country Summary'!B:N,13,0)</f>
        <v>0</v>
      </c>
      <c r="E14" s="49">
        <f>VLOOKUP(B14,'Country Summary'!B:P,15,0)</f>
        <v>8.3066789144399067</v>
      </c>
      <c r="S14" s="86"/>
      <c r="U14" s="89"/>
      <c r="V14" s="90"/>
      <c r="W14" s="91"/>
      <c r="Y14" s="86"/>
      <c r="Z14" s="90"/>
      <c r="AA14" s="91"/>
      <c r="AB14" s="92"/>
    </row>
    <row r="15" spans="1:29" ht="15.9" customHeight="1" x14ac:dyDescent="0.3">
      <c r="B15" s="40" t="s">
        <v>1131</v>
      </c>
      <c r="C15" s="49">
        <f>VLOOKUP(B15,'Country Summary'!B:J,6,0)</f>
        <v>1.6746169625065208</v>
      </c>
      <c r="D15" s="49">
        <f>VLOOKUP(B15,'Country Summary'!B:N,13,0)</f>
        <v>5.9828510175300877</v>
      </c>
      <c r="E15" s="49">
        <f>VLOOKUP(B15,'Country Summary'!B:P,15,0)</f>
        <v>7.6574679800366088</v>
      </c>
      <c r="S15" s="86"/>
      <c r="U15" s="89"/>
      <c r="V15" s="90"/>
      <c r="W15" s="91"/>
      <c r="Y15" s="86"/>
      <c r="Z15" s="90"/>
      <c r="AA15" s="91"/>
      <c r="AB15" s="92"/>
    </row>
    <row r="16" spans="1:29" ht="15.9" customHeight="1" x14ac:dyDescent="0.3">
      <c r="B16" s="40" t="s">
        <v>1730</v>
      </c>
      <c r="C16" s="49">
        <f>VLOOKUP(B16,'Country Summary'!B:J,6,0)</f>
        <v>1.0231255091970821</v>
      </c>
      <c r="D16" s="49">
        <f>VLOOKUP(B16,'Country Summary'!B:N,13,0)</f>
        <v>4.4185333806930851</v>
      </c>
      <c r="E16" s="49">
        <f>VLOOKUP(B16,'Country Summary'!B:P,15,0)</f>
        <v>5.4416588898901672</v>
      </c>
      <c r="S16" s="86"/>
      <c r="U16" s="89"/>
      <c r="V16" s="90"/>
      <c r="W16" s="91"/>
      <c r="Y16" s="86"/>
      <c r="Z16" s="90"/>
      <c r="AA16" s="91"/>
      <c r="AB16" s="92"/>
    </row>
    <row r="17" spans="2:28" ht="15.9" customHeight="1" x14ac:dyDescent="0.3">
      <c r="B17" s="40" t="s">
        <v>2303</v>
      </c>
      <c r="C17" s="49">
        <f>VLOOKUP(B17,'Country Summary'!B:J,6,0)</f>
        <v>3.5586790973677824</v>
      </c>
      <c r="D17" s="49">
        <f>VLOOKUP(B17,'Country Summary'!B:N,13,0)</f>
        <v>1.4592480278781061</v>
      </c>
      <c r="E17" s="49">
        <f>VLOOKUP(B17,'Country Summary'!B:P,15,0)</f>
        <v>5.0179271252458886</v>
      </c>
      <c r="S17" s="86"/>
      <c r="U17" s="89"/>
      <c r="V17" s="90"/>
      <c r="W17" s="91"/>
      <c r="Y17" s="86"/>
      <c r="Z17" s="90"/>
      <c r="AA17" s="91"/>
      <c r="AB17" s="92"/>
    </row>
    <row r="18" spans="2:28" ht="15.9" customHeight="1" x14ac:dyDescent="0.3">
      <c r="B18" s="40" t="s">
        <v>2615</v>
      </c>
      <c r="C18" s="49">
        <f>VLOOKUP(B18,'Country Summary'!B:J,6,0)</f>
        <v>0.38741247269965756</v>
      </c>
      <c r="D18" s="49">
        <f>VLOOKUP(B18,'Country Summary'!B:N,13,0)</f>
        <v>4.0389504895180917</v>
      </c>
      <c r="E18" s="49">
        <f>VLOOKUP(B18,'Country Summary'!B:P,15,0)</f>
        <v>4.4263629622177492</v>
      </c>
      <c r="S18" s="86"/>
      <c r="U18" s="89"/>
      <c r="V18" s="90"/>
      <c r="W18" s="91"/>
      <c r="Y18" s="86"/>
      <c r="Z18" s="90"/>
      <c r="AA18" s="91"/>
      <c r="AB18" s="92"/>
    </row>
    <row r="19" spans="2:28" ht="15.9" customHeight="1" x14ac:dyDescent="0.3">
      <c r="B19" s="40" t="s">
        <v>2076</v>
      </c>
      <c r="C19" s="49">
        <f>VLOOKUP(B19,'Country Summary'!B:J,6,0)</f>
        <v>1.4190579047619047</v>
      </c>
      <c r="D19" s="49">
        <f>VLOOKUP(B19,'Country Summary'!B:N,13,0)</f>
        <v>2.6465907768610224</v>
      </c>
      <c r="E19" s="49">
        <f>VLOOKUP(B19,'Country Summary'!B:P,15,0)</f>
        <v>4.0656486816229274</v>
      </c>
      <c r="S19" s="86"/>
      <c r="U19" s="89"/>
      <c r="V19" s="90"/>
      <c r="W19" s="91"/>
      <c r="Y19" s="86"/>
      <c r="Z19" s="90"/>
      <c r="AA19" s="91"/>
      <c r="AB19" s="92"/>
    </row>
    <row r="20" spans="2:28" ht="15.9" customHeight="1" x14ac:dyDescent="0.3">
      <c r="B20" s="40" t="s">
        <v>517</v>
      </c>
      <c r="C20" s="49">
        <f>VLOOKUP(B20,'Country Summary'!B:J,6,0)</f>
        <v>4.0167320360689516</v>
      </c>
      <c r="D20" s="49">
        <f>VLOOKUP(B20,'Country Summary'!B:N,13,0)</f>
        <v>0</v>
      </c>
      <c r="E20" s="49">
        <f>VLOOKUP(B20,'Country Summary'!B:P,15,0)</f>
        <v>4.0167320360689516</v>
      </c>
      <c r="S20" s="86"/>
      <c r="U20" s="89"/>
      <c r="V20" s="90"/>
      <c r="W20" s="91"/>
      <c r="Y20" s="86"/>
      <c r="Z20" s="90"/>
      <c r="AA20" s="91"/>
      <c r="AB20" s="92"/>
    </row>
    <row r="21" spans="2:28" ht="15.9" customHeight="1" x14ac:dyDescent="0.3">
      <c r="B21" s="40" t="s">
        <v>2715</v>
      </c>
      <c r="C21" s="49">
        <f>VLOOKUP(B21,'Country Summary'!B:J,6,0)</f>
        <v>0.80420244637286009</v>
      </c>
      <c r="D21" s="49">
        <f>VLOOKUP(B21,'Country Summary'!B:N,13,0)</f>
        <v>1.1810526579512821</v>
      </c>
      <c r="E21" s="49">
        <f>VLOOKUP(B21,'Country Summary'!B:P,15,0)</f>
        <v>1.9852551043241422</v>
      </c>
      <c r="S21" s="86"/>
      <c r="U21" s="89"/>
      <c r="V21" s="90"/>
      <c r="W21" s="91"/>
      <c r="Y21" s="86"/>
      <c r="Z21" s="90"/>
      <c r="AA21" s="91"/>
      <c r="AB21" s="92"/>
    </row>
    <row r="22" spans="2:28" ht="15.9" customHeight="1" x14ac:dyDescent="0.3">
      <c r="B22" s="40" t="s">
        <v>344</v>
      </c>
      <c r="C22" s="49">
        <f>VLOOKUP(B22,'Country Summary'!B:J,6,0)</f>
        <v>0.62541654671428581</v>
      </c>
      <c r="D22" s="49">
        <f>VLOOKUP(B22,'Country Summary'!B:N,13,0)</f>
        <v>1.0156285511127108</v>
      </c>
      <c r="E22" s="49">
        <f>VLOOKUP(B22,'Country Summary'!B:P,15,0)</f>
        <v>1.6410450978269966</v>
      </c>
      <c r="S22" s="86"/>
      <c r="U22" s="89"/>
      <c r="V22" s="90"/>
      <c r="W22" s="91"/>
      <c r="Y22" s="86"/>
      <c r="Z22" s="90"/>
      <c r="AA22" s="91"/>
      <c r="AB22" s="92"/>
    </row>
    <row r="23" spans="2:28" ht="15.9" customHeight="1" x14ac:dyDescent="0.3">
      <c r="B23" s="40" t="s">
        <v>856</v>
      </c>
      <c r="C23" s="49">
        <f>VLOOKUP(B23,'Country Summary'!B:J,6,0)</f>
        <v>0.71969388951643276</v>
      </c>
      <c r="D23" s="49">
        <f>VLOOKUP(B23,'Country Summary'!B:N,13,0)</f>
        <v>0.88666717374032766</v>
      </c>
      <c r="E23" s="49">
        <f>VLOOKUP(B23,'Country Summary'!B:P,15,0)</f>
        <v>1.6063610632567604</v>
      </c>
      <c r="S23" s="86"/>
      <c r="U23" s="89"/>
      <c r="V23" s="90"/>
      <c r="W23" s="91"/>
      <c r="Y23" s="86"/>
      <c r="Z23" s="90"/>
      <c r="AA23" s="91"/>
      <c r="AB23" s="92"/>
    </row>
    <row r="24" spans="2:28" ht="15.9" customHeight="1" x14ac:dyDescent="0.3">
      <c r="B24" s="40" t="s">
        <v>413</v>
      </c>
      <c r="C24" s="49">
        <f>VLOOKUP(B24,'Country Summary'!B:J,6,0)</f>
        <v>0.24470999999999998</v>
      </c>
      <c r="D24" s="49">
        <f>VLOOKUP(B24,'Country Summary'!B:N,13,0)</f>
        <v>1.2555194995191776</v>
      </c>
      <c r="E24" s="49">
        <f>VLOOKUP(B24,'Country Summary'!B:P,15,0)</f>
        <v>1.5002294995191776</v>
      </c>
      <c r="S24" s="86"/>
      <c r="U24" s="89"/>
      <c r="V24" s="90"/>
      <c r="W24" s="91"/>
      <c r="Y24" s="86"/>
      <c r="Z24" s="90"/>
      <c r="AA24" s="91"/>
      <c r="AB24" s="92"/>
    </row>
    <row r="25" spans="2:28" ht="15.9" customHeight="1" x14ac:dyDescent="0.3">
      <c r="B25" s="40" t="s">
        <v>2206</v>
      </c>
      <c r="C25" s="49">
        <f>VLOOKUP(B25,'Country Summary'!B:J,6,0)</f>
        <v>1.2377337111449318</v>
      </c>
      <c r="D25" s="49">
        <f>VLOOKUP(B25,'Country Summary'!B:N,13,0)</f>
        <v>0</v>
      </c>
      <c r="E25" s="49">
        <f>VLOOKUP(B25,'Country Summary'!B:P,15,0)</f>
        <v>1.2377337111449318</v>
      </c>
      <c r="S25" s="86"/>
      <c r="U25" s="89"/>
      <c r="V25" s="90"/>
      <c r="W25" s="91"/>
      <c r="Y25" s="86"/>
      <c r="Z25" s="90"/>
      <c r="AA25" s="91"/>
      <c r="AB25" s="92"/>
    </row>
    <row r="26" spans="2:28" ht="15.9" customHeight="1" x14ac:dyDescent="0.3">
      <c r="B26" s="40" t="s">
        <v>716</v>
      </c>
      <c r="C26" s="49">
        <f>VLOOKUP(B26,'Country Summary'!B:J,6,0)</f>
        <v>0.57014926340819883</v>
      </c>
      <c r="D26" s="49">
        <f>VLOOKUP(B26,'Country Summary'!B:N,13,0)</f>
        <v>0.50463001134260133</v>
      </c>
      <c r="E26" s="49">
        <f>VLOOKUP(B26,'Country Summary'!B:P,15,0)</f>
        <v>1.0747792747508003</v>
      </c>
      <c r="S26" s="86"/>
      <c r="U26" s="89"/>
      <c r="V26" s="90"/>
      <c r="W26" s="91"/>
      <c r="Y26" s="86"/>
      <c r="Z26" s="90"/>
      <c r="AA26" s="91"/>
      <c r="AB26" s="92"/>
    </row>
    <row r="27" spans="2:28" ht="15.9" customHeight="1" x14ac:dyDescent="0.3">
      <c r="B27" s="40" t="s">
        <v>1804</v>
      </c>
      <c r="C27" s="49">
        <f>VLOOKUP(B27,'Country Summary'!B:J,6,0)</f>
        <v>1.051764161904762</v>
      </c>
      <c r="D27" s="49">
        <f>VLOOKUP(B27,'Country Summary'!B:N,13,0)</f>
        <v>0</v>
      </c>
      <c r="E27" s="49">
        <f>VLOOKUP(B27,'Country Summary'!B:P,15,0)</f>
        <v>1.051764161904762</v>
      </c>
      <c r="S27" s="86"/>
      <c r="U27" s="89"/>
      <c r="V27" s="90"/>
      <c r="W27" s="91"/>
      <c r="Y27" s="86"/>
      <c r="Z27" s="90"/>
      <c r="AA27" s="91"/>
      <c r="AB27" s="92"/>
    </row>
    <row r="28" spans="2:28" ht="15.9" customHeight="1" x14ac:dyDescent="0.3">
      <c r="B28" s="40" t="s">
        <v>2370</v>
      </c>
      <c r="C28" s="49">
        <f>VLOOKUP(B28,'Country Summary'!B:J,6,0)</f>
        <v>0.46253287979161134</v>
      </c>
      <c r="D28" s="49">
        <f>VLOOKUP(B28,'Country Summary'!B:N,13,0)</f>
        <v>0.49671236408197406</v>
      </c>
      <c r="E28" s="49">
        <f>VLOOKUP(B28,'Country Summary'!B:P,15,0)</f>
        <v>0.95924524387358545</v>
      </c>
      <c r="S28" s="86"/>
      <c r="U28" s="89"/>
      <c r="V28" s="90"/>
      <c r="W28" s="91"/>
      <c r="Y28" s="86"/>
      <c r="Z28" s="90"/>
      <c r="AA28" s="91"/>
      <c r="AB28" s="92"/>
    </row>
    <row r="29" spans="2:28" ht="15.9" customHeight="1" x14ac:dyDescent="0.3">
      <c r="B29" s="40" t="s">
        <v>1025</v>
      </c>
      <c r="C29" s="49">
        <f>VLOOKUP(B29,'Country Summary'!B:J,6,0)</f>
        <v>0.33940000000000003</v>
      </c>
      <c r="D29" s="49">
        <f>VLOOKUP(B29,'Country Summary'!B:N,13,0)</f>
        <v>0.59469123173450378</v>
      </c>
      <c r="E29" s="49">
        <f>VLOOKUP(B29,'Country Summary'!B:P,15,0)</f>
        <v>0.93409123173450381</v>
      </c>
      <c r="S29" s="86"/>
      <c r="U29" s="89"/>
      <c r="V29" s="90"/>
      <c r="W29" s="91"/>
      <c r="Y29" s="86"/>
      <c r="Z29" s="90"/>
      <c r="AA29" s="91"/>
      <c r="AB29" s="92"/>
    </row>
    <row r="30" spans="2:28" ht="15.9" customHeight="1" x14ac:dyDescent="0.3">
      <c r="B30" s="40" t="s">
        <v>1701</v>
      </c>
      <c r="C30" s="49">
        <f>VLOOKUP(B30,'Country Summary'!B:J,6,0)</f>
        <v>6.8554615238095237E-2</v>
      </c>
      <c r="D30" s="49">
        <f>VLOOKUP(B30,'Country Summary'!B:N,13,0)</f>
        <v>0.68274774660675541</v>
      </c>
      <c r="E30" s="49">
        <f>VLOOKUP(B30,'Country Summary'!B:P,15,0)</f>
        <v>0.75130236184485066</v>
      </c>
      <c r="S30" s="86"/>
      <c r="U30" s="89"/>
      <c r="V30" s="90"/>
      <c r="W30" s="91"/>
      <c r="Y30" s="86"/>
      <c r="Z30" s="90"/>
      <c r="AA30" s="91"/>
      <c r="AB30" s="92"/>
    </row>
    <row r="31" spans="2:28" ht="15.9" customHeight="1" x14ac:dyDescent="0.3">
      <c r="B31" s="40" t="s">
        <v>1606</v>
      </c>
      <c r="C31" s="49">
        <f>VLOOKUP(B31,'Country Summary'!B:J,6,0)</f>
        <v>0.18270229371428573</v>
      </c>
      <c r="D31" s="49">
        <f>VLOOKUP(B31,'Country Summary'!B:N,13,0)</f>
        <v>0.49701705040169497</v>
      </c>
      <c r="E31" s="49">
        <f>VLOOKUP(B31,'Country Summary'!B:P,15,0)</f>
        <v>0.67971934411598067</v>
      </c>
      <c r="S31" s="86"/>
      <c r="U31" s="89"/>
      <c r="V31" s="90"/>
      <c r="W31" s="91"/>
      <c r="Y31" s="86"/>
      <c r="Z31" s="90"/>
      <c r="AA31" s="91"/>
      <c r="AB31" s="92"/>
    </row>
    <row r="32" spans="2:28" ht="15.9" customHeight="1" x14ac:dyDescent="0.3">
      <c r="B32" s="40" t="s">
        <v>2460</v>
      </c>
      <c r="C32" s="49">
        <f>VLOOKUP(B32,'Country Summary'!B:J,6,0)</f>
        <v>1.0687182796062965E-2</v>
      </c>
      <c r="D32" s="49">
        <f>VLOOKUP(B32,'Country Summary'!B:N,13,0)</f>
        <v>0.55830356634438194</v>
      </c>
      <c r="E32" s="49">
        <f>VLOOKUP(B32,'Country Summary'!B:P,15,0)</f>
        <v>0.5689907491404449</v>
      </c>
      <c r="S32" s="86"/>
      <c r="U32" s="89"/>
      <c r="V32" s="90"/>
      <c r="W32" s="91"/>
      <c r="Y32" s="86"/>
      <c r="Z32" s="90"/>
      <c r="AA32" s="91"/>
      <c r="AB32" s="92"/>
    </row>
    <row r="33" spans="2:28" ht="15.9" customHeight="1" x14ac:dyDescent="0.3">
      <c r="B33" s="40" t="s">
        <v>2489</v>
      </c>
      <c r="C33" s="49">
        <f>VLOOKUP(B33,'Country Summary'!B:J,6,0)</f>
        <v>0.22406311990476191</v>
      </c>
      <c r="D33" s="49">
        <f>VLOOKUP(B33,'Country Summary'!B:N,13,0)</f>
        <v>0.30476411852739893</v>
      </c>
      <c r="E33" s="49">
        <f>VLOOKUP(B33,'Country Summary'!B:P,15,0)</f>
        <v>0.52882723843216084</v>
      </c>
      <c r="S33" s="86"/>
      <c r="U33" s="89"/>
      <c r="V33" s="90"/>
      <c r="W33" s="91"/>
      <c r="Y33" s="86"/>
      <c r="Z33" s="90"/>
      <c r="AA33" s="91"/>
      <c r="AB33" s="92"/>
    </row>
    <row r="34" spans="2:28" ht="15.9" customHeight="1" x14ac:dyDescent="0.3">
      <c r="B34" s="40" t="s">
        <v>1919</v>
      </c>
      <c r="C34" s="49">
        <f>VLOOKUP(B34,'Country Summary'!B:J,6,0)</f>
        <v>0.35100000000000003</v>
      </c>
      <c r="D34" s="49">
        <f>VLOOKUP(B34,'Country Summary'!B:N,13,0)</f>
        <v>0.11228489418763113</v>
      </c>
      <c r="E34" s="49">
        <f>VLOOKUP(B34,'Country Summary'!B:P,15,0)</f>
        <v>0.46328489418763119</v>
      </c>
      <c r="S34" s="86"/>
      <c r="U34" s="89"/>
      <c r="V34" s="90"/>
      <c r="W34" s="91"/>
      <c r="Y34" s="86"/>
      <c r="Z34" s="90"/>
      <c r="AA34" s="91"/>
      <c r="AB34" s="92"/>
    </row>
    <row r="35" spans="2:28" ht="15.9" customHeight="1" x14ac:dyDescent="0.3">
      <c r="B35" s="40" t="s">
        <v>1646</v>
      </c>
      <c r="C35" s="49">
        <f>VLOOKUP(B35,'Country Summary'!B:J,6,0)</f>
        <v>4.7284205515557245E-2</v>
      </c>
      <c r="D35" s="49">
        <f>VLOOKUP(B35,'Country Summary'!B:N,13,0)</f>
        <v>0.40213545745397272</v>
      </c>
      <c r="E35" s="49">
        <f>VLOOKUP(B35,'Country Summary'!B:P,15,0)</f>
        <v>0.44941966296952995</v>
      </c>
      <c r="S35" s="86"/>
      <c r="U35" s="89"/>
      <c r="V35" s="90"/>
      <c r="W35" s="91"/>
      <c r="Y35" s="86"/>
      <c r="Z35" s="90"/>
      <c r="AA35" s="91"/>
      <c r="AB35" s="92"/>
    </row>
    <row r="36" spans="2:28" ht="15.9" customHeight="1" x14ac:dyDescent="0.3">
      <c r="B36" s="40" t="s">
        <v>480</v>
      </c>
      <c r="C36" s="49">
        <f>VLOOKUP(B36,'Country Summary'!B:J,6,0)</f>
        <v>0.23999427078433377</v>
      </c>
      <c r="D36" s="49">
        <f>VLOOKUP(B36,'Country Summary'!B:N,13,0)</f>
        <v>0.20534337339596564</v>
      </c>
      <c r="E36" s="49">
        <f>VLOOKUP(B36,'Country Summary'!B:P,15,0)</f>
        <v>0.44533764418029942</v>
      </c>
      <c r="S36" s="86"/>
      <c r="U36" s="89"/>
      <c r="V36" s="90"/>
      <c r="W36" s="91"/>
      <c r="Y36" s="86"/>
      <c r="Z36" s="90"/>
      <c r="AA36" s="91"/>
      <c r="AB36" s="92"/>
    </row>
    <row r="37" spans="2:28" ht="15.9" customHeight="1" x14ac:dyDescent="0.3">
      <c r="B37" s="40" t="s">
        <v>255</v>
      </c>
      <c r="C37" s="49">
        <f>VLOOKUP(B37,'Country Summary'!B:J,6,0)</f>
        <v>0.42723035089990935</v>
      </c>
      <c r="D37" s="49">
        <f>VLOOKUP(B37,'Country Summary'!B:N,13,0)</f>
        <v>0</v>
      </c>
      <c r="E37" s="49">
        <f>VLOOKUP(B37,'Country Summary'!B:P,15,0)</f>
        <v>0.42723035089990935</v>
      </c>
      <c r="S37" s="87"/>
      <c r="T37" s="84"/>
      <c r="U37" s="93"/>
      <c r="V37" s="90"/>
      <c r="W37" s="91"/>
      <c r="Y37" s="88"/>
      <c r="Z37" s="94"/>
      <c r="AA37" s="91"/>
      <c r="AB37" s="92"/>
    </row>
    <row r="38" spans="2:28" ht="15.9" customHeight="1" x14ac:dyDescent="0.3">
      <c r="B38" s="40" t="s">
        <v>1861</v>
      </c>
      <c r="C38" s="49">
        <f>VLOOKUP(B38,'Country Summary'!B:J,6,0)</f>
        <v>0.31309583761654936</v>
      </c>
      <c r="D38" s="49">
        <f>VLOOKUP(B38,'Country Summary'!B:N,13,0)</f>
        <v>7.0027204002121451E-2</v>
      </c>
      <c r="E38" s="49">
        <f>VLOOKUP(B38,'Country Summary'!B:P,15,0)</f>
        <v>0.38312304161867083</v>
      </c>
      <c r="S38" s="82"/>
      <c r="V38" s="90"/>
      <c r="W38" s="91"/>
      <c r="Y38" s="86"/>
      <c r="Z38" s="91"/>
      <c r="AA38" s="91"/>
      <c r="AB38" s="92"/>
    </row>
    <row r="39" spans="2:28" ht="15.9" customHeight="1" x14ac:dyDescent="0.3">
      <c r="B39" s="40" t="s">
        <v>937</v>
      </c>
      <c r="C39" s="49">
        <f>VLOOKUP(B39,'Country Summary'!B:J,6,0)</f>
        <v>0.31277022800000004</v>
      </c>
      <c r="D39" s="49">
        <f>VLOOKUP(B39,'Country Summary'!B:N,13,0)</f>
        <v>6.7450230394762056E-2</v>
      </c>
      <c r="E39" s="49">
        <f>VLOOKUP(B39,'Country Summary'!B:P,15,0)</f>
        <v>0.3802204583947621</v>
      </c>
      <c r="S39" s="82"/>
      <c r="V39" s="91"/>
      <c r="W39" s="91"/>
      <c r="Z39" s="91"/>
      <c r="AA39" s="91"/>
      <c r="AB39" s="92"/>
    </row>
    <row r="40" spans="2:28" ht="15.9" customHeight="1" x14ac:dyDescent="0.3">
      <c r="B40" s="40" t="s">
        <v>2792</v>
      </c>
      <c r="C40" s="49">
        <f>VLOOKUP(B40,'Country Summary'!B:J,6,0)</f>
        <v>0.24196827978853191</v>
      </c>
      <c r="D40" s="49">
        <f>VLOOKUP(B40,'Country Summary'!B:N,13,0)</f>
        <v>0</v>
      </c>
      <c r="E40" s="49">
        <f>VLOOKUP(B40,'Country Summary'!B:P,15,0)</f>
        <v>0.24196827978853191</v>
      </c>
      <c r="S40" s="82"/>
      <c r="V40" s="91"/>
      <c r="W40" s="91"/>
      <c r="Z40" s="91"/>
      <c r="AA40" s="91"/>
      <c r="AB40" s="92"/>
    </row>
    <row r="41" spans="2:28" ht="15.9" customHeight="1" x14ac:dyDescent="0.3">
      <c r="B41" s="40" t="s">
        <v>2024</v>
      </c>
      <c r="C41" s="49">
        <f>VLOOKUP(B41,'Country Summary'!B:J,6,0)</f>
        <v>7.9000000000000001E-2</v>
      </c>
      <c r="D41" s="49">
        <f>VLOOKUP(B41,'Country Summary'!B:N,13,0)</f>
        <v>0.10872743153723756</v>
      </c>
      <c r="E41" s="49">
        <f>VLOOKUP(B41,'Country Summary'!B:P,15,0)</f>
        <v>0.18772743153723756</v>
      </c>
      <c r="S41" s="82"/>
      <c r="V41" s="91"/>
      <c r="W41" s="91"/>
      <c r="Z41" s="91"/>
      <c r="AA41" s="91"/>
      <c r="AB41" s="92"/>
    </row>
    <row r="42" spans="2:28" ht="15.9" customHeight="1" x14ac:dyDescent="0.3">
      <c r="B42" s="40" t="s">
        <v>2547</v>
      </c>
      <c r="C42" s="49">
        <f>VLOOKUP(B42,'Country Summary'!B:J,6,0)</f>
        <v>6.1716922906666666E-2</v>
      </c>
      <c r="D42" s="49">
        <f>VLOOKUP(B42,'Country Summary'!B:N,13,0)</f>
        <v>0.12405155502891618</v>
      </c>
      <c r="E42" s="49">
        <f>VLOOKUP(B42,'Country Summary'!B:P,15,0)</f>
        <v>0.18576847793558285</v>
      </c>
      <c r="S42" s="82"/>
      <c r="V42" s="91"/>
      <c r="W42" s="91"/>
      <c r="Z42" s="91"/>
      <c r="AA42" s="91"/>
      <c r="AB42" s="92"/>
    </row>
    <row r="43" spans="2:28" ht="15.9" customHeight="1" x14ac:dyDescent="0.3">
      <c r="B43" s="40" t="s">
        <v>664</v>
      </c>
      <c r="C43" s="49">
        <f>VLOOKUP(B43,'Country Summary'!B:J,6,0)</f>
        <v>2.5886687002652519E-2</v>
      </c>
      <c r="D43" s="49">
        <f>VLOOKUP(B43,'Country Summary'!B:N,13,0)</f>
        <v>0.14578022903934768</v>
      </c>
      <c r="E43" s="49">
        <f>VLOOKUP(B43,'Country Summary'!B:P,15,0)</f>
        <v>0.17166691604200018</v>
      </c>
    </row>
    <row r="44" spans="2:28" ht="15.9" customHeight="1" x14ac:dyDescent="0.3">
      <c r="B44" s="40" t="s">
        <v>2424</v>
      </c>
      <c r="C44" s="49">
        <f>VLOOKUP(B44,'Country Summary'!B:J,6,0)</f>
        <v>9.8647619047619067E-2</v>
      </c>
      <c r="D44" s="49">
        <f>VLOOKUP(B44,'Country Summary'!B:N,13,0)</f>
        <v>0</v>
      </c>
      <c r="E44" s="49">
        <f>VLOOKUP(B44,'Country Summary'!B:P,15,0)</f>
        <v>9.8647619047619067E-2</v>
      </c>
    </row>
    <row r="45" spans="2:28" ht="15.9" customHeight="1" x14ac:dyDescent="0.3">
      <c r="B45" s="40" t="s">
        <v>2840</v>
      </c>
      <c r="C45" s="49">
        <f>VLOOKUP(B45,'Country Summary'!B:J,6,0)</f>
        <v>6.5238095238095234E-2</v>
      </c>
      <c r="D45" s="49">
        <f>VLOOKUP(B45,'Country Summary'!B:N,13,0)</f>
        <v>0</v>
      </c>
      <c r="E45" s="49">
        <f>VLOOKUP(B45,'Country Summary'!B:P,15,0)</f>
        <v>6.5238095238095234E-2</v>
      </c>
    </row>
    <row r="46" spans="2:28" ht="15.9" customHeight="1" x14ac:dyDescent="0.3">
      <c r="B46" s="40" t="s">
        <v>2820</v>
      </c>
      <c r="C46" s="49">
        <f>VLOOKUP(B46,'Country Summary'!B:J,6,0)</f>
        <v>6.1591935238095238E-2</v>
      </c>
      <c r="D46" s="49">
        <f>VLOOKUP(B46,'Country Summary'!B:N,13,0)</f>
        <v>0</v>
      </c>
      <c r="E46" s="49">
        <f>VLOOKUP(B46,'Country Summary'!B:P,15,0)</f>
        <v>6.1591935238095238E-2</v>
      </c>
    </row>
    <row r="47" spans="2:28" ht="15.9" customHeight="1" x14ac:dyDescent="0.3">
      <c r="B47" s="40" t="s">
        <v>696</v>
      </c>
      <c r="C47" s="49">
        <f>VLOOKUP(B47,'Country Summary'!B:J,6,0)</f>
        <v>3.0000000000000001E-3</v>
      </c>
      <c r="D47" s="49">
        <f>VLOOKUP(B47,'Country Summary'!B:N,13,0)</f>
        <v>5.4290120830862147E-2</v>
      </c>
      <c r="E47" s="49">
        <f>VLOOKUP(B47,'Country Summary'!B:P,15,0)</f>
        <v>5.729012083086215E-2</v>
      </c>
    </row>
    <row r="48" spans="2:28" ht="15.9" customHeight="1" x14ac:dyDescent="0.3">
      <c r="B48" s="40" t="s">
        <v>2066</v>
      </c>
      <c r="C48" s="49">
        <f>VLOOKUP(B48,'Country Summary'!B:J,6,0)</f>
        <v>1.6999999999999999E-3</v>
      </c>
      <c r="D48" s="49">
        <f>VLOOKUP(B48,'Country Summary'!B:N,13,0)</f>
        <v>2.860636331343426E-2</v>
      </c>
      <c r="E48" s="49">
        <f>VLOOKUP(B48,'Country Summary'!B:P,15,0)</f>
        <v>3.0306363313434261E-2</v>
      </c>
    </row>
    <row r="49" spans="2:14" ht="15.9" customHeight="1" x14ac:dyDescent="0.3">
      <c r="B49" s="40" t="s">
        <v>2168</v>
      </c>
      <c r="C49" s="49">
        <f>VLOOKUP(B49,'Country Summary'!B:J,6,0)</f>
        <v>2.0740891153189684E-2</v>
      </c>
      <c r="D49" s="49">
        <f>VLOOKUP(B49,'Country Summary'!B:N,13,0)</f>
        <v>0</v>
      </c>
      <c r="E49" s="49">
        <f>VLOOKUP(B49,'Country Summary'!B:P,15,0)</f>
        <v>2.0740891153189684E-2</v>
      </c>
    </row>
    <row r="50" spans="2:14" ht="15.9" customHeight="1" x14ac:dyDescent="0.3">
      <c r="B50" s="40" t="s">
        <v>656</v>
      </c>
      <c r="C50" s="49">
        <f>VLOOKUP(B50,'Country Summary'!B:J,6,0)</f>
        <v>2.0820320632937745E-3</v>
      </c>
      <c r="D50" s="49">
        <f>VLOOKUP(B50,'Country Summary'!B:N,13,0)</f>
        <v>0</v>
      </c>
      <c r="E50" s="49">
        <f>VLOOKUP(B50,'Country Summary'!B:P,15,0)</f>
        <v>2.0820320632937745E-3</v>
      </c>
    </row>
    <row r="51" spans="2:14" ht="15.9" customHeight="1" x14ac:dyDescent="0.3">
      <c r="B51" s="46" t="s">
        <v>1687</v>
      </c>
      <c r="C51" s="51">
        <f>VLOOKUP(B51,'Country Summary'!B:J,6,0)</f>
        <v>1.8545238095238094E-3</v>
      </c>
      <c r="D51" s="51">
        <f>VLOOKUP(B51,'Country Summary'!B:N,13,0)</f>
        <v>0</v>
      </c>
      <c r="E51" s="51">
        <f>VLOOKUP(B51,'Country Summary'!B:P,15,0)</f>
        <v>1.8545238095238094E-3</v>
      </c>
    </row>
    <row r="52" spans="2:14" ht="15.9" customHeight="1" x14ac:dyDescent="0.3">
      <c r="F52" s="50"/>
      <c r="G52" s="50"/>
      <c r="H52" s="50"/>
      <c r="I52" s="50"/>
      <c r="J52" s="50"/>
      <c r="K52" s="50"/>
      <c r="L52" s="50"/>
      <c r="M52" s="50"/>
      <c r="N52" s="50"/>
    </row>
    <row r="53" spans="2:14" ht="15.9" customHeight="1" x14ac:dyDescent="0.3">
      <c r="B53" s="433" t="s">
        <v>3517</v>
      </c>
      <c r="C53" s="1132">
        <f>SUM(C12:C51)</f>
        <v>108.61059964089782</v>
      </c>
      <c r="D53" s="1132">
        <f>SUM(D12:D51)</f>
        <v>35.022500000000008</v>
      </c>
      <c r="E53" s="1132">
        <f>SUM(E12:E51)</f>
        <v>143.63309964089791</v>
      </c>
    </row>
    <row r="54" spans="2:14" ht="15.9" customHeight="1" x14ac:dyDescent="0.3">
      <c r="F54" s="50"/>
      <c r="G54" s="50"/>
      <c r="H54" s="50"/>
      <c r="I54" s="50"/>
      <c r="J54" s="50"/>
      <c r="K54" s="50"/>
      <c r="L54" s="50"/>
      <c r="M54" s="50"/>
      <c r="N54" s="50"/>
    </row>
    <row r="55" spans="2:14" ht="15.9" customHeight="1" x14ac:dyDescent="0.3">
      <c r="F55" s="50"/>
      <c r="G55" s="50"/>
      <c r="H55" s="50"/>
      <c r="I55" s="50"/>
      <c r="J55" s="50"/>
      <c r="K55" s="50"/>
      <c r="L55" s="50"/>
      <c r="M55" s="50"/>
      <c r="N55" s="50"/>
    </row>
    <row r="56" spans="2:14" ht="15.9" customHeight="1" x14ac:dyDescent="0.3">
      <c r="F56" s="50"/>
      <c r="G56" s="50"/>
      <c r="H56" s="50"/>
      <c r="I56" s="50"/>
      <c r="J56" s="50"/>
      <c r="K56" s="50"/>
      <c r="L56" s="50"/>
      <c r="M56" s="50"/>
      <c r="N56" s="50"/>
    </row>
    <row r="60" spans="2:14" ht="15.9" customHeight="1" x14ac:dyDescent="0.3">
      <c r="D60" s="49"/>
    </row>
  </sheetData>
  <sortState ref="B12:E51">
    <sortCondition descending="1" ref="E12:E51"/>
  </sortState>
  <mergeCells count="1">
    <mergeCell ref="B4:E9"/>
  </mergeCells>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L89"/>
  <sheetViews>
    <sheetView showGridLines="0" zoomScaleNormal="100" workbookViewId="0"/>
  </sheetViews>
  <sheetFormatPr baseColWidth="10" defaultColWidth="8.59765625" defaultRowHeight="15.9" customHeight="1" x14ac:dyDescent="0.3"/>
  <cols>
    <col min="1" max="1" width="8.59765625" style="2" customWidth="1"/>
    <col min="2" max="2" width="25.5" style="54" customWidth="1"/>
    <col min="3" max="3" width="17.8984375" style="54" customWidth="1"/>
    <col min="4" max="4" width="17.59765625" style="54" customWidth="1"/>
    <col min="5" max="5" width="15.8984375" style="54" customWidth="1"/>
    <col min="6" max="6" width="24.8984375" style="54" customWidth="1"/>
    <col min="7" max="7" width="12.59765625" style="54" customWidth="1"/>
    <col min="8" max="8" width="13.59765625" style="54" customWidth="1"/>
    <col min="9" max="16384" width="8.59765625" style="54"/>
  </cols>
  <sheetData>
    <row r="1" spans="1:9" s="35" customFormat="1" ht="15.9" customHeight="1" x14ac:dyDescent="0.3">
      <c r="B1" s="39"/>
      <c r="C1" s="148"/>
      <c r="D1" s="148"/>
      <c r="E1" s="148"/>
      <c r="F1" s="39"/>
      <c r="G1" s="39"/>
    </row>
    <row r="2" spans="1:9" s="643" customFormat="1" ht="24.75" customHeight="1" x14ac:dyDescent="0.3">
      <c r="A2" s="639"/>
      <c r="B2" s="439" t="s">
        <v>3562</v>
      </c>
      <c r="C2" s="642"/>
      <c r="D2" s="642"/>
      <c r="E2" s="642"/>
    </row>
    <row r="3" spans="1:9" s="43" customFormat="1" ht="15.9" customHeight="1" x14ac:dyDescent="0.35">
      <c r="A3" s="35"/>
      <c r="B3" s="411"/>
      <c r="C3" s="147"/>
      <c r="D3" s="147"/>
      <c r="E3" s="147"/>
    </row>
    <row r="4" spans="1:9" s="43" customFormat="1" ht="15.9" customHeight="1" x14ac:dyDescent="0.3">
      <c r="A4" s="35"/>
      <c r="B4" s="1182" t="s">
        <v>3563</v>
      </c>
      <c r="C4" s="1182"/>
      <c r="D4" s="1182"/>
      <c r="E4" s="1182"/>
      <c r="F4" s="1182"/>
      <c r="G4" s="1182"/>
      <c r="H4" s="1182"/>
    </row>
    <row r="5" spans="1:9" s="43" customFormat="1" ht="15.9" customHeight="1" x14ac:dyDescent="0.3">
      <c r="A5" s="35"/>
      <c r="B5" s="1182"/>
      <c r="C5" s="1182"/>
      <c r="D5" s="1182"/>
      <c r="E5" s="1182"/>
      <c r="F5" s="1182"/>
      <c r="G5" s="1182"/>
      <c r="H5" s="1182"/>
    </row>
    <row r="6" spans="1:9" s="116" customFormat="1" ht="15.9" customHeight="1" x14ac:dyDescent="0.25">
      <c r="B6" s="1182"/>
      <c r="C6" s="1182"/>
      <c r="D6" s="1182"/>
      <c r="E6" s="1182"/>
      <c r="F6" s="1182"/>
      <c r="G6" s="1182"/>
      <c r="H6" s="1182"/>
    </row>
    <row r="7" spans="1:9" s="116" customFormat="1" ht="15.9" customHeight="1" x14ac:dyDescent="0.25">
      <c r="B7" s="1182"/>
      <c r="C7" s="1182"/>
      <c r="D7" s="1182"/>
      <c r="E7" s="1182"/>
      <c r="F7" s="1182"/>
      <c r="G7" s="1182"/>
      <c r="H7" s="1182"/>
    </row>
    <row r="8" spans="1:9" s="116" customFormat="1" ht="15.9" customHeight="1" x14ac:dyDescent="0.25">
      <c r="B8" s="1182"/>
      <c r="C8" s="1182"/>
      <c r="D8" s="1182"/>
      <c r="E8" s="1182"/>
      <c r="F8" s="1182"/>
      <c r="G8" s="1182"/>
      <c r="H8" s="1182"/>
    </row>
    <row r="9" spans="1:9" s="116" customFormat="1" ht="15.9" customHeight="1" x14ac:dyDescent="0.25">
      <c r="B9" s="1182"/>
      <c r="C9" s="1182"/>
      <c r="D9" s="1182"/>
      <c r="E9" s="1182"/>
      <c r="F9" s="1182"/>
      <c r="G9" s="1182"/>
      <c r="H9" s="1182"/>
    </row>
    <row r="11" spans="1:9" s="650" customFormat="1" ht="24.75" customHeight="1" x14ac:dyDescent="0.3">
      <c r="A11" s="11"/>
      <c r="B11" s="413" t="s">
        <v>3499</v>
      </c>
      <c r="C11" s="500" t="s">
        <v>405</v>
      </c>
      <c r="D11" s="501" t="s">
        <v>256</v>
      </c>
      <c r="E11" s="500" t="s">
        <v>285</v>
      </c>
      <c r="F11" s="500" t="s">
        <v>3564</v>
      </c>
      <c r="G11" s="501" t="s">
        <v>3517</v>
      </c>
      <c r="I11" s="439" t="s">
        <v>3565</v>
      </c>
    </row>
    <row r="12" spans="1:9" ht="15.9" customHeight="1" x14ac:dyDescent="0.3">
      <c r="B12" s="44" t="s">
        <v>3038</v>
      </c>
      <c r="C12" s="123">
        <f>VLOOKUP(B12,'Country Summary'!B:J,3,0)</f>
        <v>25.114285714285714</v>
      </c>
      <c r="D12" s="123">
        <f>VLOOKUP(B12,'Country Summary'!B:J,4,0)</f>
        <v>3.7243038019047616</v>
      </c>
      <c r="E12" s="123">
        <f>VLOOKUP(B12,'Country Summary'!B:J,5,0)</f>
        <v>44.338095238095235</v>
      </c>
      <c r="F12" s="123">
        <f>VLOOKUP(B12,'Refugee Cost Calculations'!B:D,COLUMN('Refugee Cost Calculations'!C12)-1,FALSE)</f>
        <v>0</v>
      </c>
      <c r="G12" s="123">
        <f t="shared" ref="G12:G51" si="0">SUM(C12:E12,F12)</f>
        <v>73.176684754285702</v>
      </c>
    </row>
    <row r="13" spans="1:9" ht="15.9" customHeight="1" x14ac:dyDescent="0.3">
      <c r="B13" s="44" t="s">
        <v>1288</v>
      </c>
      <c r="C13" s="123">
        <f>VLOOKUP(B13,'Country Summary'!B:J,3,0)</f>
        <v>1.3</v>
      </c>
      <c r="D13" s="123">
        <f>VLOOKUP(B13,'Country Summary'!B:J,4,0)</f>
        <v>2.496</v>
      </c>
      <c r="E13" s="123">
        <f>VLOOKUP(B13,'Country Summary'!B:J,5,0)</f>
        <v>2.3552</v>
      </c>
      <c r="F13" s="123">
        <f>VLOOKUP(B13,'Refugee Cost Calculations'!B:D,COLUMN('Refugee Cost Calculations'!C13)-1,FALSE)</f>
        <v>6.8079999999999998</v>
      </c>
      <c r="G13" s="123">
        <f t="shared" si="0"/>
        <v>12.959199999999999</v>
      </c>
    </row>
    <row r="14" spans="1:9" ht="15.9" customHeight="1" x14ac:dyDescent="0.3">
      <c r="B14" s="44" t="s">
        <v>2303</v>
      </c>
      <c r="C14" s="123">
        <f>VLOOKUP(B14,'Country Summary'!B:J,3,0)</f>
        <v>0.95884326632016348</v>
      </c>
      <c r="D14" s="123">
        <f>VLOOKUP(B14,'Country Summary'!B:J,4,0)</f>
        <v>0.17200476190476188</v>
      </c>
      <c r="E14" s="123">
        <f>VLOOKUP(B14,'Country Summary'!B:J,5,0)</f>
        <v>2.4278310691428571</v>
      </c>
      <c r="F14" s="123">
        <f>VLOOKUP(B14,'Refugee Cost Calculations'!B:D,COLUMN('Refugee Cost Calculations'!C14)-1,FALSE)</f>
        <v>8.36</v>
      </c>
      <c r="G14" s="123">
        <f t="shared" si="0"/>
        <v>11.918679097367782</v>
      </c>
    </row>
    <row r="15" spans="1:9" ht="15.9" customHeight="1" x14ac:dyDescent="0.3">
      <c r="B15" s="44" t="s">
        <v>2864</v>
      </c>
      <c r="C15" s="123">
        <f>VLOOKUP(B15,'Country Summary'!B:J,3,0)</f>
        <v>3.0199781887370349</v>
      </c>
      <c r="D15" s="123">
        <f>VLOOKUP(B15,'Country Summary'!B:J,4,0)</f>
        <v>0.4002079296205569</v>
      </c>
      <c r="E15" s="123">
        <f>VLOOKUP(B15,'Country Summary'!B:J,5,0)</f>
        <v>4.8864927960823152</v>
      </c>
      <c r="F15" s="123">
        <f>VLOOKUP(B15,'Refugee Cost Calculations'!B:D,COLUMN('Refugee Cost Calculations'!C15)-1,FALSE)</f>
        <v>0.20699999999999999</v>
      </c>
      <c r="G15" s="123">
        <f t="shared" si="0"/>
        <v>8.5136789144399074</v>
      </c>
    </row>
    <row r="16" spans="1:9" ht="15.9" customHeight="1" x14ac:dyDescent="0.3">
      <c r="B16" s="44" t="s">
        <v>517</v>
      </c>
      <c r="C16" s="123">
        <f>VLOOKUP(B16,'Country Summary'!B:J,3,0)</f>
        <v>2.3804811525281488</v>
      </c>
      <c r="D16" s="123">
        <f>VLOOKUP(B16,'Country Summary'!B:J,4,0)</f>
        <v>0.34687740401426675</v>
      </c>
      <c r="E16" s="123">
        <f>VLOOKUP(B16,'Country Summary'!B:J,5,0)</f>
        <v>1.2893734795265364</v>
      </c>
      <c r="F16" s="123">
        <f>VLOOKUP(B16,'Refugee Cost Calculations'!B:D,COLUMN('Refugee Cost Calculations'!C16)-1,FALSE)</f>
        <v>0</v>
      </c>
      <c r="G16" s="123">
        <f t="shared" si="0"/>
        <v>4.0167320360689516</v>
      </c>
    </row>
    <row r="17" spans="2:7" ht="15.9" customHeight="1" x14ac:dyDescent="0.3">
      <c r="B17" s="44" t="s">
        <v>716</v>
      </c>
      <c r="C17" s="123">
        <f>VLOOKUP(B17,'Country Summary'!B:J,3,0)</f>
        <v>0</v>
      </c>
      <c r="D17" s="123">
        <f>VLOOKUP(B17,'Country Summary'!B:J,4,0)</f>
        <v>0.10596323263127799</v>
      </c>
      <c r="E17" s="123">
        <f>VLOOKUP(B17,'Country Summary'!B:J,5,0)</f>
        <v>0.46418603077692083</v>
      </c>
      <c r="F17" s="123">
        <f>VLOOKUP(B17,'Refugee Cost Calculations'!B:D,COLUMN('Refugee Cost Calculations'!C17)-1,FALSE)</f>
        <v>1.9570000000000001</v>
      </c>
      <c r="G17" s="123">
        <f t="shared" si="0"/>
        <v>2.5271492634081989</v>
      </c>
    </row>
    <row r="18" spans="2:7" ht="15.9" customHeight="1" x14ac:dyDescent="0.3">
      <c r="B18" s="44" t="s">
        <v>1131</v>
      </c>
      <c r="C18" s="123">
        <f>VLOOKUP(B18,'Country Summary'!B:J,3,0)</f>
        <v>0.69940000000000002</v>
      </c>
      <c r="D18" s="123">
        <f>VLOOKUP(B18,'Country Summary'!B:J,4,0)</f>
        <v>0.3155896343657143</v>
      </c>
      <c r="E18" s="123">
        <f>VLOOKUP(B18,'Country Summary'!B:J,5,0)</f>
        <v>0.65962732814080649</v>
      </c>
      <c r="F18" s="123">
        <f>VLOOKUP(B18,'Refugee Cost Calculations'!B:D,COLUMN('Refugee Cost Calculations'!C18)-1,FALSE)</f>
        <v>0.70599999999999996</v>
      </c>
      <c r="G18" s="123">
        <f t="shared" si="0"/>
        <v>2.3806169625065206</v>
      </c>
    </row>
    <row r="19" spans="2:7" ht="15.9" customHeight="1" x14ac:dyDescent="0.3">
      <c r="B19" s="44" t="s">
        <v>2076</v>
      </c>
      <c r="C19" s="123">
        <f>VLOOKUP(B19,'Country Summary'!B:J,3,0)</f>
        <v>0.34849999999999998</v>
      </c>
      <c r="D19" s="123">
        <f>VLOOKUP(B19,'Country Summary'!B:J,4,0)</f>
        <v>0.21205790476190478</v>
      </c>
      <c r="E19" s="123">
        <f>VLOOKUP(B19,'Country Summary'!B:J,5,0)</f>
        <v>0.85850000000000004</v>
      </c>
      <c r="F19" s="123">
        <f>VLOOKUP(B19,'Refugee Cost Calculations'!B:D,COLUMN('Refugee Cost Calculations'!C21)-1,FALSE)</f>
        <v>0.48799999999999999</v>
      </c>
      <c r="G19" s="123">
        <f t="shared" si="0"/>
        <v>1.9070579047619047</v>
      </c>
    </row>
    <row r="20" spans="2:7" ht="15.9" customHeight="1" x14ac:dyDescent="0.3">
      <c r="B20" s="44" t="s">
        <v>1730</v>
      </c>
      <c r="C20" s="123">
        <f>VLOOKUP(B20,'Country Summary'!B:J,3,0)</f>
        <v>0.31</v>
      </c>
      <c r="D20" s="123">
        <f>VLOOKUP(B20,'Country Summary'!B:J,4,0)</f>
        <v>5.220712857142857E-2</v>
      </c>
      <c r="E20" s="123">
        <f>VLOOKUP(B20,'Country Summary'!B:J,5,0)</f>
        <v>0.66091838062565367</v>
      </c>
      <c r="F20" s="123">
        <f>VLOOKUP(B20,'Refugee Cost Calculations'!B:D,COLUMN('Refugee Cost Calculations'!C20)-1,FALSE)</f>
        <v>0.73699999999999999</v>
      </c>
      <c r="G20" s="123">
        <f t="shared" si="0"/>
        <v>1.7601255091970822</v>
      </c>
    </row>
    <row r="21" spans="2:7" ht="15.9" customHeight="1" x14ac:dyDescent="0.3">
      <c r="B21" s="44" t="s">
        <v>2615</v>
      </c>
      <c r="C21" s="123">
        <f>VLOOKUP(B21,'Country Summary'!B:J,3,0)</f>
        <v>0.20449999999999999</v>
      </c>
      <c r="D21" s="123">
        <f>VLOOKUP(B21,'Country Summary'!B:J,4,0)</f>
        <v>9.9788875333333332E-2</v>
      </c>
      <c r="E21" s="123">
        <f>VLOOKUP(B21,'Country Summary'!B:J,5,0)</f>
        <v>8.3123597366324242E-2</v>
      </c>
      <c r="F21" s="123">
        <f>VLOOKUP(B21,'Refugee Cost Calculations'!B:D,COLUMN('Refugee Cost Calculations'!C22)-1,FALSE)</f>
        <v>1.359</v>
      </c>
      <c r="G21" s="123">
        <f t="shared" si="0"/>
        <v>1.7464124726996575</v>
      </c>
    </row>
    <row r="22" spans="2:7" ht="15.9" customHeight="1" x14ac:dyDescent="0.3">
      <c r="B22" s="35" t="s">
        <v>2206</v>
      </c>
      <c r="C22" s="123">
        <f>VLOOKUP(B22,'Country Summary'!B:J,3,0)</f>
        <v>0.32207512522473153</v>
      </c>
      <c r="D22" s="123">
        <f>VLOOKUP(B22,'Country Summary'!B:J,4,0)</f>
        <v>0.32351725265111086</v>
      </c>
      <c r="E22" s="123">
        <f>VLOOKUP(B22,'Country Summary'!B:J,5,0)</f>
        <v>0.59214133326908946</v>
      </c>
      <c r="F22" s="123">
        <f>VLOOKUP(B22,'Refugee Cost Calculations'!B:D,COLUMN('Refugee Cost Calculations'!C19)-1,FALSE)</f>
        <v>0.23599999999999999</v>
      </c>
      <c r="G22" s="123">
        <f t="shared" si="0"/>
        <v>1.4737337111449318</v>
      </c>
    </row>
    <row r="23" spans="2:7" ht="15.9" customHeight="1" x14ac:dyDescent="0.3">
      <c r="B23" s="44" t="s">
        <v>344</v>
      </c>
      <c r="C23" s="123">
        <f>VLOOKUP(B23,'Country Summary'!B:J,3,0)</f>
        <v>0.03</v>
      </c>
      <c r="D23" s="123">
        <f>VLOOKUP(B23,'Country Summary'!B:J,4,0)</f>
        <v>0.59200000000000008</v>
      </c>
      <c r="E23" s="123">
        <f>VLOOKUP(B23,'Country Summary'!B:J,5,0)</f>
        <v>3.4165467142857142E-3</v>
      </c>
      <c r="F23" s="123">
        <f>VLOOKUP(B23,'Refugee Cost Calculations'!B:D,COLUMN('Refugee Cost Calculations'!C24)-1,FALSE)</f>
        <v>0.59199999999999997</v>
      </c>
      <c r="G23" s="123">
        <f t="shared" si="0"/>
        <v>1.2174165467142859</v>
      </c>
    </row>
    <row r="24" spans="2:7" ht="15.9" customHeight="1" x14ac:dyDescent="0.3">
      <c r="B24" s="44" t="s">
        <v>2715</v>
      </c>
      <c r="C24" s="123">
        <f>VLOOKUP(B24,'Country Summary'!B:J,3,0)</f>
        <v>0.15034541943038915</v>
      </c>
      <c r="D24" s="123">
        <f>VLOOKUP(B24,'Country Summary'!B:J,4,0)</f>
        <v>0.10746886715780089</v>
      </c>
      <c r="E24" s="123">
        <f>VLOOKUP(B24,'Country Summary'!B:J,5,0)</f>
        <v>0.54638815978467004</v>
      </c>
      <c r="F24" s="123">
        <f>VLOOKUP(B24,'Refugee Cost Calculations'!B:D,COLUMN('Refugee Cost Calculations'!C23)-1,FALSE)</f>
        <v>0.32500000000000001</v>
      </c>
      <c r="G24" s="123">
        <f t="shared" si="0"/>
        <v>1.12920244637286</v>
      </c>
    </row>
    <row r="25" spans="2:7" ht="15.9" customHeight="1" x14ac:dyDescent="0.3">
      <c r="B25" s="44" t="s">
        <v>1804</v>
      </c>
      <c r="C25" s="123">
        <f>VLOOKUP(B25,'Country Summary'!B:J,3,0)</f>
        <v>0.57142857142857151</v>
      </c>
      <c r="D25" s="123">
        <f>VLOOKUP(B25,'Country Summary'!B:J,4,0)</f>
        <v>0.47800035238095234</v>
      </c>
      <c r="E25" s="123">
        <f>VLOOKUP(B25,'Country Summary'!B:J,5,0)</f>
        <v>2.3352380952380951E-3</v>
      </c>
      <c r="F25" s="123">
        <f>VLOOKUP(B25,'Refugee Cost Calculations'!B:D,COLUMN('Refugee Cost Calculations'!C28)-1,FALSE)</f>
        <v>0</v>
      </c>
      <c r="G25" s="123">
        <f t="shared" si="0"/>
        <v>1.051764161904762</v>
      </c>
    </row>
    <row r="26" spans="2:7" ht="15.9" customHeight="1" x14ac:dyDescent="0.3">
      <c r="B26" s="44" t="s">
        <v>2460</v>
      </c>
      <c r="C26" s="123">
        <f>VLOOKUP(B26,'Country Summary'!B:J,3,0)</f>
        <v>0</v>
      </c>
      <c r="D26" s="123">
        <f>VLOOKUP(B26,'Country Summary'!B:J,4,0)</f>
        <v>7.6871827960629645E-3</v>
      </c>
      <c r="E26" s="123">
        <f>VLOOKUP(B26,'Country Summary'!B:J,5,0)</f>
        <v>3.0000000000000001E-3</v>
      </c>
      <c r="F26" s="123">
        <f>VLOOKUP(B26,'Refugee Cost Calculations'!B:D,COLUMN('Refugee Cost Calculations'!C37)-1,FALSE)</f>
        <v>1.002</v>
      </c>
      <c r="G26" s="123">
        <f t="shared" si="0"/>
        <v>1.0126871827960631</v>
      </c>
    </row>
    <row r="27" spans="2:7" ht="15.9" customHeight="1" x14ac:dyDescent="0.3">
      <c r="B27" s="44" t="s">
        <v>856</v>
      </c>
      <c r="C27" s="123">
        <f>VLOOKUP(B27,'Country Summary'!B:J,3,0)</f>
        <v>5.7500000000000002E-2</v>
      </c>
      <c r="D27" s="123">
        <f>VLOOKUP(B27,'Country Summary'!B:J,4,0)</f>
        <v>9.9200785326233124E-2</v>
      </c>
      <c r="E27" s="123">
        <f>VLOOKUP(B27,'Country Summary'!B:J,5,0)</f>
        <v>0.56299310419019966</v>
      </c>
      <c r="F27" s="123">
        <f>VLOOKUP(B27,'Refugee Cost Calculations'!B:D,COLUMN('Refugee Cost Calculations'!C25)-1,FALSE)</f>
        <v>0.25700000000000001</v>
      </c>
      <c r="G27" s="123">
        <f t="shared" si="0"/>
        <v>0.97669388951643277</v>
      </c>
    </row>
    <row r="28" spans="2:7" ht="15.9" customHeight="1" x14ac:dyDescent="0.3">
      <c r="B28" s="35" t="s">
        <v>2792</v>
      </c>
      <c r="C28" s="123">
        <f>VLOOKUP(B28,'Country Summary'!B:J,3,0)</f>
        <v>5.8967059780398533E-2</v>
      </c>
      <c r="D28" s="123">
        <f>VLOOKUP(B28,'Country Summary'!B:J,4,0)</f>
        <v>0.18300122000813338</v>
      </c>
      <c r="E28" s="123">
        <f>VLOOKUP(B28,'Country Summary'!B:J,5,0)</f>
        <v>0</v>
      </c>
      <c r="F28" s="123">
        <f>VLOOKUP(B28,'Refugee Cost Calculations'!B:D,COLUMN('Refugee Cost Calculations'!C34)-1,FALSE)</f>
        <v>0.71399999999999997</v>
      </c>
      <c r="G28" s="123">
        <f t="shared" si="0"/>
        <v>0.95596827978853183</v>
      </c>
    </row>
    <row r="29" spans="2:7" ht="15.9" customHeight="1" x14ac:dyDescent="0.3">
      <c r="B29" s="44" t="s">
        <v>2489</v>
      </c>
      <c r="C29" s="123">
        <f>VLOOKUP(B29,'Country Summary'!B:J,3,0)</f>
        <v>0</v>
      </c>
      <c r="D29" s="123">
        <f>VLOOKUP(B29,'Country Summary'!B:J,4,0)</f>
        <v>8.9999999999999993E-3</v>
      </c>
      <c r="E29" s="123">
        <f>VLOOKUP(B29,'Country Summary'!B:J,5,0)</f>
        <v>0.2150631199047619</v>
      </c>
      <c r="F29" s="123">
        <f>VLOOKUP(B29,'Refugee Cost Calculations'!B:D,COLUMN('Refugee Cost Calculations'!C27)-1,FALSE)</f>
        <v>0.64200000000000002</v>
      </c>
      <c r="G29" s="123">
        <f t="shared" si="0"/>
        <v>0.86606311990476192</v>
      </c>
    </row>
    <row r="30" spans="2:7" ht="15.9" customHeight="1" x14ac:dyDescent="0.3">
      <c r="B30" s="44" t="s">
        <v>413</v>
      </c>
      <c r="C30" s="123">
        <f>VLOOKUP(B30,'Country Summary'!B:J,3,0)</f>
        <v>4.96E-3</v>
      </c>
      <c r="D30" s="123">
        <f>VLOOKUP(B30,'Country Summary'!B:J,4,0)</f>
        <v>9.4799999999999995E-2</v>
      </c>
      <c r="E30" s="123">
        <f>VLOOKUP(B30,'Country Summary'!B:J,5,0)</f>
        <v>0.14495</v>
      </c>
      <c r="F30" s="123">
        <f>VLOOKUP(B30,'Refugee Cost Calculations'!B:D,COLUMN('Refugee Cost Calculations'!C36)-1,FALSE)</f>
        <v>0.58899999999999997</v>
      </c>
      <c r="G30" s="123">
        <f t="shared" si="0"/>
        <v>0.83370999999999995</v>
      </c>
    </row>
    <row r="31" spans="2:7" ht="15.9" customHeight="1" x14ac:dyDescent="0.3">
      <c r="B31" s="44" t="s">
        <v>2370</v>
      </c>
      <c r="C31" s="123">
        <f>VLOOKUP(B31,'Country Summary'!B:J,3,0)</f>
        <v>0.25</v>
      </c>
      <c r="D31" s="123">
        <f>VLOOKUP(B31,'Country Summary'!B:J,4,0)</f>
        <v>0.16838809523809523</v>
      </c>
      <c r="E31" s="123">
        <f>VLOOKUP(B31,'Country Summary'!B:J,5,0)</f>
        <v>4.4144784553516107E-2</v>
      </c>
      <c r="F31" s="123">
        <f>VLOOKUP(B31,'Refugee Cost Calculations'!B:D,COLUMN('Refugee Cost Calculations'!C30)-1,FALSE)</f>
        <v>0.16800000000000001</v>
      </c>
      <c r="G31" s="123">
        <f t="shared" si="0"/>
        <v>0.63053287979161132</v>
      </c>
    </row>
    <row r="32" spans="2:7" ht="15.9" customHeight="1" x14ac:dyDescent="0.3">
      <c r="B32" s="44" t="s">
        <v>1919</v>
      </c>
      <c r="C32" s="123">
        <f>VLOOKUP(B32,'Country Summary'!B:J,3,0)</f>
        <v>0.01</v>
      </c>
      <c r="D32" s="123">
        <f>VLOOKUP(B32,'Country Summary'!B:J,4,0)</f>
        <v>6.0999999999999999E-2</v>
      </c>
      <c r="E32" s="123">
        <f>VLOOKUP(B32,'Country Summary'!B:J,5,0)</f>
        <v>0.28000000000000003</v>
      </c>
      <c r="F32" s="123">
        <f>VLOOKUP(B32,'Refugee Cost Calculations'!B:D,COLUMN('Refugee Cost Calculations'!C31)-1,FALSE)</f>
        <v>0.223</v>
      </c>
      <c r="G32" s="123">
        <f t="shared" si="0"/>
        <v>0.57400000000000007</v>
      </c>
    </row>
    <row r="33" spans="2:11" ht="15.9" customHeight="1" x14ac:dyDescent="0.3">
      <c r="B33" s="44" t="s">
        <v>1025</v>
      </c>
      <c r="C33" s="123">
        <f>VLOOKUP(B33,'Country Summary'!B:J,3,0)</f>
        <v>8.1500000000000003E-2</v>
      </c>
      <c r="D33" s="123">
        <f>VLOOKUP(B33,'Country Summary'!B:J,4,0)</f>
        <v>5.1200000000000002E-2</v>
      </c>
      <c r="E33" s="123">
        <f>VLOOKUP(B33,'Country Summary'!B:J,5,0)</f>
        <v>0.20669999999999999</v>
      </c>
      <c r="F33" s="123">
        <f>VLOOKUP(B33,'Refugee Cost Calculations'!B:D,COLUMN('Refugee Cost Calculations'!C35)-1,FALSE)</f>
        <v>0.16600000000000001</v>
      </c>
      <c r="G33" s="123">
        <f t="shared" si="0"/>
        <v>0.50540000000000007</v>
      </c>
    </row>
    <row r="34" spans="2:11" ht="15.9" customHeight="1" x14ac:dyDescent="0.3">
      <c r="B34" s="44" t="s">
        <v>937</v>
      </c>
      <c r="C34" s="123">
        <f>VLOOKUP(B34,'Country Summary'!B:J,3,0)</f>
        <v>0</v>
      </c>
      <c r="D34" s="123">
        <f>VLOOKUP(B34,'Country Summary'!B:J,4,0)</f>
        <v>4.9702280000000001E-3</v>
      </c>
      <c r="E34" s="123">
        <f>VLOOKUP(B34,'Country Summary'!B:J,5,0)</f>
        <v>0.30780000000000002</v>
      </c>
      <c r="F34" s="123">
        <f>VLOOKUP(B34,'Refugee Cost Calculations'!B:D,COLUMN('Refugee Cost Calculations'!C32)-1,FALSE)</f>
        <v>0.16600000000000001</v>
      </c>
      <c r="G34" s="123">
        <f t="shared" si="0"/>
        <v>0.47877022800000002</v>
      </c>
    </row>
    <row r="35" spans="2:11" ht="15.9" customHeight="1" x14ac:dyDescent="0.3">
      <c r="B35" s="54" t="s">
        <v>480</v>
      </c>
      <c r="C35" s="123">
        <f>VLOOKUP(B35,'Country Summary'!B:J,3,0)</f>
        <v>0</v>
      </c>
      <c r="D35" s="123">
        <f>VLOOKUP(B35,'Country Summary'!B:J,4,0)</f>
        <v>7.0600000000000003E-4</v>
      </c>
      <c r="E35" s="123">
        <f>VLOOKUP(B35,'Country Summary'!B:J,5,0)</f>
        <v>0.23928827078433376</v>
      </c>
      <c r="F35" s="123">
        <f>VLOOKUP(B35,'Refugee Cost Calculations'!B:D,COLUMN('Refugee Cost Calculations'!C29)-1,FALSE)</f>
        <v>0.20699999999999999</v>
      </c>
      <c r="G35" s="123">
        <f t="shared" si="0"/>
        <v>0.44699427078433374</v>
      </c>
    </row>
    <row r="36" spans="2:11" ht="15.9" customHeight="1" x14ac:dyDescent="0.3">
      <c r="B36" s="35" t="s">
        <v>255</v>
      </c>
      <c r="C36" s="123">
        <f>VLOOKUP(B36,'Country Summary'!B:J,3,0)</f>
        <v>0</v>
      </c>
      <c r="D36" s="123">
        <f>VLOOKUP(B36,'Country Summary'!B:J,4,0)</f>
        <v>6.9014631619836855E-2</v>
      </c>
      <c r="E36" s="123">
        <f>VLOOKUP(B36,'Country Summary'!B:J,5,0)</f>
        <v>0.35821571928007251</v>
      </c>
      <c r="F36" s="123">
        <f>VLOOKUP(B36,'Refugee Cost Calculations'!B:D,COLUMN('Refugee Cost Calculations'!C39)-1,FALSE)</f>
        <v>0</v>
      </c>
      <c r="G36" s="123">
        <f t="shared" si="0"/>
        <v>0.42723035089990935</v>
      </c>
    </row>
    <row r="37" spans="2:11" ht="15.9" customHeight="1" x14ac:dyDescent="0.3">
      <c r="B37" s="44" t="s">
        <v>1861</v>
      </c>
      <c r="C37" s="123">
        <f>VLOOKUP(B37,'Country Summary'!B:J,3,0)</f>
        <v>1.4999999999999999E-2</v>
      </c>
      <c r="D37" s="123">
        <f>VLOOKUP(B37,'Country Summary'!B:J,4,0)</f>
        <v>3.0970529999999998E-3</v>
      </c>
      <c r="E37" s="123">
        <f>VLOOKUP(B37,'Country Summary'!B:J,5,0)</f>
        <v>0.29499878461654938</v>
      </c>
      <c r="F37" s="123">
        <f>VLOOKUP(B37,'Refugee Cost Calculations'!B:D,COLUMN('Refugee Cost Calculations'!C33)-1,FALSE)</f>
        <v>0.107</v>
      </c>
      <c r="G37" s="123">
        <f t="shared" si="0"/>
        <v>0.42009583761654934</v>
      </c>
    </row>
    <row r="38" spans="2:11" ht="15.9" customHeight="1" x14ac:dyDescent="0.3">
      <c r="B38" s="44" t="s">
        <v>1646</v>
      </c>
      <c r="C38" s="123">
        <f>VLOOKUP(B38,'Country Summary'!B:J,3,0)</f>
        <v>0</v>
      </c>
      <c r="D38" s="123">
        <f>VLOOKUP(B38,'Country Summary'!B:J,4,0)</f>
        <v>4.7284205515557245E-2</v>
      </c>
      <c r="E38" s="123">
        <f>VLOOKUP(B38,'Country Summary'!B:J,5,0)</f>
        <v>0</v>
      </c>
      <c r="F38" s="123">
        <f>VLOOKUP(B38,'Refugee Cost Calculations'!B:D,COLUMN('Refugee Cost Calculations'!C41)-1,FALSE)</f>
        <v>0.372</v>
      </c>
      <c r="G38" s="123">
        <f t="shared" si="0"/>
        <v>0.41928420551555723</v>
      </c>
    </row>
    <row r="39" spans="2:11" ht="15.9" customHeight="1" x14ac:dyDescent="0.3">
      <c r="B39" s="44" t="s">
        <v>1701</v>
      </c>
      <c r="C39" s="123">
        <f>VLOOKUP(B39,'Country Summary'!B:J,3,0)</f>
        <v>0</v>
      </c>
      <c r="D39" s="123">
        <f>VLOOKUP(B39,'Country Summary'!B:J,4,0)</f>
        <v>6.8554615238095237E-2</v>
      </c>
      <c r="E39" s="123">
        <f>VLOOKUP(B39,'Country Summary'!B:J,5,0)</f>
        <v>0</v>
      </c>
      <c r="F39" s="123">
        <f>VLOOKUP(B39,'Refugee Cost Calculations'!B:D,COLUMN('Refugee Cost Calculations'!C38)-1,FALSE)</f>
        <v>0.29699999999999999</v>
      </c>
      <c r="G39" s="123">
        <f t="shared" si="0"/>
        <v>0.36555461523809524</v>
      </c>
    </row>
    <row r="40" spans="2:11" ht="15.9" customHeight="1" x14ac:dyDescent="0.3">
      <c r="B40" s="35" t="s">
        <v>2820</v>
      </c>
      <c r="C40" s="123">
        <f>VLOOKUP(B40,'Country Summary'!B:J,3,0)</f>
        <v>0</v>
      </c>
      <c r="D40" s="123">
        <f>VLOOKUP(B40,'Country Summary'!B:J,4,0)</f>
        <v>2.3622095238095238E-4</v>
      </c>
      <c r="E40" s="123">
        <f>VLOOKUP(B40,'Country Summary'!B:J,5,0)</f>
        <v>6.1355714285714284E-2</v>
      </c>
      <c r="F40" s="123">
        <f>VLOOKUP(B40,'Refugee Cost Calculations'!B:D,COLUMN('Refugee Cost Calculations'!C26)-1,FALSE)</f>
        <v>0.20699999999999999</v>
      </c>
      <c r="G40" s="123">
        <f t="shared" si="0"/>
        <v>0.26859193523809521</v>
      </c>
    </row>
    <row r="41" spans="2:11" ht="15.9" customHeight="1" x14ac:dyDescent="0.3">
      <c r="B41" s="44" t="s">
        <v>1606</v>
      </c>
      <c r="C41" s="123">
        <f>VLOOKUP(B41,'Country Summary'!B:J,3,0)</f>
        <v>0</v>
      </c>
      <c r="D41" s="123">
        <f>VLOOKUP(B41,'Country Summary'!B:J,4,0)</f>
        <v>0</v>
      </c>
      <c r="E41" s="123">
        <f>VLOOKUP(B41,'Country Summary'!B:J,5,0)</f>
        <v>0.18270229371428573</v>
      </c>
      <c r="F41" s="123">
        <f>VLOOKUP(B41,'Refugee Cost Calculations'!B:D,COLUMN('Refugee Cost Calculations'!C40)-1,FALSE)</f>
        <v>7.8E-2</v>
      </c>
      <c r="G41" s="123">
        <f t="shared" si="0"/>
        <v>0.26070229371428572</v>
      </c>
    </row>
    <row r="42" spans="2:11" ht="15.9" customHeight="1" x14ac:dyDescent="0.3">
      <c r="B42" s="44" t="s">
        <v>2024</v>
      </c>
      <c r="C42" s="123">
        <f>VLOOKUP(B42,'Country Summary'!B:J,3,0)</f>
        <v>0</v>
      </c>
      <c r="D42" s="123">
        <f>VLOOKUP(B42,'Country Summary'!B:J,4,0)</f>
        <v>4.0000000000000001E-3</v>
      </c>
      <c r="E42" s="123">
        <f>VLOOKUP(B42,'Country Summary'!B:J,5,0)</f>
        <v>7.4999999999999997E-2</v>
      </c>
      <c r="F42" s="123">
        <f>VLOOKUP(B42,'Refugee Cost Calculations'!B:D,COLUMN('Refugee Cost Calculations'!C42)-1,FALSE)</f>
        <v>6.3E-2</v>
      </c>
      <c r="G42" s="123">
        <f t="shared" si="0"/>
        <v>0.14200000000000002</v>
      </c>
    </row>
    <row r="43" spans="2:11" ht="15.9" customHeight="1" x14ac:dyDescent="0.3">
      <c r="B43" s="44" t="s">
        <v>2547</v>
      </c>
      <c r="C43" s="123">
        <f>VLOOKUP(B43,'Country Summary'!B:J,3,0)</f>
        <v>0</v>
      </c>
      <c r="D43" s="123">
        <f>VLOOKUP(B43,'Country Summary'!B:J,4,0)</f>
        <v>4.3E-3</v>
      </c>
      <c r="E43" s="123">
        <f>VLOOKUP(B43,'Country Summary'!B:J,5,0)</f>
        <v>5.7416922906666668E-2</v>
      </c>
      <c r="F43" s="123">
        <f>VLOOKUP(B43,'Refugee Cost Calculations'!B:D,COLUMN('Refugee Cost Calculations'!C45)-1,FALSE)</f>
        <v>5.2999999999999999E-2</v>
      </c>
      <c r="G43" s="123">
        <f t="shared" si="0"/>
        <v>0.11471692290666666</v>
      </c>
    </row>
    <row r="44" spans="2:11" ht="15.9" customHeight="1" x14ac:dyDescent="0.3">
      <c r="B44" s="44" t="s">
        <v>664</v>
      </c>
      <c r="C44" s="123">
        <f>VLOOKUP(B44,'Country Summary'!B:J,3,0)</f>
        <v>0</v>
      </c>
      <c r="D44" s="123">
        <f>VLOOKUP(B44,'Country Summary'!B:J,4,0)</f>
        <v>6.4410636604774535E-3</v>
      </c>
      <c r="E44" s="123">
        <f>VLOOKUP(B44,'Country Summary'!B:J,5,0)</f>
        <v>1.9445623342175065E-2</v>
      </c>
      <c r="F44" s="123">
        <f>VLOOKUP(B44,'Refugee Cost Calculations'!B:D,COLUMN('Refugee Cost Calculations'!C43)-1,FALSE)</f>
        <v>8.4000000000000005E-2</v>
      </c>
      <c r="G44" s="123">
        <f t="shared" si="0"/>
        <v>0.10988668700265253</v>
      </c>
    </row>
    <row r="45" spans="2:11" ht="15.9" customHeight="1" x14ac:dyDescent="0.3">
      <c r="B45" s="35" t="s">
        <v>2424</v>
      </c>
      <c r="C45" s="123">
        <f>VLOOKUP(B45,'Country Summary'!B:J,3,0)</f>
        <v>0</v>
      </c>
      <c r="D45" s="123">
        <f>VLOOKUP(B45,'Country Summary'!B:J,4,0)</f>
        <v>9.5238095238095261E-2</v>
      </c>
      <c r="E45" s="123">
        <f>VLOOKUP(B45,'Country Summary'!B:J,5,0)</f>
        <v>3.4095238095238093E-3</v>
      </c>
      <c r="F45" s="123">
        <f>VLOOKUP(B45,'Refugee Cost Calculations'!B:D,COLUMN('Refugee Cost Calculations'!C44)-1,FALSE)</f>
        <v>0</v>
      </c>
      <c r="G45" s="123">
        <f t="shared" si="0"/>
        <v>9.8647619047619067E-2</v>
      </c>
    </row>
    <row r="46" spans="2:11" ht="15.9" customHeight="1" x14ac:dyDescent="0.3">
      <c r="B46" s="44" t="s">
        <v>696</v>
      </c>
      <c r="C46" s="123">
        <f>VLOOKUP(B46,'Country Summary'!B:J,3,0)</f>
        <v>0</v>
      </c>
      <c r="D46" s="123">
        <f>VLOOKUP(B46,'Country Summary'!B:J,4,0)</f>
        <v>3.0000000000000001E-3</v>
      </c>
      <c r="E46" s="123">
        <f>VLOOKUP(B46,'Country Summary'!B:J,5,0)</f>
        <v>0</v>
      </c>
      <c r="F46" s="123">
        <f>VLOOKUP(B46,'Refugee Cost Calculations'!B:D,COLUMN('Refugee Cost Calculations'!C46)-1,FALSE)</f>
        <v>8.4000000000000005E-2</v>
      </c>
      <c r="G46" s="123">
        <f t="shared" si="0"/>
        <v>8.7000000000000008E-2</v>
      </c>
    </row>
    <row r="47" spans="2:11" ht="15.9" customHeight="1" x14ac:dyDescent="0.3">
      <c r="B47" s="54" t="s">
        <v>2840</v>
      </c>
      <c r="C47" s="123">
        <f>VLOOKUP(B47,'Country Summary'!B:J,3,0)</f>
        <v>0</v>
      </c>
      <c r="D47" s="123">
        <f>VLOOKUP(B47,'Country Summary'!B:J,4,0)</f>
        <v>6.5238095238095234E-2</v>
      </c>
      <c r="E47" s="123">
        <f>VLOOKUP(B47,'Country Summary'!B:J,5,0)</f>
        <v>0</v>
      </c>
      <c r="F47" s="123">
        <f>VLOOKUP(B47,'Refugee Cost Calculations'!B:D,COLUMN('Refugee Cost Calculations'!C47)-1,FALSE)</f>
        <v>0</v>
      </c>
      <c r="G47" s="123">
        <f t="shared" si="0"/>
        <v>6.5238095238095234E-2</v>
      </c>
      <c r="J47" s="45"/>
      <c r="K47" s="45"/>
    </row>
    <row r="48" spans="2:11" ht="15.9" customHeight="1" x14ac:dyDescent="0.3">
      <c r="B48" s="44" t="s">
        <v>2066</v>
      </c>
      <c r="C48" s="123">
        <f>VLOOKUP(B48,'Country Summary'!B:J,3,0)</f>
        <v>0</v>
      </c>
      <c r="D48" s="123">
        <f>VLOOKUP(B48,'Country Summary'!B:J,4,0)</f>
        <v>1.6999999999999999E-3</v>
      </c>
      <c r="E48" s="123">
        <f>VLOOKUP(B48,'Country Summary'!B:J,5,0)</f>
        <v>0</v>
      </c>
      <c r="F48" s="123">
        <f>VLOOKUP(B48,'Refugee Cost Calculations'!B:D,COLUMN('Refugee Cost Calculations'!C49)-1,FALSE)</f>
        <v>6.3E-2</v>
      </c>
      <c r="G48" s="123">
        <f t="shared" si="0"/>
        <v>6.4699999999999994E-2</v>
      </c>
      <c r="I48" s="45"/>
      <c r="J48" s="45"/>
      <c r="K48" s="45"/>
    </row>
    <row r="49" spans="2:12" ht="15.9" customHeight="1" x14ac:dyDescent="0.3">
      <c r="B49" s="35" t="s">
        <v>2168</v>
      </c>
      <c r="C49" s="123">
        <f>VLOOKUP(B49,'Country Summary'!B:J,3,0)</f>
        <v>0</v>
      </c>
      <c r="D49" s="123">
        <f>VLOOKUP(B49,'Country Summary'!B:J,4,0)</f>
        <v>2.4055809477988932E-3</v>
      </c>
      <c r="E49" s="123">
        <f>VLOOKUP(B49,'Country Summary'!B:J,5,0)</f>
        <v>1.8335310205390792E-2</v>
      </c>
      <c r="F49" s="123">
        <f>VLOOKUP(B49,'Refugee Cost Calculations'!B:D,COLUMN('Refugee Cost Calculations'!C48)-1,FALSE)</f>
        <v>0</v>
      </c>
      <c r="G49" s="123">
        <f t="shared" si="0"/>
        <v>2.0740891153189684E-2</v>
      </c>
      <c r="I49" s="45"/>
      <c r="J49" s="45"/>
      <c r="K49" s="45"/>
    </row>
    <row r="50" spans="2:12" ht="15.9" customHeight="1" x14ac:dyDescent="0.3">
      <c r="B50" s="54" t="s">
        <v>656</v>
      </c>
      <c r="C50" s="123">
        <f>VLOOKUP(B50,'Country Summary'!B:J,3,0)</f>
        <v>0</v>
      </c>
      <c r="D50" s="123">
        <f>VLOOKUP(B50,'Country Summary'!B:J,4,0)</f>
        <v>2.0820320632937745E-3</v>
      </c>
      <c r="E50" s="123">
        <f>VLOOKUP(B50,'Country Summary'!B:J,5,0)</f>
        <v>0</v>
      </c>
      <c r="F50" s="123">
        <f>VLOOKUP(B50,'Refugee Cost Calculations'!B:D,COLUMN('Refugee Cost Calculations'!C50)-1,FALSE)</f>
        <v>0</v>
      </c>
      <c r="G50" s="123">
        <f t="shared" si="0"/>
        <v>2.0820320632937745E-3</v>
      </c>
    </row>
    <row r="51" spans="2:12" ht="15.9" customHeight="1" x14ac:dyDescent="0.3">
      <c r="B51" s="66" t="s">
        <v>1687</v>
      </c>
      <c r="C51" s="123">
        <f>VLOOKUP(B51,'Country Summary'!B:J,3,0)</f>
        <v>0</v>
      </c>
      <c r="D51" s="123">
        <f>VLOOKUP(B51,'Country Summary'!B:J,4,0)</f>
        <v>1.8545238095238094E-3</v>
      </c>
      <c r="E51" s="123">
        <f>VLOOKUP(B51,'Country Summary'!B:J,5,0)</f>
        <v>0</v>
      </c>
      <c r="F51" s="123">
        <f>VLOOKUP(B51,'Refugee Cost Calculations'!B:D,COLUMN('Refugee Cost Calculations'!C51)-1,FALSE)</f>
        <v>0</v>
      </c>
      <c r="G51" s="123">
        <f t="shared" si="0"/>
        <v>1.8545238095238094E-3</v>
      </c>
      <c r="I51" s="67"/>
      <c r="J51" s="67"/>
      <c r="K51" s="67"/>
      <c r="L51" s="67"/>
    </row>
    <row r="52" spans="2:12" ht="15.9" customHeight="1" x14ac:dyDescent="0.3">
      <c r="I52" s="67"/>
      <c r="J52" s="67"/>
      <c r="K52" s="67"/>
      <c r="L52" s="67"/>
    </row>
    <row r="53" spans="2:12" ht="15.9" customHeight="1" x14ac:dyDescent="0.3">
      <c r="B53" s="430" t="s">
        <v>3517</v>
      </c>
      <c r="C53" s="431">
        <f t="shared" ref="C53:G53" si="1">SUM(C12:C51)</f>
        <v>35.887764497735141</v>
      </c>
      <c r="D53" s="431">
        <f t="shared" si="1"/>
        <v>10.480386773949547</v>
      </c>
      <c r="E53" s="431">
        <f t="shared" si="1"/>
        <v>62.242448369213129</v>
      </c>
      <c r="F53" s="431">
        <f t="shared" si="1"/>
        <v>27.316999999999993</v>
      </c>
      <c r="G53" s="432">
        <f t="shared" si="1"/>
        <v>135.92759964089782</v>
      </c>
      <c r="I53" s="67"/>
      <c r="J53" s="67"/>
      <c r="K53" s="67"/>
      <c r="L53" s="67"/>
    </row>
    <row r="54" spans="2:12" ht="15.9" customHeight="1" x14ac:dyDescent="0.3">
      <c r="B54" s="68"/>
      <c r="C54" s="19"/>
      <c r="D54" s="69"/>
      <c r="E54" s="70"/>
      <c r="I54" s="67"/>
      <c r="J54" s="67"/>
      <c r="K54" s="67"/>
      <c r="L54" s="67"/>
    </row>
    <row r="55" spans="2:12" ht="15.9" customHeight="1" x14ac:dyDescent="0.3">
      <c r="B55" s="68"/>
      <c r="C55" s="19"/>
      <c r="D55" s="69"/>
      <c r="E55" s="70"/>
    </row>
    <row r="56" spans="2:12" ht="15.9" customHeight="1" x14ac:dyDescent="0.3">
      <c r="B56" s="71"/>
      <c r="C56" s="19"/>
      <c r="D56" s="66"/>
      <c r="E56" s="70"/>
    </row>
    <row r="57" spans="2:12" ht="15.9" customHeight="1" x14ac:dyDescent="0.3">
      <c r="B57" s="71"/>
      <c r="C57" s="19"/>
      <c r="D57" s="72"/>
      <c r="E57" s="70"/>
    </row>
    <row r="58" spans="2:12" ht="15.9" customHeight="1" x14ac:dyDescent="0.3">
      <c r="B58" s="71"/>
      <c r="C58" s="19"/>
      <c r="D58" s="72"/>
      <c r="E58" s="70"/>
    </row>
    <row r="59" spans="2:12" ht="15.9" customHeight="1" x14ac:dyDescent="0.3">
      <c r="B59" s="71"/>
      <c r="C59" s="19"/>
      <c r="D59" s="72"/>
      <c r="E59" s="70"/>
    </row>
    <row r="60" spans="2:12" ht="15.9" customHeight="1" x14ac:dyDescent="0.3">
      <c r="B60" s="71"/>
      <c r="C60" s="19"/>
      <c r="D60" s="72"/>
      <c r="E60" s="70"/>
    </row>
    <row r="61" spans="2:12" ht="15.9" customHeight="1" x14ac:dyDescent="0.3">
      <c r="B61" s="71"/>
      <c r="C61" s="19"/>
      <c r="D61" s="72"/>
      <c r="E61" s="70"/>
    </row>
    <row r="62" spans="2:12" ht="15.9" customHeight="1" x14ac:dyDescent="0.3">
      <c r="B62" s="71"/>
      <c r="C62" s="19"/>
      <c r="D62" s="72"/>
      <c r="E62" s="70"/>
    </row>
    <row r="63" spans="2:12" ht="15.9" customHeight="1" x14ac:dyDescent="0.3">
      <c r="B63" s="71"/>
      <c r="C63" s="19"/>
      <c r="D63" s="72"/>
      <c r="E63" s="70"/>
    </row>
    <row r="64" spans="2:12" ht="15.9" customHeight="1" x14ac:dyDescent="0.3">
      <c r="B64" s="71"/>
      <c r="C64" s="19"/>
      <c r="D64" s="72"/>
      <c r="E64" s="70"/>
    </row>
    <row r="65" spans="2:5" ht="15.9" customHeight="1" x14ac:dyDescent="0.3">
      <c r="B65" s="71"/>
      <c r="C65" s="19"/>
      <c r="D65" s="66"/>
      <c r="E65" s="70"/>
    </row>
    <row r="66" spans="2:5" ht="15.9" customHeight="1" x14ac:dyDescent="0.3">
      <c r="B66" s="71"/>
      <c r="C66" s="19"/>
      <c r="D66" s="72"/>
      <c r="E66" s="70"/>
    </row>
    <row r="67" spans="2:5" ht="15.9" customHeight="1" x14ac:dyDescent="0.3">
      <c r="B67" s="71"/>
      <c r="C67" s="19"/>
      <c r="D67" s="72"/>
      <c r="E67" s="70"/>
    </row>
    <row r="68" spans="2:5" ht="15.9" customHeight="1" x14ac:dyDescent="0.3">
      <c r="B68" s="71"/>
      <c r="C68" s="19"/>
      <c r="D68" s="72"/>
      <c r="E68" s="70"/>
    </row>
    <row r="69" spans="2:5" ht="15.9" customHeight="1" x14ac:dyDescent="0.3">
      <c r="B69" s="71"/>
      <c r="C69" s="19"/>
      <c r="D69" s="72"/>
      <c r="E69" s="70"/>
    </row>
    <row r="70" spans="2:5" ht="15.9" customHeight="1" x14ac:dyDescent="0.3">
      <c r="B70" s="71"/>
      <c r="C70" s="19"/>
      <c r="D70" s="72"/>
      <c r="E70" s="70"/>
    </row>
    <row r="71" spans="2:5" ht="15.9" customHeight="1" x14ac:dyDescent="0.3">
      <c r="B71" s="71"/>
      <c r="C71" s="19"/>
      <c r="D71" s="72"/>
      <c r="E71" s="70"/>
    </row>
    <row r="72" spans="2:5" ht="15.9" customHeight="1" x14ac:dyDescent="0.3">
      <c r="B72" s="71"/>
      <c r="C72" s="19"/>
      <c r="D72" s="72"/>
      <c r="E72" s="70"/>
    </row>
    <row r="73" spans="2:5" ht="15.9" customHeight="1" x14ac:dyDescent="0.3">
      <c r="B73" s="71"/>
      <c r="C73" s="19"/>
      <c r="D73" s="72"/>
      <c r="E73" s="70"/>
    </row>
    <row r="74" spans="2:5" ht="15.9" customHeight="1" x14ac:dyDescent="0.3">
      <c r="B74" s="71"/>
      <c r="C74" s="19"/>
      <c r="D74" s="72"/>
      <c r="E74" s="70"/>
    </row>
    <row r="75" spans="2:5" ht="15.9" customHeight="1" x14ac:dyDescent="0.3">
      <c r="B75" s="71"/>
      <c r="C75" s="19"/>
      <c r="D75" s="72"/>
      <c r="E75" s="70"/>
    </row>
    <row r="76" spans="2:5" ht="15.9" customHeight="1" x14ac:dyDescent="0.3">
      <c r="B76" s="71"/>
      <c r="C76" s="19"/>
      <c r="D76" s="72"/>
      <c r="E76" s="70"/>
    </row>
    <row r="77" spans="2:5" ht="15.9" customHeight="1" x14ac:dyDescent="0.3">
      <c r="B77" s="71"/>
      <c r="C77" s="19"/>
      <c r="D77" s="72"/>
      <c r="E77" s="70"/>
    </row>
    <row r="78" spans="2:5" ht="15.9" customHeight="1" x14ac:dyDescent="0.3">
      <c r="B78" s="71"/>
      <c r="C78" s="19"/>
      <c r="D78" s="72"/>
      <c r="E78" s="70"/>
    </row>
    <row r="79" spans="2:5" ht="15.9" customHeight="1" x14ac:dyDescent="0.3">
      <c r="B79" s="71"/>
      <c r="C79" s="19"/>
      <c r="D79" s="66"/>
      <c r="E79" s="70"/>
    </row>
    <row r="80" spans="2:5" ht="15.9" customHeight="1" x14ac:dyDescent="0.3">
      <c r="B80" s="71"/>
      <c r="C80" s="19"/>
      <c r="D80" s="72"/>
      <c r="E80" s="70"/>
    </row>
    <row r="81" spans="2:5" ht="15.9" customHeight="1" x14ac:dyDescent="0.3">
      <c r="B81" s="48"/>
      <c r="C81" s="37"/>
      <c r="D81" s="36"/>
      <c r="E81" s="36"/>
    </row>
    <row r="82" spans="2:5" ht="15.9" customHeight="1" x14ac:dyDescent="0.3">
      <c r="B82" s="48"/>
      <c r="C82" s="37"/>
      <c r="D82" s="36"/>
      <c r="E82" s="36"/>
    </row>
    <row r="83" spans="2:5" ht="15.9" customHeight="1" x14ac:dyDescent="0.3">
      <c r="C83" s="37"/>
      <c r="D83" s="73"/>
      <c r="E83" s="36"/>
    </row>
    <row r="84" spans="2:5" ht="15.9" customHeight="1" x14ac:dyDescent="0.3">
      <c r="B84" s="48"/>
      <c r="C84" s="37"/>
      <c r="D84" s="36"/>
      <c r="E84" s="36"/>
    </row>
    <row r="85" spans="2:5" ht="15.9" customHeight="1" x14ac:dyDescent="0.3">
      <c r="B85" s="48"/>
      <c r="C85" s="37"/>
      <c r="D85" s="36"/>
      <c r="E85" s="36"/>
    </row>
    <row r="86" spans="2:5" ht="15.9" customHeight="1" x14ac:dyDescent="0.3">
      <c r="C86" s="37"/>
      <c r="D86" s="36"/>
      <c r="E86" s="36"/>
    </row>
    <row r="87" spans="2:5" ht="15.9" customHeight="1" x14ac:dyDescent="0.3">
      <c r="C87" s="37"/>
      <c r="D87" s="36"/>
      <c r="E87" s="36"/>
    </row>
    <row r="88" spans="2:5" ht="15.9" customHeight="1" x14ac:dyDescent="0.3">
      <c r="C88" s="37"/>
      <c r="D88" s="36"/>
      <c r="E88" s="36"/>
    </row>
    <row r="89" spans="2:5" ht="15.9" customHeight="1" x14ac:dyDescent="0.3">
      <c r="C89" s="37"/>
      <c r="D89" s="36"/>
      <c r="E89" s="36"/>
    </row>
  </sheetData>
  <sortState ref="B12:G51">
    <sortCondition descending="1" ref="G12:G51"/>
  </sortState>
  <mergeCells count="1">
    <mergeCell ref="B4:H9"/>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Z82"/>
  <sheetViews>
    <sheetView zoomScaleNormal="100" workbookViewId="0"/>
  </sheetViews>
  <sheetFormatPr baseColWidth="10" defaultColWidth="8.59765625" defaultRowHeight="15.9" customHeight="1" x14ac:dyDescent="0.3"/>
  <cols>
    <col min="1" max="1" width="8.59765625" style="2" customWidth="1"/>
    <col min="2" max="2" width="25.5" style="35" customWidth="1"/>
    <col min="3" max="3" width="27.8984375" style="74" bestFit="1" customWidth="1"/>
    <col min="4" max="4" width="23.5" style="74" bestFit="1" customWidth="1"/>
    <col min="5" max="5" width="15.5" style="74" customWidth="1"/>
    <col min="6" max="6" width="13.59765625" style="35" customWidth="1"/>
    <col min="7" max="16384" width="8.59765625" style="35"/>
  </cols>
  <sheetData>
    <row r="1" spans="1:8" ht="15.9" customHeight="1" x14ac:dyDescent="0.3">
      <c r="A1" s="35"/>
      <c r="B1" s="39"/>
      <c r="C1" s="148"/>
      <c r="D1" s="148"/>
      <c r="E1" s="148"/>
    </row>
    <row r="2" spans="1:8" s="639" customFormat="1" ht="24.75" customHeight="1" x14ac:dyDescent="0.3">
      <c r="B2" s="644" t="s">
        <v>3566</v>
      </c>
    </row>
    <row r="3" spans="1:8" s="116" customFormat="1" ht="15.9" customHeight="1" x14ac:dyDescent="0.25"/>
    <row r="4" spans="1:8" s="116" customFormat="1" ht="15.9" customHeight="1" x14ac:dyDescent="0.25">
      <c r="B4" s="1182" t="s">
        <v>3567</v>
      </c>
      <c r="C4" s="1182"/>
      <c r="D4" s="1182"/>
      <c r="E4" s="1182"/>
      <c r="F4" s="1182"/>
      <c r="G4" s="1182"/>
      <c r="H4" s="1182"/>
    </row>
    <row r="5" spans="1:8" s="116" customFormat="1" ht="15.9" customHeight="1" x14ac:dyDescent="0.25">
      <c r="B5" s="1182"/>
      <c r="C5" s="1182"/>
      <c r="D5" s="1182"/>
      <c r="E5" s="1182"/>
      <c r="F5" s="1182"/>
      <c r="G5" s="1182"/>
      <c r="H5" s="1182"/>
    </row>
    <row r="6" spans="1:8" s="116" customFormat="1" ht="15.9" customHeight="1" x14ac:dyDescent="0.25">
      <c r="B6" s="1182"/>
      <c r="C6" s="1182"/>
      <c r="D6" s="1182"/>
      <c r="E6" s="1182"/>
      <c r="F6" s="1182"/>
      <c r="G6" s="1182"/>
      <c r="H6" s="1182"/>
    </row>
    <row r="7" spans="1:8" s="116" customFormat="1" ht="15.9" customHeight="1" x14ac:dyDescent="0.25">
      <c r="B7" s="1182"/>
      <c r="C7" s="1182"/>
      <c r="D7" s="1182"/>
      <c r="E7" s="1182"/>
      <c r="F7" s="1182"/>
      <c r="G7" s="1182"/>
      <c r="H7" s="1182"/>
    </row>
    <row r="8" spans="1:8" s="116" customFormat="1" ht="15.9" customHeight="1" x14ac:dyDescent="0.25">
      <c r="B8" s="1182"/>
      <c r="C8" s="1182"/>
      <c r="D8" s="1182"/>
      <c r="E8" s="1182"/>
      <c r="F8" s="1182"/>
      <c r="G8" s="1182"/>
      <c r="H8" s="1182"/>
    </row>
    <row r="9" spans="1:8" s="116" customFormat="1" ht="15.9" customHeight="1" x14ac:dyDescent="0.25">
      <c r="B9" s="1182"/>
      <c r="C9" s="1182"/>
      <c r="D9" s="1182"/>
      <c r="E9" s="1182"/>
      <c r="F9" s="1182"/>
      <c r="G9" s="1182"/>
      <c r="H9" s="1182"/>
    </row>
    <row r="11" spans="1:8" s="639" customFormat="1" ht="24.75" customHeight="1" x14ac:dyDescent="0.3">
      <c r="A11" s="11"/>
      <c r="B11" s="413" t="s">
        <v>3499</v>
      </c>
      <c r="C11" s="500" t="s">
        <v>3504</v>
      </c>
      <c r="D11" s="501" t="s">
        <v>3564</v>
      </c>
      <c r="E11" s="500" t="s">
        <v>3517</v>
      </c>
      <c r="G11" s="644" t="s">
        <v>3568</v>
      </c>
    </row>
    <row r="12" spans="1:8" ht="15.9" customHeight="1" x14ac:dyDescent="0.3">
      <c r="B12" s="24" t="s">
        <v>2303</v>
      </c>
      <c r="C12" s="74">
        <f>VLOOKUP(B12,'Country Summary'!B:J,9,0)</f>
        <v>0.62629240486194215</v>
      </c>
      <c r="D12" s="74">
        <f>VLOOKUP(B12,'Refugee Cost Calculations'!B:D,3,0)</f>
        <v>1.4712775053301543</v>
      </c>
      <c r="E12" s="74">
        <f t="shared" ref="E12:E51" si="0">SUM(C12,D12)</f>
        <v>2.0975699101920964</v>
      </c>
    </row>
    <row r="13" spans="1:8" ht="15.9" customHeight="1" x14ac:dyDescent="0.3">
      <c r="B13" s="24" t="s">
        <v>937</v>
      </c>
      <c r="C13" s="74">
        <f>VLOOKUP(B13,'Country Summary'!B:J,9,0)</f>
        <v>1.0714702516680921</v>
      </c>
      <c r="D13" s="74">
        <f>VLOOKUP(B13,'Refugee Cost Calculations'!B:D,3,0)</f>
        <v>0.56867324909487005</v>
      </c>
      <c r="E13" s="74">
        <f t="shared" si="0"/>
        <v>1.6401435007629621</v>
      </c>
    </row>
    <row r="14" spans="1:8" ht="15.9" customHeight="1" x14ac:dyDescent="0.3">
      <c r="B14" s="24" t="s">
        <v>1861</v>
      </c>
      <c r="C14" s="74">
        <f>VLOOKUP(B14,'Country Summary'!B:J,9,0)</f>
        <v>0.97530930817809547</v>
      </c>
      <c r="D14" s="74">
        <f>VLOOKUP(B14,'Refugee Cost Calculations'!B:D,3,0)</f>
        <v>0.33331039074005286</v>
      </c>
      <c r="E14" s="74">
        <f t="shared" si="0"/>
        <v>1.3086196989181484</v>
      </c>
    </row>
    <row r="15" spans="1:8" ht="15.9" customHeight="1" x14ac:dyDescent="0.3">
      <c r="B15" s="24" t="s">
        <v>716</v>
      </c>
      <c r="C15" s="74">
        <f>VLOOKUP(B15,'Country Summary'!B:J,9,0)</f>
        <v>0.24401173304736024</v>
      </c>
      <c r="D15" s="74">
        <f>VLOOKUP(B15,'Refugee Cost Calculations'!B:D,3,0)</f>
        <v>0.83755429011542071</v>
      </c>
      <c r="E15" s="74">
        <f t="shared" si="0"/>
        <v>1.0815660231627811</v>
      </c>
    </row>
    <row r="16" spans="1:8" ht="15.9" customHeight="1" x14ac:dyDescent="0.3">
      <c r="B16" s="24" t="s">
        <v>1919</v>
      </c>
      <c r="C16" s="74">
        <f>VLOOKUP(B16,'Country Summary'!B:J,9,0)</f>
        <v>0.65175917502903802</v>
      </c>
      <c r="D16" s="74">
        <f>VLOOKUP(B16,'Refugee Cost Calculations'!B:D,3,0)</f>
        <v>0.41408061547428909</v>
      </c>
      <c r="E16" s="74">
        <f t="shared" si="0"/>
        <v>1.0658397905033272</v>
      </c>
    </row>
    <row r="17" spans="2:5" ht="15.9" customHeight="1" x14ac:dyDescent="0.3">
      <c r="B17" s="24" t="s">
        <v>2489</v>
      </c>
      <c r="C17" s="74">
        <f>VLOOKUP(B17,'Country Summary'!B:J,9,0)</f>
        <v>0.22369549234134833</v>
      </c>
      <c r="D17" s="74">
        <f>VLOOKUP(B17,'Refugee Cost Calculations'!B:D,3,0)</f>
        <v>0.64094664996268991</v>
      </c>
      <c r="E17" s="74">
        <f t="shared" si="0"/>
        <v>0.86464214230403824</v>
      </c>
    </row>
    <row r="18" spans="2:5" ht="15.9" customHeight="1" x14ac:dyDescent="0.3">
      <c r="B18" s="24" t="s">
        <v>480</v>
      </c>
      <c r="C18" s="74">
        <f>VLOOKUP(B18,'Country Summary'!B:J,9,0)</f>
        <v>0.36056136389535975</v>
      </c>
      <c r="D18" s="74">
        <f>VLOOKUP(B18,'Refugee Cost Calculations'!B:D,3,0)</f>
        <v>0.31099160026786582</v>
      </c>
      <c r="E18" s="74">
        <f t="shared" si="0"/>
        <v>0.67155296416322563</v>
      </c>
    </row>
    <row r="19" spans="2:5" ht="15.9" customHeight="1" x14ac:dyDescent="0.3">
      <c r="B19" s="24" t="s">
        <v>2066</v>
      </c>
      <c r="C19" s="74">
        <f>VLOOKUP(B19,'Country Summary'!B:J,9,0)</f>
        <v>1.2186479766347293E-2</v>
      </c>
      <c r="D19" s="74">
        <f>VLOOKUP(B19,'Refugee Cost Calculations'!B:D,3,0)</f>
        <v>0.45161660310581148</v>
      </c>
      <c r="E19" s="74">
        <f t="shared" si="0"/>
        <v>0.46380308287215877</v>
      </c>
    </row>
    <row r="20" spans="2:5" ht="15.9" customHeight="1" x14ac:dyDescent="0.3">
      <c r="B20" s="24" t="s">
        <v>2460</v>
      </c>
      <c r="C20" s="74">
        <f>VLOOKUP(B20,'Country Summary'!B:J,9,0)</f>
        <v>4.5117974874776083E-3</v>
      </c>
      <c r="D20" s="74">
        <f>VLOOKUP(B20,'Refugee Cost Calculations'!B:D,3,0)</f>
        <v>0.42301335803089118</v>
      </c>
      <c r="E20" s="74">
        <f t="shared" si="0"/>
        <v>0.42752515551836878</v>
      </c>
    </row>
    <row r="21" spans="2:5" ht="15.9" customHeight="1" x14ac:dyDescent="0.3">
      <c r="B21" s="35" t="s">
        <v>2206</v>
      </c>
      <c r="C21" s="74">
        <f>VLOOKUP(B21,'Country Summary'!B:J,9,0)</f>
        <v>0.35881458597507954</v>
      </c>
      <c r="D21" s="74">
        <f>VLOOKUP(B21,'Refugee Cost Calculations'!B:D,3,0)</f>
        <v>6.841555782769107E-2</v>
      </c>
      <c r="E21" s="74">
        <f t="shared" si="0"/>
        <v>0.42723014380277058</v>
      </c>
    </row>
    <row r="22" spans="2:5" ht="15.9" customHeight="1" x14ac:dyDescent="0.3">
      <c r="B22" s="24" t="s">
        <v>696</v>
      </c>
      <c r="C22" s="74">
        <f>VLOOKUP(B22,'Country Summary'!B:J,9,0)</f>
        <v>1.2798296810786326E-2</v>
      </c>
      <c r="D22" s="74">
        <f>VLOOKUP(B22,'Refugee Cost Calculations'!B:D,3,0)</f>
        <v>0.35835231070201712</v>
      </c>
      <c r="E22" s="74">
        <f t="shared" si="0"/>
        <v>0.37115060751280343</v>
      </c>
    </row>
    <row r="23" spans="2:5" ht="15.9" customHeight="1" x14ac:dyDescent="0.3">
      <c r="B23" s="24" t="s">
        <v>3038</v>
      </c>
      <c r="C23" s="74">
        <f>VLOOKUP(B23,'Country Summary'!B:J,9,0)</f>
        <v>0.36670361752930236</v>
      </c>
      <c r="D23" s="74">
        <f>VLOOKUP(B23,'Refugee Cost Calculations'!B:D,3,0)</f>
        <v>0</v>
      </c>
      <c r="E23" s="74">
        <f t="shared" si="0"/>
        <v>0.36670361752930236</v>
      </c>
    </row>
    <row r="24" spans="2:5" ht="15.9" customHeight="1" x14ac:dyDescent="0.3">
      <c r="B24" s="24" t="s">
        <v>1288</v>
      </c>
      <c r="C24" s="74">
        <f>VLOOKUP(B24,'Country Summary'!B:J,9,0)</f>
        <v>0.16791640519043149</v>
      </c>
      <c r="D24" s="74">
        <f>VLOOKUP(B24,'Refugee Cost Calculations'!B:D,3,0)</f>
        <v>0.18584583277026556</v>
      </c>
      <c r="E24" s="74">
        <f t="shared" si="0"/>
        <v>0.35376223796069706</v>
      </c>
    </row>
    <row r="25" spans="2:5" ht="15.9" customHeight="1" x14ac:dyDescent="0.3">
      <c r="B25" s="35" t="s">
        <v>2864</v>
      </c>
      <c r="C25" s="74">
        <f>VLOOKUP(B25,'Country Summary'!B:J,9,0)</f>
        <v>0.31603739506644191</v>
      </c>
      <c r="D25" s="74">
        <f>VLOOKUP(B25,'Refugee Cost Calculations'!B:D,3,0)</f>
        <v>7.875559107627373E-3</v>
      </c>
      <c r="E25" s="74">
        <f t="shared" si="0"/>
        <v>0.32391295417406929</v>
      </c>
    </row>
    <row r="26" spans="2:5" ht="15.9" customHeight="1" x14ac:dyDescent="0.3">
      <c r="B26" s="24" t="s">
        <v>344</v>
      </c>
      <c r="C26" s="74">
        <f>VLOOKUP(B26,'Country Summary'!B:J,9,0)</f>
        <v>0.15156942553252337</v>
      </c>
      <c r="D26" s="74">
        <f>VLOOKUP(B26,'Refugee Cost Calculations'!B:D,3,0)</f>
        <v>0.14347094010649117</v>
      </c>
      <c r="E26" s="74">
        <f t="shared" si="0"/>
        <v>0.29504036563901453</v>
      </c>
    </row>
    <row r="27" spans="2:5" ht="15.9" customHeight="1" x14ac:dyDescent="0.3">
      <c r="B27" s="24" t="s">
        <v>2370</v>
      </c>
      <c r="C27" s="74">
        <f>VLOOKUP(B27,'Country Summary'!B:J,9,0)</f>
        <v>0.21250619097011536</v>
      </c>
      <c r="D27" s="74">
        <f>VLOOKUP(B27,'Refugee Cost Calculations'!B:D,3,0)</f>
        <v>7.7185950756763627E-2</v>
      </c>
      <c r="E27" s="74">
        <f t="shared" si="0"/>
        <v>0.28969214172687896</v>
      </c>
    </row>
    <row r="28" spans="2:5" ht="15.9" customHeight="1" x14ac:dyDescent="0.3">
      <c r="B28" s="24" t="s">
        <v>856</v>
      </c>
      <c r="C28" s="74">
        <f>VLOOKUP(B28,'Country Summary'!B:J,9,0)</f>
        <v>0.2122186724732939</v>
      </c>
      <c r="D28" s="74">
        <f>VLOOKUP(B28,'Refugee Cost Calculations'!B:D,3,0)</f>
        <v>7.5782495336013583E-2</v>
      </c>
      <c r="E28" s="74">
        <f t="shared" si="0"/>
        <v>0.28800116780930751</v>
      </c>
    </row>
    <row r="29" spans="2:5" ht="15.9" customHeight="1" x14ac:dyDescent="0.3">
      <c r="B29" s="24" t="s">
        <v>1646</v>
      </c>
      <c r="C29" s="74">
        <f>VLOOKUP(B29,'Country Summary'!B:J,9,0)</f>
        <v>3.1865036188883679E-2</v>
      </c>
      <c r="D29" s="74">
        <f>VLOOKUP(B29,'Refugee Cost Calculations'!B:D,3,0)</f>
        <v>0.25069245286070518</v>
      </c>
      <c r="E29" s="74">
        <f t="shared" si="0"/>
        <v>0.28255748904958888</v>
      </c>
    </row>
    <row r="30" spans="2:5" ht="15.9" customHeight="1" x14ac:dyDescent="0.3">
      <c r="B30" s="24" t="s">
        <v>517</v>
      </c>
      <c r="C30" s="74">
        <f>VLOOKUP(B30,'Country Summary'!B:J,9,0)</f>
        <v>0.25632117619333006</v>
      </c>
      <c r="D30" s="74">
        <f>VLOOKUP(B30,'Refugee Cost Calculations'!B:D,3,0)</f>
        <v>0</v>
      </c>
      <c r="E30" s="74">
        <f t="shared" si="0"/>
        <v>0.25632117619333006</v>
      </c>
    </row>
    <row r="31" spans="2:5" ht="15.9" customHeight="1" x14ac:dyDescent="0.3">
      <c r="B31" s="24" t="s">
        <v>2547</v>
      </c>
      <c r="C31" s="74">
        <f>VLOOKUP(B31,'Country Summary'!B:J,9,0)</f>
        <v>0.12092412980552034</v>
      </c>
      <c r="D31" s="74">
        <f>VLOOKUP(B31,'Refugee Cost Calculations'!B:D,3,0)</f>
        <v>0.1038447572861783</v>
      </c>
      <c r="E31" s="74">
        <f t="shared" si="0"/>
        <v>0.22476888709169862</v>
      </c>
    </row>
    <row r="32" spans="2:5" ht="15.9" customHeight="1" x14ac:dyDescent="0.3">
      <c r="B32" s="24" t="s">
        <v>2076</v>
      </c>
      <c r="C32" s="74">
        <f>VLOOKUP(B32,'Country Summary'!B:J,9,0)</f>
        <v>0.16304488604120476</v>
      </c>
      <c r="D32" s="74">
        <f>VLOOKUP(B32,'Refugee Cost Calculations'!B:D,3,0)</f>
        <v>5.6069526212503502E-2</v>
      </c>
      <c r="E32" s="74">
        <f t="shared" si="0"/>
        <v>0.21911441225370826</v>
      </c>
    </row>
    <row r="33" spans="2:26" ht="15.9" customHeight="1" x14ac:dyDescent="0.3">
      <c r="B33" s="24" t="s">
        <v>2715</v>
      </c>
      <c r="C33" s="74">
        <f>VLOOKUP(B33,'Country Summary'!B:J,9,0)</f>
        <v>0.1560201905102156</v>
      </c>
      <c r="D33" s="74">
        <f>VLOOKUP(B33,'Refugee Cost Calculations'!B:D,3,0)</f>
        <v>6.305198665400541E-2</v>
      </c>
      <c r="E33" s="74">
        <f t="shared" si="0"/>
        <v>0.219072177164221</v>
      </c>
    </row>
    <row r="34" spans="2:26" ht="15.9" customHeight="1" x14ac:dyDescent="0.3">
      <c r="B34" s="24" t="s">
        <v>2024</v>
      </c>
      <c r="C34" s="74">
        <f>VLOOKUP(B34,'Country Summary'!B:J,9,0)</f>
        <v>0.11308310906433033</v>
      </c>
      <c r="D34" s="74">
        <f>VLOOKUP(B34,'Refugee Cost Calculations'!B:D,3,0)</f>
        <v>9.0180200899402665E-2</v>
      </c>
      <c r="E34" s="74">
        <f t="shared" si="0"/>
        <v>0.20326330996373299</v>
      </c>
    </row>
    <row r="35" spans="2:26" ht="15.9" customHeight="1" x14ac:dyDescent="0.3">
      <c r="B35" s="24" t="s">
        <v>664</v>
      </c>
      <c r="C35" s="74">
        <f>VLOOKUP(B35,'Country Summary'!B:J,9,0)</f>
        <v>4.751612804745621E-2</v>
      </c>
      <c r="D35" s="74">
        <f>VLOOKUP(B35,'Refugee Cost Calculations'!B:D,3,0)</f>
        <v>0.15418561500656078</v>
      </c>
      <c r="E35" s="74">
        <f t="shared" si="0"/>
        <v>0.201701743054017</v>
      </c>
    </row>
    <row r="36" spans="2:26" ht="15.9" customHeight="1" x14ac:dyDescent="0.3">
      <c r="B36" s="24" t="s">
        <v>1025</v>
      </c>
      <c r="C36" s="74">
        <f>VLOOKUP(B36,'Country Summary'!B:J,9,0)</f>
        <v>0.13218725299739614</v>
      </c>
      <c r="D36" s="74">
        <f>VLOOKUP(B36,'Refugee Cost Calculations'!B:D,3,0)</f>
        <v>6.4652575125420622E-2</v>
      </c>
      <c r="E36" s="74">
        <f t="shared" si="0"/>
        <v>0.19683982812281675</v>
      </c>
    </row>
    <row r="37" spans="2:26" ht="15.9" customHeight="1" x14ac:dyDescent="0.3">
      <c r="B37" s="24" t="s">
        <v>413</v>
      </c>
      <c r="C37" s="74">
        <f>VLOOKUP(B37,'Country Summary'!B:J,9,0)</f>
        <v>4.9236359339854457E-2</v>
      </c>
      <c r="D37" s="74">
        <f>VLOOKUP(B37,'Refugee Cost Calculations'!B:D,3,0)</f>
        <v>0.11850850251797751</v>
      </c>
      <c r="E37" s="74">
        <f t="shared" si="0"/>
        <v>0.16774486185783197</v>
      </c>
    </row>
    <row r="38" spans="2:26" ht="15.9" customHeight="1" x14ac:dyDescent="0.3">
      <c r="B38" s="24" t="s">
        <v>1606</v>
      </c>
      <c r="C38" s="74">
        <f>VLOOKUP(B38,'Country Summary'!B:J,9,0)</f>
        <v>0.10158985634034334</v>
      </c>
      <c r="D38" s="74">
        <f>VLOOKUP(B38,'Refugee Cost Calculations'!B:D,3,0)</f>
        <v>4.3371151141312639E-2</v>
      </c>
      <c r="E38" s="74">
        <f t="shared" si="0"/>
        <v>0.14496100748165597</v>
      </c>
    </row>
    <row r="39" spans="2:26" ht="15.9" customHeight="1" x14ac:dyDescent="0.3">
      <c r="B39" s="24" t="s">
        <v>2615</v>
      </c>
      <c r="C39" s="74">
        <f>VLOOKUP(B39,'Country Summary'!B:J,9,0)</f>
        <v>3.1743111359855275E-2</v>
      </c>
      <c r="D39" s="74">
        <f>VLOOKUP(B39,'Refugee Cost Calculations'!B:D,3,0)</f>
        <v>0.11135131514334812</v>
      </c>
      <c r="E39" s="74">
        <f t="shared" si="0"/>
        <v>0.14309442650320339</v>
      </c>
    </row>
    <row r="40" spans="2:26" ht="15.9" customHeight="1" x14ac:dyDescent="0.3">
      <c r="B40" s="35" t="s">
        <v>2792</v>
      </c>
      <c r="C40" s="74">
        <f>VLOOKUP(B40,'Country Summary'!B:J,9,0)</f>
        <v>3.3774324203310994E-2</v>
      </c>
      <c r="D40" s="74">
        <f>VLOOKUP(B40,'Refugee Cost Calculations'!B:D,3,0)</f>
        <v>9.9661275859130094E-2</v>
      </c>
      <c r="E40" s="74">
        <f t="shared" si="0"/>
        <v>0.1334356000624411</v>
      </c>
    </row>
    <row r="41" spans="2:26" ht="15.9" customHeight="1" x14ac:dyDescent="0.3">
      <c r="B41" s="24" t="s">
        <v>1730</v>
      </c>
      <c r="C41" s="74">
        <f>VLOOKUP(B41,'Country Summary'!B:J,9,0)</f>
        <v>5.6879145193287982E-2</v>
      </c>
      <c r="D41" s="74">
        <f>VLOOKUP(B41,'Refugee Cost Calculations'!B:D,3,0)</f>
        <v>4.0972421888249788E-2</v>
      </c>
      <c r="E41" s="74">
        <f t="shared" si="0"/>
        <v>9.7851567081537777E-2</v>
      </c>
    </row>
    <row r="42" spans="2:26" ht="15.9" customHeight="1" x14ac:dyDescent="0.3">
      <c r="B42" s="24" t="s">
        <v>1131</v>
      </c>
      <c r="C42" s="74">
        <f>VLOOKUP(B42,'Country Summary'!B:J,9,0)</f>
        <v>6.6849255151842313E-2</v>
      </c>
      <c r="D42" s="74">
        <f>VLOOKUP(B42,'Refugee Cost Calculations'!B:D,3,0)</f>
        <v>2.8182907013290744E-2</v>
      </c>
      <c r="E42" s="74">
        <f t="shared" si="0"/>
        <v>9.5032162165133049E-2</v>
      </c>
    </row>
    <row r="43" spans="2:26" ht="15.9" customHeight="1" x14ac:dyDescent="0.3">
      <c r="B43" s="24" t="s">
        <v>1701</v>
      </c>
      <c r="C43" s="74">
        <f>VLOOKUP(B43,'Country Summary'!B:J,9,0)</f>
        <v>1.6901668275066981E-2</v>
      </c>
      <c r="D43" s="74">
        <f>VLOOKUP(B43,'Refugee Cost Calculations'!B:D,3,0)</f>
        <v>7.3223304663891306E-2</v>
      </c>
      <c r="E43" s="74">
        <f t="shared" si="0"/>
        <v>9.0124972938958284E-2</v>
      </c>
    </row>
    <row r="44" spans="2:26" ht="15.9" customHeight="1" x14ac:dyDescent="0.3">
      <c r="B44" s="35" t="s">
        <v>2820</v>
      </c>
      <c r="C44" s="74">
        <f>VLOOKUP(B44,'Country Summary'!B:J,9,0)</f>
        <v>8.9827208669556458E-3</v>
      </c>
      <c r="D44" s="74">
        <f>VLOOKUP(B44,'Refugee Cost Calculations'!B:D,3,0)</f>
        <v>3.0189394313912488E-2</v>
      </c>
      <c r="E44" s="74">
        <f t="shared" si="0"/>
        <v>3.9172115180868133E-2</v>
      </c>
    </row>
    <row r="45" spans="2:26" ht="15.9" customHeight="1" x14ac:dyDescent="0.3">
      <c r="B45" s="35" t="s">
        <v>255</v>
      </c>
      <c r="C45" s="74">
        <f>VLOOKUP(B45,'Country Summary'!B:J,9,0)</f>
        <v>3.3783675894588923E-2</v>
      </c>
      <c r="D45" s="74">
        <f>VLOOKUP(B45,'Refugee Cost Calculations'!B:D,3,0)</f>
        <v>0</v>
      </c>
      <c r="E45" s="74">
        <f t="shared" si="0"/>
        <v>3.3783675894588923E-2</v>
      </c>
    </row>
    <row r="46" spans="2:26" ht="15.9" customHeight="1" x14ac:dyDescent="0.3">
      <c r="B46" s="24" t="s">
        <v>1804</v>
      </c>
      <c r="C46" s="74">
        <f>VLOOKUP(B46,'Country Summary'!B:J,9,0)</f>
        <v>2.1834816145528613E-2</v>
      </c>
      <c r="D46" s="74">
        <f>VLOOKUP(B46,'Refugee Cost Calculations'!B:D,3,0)</f>
        <v>0</v>
      </c>
      <c r="E46" s="74">
        <f t="shared" si="0"/>
        <v>2.1834816145528613E-2</v>
      </c>
    </row>
    <row r="47" spans="2:26" ht="15.9" customHeight="1" x14ac:dyDescent="0.3">
      <c r="B47" s="35" t="s">
        <v>2840</v>
      </c>
      <c r="C47" s="74">
        <f>VLOOKUP(B47,'Country Summary'!B:J,9,0)</f>
        <v>1.1189738764522157E-2</v>
      </c>
      <c r="D47" s="74">
        <f>VLOOKUP(B47,'Refugee Cost Calculations'!B:D,3,0)</f>
        <v>0</v>
      </c>
      <c r="E47" s="74">
        <f t="shared" si="0"/>
        <v>1.1189738764522157E-2</v>
      </c>
      <c r="Z47" s="13"/>
    </row>
    <row r="48" spans="2:26" ht="15.9" customHeight="1" x14ac:dyDescent="0.3">
      <c r="B48" s="35" t="s">
        <v>2168</v>
      </c>
      <c r="C48" s="74">
        <f>VLOOKUP(B48,'Country Summary'!B:J,9,0)</f>
        <v>1.033595062238561E-2</v>
      </c>
      <c r="D48" s="74">
        <f>VLOOKUP(B48,'Refugee Cost Calculations'!B:D,3,0)</f>
        <v>0</v>
      </c>
      <c r="E48" s="74">
        <f t="shared" si="0"/>
        <v>1.033595062238561E-2</v>
      </c>
    </row>
    <row r="49" spans="2:15" ht="15.9" customHeight="1" x14ac:dyDescent="0.3">
      <c r="B49" s="35" t="s">
        <v>2424</v>
      </c>
      <c r="C49" s="74">
        <f>VLOOKUP(B49,'Country Summary'!B:J,9,0)</f>
        <v>6.323967606692558E-3</v>
      </c>
      <c r="D49" s="74">
        <f>VLOOKUP(B49,'Refugee Cost Calculations'!B:D,3,0)</f>
        <v>0</v>
      </c>
      <c r="E49" s="74">
        <f t="shared" si="0"/>
        <v>6.323967606692558E-3</v>
      </c>
    </row>
    <row r="50" spans="2:15" ht="15.9" customHeight="1" x14ac:dyDescent="0.3">
      <c r="B50" s="35" t="s">
        <v>1687</v>
      </c>
      <c r="C50" s="74">
        <f>VLOOKUP(B50,'Country Summary'!B:J,9,0)</f>
        <v>7.3198138435895518E-5</v>
      </c>
      <c r="D50" s="74">
        <f>VLOOKUP(B50,'Refugee Cost Calculations'!B:D,3,0)</f>
        <v>0</v>
      </c>
      <c r="E50" s="74">
        <f t="shared" si="0"/>
        <v>7.3198138435895518E-5</v>
      </c>
      <c r="F50" s="75"/>
      <c r="G50" s="75"/>
      <c r="H50" s="76"/>
      <c r="I50" s="76"/>
      <c r="J50" s="76"/>
      <c r="K50" s="76"/>
      <c r="L50" s="76"/>
      <c r="M50" s="76"/>
      <c r="N50" s="76"/>
      <c r="O50" s="76"/>
    </row>
    <row r="51" spans="2:15" ht="15.9" customHeight="1" x14ac:dyDescent="0.3">
      <c r="B51" s="38" t="s">
        <v>656</v>
      </c>
      <c r="C51" s="77">
        <f>VLOOKUP(B51,'Country Summary'!B:J,9,0)</f>
        <v>1.4848696966057873E-5</v>
      </c>
      <c r="D51" s="77">
        <f>VLOOKUP(B51,'Refugee Cost Calculations'!B:D,3,0)</f>
        <v>0</v>
      </c>
      <c r="E51" s="124">
        <f t="shared" si="0"/>
        <v>1.4848696966057873E-5</v>
      </c>
      <c r="F51" s="75"/>
      <c r="G51" s="75"/>
      <c r="H51" s="76"/>
      <c r="I51" s="76"/>
      <c r="J51" s="76"/>
      <c r="K51" s="76"/>
      <c r="L51" s="76"/>
      <c r="M51" s="76"/>
      <c r="N51" s="76"/>
      <c r="O51" s="76"/>
    </row>
    <row r="52" spans="2:15" ht="15.9" customHeight="1" x14ac:dyDescent="0.3">
      <c r="C52" s="79"/>
      <c r="D52" s="79"/>
      <c r="E52" s="78"/>
      <c r="F52" s="75"/>
      <c r="G52" s="75"/>
      <c r="H52" s="76"/>
      <c r="I52" s="76"/>
      <c r="J52" s="76"/>
      <c r="K52" s="76"/>
      <c r="L52" s="76"/>
      <c r="M52" s="76"/>
      <c r="N52" s="76"/>
      <c r="O52" s="76"/>
    </row>
    <row r="53" spans="2:15" ht="15.9" customHeight="1" x14ac:dyDescent="0.3">
      <c r="C53" s="80"/>
      <c r="D53" s="80"/>
      <c r="E53" s="78"/>
      <c r="F53" s="75"/>
      <c r="G53" s="75"/>
      <c r="H53" s="76"/>
      <c r="I53" s="76"/>
      <c r="J53" s="76"/>
      <c r="K53" s="76"/>
      <c r="L53" s="76"/>
      <c r="M53" s="76"/>
      <c r="N53" s="76"/>
      <c r="O53" s="76"/>
    </row>
    <row r="54" spans="2:15" ht="15.9" customHeight="1" x14ac:dyDescent="0.3">
      <c r="C54" s="80"/>
      <c r="D54" s="80"/>
      <c r="E54" s="78"/>
      <c r="F54" s="75"/>
      <c r="G54" s="75"/>
      <c r="H54" s="76"/>
      <c r="I54" s="76"/>
      <c r="J54" s="76"/>
      <c r="K54" s="76"/>
      <c r="L54" s="76"/>
      <c r="M54" s="76"/>
      <c r="N54" s="76"/>
      <c r="O54" s="76"/>
    </row>
    <row r="55" spans="2:15" ht="15.9" customHeight="1" x14ac:dyDescent="0.3">
      <c r="C55" s="80"/>
      <c r="D55" s="80"/>
      <c r="E55" s="78"/>
      <c r="F55" s="75"/>
      <c r="G55" s="75"/>
      <c r="H55" s="76"/>
      <c r="I55" s="76"/>
      <c r="J55" s="76"/>
      <c r="K55" s="76"/>
      <c r="L55" s="76"/>
      <c r="M55" s="76"/>
      <c r="N55" s="76"/>
      <c r="O55" s="76"/>
    </row>
    <row r="56" spans="2:15" ht="15.9" customHeight="1" x14ac:dyDescent="0.3">
      <c r="C56" s="80"/>
      <c r="D56" s="80"/>
      <c r="E56" s="78"/>
      <c r="F56" s="75"/>
      <c r="G56" s="75"/>
      <c r="H56" s="76"/>
      <c r="I56" s="76"/>
      <c r="J56" s="76"/>
      <c r="K56" s="76"/>
      <c r="L56" s="76"/>
      <c r="M56" s="76"/>
      <c r="N56" s="76"/>
      <c r="O56" s="76"/>
    </row>
    <row r="57" spans="2:15" ht="15.9" customHeight="1" x14ac:dyDescent="0.3">
      <c r="C57" s="80"/>
      <c r="D57" s="80"/>
    </row>
    <row r="58" spans="2:15" ht="15.9" customHeight="1" x14ac:dyDescent="0.3">
      <c r="C58" s="81"/>
      <c r="D58" s="81"/>
    </row>
    <row r="59" spans="2:15" ht="15.9" customHeight="1" x14ac:dyDescent="0.3">
      <c r="C59" s="81"/>
      <c r="D59" s="81"/>
    </row>
    <row r="60" spans="2:15" ht="15.9" customHeight="1" x14ac:dyDescent="0.3">
      <c r="C60" s="81"/>
      <c r="D60" s="81"/>
    </row>
    <row r="61" spans="2:15" ht="15.9" customHeight="1" x14ac:dyDescent="0.3">
      <c r="C61" s="81"/>
      <c r="D61" s="81"/>
    </row>
    <row r="62" spans="2:15" ht="15.9" customHeight="1" x14ac:dyDescent="0.3">
      <c r="C62" s="81"/>
      <c r="D62" s="81"/>
    </row>
    <row r="63" spans="2:15" ht="15.9" customHeight="1" x14ac:dyDescent="0.3">
      <c r="C63" s="81"/>
      <c r="D63" s="81"/>
    </row>
    <row r="64" spans="2:15" ht="15.9" customHeight="1" x14ac:dyDescent="0.3">
      <c r="C64" s="81"/>
      <c r="D64" s="81"/>
    </row>
    <row r="65" spans="3:4" ht="15.9" customHeight="1" x14ac:dyDescent="0.3">
      <c r="C65" s="81"/>
      <c r="D65" s="81"/>
    </row>
    <row r="66" spans="3:4" ht="15.9" customHeight="1" x14ac:dyDescent="0.3">
      <c r="C66" s="81"/>
      <c r="D66" s="81"/>
    </row>
    <row r="67" spans="3:4" ht="15.9" customHeight="1" x14ac:dyDescent="0.3">
      <c r="C67" s="81"/>
      <c r="D67" s="81"/>
    </row>
    <row r="68" spans="3:4" ht="15.9" customHeight="1" x14ac:dyDescent="0.3">
      <c r="C68" s="81"/>
      <c r="D68" s="81"/>
    </row>
    <row r="69" spans="3:4" ht="15.9" customHeight="1" x14ac:dyDescent="0.3">
      <c r="C69" s="81"/>
      <c r="D69" s="81"/>
    </row>
    <row r="70" spans="3:4" ht="15.9" customHeight="1" x14ac:dyDescent="0.3">
      <c r="C70" s="81"/>
      <c r="D70" s="81"/>
    </row>
    <row r="71" spans="3:4" ht="15.9" customHeight="1" x14ac:dyDescent="0.3">
      <c r="C71" s="81"/>
      <c r="D71" s="81"/>
    </row>
    <row r="72" spans="3:4" ht="15.9" customHeight="1" x14ac:dyDescent="0.3">
      <c r="C72" s="81"/>
      <c r="D72" s="81"/>
    </row>
    <row r="73" spans="3:4" ht="15.9" customHeight="1" x14ac:dyDescent="0.3">
      <c r="C73" s="81"/>
      <c r="D73" s="81"/>
    </row>
    <row r="74" spans="3:4" ht="15.9" customHeight="1" x14ac:dyDescent="0.3">
      <c r="C74" s="81"/>
      <c r="D74" s="81"/>
    </row>
    <row r="75" spans="3:4" ht="15.9" customHeight="1" x14ac:dyDescent="0.3">
      <c r="C75" s="81"/>
      <c r="D75" s="81"/>
    </row>
    <row r="76" spans="3:4" ht="15.9" customHeight="1" x14ac:dyDescent="0.3">
      <c r="C76" s="81"/>
      <c r="D76" s="81"/>
    </row>
    <row r="77" spans="3:4" ht="15.9" customHeight="1" x14ac:dyDescent="0.3">
      <c r="C77" s="81"/>
      <c r="D77" s="81"/>
    </row>
    <row r="78" spans="3:4" ht="15.9" customHeight="1" x14ac:dyDescent="0.3">
      <c r="C78" s="81"/>
      <c r="D78" s="81"/>
    </row>
    <row r="79" spans="3:4" ht="15.9" customHeight="1" x14ac:dyDescent="0.3">
      <c r="C79" s="81"/>
      <c r="D79" s="81"/>
    </row>
    <row r="80" spans="3:4" ht="15.9" customHeight="1" x14ac:dyDescent="0.3">
      <c r="C80" s="81"/>
      <c r="D80" s="81"/>
    </row>
    <row r="81" spans="3:4" ht="15.9" customHeight="1" x14ac:dyDescent="0.3">
      <c r="C81" s="81"/>
      <c r="D81" s="81"/>
    </row>
    <row r="82" spans="3:4" ht="15.9" customHeight="1" x14ac:dyDescent="0.3">
      <c r="C82" s="81"/>
      <c r="D82" s="81"/>
    </row>
  </sheetData>
  <sortState ref="B12:E51">
    <sortCondition descending="1" ref="E12:E51"/>
  </sortState>
  <mergeCells count="1">
    <mergeCell ref="B4:H9"/>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59999389629810485"/>
  </sheetPr>
  <dimension ref="A1:Z59"/>
  <sheetViews>
    <sheetView showGridLines="0" zoomScaleNormal="100" workbookViewId="0"/>
  </sheetViews>
  <sheetFormatPr baseColWidth="10" defaultColWidth="8.59765625" defaultRowHeight="15.9" customHeight="1" x14ac:dyDescent="0.3"/>
  <cols>
    <col min="1" max="1" width="8.59765625" style="2" customWidth="1"/>
    <col min="2" max="2" width="25.5" style="13" customWidth="1"/>
    <col min="3" max="3" width="13.09765625" style="13" customWidth="1"/>
    <col min="4" max="4" width="16.59765625" style="13" customWidth="1"/>
    <col min="5" max="5" width="18.09765625" style="13" customWidth="1"/>
    <col min="6" max="6" width="23.09765625" style="13" bestFit="1" customWidth="1"/>
    <col min="7" max="7" width="19.8984375" style="13" bestFit="1" customWidth="1"/>
    <col min="8" max="8" width="13.59765625" style="13" customWidth="1"/>
    <col min="9" max="16384" width="8.59765625" style="13"/>
  </cols>
  <sheetData>
    <row r="1" spans="1:9" s="35" customFormat="1" ht="15.9" customHeight="1" x14ac:dyDescent="0.3">
      <c r="B1" s="39"/>
      <c r="C1" s="148"/>
      <c r="D1" s="148"/>
      <c r="E1" s="148"/>
      <c r="F1" s="148"/>
      <c r="G1" s="39"/>
    </row>
    <row r="2" spans="1:9" s="643" customFormat="1" ht="24.75" customHeight="1" x14ac:dyDescent="0.3">
      <c r="A2" s="639"/>
      <c r="B2" s="439" t="s">
        <v>3569</v>
      </c>
      <c r="C2" s="642"/>
      <c r="D2" s="642"/>
      <c r="E2" s="642"/>
      <c r="F2" s="642"/>
    </row>
    <row r="3" spans="1:9" s="43" customFormat="1" ht="15.9" customHeight="1" x14ac:dyDescent="0.35">
      <c r="A3" s="35"/>
      <c r="B3" s="42"/>
      <c r="C3" s="147"/>
      <c r="D3" s="147"/>
      <c r="E3" s="147"/>
      <c r="F3" s="147"/>
      <c r="H3" s="167"/>
    </row>
    <row r="4" spans="1:9" s="43" customFormat="1" ht="15.9" customHeight="1" x14ac:dyDescent="0.3">
      <c r="A4" s="35"/>
      <c r="B4" s="1177" t="s">
        <v>3570</v>
      </c>
      <c r="C4" s="1177"/>
      <c r="D4" s="1177"/>
      <c r="E4" s="1177"/>
      <c r="F4" s="1177"/>
      <c r="G4" s="1177"/>
      <c r="H4" s="1177"/>
    </row>
    <row r="5" spans="1:9" s="43" customFormat="1" ht="15.9" customHeight="1" x14ac:dyDescent="0.3">
      <c r="A5" s="35"/>
      <c r="B5" s="1177"/>
      <c r="C5" s="1177"/>
      <c r="D5" s="1177"/>
      <c r="E5" s="1177"/>
      <c r="F5" s="1177"/>
      <c r="G5" s="1177"/>
      <c r="H5" s="1177"/>
    </row>
    <row r="6" spans="1:9" s="43" customFormat="1" ht="15.9" customHeight="1" x14ac:dyDescent="0.3">
      <c r="A6" s="35"/>
      <c r="B6" s="1177"/>
      <c r="C6" s="1177"/>
      <c r="D6" s="1177"/>
      <c r="E6" s="1177"/>
      <c r="F6" s="1177"/>
      <c r="G6" s="1177"/>
      <c r="H6" s="1177"/>
    </row>
    <row r="7" spans="1:9" s="43" customFormat="1" ht="15.9" customHeight="1" x14ac:dyDescent="0.3">
      <c r="A7" s="35"/>
      <c r="B7" s="1177"/>
      <c r="C7" s="1177"/>
      <c r="D7" s="1177"/>
      <c r="E7" s="1177"/>
      <c r="F7" s="1177"/>
      <c r="G7" s="1177"/>
      <c r="H7" s="1177"/>
    </row>
    <row r="8" spans="1:9" s="43" customFormat="1" ht="15.9" customHeight="1" x14ac:dyDescent="0.3">
      <c r="A8" s="35"/>
      <c r="B8" s="1177"/>
      <c r="C8" s="1177"/>
      <c r="D8" s="1177"/>
      <c r="E8" s="1177"/>
      <c r="F8" s="1177"/>
      <c r="G8" s="1177"/>
      <c r="H8" s="1177"/>
    </row>
    <row r="9" spans="1:9" s="43" customFormat="1" ht="15.9" customHeight="1" x14ac:dyDescent="0.3">
      <c r="A9" s="35"/>
      <c r="B9" s="1177"/>
      <c r="C9" s="1177"/>
      <c r="D9" s="1177"/>
      <c r="E9" s="1177"/>
      <c r="F9" s="1177"/>
      <c r="G9" s="1177"/>
      <c r="H9" s="1177"/>
    </row>
    <row r="11" spans="1:9" s="3" customFormat="1" ht="24.75" customHeight="1" x14ac:dyDescent="0.3">
      <c r="A11" s="11"/>
      <c r="B11" s="413" t="s">
        <v>3499</v>
      </c>
      <c r="C11" s="500" t="s">
        <v>518</v>
      </c>
      <c r="D11" s="501" t="s">
        <v>362</v>
      </c>
      <c r="E11" s="500" t="s">
        <v>376</v>
      </c>
      <c r="F11" s="501" t="s">
        <v>3571</v>
      </c>
      <c r="G11" s="500" t="s">
        <v>3572</v>
      </c>
      <c r="I11" s="438" t="s">
        <v>3573</v>
      </c>
    </row>
    <row r="12" spans="1:9" ht="15.9" customHeight="1" x14ac:dyDescent="0.3">
      <c r="B12" s="24" t="s">
        <v>3554</v>
      </c>
      <c r="C12" s="115">
        <f>SUMIFS('Bilateral Assistance, MAIN DATA'!S:S,'Bilateral Assistance, MAIN DATA'!E:E,$C$11,'Bilateral Assistance, MAIN DATA'!B:B,"European Investment Bank")/1000000000+SUMIFS('Bilateral Assistance, MAIN DATA'!S:S,'Bilateral Assistance, MAIN DATA'!E:E,$C$11,'Bilateral Assistance, MAIN DATA'!B:B,"EU (Commission and Council)")/1000000000</f>
        <v>30.2</v>
      </c>
      <c r="D12" s="115">
        <f>SUMIFS('Bilateral Assistance, MAIN DATA'!S:S,'Bilateral Assistance, MAIN DATA'!E:E,$D$11,'Bilateral Assistance, MAIN DATA'!B:B,"European Investment Bank")/1000000000+SUMIFS('Bilateral Assistance, MAIN DATA'!S:S,'Bilateral Assistance, MAIN DATA'!E:E,$D$11,'Bilateral Assistance, MAIN DATA'!B:B,"EU (Commission and Council)")/1000000000</f>
        <v>0.1225</v>
      </c>
      <c r="E12" s="115">
        <f>SUMIFS('Bilateral Assistance, MAIN DATA'!S:S,'Bilateral Assistance, MAIN DATA'!E:E,$E$11,'Bilateral Assistance, MAIN DATA'!B:B,"European Investment Bank")/1000000000+SUMIFS('Bilateral Assistance, MAIN DATA'!S:S,'Bilateral Assistance, MAIN DATA'!E:E,$E$11,'Bilateral Assistance, MAIN DATA'!B:B,"EU (Commission and Council)")/1000000000</f>
        <v>0</v>
      </c>
      <c r="F12" s="115">
        <f>SUMIFS('Bilateral Assistance, MAIN DATA'!S:S,'Bilateral Assistance, MAIN DATA'!E:E,"Swap-line",'Bilateral Assistance, MAIN DATA'!B:B,"European Investment Bank")/1000000000+SUMIFS('Bilateral Assistance, MAIN DATA'!S:S,'Bilateral Assistance, MAIN DATA'!E:E,"Swap line",'Bilateral Assistance, MAIN DATA'!B:B,"EU (Commission and Council)")/1000000000</f>
        <v>0</v>
      </c>
      <c r="G12" s="115">
        <f t="shared" ref="G12:G52" si="0">SUM(C12:F12)</f>
        <v>30.322499999999998</v>
      </c>
    </row>
    <row r="13" spans="1:9" ht="15.9" customHeight="1" x14ac:dyDescent="0.3">
      <c r="B13" s="24" t="s">
        <v>3038</v>
      </c>
      <c r="C13" s="115">
        <f>SUMIFS('Bilateral Assistance, MAIN DATA'!S:S,'Bilateral Assistance, MAIN DATA'!E:E,$C$11,'Bilateral Assistance, MAIN DATA'!B:B,B13)/1000000000</f>
        <v>0</v>
      </c>
      <c r="D13" s="115">
        <f>SUMIFS('Bilateral Assistance, MAIN DATA'!S:S,'Bilateral Assistance, MAIN DATA'!E:E,$D$11,'Bilateral Assistance, MAIN DATA'!B:B,B13)/1000000000</f>
        <v>25.114285714285714</v>
      </c>
      <c r="E13" s="115">
        <f>SUMIFS('Bilateral Assistance, MAIN DATA'!S:S,'Bilateral Assistance, MAIN DATA'!E:E,$E$11,'Bilateral Assistance, MAIN DATA'!B:B,B13)/1000000000</f>
        <v>0</v>
      </c>
      <c r="F13" s="115">
        <f>SUMIFS('Bilateral Assistance, MAIN DATA'!S:S,'Bilateral Assistance, MAIN DATA'!E:E,"Swap-line",'Bilateral Assistance, MAIN DATA'!B:B,B13)/1000000000</f>
        <v>0</v>
      </c>
      <c r="G13" s="115">
        <f t="shared" si="0"/>
        <v>25.114285714285714</v>
      </c>
    </row>
    <row r="14" spans="1:9" ht="15.9" customHeight="1" x14ac:dyDescent="0.3">
      <c r="B14" s="24" t="s">
        <v>2864</v>
      </c>
      <c r="C14" s="115">
        <f>SUMIFS('Bilateral Assistance, MAIN DATA'!S:S,'Bilateral Assistance, MAIN DATA'!E:E,$C$11,'Bilateral Assistance, MAIN DATA'!B:B,B14)/1000000000</f>
        <v>0.58008678098243494</v>
      </c>
      <c r="D14" s="115">
        <f>SUMIFS('Bilateral Assistance, MAIN DATA'!S:S,'Bilateral Assistance, MAIN DATA'!E:E,$D$11,'Bilateral Assistance, MAIN DATA'!B:B,B14)/1000000000</f>
        <v>0.65798635856876564</v>
      </c>
      <c r="E14" s="115">
        <f>SUMIFS('Bilateral Assistance, MAIN DATA'!S:S,'Bilateral Assistance, MAIN DATA'!E:E,$E$11,'Bilateral Assistance, MAIN DATA'!B:B,B14)/1000000000</f>
        <v>1.7993076526153073</v>
      </c>
      <c r="F14" s="115">
        <f>SUMIFS('Bilateral Assistance, MAIN DATA'!S:S,'Bilateral Assistance, MAIN DATA'!E:E,"Swap-line",'Bilateral Assistance, MAIN DATA'!B:B,B14)/1000000000</f>
        <v>0</v>
      </c>
      <c r="G14" s="115">
        <f t="shared" si="0"/>
        <v>3.0373807921665081</v>
      </c>
    </row>
    <row r="15" spans="1:9" ht="15.9" customHeight="1" x14ac:dyDescent="0.3">
      <c r="B15" s="24" t="s">
        <v>517</v>
      </c>
      <c r="C15" s="115">
        <f>SUMIFS('Bilateral Assistance, MAIN DATA'!S:S,'Bilateral Assistance, MAIN DATA'!E:E,$C$11,'Bilateral Assistance, MAIN DATA'!B:B,B15)/1000000000</f>
        <v>1.6784390516819359</v>
      </c>
      <c r="D15" s="115">
        <f>SUMIFS('Bilateral Assistance, MAIN DATA'!S:S,'Bilateral Assistance, MAIN DATA'!E:E,$D$11,'Bilateral Assistance, MAIN DATA'!B:B,B15)/1000000000</f>
        <v>0.78246730540597254</v>
      </c>
      <c r="E15" s="115">
        <f>SUMIFS('Bilateral Assistance, MAIN DATA'!S:S,'Bilateral Assistance, MAIN DATA'!E:E,$E$11,'Bilateral Assistance, MAIN DATA'!B:B,B15)/1000000000</f>
        <v>0</v>
      </c>
      <c r="F15" s="115">
        <f>SUMIFS('Bilateral Assistance, MAIN DATA'!S:S,'Bilateral Assistance, MAIN DATA'!E:E,"Swap-line",'Bilateral Assistance, MAIN DATA'!B:B,B15)/1000000000</f>
        <v>0</v>
      </c>
      <c r="G15" s="115">
        <f t="shared" si="0"/>
        <v>2.4609063570879082</v>
      </c>
    </row>
    <row r="16" spans="1:9" ht="15.9" customHeight="1" x14ac:dyDescent="0.3">
      <c r="B16" s="24" t="s">
        <v>1288</v>
      </c>
      <c r="C16" s="115">
        <f>SUMIFS('Bilateral Assistance, MAIN DATA'!S:S,'Bilateral Assistance, MAIN DATA'!E:E,$C$11,'Bilateral Assistance, MAIN DATA'!B:B,B16)/1000000000</f>
        <v>0.3</v>
      </c>
      <c r="D16" s="115">
        <f>SUMIFS('Bilateral Assistance, MAIN DATA'!S:S,'Bilateral Assistance, MAIN DATA'!E:E,$D$11,'Bilateral Assistance, MAIN DATA'!B:B,B16)/1000000000</f>
        <v>1.2</v>
      </c>
      <c r="E16" s="115">
        <f>SUMIFS('Bilateral Assistance, MAIN DATA'!S:S,'Bilateral Assistance, MAIN DATA'!E:E,$E$11,'Bilateral Assistance, MAIN DATA'!B:B,B16)/1000000000</f>
        <v>0</v>
      </c>
      <c r="F16" s="115">
        <f>SUMIFS('Bilateral Assistance, MAIN DATA'!S:S,'Bilateral Assistance, MAIN DATA'!E:E,"Swap-line",'Bilateral Assistance, MAIN DATA'!B:B,B16)/1000000000</f>
        <v>0</v>
      </c>
      <c r="G16" s="115">
        <f t="shared" si="0"/>
        <v>1.5</v>
      </c>
    </row>
    <row r="17" spans="2:7" ht="15.9" customHeight="1" x14ac:dyDescent="0.3">
      <c r="B17" s="24" t="s">
        <v>2303</v>
      </c>
      <c r="C17" s="115">
        <f>SUMIFS('Bilateral Assistance, MAIN DATA'!S:S,'Bilateral Assistance, MAIN DATA'!E:E,$C$11,'Bilateral Assistance, MAIN DATA'!B:B,B17)/1000000000</f>
        <v>0</v>
      </c>
      <c r="D17" s="115">
        <f>SUMIFS('Bilateral Assistance, MAIN DATA'!S:S,'Bilateral Assistance, MAIN DATA'!E:E,$D$11,'Bilateral Assistance, MAIN DATA'!B:B,B17)/1000000000</f>
        <v>6.4623139392111671E-3</v>
      </c>
      <c r="E17" s="115">
        <f>SUMIFS('Bilateral Assistance, MAIN DATA'!S:S,'Bilateral Assistance, MAIN DATA'!E:E,$E$11,'Bilateral Assistance, MAIN DATA'!B:B,B17)/1000000000</f>
        <v>0</v>
      </c>
      <c r="F17" s="115">
        <f>SUMIFS('Bilateral Assistance, MAIN DATA'!S:S,'Bilateral Assistance, MAIN DATA'!E:E,"Swap-line",'Bilateral Assistance, MAIN DATA'!B:B,B17)/1000000000</f>
        <v>0.95238095238095233</v>
      </c>
      <c r="G17" s="115">
        <f t="shared" si="0"/>
        <v>0.95884326632016348</v>
      </c>
    </row>
    <row r="18" spans="2:7" ht="15.9" customHeight="1" x14ac:dyDescent="0.3">
      <c r="B18" s="24" t="s">
        <v>1131</v>
      </c>
      <c r="C18" s="115">
        <f>SUMIFS('Bilateral Assistance, MAIN DATA'!S:S,'Bilateral Assistance, MAIN DATA'!E:E,$C$11,'Bilateral Assistance, MAIN DATA'!B:B,B18)/1000000000</f>
        <v>0.69940000000000002</v>
      </c>
      <c r="D18" s="115">
        <f>SUMIFS('Bilateral Assistance, MAIN DATA'!S:S,'Bilateral Assistance, MAIN DATA'!E:E,$D$11,'Bilateral Assistance, MAIN DATA'!B:B,B18)/1000000000</f>
        <v>0</v>
      </c>
      <c r="E18" s="115">
        <f>SUMIFS('Bilateral Assistance, MAIN DATA'!S:S,'Bilateral Assistance, MAIN DATA'!E:E,$E$11,'Bilateral Assistance, MAIN DATA'!B:B,B18)/1000000000</f>
        <v>0</v>
      </c>
      <c r="F18" s="115">
        <f>SUMIFS('Bilateral Assistance, MAIN DATA'!S:S,'Bilateral Assistance, MAIN DATA'!E:E,"Swap-line",'Bilateral Assistance, MAIN DATA'!B:B,B18)/1000000000</f>
        <v>0</v>
      </c>
      <c r="G18" s="115">
        <f t="shared" si="0"/>
        <v>0.69940000000000002</v>
      </c>
    </row>
    <row r="19" spans="2:7" ht="15.9" customHeight="1" x14ac:dyDescent="0.3">
      <c r="B19" s="2" t="s">
        <v>2206</v>
      </c>
      <c r="C19" s="115">
        <f>SUMIFS('Bilateral Assistance, MAIN DATA'!S:S,'Bilateral Assistance, MAIN DATA'!E:E,$C$11,'Bilateral Assistance, MAIN DATA'!B:B,B19)/1000000000</f>
        <v>0</v>
      </c>
      <c r="D19" s="115">
        <f>SUMIFS('Bilateral Assistance, MAIN DATA'!S:S,'Bilateral Assistance, MAIN DATA'!E:E,$D$11,'Bilateral Assistance, MAIN DATA'!B:B,B19)/1000000000</f>
        <v>0.61050061050061044</v>
      </c>
      <c r="E19" s="115">
        <f>SUMIFS('Bilateral Assistance, MAIN DATA'!S:S,'Bilateral Assistance, MAIN DATA'!E:E,$E$11,'Bilateral Assistance, MAIN DATA'!B:B,B19)/1000000000</f>
        <v>0</v>
      </c>
      <c r="F19" s="115">
        <f>SUMIFS('Bilateral Assistance, MAIN DATA'!S:S,'Bilateral Assistance, MAIN DATA'!E:E,"Swap-line",'Bilateral Assistance, MAIN DATA'!B:B,B19)/1000000000</f>
        <v>0</v>
      </c>
      <c r="G19" s="115">
        <f t="shared" si="0"/>
        <v>0.61050061050061044</v>
      </c>
    </row>
    <row r="20" spans="2:7" ht="15.9" customHeight="1" x14ac:dyDescent="0.3">
      <c r="B20" s="24" t="s">
        <v>344</v>
      </c>
      <c r="C20" s="115">
        <f>SUMIFS('Bilateral Assistance, MAIN DATA'!S:S,'Bilateral Assistance, MAIN DATA'!E:E,$C$11,'Bilateral Assistance, MAIN DATA'!B:B,B20)/1000000000</f>
        <v>0</v>
      </c>
      <c r="D20" s="115">
        <f>SUMIFS('Bilateral Assistance, MAIN DATA'!S:S,'Bilateral Assistance, MAIN DATA'!E:E,$D$11,'Bilateral Assistance, MAIN DATA'!B:B,B20)/1000000000</f>
        <v>7.1900000000000006E-2</v>
      </c>
      <c r="E20" s="115">
        <f>SUMIFS('Bilateral Assistance, MAIN DATA'!S:S,'Bilateral Assistance, MAIN DATA'!E:E,$E$11,'Bilateral Assistance, MAIN DATA'!B:B,B20)/1000000000</f>
        <v>0.5</v>
      </c>
      <c r="F20" s="115">
        <f>SUMIFS('Bilateral Assistance, MAIN DATA'!S:S,'Bilateral Assistance, MAIN DATA'!E:E,"Swap-line",'Bilateral Assistance, MAIN DATA'!B:B,B20)/1000000000</f>
        <v>0</v>
      </c>
      <c r="G20" s="115">
        <f t="shared" si="0"/>
        <v>0.57189999999999996</v>
      </c>
    </row>
    <row r="21" spans="2:7" ht="15.9" customHeight="1" x14ac:dyDescent="0.3">
      <c r="B21" s="13" t="s">
        <v>1804</v>
      </c>
      <c r="C21" s="115">
        <f>SUMIFS('Bilateral Assistance, MAIN DATA'!S:S,'Bilateral Assistance, MAIN DATA'!E:E,$C$11,'Bilateral Assistance, MAIN DATA'!B:B,B21)/1000000000</f>
        <v>0.57142857142857151</v>
      </c>
      <c r="D21" s="115">
        <f>SUMIFS('Bilateral Assistance, MAIN DATA'!S:S,'Bilateral Assistance, MAIN DATA'!E:E,$D$11,'Bilateral Assistance, MAIN DATA'!B:B,B21)/1000000000</f>
        <v>0</v>
      </c>
      <c r="E21" s="115">
        <f>SUMIFS('Bilateral Assistance, MAIN DATA'!S:S,'Bilateral Assistance, MAIN DATA'!E:E,$E$11,'Bilateral Assistance, MAIN DATA'!B:B,B21)/1000000000</f>
        <v>0</v>
      </c>
      <c r="F21" s="115">
        <f>SUMIFS('Bilateral Assistance, MAIN DATA'!S:S,'Bilateral Assistance, MAIN DATA'!E:E,"Swap-line",'Bilateral Assistance, MAIN DATA'!B:B,B21)/1000000000</f>
        <v>0</v>
      </c>
      <c r="G21" s="115">
        <f t="shared" si="0"/>
        <v>0.57142857142857151</v>
      </c>
    </row>
    <row r="22" spans="2:7" ht="15.9" customHeight="1" x14ac:dyDescent="0.3">
      <c r="B22" s="24" t="s">
        <v>2076</v>
      </c>
      <c r="C22" s="115">
        <f>SUMIFS('Bilateral Assistance, MAIN DATA'!S:S,'Bilateral Assistance, MAIN DATA'!E:E,$C$11,'Bilateral Assistance, MAIN DATA'!B:B,B22)/1000000000</f>
        <v>0.2</v>
      </c>
      <c r="D22" s="115">
        <f>SUMIFS('Bilateral Assistance, MAIN DATA'!S:S,'Bilateral Assistance, MAIN DATA'!E:E,$D$11,'Bilateral Assistance, MAIN DATA'!B:B,B22)/1000000000</f>
        <v>0.2485</v>
      </c>
      <c r="E22" s="115">
        <f>SUMIFS('Bilateral Assistance, MAIN DATA'!S:S,'Bilateral Assistance, MAIN DATA'!E:E,$E$11,'Bilateral Assistance, MAIN DATA'!B:B,B22)/1000000000</f>
        <v>0.08</v>
      </c>
      <c r="F22" s="115">
        <f>SUMIFS('Bilateral Assistance, MAIN DATA'!S:S,'Bilateral Assistance, MAIN DATA'!E:E,"Swap-line",'Bilateral Assistance, MAIN DATA'!B:B,B22)/1000000000</f>
        <v>0</v>
      </c>
      <c r="G22" s="115">
        <f t="shared" si="0"/>
        <v>0.52849999999999997</v>
      </c>
    </row>
    <row r="23" spans="2:7" ht="15.9" customHeight="1" x14ac:dyDescent="0.3">
      <c r="B23" s="24" t="s">
        <v>1730</v>
      </c>
      <c r="C23" s="115">
        <f>SUMIFS('Bilateral Assistance, MAIN DATA'!S:S,'Bilateral Assistance, MAIN DATA'!E:E,$C$11,'Bilateral Assistance, MAIN DATA'!B:B,B23)/1000000000</f>
        <v>0.2</v>
      </c>
      <c r="D23" s="115">
        <f>SUMIFS('Bilateral Assistance, MAIN DATA'!S:S,'Bilateral Assistance, MAIN DATA'!E:E,$D$11,'Bilateral Assistance, MAIN DATA'!B:B,B23)/1000000000</f>
        <v>0.127</v>
      </c>
      <c r="E23" s="115">
        <f>SUMIFS('Bilateral Assistance, MAIN DATA'!S:S,'Bilateral Assistance, MAIN DATA'!E:E,$E$11,'Bilateral Assistance, MAIN DATA'!B:B,B23)/1000000000</f>
        <v>0</v>
      </c>
      <c r="F23" s="115">
        <f>SUMIFS('Bilateral Assistance, MAIN DATA'!S:S,'Bilateral Assistance, MAIN DATA'!E:E,"Swap-line",'Bilateral Assistance, MAIN DATA'!B:B,B23)/1000000000</f>
        <v>0</v>
      </c>
      <c r="G23" s="115">
        <f t="shared" si="0"/>
        <v>0.32700000000000001</v>
      </c>
    </row>
    <row r="24" spans="2:7" ht="15.9" customHeight="1" x14ac:dyDescent="0.3">
      <c r="B24" s="24" t="s">
        <v>2715</v>
      </c>
      <c r="C24" s="115">
        <f>SUMIFS('Bilateral Assistance, MAIN DATA'!S:S,'Bilateral Assistance, MAIN DATA'!E:E,$C$11,'Bilateral Assistance, MAIN DATA'!B:B,B24)/1000000000</f>
        <v>0</v>
      </c>
      <c r="D24" s="115">
        <f>SUMIFS('Bilateral Assistance, MAIN DATA'!S:S,'Bilateral Assistance, MAIN DATA'!E:E,$D$11,'Bilateral Assistance, MAIN DATA'!B:B,B24)/1000000000</f>
        <v>0.21615892824371449</v>
      </c>
      <c r="E24" s="115">
        <f>SUMIFS('Bilateral Assistance, MAIN DATA'!S:S,'Bilateral Assistance, MAIN DATA'!E:E,$E$11,'Bilateral Assistance, MAIN DATA'!B:B,B24)/1000000000</f>
        <v>9.1619047619047614E-2</v>
      </c>
      <c r="F24" s="115">
        <f>SUMIFS('Bilateral Assistance, MAIN DATA'!S:S,'Bilateral Assistance, MAIN DATA'!E:E,"Swap-line",'Bilateral Assistance, MAIN DATA'!B:B,B24)/1000000000</f>
        <v>0</v>
      </c>
      <c r="G24" s="115">
        <f t="shared" si="0"/>
        <v>0.30777797586276212</v>
      </c>
    </row>
    <row r="25" spans="2:7" ht="15.9" customHeight="1" x14ac:dyDescent="0.3">
      <c r="B25" s="24" t="s">
        <v>2615</v>
      </c>
      <c r="C25" s="115">
        <f>SUMIFS('Bilateral Assistance, MAIN DATA'!S:S,'Bilateral Assistance, MAIN DATA'!E:E,$C$11,'Bilateral Assistance, MAIN DATA'!B:B,B25)/1000000000</f>
        <v>0</v>
      </c>
      <c r="D25" s="115">
        <f>SUMIFS('Bilateral Assistance, MAIN DATA'!S:S,'Bilateral Assistance, MAIN DATA'!E:E,$D$11,'Bilateral Assistance, MAIN DATA'!B:B,B25)/1000000000</f>
        <v>0.1545</v>
      </c>
      <c r="E25" s="115">
        <f>SUMIFS('Bilateral Assistance, MAIN DATA'!S:S,'Bilateral Assistance, MAIN DATA'!E:E,$E$11,'Bilateral Assistance, MAIN DATA'!B:B,B25)/1000000000</f>
        <v>0.1</v>
      </c>
      <c r="F25" s="115">
        <f>SUMIFS('Bilateral Assistance, MAIN DATA'!S:S,'Bilateral Assistance, MAIN DATA'!E:E,"Swap-line",'Bilateral Assistance, MAIN DATA'!B:B,B25)/1000000000</f>
        <v>0</v>
      </c>
      <c r="G25" s="115">
        <f t="shared" si="0"/>
        <v>0.2545</v>
      </c>
    </row>
    <row r="26" spans="2:7" ht="15.9" customHeight="1" x14ac:dyDescent="0.3">
      <c r="B26" s="24" t="s">
        <v>2370</v>
      </c>
      <c r="C26" s="115">
        <f>SUMIFS('Bilateral Assistance, MAIN DATA'!S:S,'Bilateral Assistance, MAIN DATA'!E:E,$C$11,'Bilateral Assistance, MAIN DATA'!B:B,B26)/1000000000</f>
        <v>0</v>
      </c>
      <c r="D26" s="115">
        <f>SUMIFS('Bilateral Assistance, MAIN DATA'!S:S,'Bilateral Assistance, MAIN DATA'!E:E,$D$11,'Bilateral Assistance, MAIN DATA'!B:B,B26)/1000000000</f>
        <v>0.25</v>
      </c>
      <c r="E26" s="115">
        <f>SUMIFS('Bilateral Assistance, MAIN DATA'!S:S,'Bilateral Assistance, MAIN DATA'!E:E,$E$11,'Bilateral Assistance, MAIN DATA'!B:B,B26)/1000000000</f>
        <v>0</v>
      </c>
      <c r="F26" s="115">
        <f>SUMIFS('Bilateral Assistance, MAIN DATA'!S:S,'Bilateral Assistance, MAIN DATA'!E:E,"Swap-line",'Bilateral Assistance, MAIN DATA'!B:B,B26)/1000000000</f>
        <v>0</v>
      </c>
      <c r="G26" s="115">
        <f t="shared" si="0"/>
        <v>0.25</v>
      </c>
    </row>
    <row r="27" spans="2:7" ht="15.9" customHeight="1" x14ac:dyDescent="0.3">
      <c r="B27" s="13" t="s">
        <v>1025</v>
      </c>
      <c r="C27" s="115">
        <f>SUMIFS('Bilateral Assistance, MAIN DATA'!S:S,'Bilateral Assistance, MAIN DATA'!E:E,$C$11,'Bilateral Assistance, MAIN DATA'!B:B,B27)/1000000000</f>
        <v>0</v>
      </c>
      <c r="D27" s="115">
        <f>SUMIFS('Bilateral Assistance, MAIN DATA'!S:S,'Bilateral Assistance, MAIN DATA'!E:E,$D$11,'Bilateral Assistance, MAIN DATA'!B:B,B27)/1000000000</f>
        <v>8.1500000000000003E-2</v>
      </c>
      <c r="E27" s="115">
        <f>SUMIFS('Bilateral Assistance, MAIN DATA'!S:S,'Bilateral Assistance, MAIN DATA'!E:E,$E$11,'Bilateral Assistance, MAIN DATA'!B:B,B27)/1000000000</f>
        <v>0</v>
      </c>
      <c r="F27" s="115">
        <f>SUMIFS('Bilateral Assistance, MAIN DATA'!S:S,'Bilateral Assistance, MAIN DATA'!E:E,"Swap-line",'Bilateral Assistance, MAIN DATA'!B:B,B27)/1000000000</f>
        <v>0</v>
      </c>
      <c r="G27" s="115">
        <f t="shared" si="0"/>
        <v>8.1500000000000003E-2</v>
      </c>
    </row>
    <row r="28" spans="2:7" ht="15.9" customHeight="1" x14ac:dyDescent="0.3">
      <c r="B28" s="2" t="s">
        <v>2792</v>
      </c>
      <c r="C28" s="115">
        <f>SUMIFS('Bilateral Assistance, MAIN DATA'!S:S,'Bilateral Assistance, MAIN DATA'!E:E,$C$11,'Bilateral Assistance, MAIN DATA'!B:B,B28)/1000000000</f>
        <v>0</v>
      </c>
      <c r="D28" s="115">
        <f>SUMIFS('Bilateral Assistance, MAIN DATA'!S:S,'Bilateral Assistance, MAIN DATA'!E:E,$D$11,'Bilateral Assistance, MAIN DATA'!B:B,B28)/1000000000</f>
        <v>3.8633590890605932E-2</v>
      </c>
      <c r="E28" s="115">
        <f>SUMIFS('Bilateral Assistance, MAIN DATA'!S:S,'Bilateral Assistance, MAIN DATA'!E:E,$E$11,'Bilateral Assistance, MAIN DATA'!B:B,B28)/1000000000</f>
        <v>2.0333468889792598E-2</v>
      </c>
      <c r="F28" s="115">
        <f>SUMIFS('Bilateral Assistance, MAIN DATA'!S:S,'Bilateral Assistance, MAIN DATA'!E:E,"Swap-line",'Bilateral Assistance, MAIN DATA'!B:B,B28)/1000000000</f>
        <v>0</v>
      </c>
      <c r="G28" s="115">
        <f t="shared" si="0"/>
        <v>5.8967059780398526E-2</v>
      </c>
    </row>
    <row r="29" spans="2:7" ht="15.9" customHeight="1" x14ac:dyDescent="0.3">
      <c r="B29" s="24" t="s">
        <v>856</v>
      </c>
      <c r="C29" s="115">
        <f>SUMIFS('Bilateral Assistance, MAIN DATA'!S:S,'Bilateral Assistance, MAIN DATA'!E:E,$C$11,'Bilateral Assistance, MAIN DATA'!B:B,B29)/1000000000</f>
        <v>0</v>
      </c>
      <c r="D29" s="115">
        <f>SUMIFS('Bilateral Assistance, MAIN DATA'!S:S,'Bilateral Assistance, MAIN DATA'!E:E,$D$11,'Bilateral Assistance, MAIN DATA'!B:B,B29)/1000000000</f>
        <v>5.7500000000000002E-2</v>
      </c>
      <c r="E29" s="115">
        <f>SUMIFS('Bilateral Assistance, MAIN DATA'!S:S,'Bilateral Assistance, MAIN DATA'!E:E,$E$11,'Bilateral Assistance, MAIN DATA'!B:B,B29)/1000000000</f>
        <v>0</v>
      </c>
      <c r="F29" s="115">
        <f>SUMIFS('Bilateral Assistance, MAIN DATA'!S:S,'Bilateral Assistance, MAIN DATA'!E:E,"Swap-line",'Bilateral Assistance, MAIN DATA'!B:B,B29)/1000000000</f>
        <v>0</v>
      </c>
      <c r="G29" s="115">
        <f t="shared" si="0"/>
        <v>5.7500000000000002E-2</v>
      </c>
    </row>
    <row r="30" spans="2:7" ht="15.9" customHeight="1" x14ac:dyDescent="0.3">
      <c r="B30" s="24" t="s">
        <v>1919</v>
      </c>
      <c r="C30" s="115">
        <f>SUMIFS('Bilateral Assistance, MAIN DATA'!S:S,'Bilateral Assistance, MAIN DATA'!E:E,$C$11,'Bilateral Assistance, MAIN DATA'!B:B,B30)/1000000000</f>
        <v>0</v>
      </c>
      <c r="D30" s="115">
        <f>SUMIFS('Bilateral Assistance, MAIN DATA'!S:S,'Bilateral Assistance, MAIN DATA'!E:E,$D$11,'Bilateral Assistance, MAIN DATA'!B:B,B30)/1000000000</f>
        <v>2.1999999999999999E-2</v>
      </c>
      <c r="E30" s="115">
        <f>SUMIFS('Bilateral Assistance, MAIN DATA'!S:S,'Bilateral Assistance, MAIN DATA'!E:E,$E$11,'Bilateral Assistance, MAIN DATA'!B:B,B30)/1000000000</f>
        <v>0</v>
      </c>
      <c r="F30" s="115">
        <f>SUMIFS('Bilateral Assistance, MAIN DATA'!S:S,'Bilateral Assistance, MAIN DATA'!E:E,"Swap-line",'Bilateral Assistance, MAIN DATA'!B:B,B30)/1000000000</f>
        <v>0</v>
      </c>
      <c r="G30" s="115">
        <f t="shared" si="0"/>
        <v>2.1999999999999999E-2</v>
      </c>
    </row>
    <row r="31" spans="2:7" ht="15.9" customHeight="1" x14ac:dyDescent="0.3">
      <c r="B31" s="24" t="s">
        <v>1861</v>
      </c>
      <c r="C31" s="115">
        <f>SUMIFS('Bilateral Assistance, MAIN DATA'!S:S,'Bilateral Assistance, MAIN DATA'!E:E,$C$11,'Bilateral Assistance, MAIN DATA'!B:B,B31)/1000000000</f>
        <v>0.01</v>
      </c>
      <c r="D31" s="115">
        <f>SUMIFS('Bilateral Assistance, MAIN DATA'!S:S,'Bilateral Assistance, MAIN DATA'!E:E,$D$11,'Bilateral Assistance, MAIN DATA'!B:B,B31)/1000000000</f>
        <v>5.3559999999999997E-3</v>
      </c>
      <c r="E31" s="115">
        <f>SUMIFS('Bilateral Assistance, MAIN DATA'!S:S,'Bilateral Assistance, MAIN DATA'!E:E,$E$11,'Bilateral Assistance, MAIN DATA'!B:B,B31)/1000000000</f>
        <v>0</v>
      </c>
      <c r="F31" s="115">
        <f>SUMIFS('Bilateral Assistance, MAIN DATA'!S:S,'Bilateral Assistance, MAIN DATA'!E:E,"Swap-line",'Bilateral Assistance, MAIN DATA'!B:B,B31)/1000000000</f>
        <v>0</v>
      </c>
      <c r="G31" s="115">
        <f t="shared" si="0"/>
        <v>1.5356E-2</v>
      </c>
    </row>
    <row r="32" spans="2:7" ht="15.9" customHeight="1" x14ac:dyDescent="0.3">
      <c r="B32" s="24" t="s">
        <v>2840</v>
      </c>
      <c r="C32" s="115">
        <f>SUMIFS('Bilateral Assistance, MAIN DATA'!S:S,'Bilateral Assistance, MAIN DATA'!E:E,$C$11,'Bilateral Assistance, MAIN DATA'!B:B,B32)/1000000000</f>
        <v>0</v>
      </c>
      <c r="D32" s="115">
        <f>SUMIFS('Bilateral Assistance, MAIN DATA'!S:S,'Bilateral Assistance, MAIN DATA'!E:E,$D$11,'Bilateral Assistance, MAIN DATA'!B:B,B32)/1000000000</f>
        <v>1.1904761904761902E-2</v>
      </c>
      <c r="E32" s="115">
        <f>SUMIFS('Bilateral Assistance, MAIN DATA'!S:S,'Bilateral Assistance, MAIN DATA'!E:E,$E$11,'Bilateral Assistance, MAIN DATA'!B:B,B32)/1000000000</f>
        <v>0</v>
      </c>
      <c r="F32" s="115">
        <f>SUMIFS('Bilateral Assistance, MAIN DATA'!S:S,'Bilateral Assistance, MAIN DATA'!E:E,"Swap-line",'Bilateral Assistance, MAIN DATA'!B:B,B32)/1000000000</f>
        <v>0</v>
      </c>
      <c r="G32" s="115">
        <f t="shared" si="0"/>
        <v>1.1904761904761902E-2</v>
      </c>
    </row>
    <row r="33" spans="2:7" ht="15.9" customHeight="1" x14ac:dyDescent="0.3">
      <c r="B33" s="13" t="s">
        <v>413</v>
      </c>
      <c r="C33" s="115">
        <f>SUMIFS('Bilateral Assistance, MAIN DATA'!S:S,'Bilateral Assistance, MAIN DATA'!E:E,$C$11,'Bilateral Assistance, MAIN DATA'!B:B,B33)/1000000000</f>
        <v>0</v>
      </c>
      <c r="D33" s="115">
        <f>SUMIFS('Bilateral Assistance, MAIN DATA'!S:S,'Bilateral Assistance, MAIN DATA'!E:E,$D$11,'Bilateral Assistance, MAIN DATA'!B:B,B33)/1000000000</f>
        <v>4.96E-3</v>
      </c>
      <c r="E33" s="115">
        <f>SUMIFS('Bilateral Assistance, MAIN DATA'!S:S,'Bilateral Assistance, MAIN DATA'!E:E,$E$11,'Bilateral Assistance, MAIN DATA'!B:B,B33)/1000000000</f>
        <v>0</v>
      </c>
      <c r="F33" s="115">
        <f>SUMIFS('Bilateral Assistance, MAIN DATA'!S:S,'Bilateral Assistance, MAIN DATA'!E:E,"Swap-line",'Bilateral Assistance, MAIN DATA'!B:B,B33)/1000000000</f>
        <v>0</v>
      </c>
      <c r="G33" s="115">
        <f t="shared" si="0"/>
        <v>4.96E-3</v>
      </c>
    </row>
    <row r="34" spans="2:7" ht="15.9" customHeight="1" x14ac:dyDescent="0.3">
      <c r="B34" s="24" t="s">
        <v>716</v>
      </c>
      <c r="C34" s="115">
        <f>SUMIFS('Bilateral Assistance, MAIN DATA'!S:S,'Bilateral Assistance, MAIN DATA'!E:E,$C$11,'Bilateral Assistance, MAIN DATA'!B:B,B34)/1000000000</f>
        <v>0</v>
      </c>
      <c r="D34" s="115">
        <f>SUMIFS('Bilateral Assistance, MAIN DATA'!S:S,'Bilateral Assistance, MAIN DATA'!E:E,$D$11,'Bilateral Assistance, MAIN DATA'!B:B,B34)/1000000000</f>
        <v>4.1694462975316871E-4</v>
      </c>
      <c r="E34" s="115">
        <f>SUMIFS('Bilateral Assistance, MAIN DATA'!S:S,'Bilateral Assistance, MAIN DATA'!E:E,$E$11,'Bilateral Assistance, MAIN DATA'!B:B,B34)/1000000000</f>
        <v>0</v>
      </c>
      <c r="F34" s="115">
        <f>SUMIFS('Bilateral Assistance, MAIN DATA'!S:S,'Bilateral Assistance, MAIN DATA'!E:E,"Swap-line",'Bilateral Assistance, MAIN DATA'!B:B,B34)/1000000000</f>
        <v>0</v>
      </c>
      <c r="G34" s="115">
        <f t="shared" si="0"/>
        <v>4.1694462975316871E-4</v>
      </c>
    </row>
    <row r="35" spans="2:7" ht="15.9" customHeight="1" x14ac:dyDescent="0.3">
      <c r="B35" s="24" t="s">
        <v>2547</v>
      </c>
      <c r="C35" s="115">
        <f>SUMIFS('Bilateral Assistance, MAIN DATA'!S:S,'Bilateral Assistance, MAIN DATA'!E:E,$C$11,'Bilateral Assistance, MAIN DATA'!B:B,B35)/1000000000</f>
        <v>0</v>
      </c>
      <c r="D35" s="115">
        <f>SUMIFS('Bilateral Assistance, MAIN DATA'!S:S,'Bilateral Assistance, MAIN DATA'!E:E,$D$11,'Bilateral Assistance, MAIN DATA'!B:B,B35)/1000000000</f>
        <v>1E-4</v>
      </c>
      <c r="E35" s="115">
        <f>SUMIFS('Bilateral Assistance, MAIN DATA'!S:S,'Bilateral Assistance, MAIN DATA'!E:E,$E$11,'Bilateral Assistance, MAIN DATA'!B:B,B35)/1000000000</f>
        <v>0</v>
      </c>
      <c r="F35" s="115">
        <f>SUMIFS('Bilateral Assistance, MAIN DATA'!S:S,'Bilateral Assistance, MAIN DATA'!E:E,"Swap-line",'Bilateral Assistance, MAIN DATA'!B:B,B35)/1000000000</f>
        <v>0</v>
      </c>
      <c r="G35" s="115">
        <f t="shared" si="0"/>
        <v>1E-4</v>
      </c>
    </row>
    <row r="36" spans="2:7" ht="15.9" customHeight="1" x14ac:dyDescent="0.3">
      <c r="B36" s="24" t="s">
        <v>255</v>
      </c>
      <c r="C36" s="115">
        <f>SUMIFS('Bilateral Assistance, MAIN DATA'!S:S,'Bilateral Assistance, MAIN DATA'!E:E,$C$11,'Bilateral Assistance, MAIN DATA'!B:B,B36)/1000000000</f>
        <v>0</v>
      </c>
      <c r="D36" s="115">
        <f>SUMIFS('Bilateral Assistance, MAIN DATA'!S:S,'Bilateral Assistance, MAIN DATA'!E:E,$D$11,'Bilateral Assistance, MAIN DATA'!B:B,B36)/1000000000</f>
        <v>0</v>
      </c>
      <c r="E36" s="115">
        <f>SUMIFS('Bilateral Assistance, MAIN DATA'!S:S,'Bilateral Assistance, MAIN DATA'!E:E,$E$11,'Bilateral Assistance, MAIN DATA'!B:B,B36)/1000000000</f>
        <v>0</v>
      </c>
      <c r="F36" s="115">
        <f>SUMIFS('Bilateral Assistance, MAIN DATA'!S:S,'Bilateral Assistance, MAIN DATA'!E:E,"Swap-line",'Bilateral Assistance, MAIN DATA'!B:B,B36)/1000000000</f>
        <v>0</v>
      </c>
      <c r="G36" s="115">
        <f t="shared" si="0"/>
        <v>0</v>
      </c>
    </row>
    <row r="37" spans="2:7" ht="15.9" customHeight="1" x14ac:dyDescent="0.3">
      <c r="B37" s="24" t="s">
        <v>937</v>
      </c>
      <c r="C37" s="115">
        <f>SUMIFS('Bilateral Assistance, MAIN DATA'!S:S,'Bilateral Assistance, MAIN DATA'!E:E,$C$11,'Bilateral Assistance, MAIN DATA'!B:B,B37)/1000000000</f>
        <v>0</v>
      </c>
      <c r="D37" s="115">
        <f>SUMIFS('Bilateral Assistance, MAIN DATA'!S:S,'Bilateral Assistance, MAIN DATA'!E:E,$D$11,'Bilateral Assistance, MAIN DATA'!B:B,B37)/1000000000</f>
        <v>0</v>
      </c>
      <c r="E37" s="115">
        <f>SUMIFS('Bilateral Assistance, MAIN DATA'!S:S,'Bilateral Assistance, MAIN DATA'!E:E,$E$11,'Bilateral Assistance, MAIN DATA'!B:B,B37)/1000000000</f>
        <v>0</v>
      </c>
      <c r="F37" s="115">
        <f>SUMIFS('Bilateral Assistance, MAIN DATA'!S:S,'Bilateral Assistance, MAIN DATA'!E:E,"Swap-line",'Bilateral Assistance, MAIN DATA'!B:B,B37)/1000000000</f>
        <v>0</v>
      </c>
      <c r="G37" s="115">
        <f t="shared" si="0"/>
        <v>0</v>
      </c>
    </row>
    <row r="38" spans="2:7" ht="15.9" customHeight="1" x14ac:dyDescent="0.3">
      <c r="B38" s="24" t="s">
        <v>480</v>
      </c>
      <c r="C38" s="115">
        <f>SUMIFS('Bilateral Assistance, MAIN DATA'!S:S,'Bilateral Assistance, MAIN DATA'!E:E,$C$11,'Bilateral Assistance, MAIN DATA'!B:B,B38)/1000000000</f>
        <v>0</v>
      </c>
      <c r="D38" s="115">
        <f>SUMIFS('Bilateral Assistance, MAIN DATA'!S:S,'Bilateral Assistance, MAIN DATA'!E:E,$D$11,'Bilateral Assistance, MAIN DATA'!B:B,B38)/1000000000</f>
        <v>0</v>
      </c>
      <c r="E38" s="115">
        <f>SUMIFS('Bilateral Assistance, MAIN DATA'!S:S,'Bilateral Assistance, MAIN DATA'!E:E,$E$11,'Bilateral Assistance, MAIN DATA'!B:B,B38)/1000000000</f>
        <v>0</v>
      </c>
      <c r="F38" s="115">
        <f>SUMIFS('Bilateral Assistance, MAIN DATA'!S:S,'Bilateral Assistance, MAIN DATA'!E:E,"Swap-line",'Bilateral Assistance, MAIN DATA'!B:B,B38)/1000000000</f>
        <v>0</v>
      </c>
      <c r="G38" s="115">
        <f t="shared" si="0"/>
        <v>0</v>
      </c>
    </row>
    <row r="39" spans="2:7" ht="15.9" customHeight="1" x14ac:dyDescent="0.3">
      <c r="B39" s="24" t="s">
        <v>2489</v>
      </c>
      <c r="C39" s="115">
        <f>SUMIFS('Bilateral Assistance, MAIN DATA'!S:S,'Bilateral Assistance, MAIN DATA'!E:E,$C$11,'Bilateral Assistance, MAIN DATA'!B:B,B39)/1000000000</f>
        <v>0</v>
      </c>
      <c r="D39" s="115">
        <f>SUMIFS('Bilateral Assistance, MAIN DATA'!S:S,'Bilateral Assistance, MAIN DATA'!E:E,$D$11,'Bilateral Assistance, MAIN DATA'!B:B,B39)/1000000000</f>
        <v>0</v>
      </c>
      <c r="E39" s="115">
        <f>SUMIFS('Bilateral Assistance, MAIN DATA'!S:S,'Bilateral Assistance, MAIN DATA'!E:E,$E$11,'Bilateral Assistance, MAIN DATA'!B:B,B39)/1000000000</f>
        <v>0</v>
      </c>
      <c r="F39" s="115">
        <f>SUMIFS('Bilateral Assistance, MAIN DATA'!S:S,'Bilateral Assistance, MAIN DATA'!E:E,"Swap-line",'Bilateral Assistance, MAIN DATA'!B:B,B39)/1000000000</f>
        <v>0</v>
      </c>
      <c r="G39" s="115">
        <f t="shared" si="0"/>
        <v>0</v>
      </c>
    </row>
    <row r="40" spans="2:7" ht="15.9" customHeight="1" x14ac:dyDescent="0.3">
      <c r="B40" s="24" t="s">
        <v>1606</v>
      </c>
      <c r="C40" s="115">
        <f>SUMIFS('Bilateral Assistance, MAIN DATA'!S:S,'Bilateral Assistance, MAIN DATA'!E:E,$C$11,'Bilateral Assistance, MAIN DATA'!B:B,B40)/1000000000</f>
        <v>0</v>
      </c>
      <c r="D40" s="115">
        <f>SUMIFS('Bilateral Assistance, MAIN DATA'!S:S,'Bilateral Assistance, MAIN DATA'!E:E,$D$11,'Bilateral Assistance, MAIN DATA'!B:B,B40)/1000000000</f>
        <v>0</v>
      </c>
      <c r="E40" s="115">
        <f>SUMIFS('Bilateral Assistance, MAIN DATA'!S:S,'Bilateral Assistance, MAIN DATA'!E:E,$E$11,'Bilateral Assistance, MAIN DATA'!B:B,B40)/1000000000</f>
        <v>0</v>
      </c>
      <c r="F40" s="115">
        <f>SUMIFS('Bilateral Assistance, MAIN DATA'!S:S,'Bilateral Assistance, MAIN DATA'!E:E,"Swap-line",'Bilateral Assistance, MAIN DATA'!B:B,B40)/1000000000</f>
        <v>0</v>
      </c>
      <c r="G40" s="115">
        <f t="shared" si="0"/>
        <v>0</v>
      </c>
    </row>
    <row r="41" spans="2:7" ht="15.9" customHeight="1" x14ac:dyDescent="0.3">
      <c r="B41" s="2" t="s">
        <v>2024</v>
      </c>
      <c r="C41" s="115">
        <f>SUMIFS('Bilateral Assistance, MAIN DATA'!S:S,'Bilateral Assistance, MAIN DATA'!E:E,$C$11,'Bilateral Assistance, MAIN DATA'!B:B,B41)/1000000000</f>
        <v>0</v>
      </c>
      <c r="D41" s="115">
        <f>SUMIFS('Bilateral Assistance, MAIN DATA'!S:S,'Bilateral Assistance, MAIN DATA'!E:E,$D$11,'Bilateral Assistance, MAIN DATA'!B:B,B41)/1000000000</f>
        <v>0</v>
      </c>
      <c r="E41" s="115">
        <f>SUMIFS('Bilateral Assistance, MAIN DATA'!S:S,'Bilateral Assistance, MAIN DATA'!E:E,$E$11,'Bilateral Assistance, MAIN DATA'!B:B,B41)/1000000000</f>
        <v>0</v>
      </c>
      <c r="F41" s="115">
        <f>SUMIFS('Bilateral Assistance, MAIN DATA'!S:S,'Bilateral Assistance, MAIN DATA'!E:E,"Swap-line",'Bilateral Assistance, MAIN DATA'!B:B,B41)/1000000000</f>
        <v>0</v>
      </c>
      <c r="G41" s="115">
        <f t="shared" si="0"/>
        <v>0</v>
      </c>
    </row>
    <row r="42" spans="2:7" ht="15.9" customHeight="1" x14ac:dyDescent="0.3">
      <c r="B42" s="24" t="s">
        <v>2820</v>
      </c>
      <c r="C42" s="115">
        <f>SUMIFS('Bilateral Assistance, MAIN DATA'!S:S,'Bilateral Assistance, MAIN DATA'!E:E,$C$11,'Bilateral Assistance, MAIN DATA'!B:B,B42)/1000000000</f>
        <v>0</v>
      </c>
      <c r="D42" s="115">
        <f>SUMIFS('Bilateral Assistance, MAIN DATA'!S:S,'Bilateral Assistance, MAIN DATA'!E:E,$D$11,'Bilateral Assistance, MAIN DATA'!B:B,B42)/1000000000</f>
        <v>0</v>
      </c>
      <c r="E42" s="115">
        <f>SUMIFS('Bilateral Assistance, MAIN DATA'!S:S,'Bilateral Assistance, MAIN DATA'!E:E,$E$11,'Bilateral Assistance, MAIN DATA'!B:B,B42)/1000000000</f>
        <v>0</v>
      </c>
      <c r="F42" s="115">
        <f>SUMIFS('Bilateral Assistance, MAIN DATA'!S:S,'Bilateral Assistance, MAIN DATA'!E:E,"Swap-line",'Bilateral Assistance, MAIN DATA'!B:B,B42)/1000000000</f>
        <v>0</v>
      </c>
      <c r="G42" s="115">
        <f t="shared" si="0"/>
        <v>0</v>
      </c>
    </row>
    <row r="43" spans="2:7" ht="15.9" customHeight="1" x14ac:dyDescent="0.3">
      <c r="B43" s="24" t="s">
        <v>664</v>
      </c>
      <c r="C43" s="115">
        <f>SUMIFS('Bilateral Assistance, MAIN DATA'!S:S,'Bilateral Assistance, MAIN DATA'!E:E,$C$11,'Bilateral Assistance, MAIN DATA'!B:B,B43)/1000000000</f>
        <v>0</v>
      </c>
      <c r="D43" s="115">
        <f>SUMIFS('Bilateral Assistance, MAIN DATA'!S:S,'Bilateral Assistance, MAIN DATA'!E:E,$D$11,'Bilateral Assistance, MAIN DATA'!B:B,B43)/1000000000</f>
        <v>0</v>
      </c>
      <c r="E43" s="115">
        <f>SUMIFS('Bilateral Assistance, MAIN DATA'!S:S,'Bilateral Assistance, MAIN DATA'!E:E,$E$11,'Bilateral Assistance, MAIN DATA'!B:B,B43)/1000000000</f>
        <v>0</v>
      </c>
      <c r="F43" s="115">
        <f>SUMIFS('Bilateral Assistance, MAIN DATA'!S:S,'Bilateral Assistance, MAIN DATA'!E:E,"Swap-line",'Bilateral Assistance, MAIN DATA'!B:B,B43)/1000000000</f>
        <v>0</v>
      </c>
      <c r="G43" s="115">
        <f t="shared" si="0"/>
        <v>0</v>
      </c>
    </row>
    <row r="44" spans="2:7" ht="15.9" customHeight="1" x14ac:dyDescent="0.3">
      <c r="B44" s="24" t="s">
        <v>2168</v>
      </c>
      <c r="C44" s="115">
        <f>SUMIFS('Bilateral Assistance, MAIN DATA'!S:S,'Bilateral Assistance, MAIN DATA'!E:E,$C$11,'Bilateral Assistance, MAIN DATA'!B:B,B44)/1000000000</f>
        <v>0</v>
      </c>
      <c r="D44" s="115">
        <f>SUMIFS('Bilateral Assistance, MAIN DATA'!S:S,'Bilateral Assistance, MAIN DATA'!E:E,$D$11,'Bilateral Assistance, MAIN DATA'!B:B,B44)/1000000000</f>
        <v>0</v>
      </c>
      <c r="E44" s="115">
        <f>SUMIFS('Bilateral Assistance, MAIN DATA'!S:S,'Bilateral Assistance, MAIN DATA'!E:E,$E$11,'Bilateral Assistance, MAIN DATA'!B:B,B44)/1000000000</f>
        <v>0</v>
      </c>
      <c r="F44" s="115">
        <f>SUMIFS('Bilateral Assistance, MAIN DATA'!S:S,'Bilateral Assistance, MAIN DATA'!E:E,"Swap-line",'Bilateral Assistance, MAIN DATA'!B:B,B44)/1000000000</f>
        <v>0</v>
      </c>
      <c r="G44" s="115">
        <f t="shared" si="0"/>
        <v>0</v>
      </c>
    </row>
    <row r="45" spans="2:7" ht="15.9" customHeight="1" x14ac:dyDescent="0.3">
      <c r="B45" s="24" t="s">
        <v>2424</v>
      </c>
      <c r="C45" s="115">
        <f>SUMIFS('Bilateral Assistance, MAIN DATA'!S:S,'Bilateral Assistance, MAIN DATA'!E:E,$C$11,'Bilateral Assistance, MAIN DATA'!B:B,B45)/1000000000</f>
        <v>0</v>
      </c>
      <c r="D45" s="115">
        <f>SUMIFS('Bilateral Assistance, MAIN DATA'!S:S,'Bilateral Assistance, MAIN DATA'!E:E,$D$11,'Bilateral Assistance, MAIN DATA'!B:B,B45)/1000000000</f>
        <v>0</v>
      </c>
      <c r="E45" s="115">
        <f>SUMIFS('Bilateral Assistance, MAIN DATA'!S:S,'Bilateral Assistance, MAIN DATA'!E:E,$E$11,'Bilateral Assistance, MAIN DATA'!B:B,B45)/1000000000</f>
        <v>0</v>
      </c>
      <c r="F45" s="115">
        <f>SUMIFS('Bilateral Assistance, MAIN DATA'!S:S,'Bilateral Assistance, MAIN DATA'!E:E,"Swap-line",'Bilateral Assistance, MAIN DATA'!B:B,B45)/1000000000</f>
        <v>0</v>
      </c>
      <c r="G45" s="115">
        <f t="shared" si="0"/>
        <v>0</v>
      </c>
    </row>
    <row r="46" spans="2:7" ht="15.9" customHeight="1" x14ac:dyDescent="0.3">
      <c r="B46" s="24" t="s">
        <v>2460</v>
      </c>
      <c r="C46" s="115">
        <f>SUMIFS('Bilateral Assistance, MAIN DATA'!S:S,'Bilateral Assistance, MAIN DATA'!E:E,$C$11,'Bilateral Assistance, MAIN DATA'!B:B,B46)/1000000000</f>
        <v>0</v>
      </c>
      <c r="D46" s="115">
        <f>SUMIFS('Bilateral Assistance, MAIN DATA'!S:S,'Bilateral Assistance, MAIN DATA'!E:E,$D$11,'Bilateral Assistance, MAIN DATA'!B:B,B46)/1000000000</f>
        <v>0</v>
      </c>
      <c r="E46" s="115">
        <f>SUMIFS('Bilateral Assistance, MAIN DATA'!S:S,'Bilateral Assistance, MAIN DATA'!E:E,$E$11,'Bilateral Assistance, MAIN DATA'!B:B,B46)/1000000000</f>
        <v>0</v>
      </c>
      <c r="F46" s="115">
        <f>SUMIFS('Bilateral Assistance, MAIN DATA'!S:S,'Bilateral Assistance, MAIN DATA'!E:E,"Swap-line",'Bilateral Assistance, MAIN DATA'!B:B,B46)/1000000000</f>
        <v>0</v>
      </c>
      <c r="G46" s="115">
        <f t="shared" si="0"/>
        <v>0</v>
      </c>
    </row>
    <row r="47" spans="2:7" ht="15.9" customHeight="1" x14ac:dyDescent="0.3">
      <c r="B47" s="2" t="s">
        <v>1701</v>
      </c>
      <c r="C47" s="115">
        <f>SUMIFS('Bilateral Assistance, MAIN DATA'!S:S,'Bilateral Assistance, MAIN DATA'!E:E,$C$11,'Bilateral Assistance, MAIN DATA'!B:B,B47)/1000000000</f>
        <v>0</v>
      </c>
      <c r="D47" s="115">
        <f>SUMIFS('Bilateral Assistance, MAIN DATA'!S:S,'Bilateral Assistance, MAIN DATA'!E:E,$D$11,'Bilateral Assistance, MAIN DATA'!B:B,B47)/1000000000</f>
        <v>0</v>
      </c>
      <c r="E47" s="115">
        <f>SUMIFS('Bilateral Assistance, MAIN DATA'!S:S,'Bilateral Assistance, MAIN DATA'!E:E,$E$11,'Bilateral Assistance, MAIN DATA'!B:B,B47)/1000000000</f>
        <v>0</v>
      </c>
      <c r="F47" s="115">
        <f>SUMIFS('Bilateral Assistance, MAIN DATA'!S:S,'Bilateral Assistance, MAIN DATA'!E:E,"Swap-line",'Bilateral Assistance, MAIN DATA'!B:B,B47)/1000000000</f>
        <v>0</v>
      </c>
      <c r="G47" s="115">
        <f t="shared" si="0"/>
        <v>0</v>
      </c>
    </row>
    <row r="48" spans="2:7" ht="15.9" customHeight="1" x14ac:dyDescent="0.3">
      <c r="B48" s="24" t="s">
        <v>1646</v>
      </c>
      <c r="C48" s="115">
        <f>SUMIFS('Bilateral Assistance, MAIN DATA'!S:S,'Bilateral Assistance, MAIN DATA'!E:E,$C$11,'Bilateral Assistance, MAIN DATA'!B:B,B48)/1000000000</f>
        <v>0</v>
      </c>
      <c r="D48" s="115">
        <f>SUMIFS('Bilateral Assistance, MAIN DATA'!S:S,'Bilateral Assistance, MAIN DATA'!E:E,$D$11,'Bilateral Assistance, MAIN DATA'!B:B,B48)/1000000000</f>
        <v>0</v>
      </c>
      <c r="E48" s="115">
        <f>SUMIFS('Bilateral Assistance, MAIN DATA'!S:S,'Bilateral Assistance, MAIN DATA'!E:E,$E$11,'Bilateral Assistance, MAIN DATA'!B:B,B48)/1000000000</f>
        <v>0</v>
      </c>
      <c r="F48" s="115">
        <f>SUMIFS('Bilateral Assistance, MAIN DATA'!S:S,'Bilateral Assistance, MAIN DATA'!E:E,"Swap-line",'Bilateral Assistance, MAIN DATA'!B:B,B48)/1000000000</f>
        <v>0</v>
      </c>
      <c r="G48" s="115">
        <f t="shared" si="0"/>
        <v>0</v>
      </c>
    </row>
    <row r="49" spans="2:26" ht="15.9" customHeight="1" x14ac:dyDescent="0.3">
      <c r="B49" s="2" t="s">
        <v>696</v>
      </c>
      <c r="C49" s="115">
        <f>SUMIFS('Bilateral Assistance, MAIN DATA'!S:S,'Bilateral Assistance, MAIN DATA'!E:E,$C$11,'Bilateral Assistance, MAIN DATA'!B:B,B49)/1000000000</f>
        <v>0</v>
      </c>
      <c r="D49" s="115">
        <f>SUMIFS('Bilateral Assistance, MAIN DATA'!S:S,'Bilateral Assistance, MAIN DATA'!E:E,$D$11,'Bilateral Assistance, MAIN DATA'!B:B,B49)/1000000000</f>
        <v>0</v>
      </c>
      <c r="E49" s="115">
        <f>SUMIFS('Bilateral Assistance, MAIN DATA'!S:S,'Bilateral Assistance, MAIN DATA'!E:E,$E$11,'Bilateral Assistance, MAIN DATA'!B:B,B49)/1000000000</f>
        <v>0</v>
      </c>
      <c r="F49" s="115">
        <f>SUMIFS('Bilateral Assistance, MAIN DATA'!S:S,'Bilateral Assistance, MAIN DATA'!E:E,"Swap-line",'Bilateral Assistance, MAIN DATA'!B:B,B49)/1000000000</f>
        <v>0</v>
      </c>
      <c r="G49" s="115">
        <f t="shared" si="0"/>
        <v>0</v>
      </c>
    </row>
    <row r="50" spans="2:26" ht="15.9" customHeight="1" x14ac:dyDescent="0.3">
      <c r="B50" s="2" t="s">
        <v>656</v>
      </c>
      <c r="C50" s="115">
        <f>SUMIFS('Bilateral Assistance, MAIN DATA'!S:S,'Bilateral Assistance, MAIN DATA'!E:E,$C$11,'Bilateral Assistance, MAIN DATA'!B:B,B50)/1000000000</f>
        <v>0</v>
      </c>
      <c r="D50" s="115">
        <f>SUMIFS('Bilateral Assistance, MAIN DATA'!S:S,'Bilateral Assistance, MAIN DATA'!E:E,$D$11,'Bilateral Assistance, MAIN DATA'!B:B,B50)/1000000000</f>
        <v>0</v>
      </c>
      <c r="E50" s="115">
        <f>SUMIFS('Bilateral Assistance, MAIN DATA'!S:S,'Bilateral Assistance, MAIN DATA'!E:E,$E$11,'Bilateral Assistance, MAIN DATA'!B:B,B50)/1000000000</f>
        <v>0</v>
      </c>
      <c r="F50" s="115">
        <f>SUMIFS('Bilateral Assistance, MAIN DATA'!S:S,'Bilateral Assistance, MAIN DATA'!E:E,"Swap-line",'Bilateral Assistance, MAIN DATA'!B:B,B50)/1000000000</f>
        <v>0</v>
      </c>
      <c r="G50" s="115">
        <f t="shared" si="0"/>
        <v>0</v>
      </c>
    </row>
    <row r="51" spans="2:26" ht="15.9" customHeight="1" x14ac:dyDescent="0.3">
      <c r="B51" s="13" t="s">
        <v>1687</v>
      </c>
      <c r="C51" s="115">
        <f>SUMIFS('Bilateral Assistance, MAIN DATA'!S:S,'Bilateral Assistance, MAIN DATA'!E:E,$C$11,'Bilateral Assistance, MAIN DATA'!B:B,B51)/1000000000</f>
        <v>0</v>
      </c>
      <c r="D51" s="115">
        <f>SUMIFS('Bilateral Assistance, MAIN DATA'!S:S,'Bilateral Assistance, MAIN DATA'!E:E,$D$11,'Bilateral Assistance, MAIN DATA'!B:B,B51)/1000000000</f>
        <v>0</v>
      </c>
      <c r="E51" s="115">
        <f>SUMIFS('Bilateral Assistance, MAIN DATA'!S:S,'Bilateral Assistance, MAIN DATA'!E:E,$E$11,'Bilateral Assistance, MAIN DATA'!B:B,B51)/1000000000</f>
        <v>0</v>
      </c>
      <c r="F51" s="115">
        <f>SUMIFS('Bilateral Assistance, MAIN DATA'!S:S,'Bilateral Assistance, MAIN DATA'!E:E,"Swap-line",'Bilateral Assistance, MAIN DATA'!B:B,B51)/1000000000</f>
        <v>0</v>
      </c>
      <c r="G51" s="115">
        <f t="shared" si="0"/>
        <v>0</v>
      </c>
    </row>
    <row r="52" spans="2:26" ht="15.9" customHeight="1" x14ac:dyDescent="0.3">
      <c r="B52" s="2" t="s">
        <v>2066</v>
      </c>
      <c r="C52" s="115">
        <f>SUMIFS('Bilateral Assistance, MAIN DATA'!S:S,'Bilateral Assistance, MAIN DATA'!E:E,$C$11,'Bilateral Assistance, MAIN DATA'!B:B,B52)/1000000000</f>
        <v>0</v>
      </c>
      <c r="D52" s="115">
        <f>SUMIFS('Bilateral Assistance, MAIN DATA'!S:S,'Bilateral Assistance, MAIN DATA'!E:E,$D$11,'Bilateral Assistance, MAIN DATA'!B:B,B52)/1000000000</f>
        <v>0</v>
      </c>
      <c r="E52" s="115">
        <f>SUMIFS('Bilateral Assistance, MAIN DATA'!S:S,'Bilateral Assistance, MAIN DATA'!E:E,$E$11,'Bilateral Assistance, MAIN DATA'!B:B,B52)/1000000000</f>
        <v>0</v>
      </c>
      <c r="F52" s="115">
        <f>SUMIFS('Bilateral Assistance, MAIN DATA'!S:S,'Bilateral Assistance, MAIN DATA'!E:E,"Swap-line",'Bilateral Assistance, MAIN DATA'!B:B,B52)/1000000000</f>
        <v>0</v>
      </c>
      <c r="G52" s="115">
        <f t="shared" si="0"/>
        <v>0</v>
      </c>
      <c r="L52" s="58"/>
      <c r="M52" s="58"/>
      <c r="N52" s="58"/>
      <c r="O52" s="58"/>
      <c r="P52" s="58"/>
      <c r="Q52" s="58"/>
      <c r="R52" s="58"/>
      <c r="S52" s="58"/>
      <c r="T52" s="58"/>
      <c r="U52" s="58"/>
      <c r="V52" s="58"/>
      <c r="W52" s="58"/>
      <c r="X52" s="58"/>
      <c r="Y52" s="58"/>
      <c r="Z52" s="58"/>
    </row>
    <row r="53" spans="2:26" ht="15.9" customHeight="1" x14ac:dyDescent="0.3">
      <c r="L53" s="58"/>
      <c r="M53" s="58"/>
      <c r="N53" s="58"/>
      <c r="O53" s="58"/>
      <c r="P53" s="58"/>
      <c r="Q53" s="58"/>
      <c r="R53" s="58"/>
      <c r="S53" s="58"/>
      <c r="T53" s="58"/>
      <c r="U53" s="58"/>
      <c r="V53" s="58"/>
      <c r="W53" s="58"/>
      <c r="X53" s="58"/>
      <c r="Y53" s="58"/>
      <c r="Z53" s="58"/>
    </row>
    <row r="54" spans="2:26" ht="15.9" customHeight="1" x14ac:dyDescent="0.3">
      <c r="B54" s="434" t="s">
        <v>3517</v>
      </c>
      <c r="C54" s="435">
        <f>SUM(C12:C52)</f>
        <v>34.439354404092938</v>
      </c>
      <c r="D54" s="435">
        <f t="shared" ref="D54:G54" si="1">SUM(D12:D52)</f>
        <v>29.784632528369102</v>
      </c>
      <c r="E54" s="435">
        <f t="shared" si="1"/>
        <v>2.5912601691241477</v>
      </c>
      <c r="F54" s="435">
        <f t="shared" si="1"/>
        <v>0.95238095238095233</v>
      </c>
      <c r="G54" s="435">
        <f t="shared" si="1"/>
        <v>67.767628053967144</v>
      </c>
      <c r="L54" s="58"/>
      <c r="M54" s="58"/>
      <c r="N54" s="58"/>
      <c r="O54" s="58"/>
      <c r="P54" s="58"/>
      <c r="Q54" s="58"/>
      <c r="R54" s="58"/>
      <c r="S54" s="58"/>
      <c r="T54" s="58"/>
      <c r="U54" s="58"/>
      <c r="V54" s="58"/>
      <c r="W54" s="58"/>
      <c r="X54" s="58"/>
      <c r="Y54" s="58"/>
      <c r="Z54" s="58"/>
    </row>
    <row r="59" spans="2:26" ht="15.9" customHeight="1" x14ac:dyDescent="0.3">
      <c r="D59" s="115"/>
    </row>
  </sheetData>
  <sortState ref="B12:G52">
    <sortCondition descending="1" ref="G12:G52"/>
  </sortState>
  <mergeCells count="1">
    <mergeCell ref="B4:H9"/>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59999389629810485"/>
  </sheetPr>
  <dimension ref="A1:X161"/>
  <sheetViews>
    <sheetView showGridLines="0" zoomScaleNormal="100" workbookViewId="0"/>
  </sheetViews>
  <sheetFormatPr baseColWidth="10" defaultColWidth="8.59765625" defaultRowHeight="15.9" customHeight="1" x14ac:dyDescent="0.3"/>
  <cols>
    <col min="1" max="1" width="8.59765625" style="2" customWidth="1"/>
    <col min="2" max="2" width="25.5" style="13" customWidth="1"/>
    <col min="3" max="3" width="42.8984375" style="115" bestFit="1" customWidth="1"/>
    <col min="4" max="4" width="15.59765625" style="115" bestFit="1" customWidth="1"/>
    <col min="5" max="5" width="16.59765625" style="115" bestFit="1" customWidth="1"/>
    <col min="6" max="6" width="17" style="13" bestFit="1" customWidth="1"/>
    <col min="7" max="7" width="13.59765625" style="13" customWidth="1"/>
    <col min="8" max="16384" width="8.59765625" style="13"/>
  </cols>
  <sheetData>
    <row r="1" spans="1:24" s="39" customFormat="1" ht="15.9" customHeight="1" x14ac:dyDescent="0.3">
      <c r="A1" s="35" t="s">
        <v>27</v>
      </c>
      <c r="B1" s="39" t="s">
        <v>27</v>
      </c>
      <c r="C1" s="148"/>
      <c r="D1" s="148"/>
      <c r="E1" s="291" t="s">
        <v>27</v>
      </c>
      <c r="F1" s="148"/>
      <c r="G1" s="35" t="s">
        <v>27</v>
      </c>
      <c r="H1" s="35" t="s">
        <v>27</v>
      </c>
      <c r="I1" s="35" t="s">
        <v>27</v>
      </c>
      <c r="J1" s="35" t="s">
        <v>27</v>
      </c>
      <c r="K1" s="35" t="s">
        <v>27</v>
      </c>
      <c r="L1" s="35" t="s">
        <v>27</v>
      </c>
      <c r="M1" s="35" t="s">
        <v>27</v>
      </c>
      <c r="N1" s="35" t="s">
        <v>27</v>
      </c>
      <c r="O1" s="35" t="s">
        <v>27</v>
      </c>
      <c r="P1" s="35" t="s">
        <v>27</v>
      </c>
      <c r="Q1" s="35" t="s">
        <v>27</v>
      </c>
      <c r="R1" s="35" t="s">
        <v>27</v>
      </c>
      <c r="S1" s="35" t="s">
        <v>27</v>
      </c>
      <c r="T1" s="35" t="s">
        <v>27</v>
      </c>
      <c r="U1" s="35" t="s">
        <v>27</v>
      </c>
      <c r="V1" s="35" t="s">
        <v>27</v>
      </c>
      <c r="W1" s="35" t="s">
        <v>27</v>
      </c>
      <c r="X1" s="35" t="s">
        <v>27</v>
      </c>
    </row>
    <row r="2" spans="1:24" s="643" customFormat="1" ht="24.75" customHeight="1" x14ac:dyDescent="0.3">
      <c r="A2" s="639" t="s">
        <v>27</v>
      </c>
      <c r="B2" s="439" t="s">
        <v>3574</v>
      </c>
      <c r="C2" s="642"/>
      <c r="D2" s="642"/>
      <c r="E2" s="645"/>
      <c r="F2" s="642"/>
      <c r="P2" s="643" t="s">
        <v>27</v>
      </c>
      <c r="Q2" s="643" t="s">
        <v>27</v>
      </c>
      <c r="R2" s="643" t="s">
        <v>27</v>
      </c>
      <c r="S2" s="643" t="s">
        <v>27</v>
      </c>
      <c r="T2" s="643" t="s">
        <v>27</v>
      </c>
      <c r="U2" s="643" t="s">
        <v>27</v>
      </c>
      <c r="V2" s="643" t="s">
        <v>27</v>
      </c>
      <c r="W2" s="643" t="s">
        <v>27</v>
      </c>
      <c r="X2" s="643" t="s">
        <v>27</v>
      </c>
    </row>
    <row r="3" spans="1:24" s="43" customFormat="1" ht="15.9" customHeight="1" x14ac:dyDescent="0.35">
      <c r="A3" s="35"/>
      <c r="B3" s="42"/>
      <c r="C3" s="147"/>
      <c r="D3" s="147"/>
      <c r="E3" s="496"/>
      <c r="F3" s="147"/>
      <c r="G3" s="167"/>
    </row>
    <row r="4" spans="1:24" s="43" customFormat="1" ht="15.9" customHeight="1" x14ac:dyDescent="0.3">
      <c r="A4" s="35"/>
      <c r="B4" s="1187" t="s">
        <v>3575</v>
      </c>
      <c r="C4" s="1177"/>
      <c r="D4" s="1177"/>
      <c r="E4" s="1177"/>
      <c r="F4" s="1177"/>
      <c r="G4" s="1177"/>
    </row>
    <row r="5" spans="1:24" s="43" customFormat="1" ht="15.9" customHeight="1" x14ac:dyDescent="0.3">
      <c r="A5" s="35"/>
      <c r="B5" s="1177"/>
      <c r="C5" s="1177"/>
      <c r="D5" s="1177"/>
      <c r="E5" s="1177"/>
      <c r="F5" s="1177"/>
      <c r="G5" s="1177"/>
    </row>
    <row r="6" spans="1:24" s="43" customFormat="1" ht="15.9" customHeight="1" x14ac:dyDescent="0.3">
      <c r="A6" s="35"/>
      <c r="B6" s="1177"/>
      <c r="C6" s="1177"/>
      <c r="D6" s="1177"/>
      <c r="E6" s="1177"/>
      <c r="F6" s="1177"/>
      <c r="G6" s="1177"/>
    </row>
    <row r="7" spans="1:24" s="43" customFormat="1" ht="15.9" customHeight="1" x14ac:dyDescent="0.3">
      <c r="A7" s="35"/>
      <c r="B7" s="1177"/>
      <c r="C7" s="1177"/>
      <c r="D7" s="1177"/>
      <c r="E7" s="1177"/>
      <c r="F7" s="1177"/>
      <c r="G7" s="1177"/>
    </row>
    <row r="8" spans="1:24" s="43" customFormat="1" ht="15.9" customHeight="1" x14ac:dyDescent="0.3">
      <c r="A8" s="35"/>
      <c r="B8" s="1177"/>
      <c r="C8" s="1177"/>
      <c r="D8" s="1177"/>
      <c r="E8" s="1177"/>
      <c r="F8" s="1177"/>
      <c r="G8" s="1177"/>
    </row>
    <row r="9" spans="1:24" s="43" customFormat="1" ht="15.9" customHeight="1" x14ac:dyDescent="0.3">
      <c r="A9" s="35"/>
      <c r="B9" s="1177"/>
      <c r="C9" s="1177"/>
      <c r="D9" s="1177"/>
      <c r="E9" s="1177"/>
      <c r="F9" s="1177"/>
      <c r="G9" s="1177"/>
    </row>
    <row r="10" spans="1:24" ht="15.9" customHeight="1" x14ac:dyDescent="0.3">
      <c r="A10" s="2" t="s">
        <v>27</v>
      </c>
      <c r="B10" s="48" t="s">
        <v>27</v>
      </c>
      <c r="C10" s="120"/>
      <c r="D10" s="62"/>
      <c r="E10" s="120"/>
      <c r="F10" s="19"/>
      <c r="I10" s="48" t="s">
        <v>27</v>
      </c>
      <c r="J10" s="48" t="s">
        <v>27</v>
      </c>
      <c r="K10" s="48" t="s">
        <v>27</v>
      </c>
      <c r="L10" s="19"/>
      <c r="M10" s="48" t="s">
        <v>27</v>
      </c>
      <c r="N10" s="48" t="s">
        <v>27</v>
      </c>
      <c r="O10" s="48" t="s">
        <v>27</v>
      </c>
      <c r="P10" s="30" t="s">
        <v>27</v>
      </c>
      <c r="Q10" s="30" t="s">
        <v>27</v>
      </c>
      <c r="R10" s="30" t="s">
        <v>27</v>
      </c>
      <c r="S10" s="30" t="s">
        <v>27</v>
      </c>
      <c r="T10" s="30" t="s">
        <v>27</v>
      </c>
      <c r="U10" s="30" t="s">
        <v>27</v>
      </c>
      <c r="V10" s="30" t="s">
        <v>27</v>
      </c>
      <c r="W10" s="30" t="s">
        <v>27</v>
      </c>
      <c r="X10" s="30" t="s">
        <v>27</v>
      </c>
    </row>
    <row r="11" spans="1:24" ht="24.75" customHeight="1" x14ac:dyDescent="0.3">
      <c r="A11" s="2" t="s">
        <v>27</v>
      </c>
      <c r="B11" s="413" t="s">
        <v>3499</v>
      </c>
      <c r="C11" s="500" t="s">
        <v>3576</v>
      </c>
      <c r="D11" s="501" t="s">
        <v>3577</v>
      </c>
      <c r="E11" s="625" t="s">
        <v>3578</v>
      </c>
      <c r="F11" s="501" t="s">
        <v>3579</v>
      </c>
      <c r="H11" s="422" t="s">
        <v>3580</v>
      </c>
      <c r="I11" s="438"/>
      <c r="J11" s="438"/>
      <c r="K11" s="438"/>
      <c r="L11" s="438"/>
      <c r="M11" s="438"/>
      <c r="N11" s="438"/>
      <c r="O11" s="438"/>
      <c r="P11" s="30"/>
      <c r="Q11" s="30"/>
      <c r="R11" s="30"/>
      <c r="S11" s="30"/>
      <c r="T11" s="30" t="s">
        <v>27</v>
      </c>
      <c r="U11" s="30" t="s">
        <v>27</v>
      </c>
      <c r="V11" s="30" t="s">
        <v>27</v>
      </c>
      <c r="W11" s="30" t="s">
        <v>27</v>
      </c>
      <c r="X11" s="30" t="s">
        <v>27</v>
      </c>
    </row>
    <row r="12" spans="1:24" ht="15.9" customHeight="1" x14ac:dyDescent="0.3">
      <c r="A12" s="2" t="s">
        <v>27</v>
      </c>
      <c r="B12" s="48" t="s">
        <v>3581</v>
      </c>
      <c r="C12" s="120">
        <f>'Aggregates by Country Group'!C16</f>
        <v>30.322500000000002</v>
      </c>
      <c r="D12" s="62">
        <f>11.207+1.72/VLOOKUP("USD", 'Exchange Rates'!B:C,2,0)</f>
        <v>12.845095238095238</v>
      </c>
      <c r="E12" s="119">
        <f t="shared" ref="E12:E29" si="0">C12-D12</f>
        <v>17.477404761904765</v>
      </c>
      <c r="F12" s="121">
        <f t="shared" ref="F12:F29" si="1">D12/C12*100</f>
        <v>42.361596959667693</v>
      </c>
      <c r="I12" s="48" t="s">
        <v>27</v>
      </c>
      <c r="J12" s="48" t="s">
        <v>27</v>
      </c>
      <c r="K12" s="48" t="s">
        <v>27</v>
      </c>
      <c r="L12" s="19"/>
      <c r="M12" s="48" t="s">
        <v>27</v>
      </c>
      <c r="N12" s="48" t="s">
        <v>27</v>
      </c>
      <c r="O12" s="48" t="s">
        <v>27</v>
      </c>
      <c r="P12" s="30" t="s">
        <v>27</v>
      </c>
      <c r="Q12" s="30" t="s">
        <v>27</v>
      </c>
      <c r="R12" s="30" t="s">
        <v>27</v>
      </c>
      <c r="S12" s="30" t="s">
        <v>27</v>
      </c>
      <c r="T12" s="30" t="s">
        <v>27</v>
      </c>
      <c r="U12" s="30" t="s">
        <v>27</v>
      </c>
      <c r="V12" s="30" t="s">
        <v>27</v>
      </c>
      <c r="W12" s="30" t="s">
        <v>27</v>
      </c>
      <c r="X12" s="30" t="s">
        <v>27</v>
      </c>
    </row>
    <row r="13" spans="1:24" ht="15.9" customHeight="1" x14ac:dyDescent="0.3">
      <c r="A13" s="2" t="s">
        <v>27</v>
      </c>
      <c r="B13" s="48" t="s">
        <v>3038</v>
      </c>
      <c r="C13" s="120">
        <f>SUM(VLOOKUP(B13,'Fig 9. Financial Aid'!B:D,2,0),VLOOKUP(B13,'Fig 9. Financial Aid'!B:D,3,0))</f>
        <v>25.114285714285714</v>
      </c>
      <c r="D13" s="62">
        <f>12.666/VLOOKUP("USD", 'Exchange Rates'!B:C,2,0)</f>
        <v>12.062857142857142</v>
      </c>
      <c r="E13" s="119">
        <f t="shared" si="0"/>
        <v>13.051428571428572</v>
      </c>
      <c r="F13" s="121">
        <f t="shared" si="1"/>
        <v>48.031854379977247</v>
      </c>
      <c r="I13" s="48" t="s">
        <v>27</v>
      </c>
      <c r="J13" s="48" t="s">
        <v>27</v>
      </c>
      <c r="K13" s="48" t="s">
        <v>27</v>
      </c>
      <c r="L13" s="19"/>
      <c r="M13" s="48" t="s">
        <v>27</v>
      </c>
      <c r="N13" s="48" t="s">
        <v>27</v>
      </c>
      <c r="O13" s="48" t="s">
        <v>27</v>
      </c>
      <c r="P13" s="30" t="s">
        <v>27</v>
      </c>
      <c r="Q13" s="30" t="s">
        <v>27</v>
      </c>
      <c r="R13" s="30" t="s">
        <v>27</v>
      </c>
      <c r="S13" s="30" t="s">
        <v>27</v>
      </c>
      <c r="T13" s="30" t="s">
        <v>27</v>
      </c>
      <c r="U13" s="30" t="s">
        <v>27</v>
      </c>
      <c r="V13" s="30" t="s">
        <v>27</v>
      </c>
      <c r="W13" s="30" t="s">
        <v>27</v>
      </c>
      <c r="X13" s="30" t="s">
        <v>27</v>
      </c>
    </row>
    <row r="14" spans="1:24" ht="15.9" customHeight="1" x14ac:dyDescent="0.3">
      <c r="A14" s="2" t="s">
        <v>27</v>
      </c>
      <c r="B14" s="48" t="s">
        <v>517</v>
      </c>
      <c r="C14" s="120">
        <f>SUM(VLOOKUP(B14,'Fig 9. Financial Aid'!B:D,2,0),VLOOKUP(B14,'Fig 9. Financial Aid'!B:D,3,0))</f>
        <v>2.4609063570879082</v>
      </c>
      <c r="D14" s="62">
        <f>1.889/VLOOKUP("USD", 'Exchange Rates'!B:C,2,0)</f>
        <v>1.799047619047619</v>
      </c>
      <c r="E14" s="119">
        <f t="shared" si="0"/>
        <v>0.66185873804028916</v>
      </c>
      <c r="F14" s="121">
        <f t="shared" si="1"/>
        <v>73.105082355775053</v>
      </c>
      <c r="I14" s="48" t="s">
        <v>27</v>
      </c>
      <c r="J14" s="48" t="s">
        <v>27</v>
      </c>
      <c r="K14" s="48" t="s">
        <v>27</v>
      </c>
      <c r="L14" s="19"/>
      <c r="M14" s="48" t="s">
        <v>27</v>
      </c>
      <c r="N14" s="48" t="s">
        <v>27</v>
      </c>
      <c r="O14" s="48" t="s">
        <v>27</v>
      </c>
      <c r="P14" s="30" t="s">
        <v>27</v>
      </c>
      <c r="Q14" s="30" t="s">
        <v>27</v>
      </c>
      <c r="R14" s="30" t="s">
        <v>27</v>
      </c>
      <c r="S14" s="30" t="s">
        <v>27</v>
      </c>
      <c r="T14" s="30" t="s">
        <v>27</v>
      </c>
      <c r="U14" s="30" t="s">
        <v>27</v>
      </c>
      <c r="V14" s="30" t="s">
        <v>27</v>
      </c>
      <c r="W14" s="30" t="s">
        <v>27</v>
      </c>
      <c r="X14" s="30" t="s">
        <v>27</v>
      </c>
    </row>
    <row r="15" spans="1:24" ht="15.9" customHeight="1" x14ac:dyDescent="0.3">
      <c r="A15" s="2" t="s">
        <v>27</v>
      </c>
      <c r="B15" s="48" t="s">
        <v>1288</v>
      </c>
      <c r="C15" s="120">
        <f>SUM(VLOOKUP(B15,'Fig 9. Financial Aid'!B:D,2,0),VLOOKUP(B15,'Fig 9. Financial Aid'!B:D,3,0))</f>
        <v>1.5</v>
      </c>
      <c r="D15" s="62">
        <f>1.58/VLOOKUP("USD", 'Exchange Rates'!B:C,2,0)</f>
        <v>1.5047619047619047</v>
      </c>
      <c r="E15" s="119">
        <f t="shared" si="0"/>
        <v>-4.761904761904745E-3</v>
      </c>
      <c r="F15" s="121">
        <f t="shared" si="1"/>
        <v>100.31746031746032</v>
      </c>
      <c r="I15" s="48" t="s">
        <v>27</v>
      </c>
      <c r="J15" s="48" t="s">
        <v>27</v>
      </c>
      <c r="K15" s="48" t="s">
        <v>27</v>
      </c>
      <c r="L15" s="19"/>
      <c r="M15" s="48" t="s">
        <v>27</v>
      </c>
      <c r="N15" s="48" t="s">
        <v>27</v>
      </c>
      <c r="O15" s="48" t="s">
        <v>27</v>
      </c>
      <c r="P15" s="30" t="s">
        <v>27</v>
      </c>
      <c r="Q15" s="30" t="s">
        <v>27</v>
      </c>
      <c r="R15" s="30" t="s">
        <v>27</v>
      </c>
      <c r="S15" s="30" t="s">
        <v>27</v>
      </c>
      <c r="T15" s="30" t="s">
        <v>27</v>
      </c>
      <c r="U15" s="30" t="s">
        <v>27</v>
      </c>
      <c r="V15" s="30" t="s">
        <v>27</v>
      </c>
      <c r="W15" s="30" t="s">
        <v>27</v>
      </c>
      <c r="X15" s="30" t="s">
        <v>27</v>
      </c>
    </row>
    <row r="16" spans="1:24" ht="15.9" customHeight="1" x14ac:dyDescent="0.3">
      <c r="A16" s="2" t="s">
        <v>27</v>
      </c>
      <c r="B16" s="48" t="s">
        <v>2864</v>
      </c>
      <c r="C16" s="120">
        <f>SUM(VLOOKUP(B16,'Fig 9. Financial Aid'!B:D,2,0),VLOOKUP(B16,'Fig 9. Financial Aid'!B:D,3,0))</f>
        <v>1.2380731395512006</v>
      </c>
      <c r="D16" s="62">
        <f>1.076/VLOOKUP("USD", 'Exchange Rates'!B:C,2,0)</f>
        <v>1.0247619047619048</v>
      </c>
      <c r="E16" s="119">
        <f t="shared" si="0"/>
        <v>0.21331123478929581</v>
      </c>
      <c r="F16" s="121">
        <f t="shared" si="1"/>
        <v>82.770708129035029</v>
      </c>
      <c r="I16" s="48" t="s">
        <v>27</v>
      </c>
      <c r="J16" s="48" t="s">
        <v>27</v>
      </c>
      <c r="K16" s="48" t="s">
        <v>27</v>
      </c>
      <c r="L16" s="19"/>
      <c r="M16" s="48" t="s">
        <v>27</v>
      </c>
      <c r="N16" s="48" t="s">
        <v>27</v>
      </c>
      <c r="O16" s="48" t="s">
        <v>27</v>
      </c>
      <c r="P16" s="30" t="s">
        <v>27</v>
      </c>
      <c r="Q16" s="30" t="s">
        <v>27</v>
      </c>
      <c r="R16" s="30" t="s">
        <v>27</v>
      </c>
      <c r="S16" s="30" t="s">
        <v>27</v>
      </c>
      <c r="T16" s="30" t="s">
        <v>27</v>
      </c>
      <c r="U16" s="30" t="s">
        <v>27</v>
      </c>
      <c r="V16" s="30" t="s">
        <v>27</v>
      </c>
      <c r="W16" s="30" t="s">
        <v>27</v>
      </c>
      <c r="X16" s="30" t="s">
        <v>27</v>
      </c>
    </row>
    <row r="17" spans="1:24" ht="15.9" customHeight="1" x14ac:dyDescent="0.3">
      <c r="A17" s="2" t="s">
        <v>27</v>
      </c>
      <c r="B17" s="48" t="s">
        <v>1804</v>
      </c>
      <c r="C17" s="120">
        <f>SUM(VLOOKUP(B17,'Fig 9. Financial Aid'!B:D,2,0),VLOOKUP(B17,'Fig 9. Financial Aid'!B:D,3,0))</f>
        <v>0.57142857142857151</v>
      </c>
      <c r="D17" s="62">
        <f>0.581/VLOOKUP("USD", 'Exchange Rates'!B:C,2,0)</f>
        <v>0.55333333333333323</v>
      </c>
      <c r="E17" s="119">
        <f t="shared" si="0"/>
        <v>1.8095238095238275E-2</v>
      </c>
      <c r="F17" s="121">
        <f t="shared" si="1"/>
        <v>96.8333333333333</v>
      </c>
      <c r="I17" s="48" t="s">
        <v>27</v>
      </c>
      <c r="J17" s="48" t="s">
        <v>27</v>
      </c>
      <c r="K17" s="48" t="s">
        <v>27</v>
      </c>
      <c r="L17" s="19"/>
      <c r="M17" s="48" t="s">
        <v>27</v>
      </c>
      <c r="N17" s="48" t="s">
        <v>27</v>
      </c>
      <c r="O17" s="48" t="s">
        <v>27</v>
      </c>
      <c r="P17" s="30" t="s">
        <v>27</v>
      </c>
      <c r="Q17" s="30" t="s">
        <v>27</v>
      </c>
      <c r="R17" s="30" t="s">
        <v>27</v>
      </c>
      <c r="S17" s="30" t="s">
        <v>27</v>
      </c>
      <c r="T17" s="30" t="s">
        <v>27</v>
      </c>
      <c r="U17" s="30" t="s">
        <v>27</v>
      </c>
      <c r="V17" s="30" t="s">
        <v>27</v>
      </c>
      <c r="W17" s="30" t="s">
        <v>27</v>
      </c>
      <c r="X17" s="30" t="s">
        <v>27</v>
      </c>
    </row>
    <row r="18" spans="1:24" ht="15.9" customHeight="1" x14ac:dyDescent="0.3">
      <c r="A18" s="2" t="s">
        <v>27</v>
      </c>
      <c r="B18" s="48" t="s">
        <v>1131</v>
      </c>
      <c r="C18" s="120">
        <f>SUM(VLOOKUP(B18,'Fig 9. Financial Aid'!B:D,2,0),VLOOKUP(B18,'Fig 9. Financial Aid'!B:D,3,0))</f>
        <v>0.69940000000000002</v>
      </c>
      <c r="D18" s="62">
        <f>0.437/VLOOKUP("USD", 'Exchange Rates'!B:C,2,0)</f>
        <v>0.41619047619047617</v>
      </c>
      <c r="E18" s="119">
        <f t="shared" si="0"/>
        <v>0.28320952380952386</v>
      </c>
      <c r="F18" s="121">
        <f t="shared" si="1"/>
        <v>59.506788131323439</v>
      </c>
      <c r="I18" s="48" t="s">
        <v>27</v>
      </c>
      <c r="J18" s="48" t="s">
        <v>27</v>
      </c>
      <c r="K18" s="48" t="s">
        <v>27</v>
      </c>
      <c r="L18" s="19"/>
      <c r="M18" s="48" t="s">
        <v>27</v>
      </c>
      <c r="N18" s="48" t="s">
        <v>27</v>
      </c>
      <c r="O18" s="48" t="s">
        <v>27</v>
      </c>
      <c r="P18" s="30" t="s">
        <v>27</v>
      </c>
      <c r="Q18" s="30" t="s">
        <v>27</v>
      </c>
      <c r="R18" s="30" t="s">
        <v>27</v>
      </c>
      <c r="S18" s="30" t="s">
        <v>27</v>
      </c>
      <c r="T18" s="30" t="s">
        <v>27</v>
      </c>
      <c r="U18" s="30" t="s">
        <v>27</v>
      </c>
      <c r="V18" s="30" t="s">
        <v>27</v>
      </c>
      <c r="W18" s="30" t="s">
        <v>27</v>
      </c>
      <c r="X18" s="30" t="s">
        <v>27</v>
      </c>
    </row>
    <row r="19" spans="1:24" ht="15.9" customHeight="1" x14ac:dyDescent="0.3">
      <c r="A19" s="2" t="s">
        <v>27</v>
      </c>
      <c r="B19" s="48" t="s">
        <v>1730</v>
      </c>
      <c r="C19" s="120">
        <f>SUM(VLOOKUP(B19,'Fig 9. Financial Aid'!B:D,2,0),VLOOKUP(B19,'Fig 9. Financial Aid'!B:D,3,0))</f>
        <v>0.32700000000000001</v>
      </c>
      <c r="D19" s="62">
        <f>0.33/VLOOKUP("USD", 'Exchange Rates'!B:C,2,0)</f>
        <v>0.31428571428571428</v>
      </c>
      <c r="E19" s="119">
        <f t="shared" si="0"/>
        <v>1.2714285714285734E-2</v>
      </c>
      <c r="F19" s="121">
        <f t="shared" si="1"/>
        <v>96.111839231105279</v>
      </c>
      <c r="I19" s="48" t="s">
        <v>27</v>
      </c>
      <c r="J19" s="48" t="s">
        <v>27</v>
      </c>
      <c r="K19" s="48" t="s">
        <v>27</v>
      </c>
      <c r="L19" s="19"/>
      <c r="M19" s="48" t="s">
        <v>27</v>
      </c>
      <c r="N19" s="48" t="s">
        <v>27</v>
      </c>
      <c r="O19" s="48" t="s">
        <v>27</v>
      </c>
      <c r="P19" s="30" t="s">
        <v>27</v>
      </c>
      <c r="Q19" s="30" t="s">
        <v>27</v>
      </c>
      <c r="R19" s="30" t="s">
        <v>27</v>
      </c>
      <c r="S19" s="30" t="s">
        <v>27</v>
      </c>
      <c r="T19" s="30" t="s">
        <v>27</v>
      </c>
      <c r="U19" s="30" t="s">
        <v>27</v>
      </c>
      <c r="V19" s="30" t="s">
        <v>27</v>
      </c>
      <c r="W19" s="30" t="s">
        <v>27</v>
      </c>
      <c r="X19" s="30" t="s">
        <v>27</v>
      </c>
    </row>
    <row r="20" spans="1:24" ht="15.9" customHeight="1" x14ac:dyDescent="0.3">
      <c r="A20" s="2" t="s">
        <v>27</v>
      </c>
      <c r="B20" s="48" t="s">
        <v>2076</v>
      </c>
      <c r="C20" s="120">
        <f>SUM(VLOOKUP(B20,'Fig 9. Financial Aid'!B:D,2,0),VLOOKUP(B20,'Fig 9. Financial Aid'!B:D,3,0))</f>
        <v>0.44850000000000001</v>
      </c>
      <c r="D20" s="62">
        <f>0.318/VLOOKUP("USD", 'Exchange Rates'!B:C,2,0)</f>
        <v>0.30285714285714282</v>
      </c>
      <c r="E20" s="119">
        <f t="shared" si="0"/>
        <v>0.14564285714285718</v>
      </c>
      <c r="F20" s="121">
        <f t="shared" si="1"/>
        <v>67.526676222328391</v>
      </c>
      <c r="I20" s="48" t="s">
        <v>27</v>
      </c>
      <c r="J20" s="48" t="s">
        <v>27</v>
      </c>
      <c r="K20" s="48" t="s">
        <v>27</v>
      </c>
      <c r="L20" s="19"/>
      <c r="M20" s="48" t="s">
        <v>27</v>
      </c>
      <c r="N20" s="48" t="s">
        <v>27</v>
      </c>
      <c r="O20" s="48" t="s">
        <v>27</v>
      </c>
      <c r="P20" s="30" t="s">
        <v>27</v>
      </c>
      <c r="Q20" s="30" t="s">
        <v>27</v>
      </c>
      <c r="R20" s="30" t="s">
        <v>27</v>
      </c>
      <c r="S20" s="30" t="s">
        <v>27</v>
      </c>
      <c r="T20" s="30" t="s">
        <v>27</v>
      </c>
      <c r="U20" s="30" t="s">
        <v>27</v>
      </c>
      <c r="V20" s="30" t="s">
        <v>27</v>
      </c>
      <c r="W20" s="30" t="s">
        <v>27</v>
      </c>
      <c r="X20" s="30" t="s">
        <v>27</v>
      </c>
    </row>
    <row r="21" spans="1:24" ht="15.9" customHeight="1" x14ac:dyDescent="0.3">
      <c r="A21" s="2" t="s">
        <v>27</v>
      </c>
      <c r="B21" s="48" t="s">
        <v>856</v>
      </c>
      <c r="C21" s="120">
        <f>SUM(VLOOKUP(B21,'Fig 9. Financial Aid'!B:D,2,0),VLOOKUP(B21,'Fig 9. Financial Aid'!B:D,3,0))</f>
        <v>5.7500000000000002E-2</v>
      </c>
      <c r="D21" s="62">
        <f>0.053/VLOOKUP("USD", 'Exchange Rates'!B:C,2,0)</f>
        <v>5.0476190476190473E-2</v>
      </c>
      <c r="E21" s="119">
        <f t="shared" si="0"/>
        <v>7.0238095238095294E-3</v>
      </c>
      <c r="F21" s="121">
        <f t="shared" si="1"/>
        <v>87.784679089026909</v>
      </c>
      <c r="I21" s="48" t="s">
        <v>27</v>
      </c>
      <c r="J21" s="48" t="s">
        <v>27</v>
      </c>
      <c r="K21" s="48" t="s">
        <v>27</v>
      </c>
      <c r="L21" s="19"/>
      <c r="M21" s="48" t="s">
        <v>27</v>
      </c>
      <c r="N21" s="48" t="s">
        <v>27</v>
      </c>
      <c r="O21" s="48" t="s">
        <v>27</v>
      </c>
      <c r="P21" s="30" t="s">
        <v>27</v>
      </c>
      <c r="Q21" s="30" t="s">
        <v>27</v>
      </c>
      <c r="R21" s="30" t="s">
        <v>27</v>
      </c>
      <c r="S21" s="30" t="s">
        <v>27</v>
      </c>
      <c r="T21" s="30" t="s">
        <v>27</v>
      </c>
      <c r="U21" s="30" t="s">
        <v>27</v>
      </c>
      <c r="V21" s="30" t="s">
        <v>27</v>
      </c>
      <c r="W21" s="30" t="s">
        <v>27</v>
      </c>
      <c r="X21" s="30" t="s">
        <v>27</v>
      </c>
    </row>
    <row r="22" spans="1:24" ht="15.9" customHeight="1" x14ac:dyDescent="0.3">
      <c r="A22" s="2" t="s">
        <v>27</v>
      </c>
      <c r="B22" s="48" t="s">
        <v>2715</v>
      </c>
      <c r="C22" s="120">
        <f>SUM(VLOOKUP(B22,'Fig 9. Financial Aid'!B:D,2,0),VLOOKUP(B22,'Fig 9. Financial Aid'!B:D,3,0))</f>
        <v>0.21615892824371449</v>
      </c>
      <c r="D22" s="62">
        <f>0.049/VLOOKUP("USD", 'Exchange Rates'!B:C,2,0)</f>
        <v>4.6666666666666669E-2</v>
      </c>
      <c r="E22" s="119">
        <f t="shared" si="0"/>
        <v>0.16949226157704783</v>
      </c>
      <c r="F22" s="121">
        <f t="shared" si="1"/>
        <v>21.589053501436229</v>
      </c>
      <c r="I22" s="48" t="s">
        <v>27</v>
      </c>
      <c r="J22" s="48" t="s">
        <v>27</v>
      </c>
      <c r="K22" s="48" t="s">
        <v>27</v>
      </c>
      <c r="L22" s="19"/>
      <c r="M22" s="48" t="s">
        <v>27</v>
      </c>
      <c r="N22" s="48" t="s">
        <v>27</v>
      </c>
      <c r="O22" s="48" t="s">
        <v>27</v>
      </c>
      <c r="P22" s="30" t="s">
        <v>27</v>
      </c>
      <c r="Q22" s="30" t="s">
        <v>27</v>
      </c>
      <c r="R22" s="30" t="s">
        <v>27</v>
      </c>
      <c r="S22" s="30" t="s">
        <v>27</v>
      </c>
      <c r="T22" s="30" t="s">
        <v>27</v>
      </c>
      <c r="U22" s="30" t="s">
        <v>27</v>
      </c>
      <c r="V22" s="30" t="s">
        <v>27</v>
      </c>
      <c r="W22" s="30" t="s">
        <v>27</v>
      </c>
      <c r="X22" s="30" t="s">
        <v>27</v>
      </c>
    </row>
    <row r="23" spans="1:24" ht="15.9" customHeight="1" x14ac:dyDescent="0.3">
      <c r="A23" s="2" t="s">
        <v>27</v>
      </c>
      <c r="B23" s="30" t="s">
        <v>2206</v>
      </c>
      <c r="C23" s="120">
        <f>SUM(VLOOKUP(B23,'Fig 9. Financial Aid'!B:D,2,0),VLOOKUP(B23,'Fig 9. Financial Aid'!B:D,3,0))</f>
        <v>0.61050061050061044</v>
      </c>
      <c r="D23" s="62">
        <f>0.022/VLOOKUP("USD", 'Exchange Rates'!B:C,2,0)</f>
        <v>2.0952380952380951E-2</v>
      </c>
      <c r="E23" s="119">
        <f t="shared" si="0"/>
        <v>0.5895482295482295</v>
      </c>
      <c r="F23" s="121">
        <f t="shared" si="1"/>
        <v>3.4320000000000004</v>
      </c>
      <c r="I23" s="48" t="s">
        <v>27</v>
      </c>
      <c r="J23" s="48" t="s">
        <v>27</v>
      </c>
      <c r="K23" s="48" t="s">
        <v>27</v>
      </c>
      <c r="L23" s="19"/>
      <c r="M23" s="48" t="s">
        <v>27</v>
      </c>
      <c r="N23" s="48" t="s">
        <v>27</v>
      </c>
      <c r="O23" s="48" t="s">
        <v>27</v>
      </c>
      <c r="P23" s="30" t="s">
        <v>27</v>
      </c>
      <c r="Q23" s="30" t="s">
        <v>27</v>
      </c>
      <c r="R23" s="30" t="s">
        <v>27</v>
      </c>
      <c r="S23" s="30" t="s">
        <v>27</v>
      </c>
      <c r="T23" s="30" t="s">
        <v>27</v>
      </c>
      <c r="U23" s="30" t="s">
        <v>27</v>
      </c>
      <c r="V23" s="30" t="s">
        <v>27</v>
      </c>
      <c r="W23" s="30" t="s">
        <v>27</v>
      </c>
      <c r="X23" s="30" t="s">
        <v>27</v>
      </c>
    </row>
    <row r="24" spans="1:24" ht="15.9" customHeight="1" x14ac:dyDescent="0.3">
      <c r="A24" s="2" t="s">
        <v>27</v>
      </c>
      <c r="B24" s="48" t="s">
        <v>1919</v>
      </c>
      <c r="C24" s="120">
        <f>SUM(VLOOKUP(B24,'Fig 9. Financial Aid'!B:D,2,0),VLOOKUP(B24,'Fig 9. Financial Aid'!B:D,3,0))</f>
        <v>2.1999999999999999E-2</v>
      </c>
      <c r="D24" s="62">
        <f>0.022/VLOOKUP("USD", 'Exchange Rates'!B:C,2,0)</f>
        <v>2.0952380952380951E-2</v>
      </c>
      <c r="E24" s="119">
        <f t="shared" si="0"/>
        <v>1.0476190476190472E-3</v>
      </c>
      <c r="F24" s="121">
        <f t="shared" si="1"/>
        <v>95.238095238095241</v>
      </c>
      <c r="I24" s="48"/>
      <c r="J24" s="48"/>
      <c r="K24" s="48"/>
      <c r="L24" s="19"/>
      <c r="M24" s="48" t="s">
        <v>27</v>
      </c>
      <c r="N24" s="48" t="s">
        <v>27</v>
      </c>
      <c r="O24" s="48" t="s">
        <v>27</v>
      </c>
      <c r="P24" s="30" t="s">
        <v>27</v>
      </c>
      <c r="Q24" s="30" t="s">
        <v>27</v>
      </c>
      <c r="R24" s="30" t="s">
        <v>27</v>
      </c>
      <c r="S24" s="30" t="s">
        <v>27</v>
      </c>
      <c r="T24" s="30" t="s">
        <v>27</v>
      </c>
      <c r="U24" s="30" t="s">
        <v>27</v>
      </c>
      <c r="V24" s="30" t="s">
        <v>27</v>
      </c>
      <c r="W24" s="30" t="s">
        <v>27</v>
      </c>
      <c r="X24" s="30" t="s">
        <v>27</v>
      </c>
    </row>
    <row r="25" spans="1:24" ht="15.9" customHeight="1" x14ac:dyDescent="0.3">
      <c r="A25" s="2" t="s">
        <v>27</v>
      </c>
      <c r="B25" s="48" t="s">
        <v>1861</v>
      </c>
      <c r="C25" s="120">
        <f>SUM(VLOOKUP(B25,'Fig 9. Financial Aid'!B:D,2,0),VLOOKUP(B25,'Fig 9. Financial Aid'!B:D,3,0))</f>
        <v>1.5356E-2</v>
      </c>
      <c r="D25" s="62">
        <f>0.016/VLOOKUP("USD", 'Exchange Rates'!B:C,2,0)</f>
        <v>1.5238095238095238E-2</v>
      </c>
      <c r="E25" s="119">
        <f t="shared" si="0"/>
        <v>1.1790476190476178E-4</v>
      </c>
      <c r="F25" s="121">
        <f t="shared" si="1"/>
        <v>99.232190922735342</v>
      </c>
      <c r="I25" s="48" t="s">
        <v>27</v>
      </c>
      <c r="J25" s="48" t="s">
        <v>27</v>
      </c>
      <c r="K25" s="48" t="s">
        <v>27</v>
      </c>
      <c r="L25" s="19"/>
      <c r="M25" s="48" t="s">
        <v>27</v>
      </c>
      <c r="N25" s="48" t="s">
        <v>27</v>
      </c>
      <c r="O25" s="48" t="s">
        <v>27</v>
      </c>
      <c r="P25" s="30" t="s">
        <v>27</v>
      </c>
      <c r="Q25" s="30" t="s">
        <v>27</v>
      </c>
      <c r="R25" s="30" t="s">
        <v>27</v>
      </c>
      <c r="S25" s="30" t="s">
        <v>27</v>
      </c>
      <c r="T25" s="30" t="s">
        <v>27</v>
      </c>
      <c r="U25" s="30" t="s">
        <v>27</v>
      </c>
      <c r="V25" s="30" t="s">
        <v>27</v>
      </c>
      <c r="W25" s="30" t="s">
        <v>27</v>
      </c>
      <c r="X25" s="30" t="s">
        <v>27</v>
      </c>
    </row>
    <row r="26" spans="1:24" ht="15.9" customHeight="1" x14ac:dyDescent="0.3">
      <c r="A26" s="2" t="s">
        <v>27</v>
      </c>
      <c r="B26" s="48" t="s">
        <v>344</v>
      </c>
      <c r="C26" s="120">
        <f>SUM(VLOOKUP(B26,'Fig 9. Financial Aid'!B:D,2,0),VLOOKUP(B26,'Fig 9. Financial Aid'!B:D,3,0))</f>
        <v>7.1900000000000006E-2</v>
      </c>
      <c r="D26" s="62">
        <f>0.011/VLOOKUP("USD", 'Exchange Rates'!B:C,2,0)</f>
        <v>1.0476190476190476E-2</v>
      </c>
      <c r="E26" s="119">
        <f t="shared" si="0"/>
        <v>6.1423809523809533E-2</v>
      </c>
      <c r="F26" s="121">
        <f t="shared" si="1"/>
        <v>14.570501357705806</v>
      </c>
      <c r="I26" s="48" t="s">
        <v>27</v>
      </c>
      <c r="J26" s="48" t="s">
        <v>27</v>
      </c>
      <c r="K26" s="48" t="s">
        <v>27</v>
      </c>
      <c r="L26" s="19"/>
      <c r="M26" s="48" t="s">
        <v>27</v>
      </c>
      <c r="N26" s="48" t="s">
        <v>27</v>
      </c>
      <c r="O26" s="48" t="s">
        <v>27</v>
      </c>
      <c r="P26" s="30" t="s">
        <v>27</v>
      </c>
      <c r="Q26" s="30" t="s">
        <v>27</v>
      </c>
      <c r="R26" s="48" t="s">
        <v>27</v>
      </c>
      <c r="S26" s="48" t="s">
        <v>27</v>
      </c>
      <c r="T26" s="30" t="s">
        <v>27</v>
      </c>
      <c r="U26" s="30" t="s">
        <v>27</v>
      </c>
      <c r="V26" s="30" t="s">
        <v>27</v>
      </c>
      <c r="W26" s="30" t="s">
        <v>27</v>
      </c>
      <c r="X26" s="30" t="s">
        <v>27</v>
      </c>
    </row>
    <row r="27" spans="1:24" ht="15.9" customHeight="1" x14ac:dyDescent="0.3">
      <c r="A27" s="2" t="s">
        <v>27</v>
      </c>
      <c r="B27" s="48" t="s">
        <v>2370</v>
      </c>
      <c r="C27" s="120">
        <f>SUM(VLOOKUP(B27,'Fig 9. Financial Aid'!B:D,2,0),VLOOKUP(B27,'Fig 9. Financial Aid'!B:D,3,0))</f>
        <v>0.25</v>
      </c>
      <c r="D27" s="62">
        <f>0/VLOOKUP("USD", 'Exchange Rates'!B:C,2,0)</f>
        <v>0</v>
      </c>
      <c r="E27" s="119">
        <f t="shared" si="0"/>
        <v>0.25</v>
      </c>
      <c r="F27" s="121">
        <f t="shared" si="1"/>
        <v>0</v>
      </c>
      <c r="I27" s="48" t="s">
        <v>27</v>
      </c>
      <c r="J27" s="48" t="s">
        <v>27</v>
      </c>
      <c r="K27" s="48" t="s">
        <v>27</v>
      </c>
      <c r="L27" s="19"/>
      <c r="M27" s="48" t="s">
        <v>27</v>
      </c>
      <c r="N27" s="48" t="s">
        <v>27</v>
      </c>
      <c r="O27" s="48" t="s">
        <v>27</v>
      </c>
      <c r="P27" s="30" t="s">
        <v>27</v>
      </c>
      <c r="Q27" s="48" t="s">
        <v>27</v>
      </c>
      <c r="R27" s="48" t="s">
        <v>27</v>
      </c>
      <c r="S27" s="48" t="s">
        <v>27</v>
      </c>
      <c r="T27" s="30" t="s">
        <v>27</v>
      </c>
      <c r="U27" s="30" t="s">
        <v>27</v>
      </c>
      <c r="V27" s="30" t="s">
        <v>27</v>
      </c>
      <c r="W27" s="30" t="s">
        <v>27</v>
      </c>
      <c r="X27" s="30" t="s">
        <v>27</v>
      </c>
    </row>
    <row r="28" spans="1:24" ht="15.9" customHeight="1" x14ac:dyDescent="0.3">
      <c r="B28" s="48" t="s">
        <v>2615</v>
      </c>
      <c r="C28" s="120">
        <f>SUM(VLOOKUP(B28,'Fig 9. Financial Aid'!B:D,2,0),VLOOKUP(B28,'Fig 9. Financial Aid'!B:D,3,0))</f>
        <v>0.1545</v>
      </c>
      <c r="D28" s="62">
        <f>0/VLOOKUP("USD", 'Exchange Rates'!B:C,2,0)</f>
        <v>0</v>
      </c>
      <c r="E28" s="119">
        <f t="shared" si="0"/>
        <v>0.1545</v>
      </c>
      <c r="F28" s="121">
        <f t="shared" si="1"/>
        <v>0</v>
      </c>
      <c r="I28" s="48" t="s">
        <v>27</v>
      </c>
      <c r="J28" s="48" t="s">
        <v>27</v>
      </c>
      <c r="K28" s="48" t="s">
        <v>27</v>
      </c>
      <c r="L28" s="19"/>
      <c r="M28" s="48"/>
      <c r="N28" s="48"/>
      <c r="O28" s="48"/>
      <c r="P28" s="30"/>
      <c r="Q28" s="48"/>
      <c r="R28" s="48"/>
      <c r="S28" s="48"/>
      <c r="T28" s="30"/>
      <c r="U28" s="30"/>
      <c r="V28" s="30"/>
      <c r="W28" s="30"/>
      <c r="X28" s="30"/>
    </row>
    <row r="29" spans="1:24" ht="15.9" customHeight="1" x14ac:dyDescent="0.3">
      <c r="A29" s="2" t="s">
        <v>27</v>
      </c>
      <c r="B29" s="425" t="s">
        <v>1025</v>
      </c>
      <c r="C29" s="447">
        <f>SUM(VLOOKUP(B29,'Fig 9. Financial Aid'!B:D,2,0),VLOOKUP(B29,'Fig 9. Financial Aid'!B:D,3,0))</f>
        <v>8.1500000000000003E-2</v>
      </c>
      <c r="D29" s="426">
        <f>0/VLOOKUP("USD", 'Exchange Rates'!B:C,2,0)</f>
        <v>0</v>
      </c>
      <c r="E29" s="427">
        <f t="shared" si="0"/>
        <v>8.1500000000000003E-2</v>
      </c>
      <c r="F29" s="428">
        <f t="shared" si="1"/>
        <v>0</v>
      </c>
      <c r="I29" s="48" t="s">
        <v>27</v>
      </c>
      <c r="J29" s="48" t="s">
        <v>27</v>
      </c>
      <c r="K29" s="48" t="s">
        <v>27</v>
      </c>
      <c r="L29" s="19"/>
      <c r="M29" s="48" t="s">
        <v>27</v>
      </c>
      <c r="N29" s="48" t="s">
        <v>27</v>
      </c>
      <c r="O29" s="48" t="s">
        <v>27</v>
      </c>
      <c r="P29" s="30" t="s">
        <v>27</v>
      </c>
      <c r="Q29" s="30" t="s">
        <v>27</v>
      </c>
      <c r="R29" s="30" t="s">
        <v>27</v>
      </c>
      <c r="S29" s="30" t="s">
        <v>27</v>
      </c>
      <c r="T29" s="30" t="s">
        <v>27</v>
      </c>
      <c r="U29" s="30" t="s">
        <v>27</v>
      </c>
      <c r="V29" s="30" t="s">
        <v>27</v>
      </c>
      <c r="W29" s="30" t="s">
        <v>27</v>
      </c>
      <c r="X29" s="30" t="s">
        <v>27</v>
      </c>
    </row>
    <row r="30" spans="1:24" ht="15.9" customHeight="1" x14ac:dyDescent="0.3">
      <c r="A30" s="2" t="s">
        <v>27</v>
      </c>
      <c r="I30" s="48" t="s">
        <v>27</v>
      </c>
      <c r="J30" s="48" t="s">
        <v>27</v>
      </c>
      <c r="K30" s="48" t="s">
        <v>27</v>
      </c>
      <c r="L30" s="19"/>
      <c r="M30" s="48" t="s">
        <v>27</v>
      </c>
      <c r="N30" s="48" t="s">
        <v>27</v>
      </c>
      <c r="O30" s="48" t="s">
        <v>27</v>
      </c>
      <c r="P30" s="30" t="s">
        <v>27</v>
      </c>
      <c r="Q30" s="30" t="s">
        <v>27</v>
      </c>
      <c r="R30" s="30" t="s">
        <v>27</v>
      </c>
      <c r="S30" s="30" t="s">
        <v>27</v>
      </c>
      <c r="T30" s="30" t="s">
        <v>27</v>
      </c>
      <c r="U30" s="30" t="s">
        <v>27</v>
      </c>
      <c r="V30" s="30" t="s">
        <v>27</v>
      </c>
      <c r="W30" s="30" t="s">
        <v>27</v>
      </c>
      <c r="X30" s="30" t="s">
        <v>27</v>
      </c>
    </row>
    <row r="31" spans="1:24" ht="15.9" customHeight="1" x14ac:dyDescent="0.3">
      <c r="A31" s="2" t="s">
        <v>27</v>
      </c>
      <c r="B31" s="423" t="s">
        <v>3517</v>
      </c>
      <c r="C31" s="424">
        <f>SUM(C12:C29)</f>
        <v>64.161509321097711</v>
      </c>
      <c r="D31" s="424">
        <f>SUM(D12:D29)</f>
        <v>30.987952380952382</v>
      </c>
      <c r="E31" s="424">
        <f>SUM(E12:E29)</f>
        <v>33.173556940145339</v>
      </c>
      <c r="F31" s="429" t="s">
        <v>260</v>
      </c>
      <c r="I31" s="13" t="s">
        <v>27</v>
      </c>
      <c r="J31" s="13" t="s">
        <v>27</v>
      </c>
      <c r="K31" s="13" t="s">
        <v>27</v>
      </c>
      <c r="M31" s="13" t="s">
        <v>27</v>
      </c>
      <c r="N31" s="13" t="s">
        <v>27</v>
      </c>
      <c r="O31" s="13" t="s">
        <v>27</v>
      </c>
      <c r="P31" s="13" t="s">
        <v>27</v>
      </c>
      <c r="Q31" s="13" t="s">
        <v>27</v>
      </c>
      <c r="R31" s="13" t="s">
        <v>27</v>
      </c>
      <c r="S31" s="13" t="s">
        <v>27</v>
      </c>
      <c r="T31" s="13" t="s">
        <v>27</v>
      </c>
      <c r="U31" s="13" t="s">
        <v>27</v>
      </c>
      <c r="V31" s="13" t="s">
        <v>27</v>
      </c>
      <c r="W31" s="30" t="s">
        <v>27</v>
      </c>
      <c r="X31" s="30" t="s">
        <v>27</v>
      </c>
    </row>
    <row r="32" spans="1:24" ht="15.9" customHeight="1" x14ac:dyDescent="0.3">
      <c r="A32" s="2" t="s">
        <v>27</v>
      </c>
      <c r="B32" s="48" t="s">
        <v>27</v>
      </c>
      <c r="C32" s="120"/>
      <c r="D32" s="62"/>
      <c r="E32" s="120" t="s">
        <v>27</v>
      </c>
      <c r="F32" s="19"/>
      <c r="I32" s="13" t="s">
        <v>27</v>
      </c>
      <c r="J32" s="13" t="s">
        <v>27</v>
      </c>
      <c r="K32" s="13" t="s">
        <v>27</v>
      </c>
      <c r="M32" s="13" t="s">
        <v>27</v>
      </c>
      <c r="N32" s="13" t="s">
        <v>27</v>
      </c>
      <c r="O32" s="13" t="s">
        <v>27</v>
      </c>
      <c r="P32" s="13" t="s">
        <v>27</v>
      </c>
      <c r="Q32" s="13" t="s">
        <v>27</v>
      </c>
      <c r="R32" s="13" t="s">
        <v>27</v>
      </c>
      <c r="S32" s="13" t="s">
        <v>27</v>
      </c>
      <c r="T32" s="13" t="s">
        <v>27</v>
      </c>
      <c r="U32" s="13" t="s">
        <v>27</v>
      </c>
      <c r="V32" s="13" t="s">
        <v>27</v>
      </c>
      <c r="W32" s="30" t="s">
        <v>27</v>
      </c>
      <c r="X32" s="30" t="s">
        <v>27</v>
      </c>
    </row>
    <row r="33" spans="1:24" ht="15.9" customHeight="1" x14ac:dyDescent="0.3">
      <c r="A33" s="2" t="s">
        <v>27</v>
      </c>
      <c r="I33" s="13" t="s">
        <v>27</v>
      </c>
      <c r="J33" s="13" t="s">
        <v>27</v>
      </c>
      <c r="K33" s="13" t="s">
        <v>27</v>
      </c>
      <c r="M33" s="13" t="s">
        <v>27</v>
      </c>
      <c r="N33" s="13" t="s">
        <v>27</v>
      </c>
      <c r="O33" s="13" t="s">
        <v>27</v>
      </c>
      <c r="P33" s="13" t="s">
        <v>27</v>
      </c>
      <c r="Q33" s="13" t="s">
        <v>27</v>
      </c>
      <c r="R33" s="13" t="s">
        <v>27</v>
      </c>
      <c r="S33" s="13" t="s">
        <v>27</v>
      </c>
      <c r="T33" s="13" t="s">
        <v>27</v>
      </c>
      <c r="U33" s="13" t="s">
        <v>27</v>
      </c>
      <c r="V33" s="13" t="s">
        <v>27</v>
      </c>
      <c r="W33" s="30" t="s">
        <v>27</v>
      </c>
      <c r="X33" s="30" t="s">
        <v>27</v>
      </c>
    </row>
    <row r="34" spans="1:24" ht="15.9" customHeight="1" x14ac:dyDescent="0.3">
      <c r="A34" s="2" t="s">
        <v>27</v>
      </c>
      <c r="B34" s="48" t="s">
        <v>27</v>
      </c>
      <c r="C34" s="120"/>
      <c r="D34" s="62"/>
      <c r="E34" s="120" t="s">
        <v>27</v>
      </c>
      <c r="F34" s="19"/>
      <c r="I34" s="13" t="s">
        <v>27</v>
      </c>
      <c r="J34" s="13" t="s">
        <v>27</v>
      </c>
      <c r="K34" s="13" t="s">
        <v>27</v>
      </c>
      <c r="M34" s="13" t="s">
        <v>27</v>
      </c>
      <c r="N34" s="13" t="s">
        <v>27</v>
      </c>
      <c r="O34" s="13" t="s">
        <v>27</v>
      </c>
      <c r="P34" s="13" t="s">
        <v>27</v>
      </c>
      <c r="Q34" s="13" t="s">
        <v>27</v>
      </c>
      <c r="R34" s="13" t="s">
        <v>27</v>
      </c>
      <c r="S34" s="13" t="s">
        <v>27</v>
      </c>
      <c r="T34" s="13" t="s">
        <v>27</v>
      </c>
      <c r="U34" s="13" t="s">
        <v>27</v>
      </c>
      <c r="V34" s="13" t="s">
        <v>27</v>
      </c>
      <c r="W34" s="30" t="s">
        <v>27</v>
      </c>
      <c r="X34" s="30" t="s">
        <v>27</v>
      </c>
    </row>
    <row r="35" spans="1:24" ht="15.9" customHeight="1" x14ac:dyDescent="0.3">
      <c r="A35" s="2" t="s">
        <v>27</v>
      </c>
      <c r="B35" s="48" t="s">
        <v>27</v>
      </c>
      <c r="C35" s="120"/>
      <c r="D35" s="62"/>
      <c r="E35" s="120" t="s">
        <v>27</v>
      </c>
      <c r="F35" s="19"/>
      <c r="I35" s="13" t="s">
        <v>27</v>
      </c>
      <c r="J35" s="13" t="s">
        <v>27</v>
      </c>
      <c r="K35" s="13" t="s">
        <v>27</v>
      </c>
      <c r="M35" s="13" t="s">
        <v>27</v>
      </c>
      <c r="N35" s="13" t="s">
        <v>27</v>
      </c>
      <c r="O35" s="13" t="s">
        <v>27</v>
      </c>
      <c r="P35" s="13" t="s">
        <v>27</v>
      </c>
      <c r="Q35" s="13" t="s">
        <v>27</v>
      </c>
      <c r="R35" s="13" t="s">
        <v>27</v>
      </c>
      <c r="S35" s="13" t="s">
        <v>27</v>
      </c>
      <c r="T35" s="13" t="s">
        <v>27</v>
      </c>
      <c r="U35" s="13" t="s">
        <v>27</v>
      </c>
      <c r="V35" s="13" t="s">
        <v>27</v>
      </c>
      <c r="W35" s="30" t="s">
        <v>27</v>
      </c>
      <c r="X35" s="30" t="s">
        <v>27</v>
      </c>
    </row>
    <row r="37" spans="1:24" ht="15.9" customHeight="1" x14ac:dyDescent="0.3">
      <c r="A37" s="2" t="s">
        <v>27</v>
      </c>
      <c r="B37" s="48" t="s">
        <v>27</v>
      </c>
      <c r="C37" s="120"/>
      <c r="D37" s="62"/>
      <c r="E37" s="120" t="s">
        <v>27</v>
      </c>
      <c r="F37" s="19"/>
      <c r="I37" s="13" t="s">
        <v>27</v>
      </c>
      <c r="J37" s="13" t="s">
        <v>27</v>
      </c>
      <c r="K37" s="13" t="s">
        <v>27</v>
      </c>
      <c r="M37" s="13" t="s">
        <v>27</v>
      </c>
      <c r="N37" s="13" t="s">
        <v>27</v>
      </c>
      <c r="O37" s="13" t="s">
        <v>27</v>
      </c>
      <c r="P37" s="13" t="s">
        <v>27</v>
      </c>
      <c r="Q37" s="13" t="s">
        <v>27</v>
      </c>
      <c r="R37" s="13" t="s">
        <v>27</v>
      </c>
      <c r="S37" s="13" t="s">
        <v>27</v>
      </c>
      <c r="T37" s="13" t="s">
        <v>27</v>
      </c>
      <c r="U37" s="13" t="s">
        <v>27</v>
      </c>
      <c r="V37" s="13" t="s">
        <v>27</v>
      </c>
      <c r="W37" s="30" t="s">
        <v>27</v>
      </c>
      <c r="X37" s="30" t="s">
        <v>27</v>
      </c>
    </row>
    <row r="38" spans="1:24" ht="15.9" customHeight="1" x14ac:dyDescent="0.3">
      <c r="A38" s="2" t="s">
        <v>27</v>
      </c>
      <c r="B38" s="48" t="s">
        <v>27</v>
      </c>
      <c r="C38" s="120"/>
      <c r="D38" s="62"/>
      <c r="E38" s="120" t="s">
        <v>27</v>
      </c>
      <c r="F38" s="19"/>
      <c r="I38" s="13" t="s">
        <v>27</v>
      </c>
      <c r="J38" s="13" t="s">
        <v>27</v>
      </c>
      <c r="K38" s="13" t="s">
        <v>27</v>
      </c>
      <c r="L38" s="13" t="s">
        <v>27</v>
      </c>
      <c r="M38" s="13" t="s">
        <v>27</v>
      </c>
      <c r="N38" s="13" t="s">
        <v>27</v>
      </c>
      <c r="O38" s="13" t="s">
        <v>27</v>
      </c>
      <c r="P38" s="13" t="s">
        <v>27</v>
      </c>
      <c r="Q38" s="13" t="s">
        <v>27</v>
      </c>
      <c r="R38" s="13" t="s">
        <v>27</v>
      </c>
      <c r="S38" s="13" t="s">
        <v>27</v>
      </c>
      <c r="T38" s="13" t="s">
        <v>27</v>
      </c>
      <c r="U38" s="13" t="s">
        <v>27</v>
      </c>
      <c r="V38" s="13" t="s">
        <v>27</v>
      </c>
      <c r="W38" s="30" t="s">
        <v>27</v>
      </c>
      <c r="X38" s="30" t="s">
        <v>27</v>
      </c>
    </row>
    <row r="39" spans="1:24" ht="15.9" customHeight="1" x14ac:dyDescent="0.3">
      <c r="B39" s="48" t="s">
        <v>27</v>
      </c>
      <c r="C39" s="120"/>
      <c r="D39" s="62"/>
      <c r="E39" s="120" t="s">
        <v>27</v>
      </c>
      <c r="F39" s="19"/>
    </row>
    <row r="40" spans="1:24" ht="15.9" customHeight="1" x14ac:dyDescent="0.3">
      <c r="A40" s="2" t="s">
        <v>27</v>
      </c>
      <c r="B40" s="48" t="s">
        <v>27</v>
      </c>
      <c r="C40" s="120"/>
      <c r="D40" s="62"/>
      <c r="E40" s="120" t="s">
        <v>27</v>
      </c>
      <c r="F40" s="19"/>
      <c r="I40" s="13" t="s">
        <v>27</v>
      </c>
      <c r="J40" s="13" t="s">
        <v>27</v>
      </c>
      <c r="K40" s="13" t="s">
        <v>27</v>
      </c>
      <c r="M40" s="13" t="s">
        <v>27</v>
      </c>
      <c r="N40" s="13" t="s">
        <v>27</v>
      </c>
      <c r="O40" s="13" t="s">
        <v>27</v>
      </c>
      <c r="P40" s="13" t="s">
        <v>27</v>
      </c>
      <c r="Q40" s="13" t="s">
        <v>27</v>
      </c>
      <c r="R40" s="13" t="s">
        <v>27</v>
      </c>
      <c r="S40" s="13" t="s">
        <v>27</v>
      </c>
      <c r="T40" s="13" t="s">
        <v>27</v>
      </c>
      <c r="U40" s="13" t="s">
        <v>27</v>
      </c>
      <c r="V40" s="13" t="s">
        <v>27</v>
      </c>
      <c r="W40" s="30" t="s">
        <v>27</v>
      </c>
      <c r="X40" s="30" t="s">
        <v>27</v>
      </c>
    </row>
    <row r="41" spans="1:24" ht="15.9" customHeight="1" x14ac:dyDescent="0.3">
      <c r="A41" s="2" t="s">
        <v>27</v>
      </c>
      <c r="B41" s="48" t="s">
        <v>27</v>
      </c>
      <c r="C41" s="120"/>
      <c r="D41" s="62"/>
      <c r="E41" s="120" t="s">
        <v>27</v>
      </c>
      <c r="F41" s="19"/>
      <c r="I41" s="13" t="s">
        <v>27</v>
      </c>
      <c r="J41" s="13" t="s">
        <v>27</v>
      </c>
      <c r="K41" s="13" t="s">
        <v>27</v>
      </c>
      <c r="M41" s="13" t="s">
        <v>27</v>
      </c>
      <c r="N41" s="13" t="s">
        <v>27</v>
      </c>
      <c r="O41" s="13" t="s">
        <v>27</v>
      </c>
      <c r="P41" s="13" t="s">
        <v>27</v>
      </c>
      <c r="Q41" s="13" t="s">
        <v>27</v>
      </c>
      <c r="R41" s="13" t="s">
        <v>27</v>
      </c>
      <c r="S41" s="13" t="s">
        <v>27</v>
      </c>
      <c r="T41" s="13" t="s">
        <v>27</v>
      </c>
      <c r="U41" s="13" t="s">
        <v>27</v>
      </c>
      <c r="V41" s="13" t="s">
        <v>27</v>
      </c>
      <c r="W41" s="30" t="s">
        <v>27</v>
      </c>
      <c r="X41" s="30" t="s">
        <v>27</v>
      </c>
    </row>
    <row r="42" spans="1:24" ht="15.9" customHeight="1" x14ac:dyDescent="0.3">
      <c r="A42" s="2" t="s">
        <v>27</v>
      </c>
      <c r="B42" s="48" t="s">
        <v>27</v>
      </c>
      <c r="C42" s="120"/>
      <c r="D42" s="62"/>
      <c r="E42" s="120" t="s">
        <v>27</v>
      </c>
      <c r="F42" s="19"/>
      <c r="I42" s="13" t="s">
        <v>27</v>
      </c>
      <c r="J42" s="13" t="s">
        <v>27</v>
      </c>
      <c r="K42" s="13" t="s">
        <v>27</v>
      </c>
      <c r="M42" s="13" t="s">
        <v>27</v>
      </c>
      <c r="N42" s="13" t="s">
        <v>27</v>
      </c>
      <c r="O42" s="13" t="s">
        <v>27</v>
      </c>
      <c r="P42" s="13" t="s">
        <v>27</v>
      </c>
      <c r="Q42" s="13" t="s">
        <v>27</v>
      </c>
      <c r="R42" s="13" t="s">
        <v>27</v>
      </c>
      <c r="S42" s="13" t="s">
        <v>27</v>
      </c>
      <c r="T42" s="13" t="s">
        <v>27</v>
      </c>
      <c r="U42" s="13" t="s">
        <v>27</v>
      </c>
      <c r="V42" s="13" t="s">
        <v>27</v>
      </c>
      <c r="W42" s="30" t="s">
        <v>27</v>
      </c>
      <c r="X42" s="30" t="s">
        <v>27</v>
      </c>
    </row>
    <row r="43" spans="1:24" ht="15.9" customHeight="1" x14ac:dyDescent="0.3">
      <c r="A43" s="2" t="s">
        <v>27</v>
      </c>
      <c r="B43" s="48" t="s">
        <v>27</v>
      </c>
      <c r="C43" s="120"/>
      <c r="D43" s="62"/>
      <c r="E43" s="120" t="s">
        <v>27</v>
      </c>
      <c r="F43" s="19"/>
      <c r="I43" s="13" t="s">
        <v>27</v>
      </c>
      <c r="J43" s="13" t="s">
        <v>27</v>
      </c>
      <c r="K43" s="13" t="s">
        <v>27</v>
      </c>
      <c r="M43" s="13" t="s">
        <v>27</v>
      </c>
      <c r="N43" s="13" t="s">
        <v>27</v>
      </c>
      <c r="O43" s="13" t="s">
        <v>27</v>
      </c>
      <c r="P43" s="13" t="s">
        <v>27</v>
      </c>
      <c r="Q43" s="13" t="s">
        <v>27</v>
      </c>
      <c r="R43" s="13" t="s">
        <v>27</v>
      </c>
      <c r="S43" s="13" t="s">
        <v>27</v>
      </c>
      <c r="T43" s="13" t="s">
        <v>27</v>
      </c>
      <c r="U43" s="13" t="s">
        <v>27</v>
      </c>
      <c r="V43" s="13" t="s">
        <v>27</v>
      </c>
      <c r="W43" s="30" t="s">
        <v>27</v>
      </c>
      <c r="X43" s="30" t="s">
        <v>27</v>
      </c>
    </row>
    <row r="44" spans="1:24" ht="15.9" customHeight="1" x14ac:dyDescent="0.3">
      <c r="A44" s="2" t="s">
        <v>27</v>
      </c>
      <c r="B44" s="48" t="s">
        <v>27</v>
      </c>
      <c r="C44" s="120"/>
      <c r="D44" s="62"/>
      <c r="E44" s="120" t="s">
        <v>27</v>
      </c>
      <c r="F44" s="19"/>
      <c r="I44" s="13" t="s">
        <v>27</v>
      </c>
      <c r="J44" s="13" t="s">
        <v>27</v>
      </c>
      <c r="K44" s="13" t="s">
        <v>27</v>
      </c>
      <c r="M44" s="13" t="s">
        <v>27</v>
      </c>
      <c r="N44" s="13" t="s">
        <v>27</v>
      </c>
      <c r="O44" s="13" t="s">
        <v>27</v>
      </c>
      <c r="P44" s="13" t="s">
        <v>27</v>
      </c>
      <c r="Q44" s="13" t="s">
        <v>27</v>
      </c>
      <c r="R44" s="13" t="s">
        <v>27</v>
      </c>
      <c r="S44" s="13" t="s">
        <v>27</v>
      </c>
      <c r="T44" s="13" t="s">
        <v>27</v>
      </c>
      <c r="U44" s="13" t="s">
        <v>27</v>
      </c>
      <c r="V44" s="13" t="s">
        <v>27</v>
      </c>
      <c r="W44" s="30" t="s">
        <v>27</v>
      </c>
      <c r="X44" s="30" t="s">
        <v>27</v>
      </c>
    </row>
    <row r="45" spans="1:24" ht="15.9" customHeight="1" x14ac:dyDescent="0.3">
      <c r="A45" s="2" t="s">
        <v>27</v>
      </c>
      <c r="B45" s="48" t="s">
        <v>27</v>
      </c>
      <c r="C45" s="120"/>
      <c r="D45" s="62"/>
      <c r="E45" s="120" t="s">
        <v>27</v>
      </c>
      <c r="F45" s="19"/>
      <c r="I45" s="13" t="s">
        <v>27</v>
      </c>
      <c r="J45" s="13" t="s">
        <v>27</v>
      </c>
      <c r="K45" s="13" t="s">
        <v>27</v>
      </c>
      <c r="M45" s="13" t="s">
        <v>27</v>
      </c>
      <c r="N45" s="13" t="s">
        <v>27</v>
      </c>
      <c r="O45" s="13" t="s">
        <v>27</v>
      </c>
      <c r="P45" s="13" t="s">
        <v>27</v>
      </c>
      <c r="Q45" s="13" t="s">
        <v>27</v>
      </c>
      <c r="R45" s="13" t="s">
        <v>27</v>
      </c>
      <c r="S45" s="13" t="s">
        <v>27</v>
      </c>
      <c r="T45" s="13" t="s">
        <v>27</v>
      </c>
      <c r="U45" s="13" t="s">
        <v>27</v>
      </c>
      <c r="V45" s="13" t="s">
        <v>27</v>
      </c>
      <c r="W45" s="30" t="s">
        <v>27</v>
      </c>
      <c r="X45" s="30" t="s">
        <v>27</v>
      </c>
    </row>
    <row r="46" spans="1:24" ht="15.9" customHeight="1" x14ac:dyDescent="0.3">
      <c r="A46" s="2" t="s">
        <v>27</v>
      </c>
      <c r="B46" s="48" t="s">
        <v>27</v>
      </c>
      <c r="C46" s="120"/>
      <c r="D46" s="62"/>
      <c r="E46" s="120" t="s">
        <v>27</v>
      </c>
      <c r="F46" s="19"/>
      <c r="I46" s="13" t="s">
        <v>27</v>
      </c>
      <c r="J46" s="13" t="s">
        <v>27</v>
      </c>
      <c r="W46" s="63"/>
      <c r="X46" s="63"/>
    </row>
    <row r="47" spans="1:24" ht="15.9" customHeight="1" x14ac:dyDescent="0.3">
      <c r="A47" s="2" t="s">
        <v>27</v>
      </c>
      <c r="B47" s="48" t="s">
        <v>27</v>
      </c>
      <c r="C47" s="120"/>
      <c r="D47" s="62"/>
      <c r="E47" s="120" t="s">
        <v>27</v>
      </c>
      <c r="F47" s="19"/>
      <c r="I47" s="13" t="s">
        <v>27</v>
      </c>
      <c r="J47" s="13" t="s">
        <v>27</v>
      </c>
      <c r="W47" s="63"/>
      <c r="X47" s="63"/>
    </row>
    <row r="48" spans="1:24" ht="15.9" customHeight="1" x14ac:dyDescent="0.3">
      <c r="A48" s="2" t="s">
        <v>27</v>
      </c>
      <c r="B48" s="48" t="s">
        <v>27</v>
      </c>
      <c r="C48" s="120"/>
      <c r="D48" s="62"/>
      <c r="E48" s="120" t="s">
        <v>27</v>
      </c>
      <c r="F48" s="19"/>
      <c r="I48" s="13" t="s">
        <v>27</v>
      </c>
      <c r="J48" s="13" t="s">
        <v>27</v>
      </c>
      <c r="W48" s="63"/>
      <c r="X48" s="63"/>
    </row>
    <row r="49" spans="1:24" ht="15.9" customHeight="1" x14ac:dyDescent="0.3">
      <c r="A49" s="2" t="s">
        <v>27</v>
      </c>
      <c r="B49" s="48" t="s">
        <v>27</v>
      </c>
      <c r="C49" s="120"/>
      <c r="D49" s="62"/>
      <c r="E49" s="120" t="s">
        <v>27</v>
      </c>
      <c r="F49" s="19"/>
      <c r="I49" s="13" t="s">
        <v>27</v>
      </c>
      <c r="J49" s="13" t="s">
        <v>27</v>
      </c>
      <c r="W49" s="63"/>
      <c r="X49" s="63"/>
    </row>
    <row r="50" spans="1:24" ht="15.9" customHeight="1" x14ac:dyDescent="0.3">
      <c r="A50" s="2" t="s">
        <v>27</v>
      </c>
      <c r="B50" s="48" t="s">
        <v>27</v>
      </c>
      <c r="C50" s="120"/>
      <c r="D50" s="62"/>
      <c r="E50" s="120" t="s">
        <v>27</v>
      </c>
      <c r="F50" s="19"/>
      <c r="I50" s="13" t="s">
        <v>27</v>
      </c>
      <c r="J50" s="13" t="s">
        <v>27</v>
      </c>
      <c r="W50" s="63"/>
      <c r="X50" s="63"/>
    </row>
    <row r="51" spans="1:24" ht="15.9" customHeight="1" x14ac:dyDescent="0.3">
      <c r="A51" s="2" t="s">
        <v>27</v>
      </c>
      <c r="B51" s="48" t="s">
        <v>27</v>
      </c>
      <c r="C51" s="120"/>
      <c r="D51" s="62"/>
      <c r="E51" s="120" t="s">
        <v>27</v>
      </c>
      <c r="F51" s="19"/>
      <c r="I51" s="13" t="s">
        <v>27</v>
      </c>
      <c r="J51" s="13" t="s">
        <v>27</v>
      </c>
      <c r="K51" s="13" t="s">
        <v>27</v>
      </c>
      <c r="M51" s="13" t="s">
        <v>27</v>
      </c>
      <c r="N51" s="13" t="s">
        <v>27</v>
      </c>
      <c r="O51" s="13" t="s">
        <v>27</v>
      </c>
      <c r="P51" s="13" t="s">
        <v>27</v>
      </c>
      <c r="Q51" s="13" t="s">
        <v>27</v>
      </c>
      <c r="R51" s="13" t="s">
        <v>27</v>
      </c>
      <c r="S51" s="13" t="s">
        <v>27</v>
      </c>
      <c r="T51" s="13" t="s">
        <v>27</v>
      </c>
      <c r="U51" s="13" t="s">
        <v>27</v>
      </c>
      <c r="V51" s="13" t="s">
        <v>27</v>
      </c>
      <c r="W51" s="30" t="s">
        <v>27</v>
      </c>
      <c r="X51" s="30" t="s">
        <v>27</v>
      </c>
    </row>
    <row r="52" spans="1:24" ht="15.9" customHeight="1" x14ac:dyDescent="0.3">
      <c r="A52" s="2" t="s">
        <v>27</v>
      </c>
      <c r="B52" s="48" t="s">
        <v>27</v>
      </c>
      <c r="C52" s="120"/>
      <c r="D52" s="62"/>
      <c r="E52" s="120" t="s">
        <v>27</v>
      </c>
      <c r="F52" s="19"/>
      <c r="I52" s="13" t="s">
        <v>27</v>
      </c>
      <c r="J52" s="13" t="s">
        <v>27</v>
      </c>
      <c r="K52" s="13" t="s">
        <v>27</v>
      </c>
      <c r="M52" s="13" t="s">
        <v>27</v>
      </c>
      <c r="N52" s="13" t="s">
        <v>27</v>
      </c>
      <c r="O52" s="13" t="s">
        <v>27</v>
      </c>
      <c r="P52" s="13" t="s">
        <v>27</v>
      </c>
      <c r="Q52" s="13" t="s">
        <v>27</v>
      </c>
      <c r="R52" s="13" t="s">
        <v>27</v>
      </c>
      <c r="S52" s="13" t="s">
        <v>27</v>
      </c>
      <c r="T52" s="13" t="s">
        <v>27</v>
      </c>
      <c r="U52" s="13" t="s">
        <v>27</v>
      </c>
      <c r="V52" s="13" t="s">
        <v>27</v>
      </c>
      <c r="W52" s="30" t="s">
        <v>27</v>
      </c>
      <c r="X52" s="30" t="s">
        <v>27</v>
      </c>
    </row>
    <row r="53" spans="1:24" ht="15.9" customHeight="1" x14ac:dyDescent="0.3">
      <c r="A53" s="2" t="s">
        <v>27</v>
      </c>
      <c r="B53" s="48" t="s">
        <v>27</v>
      </c>
      <c r="C53" s="120"/>
      <c r="D53" s="62"/>
      <c r="E53" s="120" t="s">
        <v>27</v>
      </c>
      <c r="F53" s="19"/>
      <c r="I53" s="13" t="s">
        <v>27</v>
      </c>
      <c r="J53" s="13" t="s">
        <v>27</v>
      </c>
      <c r="K53" s="13" t="s">
        <v>27</v>
      </c>
      <c r="M53" s="13" t="s">
        <v>27</v>
      </c>
      <c r="N53" s="13" t="s">
        <v>27</v>
      </c>
      <c r="O53" s="13" t="s">
        <v>27</v>
      </c>
      <c r="P53" s="13" t="s">
        <v>27</v>
      </c>
      <c r="Q53" s="13" t="s">
        <v>27</v>
      </c>
      <c r="R53" s="13" t="s">
        <v>27</v>
      </c>
      <c r="S53" s="13" t="s">
        <v>27</v>
      </c>
      <c r="T53" s="13" t="s">
        <v>27</v>
      </c>
      <c r="U53" s="13" t="s">
        <v>27</v>
      </c>
      <c r="V53" s="13" t="s">
        <v>27</v>
      </c>
      <c r="W53" s="30" t="s">
        <v>27</v>
      </c>
      <c r="X53" s="30" t="s">
        <v>27</v>
      </c>
    </row>
    <row r="54" spans="1:24" ht="15.9" customHeight="1" x14ac:dyDescent="0.3">
      <c r="A54" s="2" t="s">
        <v>27</v>
      </c>
      <c r="B54" s="48" t="s">
        <v>27</v>
      </c>
      <c r="C54" s="120"/>
      <c r="D54" s="62"/>
      <c r="E54" s="120" t="s">
        <v>27</v>
      </c>
      <c r="F54" s="19"/>
      <c r="I54" s="13" t="s">
        <v>27</v>
      </c>
      <c r="J54" s="13" t="s">
        <v>27</v>
      </c>
      <c r="K54" s="13" t="s">
        <v>27</v>
      </c>
      <c r="M54" s="13" t="s">
        <v>27</v>
      </c>
      <c r="N54" s="13" t="s">
        <v>27</v>
      </c>
      <c r="O54" s="13" t="s">
        <v>27</v>
      </c>
      <c r="P54" s="13" t="s">
        <v>27</v>
      </c>
      <c r="Q54" s="13" t="s">
        <v>27</v>
      </c>
      <c r="R54" s="13" t="s">
        <v>27</v>
      </c>
      <c r="S54" s="13" t="s">
        <v>27</v>
      </c>
      <c r="T54" s="13" t="s">
        <v>27</v>
      </c>
      <c r="U54" s="13" t="s">
        <v>27</v>
      </c>
      <c r="V54" s="13" t="s">
        <v>27</v>
      </c>
      <c r="W54" s="30" t="s">
        <v>27</v>
      </c>
      <c r="X54" s="30" t="s">
        <v>27</v>
      </c>
    </row>
    <row r="55" spans="1:24" ht="15.9" customHeight="1" x14ac:dyDescent="0.3">
      <c r="A55" s="2" t="s">
        <v>27</v>
      </c>
      <c r="B55" s="48" t="s">
        <v>27</v>
      </c>
      <c r="C55" s="120"/>
      <c r="D55" s="62"/>
      <c r="E55" s="120" t="s">
        <v>27</v>
      </c>
      <c r="F55" s="19"/>
      <c r="I55" s="13" t="s">
        <v>27</v>
      </c>
      <c r="J55" s="13" t="s">
        <v>27</v>
      </c>
      <c r="K55" s="13" t="s">
        <v>27</v>
      </c>
      <c r="M55" s="13" t="s">
        <v>27</v>
      </c>
      <c r="N55" s="13" t="s">
        <v>27</v>
      </c>
      <c r="O55" s="13" t="s">
        <v>27</v>
      </c>
      <c r="P55" s="13" t="s">
        <v>27</v>
      </c>
      <c r="Q55" s="13" t="s">
        <v>27</v>
      </c>
      <c r="R55" s="13" t="s">
        <v>27</v>
      </c>
      <c r="S55" s="13" t="s">
        <v>27</v>
      </c>
      <c r="T55" s="13" t="s">
        <v>27</v>
      </c>
      <c r="U55" s="13" t="s">
        <v>27</v>
      </c>
      <c r="V55" s="13" t="s">
        <v>27</v>
      </c>
      <c r="W55" s="30" t="s">
        <v>27</v>
      </c>
      <c r="X55" s="30" t="s">
        <v>27</v>
      </c>
    </row>
    <row r="56" spans="1:24" ht="15.9" customHeight="1" x14ac:dyDescent="0.3">
      <c r="A56" s="2" t="s">
        <v>27</v>
      </c>
      <c r="B56" s="48" t="s">
        <v>27</v>
      </c>
      <c r="C56" s="120"/>
      <c r="D56" s="62"/>
      <c r="E56" s="120" t="s">
        <v>27</v>
      </c>
      <c r="F56" s="19"/>
      <c r="I56" s="13" t="s">
        <v>27</v>
      </c>
      <c r="J56" s="13" t="s">
        <v>27</v>
      </c>
      <c r="K56" s="13" t="s">
        <v>27</v>
      </c>
      <c r="M56" s="13" t="s">
        <v>27</v>
      </c>
      <c r="N56" s="13" t="s">
        <v>27</v>
      </c>
      <c r="O56" s="13" t="s">
        <v>27</v>
      </c>
      <c r="P56" s="13" t="s">
        <v>27</v>
      </c>
      <c r="Q56" s="13" t="s">
        <v>27</v>
      </c>
      <c r="R56" s="13" t="s">
        <v>27</v>
      </c>
      <c r="S56" s="13" t="s">
        <v>27</v>
      </c>
      <c r="T56" s="13" t="s">
        <v>27</v>
      </c>
      <c r="U56" s="13" t="s">
        <v>27</v>
      </c>
      <c r="V56" s="13" t="s">
        <v>27</v>
      </c>
      <c r="W56" s="30" t="s">
        <v>27</v>
      </c>
      <c r="X56" s="30" t="s">
        <v>27</v>
      </c>
    </row>
    <row r="57" spans="1:24" ht="15.9" customHeight="1" x14ac:dyDescent="0.3">
      <c r="A57" s="2" t="s">
        <v>27</v>
      </c>
      <c r="B57" s="48" t="s">
        <v>27</v>
      </c>
      <c r="C57" s="120"/>
      <c r="D57" s="62"/>
      <c r="E57" s="120" t="s">
        <v>27</v>
      </c>
      <c r="F57" s="19"/>
      <c r="I57" s="13" t="s">
        <v>27</v>
      </c>
      <c r="J57" s="13" t="s">
        <v>27</v>
      </c>
      <c r="K57" s="13" t="s">
        <v>27</v>
      </c>
      <c r="M57" s="13" t="s">
        <v>27</v>
      </c>
      <c r="N57" s="13" t="s">
        <v>27</v>
      </c>
      <c r="O57" s="13" t="s">
        <v>27</v>
      </c>
      <c r="P57" s="13" t="s">
        <v>27</v>
      </c>
      <c r="Q57" s="13" t="s">
        <v>27</v>
      </c>
      <c r="R57" s="13" t="s">
        <v>27</v>
      </c>
      <c r="S57" s="13" t="s">
        <v>27</v>
      </c>
      <c r="T57" s="13" t="s">
        <v>27</v>
      </c>
      <c r="U57" s="13" t="s">
        <v>27</v>
      </c>
      <c r="V57" s="13" t="s">
        <v>27</v>
      </c>
      <c r="W57" s="30" t="s">
        <v>27</v>
      </c>
      <c r="X57" s="30" t="s">
        <v>27</v>
      </c>
    </row>
    <row r="58" spans="1:24" ht="15.9" customHeight="1" x14ac:dyDescent="0.3">
      <c r="A58" s="2" t="s">
        <v>27</v>
      </c>
      <c r="B58" s="48" t="s">
        <v>27</v>
      </c>
      <c r="C58" s="120"/>
      <c r="D58" s="62"/>
      <c r="E58" s="120" t="s">
        <v>27</v>
      </c>
      <c r="F58" s="19"/>
      <c r="I58" s="48" t="s">
        <v>27</v>
      </c>
      <c r="J58" s="48" t="s">
        <v>27</v>
      </c>
      <c r="K58" s="48" t="s">
        <v>27</v>
      </c>
      <c r="L58" s="19"/>
      <c r="M58" s="48" t="s">
        <v>27</v>
      </c>
      <c r="N58" s="48" t="s">
        <v>27</v>
      </c>
      <c r="O58" s="48" t="s">
        <v>27</v>
      </c>
      <c r="P58" s="30" t="s">
        <v>27</v>
      </c>
      <c r="Q58" s="30" t="s">
        <v>27</v>
      </c>
      <c r="R58" s="30" t="s">
        <v>27</v>
      </c>
      <c r="S58" s="30" t="s">
        <v>27</v>
      </c>
      <c r="T58" s="30" t="s">
        <v>27</v>
      </c>
      <c r="U58" s="30" t="s">
        <v>27</v>
      </c>
      <c r="V58" s="30" t="s">
        <v>27</v>
      </c>
      <c r="W58" s="30" t="s">
        <v>27</v>
      </c>
      <c r="X58" s="30" t="s">
        <v>27</v>
      </c>
    </row>
    <row r="59" spans="1:24" ht="15.9" customHeight="1" x14ac:dyDescent="0.3">
      <c r="A59" s="2" t="s">
        <v>27</v>
      </c>
      <c r="B59" s="48" t="s">
        <v>27</v>
      </c>
      <c r="C59" s="120"/>
      <c r="D59" s="62"/>
      <c r="E59" s="120" t="s">
        <v>27</v>
      </c>
      <c r="F59" s="19"/>
      <c r="I59" s="48" t="s">
        <v>27</v>
      </c>
      <c r="J59" s="48" t="s">
        <v>27</v>
      </c>
      <c r="K59" s="48" t="s">
        <v>27</v>
      </c>
      <c r="L59" s="19"/>
      <c r="M59" s="48" t="s">
        <v>27</v>
      </c>
      <c r="N59" s="48" t="s">
        <v>27</v>
      </c>
      <c r="O59" s="48" t="s">
        <v>27</v>
      </c>
      <c r="P59" s="30" t="s">
        <v>27</v>
      </c>
      <c r="Q59" s="30" t="s">
        <v>27</v>
      </c>
      <c r="R59" s="30" t="s">
        <v>27</v>
      </c>
      <c r="S59" s="30" t="s">
        <v>27</v>
      </c>
      <c r="T59" s="30" t="s">
        <v>27</v>
      </c>
      <c r="U59" s="30" t="s">
        <v>27</v>
      </c>
      <c r="V59" s="30" t="s">
        <v>27</v>
      </c>
      <c r="W59" s="30" t="s">
        <v>27</v>
      </c>
      <c r="X59" s="30" t="s">
        <v>27</v>
      </c>
    </row>
    <row r="60" spans="1:24" ht="15.9" customHeight="1" x14ac:dyDescent="0.3">
      <c r="A60" s="2" t="s">
        <v>27</v>
      </c>
      <c r="B60" s="48" t="s">
        <v>27</v>
      </c>
      <c r="C60" s="120"/>
      <c r="D60" s="62"/>
      <c r="E60" s="120" t="s">
        <v>27</v>
      </c>
      <c r="F60" s="19"/>
      <c r="I60" s="48" t="s">
        <v>27</v>
      </c>
      <c r="J60" s="48" t="s">
        <v>27</v>
      </c>
      <c r="K60" s="48" t="s">
        <v>27</v>
      </c>
      <c r="L60" s="19"/>
      <c r="M60" s="48" t="s">
        <v>27</v>
      </c>
      <c r="N60" s="48" t="s">
        <v>27</v>
      </c>
      <c r="O60" s="48" t="s">
        <v>27</v>
      </c>
      <c r="P60" s="30" t="s">
        <v>27</v>
      </c>
      <c r="Q60" s="30" t="s">
        <v>27</v>
      </c>
      <c r="R60" s="30" t="s">
        <v>27</v>
      </c>
      <c r="S60" s="30" t="s">
        <v>27</v>
      </c>
      <c r="T60" s="30" t="s">
        <v>27</v>
      </c>
      <c r="U60" s="30" t="s">
        <v>27</v>
      </c>
      <c r="V60" s="30" t="s">
        <v>27</v>
      </c>
      <c r="W60" s="30" t="s">
        <v>27</v>
      </c>
      <c r="X60" s="30" t="s">
        <v>27</v>
      </c>
    </row>
    <row r="61" spans="1:24" ht="15.9" customHeight="1" x14ac:dyDescent="0.3">
      <c r="A61" s="2" t="s">
        <v>27</v>
      </c>
      <c r="B61" s="48" t="s">
        <v>27</v>
      </c>
      <c r="C61" s="120"/>
      <c r="D61" s="62"/>
      <c r="E61" s="120" t="s">
        <v>27</v>
      </c>
      <c r="F61" s="19"/>
      <c r="I61" s="48" t="s">
        <v>27</v>
      </c>
      <c r="J61" s="48" t="s">
        <v>27</v>
      </c>
      <c r="K61" s="48" t="s">
        <v>27</v>
      </c>
      <c r="L61" s="19"/>
      <c r="M61" s="48" t="s">
        <v>27</v>
      </c>
      <c r="N61" s="48" t="s">
        <v>27</v>
      </c>
      <c r="O61" s="48" t="s">
        <v>27</v>
      </c>
      <c r="P61" s="30" t="s">
        <v>27</v>
      </c>
      <c r="Q61" s="30" t="s">
        <v>27</v>
      </c>
      <c r="R61" s="30" t="s">
        <v>27</v>
      </c>
      <c r="S61" s="30" t="s">
        <v>27</v>
      </c>
      <c r="T61" s="30" t="s">
        <v>27</v>
      </c>
      <c r="U61" s="30" t="s">
        <v>27</v>
      </c>
      <c r="V61" s="30" t="s">
        <v>27</v>
      </c>
      <c r="W61" s="30" t="s">
        <v>27</v>
      </c>
      <c r="X61" s="30" t="s">
        <v>27</v>
      </c>
    </row>
    <row r="62" spans="1:24" ht="15.9" customHeight="1" x14ac:dyDescent="0.3">
      <c r="A62" s="2" t="s">
        <v>27</v>
      </c>
      <c r="B62" s="48" t="s">
        <v>27</v>
      </c>
      <c r="C62" s="120"/>
      <c r="D62" s="62"/>
      <c r="E62" s="120" t="s">
        <v>27</v>
      </c>
      <c r="F62" s="19"/>
      <c r="I62" s="48" t="s">
        <v>27</v>
      </c>
      <c r="J62" s="48" t="s">
        <v>27</v>
      </c>
      <c r="K62" s="48" t="s">
        <v>27</v>
      </c>
      <c r="L62" s="19"/>
      <c r="M62" s="48" t="s">
        <v>27</v>
      </c>
      <c r="N62" s="48" t="s">
        <v>27</v>
      </c>
      <c r="O62" s="48" t="s">
        <v>27</v>
      </c>
      <c r="P62" s="30" t="s">
        <v>27</v>
      </c>
      <c r="Q62" s="30" t="s">
        <v>27</v>
      </c>
      <c r="R62" s="30" t="s">
        <v>27</v>
      </c>
      <c r="S62" s="30" t="s">
        <v>27</v>
      </c>
      <c r="T62" s="30" t="s">
        <v>27</v>
      </c>
      <c r="U62" s="30" t="s">
        <v>27</v>
      </c>
      <c r="V62" s="30" t="s">
        <v>27</v>
      </c>
      <c r="W62" s="30" t="s">
        <v>27</v>
      </c>
      <c r="X62" s="30" t="s">
        <v>27</v>
      </c>
    </row>
    <row r="63" spans="1:24" ht="15.9" customHeight="1" x14ac:dyDescent="0.3">
      <c r="A63" s="2" t="s">
        <v>27</v>
      </c>
      <c r="B63" s="48" t="s">
        <v>27</v>
      </c>
      <c r="C63" s="120"/>
      <c r="D63" s="62"/>
      <c r="E63" s="120" t="s">
        <v>27</v>
      </c>
      <c r="F63" s="19"/>
      <c r="I63" s="48" t="s">
        <v>27</v>
      </c>
      <c r="J63" s="48" t="s">
        <v>27</v>
      </c>
      <c r="K63" s="48" t="s">
        <v>27</v>
      </c>
      <c r="L63" s="19"/>
      <c r="M63" s="48" t="s">
        <v>27</v>
      </c>
      <c r="N63" s="48" t="s">
        <v>27</v>
      </c>
      <c r="O63" s="48" t="s">
        <v>27</v>
      </c>
      <c r="P63" s="30" t="s">
        <v>27</v>
      </c>
      <c r="Q63" s="30" t="s">
        <v>27</v>
      </c>
      <c r="R63" s="30" t="s">
        <v>27</v>
      </c>
      <c r="S63" s="30" t="s">
        <v>27</v>
      </c>
      <c r="T63" s="30" t="s">
        <v>27</v>
      </c>
      <c r="U63" s="30" t="s">
        <v>27</v>
      </c>
      <c r="V63" s="30" t="s">
        <v>27</v>
      </c>
      <c r="W63" s="30" t="s">
        <v>27</v>
      </c>
      <c r="X63" s="30" t="s">
        <v>27</v>
      </c>
    </row>
    <row r="64" spans="1:24" ht="15.9" customHeight="1" x14ac:dyDescent="0.3">
      <c r="A64" s="2" t="s">
        <v>27</v>
      </c>
      <c r="B64" s="48" t="s">
        <v>27</v>
      </c>
      <c r="C64" s="120"/>
      <c r="D64" s="62"/>
      <c r="E64" s="120" t="s">
        <v>27</v>
      </c>
      <c r="F64" s="19"/>
      <c r="I64" s="48" t="s">
        <v>27</v>
      </c>
      <c r="J64" s="48" t="s">
        <v>27</v>
      </c>
      <c r="K64" s="48" t="s">
        <v>27</v>
      </c>
      <c r="L64" s="19"/>
      <c r="M64" s="48" t="s">
        <v>27</v>
      </c>
      <c r="N64" s="48" t="s">
        <v>27</v>
      </c>
      <c r="O64" s="48" t="s">
        <v>27</v>
      </c>
      <c r="P64" s="30" t="s">
        <v>27</v>
      </c>
      <c r="Q64" s="30" t="s">
        <v>27</v>
      </c>
      <c r="R64" s="30" t="s">
        <v>27</v>
      </c>
      <c r="S64" s="30" t="s">
        <v>27</v>
      </c>
      <c r="T64" s="30" t="s">
        <v>27</v>
      </c>
      <c r="U64" s="30" t="s">
        <v>27</v>
      </c>
      <c r="V64" s="30" t="s">
        <v>27</v>
      </c>
      <c r="W64" s="30" t="s">
        <v>27</v>
      </c>
      <c r="X64" s="30" t="s">
        <v>27</v>
      </c>
    </row>
    <row r="65" spans="1:24" ht="15.9" customHeight="1" x14ac:dyDescent="0.3">
      <c r="A65" s="2" t="s">
        <v>27</v>
      </c>
      <c r="B65" s="48" t="s">
        <v>27</v>
      </c>
      <c r="C65" s="120"/>
      <c r="D65" s="62"/>
      <c r="E65" s="120"/>
      <c r="F65" s="19"/>
      <c r="I65" s="48"/>
      <c r="J65" s="48"/>
      <c r="K65" s="48"/>
      <c r="L65" s="19"/>
      <c r="M65" s="48"/>
      <c r="N65" s="48"/>
      <c r="O65" s="48"/>
      <c r="P65" s="30"/>
      <c r="Q65" s="30"/>
      <c r="R65" s="30"/>
      <c r="S65" s="30"/>
      <c r="T65" s="30"/>
      <c r="U65" s="30"/>
      <c r="V65" s="30"/>
      <c r="W65" s="30"/>
      <c r="X65" s="30"/>
    </row>
    <row r="66" spans="1:24" ht="15.9" customHeight="1" x14ac:dyDescent="0.3">
      <c r="A66" s="2" t="s">
        <v>27</v>
      </c>
      <c r="B66" s="48" t="s">
        <v>27</v>
      </c>
      <c r="C66" s="120"/>
      <c r="D66" s="62"/>
      <c r="E66" s="120"/>
      <c r="F66" s="19"/>
      <c r="I66" s="48"/>
      <c r="J66" s="48"/>
      <c r="K66" s="48"/>
      <c r="L66" s="19"/>
      <c r="M66" s="48"/>
      <c r="N66" s="48"/>
      <c r="O66" s="48"/>
      <c r="P66" s="30"/>
      <c r="Q66" s="30"/>
      <c r="R66" s="30"/>
      <c r="S66" s="30"/>
      <c r="T66" s="30"/>
      <c r="U66" s="30"/>
      <c r="V66" s="30"/>
      <c r="W66" s="30"/>
      <c r="X66" s="30"/>
    </row>
    <row r="67" spans="1:24" ht="15.9" customHeight="1" x14ac:dyDescent="0.3">
      <c r="A67" s="2" t="s">
        <v>27</v>
      </c>
      <c r="B67" s="48" t="s">
        <v>27</v>
      </c>
      <c r="C67" s="120"/>
      <c r="D67" s="62"/>
      <c r="E67" s="120"/>
      <c r="F67" s="19"/>
      <c r="I67" s="48"/>
      <c r="J67" s="48"/>
      <c r="K67" s="48"/>
      <c r="L67" s="19"/>
      <c r="M67" s="48"/>
      <c r="N67" s="48"/>
      <c r="O67" s="48"/>
      <c r="P67" s="30"/>
      <c r="Q67" s="30"/>
      <c r="R67" s="30"/>
      <c r="S67" s="30"/>
      <c r="T67" s="30"/>
      <c r="U67" s="30"/>
      <c r="V67" s="30"/>
      <c r="W67" s="30"/>
      <c r="X67" s="30"/>
    </row>
    <row r="68" spans="1:24" ht="15.9" customHeight="1" x14ac:dyDescent="0.3">
      <c r="A68" s="2" t="s">
        <v>27</v>
      </c>
      <c r="B68" s="48" t="s">
        <v>27</v>
      </c>
      <c r="C68" s="120"/>
      <c r="D68" s="62"/>
      <c r="E68" s="120"/>
      <c r="F68" s="19"/>
      <c r="I68" s="48"/>
      <c r="J68" s="48"/>
      <c r="K68" s="48"/>
      <c r="L68" s="19"/>
      <c r="M68" s="48"/>
      <c r="N68" s="48"/>
      <c r="O68" s="48"/>
      <c r="P68" s="30"/>
      <c r="Q68" s="30"/>
      <c r="R68" s="30"/>
      <c r="S68" s="30"/>
      <c r="T68" s="30"/>
      <c r="U68" s="30"/>
      <c r="V68" s="30"/>
      <c r="W68" s="30"/>
      <c r="X68" s="30"/>
    </row>
    <row r="69" spans="1:24" ht="15.9" customHeight="1" x14ac:dyDescent="0.3">
      <c r="A69" s="2" t="s">
        <v>27</v>
      </c>
      <c r="B69" s="48" t="s">
        <v>27</v>
      </c>
      <c r="C69" s="120"/>
      <c r="D69" s="62"/>
      <c r="E69" s="120"/>
      <c r="F69" s="19"/>
      <c r="I69" s="48"/>
      <c r="J69" s="48"/>
      <c r="K69" s="48"/>
      <c r="L69" s="19"/>
      <c r="M69" s="48"/>
      <c r="N69" s="48"/>
      <c r="O69" s="48"/>
      <c r="P69" s="30"/>
      <c r="Q69" s="30"/>
      <c r="R69" s="30"/>
      <c r="S69" s="30"/>
      <c r="T69" s="30"/>
      <c r="U69" s="30"/>
      <c r="V69" s="30"/>
      <c r="W69" s="30"/>
      <c r="X69" s="30"/>
    </row>
    <row r="70" spans="1:24" ht="15.9" customHeight="1" x14ac:dyDescent="0.3">
      <c r="A70" s="2" t="s">
        <v>27</v>
      </c>
      <c r="B70" s="48" t="s">
        <v>27</v>
      </c>
      <c r="C70" s="120"/>
      <c r="D70" s="62"/>
      <c r="E70" s="120"/>
      <c r="F70" s="19"/>
      <c r="I70" s="48"/>
      <c r="J70" s="48"/>
      <c r="K70" s="48"/>
      <c r="L70" s="19"/>
      <c r="M70" s="48"/>
      <c r="N70" s="48"/>
      <c r="O70" s="48"/>
      <c r="P70" s="30"/>
      <c r="Q70" s="30"/>
      <c r="R70" s="30"/>
      <c r="S70" s="30"/>
      <c r="T70" s="30"/>
      <c r="U70" s="30"/>
      <c r="V70" s="30"/>
      <c r="W70" s="30"/>
      <c r="X70" s="30"/>
    </row>
    <row r="71" spans="1:24" ht="15.9" customHeight="1" x14ac:dyDescent="0.3">
      <c r="A71" s="2" t="s">
        <v>27</v>
      </c>
      <c r="B71" s="48" t="s">
        <v>27</v>
      </c>
      <c r="C71" s="120"/>
      <c r="D71" s="62"/>
      <c r="E71" s="120"/>
      <c r="F71" s="19"/>
      <c r="I71" s="48"/>
      <c r="J71" s="48"/>
      <c r="K71" s="48"/>
      <c r="L71" s="19"/>
      <c r="M71" s="48"/>
      <c r="N71" s="48"/>
      <c r="O71" s="48"/>
      <c r="P71" s="30"/>
      <c r="Q71" s="30"/>
      <c r="R71" s="30"/>
      <c r="S71" s="30"/>
      <c r="T71" s="30"/>
      <c r="U71" s="30"/>
      <c r="V71" s="30"/>
      <c r="W71" s="30"/>
      <c r="X71" s="30"/>
    </row>
    <row r="72" spans="1:24" ht="15.9" customHeight="1" x14ac:dyDescent="0.3">
      <c r="A72" s="2" t="s">
        <v>27</v>
      </c>
      <c r="B72" s="48" t="s">
        <v>27</v>
      </c>
      <c r="C72" s="120"/>
      <c r="D72" s="62"/>
      <c r="E72" s="120"/>
      <c r="F72" s="19"/>
      <c r="I72" s="48"/>
      <c r="J72" s="48"/>
      <c r="K72" s="48"/>
      <c r="L72" s="19"/>
      <c r="M72" s="48"/>
      <c r="N72" s="48"/>
      <c r="O72" s="48"/>
      <c r="P72" s="30"/>
      <c r="Q72" s="30"/>
      <c r="R72" s="30"/>
      <c r="S72" s="30"/>
      <c r="T72" s="30"/>
      <c r="U72" s="30"/>
      <c r="V72" s="30"/>
      <c r="W72" s="30"/>
      <c r="X72" s="30"/>
    </row>
    <row r="73" spans="1:24" ht="15.9" customHeight="1" x14ac:dyDescent="0.3">
      <c r="A73" s="2" t="s">
        <v>27</v>
      </c>
      <c r="B73" s="48" t="s">
        <v>27</v>
      </c>
      <c r="C73" s="120"/>
      <c r="D73" s="62"/>
      <c r="E73" s="120"/>
      <c r="F73" s="19"/>
      <c r="I73" s="48"/>
      <c r="J73" s="48"/>
      <c r="K73" s="48"/>
      <c r="L73" s="19"/>
      <c r="M73" s="48"/>
      <c r="N73" s="48"/>
      <c r="O73" s="48"/>
      <c r="P73" s="30"/>
      <c r="Q73" s="30"/>
      <c r="R73" s="30"/>
      <c r="S73" s="30"/>
      <c r="T73" s="30"/>
      <c r="U73" s="30"/>
      <c r="V73" s="30"/>
      <c r="W73" s="30"/>
      <c r="X73" s="30"/>
    </row>
    <row r="74" spans="1:24" ht="15.9" customHeight="1" x14ac:dyDescent="0.3">
      <c r="A74" s="2" t="s">
        <v>27</v>
      </c>
      <c r="B74" s="48" t="s">
        <v>27</v>
      </c>
      <c r="C74" s="120"/>
      <c r="D74" s="62"/>
      <c r="E74" s="120"/>
      <c r="F74" s="19"/>
      <c r="I74" s="48"/>
      <c r="J74" s="48"/>
      <c r="K74" s="48"/>
      <c r="L74" s="19"/>
      <c r="M74" s="48"/>
      <c r="N74" s="48"/>
      <c r="O74" s="48"/>
      <c r="P74" s="30"/>
      <c r="Q74" s="30"/>
      <c r="R74" s="30"/>
      <c r="S74" s="30"/>
      <c r="T74" s="30"/>
      <c r="U74" s="30"/>
      <c r="V74" s="30"/>
      <c r="W74" s="30"/>
      <c r="X74" s="30"/>
    </row>
    <row r="75" spans="1:24" ht="15.9" customHeight="1" x14ac:dyDescent="0.3">
      <c r="A75" s="2" t="s">
        <v>27</v>
      </c>
      <c r="B75" s="48" t="s">
        <v>27</v>
      </c>
      <c r="C75" s="120"/>
      <c r="D75" s="62"/>
      <c r="E75" s="120"/>
      <c r="F75" s="19"/>
      <c r="I75" s="48"/>
      <c r="J75" s="48"/>
      <c r="K75" s="48"/>
      <c r="L75" s="19"/>
      <c r="M75" s="48"/>
      <c r="N75" s="48"/>
      <c r="O75" s="48"/>
      <c r="P75" s="30"/>
      <c r="Q75" s="30"/>
      <c r="R75" s="30"/>
      <c r="S75" s="30"/>
      <c r="T75" s="30"/>
      <c r="U75" s="30"/>
      <c r="V75" s="30"/>
      <c r="W75" s="30"/>
      <c r="X75" s="30"/>
    </row>
    <row r="76" spans="1:24" ht="15.9" customHeight="1" x14ac:dyDescent="0.3">
      <c r="A76" s="2" t="s">
        <v>27</v>
      </c>
      <c r="B76" s="48" t="s">
        <v>27</v>
      </c>
      <c r="C76" s="120"/>
      <c r="D76" s="62"/>
      <c r="E76" s="120"/>
      <c r="F76" s="19"/>
      <c r="I76" s="48"/>
      <c r="J76" s="48"/>
      <c r="K76" s="48"/>
      <c r="L76" s="19"/>
      <c r="M76" s="48"/>
      <c r="N76" s="48"/>
      <c r="O76" s="48"/>
      <c r="P76" s="30"/>
      <c r="Q76" s="30"/>
      <c r="R76" s="30"/>
      <c r="S76" s="30"/>
      <c r="T76" s="30"/>
      <c r="U76" s="30"/>
      <c r="V76" s="30"/>
      <c r="W76" s="30"/>
      <c r="X76" s="30"/>
    </row>
    <row r="77" spans="1:24" ht="15.9" customHeight="1" x14ac:dyDescent="0.3">
      <c r="A77" s="2" t="s">
        <v>27</v>
      </c>
      <c r="B77" s="48" t="s">
        <v>27</v>
      </c>
      <c r="C77" s="120"/>
      <c r="D77" s="62"/>
      <c r="E77" s="120"/>
      <c r="F77" s="19"/>
      <c r="I77" s="48"/>
      <c r="J77" s="48"/>
      <c r="K77" s="48"/>
      <c r="L77" s="19"/>
      <c r="M77" s="48"/>
      <c r="N77" s="48"/>
      <c r="O77" s="48"/>
      <c r="P77" s="30"/>
      <c r="Q77" s="30"/>
      <c r="R77" s="30"/>
      <c r="S77" s="30"/>
      <c r="T77" s="30"/>
      <c r="U77" s="30"/>
      <c r="V77" s="30"/>
      <c r="W77" s="30"/>
      <c r="X77" s="30"/>
    </row>
    <row r="78" spans="1:24" ht="15.9" customHeight="1" x14ac:dyDescent="0.3">
      <c r="A78" s="2" t="s">
        <v>27</v>
      </c>
      <c r="B78" s="48" t="s">
        <v>27</v>
      </c>
      <c r="C78" s="120"/>
      <c r="D78" s="62"/>
      <c r="E78" s="120"/>
      <c r="F78" s="19"/>
      <c r="I78" s="48"/>
      <c r="J78" s="48"/>
      <c r="K78" s="48"/>
      <c r="L78" s="19"/>
      <c r="M78" s="48"/>
      <c r="N78" s="48"/>
      <c r="O78" s="48"/>
      <c r="P78" s="30"/>
      <c r="Q78" s="30"/>
      <c r="R78" s="30"/>
      <c r="S78" s="30"/>
      <c r="T78" s="30"/>
      <c r="U78" s="30"/>
      <c r="V78" s="30"/>
      <c r="W78" s="30"/>
      <c r="X78" s="30"/>
    </row>
    <row r="79" spans="1:24" ht="15.9" customHeight="1" x14ac:dyDescent="0.3">
      <c r="A79" s="2" t="s">
        <v>27</v>
      </c>
      <c r="B79" s="48" t="s">
        <v>27</v>
      </c>
      <c r="C79" s="120"/>
      <c r="D79" s="62"/>
      <c r="E79" s="120"/>
      <c r="F79" s="19"/>
      <c r="I79" s="48"/>
      <c r="J79" s="48"/>
      <c r="K79" s="48"/>
      <c r="L79" s="19"/>
      <c r="M79" s="48"/>
      <c r="N79" s="48"/>
      <c r="O79" s="48"/>
      <c r="P79" s="30"/>
      <c r="Q79" s="30"/>
      <c r="R79" s="30"/>
      <c r="S79" s="30"/>
      <c r="T79" s="30"/>
      <c r="U79" s="30"/>
      <c r="V79" s="30"/>
      <c r="W79" s="30"/>
      <c r="X79" s="30"/>
    </row>
    <row r="80" spans="1:24" ht="15.9" customHeight="1" x14ac:dyDescent="0.3">
      <c r="A80" s="2" t="s">
        <v>27</v>
      </c>
      <c r="B80" s="48" t="s">
        <v>27</v>
      </c>
      <c r="C80" s="120"/>
      <c r="D80" s="62"/>
      <c r="E80" s="120"/>
      <c r="F80" s="19"/>
      <c r="I80" s="48"/>
      <c r="J80" s="48"/>
      <c r="K80" s="48"/>
      <c r="L80" s="19"/>
      <c r="M80" s="48"/>
      <c r="N80" s="48"/>
      <c r="O80" s="48"/>
      <c r="P80" s="30"/>
      <c r="Q80" s="30"/>
      <c r="R80" s="30"/>
      <c r="S80" s="30"/>
      <c r="T80" s="30"/>
      <c r="U80" s="30"/>
      <c r="V80" s="30"/>
      <c r="W80" s="30"/>
      <c r="X80" s="30"/>
    </row>
    <row r="81" spans="1:24" ht="15.9" customHeight="1" x14ac:dyDescent="0.3">
      <c r="A81" s="2" t="s">
        <v>27</v>
      </c>
      <c r="B81" s="48" t="s">
        <v>27</v>
      </c>
      <c r="C81" s="120"/>
      <c r="D81" s="62"/>
      <c r="E81" s="120"/>
      <c r="F81" s="19"/>
      <c r="I81" s="48"/>
      <c r="J81" s="48"/>
      <c r="K81" s="48"/>
      <c r="L81" s="19"/>
      <c r="M81" s="48"/>
      <c r="N81" s="48"/>
      <c r="O81" s="48"/>
      <c r="P81" s="30"/>
      <c r="Q81" s="30"/>
      <c r="R81" s="30"/>
      <c r="S81" s="30"/>
      <c r="T81" s="30"/>
      <c r="U81" s="30"/>
      <c r="V81" s="30"/>
      <c r="W81" s="30"/>
      <c r="X81" s="30"/>
    </row>
    <row r="82" spans="1:24" ht="15.9" customHeight="1" x14ac:dyDescent="0.3">
      <c r="A82" s="2" t="s">
        <v>27</v>
      </c>
      <c r="B82" s="48" t="s">
        <v>27</v>
      </c>
      <c r="C82" s="120"/>
      <c r="D82" s="62"/>
      <c r="E82" s="120"/>
      <c r="F82" s="19"/>
      <c r="I82" s="48"/>
      <c r="J82" s="48"/>
      <c r="K82" s="48"/>
      <c r="L82" s="19"/>
      <c r="M82" s="48"/>
      <c r="N82" s="48"/>
      <c r="O82" s="48"/>
      <c r="P82" s="30"/>
      <c r="Q82" s="30"/>
      <c r="R82" s="30"/>
      <c r="S82" s="30"/>
      <c r="T82" s="30"/>
      <c r="U82" s="30"/>
      <c r="V82" s="30"/>
      <c r="W82" s="30"/>
      <c r="X82" s="30"/>
    </row>
    <row r="83" spans="1:24" ht="15.9" customHeight="1" x14ac:dyDescent="0.3">
      <c r="A83" s="2" t="s">
        <v>27</v>
      </c>
      <c r="B83" s="48" t="s">
        <v>27</v>
      </c>
      <c r="C83" s="120"/>
      <c r="D83" s="62"/>
      <c r="E83" s="120"/>
      <c r="F83" s="19"/>
      <c r="I83" s="48"/>
      <c r="J83" s="48"/>
      <c r="K83" s="48"/>
      <c r="L83" s="19"/>
      <c r="M83" s="48"/>
      <c r="N83" s="48"/>
      <c r="O83" s="48"/>
      <c r="P83" s="30"/>
      <c r="Q83" s="30"/>
      <c r="R83" s="30"/>
      <c r="S83" s="30"/>
      <c r="T83" s="30"/>
      <c r="U83" s="30"/>
      <c r="V83" s="30"/>
      <c r="W83" s="30"/>
      <c r="X83" s="30"/>
    </row>
    <row r="84" spans="1:24" ht="15.9" customHeight="1" x14ac:dyDescent="0.3">
      <c r="A84" s="2" t="s">
        <v>27</v>
      </c>
      <c r="B84" s="48" t="s">
        <v>27</v>
      </c>
      <c r="C84" s="120"/>
      <c r="D84" s="62"/>
      <c r="E84" s="120"/>
      <c r="F84" s="19"/>
      <c r="I84" s="48"/>
      <c r="J84" s="48"/>
      <c r="K84" s="48"/>
      <c r="L84" s="19"/>
      <c r="M84" s="48"/>
      <c r="N84" s="48"/>
      <c r="O84" s="48"/>
      <c r="P84" s="30"/>
      <c r="Q84" s="30"/>
      <c r="R84" s="30"/>
      <c r="S84" s="30"/>
      <c r="T84" s="30"/>
      <c r="U84" s="30"/>
      <c r="V84" s="30"/>
      <c r="W84" s="30"/>
      <c r="X84" s="30"/>
    </row>
    <row r="85" spans="1:24" ht="15.9" customHeight="1" x14ac:dyDescent="0.3">
      <c r="A85" s="2" t="s">
        <v>27</v>
      </c>
      <c r="B85" s="48" t="s">
        <v>27</v>
      </c>
      <c r="C85" s="120"/>
      <c r="D85" s="62"/>
      <c r="E85" s="120"/>
      <c r="F85" s="19"/>
      <c r="I85" s="48"/>
      <c r="J85" s="48"/>
      <c r="K85" s="48"/>
      <c r="L85" s="19"/>
      <c r="M85" s="48"/>
      <c r="N85" s="48"/>
      <c r="O85" s="48"/>
      <c r="P85" s="30"/>
      <c r="Q85" s="30"/>
      <c r="R85" s="30"/>
      <c r="S85" s="30"/>
      <c r="T85" s="30"/>
      <c r="U85" s="30"/>
      <c r="V85" s="30"/>
      <c r="W85" s="30"/>
      <c r="X85" s="30"/>
    </row>
    <row r="86" spans="1:24" ht="15.9" customHeight="1" x14ac:dyDescent="0.3">
      <c r="A86" s="2" t="s">
        <v>27</v>
      </c>
      <c r="B86" s="48" t="s">
        <v>27</v>
      </c>
      <c r="C86" s="120"/>
      <c r="D86" s="62"/>
      <c r="E86" s="120"/>
      <c r="F86" s="19"/>
      <c r="I86" s="48"/>
      <c r="J86" s="48"/>
      <c r="K86" s="48"/>
      <c r="L86" s="19"/>
      <c r="M86" s="48"/>
      <c r="N86" s="48"/>
      <c r="O86" s="48"/>
      <c r="P86" s="30"/>
      <c r="Q86" s="30"/>
      <c r="R86" s="30"/>
      <c r="S86" s="30"/>
      <c r="T86" s="30"/>
      <c r="U86" s="30"/>
      <c r="V86" s="30"/>
      <c r="W86" s="30"/>
      <c r="X86" s="30"/>
    </row>
    <row r="87" spans="1:24" ht="15.9" customHeight="1" x14ac:dyDescent="0.3">
      <c r="A87" s="2" t="s">
        <v>27</v>
      </c>
      <c r="B87" s="48" t="s">
        <v>27</v>
      </c>
      <c r="C87" s="120"/>
      <c r="D87" s="62"/>
      <c r="E87" s="120"/>
      <c r="F87" s="19"/>
      <c r="I87" s="48"/>
      <c r="J87" s="48"/>
      <c r="K87" s="48"/>
      <c r="L87" s="19"/>
      <c r="M87" s="48"/>
      <c r="N87" s="48"/>
      <c r="O87" s="48"/>
      <c r="P87" s="30"/>
      <c r="Q87" s="30"/>
      <c r="R87" s="30"/>
      <c r="S87" s="30"/>
      <c r="T87" s="30"/>
      <c r="U87" s="30"/>
      <c r="V87" s="30"/>
      <c r="W87" s="30"/>
      <c r="X87" s="30"/>
    </row>
    <row r="88" spans="1:24" ht="15.9" customHeight="1" x14ac:dyDescent="0.3">
      <c r="A88" s="2" t="s">
        <v>27</v>
      </c>
      <c r="B88" s="48" t="s">
        <v>27</v>
      </c>
      <c r="C88" s="120"/>
      <c r="D88" s="62"/>
      <c r="E88" s="120"/>
      <c r="F88" s="19"/>
      <c r="I88" s="48"/>
      <c r="J88" s="48"/>
      <c r="K88" s="48"/>
      <c r="L88" s="19"/>
      <c r="M88" s="48"/>
      <c r="N88" s="48"/>
      <c r="O88" s="48"/>
      <c r="P88" s="30"/>
      <c r="Q88" s="30"/>
      <c r="R88" s="30"/>
      <c r="S88" s="30"/>
      <c r="T88" s="30"/>
      <c r="U88" s="30"/>
      <c r="V88" s="30"/>
      <c r="W88" s="30"/>
      <c r="X88" s="30"/>
    </row>
    <row r="89" spans="1:24" ht="15.9" customHeight="1" x14ac:dyDescent="0.3">
      <c r="A89" s="2" t="s">
        <v>27</v>
      </c>
      <c r="B89" s="48" t="s">
        <v>27</v>
      </c>
      <c r="C89" s="120"/>
      <c r="D89" s="62"/>
      <c r="E89" s="120"/>
      <c r="F89" s="19"/>
      <c r="I89" s="48"/>
      <c r="J89" s="48"/>
      <c r="K89" s="48"/>
      <c r="L89" s="19"/>
      <c r="M89" s="48"/>
      <c r="N89" s="48"/>
      <c r="O89" s="48"/>
      <c r="P89" s="30"/>
      <c r="Q89" s="30"/>
      <c r="R89" s="30"/>
      <c r="S89" s="30"/>
      <c r="T89" s="30"/>
      <c r="U89" s="30"/>
      <c r="V89" s="30"/>
      <c r="W89" s="30"/>
      <c r="X89" s="30"/>
    </row>
    <row r="90" spans="1:24" ht="15.9" customHeight="1" x14ac:dyDescent="0.3">
      <c r="A90" s="2" t="s">
        <v>27</v>
      </c>
      <c r="B90" s="48" t="s">
        <v>27</v>
      </c>
      <c r="C90" s="120"/>
      <c r="D90" s="62"/>
      <c r="E90" s="120"/>
      <c r="F90" s="19"/>
      <c r="I90" s="48"/>
      <c r="J90" s="48"/>
      <c r="K90" s="48"/>
      <c r="L90" s="19"/>
      <c r="M90" s="48"/>
      <c r="N90" s="48"/>
      <c r="O90" s="48"/>
      <c r="P90" s="30"/>
      <c r="Q90" s="30"/>
      <c r="R90" s="30"/>
      <c r="S90" s="30"/>
      <c r="T90" s="30"/>
      <c r="U90" s="30"/>
      <c r="V90" s="30"/>
      <c r="W90" s="30"/>
      <c r="X90" s="30"/>
    </row>
    <row r="91" spans="1:24" ht="15.9" customHeight="1" x14ac:dyDescent="0.3">
      <c r="A91" s="2" t="s">
        <v>27</v>
      </c>
      <c r="B91" s="48" t="s">
        <v>27</v>
      </c>
      <c r="C91" s="120"/>
      <c r="D91" s="62"/>
      <c r="E91" s="120"/>
      <c r="F91" s="19"/>
      <c r="I91" s="48"/>
      <c r="J91" s="48"/>
      <c r="K91" s="48"/>
      <c r="L91" s="19"/>
      <c r="M91" s="48"/>
      <c r="N91" s="48"/>
      <c r="O91" s="48"/>
      <c r="P91" s="30"/>
      <c r="Q91" s="30"/>
      <c r="R91" s="30"/>
      <c r="S91" s="30"/>
      <c r="T91" s="30"/>
      <c r="U91" s="30"/>
      <c r="V91" s="30"/>
      <c r="W91" s="30"/>
      <c r="X91" s="30"/>
    </row>
    <row r="92" spans="1:24" ht="15.9" customHeight="1" x14ac:dyDescent="0.3">
      <c r="A92" s="2" t="s">
        <v>27</v>
      </c>
      <c r="B92" s="48" t="s">
        <v>27</v>
      </c>
      <c r="C92" s="120"/>
      <c r="D92" s="62"/>
      <c r="E92" s="120"/>
      <c r="F92" s="19"/>
      <c r="I92" s="48"/>
      <c r="J92" s="48"/>
      <c r="K92" s="48"/>
      <c r="L92" s="19"/>
      <c r="M92" s="48"/>
      <c r="N92" s="48"/>
      <c r="O92" s="48"/>
      <c r="P92" s="30"/>
      <c r="Q92" s="30"/>
      <c r="R92" s="30"/>
      <c r="S92" s="30"/>
      <c r="T92" s="30"/>
      <c r="U92" s="30"/>
      <c r="V92" s="30"/>
      <c r="W92" s="30"/>
      <c r="X92" s="30"/>
    </row>
    <row r="93" spans="1:24" ht="15.9" customHeight="1" x14ac:dyDescent="0.3">
      <c r="A93" s="2" t="s">
        <v>27</v>
      </c>
      <c r="B93" s="48" t="s">
        <v>27</v>
      </c>
      <c r="C93" s="120"/>
      <c r="D93" s="62"/>
      <c r="E93" s="120"/>
      <c r="F93" s="19"/>
      <c r="I93" s="48"/>
      <c r="J93" s="48"/>
      <c r="K93" s="48"/>
      <c r="L93" s="19"/>
      <c r="M93" s="48"/>
      <c r="N93" s="48"/>
      <c r="O93" s="48"/>
      <c r="P93" s="30"/>
      <c r="Q93" s="30"/>
      <c r="R93" s="30"/>
      <c r="S93" s="30"/>
      <c r="T93" s="30"/>
      <c r="U93" s="30"/>
      <c r="V93" s="30"/>
      <c r="W93" s="30"/>
      <c r="X93" s="30"/>
    </row>
    <row r="94" spans="1:24" ht="15.9" customHeight="1" x14ac:dyDescent="0.3">
      <c r="A94" s="2" t="s">
        <v>27</v>
      </c>
      <c r="B94" s="48" t="s">
        <v>27</v>
      </c>
      <c r="C94" s="120"/>
      <c r="D94" s="62"/>
      <c r="E94" s="120"/>
      <c r="F94" s="19"/>
      <c r="I94" s="48"/>
      <c r="J94" s="48"/>
      <c r="K94" s="48"/>
      <c r="L94" s="19"/>
      <c r="M94" s="48"/>
      <c r="N94" s="48"/>
      <c r="O94" s="48"/>
      <c r="P94" s="30"/>
      <c r="Q94" s="30"/>
      <c r="R94" s="30"/>
      <c r="S94" s="30"/>
      <c r="T94" s="30"/>
      <c r="U94" s="30"/>
      <c r="V94" s="30"/>
      <c r="W94" s="30"/>
      <c r="X94" s="30"/>
    </row>
    <row r="95" spans="1:24" ht="15.9" customHeight="1" x14ac:dyDescent="0.3">
      <c r="A95" s="2" t="s">
        <v>27</v>
      </c>
      <c r="B95" s="48" t="s">
        <v>27</v>
      </c>
      <c r="C95" s="120"/>
      <c r="D95" s="62"/>
      <c r="E95" s="120"/>
      <c r="F95" s="19"/>
      <c r="I95" s="48"/>
      <c r="J95" s="48"/>
      <c r="K95" s="48"/>
      <c r="L95" s="19"/>
      <c r="M95" s="48"/>
      <c r="N95" s="48"/>
      <c r="O95" s="48"/>
      <c r="P95" s="30"/>
      <c r="Q95" s="30"/>
      <c r="R95" s="30"/>
      <c r="S95" s="30"/>
      <c r="T95" s="30"/>
      <c r="U95" s="30"/>
      <c r="V95" s="30"/>
      <c r="W95" s="30"/>
      <c r="X95" s="30"/>
    </row>
    <row r="96" spans="1:24" ht="15.9" customHeight="1" x14ac:dyDescent="0.3">
      <c r="A96" s="2" t="s">
        <v>27</v>
      </c>
      <c r="B96" s="48" t="s">
        <v>27</v>
      </c>
      <c r="C96" s="120"/>
      <c r="D96" s="62"/>
      <c r="E96" s="120"/>
      <c r="F96" s="19"/>
      <c r="I96" s="48"/>
      <c r="J96" s="48"/>
      <c r="K96" s="48"/>
      <c r="L96" s="19"/>
      <c r="M96" s="48"/>
      <c r="N96" s="48"/>
      <c r="O96" s="48"/>
      <c r="P96" s="30"/>
      <c r="Q96" s="30"/>
      <c r="R96" s="30"/>
      <c r="S96" s="30"/>
      <c r="T96" s="30"/>
      <c r="U96" s="30"/>
      <c r="V96" s="30"/>
      <c r="W96" s="30"/>
      <c r="X96" s="30"/>
    </row>
    <row r="97" spans="1:24" ht="15.9" customHeight="1" x14ac:dyDescent="0.3">
      <c r="A97" s="2" t="s">
        <v>27</v>
      </c>
      <c r="B97" s="48" t="s">
        <v>27</v>
      </c>
      <c r="C97" s="120"/>
      <c r="D97" s="62"/>
      <c r="E97" s="120"/>
      <c r="F97" s="19"/>
      <c r="I97" s="48"/>
      <c r="J97" s="48"/>
      <c r="K97" s="48"/>
      <c r="L97" s="19"/>
      <c r="M97" s="48"/>
      <c r="N97" s="48"/>
      <c r="O97" s="48"/>
      <c r="P97" s="30"/>
      <c r="Q97" s="30"/>
      <c r="R97" s="30"/>
      <c r="S97" s="30"/>
      <c r="T97" s="30"/>
      <c r="U97" s="30"/>
      <c r="V97" s="30"/>
      <c r="W97" s="30"/>
      <c r="X97" s="30"/>
    </row>
    <row r="98" spans="1:24" ht="15.9" customHeight="1" x14ac:dyDescent="0.3">
      <c r="A98" s="2" t="s">
        <v>27</v>
      </c>
      <c r="B98" s="48" t="s">
        <v>27</v>
      </c>
      <c r="C98" s="120"/>
      <c r="D98" s="62"/>
      <c r="E98" s="120"/>
      <c r="F98" s="19"/>
      <c r="I98" s="48"/>
      <c r="J98" s="48"/>
      <c r="K98" s="48"/>
      <c r="L98" s="19"/>
      <c r="M98" s="48"/>
      <c r="N98" s="48"/>
      <c r="O98" s="48"/>
      <c r="P98" s="30"/>
      <c r="Q98" s="30"/>
      <c r="R98" s="30"/>
      <c r="S98" s="30"/>
      <c r="T98" s="30"/>
      <c r="U98" s="30"/>
      <c r="V98" s="30"/>
      <c r="W98" s="30"/>
      <c r="X98" s="30"/>
    </row>
    <row r="99" spans="1:24" ht="15.9" customHeight="1" x14ac:dyDescent="0.3">
      <c r="A99" s="2" t="s">
        <v>27</v>
      </c>
      <c r="B99" s="48" t="s">
        <v>27</v>
      </c>
      <c r="C99" s="120"/>
      <c r="D99" s="62"/>
      <c r="E99" s="120"/>
      <c r="F99" s="19"/>
      <c r="I99" s="48"/>
      <c r="J99" s="48"/>
      <c r="K99" s="48"/>
      <c r="L99" s="19"/>
      <c r="M99" s="48"/>
      <c r="N99" s="48"/>
      <c r="O99" s="48"/>
      <c r="P99" s="30"/>
      <c r="Q99" s="30"/>
      <c r="R99" s="30"/>
      <c r="S99" s="30"/>
      <c r="T99" s="30"/>
      <c r="U99" s="30"/>
      <c r="V99" s="30"/>
      <c r="W99" s="30"/>
      <c r="X99" s="30"/>
    </row>
    <row r="100" spans="1:24" ht="15.9" customHeight="1" x14ac:dyDescent="0.3">
      <c r="A100" s="2" t="s">
        <v>27</v>
      </c>
      <c r="B100" s="48" t="s">
        <v>27</v>
      </c>
      <c r="C100" s="120"/>
      <c r="D100" s="62"/>
      <c r="E100" s="120"/>
      <c r="F100" s="19"/>
      <c r="I100" s="48"/>
      <c r="J100" s="48"/>
      <c r="K100" s="48"/>
      <c r="L100" s="19"/>
      <c r="M100" s="48"/>
      <c r="N100" s="48"/>
      <c r="O100" s="48"/>
      <c r="P100" s="30"/>
      <c r="Q100" s="30"/>
      <c r="R100" s="30"/>
      <c r="S100" s="30"/>
      <c r="T100" s="30"/>
      <c r="U100" s="30"/>
      <c r="V100" s="30"/>
      <c r="W100" s="30"/>
      <c r="X100" s="30"/>
    </row>
    <row r="101" spans="1:24" ht="15.9" customHeight="1" x14ac:dyDescent="0.3">
      <c r="A101" s="2" t="s">
        <v>27</v>
      </c>
      <c r="B101" s="48" t="s">
        <v>27</v>
      </c>
      <c r="C101" s="120"/>
      <c r="D101" s="62"/>
      <c r="E101" s="120"/>
      <c r="F101" s="19"/>
      <c r="I101" s="48"/>
      <c r="J101" s="48"/>
      <c r="K101" s="48"/>
      <c r="L101" s="19"/>
      <c r="M101" s="48"/>
      <c r="N101" s="48"/>
      <c r="O101" s="48"/>
      <c r="P101" s="30"/>
      <c r="Q101" s="30"/>
      <c r="R101" s="30"/>
      <c r="S101" s="30"/>
      <c r="T101" s="30"/>
      <c r="U101" s="30"/>
      <c r="V101" s="30"/>
      <c r="W101" s="30"/>
      <c r="X101" s="30"/>
    </row>
    <row r="102" spans="1:24" ht="15.9" customHeight="1" x14ac:dyDescent="0.3">
      <c r="A102" s="2" t="s">
        <v>27</v>
      </c>
      <c r="B102" s="48" t="s">
        <v>27</v>
      </c>
      <c r="C102" s="120"/>
      <c r="D102" s="62"/>
      <c r="E102" s="120"/>
      <c r="F102" s="19"/>
      <c r="I102" s="48"/>
      <c r="J102" s="48"/>
      <c r="K102" s="48"/>
      <c r="L102" s="19"/>
      <c r="M102" s="48"/>
      <c r="N102" s="48"/>
      <c r="O102" s="48"/>
      <c r="P102" s="30"/>
      <c r="Q102" s="30"/>
      <c r="R102" s="30"/>
      <c r="S102" s="30"/>
      <c r="T102" s="30"/>
      <c r="U102" s="30"/>
      <c r="V102" s="30"/>
      <c r="W102" s="30"/>
      <c r="X102" s="30"/>
    </row>
    <row r="103" spans="1:24" ht="15.9" customHeight="1" x14ac:dyDescent="0.3">
      <c r="A103" s="2" t="s">
        <v>27</v>
      </c>
      <c r="B103" s="48" t="s">
        <v>27</v>
      </c>
      <c r="C103" s="120"/>
      <c r="D103" s="62"/>
      <c r="E103" s="120"/>
      <c r="F103" s="19"/>
      <c r="I103" s="48"/>
      <c r="J103" s="48"/>
      <c r="K103" s="48"/>
      <c r="L103" s="19"/>
      <c r="M103" s="48"/>
      <c r="N103" s="48"/>
      <c r="O103" s="48"/>
      <c r="P103" s="30"/>
      <c r="Q103" s="30"/>
      <c r="R103" s="30"/>
      <c r="S103" s="30"/>
      <c r="T103" s="30"/>
      <c r="U103" s="30"/>
      <c r="V103" s="30"/>
      <c r="W103" s="30"/>
      <c r="X103" s="30"/>
    </row>
    <row r="104" spans="1:24" ht="15.9" customHeight="1" x14ac:dyDescent="0.3">
      <c r="A104" s="2" t="s">
        <v>27</v>
      </c>
      <c r="B104" s="48" t="s">
        <v>27</v>
      </c>
      <c r="C104" s="120"/>
      <c r="D104" s="62"/>
      <c r="E104" s="120"/>
      <c r="F104" s="19"/>
      <c r="I104" s="48"/>
      <c r="J104" s="48"/>
      <c r="K104" s="48"/>
      <c r="L104" s="19"/>
      <c r="M104" s="48"/>
      <c r="N104" s="48"/>
      <c r="O104" s="48"/>
      <c r="P104" s="30"/>
      <c r="Q104" s="30"/>
      <c r="R104" s="30"/>
      <c r="S104" s="30"/>
      <c r="T104" s="30"/>
      <c r="U104" s="30"/>
      <c r="V104" s="30"/>
      <c r="W104" s="30"/>
      <c r="X104" s="30"/>
    </row>
    <row r="105" spans="1:24" ht="15.9" customHeight="1" x14ac:dyDescent="0.3">
      <c r="A105" s="2" t="s">
        <v>27</v>
      </c>
      <c r="B105" s="48" t="s">
        <v>27</v>
      </c>
      <c r="C105" s="120"/>
      <c r="D105" s="62"/>
      <c r="E105" s="120"/>
      <c r="F105" s="19"/>
      <c r="I105" s="48"/>
      <c r="J105" s="48"/>
      <c r="K105" s="48"/>
      <c r="L105" s="19"/>
      <c r="M105" s="48"/>
      <c r="N105" s="48"/>
      <c r="O105" s="48"/>
      <c r="P105" s="30"/>
      <c r="Q105" s="30"/>
      <c r="R105" s="30"/>
      <c r="S105" s="30"/>
      <c r="T105" s="30"/>
      <c r="U105" s="30"/>
      <c r="V105" s="30"/>
      <c r="W105" s="30"/>
      <c r="X105" s="30"/>
    </row>
    <row r="106" spans="1:24" ht="15.9" customHeight="1" x14ac:dyDescent="0.3">
      <c r="A106" s="2" t="s">
        <v>27</v>
      </c>
      <c r="B106" s="48" t="s">
        <v>27</v>
      </c>
      <c r="C106" s="120"/>
      <c r="D106" s="62"/>
      <c r="E106" s="120"/>
      <c r="F106" s="19"/>
      <c r="I106" s="48"/>
      <c r="J106" s="48"/>
      <c r="K106" s="48"/>
      <c r="L106" s="19"/>
      <c r="M106" s="48"/>
      <c r="N106" s="48"/>
      <c r="O106" s="48"/>
      <c r="P106" s="30"/>
      <c r="Q106" s="30"/>
      <c r="R106" s="30"/>
      <c r="S106" s="30"/>
      <c r="T106" s="30"/>
      <c r="U106" s="30"/>
      <c r="V106" s="30"/>
      <c r="W106" s="30"/>
      <c r="X106" s="30"/>
    </row>
    <row r="107" spans="1:24" ht="15.9" customHeight="1" x14ac:dyDescent="0.3">
      <c r="A107" s="2" t="s">
        <v>27</v>
      </c>
      <c r="B107" s="48" t="s">
        <v>27</v>
      </c>
      <c r="C107" s="120"/>
      <c r="D107" s="62"/>
      <c r="E107" s="120"/>
      <c r="F107" s="19"/>
      <c r="I107" s="48"/>
      <c r="J107" s="48"/>
      <c r="K107" s="48"/>
      <c r="L107" s="19"/>
      <c r="M107" s="48"/>
      <c r="N107" s="48"/>
      <c r="O107" s="48"/>
      <c r="P107" s="30"/>
      <c r="Q107" s="30"/>
      <c r="R107" s="30"/>
      <c r="S107" s="30"/>
      <c r="T107" s="30"/>
      <c r="U107" s="30"/>
      <c r="V107" s="30"/>
      <c r="W107" s="30"/>
      <c r="X107" s="30"/>
    </row>
    <row r="108" spans="1:24" ht="15.9" customHeight="1" x14ac:dyDescent="0.3">
      <c r="A108" s="2" t="s">
        <v>27</v>
      </c>
      <c r="B108" s="48" t="s">
        <v>27</v>
      </c>
      <c r="C108" s="120"/>
      <c r="D108" s="62"/>
      <c r="E108" s="120"/>
      <c r="F108" s="19"/>
      <c r="I108" s="48"/>
      <c r="J108" s="48"/>
      <c r="K108" s="48"/>
      <c r="L108" s="19"/>
      <c r="M108" s="48"/>
      <c r="N108" s="48"/>
      <c r="O108" s="48"/>
      <c r="P108" s="30"/>
      <c r="Q108" s="30"/>
      <c r="R108" s="30"/>
      <c r="S108" s="30"/>
      <c r="T108" s="30"/>
      <c r="U108" s="30"/>
      <c r="V108" s="30"/>
      <c r="W108" s="30"/>
      <c r="X108" s="30"/>
    </row>
    <row r="109" spans="1:24" ht="15.9" customHeight="1" x14ac:dyDescent="0.3">
      <c r="A109" s="2" t="s">
        <v>27</v>
      </c>
      <c r="B109" s="48" t="s">
        <v>27</v>
      </c>
      <c r="C109" s="120"/>
      <c r="D109" s="62"/>
      <c r="E109" s="120"/>
      <c r="F109" s="19"/>
      <c r="I109" s="48"/>
      <c r="J109" s="48"/>
      <c r="K109" s="48"/>
      <c r="L109" s="19"/>
      <c r="M109" s="48"/>
      <c r="N109" s="48"/>
      <c r="O109" s="48"/>
      <c r="P109" s="30"/>
      <c r="Q109" s="30"/>
      <c r="R109" s="30"/>
      <c r="S109" s="30"/>
      <c r="T109" s="30"/>
      <c r="U109" s="30"/>
      <c r="V109" s="30"/>
      <c r="W109" s="30"/>
      <c r="X109" s="30"/>
    </row>
    <row r="110" spans="1:24" ht="15.9" customHeight="1" x14ac:dyDescent="0.3">
      <c r="A110" s="2" t="s">
        <v>27</v>
      </c>
      <c r="B110" s="48" t="s">
        <v>27</v>
      </c>
      <c r="C110" s="120"/>
      <c r="D110" s="62"/>
      <c r="E110" s="120"/>
      <c r="F110" s="19"/>
      <c r="I110" s="48"/>
      <c r="J110" s="48"/>
      <c r="K110" s="48"/>
      <c r="L110" s="19"/>
      <c r="M110" s="48"/>
      <c r="N110" s="48"/>
      <c r="O110" s="48"/>
      <c r="P110" s="30"/>
      <c r="Q110" s="30"/>
      <c r="R110" s="30"/>
      <c r="S110" s="30"/>
      <c r="T110" s="30"/>
      <c r="U110" s="30"/>
      <c r="V110" s="30"/>
      <c r="W110" s="30"/>
      <c r="X110" s="30"/>
    </row>
    <row r="111" spans="1:24" ht="15.9" customHeight="1" x14ac:dyDescent="0.3">
      <c r="A111" s="2" t="s">
        <v>27</v>
      </c>
      <c r="B111" s="48" t="s">
        <v>27</v>
      </c>
      <c r="C111" s="120"/>
      <c r="D111" s="62"/>
      <c r="E111" s="120"/>
      <c r="F111" s="19"/>
      <c r="I111" s="48"/>
      <c r="J111" s="48"/>
      <c r="K111" s="48"/>
      <c r="L111" s="19"/>
      <c r="M111" s="48"/>
      <c r="N111" s="48"/>
      <c r="O111" s="48"/>
      <c r="P111" s="30"/>
      <c r="Q111" s="30"/>
      <c r="R111" s="30"/>
      <c r="S111" s="30"/>
      <c r="T111" s="30"/>
      <c r="U111" s="30"/>
      <c r="V111" s="30"/>
      <c r="W111" s="30"/>
      <c r="X111" s="30"/>
    </row>
    <row r="112" spans="1:24" ht="15.9" customHeight="1" x14ac:dyDescent="0.3">
      <c r="A112" s="2" t="s">
        <v>27</v>
      </c>
      <c r="B112" s="48" t="s">
        <v>27</v>
      </c>
      <c r="C112" s="120"/>
      <c r="D112" s="62"/>
      <c r="E112" s="120"/>
      <c r="F112" s="19"/>
      <c r="I112" s="48"/>
      <c r="J112" s="48"/>
      <c r="K112" s="48"/>
      <c r="L112" s="19"/>
      <c r="M112" s="48"/>
      <c r="N112" s="48"/>
      <c r="O112" s="48"/>
      <c r="P112" s="30"/>
      <c r="Q112" s="30"/>
      <c r="R112" s="30"/>
      <c r="S112" s="30"/>
      <c r="T112" s="30"/>
      <c r="U112" s="30"/>
      <c r="V112" s="30"/>
      <c r="W112" s="30"/>
      <c r="X112" s="30"/>
    </row>
    <row r="113" spans="1:24" ht="15.9" customHeight="1" x14ac:dyDescent="0.3">
      <c r="A113" s="2" t="s">
        <v>27</v>
      </c>
      <c r="B113" s="48" t="s">
        <v>27</v>
      </c>
      <c r="C113" s="120"/>
      <c r="D113" s="62"/>
      <c r="E113" s="120"/>
      <c r="F113" s="19"/>
      <c r="I113" s="48"/>
      <c r="J113" s="48"/>
      <c r="K113" s="48"/>
      <c r="L113" s="19"/>
      <c r="M113" s="48"/>
      <c r="N113" s="48"/>
      <c r="O113" s="48"/>
      <c r="P113" s="30"/>
      <c r="Q113" s="30"/>
      <c r="R113" s="30"/>
      <c r="S113" s="30"/>
      <c r="T113" s="30"/>
      <c r="U113" s="30"/>
      <c r="V113" s="30"/>
      <c r="W113" s="30"/>
      <c r="X113" s="30"/>
    </row>
    <row r="114" spans="1:24" ht="15.9" customHeight="1" x14ac:dyDescent="0.3">
      <c r="A114" s="2" t="s">
        <v>27</v>
      </c>
      <c r="B114" s="48" t="s">
        <v>27</v>
      </c>
      <c r="C114" s="120"/>
      <c r="D114" s="62"/>
      <c r="E114" s="120"/>
      <c r="F114" s="19"/>
      <c r="I114" s="48"/>
      <c r="J114" s="48"/>
      <c r="K114" s="48"/>
      <c r="L114" s="19"/>
      <c r="M114" s="48"/>
      <c r="N114" s="48"/>
      <c r="O114" s="48"/>
      <c r="P114" s="30"/>
      <c r="Q114" s="30"/>
      <c r="R114" s="30"/>
      <c r="S114" s="64"/>
      <c r="T114" s="30"/>
      <c r="U114" s="30"/>
      <c r="V114" s="30"/>
      <c r="W114" s="30"/>
      <c r="X114" s="30"/>
    </row>
    <row r="115" spans="1:24" ht="15.9" customHeight="1" x14ac:dyDescent="0.3">
      <c r="A115" s="2" t="s">
        <v>27</v>
      </c>
      <c r="B115" s="48" t="s">
        <v>27</v>
      </c>
      <c r="C115" s="120"/>
      <c r="D115" s="62"/>
      <c r="E115" s="120"/>
      <c r="F115" s="19"/>
      <c r="I115" s="48"/>
      <c r="J115" s="48"/>
      <c r="K115" s="48"/>
      <c r="L115" s="19"/>
      <c r="M115" s="48"/>
      <c r="N115" s="48"/>
      <c r="O115" s="48"/>
      <c r="P115" s="30"/>
      <c r="Q115" s="30"/>
      <c r="R115" s="30"/>
      <c r="S115" s="30"/>
      <c r="T115" s="30"/>
      <c r="U115" s="30"/>
      <c r="V115" s="30"/>
      <c r="W115" s="30"/>
      <c r="X115" s="30"/>
    </row>
    <row r="116" spans="1:24" ht="15.9" customHeight="1" x14ac:dyDescent="0.3">
      <c r="A116" s="2" t="s">
        <v>27</v>
      </c>
      <c r="B116" s="48" t="s">
        <v>27</v>
      </c>
      <c r="C116" s="120"/>
      <c r="D116" s="62"/>
      <c r="E116" s="120"/>
      <c r="F116" s="19"/>
      <c r="I116" s="48"/>
      <c r="J116" s="48"/>
      <c r="K116" s="48"/>
      <c r="L116" s="19"/>
      <c r="M116" s="48"/>
      <c r="N116" s="48"/>
      <c r="O116" s="48"/>
      <c r="P116" s="30"/>
      <c r="Q116" s="30"/>
      <c r="R116" s="30"/>
      <c r="S116" s="30"/>
      <c r="T116" s="30"/>
      <c r="U116" s="30"/>
      <c r="V116" s="30"/>
      <c r="W116" s="30"/>
      <c r="X116" s="30"/>
    </row>
    <row r="117" spans="1:24" ht="15.9" customHeight="1" x14ac:dyDescent="0.3">
      <c r="A117" s="2" t="s">
        <v>27</v>
      </c>
      <c r="B117" s="48" t="s">
        <v>27</v>
      </c>
      <c r="C117" s="120"/>
      <c r="D117" s="62"/>
      <c r="E117" s="120"/>
      <c r="F117" s="19"/>
      <c r="I117" s="48"/>
      <c r="J117" s="48"/>
      <c r="K117" s="48"/>
      <c r="L117" s="19"/>
      <c r="M117" s="48"/>
      <c r="N117" s="48"/>
      <c r="O117" s="48"/>
      <c r="P117" s="30"/>
      <c r="Q117" s="30"/>
      <c r="R117" s="30"/>
      <c r="S117" s="30"/>
      <c r="T117" s="30"/>
      <c r="U117" s="30"/>
      <c r="V117" s="30"/>
      <c r="W117" s="30"/>
      <c r="X117" s="30"/>
    </row>
    <row r="118" spans="1:24" ht="15.9" customHeight="1" x14ac:dyDescent="0.3">
      <c r="A118" s="2" t="s">
        <v>27</v>
      </c>
      <c r="B118" s="48" t="s">
        <v>27</v>
      </c>
      <c r="C118" s="120"/>
      <c r="D118" s="62"/>
      <c r="E118" s="120"/>
      <c r="F118" s="19"/>
      <c r="I118" s="48"/>
      <c r="J118" s="48"/>
      <c r="K118" s="48"/>
      <c r="L118" s="19"/>
      <c r="M118" s="48"/>
      <c r="N118" s="48"/>
      <c r="O118" s="48"/>
      <c r="P118" s="48"/>
      <c r="Q118" s="48"/>
      <c r="R118" s="48"/>
      <c r="S118" s="48"/>
      <c r="T118" s="30"/>
      <c r="U118" s="30"/>
      <c r="V118" s="30"/>
      <c r="W118" s="30"/>
      <c r="X118" s="30"/>
    </row>
    <row r="119" spans="1:24" ht="15.9" customHeight="1" x14ac:dyDescent="0.3">
      <c r="A119" s="2" t="s">
        <v>27</v>
      </c>
      <c r="B119" s="48" t="s">
        <v>27</v>
      </c>
      <c r="C119" s="120"/>
      <c r="D119" s="62"/>
      <c r="E119" s="120"/>
      <c r="F119" s="19"/>
      <c r="I119" s="48"/>
      <c r="J119" s="48"/>
      <c r="K119" s="48"/>
      <c r="L119" s="19"/>
      <c r="M119" s="48"/>
      <c r="N119" s="48"/>
      <c r="O119" s="48"/>
      <c r="P119" s="30"/>
      <c r="Q119" s="30"/>
      <c r="R119" s="30"/>
      <c r="S119" s="30"/>
      <c r="T119" s="30"/>
      <c r="U119" s="30"/>
      <c r="V119" s="30"/>
      <c r="W119" s="30"/>
      <c r="X119" s="30"/>
    </row>
    <row r="120" spans="1:24" ht="15.9" customHeight="1" x14ac:dyDescent="0.3">
      <c r="A120" s="2" t="s">
        <v>27</v>
      </c>
      <c r="B120" s="48" t="s">
        <v>27</v>
      </c>
      <c r="C120" s="120"/>
      <c r="D120" s="62"/>
      <c r="E120" s="120"/>
      <c r="F120" s="19"/>
      <c r="I120" s="48"/>
      <c r="J120" s="48"/>
      <c r="K120" s="48"/>
      <c r="L120" s="19"/>
      <c r="M120" s="48"/>
      <c r="N120" s="48"/>
      <c r="O120" s="48"/>
      <c r="P120" s="30"/>
      <c r="Q120" s="30"/>
      <c r="R120" s="30"/>
      <c r="S120" s="30"/>
      <c r="T120" s="30"/>
      <c r="U120" s="30"/>
      <c r="V120" s="30"/>
      <c r="W120" s="30"/>
      <c r="X120" s="30"/>
    </row>
    <row r="121" spans="1:24" ht="15.9" customHeight="1" x14ac:dyDescent="0.3">
      <c r="A121" s="2" t="s">
        <v>27</v>
      </c>
      <c r="B121" s="48" t="s">
        <v>27</v>
      </c>
      <c r="C121" s="120"/>
      <c r="D121" s="62"/>
      <c r="E121" s="120"/>
      <c r="F121" s="19"/>
      <c r="I121" s="48"/>
      <c r="J121" s="48"/>
      <c r="K121" s="48"/>
      <c r="L121" s="19"/>
      <c r="M121" s="48"/>
      <c r="N121" s="48"/>
      <c r="O121" s="48"/>
      <c r="P121" s="30"/>
      <c r="Q121" s="30"/>
      <c r="R121" s="30"/>
      <c r="S121" s="30"/>
      <c r="T121" s="30"/>
      <c r="U121" s="30"/>
      <c r="V121" s="30"/>
      <c r="W121" s="30"/>
      <c r="X121" s="30"/>
    </row>
    <row r="122" spans="1:24" ht="15.9" customHeight="1" x14ac:dyDescent="0.3">
      <c r="A122" s="2" t="s">
        <v>27</v>
      </c>
      <c r="B122" s="48" t="s">
        <v>27</v>
      </c>
      <c r="C122" s="120"/>
      <c r="D122" s="62"/>
      <c r="E122" s="120"/>
      <c r="F122" s="19"/>
      <c r="I122" s="48"/>
      <c r="J122" s="48"/>
      <c r="K122" s="48"/>
      <c r="L122" s="19"/>
      <c r="M122" s="48"/>
      <c r="N122" s="48"/>
      <c r="O122" s="48"/>
      <c r="P122" s="30"/>
      <c r="Q122" s="30"/>
      <c r="R122" s="30"/>
      <c r="S122" s="30"/>
      <c r="T122" s="30"/>
      <c r="U122" s="30"/>
      <c r="V122" s="30"/>
      <c r="W122" s="30"/>
      <c r="X122" s="30"/>
    </row>
    <row r="123" spans="1:24" ht="15.9" customHeight="1" x14ac:dyDescent="0.3">
      <c r="A123" s="2" t="s">
        <v>27</v>
      </c>
      <c r="B123" s="48" t="s">
        <v>27</v>
      </c>
      <c r="C123" s="120"/>
      <c r="D123" s="62"/>
      <c r="E123" s="120"/>
      <c r="F123" s="19"/>
      <c r="I123" s="48"/>
      <c r="J123" s="48"/>
      <c r="K123" s="48"/>
      <c r="L123" s="19"/>
      <c r="M123" s="48"/>
      <c r="N123" s="48"/>
      <c r="O123" s="48"/>
      <c r="P123" s="30"/>
      <c r="Q123" s="30"/>
      <c r="R123" s="30"/>
      <c r="S123" s="30"/>
      <c r="T123" s="30"/>
      <c r="U123" s="30"/>
      <c r="V123" s="30"/>
      <c r="W123" s="30"/>
      <c r="X123" s="30"/>
    </row>
    <row r="124" spans="1:24" ht="15.9" customHeight="1" x14ac:dyDescent="0.3">
      <c r="A124" s="2" t="s">
        <v>27</v>
      </c>
      <c r="B124" s="48" t="s">
        <v>27</v>
      </c>
      <c r="C124" s="120"/>
      <c r="D124" s="62"/>
      <c r="E124" s="120"/>
      <c r="F124" s="19"/>
      <c r="I124" s="48"/>
      <c r="J124" s="48"/>
      <c r="K124" s="48"/>
      <c r="L124" s="19"/>
      <c r="M124" s="48"/>
      <c r="N124" s="48"/>
      <c r="O124" s="48"/>
      <c r="P124" s="30"/>
      <c r="Q124" s="30"/>
      <c r="R124" s="30"/>
      <c r="S124" s="30"/>
      <c r="T124" s="30"/>
      <c r="U124" s="30"/>
      <c r="V124" s="30"/>
      <c r="W124" s="30"/>
      <c r="X124" s="30"/>
    </row>
    <row r="125" spans="1:24" ht="15.9" customHeight="1" x14ac:dyDescent="0.3">
      <c r="A125" s="2" t="s">
        <v>27</v>
      </c>
      <c r="B125" s="48" t="s">
        <v>27</v>
      </c>
      <c r="C125" s="120"/>
      <c r="D125" s="62"/>
      <c r="E125" s="120"/>
      <c r="F125" s="19"/>
      <c r="I125" s="48"/>
      <c r="J125" s="48"/>
      <c r="K125" s="48"/>
      <c r="L125" s="19"/>
      <c r="M125" s="48"/>
      <c r="N125" s="48"/>
      <c r="O125" s="48"/>
      <c r="P125" s="30"/>
      <c r="Q125" s="30"/>
      <c r="R125" s="30"/>
      <c r="S125" s="30"/>
      <c r="T125" s="30"/>
      <c r="U125" s="30"/>
      <c r="V125" s="30"/>
      <c r="W125" s="30"/>
      <c r="X125" s="30"/>
    </row>
    <row r="126" spans="1:24" ht="15.9" customHeight="1" x14ac:dyDescent="0.3">
      <c r="A126" s="2" t="s">
        <v>27</v>
      </c>
      <c r="B126" s="48" t="s">
        <v>27</v>
      </c>
      <c r="C126" s="120"/>
      <c r="D126" s="62"/>
      <c r="E126" s="120"/>
      <c r="F126" s="19"/>
      <c r="I126" s="48"/>
      <c r="J126" s="48"/>
      <c r="K126" s="48"/>
      <c r="L126" s="19"/>
      <c r="M126" s="48"/>
      <c r="N126" s="48"/>
      <c r="O126" s="48"/>
      <c r="P126" s="30"/>
      <c r="Q126" s="30"/>
      <c r="R126" s="30"/>
      <c r="S126" s="30"/>
      <c r="T126" s="30"/>
      <c r="U126" s="30"/>
      <c r="V126" s="30"/>
      <c r="W126" s="30"/>
      <c r="X126" s="30"/>
    </row>
    <row r="127" spans="1:24" ht="15.9" customHeight="1" x14ac:dyDescent="0.3">
      <c r="A127" s="2" t="s">
        <v>27</v>
      </c>
      <c r="B127" s="48" t="s">
        <v>27</v>
      </c>
      <c r="C127" s="120"/>
      <c r="D127" s="62"/>
      <c r="E127" s="120"/>
      <c r="F127" s="19"/>
      <c r="I127" s="48"/>
      <c r="J127" s="48"/>
      <c r="K127" s="48"/>
      <c r="L127" s="19"/>
      <c r="M127" s="48"/>
      <c r="N127" s="48"/>
      <c r="O127" s="48"/>
      <c r="P127" s="30"/>
      <c r="Q127" s="30"/>
      <c r="R127" s="30"/>
      <c r="S127" s="30"/>
      <c r="T127" s="30"/>
      <c r="U127" s="30"/>
      <c r="V127" s="30"/>
      <c r="W127" s="30"/>
      <c r="X127" s="30"/>
    </row>
    <row r="128" spans="1:24" ht="15.9" customHeight="1" x14ac:dyDescent="0.3">
      <c r="A128" s="2" t="s">
        <v>27</v>
      </c>
      <c r="B128" s="48" t="s">
        <v>27</v>
      </c>
      <c r="C128" s="120"/>
      <c r="D128" s="62"/>
      <c r="E128" s="120"/>
      <c r="F128" s="19"/>
      <c r="I128" s="48"/>
      <c r="J128" s="48"/>
      <c r="K128" s="48"/>
      <c r="L128" s="19"/>
      <c r="M128" s="48"/>
      <c r="N128" s="48"/>
      <c r="O128" s="48"/>
      <c r="P128" s="30"/>
      <c r="Q128" s="30"/>
      <c r="R128" s="30"/>
      <c r="S128" s="30"/>
      <c r="T128" s="30"/>
      <c r="U128" s="30"/>
      <c r="V128" s="30"/>
      <c r="W128" s="30"/>
      <c r="X128" s="30"/>
    </row>
    <row r="129" spans="1:24" ht="15.9" customHeight="1" x14ac:dyDescent="0.3">
      <c r="A129" s="2" t="s">
        <v>27</v>
      </c>
      <c r="B129" s="48" t="s">
        <v>27</v>
      </c>
      <c r="C129" s="120"/>
      <c r="D129" s="62"/>
      <c r="E129" s="120"/>
      <c r="F129" s="19"/>
      <c r="I129" s="48"/>
      <c r="J129" s="48"/>
      <c r="K129" s="48"/>
      <c r="L129" s="19"/>
      <c r="M129" s="48"/>
      <c r="N129" s="48"/>
      <c r="O129" s="48"/>
      <c r="P129" s="30"/>
      <c r="Q129" s="30"/>
      <c r="R129" s="30"/>
      <c r="S129" s="30"/>
      <c r="T129" s="30"/>
      <c r="U129" s="30"/>
      <c r="V129" s="30"/>
      <c r="W129" s="30"/>
      <c r="X129" s="30"/>
    </row>
    <row r="130" spans="1:24" ht="15.9" customHeight="1" x14ac:dyDescent="0.3">
      <c r="A130" s="2" t="s">
        <v>27</v>
      </c>
      <c r="I130" s="48"/>
      <c r="J130" s="48"/>
      <c r="K130" s="48"/>
      <c r="L130" s="19"/>
      <c r="M130" s="48"/>
      <c r="N130" s="48"/>
      <c r="O130" s="48"/>
      <c r="P130" s="30"/>
      <c r="Q130" s="30"/>
      <c r="R130" s="30"/>
      <c r="S130" s="30"/>
      <c r="T130" s="30"/>
      <c r="U130" s="30"/>
      <c r="V130" s="30"/>
      <c r="W130" s="30"/>
      <c r="X130" s="30"/>
    </row>
    <row r="131" spans="1:24" ht="15.9" customHeight="1" x14ac:dyDescent="0.3">
      <c r="A131" s="2" t="s">
        <v>27</v>
      </c>
      <c r="I131" s="48"/>
      <c r="J131" s="48"/>
      <c r="K131" s="48"/>
      <c r="L131" s="19"/>
      <c r="M131" s="48"/>
      <c r="N131" s="48"/>
      <c r="O131" s="48"/>
      <c r="P131" s="30"/>
      <c r="Q131" s="30"/>
      <c r="R131" s="30"/>
      <c r="S131" s="30"/>
      <c r="T131" s="30"/>
      <c r="U131" s="30"/>
      <c r="V131" s="30"/>
      <c r="W131" s="30"/>
      <c r="X131" s="30"/>
    </row>
    <row r="132" spans="1:24" ht="15.9" customHeight="1" x14ac:dyDescent="0.3">
      <c r="A132" s="2" t="s">
        <v>27</v>
      </c>
      <c r="I132" s="48"/>
      <c r="J132" s="48"/>
      <c r="K132" s="48"/>
      <c r="L132" s="19"/>
      <c r="M132" s="48"/>
      <c r="N132" s="48"/>
      <c r="O132" s="48"/>
      <c r="P132" s="30"/>
      <c r="Q132" s="30"/>
      <c r="R132" s="30"/>
      <c r="S132" s="30"/>
      <c r="T132" s="30"/>
      <c r="U132" s="30"/>
      <c r="V132" s="30"/>
      <c r="W132" s="30"/>
      <c r="X132" s="30"/>
    </row>
    <row r="133" spans="1:24" ht="15.9" customHeight="1" x14ac:dyDescent="0.3">
      <c r="A133" s="2" t="s">
        <v>27</v>
      </c>
      <c r="I133" s="48"/>
      <c r="J133" s="48"/>
      <c r="K133" s="48"/>
      <c r="L133" s="19"/>
      <c r="M133" s="48"/>
      <c r="N133" s="48"/>
      <c r="O133" s="48"/>
      <c r="P133" s="30"/>
      <c r="Q133" s="30"/>
      <c r="R133" s="30"/>
      <c r="S133" s="30"/>
      <c r="T133" s="30"/>
      <c r="U133" s="30"/>
      <c r="V133" s="30"/>
      <c r="W133" s="30"/>
      <c r="X133" s="30"/>
    </row>
    <row r="134" spans="1:24" ht="15.9" customHeight="1" x14ac:dyDescent="0.3">
      <c r="A134" s="2" t="s">
        <v>27</v>
      </c>
      <c r="I134" s="48"/>
      <c r="J134" s="48"/>
      <c r="K134" s="48"/>
      <c r="L134" s="19"/>
      <c r="M134" s="48"/>
      <c r="N134" s="48"/>
      <c r="O134" s="48"/>
      <c r="P134" s="30"/>
      <c r="Q134" s="30"/>
      <c r="R134" s="30"/>
      <c r="S134" s="30"/>
      <c r="T134" s="30"/>
      <c r="U134" s="30"/>
      <c r="V134" s="30"/>
      <c r="W134" s="30"/>
      <c r="X134" s="30"/>
    </row>
    <row r="135" spans="1:24" ht="15.9" customHeight="1" x14ac:dyDescent="0.3">
      <c r="A135" s="2" t="s">
        <v>27</v>
      </c>
      <c r="I135" s="48"/>
      <c r="J135" s="48"/>
      <c r="K135" s="48"/>
      <c r="L135" s="19"/>
      <c r="M135" s="48"/>
      <c r="N135" s="48"/>
      <c r="O135" s="48"/>
      <c r="P135" s="30"/>
      <c r="Q135" s="30"/>
      <c r="R135" s="30"/>
      <c r="S135" s="30"/>
      <c r="T135" s="30"/>
      <c r="U135" s="30"/>
      <c r="V135" s="30"/>
      <c r="W135" s="30"/>
      <c r="X135" s="30"/>
    </row>
    <row r="136" spans="1:24" ht="15.9" customHeight="1" x14ac:dyDescent="0.3">
      <c r="A136" s="2" t="s">
        <v>27</v>
      </c>
      <c r="I136" s="48"/>
      <c r="J136" s="48"/>
      <c r="K136" s="48"/>
      <c r="L136" s="19"/>
      <c r="M136" s="48"/>
      <c r="N136" s="48"/>
      <c r="O136" s="48"/>
      <c r="P136" s="30"/>
      <c r="Q136" s="30"/>
      <c r="R136" s="30"/>
      <c r="S136" s="30"/>
      <c r="T136" s="30"/>
      <c r="U136" s="30"/>
      <c r="V136" s="30"/>
      <c r="W136" s="30"/>
      <c r="X136" s="30"/>
    </row>
    <row r="137" spans="1:24" ht="15.9" customHeight="1" x14ac:dyDescent="0.3">
      <c r="A137" s="2" t="s">
        <v>27</v>
      </c>
      <c r="I137" s="48"/>
      <c r="J137" s="48"/>
      <c r="K137" s="48"/>
      <c r="L137" s="19"/>
      <c r="M137" s="48"/>
      <c r="N137" s="48"/>
      <c r="O137" s="48"/>
      <c r="P137" s="30"/>
      <c r="Q137" s="30"/>
      <c r="R137" s="30"/>
      <c r="S137" s="30"/>
      <c r="T137" s="30"/>
      <c r="U137" s="30"/>
      <c r="V137" s="30"/>
      <c r="W137" s="30"/>
      <c r="X137" s="30"/>
    </row>
    <row r="138" spans="1:24" ht="15.9" customHeight="1" x14ac:dyDescent="0.3">
      <c r="A138" s="2" t="s">
        <v>27</v>
      </c>
      <c r="I138" s="48"/>
      <c r="J138" s="48"/>
      <c r="K138" s="48"/>
      <c r="L138" s="19"/>
      <c r="M138" s="48"/>
      <c r="N138" s="48"/>
      <c r="O138" s="48"/>
      <c r="P138" s="30"/>
      <c r="Q138" s="30"/>
      <c r="R138" s="30"/>
      <c r="S138" s="30"/>
      <c r="T138" s="30"/>
      <c r="U138" s="30"/>
      <c r="V138" s="30"/>
      <c r="W138" s="30"/>
      <c r="X138" s="30"/>
    </row>
    <row r="139" spans="1:24" ht="15.9" customHeight="1" x14ac:dyDescent="0.3">
      <c r="A139" s="2" t="s">
        <v>27</v>
      </c>
      <c r="I139" s="48"/>
      <c r="J139" s="48"/>
      <c r="K139" s="48"/>
      <c r="L139" s="19"/>
      <c r="M139" s="48"/>
      <c r="N139" s="48"/>
      <c r="O139" s="48"/>
      <c r="P139" s="30"/>
      <c r="Q139" s="30"/>
      <c r="R139" s="30"/>
      <c r="S139" s="30"/>
      <c r="T139" s="30"/>
      <c r="U139" s="30"/>
      <c r="V139" s="30"/>
      <c r="W139" s="30"/>
      <c r="X139" s="30"/>
    </row>
    <row r="140" spans="1:24" ht="15.9" customHeight="1" x14ac:dyDescent="0.3">
      <c r="A140" s="2" t="s">
        <v>27</v>
      </c>
      <c r="I140" s="48"/>
      <c r="J140" s="48"/>
      <c r="K140" s="48"/>
      <c r="L140" s="19"/>
      <c r="M140" s="48"/>
      <c r="N140" s="48"/>
      <c r="O140" s="48"/>
      <c r="P140" s="30"/>
      <c r="Q140" s="30"/>
      <c r="R140" s="30"/>
      <c r="S140" s="30"/>
      <c r="T140" s="30"/>
      <c r="U140" s="30"/>
      <c r="V140" s="30"/>
      <c r="W140" s="30"/>
      <c r="X140" s="30"/>
    </row>
    <row r="141" spans="1:24" ht="15.9" customHeight="1" x14ac:dyDescent="0.3">
      <c r="A141" s="2" t="s">
        <v>27</v>
      </c>
      <c r="I141" s="48"/>
      <c r="J141" s="48"/>
      <c r="K141" s="48"/>
      <c r="L141" s="19"/>
      <c r="M141" s="48"/>
      <c r="N141" s="48"/>
      <c r="O141" s="48"/>
      <c r="P141" s="30"/>
      <c r="Q141" s="30"/>
      <c r="R141" s="30"/>
      <c r="S141" s="30"/>
      <c r="T141" s="30"/>
      <c r="U141" s="30"/>
      <c r="V141" s="30"/>
      <c r="W141" s="30"/>
      <c r="X141" s="30"/>
    </row>
    <row r="142" spans="1:24" ht="15.9" customHeight="1" x14ac:dyDescent="0.3">
      <c r="A142" s="2" t="s">
        <v>27</v>
      </c>
      <c r="I142" s="48"/>
      <c r="J142" s="48"/>
      <c r="K142" s="48"/>
      <c r="L142" s="19"/>
      <c r="M142" s="48"/>
      <c r="N142" s="48"/>
      <c r="O142" s="48"/>
      <c r="P142" s="30"/>
      <c r="Q142" s="30"/>
      <c r="R142" s="30"/>
      <c r="S142" s="30"/>
      <c r="T142" s="30"/>
      <c r="U142" s="30"/>
      <c r="V142" s="30"/>
      <c r="W142" s="30"/>
      <c r="X142" s="30"/>
    </row>
    <row r="143" spans="1:24" ht="15.9" customHeight="1" x14ac:dyDescent="0.3">
      <c r="A143" s="2" t="s">
        <v>27</v>
      </c>
      <c r="I143" s="48"/>
      <c r="J143" s="48"/>
      <c r="K143" s="48"/>
      <c r="L143" s="19"/>
      <c r="M143" s="48"/>
      <c r="N143" s="48"/>
      <c r="O143" s="48"/>
      <c r="P143" s="30"/>
      <c r="Q143" s="30"/>
      <c r="R143" s="30"/>
      <c r="S143" s="30"/>
      <c r="T143" s="30"/>
      <c r="U143" s="30"/>
      <c r="V143" s="30"/>
      <c r="W143" s="30"/>
      <c r="X143" s="30"/>
    </row>
    <row r="144" spans="1:24" ht="15.9" customHeight="1" x14ac:dyDescent="0.3">
      <c r="A144" s="2" t="s">
        <v>27</v>
      </c>
      <c r="I144" s="48"/>
      <c r="J144" s="48"/>
      <c r="K144" s="48"/>
      <c r="L144" s="19"/>
      <c r="M144" s="48"/>
      <c r="N144" s="48"/>
      <c r="O144" s="48"/>
      <c r="P144" s="30"/>
      <c r="Q144" s="30"/>
      <c r="R144" s="30"/>
      <c r="S144" s="30"/>
      <c r="T144" s="30"/>
      <c r="U144" s="30"/>
      <c r="V144" s="30"/>
      <c r="W144" s="30"/>
      <c r="X144" s="30"/>
    </row>
    <row r="145" spans="1:24" ht="15.9" customHeight="1" x14ac:dyDescent="0.3">
      <c r="A145" s="2" t="s">
        <v>27</v>
      </c>
      <c r="I145" s="48"/>
      <c r="J145" s="48"/>
      <c r="K145" s="48"/>
      <c r="L145" s="19"/>
      <c r="M145" s="48"/>
      <c r="N145" s="48"/>
      <c r="O145" s="48"/>
      <c r="P145" s="30"/>
      <c r="Q145" s="30"/>
      <c r="R145" s="30"/>
      <c r="S145" s="30"/>
      <c r="T145" s="30"/>
      <c r="U145" s="30"/>
      <c r="V145" s="30"/>
      <c r="W145" s="30"/>
      <c r="X145" s="30"/>
    </row>
    <row r="146" spans="1:24" ht="15.9" customHeight="1" x14ac:dyDescent="0.3">
      <c r="A146" s="2" t="s">
        <v>27</v>
      </c>
      <c r="I146" s="48"/>
      <c r="J146" s="48"/>
      <c r="K146" s="48"/>
      <c r="L146" s="19"/>
      <c r="M146" s="48"/>
      <c r="N146" s="48"/>
      <c r="O146" s="48"/>
      <c r="P146" s="30"/>
      <c r="Q146" s="30"/>
      <c r="R146" s="30"/>
      <c r="S146" s="30"/>
      <c r="T146" s="30"/>
      <c r="U146" s="30"/>
      <c r="V146" s="30"/>
      <c r="W146" s="30"/>
      <c r="X146" s="30"/>
    </row>
    <row r="147" spans="1:24" ht="15.9" customHeight="1" x14ac:dyDescent="0.3">
      <c r="A147" s="2" t="s">
        <v>27</v>
      </c>
      <c r="I147" s="48"/>
      <c r="J147" s="48"/>
      <c r="K147" s="48"/>
      <c r="L147" s="19"/>
      <c r="M147" s="48"/>
      <c r="N147" s="48"/>
      <c r="O147" s="48"/>
      <c r="P147" s="30"/>
      <c r="Q147" s="30"/>
      <c r="R147" s="30"/>
      <c r="S147" s="30"/>
      <c r="T147" s="30"/>
      <c r="U147" s="30"/>
      <c r="V147" s="30"/>
      <c r="W147" s="30"/>
      <c r="X147" s="30"/>
    </row>
    <row r="148" spans="1:24" ht="15.9" customHeight="1" x14ac:dyDescent="0.3">
      <c r="A148" s="2" t="s">
        <v>27</v>
      </c>
      <c r="I148" s="48"/>
      <c r="J148" s="48"/>
      <c r="K148" s="48"/>
      <c r="L148" s="19"/>
      <c r="M148" s="48"/>
      <c r="N148" s="48"/>
      <c r="O148" s="48"/>
      <c r="P148" s="30"/>
      <c r="Q148" s="30"/>
      <c r="R148" s="30"/>
      <c r="S148" s="30"/>
      <c r="T148" s="30"/>
      <c r="U148" s="30"/>
      <c r="V148" s="30"/>
      <c r="W148" s="30"/>
      <c r="X148" s="30"/>
    </row>
    <row r="149" spans="1:24" ht="15.9" customHeight="1" x14ac:dyDescent="0.3">
      <c r="A149" s="2" t="s">
        <v>27</v>
      </c>
      <c r="I149" s="48"/>
      <c r="J149" s="48"/>
      <c r="K149" s="48"/>
      <c r="L149" s="19"/>
      <c r="M149" s="48"/>
      <c r="N149" s="48"/>
      <c r="O149" s="48"/>
      <c r="P149" s="30"/>
      <c r="Q149" s="30"/>
      <c r="R149" s="30"/>
      <c r="S149" s="30"/>
      <c r="T149" s="30"/>
      <c r="U149" s="30"/>
      <c r="V149" s="30"/>
      <c r="W149" s="30"/>
      <c r="X149" s="30"/>
    </row>
    <row r="150" spans="1:24" ht="15.9" customHeight="1" x14ac:dyDescent="0.3">
      <c r="A150" s="2" t="s">
        <v>27</v>
      </c>
      <c r="I150" s="48"/>
      <c r="J150" s="48"/>
      <c r="K150" s="48"/>
      <c r="L150" s="19"/>
      <c r="M150" s="48"/>
      <c r="N150" s="48"/>
      <c r="O150" s="48"/>
      <c r="P150" s="30"/>
      <c r="Q150" s="30"/>
      <c r="R150" s="30"/>
      <c r="S150" s="30"/>
      <c r="T150" s="30"/>
      <c r="U150" s="30"/>
      <c r="V150" s="30"/>
      <c r="W150" s="30"/>
      <c r="X150" s="30"/>
    </row>
    <row r="151" spans="1:24" ht="15.9" customHeight="1" x14ac:dyDescent="0.3">
      <c r="A151" s="2" t="s">
        <v>27</v>
      </c>
      <c r="I151" s="48"/>
      <c r="J151" s="48"/>
      <c r="K151" s="48"/>
      <c r="L151" s="19"/>
      <c r="M151" s="48"/>
      <c r="N151" s="48"/>
      <c r="O151" s="48"/>
      <c r="P151" s="30"/>
      <c r="Q151" s="30"/>
      <c r="R151" s="30"/>
      <c r="S151" s="30"/>
      <c r="T151" s="30"/>
      <c r="U151" s="30"/>
      <c r="V151" s="30"/>
      <c r="W151" s="30"/>
      <c r="X151" s="30"/>
    </row>
    <row r="152" spans="1:24" ht="15.9" customHeight="1" x14ac:dyDescent="0.3">
      <c r="A152" s="2" t="s">
        <v>27</v>
      </c>
      <c r="I152" s="48"/>
      <c r="J152" s="48"/>
      <c r="K152" s="48"/>
      <c r="L152" s="19"/>
      <c r="M152" s="48"/>
      <c r="N152" s="48"/>
      <c r="O152" s="48"/>
      <c r="P152" s="30"/>
      <c r="Q152" s="30"/>
      <c r="R152" s="30"/>
      <c r="S152" s="30"/>
      <c r="T152" s="30"/>
      <c r="U152" s="30"/>
      <c r="V152" s="30"/>
      <c r="W152" s="30"/>
      <c r="X152" s="30"/>
    </row>
    <row r="153" spans="1:24" ht="15.9" customHeight="1" x14ac:dyDescent="0.3">
      <c r="A153" s="2" t="s">
        <v>27</v>
      </c>
      <c r="I153" s="48"/>
      <c r="J153" s="48"/>
      <c r="K153" s="48"/>
      <c r="L153" s="19"/>
      <c r="M153" s="48"/>
      <c r="N153" s="48"/>
      <c r="O153" s="48"/>
      <c r="P153" s="48"/>
      <c r="Q153" s="48"/>
      <c r="R153" s="48"/>
      <c r="S153" s="48"/>
      <c r="T153" s="30"/>
      <c r="U153" s="30"/>
      <c r="V153" s="30"/>
      <c r="W153" s="30"/>
      <c r="X153" s="30"/>
    </row>
    <row r="154" spans="1:24" ht="15.9" customHeight="1" x14ac:dyDescent="0.3">
      <c r="A154" s="2" t="s">
        <v>27</v>
      </c>
      <c r="I154" s="48"/>
      <c r="J154" s="48"/>
      <c r="K154" s="48"/>
      <c r="L154" s="19"/>
      <c r="M154" s="48"/>
      <c r="N154" s="48"/>
      <c r="O154" s="48"/>
      <c r="P154" s="48"/>
      <c r="Q154" s="48"/>
      <c r="R154" s="48"/>
      <c r="S154" s="48"/>
      <c r="T154" s="30"/>
      <c r="U154" s="30"/>
      <c r="V154" s="30"/>
      <c r="W154" s="30"/>
      <c r="X154" s="30"/>
    </row>
    <row r="155" spans="1:24" ht="15.9" customHeight="1" x14ac:dyDescent="0.3">
      <c r="A155" s="2" t="s">
        <v>27</v>
      </c>
      <c r="I155" s="48"/>
      <c r="J155" s="48"/>
      <c r="K155" s="48"/>
      <c r="L155" s="19"/>
      <c r="M155" s="48"/>
      <c r="N155" s="48"/>
      <c r="O155" s="48"/>
      <c r="P155" s="48"/>
      <c r="Q155" s="48"/>
      <c r="R155" s="48"/>
      <c r="S155" s="48"/>
      <c r="T155" s="30"/>
      <c r="U155" s="30"/>
      <c r="V155" s="30"/>
      <c r="W155" s="30"/>
      <c r="X155" s="30"/>
    </row>
    <row r="156" spans="1:24" ht="15.9" customHeight="1" x14ac:dyDescent="0.3">
      <c r="A156" s="2" t="s">
        <v>27</v>
      </c>
      <c r="I156" s="48"/>
      <c r="J156" s="48"/>
      <c r="K156" s="48"/>
      <c r="L156" s="19"/>
      <c r="M156" s="48"/>
      <c r="N156" s="48"/>
      <c r="O156" s="48"/>
      <c r="P156" s="48"/>
      <c r="Q156" s="48"/>
      <c r="R156" s="48"/>
      <c r="S156" s="48"/>
      <c r="T156" s="30"/>
      <c r="U156" s="30"/>
      <c r="V156" s="30"/>
      <c r="W156" s="30"/>
      <c r="X156" s="30"/>
    </row>
    <row r="157" spans="1:24" ht="15.9" customHeight="1" x14ac:dyDescent="0.3">
      <c r="A157" s="2" t="s">
        <v>27</v>
      </c>
      <c r="I157" s="48"/>
      <c r="J157" s="48"/>
      <c r="K157" s="48"/>
      <c r="L157" s="19"/>
      <c r="M157" s="48"/>
      <c r="N157" s="48"/>
      <c r="O157" s="48"/>
      <c r="P157" s="48"/>
      <c r="Q157" s="48"/>
      <c r="R157" s="48"/>
      <c r="S157" s="48"/>
      <c r="T157" s="30"/>
      <c r="U157" s="30"/>
      <c r="V157" s="30"/>
      <c r="W157" s="30"/>
      <c r="X157" s="30"/>
    </row>
    <row r="158" spans="1:24" ht="15.9" customHeight="1" x14ac:dyDescent="0.3">
      <c r="A158" s="2" t="s">
        <v>27</v>
      </c>
      <c r="I158" s="48"/>
      <c r="J158" s="48"/>
      <c r="K158" s="48"/>
      <c r="L158" s="19"/>
      <c r="M158" s="48"/>
      <c r="N158" s="48"/>
      <c r="O158" s="48"/>
      <c r="P158" s="48"/>
      <c r="Q158" s="48"/>
      <c r="R158" s="48"/>
      <c r="S158" s="48"/>
      <c r="T158" s="30"/>
      <c r="U158" s="30"/>
      <c r="V158" s="30"/>
      <c r="W158" s="30"/>
      <c r="X158" s="30"/>
    </row>
    <row r="159" spans="1:24" ht="15.9" customHeight="1" x14ac:dyDescent="0.3">
      <c r="A159" s="2" t="s">
        <v>27</v>
      </c>
      <c r="I159" s="48"/>
      <c r="J159" s="48"/>
      <c r="K159" s="48"/>
      <c r="L159" s="19"/>
      <c r="M159" s="48"/>
      <c r="N159" s="48"/>
      <c r="O159" s="48"/>
      <c r="P159" s="48"/>
      <c r="Q159" s="48"/>
      <c r="R159" s="48"/>
      <c r="S159" s="48"/>
      <c r="T159" s="30"/>
      <c r="U159" s="30"/>
      <c r="V159" s="30"/>
      <c r="W159" s="30"/>
      <c r="X159" s="30"/>
    </row>
    <row r="160" spans="1:24" ht="15.9" customHeight="1" x14ac:dyDescent="0.3">
      <c r="A160" s="2" t="s">
        <v>27</v>
      </c>
      <c r="I160" s="48"/>
      <c r="J160" s="48"/>
      <c r="K160" s="48"/>
      <c r="L160" s="19"/>
      <c r="M160" s="48"/>
      <c r="N160" s="48"/>
      <c r="O160" s="48"/>
      <c r="P160" s="48"/>
      <c r="Q160" s="48"/>
      <c r="R160" s="48"/>
      <c r="S160" s="48"/>
      <c r="T160" s="30"/>
      <c r="U160" s="30"/>
      <c r="V160" s="30"/>
      <c r="W160" s="30"/>
      <c r="X160" s="30"/>
    </row>
    <row r="161" spans="1:24" ht="15.9" customHeight="1" x14ac:dyDescent="0.3">
      <c r="A161" s="2" t="s">
        <v>27</v>
      </c>
      <c r="I161" s="48"/>
      <c r="J161" s="48"/>
      <c r="K161" s="48"/>
      <c r="L161" s="19"/>
      <c r="M161" s="48"/>
      <c r="N161" s="48"/>
      <c r="O161" s="48"/>
      <c r="P161" s="48"/>
      <c r="Q161" s="48"/>
      <c r="R161" s="48"/>
      <c r="S161" s="48"/>
      <c r="T161" s="30"/>
      <c r="U161" s="30"/>
      <c r="V161" s="30"/>
      <c r="W161" s="30"/>
      <c r="X161" s="30"/>
    </row>
  </sheetData>
  <sortState ref="A11:K30">
    <sortCondition descending="1" ref="D12"/>
  </sortState>
  <mergeCells count="1">
    <mergeCell ref="B4:G9"/>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59999389629810485"/>
  </sheetPr>
  <dimension ref="A1:J73"/>
  <sheetViews>
    <sheetView showGridLines="0" zoomScaleNormal="100" workbookViewId="0"/>
  </sheetViews>
  <sheetFormatPr baseColWidth="10" defaultColWidth="8.59765625" defaultRowHeight="15.9" customHeight="1" x14ac:dyDescent="0.3"/>
  <cols>
    <col min="1" max="1" width="8.59765625" style="2" customWidth="1"/>
    <col min="2" max="2" width="25.5" style="54" customWidth="1"/>
    <col min="3" max="3" width="31.3984375" style="54" bestFit="1" customWidth="1"/>
    <col min="4" max="4" width="13.59765625" style="54" customWidth="1"/>
    <col min="5" max="16384" width="8.59765625" style="54"/>
  </cols>
  <sheetData>
    <row r="1" spans="1:5" s="35" customFormat="1" ht="15.9" customHeight="1" x14ac:dyDescent="0.3">
      <c r="B1" s="39"/>
      <c r="C1" s="148"/>
    </row>
    <row r="2" spans="1:5" s="643" customFormat="1" ht="24.75" customHeight="1" x14ac:dyDescent="0.3">
      <c r="A2" s="639"/>
      <c r="B2" s="439" t="s">
        <v>3582</v>
      </c>
      <c r="C2" s="642"/>
      <c r="D2" s="642"/>
    </row>
    <row r="3" spans="1:5" s="43" customFormat="1" ht="15.9" customHeight="1" x14ac:dyDescent="0.35">
      <c r="A3" s="35"/>
      <c r="B3" s="411"/>
      <c r="C3" s="147"/>
      <c r="D3" s="147"/>
    </row>
    <row r="4" spans="1:5" s="43" customFormat="1" ht="15.9" customHeight="1" x14ac:dyDescent="0.3">
      <c r="A4" s="35"/>
      <c r="B4" s="1177" t="s">
        <v>3583</v>
      </c>
      <c r="C4" s="1177"/>
      <c r="D4" s="443"/>
    </row>
    <row r="5" spans="1:5" s="43" customFormat="1" ht="15.9" customHeight="1" x14ac:dyDescent="0.3">
      <c r="A5" s="35"/>
      <c r="B5" s="1177"/>
      <c r="C5" s="1177"/>
      <c r="D5" s="443"/>
    </row>
    <row r="6" spans="1:5" s="43" customFormat="1" ht="15.9" customHeight="1" x14ac:dyDescent="0.3">
      <c r="A6" s="35"/>
      <c r="B6" s="1177"/>
      <c r="C6" s="1177"/>
      <c r="D6" s="443"/>
    </row>
    <row r="7" spans="1:5" s="43" customFormat="1" ht="15.9" customHeight="1" x14ac:dyDescent="0.3">
      <c r="A7" s="35"/>
      <c r="B7" s="1177"/>
      <c r="C7" s="1177"/>
      <c r="D7" s="443"/>
    </row>
    <row r="8" spans="1:5" s="43" customFormat="1" ht="15.9" customHeight="1" x14ac:dyDescent="0.35">
      <c r="A8" s="35"/>
      <c r="B8" s="1177"/>
      <c r="C8" s="1177"/>
      <c r="D8" s="443"/>
      <c r="E8" s="167"/>
    </row>
    <row r="9" spans="1:5" s="43" customFormat="1" ht="15.9" customHeight="1" x14ac:dyDescent="0.35">
      <c r="A9" s="35"/>
      <c r="B9" s="1177"/>
      <c r="C9" s="1177"/>
      <c r="D9" s="443"/>
      <c r="E9" s="167"/>
    </row>
    <row r="11" spans="1:5" ht="24.75" customHeight="1" x14ac:dyDescent="0.3">
      <c r="B11" s="413" t="s">
        <v>3499</v>
      </c>
      <c r="C11" s="500" t="s">
        <v>3503</v>
      </c>
      <c r="D11" s="54" t="s">
        <v>3584</v>
      </c>
      <c r="E11" s="439" t="s">
        <v>3585</v>
      </c>
    </row>
    <row r="12" spans="1:5" ht="15.9" customHeight="1" x14ac:dyDescent="0.3">
      <c r="B12" s="55" t="s">
        <v>3038</v>
      </c>
      <c r="C12" s="114">
        <f>VLOOKUP(B12,'Country Summary'!B:R,5,0)</f>
        <v>44.338095238095235</v>
      </c>
    </row>
    <row r="13" spans="1:5" ht="15.9" customHeight="1" x14ac:dyDescent="0.3">
      <c r="B13" s="48" t="s">
        <v>2864</v>
      </c>
      <c r="C13" s="114">
        <f>VLOOKUP(B13,'Country Summary'!B:R,5,0)</f>
        <v>4.8864927960823152</v>
      </c>
    </row>
    <row r="14" spans="1:5" ht="15.9" customHeight="1" x14ac:dyDescent="0.3">
      <c r="B14" s="48" t="s">
        <v>2303</v>
      </c>
      <c r="C14" s="114">
        <f>VLOOKUP(B14,'Country Summary'!B:R,5,0)</f>
        <v>2.4278310691428571</v>
      </c>
    </row>
    <row r="15" spans="1:5" ht="15.9" customHeight="1" x14ac:dyDescent="0.3">
      <c r="B15" s="48" t="s">
        <v>1288</v>
      </c>
      <c r="C15" s="114">
        <f>VLOOKUP(B15,'Country Summary'!B:R,5,0)</f>
        <v>2.3552</v>
      </c>
    </row>
    <row r="16" spans="1:5" ht="15.9" customHeight="1" x14ac:dyDescent="0.3">
      <c r="B16" s="48" t="s">
        <v>517</v>
      </c>
      <c r="C16" s="114">
        <f>VLOOKUP(B16,'Country Summary'!B:R,5,0)</f>
        <v>1.2893734795265364</v>
      </c>
    </row>
    <row r="17" spans="2:3" ht="15.9" customHeight="1" x14ac:dyDescent="0.3">
      <c r="B17" s="48" t="s">
        <v>2076</v>
      </c>
      <c r="C17" s="114">
        <f>VLOOKUP(B17,'Country Summary'!B:R,5,0)</f>
        <v>0.85850000000000004</v>
      </c>
    </row>
    <row r="18" spans="2:3" ht="15.9" customHeight="1" x14ac:dyDescent="0.3">
      <c r="B18" s="48" t="s">
        <v>1730</v>
      </c>
      <c r="C18" s="114">
        <f>VLOOKUP(B18,'Country Summary'!B:R,5,0)</f>
        <v>0.66091838062565367</v>
      </c>
    </row>
    <row r="19" spans="2:3" ht="15.9" customHeight="1" x14ac:dyDescent="0.3">
      <c r="B19" s="48" t="s">
        <v>1131</v>
      </c>
      <c r="C19" s="114">
        <f>VLOOKUP(B19,'Country Summary'!B:R,5,0)</f>
        <v>0.65962732814080649</v>
      </c>
    </row>
    <row r="20" spans="2:3" ht="15.9" customHeight="1" x14ac:dyDescent="0.3">
      <c r="B20" s="48" t="s">
        <v>2206</v>
      </c>
      <c r="C20" s="114">
        <f>VLOOKUP(B20,'Country Summary'!B:R,5,0)</f>
        <v>0.59214133326908946</v>
      </c>
    </row>
    <row r="21" spans="2:3" ht="15.9" customHeight="1" x14ac:dyDescent="0.3">
      <c r="B21" s="35" t="s">
        <v>856</v>
      </c>
      <c r="C21" s="114">
        <f>VLOOKUP(B21,'Country Summary'!B:R,5,0)</f>
        <v>0.56299310419019966</v>
      </c>
    </row>
    <row r="22" spans="2:3" ht="15.9" customHeight="1" x14ac:dyDescent="0.3">
      <c r="B22" s="48" t="s">
        <v>2715</v>
      </c>
      <c r="C22" s="114">
        <f>VLOOKUP(B22,'Country Summary'!B:R,5,0)</f>
        <v>0.54638815978467004</v>
      </c>
    </row>
    <row r="23" spans="2:3" ht="15.9" customHeight="1" x14ac:dyDescent="0.3">
      <c r="B23" s="48" t="s">
        <v>716</v>
      </c>
      <c r="C23" s="114">
        <f>VLOOKUP(B23,'Country Summary'!B:R,5,0)</f>
        <v>0.46418603077692083</v>
      </c>
    </row>
    <row r="24" spans="2:3" ht="15.9" customHeight="1" x14ac:dyDescent="0.3">
      <c r="B24" s="48" t="s">
        <v>255</v>
      </c>
      <c r="C24" s="114">
        <f>VLOOKUP(B24,'Country Summary'!B:R,5,0)</f>
        <v>0.35821571928007251</v>
      </c>
    </row>
    <row r="25" spans="2:3" ht="15.9" customHeight="1" x14ac:dyDescent="0.3">
      <c r="B25" s="54" t="s">
        <v>937</v>
      </c>
      <c r="C25" s="114">
        <f>VLOOKUP(B25,'Country Summary'!B:R,5,0)</f>
        <v>0.30780000000000002</v>
      </c>
    </row>
    <row r="26" spans="2:3" ht="15.9" customHeight="1" x14ac:dyDescent="0.3">
      <c r="B26" s="48" t="s">
        <v>1861</v>
      </c>
      <c r="C26" s="114">
        <f>VLOOKUP(B26,'Country Summary'!B:R,5,0)</f>
        <v>0.29499878461654938</v>
      </c>
    </row>
    <row r="27" spans="2:3" ht="15.9" customHeight="1" x14ac:dyDescent="0.3">
      <c r="B27" s="48" t="s">
        <v>1919</v>
      </c>
      <c r="C27" s="114">
        <f>VLOOKUP(B27,'Country Summary'!B:R,5,0)</f>
        <v>0.28000000000000003</v>
      </c>
    </row>
    <row r="28" spans="2:3" ht="15.9" customHeight="1" x14ac:dyDescent="0.3">
      <c r="B28" s="35" t="s">
        <v>480</v>
      </c>
      <c r="C28" s="114">
        <f>VLOOKUP(B28,'Country Summary'!B:R,5,0)</f>
        <v>0.23928827078433376</v>
      </c>
    </row>
    <row r="29" spans="2:3" ht="15.9" customHeight="1" x14ac:dyDescent="0.3">
      <c r="B29" s="48" t="s">
        <v>2489</v>
      </c>
      <c r="C29" s="114">
        <f>VLOOKUP(B29,'Country Summary'!B:R,5,0)</f>
        <v>0.2150631199047619</v>
      </c>
    </row>
    <row r="30" spans="2:3" ht="15.9" customHeight="1" x14ac:dyDescent="0.3">
      <c r="B30" s="48" t="s">
        <v>1025</v>
      </c>
      <c r="C30" s="114">
        <f>VLOOKUP(B30,'Country Summary'!B:R,5,0)</f>
        <v>0.20669999999999999</v>
      </c>
    </row>
    <row r="31" spans="2:3" ht="15.9" customHeight="1" x14ac:dyDescent="0.3">
      <c r="B31" s="35" t="s">
        <v>1606</v>
      </c>
      <c r="C31" s="114">
        <f>VLOOKUP(B31,'Country Summary'!B:R,5,0)</f>
        <v>0.18270229371428573</v>
      </c>
    </row>
    <row r="32" spans="2:3" ht="15.9" customHeight="1" x14ac:dyDescent="0.3">
      <c r="B32" s="48" t="s">
        <v>413</v>
      </c>
      <c r="C32" s="114">
        <f>VLOOKUP(B32,'Country Summary'!B:R,5,0)</f>
        <v>0.14495</v>
      </c>
    </row>
    <row r="33" spans="2:10" ht="15.9" customHeight="1" x14ac:dyDescent="0.3">
      <c r="B33" s="48" t="s">
        <v>2615</v>
      </c>
      <c r="C33" s="114">
        <f>VLOOKUP(B33,'Country Summary'!B:R,5,0)</f>
        <v>8.3123597366324242E-2</v>
      </c>
    </row>
    <row r="34" spans="2:10" ht="15.9" customHeight="1" x14ac:dyDescent="0.3">
      <c r="B34" s="48" t="s">
        <v>2024</v>
      </c>
      <c r="C34" s="114">
        <f>VLOOKUP(B34,'Country Summary'!B:R,5,0)</f>
        <v>7.4999999999999997E-2</v>
      </c>
    </row>
    <row r="35" spans="2:10" ht="15.9" customHeight="1" x14ac:dyDescent="0.3">
      <c r="B35" s="48" t="s">
        <v>2820</v>
      </c>
      <c r="C35" s="114">
        <f>VLOOKUP(B35,'Country Summary'!B:R,5,0)</f>
        <v>6.1355714285714284E-2</v>
      </c>
    </row>
    <row r="36" spans="2:10" ht="15.9" customHeight="1" x14ac:dyDescent="0.3">
      <c r="B36" s="48" t="s">
        <v>2547</v>
      </c>
      <c r="C36" s="114">
        <f>VLOOKUP(B36,'Country Summary'!B:R,5,0)</f>
        <v>5.7416922906666668E-2</v>
      </c>
    </row>
    <row r="37" spans="2:10" ht="15.9" customHeight="1" x14ac:dyDescent="0.3">
      <c r="B37" s="48" t="s">
        <v>2370</v>
      </c>
      <c r="C37" s="114">
        <f>VLOOKUP(B37,'Country Summary'!B:R,5,0)</f>
        <v>4.4144784553516107E-2</v>
      </c>
    </row>
    <row r="38" spans="2:10" ht="15.9" customHeight="1" x14ac:dyDescent="0.3">
      <c r="B38" s="35" t="s">
        <v>664</v>
      </c>
      <c r="C38" s="114">
        <f>VLOOKUP(B38,'Country Summary'!B:R,5,0)</f>
        <v>1.9445623342175065E-2</v>
      </c>
    </row>
    <row r="39" spans="2:10" ht="15.9" customHeight="1" x14ac:dyDescent="0.3">
      <c r="B39" s="54" t="s">
        <v>2168</v>
      </c>
      <c r="C39" s="114">
        <f>VLOOKUP(B39,'Country Summary'!B:R,5,0)</f>
        <v>1.8335310205390792E-2</v>
      </c>
    </row>
    <row r="40" spans="2:10" ht="15.9" customHeight="1" x14ac:dyDescent="0.3">
      <c r="B40" s="48" t="s">
        <v>344</v>
      </c>
      <c r="C40" s="114">
        <f>VLOOKUP(B40,'Country Summary'!B:R,5,0)</f>
        <v>3.4165467142857142E-3</v>
      </c>
    </row>
    <row r="41" spans="2:10" ht="15.9" customHeight="1" x14ac:dyDescent="0.3">
      <c r="B41" s="54" t="s">
        <v>2424</v>
      </c>
      <c r="C41" s="114">
        <f>VLOOKUP(B41,'Country Summary'!B:R,5,0)</f>
        <v>3.4095238095238093E-3</v>
      </c>
    </row>
    <row r="42" spans="2:10" ht="15.9" customHeight="1" x14ac:dyDescent="0.3">
      <c r="B42" s="48" t="s">
        <v>2460</v>
      </c>
      <c r="C42" s="114">
        <f>VLOOKUP(B42,'Country Summary'!B:R,5,0)</f>
        <v>3.0000000000000001E-3</v>
      </c>
      <c r="H42" s="56"/>
      <c r="I42" s="56"/>
    </row>
    <row r="43" spans="2:10" ht="15.9" customHeight="1" x14ac:dyDescent="0.3">
      <c r="B43" s="35" t="s">
        <v>1804</v>
      </c>
      <c r="C43" s="114">
        <f>VLOOKUP(B43,'Country Summary'!B:R,5,0)</f>
        <v>2.3352380952380951E-3</v>
      </c>
      <c r="G43" s="56"/>
      <c r="H43" s="56"/>
      <c r="I43" s="56"/>
      <c r="J43" s="57"/>
    </row>
    <row r="44" spans="2:10" ht="15.9" customHeight="1" x14ac:dyDescent="0.3">
      <c r="B44" s="48" t="s">
        <v>2792</v>
      </c>
      <c r="C44" s="114">
        <f>VLOOKUP(B44,'Country Summary'!B:R,5,0)</f>
        <v>0</v>
      </c>
      <c r="G44" s="56"/>
      <c r="H44" s="56"/>
      <c r="I44" s="56"/>
      <c r="J44" s="57"/>
    </row>
    <row r="45" spans="2:10" ht="15.9" customHeight="1" x14ac:dyDescent="0.3">
      <c r="B45" s="35" t="s">
        <v>1701</v>
      </c>
      <c r="C45" s="114">
        <f>VLOOKUP(B45,'Country Summary'!B:R,5,0)</f>
        <v>0</v>
      </c>
      <c r="H45" s="56"/>
      <c r="I45" s="56"/>
      <c r="J45" s="57"/>
    </row>
    <row r="46" spans="2:10" ht="15.9" customHeight="1" x14ac:dyDescent="0.3">
      <c r="B46" s="48" t="s">
        <v>2840</v>
      </c>
      <c r="C46" s="114">
        <f>VLOOKUP(B46,'Country Summary'!B:R,5,0)</f>
        <v>0</v>
      </c>
      <c r="H46" s="56"/>
      <c r="I46" s="56"/>
      <c r="J46" s="57"/>
    </row>
    <row r="47" spans="2:10" ht="15.9" customHeight="1" x14ac:dyDescent="0.3">
      <c r="B47" s="48" t="s">
        <v>1646</v>
      </c>
      <c r="C47" s="114">
        <f>VLOOKUP(B47,'Country Summary'!B:R,5,0)</f>
        <v>0</v>
      </c>
      <c r="H47" s="57"/>
      <c r="I47" s="57"/>
      <c r="J47" s="57"/>
    </row>
    <row r="48" spans="2:10" ht="15.9" customHeight="1" x14ac:dyDescent="0.3">
      <c r="B48" s="54" t="s">
        <v>696</v>
      </c>
      <c r="C48" s="114">
        <f>VLOOKUP(B48,'Country Summary'!B:R,5,0)</f>
        <v>0</v>
      </c>
      <c r="H48" s="57"/>
      <c r="I48" s="57"/>
      <c r="J48" s="57"/>
    </row>
    <row r="49" spans="2:7" ht="15.9" customHeight="1" x14ac:dyDescent="0.3">
      <c r="B49" s="54" t="s">
        <v>656</v>
      </c>
      <c r="C49" s="114">
        <f>VLOOKUP(B49,'Country Summary'!B:R,5,0)</f>
        <v>0</v>
      </c>
    </row>
    <row r="50" spans="2:7" ht="15.9" customHeight="1" x14ac:dyDescent="0.3">
      <c r="B50" s="54" t="s">
        <v>1687</v>
      </c>
      <c r="C50" s="114">
        <f>VLOOKUP(B50,'Country Summary'!B:R,5,0)</f>
        <v>0</v>
      </c>
    </row>
    <row r="51" spans="2:7" ht="15.9" customHeight="1" x14ac:dyDescent="0.3">
      <c r="B51" s="54" t="s">
        <v>2066</v>
      </c>
      <c r="C51" s="114">
        <f>VLOOKUP(B51,'Country Summary'!B:R,5,0)</f>
        <v>0</v>
      </c>
    </row>
    <row r="53" spans="2:7" ht="15.9" customHeight="1" x14ac:dyDescent="0.3">
      <c r="B53" s="434" t="s">
        <v>3517</v>
      </c>
      <c r="C53" s="435">
        <f>SUM(C12:C51)</f>
        <v>62.242448369213136</v>
      </c>
    </row>
    <row r="54" spans="2:7" ht="15.9" customHeight="1" x14ac:dyDescent="0.3">
      <c r="B54" s="48"/>
      <c r="C54" s="30"/>
      <c r="G54" s="56"/>
    </row>
    <row r="55" spans="2:7" ht="15.9" customHeight="1" x14ac:dyDescent="0.3">
      <c r="B55" s="48"/>
      <c r="C55" s="30"/>
      <c r="G55" s="56"/>
    </row>
    <row r="56" spans="2:7" ht="15.9" customHeight="1" x14ac:dyDescent="0.3">
      <c r="B56" s="48"/>
      <c r="C56" s="30"/>
      <c r="G56" s="57"/>
    </row>
    <row r="57" spans="2:7" ht="15.9" customHeight="1" x14ac:dyDescent="0.3">
      <c r="B57" s="48"/>
      <c r="C57" s="30"/>
      <c r="G57" s="57"/>
    </row>
    <row r="58" spans="2:7" ht="15.9" customHeight="1" x14ac:dyDescent="0.3">
      <c r="B58" s="48"/>
      <c r="C58" s="30"/>
    </row>
    <row r="59" spans="2:7" ht="15.9" customHeight="1" x14ac:dyDescent="0.3">
      <c r="B59" s="48"/>
      <c r="C59" s="30"/>
    </row>
    <row r="60" spans="2:7" ht="15.9" customHeight="1" x14ac:dyDescent="0.3">
      <c r="B60" s="48"/>
      <c r="C60" s="30"/>
    </row>
    <row r="61" spans="2:7" ht="15.9" customHeight="1" x14ac:dyDescent="0.3">
      <c r="B61" s="48"/>
      <c r="C61" s="30"/>
    </row>
    <row r="62" spans="2:7" ht="15.9" customHeight="1" x14ac:dyDescent="0.3">
      <c r="B62" s="48"/>
      <c r="C62" s="30"/>
    </row>
    <row r="63" spans="2:7" ht="15.9" customHeight="1" x14ac:dyDescent="0.3">
      <c r="B63" s="48"/>
      <c r="C63" s="30"/>
    </row>
    <row r="64" spans="2:7" ht="15.9" customHeight="1" x14ac:dyDescent="0.3">
      <c r="B64" s="48"/>
      <c r="C64" s="30"/>
    </row>
    <row r="65" spans="2:3" ht="15.9" customHeight="1" x14ac:dyDescent="0.3">
      <c r="B65" s="48"/>
      <c r="C65" s="30"/>
    </row>
    <row r="66" spans="2:3" ht="15.9" customHeight="1" x14ac:dyDescent="0.3">
      <c r="B66" s="48"/>
      <c r="C66" s="30"/>
    </row>
    <row r="67" spans="2:3" ht="15.9" customHeight="1" x14ac:dyDescent="0.3">
      <c r="B67" s="48"/>
      <c r="C67" s="30"/>
    </row>
    <row r="68" spans="2:3" ht="15.9" customHeight="1" x14ac:dyDescent="0.3">
      <c r="B68" s="48"/>
      <c r="C68" s="30"/>
    </row>
    <row r="69" spans="2:3" ht="15.9" customHeight="1" x14ac:dyDescent="0.3">
      <c r="B69" s="48"/>
      <c r="C69" s="30"/>
    </row>
    <row r="70" spans="2:3" ht="15.9" customHeight="1" x14ac:dyDescent="0.3">
      <c r="C70" s="30"/>
    </row>
    <row r="71" spans="2:3" ht="15.9" customHeight="1" x14ac:dyDescent="0.3">
      <c r="B71" s="48"/>
      <c r="C71" s="30"/>
    </row>
    <row r="72" spans="2:3" ht="15.9" customHeight="1" x14ac:dyDescent="0.3">
      <c r="B72" s="48"/>
      <c r="C72" s="30"/>
    </row>
    <row r="73" spans="2:3" ht="15.9" customHeight="1" x14ac:dyDescent="0.3">
      <c r="C73" s="30"/>
    </row>
  </sheetData>
  <sortState ref="B12:E51">
    <sortCondition descending="1" ref="C12:C51"/>
  </sortState>
  <mergeCells count="1">
    <mergeCell ref="B4:C9"/>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59999389629810485"/>
  </sheetPr>
  <dimension ref="A1:J73"/>
  <sheetViews>
    <sheetView showGridLines="0" zoomScaleNormal="100" workbookViewId="0"/>
  </sheetViews>
  <sheetFormatPr baseColWidth="10" defaultColWidth="8.59765625" defaultRowHeight="15.9" customHeight="1" x14ac:dyDescent="0.3"/>
  <cols>
    <col min="1" max="1" width="8.59765625" style="2" customWidth="1"/>
    <col min="2" max="2" width="25.5" style="54" customWidth="1"/>
    <col min="3" max="3" width="31.3984375" style="54" bestFit="1" customWidth="1"/>
    <col min="4" max="4" width="13.59765625" style="54" customWidth="1"/>
    <col min="5" max="16384" width="8.59765625" style="54"/>
  </cols>
  <sheetData>
    <row r="1" spans="1:6" s="35" customFormat="1" ht="15.9" customHeight="1" x14ac:dyDescent="0.3">
      <c r="B1" s="39"/>
      <c r="C1" s="148"/>
    </row>
    <row r="2" spans="1:6" s="643" customFormat="1" ht="24.75" customHeight="1" x14ac:dyDescent="0.3">
      <c r="A2" s="639"/>
      <c r="B2" s="439" t="s">
        <v>3586</v>
      </c>
      <c r="C2" s="642"/>
      <c r="D2" s="642"/>
    </row>
    <row r="3" spans="1:6" s="43" customFormat="1" ht="15.9" customHeight="1" x14ac:dyDescent="0.35">
      <c r="A3" s="35"/>
      <c r="B3" s="411"/>
      <c r="C3" s="147"/>
      <c r="D3" s="147"/>
    </row>
    <row r="4" spans="1:6" s="43" customFormat="1" ht="15.9" customHeight="1" x14ac:dyDescent="0.3">
      <c r="A4" s="35"/>
      <c r="B4" s="1177" t="s">
        <v>3587</v>
      </c>
      <c r="C4" s="1177"/>
      <c r="D4" s="1177"/>
      <c r="E4" s="1177"/>
      <c r="F4" s="1177"/>
    </row>
    <row r="5" spans="1:6" s="43" customFormat="1" ht="15.9" customHeight="1" x14ac:dyDescent="0.3">
      <c r="A5" s="35"/>
      <c r="B5" s="1177"/>
      <c r="C5" s="1177"/>
      <c r="D5" s="1177"/>
      <c r="E5" s="1177"/>
      <c r="F5" s="1177"/>
    </row>
    <row r="6" spans="1:6" s="43" customFormat="1" ht="15.9" customHeight="1" x14ac:dyDescent="0.3">
      <c r="A6" s="35"/>
      <c r="B6" s="1177"/>
      <c r="C6" s="1177"/>
      <c r="D6" s="1177"/>
      <c r="E6" s="1177"/>
      <c r="F6" s="1177"/>
    </row>
    <row r="7" spans="1:6" s="43" customFormat="1" ht="15.9" customHeight="1" x14ac:dyDescent="0.3">
      <c r="A7" s="35"/>
      <c r="B7" s="1177"/>
      <c r="C7" s="1177"/>
      <c r="D7" s="1177"/>
      <c r="E7" s="1177"/>
      <c r="F7" s="1177"/>
    </row>
    <row r="8" spans="1:6" s="43" customFormat="1" ht="15.9" customHeight="1" x14ac:dyDescent="0.3">
      <c r="A8" s="35"/>
      <c r="B8" s="1177"/>
      <c r="C8" s="1177"/>
      <c r="D8" s="1177"/>
      <c r="E8" s="1177"/>
      <c r="F8" s="1177"/>
    </row>
    <row r="9" spans="1:6" s="43" customFormat="1" ht="15.9" customHeight="1" x14ac:dyDescent="0.3">
      <c r="A9" s="35"/>
      <c r="B9" s="1177"/>
      <c r="C9" s="1177"/>
      <c r="D9" s="1177"/>
      <c r="E9" s="1177"/>
      <c r="F9" s="1177"/>
    </row>
    <row r="11" spans="1:6" ht="24.75" customHeight="1" x14ac:dyDescent="0.3">
      <c r="B11" s="413" t="s">
        <v>3499</v>
      </c>
      <c r="C11" s="500" t="s">
        <v>3588</v>
      </c>
      <c r="D11" s="54" t="s">
        <v>3584</v>
      </c>
      <c r="E11" s="439" t="s">
        <v>3589</v>
      </c>
    </row>
    <row r="12" spans="1:6" ht="15.9" customHeight="1" x14ac:dyDescent="0.3">
      <c r="B12" s="55" t="s">
        <v>3038</v>
      </c>
      <c r="C12" s="114">
        <f>VLOOKUP(B12,'Comm. per Month (Heavy Weapons)'!B:R,17,0)</f>
        <v>5.3659054437555378</v>
      </c>
    </row>
    <row r="13" spans="1:6" ht="15.9" customHeight="1" x14ac:dyDescent="0.3">
      <c r="B13" s="54" t="s">
        <v>3590</v>
      </c>
      <c r="C13" s="123">
        <f>SUMIFS('Comm. per Month (Heavy Weapons)'!R13:R53,'Comm. per Month (Heavy Weapons)'!C13:C53,1)</f>
        <v>4.3700863097587881</v>
      </c>
    </row>
    <row r="14" spans="1:6" ht="15.9" customHeight="1" x14ac:dyDescent="0.3">
      <c r="B14" s="48" t="s">
        <v>1288</v>
      </c>
      <c r="C14" s="114">
        <f>VLOOKUP(B14,'Comm. per Month (Heavy Weapons)'!B:R,17,0)</f>
        <v>1.6539415238713595</v>
      </c>
    </row>
    <row r="15" spans="1:6" ht="15.9" customHeight="1" x14ac:dyDescent="0.3">
      <c r="B15" s="48" t="s">
        <v>2303</v>
      </c>
      <c r="C15" s="114">
        <f>VLOOKUP(B15,'Comm. per Month (Heavy Weapons)'!B:R,17,0)</f>
        <v>1.2377157583874072</v>
      </c>
    </row>
    <row r="16" spans="1:6" ht="15.9" customHeight="1" x14ac:dyDescent="0.3">
      <c r="B16" s="48" t="s">
        <v>2864</v>
      </c>
      <c r="C16" s="114">
        <f>VLOOKUP(B16,'Comm. per Month (Heavy Weapons)'!B:R,17,0)</f>
        <v>0.93091285199383156</v>
      </c>
    </row>
    <row r="17" spans="2:3" ht="15.9" customHeight="1" x14ac:dyDescent="0.3">
      <c r="B17" s="48" t="s">
        <v>1730</v>
      </c>
      <c r="C17" s="114">
        <f>VLOOKUP(B17,'Comm. per Month (Heavy Weapons)'!B:R,17,0)</f>
        <v>0.48658893392919395</v>
      </c>
    </row>
    <row r="18" spans="2:3" ht="15.9" customHeight="1" x14ac:dyDescent="0.3">
      <c r="B18" s="48" t="s">
        <v>1131</v>
      </c>
      <c r="C18" s="114">
        <f>VLOOKUP(B18,'Comm. per Month (Heavy Weapons)'!B:R,17,0)</f>
        <v>0.23994038991223493</v>
      </c>
    </row>
    <row r="19" spans="2:3" ht="15.9" customHeight="1" x14ac:dyDescent="0.3">
      <c r="B19" s="48" t="s">
        <v>517</v>
      </c>
      <c r="C19" s="114">
        <f>VLOOKUP(B19,'Comm. per Month (Heavy Weapons)'!B:R,17,0)</f>
        <v>0.22875892108857143</v>
      </c>
    </row>
    <row r="20" spans="2:3" ht="15.9" customHeight="1" x14ac:dyDescent="0.3">
      <c r="B20" s="48" t="s">
        <v>2489</v>
      </c>
      <c r="C20" s="114">
        <f>VLOOKUP(B20,'Comm. per Month (Heavy Weapons)'!B:R,17,0)</f>
        <v>0.2149179762190476</v>
      </c>
    </row>
    <row r="21" spans="2:3" ht="15.9" customHeight="1" x14ac:dyDescent="0.3">
      <c r="B21" s="48" t="s">
        <v>255</v>
      </c>
      <c r="C21" s="114">
        <f>VLOOKUP(B21,'Comm. per Month (Heavy Weapons)'!B:R,17,0)</f>
        <v>0.17897142857142856</v>
      </c>
    </row>
    <row r="22" spans="2:3" ht="15.9" customHeight="1" x14ac:dyDescent="0.3">
      <c r="B22" s="48" t="s">
        <v>716</v>
      </c>
      <c r="C22" s="114">
        <f>VLOOKUP(B22,'Comm. per Month (Heavy Weapons)'!B:R,17,0)</f>
        <v>0.16633458636509066</v>
      </c>
    </row>
    <row r="23" spans="2:3" ht="15.9" customHeight="1" x14ac:dyDescent="0.3">
      <c r="B23" s="48" t="s">
        <v>2076</v>
      </c>
      <c r="C23" s="114">
        <f>VLOOKUP(B23,'Comm. per Month (Heavy Weapons)'!B:R,17,0)</f>
        <v>0.1478392928647706</v>
      </c>
    </row>
    <row r="24" spans="2:3" ht="15.9" customHeight="1" x14ac:dyDescent="0.3">
      <c r="B24" s="48" t="s">
        <v>2206</v>
      </c>
      <c r="C24" s="114">
        <f>VLOOKUP(B24,'Comm. per Month (Heavy Weapons)'!B:R,17,0)</f>
        <v>0.1042005568547837</v>
      </c>
    </row>
    <row r="25" spans="2:3" ht="15.9" customHeight="1" x14ac:dyDescent="0.3">
      <c r="B25" s="35" t="s">
        <v>856</v>
      </c>
      <c r="C25" s="114">
        <f>VLOOKUP(B25,'Comm. per Month (Heavy Weapons)'!B:R,17,0)</f>
        <v>8.9255478938963489E-2</v>
      </c>
    </row>
    <row r="26" spans="2:3" ht="15.9" customHeight="1" x14ac:dyDescent="0.3">
      <c r="B26" s="48" t="s">
        <v>2547</v>
      </c>
      <c r="C26" s="114">
        <f>VLOOKUP(B26,'Comm. per Month (Heavy Weapons)'!B:R,17,0)</f>
        <v>4.9459029573333327E-2</v>
      </c>
    </row>
    <row r="27" spans="2:3" ht="15.9" customHeight="1" x14ac:dyDescent="0.3">
      <c r="B27" s="48" t="s">
        <v>1919</v>
      </c>
      <c r="C27" s="114">
        <f>VLOOKUP(B27,'Comm. per Month (Heavy Weapons)'!B:R,17,0)</f>
        <v>2.2125601904761902E-2</v>
      </c>
    </row>
    <row r="28" spans="2:3" ht="15.9" customHeight="1" x14ac:dyDescent="0.3">
      <c r="B28" s="35" t="s">
        <v>1606</v>
      </c>
      <c r="C28" s="114">
        <f>VLOOKUP(B28,'Comm. per Month (Heavy Weapons)'!B:R,17,0)</f>
        <v>2.1392096380952384E-2</v>
      </c>
    </row>
    <row r="29" spans="2:3" ht="15.9" customHeight="1" x14ac:dyDescent="0.3">
      <c r="B29" s="48" t="s">
        <v>2820</v>
      </c>
      <c r="C29" s="114">
        <f>VLOOKUP(B29,'Comm. per Month (Heavy Weapons)'!B:R,17,0)</f>
        <v>1.5974761904761905E-2</v>
      </c>
    </row>
    <row r="30" spans="2:3" ht="15.9" customHeight="1" x14ac:dyDescent="0.3">
      <c r="B30" s="48" t="s">
        <v>2615</v>
      </c>
      <c r="C30" s="114">
        <f>VLOOKUP(B30,'Comm. per Month (Heavy Weapons)'!B:R,17,0)</f>
        <v>1.5461333193988659E-2</v>
      </c>
    </row>
    <row r="31" spans="2:3" ht="15.9" customHeight="1" x14ac:dyDescent="0.3">
      <c r="B31" s="48" t="s">
        <v>1861</v>
      </c>
      <c r="C31" s="114">
        <f>VLOOKUP(B31,'Comm. per Month (Heavy Weapons)'!B:R,17,0)</f>
        <v>9.9130703308350845E-3</v>
      </c>
    </row>
    <row r="32" spans="2:3" ht="15.9" customHeight="1" x14ac:dyDescent="0.3">
      <c r="B32" s="48" t="s">
        <v>2370</v>
      </c>
      <c r="C32" s="114">
        <f>VLOOKUP(B32,'Comm. per Month (Heavy Weapons)'!B:R,17,0)</f>
        <v>8.408784553516107E-3</v>
      </c>
    </row>
    <row r="33" spans="2:10" ht="15.9" customHeight="1" x14ac:dyDescent="0.3">
      <c r="B33" s="48" t="s">
        <v>2024</v>
      </c>
      <c r="C33" s="114">
        <f>VLOOKUP(B33,'Comm. per Month (Heavy Weapons)'!B:R,17,0)</f>
        <v>6.7924533333333327E-3</v>
      </c>
    </row>
    <row r="34" spans="2:10" ht="15.9" customHeight="1" x14ac:dyDescent="0.3">
      <c r="B34" s="48" t="s">
        <v>2715</v>
      </c>
      <c r="C34" s="114">
        <f>VLOOKUP(B34,'Comm. per Month (Heavy Weapons)'!B:R,17,0)</f>
        <v>0</v>
      </c>
    </row>
    <row r="35" spans="2:10" ht="15.9" customHeight="1" x14ac:dyDescent="0.3">
      <c r="B35" s="54" t="s">
        <v>937</v>
      </c>
      <c r="C35" s="114">
        <f>VLOOKUP(B35,'Comm. per Month (Heavy Weapons)'!B:R,17,0)</f>
        <v>0</v>
      </c>
    </row>
    <row r="36" spans="2:10" ht="15.9" customHeight="1" x14ac:dyDescent="0.3">
      <c r="B36" s="35" t="s">
        <v>480</v>
      </c>
      <c r="C36" s="114">
        <f>VLOOKUP(B36,'Comm. per Month (Heavy Weapons)'!B:R,17,0)</f>
        <v>0</v>
      </c>
    </row>
    <row r="37" spans="2:10" ht="15.9" customHeight="1" x14ac:dyDescent="0.3">
      <c r="B37" s="48" t="s">
        <v>1025</v>
      </c>
      <c r="C37" s="114">
        <f>VLOOKUP(B37,'Comm. per Month (Heavy Weapons)'!B:R,17,0)</f>
        <v>0</v>
      </c>
    </row>
    <row r="38" spans="2:10" ht="15.9" customHeight="1" x14ac:dyDescent="0.3">
      <c r="B38" s="48" t="s">
        <v>413</v>
      </c>
      <c r="C38" s="114">
        <f>VLOOKUP(B38,'Comm. per Month (Heavy Weapons)'!B:R,17,0)</f>
        <v>0</v>
      </c>
    </row>
    <row r="39" spans="2:10" ht="15.9" customHeight="1" x14ac:dyDescent="0.3">
      <c r="B39" s="35" t="s">
        <v>664</v>
      </c>
      <c r="C39" s="114">
        <f>VLOOKUP(B39,'Comm. per Month (Heavy Weapons)'!B:R,17,0)</f>
        <v>0</v>
      </c>
    </row>
    <row r="40" spans="2:10" ht="15.9" customHeight="1" x14ac:dyDescent="0.3">
      <c r="B40" s="54" t="s">
        <v>2168</v>
      </c>
      <c r="C40" s="114">
        <f>VLOOKUP(B40,'Comm. per Month (Heavy Weapons)'!B:R,17,0)</f>
        <v>0</v>
      </c>
    </row>
    <row r="41" spans="2:10" ht="15.9" customHeight="1" x14ac:dyDescent="0.3">
      <c r="B41" s="48" t="s">
        <v>344</v>
      </c>
      <c r="C41" s="114">
        <f>VLOOKUP(B41,'Comm. per Month (Heavy Weapons)'!B:R,17,0)</f>
        <v>0</v>
      </c>
    </row>
    <row r="42" spans="2:10" ht="15.9" customHeight="1" x14ac:dyDescent="0.3">
      <c r="B42" s="54" t="s">
        <v>2424</v>
      </c>
      <c r="C42" s="114">
        <f>VLOOKUP(B42,'Comm. per Month (Heavy Weapons)'!B:R,17,0)</f>
        <v>0</v>
      </c>
      <c r="H42" s="56"/>
      <c r="I42" s="56"/>
    </row>
    <row r="43" spans="2:10" ht="15.9" customHeight="1" x14ac:dyDescent="0.3">
      <c r="B43" s="48" t="s">
        <v>2460</v>
      </c>
      <c r="C43" s="114">
        <f>VLOOKUP(B43,'Comm. per Month (Heavy Weapons)'!B:R,17,0)</f>
        <v>0</v>
      </c>
      <c r="G43" s="56"/>
      <c r="H43" s="56"/>
      <c r="I43" s="56"/>
      <c r="J43" s="57"/>
    </row>
    <row r="44" spans="2:10" ht="15.9" customHeight="1" x14ac:dyDescent="0.3">
      <c r="B44" s="35" t="s">
        <v>1804</v>
      </c>
      <c r="C44" s="114">
        <f>VLOOKUP(B44,'Comm. per Month (Heavy Weapons)'!B:R,17,0)</f>
        <v>0</v>
      </c>
      <c r="G44" s="56"/>
      <c r="H44" s="56"/>
      <c r="I44" s="56"/>
      <c r="J44" s="57"/>
    </row>
    <row r="45" spans="2:10" ht="15.9" customHeight="1" x14ac:dyDescent="0.3">
      <c r="B45" s="48" t="s">
        <v>2792</v>
      </c>
      <c r="C45" s="114">
        <f>VLOOKUP(B45,'Comm. per Month (Heavy Weapons)'!B:R,17,0)</f>
        <v>0</v>
      </c>
      <c r="H45" s="56"/>
      <c r="I45" s="56"/>
      <c r="J45" s="57"/>
    </row>
    <row r="46" spans="2:10" ht="15.9" customHeight="1" x14ac:dyDescent="0.3">
      <c r="B46" s="35" t="s">
        <v>1701</v>
      </c>
      <c r="C46" s="114">
        <f>VLOOKUP(B46,'Comm. per Month (Heavy Weapons)'!B:R,17,0)</f>
        <v>0</v>
      </c>
      <c r="H46" s="56"/>
      <c r="I46" s="56"/>
      <c r="J46" s="57"/>
    </row>
    <row r="47" spans="2:10" ht="15.9" customHeight="1" x14ac:dyDescent="0.3">
      <c r="B47" s="48" t="s">
        <v>2840</v>
      </c>
      <c r="C47" s="114">
        <f>VLOOKUP(B47,'Comm. per Month (Heavy Weapons)'!B:R,17,0)</f>
        <v>0</v>
      </c>
      <c r="H47" s="57"/>
      <c r="I47" s="57"/>
      <c r="J47" s="57"/>
    </row>
    <row r="48" spans="2:10" ht="15.9" customHeight="1" x14ac:dyDescent="0.3">
      <c r="B48" s="48" t="s">
        <v>1646</v>
      </c>
      <c r="C48" s="114">
        <f>VLOOKUP(B48,'Comm. per Month (Heavy Weapons)'!B:R,17,0)</f>
        <v>0</v>
      </c>
      <c r="H48" s="57"/>
      <c r="I48" s="57"/>
      <c r="J48" s="57"/>
    </row>
    <row r="49" spans="2:7" ht="15.9" customHeight="1" x14ac:dyDescent="0.3">
      <c r="B49" s="54" t="s">
        <v>696</v>
      </c>
      <c r="C49" s="114">
        <f>VLOOKUP(B49,'Comm. per Month (Heavy Weapons)'!B:R,17,0)</f>
        <v>0</v>
      </c>
    </row>
    <row r="50" spans="2:7" ht="15.9" customHeight="1" x14ac:dyDescent="0.3">
      <c r="B50" s="54" t="s">
        <v>656</v>
      </c>
      <c r="C50" s="114">
        <f>VLOOKUP(B50,'Comm. per Month (Heavy Weapons)'!B:R,17,0)</f>
        <v>0</v>
      </c>
    </row>
    <row r="51" spans="2:7" ht="15.9" customHeight="1" x14ac:dyDescent="0.3">
      <c r="B51" s="54" t="s">
        <v>1687</v>
      </c>
      <c r="C51" s="114">
        <f>VLOOKUP(B51,'Comm. per Month (Heavy Weapons)'!B:R,17,0)</f>
        <v>0</v>
      </c>
    </row>
    <row r="52" spans="2:7" ht="15.9" customHeight="1" x14ac:dyDescent="0.3">
      <c r="B52" s="54" t="s">
        <v>2066</v>
      </c>
      <c r="C52" s="114">
        <f>VLOOKUP(B52,'Comm. per Month (Heavy Weapons)'!B:R,17,0)</f>
        <v>0</v>
      </c>
    </row>
    <row r="54" spans="2:7" ht="15.9" customHeight="1" x14ac:dyDescent="0.3">
      <c r="B54" s="48"/>
      <c r="C54" s="30"/>
      <c r="G54" s="56"/>
    </row>
    <row r="55" spans="2:7" ht="15.9" customHeight="1" x14ac:dyDescent="0.3">
      <c r="B55" s="48"/>
      <c r="C55" s="30"/>
      <c r="G55" s="56"/>
    </row>
    <row r="56" spans="2:7" ht="15.9" customHeight="1" x14ac:dyDescent="0.3">
      <c r="B56" s="434" t="s">
        <v>3517</v>
      </c>
      <c r="C56" s="435">
        <f>SUM(C12:C51)</f>
        <v>15.564896583686489</v>
      </c>
      <c r="D56" s="123"/>
    </row>
    <row r="57" spans="2:7" ht="15.9" customHeight="1" x14ac:dyDescent="0.3">
      <c r="B57" s="48"/>
      <c r="C57" s="30"/>
      <c r="G57" s="57"/>
    </row>
    <row r="58" spans="2:7" ht="15.9" customHeight="1" x14ac:dyDescent="0.3">
      <c r="B58" s="48"/>
      <c r="C58" s="30"/>
    </row>
    <row r="59" spans="2:7" ht="15.9" customHeight="1" x14ac:dyDescent="0.3">
      <c r="B59" s="48"/>
      <c r="C59" s="30"/>
    </row>
    <row r="60" spans="2:7" ht="15.9" customHeight="1" x14ac:dyDescent="0.3">
      <c r="B60" s="48"/>
      <c r="C60" s="30"/>
    </row>
    <row r="61" spans="2:7" ht="15.9" customHeight="1" x14ac:dyDescent="0.3">
      <c r="B61" s="48"/>
      <c r="C61" s="30"/>
    </row>
    <row r="62" spans="2:7" ht="15.9" customHeight="1" x14ac:dyDescent="0.3">
      <c r="B62" s="48"/>
      <c r="C62" s="30"/>
    </row>
    <row r="63" spans="2:7" ht="15.9" customHeight="1" x14ac:dyDescent="0.3">
      <c r="B63" s="48"/>
      <c r="C63" s="30"/>
    </row>
    <row r="64" spans="2:7" ht="15.9" customHeight="1" x14ac:dyDescent="0.3">
      <c r="B64" s="48"/>
      <c r="C64" s="30"/>
    </row>
    <row r="65" spans="2:3" ht="15.9" customHeight="1" x14ac:dyDescent="0.3">
      <c r="B65" s="48"/>
      <c r="C65" s="30"/>
    </row>
    <row r="66" spans="2:3" ht="15.9" customHeight="1" x14ac:dyDescent="0.3">
      <c r="B66" s="48"/>
      <c r="C66" s="30"/>
    </row>
    <row r="67" spans="2:3" ht="15.9" customHeight="1" x14ac:dyDescent="0.3">
      <c r="B67" s="48"/>
      <c r="C67" s="30"/>
    </row>
    <row r="68" spans="2:3" ht="15.9" customHeight="1" x14ac:dyDescent="0.3">
      <c r="B68" s="48"/>
      <c r="C68" s="30"/>
    </row>
    <row r="69" spans="2:3" ht="15.9" customHeight="1" x14ac:dyDescent="0.3">
      <c r="B69" s="48"/>
      <c r="C69" s="30"/>
    </row>
    <row r="70" spans="2:3" ht="15.9" customHeight="1" x14ac:dyDescent="0.3">
      <c r="C70" s="30"/>
    </row>
    <row r="71" spans="2:3" ht="15.9" customHeight="1" x14ac:dyDescent="0.3">
      <c r="B71" s="48"/>
      <c r="C71" s="30"/>
    </row>
    <row r="72" spans="2:3" ht="15.9" customHeight="1" x14ac:dyDescent="0.3">
      <c r="B72" s="48"/>
      <c r="C72" s="30"/>
    </row>
    <row r="73" spans="2:3" ht="15.9" customHeight="1" x14ac:dyDescent="0.3">
      <c r="C73" s="30"/>
    </row>
  </sheetData>
  <sortState ref="B12:E52">
    <sortCondition descending="1" ref="C12"/>
  </sortState>
  <mergeCells count="1">
    <mergeCell ref="B4:F9"/>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B4C6E7"/>
  </sheetPr>
  <dimension ref="A2:Z59"/>
  <sheetViews>
    <sheetView zoomScaleNormal="100" workbookViewId="0"/>
  </sheetViews>
  <sheetFormatPr baseColWidth="10" defaultColWidth="8.59765625" defaultRowHeight="15.9" customHeight="1" x14ac:dyDescent="0.3"/>
  <cols>
    <col min="1" max="1" width="8.59765625" style="2" customWidth="1"/>
    <col min="2" max="2" width="30.5" style="1058" bestFit="1" customWidth="1"/>
    <col min="3" max="3" width="20" style="1058" bestFit="1" customWidth="1"/>
    <col min="4" max="5" width="12.5" style="1058" customWidth="1"/>
    <col min="6" max="6" width="17.5" style="1058" customWidth="1"/>
    <col min="7" max="7" width="27" style="1058" customWidth="1"/>
    <col min="8" max="8" width="22.5" style="1058" bestFit="1" customWidth="1"/>
    <col min="9" max="9" width="13.59765625" style="1058" customWidth="1"/>
    <col min="10" max="16384" width="8.59765625" style="1058"/>
  </cols>
  <sheetData>
    <row r="2" spans="1:19" s="1054" customFormat="1" ht="24.75" customHeight="1" x14ac:dyDescent="0.3">
      <c r="B2" s="1055" t="s">
        <v>3591</v>
      </c>
    </row>
    <row r="3" spans="1:19" s="1056" customFormat="1" ht="15.9" customHeight="1" x14ac:dyDescent="0.35">
      <c r="B3" s="1057"/>
    </row>
    <row r="4" spans="1:19" ht="15.9" customHeight="1" x14ac:dyDescent="0.25">
      <c r="A4" s="1058"/>
      <c r="B4" s="1188" t="s">
        <v>3592</v>
      </c>
      <c r="C4" s="1188"/>
      <c r="D4" s="1188"/>
      <c r="E4" s="1188"/>
      <c r="F4" s="1188"/>
      <c r="G4" s="1188"/>
      <c r="H4" s="1188"/>
      <c r="I4" s="1188"/>
    </row>
    <row r="5" spans="1:19" ht="15.9" customHeight="1" x14ac:dyDescent="0.25">
      <c r="A5" s="1058"/>
      <c r="B5" s="1188"/>
      <c r="C5" s="1188"/>
      <c r="D5" s="1188"/>
      <c r="E5" s="1188"/>
      <c r="F5" s="1188"/>
      <c r="G5" s="1188"/>
      <c r="H5" s="1188"/>
      <c r="I5" s="1188"/>
    </row>
    <row r="6" spans="1:19" ht="15.9" customHeight="1" x14ac:dyDescent="0.25">
      <c r="A6" s="1058"/>
      <c r="B6" s="1188"/>
      <c r="C6" s="1188"/>
      <c r="D6" s="1188"/>
      <c r="E6" s="1188"/>
      <c r="F6" s="1188"/>
      <c r="G6" s="1188"/>
      <c r="H6" s="1188"/>
      <c r="I6" s="1188"/>
    </row>
    <row r="7" spans="1:19" ht="15.9" customHeight="1" x14ac:dyDescent="0.25">
      <c r="A7" s="1058"/>
      <c r="B7" s="1188"/>
      <c r="C7" s="1188"/>
      <c r="D7" s="1188"/>
      <c r="E7" s="1188"/>
      <c r="F7" s="1188"/>
      <c r="G7" s="1188"/>
      <c r="H7" s="1188"/>
      <c r="I7" s="1188"/>
    </row>
    <row r="8" spans="1:19" ht="15.9" customHeight="1" x14ac:dyDescent="0.25">
      <c r="A8" s="1058"/>
      <c r="B8" s="1188"/>
      <c r="C8" s="1188"/>
      <c r="D8" s="1188"/>
      <c r="E8" s="1188"/>
      <c r="F8" s="1188"/>
      <c r="G8" s="1188"/>
      <c r="H8" s="1188"/>
      <c r="I8" s="1188"/>
    </row>
    <row r="9" spans="1:19" ht="15.9" customHeight="1" x14ac:dyDescent="0.25">
      <c r="A9" s="1058"/>
      <c r="B9" s="1188"/>
      <c r="C9" s="1188"/>
      <c r="D9" s="1188"/>
      <c r="E9" s="1188"/>
      <c r="F9" s="1188"/>
      <c r="G9" s="1188"/>
      <c r="H9" s="1188"/>
      <c r="I9" s="1188"/>
    </row>
    <row r="11" spans="1:19" ht="24.75" customHeight="1" x14ac:dyDescent="0.3">
      <c r="B11" s="1059" t="s">
        <v>3593</v>
      </c>
      <c r="C11" s="1060" t="s">
        <v>3594</v>
      </c>
      <c r="D11" s="1060" t="s">
        <v>3595</v>
      </c>
      <c r="E11" s="1060" t="s">
        <v>3596</v>
      </c>
      <c r="F11" s="1060" t="s">
        <v>3597</v>
      </c>
      <c r="G11" s="1060" t="s">
        <v>3598</v>
      </c>
      <c r="I11" s="1061" t="s">
        <v>3599</v>
      </c>
    </row>
    <row r="12" spans="1:19" ht="15.9" customHeight="1" x14ac:dyDescent="0.3">
      <c r="B12" s="1062" t="s">
        <v>3600</v>
      </c>
      <c r="C12" s="1063">
        <f>86+1758+60+150+100+150</f>
        <v>2304</v>
      </c>
      <c r="D12" s="1063">
        <f>1056</f>
        <v>1056</v>
      </c>
      <c r="E12" s="1063">
        <f>2927+330+160</f>
        <v>3417</v>
      </c>
      <c r="F12" s="1063"/>
      <c r="G12" s="1064" t="s">
        <v>3601</v>
      </c>
    </row>
    <row r="13" spans="1:19" ht="15.9" customHeight="1" x14ac:dyDescent="0.3">
      <c r="B13" s="1065" t="s">
        <v>3602</v>
      </c>
      <c r="C13" s="1066">
        <f>302+13+18+440</f>
        <v>773</v>
      </c>
      <c r="D13" s="1066">
        <v>354</v>
      </c>
      <c r="E13" s="1066">
        <f>858+69+60</f>
        <v>987</v>
      </c>
      <c r="F13" s="1066"/>
      <c r="G13" s="1067" t="s">
        <v>3601</v>
      </c>
      <c r="J13" s="60"/>
      <c r="K13" s="1068"/>
      <c r="L13" s="1068"/>
    </row>
    <row r="14" spans="1:19" ht="15.9" customHeight="1" x14ac:dyDescent="0.35">
      <c r="B14" s="1062" t="s">
        <v>3603</v>
      </c>
      <c r="C14" s="1063">
        <f>SUM('Share, Heavy Weapons to Ukraine'!AB12:AB48)</f>
        <v>415</v>
      </c>
      <c r="D14" s="1063">
        <f>SUM('Share, Heavy Weapons to Ukraine'!AC12:AC48)</f>
        <v>76</v>
      </c>
      <c r="E14" s="1063">
        <f>SUM('Share, Heavy Weapons to Ukraine'!V12:V48)</f>
        <v>472</v>
      </c>
      <c r="F14" s="1063">
        <f>SUM('Share, Heavy Weapons to Ukraine'!Z12:Z48)</f>
        <v>240</v>
      </c>
      <c r="G14" s="1069" t="s">
        <v>3604</v>
      </c>
      <c r="K14" s="1068"/>
      <c r="L14" s="1068"/>
      <c r="S14" s="117"/>
    </row>
    <row r="15" spans="1:19" ht="15.9" customHeight="1" x14ac:dyDescent="0.3">
      <c r="B15" s="1062" t="s">
        <v>3605</v>
      </c>
      <c r="C15" s="1063">
        <f>SUM('Share, Heavy Weapons to Ukraine'!AP12:AP48)</f>
        <v>287</v>
      </c>
      <c r="D15" s="1063">
        <f>SUM('Share, Heavy Weapons to Ukraine'!AQ12:AQ48)</f>
        <v>49</v>
      </c>
      <c r="E15" s="1063">
        <f>SUM('Share, Heavy Weapons to Ukraine'!AJ12:AJ48)</f>
        <v>368</v>
      </c>
      <c r="F15" s="1063">
        <f>SUM('Share, Heavy Weapons to Ukraine'!AN12:AN48)</f>
        <v>150</v>
      </c>
      <c r="G15" s="1069" t="s">
        <v>3604</v>
      </c>
    </row>
    <row r="16" spans="1:19" ht="15.9" customHeight="1" x14ac:dyDescent="0.3">
      <c r="B16" s="1065" t="s">
        <v>3606</v>
      </c>
      <c r="C16" s="1070">
        <f>C14-C15</f>
        <v>128</v>
      </c>
      <c r="D16" s="1070">
        <f t="shared" ref="D16:F16" si="0">D14-D15</f>
        <v>27</v>
      </c>
      <c r="E16" s="1070">
        <f t="shared" si="0"/>
        <v>104</v>
      </c>
      <c r="F16" s="1070">
        <f t="shared" si="0"/>
        <v>90</v>
      </c>
      <c r="G16" s="1071" t="s">
        <v>3604</v>
      </c>
    </row>
    <row r="17" spans="2:11" ht="15.9" customHeight="1" x14ac:dyDescent="0.3">
      <c r="H17" s="1072"/>
      <c r="I17" s="59"/>
      <c r="K17" s="59"/>
    </row>
    <row r="18" spans="2:11" ht="15.9" customHeight="1" x14ac:dyDescent="0.3">
      <c r="H18" s="1072"/>
      <c r="I18" s="59"/>
      <c r="K18" s="59"/>
    </row>
    <row r="19" spans="2:11" ht="15.9" customHeight="1" x14ac:dyDescent="0.3">
      <c r="K19" s="59"/>
    </row>
    <row r="20" spans="2:11" ht="24.75" customHeight="1" x14ac:dyDescent="0.3">
      <c r="B20" s="1059" t="s">
        <v>3593</v>
      </c>
      <c r="C20" s="1059" t="s">
        <v>3607</v>
      </c>
      <c r="D20" s="1059" t="s">
        <v>3608</v>
      </c>
      <c r="E20" s="1060" t="s">
        <v>3605</v>
      </c>
      <c r="F20" s="1060" t="s">
        <v>3609</v>
      </c>
      <c r="G20" s="1060" t="s">
        <v>3610</v>
      </c>
      <c r="H20" s="118"/>
      <c r="I20" s="1073"/>
    </row>
    <row r="21" spans="2:11" ht="15.9" customHeight="1" x14ac:dyDescent="0.3">
      <c r="B21" s="1062" t="s">
        <v>3611</v>
      </c>
      <c r="C21" s="1091" t="s">
        <v>3612</v>
      </c>
      <c r="D21" s="1063" t="s">
        <v>260</v>
      </c>
      <c r="E21" s="1063">
        <f>$D$15</f>
        <v>49</v>
      </c>
      <c r="F21" s="1063">
        <f>$D$14-$D$15</f>
        <v>27</v>
      </c>
      <c r="G21" s="1063">
        <f>D13</f>
        <v>354</v>
      </c>
      <c r="H21" s="1062"/>
      <c r="I21" s="1062"/>
    </row>
    <row r="22" spans="2:11" ht="15.9" customHeight="1" x14ac:dyDescent="0.3">
      <c r="B22" s="1062"/>
      <c r="C22" s="1062" t="s">
        <v>3613</v>
      </c>
      <c r="D22" s="1063" t="s">
        <v>260</v>
      </c>
      <c r="E22" s="1063">
        <f>$D$12</f>
        <v>1056</v>
      </c>
      <c r="F22" s="1063" t="s">
        <v>260</v>
      </c>
      <c r="G22" s="1063" t="s">
        <v>260</v>
      </c>
      <c r="H22" s="1062"/>
      <c r="I22" s="1062"/>
    </row>
    <row r="23" spans="2:11" ht="15.9" customHeight="1" x14ac:dyDescent="0.3">
      <c r="B23" s="1062" t="s">
        <v>3614</v>
      </c>
      <c r="C23" s="1091" t="s">
        <v>3612</v>
      </c>
      <c r="D23" s="1063" t="s">
        <v>260</v>
      </c>
      <c r="E23" s="1063">
        <f>$C$15</f>
        <v>287</v>
      </c>
      <c r="F23" s="1063">
        <f>$C$14-$C$15</f>
        <v>128</v>
      </c>
      <c r="G23" s="1063">
        <f>C13</f>
        <v>773</v>
      </c>
      <c r="H23" s="1062"/>
      <c r="I23" s="1062"/>
    </row>
    <row r="24" spans="2:11" ht="15.9" customHeight="1" x14ac:dyDescent="0.3">
      <c r="B24" s="1062"/>
      <c r="C24" s="1062" t="s">
        <v>3613</v>
      </c>
      <c r="D24" s="1063" t="s">
        <v>260</v>
      </c>
      <c r="E24" s="1063">
        <f>$C$12</f>
        <v>2304</v>
      </c>
      <c r="F24" s="1063" t="s">
        <v>260</v>
      </c>
      <c r="G24" s="1063" t="s">
        <v>260</v>
      </c>
      <c r="H24" s="1062"/>
      <c r="I24" s="1062"/>
    </row>
    <row r="25" spans="2:11" ht="15.9" customHeight="1" x14ac:dyDescent="0.3">
      <c r="B25" s="1062" t="s">
        <v>3615</v>
      </c>
      <c r="C25" s="1091" t="s">
        <v>3612</v>
      </c>
      <c r="D25" s="1063" t="s">
        <v>260</v>
      </c>
      <c r="E25" s="1074">
        <f>$E$15</f>
        <v>368</v>
      </c>
      <c r="F25" s="1063">
        <f>E14-E15</f>
        <v>104</v>
      </c>
      <c r="G25" s="1063">
        <f>E13</f>
        <v>987</v>
      </c>
      <c r="H25" s="1062"/>
      <c r="I25" s="1062"/>
    </row>
    <row r="26" spans="2:11" ht="15.9" customHeight="1" x14ac:dyDescent="0.3">
      <c r="B26" s="1062"/>
      <c r="C26" s="1062" t="s">
        <v>3613</v>
      </c>
      <c r="D26" s="1063" t="s">
        <v>260</v>
      </c>
      <c r="E26" s="1074">
        <f>$E$12</f>
        <v>3417</v>
      </c>
      <c r="F26" s="1063" t="s">
        <v>260</v>
      </c>
      <c r="G26" s="1063" t="s">
        <v>260</v>
      </c>
      <c r="H26" s="1062"/>
      <c r="I26" s="1062"/>
    </row>
    <row r="27" spans="2:11" ht="15.9" customHeight="1" x14ac:dyDescent="0.3">
      <c r="E27" s="1075"/>
      <c r="G27" s="1062"/>
      <c r="H27" s="1062"/>
      <c r="I27" s="1062"/>
    </row>
    <row r="28" spans="2:11" ht="15.9" customHeight="1" x14ac:dyDescent="0.3">
      <c r="E28" s="1075"/>
      <c r="H28" s="1062"/>
      <c r="I28" s="1062"/>
    </row>
    <row r="29" spans="2:11" ht="15.9" customHeight="1" x14ac:dyDescent="0.3">
      <c r="K29" s="59"/>
    </row>
    <row r="30" spans="2:11" ht="15.9" customHeight="1" x14ac:dyDescent="0.3">
      <c r="K30" s="59"/>
    </row>
    <row r="31" spans="2:11" ht="15.9" customHeight="1" x14ac:dyDescent="0.3">
      <c r="C31" s="1075"/>
      <c r="D31" s="1075"/>
    </row>
    <row r="32" spans="2:11" ht="15.9" customHeight="1" x14ac:dyDescent="0.3">
      <c r="C32" s="1075"/>
      <c r="D32" s="1075"/>
    </row>
    <row r="33" spans="3:4" ht="15.9" customHeight="1" x14ac:dyDescent="0.3">
      <c r="C33" s="1075"/>
      <c r="D33" s="1075"/>
    </row>
    <row r="53" spans="13:26" ht="15.9" customHeight="1" x14ac:dyDescent="0.3">
      <c r="M53" s="1076"/>
      <c r="N53" s="1076"/>
      <c r="O53" s="1076"/>
      <c r="P53" s="1076"/>
      <c r="Q53" s="1076"/>
      <c r="R53" s="1076"/>
      <c r="S53" s="1076"/>
      <c r="T53" s="1076"/>
      <c r="U53" s="1076"/>
      <c r="V53" s="1076"/>
      <c r="W53" s="1076"/>
      <c r="X53" s="1076"/>
      <c r="Y53" s="1076"/>
      <c r="Z53" s="1076"/>
    </row>
    <row r="54" spans="13:26" ht="15.9" customHeight="1" x14ac:dyDescent="0.3">
      <c r="M54" s="1076"/>
      <c r="N54" s="1076"/>
      <c r="O54" s="1076"/>
      <c r="P54" s="1076"/>
      <c r="Q54" s="1076"/>
      <c r="R54" s="1076"/>
      <c r="S54" s="1076"/>
      <c r="T54" s="1076"/>
      <c r="U54" s="1076"/>
      <c r="V54" s="1076"/>
      <c r="W54" s="1076"/>
      <c r="X54" s="1076"/>
      <c r="Y54" s="1076"/>
      <c r="Z54" s="1076"/>
    </row>
    <row r="55" spans="13:26" ht="15.9" customHeight="1" x14ac:dyDescent="0.3">
      <c r="M55" s="1076"/>
      <c r="N55" s="1076"/>
      <c r="O55" s="1076"/>
      <c r="P55" s="1076"/>
      <c r="Q55" s="1076"/>
      <c r="R55" s="1076"/>
      <c r="S55" s="1076"/>
      <c r="T55" s="1076"/>
      <c r="U55" s="1076"/>
      <c r="V55" s="1076"/>
      <c r="W55" s="1076"/>
      <c r="X55" s="1076"/>
      <c r="Y55" s="1076"/>
      <c r="Z55" s="1076"/>
    </row>
    <row r="56" spans="13:26" ht="15.9" customHeight="1" x14ac:dyDescent="0.3">
      <c r="M56" s="1076"/>
      <c r="N56" s="1076"/>
      <c r="O56" s="1076"/>
      <c r="P56" s="1076"/>
      <c r="Q56" s="1076"/>
      <c r="R56" s="1076"/>
      <c r="S56" s="1076"/>
      <c r="T56" s="1076"/>
      <c r="U56" s="1076"/>
      <c r="V56" s="1076"/>
      <c r="W56" s="1076"/>
      <c r="X56" s="1076"/>
      <c r="Y56" s="1076"/>
      <c r="Z56" s="1076"/>
    </row>
    <row r="57" spans="13:26" ht="15.9" customHeight="1" x14ac:dyDescent="0.3">
      <c r="M57" s="1076"/>
      <c r="N57" s="1076"/>
      <c r="O57" s="1076"/>
      <c r="P57" s="1076"/>
      <c r="Q57" s="1076"/>
      <c r="R57" s="1076"/>
      <c r="S57" s="1076"/>
      <c r="T57" s="1076"/>
      <c r="U57" s="1076"/>
      <c r="V57" s="1076"/>
      <c r="W57" s="1076"/>
      <c r="X57" s="1076"/>
      <c r="Y57" s="1076"/>
      <c r="Z57" s="1076"/>
    </row>
    <row r="58" spans="13:26" ht="15.9" customHeight="1" x14ac:dyDescent="0.3">
      <c r="M58" s="1076"/>
      <c r="N58" s="1076"/>
      <c r="O58" s="1076"/>
      <c r="P58" s="1076"/>
      <c r="Q58" s="1076"/>
      <c r="R58" s="1076"/>
      <c r="S58" s="1076"/>
      <c r="T58" s="1076"/>
      <c r="U58" s="1076"/>
      <c r="V58" s="1076"/>
      <c r="W58" s="1076"/>
      <c r="X58" s="1076"/>
      <c r="Y58" s="1076"/>
      <c r="Z58" s="1076"/>
    </row>
    <row r="59" spans="13:26" ht="15.9" customHeight="1" x14ac:dyDescent="0.3">
      <c r="M59" s="1076"/>
      <c r="N59" s="1076"/>
      <c r="O59" s="1076"/>
      <c r="P59" s="1076"/>
      <c r="Q59" s="1076"/>
      <c r="R59" s="1076"/>
      <c r="S59" s="1076"/>
      <c r="T59" s="1076"/>
      <c r="U59" s="1076"/>
      <c r="V59" s="1076"/>
      <c r="W59" s="1076"/>
      <c r="X59" s="1076"/>
      <c r="Y59" s="1076"/>
      <c r="Z59" s="1076"/>
    </row>
  </sheetData>
  <mergeCells count="1">
    <mergeCell ref="B4:I9"/>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59999389629810485"/>
  </sheetPr>
  <dimension ref="B1:AC21"/>
  <sheetViews>
    <sheetView zoomScaleNormal="100" workbookViewId="0"/>
  </sheetViews>
  <sheetFormatPr baseColWidth="10" defaultColWidth="8.59765625" defaultRowHeight="15.9" customHeight="1" x14ac:dyDescent="0.3"/>
  <cols>
    <col min="1" max="1" width="8.59765625" style="2" customWidth="1"/>
    <col min="2" max="2" width="25.5" style="2" customWidth="1"/>
    <col min="3" max="11" width="14.09765625" style="2" customWidth="1"/>
    <col min="12" max="12" width="16.3984375" style="2" customWidth="1"/>
    <col min="13" max="14" width="14.09765625" style="2" customWidth="1"/>
    <col min="15" max="15" width="22.3984375" style="2" customWidth="1"/>
    <col min="16" max="16" width="20.3984375" style="2" customWidth="1"/>
    <col min="17" max="17" width="12.59765625" style="2" bestFit="1" customWidth="1"/>
    <col min="18" max="19" width="13.59765625" style="2" customWidth="1"/>
    <col min="20" max="27" width="8.59765625" style="2"/>
    <col min="28" max="28" width="8.59765625" style="2" customWidth="1"/>
    <col min="29" max="16384" width="8.59765625" style="2"/>
  </cols>
  <sheetData>
    <row r="1" spans="2:29" s="972" customFormat="1" ht="15.9" customHeight="1" x14ac:dyDescent="0.3">
      <c r="B1" s="973"/>
      <c r="C1" s="974"/>
      <c r="D1" s="974"/>
      <c r="E1" s="974"/>
      <c r="F1" s="974"/>
      <c r="G1" s="974"/>
      <c r="H1" s="974"/>
      <c r="I1" s="973"/>
      <c r="J1" s="973"/>
      <c r="K1" s="973"/>
      <c r="L1" s="973"/>
      <c r="M1" s="973"/>
      <c r="N1" s="973"/>
      <c r="O1" s="973"/>
      <c r="P1" s="973"/>
      <c r="Q1" s="973"/>
    </row>
    <row r="2" spans="2:29" s="970" customFormat="1" ht="24.75" customHeight="1" x14ac:dyDescent="0.3">
      <c r="B2" s="971" t="s">
        <v>3616</v>
      </c>
    </row>
    <row r="3" spans="2:29" s="969" customFormat="1" ht="15.9" customHeight="1" x14ac:dyDescent="0.25"/>
    <row r="4" spans="2:29" s="969" customFormat="1" ht="15.9" customHeight="1" x14ac:dyDescent="0.25">
      <c r="B4" s="1195" t="s">
        <v>3617</v>
      </c>
      <c r="C4" s="1195"/>
      <c r="D4" s="1195"/>
      <c r="E4" s="1195"/>
      <c r="F4" s="1195"/>
      <c r="G4" s="1195"/>
      <c r="H4" s="1195"/>
    </row>
    <row r="5" spans="2:29" s="969" customFormat="1" ht="15.9" customHeight="1" x14ac:dyDescent="0.25">
      <c r="B5" s="1195"/>
      <c r="C5" s="1195"/>
      <c r="D5" s="1195"/>
      <c r="E5" s="1195"/>
      <c r="F5" s="1195"/>
      <c r="G5" s="1195"/>
      <c r="H5" s="1195"/>
    </row>
    <row r="6" spans="2:29" s="969" customFormat="1" ht="15.9" customHeight="1" x14ac:dyDescent="0.25">
      <c r="B6" s="1195"/>
      <c r="C6" s="1195"/>
      <c r="D6" s="1195"/>
      <c r="E6" s="1195"/>
      <c r="F6" s="1195"/>
      <c r="G6" s="1195"/>
      <c r="H6" s="1195"/>
    </row>
    <row r="7" spans="2:29" s="969" customFormat="1" ht="15.9" customHeight="1" x14ac:dyDescent="0.25">
      <c r="B7" s="1195"/>
      <c r="C7" s="1195"/>
      <c r="D7" s="1195"/>
      <c r="E7" s="1195"/>
      <c r="F7" s="1195"/>
      <c r="G7" s="1195"/>
      <c r="H7" s="1195"/>
    </row>
    <row r="8" spans="2:29" s="969" customFormat="1" ht="15.9" customHeight="1" x14ac:dyDescent="0.25">
      <c r="B8" s="1195"/>
      <c r="C8" s="1195"/>
      <c r="D8" s="1195"/>
      <c r="E8" s="1195"/>
      <c r="F8" s="1195"/>
      <c r="G8" s="1195"/>
      <c r="H8" s="1195"/>
    </row>
    <row r="9" spans="2:29" s="969" customFormat="1" ht="15.9" customHeight="1" x14ac:dyDescent="0.25">
      <c r="B9" s="1195"/>
      <c r="C9" s="1195"/>
      <c r="D9" s="1195"/>
      <c r="E9" s="1195"/>
      <c r="F9" s="1195"/>
      <c r="G9" s="1195"/>
      <c r="H9" s="1195"/>
    </row>
    <row r="11" spans="2:29" s="11" customFormat="1" ht="24.75" customHeight="1" x14ac:dyDescent="0.3">
      <c r="B11" s="968" t="s">
        <v>3499</v>
      </c>
      <c r="C11" s="967"/>
      <c r="D11" s="965" t="s">
        <v>1606</v>
      </c>
      <c r="E11" s="966" t="s">
        <v>2303</v>
      </c>
      <c r="F11" s="965" t="s">
        <v>1288</v>
      </c>
      <c r="G11" s="965" t="s">
        <v>2460</v>
      </c>
      <c r="H11" s="965" t="s">
        <v>1730</v>
      </c>
      <c r="I11" s="966" t="s">
        <v>3618</v>
      </c>
      <c r="J11" s="965" t="s">
        <v>3038</v>
      </c>
      <c r="K11" s="966" t="s">
        <v>2820</v>
      </c>
      <c r="L11" s="965" t="s">
        <v>2864</v>
      </c>
      <c r="M11" s="965" t="s">
        <v>2206</v>
      </c>
      <c r="N11" s="966" t="s">
        <v>3619</v>
      </c>
      <c r="O11" s="966" t="s">
        <v>3620</v>
      </c>
      <c r="P11" s="966" t="s">
        <v>3621</v>
      </c>
      <c r="Q11" s="966" t="s">
        <v>221</v>
      </c>
      <c r="R11" s="965" t="s">
        <v>3622</v>
      </c>
      <c r="S11" s="2"/>
      <c r="T11" s="964" t="s">
        <v>3623</v>
      </c>
      <c r="AB11" s="3"/>
      <c r="AC11" s="3"/>
    </row>
    <row r="12" spans="2:29" ht="15.9" customHeight="1" x14ac:dyDescent="0.3">
      <c r="B12" s="1189" t="s">
        <v>3624</v>
      </c>
      <c r="C12" s="299" t="s">
        <v>3625</v>
      </c>
      <c r="D12" s="872"/>
      <c r="E12" s="872"/>
      <c r="F12" s="872"/>
      <c r="G12" s="872"/>
      <c r="H12" s="872"/>
      <c r="I12" s="872"/>
      <c r="J12" s="872">
        <f>VLOOKUP(J11,'Share, Heavy Weapons to Ukraine'!$B:$AH,COLUMN('Share, Heavy Weapons to Ukraine'!$G$12)-1,FALSE)</f>
        <v>6095</v>
      </c>
      <c r="K12" s="872">
        <f>VLOOKUP(K11,'Share, Heavy Weapons to Ukraine'!$B:$AH,COLUMN('Share, Heavy Weapons to Ukraine'!$G$12)-1,FALSE)</f>
        <v>5339</v>
      </c>
      <c r="L12" s="872">
        <f>VLOOKUP(L11,'Share, Heavy Weapons to Ukraine'!$B:$AH,COLUMN('Share, Heavy Weapons to Ukraine'!$G$12)-1,FALSE)</f>
        <v>227</v>
      </c>
      <c r="M12" s="872"/>
      <c r="N12" s="872">
        <f>'Share, Heavy Weapons to Ukraine'!G51-SUM(J12:L12)</f>
        <v>300</v>
      </c>
      <c r="O12" s="872"/>
      <c r="P12" s="872"/>
      <c r="Q12" s="872">
        <f>SUM(D12:N12)</f>
        <v>11961</v>
      </c>
      <c r="R12" s="872"/>
    </row>
    <row r="13" spans="2:29" ht="15.9" customHeight="1" x14ac:dyDescent="0.3">
      <c r="B13" s="1190"/>
      <c r="C13" s="299" t="s">
        <v>251</v>
      </c>
      <c r="D13" s="872">
        <f>VLOOKUP(D11,'Share, Heavy Weapons to Ukraine'!$B:$AH,COLUMN('Share, Heavy Weapons to Ukraine'!$G$12)-1,FALSE)</f>
        <v>1411</v>
      </c>
      <c r="E13" s="872">
        <f>VLOOKUP(E11,'Share, Heavy Weapons to Ukraine'!$B:$AH,COLUMN('Share, Heavy Weapons to Ukraine'!$G$12)-1,FALSE)</f>
        <v>1028</v>
      </c>
      <c r="F13" s="872">
        <f>VLOOKUP(F11,'Share, Heavy Weapons to Ukraine'!$B:$AH,COLUMN('Share, Heavy Weapons to Ukraine'!$G$12)-1,FALSE)</f>
        <v>619</v>
      </c>
      <c r="G13" s="872"/>
      <c r="H13" s="872"/>
      <c r="I13" s="872">
        <f>'Share, Heavy Weapons to Ukraine'!G52-SUM(D13:H13)</f>
        <v>2849</v>
      </c>
      <c r="J13" s="872"/>
      <c r="K13" s="872"/>
      <c r="L13" s="872"/>
      <c r="M13" s="872"/>
      <c r="N13" s="872"/>
      <c r="O13" s="872"/>
      <c r="P13" s="872"/>
      <c r="Q13" s="872">
        <f>SUM(D13:N13)</f>
        <v>5907</v>
      </c>
      <c r="R13" s="872"/>
    </row>
    <row r="14" spans="2:29" ht="15.9" customHeight="1" x14ac:dyDescent="0.3">
      <c r="B14" s="1191"/>
      <c r="C14" s="801" t="s">
        <v>3626</v>
      </c>
      <c r="D14" s="873"/>
      <c r="E14" s="873"/>
      <c r="F14" s="873"/>
      <c r="G14" s="873"/>
      <c r="H14" s="873"/>
      <c r="I14" s="873"/>
      <c r="J14" s="873"/>
      <c r="K14" s="873"/>
      <c r="L14" s="873"/>
      <c r="M14" s="873"/>
      <c r="N14" s="873"/>
      <c r="O14" s="873">
        <f>SUM('Share, Heavy Weapons to Ukraine'!V12:V49)-P14</f>
        <v>104</v>
      </c>
      <c r="P14" s="873">
        <f>SUM('Share, Heavy Weapons to Ukraine'!AJ12:AJ49)</f>
        <v>368</v>
      </c>
      <c r="Q14" s="873">
        <f>SUM(O14:P14)</f>
        <v>472</v>
      </c>
      <c r="R14" s="874">
        <f>Q14/SUM(Q12:Q13)</f>
        <v>2.6415939109021715E-2</v>
      </c>
      <c r="S14" s="800"/>
    </row>
    <row r="15" spans="2:29" ht="15.9" customHeight="1" x14ac:dyDescent="0.3">
      <c r="B15" s="1192" t="s">
        <v>3627</v>
      </c>
      <c r="C15" s="299" t="s">
        <v>3625</v>
      </c>
      <c r="D15" s="872"/>
      <c r="E15" s="872"/>
      <c r="F15" s="872"/>
      <c r="G15" s="872"/>
      <c r="H15" s="872"/>
      <c r="I15" s="872"/>
      <c r="J15" s="872">
        <f>VLOOKUP(J11,'Share, Heavy Weapons to Ukraine'!$B:$AH,COLUMN('Share, Heavy Weapons to Ukraine'!$M$12)-1,FALSE)</f>
        <v>2538</v>
      </c>
      <c r="K15" s="872">
        <f>VLOOKUP(K11,'Share, Heavy Weapons to Ukraine'!$B:$AH,COLUMN('Share, Heavy Weapons to Ukraine'!$M$12)-1,FALSE)</f>
        <v>1385</v>
      </c>
      <c r="L15" s="872">
        <f>VLOOKUP(L11,'Share, Heavy Weapons to Ukraine'!$B:$AH,COLUMN('Share, Heavy Weapons to Ukraine'!$M$12)-1,FALSE)</f>
        <v>109</v>
      </c>
      <c r="M15" s="872"/>
      <c r="N15" s="872">
        <f>'Share, Heavy Weapons to Ukraine'!M51-SUM(J15:L15)</f>
        <v>90</v>
      </c>
      <c r="O15" s="872"/>
      <c r="P15" s="872"/>
      <c r="Q15" s="872">
        <f>SUM(D15:N15)</f>
        <v>4122</v>
      </c>
      <c r="R15" s="872"/>
    </row>
    <row r="16" spans="2:29" ht="15.9" customHeight="1" x14ac:dyDescent="0.3">
      <c r="B16" s="1193"/>
      <c r="C16" s="299" t="s">
        <v>251</v>
      </c>
      <c r="D16" s="872">
        <f>VLOOKUP(D11,'Share, Heavy Weapons to Ukraine'!$B:$AH,COLUMN('Share, Heavy Weapons to Ukraine'!$M$12)-1,FALSE)</f>
        <v>672</v>
      </c>
      <c r="G16" s="872">
        <f>VLOOKUP(G11,'Share, Heavy Weapons to Ukraine'!$B:$AH,COLUMN('Share, Heavy Weapons to Ukraine'!$M$12)-1,FALSE)</f>
        <v>351</v>
      </c>
      <c r="H16" s="872">
        <f>VLOOKUP(H11,'Share, Heavy Weapons to Ukraine'!$B:$AH,COLUMN('Share, Heavy Weapons to Ukraine'!$M$12)-1,FALSE)</f>
        <v>263</v>
      </c>
      <c r="I16" s="872">
        <f>'Share, Heavy Weapons to Ukraine'!M52-SUM(D16:H16)</f>
        <v>1242</v>
      </c>
      <c r="J16" s="872"/>
      <c r="K16" s="872"/>
      <c r="L16" s="872"/>
      <c r="M16" s="872"/>
      <c r="N16" s="872"/>
      <c r="O16" s="872"/>
      <c r="P16" s="872"/>
      <c r="Q16" s="872">
        <f>SUM(D16:N16)</f>
        <v>2528</v>
      </c>
      <c r="R16" s="872"/>
    </row>
    <row r="17" spans="2:19" ht="15.9" customHeight="1" x14ac:dyDescent="0.3">
      <c r="B17" s="1194"/>
      <c r="C17" s="801" t="s">
        <v>3626</v>
      </c>
      <c r="D17" s="873"/>
      <c r="E17" s="873"/>
      <c r="F17" s="873"/>
      <c r="G17" s="873"/>
      <c r="H17" s="873"/>
      <c r="I17" s="873"/>
      <c r="J17" s="873"/>
      <c r="K17" s="873"/>
      <c r="L17" s="873"/>
      <c r="M17" s="873"/>
      <c r="N17" s="873"/>
      <c r="O17" s="873">
        <f>SUM('Share, Heavy Weapons to Ukraine'!AB12:AB49)-P17</f>
        <v>128</v>
      </c>
      <c r="P17" s="873">
        <f>SUM('Share, Heavy Weapons to Ukraine'!AP12:AP49)</f>
        <v>287</v>
      </c>
      <c r="Q17" s="873">
        <f>SUM(O17:P17)</f>
        <v>415</v>
      </c>
      <c r="R17" s="874">
        <f>Q17/SUM(Q15:Q16)</f>
        <v>6.2406015037593986E-2</v>
      </c>
      <c r="S17" s="800"/>
    </row>
    <row r="18" spans="2:19" ht="15.9" customHeight="1" x14ac:dyDescent="0.3">
      <c r="B18" s="1189" t="s">
        <v>3595</v>
      </c>
      <c r="C18" s="299" t="s">
        <v>3625</v>
      </c>
      <c r="D18" s="872"/>
      <c r="E18" s="872"/>
      <c r="F18" s="872"/>
      <c r="G18" s="872"/>
      <c r="H18" s="872"/>
      <c r="I18" s="872"/>
      <c r="J18" s="872">
        <f>VLOOKUP(J11,'Share, Heavy Weapons to Ukraine'!$B:$AH,COLUMN('Share, Heavy Weapons to Ukraine'!$N$12)-1,FALSE)</f>
        <v>635</v>
      </c>
      <c r="K18" s="872">
        <f>VLOOKUP(K11,'Share, Heavy Weapons to Ukraine'!$B:$AH,COLUMN('Share, Heavy Weapons to Ukraine'!$N$12)-1,FALSE)</f>
        <v>146</v>
      </c>
      <c r="L18" s="872">
        <f>VLOOKUP(L11,'Share, Heavy Weapons to Ukraine'!$B:$AH,COLUMN('Share, Heavy Weapons to Ukraine'!$N$12)-1,FALSE)</f>
        <v>35</v>
      </c>
      <c r="M18" s="872"/>
      <c r="N18" s="872">
        <f>'Share, Heavy Weapons to Ukraine'!N51-SUM(J18:L18)</f>
        <v>12</v>
      </c>
      <c r="O18" s="872"/>
      <c r="P18" s="872"/>
      <c r="Q18" s="872">
        <f>SUM(D18:N18)</f>
        <v>828</v>
      </c>
      <c r="R18" s="872"/>
    </row>
    <row r="19" spans="2:19" ht="15.9" customHeight="1" x14ac:dyDescent="0.3">
      <c r="B19" s="1190"/>
      <c r="C19" s="299" t="s">
        <v>251</v>
      </c>
      <c r="D19" s="872">
        <f>VLOOKUP(D11,'Share, Heavy Weapons to Ukraine'!$B:$AH,COLUMN('Share, Heavy Weapons to Ukraine'!$N$12)-1,FALSE)</f>
        <v>145</v>
      </c>
      <c r="E19" s="872">
        <f>VLOOKUP(E11,'Share, Heavy Weapons to Ukraine'!$B:$AH,COLUMN('Share, Heavy Weapons to Ukraine'!$N$12)-1,FALSE)</f>
        <v>179</v>
      </c>
      <c r="F19" s="872"/>
      <c r="G19" s="872">
        <f>VLOOKUP(G11,'Share, Heavy Weapons to Ukraine'!$B:$AH,COLUMN('Share, Heavy Weapons to Ukraine'!$N$12)-1,FALSE)</f>
        <v>188</v>
      </c>
      <c r="H19" s="872"/>
      <c r="I19" s="872">
        <f>'Share, Heavy Weapons to Ukraine'!N52-SUM(D19:H19)</f>
        <v>295</v>
      </c>
      <c r="J19" s="872"/>
      <c r="K19" s="872"/>
      <c r="L19" s="872"/>
      <c r="M19" s="872"/>
      <c r="N19" s="872"/>
      <c r="O19" s="872"/>
      <c r="P19" s="872"/>
      <c r="Q19" s="872">
        <f>SUM(D19:N19)</f>
        <v>807</v>
      </c>
      <c r="R19" s="872"/>
    </row>
    <row r="20" spans="2:19" ht="15.9" customHeight="1" x14ac:dyDescent="0.3">
      <c r="B20" s="1191"/>
      <c r="C20" s="801" t="s">
        <v>3626</v>
      </c>
      <c r="D20" s="873"/>
      <c r="E20" s="873"/>
      <c r="F20" s="873"/>
      <c r="G20" s="873"/>
      <c r="H20" s="873"/>
      <c r="J20" s="873"/>
      <c r="K20" s="873"/>
      <c r="L20" s="873"/>
      <c r="M20" s="873"/>
      <c r="N20" s="873"/>
      <c r="O20" s="875">
        <f>SUM('Share, Heavy Weapons to Ukraine'!AC12:AC49)-P20</f>
        <v>27</v>
      </c>
      <c r="P20" s="875">
        <f>SUM('Share, Heavy Weapons to Ukraine'!AQ12:AQ49)</f>
        <v>49</v>
      </c>
      <c r="Q20" s="875">
        <f>SUM(O20:P20)</f>
        <v>76</v>
      </c>
      <c r="R20" s="874">
        <f>Q20/SUM(Q18:Q19)</f>
        <v>4.6483180428134555E-2</v>
      </c>
      <c r="S20" s="800"/>
    </row>
    <row r="21" spans="2:19" s="11" customFormat="1" ht="15.9" customHeight="1" x14ac:dyDescent="0.3">
      <c r="B21" s="798" t="s">
        <v>3628</v>
      </c>
      <c r="C21" s="799"/>
      <c r="D21" s="963" t="s">
        <v>3629</v>
      </c>
      <c r="E21" s="963" t="s">
        <v>3630</v>
      </c>
      <c r="F21" s="963" t="s">
        <v>3631</v>
      </c>
      <c r="G21" s="963" t="s">
        <v>3632</v>
      </c>
      <c r="H21" s="963" t="s">
        <v>3633</v>
      </c>
      <c r="I21" s="963" t="s">
        <v>3634</v>
      </c>
      <c r="J21" s="963" t="s">
        <v>3635</v>
      </c>
      <c r="K21" s="963" t="s">
        <v>3636</v>
      </c>
      <c r="L21" s="963" t="s">
        <v>3637</v>
      </c>
      <c r="M21" s="963" t="s">
        <v>3638</v>
      </c>
      <c r="N21" s="876"/>
      <c r="O21" s="876"/>
      <c r="P21" s="876"/>
      <c r="Q21" s="876"/>
      <c r="R21" s="877"/>
      <c r="S21" s="377"/>
    </row>
  </sheetData>
  <mergeCells count="4">
    <mergeCell ref="B12:B14"/>
    <mergeCell ref="B15:B17"/>
    <mergeCell ref="B18:B20"/>
    <mergeCell ref="B4:H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sheetPr>
  <dimension ref="A1:P372"/>
  <sheetViews>
    <sheetView showGridLines="0" zoomScaleNormal="100" workbookViewId="0"/>
  </sheetViews>
  <sheetFormatPr baseColWidth="10" defaultColWidth="10.5" defaultRowHeight="15.9" customHeight="1" x14ac:dyDescent="0.3"/>
  <cols>
    <col min="1" max="1" width="8.59765625" style="2" customWidth="1"/>
    <col min="2" max="2" width="13.5" style="2" customWidth="1"/>
    <col min="3" max="16384" width="10.5" style="2"/>
  </cols>
  <sheetData>
    <row r="1" spans="1:16" ht="15.9" customHeight="1" x14ac:dyDescent="0.3">
      <c r="A1" s="35"/>
      <c r="B1" s="21"/>
    </row>
    <row r="2" spans="1:16" ht="15.9" customHeight="1" x14ac:dyDescent="0.3">
      <c r="A2" s="35"/>
      <c r="B2" s="1172" t="s">
        <v>25</v>
      </c>
      <c r="C2" s="1172"/>
    </row>
    <row r="3" spans="1:16" ht="15.9" customHeight="1" x14ac:dyDescent="0.3">
      <c r="A3" s="35"/>
      <c r="B3" s="1142"/>
      <c r="C3" s="1142"/>
    </row>
    <row r="4" spans="1:16" ht="15.9" customHeight="1" x14ac:dyDescent="0.3">
      <c r="A4" s="35"/>
      <c r="B4" s="21" t="s">
        <v>26</v>
      </c>
      <c r="C4" s="1142"/>
    </row>
    <row r="5" spans="1:16" ht="15.9" customHeight="1" x14ac:dyDescent="0.3">
      <c r="A5" s="35"/>
      <c r="C5" s="299"/>
    </row>
    <row r="6" spans="1:16" ht="15.9" customHeight="1" x14ac:dyDescent="0.3">
      <c r="A6" s="30" t="s">
        <v>27</v>
      </c>
      <c r="B6" s="1107" t="s">
        <v>28</v>
      </c>
      <c r="C6" s="1107"/>
      <c r="D6" s="30" t="s">
        <v>27</v>
      </c>
      <c r="E6" s="30" t="s">
        <v>27</v>
      </c>
      <c r="F6" s="30" t="s">
        <v>27</v>
      </c>
      <c r="G6" s="30" t="s">
        <v>27</v>
      </c>
      <c r="H6" s="30" t="s">
        <v>27</v>
      </c>
      <c r="I6" s="30" t="s">
        <v>27</v>
      </c>
      <c r="J6" s="30" t="s">
        <v>27</v>
      </c>
      <c r="K6" s="30" t="s">
        <v>27</v>
      </c>
      <c r="L6" s="30" t="s">
        <v>27</v>
      </c>
      <c r="M6" s="30" t="s">
        <v>27</v>
      </c>
      <c r="N6" s="30" t="s">
        <v>27</v>
      </c>
      <c r="O6" s="30" t="s">
        <v>27</v>
      </c>
      <c r="P6" s="30" t="s">
        <v>27</v>
      </c>
    </row>
    <row r="7" spans="1:16" ht="15.9" customHeight="1" x14ac:dyDescent="0.3">
      <c r="A7" s="30" t="s">
        <v>27</v>
      </c>
      <c r="B7" s="30" t="s">
        <v>27</v>
      </c>
      <c r="C7" s="30" t="s">
        <v>27</v>
      </c>
      <c r="D7" s="30" t="s">
        <v>27</v>
      </c>
      <c r="E7" s="30" t="s">
        <v>27</v>
      </c>
      <c r="F7" s="30" t="s">
        <v>27</v>
      </c>
      <c r="G7" s="30" t="s">
        <v>27</v>
      </c>
      <c r="H7" s="30" t="s">
        <v>27</v>
      </c>
      <c r="I7" s="30" t="s">
        <v>27</v>
      </c>
      <c r="J7" s="30" t="s">
        <v>27</v>
      </c>
      <c r="K7" s="30" t="s">
        <v>27</v>
      </c>
      <c r="L7" s="30" t="s">
        <v>27</v>
      </c>
      <c r="M7" s="30" t="s">
        <v>27</v>
      </c>
      <c r="N7" s="30" t="s">
        <v>27</v>
      </c>
      <c r="O7" s="30" t="s">
        <v>27</v>
      </c>
      <c r="P7" s="30" t="s">
        <v>27</v>
      </c>
    </row>
    <row r="8" spans="1:16" ht="15.9" customHeight="1" x14ac:dyDescent="0.3">
      <c r="A8" s="30" t="s">
        <v>27</v>
      </c>
      <c r="B8" s="1108" t="s">
        <v>29</v>
      </c>
      <c r="C8" s="30"/>
      <c r="D8" s="30"/>
      <c r="E8" s="30"/>
      <c r="F8" s="30"/>
      <c r="G8" s="30"/>
      <c r="H8" s="30"/>
      <c r="I8" s="30"/>
      <c r="J8" s="30"/>
      <c r="K8" s="30"/>
      <c r="L8" s="30"/>
      <c r="M8" s="30"/>
      <c r="N8" s="30" t="s">
        <v>27</v>
      </c>
      <c r="O8" s="30" t="s">
        <v>27</v>
      </c>
      <c r="P8" s="30" t="s">
        <v>27</v>
      </c>
    </row>
    <row r="9" spans="1:16" ht="15.9" customHeight="1" x14ac:dyDescent="0.3">
      <c r="A9" s="30" t="s">
        <v>27</v>
      </c>
      <c r="B9" s="1108" t="s">
        <v>27</v>
      </c>
      <c r="C9" s="30" t="s">
        <v>27</v>
      </c>
      <c r="D9" s="30" t="s">
        <v>27</v>
      </c>
      <c r="E9" s="30" t="s">
        <v>27</v>
      </c>
      <c r="F9" s="30" t="s">
        <v>27</v>
      </c>
      <c r="G9" s="30" t="s">
        <v>27</v>
      </c>
      <c r="H9" s="30" t="s">
        <v>27</v>
      </c>
      <c r="I9" s="30" t="s">
        <v>27</v>
      </c>
      <c r="J9" s="30" t="s">
        <v>27</v>
      </c>
      <c r="K9" s="30" t="s">
        <v>27</v>
      </c>
      <c r="L9" s="30" t="s">
        <v>27</v>
      </c>
      <c r="M9" s="30" t="s">
        <v>27</v>
      </c>
      <c r="N9" s="30" t="s">
        <v>27</v>
      </c>
      <c r="O9" s="30" t="s">
        <v>27</v>
      </c>
      <c r="P9" s="30" t="s">
        <v>27</v>
      </c>
    </row>
    <row r="10" spans="1:16" ht="15.9" customHeight="1" x14ac:dyDescent="0.3">
      <c r="A10" s="30" t="s">
        <v>27</v>
      </c>
      <c r="B10" s="1108" t="s">
        <v>30</v>
      </c>
      <c r="C10" s="30"/>
      <c r="D10" s="30"/>
      <c r="E10" s="30"/>
      <c r="F10" s="30"/>
      <c r="G10" s="30"/>
      <c r="H10" s="30"/>
      <c r="I10" s="30"/>
      <c r="J10" s="30"/>
      <c r="K10" s="30"/>
      <c r="L10" s="30" t="s">
        <v>27</v>
      </c>
      <c r="M10" s="30" t="s">
        <v>27</v>
      </c>
      <c r="N10" s="30" t="s">
        <v>27</v>
      </c>
      <c r="O10" s="30" t="s">
        <v>27</v>
      </c>
      <c r="P10" s="30" t="s">
        <v>27</v>
      </c>
    </row>
    <row r="11" spans="1:16" ht="15.9" customHeight="1" x14ac:dyDescent="0.3">
      <c r="A11" s="30" t="s">
        <v>27</v>
      </c>
      <c r="B11" s="1108" t="s">
        <v>27</v>
      </c>
      <c r="C11" s="30" t="s">
        <v>27</v>
      </c>
      <c r="D11" s="30" t="s">
        <v>27</v>
      </c>
      <c r="E11" s="30" t="s">
        <v>27</v>
      </c>
      <c r="F11" s="30" t="s">
        <v>27</v>
      </c>
      <c r="G11" s="30" t="s">
        <v>27</v>
      </c>
      <c r="H11" s="30" t="s">
        <v>27</v>
      </c>
      <c r="I11" s="30" t="s">
        <v>27</v>
      </c>
      <c r="J11" s="30" t="s">
        <v>27</v>
      </c>
      <c r="K11" s="30" t="s">
        <v>27</v>
      </c>
      <c r="L11" s="30" t="s">
        <v>27</v>
      </c>
      <c r="M11" s="30" t="s">
        <v>27</v>
      </c>
      <c r="N11" s="30" t="s">
        <v>27</v>
      </c>
      <c r="O11" s="30" t="s">
        <v>27</v>
      </c>
      <c r="P11" s="30" t="s">
        <v>27</v>
      </c>
    </row>
    <row r="12" spans="1:16" ht="15.9" customHeight="1" x14ac:dyDescent="0.3">
      <c r="A12" s="30"/>
      <c r="B12" s="1108" t="s">
        <v>31</v>
      </c>
      <c r="C12" s="30"/>
      <c r="D12" s="30"/>
      <c r="E12" s="30"/>
      <c r="F12" s="30"/>
      <c r="G12" s="30"/>
      <c r="H12" s="30"/>
      <c r="I12" s="30"/>
      <c r="J12" s="30"/>
      <c r="K12" s="30"/>
      <c r="L12" s="30"/>
      <c r="M12" s="30"/>
      <c r="N12" s="30"/>
      <c r="O12" s="30"/>
      <c r="P12" s="30"/>
    </row>
    <row r="13" spans="1:16" ht="15.9" customHeight="1" x14ac:dyDescent="0.3">
      <c r="A13" s="30"/>
      <c r="B13" s="1108" t="s">
        <v>32</v>
      </c>
      <c r="C13" s="30"/>
      <c r="D13" s="30"/>
      <c r="E13" s="30"/>
      <c r="F13" s="30"/>
      <c r="G13" s="30"/>
      <c r="H13" s="30"/>
      <c r="I13" s="30"/>
      <c r="J13" s="30"/>
      <c r="K13" s="30"/>
      <c r="L13" s="30"/>
      <c r="M13" s="30"/>
      <c r="N13" s="30"/>
      <c r="O13" s="30"/>
      <c r="P13" s="30"/>
    </row>
    <row r="14" spans="1:16" ht="15.9" customHeight="1" x14ac:dyDescent="0.3">
      <c r="A14" s="30"/>
      <c r="B14" s="1108" t="s">
        <v>33</v>
      </c>
      <c r="C14" s="30"/>
      <c r="D14" s="30"/>
      <c r="E14" s="30"/>
      <c r="F14" s="30"/>
      <c r="G14" s="30"/>
      <c r="H14" s="30"/>
      <c r="I14" s="30"/>
      <c r="J14" s="30"/>
      <c r="K14" s="30"/>
      <c r="L14" s="30"/>
      <c r="M14" s="30"/>
      <c r="N14" s="30"/>
      <c r="O14" s="30"/>
      <c r="P14" s="30"/>
    </row>
    <row r="15" spans="1:16" ht="15.9" customHeight="1" x14ac:dyDescent="0.3">
      <c r="A15" s="30"/>
      <c r="B15" s="1108"/>
      <c r="C15" s="30"/>
      <c r="D15" s="30"/>
      <c r="E15" s="30"/>
      <c r="F15" s="30"/>
      <c r="G15" s="30"/>
      <c r="H15" s="30"/>
      <c r="I15" s="30"/>
      <c r="J15" s="30"/>
      <c r="K15" s="30"/>
      <c r="L15" s="30"/>
      <c r="M15" s="30"/>
      <c r="N15" s="30"/>
      <c r="O15" s="30"/>
      <c r="P15" s="30"/>
    </row>
    <row r="16" spans="1:16" ht="15.9" customHeight="1" x14ac:dyDescent="0.3">
      <c r="A16" s="30"/>
      <c r="B16" s="1108" t="s">
        <v>34</v>
      </c>
      <c r="C16" s="30"/>
      <c r="D16" s="30"/>
      <c r="E16" s="30"/>
      <c r="F16" s="30"/>
      <c r="G16" s="30"/>
      <c r="H16" s="30"/>
      <c r="I16" s="30"/>
      <c r="J16" s="30"/>
      <c r="K16" s="30"/>
      <c r="L16" s="30"/>
      <c r="M16" s="30"/>
      <c r="N16" s="30"/>
      <c r="O16" s="30"/>
      <c r="P16" s="30"/>
    </row>
    <row r="17" spans="1:16" ht="15.9" customHeight="1" x14ac:dyDescent="0.3">
      <c r="A17" s="30"/>
      <c r="B17" s="1108"/>
      <c r="C17" s="30"/>
      <c r="D17" s="30"/>
      <c r="E17" s="30"/>
      <c r="F17" s="30"/>
      <c r="G17" s="30"/>
      <c r="H17" s="30"/>
      <c r="I17" s="30"/>
      <c r="J17" s="30"/>
      <c r="K17" s="30"/>
      <c r="L17" s="30"/>
      <c r="M17" s="30"/>
      <c r="N17" s="30"/>
      <c r="O17" s="30"/>
      <c r="P17" s="30"/>
    </row>
    <row r="18" spans="1:16" ht="15.9" customHeight="1" x14ac:dyDescent="0.3">
      <c r="A18" s="30"/>
      <c r="B18" s="1108" t="s">
        <v>35</v>
      </c>
      <c r="C18" s="30"/>
      <c r="D18" s="30"/>
      <c r="E18" s="30"/>
      <c r="F18" s="30"/>
      <c r="G18" s="30"/>
      <c r="H18" s="30"/>
      <c r="I18" s="30"/>
      <c r="J18" s="30"/>
      <c r="K18" s="30"/>
      <c r="L18" s="30"/>
      <c r="M18" s="30"/>
      <c r="N18" s="30"/>
      <c r="O18" s="30"/>
      <c r="P18" s="30"/>
    </row>
    <row r="19" spans="1:16" ht="15.9" customHeight="1" x14ac:dyDescent="0.3">
      <c r="A19" s="30"/>
      <c r="B19" s="1108"/>
      <c r="C19" s="30"/>
      <c r="D19" s="30"/>
      <c r="E19" s="30"/>
      <c r="F19" s="30"/>
      <c r="G19" s="30"/>
      <c r="H19" s="30"/>
      <c r="I19" s="30"/>
      <c r="J19" s="30"/>
      <c r="K19" s="30"/>
      <c r="L19" s="30"/>
      <c r="M19" s="30"/>
      <c r="N19" s="30"/>
      <c r="O19" s="30"/>
      <c r="P19" s="30"/>
    </row>
    <row r="20" spans="1:16" ht="15.9" customHeight="1" x14ac:dyDescent="0.3">
      <c r="A20" s="30" t="s">
        <v>27</v>
      </c>
      <c r="B20" s="1108" t="s">
        <v>36</v>
      </c>
      <c r="C20" s="30"/>
      <c r="D20" s="30"/>
      <c r="E20" s="30"/>
      <c r="F20" s="30"/>
      <c r="G20" s="30"/>
      <c r="H20" s="30"/>
      <c r="I20" s="30"/>
      <c r="J20" s="30"/>
      <c r="K20" s="30"/>
      <c r="L20" s="30"/>
      <c r="M20" s="30" t="s">
        <v>27</v>
      </c>
      <c r="N20" s="30" t="s">
        <v>27</v>
      </c>
      <c r="O20" s="30" t="s">
        <v>27</v>
      </c>
      <c r="P20" s="30" t="s">
        <v>27</v>
      </c>
    </row>
    <row r="21" spans="1:16" ht="15.9" customHeight="1" x14ac:dyDescent="0.3">
      <c r="A21" s="30"/>
      <c r="B21" s="1108"/>
      <c r="C21" s="30"/>
      <c r="D21" s="30"/>
      <c r="E21" s="30"/>
      <c r="F21" s="30"/>
      <c r="G21" s="30"/>
      <c r="H21" s="30"/>
      <c r="I21" s="30"/>
      <c r="J21" s="30"/>
      <c r="K21" s="30"/>
      <c r="L21" s="30"/>
      <c r="M21" s="30"/>
      <c r="N21" s="30"/>
      <c r="O21" s="30"/>
      <c r="P21" s="30"/>
    </row>
    <row r="22" spans="1:16" ht="15.9" customHeight="1" x14ac:dyDescent="0.3">
      <c r="A22" s="30"/>
      <c r="B22" s="1108" t="s">
        <v>37</v>
      </c>
      <c r="C22" s="30"/>
      <c r="D22" s="30"/>
      <c r="E22" s="30"/>
      <c r="F22" s="30"/>
      <c r="G22" s="30"/>
      <c r="H22" s="30"/>
      <c r="I22" s="30"/>
      <c r="J22" s="30"/>
      <c r="K22" s="30"/>
      <c r="L22" s="30"/>
      <c r="M22" s="30"/>
      <c r="N22" s="30"/>
      <c r="O22" s="30"/>
      <c r="P22" s="30"/>
    </row>
    <row r="23" spans="1:16" ht="15.9" customHeight="1" x14ac:dyDescent="0.3">
      <c r="A23" s="30"/>
      <c r="B23" s="1108" t="s">
        <v>38</v>
      </c>
      <c r="C23" s="30"/>
      <c r="D23" s="30"/>
      <c r="E23" s="30"/>
      <c r="F23" s="30"/>
      <c r="G23" s="30"/>
      <c r="H23" s="30"/>
      <c r="I23" s="30"/>
      <c r="J23" s="30"/>
      <c r="K23" s="30"/>
      <c r="L23" s="30"/>
      <c r="M23" s="30"/>
      <c r="N23" s="30"/>
      <c r="O23" s="30"/>
      <c r="P23" s="30"/>
    </row>
    <row r="24" spans="1:16" ht="15.9" customHeight="1" x14ac:dyDescent="0.3">
      <c r="A24" s="30"/>
      <c r="B24" s="1108"/>
      <c r="C24" s="30"/>
      <c r="D24" s="30"/>
      <c r="E24" s="30"/>
      <c r="F24" s="30"/>
      <c r="G24" s="30"/>
      <c r="H24" s="30"/>
      <c r="I24" s="30"/>
      <c r="J24" s="30"/>
      <c r="K24" s="30"/>
      <c r="L24" s="30"/>
      <c r="M24" s="30"/>
      <c r="N24" s="30"/>
      <c r="O24" s="30"/>
      <c r="P24" s="30"/>
    </row>
    <row r="25" spans="1:16" ht="15.9" customHeight="1" x14ac:dyDescent="0.3">
      <c r="A25" s="30"/>
      <c r="B25" s="1108" t="s">
        <v>39</v>
      </c>
      <c r="C25" s="30"/>
      <c r="D25" s="30"/>
      <c r="E25" s="30"/>
      <c r="F25" s="30"/>
      <c r="G25" s="30"/>
      <c r="H25" s="30"/>
      <c r="I25" s="30"/>
      <c r="J25" s="30"/>
      <c r="K25" s="30"/>
      <c r="L25" s="30"/>
      <c r="M25" s="30"/>
      <c r="N25" s="30"/>
      <c r="O25" s="30"/>
      <c r="P25" s="30"/>
    </row>
    <row r="26" spans="1:16" ht="15.9" customHeight="1" x14ac:dyDescent="0.3">
      <c r="A26" s="30"/>
      <c r="B26" s="1108" t="s">
        <v>40</v>
      </c>
      <c r="C26" s="30"/>
      <c r="D26" s="30"/>
      <c r="E26" s="30"/>
      <c r="F26" s="30"/>
      <c r="G26" s="30"/>
      <c r="H26" s="30"/>
      <c r="I26" s="30"/>
      <c r="J26" s="30"/>
      <c r="K26" s="30"/>
      <c r="L26" s="30"/>
      <c r="M26" s="30"/>
      <c r="N26" s="30"/>
      <c r="O26" s="30"/>
      <c r="P26" s="30"/>
    </row>
    <row r="27" spans="1:16" ht="15.9" customHeight="1" x14ac:dyDescent="0.3">
      <c r="A27" s="30"/>
      <c r="B27" s="1108" t="s">
        <v>41</v>
      </c>
      <c r="C27" s="30"/>
      <c r="D27" s="30"/>
      <c r="E27" s="30"/>
      <c r="F27" s="30"/>
      <c r="G27" s="30"/>
      <c r="H27" s="30"/>
      <c r="I27" s="30"/>
      <c r="J27" s="30"/>
      <c r="K27" s="30"/>
      <c r="L27" s="30"/>
      <c r="M27" s="30"/>
      <c r="N27" s="30"/>
      <c r="O27" s="30"/>
      <c r="P27" s="30"/>
    </row>
    <row r="28" spans="1:16" ht="15.9" customHeight="1" x14ac:dyDescent="0.3">
      <c r="A28" s="30"/>
      <c r="B28" s="30"/>
      <c r="C28" s="30"/>
      <c r="D28" s="30"/>
      <c r="E28" s="30"/>
      <c r="F28" s="30"/>
      <c r="G28" s="30"/>
      <c r="H28" s="30"/>
      <c r="I28" s="30"/>
      <c r="J28" s="30"/>
      <c r="K28" s="30"/>
      <c r="L28" s="30"/>
      <c r="M28" s="30"/>
      <c r="N28" s="30"/>
      <c r="O28" s="30"/>
      <c r="P28" s="30"/>
    </row>
    <row r="29" spans="1:16" ht="15.9" customHeight="1" x14ac:dyDescent="0.3">
      <c r="A29" s="30"/>
      <c r="B29" s="30"/>
      <c r="C29" s="30"/>
      <c r="D29" s="30"/>
      <c r="E29" s="30"/>
      <c r="F29" s="30"/>
      <c r="G29" s="30"/>
      <c r="H29" s="30"/>
      <c r="I29" s="30"/>
      <c r="J29" s="30"/>
      <c r="K29" s="30"/>
      <c r="L29" s="30"/>
      <c r="M29" s="30"/>
      <c r="N29" s="30"/>
      <c r="O29" s="30"/>
      <c r="P29" s="30"/>
    </row>
    <row r="30" spans="1:16" ht="15.9" customHeight="1" x14ac:dyDescent="0.3">
      <c r="A30" s="30" t="s">
        <v>27</v>
      </c>
      <c r="B30" s="1107" t="s">
        <v>42</v>
      </c>
      <c r="C30" s="1107"/>
      <c r="D30" s="30" t="s">
        <v>27</v>
      </c>
      <c r="E30" s="30" t="s">
        <v>27</v>
      </c>
      <c r="F30" s="30" t="s">
        <v>27</v>
      </c>
      <c r="G30" s="30" t="s">
        <v>27</v>
      </c>
      <c r="H30" s="30" t="s">
        <v>27</v>
      </c>
      <c r="I30" s="30" t="s">
        <v>27</v>
      </c>
      <c r="J30" s="30" t="s">
        <v>27</v>
      </c>
      <c r="K30" s="30" t="s">
        <v>27</v>
      </c>
      <c r="L30" s="30" t="s">
        <v>27</v>
      </c>
      <c r="M30" s="30" t="s">
        <v>27</v>
      </c>
      <c r="N30" s="30" t="s">
        <v>27</v>
      </c>
      <c r="O30" s="30" t="s">
        <v>27</v>
      </c>
      <c r="P30" s="30" t="s">
        <v>27</v>
      </c>
    </row>
    <row r="31" spans="1:16" ht="15.9" customHeight="1" x14ac:dyDescent="0.3">
      <c r="A31" s="30" t="s">
        <v>27</v>
      </c>
      <c r="B31" s="30" t="s">
        <v>27</v>
      </c>
      <c r="C31" s="30" t="s">
        <v>27</v>
      </c>
      <c r="D31" s="30" t="s">
        <v>27</v>
      </c>
      <c r="E31" s="30" t="s">
        <v>27</v>
      </c>
      <c r="F31" s="30" t="s">
        <v>27</v>
      </c>
      <c r="G31" s="30" t="s">
        <v>27</v>
      </c>
      <c r="H31" s="30" t="s">
        <v>27</v>
      </c>
      <c r="I31" s="30" t="s">
        <v>27</v>
      </c>
      <c r="J31" s="30" t="s">
        <v>27</v>
      </c>
      <c r="K31" s="30" t="s">
        <v>27</v>
      </c>
      <c r="L31" s="30" t="s">
        <v>27</v>
      </c>
      <c r="M31" s="30" t="s">
        <v>27</v>
      </c>
      <c r="N31" s="30" t="s">
        <v>27</v>
      </c>
      <c r="O31" s="30" t="s">
        <v>27</v>
      </c>
      <c r="P31" s="30" t="s">
        <v>27</v>
      </c>
    </row>
    <row r="32" spans="1:16" ht="15.9" customHeight="1" x14ac:dyDescent="0.3">
      <c r="A32" s="30"/>
      <c r="B32" s="1108" t="s">
        <v>43</v>
      </c>
      <c r="C32" s="30"/>
      <c r="D32" s="30"/>
      <c r="E32" s="30"/>
      <c r="F32" s="30"/>
      <c r="G32" s="30"/>
      <c r="H32" s="30"/>
      <c r="I32" s="30"/>
      <c r="J32" s="30"/>
      <c r="K32" s="30"/>
      <c r="L32" s="30"/>
      <c r="M32" s="30"/>
      <c r="N32" s="30"/>
      <c r="O32" s="30"/>
      <c r="P32" s="30"/>
    </row>
    <row r="33" spans="1:16" ht="15.9" customHeight="1" x14ac:dyDescent="0.3">
      <c r="A33" s="30"/>
      <c r="B33" s="30"/>
      <c r="C33" s="30"/>
      <c r="D33" s="30"/>
      <c r="E33" s="30"/>
      <c r="F33" s="30"/>
      <c r="G33" s="30"/>
      <c r="H33" s="30"/>
      <c r="I33" s="30"/>
      <c r="J33" s="30"/>
      <c r="K33" s="30"/>
      <c r="L33" s="30"/>
      <c r="M33" s="30"/>
      <c r="N33" s="30"/>
      <c r="O33" s="30"/>
      <c r="P33" s="30"/>
    </row>
    <row r="34" spans="1:16" ht="15.9" customHeight="1" x14ac:dyDescent="0.3">
      <c r="A34" s="35"/>
      <c r="B34" s="1109" t="s">
        <v>44</v>
      </c>
      <c r="C34" s="299"/>
    </row>
    <row r="35" spans="1:16" ht="15.9" customHeight="1" x14ac:dyDescent="0.3">
      <c r="A35" s="35"/>
      <c r="B35" s="1105"/>
      <c r="C35" s="299"/>
    </row>
    <row r="36" spans="1:16" ht="15.9" customHeight="1" x14ac:dyDescent="0.3">
      <c r="A36" s="35"/>
      <c r="B36" s="1110" t="s">
        <v>45</v>
      </c>
      <c r="C36" s="299"/>
    </row>
    <row r="37" spans="1:16" ht="15.9" customHeight="1" x14ac:dyDescent="0.3">
      <c r="A37" s="35"/>
      <c r="B37" s="1111" t="s">
        <v>46</v>
      </c>
      <c r="C37" s="299"/>
    </row>
    <row r="38" spans="1:16" ht="15.9" customHeight="1" x14ac:dyDescent="0.3">
      <c r="A38" s="35"/>
      <c r="B38" s="1105"/>
      <c r="C38" s="299"/>
    </row>
    <row r="39" spans="1:16" ht="15.9" customHeight="1" x14ac:dyDescent="0.3">
      <c r="A39" s="35"/>
      <c r="B39" s="1105" t="s">
        <v>47</v>
      </c>
      <c r="C39" s="299"/>
    </row>
    <row r="40" spans="1:16" ht="15.9" customHeight="1" x14ac:dyDescent="0.3">
      <c r="A40" s="35"/>
      <c r="B40" s="1105" t="s">
        <v>48</v>
      </c>
      <c r="C40" s="299"/>
    </row>
    <row r="41" spans="1:16" ht="15.9" customHeight="1" x14ac:dyDescent="0.3">
      <c r="A41" s="35"/>
      <c r="B41" s="1105"/>
      <c r="C41" s="299"/>
    </row>
    <row r="42" spans="1:16" ht="15.9" customHeight="1" x14ac:dyDescent="0.3">
      <c r="B42" s="1110" t="s">
        <v>49</v>
      </c>
      <c r="C42" s="1112"/>
      <c r="D42" s="1112"/>
      <c r="E42" s="1112"/>
      <c r="F42" s="1112"/>
      <c r="G42" s="1112"/>
      <c r="H42" s="1112"/>
      <c r="I42" s="1112"/>
      <c r="J42" s="1112"/>
      <c r="K42" s="1112"/>
      <c r="L42" s="1112"/>
    </row>
    <row r="43" spans="1:16" ht="15.9" customHeight="1" x14ac:dyDescent="0.3">
      <c r="B43" s="1110"/>
      <c r="C43" s="1112"/>
      <c r="D43" s="1112"/>
      <c r="E43" s="1112"/>
      <c r="F43" s="1112"/>
      <c r="G43" s="1112"/>
      <c r="H43" s="1112"/>
      <c r="I43" s="1112"/>
      <c r="J43" s="1112"/>
      <c r="K43" s="1112"/>
      <c r="L43" s="1112"/>
    </row>
    <row r="44" spans="1:16" ht="15.9" customHeight="1" x14ac:dyDescent="0.3">
      <c r="B44" s="1110" t="s">
        <v>50</v>
      </c>
      <c r="C44" s="1112"/>
      <c r="D44" s="1112"/>
      <c r="E44" s="1112"/>
      <c r="F44" s="1112"/>
      <c r="G44" s="1112"/>
      <c r="H44" s="1112"/>
      <c r="I44" s="1112"/>
      <c r="J44" s="1112"/>
      <c r="K44" s="1112"/>
      <c r="L44" s="1112"/>
    </row>
    <row r="45" spans="1:16" ht="15.9" customHeight="1" x14ac:dyDescent="0.3">
      <c r="B45" s="1113"/>
      <c r="C45" s="1114"/>
      <c r="D45" s="1114"/>
      <c r="E45" s="1114"/>
      <c r="F45" s="1114"/>
      <c r="G45" s="1114"/>
      <c r="H45" s="1114"/>
      <c r="I45" s="1114"/>
    </row>
    <row r="46" spans="1:16" ht="15.9" customHeight="1" x14ac:dyDescent="0.3">
      <c r="B46" s="1111" t="s">
        <v>51</v>
      </c>
      <c r="C46" s="1114"/>
      <c r="D46" s="1114"/>
      <c r="E46" s="1114"/>
      <c r="F46" s="1114"/>
      <c r="G46" s="1114"/>
      <c r="H46" s="1114"/>
      <c r="I46" s="1114"/>
    </row>
    <row r="47" spans="1:16" ht="15.9" customHeight="1" x14ac:dyDescent="0.3">
      <c r="B47" s="1111"/>
      <c r="C47" s="1114"/>
      <c r="D47" s="1114"/>
      <c r="E47" s="1114"/>
      <c r="F47" s="1114"/>
      <c r="G47" s="1114"/>
      <c r="H47" s="1114"/>
      <c r="I47" s="1114"/>
    </row>
    <row r="48" spans="1:16" ht="15.9" customHeight="1" x14ac:dyDescent="0.3">
      <c r="B48" s="1113"/>
      <c r="C48" s="1114"/>
      <c r="D48" s="1114"/>
      <c r="E48" s="1114"/>
      <c r="F48" s="1114"/>
      <c r="G48" s="1114"/>
      <c r="H48" s="1114"/>
      <c r="I48" s="1114"/>
    </row>
    <row r="49" spans="2:9" ht="15.9" customHeight="1" x14ac:dyDescent="0.3">
      <c r="B49" s="1127" t="s">
        <v>52</v>
      </c>
      <c r="C49" s="1114"/>
      <c r="D49" s="1114"/>
      <c r="E49" s="1114"/>
      <c r="F49" s="1114"/>
      <c r="G49" s="1114"/>
      <c r="H49" s="1114"/>
      <c r="I49" s="1114"/>
    </row>
    <row r="50" spans="2:9" ht="15.9" customHeight="1" x14ac:dyDescent="0.3">
      <c r="B50" s="1105"/>
      <c r="C50" s="1114"/>
      <c r="D50" s="1114"/>
      <c r="E50" s="1114"/>
      <c r="F50" s="1114"/>
      <c r="G50" s="1114"/>
      <c r="H50" s="1114"/>
      <c r="I50" s="1114"/>
    </row>
    <row r="51" spans="2:9" ht="15.9" customHeight="1" x14ac:dyDescent="0.3">
      <c r="B51" s="1111" t="s">
        <v>53</v>
      </c>
      <c r="C51" s="1114"/>
      <c r="D51" s="1114"/>
      <c r="E51" s="1114"/>
      <c r="F51" s="1114"/>
      <c r="G51" s="1114"/>
      <c r="H51" s="1114"/>
      <c r="I51" s="1114"/>
    </row>
    <row r="52" spans="2:9" ht="15.9" customHeight="1" x14ac:dyDescent="0.3">
      <c r="B52" s="1115"/>
      <c r="C52" s="1114"/>
      <c r="D52" s="1114"/>
      <c r="E52" s="1114"/>
      <c r="F52" s="1114"/>
      <c r="G52" s="1114"/>
      <c r="H52" s="1114"/>
      <c r="I52" s="1114"/>
    </row>
    <row r="53" spans="2:9" ht="15.9" customHeight="1" x14ac:dyDescent="0.3">
      <c r="B53" s="1111" t="s">
        <v>54</v>
      </c>
      <c r="C53" s="1114"/>
      <c r="D53" s="1114"/>
      <c r="E53" s="1114"/>
      <c r="F53" s="1114"/>
      <c r="G53" s="1114"/>
      <c r="H53" s="1114"/>
      <c r="I53" s="1114"/>
    </row>
    <row r="54" spans="2:9" ht="15.9" customHeight="1" x14ac:dyDescent="0.3">
      <c r="B54" s="1111"/>
      <c r="C54" s="1114"/>
      <c r="D54" s="1114"/>
      <c r="E54" s="1114"/>
      <c r="F54" s="1114"/>
      <c r="G54" s="1114"/>
      <c r="H54" s="1114"/>
      <c r="I54" s="1114"/>
    </row>
    <row r="55" spans="2:9" ht="15.9" customHeight="1" x14ac:dyDescent="0.3">
      <c r="B55" s="1111"/>
      <c r="C55" s="1114"/>
      <c r="D55" s="1114"/>
      <c r="E55" s="1114"/>
      <c r="F55" s="1114"/>
      <c r="G55" s="1114"/>
      <c r="H55" s="1114"/>
      <c r="I55" s="1114"/>
    </row>
    <row r="56" spans="2:9" ht="15.9" customHeight="1" x14ac:dyDescent="0.3">
      <c r="B56" s="21" t="s">
        <v>55</v>
      </c>
      <c r="C56" s="1116"/>
    </row>
    <row r="57" spans="2:9" ht="15.9" customHeight="1" x14ac:dyDescent="0.3">
      <c r="C57" s="1116"/>
    </row>
    <row r="58" spans="2:9" ht="15.9" customHeight="1" x14ac:dyDescent="0.3">
      <c r="B58" s="1116" t="s">
        <v>28</v>
      </c>
      <c r="C58" s="1116"/>
    </row>
    <row r="59" spans="2:9" ht="15.9" customHeight="1" x14ac:dyDescent="0.3">
      <c r="B59" s="1117"/>
      <c r="C59" s="1116"/>
    </row>
    <row r="60" spans="2:9" ht="15.9" customHeight="1" x14ac:dyDescent="0.3">
      <c r="B60" s="1108" t="s">
        <v>56</v>
      </c>
      <c r="C60" s="1116"/>
    </row>
    <row r="61" spans="2:9" ht="15.9" customHeight="1" x14ac:dyDescent="0.3">
      <c r="B61" s="1117"/>
      <c r="C61" s="1116"/>
    </row>
    <row r="62" spans="2:9" ht="15.9" customHeight="1" x14ac:dyDescent="0.3">
      <c r="B62" s="1111" t="s">
        <v>57</v>
      </c>
      <c r="C62" s="1116"/>
    </row>
    <row r="63" spans="2:9" ht="15.9" customHeight="1" x14ac:dyDescent="0.3">
      <c r="B63" s="1111"/>
      <c r="C63" s="1116"/>
    </row>
    <row r="64" spans="2:9" ht="15.9" customHeight="1" x14ac:dyDescent="0.3">
      <c r="B64" s="1111" t="s">
        <v>58</v>
      </c>
      <c r="C64" s="1116"/>
    </row>
    <row r="65" spans="2:3" ht="15.9" customHeight="1" x14ac:dyDescent="0.3">
      <c r="B65" s="1111"/>
      <c r="C65" s="1116"/>
    </row>
    <row r="66" spans="2:3" ht="15.9" customHeight="1" x14ac:dyDescent="0.3">
      <c r="B66" s="1111" t="s">
        <v>59</v>
      </c>
      <c r="C66" s="1116"/>
    </row>
    <row r="67" spans="2:3" ht="15.9" customHeight="1" x14ac:dyDescent="0.3">
      <c r="B67" s="1118"/>
      <c r="C67" s="1116"/>
    </row>
    <row r="68" spans="2:3" ht="15.9" customHeight="1" x14ac:dyDescent="0.3">
      <c r="B68" s="1111" t="s">
        <v>60</v>
      </c>
      <c r="C68" s="1116"/>
    </row>
    <row r="69" spans="2:3" ht="15.9" customHeight="1" x14ac:dyDescent="0.3">
      <c r="B69" s="1119"/>
      <c r="C69" s="1116"/>
    </row>
    <row r="70" spans="2:3" ht="15.9" customHeight="1" x14ac:dyDescent="0.3">
      <c r="B70" s="1111" t="s">
        <v>61</v>
      </c>
      <c r="C70" s="1116"/>
    </row>
    <row r="71" spans="2:3" ht="15.9" customHeight="1" x14ac:dyDescent="0.3">
      <c r="B71" s="1111"/>
      <c r="C71" s="1116"/>
    </row>
    <row r="72" spans="2:3" ht="15.9" customHeight="1" x14ac:dyDescent="0.3">
      <c r="B72" s="1111" t="s">
        <v>62</v>
      </c>
      <c r="C72" s="1116"/>
    </row>
    <row r="73" spans="2:3" ht="15.9" customHeight="1" x14ac:dyDescent="0.3">
      <c r="B73" s="1111"/>
      <c r="C73" s="1116"/>
    </row>
    <row r="74" spans="2:3" ht="15.9" customHeight="1" x14ac:dyDescent="0.3">
      <c r="B74" s="1111" t="s">
        <v>63</v>
      </c>
      <c r="C74" s="1116"/>
    </row>
    <row r="75" spans="2:3" ht="15.9" customHeight="1" x14ac:dyDescent="0.3">
      <c r="B75" s="1111"/>
      <c r="C75" s="1116"/>
    </row>
    <row r="76" spans="2:3" ht="15.9" customHeight="1" x14ac:dyDescent="0.3">
      <c r="B76" s="1111" t="s">
        <v>64</v>
      </c>
      <c r="C76" s="1116"/>
    </row>
    <row r="77" spans="2:3" ht="15.9" customHeight="1" x14ac:dyDescent="0.3">
      <c r="B77" s="1105"/>
      <c r="C77" s="1116"/>
    </row>
    <row r="78" spans="2:3" ht="15.9" customHeight="1" x14ac:dyDescent="0.3">
      <c r="B78" s="1111" t="s">
        <v>65</v>
      </c>
      <c r="C78" s="1116"/>
    </row>
    <row r="79" spans="2:3" ht="15.9" customHeight="1" x14ac:dyDescent="0.3">
      <c r="B79" s="1105"/>
      <c r="C79" s="1116"/>
    </row>
    <row r="80" spans="2:3" ht="15.9" customHeight="1" x14ac:dyDescent="0.3">
      <c r="B80" s="1111" t="s">
        <v>66</v>
      </c>
      <c r="C80" s="1116"/>
    </row>
    <row r="81" spans="2:3" ht="15.9" customHeight="1" x14ac:dyDescent="0.3">
      <c r="B81" s="1111"/>
      <c r="C81" s="1116"/>
    </row>
    <row r="82" spans="2:3" ht="15.9" customHeight="1" x14ac:dyDescent="0.3">
      <c r="B82" s="1111" t="s">
        <v>67</v>
      </c>
      <c r="C82" s="1116"/>
    </row>
    <row r="83" spans="2:3" ht="15.9" customHeight="1" x14ac:dyDescent="0.3">
      <c r="B83" s="1105"/>
      <c r="C83" s="1116"/>
    </row>
    <row r="84" spans="2:3" ht="15.9" customHeight="1" x14ac:dyDescent="0.3">
      <c r="B84" s="1109" t="s">
        <v>68</v>
      </c>
      <c r="C84" s="1116"/>
    </row>
    <row r="85" spans="2:3" ht="15.9" customHeight="1" x14ac:dyDescent="0.3">
      <c r="B85" s="1109"/>
      <c r="C85" s="1116"/>
    </row>
    <row r="86" spans="2:3" ht="15.9" customHeight="1" x14ac:dyDescent="0.3">
      <c r="B86" s="1109" t="s">
        <v>69</v>
      </c>
      <c r="C86" s="1116"/>
    </row>
    <row r="87" spans="2:3" ht="15.9" customHeight="1" x14ac:dyDescent="0.3">
      <c r="B87" s="1109"/>
      <c r="C87" s="1116"/>
    </row>
    <row r="88" spans="2:3" ht="15.9" customHeight="1" x14ac:dyDescent="0.3">
      <c r="B88" s="1109" t="s">
        <v>70</v>
      </c>
      <c r="C88" s="1116"/>
    </row>
    <row r="89" spans="2:3" ht="15.9" customHeight="1" x14ac:dyDescent="0.3">
      <c r="B89" s="1105"/>
      <c r="C89" s="1116"/>
    </row>
    <row r="90" spans="2:3" ht="15.9" customHeight="1" x14ac:dyDescent="0.3">
      <c r="B90" s="1109" t="s">
        <v>71</v>
      </c>
      <c r="C90" s="1116"/>
    </row>
    <row r="91" spans="2:3" ht="15.9" customHeight="1" x14ac:dyDescent="0.3">
      <c r="B91" s="1105"/>
      <c r="C91" s="1116"/>
    </row>
    <row r="92" spans="2:3" ht="15.9" customHeight="1" x14ac:dyDescent="0.3">
      <c r="B92" s="1109" t="s">
        <v>72</v>
      </c>
      <c r="C92" s="1116"/>
    </row>
    <row r="93" spans="2:3" ht="15.9" customHeight="1" x14ac:dyDescent="0.3">
      <c r="C93" s="1116"/>
    </row>
    <row r="94" spans="2:3" ht="15.9" customHeight="1" x14ac:dyDescent="0.3">
      <c r="C94" s="1116"/>
    </row>
    <row r="95" spans="2:3" ht="15.9" customHeight="1" x14ac:dyDescent="0.3">
      <c r="B95" s="1120" t="s">
        <v>42</v>
      </c>
      <c r="C95" s="1116"/>
    </row>
    <row r="96" spans="2:3" ht="15.9" customHeight="1" x14ac:dyDescent="0.3">
      <c r="B96" s="299"/>
      <c r="C96" s="1116"/>
    </row>
    <row r="97" spans="2:3" ht="15.9" customHeight="1" x14ac:dyDescent="0.3">
      <c r="B97" s="1105" t="s">
        <v>73</v>
      </c>
      <c r="C97" s="1116"/>
    </row>
    <row r="98" spans="2:3" ht="15.9" customHeight="1" x14ac:dyDescent="0.3">
      <c r="B98" s="1105"/>
      <c r="C98" s="1116"/>
    </row>
    <row r="99" spans="2:3" ht="15.9" customHeight="1" x14ac:dyDescent="0.3">
      <c r="B99" s="1105" t="s">
        <v>74</v>
      </c>
      <c r="C99" s="1116"/>
    </row>
    <row r="100" spans="2:3" ht="15.9" customHeight="1" x14ac:dyDescent="0.3">
      <c r="B100" s="1105"/>
      <c r="C100" s="1116"/>
    </row>
    <row r="101" spans="2:3" ht="15.9" customHeight="1" x14ac:dyDescent="0.3">
      <c r="B101" s="1105" t="s">
        <v>75</v>
      </c>
      <c r="C101" s="1116"/>
    </row>
    <row r="102" spans="2:3" ht="15.9" customHeight="1" x14ac:dyDescent="0.3">
      <c r="B102" s="1105"/>
      <c r="C102" s="1116"/>
    </row>
    <row r="103" spans="2:3" ht="15.9" customHeight="1" x14ac:dyDescent="0.3">
      <c r="B103" s="1105" t="s">
        <v>76</v>
      </c>
      <c r="C103" s="1116"/>
    </row>
    <row r="104" spans="2:3" ht="15.9" customHeight="1" x14ac:dyDescent="0.3">
      <c r="B104" s="1105"/>
      <c r="C104" s="1116"/>
    </row>
    <row r="105" spans="2:3" ht="15.9" customHeight="1" x14ac:dyDescent="0.3">
      <c r="B105" s="1111" t="s">
        <v>77</v>
      </c>
      <c r="C105" s="1116"/>
    </row>
    <row r="106" spans="2:3" ht="15.9" customHeight="1" x14ac:dyDescent="0.3">
      <c r="B106" s="1105"/>
      <c r="C106" s="1116"/>
    </row>
    <row r="107" spans="2:3" ht="15.9" customHeight="1" x14ac:dyDescent="0.3">
      <c r="B107" s="1111" t="s">
        <v>78</v>
      </c>
      <c r="C107" s="1116"/>
    </row>
    <row r="108" spans="2:3" ht="15.9" customHeight="1" x14ac:dyDescent="0.3">
      <c r="B108" s="1105"/>
      <c r="C108" s="1116"/>
    </row>
    <row r="109" spans="2:3" ht="15.9" customHeight="1" x14ac:dyDescent="0.3">
      <c r="B109" s="1108" t="s">
        <v>79</v>
      </c>
      <c r="C109" s="1116"/>
    </row>
    <row r="110" spans="2:3" ht="15.9" customHeight="1" x14ac:dyDescent="0.3">
      <c r="B110" s="1108" t="s">
        <v>80</v>
      </c>
      <c r="C110" s="1116"/>
    </row>
    <row r="111" spans="2:3" ht="15.9" customHeight="1" x14ac:dyDescent="0.3">
      <c r="B111" s="1108"/>
      <c r="C111" s="1116"/>
    </row>
    <row r="112" spans="2:3" ht="15.9" customHeight="1" x14ac:dyDescent="0.3">
      <c r="B112" s="1111" t="s">
        <v>81</v>
      </c>
      <c r="C112" s="1116"/>
    </row>
    <row r="113" spans="1:3" ht="15.9" customHeight="1" x14ac:dyDescent="0.3">
      <c r="B113" s="1108"/>
      <c r="C113" s="1116"/>
    </row>
    <row r="114" spans="1:3" ht="15.9" customHeight="1" x14ac:dyDescent="0.3">
      <c r="B114" s="1111" t="s">
        <v>82</v>
      </c>
      <c r="C114" s="1116"/>
    </row>
    <row r="115" spans="1:3" ht="15.9" customHeight="1" x14ac:dyDescent="0.3">
      <c r="B115" s="1108"/>
      <c r="C115" s="1116"/>
    </row>
    <row r="116" spans="1:3" ht="15.9" customHeight="1" x14ac:dyDescent="0.3">
      <c r="B116" s="1111" t="s">
        <v>83</v>
      </c>
      <c r="C116" s="1116"/>
    </row>
    <row r="117" spans="1:3" ht="15.9" customHeight="1" x14ac:dyDescent="0.3">
      <c r="B117" s="1108"/>
      <c r="C117" s="1116"/>
    </row>
    <row r="118" spans="1:3" ht="15.9" customHeight="1" x14ac:dyDescent="0.3">
      <c r="B118" s="1111" t="s">
        <v>84</v>
      </c>
      <c r="C118" s="1116"/>
    </row>
    <row r="119" spans="1:3" ht="15.9" customHeight="1" x14ac:dyDescent="0.3">
      <c r="B119" s="1108"/>
      <c r="C119" s="1116"/>
    </row>
    <row r="120" spans="1:3" s="71" customFormat="1" ht="15.9" customHeight="1" x14ac:dyDescent="0.3">
      <c r="A120" s="2"/>
      <c r="B120" s="1111" t="s">
        <v>85</v>
      </c>
      <c r="C120" s="1121"/>
    </row>
    <row r="121" spans="1:3" ht="15.9" customHeight="1" x14ac:dyDescent="0.3">
      <c r="B121" s="1105"/>
      <c r="C121" s="1116"/>
    </row>
    <row r="122" spans="1:3" ht="15.9" customHeight="1" x14ac:dyDescent="0.3">
      <c r="B122" s="1111" t="s">
        <v>86</v>
      </c>
      <c r="C122" s="1116"/>
    </row>
    <row r="123" spans="1:3" ht="15.9" customHeight="1" x14ac:dyDescent="0.3">
      <c r="B123" s="1105"/>
      <c r="C123" s="1116"/>
    </row>
    <row r="124" spans="1:3" ht="15.9" customHeight="1" x14ac:dyDescent="0.3">
      <c r="B124" s="1111" t="s">
        <v>87</v>
      </c>
      <c r="C124" s="1116"/>
    </row>
    <row r="125" spans="1:3" ht="15.9" customHeight="1" x14ac:dyDescent="0.3">
      <c r="B125" s="19"/>
      <c r="C125" s="1116"/>
    </row>
    <row r="126" spans="1:3" ht="15.9" customHeight="1" x14ac:dyDescent="0.3">
      <c r="B126" s="299"/>
      <c r="C126" s="1116"/>
    </row>
    <row r="127" spans="1:3" ht="15.9" customHeight="1" x14ac:dyDescent="0.3">
      <c r="B127" s="21" t="s">
        <v>88</v>
      </c>
      <c r="C127" s="1116"/>
    </row>
    <row r="128" spans="1:3" ht="15.9" customHeight="1" x14ac:dyDescent="0.3">
      <c r="B128" s="1116"/>
      <c r="C128" s="1116"/>
    </row>
    <row r="129" spans="2:3" ht="15.9" customHeight="1" x14ac:dyDescent="0.3">
      <c r="B129" s="1120" t="s">
        <v>28</v>
      </c>
      <c r="C129" s="1116"/>
    </row>
    <row r="130" spans="2:3" ht="15.9" customHeight="1" x14ac:dyDescent="0.3">
      <c r="B130" s="1106"/>
      <c r="C130" s="1116"/>
    </row>
    <row r="131" spans="2:3" ht="15.9" customHeight="1" x14ac:dyDescent="0.3">
      <c r="B131" s="1105" t="s">
        <v>89</v>
      </c>
      <c r="C131" s="1116"/>
    </row>
    <row r="132" spans="2:3" ht="15.9" customHeight="1" x14ac:dyDescent="0.3">
      <c r="B132" s="1105"/>
      <c r="C132" s="1116"/>
    </row>
    <row r="133" spans="2:3" ht="15.9" customHeight="1" x14ac:dyDescent="0.3">
      <c r="B133" s="1105" t="s">
        <v>90</v>
      </c>
      <c r="C133" s="1116"/>
    </row>
    <row r="134" spans="2:3" ht="15.9" customHeight="1" x14ac:dyDescent="0.3">
      <c r="B134" s="1105"/>
      <c r="C134" s="1116"/>
    </row>
    <row r="135" spans="2:3" ht="15.9" customHeight="1" x14ac:dyDescent="0.3">
      <c r="B135" s="1109" t="s">
        <v>91</v>
      </c>
      <c r="C135" s="1116"/>
    </row>
    <row r="136" spans="2:3" ht="15.9" customHeight="1" x14ac:dyDescent="0.3">
      <c r="B136" s="1105"/>
      <c r="C136" s="1116"/>
    </row>
    <row r="137" spans="2:3" ht="15.9" customHeight="1" x14ac:dyDescent="0.3">
      <c r="B137" s="1105" t="s">
        <v>92</v>
      </c>
      <c r="C137" s="1116"/>
    </row>
    <row r="138" spans="2:3" ht="15.9" customHeight="1" x14ac:dyDescent="0.3">
      <c r="B138" s="1105"/>
      <c r="C138" s="1116"/>
    </row>
    <row r="139" spans="2:3" ht="15.9" customHeight="1" x14ac:dyDescent="0.3">
      <c r="B139" s="1105" t="s">
        <v>93</v>
      </c>
      <c r="C139" s="1116"/>
    </row>
    <row r="140" spans="2:3" ht="15.9" customHeight="1" x14ac:dyDescent="0.3">
      <c r="B140" s="1105"/>
      <c r="C140" s="1122" t="s">
        <v>94</v>
      </c>
    </row>
    <row r="141" spans="2:3" ht="15.9" customHeight="1" x14ac:dyDescent="0.3">
      <c r="B141" s="1105"/>
      <c r="C141" s="1122" t="s">
        <v>95</v>
      </c>
    </row>
    <row r="142" spans="2:3" ht="15.9" customHeight="1" x14ac:dyDescent="0.3">
      <c r="B142" s="1105"/>
      <c r="C142" s="1122" t="s">
        <v>96</v>
      </c>
    </row>
    <row r="143" spans="2:3" ht="15.9" customHeight="1" x14ac:dyDescent="0.3">
      <c r="B143" s="1105"/>
      <c r="C143" s="1122"/>
    </row>
    <row r="144" spans="2:3" ht="15.9" customHeight="1" x14ac:dyDescent="0.3">
      <c r="B144" s="1105" t="s">
        <v>97</v>
      </c>
      <c r="C144" s="1122"/>
    </row>
    <row r="145" spans="1:3" ht="15.9" customHeight="1" x14ac:dyDescent="0.3">
      <c r="C145" s="1122" t="s">
        <v>98</v>
      </c>
    </row>
    <row r="146" spans="1:3" ht="15.9" customHeight="1" x14ac:dyDescent="0.3">
      <c r="C146" s="1122"/>
    </row>
    <row r="147" spans="1:3" ht="15.9" customHeight="1" x14ac:dyDescent="0.3">
      <c r="B147" s="1106"/>
      <c r="C147" s="1116"/>
    </row>
    <row r="148" spans="1:3" ht="15.9" customHeight="1" x14ac:dyDescent="0.3">
      <c r="B148" s="1120" t="s">
        <v>99</v>
      </c>
      <c r="C148" s="1116"/>
    </row>
    <row r="149" spans="1:3" ht="15.9" customHeight="1" x14ac:dyDescent="0.3">
      <c r="B149" s="1106"/>
      <c r="C149" s="1116"/>
    </row>
    <row r="150" spans="1:3" ht="15.9" customHeight="1" x14ac:dyDescent="0.3">
      <c r="B150" s="1105" t="s">
        <v>100</v>
      </c>
      <c r="C150" s="1116"/>
    </row>
    <row r="151" spans="1:3" ht="15.9" customHeight="1" x14ac:dyDescent="0.3">
      <c r="B151" s="1117"/>
      <c r="C151" s="1116"/>
    </row>
    <row r="152" spans="1:3" ht="15.9" customHeight="1" x14ac:dyDescent="0.3">
      <c r="B152" s="1105" t="s">
        <v>101</v>
      </c>
      <c r="C152" s="1116"/>
    </row>
    <row r="153" spans="1:3" ht="15.9" customHeight="1" x14ac:dyDescent="0.3">
      <c r="B153" s="1105"/>
      <c r="C153" s="1116"/>
    </row>
    <row r="154" spans="1:3" ht="15.9" customHeight="1" x14ac:dyDescent="0.3">
      <c r="B154" s="1105" t="s">
        <v>102</v>
      </c>
      <c r="C154" s="1116"/>
    </row>
    <row r="155" spans="1:3" ht="15.9" customHeight="1" x14ac:dyDescent="0.3">
      <c r="B155" s="1105"/>
      <c r="C155" s="1116"/>
    </row>
    <row r="156" spans="1:3" ht="15.9" customHeight="1" x14ac:dyDescent="0.3">
      <c r="B156" s="1105" t="s">
        <v>103</v>
      </c>
      <c r="C156" s="1116"/>
    </row>
    <row r="157" spans="1:3" ht="15.9" customHeight="1" x14ac:dyDescent="0.3">
      <c r="C157" s="1116"/>
    </row>
    <row r="158" spans="1:3" ht="15.9" customHeight="1" x14ac:dyDescent="0.3">
      <c r="B158" s="1106"/>
      <c r="C158" s="1116"/>
    </row>
    <row r="159" spans="1:3" ht="15.9" customHeight="1" x14ac:dyDescent="0.3">
      <c r="B159" s="1120" t="s">
        <v>42</v>
      </c>
      <c r="C159" s="1116"/>
    </row>
    <row r="160" spans="1:3" s="1106" customFormat="1" ht="15.9" customHeight="1" x14ac:dyDescent="0.3">
      <c r="A160" s="2"/>
      <c r="C160" s="1116"/>
    </row>
    <row r="161" spans="1:3" s="1106" customFormat="1" ht="15.9" customHeight="1" x14ac:dyDescent="0.3">
      <c r="A161" s="2"/>
      <c r="B161" s="1105" t="s">
        <v>104</v>
      </c>
      <c r="C161" s="1116"/>
    </row>
    <row r="162" spans="1:3" s="1106" customFormat="1" ht="15.9" customHeight="1" x14ac:dyDescent="0.3">
      <c r="A162" s="2"/>
      <c r="B162" s="2" t="s">
        <v>105</v>
      </c>
      <c r="C162" s="1116"/>
    </row>
    <row r="163" spans="1:3" s="1106" customFormat="1" ht="15.9" customHeight="1" x14ac:dyDescent="0.3">
      <c r="A163" s="2"/>
      <c r="B163" s="2" t="s">
        <v>106</v>
      </c>
      <c r="C163" s="1116"/>
    </row>
    <row r="164" spans="1:3" s="1106" customFormat="1" ht="15.9" customHeight="1" x14ac:dyDescent="0.3">
      <c r="A164" s="2"/>
      <c r="B164" s="2" t="s">
        <v>107</v>
      </c>
      <c r="C164" s="1116"/>
    </row>
    <row r="165" spans="1:3" s="1106" customFormat="1" ht="15.9" customHeight="1" x14ac:dyDescent="0.3">
      <c r="A165" s="2"/>
      <c r="B165" s="1120"/>
    </row>
    <row r="166" spans="1:3" s="1106" customFormat="1" ht="15.9" customHeight="1" x14ac:dyDescent="0.3">
      <c r="A166" s="2"/>
      <c r="B166" s="1120"/>
    </row>
    <row r="167" spans="1:3" ht="15.9" customHeight="1" x14ac:dyDescent="0.3">
      <c r="B167" s="21" t="s">
        <v>108</v>
      </c>
    </row>
    <row r="169" spans="1:3" ht="15.9" customHeight="1" x14ac:dyDescent="0.3">
      <c r="B169" s="1120" t="s">
        <v>28</v>
      </c>
    </row>
    <row r="170" spans="1:3" ht="15.9" customHeight="1" x14ac:dyDescent="0.3">
      <c r="B170" s="1106"/>
    </row>
    <row r="171" spans="1:3" ht="15.9" customHeight="1" x14ac:dyDescent="0.3">
      <c r="B171" s="1105" t="s">
        <v>109</v>
      </c>
    </row>
    <row r="172" spans="1:3" ht="15.9" customHeight="1" x14ac:dyDescent="0.3">
      <c r="B172" s="1105"/>
    </row>
    <row r="173" spans="1:3" ht="15.9" customHeight="1" x14ac:dyDescent="0.3">
      <c r="B173" s="1105" t="s">
        <v>110</v>
      </c>
    </row>
    <row r="174" spans="1:3" ht="15.9" customHeight="1" x14ac:dyDescent="0.3">
      <c r="B174" s="1105"/>
    </row>
    <row r="175" spans="1:3" ht="15.9" customHeight="1" x14ac:dyDescent="0.3">
      <c r="B175" s="1105" t="s">
        <v>111</v>
      </c>
    </row>
    <row r="176" spans="1:3" ht="15.9" customHeight="1" x14ac:dyDescent="0.3">
      <c r="B176" s="1105"/>
    </row>
    <row r="177" spans="2:2" ht="15.9" customHeight="1" x14ac:dyDescent="0.3">
      <c r="B177" s="1117" t="s">
        <v>99</v>
      </c>
    </row>
    <row r="178" spans="2:2" ht="15.9" customHeight="1" x14ac:dyDescent="0.3">
      <c r="B178" s="1117"/>
    </row>
    <row r="179" spans="2:2" ht="15.9" customHeight="1" x14ac:dyDescent="0.3">
      <c r="B179" s="1105" t="s">
        <v>112</v>
      </c>
    </row>
    <row r="180" spans="2:2" ht="15.9" customHeight="1" x14ac:dyDescent="0.3">
      <c r="B180" s="1117"/>
    </row>
    <row r="181" spans="2:2" ht="15.9" customHeight="1" x14ac:dyDescent="0.3">
      <c r="B181" s="1105" t="s">
        <v>113</v>
      </c>
    </row>
    <row r="182" spans="2:2" ht="15.9" customHeight="1" x14ac:dyDescent="0.3">
      <c r="B182" s="1105"/>
    </row>
    <row r="183" spans="2:2" ht="15.9" customHeight="1" x14ac:dyDescent="0.3">
      <c r="B183" s="1105" t="s">
        <v>114</v>
      </c>
    </row>
    <row r="184" spans="2:2" ht="15.9" customHeight="1" x14ac:dyDescent="0.3">
      <c r="B184" s="1105"/>
    </row>
    <row r="185" spans="2:2" ht="15.9" customHeight="1" x14ac:dyDescent="0.3">
      <c r="B185" s="1105" t="s">
        <v>115</v>
      </c>
    </row>
    <row r="188" spans="2:2" ht="15.9" customHeight="1" x14ac:dyDescent="0.3">
      <c r="B188" s="1120" t="s">
        <v>116</v>
      </c>
    </row>
    <row r="189" spans="2:2" ht="15.9" customHeight="1" x14ac:dyDescent="0.3">
      <c r="B189" s="1106"/>
    </row>
    <row r="190" spans="2:2" ht="15.9" customHeight="1" x14ac:dyDescent="0.3">
      <c r="B190" s="1105" t="s">
        <v>117</v>
      </c>
    </row>
    <row r="191" spans="2:2" ht="15.9" customHeight="1" x14ac:dyDescent="0.3">
      <c r="B191" s="1105" t="s">
        <v>118</v>
      </c>
    </row>
    <row r="192" spans="2:2" ht="15.9" customHeight="1" x14ac:dyDescent="0.3">
      <c r="B192" s="1105"/>
    </row>
    <row r="193" spans="2:2" ht="15.9" customHeight="1" x14ac:dyDescent="0.3">
      <c r="B193" s="1105" t="s">
        <v>119</v>
      </c>
    </row>
    <row r="194" spans="2:2" ht="15.9" customHeight="1" x14ac:dyDescent="0.3">
      <c r="B194" s="1105" t="s">
        <v>118</v>
      </c>
    </row>
    <row r="197" spans="2:2" ht="15.9" customHeight="1" x14ac:dyDescent="0.3">
      <c r="B197" s="1120" t="s">
        <v>42</v>
      </c>
    </row>
    <row r="198" spans="2:2" ht="15.9" customHeight="1" x14ac:dyDescent="0.3">
      <c r="B198" s="1106"/>
    </row>
    <row r="199" spans="2:2" ht="15.9" customHeight="1" x14ac:dyDescent="0.3">
      <c r="B199" s="1105" t="s">
        <v>120</v>
      </c>
    </row>
    <row r="200" spans="2:2" ht="15.9" customHeight="1" x14ac:dyDescent="0.3">
      <c r="B200" s="1105"/>
    </row>
    <row r="201" spans="2:2" ht="15.9" customHeight="1" x14ac:dyDescent="0.3">
      <c r="B201" s="1105" t="s">
        <v>121</v>
      </c>
    </row>
    <row r="202" spans="2:2" ht="15.9" customHeight="1" x14ac:dyDescent="0.3">
      <c r="B202" s="1105"/>
    </row>
    <row r="203" spans="2:2" ht="15.9" customHeight="1" x14ac:dyDescent="0.3">
      <c r="B203" s="1105" t="s">
        <v>122</v>
      </c>
    </row>
    <row r="206" spans="2:2" ht="15.9" customHeight="1" x14ac:dyDescent="0.3">
      <c r="B206" s="21" t="s">
        <v>123</v>
      </c>
    </row>
    <row r="208" spans="2:2" ht="15.9" customHeight="1" x14ac:dyDescent="0.3">
      <c r="B208" s="1120" t="s">
        <v>28</v>
      </c>
    </row>
    <row r="210" spans="2:2" ht="15.9" customHeight="1" x14ac:dyDescent="0.3">
      <c r="B210" s="1105" t="s">
        <v>124</v>
      </c>
    </row>
    <row r="211" spans="2:2" ht="15.9" customHeight="1" x14ac:dyDescent="0.3">
      <c r="B211" s="1105" t="s">
        <v>125</v>
      </c>
    </row>
    <row r="212" spans="2:2" ht="15.9" customHeight="1" x14ac:dyDescent="0.3">
      <c r="B212" s="1105"/>
    </row>
    <row r="213" spans="2:2" ht="15.9" customHeight="1" x14ac:dyDescent="0.3">
      <c r="B213" s="1105" t="s">
        <v>126</v>
      </c>
    </row>
    <row r="214" spans="2:2" ht="15.9" customHeight="1" x14ac:dyDescent="0.3">
      <c r="B214" s="1105"/>
    </row>
    <row r="215" spans="2:2" ht="15.9" customHeight="1" x14ac:dyDescent="0.3">
      <c r="B215" s="1105" t="s">
        <v>127</v>
      </c>
    </row>
    <row r="216" spans="2:2" ht="15.9" customHeight="1" x14ac:dyDescent="0.3">
      <c r="B216" s="1105"/>
    </row>
    <row r="217" spans="2:2" ht="15.9" customHeight="1" x14ac:dyDescent="0.3">
      <c r="B217" s="1105" t="s">
        <v>128</v>
      </c>
    </row>
    <row r="218" spans="2:2" ht="15.9" customHeight="1" x14ac:dyDescent="0.3">
      <c r="B218" s="1105"/>
    </row>
    <row r="219" spans="2:2" ht="15.9" customHeight="1" x14ac:dyDescent="0.3">
      <c r="B219" s="1105" t="s">
        <v>129</v>
      </c>
    </row>
    <row r="222" spans="2:2" ht="15.9" customHeight="1" x14ac:dyDescent="0.3">
      <c r="B222" s="1120" t="s">
        <v>99</v>
      </c>
    </row>
    <row r="223" spans="2:2" ht="15.9" customHeight="1" x14ac:dyDescent="0.3">
      <c r="B223" s="1106"/>
    </row>
    <row r="224" spans="2:2" ht="15.9" customHeight="1" x14ac:dyDescent="0.3">
      <c r="B224" s="1109" t="s">
        <v>130</v>
      </c>
    </row>
    <row r="225" spans="2:2" ht="15.9" customHeight="1" x14ac:dyDescent="0.3">
      <c r="B225" s="1109"/>
    </row>
    <row r="226" spans="2:2" ht="15.9" customHeight="1" x14ac:dyDescent="0.3">
      <c r="B226" s="1109" t="s">
        <v>131</v>
      </c>
    </row>
    <row r="227" spans="2:2" ht="15.9" customHeight="1" x14ac:dyDescent="0.3">
      <c r="B227" s="1109"/>
    </row>
    <row r="228" spans="2:2" ht="15.9" customHeight="1" x14ac:dyDescent="0.3">
      <c r="B228" s="1109" t="s">
        <v>132</v>
      </c>
    </row>
    <row r="229" spans="2:2" ht="15.9" customHeight="1" x14ac:dyDescent="0.3">
      <c r="B229" s="1109"/>
    </row>
    <row r="230" spans="2:2" ht="15.9" customHeight="1" x14ac:dyDescent="0.3">
      <c r="B230" s="1109" t="s">
        <v>133</v>
      </c>
    </row>
    <row r="231" spans="2:2" ht="15.9" customHeight="1" x14ac:dyDescent="0.3">
      <c r="B231" s="1109"/>
    </row>
    <row r="232" spans="2:2" ht="15.9" customHeight="1" x14ac:dyDescent="0.3">
      <c r="B232" s="1109" t="s">
        <v>134</v>
      </c>
    </row>
    <row r="233" spans="2:2" ht="15.9" customHeight="1" x14ac:dyDescent="0.3">
      <c r="B233" s="71"/>
    </row>
    <row r="234" spans="2:2" ht="15.9" customHeight="1" x14ac:dyDescent="0.3">
      <c r="B234" s="71"/>
    </row>
    <row r="235" spans="2:2" ht="15.9" customHeight="1" x14ac:dyDescent="0.3">
      <c r="B235" s="1120" t="s">
        <v>116</v>
      </c>
    </row>
    <row r="236" spans="2:2" ht="15.9" customHeight="1" x14ac:dyDescent="0.3">
      <c r="B236" s="1106"/>
    </row>
    <row r="237" spans="2:2" ht="15.9" customHeight="1" x14ac:dyDescent="0.3">
      <c r="B237" s="1109" t="s">
        <v>135</v>
      </c>
    </row>
    <row r="238" spans="2:2" ht="15.9" customHeight="1" x14ac:dyDescent="0.3">
      <c r="B238" s="1105" t="s">
        <v>136</v>
      </c>
    </row>
    <row r="241" spans="2:3" ht="15.9" customHeight="1" x14ac:dyDescent="0.3">
      <c r="B241" s="1120" t="s">
        <v>42</v>
      </c>
    </row>
    <row r="242" spans="2:3" ht="15.9" customHeight="1" x14ac:dyDescent="0.3">
      <c r="B242" s="1120"/>
    </row>
    <row r="243" spans="2:3" ht="15.9" customHeight="1" x14ac:dyDescent="0.3">
      <c r="B243" s="1109" t="s">
        <v>137</v>
      </c>
    </row>
    <row r="246" spans="2:3" ht="15.9" customHeight="1" x14ac:dyDescent="0.3">
      <c r="B246" s="21" t="s">
        <v>138</v>
      </c>
    </row>
    <row r="248" spans="2:3" ht="15.9" customHeight="1" x14ac:dyDescent="0.3">
      <c r="B248" s="1120" t="s">
        <v>28</v>
      </c>
    </row>
    <row r="250" spans="2:3" ht="15.9" customHeight="1" x14ac:dyDescent="0.3">
      <c r="B250" s="1105" t="s">
        <v>139</v>
      </c>
    </row>
    <row r="251" spans="2:3" ht="15.9" customHeight="1" x14ac:dyDescent="0.3">
      <c r="B251" s="1105"/>
      <c r="C251" s="2" t="s">
        <v>140</v>
      </c>
    </row>
    <row r="252" spans="2:3" ht="15.9" customHeight="1" x14ac:dyDescent="0.3">
      <c r="B252" s="1105"/>
      <c r="C252" s="2" t="s">
        <v>141</v>
      </c>
    </row>
    <row r="253" spans="2:3" ht="15.9" customHeight="1" x14ac:dyDescent="0.3">
      <c r="B253" s="1105"/>
    </row>
    <row r="254" spans="2:3" ht="15.9" customHeight="1" x14ac:dyDescent="0.3">
      <c r="B254" s="1105" t="s">
        <v>142</v>
      </c>
    </row>
    <row r="255" spans="2:3" ht="15.9" customHeight="1" x14ac:dyDescent="0.3">
      <c r="B255" s="1105"/>
    </row>
    <row r="256" spans="2:3" ht="15.9" customHeight="1" x14ac:dyDescent="0.3">
      <c r="B256" s="1105" t="s">
        <v>143</v>
      </c>
    </row>
    <row r="257" spans="2:2" ht="15.9" customHeight="1" x14ac:dyDescent="0.3">
      <c r="B257" s="1105"/>
    </row>
    <row r="258" spans="2:2" ht="15.9" customHeight="1" x14ac:dyDescent="0.3">
      <c r="B258" s="1105" t="s">
        <v>144</v>
      </c>
    </row>
    <row r="259" spans="2:2" ht="15.9" customHeight="1" x14ac:dyDescent="0.3">
      <c r="B259" s="1105"/>
    </row>
    <row r="260" spans="2:2" ht="15.9" customHeight="1" x14ac:dyDescent="0.3">
      <c r="B260" s="1105" t="s">
        <v>145</v>
      </c>
    </row>
    <row r="261" spans="2:2" ht="15.9" customHeight="1" x14ac:dyDescent="0.3">
      <c r="B261" s="1105" t="s">
        <v>146</v>
      </c>
    </row>
    <row r="262" spans="2:2" ht="15.9" customHeight="1" x14ac:dyDescent="0.3">
      <c r="B262" s="1105"/>
    </row>
    <row r="263" spans="2:2" ht="15.9" customHeight="1" x14ac:dyDescent="0.3">
      <c r="B263" s="1105" t="s">
        <v>147</v>
      </c>
    </row>
    <row r="264" spans="2:2" ht="15.9" customHeight="1" x14ac:dyDescent="0.3">
      <c r="B264" s="1105"/>
    </row>
    <row r="265" spans="2:2" ht="15.9" customHeight="1" x14ac:dyDescent="0.3">
      <c r="B265" s="1105" t="s">
        <v>148</v>
      </c>
    </row>
    <row r="266" spans="2:2" ht="15.9" customHeight="1" x14ac:dyDescent="0.3">
      <c r="B266" s="1105"/>
    </row>
    <row r="267" spans="2:2" ht="15.9" customHeight="1" x14ac:dyDescent="0.3">
      <c r="B267" s="1105" t="s">
        <v>149</v>
      </c>
    </row>
    <row r="268" spans="2:2" ht="15.9" customHeight="1" x14ac:dyDescent="0.3">
      <c r="B268" s="864"/>
    </row>
    <row r="269" spans="2:2" ht="15.9" customHeight="1" x14ac:dyDescent="0.3">
      <c r="B269" s="864"/>
    </row>
    <row r="270" spans="2:2" ht="15.9" customHeight="1" x14ac:dyDescent="0.3">
      <c r="B270" s="1120" t="s">
        <v>116</v>
      </c>
    </row>
    <row r="271" spans="2:2" ht="15.9" customHeight="1" x14ac:dyDescent="0.3">
      <c r="B271" s="1120"/>
    </row>
    <row r="272" spans="2:2" ht="15.9" customHeight="1" x14ac:dyDescent="0.3">
      <c r="B272" s="2" t="s">
        <v>150</v>
      </c>
    </row>
    <row r="275" spans="2:3" ht="15.9" customHeight="1" x14ac:dyDescent="0.3">
      <c r="B275" s="1120" t="s">
        <v>42</v>
      </c>
    </row>
    <row r="277" spans="2:3" ht="15.9" customHeight="1" x14ac:dyDescent="0.3">
      <c r="B277" s="1105" t="s">
        <v>151</v>
      </c>
    </row>
    <row r="278" spans="2:3" ht="15.9" customHeight="1" x14ac:dyDescent="0.3">
      <c r="B278" s="1105" t="s">
        <v>152</v>
      </c>
    </row>
    <row r="279" spans="2:3" ht="15.9" customHeight="1" x14ac:dyDescent="0.3">
      <c r="B279" s="1105" t="s">
        <v>153</v>
      </c>
    </row>
    <row r="280" spans="2:3" ht="15.9" customHeight="1" x14ac:dyDescent="0.3">
      <c r="B280" s="1105" t="s">
        <v>154</v>
      </c>
    </row>
    <row r="283" spans="2:3" ht="15.9" customHeight="1" x14ac:dyDescent="0.3">
      <c r="B283" s="21" t="s">
        <v>155</v>
      </c>
    </row>
    <row r="285" spans="2:3" ht="15.9" customHeight="1" x14ac:dyDescent="0.3">
      <c r="B285" s="1120" t="s">
        <v>28</v>
      </c>
    </row>
    <row r="286" spans="2:3" ht="15.9" customHeight="1" x14ac:dyDescent="0.3">
      <c r="B286" s="1106"/>
    </row>
    <row r="287" spans="2:3" ht="15.9" customHeight="1" x14ac:dyDescent="0.3">
      <c r="B287" s="1105" t="s">
        <v>156</v>
      </c>
    </row>
    <row r="288" spans="2:3" ht="15.9" customHeight="1" x14ac:dyDescent="0.3">
      <c r="B288" s="1105"/>
      <c r="C288" s="2" t="s">
        <v>157</v>
      </c>
    </row>
    <row r="289" spans="2:3" ht="15.9" customHeight="1" x14ac:dyDescent="0.3">
      <c r="B289" s="1105"/>
      <c r="C289" s="2" t="s">
        <v>158</v>
      </c>
    </row>
    <row r="290" spans="2:3" ht="15.9" customHeight="1" x14ac:dyDescent="0.3">
      <c r="B290" s="1105"/>
      <c r="C290" s="2" t="s">
        <v>159</v>
      </c>
    </row>
    <row r="291" spans="2:3" ht="15.9" customHeight="1" x14ac:dyDescent="0.3">
      <c r="B291" s="1105"/>
      <c r="C291" s="2" t="s">
        <v>160</v>
      </c>
    </row>
    <row r="292" spans="2:3" ht="15.9" customHeight="1" x14ac:dyDescent="0.3">
      <c r="B292" s="1105"/>
    </row>
    <row r="293" spans="2:3" ht="15.9" customHeight="1" x14ac:dyDescent="0.3">
      <c r="B293" s="1105" t="s">
        <v>161</v>
      </c>
    </row>
    <row r="294" spans="2:3" ht="15.9" customHeight="1" x14ac:dyDescent="0.3">
      <c r="B294" s="1105"/>
      <c r="C294" s="2" t="s">
        <v>162</v>
      </c>
    </row>
    <row r="295" spans="2:3" ht="15.9" customHeight="1" x14ac:dyDescent="0.3">
      <c r="B295" s="1105"/>
      <c r="C295" s="2" t="s">
        <v>163</v>
      </c>
    </row>
    <row r="296" spans="2:3" ht="15.9" customHeight="1" x14ac:dyDescent="0.3">
      <c r="B296" s="1105"/>
    </row>
    <row r="297" spans="2:3" ht="15.9" customHeight="1" x14ac:dyDescent="0.3">
      <c r="B297" s="1105" t="s">
        <v>164</v>
      </c>
    </row>
    <row r="298" spans="2:3" ht="15.9" customHeight="1" x14ac:dyDescent="0.3">
      <c r="B298" s="1105"/>
      <c r="C298" s="2" t="s">
        <v>165</v>
      </c>
    </row>
    <row r="299" spans="2:3" ht="15.9" customHeight="1" x14ac:dyDescent="0.3">
      <c r="B299" s="1105"/>
      <c r="C299" s="2" t="s">
        <v>166</v>
      </c>
    </row>
    <row r="300" spans="2:3" ht="15.9" customHeight="1" x14ac:dyDescent="0.3">
      <c r="B300" s="1105"/>
      <c r="C300" s="2" t="s">
        <v>167</v>
      </c>
    </row>
    <row r="301" spans="2:3" ht="15.9" customHeight="1" x14ac:dyDescent="0.3">
      <c r="B301" s="1105"/>
    </row>
    <row r="302" spans="2:3" ht="15.9" customHeight="1" x14ac:dyDescent="0.3">
      <c r="B302" s="1105" t="s">
        <v>168</v>
      </c>
    </row>
    <row r="303" spans="2:3" ht="15.9" customHeight="1" x14ac:dyDescent="0.3">
      <c r="B303" s="1105"/>
    </row>
    <row r="304" spans="2:3" ht="15.9" customHeight="1" x14ac:dyDescent="0.3">
      <c r="B304" s="1105" t="s">
        <v>169</v>
      </c>
    </row>
    <row r="305" spans="2:2" ht="15.9" customHeight="1" x14ac:dyDescent="0.3">
      <c r="B305" s="1105"/>
    </row>
    <row r="306" spans="2:2" ht="15.9" customHeight="1" x14ac:dyDescent="0.3">
      <c r="B306" s="1105" t="s">
        <v>170</v>
      </c>
    </row>
    <row r="307" spans="2:2" ht="15.9" customHeight="1" x14ac:dyDescent="0.3">
      <c r="B307" s="1105"/>
    </row>
    <row r="308" spans="2:2" ht="15.9" customHeight="1" x14ac:dyDescent="0.3">
      <c r="B308" s="1105" t="s">
        <v>171</v>
      </c>
    </row>
    <row r="310" spans="2:2" ht="15.9" customHeight="1" x14ac:dyDescent="0.3">
      <c r="B310" s="1120" t="s">
        <v>116</v>
      </c>
    </row>
    <row r="312" spans="2:2" ht="15.9" customHeight="1" x14ac:dyDescent="0.3">
      <c r="B312" s="1105" t="s">
        <v>172</v>
      </c>
    </row>
    <row r="313" spans="2:2" ht="15.9" customHeight="1" x14ac:dyDescent="0.3">
      <c r="B313" s="1105" t="s">
        <v>173</v>
      </c>
    </row>
    <row r="315" spans="2:2" ht="15.9" customHeight="1" x14ac:dyDescent="0.3">
      <c r="B315" s="1120" t="s">
        <v>42</v>
      </c>
    </row>
    <row r="316" spans="2:2" ht="15.9" customHeight="1" x14ac:dyDescent="0.3">
      <c r="B316" s="1106"/>
    </row>
    <row r="317" spans="2:2" ht="15.9" customHeight="1" x14ac:dyDescent="0.3">
      <c r="B317" s="1105" t="s">
        <v>174</v>
      </c>
    </row>
    <row r="318" spans="2:2" ht="15.9" customHeight="1" x14ac:dyDescent="0.3">
      <c r="B318" s="1105"/>
    </row>
    <row r="319" spans="2:2" ht="15.9" customHeight="1" x14ac:dyDescent="0.3">
      <c r="B319" s="1105" t="s">
        <v>175</v>
      </c>
    </row>
    <row r="320" spans="2:2" ht="15.9" customHeight="1" x14ac:dyDescent="0.3">
      <c r="B320" s="1105"/>
    </row>
    <row r="321" spans="2:3" ht="15.9" customHeight="1" x14ac:dyDescent="0.3">
      <c r="B321" s="1105" t="s">
        <v>176</v>
      </c>
    </row>
    <row r="322" spans="2:3" ht="15.9" customHeight="1" x14ac:dyDescent="0.3">
      <c r="B322" s="1105" t="s">
        <v>177</v>
      </c>
    </row>
    <row r="323" spans="2:3" ht="15.9" customHeight="1" x14ac:dyDescent="0.3">
      <c r="B323" s="1105"/>
    </row>
    <row r="324" spans="2:3" ht="15.9" customHeight="1" x14ac:dyDescent="0.3">
      <c r="B324" s="1105" t="s">
        <v>178</v>
      </c>
    </row>
    <row r="325" spans="2:3" ht="15.9" customHeight="1" x14ac:dyDescent="0.3">
      <c r="C325" s="2" t="s">
        <v>179</v>
      </c>
    </row>
    <row r="326" spans="2:3" ht="15.9" customHeight="1" x14ac:dyDescent="0.3">
      <c r="C326" s="2" t="s">
        <v>180</v>
      </c>
    </row>
    <row r="329" spans="2:3" ht="15.9" customHeight="1" x14ac:dyDescent="0.3">
      <c r="B329" s="21" t="s">
        <v>181</v>
      </c>
    </row>
    <row r="330" spans="2:3" ht="15.9" customHeight="1" x14ac:dyDescent="0.3">
      <c r="B330" s="1123"/>
    </row>
    <row r="331" spans="2:3" ht="15.9" customHeight="1" x14ac:dyDescent="0.3">
      <c r="B331" s="1124" t="s">
        <v>28</v>
      </c>
    </row>
    <row r="332" spans="2:3" ht="15.9" customHeight="1" x14ac:dyDescent="0.3">
      <c r="B332" s="1125"/>
    </row>
    <row r="333" spans="2:3" ht="15.9" customHeight="1" x14ac:dyDescent="0.3">
      <c r="B333" s="1126" t="s">
        <v>182</v>
      </c>
    </row>
    <row r="334" spans="2:3" ht="15.9" customHeight="1" x14ac:dyDescent="0.3">
      <c r="B334" s="1126" t="s">
        <v>183</v>
      </c>
    </row>
    <row r="335" spans="2:3" ht="15.9" customHeight="1" x14ac:dyDescent="0.3">
      <c r="B335" s="1105"/>
    </row>
    <row r="336" spans="2:3" ht="15.9" customHeight="1" x14ac:dyDescent="0.3">
      <c r="B336" s="1105" t="s">
        <v>184</v>
      </c>
    </row>
    <row r="337" spans="2:3" ht="15.9" customHeight="1" x14ac:dyDescent="0.3">
      <c r="B337" s="1126"/>
      <c r="C337" s="2" t="s">
        <v>185</v>
      </c>
    </row>
    <row r="338" spans="2:3" ht="15.9" customHeight="1" x14ac:dyDescent="0.3">
      <c r="B338" s="1105"/>
      <c r="C338" s="2" t="s">
        <v>186</v>
      </c>
    </row>
    <row r="339" spans="2:3" ht="15.9" customHeight="1" x14ac:dyDescent="0.3">
      <c r="B339" s="1105"/>
    </row>
    <row r="340" spans="2:3" ht="15.9" customHeight="1" x14ac:dyDescent="0.3">
      <c r="B340" s="1105" t="s">
        <v>187</v>
      </c>
    </row>
    <row r="341" spans="2:3" ht="15.9" customHeight="1" x14ac:dyDescent="0.3">
      <c r="B341" s="1105"/>
      <c r="C341" s="2" t="s">
        <v>188</v>
      </c>
    </row>
    <row r="342" spans="2:3" ht="15.9" customHeight="1" x14ac:dyDescent="0.3">
      <c r="B342" s="1105"/>
      <c r="C342" s="2" t="s">
        <v>189</v>
      </c>
    </row>
    <row r="343" spans="2:3" ht="15.9" customHeight="1" x14ac:dyDescent="0.3">
      <c r="B343" s="1105"/>
    </row>
    <row r="344" spans="2:3" ht="15.9" customHeight="1" x14ac:dyDescent="0.3">
      <c r="B344" s="1105" t="s">
        <v>190</v>
      </c>
    </row>
    <row r="345" spans="2:3" ht="15.9" customHeight="1" x14ac:dyDescent="0.3">
      <c r="B345" s="1105"/>
      <c r="C345" s="2" t="s">
        <v>191</v>
      </c>
    </row>
    <row r="346" spans="2:3" ht="15.9" customHeight="1" x14ac:dyDescent="0.3">
      <c r="B346" s="1105"/>
      <c r="C346" s="2" t="s">
        <v>192</v>
      </c>
    </row>
    <row r="347" spans="2:3" ht="15.9" customHeight="1" x14ac:dyDescent="0.3">
      <c r="B347" s="1105"/>
      <c r="C347" s="2" t="s">
        <v>193</v>
      </c>
    </row>
    <row r="348" spans="2:3" ht="15.9" customHeight="1" x14ac:dyDescent="0.3">
      <c r="B348" s="1105"/>
    </row>
    <row r="349" spans="2:3" ht="15.9" customHeight="1" x14ac:dyDescent="0.3">
      <c r="B349" s="1105" t="s">
        <v>194</v>
      </c>
    </row>
    <row r="352" spans="2:3" ht="15.9" customHeight="1" x14ac:dyDescent="0.3">
      <c r="B352" s="1120" t="s">
        <v>116</v>
      </c>
    </row>
    <row r="354" spans="2:2" ht="15.9" customHeight="1" x14ac:dyDescent="0.3">
      <c r="B354" s="1105" t="s">
        <v>195</v>
      </c>
    </row>
    <row r="357" spans="2:2" ht="15.9" customHeight="1" x14ac:dyDescent="0.3">
      <c r="B357" s="1120" t="s">
        <v>42</v>
      </c>
    </row>
    <row r="359" spans="2:2" ht="15.9" customHeight="1" x14ac:dyDescent="0.3">
      <c r="B359" s="1105" t="s">
        <v>196</v>
      </c>
    </row>
    <row r="360" spans="2:2" ht="15.9" customHeight="1" x14ac:dyDescent="0.3">
      <c r="B360" s="1105"/>
    </row>
    <row r="361" spans="2:2" ht="15.9" customHeight="1" x14ac:dyDescent="0.3">
      <c r="B361" s="1105" t="s">
        <v>197</v>
      </c>
    </row>
    <row r="362" spans="2:2" ht="15.9" customHeight="1" x14ac:dyDescent="0.3">
      <c r="B362" s="1105"/>
    </row>
    <row r="363" spans="2:2" ht="15.9" customHeight="1" x14ac:dyDescent="0.3">
      <c r="B363" s="1105" t="s">
        <v>198</v>
      </c>
    </row>
    <row r="364" spans="2:2" ht="15.9" customHeight="1" x14ac:dyDescent="0.3">
      <c r="B364" s="1105"/>
    </row>
    <row r="365" spans="2:2" ht="15.9" customHeight="1" x14ac:dyDescent="0.3">
      <c r="B365" s="1105" t="s">
        <v>199</v>
      </c>
    </row>
    <row r="366" spans="2:2" ht="15.9" customHeight="1" x14ac:dyDescent="0.3">
      <c r="B366" s="1105"/>
    </row>
    <row r="367" spans="2:2" ht="15.9" customHeight="1" x14ac:dyDescent="0.3">
      <c r="B367" s="1105" t="s">
        <v>200</v>
      </c>
    </row>
    <row r="368" spans="2:2" ht="15.9" customHeight="1" x14ac:dyDescent="0.3">
      <c r="B368" s="1105"/>
    </row>
    <row r="369" spans="2:2" ht="15.9" customHeight="1" x14ac:dyDescent="0.3">
      <c r="B369" s="1105" t="s">
        <v>201</v>
      </c>
    </row>
    <row r="370" spans="2:2" ht="15.9" customHeight="1" x14ac:dyDescent="0.3">
      <c r="B370" s="1105"/>
    </row>
    <row r="371" spans="2:2" ht="15.9" customHeight="1" x14ac:dyDescent="0.3">
      <c r="B371" s="1105" t="s">
        <v>202</v>
      </c>
    </row>
    <row r="372" spans="2:2" ht="15.9" customHeight="1" x14ac:dyDescent="0.3">
      <c r="B372" s="1105" t="s">
        <v>203</v>
      </c>
    </row>
  </sheetData>
  <mergeCells count="1">
    <mergeCell ref="B2:C2"/>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59999389629810485"/>
  </sheetPr>
  <dimension ref="B1:P44"/>
  <sheetViews>
    <sheetView topLeftCell="N16" zoomScaleNormal="100" workbookViewId="0"/>
  </sheetViews>
  <sheetFormatPr baseColWidth="10" defaultColWidth="8.59765625" defaultRowHeight="15.9" customHeight="1" x14ac:dyDescent="0.3"/>
  <cols>
    <col min="1" max="1" width="8.59765625" style="2" customWidth="1"/>
    <col min="2" max="2" width="25.5" style="2" customWidth="1"/>
    <col min="3" max="3" width="35.59765625" style="292" bestFit="1" customWidth="1"/>
    <col min="4" max="4" width="23.59765625" style="292" bestFit="1" customWidth="1"/>
    <col min="5" max="5" width="24.59765625" style="292" bestFit="1" customWidth="1"/>
    <col min="6" max="6" width="29.3984375" style="292" bestFit="1" customWidth="1"/>
    <col min="7" max="7" width="25.59765625" style="292" bestFit="1" customWidth="1"/>
    <col min="8" max="8" width="18.5" style="292" customWidth="1"/>
    <col min="9" max="9" width="25.3984375" style="292" bestFit="1" customWidth="1"/>
    <col min="10" max="10" width="17.59765625" style="292" customWidth="1"/>
    <col min="11" max="11" width="57.3984375" style="292" bestFit="1" customWidth="1"/>
    <col min="12" max="12" width="48.3984375" style="292" customWidth="1"/>
    <col min="13" max="14" width="38" style="292" customWidth="1"/>
    <col min="15" max="15" width="8.59765625" style="2" customWidth="1"/>
    <col min="16" max="25" width="8.59765625" style="2"/>
    <col min="26" max="26" width="15" style="2" customWidth="1"/>
    <col min="27" max="16384" width="8.59765625" style="2"/>
  </cols>
  <sheetData>
    <row r="1" spans="2:16" s="35" customFormat="1" ht="15.9" customHeight="1" x14ac:dyDescent="0.3">
      <c r="B1" s="39"/>
      <c r="C1" s="148"/>
      <c r="D1" s="148"/>
      <c r="E1" s="148"/>
      <c r="F1" s="148"/>
      <c r="G1" s="39"/>
      <c r="H1" s="39"/>
      <c r="I1" s="39"/>
      <c r="J1" s="39"/>
      <c r="K1" s="39"/>
      <c r="L1" s="39"/>
      <c r="M1" s="39"/>
      <c r="N1" s="39"/>
    </row>
    <row r="2" spans="2:16" s="647" customFormat="1" ht="24.75" customHeight="1" x14ac:dyDescent="0.3">
      <c r="B2" s="646" t="s">
        <v>3639</v>
      </c>
    </row>
    <row r="3" spans="2:16" s="39" customFormat="1" ht="15.9" customHeight="1" x14ac:dyDescent="0.35">
      <c r="B3" s="415"/>
    </row>
    <row r="4" spans="2:16" s="39" customFormat="1" ht="15.9" customHeight="1" x14ac:dyDescent="0.3">
      <c r="B4" s="1182" t="s">
        <v>3640</v>
      </c>
      <c r="C4" s="1182"/>
      <c r="D4" s="1182"/>
      <c r="E4" s="1182"/>
      <c r="F4" s="444"/>
      <c r="G4" s="444"/>
    </row>
    <row r="5" spans="2:16" s="116" customFormat="1" ht="15.9" customHeight="1" x14ac:dyDescent="0.25">
      <c r="B5" s="1182"/>
      <c r="C5" s="1182"/>
      <c r="D5" s="1182"/>
      <c r="E5" s="1182"/>
      <c r="F5" s="444"/>
      <c r="G5" s="444"/>
    </row>
    <row r="6" spans="2:16" s="116" customFormat="1" ht="15.9" customHeight="1" x14ac:dyDescent="0.25">
      <c r="B6" s="1182"/>
      <c r="C6" s="1182"/>
      <c r="D6" s="1182"/>
      <c r="E6" s="1182"/>
      <c r="F6" s="444"/>
      <c r="G6" s="444"/>
    </row>
    <row r="7" spans="2:16" s="116" customFormat="1" ht="15.9" customHeight="1" x14ac:dyDescent="0.25">
      <c r="B7" s="1182"/>
      <c r="C7" s="1182"/>
      <c r="D7" s="1182"/>
      <c r="E7" s="1182"/>
      <c r="F7" s="444"/>
      <c r="G7" s="444"/>
    </row>
    <row r="8" spans="2:16" s="116" customFormat="1" ht="15.9" customHeight="1" x14ac:dyDescent="0.25">
      <c r="B8" s="1182"/>
      <c r="C8" s="1182"/>
      <c r="D8" s="1182"/>
      <c r="E8" s="1182"/>
      <c r="F8" s="444"/>
      <c r="G8" s="444"/>
    </row>
    <row r="9" spans="2:16" s="116" customFormat="1" ht="15.9" customHeight="1" x14ac:dyDescent="0.25">
      <c r="B9" s="1182"/>
      <c r="C9" s="1182"/>
      <c r="D9" s="1182"/>
      <c r="E9" s="1182"/>
      <c r="F9" s="444"/>
      <c r="G9" s="444"/>
    </row>
    <row r="11" spans="2:16" s="11" customFormat="1" ht="24.75" customHeight="1" x14ac:dyDescent="0.3">
      <c r="B11" s="414" t="s">
        <v>3499</v>
      </c>
      <c r="C11" s="503" t="s">
        <v>3641</v>
      </c>
      <c r="D11" s="503" t="s">
        <v>3642</v>
      </c>
      <c r="E11" s="503" t="s">
        <v>3643</v>
      </c>
      <c r="F11" s="503" t="s">
        <v>3644</v>
      </c>
      <c r="G11" s="503" t="s">
        <v>3645</v>
      </c>
      <c r="H11" s="503" t="s">
        <v>3646</v>
      </c>
      <c r="I11" s="503" t="s">
        <v>3647</v>
      </c>
      <c r="J11" s="503" t="s">
        <v>3648</v>
      </c>
      <c r="K11" s="503" t="s">
        <v>3649</v>
      </c>
      <c r="L11" s="503" t="s">
        <v>3650</v>
      </c>
      <c r="M11" s="503" t="s">
        <v>3651</v>
      </c>
      <c r="N11" s="503" t="s">
        <v>3652</v>
      </c>
      <c r="P11" s="644" t="s">
        <v>3653</v>
      </c>
    </row>
    <row r="12" spans="2:16" ht="15.9" customHeight="1" x14ac:dyDescent="0.3">
      <c r="B12" s="2" t="s">
        <v>716</v>
      </c>
      <c r="C12" s="292">
        <f>(VLOOKUP(B12,'Share, Heavy Weapons to Ukraine'!B:BU,COLUMN('Share, Heavy Weapons to Ukraine'!$AX$11)-1,FALSE)+VLOOKUP(B12,'Share, Heavy Weapons to Ukraine'!B:BU,COLUMN('Share, Heavy Weapons to Ukraine'!$BC$11)-1,FALSE)+VLOOKUP(B12,'Share, Heavy Weapons to Ukraine'!B:BU,COLUMN('Share, Heavy Weapons to Ukraine'!$BD$11)-1,FALSE)+VLOOKUP(B12,'Share, Heavy Weapons to Ukraine'!B:BU,COLUMN('Share, Heavy Weapons to Ukraine'!$BE$11)-1,FALSE))/4</f>
        <v>0.24118534973798134</v>
      </c>
      <c r="D12" s="292">
        <f>(VLOOKUP(B12,'Share, Heavy Weapons to Ukraine'!B:BU,COLUMN('Share, Heavy Weapons to Ukraine'!$AX$11)-1,FALSE)+VLOOKUP(B12,'Share, Heavy Weapons to Ukraine'!B:BU,COLUMN('Share, Heavy Weapons to Ukraine'!$BB$11)-1,FALSE)+VLOOKUP(B12,'Share, Heavy Weapons to Ukraine'!B:BU,COLUMN('Share, Heavy Weapons to Ukraine'!$BD$11)-1,FALSE)+VLOOKUP(B12,'Share, Heavy Weapons to Ukraine'!B:BU,COLUMN('Share, Heavy Weapons to Ukraine'!$BE$11)-1,FALSE))/4</f>
        <v>0.24204085388295915</v>
      </c>
      <c r="E12" s="292">
        <f>(VLOOKUP(B12,'Share, Heavy Weapons to Ukraine'!B:BU,COLUMN('Share, Heavy Weapons to Ukraine'!$BL$11)-1,FALSE)+VLOOKUP(B12,'Share, Heavy Weapons to Ukraine'!B:BU,COLUMN('Share, Heavy Weapons to Ukraine'!$BR$11)-1,FALSE)+VLOOKUP(B12,'Share, Heavy Weapons to Ukraine'!B:BU,COLUMN('Share, Heavy Weapons to Ukraine'!$BS$11)-1,FALSE))/3</f>
        <v>0.17490696438064859</v>
      </c>
      <c r="F12" s="292">
        <f t="shared" ref="F12:F44" si="0">G12-E12</f>
        <v>0.14354066985645933</v>
      </c>
      <c r="G12" s="292">
        <f>(VLOOKUP(B12,'Share, Heavy Weapons to Ukraine'!B:BU,COLUMN('Share, Heavy Weapons to Ukraine'!$AX$11)-1,FALSE)+VLOOKUP(B12,'Share, Heavy Weapons to Ukraine'!B:BU,COLUMN('Share, Heavy Weapons to Ukraine'!$BD$11)-1,FALSE)+VLOOKUP(B12,'Share, Heavy Weapons to Ukraine'!B:BU,COLUMN('Share, Heavy Weapons to Ukraine'!$BE$11)-1,FALSE))/3</f>
        <v>0.31844763423710792</v>
      </c>
      <c r="H12" s="292">
        <f>(VLOOKUP(B12,'Share, Heavy Weapons to Ukraine'!B:BU,COLUMN('Share, Heavy Weapons to Ukraine'!$AX$11)-1,FALSE))</f>
        <v>0.62200956937799046</v>
      </c>
      <c r="I12" s="292">
        <f>VLOOKUP(B12,'Share, Heavy Weapons to Ukraine'!B:BU,COLUMN('Share, Heavy Weapons to Ukraine'!$BD$11)-1,FALSE)</f>
        <v>0</v>
      </c>
      <c r="J12" s="292">
        <f>VLOOKUP(B12,'Share, Heavy Weapons to Ukraine'!B:BU,COLUMN('Share, Heavy Weapons to Ukraine'!$BE$11)-1,FALSE)</f>
        <v>0.33333333333333331</v>
      </c>
      <c r="K12" s="292">
        <f>VLOOKUP(B12,'Share, Heavy Weapons to Ukraine'!B:BU,COLUMN('Share, Heavy Weapons to Ukraine'!$BG$11)-1,FALSE)</f>
        <v>0</v>
      </c>
      <c r="L12" s="292">
        <f>VLOOKUP(B12,'Share, Heavy Weapons to Ukraine'!B:BU,COLUMN('Share, Heavy Weapons to Ukraine'!$BH$11)-1,FALSE)</f>
        <v>0</v>
      </c>
      <c r="M12" s="292">
        <f>VLOOKUP(B12,'Share, Heavy Weapons to Ukraine'!B:BU,COLUMN('Share, Heavy Weapons to Ukraine'!$BI$11)-1,FALSE)</f>
        <v>0</v>
      </c>
      <c r="N12" s="292">
        <f>VLOOKUP(B12,'Share, Heavy Weapons to Ukraine'!B:BU,COLUMN('Share, Heavy Weapons to Ukraine'!$BJ$11)-1,FALSE)</f>
        <v>0</v>
      </c>
    </row>
    <row r="13" spans="2:16" ht="15.9" customHeight="1" x14ac:dyDescent="0.3">
      <c r="B13" s="2" t="s">
        <v>2206</v>
      </c>
      <c r="C13" s="292">
        <f>(VLOOKUP(B13,'Share, Heavy Weapons to Ukraine'!B:BU,COLUMN('Share, Heavy Weapons to Ukraine'!$AX$11)-1,FALSE)+VLOOKUP(B13,'Share, Heavy Weapons to Ukraine'!B:BU,COLUMN('Share, Heavy Weapons to Ukraine'!$BC$11)-1,FALSE)+VLOOKUP(B13,'Share, Heavy Weapons to Ukraine'!B:BU,COLUMN('Share, Heavy Weapons to Ukraine'!$BD$11)-1,FALSE)+VLOOKUP(B13,'Share, Heavy Weapons to Ukraine'!B:BU,COLUMN('Share, Heavy Weapons to Ukraine'!$BE$11)-1,FALSE))/4</f>
        <v>0.19979156707814302</v>
      </c>
      <c r="D13" s="292">
        <f>(VLOOKUP(B13,'Share, Heavy Weapons to Ukraine'!B:BU,COLUMN('Share, Heavy Weapons to Ukraine'!$AX$11)-1,FALSE)+VLOOKUP(B13,'Share, Heavy Weapons to Ukraine'!B:BU,COLUMN('Share, Heavy Weapons to Ukraine'!$BB$11)-1,FALSE)+VLOOKUP(B13,'Share, Heavy Weapons to Ukraine'!B:BU,COLUMN('Share, Heavy Weapons to Ukraine'!$BD$11)-1,FALSE)+VLOOKUP(B13,'Share, Heavy Weapons to Ukraine'!B:BU,COLUMN('Share, Heavy Weapons to Ukraine'!$BE$11)-1,FALSE))/4</f>
        <v>0.19457547169811321</v>
      </c>
      <c r="E13" s="292">
        <f>(VLOOKUP(B13,'Share, Heavy Weapons to Ukraine'!B:BU,COLUMN('Share, Heavy Weapons to Ukraine'!$BL$11)-1,FALSE)+VLOOKUP(B13,'Share, Heavy Weapons to Ukraine'!B:BU,COLUMN('Share, Heavy Weapons to Ukraine'!$BR$11)-1,FALSE)+VLOOKUP(B13,'Share, Heavy Weapons to Ukraine'!B:BU,COLUMN('Share, Heavy Weapons to Ukraine'!$BS$11)-1,FALSE))/3</f>
        <v>0.2279874213836478</v>
      </c>
      <c r="F13" s="292">
        <f t="shared" si="0"/>
        <v>3.1446540880503138E-2</v>
      </c>
      <c r="G13" s="292">
        <f>(VLOOKUP(B13,'Share, Heavy Weapons to Ukraine'!B:BU,COLUMN('Share, Heavy Weapons to Ukraine'!$AX$11)-1,FALSE)+VLOOKUP(B13,'Share, Heavy Weapons to Ukraine'!B:BU,COLUMN('Share, Heavy Weapons to Ukraine'!$BD$11)-1,FALSE)+VLOOKUP(B13,'Share, Heavy Weapons to Ukraine'!B:BU,COLUMN('Share, Heavy Weapons to Ukraine'!$BE$11)-1,FALSE))/3</f>
        <v>0.25943396226415094</v>
      </c>
      <c r="H13" s="292">
        <f>(VLOOKUP(B13,'Share, Heavy Weapons to Ukraine'!B:BU,COLUMN('Share, Heavy Weapons to Ukraine'!$AX$11)-1,FALSE))</f>
        <v>0</v>
      </c>
      <c r="I13" s="292">
        <f>VLOOKUP(B13,'Share, Heavy Weapons to Ukraine'!B:BU,COLUMN('Share, Heavy Weapons to Ukraine'!$BD$11)-1,FALSE)</f>
        <v>0.52830188679245282</v>
      </c>
      <c r="J13" s="292">
        <f>VLOOKUP(B13,'Share, Heavy Weapons to Ukraine'!B:BU,COLUMN('Share, Heavy Weapons to Ukraine'!$BE$11)-1,FALSE)</f>
        <v>0.25</v>
      </c>
      <c r="K13" s="292">
        <f>VLOOKUP(B13,'Share, Heavy Weapons to Ukraine'!B:BU,COLUMN('Share, Heavy Weapons to Ukraine'!$BG$11)-1,FALSE)</f>
        <v>0</v>
      </c>
      <c r="L13" s="292">
        <f>VLOOKUP(B13,'Share, Heavy Weapons to Ukraine'!B:BU,COLUMN('Share, Heavy Weapons to Ukraine'!$BH$11)-1,FALSE)</f>
        <v>0</v>
      </c>
      <c r="M13" s="292">
        <f>VLOOKUP(B13,'Share, Heavy Weapons to Ukraine'!B:BU,COLUMN('Share, Heavy Weapons to Ukraine'!$BI$11)-1,FALSE)</f>
        <v>0</v>
      </c>
      <c r="N13" s="292">
        <f>VLOOKUP(B13,'Share, Heavy Weapons to Ukraine'!B:BU,COLUMN('Share, Heavy Weapons to Ukraine'!$BJ$11)-1,FALSE)</f>
        <v>0</v>
      </c>
    </row>
    <row r="14" spans="2:16" ht="15.9" customHeight="1" x14ac:dyDescent="0.3">
      <c r="B14" s="2" t="s">
        <v>2864</v>
      </c>
      <c r="C14" s="292">
        <f>(VLOOKUP(B14,'Share, Heavy Weapons to Ukraine'!B:BU,COLUMN('Share, Heavy Weapons to Ukraine'!$AX$11)-1,FALSE)+VLOOKUP(B14,'Share, Heavy Weapons to Ukraine'!B:BU,COLUMN('Share, Heavy Weapons to Ukraine'!$BC$11)-1,FALSE)+VLOOKUP(B14,'Share, Heavy Weapons to Ukraine'!B:BU,COLUMN('Share, Heavy Weapons to Ukraine'!$BD$11)-1,FALSE)+VLOOKUP(B14,'Share, Heavy Weapons to Ukraine'!B:BU,COLUMN('Share, Heavy Weapons to Ukraine'!$BE$11)-1,FALSE))/4</f>
        <v>0.20352312726236832</v>
      </c>
      <c r="D14" s="292">
        <f>(VLOOKUP(B14,'Share, Heavy Weapons to Ukraine'!B:BU,COLUMN('Share, Heavy Weapons to Ukraine'!$AX$11)-1,FALSE)+VLOOKUP(B14,'Share, Heavy Weapons to Ukraine'!B:BU,COLUMN('Share, Heavy Weapons to Ukraine'!$BB$11)-1,FALSE)+VLOOKUP(B14,'Share, Heavy Weapons to Ukraine'!B:BU,COLUMN('Share, Heavy Weapons to Ukraine'!$BD$11)-1,FALSE)+VLOOKUP(B14,'Share, Heavy Weapons to Ukraine'!B:BU,COLUMN('Share, Heavy Weapons to Ukraine'!$BE$11)-1,FALSE))/4</f>
        <v>0.19130316799556585</v>
      </c>
      <c r="E14" s="292">
        <f>(VLOOKUP(B14,'Share, Heavy Weapons to Ukraine'!B:BU,COLUMN('Share, Heavy Weapons to Ukraine'!$BL$11)-1,FALSE)+VLOOKUP(B14,'Share, Heavy Weapons to Ukraine'!B:BU,COLUMN('Share, Heavy Weapons to Ukraine'!$BR$11)-1,FALSE)+VLOOKUP(B14,'Share, Heavy Weapons to Ukraine'!B:BU,COLUMN('Share, Heavy Weapons to Ukraine'!$BS$11)-1,FALSE))/3</f>
        <v>0.1141983398864133</v>
      </c>
      <c r="F14" s="292">
        <f t="shared" si="0"/>
        <v>0.14087255077434113</v>
      </c>
      <c r="G14" s="292">
        <f>(VLOOKUP(B14,'Share, Heavy Weapons to Ukraine'!B:BU,COLUMN('Share, Heavy Weapons to Ukraine'!$AX$11)-1,FALSE)+VLOOKUP(B14,'Share, Heavy Weapons to Ukraine'!B:BU,COLUMN('Share, Heavy Weapons to Ukraine'!$BD$11)-1,FALSE)+VLOOKUP(B14,'Share, Heavy Weapons to Ukraine'!B:BU,COLUMN('Share, Heavy Weapons to Ukraine'!$BE$11)-1,FALSE))/3</f>
        <v>0.25507089066075445</v>
      </c>
      <c r="H14" s="292">
        <f>(VLOOKUP(B14,'Share, Heavy Weapons to Ukraine'!B:BU,COLUMN('Share, Heavy Weapons to Ukraine'!$AX$11)-1,FALSE))</f>
        <v>6.1674008810572688E-2</v>
      </c>
      <c r="I14" s="292">
        <f>VLOOKUP(B14,'Share, Heavy Weapons to Ukraine'!B:BU,COLUMN('Share, Heavy Weapons to Ukraine'!$BD$11)-1,FALSE)</f>
        <v>0.5321100917431193</v>
      </c>
      <c r="J14" s="292">
        <f>VLOOKUP(B14,'Share, Heavy Weapons to Ukraine'!B:BU,COLUMN('Share, Heavy Weapons to Ukraine'!$BE$11)-1,FALSE)</f>
        <v>0.17142857142857143</v>
      </c>
      <c r="K14" s="292">
        <f>VLOOKUP(B14,'Share, Heavy Weapons to Ukraine'!B:BU,COLUMN('Share, Heavy Weapons to Ukraine'!$BG$11)-1,FALSE)</f>
        <v>0</v>
      </c>
      <c r="L14" s="292">
        <f>VLOOKUP(B14,'Share, Heavy Weapons to Ukraine'!B:BU,COLUMN('Share, Heavy Weapons to Ukraine'!$BH$11)-1,FALSE)</f>
        <v>0</v>
      </c>
      <c r="M14" s="292">
        <f>VLOOKUP(B14,'Share, Heavy Weapons to Ukraine'!B:BU,COLUMN('Share, Heavy Weapons to Ukraine'!$BI$11)-1,FALSE)</f>
        <v>0</v>
      </c>
      <c r="N14" s="292">
        <f>VLOOKUP(B14,'Share, Heavy Weapons to Ukraine'!B:BU,COLUMN('Share, Heavy Weapons to Ukraine'!$BJ$11)-1,FALSE)</f>
        <v>8.1081081081081086E-2</v>
      </c>
    </row>
    <row r="15" spans="2:16" ht="15.9" customHeight="1" x14ac:dyDescent="0.3">
      <c r="B15" s="2" t="s">
        <v>2303</v>
      </c>
      <c r="C15" s="292">
        <f>(VLOOKUP(B15,'Share, Heavy Weapons to Ukraine'!B:BU,COLUMN('Share, Heavy Weapons to Ukraine'!$AX$11)-1,FALSE)+VLOOKUP(B15,'Share, Heavy Weapons to Ukraine'!B:BU,COLUMN('Share, Heavy Weapons to Ukraine'!$BC$11)-1,FALSE)+VLOOKUP(B15,'Share, Heavy Weapons to Ukraine'!B:BU,COLUMN('Share, Heavy Weapons to Ukraine'!$BD$11)-1,FALSE)+VLOOKUP(B15,'Share, Heavy Weapons to Ukraine'!B:BU,COLUMN('Share, Heavy Weapons to Ukraine'!$BE$11)-1,FALSE))/4</f>
        <v>0.14960129902385055</v>
      </c>
      <c r="D15" s="292">
        <f>(VLOOKUP(B15,'Share, Heavy Weapons to Ukraine'!B:BU,COLUMN('Share, Heavy Weapons to Ukraine'!$AX$11)-1,FALSE)+VLOOKUP(B15,'Share, Heavy Weapons to Ukraine'!B:BU,COLUMN('Share, Heavy Weapons to Ukraine'!$BB$11)-1,FALSE)+VLOOKUP(B15,'Share, Heavy Weapons to Ukraine'!B:BU,COLUMN('Share, Heavy Weapons to Ukraine'!$BD$11)-1,FALSE)+VLOOKUP(B15,'Share, Heavy Weapons to Ukraine'!B:BU,COLUMN('Share, Heavy Weapons to Ukraine'!$BE$11)-1,FALSE))/4</f>
        <v>0.15097303372495649</v>
      </c>
      <c r="E15" s="292">
        <f>(VLOOKUP(B15,'Share, Heavy Weapons to Ukraine'!B:BU,COLUMN('Share, Heavy Weapons to Ukraine'!$BL$11)-1,FALSE)+VLOOKUP(B15,'Share, Heavy Weapons to Ukraine'!B:BU,COLUMN('Share, Heavy Weapons to Ukraine'!$BR$11)-1,FALSE)+VLOOKUP(B15,'Share, Heavy Weapons to Ukraine'!B:BU,COLUMN('Share, Heavy Weapons to Ukraine'!$BS$11)-1,FALSE))/3</f>
        <v>0.19302094544250351</v>
      </c>
      <c r="F15" s="292">
        <f t="shared" si="0"/>
        <v>0</v>
      </c>
      <c r="G15" s="292">
        <f>(VLOOKUP(B15,'Share, Heavy Weapons to Ukraine'!B:BU,COLUMN('Share, Heavy Weapons to Ukraine'!$AX$11)-1,FALSE)+VLOOKUP(B15,'Share, Heavy Weapons to Ukraine'!B:BU,COLUMN('Share, Heavy Weapons to Ukraine'!$BD$11)-1,FALSE)+VLOOKUP(B15,'Share, Heavy Weapons to Ukraine'!B:BU,COLUMN('Share, Heavy Weapons to Ukraine'!$BE$11)-1,FALSE))/3</f>
        <v>0.19302094544250351</v>
      </c>
      <c r="H15" s="292">
        <f>(VLOOKUP(B15,'Share, Heavy Weapons to Ukraine'!B:BU,COLUMN('Share, Heavy Weapons to Ukraine'!$AX$11)-1,FALSE))</f>
        <v>0.29182879377431908</v>
      </c>
      <c r="I15" s="292">
        <f>VLOOKUP(B15,'Share, Heavy Weapons to Ukraine'!B:BU,COLUMN('Share, Heavy Weapons to Ukraine'!$BD$11)-1,FALSE)</f>
        <v>0.28723404255319152</v>
      </c>
      <c r="J15" s="292">
        <f>VLOOKUP(B15,'Share, Heavy Weapons to Ukraine'!B:BU,COLUMN('Share, Heavy Weapons to Ukraine'!$BE$11)-1,FALSE)</f>
        <v>0</v>
      </c>
      <c r="K15" s="292">
        <f>VLOOKUP(B15,'Share, Heavy Weapons to Ukraine'!B:BU,COLUMN('Share, Heavy Weapons to Ukraine'!$BG$11)-1,FALSE)</f>
        <v>0</v>
      </c>
      <c r="L15" s="292">
        <f>VLOOKUP(B15,'Share, Heavy Weapons to Ukraine'!B:BU,COLUMN('Share, Heavy Weapons to Ukraine'!$BH$11)-1,FALSE)</f>
        <v>0</v>
      </c>
      <c r="M15" s="292">
        <f>VLOOKUP(B15,'Share, Heavy Weapons to Ukraine'!B:BU,COLUMN('Share, Heavy Weapons to Ukraine'!$BI$11)-1,FALSE)</f>
        <v>0</v>
      </c>
      <c r="N15" s="292">
        <f>VLOOKUP(B15,'Share, Heavy Weapons to Ukraine'!B:BU,COLUMN('Share, Heavy Weapons to Ukraine'!$BJ$11)-1,FALSE)</f>
        <v>0</v>
      </c>
    </row>
    <row r="16" spans="2:16" ht="15.9" customHeight="1" x14ac:dyDescent="0.3">
      <c r="B16" s="2" t="s">
        <v>1288</v>
      </c>
      <c r="C16" s="292">
        <f>(VLOOKUP(B16,'Share, Heavy Weapons to Ukraine'!B:BU,COLUMN('Share, Heavy Weapons to Ukraine'!$AX$11)-1,FALSE)+VLOOKUP(B16,'Share, Heavy Weapons to Ukraine'!B:BU,COLUMN('Share, Heavy Weapons to Ukraine'!$BC$11)-1,FALSE)+VLOOKUP(B16,'Share, Heavy Weapons to Ukraine'!B:BU,COLUMN('Share, Heavy Weapons to Ukraine'!$BD$11)-1,FALSE)+VLOOKUP(B16,'Share, Heavy Weapons to Ukraine'!B:BU,COLUMN('Share, Heavy Weapons to Ukraine'!$BE$11)-1,FALSE))/4</f>
        <v>0.11618674572537091</v>
      </c>
      <c r="D16" s="292">
        <f>(VLOOKUP(B16,'Share, Heavy Weapons to Ukraine'!B:BU,COLUMN('Share, Heavy Weapons to Ukraine'!$AX$11)-1,FALSE)+VLOOKUP(B16,'Share, Heavy Weapons to Ukraine'!B:BU,COLUMN('Share, Heavy Weapons to Ukraine'!$BB$11)-1,FALSE)+VLOOKUP(B16,'Share, Heavy Weapons to Ukraine'!B:BU,COLUMN('Share, Heavy Weapons to Ukraine'!$BD$11)-1,FALSE)+VLOOKUP(B16,'Share, Heavy Weapons to Ukraine'!B:BU,COLUMN('Share, Heavy Weapons to Ukraine'!$BE$11)-1,FALSE))/4</f>
        <v>0.1095607112413854</v>
      </c>
      <c r="E16" s="292">
        <f>(VLOOKUP(B16,'Share, Heavy Weapons to Ukraine'!B:BU,COLUMN('Share, Heavy Weapons to Ukraine'!$BL$11)-1,FALSE)+VLOOKUP(B16,'Share, Heavy Weapons to Ukraine'!B:BU,COLUMN('Share, Heavy Weapons to Ukraine'!$BR$11)-1,FALSE)+VLOOKUP(B16,'Share, Heavy Weapons to Ukraine'!B:BU,COLUMN('Share, Heavy Weapons to Ukraine'!$BS$11)-1,FALSE))/3</f>
        <v>7.3057813911472438E-2</v>
      </c>
      <c r="F16" s="292">
        <f t="shared" si="0"/>
        <v>5.3240740740740741E-2</v>
      </c>
      <c r="G16" s="292">
        <f>(VLOOKUP(B16,'Share, Heavy Weapons to Ukraine'!B:BU,COLUMN('Share, Heavy Weapons to Ukraine'!$AX$11)-1,FALSE)+VLOOKUP(B16,'Share, Heavy Weapons to Ukraine'!B:BU,COLUMN('Share, Heavy Weapons to Ukraine'!$BD$11)-1,FALSE)+VLOOKUP(B16,'Share, Heavy Weapons to Ukraine'!B:BU,COLUMN('Share, Heavy Weapons to Ukraine'!$BE$11)-1,FALSE))/3</f>
        <v>0.12629855465221318</v>
      </c>
      <c r="H16" s="292">
        <f>(VLOOKUP(B16,'Share, Heavy Weapons to Ukraine'!B:BU,COLUMN('Share, Heavy Weapons to Ukraine'!$AX$11)-1,FALSE))</f>
        <v>0</v>
      </c>
      <c r="I16" s="292">
        <f>VLOOKUP(B16,'Share, Heavy Weapons to Ukraine'!B:BU,COLUMN('Share, Heavy Weapons to Ukraine'!$BD$11)-1,FALSE)</f>
        <v>0.25694444444444442</v>
      </c>
      <c r="J16" s="292">
        <f>VLOOKUP(B16,'Share, Heavy Weapons to Ukraine'!B:BU,COLUMN('Share, Heavy Weapons to Ukraine'!$BE$11)-1,FALSE)</f>
        <v>0.12195121951219512</v>
      </c>
      <c r="K16" s="292">
        <f>VLOOKUP(B16,'Share, Heavy Weapons to Ukraine'!B:BU,COLUMN('Share, Heavy Weapons to Ukraine'!$BG$11)-1,FALSE)</f>
        <v>3.3333333333333333E-2</v>
      </c>
      <c r="L16" s="292">
        <f>VLOOKUP(B16,'Share, Heavy Weapons to Ukraine'!B:BU,COLUMN('Share, Heavy Weapons to Ukraine'!$BH$11)-1,FALSE)</f>
        <v>0.5714285714285714</v>
      </c>
      <c r="M16" s="292">
        <f>VLOOKUP(B16,'Share, Heavy Weapons to Ukraine'!B:BU,COLUMN('Share, Heavy Weapons to Ukraine'!$BI$11)-1,FALSE)</f>
        <v>0</v>
      </c>
      <c r="N16" s="292">
        <f>VLOOKUP(B16,'Share, Heavy Weapons to Ukraine'!B:BU,COLUMN('Share, Heavy Weapons to Ukraine'!$BJ$11)-1,FALSE)</f>
        <v>0</v>
      </c>
    </row>
    <row r="17" spans="2:14" ht="15.9" customHeight="1" x14ac:dyDescent="0.3">
      <c r="B17" s="2" t="s">
        <v>2547</v>
      </c>
      <c r="C17" s="292">
        <f>(VLOOKUP(B17,'Share, Heavy Weapons to Ukraine'!B:BU,COLUMN('Share, Heavy Weapons to Ukraine'!$AX$11)-1,FALSE)+VLOOKUP(B17,'Share, Heavy Weapons to Ukraine'!B:BU,COLUMN('Share, Heavy Weapons to Ukraine'!$BC$11)-1,FALSE)+VLOOKUP(B17,'Share, Heavy Weapons to Ukraine'!B:BU,COLUMN('Share, Heavy Weapons to Ukraine'!$BD$11)-1,FALSE)+VLOOKUP(B17,'Share, Heavy Weapons to Ukraine'!B:BU,COLUMN('Share, Heavy Weapons to Ukraine'!$BE$11)-1,FALSE))/4</f>
        <v>0.13791678148250205</v>
      </c>
      <c r="D17" s="292">
        <f>(VLOOKUP(B17,'Share, Heavy Weapons to Ukraine'!B:BU,COLUMN('Share, Heavy Weapons to Ukraine'!$AX$11)-1,FALSE)+VLOOKUP(B17,'Share, Heavy Weapons to Ukraine'!B:BU,COLUMN('Share, Heavy Weapons to Ukraine'!$BB$11)-1,FALSE)+VLOOKUP(B17,'Share, Heavy Weapons to Ukraine'!B:BU,COLUMN('Share, Heavy Weapons to Ukraine'!$BD$11)-1,FALSE)+VLOOKUP(B17,'Share, Heavy Weapons to Ukraine'!B:BU,COLUMN('Share, Heavy Weapons to Ukraine'!$BE$11)-1,FALSE))/4</f>
        <v>0.26037449392712553</v>
      </c>
      <c r="E17" s="292">
        <f>(VLOOKUP(B17,'Share, Heavy Weapons to Ukraine'!B:BU,COLUMN('Share, Heavy Weapons to Ukraine'!$BL$11)-1,FALSE)+VLOOKUP(B17,'Share, Heavy Weapons to Ukraine'!B:BU,COLUMN('Share, Heavy Weapons to Ukraine'!$BR$11)-1,FALSE)+VLOOKUP(B17,'Share, Heavy Weapons to Ukraine'!B:BU,COLUMN('Share, Heavy Weapons to Ukraine'!$BS$11)-1,FALSE))/3</f>
        <v>0.12280701754385964</v>
      </c>
      <c r="F17" s="292">
        <f t="shared" si="0"/>
        <v>0</v>
      </c>
      <c r="G17" s="292">
        <f>(VLOOKUP(B17,'Share, Heavy Weapons to Ukraine'!B:BU,COLUMN('Share, Heavy Weapons to Ukraine'!$AX$11)-1,FALSE)+VLOOKUP(B17,'Share, Heavy Weapons to Ukraine'!B:BU,COLUMN('Share, Heavy Weapons to Ukraine'!$BD$11)-1,FALSE)+VLOOKUP(B17,'Share, Heavy Weapons to Ukraine'!B:BU,COLUMN('Share, Heavy Weapons to Ukraine'!$BE$11)-1,FALSE))/3</f>
        <v>0.12280701754385964</v>
      </c>
      <c r="H17" s="292">
        <f>(VLOOKUP(B17,'Share, Heavy Weapons to Ukraine'!B:BU,COLUMN('Share, Heavy Weapons to Ukraine'!$AX$11)-1,FALSE))</f>
        <v>0.36842105263157893</v>
      </c>
      <c r="I17" s="292">
        <f>VLOOKUP(B17,'Share, Heavy Weapons to Ukraine'!B:BU,COLUMN('Share, Heavy Weapons to Ukraine'!$BD$11)-1,FALSE)</f>
        <v>0</v>
      </c>
      <c r="J17" s="292">
        <f>VLOOKUP(B17,'Share, Heavy Weapons to Ukraine'!B:BU,COLUMN('Share, Heavy Weapons to Ukraine'!$BE$11)-1,FALSE)</f>
        <v>0</v>
      </c>
      <c r="K17" s="292">
        <f>VLOOKUP(B17,'Share, Heavy Weapons to Ukraine'!B:BU,COLUMN('Share, Heavy Weapons to Ukraine'!$BG$11)-1,FALSE)</f>
        <v>0</v>
      </c>
      <c r="L17" s="292">
        <f>VLOOKUP(B17,'Share, Heavy Weapons to Ukraine'!B:BU,COLUMN('Share, Heavy Weapons to Ukraine'!$BH$11)-1,FALSE)</f>
        <v>0</v>
      </c>
      <c r="M17" s="292">
        <f>VLOOKUP(B17,'Share, Heavy Weapons to Ukraine'!B:BU,COLUMN('Share, Heavy Weapons to Ukraine'!$BI$11)-1,FALSE)</f>
        <v>0</v>
      </c>
      <c r="N17" s="292">
        <f>VLOOKUP(B17,'Share, Heavy Weapons to Ukraine'!B:BU,COLUMN('Share, Heavy Weapons to Ukraine'!$BJ$11)-1,FALSE)</f>
        <v>0</v>
      </c>
    </row>
    <row r="18" spans="2:14" ht="15.9" customHeight="1" x14ac:dyDescent="0.3">
      <c r="B18" s="2" t="s">
        <v>1131</v>
      </c>
      <c r="C18" s="292">
        <f>(VLOOKUP(B18,'Share, Heavy Weapons to Ukraine'!B:BU,COLUMN('Share, Heavy Weapons to Ukraine'!$AX$11)-1,FALSE)+VLOOKUP(B18,'Share, Heavy Weapons to Ukraine'!B:BU,COLUMN('Share, Heavy Weapons to Ukraine'!$BC$11)-1,FALSE)+VLOOKUP(B18,'Share, Heavy Weapons to Ukraine'!B:BU,COLUMN('Share, Heavy Weapons to Ukraine'!$BD$11)-1,FALSE)+VLOOKUP(B18,'Share, Heavy Weapons to Ukraine'!B:BU,COLUMN('Share, Heavy Weapons to Ukraine'!$BE$11)-1,FALSE))/4</f>
        <v>9.2976890659009867E-2</v>
      </c>
      <c r="D18" s="292">
        <f>(VLOOKUP(B18,'Share, Heavy Weapons to Ukraine'!B:BU,COLUMN('Share, Heavy Weapons to Ukraine'!$AX$11)-1,FALSE)+VLOOKUP(B18,'Share, Heavy Weapons to Ukraine'!B:BU,COLUMN('Share, Heavy Weapons to Ukraine'!$BB$11)-1,FALSE)+VLOOKUP(B18,'Share, Heavy Weapons to Ukraine'!B:BU,COLUMN('Share, Heavy Weapons to Ukraine'!$BD$11)-1,FALSE)+VLOOKUP(B18,'Share, Heavy Weapons to Ukraine'!B:BU,COLUMN('Share, Heavy Weapons to Ukraine'!$BE$11)-1,FALSE))/4</f>
        <v>8.8461538461538466E-2</v>
      </c>
      <c r="E18" s="292">
        <f>(VLOOKUP(B18,'Share, Heavy Weapons to Ukraine'!B:BU,COLUMN('Share, Heavy Weapons to Ukraine'!$BL$11)-1,FALSE)+VLOOKUP(B18,'Share, Heavy Weapons to Ukraine'!B:BU,COLUMN('Share, Heavy Weapons to Ukraine'!$BR$11)-1,FALSE)+VLOOKUP(B18,'Share, Heavy Weapons to Ukraine'!B:BU,COLUMN('Share, Heavy Weapons to Ukraine'!$BS$11)-1,FALSE))/3</f>
        <v>0.1012820512820513</v>
      </c>
      <c r="F18" s="292">
        <f t="shared" si="0"/>
        <v>1.6666666666666663E-2</v>
      </c>
      <c r="G18" s="292">
        <f>(VLOOKUP(B18,'Share, Heavy Weapons to Ukraine'!B:BU,COLUMN('Share, Heavy Weapons to Ukraine'!$AX$11)-1,FALSE)+VLOOKUP(B18,'Share, Heavy Weapons to Ukraine'!B:BU,COLUMN('Share, Heavy Weapons to Ukraine'!$BD$11)-1,FALSE)+VLOOKUP(B18,'Share, Heavy Weapons to Ukraine'!B:BU,COLUMN('Share, Heavy Weapons to Ukraine'!$BE$11)-1,FALSE))/3</f>
        <v>0.11794871794871796</v>
      </c>
      <c r="H18" s="292">
        <f>(VLOOKUP(B18,'Share, Heavy Weapons to Ukraine'!B:BU,COLUMN('Share, Heavy Weapons to Ukraine'!$AX$11)-1,FALSE))</f>
        <v>0</v>
      </c>
      <c r="I18" s="292">
        <f>VLOOKUP(B18,'Share, Heavy Weapons to Ukraine'!B:BU,COLUMN('Share, Heavy Weapons to Ukraine'!$BD$11)-1,FALSE)</f>
        <v>0.2</v>
      </c>
      <c r="J18" s="292">
        <f>VLOOKUP(B18,'Share, Heavy Weapons to Ukraine'!B:BU,COLUMN('Share, Heavy Weapons to Ukraine'!$BE$11)-1,FALSE)</f>
        <v>0.15384615384615385</v>
      </c>
      <c r="K18" s="292">
        <f>VLOOKUP(B18,'Share, Heavy Weapons to Ukraine'!B:BU,COLUMN('Share, Heavy Weapons to Ukraine'!$BG$11)-1,FALSE)</f>
        <v>0</v>
      </c>
      <c r="L18" s="292">
        <f>VLOOKUP(B18,'Share, Heavy Weapons to Ukraine'!B:BU,COLUMN('Share, Heavy Weapons to Ukraine'!$BH$11)-1,FALSE)</f>
        <v>0</v>
      </c>
      <c r="M18" s="292">
        <f>VLOOKUP(B18,'Share, Heavy Weapons to Ukraine'!B:BU,COLUMN('Share, Heavy Weapons to Ukraine'!$BI$11)-1,FALSE)</f>
        <v>8.3333333333333329E-2</v>
      </c>
      <c r="N18" s="292">
        <f>VLOOKUP(B18,'Share, Heavy Weapons to Ukraine'!B:BU,COLUMN('Share, Heavy Weapons to Ukraine'!$BJ$11)-1,FALSE)</f>
        <v>0</v>
      </c>
    </row>
    <row r="19" spans="2:14" ht="15.9" customHeight="1" x14ac:dyDescent="0.3">
      <c r="B19" s="2" t="s">
        <v>1730</v>
      </c>
      <c r="C19" s="292">
        <f>(VLOOKUP(B19,'Share, Heavy Weapons to Ukraine'!B:BU,COLUMN('Share, Heavy Weapons to Ukraine'!$AX$11)-1,FALSE)+VLOOKUP(B19,'Share, Heavy Weapons to Ukraine'!B:BU,COLUMN('Share, Heavy Weapons to Ukraine'!$BC$11)-1,FALSE)+VLOOKUP(B19,'Share, Heavy Weapons to Ukraine'!B:BU,COLUMN('Share, Heavy Weapons to Ukraine'!$BD$11)-1,FALSE)+VLOOKUP(B19,'Share, Heavy Weapons to Ukraine'!B:BU,COLUMN('Share, Heavy Weapons to Ukraine'!$BE$11)-1,FALSE))/4</f>
        <v>5.8985848524925236E-2</v>
      </c>
      <c r="D19" s="292">
        <f>(VLOOKUP(B19,'Share, Heavy Weapons to Ukraine'!B:BU,COLUMN('Share, Heavy Weapons to Ukraine'!$AX$11)-1,FALSE)+VLOOKUP(B19,'Share, Heavy Weapons to Ukraine'!B:BU,COLUMN('Share, Heavy Weapons to Ukraine'!$BB$11)-1,FALSE)+VLOOKUP(B19,'Share, Heavy Weapons to Ukraine'!B:BU,COLUMN('Share, Heavy Weapons to Ukraine'!$BD$11)-1,FALSE)+VLOOKUP(B19,'Share, Heavy Weapons to Ukraine'!B:BU,COLUMN('Share, Heavy Weapons to Ukraine'!$BE$11)-1,FALSE))/4</f>
        <v>5.6947805046664364E-2</v>
      </c>
      <c r="E19" s="292">
        <f>(VLOOKUP(B19,'Share, Heavy Weapons to Ukraine'!B:BU,COLUMN('Share, Heavy Weapons to Ukraine'!$BL$11)-1,FALSE)+VLOOKUP(B19,'Share, Heavy Weapons to Ukraine'!B:BU,COLUMN('Share, Heavy Weapons to Ukraine'!$BR$11)-1,FALSE)+VLOOKUP(B19,'Share, Heavy Weapons to Ukraine'!B:BU,COLUMN('Share, Heavy Weapons to Ukraine'!$BS$11)-1,FALSE))/3</f>
        <v>0</v>
      </c>
      <c r="F19" s="292">
        <f t="shared" si="0"/>
        <v>7.5930406728885819E-2</v>
      </c>
      <c r="G19" s="292">
        <f>(VLOOKUP(B19,'Share, Heavy Weapons to Ukraine'!B:BU,COLUMN('Share, Heavy Weapons to Ukraine'!$AX$11)-1,FALSE)+VLOOKUP(B19,'Share, Heavy Weapons to Ukraine'!B:BU,COLUMN('Share, Heavy Weapons to Ukraine'!$BD$11)-1,FALSE)+VLOOKUP(B19,'Share, Heavy Weapons to Ukraine'!B:BU,COLUMN('Share, Heavy Weapons to Ukraine'!$BE$11)-1,FALSE))/3</f>
        <v>7.5930406728885819E-2</v>
      </c>
      <c r="H19" s="292">
        <f>(VLOOKUP(B19,'Share, Heavy Weapons to Ukraine'!B:BU,COLUMN('Share, Heavy Weapons to Ukraine'!$AX$11)-1,FALSE))</f>
        <v>0</v>
      </c>
      <c r="I19" s="292">
        <f>VLOOKUP(B19,'Share, Heavy Weapons to Ukraine'!B:BU,COLUMN('Share, Heavy Weapons to Ukraine'!$BD$11)-1,FALSE)</f>
        <v>0.13688212927756654</v>
      </c>
      <c r="J19" s="292">
        <f>VLOOKUP(B19,'Share, Heavy Weapons to Ukraine'!B:BU,COLUMN('Share, Heavy Weapons to Ukraine'!$BE$11)-1,FALSE)</f>
        <v>9.0909090909090912E-2</v>
      </c>
      <c r="K19" s="292">
        <f>VLOOKUP(B19,'Share, Heavy Weapons to Ukraine'!B:BU,COLUMN('Share, Heavy Weapons to Ukraine'!$BG$11)-1,FALSE)</f>
        <v>0.05</v>
      </c>
      <c r="L19" s="292">
        <f>VLOOKUP(B19,'Share, Heavy Weapons to Ukraine'!B:BU,COLUMN('Share, Heavy Weapons to Ukraine'!$BH$11)-1,FALSE)</f>
        <v>0</v>
      </c>
      <c r="M19" s="292">
        <f>VLOOKUP(B19,'Share, Heavy Weapons to Ukraine'!B:BU,COLUMN('Share, Heavy Weapons to Ukraine'!$BI$11)-1,FALSE)</f>
        <v>0</v>
      </c>
      <c r="N19" s="292">
        <f>VLOOKUP(B19,'Share, Heavy Weapons to Ukraine'!B:BU,COLUMN('Share, Heavy Weapons to Ukraine'!$BJ$11)-1,FALSE)</f>
        <v>0</v>
      </c>
    </row>
    <row r="20" spans="2:14" ht="15.9" customHeight="1" x14ac:dyDescent="0.3">
      <c r="B20" s="2" t="s">
        <v>856</v>
      </c>
      <c r="C20" s="292">
        <f>(VLOOKUP(B20,'Share, Heavy Weapons to Ukraine'!B:BU,COLUMN('Share, Heavy Weapons to Ukraine'!$AX$11)-1,FALSE)+VLOOKUP(B20,'Share, Heavy Weapons to Ukraine'!B:BU,COLUMN('Share, Heavy Weapons to Ukraine'!$BC$11)-1,FALSE)+VLOOKUP(B20,'Share, Heavy Weapons to Ukraine'!B:BU,COLUMN('Share, Heavy Weapons to Ukraine'!$BD$11)-1,FALSE)+VLOOKUP(B20,'Share, Heavy Weapons to Ukraine'!B:BU,COLUMN('Share, Heavy Weapons to Ukraine'!$BE$11)-1,FALSE))/4</f>
        <v>7.653927813163483E-2</v>
      </c>
      <c r="D20" s="292">
        <f>(VLOOKUP(B20,'Share, Heavy Weapons to Ukraine'!B:BU,COLUMN('Share, Heavy Weapons to Ukraine'!$AX$11)-1,FALSE)+VLOOKUP(B20,'Share, Heavy Weapons to Ukraine'!B:BU,COLUMN('Share, Heavy Weapons to Ukraine'!$BB$11)-1,FALSE)+VLOOKUP(B20,'Share, Heavy Weapons to Ukraine'!B:BU,COLUMN('Share, Heavy Weapons to Ukraine'!$BD$11)-1,FALSE)+VLOOKUP(B20,'Share, Heavy Weapons to Ukraine'!B:BU,COLUMN('Share, Heavy Weapons to Ukraine'!$BE$11)-1,FALSE))/4</f>
        <v>0.05</v>
      </c>
      <c r="E20" s="292">
        <f>(VLOOKUP(B20,'Share, Heavy Weapons to Ukraine'!B:BU,COLUMN('Share, Heavy Weapons to Ukraine'!$BL$11)-1,FALSE)+VLOOKUP(B20,'Share, Heavy Weapons to Ukraine'!B:BU,COLUMN('Share, Heavy Weapons to Ukraine'!$BR$11)-1,FALSE)+VLOOKUP(B20,'Share, Heavy Weapons to Ukraine'!B:BU,COLUMN('Share, Heavy Weapons to Ukraine'!$BS$11)-1,FALSE))/3</f>
        <v>0</v>
      </c>
      <c r="F20" s="292">
        <f t="shared" si="0"/>
        <v>6.6666666666666666E-2</v>
      </c>
      <c r="G20" s="292">
        <f>(VLOOKUP(B20,'Share, Heavy Weapons to Ukraine'!B:BU,COLUMN('Share, Heavy Weapons to Ukraine'!$AX$11)-1,FALSE)+VLOOKUP(B20,'Share, Heavy Weapons to Ukraine'!B:BU,COLUMN('Share, Heavy Weapons to Ukraine'!$BD$11)-1,FALSE)+VLOOKUP(B20,'Share, Heavy Weapons to Ukraine'!B:BU,COLUMN('Share, Heavy Weapons to Ukraine'!$BE$11)-1,FALSE))/3</f>
        <v>6.6666666666666666E-2</v>
      </c>
      <c r="H20" s="292">
        <f>(VLOOKUP(B20,'Share, Heavy Weapons to Ukraine'!B:BU,COLUMN('Share, Heavy Weapons to Ukraine'!$AX$11)-1,FALSE))</f>
        <v>0</v>
      </c>
      <c r="I20" s="292">
        <f>VLOOKUP(B20,'Share, Heavy Weapons to Ukraine'!B:BU,COLUMN('Share, Heavy Weapons to Ukraine'!$BD$11)-1,FALSE)</f>
        <v>0.2</v>
      </c>
      <c r="J20" s="292">
        <f>VLOOKUP(B20,'Share, Heavy Weapons to Ukraine'!B:BU,COLUMN('Share, Heavy Weapons to Ukraine'!$BE$11)-1,FALSE)</f>
        <v>0</v>
      </c>
      <c r="K20" s="292">
        <f>VLOOKUP(B20,'Share, Heavy Weapons to Ukraine'!B:BU,COLUMN('Share, Heavy Weapons to Ukraine'!$BG$11)-1,FALSE)</f>
        <v>0</v>
      </c>
      <c r="L20" s="292">
        <f>VLOOKUP(B20,'Share, Heavy Weapons to Ukraine'!B:BU,COLUMN('Share, Heavy Weapons to Ukraine'!$BH$11)-1,FALSE)</f>
        <v>0</v>
      </c>
      <c r="M20" s="292">
        <f>VLOOKUP(B20,'Share, Heavy Weapons to Ukraine'!B:BU,COLUMN('Share, Heavy Weapons to Ukraine'!$BI$11)-1,FALSE)</f>
        <v>0</v>
      </c>
      <c r="N20" s="292">
        <f>VLOOKUP(B20,'Share, Heavy Weapons to Ukraine'!B:BU,COLUMN('Share, Heavy Weapons to Ukraine'!$BJ$11)-1,FALSE)</f>
        <v>0</v>
      </c>
    </row>
    <row r="21" spans="2:14" ht="15.9" customHeight="1" x14ac:dyDescent="0.3">
      <c r="B21" s="2" t="s">
        <v>3654</v>
      </c>
      <c r="C21" s="292">
        <f>(VLOOKUP(B21,'Share, Heavy Weapons to Ukraine'!B:BU,COLUMN('Share, Heavy Weapons to Ukraine'!$AX$11)-1,FALSE)+VLOOKUP(B21,'Share, Heavy Weapons to Ukraine'!B:BU,COLUMN('Share, Heavy Weapons to Ukraine'!$BC$11)-1,FALSE)+VLOOKUP(B21,'Share, Heavy Weapons to Ukraine'!B:BU,COLUMN('Share, Heavy Weapons to Ukraine'!$BD$11)-1,FALSE)+VLOOKUP(B21,'Share, Heavy Weapons to Ukraine'!B:BU,COLUMN('Share, Heavy Weapons to Ukraine'!$BE$11)-1,FALSE))/4</f>
        <v>5.2353550802331575E-2</v>
      </c>
      <c r="D21" s="292">
        <f>(VLOOKUP(B21,'Share, Heavy Weapons to Ukraine'!B:BU,COLUMN('Share, Heavy Weapons to Ukraine'!$AX$11)-1,FALSE)+VLOOKUP(B21,'Share, Heavy Weapons to Ukraine'!B:BU,COLUMN('Share, Heavy Weapons to Ukraine'!$BB$11)-1,FALSE)+VLOOKUP(B21,'Share, Heavy Weapons to Ukraine'!B:BU,COLUMN('Share, Heavy Weapons to Ukraine'!$BD$11)-1,FALSE)+VLOOKUP(B21,'Share, Heavy Weapons to Ukraine'!B:BU,COLUMN('Share, Heavy Weapons to Ukraine'!$BE$11)-1,FALSE))/4</f>
        <v>5.2946849459130106E-2</v>
      </c>
      <c r="E21" s="292">
        <f>(VLOOKUP(B21,'Share, Heavy Weapons to Ukraine'!B:BU,COLUMN('Share, Heavy Weapons to Ukraine'!$BL$11)-1,FALSE)+VLOOKUP(B21,'Share, Heavy Weapons to Ukraine'!B:BU,COLUMN('Share, Heavy Weapons to Ukraine'!$BR$11)-1,FALSE)+VLOOKUP(B21,'Share, Heavy Weapons to Ukraine'!B:BU,COLUMN('Share, Heavy Weapons to Ukraine'!$BS$11)-1,FALSE))/3</f>
        <v>4.5104392807616238E-2</v>
      </c>
      <c r="F21" s="292">
        <f t="shared" si="0"/>
        <v>1.5794065584172401E-2</v>
      </c>
      <c r="G21" s="292">
        <f>(VLOOKUP(B21,'Share, Heavy Weapons to Ukraine'!B:BU,COLUMN('Share, Heavy Weapons to Ukraine'!$AX$11)-1,FALSE)+VLOOKUP(B21,'Share, Heavy Weapons to Ukraine'!B:BU,COLUMN('Share, Heavy Weapons to Ukraine'!$BD$11)-1,FALSE)+VLOOKUP(B21,'Share, Heavy Weapons to Ukraine'!B:BU,COLUMN('Share, Heavy Weapons to Ukraine'!$BE$11)-1,FALSE))/3</f>
        <v>6.0898458391788639E-2</v>
      </c>
      <c r="H21" s="292">
        <f>(VLOOKUP(B21,'Share, Heavy Weapons to Ukraine'!B:BU,COLUMN('Share, Heavy Weapons to Ukraine'!$AX$11)-1,FALSE))</f>
        <v>7.7535127814457427E-2</v>
      </c>
      <c r="I21" s="292">
        <f>VLOOKUP(B21,'Share, Heavy Weapons to Ukraine'!B:BU,COLUMN('Share, Heavy Weapons to Ukraine'!$BD$11)-1,FALSE)</f>
        <v>6.9224683544303792E-2</v>
      </c>
      <c r="J21" s="292">
        <f>VLOOKUP(B21,'Share, Heavy Weapons to Ukraine'!B:BU,COLUMN('Share, Heavy Weapons to Ukraine'!$BE$11)-1,FALSE)</f>
        <v>3.5935563816604711E-2</v>
      </c>
      <c r="K21" s="292">
        <f>VLOOKUP(B21,'Share, Heavy Weapons to Ukraine'!B:BU,COLUMN('Share, Heavy Weapons to Ukraine'!$BG$11)-1,FALSE)</f>
        <v>1.4778325123152709E-2</v>
      </c>
      <c r="L21" s="292">
        <f>VLOOKUP(B21,'Share, Heavy Weapons to Ukraine'!B:BU,COLUMN('Share, Heavy Weapons to Ukraine'!$BH$11)-1,FALSE)</f>
        <v>8.9285714285714288E-2</v>
      </c>
      <c r="M21" s="292">
        <f>VLOOKUP(B21,'Share, Heavy Weapons to Ukraine'!B:BU,COLUMN('Share, Heavy Weapons to Ukraine'!$BI$11)-1,FALSE)</f>
        <v>7.462686567164179E-3</v>
      </c>
      <c r="N21" s="292">
        <f>VLOOKUP(B21,'Share, Heavy Weapons to Ukraine'!B:BU,COLUMN('Share, Heavy Weapons to Ukraine'!$BJ$11)-1,FALSE)</f>
        <v>0</v>
      </c>
    </row>
    <row r="22" spans="2:14" ht="15.9" customHeight="1" x14ac:dyDescent="0.3">
      <c r="B22" s="2" t="s">
        <v>2076</v>
      </c>
      <c r="C22" s="292">
        <f>(VLOOKUP(B22,'Share, Heavy Weapons to Ukraine'!B:BU,COLUMN('Share, Heavy Weapons to Ukraine'!$AX$11)-1,FALSE)+VLOOKUP(B22,'Share, Heavy Weapons to Ukraine'!B:BU,COLUMN('Share, Heavy Weapons to Ukraine'!$BC$11)-1,FALSE)+VLOOKUP(B22,'Share, Heavy Weapons to Ukraine'!B:BU,COLUMN('Share, Heavy Weapons to Ukraine'!$BD$11)-1,FALSE)+VLOOKUP(B22,'Share, Heavy Weapons to Ukraine'!B:BU,COLUMN('Share, Heavy Weapons to Ukraine'!$BE$11)-1,FALSE))/4</f>
        <v>3.5714285714285712E-2</v>
      </c>
      <c r="D22" s="292">
        <f>(VLOOKUP(B22,'Share, Heavy Weapons to Ukraine'!B:BU,COLUMN('Share, Heavy Weapons to Ukraine'!$AX$11)-1,FALSE)+VLOOKUP(B22,'Share, Heavy Weapons to Ukraine'!B:BU,COLUMN('Share, Heavy Weapons to Ukraine'!$BB$11)-1,FALSE)+VLOOKUP(B22,'Share, Heavy Weapons to Ukraine'!B:BU,COLUMN('Share, Heavy Weapons to Ukraine'!$BD$11)-1,FALSE)+VLOOKUP(B22,'Share, Heavy Weapons to Ukraine'!B:BU,COLUMN('Share, Heavy Weapons to Ukraine'!$BE$11)-1,FALSE))/4</f>
        <v>3.5714285714285712E-2</v>
      </c>
      <c r="E22" s="292">
        <f>(VLOOKUP(B22,'Share, Heavy Weapons to Ukraine'!B:BU,COLUMN('Share, Heavy Weapons to Ukraine'!$BL$11)-1,FALSE)+VLOOKUP(B22,'Share, Heavy Weapons to Ukraine'!B:BU,COLUMN('Share, Heavy Weapons to Ukraine'!$BR$11)-1,FALSE)+VLOOKUP(B22,'Share, Heavy Weapons to Ukraine'!B:BU,COLUMN('Share, Heavy Weapons to Ukraine'!$BS$11)-1,FALSE))/3</f>
        <v>4.7619047619047616E-2</v>
      </c>
      <c r="F22" s="292">
        <f t="shared" si="0"/>
        <v>0</v>
      </c>
      <c r="G22" s="292">
        <f>(VLOOKUP(B22,'Share, Heavy Weapons to Ukraine'!B:BU,COLUMN('Share, Heavy Weapons to Ukraine'!$AX$11)-1,FALSE)+VLOOKUP(B22,'Share, Heavy Weapons to Ukraine'!B:BU,COLUMN('Share, Heavy Weapons to Ukraine'!$BD$11)-1,FALSE)+VLOOKUP(B22,'Share, Heavy Weapons to Ukraine'!B:BU,COLUMN('Share, Heavy Weapons to Ukraine'!$BE$11)-1,FALSE))/3</f>
        <v>4.7619047619047616E-2</v>
      </c>
      <c r="H22" s="292">
        <f>(VLOOKUP(B22,'Share, Heavy Weapons to Ukraine'!B:BU,COLUMN('Share, Heavy Weapons to Ukraine'!$AX$11)-1,FALSE))</f>
        <v>0</v>
      </c>
      <c r="I22" s="292">
        <f>VLOOKUP(B22,'Share, Heavy Weapons to Ukraine'!B:BU,COLUMN('Share, Heavy Weapons to Ukraine'!$BD$11)-1,FALSE)</f>
        <v>0.14285714285714285</v>
      </c>
      <c r="J22" s="292">
        <f>VLOOKUP(B22,'Share, Heavy Weapons to Ukraine'!B:BU,COLUMN('Share, Heavy Weapons to Ukraine'!$BE$11)-1,FALSE)</f>
        <v>0</v>
      </c>
      <c r="K22" s="292">
        <f>VLOOKUP(B22,'Share, Heavy Weapons to Ukraine'!B:BU,COLUMN('Share, Heavy Weapons to Ukraine'!$BG$11)-1,FALSE)</f>
        <v>0</v>
      </c>
      <c r="L22" s="292">
        <f>VLOOKUP(B22,'Share, Heavy Weapons to Ukraine'!B:BU,COLUMN('Share, Heavy Weapons to Ukraine'!$BH$11)-1,FALSE)</f>
        <v>0</v>
      </c>
      <c r="M22" s="292">
        <f>VLOOKUP(B22,'Share, Heavy Weapons to Ukraine'!B:BU,COLUMN('Share, Heavy Weapons to Ukraine'!$BI$11)-1,FALSE)</f>
        <v>0</v>
      </c>
      <c r="N22" s="292">
        <f>VLOOKUP(B22,'Share, Heavy Weapons to Ukraine'!B:BU,COLUMN('Share, Heavy Weapons to Ukraine'!$BJ$11)-1,FALSE)</f>
        <v>0</v>
      </c>
    </row>
    <row r="23" spans="2:14" ht="15.9" customHeight="1" x14ac:dyDescent="0.3">
      <c r="B23" s="2" t="s">
        <v>1861</v>
      </c>
      <c r="C23" s="292">
        <f>(VLOOKUP(B23,'Share, Heavy Weapons to Ukraine'!B:BU,COLUMN('Share, Heavy Weapons to Ukraine'!$AX$11)-1,FALSE)+VLOOKUP(B23,'Share, Heavy Weapons to Ukraine'!B:BU,COLUMN('Share, Heavy Weapons to Ukraine'!$BC$11)-1,FALSE)+VLOOKUP(B23,'Share, Heavy Weapons to Ukraine'!B:BU,COLUMN('Share, Heavy Weapons to Ukraine'!$BD$11)-1,FALSE)+VLOOKUP(B23,'Share, Heavy Weapons to Ukraine'!B:BU,COLUMN('Share, Heavy Weapons to Ukraine'!$BE$11)-1,FALSE))/4</f>
        <v>3.1914893617021274E-2</v>
      </c>
      <c r="D23" s="292">
        <f>(VLOOKUP(B23,'Share, Heavy Weapons to Ukraine'!B:BU,COLUMN('Share, Heavy Weapons to Ukraine'!$AX$11)-1,FALSE)+VLOOKUP(B23,'Share, Heavy Weapons to Ukraine'!B:BU,COLUMN('Share, Heavy Weapons to Ukraine'!$BB$11)-1,FALSE)+VLOOKUP(B23,'Share, Heavy Weapons to Ukraine'!B:BU,COLUMN('Share, Heavy Weapons to Ukraine'!$BD$11)-1,FALSE)+VLOOKUP(B23,'Share, Heavy Weapons to Ukraine'!B:BU,COLUMN('Share, Heavy Weapons to Ukraine'!$BE$11)-1,FALSE))/4</f>
        <v>3.1914893617021274E-2</v>
      </c>
      <c r="E23" s="292">
        <f>(VLOOKUP(B23,'Share, Heavy Weapons to Ukraine'!B:BU,COLUMN('Share, Heavy Weapons to Ukraine'!$BL$11)-1,FALSE)+VLOOKUP(B23,'Share, Heavy Weapons to Ukraine'!B:BU,COLUMN('Share, Heavy Weapons to Ukraine'!$BR$11)-1,FALSE)+VLOOKUP(B23,'Share, Heavy Weapons to Ukraine'!B:BU,COLUMN('Share, Heavy Weapons to Ukraine'!$BS$11)-1,FALSE))/3</f>
        <v>4.2553191489361701E-2</v>
      </c>
      <c r="F23" s="292">
        <f t="shared" si="0"/>
        <v>0</v>
      </c>
      <c r="G23" s="292">
        <f>(VLOOKUP(B23,'Share, Heavy Weapons to Ukraine'!B:BU,COLUMN('Share, Heavy Weapons to Ukraine'!$AX$11)-1,FALSE)+VLOOKUP(B23,'Share, Heavy Weapons to Ukraine'!B:BU,COLUMN('Share, Heavy Weapons to Ukraine'!$BD$11)-1,FALSE)+VLOOKUP(B23,'Share, Heavy Weapons to Ukraine'!B:BU,COLUMN('Share, Heavy Weapons to Ukraine'!$BE$11)-1,FALSE))/3</f>
        <v>4.2553191489361701E-2</v>
      </c>
      <c r="H23" s="292">
        <f>(VLOOKUP(B23,'Share, Heavy Weapons to Ukraine'!B:BU,COLUMN('Share, Heavy Weapons to Ukraine'!$AX$11)-1,FALSE))</f>
        <v>0</v>
      </c>
      <c r="I23" s="292">
        <f>VLOOKUP(B23,'Share, Heavy Weapons to Ukraine'!B:BU,COLUMN('Share, Heavy Weapons to Ukraine'!$BD$11)-1,FALSE)</f>
        <v>0.1276595744680851</v>
      </c>
      <c r="J23" s="292">
        <f>VLOOKUP(B23,'Share, Heavy Weapons to Ukraine'!B:BU,COLUMN('Share, Heavy Weapons to Ukraine'!$BE$11)-1,FALSE)</f>
        <v>0</v>
      </c>
      <c r="K23" s="292">
        <f>VLOOKUP(B23,'Share, Heavy Weapons to Ukraine'!B:BU,COLUMN('Share, Heavy Weapons to Ukraine'!$BG$11)-1,FALSE)</f>
        <v>0</v>
      </c>
      <c r="L23" s="292">
        <f>VLOOKUP(B23,'Share, Heavy Weapons to Ukraine'!B:BU,COLUMN('Share, Heavy Weapons to Ukraine'!$BH$11)-1,FALSE)</f>
        <v>0</v>
      </c>
      <c r="M23" s="292">
        <f>VLOOKUP(B23,'Share, Heavy Weapons to Ukraine'!B:BU,COLUMN('Share, Heavy Weapons to Ukraine'!$BI$11)-1,FALSE)</f>
        <v>0</v>
      </c>
      <c r="N23" s="292">
        <f>VLOOKUP(B23,'Share, Heavy Weapons to Ukraine'!B:BU,COLUMN('Share, Heavy Weapons to Ukraine'!$BJ$11)-1,FALSE)</f>
        <v>0</v>
      </c>
    </row>
    <row r="24" spans="2:14" ht="15.9" customHeight="1" x14ac:dyDescent="0.3">
      <c r="B24" s="2" t="s">
        <v>3038</v>
      </c>
      <c r="C24" s="292">
        <f>(VLOOKUP(B24,'Share, Heavy Weapons to Ukraine'!B:BU,COLUMN('Share, Heavy Weapons to Ukraine'!$AX$11)-1,FALSE)+VLOOKUP(B24,'Share, Heavy Weapons to Ukraine'!B:BU,COLUMN('Share, Heavy Weapons to Ukraine'!$BC$11)-1,FALSE)+VLOOKUP(B24,'Share, Heavy Weapons to Ukraine'!B:BU,COLUMN('Share, Heavy Weapons to Ukraine'!$BD$11)-1,FALSE)+VLOOKUP(B24,'Share, Heavy Weapons to Ukraine'!B:BU,COLUMN('Share, Heavy Weapons to Ukraine'!$BE$11)-1,FALSE))/4</f>
        <v>3.6994312883454519E-2</v>
      </c>
      <c r="D24" s="292">
        <f>(VLOOKUP(B24,'Share, Heavy Weapons to Ukraine'!B:BU,COLUMN('Share, Heavy Weapons to Ukraine'!$AX$11)-1,FALSE)+VLOOKUP(B24,'Share, Heavy Weapons to Ukraine'!B:BU,COLUMN('Share, Heavy Weapons to Ukraine'!$BB$11)-1,FALSE)+VLOOKUP(B24,'Share, Heavy Weapons to Ukraine'!B:BU,COLUMN('Share, Heavy Weapons to Ukraine'!$BD$11)-1,FALSE)+VLOOKUP(B24,'Share, Heavy Weapons to Ukraine'!B:BU,COLUMN('Share, Heavy Weapons to Ukraine'!$BE$11)-1,FALSE))/4</f>
        <v>3.1451725737268399E-2</v>
      </c>
      <c r="E24" s="292">
        <f>(VLOOKUP(B24,'Share, Heavy Weapons to Ukraine'!B:BU,COLUMN('Share, Heavy Weapons to Ukraine'!$BL$11)-1,FALSE)+VLOOKUP(B24,'Share, Heavy Weapons to Ukraine'!B:BU,COLUMN('Share, Heavy Weapons to Ukraine'!$BR$11)-1,FALSE)+VLOOKUP(B24,'Share, Heavy Weapons to Ukraine'!B:BU,COLUMN('Share, Heavy Weapons to Ukraine'!$BS$11)-1,FALSE))/3</f>
        <v>2.4947413488207591E-2</v>
      </c>
      <c r="F24" s="292">
        <f t="shared" si="0"/>
        <v>1.3912622624299622E-2</v>
      </c>
      <c r="G24" s="292">
        <f>(VLOOKUP(B24,'Share, Heavy Weapons to Ukraine'!B:BU,COLUMN('Share, Heavy Weapons to Ukraine'!$AX$11)-1,FALSE)+VLOOKUP(B24,'Share, Heavy Weapons to Ukraine'!B:BU,COLUMN('Share, Heavy Weapons to Ukraine'!$BD$11)-1,FALSE)+VLOOKUP(B24,'Share, Heavy Weapons to Ukraine'!B:BU,COLUMN('Share, Heavy Weapons to Ukraine'!$BE$11)-1,FALSE))/3</f>
        <v>3.8860036112507212E-2</v>
      </c>
      <c r="H24" s="292">
        <f>(VLOOKUP(B24,'Share, Heavy Weapons to Ukraine'!B:BU,COLUMN('Share, Heavy Weapons to Ukraine'!$AX$11)-1,FALSE))</f>
        <v>0</v>
      </c>
      <c r="I24" s="292">
        <f>VLOOKUP(B24,'Share, Heavy Weapons to Ukraine'!B:BU,COLUMN('Share, Heavy Weapons to Ukraine'!$BD$11)-1,FALSE)</f>
        <v>5.6737588652482268E-2</v>
      </c>
      <c r="J24" s="292">
        <f>VLOOKUP(B24,'Share, Heavy Weapons to Ukraine'!B:BU,COLUMN('Share, Heavy Weapons to Ukraine'!$BE$11)-1,FALSE)</f>
        <v>5.9842519685039369E-2</v>
      </c>
      <c r="K24" s="292">
        <f>VLOOKUP(B24,'Share, Heavy Weapons to Ukraine'!B:BU,COLUMN('Share, Heavy Weapons to Ukraine'!$BG$11)-1,FALSE)</f>
        <v>2.0833333333333333E-3</v>
      </c>
      <c r="L24" s="292">
        <f>VLOOKUP(B24,'Share, Heavy Weapons to Ukraine'!B:BU,COLUMN('Share, Heavy Weapons to Ukraine'!$BH$11)-1,FALSE)</f>
        <v>0</v>
      </c>
      <c r="M24" s="292">
        <f>VLOOKUP(B24,'Share, Heavy Weapons to Ukraine'!B:BU,COLUMN('Share, Heavy Weapons to Ukraine'!$BI$11)-1,FALSE)</f>
        <v>9.8765432098765427E-2</v>
      </c>
      <c r="N24" s="292">
        <f>VLOOKUP(B24,'Share, Heavy Weapons to Ukraine'!B:BU,COLUMN('Share, Heavy Weapons to Ukraine'!$BJ$11)-1,FALSE)</f>
        <v>8.7527352297592995E-3</v>
      </c>
    </row>
    <row r="25" spans="2:14" ht="15.9" customHeight="1" x14ac:dyDescent="0.3">
      <c r="B25" s="2" t="s">
        <v>3655</v>
      </c>
      <c r="C25" s="292">
        <f>(VLOOKUP(B25,'Share, Heavy Weapons to Ukraine'!B:BU,COLUMN('Share, Heavy Weapons to Ukraine'!$AX$11)-1,FALSE)+VLOOKUP(B25,'Share, Heavy Weapons to Ukraine'!B:BU,COLUMN('Share, Heavy Weapons to Ukraine'!$BC$11)-1,FALSE)+VLOOKUP(B25,'Share, Heavy Weapons to Ukraine'!B:BU,COLUMN('Share, Heavy Weapons to Ukraine'!$BD$11)-1,FALSE)+VLOOKUP(B25,'Share, Heavy Weapons to Ukraine'!B:BU,COLUMN('Share, Heavy Weapons to Ukraine'!$BE$11)-1,FALSE))/4</f>
        <v>3.6043538983281873E-2</v>
      </c>
      <c r="D25" s="292">
        <f>(VLOOKUP(B25,'Share, Heavy Weapons to Ukraine'!B:BU,COLUMN('Share, Heavy Weapons to Ukraine'!$AX$11)-1,FALSE)+VLOOKUP(B25,'Share, Heavy Weapons to Ukraine'!B:BU,COLUMN('Share, Heavy Weapons to Ukraine'!$BB$11)-1,FALSE)+VLOOKUP(B25,'Share, Heavy Weapons to Ukraine'!B:BU,COLUMN('Share, Heavy Weapons to Ukraine'!$BD$11)-1,FALSE)+VLOOKUP(B25,'Share, Heavy Weapons to Ukraine'!B:BU,COLUMN('Share, Heavy Weapons to Ukraine'!$BE$11)-1,FALSE))/4</f>
        <v>3.0614164276077879E-2</v>
      </c>
      <c r="E25" s="292">
        <f>(VLOOKUP(B25,'Share, Heavy Weapons to Ukraine'!B:BU,COLUMN('Share, Heavy Weapons to Ukraine'!$BL$11)-1,FALSE)+VLOOKUP(B25,'Share, Heavy Weapons to Ukraine'!B:BU,COLUMN('Share, Heavy Weapons to Ukraine'!$BR$11)-1,FALSE)+VLOOKUP(B25,'Share, Heavy Weapons to Ukraine'!B:BU,COLUMN('Share, Heavy Weapons to Ukraine'!$BS$11)-1,FALSE))/3</f>
        <v>2.3493590419734336E-2</v>
      </c>
      <c r="F25" s="292">
        <f t="shared" si="0"/>
        <v>1.474051447111557E-2</v>
      </c>
      <c r="G25" s="292">
        <f>(VLOOKUP(B25,'Share, Heavy Weapons to Ukraine'!B:BU,COLUMN('Share, Heavy Weapons to Ukraine'!$AX$11)-1,FALSE)+VLOOKUP(B25,'Share, Heavy Weapons to Ukraine'!B:BU,COLUMN('Share, Heavy Weapons to Ukraine'!$BD$11)-1,FALSE)+VLOOKUP(B25,'Share, Heavy Weapons to Ukraine'!B:BU,COLUMN('Share, Heavy Weapons to Ukraine'!$BE$11)-1,FALSE))/3</f>
        <v>3.8234104890849906E-2</v>
      </c>
      <c r="H25" s="292">
        <f>(VLOOKUP(B25,'Share, Heavy Weapons to Ukraine'!B:BU,COLUMN('Share, Heavy Weapons to Ukraine'!$AX$11)-1,FALSE))</f>
        <v>1.1704706964300643E-3</v>
      </c>
      <c r="I25" s="292">
        <f>VLOOKUP(B25,'Share, Heavy Weapons to Ukraine'!B:BU,COLUMN('Share, Heavy Weapons to Ukraine'!$BD$11)-1,FALSE)</f>
        <v>5.6768558951965066E-2</v>
      </c>
      <c r="J25" s="292">
        <f>VLOOKUP(B25,'Share, Heavy Weapons to Ukraine'!B:BU,COLUMN('Share, Heavy Weapons to Ukraine'!$BE$11)-1,FALSE)</f>
        <v>5.6763285024154592E-2</v>
      </c>
      <c r="K25" s="292">
        <f>VLOOKUP(B25,'Share, Heavy Weapons to Ukraine'!B:BU,COLUMN('Share, Heavy Weapons to Ukraine'!$BG$11)-1,FALSE)</f>
        <v>1.953125E-3</v>
      </c>
      <c r="L25" s="292">
        <f>VLOOKUP(B25,'Share, Heavy Weapons to Ukraine'!B:BU,COLUMN('Share, Heavy Weapons to Ukraine'!$BH$11)-1,FALSE)</f>
        <v>0</v>
      </c>
      <c r="M25" s="292">
        <f>VLOOKUP(B25,'Share, Heavy Weapons to Ukraine'!B:BU,COLUMN('Share, Heavy Weapons to Ukraine'!$BI$11)-1,FALSE)</f>
        <v>6.6666666666666666E-2</v>
      </c>
      <c r="N25" s="292">
        <f>VLOOKUP(B25,'Share, Heavy Weapons to Ukraine'!B:BU,COLUMN('Share, Heavy Weapons to Ukraine'!$BJ$11)-1,FALSE)</f>
        <v>1.4727540500736377E-2</v>
      </c>
    </row>
    <row r="26" spans="2:14" ht="15.9" customHeight="1" x14ac:dyDescent="0.3">
      <c r="B26" s="2" t="s">
        <v>517</v>
      </c>
      <c r="C26" s="292">
        <f>(VLOOKUP(B26,'Share, Heavy Weapons to Ukraine'!B:BU,COLUMN('Share, Heavy Weapons to Ukraine'!$AX$11)-1,FALSE)+VLOOKUP(B26,'Share, Heavy Weapons to Ukraine'!B:BU,COLUMN('Share, Heavy Weapons to Ukraine'!$BC$11)-1,FALSE)+VLOOKUP(B26,'Share, Heavy Weapons to Ukraine'!B:BU,COLUMN('Share, Heavy Weapons to Ukraine'!$BD$11)-1,FALSE)+VLOOKUP(B26,'Share, Heavy Weapons to Ukraine'!B:BU,COLUMN('Share, Heavy Weapons to Ukraine'!$BE$11)-1,FALSE))/4</f>
        <v>3.486036036036036E-2</v>
      </c>
      <c r="D26" s="292">
        <f>(VLOOKUP(B26,'Share, Heavy Weapons to Ukraine'!B:BU,COLUMN('Share, Heavy Weapons to Ukraine'!$AX$11)-1,FALSE)+VLOOKUP(B26,'Share, Heavy Weapons to Ukraine'!B:BU,COLUMN('Share, Heavy Weapons to Ukraine'!$BB$11)-1,FALSE)+VLOOKUP(B26,'Share, Heavy Weapons to Ukraine'!B:BU,COLUMN('Share, Heavy Weapons to Ukraine'!$BD$11)-1,FALSE)+VLOOKUP(B26,'Share, Heavy Weapons to Ukraine'!B:BU,COLUMN('Share, Heavy Weapons to Ukraine'!$BE$11)-1,FALSE))/4</f>
        <v>2.7027027027027029E-2</v>
      </c>
      <c r="E26" s="292">
        <f>(VLOOKUP(B26,'Share, Heavy Weapons to Ukraine'!B:BU,COLUMN('Share, Heavy Weapons to Ukraine'!$BL$11)-1,FALSE)+VLOOKUP(B26,'Share, Heavy Weapons to Ukraine'!B:BU,COLUMN('Share, Heavy Weapons to Ukraine'!$BR$11)-1,FALSE)+VLOOKUP(B26,'Share, Heavy Weapons to Ukraine'!B:BU,COLUMN('Share, Heavy Weapons to Ukraine'!$BS$11)-1,FALSE))/3</f>
        <v>3.6036036036036036E-2</v>
      </c>
      <c r="F26" s="292">
        <f t="shared" si="0"/>
        <v>0</v>
      </c>
      <c r="G26" s="292">
        <f>(VLOOKUP(B26,'Share, Heavy Weapons to Ukraine'!B:BU,COLUMN('Share, Heavy Weapons to Ukraine'!$AX$11)-1,FALSE)+VLOOKUP(B26,'Share, Heavy Weapons to Ukraine'!B:BU,COLUMN('Share, Heavy Weapons to Ukraine'!$BD$11)-1,FALSE)+VLOOKUP(B26,'Share, Heavy Weapons to Ukraine'!B:BU,COLUMN('Share, Heavy Weapons to Ukraine'!$BE$11)-1,FALSE))/3</f>
        <v>3.6036036036036036E-2</v>
      </c>
      <c r="H26" s="292">
        <f>(VLOOKUP(B26,'Share, Heavy Weapons to Ukraine'!B:BU,COLUMN('Share, Heavy Weapons to Ukraine'!$AX$11)-1,FALSE))</f>
        <v>0</v>
      </c>
      <c r="I26" s="292">
        <f>VLOOKUP(B26,'Share, Heavy Weapons to Ukraine'!B:BU,COLUMN('Share, Heavy Weapons to Ukraine'!$BD$11)-1,FALSE)</f>
        <v>0.10810810810810811</v>
      </c>
      <c r="J26" s="292">
        <f>VLOOKUP(B26,'Share, Heavy Weapons to Ukraine'!B:BU,COLUMN('Share, Heavy Weapons to Ukraine'!$BE$11)-1,FALSE)</f>
        <v>0</v>
      </c>
      <c r="K26" s="292">
        <f>VLOOKUP(B26,'Share, Heavy Weapons to Ukraine'!B:BU,COLUMN('Share, Heavy Weapons to Ukraine'!$BG$11)-1,FALSE)</f>
        <v>0</v>
      </c>
      <c r="L26" s="292">
        <f>VLOOKUP(B26,'Share, Heavy Weapons to Ukraine'!B:BU,COLUMN('Share, Heavy Weapons to Ukraine'!$BH$11)-1,FALSE)</f>
        <v>0</v>
      </c>
      <c r="M26" s="292">
        <f>VLOOKUP(B26,'Share, Heavy Weapons to Ukraine'!B:BU,COLUMN('Share, Heavy Weapons to Ukraine'!$BI$11)-1,FALSE)</f>
        <v>0</v>
      </c>
      <c r="N26" s="292">
        <f>VLOOKUP(B26,'Share, Heavy Weapons to Ukraine'!B:BU,COLUMN('Share, Heavy Weapons to Ukraine'!$BJ$11)-1,FALSE)</f>
        <v>0</v>
      </c>
    </row>
    <row r="27" spans="2:14" ht="15.9" customHeight="1" x14ac:dyDescent="0.3">
      <c r="B27" s="2" t="s">
        <v>2370</v>
      </c>
      <c r="C27" s="292">
        <f>(VLOOKUP(B27,'Share, Heavy Weapons to Ukraine'!B:BU,COLUMN('Share, Heavy Weapons to Ukraine'!$AX$11)-1,FALSE)+VLOOKUP(B27,'Share, Heavy Weapons to Ukraine'!B:BU,COLUMN('Share, Heavy Weapons to Ukraine'!$BC$11)-1,FALSE)+VLOOKUP(B27,'Share, Heavy Weapons to Ukraine'!B:BU,COLUMN('Share, Heavy Weapons to Ukraine'!$BD$11)-1,FALSE)+VLOOKUP(B27,'Share, Heavy Weapons to Ukraine'!B:BU,COLUMN('Share, Heavy Weapons to Ukraine'!$BE$11)-1,FALSE))/4</f>
        <v>3.6936162079510705E-2</v>
      </c>
      <c r="D27" s="292">
        <f>(VLOOKUP(B27,'Share, Heavy Weapons to Ukraine'!B:BU,COLUMN('Share, Heavy Weapons to Ukraine'!$AX$11)-1,FALSE)+VLOOKUP(B27,'Share, Heavy Weapons to Ukraine'!B:BU,COLUMN('Share, Heavy Weapons to Ukraine'!$BB$11)-1,FALSE)+VLOOKUP(B27,'Share, Heavy Weapons to Ukraine'!B:BU,COLUMN('Share, Heavy Weapons to Ukraine'!$BD$11)-1,FALSE)+VLOOKUP(B27,'Share, Heavy Weapons to Ukraine'!B:BU,COLUMN('Share, Heavy Weapons to Ukraine'!$BE$11)-1,FALSE))/4</f>
        <v>2.6041666666666668E-2</v>
      </c>
      <c r="E27" s="292">
        <f>(VLOOKUP(B27,'Share, Heavy Weapons to Ukraine'!B:BU,COLUMN('Share, Heavy Weapons to Ukraine'!$BL$11)-1,FALSE)+VLOOKUP(B27,'Share, Heavy Weapons to Ukraine'!B:BU,COLUMN('Share, Heavy Weapons to Ukraine'!$BR$11)-1,FALSE)+VLOOKUP(B27,'Share, Heavy Weapons to Ukraine'!B:BU,COLUMN('Share, Heavy Weapons to Ukraine'!$BS$11)-1,FALSE))/3</f>
        <v>0</v>
      </c>
      <c r="F27" s="292">
        <f t="shared" si="0"/>
        <v>3.4722222222222224E-2</v>
      </c>
      <c r="G27" s="292">
        <f>(VLOOKUP(B27,'Share, Heavy Weapons to Ukraine'!B:BU,COLUMN('Share, Heavy Weapons to Ukraine'!$AX$11)-1,FALSE)+VLOOKUP(B27,'Share, Heavy Weapons to Ukraine'!B:BU,COLUMN('Share, Heavy Weapons to Ukraine'!$BD$11)-1,FALSE)+VLOOKUP(B27,'Share, Heavy Weapons to Ukraine'!B:BU,COLUMN('Share, Heavy Weapons to Ukraine'!$BE$11)-1,FALSE))/3</f>
        <v>3.4722222222222224E-2</v>
      </c>
      <c r="H27" s="292">
        <f>(VLOOKUP(B27,'Share, Heavy Weapons to Ukraine'!B:BU,COLUMN('Share, Heavy Weapons to Ukraine'!$AX$11)-1,FALSE))</f>
        <v>0</v>
      </c>
      <c r="I27" s="292">
        <f>VLOOKUP(B27,'Share, Heavy Weapons to Ukraine'!B:BU,COLUMN('Share, Heavy Weapons to Ukraine'!$BD$11)-1,FALSE)</f>
        <v>0.10416666666666667</v>
      </c>
      <c r="J27" s="292">
        <f>VLOOKUP(B27,'Share, Heavy Weapons to Ukraine'!B:BU,COLUMN('Share, Heavy Weapons to Ukraine'!$BE$11)-1,FALSE)</f>
        <v>0</v>
      </c>
      <c r="K27" s="292">
        <f>VLOOKUP(B27,'Share, Heavy Weapons to Ukraine'!B:BU,COLUMN('Share, Heavy Weapons to Ukraine'!$BG$11)-1,FALSE)</f>
        <v>0</v>
      </c>
      <c r="L27" s="292">
        <f>VLOOKUP(B27,'Share, Heavy Weapons to Ukraine'!B:BU,COLUMN('Share, Heavy Weapons to Ukraine'!$BH$11)-1,FALSE)</f>
        <v>0</v>
      </c>
      <c r="M27" s="292">
        <f>VLOOKUP(B27,'Share, Heavy Weapons to Ukraine'!B:BU,COLUMN('Share, Heavy Weapons to Ukraine'!$BI$11)-1,FALSE)</f>
        <v>0</v>
      </c>
      <c r="N27" s="292">
        <f>VLOOKUP(B27,'Share, Heavy Weapons to Ukraine'!B:BU,COLUMN('Share, Heavy Weapons to Ukraine'!$BJ$11)-1,FALSE)</f>
        <v>0</v>
      </c>
    </row>
    <row r="28" spans="2:14" ht="15.9" customHeight="1" x14ac:dyDescent="0.3">
      <c r="B28" s="2" t="s">
        <v>2489</v>
      </c>
      <c r="C28" s="292">
        <f>(VLOOKUP(B28,'Share, Heavy Weapons to Ukraine'!B:BU,COLUMN('Share, Heavy Weapons to Ukraine'!$AX$11)-1,FALSE)+VLOOKUP(B28,'Share, Heavy Weapons to Ukraine'!B:BU,COLUMN('Share, Heavy Weapons to Ukraine'!$BC$11)-1,FALSE)+VLOOKUP(B28,'Share, Heavy Weapons to Ukraine'!B:BU,COLUMN('Share, Heavy Weapons to Ukraine'!$BD$11)-1,FALSE)+VLOOKUP(B28,'Share, Heavy Weapons to Ukraine'!B:BU,COLUMN('Share, Heavy Weapons to Ukraine'!$BE$11)-1,FALSE))/4</f>
        <v>2.100840336134454E-2</v>
      </c>
      <c r="D28" s="292">
        <f>(VLOOKUP(B28,'Share, Heavy Weapons to Ukraine'!B:BU,COLUMN('Share, Heavy Weapons to Ukraine'!$AX$11)-1,FALSE)+VLOOKUP(B28,'Share, Heavy Weapons to Ukraine'!B:BU,COLUMN('Share, Heavy Weapons to Ukraine'!$BB$11)-1,FALSE)+VLOOKUP(B28,'Share, Heavy Weapons to Ukraine'!B:BU,COLUMN('Share, Heavy Weapons to Ukraine'!$BD$11)-1,FALSE)+VLOOKUP(B28,'Share, Heavy Weapons to Ukraine'!B:BU,COLUMN('Share, Heavy Weapons to Ukraine'!$BE$11)-1,FALSE))/4</f>
        <v>2.9296875E-2</v>
      </c>
      <c r="E28" s="292">
        <f>(VLOOKUP(B28,'Share, Heavy Weapons to Ukraine'!B:BU,COLUMN('Share, Heavy Weapons to Ukraine'!$BL$11)-1,FALSE)+VLOOKUP(B28,'Share, Heavy Weapons to Ukraine'!B:BU,COLUMN('Share, Heavy Weapons to Ukraine'!$BR$11)-1,FALSE)+VLOOKUP(B28,'Share, Heavy Weapons to Ukraine'!B:BU,COLUMN('Share, Heavy Weapons to Ukraine'!$BS$11)-1,FALSE))/3</f>
        <v>0</v>
      </c>
      <c r="F28" s="292">
        <f t="shared" si="0"/>
        <v>0</v>
      </c>
      <c r="G28" s="292">
        <f>(VLOOKUP(B28,'Share, Heavy Weapons to Ukraine'!B:BU,COLUMN('Share, Heavy Weapons to Ukraine'!$AX$11)-1,FALSE)+VLOOKUP(B28,'Share, Heavy Weapons to Ukraine'!B:BU,COLUMN('Share, Heavy Weapons to Ukraine'!$BD$11)-1,FALSE)+VLOOKUP(B28,'Share, Heavy Weapons to Ukraine'!B:BU,COLUMN('Share, Heavy Weapons to Ukraine'!$BE$11)-1,FALSE))/3</f>
        <v>0</v>
      </c>
      <c r="H28" s="292">
        <f>(VLOOKUP(B28,'Share, Heavy Weapons to Ukraine'!B:BU,COLUMN('Share, Heavy Weapons to Ukraine'!$AX$11)-1,FALSE))</f>
        <v>0</v>
      </c>
      <c r="I28" s="292">
        <f>VLOOKUP(B28,'Share, Heavy Weapons to Ukraine'!B:BU,COLUMN('Share, Heavy Weapons to Ukraine'!$BD$11)-1,FALSE)</f>
        <v>0</v>
      </c>
      <c r="J28" s="292">
        <f>VLOOKUP(B28,'Share, Heavy Weapons to Ukraine'!B:BU,COLUMN('Share, Heavy Weapons to Ukraine'!$BE$11)-1,FALSE)</f>
        <v>0</v>
      </c>
      <c r="K28" s="292">
        <f>VLOOKUP(B28,'Share, Heavy Weapons to Ukraine'!B:BU,COLUMN('Share, Heavy Weapons to Ukraine'!$BG$11)-1,FALSE)</f>
        <v>1</v>
      </c>
      <c r="L28" s="292">
        <f>VLOOKUP(B28,'Share, Heavy Weapons to Ukraine'!B:BU,COLUMN('Share, Heavy Weapons to Ukraine'!$BH$11)-1,FALSE)</f>
        <v>0</v>
      </c>
      <c r="M28" s="292">
        <f>VLOOKUP(B28,'Share, Heavy Weapons to Ukraine'!B:BU,COLUMN('Share, Heavy Weapons to Ukraine'!$BI$11)-1,FALSE)</f>
        <v>0</v>
      </c>
      <c r="N28" s="292">
        <f>VLOOKUP(B28,'Share, Heavy Weapons to Ukraine'!B:BU,COLUMN('Share, Heavy Weapons to Ukraine'!$BJ$11)-1,FALSE)</f>
        <v>0</v>
      </c>
    </row>
    <row r="29" spans="2:14" ht="15.9" customHeight="1" x14ac:dyDescent="0.3">
      <c r="B29" s="2" t="s">
        <v>2615</v>
      </c>
      <c r="C29" s="292">
        <f>(VLOOKUP(B29,'Share, Heavy Weapons to Ukraine'!B:BU,COLUMN('Share, Heavy Weapons to Ukraine'!$AX$11)-1,FALSE)+VLOOKUP(B29,'Share, Heavy Weapons to Ukraine'!B:BU,COLUMN('Share, Heavy Weapons to Ukraine'!$BC$11)-1,FALSE)+VLOOKUP(B29,'Share, Heavy Weapons to Ukraine'!B:BU,COLUMN('Share, Heavy Weapons to Ukraine'!$BD$11)-1,FALSE)+VLOOKUP(B29,'Share, Heavy Weapons to Ukraine'!B:BU,COLUMN('Share, Heavy Weapons to Ukraine'!$BE$11)-1,FALSE))/4</f>
        <v>8.3220108695652179E-3</v>
      </c>
      <c r="D29" s="292">
        <f>(VLOOKUP(B29,'Share, Heavy Weapons to Ukraine'!B:BU,COLUMN('Share, Heavy Weapons to Ukraine'!$AX$11)-1,FALSE)+VLOOKUP(B29,'Share, Heavy Weapons to Ukraine'!B:BU,COLUMN('Share, Heavy Weapons to Ukraine'!$BB$11)-1,FALSE)+VLOOKUP(B29,'Share, Heavy Weapons to Ukraine'!B:BU,COLUMN('Share, Heavy Weapons to Ukraine'!$BD$11)-1,FALSE)+VLOOKUP(B29,'Share, Heavy Weapons to Ukraine'!B:BU,COLUMN('Share, Heavy Weapons to Ukraine'!$BE$11)-1,FALSE))/4</f>
        <v>0</v>
      </c>
      <c r="E29" s="292">
        <f>(VLOOKUP(B29,'Share, Heavy Weapons to Ukraine'!B:BU,COLUMN('Share, Heavy Weapons to Ukraine'!$BL$11)-1,FALSE)+VLOOKUP(B29,'Share, Heavy Weapons to Ukraine'!B:BU,COLUMN('Share, Heavy Weapons to Ukraine'!$BR$11)-1,FALSE)+VLOOKUP(B29,'Share, Heavy Weapons to Ukraine'!B:BU,COLUMN('Share, Heavy Weapons to Ukraine'!$BS$11)-1,FALSE))/3</f>
        <v>0</v>
      </c>
      <c r="F29" s="292">
        <f t="shared" si="0"/>
        <v>0</v>
      </c>
      <c r="G29" s="292">
        <f>(VLOOKUP(B29,'Share, Heavy Weapons to Ukraine'!B:BU,COLUMN('Share, Heavy Weapons to Ukraine'!$AX$11)-1,FALSE)+VLOOKUP(B29,'Share, Heavy Weapons to Ukraine'!B:BU,COLUMN('Share, Heavy Weapons to Ukraine'!$BD$11)-1,FALSE)+VLOOKUP(B29,'Share, Heavy Weapons to Ukraine'!B:BU,COLUMN('Share, Heavy Weapons to Ukraine'!$BE$11)-1,FALSE))/3</f>
        <v>0</v>
      </c>
      <c r="H29" s="292">
        <f>(VLOOKUP(B29,'Share, Heavy Weapons to Ukraine'!B:BU,COLUMN('Share, Heavy Weapons to Ukraine'!$AX$11)-1,FALSE))</f>
        <v>0</v>
      </c>
      <c r="I29" s="292">
        <f>VLOOKUP(B29,'Share, Heavy Weapons to Ukraine'!B:BU,COLUMN('Share, Heavy Weapons to Ukraine'!$BD$11)-1,FALSE)</f>
        <v>0</v>
      </c>
      <c r="J29" s="292">
        <f>VLOOKUP(B29,'Share, Heavy Weapons to Ukraine'!B:BU,COLUMN('Share, Heavy Weapons to Ukraine'!$BE$11)-1,FALSE)</f>
        <v>0</v>
      </c>
      <c r="K29" s="292">
        <f>VLOOKUP(B29,'Share, Heavy Weapons to Ukraine'!B:BU,COLUMN('Share, Heavy Weapons to Ukraine'!$BG$11)-1,FALSE)</f>
        <v>0</v>
      </c>
      <c r="L29" s="292">
        <f>VLOOKUP(B29,'Share, Heavy Weapons to Ukraine'!B:BU,COLUMN('Share, Heavy Weapons to Ukraine'!$BH$11)-1,FALSE)</f>
        <v>0.15789473684210525</v>
      </c>
      <c r="M29" s="292">
        <f>VLOOKUP(B29,'Share, Heavy Weapons to Ukraine'!B:BU,COLUMN('Share, Heavy Weapons to Ukraine'!$BI$11)-1,FALSE)</f>
        <v>0</v>
      </c>
      <c r="N29" s="292">
        <f>VLOOKUP(B29,'Share, Heavy Weapons to Ukraine'!B:BU,COLUMN('Share, Heavy Weapons to Ukraine'!$BJ$11)-1,FALSE)</f>
        <v>0</v>
      </c>
    </row>
    <row r="30" spans="2:14" ht="15.9" customHeight="1" x14ac:dyDescent="0.3">
      <c r="B30" s="2" t="s">
        <v>1919</v>
      </c>
      <c r="C30" s="292">
        <f>(VLOOKUP(B30,'Share, Heavy Weapons to Ukraine'!B:BU,COLUMN('Share, Heavy Weapons to Ukraine'!$AX$11)-1,FALSE)+VLOOKUP(B30,'Share, Heavy Weapons to Ukraine'!B:BU,COLUMN('Share, Heavy Weapons to Ukraine'!$BC$11)-1,FALSE)+VLOOKUP(B30,'Share, Heavy Weapons to Ukraine'!B:BU,COLUMN('Share, Heavy Weapons to Ukraine'!$BD$11)-1,FALSE)+VLOOKUP(B30,'Share, Heavy Weapons to Ukraine'!B:BU,COLUMN('Share, Heavy Weapons to Ukraine'!$BE$11)-1,FALSE))/4</f>
        <v>5.1339285714285712E-2</v>
      </c>
      <c r="D30" s="292">
        <f>(VLOOKUP(B30,'Share, Heavy Weapons to Ukraine'!B:BU,COLUMN('Share, Heavy Weapons to Ukraine'!$AX$11)-1,FALSE)+VLOOKUP(B30,'Share, Heavy Weapons to Ukraine'!B:BU,COLUMN('Share, Heavy Weapons to Ukraine'!$BB$11)-1,FALSE)+VLOOKUP(B30,'Share, Heavy Weapons to Ukraine'!B:BU,COLUMN('Share, Heavy Weapons to Ukraine'!$BD$11)-1,FALSE)+VLOOKUP(B30,'Share, Heavy Weapons to Ukraine'!B:BU,COLUMN('Share, Heavy Weapons to Ukraine'!$BE$11)-1,FALSE))/4</f>
        <v>0</v>
      </c>
      <c r="E30" s="292">
        <f>(VLOOKUP(B30,'Share, Heavy Weapons to Ukraine'!B:BU,COLUMN('Share, Heavy Weapons to Ukraine'!$BL$11)-1,FALSE)+VLOOKUP(B30,'Share, Heavy Weapons to Ukraine'!B:BU,COLUMN('Share, Heavy Weapons to Ukraine'!$BR$11)-1,FALSE)+VLOOKUP(B30,'Share, Heavy Weapons to Ukraine'!B:BU,COLUMN('Share, Heavy Weapons to Ukraine'!$BS$11)-1,FALSE))/3</f>
        <v>0</v>
      </c>
      <c r="F30" s="292">
        <f t="shared" si="0"/>
        <v>0</v>
      </c>
      <c r="G30" s="292">
        <f>(VLOOKUP(B30,'Share, Heavy Weapons to Ukraine'!B:BU,COLUMN('Share, Heavy Weapons to Ukraine'!$AX$11)-1,FALSE)+VLOOKUP(B30,'Share, Heavy Weapons to Ukraine'!B:BU,COLUMN('Share, Heavy Weapons to Ukraine'!$BD$11)-1,FALSE)+VLOOKUP(B30,'Share, Heavy Weapons to Ukraine'!B:BU,COLUMN('Share, Heavy Weapons to Ukraine'!$BE$11)-1,FALSE))/3</f>
        <v>0</v>
      </c>
      <c r="H30" s="292">
        <f>(VLOOKUP(B30,'Share, Heavy Weapons to Ukraine'!B:BU,COLUMN('Share, Heavy Weapons to Ukraine'!$AX$11)-1,FALSE))</f>
        <v>0</v>
      </c>
      <c r="I30" s="292">
        <f>VLOOKUP(B30,'Share, Heavy Weapons to Ukraine'!B:BU,COLUMN('Share, Heavy Weapons to Ukraine'!$BD$11)-1,FALSE)</f>
        <v>0</v>
      </c>
      <c r="J30" s="292">
        <f>VLOOKUP(B30,'Share, Heavy Weapons to Ukraine'!B:BU,COLUMN('Share, Heavy Weapons to Ukraine'!$BE$11)-1,FALSE)</f>
        <v>0</v>
      </c>
      <c r="K30" s="292">
        <f>VLOOKUP(B30,'Share, Heavy Weapons to Ukraine'!B:BU,COLUMN('Share, Heavy Weapons to Ukraine'!$BG$11)-1,FALSE)</f>
        <v>0</v>
      </c>
      <c r="L30" s="292">
        <f>VLOOKUP(B30,'Share, Heavy Weapons to Ukraine'!B:BU,COLUMN('Share, Heavy Weapons to Ukraine'!$BH$11)-1,FALSE)</f>
        <v>0</v>
      </c>
      <c r="M30" s="292">
        <f>VLOOKUP(B30,'Share, Heavy Weapons to Ukraine'!B:BU,COLUMN('Share, Heavy Weapons to Ukraine'!$BI$11)-1,FALSE)</f>
        <v>0</v>
      </c>
      <c r="N30" s="292">
        <f>VLOOKUP(B30,'Share, Heavy Weapons to Ukraine'!B:BU,COLUMN('Share, Heavy Weapons to Ukraine'!$BJ$11)-1,FALSE)</f>
        <v>0</v>
      </c>
    </row>
    <row r="31" spans="2:14" ht="15.9" customHeight="1" x14ac:dyDescent="0.3">
      <c r="B31" s="2" t="s">
        <v>937</v>
      </c>
      <c r="C31" s="292">
        <f>(VLOOKUP(B31,'Share, Heavy Weapons to Ukraine'!B:BU,COLUMN('Share, Heavy Weapons to Ukraine'!$AX$11)-1,FALSE)+VLOOKUP(B31,'Share, Heavy Weapons to Ukraine'!B:BU,COLUMN('Share, Heavy Weapons to Ukraine'!$BC$11)-1,FALSE)+VLOOKUP(B31,'Share, Heavy Weapons to Ukraine'!B:BU,COLUMN('Share, Heavy Weapons to Ukraine'!$BD$11)-1,FALSE)+VLOOKUP(B31,'Share, Heavy Weapons to Ukraine'!B:BU,COLUMN('Share, Heavy Weapons to Ukraine'!$BE$11)-1,FALSE))/4</f>
        <v>9.4086021505376347E-3</v>
      </c>
      <c r="D31" s="292">
        <f>(VLOOKUP(B31,'Share, Heavy Weapons to Ukraine'!B:BU,COLUMN('Share, Heavy Weapons to Ukraine'!$AX$11)-1,FALSE)+VLOOKUP(B31,'Share, Heavy Weapons to Ukraine'!B:BU,COLUMN('Share, Heavy Weapons to Ukraine'!$BB$11)-1,FALSE)+VLOOKUP(B31,'Share, Heavy Weapons to Ukraine'!B:BU,COLUMN('Share, Heavy Weapons to Ukraine'!$BD$11)-1,FALSE)+VLOOKUP(B31,'Share, Heavy Weapons to Ukraine'!B:BU,COLUMN('Share, Heavy Weapons to Ukraine'!$BE$11)-1,FALSE))/4</f>
        <v>0</v>
      </c>
      <c r="E31" s="292">
        <f>(VLOOKUP(B31,'Share, Heavy Weapons to Ukraine'!B:BU,COLUMN('Share, Heavy Weapons to Ukraine'!$BL$11)-1,FALSE)+VLOOKUP(B31,'Share, Heavy Weapons to Ukraine'!B:BU,COLUMN('Share, Heavy Weapons to Ukraine'!$BR$11)-1,FALSE)+VLOOKUP(B31,'Share, Heavy Weapons to Ukraine'!B:BU,COLUMN('Share, Heavy Weapons to Ukraine'!$BS$11)-1,FALSE))/3</f>
        <v>0</v>
      </c>
      <c r="F31" s="292">
        <f t="shared" si="0"/>
        <v>0</v>
      </c>
      <c r="G31" s="292">
        <f>(VLOOKUP(B31,'Share, Heavy Weapons to Ukraine'!B:BU,COLUMN('Share, Heavy Weapons to Ukraine'!$AX$11)-1,FALSE)+VLOOKUP(B31,'Share, Heavy Weapons to Ukraine'!B:BU,COLUMN('Share, Heavy Weapons to Ukraine'!$BD$11)-1,FALSE)+VLOOKUP(B31,'Share, Heavy Weapons to Ukraine'!B:BU,COLUMN('Share, Heavy Weapons to Ukraine'!$BE$11)-1,FALSE))/3</f>
        <v>0</v>
      </c>
      <c r="H31" s="292">
        <f>(VLOOKUP(B31,'Share, Heavy Weapons to Ukraine'!B:BU,COLUMN('Share, Heavy Weapons to Ukraine'!$AX$11)-1,FALSE))</f>
        <v>0</v>
      </c>
      <c r="I31" s="292">
        <f>VLOOKUP(B31,'Share, Heavy Weapons to Ukraine'!B:BU,COLUMN('Share, Heavy Weapons to Ukraine'!$BD$11)-1,FALSE)</f>
        <v>0</v>
      </c>
      <c r="J31" s="292">
        <f>VLOOKUP(B31,'Share, Heavy Weapons to Ukraine'!B:BU,COLUMN('Share, Heavy Weapons to Ukraine'!$BE$11)-1,FALSE)</f>
        <v>0</v>
      </c>
      <c r="K31" s="292">
        <f>VLOOKUP(B31,'Share, Heavy Weapons to Ukraine'!B:BU,COLUMN('Share, Heavy Weapons to Ukraine'!$BG$11)-1,FALSE)</f>
        <v>0</v>
      </c>
      <c r="L31" s="292">
        <f>VLOOKUP(B31,'Share, Heavy Weapons to Ukraine'!B:BU,COLUMN('Share, Heavy Weapons to Ukraine'!$BH$11)-1,FALSE)</f>
        <v>0</v>
      </c>
      <c r="M31" s="292">
        <f>VLOOKUP(B31,'Share, Heavy Weapons to Ukraine'!B:BU,COLUMN('Share, Heavy Weapons to Ukraine'!$BI$11)-1,FALSE)</f>
        <v>0</v>
      </c>
      <c r="N31" s="292">
        <f>VLOOKUP(B31,'Share, Heavy Weapons to Ukraine'!B:BU,COLUMN('Share, Heavy Weapons to Ukraine'!$BJ$11)-1,FALSE)</f>
        <v>0</v>
      </c>
    </row>
    <row r="32" spans="2:14" ht="15.9" customHeight="1" x14ac:dyDescent="0.3">
      <c r="B32" s="2" t="s">
        <v>1606</v>
      </c>
      <c r="C32" s="292">
        <f>(VLOOKUP(B32,'Share, Heavy Weapons to Ukraine'!B:BU,COLUMN('Share, Heavy Weapons to Ukraine'!$AX$11)-1,FALSE)+VLOOKUP(B32,'Share, Heavy Weapons to Ukraine'!B:BU,COLUMN('Share, Heavy Weapons to Ukraine'!$BC$11)-1,FALSE)+VLOOKUP(B32,'Share, Heavy Weapons to Ukraine'!B:BU,COLUMN('Share, Heavy Weapons to Ukraine'!$BD$11)-1,FALSE)+VLOOKUP(B32,'Share, Heavy Weapons to Ukraine'!B:BU,COLUMN('Share, Heavy Weapons to Ukraine'!$BE$11)-1,FALSE))/4</f>
        <v>4.3497172683775558E-3</v>
      </c>
      <c r="D32" s="292">
        <f>(VLOOKUP(B32,'Share, Heavy Weapons to Ukraine'!B:BU,COLUMN('Share, Heavy Weapons to Ukraine'!$AX$11)-1,FALSE)+VLOOKUP(B32,'Share, Heavy Weapons to Ukraine'!B:BU,COLUMN('Share, Heavy Weapons to Ukraine'!$BB$11)-1,FALSE)+VLOOKUP(B32,'Share, Heavy Weapons to Ukraine'!B:BU,COLUMN('Share, Heavy Weapons to Ukraine'!$BD$11)-1,FALSE)+VLOOKUP(B32,'Share, Heavy Weapons to Ukraine'!B:BU,COLUMN('Share, Heavy Weapons to Ukraine'!$BE$11)-1,FALSE))/4</f>
        <v>5.9171597633136092E-2</v>
      </c>
      <c r="E32" s="292">
        <f>(VLOOKUP(B32,'Share, Heavy Weapons to Ukraine'!B:BU,COLUMN('Share, Heavy Weapons to Ukraine'!$BL$11)-1,FALSE)+VLOOKUP(B32,'Share, Heavy Weapons to Ukraine'!B:BU,COLUMN('Share, Heavy Weapons to Ukraine'!$BR$11)-1,FALSE)+VLOOKUP(B32,'Share, Heavy Weapons to Ukraine'!B:BU,COLUMN('Share, Heavy Weapons to Ukraine'!$BS$11)-1,FALSE))/3</f>
        <v>0</v>
      </c>
      <c r="F32" s="292">
        <f t="shared" si="0"/>
        <v>0</v>
      </c>
      <c r="G32" s="292">
        <f>(VLOOKUP(B32,'Share, Heavy Weapons to Ukraine'!B:BU,COLUMN('Share, Heavy Weapons to Ukraine'!$AX$11)-1,FALSE)+VLOOKUP(B32,'Share, Heavy Weapons to Ukraine'!B:BU,COLUMN('Share, Heavy Weapons to Ukraine'!$BD$11)-1,FALSE)+VLOOKUP(B32,'Share, Heavy Weapons to Ukraine'!B:BU,COLUMN('Share, Heavy Weapons to Ukraine'!$BE$11)-1,FALSE))/3</f>
        <v>0</v>
      </c>
      <c r="H32" s="292">
        <f>(VLOOKUP(B32,'Share, Heavy Weapons to Ukraine'!B:BU,COLUMN('Share, Heavy Weapons to Ukraine'!$AX$11)-1,FALSE))</f>
        <v>0</v>
      </c>
      <c r="I32" s="292">
        <f>VLOOKUP(B32,'Share, Heavy Weapons to Ukraine'!B:BU,COLUMN('Share, Heavy Weapons to Ukraine'!$BD$11)-1,FALSE)</f>
        <v>0</v>
      </c>
      <c r="J32" s="292">
        <f>VLOOKUP(B32,'Share, Heavy Weapons to Ukraine'!B:BU,COLUMN('Share, Heavy Weapons to Ukraine'!$BE$11)-1,FALSE)</f>
        <v>0</v>
      </c>
      <c r="K32" s="292">
        <f>VLOOKUP(B32,'Share, Heavy Weapons to Ukraine'!B:BU,COLUMN('Share, Heavy Weapons to Ukraine'!$BG$11)-1,FALSE)</f>
        <v>0</v>
      </c>
      <c r="L32" s="292">
        <f>VLOOKUP(B32,'Share, Heavy Weapons to Ukraine'!B:BU,COLUMN('Share, Heavy Weapons to Ukraine'!$BH$11)-1,FALSE)</f>
        <v>0</v>
      </c>
      <c r="M32" s="292">
        <f>VLOOKUP(B32,'Share, Heavy Weapons to Ukraine'!B:BU,COLUMN('Share, Heavy Weapons to Ukraine'!$BI$11)-1,FALSE)</f>
        <v>0</v>
      </c>
      <c r="N32" s="292">
        <f>VLOOKUP(B32,'Share, Heavy Weapons to Ukraine'!B:BU,COLUMN('Share, Heavy Weapons to Ukraine'!$BJ$11)-1,FALSE)</f>
        <v>0</v>
      </c>
    </row>
    <row r="33" spans="2:14" ht="15.9" customHeight="1" x14ac:dyDescent="0.3">
      <c r="B33" s="2" t="s">
        <v>2820</v>
      </c>
      <c r="C33" s="292">
        <f>(VLOOKUP(B33,'Share, Heavy Weapons to Ukraine'!B:BU,COLUMN('Share, Heavy Weapons to Ukraine'!$AX$11)-1,FALSE)+VLOOKUP(B33,'Share, Heavy Weapons to Ukraine'!B:BU,COLUMN('Share, Heavy Weapons to Ukraine'!$BC$11)-1,FALSE)+VLOOKUP(B33,'Share, Heavy Weapons to Ukraine'!B:BU,COLUMN('Share, Heavy Weapons to Ukraine'!$BD$11)-1,FALSE)+VLOOKUP(B33,'Share, Heavy Weapons to Ukraine'!B:BU,COLUMN('Share, Heavy Weapons to Ukraine'!$BE$11)-1,FALSE))/4</f>
        <v>1.9331889885555213E-3</v>
      </c>
      <c r="D33" s="292">
        <f>(VLOOKUP(B33,'Share, Heavy Weapons to Ukraine'!B:BU,COLUMN('Share, Heavy Weapons to Ukraine'!$AX$11)-1,FALSE)+VLOOKUP(B33,'Share, Heavy Weapons to Ukraine'!B:BU,COLUMN('Share, Heavy Weapons to Ukraine'!$BB$11)-1,FALSE)+VLOOKUP(B33,'Share, Heavy Weapons to Ukraine'!B:BU,COLUMN('Share, Heavy Weapons to Ukraine'!$BD$11)-1,FALSE)+VLOOKUP(B33,'Share, Heavy Weapons to Ukraine'!B:BU,COLUMN('Share, Heavy Weapons to Ukraine'!$BE$11)-1,FALSE))/4</f>
        <v>0</v>
      </c>
      <c r="E33" s="292">
        <f>(VLOOKUP(B33,'Share, Heavy Weapons to Ukraine'!B:BU,COLUMN('Share, Heavy Weapons to Ukraine'!$BL$11)-1,FALSE)+VLOOKUP(B33,'Share, Heavy Weapons to Ukraine'!B:BU,COLUMN('Share, Heavy Weapons to Ukraine'!$BR$11)-1,FALSE)+VLOOKUP(B33,'Share, Heavy Weapons to Ukraine'!B:BU,COLUMN('Share, Heavy Weapons to Ukraine'!$BS$11)-1,FALSE))/3</f>
        <v>0</v>
      </c>
      <c r="F33" s="292">
        <f t="shared" si="0"/>
        <v>0</v>
      </c>
      <c r="G33" s="292">
        <f>(VLOOKUP(B33,'Share, Heavy Weapons to Ukraine'!B:BU,COLUMN('Share, Heavy Weapons to Ukraine'!$AX$11)-1,FALSE)+VLOOKUP(B33,'Share, Heavy Weapons to Ukraine'!B:BU,COLUMN('Share, Heavy Weapons to Ukraine'!$BD$11)-1,FALSE)+VLOOKUP(B33,'Share, Heavy Weapons to Ukraine'!B:BU,COLUMN('Share, Heavy Weapons to Ukraine'!$BE$11)-1,FALSE))/3</f>
        <v>0</v>
      </c>
      <c r="H33" s="292">
        <f>(VLOOKUP(B33,'Share, Heavy Weapons to Ukraine'!B:BU,COLUMN('Share, Heavy Weapons to Ukraine'!$AX$11)-1,FALSE))</f>
        <v>0</v>
      </c>
      <c r="I33" s="292">
        <f>VLOOKUP(B33,'Share, Heavy Weapons to Ukraine'!B:BU,COLUMN('Share, Heavy Weapons to Ukraine'!$BD$11)-1,FALSE)</f>
        <v>0</v>
      </c>
      <c r="J33" s="292">
        <f>VLOOKUP(B33,'Share, Heavy Weapons to Ukraine'!B:BU,COLUMN('Share, Heavy Weapons to Ukraine'!$BE$11)-1,FALSE)</f>
        <v>0</v>
      </c>
      <c r="K33" s="292">
        <f>VLOOKUP(B33,'Share, Heavy Weapons to Ukraine'!B:BU,COLUMN('Share, Heavy Weapons to Ukraine'!$BG$11)-1,FALSE)</f>
        <v>0</v>
      </c>
      <c r="L33" s="292">
        <f>VLOOKUP(B33,'Share, Heavy Weapons to Ukraine'!B:BU,COLUMN('Share, Heavy Weapons to Ukraine'!$BH$11)-1,FALSE)</f>
        <v>0</v>
      </c>
      <c r="M33" s="292">
        <f>VLOOKUP(B33,'Share, Heavy Weapons to Ukraine'!B:BU,COLUMN('Share, Heavy Weapons to Ukraine'!$BI$11)-1,FALSE)</f>
        <v>0</v>
      </c>
      <c r="N33" s="292">
        <f>VLOOKUP(B33,'Share, Heavy Weapons to Ukraine'!B:BU,COLUMN('Share, Heavy Weapons to Ukraine'!$BJ$11)-1,FALSE)</f>
        <v>0</v>
      </c>
    </row>
    <row r="34" spans="2:14" ht="15.9" customHeight="1" x14ac:dyDescent="0.3">
      <c r="B34" s="2" t="s">
        <v>344</v>
      </c>
      <c r="C34" s="292">
        <f>(VLOOKUP(B34,'Share, Heavy Weapons to Ukraine'!B:BU,COLUMN('Share, Heavy Weapons to Ukraine'!$AX$11)-1,FALSE)+VLOOKUP(B34,'Share, Heavy Weapons to Ukraine'!B:BU,COLUMN('Share, Heavy Weapons to Ukraine'!$BC$11)-1,FALSE)+VLOOKUP(B34,'Share, Heavy Weapons to Ukraine'!B:BU,COLUMN('Share, Heavy Weapons to Ukraine'!$BD$11)-1,FALSE)+VLOOKUP(B34,'Share, Heavy Weapons to Ukraine'!B:BU,COLUMN('Share, Heavy Weapons to Ukraine'!$BE$11)-1,FALSE))/4</f>
        <v>0</v>
      </c>
      <c r="D34" s="292">
        <f>(VLOOKUP(B34,'Share, Heavy Weapons to Ukraine'!B:BU,COLUMN('Share, Heavy Weapons to Ukraine'!$AX$11)-1,FALSE)+VLOOKUP(B34,'Share, Heavy Weapons to Ukraine'!B:BU,COLUMN('Share, Heavy Weapons to Ukraine'!$BB$11)-1,FALSE)+VLOOKUP(B34,'Share, Heavy Weapons to Ukraine'!B:BU,COLUMN('Share, Heavy Weapons to Ukraine'!$BD$11)-1,FALSE)+VLOOKUP(B34,'Share, Heavy Weapons to Ukraine'!B:BU,COLUMN('Share, Heavy Weapons to Ukraine'!$BE$11)-1,FALSE))/4</f>
        <v>0</v>
      </c>
      <c r="E34" s="292">
        <f>(VLOOKUP(B34,'Share, Heavy Weapons to Ukraine'!B:BU,COLUMN('Share, Heavy Weapons to Ukraine'!$BL$11)-1,FALSE)+VLOOKUP(B34,'Share, Heavy Weapons to Ukraine'!B:BU,COLUMN('Share, Heavy Weapons to Ukraine'!$BR$11)-1,FALSE)+VLOOKUP(B34,'Share, Heavy Weapons to Ukraine'!B:BU,COLUMN('Share, Heavy Weapons to Ukraine'!$BS$11)-1,FALSE))/3</f>
        <v>0</v>
      </c>
      <c r="F34" s="292">
        <f t="shared" si="0"/>
        <v>0</v>
      </c>
      <c r="G34" s="292">
        <f>(VLOOKUP(B34,'Share, Heavy Weapons to Ukraine'!B:BU,COLUMN('Share, Heavy Weapons to Ukraine'!$AX$11)-1,FALSE)+VLOOKUP(B34,'Share, Heavy Weapons to Ukraine'!B:BU,COLUMN('Share, Heavy Weapons to Ukraine'!$BD$11)-1,FALSE)+VLOOKUP(B34,'Share, Heavy Weapons to Ukraine'!B:BU,COLUMN('Share, Heavy Weapons to Ukraine'!$BE$11)-1,FALSE))/3</f>
        <v>0</v>
      </c>
      <c r="H34" s="292">
        <f>(VLOOKUP(B34,'Share, Heavy Weapons to Ukraine'!B:BU,COLUMN('Share, Heavy Weapons to Ukraine'!$AX$11)-1,FALSE))</f>
        <v>0</v>
      </c>
      <c r="I34" s="292">
        <f>VLOOKUP(B34,'Share, Heavy Weapons to Ukraine'!B:BU,COLUMN('Share, Heavy Weapons to Ukraine'!$BD$11)-1,FALSE)</f>
        <v>0</v>
      </c>
      <c r="J34" s="292">
        <f>VLOOKUP(B34,'Share, Heavy Weapons to Ukraine'!B:BU,COLUMN('Share, Heavy Weapons to Ukraine'!$BE$11)-1,FALSE)</f>
        <v>0</v>
      </c>
      <c r="K34" s="292">
        <f>VLOOKUP(B34,'Share, Heavy Weapons to Ukraine'!B:BU,COLUMN('Share, Heavy Weapons to Ukraine'!$BG$11)-1,FALSE)</f>
        <v>0</v>
      </c>
      <c r="L34" s="292">
        <f>VLOOKUP(B34,'Share, Heavy Weapons to Ukraine'!B:BU,COLUMN('Share, Heavy Weapons to Ukraine'!$BH$11)-1,FALSE)</f>
        <v>0</v>
      </c>
      <c r="M34" s="292">
        <f>VLOOKUP(B34,'Share, Heavy Weapons to Ukraine'!B:BU,COLUMN('Share, Heavy Weapons to Ukraine'!$BI$11)-1,FALSE)</f>
        <v>0</v>
      </c>
      <c r="N34" s="292">
        <f>VLOOKUP(B34,'Share, Heavy Weapons to Ukraine'!B:BU,COLUMN('Share, Heavy Weapons to Ukraine'!$BJ$11)-1,FALSE)</f>
        <v>0</v>
      </c>
    </row>
    <row r="35" spans="2:14" ht="15.9" customHeight="1" x14ac:dyDescent="0.3">
      <c r="B35" s="2" t="s">
        <v>413</v>
      </c>
      <c r="C35" s="292">
        <f>(VLOOKUP(B35,'Share, Heavy Weapons to Ukraine'!B:BU,COLUMN('Share, Heavy Weapons to Ukraine'!$AX$11)-1,FALSE)+VLOOKUP(B35,'Share, Heavy Weapons to Ukraine'!B:BU,COLUMN('Share, Heavy Weapons to Ukraine'!$BC$11)-1,FALSE)+VLOOKUP(B35,'Share, Heavy Weapons to Ukraine'!B:BU,COLUMN('Share, Heavy Weapons to Ukraine'!$BD$11)-1,FALSE)+VLOOKUP(B35,'Share, Heavy Weapons to Ukraine'!B:BU,COLUMN('Share, Heavy Weapons to Ukraine'!$BE$11)-1,FALSE))/4</f>
        <v>0</v>
      </c>
      <c r="D35" s="292">
        <f>(VLOOKUP(B35,'Share, Heavy Weapons to Ukraine'!B:BU,COLUMN('Share, Heavy Weapons to Ukraine'!$AX$11)-1,FALSE)+VLOOKUP(B35,'Share, Heavy Weapons to Ukraine'!B:BU,COLUMN('Share, Heavy Weapons to Ukraine'!$BB$11)-1,FALSE)+VLOOKUP(B35,'Share, Heavy Weapons to Ukraine'!B:BU,COLUMN('Share, Heavy Weapons to Ukraine'!$BD$11)-1,FALSE)+VLOOKUP(B35,'Share, Heavy Weapons to Ukraine'!B:BU,COLUMN('Share, Heavy Weapons to Ukraine'!$BE$11)-1,FALSE))/4</f>
        <v>0</v>
      </c>
      <c r="E35" s="292">
        <f>(VLOOKUP(B35,'Share, Heavy Weapons to Ukraine'!B:BU,COLUMN('Share, Heavy Weapons to Ukraine'!$BL$11)-1,FALSE)+VLOOKUP(B35,'Share, Heavy Weapons to Ukraine'!B:BU,COLUMN('Share, Heavy Weapons to Ukraine'!$BR$11)-1,FALSE)+VLOOKUP(B35,'Share, Heavy Weapons to Ukraine'!B:BU,COLUMN('Share, Heavy Weapons to Ukraine'!$BS$11)-1,FALSE))/3</f>
        <v>0</v>
      </c>
      <c r="F35" s="292">
        <f t="shared" si="0"/>
        <v>0</v>
      </c>
      <c r="G35" s="292">
        <f>(VLOOKUP(B35,'Share, Heavy Weapons to Ukraine'!B:BU,COLUMN('Share, Heavy Weapons to Ukraine'!$AX$11)-1,FALSE)+VLOOKUP(B35,'Share, Heavy Weapons to Ukraine'!B:BU,COLUMN('Share, Heavy Weapons to Ukraine'!$BD$11)-1,FALSE)+VLOOKUP(B35,'Share, Heavy Weapons to Ukraine'!B:BU,COLUMN('Share, Heavy Weapons to Ukraine'!$BE$11)-1,FALSE))/3</f>
        <v>0</v>
      </c>
      <c r="H35" s="292">
        <f>(VLOOKUP(B35,'Share, Heavy Weapons to Ukraine'!B:BU,COLUMN('Share, Heavy Weapons to Ukraine'!$AX$11)-1,FALSE))</f>
        <v>0</v>
      </c>
      <c r="I35" s="292">
        <f>VLOOKUP(B35,'Share, Heavy Weapons to Ukraine'!B:BU,COLUMN('Share, Heavy Weapons to Ukraine'!$BD$11)-1,FALSE)</f>
        <v>0</v>
      </c>
      <c r="J35" s="292">
        <f>VLOOKUP(B35,'Share, Heavy Weapons to Ukraine'!B:BU,COLUMN('Share, Heavy Weapons to Ukraine'!$BE$11)-1,FALSE)</f>
        <v>0</v>
      </c>
      <c r="K35" s="292">
        <f>VLOOKUP(B35,'Share, Heavy Weapons to Ukraine'!B:BU,COLUMN('Share, Heavy Weapons to Ukraine'!$BG$11)-1,FALSE)</f>
        <v>0</v>
      </c>
      <c r="L35" s="292">
        <f>VLOOKUP(B35,'Share, Heavy Weapons to Ukraine'!B:BU,COLUMN('Share, Heavy Weapons to Ukraine'!$BH$11)-1,FALSE)</f>
        <v>0</v>
      </c>
      <c r="M35" s="292">
        <f>VLOOKUP(B35,'Share, Heavy Weapons to Ukraine'!B:BU,COLUMN('Share, Heavy Weapons to Ukraine'!$BI$11)-1,FALSE)</f>
        <v>0</v>
      </c>
      <c r="N35" s="292">
        <f>VLOOKUP(B35,'Share, Heavy Weapons to Ukraine'!B:BU,COLUMN('Share, Heavy Weapons to Ukraine'!$BJ$11)-1,FALSE)</f>
        <v>0</v>
      </c>
    </row>
    <row r="36" spans="2:14" ht="15.9" customHeight="1" x14ac:dyDescent="0.3">
      <c r="B36" s="2" t="s">
        <v>480</v>
      </c>
      <c r="C36" s="292">
        <f>(VLOOKUP(B36,'Share, Heavy Weapons to Ukraine'!B:BU,COLUMN('Share, Heavy Weapons to Ukraine'!$AX$11)-1,FALSE)+VLOOKUP(B36,'Share, Heavy Weapons to Ukraine'!B:BU,COLUMN('Share, Heavy Weapons to Ukraine'!$BC$11)-1,FALSE)+VLOOKUP(B36,'Share, Heavy Weapons to Ukraine'!B:BU,COLUMN('Share, Heavy Weapons to Ukraine'!$BD$11)-1,FALSE)+VLOOKUP(B36,'Share, Heavy Weapons to Ukraine'!B:BU,COLUMN('Share, Heavy Weapons to Ukraine'!$BE$11)-1,FALSE))/4</f>
        <v>0</v>
      </c>
      <c r="D36" s="292">
        <f>(VLOOKUP(B36,'Share, Heavy Weapons to Ukraine'!B:BU,COLUMN('Share, Heavy Weapons to Ukraine'!$AX$11)-1,FALSE)+VLOOKUP(B36,'Share, Heavy Weapons to Ukraine'!B:BU,COLUMN('Share, Heavy Weapons to Ukraine'!$BB$11)-1,FALSE)+VLOOKUP(B36,'Share, Heavy Weapons to Ukraine'!B:BU,COLUMN('Share, Heavy Weapons to Ukraine'!$BD$11)-1,FALSE)+VLOOKUP(B36,'Share, Heavy Weapons to Ukraine'!B:BU,COLUMN('Share, Heavy Weapons to Ukraine'!$BE$11)-1,FALSE))/4</f>
        <v>0</v>
      </c>
      <c r="E36" s="292">
        <f>(VLOOKUP(B36,'Share, Heavy Weapons to Ukraine'!B:BU,COLUMN('Share, Heavy Weapons to Ukraine'!$BL$11)-1,FALSE)+VLOOKUP(B36,'Share, Heavy Weapons to Ukraine'!B:BU,COLUMN('Share, Heavy Weapons to Ukraine'!$BR$11)-1,FALSE)+VLOOKUP(B36,'Share, Heavy Weapons to Ukraine'!B:BU,COLUMN('Share, Heavy Weapons to Ukraine'!$BS$11)-1,FALSE))/3</f>
        <v>0</v>
      </c>
      <c r="F36" s="292">
        <f t="shared" si="0"/>
        <v>0</v>
      </c>
      <c r="G36" s="292">
        <f>(VLOOKUP(B36,'Share, Heavy Weapons to Ukraine'!B:BU,COLUMN('Share, Heavy Weapons to Ukraine'!$AX$11)-1,FALSE)+VLOOKUP(B36,'Share, Heavy Weapons to Ukraine'!B:BU,COLUMN('Share, Heavy Weapons to Ukraine'!$BD$11)-1,FALSE)+VLOOKUP(B36,'Share, Heavy Weapons to Ukraine'!B:BU,COLUMN('Share, Heavy Weapons to Ukraine'!$BE$11)-1,FALSE))/3</f>
        <v>0</v>
      </c>
      <c r="H36" s="292">
        <f>(VLOOKUP(B36,'Share, Heavy Weapons to Ukraine'!B:BU,COLUMN('Share, Heavy Weapons to Ukraine'!$AX$11)-1,FALSE))</f>
        <v>0</v>
      </c>
      <c r="I36" s="292">
        <f>VLOOKUP(B36,'Share, Heavy Weapons to Ukraine'!B:BU,COLUMN('Share, Heavy Weapons to Ukraine'!$BD$11)-1,FALSE)</f>
        <v>0</v>
      </c>
      <c r="J36" s="292">
        <f>VLOOKUP(B36,'Share, Heavy Weapons to Ukraine'!B:BU,COLUMN('Share, Heavy Weapons to Ukraine'!$BE$11)-1,FALSE)</f>
        <v>0</v>
      </c>
      <c r="K36" s="292">
        <f>VLOOKUP(B36,'Share, Heavy Weapons to Ukraine'!B:BU,COLUMN('Share, Heavy Weapons to Ukraine'!$BG$11)-1,FALSE)</f>
        <v>0</v>
      </c>
      <c r="L36" s="292">
        <f>VLOOKUP(B36,'Share, Heavy Weapons to Ukraine'!B:BU,COLUMN('Share, Heavy Weapons to Ukraine'!$BH$11)-1,FALSE)</f>
        <v>0</v>
      </c>
      <c r="M36" s="292">
        <f>VLOOKUP(B36,'Share, Heavy Weapons to Ukraine'!B:BU,COLUMN('Share, Heavy Weapons to Ukraine'!$BI$11)-1,FALSE)</f>
        <v>0</v>
      </c>
      <c r="N36" s="292">
        <f>VLOOKUP(B36,'Share, Heavy Weapons to Ukraine'!B:BU,COLUMN('Share, Heavy Weapons to Ukraine'!$BJ$11)-1,FALSE)</f>
        <v>0</v>
      </c>
    </row>
    <row r="37" spans="2:14" ht="15.9" customHeight="1" x14ac:dyDescent="0.3">
      <c r="B37" s="2" t="s">
        <v>664</v>
      </c>
      <c r="C37" s="292">
        <f>(VLOOKUP(B37,'Share, Heavy Weapons to Ukraine'!B:BU,COLUMN('Share, Heavy Weapons to Ukraine'!$AX$11)-1,FALSE)+VLOOKUP(B37,'Share, Heavy Weapons to Ukraine'!B:BU,COLUMN('Share, Heavy Weapons to Ukraine'!$BC$11)-1,FALSE)+VLOOKUP(B37,'Share, Heavy Weapons to Ukraine'!B:BU,COLUMN('Share, Heavy Weapons to Ukraine'!$BD$11)-1,FALSE)+VLOOKUP(B37,'Share, Heavy Weapons to Ukraine'!B:BU,COLUMN('Share, Heavy Weapons to Ukraine'!$BE$11)-1,FALSE))/4</f>
        <v>0</v>
      </c>
      <c r="D37" s="292">
        <f>(VLOOKUP(B37,'Share, Heavy Weapons to Ukraine'!B:BU,COLUMN('Share, Heavy Weapons to Ukraine'!$AX$11)-1,FALSE)+VLOOKUP(B37,'Share, Heavy Weapons to Ukraine'!B:BU,COLUMN('Share, Heavy Weapons to Ukraine'!$BB$11)-1,FALSE)+VLOOKUP(B37,'Share, Heavy Weapons to Ukraine'!B:BU,COLUMN('Share, Heavy Weapons to Ukraine'!$BD$11)-1,FALSE)+VLOOKUP(B37,'Share, Heavy Weapons to Ukraine'!B:BU,COLUMN('Share, Heavy Weapons to Ukraine'!$BE$11)-1,FALSE))/4</f>
        <v>0</v>
      </c>
      <c r="E37" s="292">
        <f>(VLOOKUP(B37,'Share, Heavy Weapons to Ukraine'!B:BU,COLUMN('Share, Heavy Weapons to Ukraine'!$BL$11)-1,FALSE)+VLOOKUP(B37,'Share, Heavy Weapons to Ukraine'!B:BU,COLUMN('Share, Heavy Weapons to Ukraine'!$BR$11)-1,FALSE)+VLOOKUP(B37,'Share, Heavy Weapons to Ukraine'!B:BU,COLUMN('Share, Heavy Weapons to Ukraine'!$BS$11)-1,FALSE))/3</f>
        <v>0</v>
      </c>
      <c r="F37" s="292">
        <f t="shared" si="0"/>
        <v>0</v>
      </c>
      <c r="G37" s="292">
        <f>(VLOOKUP(B37,'Share, Heavy Weapons to Ukraine'!B:BU,COLUMN('Share, Heavy Weapons to Ukraine'!$AX$11)-1,FALSE)+VLOOKUP(B37,'Share, Heavy Weapons to Ukraine'!B:BU,COLUMN('Share, Heavy Weapons to Ukraine'!$BD$11)-1,FALSE)+VLOOKUP(B37,'Share, Heavy Weapons to Ukraine'!B:BU,COLUMN('Share, Heavy Weapons to Ukraine'!$BE$11)-1,FALSE))/3</f>
        <v>0</v>
      </c>
      <c r="H37" s="292">
        <f>(VLOOKUP(B37,'Share, Heavy Weapons to Ukraine'!B:BU,COLUMN('Share, Heavy Weapons to Ukraine'!$AX$11)-1,FALSE))</f>
        <v>0</v>
      </c>
      <c r="I37" s="292">
        <f>VLOOKUP(B37,'Share, Heavy Weapons to Ukraine'!B:BU,COLUMN('Share, Heavy Weapons to Ukraine'!$BD$11)-1,FALSE)</f>
        <v>0</v>
      </c>
      <c r="J37" s="292">
        <f>VLOOKUP(B37,'Share, Heavy Weapons to Ukraine'!B:BU,COLUMN('Share, Heavy Weapons to Ukraine'!$BE$11)-1,FALSE)</f>
        <v>0</v>
      </c>
      <c r="K37" s="292">
        <f>VLOOKUP(B37,'Share, Heavy Weapons to Ukraine'!B:BU,COLUMN('Share, Heavy Weapons to Ukraine'!$BG$11)-1,FALSE)</f>
        <v>0</v>
      </c>
      <c r="L37" s="292">
        <f>VLOOKUP(B37,'Share, Heavy Weapons to Ukraine'!B:BU,COLUMN('Share, Heavy Weapons to Ukraine'!$BH$11)-1,FALSE)</f>
        <v>0</v>
      </c>
      <c r="M37" s="292">
        <f>VLOOKUP(B37,'Share, Heavy Weapons to Ukraine'!B:BU,COLUMN('Share, Heavy Weapons to Ukraine'!$BI$11)-1,FALSE)</f>
        <v>0</v>
      </c>
      <c r="N37" s="292">
        <f>VLOOKUP(B37,'Share, Heavy Weapons to Ukraine'!B:BU,COLUMN('Share, Heavy Weapons to Ukraine'!$BJ$11)-1,FALSE)</f>
        <v>0</v>
      </c>
    </row>
    <row r="38" spans="2:14" ht="15.9" customHeight="1" x14ac:dyDescent="0.3">
      <c r="B38" s="2" t="s">
        <v>696</v>
      </c>
      <c r="C38" s="292">
        <f>(VLOOKUP(B38,'Share, Heavy Weapons to Ukraine'!B:BU,COLUMN('Share, Heavy Weapons to Ukraine'!$AX$11)-1,FALSE)+VLOOKUP(B38,'Share, Heavy Weapons to Ukraine'!B:BU,COLUMN('Share, Heavy Weapons to Ukraine'!$BC$11)-1,FALSE)+VLOOKUP(B38,'Share, Heavy Weapons to Ukraine'!B:BU,COLUMN('Share, Heavy Weapons to Ukraine'!$BD$11)-1,FALSE)+VLOOKUP(B38,'Share, Heavy Weapons to Ukraine'!B:BU,COLUMN('Share, Heavy Weapons to Ukraine'!$BE$11)-1,FALSE))/4</f>
        <v>0</v>
      </c>
      <c r="D38" s="292">
        <f>(VLOOKUP(B38,'Share, Heavy Weapons to Ukraine'!B:BU,COLUMN('Share, Heavy Weapons to Ukraine'!$AX$11)-1,FALSE)+VLOOKUP(B38,'Share, Heavy Weapons to Ukraine'!B:BU,COLUMN('Share, Heavy Weapons to Ukraine'!$BB$11)-1,FALSE)+VLOOKUP(B38,'Share, Heavy Weapons to Ukraine'!B:BU,COLUMN('Share, Heavy Weapons to Ukraine'!$BD$11)-1,FALSE)+VLOOKUP(B38,'Share, Heavy Weapons to Ukraine'!B:BU,COLUMN('Share, Heavy Weapons to Ukraine'!$BE$11)-1,FALSE))/4</f>
        <v>0</v>
      </c>
      <c r="E38" s="292">
        <f>(VLOOKUP(B38,'Share, Heavy Weapons to Ukraine'!B:BU,COLUMN('Share, Heavy Weapons to Ukraine'!$BL$11)-1,FALSE)+VLOOKUP(B38,'Share, Heavy Weapons to Ukraine'!B:BU,COLUMN('Share, Heavy Weapons to Ukraine'!$BR$11)-1,FALSE)+VLOOKUP(B38,'Share, Heavy Weapons to Ukraine'!B:BU,COLUMN('Share, Heavy Weapons to Ukraine'!$BS$11)-1,FALSE))/3</f>
        <v>0</v>
      </c>
      <c r="F38" s="292">
        <f t="shared" si="0"/>
        <v>0</v>
      </c>
      <c r="G38" s="292">
        <f>(VLOOKUP(B38,'Share, Heavy Weapons to Ukraine'!B:BU,COLUMN('Share, Heavy Weapons to Ukraine'!$AX$11)-1,FALSE)+VLOOKUP(B38,'Share, Heavy Weapons to Ukraine'!B:BU,COLUMN('Share, Heavy Weapons to Ukraine'!$BD$11)-1,FALSE)+VLOOKUP(B38,'Share, Heavy Weapons to Ukraine'!B:BU,COLUMN('Share, Heavy Weapons to Ukraine'!$BE$11)-1,FALSE))/3</f>
        <v>0</v>
      </c>
      <c r="H38" s="292">
        <f>(VLOOKUP(B38,'Share, Heavy Weapons to Ukraine'!B:BU,COLUMN('Share, Heavy Weapons to Ukraine'!$AX$11)-1,FALSE))</f>
        <v>0</v>
      </c>
      <c r="I38" s="292">
        <f>VLOOKUP(B38,'Share, Heavy Weapons to Ukraine'!B:BU,COLUMN('Share, Heavy Weapons to Ukraine'!$BD$11)-1,FALSE)</f>
        <v>0</v>
      </c>
      <c r="J38" s="292">
        <f>VLOOKUP(B38,'Share, Heavy Weapons to Ukraine'!B:BU,COLUMN('Share, Heavy Weapons to Ukraine'!$BE$11)-1,FALSE)</f>
        <v>0</v>
      </c>
      <c r="K38" s="292">
        <f>VLOOKUP(B38,'Share, Heavy Weapons to Ukraine'!B:BU,COLUMN('Share, Heavy Weapons to Ukraine'!$BG$11)-1,FALSE)</f>
        <v>0</v>
      </c>
      <c r="L38" s="292">
        <f>VLOOKUP(B38,'Share, Heavy Weapons to Ukraine'!B:BU,COLUMN('Share, Heavy Weapons to Ukraine'!$BH$11)-1,FALSE)</f>
        <v>0</v>
      </c>
      <c r="M38" s="292">
        <f>VLOOKUP(B38,'Share, Heavy Weapons to Ukraine'!B:BU,COLUMN('Share, Heavy Weapons to Ukraine'!$BI$11)-1,FALSE)</f>
        <v>0</v>
      </c>
      <c r="N38" s="292">
        <f>VLOOKUP(B38,'Share, Heavy Weapons to Ukraine'!B:BU,COLUMN('Share, Heavy Weapons to Ukraine'!$BJ$11)-1,FALSE)</f>
        <v>0</v>
      </c>
    </row>
    <row r="39" spans="2:14" ht="15.9" customHeight="1" x14ac:dyDescent="0.3">
      <c r="B39" s="2" t="s">
        <v>1025</v>
      </c>
      <c r="C39" s="292">
        <f>(VLOOKUP(B39,'Share, Heavy Weapons to Ukraine'!B:BU,COLUMN('Share, Heavy Weapons to Ukraine'!$AX$11)-1,FALSE)+VLOOKUP(B39,'Share, Heavy Weapons to Ukraine'!B:BU,COLUMN('Share, Heavy Weapons to Ukraine'!$BC$11)-1,FALSE)+VLOOKUP(B39,'Share, Heavy Weapons to Ukraine'!B:BU,COLUMN('Share, Heavy Weapons to Ukraine'!$BD$11)-1,FALSE)+VLOOKUP(B39,'Share, Heavy Weapons to Ukraine'!B:BU,COLUMN('Share, Heavy Weapons to Ukraine'!$BE$11)-1,FALSE))/4</f>
        <v>0</v>
      </c>
      <c r="D39" s="292">
        <f>(VLOOKUP(B39,'Share, Heavy Weapons to Ukraine'!B:BU,COLUMN('Share, Heavy Weapons to Ukraine'!$AX$11)-1,FALSE)+VLOOKUP(B39,'Share, Heavy Weapons to Ukraine'!B:BU,COLUMN('Share, Heavy Weapons to Ukraine'!$BB$11)-1,FALSE)+VLOOKUP(B39,'Share, Heavy Weapons to Ukraine'!B:BU,COLUMN('Share, Heavy Weapons to Ukraine'!$BD$11)-1,FALSE)+VLOOKUP(B39,'Share, Heavy Weapons to Ukraine'!B:BU,COLUMN('Share, Heavy Weapons to Ukraine'!$BE$11)-1,FALSE))/4</f>
        <v>0</v>
      </c>
      <c r="E39" s="292">
        <f>(VLOOKUP(B39,'Share, Heavy Weapons to Ukraine'!B:BU,COLUMN('Share, Heavy Weapons to Ukraine'!$BL$11)-1,FALSE)+VLOOKUP(B39,'Share, Heavy Weapons to Ukraine'!B:BU,COLUMN('Share, Heavy Weapons to Ukraine'!$BR$11)-1,FALSE)+VLOOKUP(B39,'Share, Heavy Weapons to Ukraine'!B:BU,COLUMN('Share, Heavy Weapons to Ukraine'!$BS$11)-1,FALSE))/3</f>
        <v>0</v>
      </c>
      <c r="F39" s="292">
        <f t="shared" si="0"/>
        <v>0</v>
      </c>
      <c r="G39" s="292">
        <f>(VLOOKUP(B39,'Share, Heavy Weapons to Ukraine'!B:BU,COLUMN('Share, Heavy Weapons to Ukraine'!$AX$11)-1,FALSE)+VLOOKUP(B39,'Share, Heavy Weapons to Ukraine'!B:BU,COLUMN('Share, Heavy Weapons to Ukraine'!$BD$11)-1,FALSE)+VLOOKUP(B39,'Share, Heavy Weapons to Ukraine'!B:BU,COLUMN('Share, Heavy Weapons to Ukraine'!$BE$11)-1,FALSE))/3</f>
        <v>0</v>
      </c>
      <c r="H39" s="292">
        <f>(VLOOKUP(B39,'Share, Heavy Weapons to Ukraine'!B:BU,COLUMN('Share, Heavy Weapons to Ukraine'!$AX$11)-1,FALSE))</f>
        <v>0</v>
      </c>
      <c r="I39" s="292">
        <f>VLOOKUP(B39,'Share, Heavy Weapons to Ukraine'!B:BU,COLUMN('Share, Heavy Weapons to Ukraine'!$BD$11)-1,FALSE)</f>
        <v>0</v>
      </c>
      <c r="J39" s="292">
        <f>VLOOKUP(B39,'Share, Heavy Weapons to Ukraine'!B:BU,COLUMN('Share, Heavy Weapons to Ukraine'!$BE$11)-1,FALSE)</f>
        <v>0</v>
      </c>
      <c r="K39" s="292">
        <f>VLOOKUP(B39,'Share, Heavy Weapons to Ukraine'!B:BU,COLUMN('Share, Heavy Weapons to Ukraine'!$BG$11)-1,FALSE)</f>
        <v>0</v>
      </c>
      <c r="L39" s="292">
        <f>VLOOKUP(B39,'Share, Heavy Weapons to Ukraine'!B:BU,COLUMN('Share, Heavy Weapons to Ukraine'!$BH$11)-1,FALSE)</f>
        <v>0</v>
      </c>
      <c r="M39" s="292">
        <f>VLOOKUP(B39,'Share, Heavy Weapons to Ukraine'!B:BU,COLUMN('Share, Heavy Weapons to Ukraine'!$BI$11)-1,FALSE)</f>
        <v>0</v>
      </c>
      <c r="N39" s="292">
        <f>VLOOKUP(B39,'Share, Heavy Weapons to Ukraine'!B:BU,COLUMN('Share, Heavy Weapons to Ukraine'!$BJ$11)-1,FALSE)</f>
        <v>0</v>
      </c>
    </row>
    <row r="40" spans="2:14" ht="15.9" customHeight="1" x14ac:dyDescent="0.3">
      <c r="B40" s="2" t="s">
        <v>1646</v>
      </c>
      <c r="C40" s="292">
        <f>(VLOOKUP(B40,'Share, Heavy Weapons to Ukraine'!B:BU,COLUMN('Share, Heavy Weapons to Ukraine'!$AX$11)-1,FALSE)+VLOOKUP(B40,'Share, Heavy Weapons to Ukraine'!B:BU,COLUMN('Share, Heavy Weapons to Ukraine'!$BC$11)-1,FALSE)+VLOOKUP(B40,'Share, Heavy Weapons to Ukraine'!B:BU,COLUMN('Share, Heavy Weapons to Ukraine'!$BD$11)-1,FALSE)+VLOOKUP(B40,'Share, Heavy Weapons to Ukraine'!B:BU,COLUMN('Share, Heavy Weapons to Ukraine'!$BE$11)-1,FALSE))/4</f>
        <v>0</v>
      </c>
      <c r="D40" s="292">
        <f>(VLOOKUP(B40,'Share, Heavy Weapons to Ukraine'!B:BU,COLUMN('Share, Heavy Weapons to Ukraine'!$AX$11)-1,FALSE)+VLOOKUP(B40,'Share, Heavy Weapons to Ukraine'!B:BU,COLUMN('Share, Heavy Weapons to Ukraine'!$BB$11)-1,FALSE)+VLOOKUP(B40,'Share, Heavy Weapons to Ukraine'!B:BU,COLUMN('Share, Heavy Weapons to Ukraine'!$BD$11)-1,FALSE)+VLOOKUP(B40,'Share, Heavy Weapons to Ukraine'!B:BU,COLUMN('Share, Heavy Weapons to Ukraine'!$BE$11)-1,FALSE))/4</f>
        <v>0</v>
      </c>
      <c r="E40" s="292">
        <f>(VLOOKUP(B40,'Share, Heavy Weapons to Ukraine'!B:BU,COLUMN('Share, Heavy Weapons to Ukraine'!$BL$11)-1,FALSE)+VLOOKUP(B40,'Share, Heavy Weapons to Ukraine'!B:BU,COLUMN('Share, Heavy Weapons to Ukraine'!$BR$11)-1,FALSE)+VLOOKUP(B40,'Share, Heavy Weapons to Ukraine'!B:BU,COLUMN('Share, Heavy Weapons to Ukraine'!$BS$11)-1,FALSE))/3</f>
        <v>0</v>
      </c>
      <c r="F40" s="292">
        <f t="shared" si="0"/>
        <v>0</v>
      </c>
      <c r="G40" s="292">
        <f>(VLOOKUP(B40,'Share, Heavy Weapons to Ukraine'!B:BU,COLUMN('Share, Heavy Weapons to Ukraine'!$AX$11)-1,FALSE)+VLOOKUP(B40,'Share, Heavy Weapons to Ukraine'!B:BU,COLUMN('Share, Heavy Weapons to Ukraine'!$BD$11)-1,FALSE)+VLOOKUP(B40,'Share, Heavy Weapons to Ukraine'!B:BU,COLUMN('Share, Heavy Weapons to Ukraine'!$BE$11)-1,FALSE))/3</f>
        <v>0</v>
      </c>
      <c r="H40" s="292">
        <f>(VLOOKUP(B40,'Share, Heavy Weapons to Ukraine'!B:BU,COLUMN('Share, Heavy Weapons to Ukraine'!$AX$11)-1,FALSE))</f>
        <v>0</v>
      </c>
      <c r="I40" s="292">
        <f>VLOOKUP(B40,'Share, Heavy Weapons to Ukraine'!B:BU,COLUMN('Share, Heavy Weapons to Ukraine'!$BD$11)-1,FALSE)</f>
        <v>0</v>
      </c>
      <c r="J40" s="292">
        <f>VLOOKUP(B40,'Share, Heavy Weapons to Ukraine'!B:BU,COLUMN('Share, Heavy Weapons to Ukraine'!$BE$11)-1,FALSE)</f>
        <v>0</v>
      </c>
      <c r="K40" s="292">
        <f>VLOOKUP(B40,'Share, Heavy Weapons to Ukraine'!B:BU,COLUMN('Share, Heavy Weapons to Ukraine'!$BG$11)-1,FALSE)</f>
        <v>0</v>
      </c>
      <c r="L40" s="292">
        <f>VLOOKUP(B40,'Share, Heavy Weapons to Ukraine'!B:BU,COLUMN('Share, Heavy Weapons to Ukraine'!$BH$11)-1,FALSE)</f>
        <v>0</v>
      </c>
      <c r="M40" s="292">
        <f>VLOOKUP(B40,'Share, Heavy Weapons to Ukraine'!B:BU,COLUMN('Share, Heavy Weapons to Ukraine'!$BI$11)-1,FALSE)</f>
        <v>0</v>
      </c>
      <c r="N40" s="292">
        <f>VLOOKUP(B40,'Share, Heavy Weapons to Ukraine'!B:BU,COLUMN('Share, Heavy Weapons to Ukraine'!$BJ$11)-1,FALSE)</f>
        <v>0</v>
      </c>
    </row>
    <row r="41" spans="2:14" ht="15.9" customHeight="1" x14ac:dyDescent="0.3">
      <c r="B41" s="2" t="s">
        <v>1701</v>
      </c>
      <c r="C41" s="292">
        <f>(VLOOKUP(B41,'Share, Heavy Weapons to Ukraine'!B:BU,COLUMN('Share, Heavy Weapons to Ukraine'!$AX$11)-1,FALSE)+VLOOKUP(B41,'Share, Heavy Weapons to Ukraine'!B:BU,COLUMN('Share, Heavy Weapons to Ukraine'!$BC$11)-1,FALSE)+VLOOKUP(B41,'Share, Heavy Weapons to Ukraine'!B:BU,COLUMN('Share, Heavy Weapons to Ukraine'!$BD$11)-1,FALSE)+VLOOKUP(B41,'Share, Heavy Weapons to Ukraine'!B:BU,COLUMN('Share, Heavy Weapons to Ukraine'!$BE$11)-1,FALSE))/4</f>
        <v>0</v>
      </c>
      <c r="D41" s="292">
        <f>(VLOOKUP(B41,'Share, Heavy Weapons to Ukraine'!B:BU,COLUMN('Share, Heavy Weapons to Ukraine'!$AX$11)-1,FALSE)+VLOOKUP(B41,'Share, Heavy Weapons to Ukraine'!B:BU,COLUMN('Share, Heavy Weapons to Ukraine'!$BB$11)-1,FALSE)+VLOOKUP(B41,'Share, Heavy Weapons to Ukraine'!B:BU,COLUMN('Share, Heavy Weapons to Ukraine'!$BD$11)-1,FALSE)+VLOOKUP(B41,'Share, Heavy Weapons to Ukraine'!B:BU,COLUMN('Share, Heavy Weapons to Ukraine'!$BE$11)-1,FALSE))/4</f>
        <v>0</v>
      </c>
      <c r="E41" s="292">
        <f>(VLOOKUP(B41,'Share, Heavy Weapons to Ukraine'!B:BU,COLUMN('Share, Heavy Weapons to Ukraine'!$BL$11)-1,FALSE)+VLOOKUP(B41,'Share, Heavy Weapons to Ukraine'!B:BU,COLUMN('Share, Heavy Weapons to Ukraine'!$BR$11)-1,FALSE)+VLOOKUP(B41,'Share, Heavy Weapons to Ukraine'!B:BU,COLUMN('Share, Heavy Weapons to Ukraine'!$BS$11)-1,FALSE))/3</f>
        <v>0</v>
      </c>
      <c r="F41" s="292">
        <f t="shared" si="0"/>
        <v>0</v>
      </c>
      <c r="G41" s="292">
        <f>(VLOOKUP(B41,'Share, Heavy Weapons to Ukraine'!B:BU,COLUMN('Share, Heavy Weapons to Ukraine'!$AX$11)-1,FALSE)+VLOOKUP(B41,'Share, Heavy Weapons to Ukraine'!B:BU,COLUMN('Share, Heavy Weapons to Ukraine'!$BD$11)-1,FALSE)+VLOOKUP(B41,'Share, Heavy Weapons to Ukraine'!B:BU,COLUMN('Share, Heavy Weapons to Ukraine'!$BE$11)-1,FALSE))/3</f>
        <v>0</v>
      </c>
      <c r="H41" s="292">
        <f>(VLOOKUP(B41,'Share, Heavy Weapons to Ukraine'!B:BU,COLUMN('Share, Heavy Weapons to Ukraine'!$AX$11)-1,FALSE))</f>
        <v>0</v>
      </c>
      <c r="I41" s="292">
        <f>VLOOKUP(B41,'Share, Heavy Weapons to Ukraine'!B:BU,COLUMN('Share, Heavy Weapons to Ukraine'!$BD$11)-1,FALSE)</f>
        <v>0</v>
      </c>
      <c r="J41" s="292">
        <f>VLOOKUP(B41,'Share, Heavy Weapons to Ukraine'!B:BU,COLUMN('Share, Heavy Weapons to Ukraine'!$BE$11)-1,FALSE)</f>
        <v>0</v>
      </c>
      <c r="K41" s="292">
        <f>VLOOKUP(B41,'Share, Heavy Weapons to Ukraine'!B:BU,COLUMN('Share, Heavy Weapons to Ukraine'!$BG$11)-1,FALSE)</f>
        <v>0</v>
      </c>
      <c r="L41" s="292">
        <f>VLOOKUP(B41,'Share, Heavy Weapons to Ukraine'!B:BU,COLUMN('Share, Heavy Weapons to Ukraine'!$BH$11)-1,FALSE)</f>
        <v>0</v>
      </c>
      <c r="M41" s="292">
        <f>VLOOKUP(B41,'Share, Heavy Weapons to Ukraine'!B:BU,COLUMN('Share, Heavy Weapons to Ukraine'!$BI$11)-1,FALSE)</f>
        <v>0</v>
      </c>
      <c r="N41" s="292">
        <f>VLOOKUP(B41,'Share, Heavy Weapons to Ukraine'!B:BU,COLUMN('Share, Heavy Weapons to Ukraine'!$BJ$11)-1,FALSE)</f>
        <v>0</v>
      </c>
    </row>
    <row r="42" spans="2:14" ht="15.9" customHeight="1" x14ac:dyDescent="0.3">
      <c r="B42" s="2" t="s">
        <v>2024</v>
      </c>
      <c r="C42" s="292">
        <f>(VLOOKUP(B42,'Share, Heavy Weapons to Ukraine'!B:BU,COLUMN('Share, Heavy Weapons to Ukraine'!$AX$11)-1,FALSE)+VLOOKUP(B42,'Share, Heavy Weapons to Ukraine'!B:BU,COLUMN('Share, Heavy Weapons to Ukraine'!$BC$11)-1,FALSE)+VLOOKUP(B42,'Share, Heavy Weapons to Ukraine'!B:BU,COLUMN('Share, Heavy Weapons to Ukraine'!$BD$11)-1,FALSE)+VLOOKUP(B42,'Share, Heavy Weapons to Ukraine'!B:BU,COLUMN('Share, Heavy Weapons to Ukraine'!$BE$11)-1,FALSE))/4</f>
        <v>0.18229166666666666</v>
      </c>
      <c r="D42" s="292">
        <f>(VLOOKUP(B42,'Share, Heavy Weapons to Ukraine'!B:BU,COLUMN('Share, Heavy Weapons to Ukraine'!$AX$11)-1,FALSE)+VLOOKUP(B42,'Share, Heavy Weapons to Ukraine'!B:BU,COLUMN('Share, Heavy Weapons to Ukraine'!$BB$11)-1,FALSE)+VLOOKUP(B42,'Share, Heavy Weapons to Ukraine'!B:BU,COLUMN('Share, Heavy Weapons to Ukraine'!$BD$11)-1,FALSE)+VLOOKUP(B42,'Share, Heavy Weapons to Ukraine'!B:BU,COLUMN('Share, Heavy Weapons to Ukraine'!$BE$11)-1,FALSE))/4</f>
        <v>0</v>
      </c>
      <c r="E42" s="292">
        <f>(VLOOKUP(B42,'Share, Heavy Weapons to Ukraine'!B:BU,COLUMN('Share, Heavy Weapons to Ukraine'!$BL$11)-1,FALSE)+VLOOKUP(B42,'Share, Heavy Weapons to Ukraine'!B:BU,COLUMN('Share, Heavy Weapons to Ukraine'!$BR$11)-1,FALSE)+VLOOKUP(B42,'Share, Heavy Weapons to Ukraine'!B:BU,COLUMN('Share, Heavy Weapons to Ukraine'!$BS$11)-1,FALSE))/3</f>
        <v>0</v>
      </c>
      <c r="F42" s="292">
        <f t="shared" si="0"/>
        <v>0</v>
      </c>
      <c r="G42" s="292">
        <f>(VLOOKUP(B42,'Share, Heavy Weapons to Ukraine'!B:BU,COLUMN('Share, Heavy Weapons to Ukraine'!$AX$11)-1,FALSE)+VLOOKUP(B42,'Share, Heavy Weapons to Ukraine'!B:BU,COLUMN('Share, Heavy Weapons to Ukraine'!$BD$11)-1,FALSE)+VLOOKUP(B42,'Share, Heavy Weapons to Ukraine'!B:BU,COLUMN('Share, Heavy Weapons to Ukraine'!$BE$11)-1,FALSE))/3</f>
        <v>0</v>
      </c>
      <c r="H42" s="292">
        <f>(VLOOKUP(B42,'Share, Heavy Weapons to Ukraine'!B:BU,COLUMN('Share, Heavy Weapons to Ukraine'!$AX$11)-1,FALSE))</f>
        <v>0</v>
      </c>
      <c r="I42" s="292">
        <f>VLOOKUP(B42,'Share, Heavy Weapons to Ukraine'!B:BU,COLUMN('Share, Heavy Weapons to Ukraine'!$BD$11)-1,FALSE)</f>
        <v>0</v>
      </c>
      <c r="J42" s="292">
        <f>VLOOKUP(B42,'Share, Heavy Weapons to Ukraine'!B:BU,COLUMN('Share, Heavy Weapons to Ukraine'!$BE$11)-1,FALSE)</f>
        <v>0</v>
      </c>
      <c r="K42" s="292">
        <f>VLOOKUP(B42,'Share, Heavy Weapons to Ukraine'!B:BU,COLUMN('Share, Heavy Weapons to Ukraine'!$BG$11)-1,FALSE)</f>
        <v>0</v>
      </c>
      <c r="L42" s="292">
        <f>VLOOKUP(B42,'Share, Heavy Weapons to Ukraine'!B:BU,COLUMN('Share, Heavy Weapons to Ukraine'!$BH$11)-1,FALSE)</f>
        <v>0</v>
      </c>
      <c r="M42" s="292">
        <f>VLOOKUP(B42,'Share, Heavy Weapons to Ukraine'!B:BU,COLUMN('Share, Heavy Weapons to Ukraine'!$BI$11)-1,FALSE)</f>
        <v>0</v>
      </c>
      <c r="N42" s="292">
        <f>VLOOKUP(B42,'Share, Heavy Weapons to Ukraine'!B:BU,COLUMN('Share, Heavy Weapons to Ukraine'!$BJ$11)-1,FALSE)</f>
        <v>0</v>
      </c>
    </row>
    <row r="43" spans="2:14" ht="15.9" customHeight="1" x14ac:dyDescent="0.3">
      <c r="B43" s="2" t="s">
        <v>2460</v>
      </c>
      <c r="C43" s="292">
        <f>(VLOOKUP(B43,'Share, Heavy Weapons to Ukraine'!B:BU,COLUMN('Share, Heavy Weapons to Ukraine'!$AX$11)-1,FALSE)+VLOOKUP(B43,'Share, Heavy Weapons to Ukraine'!B:BU,COLUMN('Share, Heavy Weapons to Ukraine'!$BC$11)-1,FALSE)+VLOOKUP(B43,'Share, Heavy Weapons to Ukraine'!B:BU,COLUMN('Share, Heavy Weapons to Ukraine'!$BD$11)-1,FALSE)+VLOOKUP(B43,'Share, Heavy Weapons to Ukraine'!B:BU,COLUMN('Share, Heavy Weapons to Ukraine'!$BE$11)-1,FALSE))/4</f>
        <v>0</v>
      </c>
      <c r="D43" s="292">
        <f>(VLOOKUP(B43,'Share, Heavy Weapons to Ukraine'!B:BU,COLUMN('Share, Heavy Weapons to Ukraine'!$AX$11)-1,FALSE)+VLOOKUP(B43,'Share, Heavy Weapons to Ukraine'!B:BU,COLUMN('Share, Heavy Weapons to Ukraine'!$BB$11)-1,FALSE)+VLOOKUP(B43,'Share, Heavy Weapons to Ukraine'!B:BU,COLUMN('Share, Heavy Weapons to Ukraine'!$BD$11)-1,FALSE)+VLOOKUP(B43,'Share, Heavy Weapons to Ukraine'!B:BU,COLUMN('Share, Heavy Weapons to Ukraine'!$BE$11)-1,FALSE))/4</f>
        <v>0</v>
      </c>
      <c r="E43" s="292">
        <f>(VLOOKUP(B43,'Share, Heavy Weapons to Ukraine'!B:BU,COLUMN('Share, Heavy Weapons to Ukraine'!$BL$11)-1,FALSE)+VLOOKUP(B43,'Share, Heavy Weapons to Ukraine'!B:BU,COLUMN('Share, Heavy Weapons to Ukraine'!$BR$11)-1,FALSE)+VLOOKUP(B43,'Share, Heavy Weapons to Ukraine'!B:BU,COLUMN('Share, Heavy Weapons to Ukraine'!$BS$11)-1,FALSE))/3</f>
        <v>0</v>
      </c>
      <c r="F43" s="292">
        <f t="shared" si="0"/>
        <v>0</v>
      </c>
      <c r="G43" s="292">
        <f>(VLOOKUP(B43,'Share, Heavy Weapons to Ukraine'!B:BU,COLUMN('Share, Heavy Weapons to Ukraine'!$AX$11)-1,FALSE)+VLOOKUP(B43,'Share, Heavy Weapons to Ukraine'!B:BU,COLUMN('Share, Heavy Weapons to Ukraine'!$BD$11)-1,FALSE)+VLOOKUP(B43,'Share, Heavy Weapons to Ukraine'!B:BU,COLUMN('Share, Heavy Weapons to Ukraine'!$BE$11)-1,FALSE))/3</f>
        <v>0</v>
      </c>
      <c r="H43" s="292">
        <f>(VLOOKUP(B43,'Share, Heavy Weapons to Ukraine'!B:BU,COLUMN('Share, Heavy Weapons to Ukraine'!$AX$11)-1,FALSE))</f>
        <v>0</v>
      </c>
      <c r="I43" s="292">
        <f>VLOOKUP(B43,'Share, Heavy Weapons to Ukraine'!B:BU,COLUMN('Share, Heavy Weapons to Ukraine'!$BD$11)-1,FALSE)</f>
        <v>0</v>
      </c>
      <c r="J43" s="292">
        <f>VLOOKUP(B43,'Share, Heavy Weapons to Ukraine'!B:BU,COLUMN('Share, Heavy Weapons to Ukraine'!$BE$11)-1,FALSE)</f>
        <v>0</v>
      </c>
      <c r="K43" s="292">
        <f>VLOOKUP(B43,'Share, Heavy Weapons to Ukraine'!B:BU,COLUMN('Share, Heavy Weapons to Ukraine'!$BG$11)-1,FALSE)</f>
        <v>0</v>
      </c>
      <c r="L43" s="292">
        <f>VLOOKUP(B43,'Share, Heavy Weapons to Ukraine'!B:BU,COLUMN('Share, Heavy Weapons to Ukraine'!$BH$11)-1,FALSE)</f>
        <v>0</v>
      </c>
      <c r="M43" s="292">
        <f>VLOOKUP(B43,'Share, Heavy Weapons to Ukraine'!B:BU,COLUMN('Share, Heavy Weapons to Ukraine'!$BI$11)-1,FALSE)</f>
        <v>0</v>
      </c>
      <c r="N43" s="292">
        <f>VLOOKUP(B43,'Share, Heavy Weapons to Ukraine'!B:BU,COLUMN('Share, Heavy Weapons to Ukraine'!$BJ$11)-1,FALSE)</f>
        <v>0</v>
      </c>
    </row>
    <row r="44" spans="2:14" ht="15.9" customHeight="1" x14ac:dyDescent="0.3">
      <c r="B44" s="132" t="s">
        <v>2715</v>
      </c>
      <c r="C44" s="293">
        <f>(VLOOKUP(B44,'Share, Heavy Weapons to Ukraine'!B:BU,COLUMN('Share, Heavy Weapons to Ukraine'!$AX$11)-1,FALSE)+VLOOKUP(B44,'Share, Heavy Weapons to Ukraine'!B:BU,COLUMN('Share, Heavy Weapons to Ukraine'!$BC$11)-1,FALSE)+VLOOKUP(B44,'Share, Heavy Weapons to Ukraine'!B:BU,COLUMN('Share, Heavy Weapons to Ukraine'!$BD$11)-1,FALSE)+VLOOKUP(B44,'Share, Heavy Weapons to Ukraine'!B:BU,COLUMN('Share, Heavy Weapons to Ukraine'!$BE$11)-1,FALSE))/4</f>
        <v>0</v>
      </c>
      <c r="D44" s="293">
        <f>(VLOOKUP(B44,'Share, Heavy Weapons to Ukraine'!B:BU,COLUMN('Share, Heavy Weapons to Ukraine'!$AX$11)-1,FALSE)+VLOOKUP(B44,'Share, Heavy Weapons to Ukraine'!B:BU,COLUMN('Share, Heavy Weapons to Ukraine'!$BB$11)-1,FALSE)+VLOOKUP(B44,'Share, Heavy Weapons to Ukraine'!B:BU,COLUMN('Share, Heavy Weapons to Ukraine'!$BD$11)-1,FALSE)+VLOOKUP(B44,'Share, Heavy Weapons to Ukraine'!B:BU,COLUMN('Share, Heavy Weapons to Ukraine'!$BE$11)-1,FALSE))/4</f>
        <v>0</v>
      </c>
      <c r="E44" s="293">
        <f>(VLOOKUP(B44,'Share, Heavy Weapons to Ukraine'!B:BU,COLUMN('Share, Heavy Weapons to Ukraine'!$BL$11)-1,FALSE)+VLOOKUP(B44,'Share, Heavy Weapons to Ukraine'!B:BU,COLUMN('Share, Heavy Weapons to Ukraine'!$BR$11)-1,FALSE)+VLOOKUP(B44,'Share, Heavy Weapons to Ukraine'!B:BU,COLUMN('Share, Heavy Weapons to Ukraine'!$BS$11)-1,FALSE))/3</f>
        <v>0</v>
      </c>
      <c r="F44" s="293">
        <f t="shared" si="0"/>
        <v>0</v>
      </c>
      <c r="G44" s="293">
        <f>(VLOOKUP(B44,'Share, Heavy Weapons to Ukraine'!B:BU,COLUMN('Share, Heavy Weapons to Ukraine'!$AX$11)-1,FALSE)+VLOOKUP(B44,'Share, Heavy Weapons to Ukraine'!B:BU,COLUMN('Share, Heavy Weapons to Ukraine'!$BD$11)-1,FALSE)+VLOOKUP(B44,'Share, Heavy Weapons to Ukraine'!B:BU,COLUMN('Share, Heavy Weapons to Ukraine'!$BE$11)-1,FALSE))/3</f>
        <v>0</v>
      </c>
      <c r="H44" s="293">
        <f>(VLOOKUP(B44,'Share, Heavy Weapons to Ukraine'!B:BU,COLUMN('Share, Heavy Weapons to Ukraine'!$AX$11)-1,FALSE))</f>
        <v>0</v>
      </c>
      <c r="I44" s="293">
        <f>VLOOKUP(B44,'Share, Heavy Weapons to Ukraine'!B:BU,COLUMN('Share, Heavy Weapons to Ukraine'!$BD$11)-1,FALSE)</f>
        <v>0</v>
      </c>
      <c r="J44" s="293">
        <f>VLOOKUP(B44,'Share, Heavy Weapons to Ukraine'!B:BU,COLUMN('Share, Heavy Weapons to Ukraine'!$BE$11)-1,FALSE)</f>
        <v>0</v>
      </c>
      <c r="K44" s="294">
        <f>VLOOKUP(B44,'Share, Heavy Weapons to Ukraine'!B:BU,COLUMN('Share, Heavy Weapons to Ukraine'!$BG$11)-1,FALSE)</f>
        <v>0</v>
      </c>
      <c r="L44" s="294">
        <f>VLOOKUP(B44,'Share, Heavy Weapons to Ukraine'!B:BU,COLUMN('Share, Heavy Weapons to Ukraine'!$BH$11)-1,FALSE)</f>
        <v>0</v>
      </c>
      <c r="M44" s="294">
        <f>VLOOKUP(B44,'Share, Heavy Weapons to Ukraine'!B:BU,COLUMN('Share, Heavy Weapons to Ukraine'!$BI$11)-1,FALSE)</f>
        <v>0</v>
      </c>
      <c r="N44" s="294">
        <f>VLOOKUP(B44,'Share, Heavy Weapons to Ukraine'!B:BU,COLUMN('Share, Heavy Weapons to Ukraine'!$BJ$11)-1,FALSE)</f>
        <v>0</v>
      </c>
    </row>
  </sheetData>
  <autoFilter ref="B11:N11" xr:uid="{00000000-0009-0000-0000-000013000000}">
    <sortState ref="B12:N44">
      <sortCondition descending="1" ref="G11"/>
    </sortState>
  </autoFilter>
  <sortState ref="B12:N44">
    <sortCondition descending="1" ref="G12:G44"/>
  </sortState>
  <mergeCells count="1">
    <mergeCell ref="B4:E9"/>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B4C6E7"/>
  </sheetPr>
  <dimension ref="A1:T39"/>
  <sheetViews>
    <sheetView showGridLines="0" zoomScaleNormal="100" workbookViewId="0"/>
  </sheetViews>
  <sheetFormatPr baseColWidth="10" defaultColWidth="11.5" defaultRowHeight="15.75" customHeight="1" x14ac:dyDescent="0.3"/>
  <cols>
    <col min="1" max="1" width="8.59765625" style="2" customWidth="1"/>
    <col min="2" max="2" width="45.59765625" style="168" customWidth="1"/>
    <col min="3" max="3" width="42.59765625" style="168" customWidth="1"/>
    <col min="4" max="4" width="46" style="168" customWidth="1"/>
    <col min="5" max="5" width="41.59765625" style="168" customWidth="1"/>
    <col min="6" max="6" width="40.59765625" style="169" customWidth="1"/>
    <col min="7" max="11" width="13.59765625" style="168" customWidth="1"/>
    <col min="12" max="12" width="14.5" style="168" customWidth="1"/>
    <col min="13" max="13" width="14.59765625" style="168" customWidth="1"/>
    <col min="14" max="14" width="12.5" style="168" customWidth="1"/>
    <col min="15" max="15" width="12.59765625" style="168" customWidth="1"/>
    <col min="16" max="16" width="12.09765625" style="168" customWidth="1"/>
    <col min="17" max="17" width="11.5" style="168" customWidth="1"/>
    <col min="18" max="16384" width="11.5" style="168"/>
  </cols>
  <sheetData>
    <row r="1" spans="1:20" ht="15.6" x14ac:dyDescent="0.3">
      <c r="A1" s="35"/>
    </row>
    <row r="2" spans="1:20" s="641" customFormat="1" ht="24.75" customHeight="1" x14ac:dyDescent="0.3">
      <c r="A2" s="639"/>
      <c r="B2" s="640" t="s">
        <v>3656</v>
      </c>
      <c r="F2" s="1031"/>
    </row>
    <row r="3" spans="1:20" s="164" customFormat="1" ht="15.9" customHeight="1" x14ac:dyDescent="0.35">
      <c r="A3" s="35"/>
      <c r="B3" s="165"/>
      <c r="E3" s="166"/>
      <c r="F3" s="1032"/>
      <c r="G3" s="166"/>
      <c r="H3" s="166"/>
      <c r="I3" s="166"/>
      <c r="J3" s="166"/>
      <c r="K3" s="166"/>
    </row>
    <row r="4" spans="1:20" s="164" customFormat="1" ht="15.9" customHeight="1" x14ac:dyDescent="0.35">
      <c r="A4" s="35"/>
      <c r="B4" s="1177" t="s">
        <v>3657</v>
      </c>
      <c r="C4" s="1177"/>
      <c r="D4" s="1177"/>
      <c r="E4" s="444"/>
      <c r="F4" s="1033"/>
      <c r="G4" s="444"/>
      <c r="H4" s="444"/>
      <c r="I4" s="166"/>
      <c r="J4" s="166"/>
      <c r="K4" s="166"/>
    </row>
    <row r="5" spans="1:20" s="164" customFormat="1" ht="15.9" customHeight="1" x14ac:dyDescent="0.35">
      <c r="A5" s="35"/>
      <c r="B5" s="1177"/>
      <c r="C5" s="1177"/>
      <c r="D5" s="1177"/>
      <c r="E5" s="444"/>
      <c r="F5" s="1033"/>
      <c r="G5" s="444"/>
      <c r="H5" s="444"/>
      <c r="I5" s="166"/>
      <c r="J5" s="166"/>
      <c r="K5" s="166"/>
    </row>
    <row r="6" spans="1:20" s="164" customFormat="1" ht="15.9" customHeight="1" x14ac:dyDescent="0.35">
      <c r="A6" s="35"/>
      <c r="B6" s="1177"/>
      <c r="C6" s="1177"/>
      <c r="D6" s="1177"/>
      <c r="E6" s="444"/>
      <c r="F6" s="1033"/>
      <c r="G6" s="444"/>
      <c r="H6" s="444"/>
      <c r="I6" s="166"/>
      <c r="J6" s="166"/>
      <c r="K6" s="166"/>
    </row>
    <row r="7" spans="1:20" s="164" customFormat="1" ht="15.9" customHeight="1" x14ac:dyDescent="0.35">
      <c r="A7" s="35"/>
      <c r="B7" s="1177"/>
      <c r="C7" s="1177"/>
      <c r="D7" s="1177"/>
      <c r="E7" s="444"/>
      <c r="F7" s="1033"/>
      <c r="G7" s="444"/>
      <c r="H7" s="444"/>
      <c r="I7" s="166"/>
      <c r="J7" s="166"/>
      <c r="K7" s="166"/>
    </row>
    <row r="8" spans="1:20" s="164" customFormat="1" ht="15.9" customHeight="1" x14ac:dyDescent="0.35">
      <c r="A8" s="35"/>
      <c r="B8" s="1177"/>
      <c r="C8" s="1177"/>
      <c r="D8" s="1177"/>
      <c r="E8" s="444"/>
      <c r="F8" s="1033"/>
      <c r="G8" s="444"/>
      <c r="H8" s="444"/>
      <c r="I8" s="166"/>
      <c r="J8" s="166"/>
      <c r="K8" s="166"/>
    </row>
    <row r="9" spans="1:20" s="164" customFormat="1" ht="15.9" customHeight="1" x14ac:dyDescent="0.35">
      <c r="A9" s="35"/>
      <c r="B9" s="1177"/>
      <c r="C9" s="1177"/>
      <c r="D9" s="1177"/>
      <c r="E9" s="444"/>
      <c r="F9" s="1033"/>
      <c r="G9" s="444"/>
      <c r="H9" s="444"/>
      <c r="I9" s="166"/>
      <c r="J9" s="166"/>
      <c r="K9" s="166"/>
    </row>
    <row r="10" spans="1:20" s="164" customFormat="1" ht="15.9" customHeight="1" x14ac:dyDescent="0.35">
      <c r="A10" s="35"/>
      <c r="B10" s="165"/>
      <c r="E10" s="166"/>
      <c r="F10" s="1032"/>
      <c r="G10" s="166"/>
      <c r="H10" s="166"/>
      <c r="I10" s="166"/>
      <c r="J10" s="166"/>
      <c r="K10" s="166"/>
    </row>
    <row r="11" spans="1:20" s="420" customFormat="1" ht="24.75" customHeight="1" x14ac:dyDescent="0.3">
      <c r="A11" s="417"/>
      <c r="B11" s="271" t="s">
        <v>3658</v>
      </c>
      <c r="C11" s="498" t="s">
        <v>3659</v>
      </c>
      <c r="D11" s="498" t="s">
        <v>3660</v>
      </c>
      <c r="E11" s="498" t="s">
        <v>3661</v>
      </c>
      <c r="F11" s="1034" t="s">
        <v>3662</v>
      </c>
      <c r="G11" s="418"/>
      <c r="H11" s="419" t="s">
        <v>3663</v>
      </c>
      <c r="K11" s="421"/>
      <c r="L11" s="421"/>
      <c r="M11" s="421"/>
      <c r="N11" s="421"/>
      <c r="O11" s="421"/>
      <c r="P11" s="421"/>
      <c r="Q11" s="421"/>
      <c r="R11" s="421"/>
      <c r="S11" s="421"/>
      <c r="T11" s="421"/>
    </row>
    <row r="12" spans="1:20" ht="15.6" customHeight="1" x14ac:dyDescent="0.3">
      <c r="A12" s="860">
        <v>2</v>
      </c>
      <c r="B12" s="797" t="s">
        <v>3664</v>
      </c>
      <c r="C12" s="169">
        <f>SUMIFS('Bilateral Assistance, MAIN DATA'!S:S,'Bilateral Assistance, MAIN DATA'!AG:AG,1,'Bilateral Assistance, MAIN DATA'!AH:AH,A12, 'Bilateral Assistance, MAIN DATA'!D:D,"Financial")/1000000000</f>
        <v>3.7942378092500326</v>
      </c>
      <c r="D12" s="169">
        <f>SUMIFS('Bilateral Assistance, MAIN DATA'!S:S,'Bilateral Assistance, MAIN DATA'!AG:AG,1,'Bilateral Assistance, MAIN DATA'!AH:AH,A12, 'Bilateral Assistance, MAIN DATA'!D:D,"Humanitarian")/1000000000</f>
        <v>0.14428778367071288</v>
      </c>
      <c r="E12" s="169">
        <f>(SUMIFS('Bilateral Assistance, MAIN DATA'!S:S,'Bilateral Assistance, MAIN DATA'!AG:AG,1,'Bilateral Assistance, MAIN DATA'!AH:AH,A12, 'Bilateral Assistance, MAIN DATA'!D:D,"Military")/1000000000)</f>
        <v>1.1681259115415397</v>
      </c>
      <c r="F12" s="169">
        <f t="shared" ref="F12:F22" si="0">SUM(C12:E12)</f>
        <v>5.1066515044622856</v>
      </c>
      <c r="G12" s="169"/>
    </row>
    <row r="13" spans="1:20" ht="15.6" customHeight="1" x14ac:dyDescent="0.3">
      <c r="A13" s="860">
        <v>3</v>
      </c>
      <c r="B13" s="797" t="s">
        <v>3665</v>
      </c>
      <c r="C13" s="169">
        <f>SUMIFS('Bilateral Assistance, MAIN DATA'!S:S,'Bilateral Assistance, MAIN DATA'!AG:AG,1,'Bilateral Assistance, MAIN DATA'!AH:AH,A13, 'Bilateral Assistance, MAIN DATA'!D:D,"Financial")/1000000000</f>
        <v>3.4938143034158844</v>
      </c>
      <c r="D13" s="169">
        <f>SUMIFS('Bilateral Assistance, MAIN DATA'!S:S,'Bilateral Assistance, MAIN DATA'!AG:AG,1,'Bilateral Assistance, MAIN DATA'!AH:AH,A13, 'Bilateral Assistance, MAIN DATA'!D:D,"Humanitarian")/1000000000</f>
        <v>1.3222544875670186</v>
      </c>
      <c r="E13" s="169">
        <f>(SUMIFS('Bilateral Assistance, MAIN DATA'!S:S,'Bilateral Assistance, MAIN DATA'!AG:AG,1,'Bilateral Assistance, MAIN DATA'!AH:AH,A13, 'Bilateral Assistance, MAIN DATA'!D:D,"Military")/1000000000)</f>
        <v>10.078442073743883</v>
      </c>
      <c r="F13" s="169">
        <f t="shared" si="0"/>
        <v>14.894510864726787</v>
      </c>
      <c r="H13" s="170"/>
      <c r="I13" s="170"/>
      <c r="J13" s="170"/>
      <c r="K13" s="170"/>
      <c r="L13" s="170"/>
    </row>
    <row r="14" spans="1:20" ht="15.6" x14ac:dyDescent="0.3">
      <c r="A14" s="860">
        <v>4</v>
      </c>
      <c r="B14" s="797" t="s">
        <v>3666</v>
      </c>
      <c r="C14" s="169">
        <f>SUMIFS('Bilateral Assistance, MAIN DATA'!S:S,'Bilateral Assistance, MAIN DATA'!AG:AG,1,'Bilateral Assistance, MAIN DATA'!AH:AH,A14, 'Bilateral Assistance, MAIN DATA'!D:D,"Financial")/1000000000</f>
        <v>2.3185080354067771</v>
      </c>
      <c r="D14" s="169">
        <f>SUMIFS('Bilateral Assistance, MAIN DATA'!S:S,'Bilateral Assistance, MAIN DATA'!AG:AG,1,'Bilateral Assistance, MAIN DATA'!AH:AH,A14, 'Bilateral Assistance, MAIN DATA'!D:D,"Humanitarian")/1000000000</f>
        <v>1.4626669681196547</v>
      </c>
      <c r="E14" s="169">
        <f>(SUMIFS('Bilateral Assistance, MAIN DATA'!S:S,'Bilateral Assistance, MAIN DATA'!AG:AG,1,'Bilateral Assistance, MAIN DATA'!AH:AH,A14, 'Bilateral Assistance, MAIN DATA'!D:D,"Military")/1000000000)</f>
        <v>11.617609576207695</v>
      </c>
      <c r="F14" s="169">
        <f t="shared" si="0"/>
        <v>15.398784579734127</v>
      </c>
      <c r="J14" s="30"/>
    </row>
    <row r="15" spans="1:20" ht="15.6" x14ac:dyDescent="0.3">
      <c r="A15" s="860">
        <v>5</v>
      </c>
      <c r="B15" s="797" t="s">
        <v>3667</v>
      </c>
      <c r="C15" s="169">
        <f>SUMIFS('Bilateral Assistance, MAIN DATA'!S:S,'Bilateral Assistance, MAIN DATA'!AG:AG,1,'Bilateral Assistance, MAIN DATA'!AH:AH,A15, 'Bilateral Assistance, MAIN DATA'!D:D,"Financial")/1000000000</f>
        <v>18.294677517356199</v>
      </c>
      <c r="D15" s="169">
        <f>SUMIFS('Bilateral Assistance, MAIN DATA'!S:S,'Bilateral Assistance, MAIN DATA'!AG:AG,1,'Bilateral Assistance, MAIN DATA'!AH:AH,A15, 'Bilateral Assistance, MAIN DATA'!D:D,"Humanitarian")/1000000000</f>
        <v>1.2373305330267179</v>
      </c>
      <c r="E15" s="169">
        <f>(SUMIFS('Bilateral Assistance, MAIN DATA'!S:S,'Bilateral Assistance, MAIN DATA'!AG:AG,1,'Bilateral Assistance, MAIN DATA'!AH:AH,A15, 'Bilateral Assistance, MAIN DATA'!D:D,"Military")/1000000000)</f>
        <v>2.7356322470445265</v>
      </c>
      <c r="F15" s="169">
        <f t="shared" si="0"/>
        <v>22.267640297427445</v>
      </c>
      <c r="G15" s="169"/>
      <c r="J15" s="30"/>
    </row>
    <row r="16" spans="1:20" ht="15.6" x14ac:dyDescent="0.3">
      <c r="A16" s="860">
        <v>6</v>
      </c>
      <c r="B16" s="797" t="s">
        <v>3668</v>
      </c>
      <c r="C16" s="169">
        <f>SUMIFS('Bilateral Assistance, MAIN DATA'!S:S,'Bilateral Assistance, MAIN DATA'!AG:AG,1,'Bilateral Assistance, MAIN DATA'!AH:AH,A16, 'Bilateral Assistance, MAIN DATA'!D:D,"Financial")/1000000000</f>
        <v>0.33986992097349467</v>
      </c>
      <c r="D16" s="169">
        <f>SUMIFS('Bilateral Assistance, MAIN DATA'!S:S,'Bilateral Assistance, MAIN DATA'!AG:AG,1,'Bilateral Assistance, MAIN DATA'!AH:AH,A16, 'Bilateral Assistance, MAIN DATA'!D:D,"Humanitarian")/1000000000</f>
        <v>0.99276715478138755</v>
      </c>
      <c r="E16" s="169">
        <f>(SUMIFS('Bilateral Assistance, MAIN DATA'!S:S,'Bilateral Assistance, MAIN DATA'!AG:AG,1,'Bilateral Assistance, MAIN DATA'!AH:AH,A16, 'Bilateral Assistance, MAIN DATA'!D:D,"Military")/1000000000)</f>
        <v>3.6798295024333529</v>
      </c>
      <c r="F16" s="169">
        <f t="shared" si="0"/>
        <v>5.0124665781882349</v>
      </c>
      <c r="J16" s="30"/>
    </row>
    <row r="17" spans="1:7" ht="15.6" x14ac:dyDescent="0.3">
      <c r="A17" s="860">
        <v>7</v>
      </c>
      <c r="B17" s="797" t="s">
        <v>3669</v>
      </c>
      <c r="C17" s="169">
        <f>SUMIFS('Bilateral Assistance, MAIN DATA'!S:S,'Bilateral Assistance, MAIN DATA'!AG:AG,1,'Bilateral Assistance, MAIN DATA'!AH:AH,A17, 'Bilateral Assistance, MAIN DATA'!D:D,"Financial")/1000000000</f>
        <v>0.31470732219036301</v>
      </c>
      <c r="D17" s="169">
        <f>SUMIFS('Bilateral Assistance, MAIN DATA'!S:S,'Bilateral Assistance, MAIN DATA'!AG:AG,1,'Bilateral Assistance, MAIN DATA'!AH:AH,A17, 'Bilateral Assistance, MAIN DATA'!D:D,"Humanitarian")/1000000000</f>
        <v>0.79514271812728476</v>
      </c>
      <c r="E17" s="169">
        <f>(SUMIFS('Bilateral Assistance, MAIN DATA'!S:S,'Bilateral Assistance, MAIN DATA'!AG:AG,1,'Bilateral Assistance, MAIN DATA'!AH:AH,A17, 'Bilateral Assistance, MAIN DATA'!D:D,"Military")/1000000000)</f>
        <v>1.2629729864626957</v>
      </c>
      <c r="F17" s="169">
        <f t="shared" si="0"/>
        <v>2.3728230267803436</v>
      </c>
      <c r="G17" s="169"/>
    </row>
    <row r="18" spans="1:7" ht="15.6" x14ac:dyDescent="0.3">
      <c r="A18" s="860">
        <v>8</v>
      </c>
      <c r="B18" s="797" t="s">
        <v>3670</v>
      </c>
      <c r="C18" s="169">
        <f>SUMIFS('Bilateral Assistance, MAIN DATA'!S:S,'Bilateral Assistance, MAIN DATA'!AG:AG,1,'Bilateral Assistance, MAIN DATA'!AH:AH,A18, 'Bilateral Assistance, MAIN DATA'!D:D,"Financial")/1000000000</f>
        <v>0.31707247395635035</v>
      </c>
      <c r="D18" s="169">
        <f>SUMIFS('Bilateral Assistance, MAIN DATA'!S:S,'Bilateral Assistance, MAIN DATA'!AG:AG,1,'Bilateral Assistance, MAIN DATA'!AH:AH,A18, 'Bilateral Assistance, MAIN DATA'!D:D,"Humanitarian")/1000000000</f>
        <v>5.5477116350110052E-2</v>
      </c>
      <c r="E18" s="169">
        <f>(SUMIFS('Bilateral Assistance, MAIN DATA'!S:S,'Bilateral Assistance, MAIN DATA'!AG:AG,1,'Bilateral Assistance, MAIN DATA'!AH:AH,A18, 'Bilateral Assistance, MAIN DATA'!D:D,"Military")/1000000000)</f>
        <v>0.44619938468811654</v>
      </c>
      <c r="F18" s="169">
        <f t="shared" si="0"/>
        <v>0.81874897499457688</v>
      </c>
    </row>
    <row r="19" spans="1:7" ht="15.6" x14ac:dyDescent="0.3">
      <c r="A19" s="860">
        <v>9</v>
      </c>
      <c r="B19" s="797" t="s">
        <v>3671</v>
      </c>
      <c r="C19" s="169">
        <f>SUMIFS('Bilateral Assistance, MAIN DATA'!S:S,'Bilateral Assistance, MAIN DATA'!AG:AG,1,'Bilateral Assistance, MAIN DATA'!AH:AH,A19, 'Bilateral Assistance, MAIN DATA'!D:D,"Financial")/1000000000</f>
        <v>4.8344047619047616</v>
      </c>
      <c r="D19" s="169">
        <f>SUMIFS('Bilateral Assistance, MAIN DATA'!S:S,'Bilateral Assistance, MAIN DATA'!AG:AG,1,'Bilateral Assistance, MAIN DATA'!AH:AH,A19, 'Bilateral Assistance, MAIN DATA'!D:D,"Humanitarian")/1000000000</f>
        <v>0.82550643945310853</v>
      </c>
      <c r="E19" s="169">
        <f>(SUMIFS('Bilateral Assistance, MAIN DATA'!S:S,'Bilateral Assistance, MAIN DATA'!AG:AG,1,'Bilateral Assistance, MAIN DATA'!AH:AH,A19, 'Bilateral Assistance, MAIN DATA'!D:D,"Military")/1000000000)</f>
        <v>6.9191196486717459</v>
      </c>
      <c r="F19" s="169">
        <f t="shared" si="0"/>
        <v>12.579030850029616</v>
      </c>
      <c r="G19" s="171"/>
    </row>
    <row r="20" spans="1:7" ht="15.6" x14ac:dyDescent="0.3">
      <c r="A20" s="860">
        <v>10</v>
      </c>
      <c r="B20" s="797" t="s">
        <v>3672</v>
      </c>
      <c r="C20" s="169">
        <f>SUMIFS('Bilateral Assistance, MAIN DATA'!S:S,'Bilateral Assistance, MAIN DATA'!AG:AG,1,'Bilateral Assistance, MAIN DATA'!AH:AH,A20, 'Bilateral Assistance, MAIN DATA'!D:D,"Financial")/1000000000</f>
        <v>0.98777509014335219</v>
      </c>
      <c r="D20" s="169">
        <f>SUMIFS('Bilateral Assistance, MAIN DATA'!S:S,'Bilateral Assistance, MAIN DATA'!AG:AG,1,'Bilateral Assistance, MAIN DATA'!AH:AH,A20, 'Bilateral Assistance, MAIN DATA'!D:D,"Humanitarian")/1000000000</f>
        <v>0.42244215854929307</v>
      </c>
      <c r="E20" s="169">
        <f>(SUMIFS('Bilateral Assistance, MAIN DATA'!S:S,'Bilateral Assistance, MAIN DATA'!AG:AG,1,'Bilateral Assistance, MAIN DATA'!AH:AH,A20, 'Bilateral Assistance, MAIN DATA'!D:D,"Military")/1000000000)</f>
        <v>1.5489703051759225</v>
      </c>
      <c r="F20" s="169">
        <f t="shared" si="0"/>
        <v>2.9591875538685679</v>
      </c>
    </row>
    <row r="21" spans="1:7" ht="15.6" x14ac:dyDescent="0.3">
      <c r="A21" s="860">
        <v>11</v>
      </c>
      <c r="B21" s="797" t="s">
        <v>3673</v>
      </c>
      <c r="C21" s="169">
        <f>SUMIFS('Bilateral Assistance, MAIN DATA'!S:S,'Bilateral Assistance, MAIN DATA'!AG:AG,1,'Bilateral Assistance, MAIN DATA'!AH:AH,A21, 'Bilateral Assistance, MAIN DATA'!D:D,"Financial")/1000000000</f>
        <v>18.122806393833734</v>
      </c>
      <c r="D21" s="169">
        <f>SUMIFS('Bilateral Assistance, MAIN DATA'!S:S,'Bilateral Assistance, MAIN DATA'!AG:AG,1,'Bilateral Assistance, MAIN DATA'!AH:AH,A21, 'Bilateral Assistance, MAIN DATA'!D:D,"Humanitarian")/1000000000</f>
        <v>1.2206710064376367</v>
      </c>
      <c r="E21" s="169">
        <f>(SUMIFS('Bilateral Assistance, MAIN DATA'!S:S,'Bilateral Assistance, MAIN DATA'!AG:AG,1,'Bilateral Assistance, MAIN DATA'!AH:AH,A21, 'Bilateral Assistance, MAIN DATA'!D:D,"Military")/1000000000)</f>
        <v>1.130520781674456</v>
      </c>
      <c r="F21" s="169">
        <f t="shared" si="0"/>
        <v>20.473998181945827</v>
      </c>
      <c r="G21" s="171"/>
    </row>
    <row r="22" spans="1:7" ht="15.6" x14ac:dyDescent="0.3">
      <c r="A22" s="860">
        <v>12</v>
      </c>
      <c r="B22" s="797" t="s">
        <v>3674</v>
      </c>
      <c r="C22" s="169">
        <f>SUMIFS('Bilateral Assistance, MAIN DATA'!S:S,'Bilateral Assistance, MAIN DATA'!AG:AG,1,'Bilateral Assistance, MAIN DATA'!AH:AH,A22, 'Bilateral Assistance, MAIN DATA'!D:D,"Financial")/1000000000</f>
        <v>13.387890869304206</v>
      </c>
      <c r="D22" s="169">
        <f>SUMIFS('Bilateral Assistance, MAIN DATA'!S:S,'Bilateral Assistance, MAIN DATA'!AG:AG,1,'Bilateral Assistance, MAIN DATA'!AH:AH,A22, 'Bilateral Assistance, MAIN DATA'!D:D,"Humanitarian")/1000000000</f>
        <v>3.5320252846073785</v>
      </c>
      <c r="E22" s="169">
        <f>(SUMIFS('Bilateral Assistance, MAIN DATA'!S:S,'Bilateral Assistance, MAIN DATA'!AG:AG,1,'Bilateral Assistance, MAIN DATA'!AH:AH,A22, 'Bilateral Assistance, MAIN DATA'!D:D,"Military")/1000000000)</f>
        <v>22.918229312151329</v>
      </c>
      <c r="F22" s="169">
        <f t="shared" si="0"/>
        <v>39.838145466062912</v>
      </c>
      <c r="G22" s="171"/>
    </row>
    <row r="23" spans="1:7" ht="15.6" x14ac:dyDescent="0.3">
      <c r="B23" s="499" t="s">
        <v>3675</v>
      </c>
      <c r="C23" s="279">
        <f>SUM(C12:C22)</f>
        <v>66.20576449773516</v>
      </c>
      <c r="D23" s="279">
        <f>SUM(D12:D22)</f>
        <v>12.010571650690302</v>
      </c>
      <c r="E23" s="279">
        <f>SUM(E12:E22)</f>
        <v>63.505651729795261</v>
      </c>
      <c r="F23" s="416">
        <f>SUM(F12:F22)</f>
        <v>141.72198787822072</v>
      </c>
      <c r="G23" s="169"/>
    </row>
    <row r="24" spans="1:7" ht="15.6" x14ac:dyDescent="0.3">
      <c r="B24" s="170" t="s">
        <v>3676</v>
      </c>
      <c r="C24" s="280"/>
      <c r="D24" s="280"/>
      <c r="E24" s="280"/>
      <c r="F24" s="280">
        <f>('Commitments per Month'!Q54+'Commitments per Month'!R54)-'Commitments per Month'!P54-'Commitments per Month'!D54</f>
        <v>141.74350218790329</v>
      </c>
      <c r="G24" s="169"/>
    </row>
    <row r="25" spans="1:7" ht="15.6" x14ac:dyDescent="0.3">
      <c r="B25" s="446" t="s">
        <v>3677</v>
      </c>
      <c r="C25" s="281"/>
      <c r="D25" s="281"/>
      <c r="E25" s="281"/>
      <c r="F25" s="281">
        <f>F24-F23</f>
        <v>2.151430968257273E-2</v>
      </c>
    </row>
    <row r="26" spans="1:7" ht="15.6" x14ac:dyDescent="0.3">
      <c r="B26" s="37"/>
      <c r="C26" s="169"/>
      <c r="F26" s="297"/>
    </row>
    <row r="27" spans="1:7" ht="15.6" x14ac:dyDescent="0.3">
      <c r="B27" s="37"/>
      <c r="F27" s="297"/>
    </row>
    <row r="28" spans="1:7" ht="15.6" x14ac:dyDescent="0.3">
      <c r="B28" s="37"/>
      <c r="F28" s="297"/>
    </row>
    <row r="29" spans="1:7" ht="15.6" x14ac:dyDescent="0.3">
      <c r="B29" s="37"/>
      <c r="F29" s="297"/>
    </row>
    <row r="30" spans="1:7" ht="15.6" x14ac:dyDescent="0.3">
      <c r="B30" s="37"/>
      <c r="F30" s="297"/>
    </row>
    <row r="31" spans="1:7" ht="15.6" x14ac:dyDescent="0.3">
      <c r="B31" s="37"/>
      <c r="F31" s="297"/>
    </row>
    <row r="32" spans="1:7" ht="15.6" x14ac:dyDescent="0.3">
      <c r="B32" s="37"/>
    </row>
    <row r="33" spans="2:12" ht="15.6" x14ac:dyDescent="0.3">
      <c r="B33" s="37"/>
    </row>
    <row r="34" spans="2:12" ht="15.6" x14ac:dyDescent="0.3">
      <c r="B34" s="37"/>
    </row>
    <row r="35" spans="2:12" ht="15.6" x14ac:dyDescent="0.3">
      <c r="B35" s="37"/>
    </row>
    <row r="36" spans="2:12" ht="15.6" x14ac:dyDescent="0.3">
      <c r="B36" s="37"/>
    </row>
    <row r="37" spans="2:12" ht="15.6" x14ac:dyDescent="0.3">
      <c r="B37" s="37"/>
    </row>
    <row r="39" spans="2:12" ht="20.399999999999999" x14ac:dyDescent="0.3">
      <c r="L39" s="412"/>
    </row>
  </sheetData>
  <mergeCells count="1">
    <mergeCell ref="B4:D9"/>
  </mergeCells>
  <pageMargins left="0.7" right="0.7" top="0.78740157499999996" bottom="0.78740157499999996"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B4C6E7"/>
  </sheetPr>
  <dimension ref="A1:R40"/>
  <sheetViews>
    <sheetView showGridLines="0" zoomScaleNormal="100" workbookViewId="0"/>
  </sheetViews>
  <sheetFormatPr baseColWidth="10" defaultColWidth="11.5" defaultRowHeight="15.75" customHeight="1" x14ac:dyDescent="0.3"/>
  <cols>
    <col min="1" max="1" width="8.59765625" style="2" customWidth="1"/>
    <col min="2" max="2" width="39.8984375" style="742" bestFit="1" customWidth="1"/>
    <col min="3" max="3" width="40.8984375" style="735" bestFit="1" customWidth="1"/>
    <col min="4" max="4" width="21" style="735" customWidth="1"/>
    <col min="5" max="9" width="13.59765625" style="735" customWidth="1"/>
    <col min="10" max="10" width="66.5" style="735" bestFit="1" customWidth="1"/>
    <col min="11" max="11" width="44.5" style="735" bestFit="1" customWidth="1"/>
    <col min="12" max="14" width="42" style="735" bestFit="1" customWidth="1"/>
    <col min="15" max="15" width="11.5" style="735" customWidth="1"/>
    <col min="16" max="16384" width="11.5" style="735"/>
  </cols>
  <sheetData>
    <row r="1" spans="1:18" ht="15.6" x14ac:dyDescent="0.3">
      <c r="A1" s="734"/>
    </row>
    <row r="2" spans="1:18" s="737" customFormat="1" ht="24.75" customHeight="1" x14ac:dyDescent="0.35">
      <c r="A2" s="734"/>
      <c r="B2" s="772" t="s">
        <v>3678</v>
      </c>
      <c r="C2" s="736"/>
    </row>
    <row r="3" spans="1:18" s="737" customFormat="1" ht="15.9" customHeight="1" x14ac:dyDescent="0.35">
      <c r="A3" s="734"/>
      <c r="B3" s="773"/>
      <c r="C3" s="738"/>
      <c r="E3" s="739"/>
      <c r="F3" s="739"/>
      <c r="G3" s="739"/>
      <c r="H3" s="739"/>
      <c r="I3" s="739"/>
    </row>
    <row r="4" spans="1:18" s="737" customFormat="1" ht="15.9" customHeight="1" x14ac:dyDescent="0.35">
      <c r="A4" s="734"/>
      <c r="B4" s="1177" t="s">
        <v>3679</v>
      </c>
      <c r="C4" s="1177"/>
      <c r="D4" s="1177"/>
      <c r="E4" s="1177"/>
      <c r="F4" s="1177"/>
      <c r="G4" s="739"/>
      <c r="H4" s="739"/>
      <c r="I4" s="739"/>
    </row>
    <row r="5" spans="1:18" s="737" customFormat="1" ht="15.9" customHeight="1" x14ac:dyDescent="0.35">
      <c r="A5" s="734"/>
      <c r="B5" s="1177"/>
      <c r="C5" s="1177"/>
      <c r="D5" s="1177"/>
      <c r="E5" s="1177"/>
      <c r="F5" s="1177"/>
      <c r="G5" s="739"/>
      <c r="H5" s="739"/>
      <c r="I5" s="739"/>
    </row>
    <row r="6" spans="1:18" s="737" customFormat="1" ht="15.9" customHeight="1" x14ac:dyDescent="0.35">
      <c r="A6" s="734"/>
      <c r="B6" s="1177"/>
      <c r="C6" s="1177"/>
      <c r="D6" s="1177"/>
      <c r="E6" s="1177"/>
      <c r="F6" s="1177"/>
      <c r="G6" s="739"/>
      <c r="H6" s="739"/>
      <c r="I6" s="739"/>
    </row>
    <row r="7" spans="1:18" s="737" customFormat="1" ht="15.9" customHeight="1" x14ac:dyDescent="0.35">
      <c r="A7" s="734"/>
      <c r="B7" s="1177"/>
      <c r="C7" s="1177"/>
      <c r="D7" s="1177"/>
      <c r="E7" s="1177"/>
      <c r="F7" s="1177"/>
      <c r="G7" s="739"/>
      <c r="H7" s="739"/>
      <c r="I7" s="739"/>
    </row>
    <row r="8" spans="1:18" s="737" customFormat="1" ht="15.9" customHeight="1" x14ac:dyDescent="0.35">
      <c r="A8" s="734"/>
      <c r="B8" s="1177"/>
      <c r="C8" s="1177"/>
      <c r="D8" s="1177"/>
      <c r="E8" s="1177"/>
      <c r="F8" s="1177"/>
      <c r="G8" s="739"/>
      <c r="H8" s="739"/>
      <c r="I8" s="739"/>
    </row>
    <row r="9" spans="1:18" s="737" customFormat="1" ht="15.9" customHeight="1" x14ac:dyDescent="0.35">
      <c r="A9" s="734"/>
      <c r="B9" s="1177"/>
      <c r="C9" s="1177"/>
      <c r="D9" s="1177"/>
      <c r="E9" s="1177"/>
      <c r="F9" s="1177"/>
      <c r="G9" s="739"/>
      <c r="H9" s="739"/>
      <c r="I9" s="739"/>
    </row>
    <row r="10" spans="1:18" s="737" customFormat="1" ht="15.9" customHeight="1" x14ac:dyDescent="0.35">
      <c r="A10" s="734"/>
      <c r="B10" s="773"/>
      <c r="C10" s="738"/>
      <c r="E10" s="739"/>
      <c r="F10" s="739"/>
      <c r="G10" s="739"/>
      <c r="H10" s="739"/>
      <c r="I10" s="739"/>
    </row>
    <row r="11" spans="1:18" s="744" customFormat="1" ht="24.75" customHeight="1" x14ac:dyDescent="0.3">
      <c r="A11" s="417"/>
      <c r="B11" s="740" t="s">
        <v>3658</v>
      </c>
      <c r="C11" s="741" t="s">
        <v>3576</v>
      </c>
      <c r="D11" s="741" t="s">
        <v>3577</v>
      </c>
      <c r="E11" s="742" t="s">
        <v>3584</v>
      </c>
      <c r="F11" s="743" t="s">
        <v>3680</v>
      </c>
      <c r="I11" s="745"/>
      <c r="J11" s="745"/>
      <c r="K11" s="745"/>
      <c r="L11" s="745"/>
      <c r="M11" s="745"/>
      <c r="N11" s="745"/>
      <c r="O11" s="745"/>
      <c r="P11" s="745"/>
      <c r="Q11" s="745"/>
      <c r="R11" s="745"/>
    </row>
    <row r="12" spans="1:18" ht="15.6" customHeight="1" x14ac:dyDescent="0.3">
      <c r="A12" s="860">
        <v>2</v>
      </c>
      <c r="B12" s="797" t="s">
        <v>3664</v>
      </c>
      <c r="C12" s="746">
        <f>SUMIFS('Bilateral Assistance, MAIN DATA'!$S:$S,'Bilateral Assistance, MAIN DATA'!$AH:$AH,A12,'Bilateral Assistance, MAIN DATA'!$D:$D,"Financial",'Bilateral Assistance, MAIN DATA'!$AD:$AD,1, 'Bilateral Assistance, MAIN DATA'!$E:$E,"Grant")/1000000000 + SUMIFS('Bilateral Assistance, MAIN DATA'!$S:$S,'Bilateral Assistance, MAIN DATA'!$AH:$AH,A12,'Bilateral Assistance, MAIN DATA'!$D:$D,"Financial",'Bilateral Assistance, MAIN DATA'!$AD:$AD,1, 'Bilateral Assistance, MAIN DATA'!$E:$E,"Loan")/1000000000</f>
        <v>2.8418568568690801</v>
      </c>
      <c r="D12" s="746">
        <f>SUM('Financial disb per Month (EUR)'!E13:E53)</f>
        <v>0</v>
      </c>
    </row>
    <row r="13" spans="1:18" ht="15.6" customHeight="1" x14ac:dyDescent="0.3">
      <c r="A13" s="860">
        <v>3</v>
      </c>
      <c r="B13" s="797" t="s">
        <v>3665</v>
      </c>
      <c r="C13" s="746">
        <f>SUMIFS('Bilateral Assistance, MAIN DATA'!$S:$S,'Bilateral Assistance, MAIN DATA'!$AH:$AH,A13,'Bilateral Assistance, MAIN DATA'!$D:$D,"Financial",'Bilateral Assistance, MAIN DATA'!$AD:$AD,1, 'Bilateral Assistance, MAIN DATA'!$E:$E,"Grant")/1000000000 + SUMIFS('Bilateral Assistance, MAIN DATA'!$S:$S,'Bilateral Assistance, MAIN DATA'!$AH:$AH,A13,'Bilateral Assistance, MAIN DATA'!$D:$D,"Financial",'Bilateral Assistance, MAIN DATA'!$AD:$AD,1, 'Bilateral Assistance, MAIN DATA'!$E:$E,"Loan")/1000000000</f>
        <v>3.3661952557968369</v>
      </c>
      <c r="D13" s="746">
        <f>SUM('Financial disb per Month (EUR)'!F13:F53)</f>
        <v>0</v>
      </c>
      <c r="F13" s="748"/>
      <c r="G13" s="748"/>
      <c r="H13" s="748"/>
      <c r="I13" s="748"/>
      <c r="J13" s="748"/>
    </row>
    <row r="14" spans="1:18" ht="15.6" x14ac:dyDescent="0.3">
      <c r="A14" s="860">
        <v>4</v>
      </c>
      <c r="B14" s="797" t="s">
        <v>3666</v>
      </c>
      <c r="C14" s="746">
        <f>SUMIFS('Bilateral Assistance, MAIN DATA'!$S:$S,'Bilateral Assistance, MAIN DATA'!$AH:$AH,A14,'Bilateral Assistance, MAIN DATA'!$D:$D,"Financial",'Bilateral Assistance, MAIN DATA'!$AD:$AD,1, 'Bilateral Assistance, MAIN DATA'!$E:$E,"Grant")/1000000000 + SUMIFS('Bilateral Assistance, MAIN DATA'!$S:$S,'Bilateral Assistance, MAIN DATA'!$AH:$AH,A14,'Bilateral Assistance, MAIN DATA'!$D:$D,"Financial",'Bilateral Assistance, MAIN DATA'!$AD:$AD,1, 'Bilateral Assistance, MAIN DATA'!$E:$E,"Loan")/1000000000</f>
        <v>1.427581335172422</v>
      </c>
      <c r="D14" s="746">
        <f>SUM('Financial disb per Month (EUR)'!G13:G53)</f>
        <v>2.1333333333333333</v>
      </c>
      <c r="H14" s="30"/>
    </row>
    <row r="15" spans="1:18" ht="15.6" x14ac:dyDescent="0.3">
      <c r="A15" s="860">
        <v>5</v>
      </c>
      <c r="B15" s="797" t="s">
        <v>3667</v>
      </c>
      <c r="C15" s="746">
        <f>SUMIFS('Bilateral Assistance, MAIN DATA'!$S:$S,'Bilateral Assistance, MAIN DATA'!$AH:$AH,A15,'Bilateral Assistance, MAIN DATA'!$D:$D,"Financial",'Bilateral Assistance, MAIN DATA'!$AD:$AD,1, 'Bilateral Assistance, MAIN DATA'!$E:$E,"Grant")/1000000000 + SUMIFS('Bilateral Assistance, MAIN DATA'!$S:$S,'Bilateral Assistance, MAIN DATA'!$AH:$AH,A15,'Bilateral Assistance, MAIN DATA'!$D:$D,"Financial",'Bilateral Assistance, MAIN DATA'!$AD:$AD,1, 'Bilateral Assistance, MAIN DATA'!$E:$E,"Loan")/1000000000</f>
        <v>18.294677517356199</v>
      </c>
      <c r="D15" s="746">
        <f>SUM('Financial disb per Month (EUR)'!H13:H53)</f>
        <v>0.87428571428571367</v>
      </c>
      <c r="H15" s="30"/>
    </row>
    <row r="16" spans="1:18" ht="15.6" x14ac:dyDescent="0.3">
      <c r="A16" s="860">
        <v>6</v>
      </c>
      <c r="B16" s="797" t="s">
        <v>3668</v>
      </c>
      <c r="C16" s="746">
        <f>SUMIFS('Bilateral Assistance, MAIN DATA'!$S:$S,'Bilateral Assistance, MAIN DATA'!$AH:$AH,A16,'Bilateral Assistance, MAIN DATA'!$D:$D,"Financial",'Bilateral Assistance, MAIN DATA'!$AD:$AD,1, 'Bilateral Assistance, MAIN DATA'!$E:$E,"Grant")/1000000000 + SUMIFS('Bilateral Assistance, MAIN DATA'!$S:$S,'Bilateral Assistance, MAIN DATA'!$AH:$AH,A16,'Bilateral Assistance, MAIN DATA'!$D:$D,"Financial",'Bilateral Assistance, MAIN DATA'!$AD:$AD,1, 'Bilateral Assistance, MAIN DATA'!$E:$E,"Loan")/1000000000</f>
        <v>0.23986992097349466</v>
      </c>
      <c r="D16" s="746">
        <f>SUM('Financial disb per Month (EUR)'!I13:I53)</f>
        <v>2.2400000000000002</v>
      </c>
      <c r="H16" s="30"/>
    </row>
    <row r="17" spans="1:4" ht="15.6" x14ac:dyDescent="0.3">
      <c r="A17" s="860">
        <v>7</v>
      </c>
      <c r="B17" s="797" t="s">
        <v>3669</v>
      </c>
      <c r="C17" s="746">
        <f>SUMIFS('Bilateral Assistance, MAIN DATA'!$S:$S,'Bilateral Assistance, MAIN DATA'!$AH:$AH,A17,'Bilateral Assistance, MAIN DATA'!$D:$D,"Financial",'Bilateral Assistance, MAIN DATA'!$AD:$AD,1, 'Bilateral Assistance, MAIN DATA'!$E:$E,"Grant")/1000000000 + SUMIFS('Bilateral Assistance, MAIN DATA'!$S:$S,'Bilateral Assistance, MAIN DATA'!$AH:$AH,A17,'Bilateral Assistance, MAIN DATA'!$D:$D,"Financial",'Bilateral Assistance, MAIN DATA'!$AD:$AD,1, 'Bilateral Assistance, MAIN DATA'!$E:$E,"Loan")/1000000000</f>
        <v>0.31470732219036301</v>
      </c>
      <c r="D17" s="746">
        <f>SUM('Financial disb per Month (EUR)'!J13:J53)</f>
        <v>4.742857142857142</v>
      </c>
    </row>
    <row r="18" spans="1:4" ht="15.6" x14ac:dyDescent="0.3">
      <c r="A18" s="860">
        <v>8</v>
      </c>
      <c r="B18" s="797" t="s">
        <v>3670</v>
      </c>
      <c r="C18" s="746">
        <f>SUMIFS('Bilateral Assistance, MAIN DATA'!$S:$S,'Bilateral Assistance, MAIN DATA'!$AH:$AH,A18,'Bilateral Assistance, MAIN DATA'!$D:$D,"Financial",'Bilateral Assistance, MAIN DATA'!$AD:$AD,1, 'Bilateral Assistance, MAIN DATA'!$E:$E,"Grant")/1000000000 + SUMIFS('Bilateral Assistance, MAIN DATA'!$S:$S,'Bilateral Assistance, MAIN DATA'!$AH:$AH,A18,'Bilateral Assistance, MAIN DATA'!$D:$D,"Financial",'Bilateral Assistance, MAIN DATA'!$AD:$AD,1, 'Bilateral Assistance, MAIN DATA'!$E:$E,"Loan")/1000000000</f>
        <v>0.31707247395635035</v>
      </c>
      <c r="D18" s="746">
        <f>SUM('Financial disb per Month (EUR)'!K13:K53)</f>
        <v>4.3809523809523814</v>
      </c>
    </row>
    <row r="19" spans="1:4" ht="15.6" x14ac:dyDescent="0.3">
      <c r="A19" s="860">
        <v>9</v>
      </c>
      <c r="B19" s="797" t="s">
        <v>3671</v>
      </c>
      <c r="C19" s="746">
        <f>SUMIFS('Bilateral Assistance, MAIN DATA'!$S:$S,'Bilateral Assistance, MAIN DATA'!$AH:$AH,A19,'Bilateral Assistance, MAIN DATA'!$D:$D,"Financial",'Bilateral Assistance, MAIN DATA'!$AD:$AD,1, 'Bilateral Assistance, MAIN DATA'!$E:$E,"Grant")/1000000000 + SUMIFS('Bilateral Assistance, MAIN DATA'!$S:$S,'Bilateral Assistance, MAIN DATA'!$AH:$AH,A19,'Bilateral Assistance, MAIN DATA'!$D:$D,"Financial",'Bilateral Assistance, MAIN DATA'!$AD:$AD,1, 'Bilateral Assistance, MAIN DATA'!$E:$E,"Loan")/1000000000</f>
        <v>4.3582142857142845</v>
      </c>
      <c r="D19" s="746">
        <f>SUM('Financial disb per Month (EUR)'!L13:L53)</f>
        <v>1.4285714285714279</v>
      </c>
    </row>
    <row r="20" spans="1:4" ht="15.6" x14ac:dyDescent="0.3">
      <c r="A20" s="860">
        <v>10</v>
      </c>
      <c r="B20" s="797" t="s">
        <v>3672</v>
      </c>
      <c r="C20" s="746">
        <f>SUMIFS('Bilateral Assistance, MAIN DATA'!$S:$S,'Bilateral Assistance, MAIN DATA'!$AH:$AH,A20,'Bilateral Assistance, MAIN DATA'!$D:$D,"Financial",'Bilateral Assistance, MAIN DATA'!$AD:$AD,1, 'Bilateral Assistance, MAIN DATA'!$E:$E,"Grant")/1000000000 + SUMIFS('Bilateral Assistance, MAIN DATA'!$S:$S,'Bilateral Assistance, MAIN DATA'!$AH:$AH,A20,'Bilateral Assistance, MAIN DATA'!$D:$D,"Financial",'Bilateral Assistance, MAIN DATA'!$AD:$AD,1, 'Bilateral Assistance, MAIN DATA'!$E:$E,"Loan")/1000000000</f>
        <v>0.98777509014335219</v>
      </c>
      <c r="D20" s="746">
        <f>SUM('Financial disb per Month (EUR)'!M13:M53)</f>
        <v>2.3047619047619046</v>
      </c>
    </row>
    <row r="21" spans="1:4" ht="15.6" x14ac:dyDescent="0.3">
      <c r="A21" s="860">
        <v>11</v>
      </c>
      <c r="B21" s="797" t="s">
        <v>3673</v>
      </c>
      <c r="C21" s="746">
        <f>SUMIFS('Bilateral Assistance, MAIN DATA'!$S:$S,'Bilateral Assistance, MAIN DATA'!$AH:$AH,A21,'Bilateral Assistance, MAIN DATA'!$D:$D,"Financial",'Bilateral Assistance, MAIN DATA'!$AD:$AD,1, 'Bilateral Assistance, MAIN DATA'!$E:$E,"Grant")/1000000000 + SUMIFS('Bilateral Assistance, MAIN DATA'!$S:$S,'Bilateral Assistance, MAIN DATA'!$AH:$AH,A21,'Bilateral Assistance, MAIN DATA'!$D:$D,"Financial",'Bilateral Assistance, MAIN DATA'!$AD:$AD,1, 'Bilateral Assistance, MAIN DATA'!$E:$E,"Loan")/1000000000</f>
        <v>18.122806393833731</v>
      </c>
      <c r="D21" s="746">
        <f>SUM('Financial disb per Month (EUR)'!N13:N53)</f>
        <v>2.8761904761904757</v>
      </c>
    </row>
    <row r="22" spans="1:4" ht="15.6" x14ac:dyDescent="0.3">
      <c r="A22" s="860">
        <v>12</v>
      </c>
      <c r="B22" s="797" t="s">
        <v>3674</v>
      </c>
      <c r="C22" s="746">
        <f>SUMIFS('Bilateral Assistance, MAIN DATA'!$S:$S,'Bilateral Assistance, MAIN DATA'!$AH:$AH,A22,'Bilateral Assistance, MAIN DATA'!$D:$D,"Financial",'Bilateral Assistance, MAIN DATA'!$AD:$AD,1, 'Bilateral Assistance, MAIN DATA'!$E:$E,"Grant")/1000000000 + SUMIFS('Bilateral Assistance, MAIN DATA'!$S:$S,'Bilateral Assistance, MAIN DATA'!$AH:$AH,A22,'Bilateral Assistance, MAIN DATA'!$D:$D,"Financial",'Bilateral Assistance, MAIN DATA'!$AD:$AD,1, 'Bilateral Assistance, MAIN DATA'!$E:$E,"Loan")/1000000000</f>
        <v>12.891366924223938</v>
      </c>
      <c r="D22" s="746">
        <f>SUM('Financial disb per Month (EUR)'!O13:O53)</f>
        <v>4.7904761904761903</v>
      </c>
    </row>
    <row r="23" spans="1:4" ht="15.6" x14ac:dyDescent="0.3">
      <c r="B23" s="499" t="s">
        <v>3675</v>
      </c>
      <c r="C23" s="416">
        <f>SUM(C12:C22)</f>
        <v>63.162123376230049</v>
      </c>
      <c r="D23" s="749">
        <f>SUM(D12:D22)</f>
        <v>25.771428571428569</v>
      </c>
    </row>
    <row r="24" spans="1:4" ht="15.6" x14ac:dyDescent="0.3">
      <c r="B24" s="774"/>
      <c r="C24" s="750"/>
      <c r="D24" s="750"/>
    </row>
    <row r="25" spans="1:4" ht="15.6" x14ac:dyDescent="0.3">
      <c r="B25" s="774"/>
      <c r="C25" s="37"/>
      <c r="D25" s="37"/>
    </row>
    <row r="26" spans="1:4" ht="15.6" x14ac:dyDescent="0.3">
      <c r="B26" s="774"/>
      <c r="C26" s="37"/>
      <c r="D26" s="37"/>
    </row>
    <row r="27" spans="1:4" ht="15.6" x14ac:dyDescent="0.3">
      <c r="B27" s="774"/>
      <c r="C27" s="37"/>
      <c r="D27" s="37"/>
    </row>
    <row r="28" spans="1:4" ht="15.6" x14ac:dyDescent="0.3">
      <c r="B28" s="774"/>
      <c r="C28" s="37"/>
    </row>
    <row r="29" spans="1:4" ht="15.6" x14ac:dyDescent="0.3">
      <c r="B29" s="774"/>
      <c r="C29" s="37"/>
      <c r="D29" s="37"/>
    </row>
    <row r="30" spans="1:4" ht="15.6" x14ac:dyDescent="0.3">
      <c r="B30" s="774"/>
      <c r="C30" s="37"/>
    </row>
    <row r="31" spans="1:4" ht="15.6" x14ac:dyDescent="0.3">
      <c r="B31" s="774"/>
      <c r="C31" s="37"/>
    </row>
    <row r="32" spans="1:4" ht="15.6" x14ac:dyDescent="0.3">
      <c r="B32" s="774"/>
    </row>
    <row r="33" spans="2:10" ht="15.75" customHeight="1" x14ac:dyDescent="0.3">
      <c r="B33" s="774"/>
    </row>
    <row r="34" spans="2:10" ht="15.75" customHeight="1" x14ac:dyDescent="0.3">
      <c r="B34" s="774"/>
    </row>
    <row r="35" spans="2:10" ht="15.75" customHeight="1" x14ac:dyDescent="0.3">
      <c r="B35" s="774"/>
    </row>
    <row r="40" spans="2:10" ht="20.399999999999999" x14ac:dyDescent="0.3">
      <c r="J40" s="751"/>
    </row>
  </sheetData>
  <mergeCells count="1">
    <mergeCell ref="B4:F9"/>
  </mergeCells>
  <pageMargins left="0.7" right="0.7" top="0.78740157499999996" bottom="0.78740157499999996"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B4C6E7"/>
  </sheetPr>
  <dimension ref="B2:X45"/>
  <sheetViews>
    <sheetView zoomScaleNormal="100" workbookViewId="0"/>
  </sheetViews>
  <sheetFormatPr baseColWidth="10" defaultColWidth="8.09765625" defaultRowHeight="15.9" customHeight="1" x14ac:dyDescent="0.3"/>
  <cols>
    <col min="1" max="1" width="8.09765625" style="981"/>
    <col min="2" max="2" width="19.8984375" style="981" customWidth="1"/>
    <col min="3" max="3" width="22.8984375" style="981" customWidth="1"/>
    <col min="4" max="4" width="13.8984375" style="981" customWidth="1"/>
    <col min="5" max="5" width="18.8984375" style="981" customWidth="1"/>
    <col min="6" max="17" width="8.09765625" style="981"/>
    <col min="18" max="18" width="7.8984375" style="981" customWidth="1"/>
    <col min="19" max="19" width="8.09765625" style="981"/>
    <col min="20" max="20" width="31" style="981" customWidth="1"/>
    <col min="21" max="16384" width="8.09765625" style="981"/>
  </cols>
  <sheetData>
    <row r="2" spans="2:21" ht="24.75" customHeight="1" x14ac:dyDescent="0.3">
      <c r="B2" s="913" t="s">
        <v>3681</v>
      </c>
    </row>
    <row r="4" spans="2:21" ht="15.9" customHeight="1" x14ac:dyDescent="0.3">
      <c r="B4" s="1197" t="s">
        <v>3682</v>
      </c>
      <c r="C4" s="1197"/>
      <c r="D4" s="1197"/>
      <c r="E4" s="1197"/>
      <c r="F4" s="1197"/>
      <c r="G4" s="1197"/>
      <c r="H4" s="1197"/>
    </row>
    <row r="5" spans="2:21" ht="15.9" customHeight="1" x14ac:dyDescent="0.3">
      <c r="B5" s="1197"/>
      <c r="C5" s="1197"/>
      <c r="D5" s="1197"/>
      <c r="E5" s="1197"/>
      <c r="F5" s="1197"/>
      <c r="G5" s="1197"/>
      <c r="H5" s="1197"/>
    </row>
    <row r="6" spans="2:21" ht="15.9" customHeight="1" x14ac:dyDescent="0.3">
      <c r="B6" s="1197"/>
      <c r="C6" s="1197"/>
      <c r="D6" s="1197"/>
      <c r="E6" s="1197"/>
      <c r="F6" s="1197"/>
      <c r="G6" s="1197"/>
      <c r="H6" s="1197"/>
    </row>
    <row r="7" spans="2:21" ht="15.9" customHeight="1" x14ac:dyDescent="0.3">
      <c r="B7" s="1197"/>
      <c r="C7" s="1197"/>
      <c r="D7" s="1197"/>
      <c r="E7" s="1197"/>
      <c r="F7" s="1197"/>
      <c r="G7" s="1197"/>
      <c r="H7" s="1197"/>
    </row>
    <row r="8" spans="2:21" ht="15.9" customHeight="1" x14ac:dyDescent="0.3">
      <c r="B8" s="1197"/>
      <c r="C8" s="1197"/>
      <c r="D8" s="1197"/>
      <c r="E8" s="1197"/>
      <c r="F8" s="1197"/>
      <c r="G8" s="1197"/>
      <c r="H8" s="1197"/>
    </row>
    <row r="9" spans="2:21" ht="15.9" customHeight="1" x14ac:dyDescent="0.3">
      <c r="B9" s="1197"/>
      <c r="C9" s="1197"/>
      <c r="D9" s="1197"/>
      <c r="E9" s="1197"/>
      <c r="F9" s="1197"/>
      <c r="G9" s="1197"/>
      <c r="H9" s="1197"/>
    </row>
    <row r="11" spans="2:21" ht="24.75" customHeight="1" x14ac:dyDescent="0.3">
      <c r="B11" s="1016" t="s">
        <v>3683</v>
      </c>
      <c r="C11" s="1016" t="s">
        <v>3684</v>
      </c>
      <c r="D11" s="1017" t="s">
        <v>3605</v>
      </c>
      <c r="E11" s="1017" t="s">
        <v>3606</v>
      </c>
      <c r="G11" s="913" t="s">
        <v>3685</v>
      </c>
    </row>
    <row r="12" spans="2:21" ht="15.9" customHeight="1" x14ac:dyDescent="0.3">
      <c r="B12" s="1196" t="s">
        <v>3686</v>
      </c>
      <c r="C12" s="1015" t="s">
        <v>3646</v>
      </c>
      <c r="D12" s="981">
        <v>37323</v>
      </c>
      <c r="E12" s="1014" t="s">
        <v>260</v>
      </c>
    </row>
    <row r="13" spans="2:21" ht="15.9" customHeight="1" x14ac:dyDescent="0.3">
      <c r="B13" s="1196"/>
      <c r="C13" s="1015" t="s">
        <v>3687</v>
      </c>
      <c r="D13" s="981">
        <v>29571</v>
      </c>
      <c r="E13" s="1014" t="s">
        <v>260</v>
      </c>
      <c r="U13" s="982"/>
    </row>
    <row r="14" spans="2:21" ht="15.9" customHeight="1" x14ac:dyDescent="0.3">
      <c r="B14" s="1196"/>
      <c r="C14" s="1015" t="s">
        <v>3688</v>
      </c>
      <c r="D14" s="981">
        <v>11610</v>
      </c>
      <c r="E14" s="1014" t="s">
        <v>260</v>
      </c>
      <c r="U14" s="982"/>
    </row>
    <row r="15" spans="2:21" ht="15.9" customHeight="1" x14ac:dyDescent="0.3">
      <c r="B15" s="1196"/>
      <c r="C15" s="1015" t="s">
        <v>3689</v>
      </c>
      <c r="D15" s="981">
        <v>7096</v>
      </c>
      <c r="E15" s="1014" t="s">
        <v>260</v>
      </c>
    </row>
    <row r="16" spans="2:21" ht="15.9" customHeight="1" x14ac:dyDescent="0.3">
      <c r="B16" s="1196" t="s">
        <v>3690</v>
      </c>
      <c r="C16" s="1015" t="s">
        <v>3646</v>
      </c>
      <c r="D16" s="981">
        <v>27751</v>
      </c>
      <c r="E16" s="1014" t="s">
        <v>260</v>
      </c>
      <c r="U16" s="982"/>
    </row>
    <row r="17" spans="2:24" ht="15.9" customHeight="1" x14ac:dyDescent="0.3">
      <c r="B17" s="1196"/>
      <c r="C17" s="1015" t="s">
        <v>3687</v>
      </c>
      <c r="D17" s="981">
        <v>16076</v>
      </c>
      <c r="E17" s="1014" t="s">
        <v>260</v>
      </c>
      <c r="U17" s="982"/>
    </row>
    <row r="18" spans="2:24" ht="15.9" customHeight="1" x14ac:dyDescent="0.3">
      <c r="B18" s="1196"/>
      <c r="C18" s="1015" t="s">
        <v>3689</v>
      </c>
      <c r="D18" s="981">
        <v>4356</v>
      </c>
      <c r="E18" s="1014" t="s">
        <v>260</v>
      </c>
    </row>
    <row r="19" spans="2:24" ht="15.9" customHeight="1" x14ac:dyDescent="0.3">
      <c r="B19" s="1196"/>
      <c r="C19" s="1015" t="s">
        <v>3688</v>
      </c>
      <c r="D19" s="981">
        <v>1162</v>
      </c>
      <c r="E19" s="1014" t="s">
        <v>260</v>
      </c>
    </row>
    <row r="20" spans="2:24" ht="15.9" customHeight="1" x14ac:dyDescent="0.3">
      <c r="B20" s="1196" t="s">
        <v>3691</v>
      </c>
      <c r="C20" s="1015" t="s">
        <v>3687</v>
      </c>
      <c r="D20" s="981">
        <v>10627</v>
      </c>
      <c r="E20" s="1014" t="s">
        <v>260</v>
      </c>
    </row>
    <row r="21" spans="2:24" ht="15.9" customHeight="1" x14ac:dyDescent="0.3">
      <c r="B21" s="1196"/>
      <c r="C21" s="1015" t="s">
        <v>3646</v>
      </c>
      <c r="D21" s="981">
        <v>7172</v>
      </c>
      <c r="E21" s="1014" t="s">
        <v>260</v>
      </c>
    </row>
    <row r="22" spans="2:24" ht="15.9" customHeight="1" x14ac:dyDescent="0.3">
      <c r="B22" s="1196"/>
      <c r="C22" s="1015" t="s">
        <v>3688</v>
      </c>
      <c r="D22" s="981">
        <v>2540</v>
      </c>
      <c r="E22" s="1014" t="s">
        <v>260</v>
      </c>
      <c r="U22" s="982"/>
      <c r="X22" s="983"/>
    </row>
    <row r="23" spans="2:24" ht="15.9" customHeight="1" x14ac:dyDescent="0.3">
      <c r="B23" s="1196"/>
      <c r="C23" s="1015" t="s">
        <v>3689</v>
      </c>
      <c r="D23" s="981">
        <v>961</v>
      </c>
      <c r="E23" s="1014" t="s">
        <v>260</v>
      </c>
      <c r="U23" s="982"/>
      <c r="X23" s="983"/>
    </row>
    <row r="24" spans="2:24" ht="15.9" customHeight="1" x14ac:dyDescent="0.3">
      <c r="B24" s="1196" t="s">
        <v>3692</v>
      </c>
      <c r="C24" s="1012" t="s">
        <v>3689</v>
      </c>
      <c r="D24" s="981">
        <v>2639</v>
      </c>
      <c r="E24" s="1014" t="s">
        <v>260</v>
      </c>
      <c r="J24" s="982"/>
      <c r="K24" s="982"/>
      <c r="L24" s="982"/>
      <c r="U24" s="982"/>
      <c r="X24" s="983"/>
    </row>
    <row r="25" spans="2:24" ht="15.9" customHeight="1" x14ac:dyDescent="0.3">
      <c r="B25" s="1196"/>
      <c r="C25" s="1015" t="s">
        <v>3687</v>
      </c>
      <c r="D25" s="981">
        <v>1376</v>
      </c>
      <c r="E25" s="1014" t="s">
        <v>260</v>
      </c>
      <c r="J25" s="982"/>
      <c r="K25" s="982"/>
      <c r="L25" s="982"/>
      <c r="U25" s="982"/>
      <c r="X25" s="983"/>
    </row>
    <row r="26" spans="2:24" ht="15.9" customHeight="1" x14ac:dyDescent="0.3">
      <c r="B26" s="1196"/>
      <c r="C26" s="1012" t="s">
        <v>3596</v>
      </c>
      <c r="D26" s="981">
        <v>234</v>
      </c>
      <c r="E26" s="1014" t="s">
        <v>260</v>
      </c>
      <c r="J26" s="982"/>
      <c r="K26" s="982"/>
      <c r="L26" s="982"/>
    </row>
    <row r="27" spans="2:24" ht="15.9" customHeight="1" x14ac:dyDescent="0.3">
      <c r="B27" s="1196" t="s">
        <v>3693</v>
      </c>
      <c r="C27" s="1012" t="s">
        <v>3689</v>
      </c>
      <c r="D27" s="981">
        <v>1886</v>
      </c>
      <c r="E27" s="1014" t="s">
        <v>260</v>
      </c>
      <c r="J27" s="982"/>
      <c r="K27" s="982"/>
      <c r="L27" s="982"/>
    </row>
    <row r="28" spans="2:24" ht="15.9" customHeight="1" x14ac:dyDescent="0.3">
      <c r="B28" s="1196"/>
      <c r="C28" s="1015" t="s">
        <v>3687</v>
      </c>
      <c r="D28" s="981">
        <v>648</v>
      </c>
      <c r="E28" s="1014" t="s">
        <v>260</v>
      </c>
    </row>
    <row r="29" spans="2:24" ht="15.9" customHeight="1" x14ac:dyDescent="0.3">
      <c r="B29" s="1196"/>
      <c r="C29" s="1012" t="s">
        <v>3596</v>
      </c>
      <c r="D29" s="981">
        <v>347</v>
      </c>
      <c r="E29" s="1014" t="s">
        <v>260</v>
      </c>
      <c r="J29" s="982"/>
    </row>
    <row r="30" spans="2:24" ht="15.9" customHeight="1" x14ac:dyDescent="0.3">
      <c r="B30" s="1196" t="s">
        <v>3694</v>
      </c>
      <c r="C30" s="1012" t="s">
        <v>3596</v>
      </c>
      <c r="D30" s="982">
        <v>368</v>
      </c>
      <c r="E30" s="982">
        <v>104</v>
      </c>
      <c r="J30" s="982"/>
    </row>
    <row r="31" spans="2:24" ht="15.9" customHeight="1" x14ac:dyDescent="0.3">
      <c r="B31" s="1196"/>
      <c r="C31" s="1012" t="s">
        <v>3594</v>
      </c>
      <c r="D31" s="982">
        <v>275</v>
      </c>
      <c r="E31" s="982">
        <v>151</v>
      </c>
      <c r="J31" s="982"/>
    </row>
    <row r="32" spans="2:24" ht="15.9" customHeight="1" x14ac:dyDescent="0.3">
      <c r="B32" s="1196"/>
      <c r="C32" s="1012" t="s">
        <v>3595</v>
      </c>
      <c r="D32" s="982">
        <v>49</v>
      </c>
      <c r="E32" s="982">
        <v>27</v>
      </c>
      <c r="J32" s="982"/>
    </row>
    <row r="33" spans="2:20" ht="15.9" hidden="1" customHeight="1" x14ac:dyDescent="0.3">
      <c r="B33" s="1128"/>
      <c r="C33" s="1129" t="s">
        <v>3695</v>
      </c>
      <c r="D33" s="1130">
        <v>1086</v>
      </c>
      <c r="E33" s="1130">
        <v>1473</v>
      </c>
    </row>
    <row r="34" spans="2:20" ht="15.9" customHeight="1" x14ac:dyDescent="0.3">
      <c r="J34" s="982"/>
    </row>
    <row r="36" spans="2:20" ht="15.9" customHeight="1" x14ac:dyDescent="0.3">
      <c r="J36" s="982"/>
    </row>
    <row r="37" spans="2:20" ht="15.9" customHeight="1" x14ac:dyDescent="0.3">
      <c r="J37" s="982"/>
    </row>
    <row r="38" spans="2:20" ht="15.9" customHeight="1" x14ac:dyDescent="0.3">
      <c r="J38" s="982"/>
    </row>
    <row r="39" spans="2:20" ht="15.9" customHeight="1" x14ac:dyDescent="0.3">
      <c r="J39" s="982"/>
    </row>
    <row r="45" spans="2:20" ht="15.9" customHeight="1" x14ac:dyDescent="0.3">
      <c r="T45" s="985"/>
    </row>
  </sheetData>
  <mergeCells count="7">
    <mergeCell ref="B27:B29"/>
    <mergeCell ref="B30:B32"/>
    <mergeCell ref="B4:H9"/>
    <mergeCell ref="B12:B15"/>
    <mergeCell ref="B16:B19"/>
    <mergeCell ref="B20:B23"/>
    <mergeCell ref="B24:B26"/>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B4C6E7"/>
  </sheetPr>
  <dimension ref="B2:P23"/>
  <sheetViews>
    <sheetView showGridLines="0" zoomScaleNormal="100" workbookViewId="0"/>
  </sheetViews>
  <sheetFormatPr baseColWidth="10" defaultColWidth="8.09765625" defaultRowHeight="15.9" customHeight="1" x14ac:dyDescent="0.3"/>
  <cols>
    <col min="1" max="1" width="8.09765625" style="1092"/>
    <col min="2" max="2" width="32.5" style="1092" bestFit="1" customWidth="1"/>
    <col min="3" max="3" width="41.3984375" style="1092" customWidth="1"/>
    <col min="4" max="5" width="30.8984375" style="1092" customWidth="1"/>
    <col min="6" max="6" width="31.59765625" style="1092" customWidth="1"/>
    <col min="7" max="7" width="41.3984375" style="1092" customWidth="1"/>
    <col min="8" max="8" width="12.3984375" style="1092" customWidth="1"/>
    <col min="9" max="11" width="8.09765625" style="1092"/>
    <col min="17" max="16384" width="8.09765625" style="1092"/>
  </cols>
  <sheetData>
    <row r="2" spans="2:9" ht="24.75" customHeight="1" x14ac:dyDescent="0.3">
      <c r="B2" s="913" t="s">
        <v>3696</v>
      </c>
    </row>
    <row r="4" spans="2:9" ht="15.9" customHeight="1" x14ac:dyDescent="0.3">
      <c r="B4" s="1198" t="s">
        <v>3697</v>
      </c>
      <c r="C4" s="1198"/>
      <c r="D4" s="1198"/>
      <c r="E4" s="1098"/>
      <c r="F4" s="1098"/>
      <c r="G4" s="1098"/>
      <c r="H4" s="1098"/>
      <c r="I4" s="1098"/>
    </row>
    <row r="5" spans="2:9" ht="15.9" customHeight="1" x14ac:dyDescent="0.3">
      <c r="B5" s="1198"/>
      <c r="C5" s="1198"/>
      <c r="D5" s="1198"/>
      <c r="E5" s="1098"/>
      <c r="F5" s="1098"/>
      <c r="G5" s="1098"/>
      <c r="H5" s="1098"/>
      <c r="I5" s="1098"/>
    </row>
    <row r="6" spans="2:9" ht="15.9" customHeight="1" x14ac:dyDescent="0.3">
      <c r="B6" s="1198"/>
      <c r="C6" s="1198"/>
      <c r="D6" s="1198"/>
      <c r="E6" s="1098"/>
      <c r="F6" s="1098"/>
      <c r="G6" s="1098"/>
      <c r="H6" s="1098"/>
      <c r="I6" s="1098"/>
    </row>
    <row r="7" spans="2:9" ht="15.9" customHeight="1" x14ac:dyDescent="0.3">
      <c r="B7" s="1198"/>
      <c r="C7" s="1198"/>
      <c r="D7" s="1198"/>
      <c r="E7" s="1098"/>
      <c r="F7" s="1098"/>
      <c r="G7" s="1098"/>
      <c r="H7" s="1098"/>
      <c r="I7" s="1098"/>
    </row>
    <row r="8" spans="2:9" ht="15.9" customHeight="1" x14ac:dyDescent="0.3">
      <c r="B8" s="1198"/>
      <c r="C8" s="1198"/>
      <c r="D8" s="1198"/>
      <c r="E8" s="1098"/>
      <c r="F8" s="1098"/>
      <c r="G8" s="1098"/>
      <c r="H8" s="1098"/>
      <c r="I8" s="1098"/>
    </row>
    <row r="10" spans="2:9" ht="15.6" x14ac:dyDescent="0.3"/>
    <row r="11" spans="2:9" ht="24.75" customHeight="1" x14ac:dyDescent="0.3">
      <c r="B11" s="1093" t="s">
        <v>3698</v>
      </c>
      <c r="C11" s="1093" t="s">
        <v>3683</v>
      </c>
      <c r="D11" s="1094" t="s">
        <v>3699</v>
      </c>
      <c r="F11" s="1093" t="s">
        <v>3698</v>
      </c>
      <c r="G11" s="1093" t="s">
        <v>3683</v>
      </c>
      <c r="H11" s="1094" t="s">
        <v>3699</v>
      </c>
    </row>
    <row r="12" spans="2:9" ht="15.9" customHeight="1" x14ac:dyDescent="0.3">
      <c r="B12" s="1092" t="s">
        <v>3700</v>
      </c>
      <c r="C12" s="1092" t="s">
        <v>3701</v>
      </c>
      <c r="D12" s="1099">
        <f>VLOOKUP(C12,'Historical comparison (data) '!B:K,COLUMN('Historical comparison (data) '!$F$11)-1,FALSE)</f>
        <v>3.1566041513497249</v>
      </c>
      <c r="F12" s="1092" t="s">
        <v>3700</v>
      </c>
      <c r="G12" s="1092" t="s">
        <v>3701</v>
      </c>
      <c r="H12" s="1095">
        <f>VLOOKUP(G12,'Historical comparison (data) '!B:D,COLUMN('Historical comparison (data) '!$D$11)-1,FALSE)</f>
        <v>70.330841786274576</v>
      </c>
    </row>
    <row r="13" spans="2:9" ht="15.9" customHeight="1" x14ac:dyDescent="0.3">
      <c r="B13" s="1092" t="s">
        <v>3702</v>
      </c>
      <c r="C13" s="1092" t="s">
        <v>3703</v>
      </c>
      <c r="D13" s="1099">
        <f>VLOOKUP(C13,'Historical comparison (data) '!B:K,COLUMN('Historical comparison (data) '!$F$11)-1,FALSE)</f>
        <v>1.4021791467181386</v>
      </c>
      <c r="F13" s="1092" t="s">
        <v>3704</v>
      </c>
      <c r="G13" s="1092" t="s">
        <v>3705</v>
      </c>
      <c r="H13" s="1095">
        <f>VLOOKUP("United States",'Historical comparison (data) '!$C$33:$D$33,COLUMN('Historical comparison (data) '!$D$11)-2,FALSE)</f>
        <v>44.338095238095235</v>
      </c>
    </row>
    <row r="14" spans="2:9" ht="15.9" customHeight="1" x14ac:dyDescent="0.3">
      <c r="B14" s="1092" t="s">
        <v>3706</v>
      </c>
      <c r="C14" s="1092" t="s">
        <v>3707</v>
      </c>
      <c r="D14" s="1099">
        <f>VLOOKUP(C14,'Historical comparison (data) '!B:K,COLUMN('Historical comparison (data) '!$F$11)-1,FALSE)</f>
        <v>0.82428412049088873</v>
      </c>
      <c r="F14" s="1092" t="s">
        <v>3702</v>
      </c>
      <c r="G14" s="1092" t="s">
        <v>3703</v>
      </c>
      <c r="H14" s="1095">
        <f>VLOOKUP(G14,'Historical comparison (data) '!B:D,COLUMN('Historical comparison (data) '!$D$11)-1,FALSE)</f>
        <v>31.241307112163462</v>
      </c>
    </row>
    <row r="15" spans="2:9" ht="15.9" customHeight="1" x14ac:dyDescent="0.3">
      <c r="B15" s="1092" t="s">
        <v>3708</v>
      </c>
      <c r="C15" s="1092" t="s">
        <v>3709</v>
      </c>
      <c r="D15" s="1099">
        <f>VLOOKUP(C15,'Historical comparison (data) '!B:K,COLUMN('Historical comparison (data) '!$F$11)-1,FALSE)</f>
        <v>0.35508309874754701</v>
      </c>
      <c r="F15" s="1092" t="s">
        <v>3708</v>
      </c>
      <c r="G15" s="1092" t="s">
        <v>3709</v>
      </c>
      <c r="H15" s="1095">
        <f>VLOOKUP(G15,'Historical comparison (data) '!B:D,COLUMN('Historical comparison (data) '!$D$11)-1,FALSE)</f>
        <v>9.413634507209883</v>
      </c>
    </row>
    <row r="16" spans="2:9" ht="15.9" customHeight="1" x14ac:dyDescent="0.3">
      <c r="B16" s="1092" t="s">
        <v>3704</v>
      </c>
      <c r="C16" s="1092" t="s">
        <v>3705</v>
      </c>
      <c r="D16" s="1099">
        <f>'Historical comparison (data) '!F33</f>
        <v>0.21160708135336626</v>
      </c>
      <c r="F16" s="1092" t="s">
        <v>3710</v>
      </c>
      <c r="G16" s="1092" t="s">
        <v>3711</v>
      </c>
      <c r="H16" s="1095">
        <f>'Historical comparison (data) '!D32</f>
        <v>4.8864927960823152</v>
      </c>
    </row>
    <row r="17" spans="2:9" ht="15.9" customHeight="1" x14ac:dyDescent="0.3">
      <c r="B17" s="1096" t="s">
        <v>3710</v>
      </c>
      <c r="C17" s="1096" t="s">
        <v>3711</v>
      </c>
      <c r="D17" s="1100">
        <f>'Historical comparison (data) '!F32</f>
        <v>0.17705941037286232</v>
      </c>
      <c r="F17" s="1096" t="s">
        <v>3706</v>
      </c>
      <c r="G17" s="1096" t="s">
        <v>3707</v>
      </c>
      <c r="H17" s="1097">
        <f>VLOOKUP(G17,'Historical comparison (data) '!B:D,COLUMN('Historical comparison (data) '!$D$11)-1,FALSE)</f>
        <v>3.6342980356046652</v>
      </c>
    </row>
    <row r="18" spans="2:9" ht="15.9" customHeight="1" x14ac:dyDescent="0.3">
      <c r="H18" s="1095"/>
      <c r="I18" s="1095"/>
    </row>
    <row r="19" spans="2:9" ht="15.9" customHeight="1" x14ac:dyDescent="0.3">
      <c r="H19" s="1095"/>
      <c r="I19" s="1095"/>
    </row>
    <row r="20" spans="2:9" ht="15.9" customHeight="1" x14ac:dyDescent="0.3">
      <c r="H20" s="1095"/>
      <c r="I20" s="1095"/>
    </row>
    <row r="22" spans="2:9" ht="15.6" x14ac:dyDescent="0.3"/>
    <row r="23" spans="2:9" ht="24.75" customHeight="1" x14ac:dyDescent="0.3">
      <c r="B23" s="913" t="s">
        <v>3712</v>
      </c>
      <c r="F23" s="913" t="s">
        <v>3713</v>
      </c>
    </row>
  </sheetData>
  <mergeCells count="1">
    <mergeCell ref="B4:D8"/>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B4C6E7"/>
  </sheetPr>
  <dimension ref="B2:I23"/>
  <sheetViews>
    <sheetView zoomScaleNormal="100" workbookViewId="0"/>
  </sheetViews>
  <sheetFormatPr baseColWidth="10" defaultColWidth="8.09765625" defaultRowHeight="15.9" customHeight="1" x14ac:dyDescent="0.3"/>
  <cols>
    <col min="1" max="1" width="8.09765625" style="1084"/>
    <col min="2" max="2" width="41.3984375" style="1084" customWidth="1"/>
    <col min="3" max="3" width="33.8984375" style="1084" customWidth="1"/>
    <col min="4" max="4" width="28.19921875" style="1084" customWidth="1"/>
    <col min="5" max="6" width="12.3984375" style="1084" customWidth="1"/>
    <col min="7" max="7" width="41.3984375" style="1084" customWidth="1"/>
    <col min="8" max="8" width="31.59765625" style="1084" bestFit="1" customWidth="1"/>
    <col min="9" max="9" width="30.69921875" style="1084" customWidth="1"/>
    <col min="10" max="16384" width="8.09765625" style="1084"/>
  </cols>
  <sheetData>
    <row r="2" spans="2:9" ht="24.75" customHeight="1" x14ac:dyDescent="0.3">
      <c r="B2" s="913" t="s">
        <v>3714</v>
      </c>
    </row>
    <row r="4" spans="2:9" ht="15.9" customHeight="1" x14ac:dyDescent="0.3">
      <c r="B4" s="1199" t="s">
        <v>3715</v>
      </c>
      <c r="C4" s="1199"/>
      <c r="D4" s="1199"/>
      <c r="E4" s="1199"/>
      <c r="F4" s="1199"/>
      <c r="H4" s="1199"/>
    </row>
    <row r="5" spans="2:9" ht="15.9" customHeight="1" x14ac:dyDescent="0.3">
      <c r="B5" s="1199"/>
      <c r="C5" s="1199"/>
      <c r="D5" s="1199"/>
      <c r="E5" s="1199"/>
      <c r="F5" s="1199"/>
      <c r="H5" s="1199"/>
    </row>
    <row r="6" spans="2:9" ht="15.9" customHeight="1" x14ac:dyDescent="0.3">
      <c r="B6" s="1199"/>
      <c r="C6" s="1199"/>
      <c r="D6" s="1199"/>
      <c r="E6" s="1199"/>
      <c r="F6" s="1199"/>
      <c r="H6" s="1199"/>
    </row>
    <row r="7" spans="2:9" ht="15.9" customHeight="1" x14ac:dyDescent="0.3">
      <c r="B7" s="1199"/>
      <c r="C7" s="1199"/>
      <c r="D7" s="1199"/>
      <c r="E7" s="1199"/>
      <c r="F7" s="1199"/>
      <c r="H7" s="1199"/>
    </row>
    <row r="8" spans="2:9" ht="15.6" x14ac:dyDescent="0.3">
      <c r="B8" s="1199"/>
      <c r="C8" s="1199"/>
      <c r="D8" s="1199"/>
      <c r="E8" s="1199"/>
      <c r="F8" s="1199"/>
      <c r="H8" s="1199"/>
    </row>
    <row r="9" spans="2:9" ht="15.9" customHeight="1" x14ac:dyDescent="0.3">
      <c r="H9" s="1199"/>
    </row>
    <row r="11" spans="2:9" ht="24.75" customHeight="1" x14ac:dyDescent="0.3">
      <c r="B11" s="1093" t="s">
        <v>3698</v>
      </c>
      <c r="C11" s="1085" t="s">
        <v>3683</v>
      </c>
      <c r="D11" s="1086" t="s">
        <v>3699</v>
      </c>
      <c r="G11" s="1093" t="s">
        <v>3698</v>
      </c>
      <c r="H11" s="1085" t="s">
        <v>3683</v>
      </c>
      <c r="I11" s="1086" t="s">
        <v>3699</v>
      </c>
    </row>
    <row r="12" spans="2:9" ht="15.9" customHeight="1" x14ac:dyDescent="0.3">
      <c r="B12" s="1088" t="s">
        <v>3716</v>
      </c>
      <c r="C12" s="1088" t="s">
        <v>3717</v>
      </c>
      <c r="D12" s="1087">
        <f>VLOOKUP(C12,'Historical comparison (data) '!B:K,COLUMN('Historical comparison (data) '!$F$11)-1,FALSE)</f>
        <v>2.7702269854736219</v>
      </c>
      <c r="G12" s="1088" t="s">
        <v>3716</v>
      </c>
      <c r="H12" s="1088" t="s">
        <v>3717</v>
      </c>
      <c r="I12" s="1087">
        <f>VLOOKUP(H12,'Historical comparison (data) '!B:D,COLUMN('Historical comparison (data) '!$D$11)-1,FALSE)</f>
        <v>131.64927868559164</v>
      </c>
    </row>
    <row r="13" spans="2:9" ht="15.9" customHeight="1" x14ac:dyDescent="0.3">
      <c r="B13" s="1088" t="s">
        <v>3718</v>
      </c>
      <c r="C13" s="1088" t="s">
        <v>3719</v>
      </c>
      <c r="D13" s="1087">
        <f>VLOOKUP(C13,'Historical comparison (data) '!B:K,COLUMN('Historical comparison (data) '!$F$11)-1,FALSE)</f>
        <v>0.95649177707132027</v>
      </c>
      <c r="G13" s="1088" t="s">
        <v>3720</v>
      </c>
      <c r="H13" s="1088" t="s">
        <v>3721</v>
      </c>
      <c r="I13" s="1087">
        <f>VLOOKUP(H13,'Historical comparison (data) '!B:D,COLUMN('Historical comparison (data) '!$D$11)-1,FALSE)</f>
        <v>119.13902402544588</v>
      </c>
    </row>
    <row r="14" spans="2:9" ht="15.9" customHeight="1" x14ac:dyDescent="0.3">
      <c r="B14" s="1088" t="s">
        <v>3720</v>
      </c>
      <c r="C14" s="1088" t="s">
        <v>3721</v>
      </c>
      <c r="D14" s="1087">
        <f>VLOOKUP(C14,'Historical comparison (data) '!B:K,COLUMN('Historical comparison (data) '!$F$11)-1,FALSE)</f>
        <v>0.66802009510332705</v>
      </c>
      <c r="G14" s="1088" t="s">
        <v>3718</v>
      </c>
      <c r="H14" s="1088" t="s">
        <v>3719</v>
      </c>
      <c r="I14" s="1087">
        <f>VLOOKUP(H14,'Historical comparison (data) '!B:D,COLUMN('Historical comparison (data) '!$D$11)-1,FALSE)</f>
        <v>86.545720320806296</v>
      </c>
    </row>
    <row r="15" spans="2:9" ht="15.9" customHeight="1" x14ac:dyDescent="0.3">
      <c r="B15" s="1088" t="s">
        <v>3722</v>
      </c>
      <c r="C15" s="1088" t="s">
        <v>3723</v>
      </c>
      <c r="D15" s="1087">
        <f>VLOOKUP(C15,'Historical comparison (data) '!B:K,COLUMN('Historical comparison (data) '!$F$11)-1,FALSE)</f>
        <v>0.24557769851390659</v>
      </c>
      <c r="G15" s="1161" t="s">
        <v>3724</v>
      </c>
      <c r="H15" s="1161" t="s">
        <v>3705</v>
      </c>
      <c r="I15" s="1163">
        <f>VLOOKUP("United States",'Historical comparison (data) '!$C$33:$D$33,COLUMN('Historical comparison (data) '!$D$11)-2,FALSE)</f>
        <v>44.338095238095235</v>
      </c>
    </row>
    <row r="16" spans="2:9" ht="15.9" customHeight="1" x14ac:dyDescent="0.3">
      <c r="B16" s="1089" t="s">
        <v>3724</v>
      </c>
      <c r="C16" s="1089" t="s">
        <v>3705</v>
      </c>
      <c r="D16" s="1090">
        <f>'Historical comparison (data) '!F33</f>
        <v>0.21160708135336626</v>
      </c>
      <c r="G16" s="1162" t="s">
        <v>3722</v>
      </c>
      <c r="H16" s="1162" t="s">
        <v>3723</v>
      </c>
      <c r="I16" s="1090">
        <f>VLOOKUP(H16,'Historical comparison (data) '!B:D,COLUMN('Historical comparison (data) '!$D$11)-1,FALSE)</f>
        <v>41.36136986008502</v>
      </c>
    </row>
    <row r="23" spans="2:7" ht="24.75" customHeight="1" x14ac:dyDescent="0.3">
      <c r="B23" s="913" t="s">
        <v>3725</v>
      </c>
      <c r="G23" s="913" t="s">
        <v>3726</v>
      </c>
    </row>
  </sheetData>
  <sortState ref="G12:I16">
    <sortCondition descending="1" ref="I15"/>
  </sortState>
  <mergeCells count="2">
    <mergeCell ref="H4:H9"/>
    <mergeCell ref="B4:F8"/>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B4C6E7"/>
  </sheetPr>
  <dimension ref="B2:AH47"/>
  <sheetViews>
    <sheetView showGridLines="0" zoomScaleNormal="100" workbookViewId="0"/>
  </sheetViews>
  <sheetFormatPr baseColWidth="10" defaultColWidth="9" defaultRowHeight="15.75" customHeight="1" x14ac:dyDescent="0.3"/>
  <cols>
    <col min="1" max="1" width="8.59765625" style="890" customWidth="1"/>
    <col min="2" max="2" width="15.59765625" style="890" customWidth="1"/>
    <col min="3" max="3" width="40.59765625" style="898" customWidth="1"/>
    <col min="4" max="4" width="33.59765625" style="898" bestFit="1" customWidth="1"/>
    <col min="5" max="5" width="27.5" style="890" customWidth="1"/>
    <col min="6" max="6" width="15.59765625" style="890" customWidth="1"/>
    <col min="7" max="7" width="40.59765625" style="890" customWidth="1"/>
    <col min="8" max="8" width="33.59765625" style="890" customWidth="1"/>
    <col min="9" max="9" width="9" style="890"/>
    <col min="10" max="10" width="9" style="890" customWidth="1"/>
    <col min="11" max="22" width="9" style="890"/>
    <col min="23" max="23" width="9" style="890" customWidth="1"/>
    <col min="24" max="16384" width="9" style="890"/>
  </cols>
  <sheetData>
    <row r="2" spans="2:34" ht="24.75" customHeight="1" x14ac:dyDescent="0.3">
      <c r="B2" s="913" t="s">
        <v>3727</v>
      </c>
    </row>
    <row r="4" spans="2:34" ht="15.75" customHeight="1" x14ac:dyDescent="0.3">
      <c r="B4" s="1200" t="s">
        <v>3728</v>
      </c>
      <c r="C4" s="1200"/>
      <c r="D4" s="1200"/>
      <c r="E4" s="1200"/>
    </row>
    <row r="5" spans="2:34" s="891" customFormat="1" ht="15.75" customHeight="1" x14ac:dyDescent="0.3">
      <c r="B5" s="1200"/>
      <c r="C5" s="1200"/>
      <c r="D5" s="1200"/>
      <c r="E5" s="1200"/>
    </row>
    <row r="6" spans="2:34" ht="15.75" customHeight="1" x14ac:dyDescent="0.3">
      <c r="B6" s="1200"/>
      <c r="C6" s="1200"/>
      <c r="D6" s="1200"/>
      <c r="E6" s="1200"/>
    </row>
    <row r="7" spans="2:34" ht="15.75" customHeight="1" x14ac:dyDescent="0.3">
      <c r="B7" s="1200"/>
      <c r="C7" s="1200"/>
      <c r="D7" s="1200"/>
      <c r="E7" s="1200"/>
    </row>
    <row r="8" spans="2:34" ht="15.75" customHeight="1" x14ac:dyDescent="0.3">
      <c r="B8" s="1200"/>
      <c r="C8" s="1200"/>
      <c r="D8" s="1200"/>
      <c r="E8" s="1200"/>
    </row>
    <row r="9" spans="2:34" ht="15.75" customHeight="1" x14ac:dyDescent="0.3">
      <c r="B9" s="1200"/>
      <c r="C9" s="1200"/>
      <c r="D9" s="1200"/>
      <c r="E9" s="1200"/>
    </row>
    <row r="11" spans="2:34" s="902" customFormat="1" ht="24.75" customHeight="1" x14ac:dyDescent="0.3">
      <c r="B11" s="926" t="s">
        <v>205</v>
      </c>
      <c r="C11" s="925" t="s">
        <v>3729</v>
      </c>
      <c r="D11" s="925" t="s">
        <v>3730</v>
      </c>
      <c r="G11" s="926" t="s">
        <v>205</v>
      </c>
      <c r="H11" s="925" t="s">
        <v>3729</v>
      </c>
      <c r="I11" s="925" t="s">
        <v>3730</v>
      </c>
    </row>
    <row r="12" spans="2:34" ht="15.75" customHeight="1" x14ac:dyDescent="0.3">
      <c r="B12" s="910" t="s">
        <v>3038</v>
      </c>
      <c r="C12" s="915">
        <f>(VLOOKUP(B12,'Table Gulf War'!C5:U18,2,0)/VLOOKUP(B12,'Table Gulf War'!C5:V18,8,0))*100</f>
        <v>0.99056060696357617</v>
      </c>
      <c r="D12" s="915">
        <f>VLOOKUP(B12,'Country Summary'!B:J,9,0)</f>
        <v>0.36670361752930236</v>
      </c>
      <c r="G12" s="910" t="s">
        <v>3038</v>
      </c>
      <c r="H12" s="915">
        <f>VLOOKUP(G12,'Table Gulf War'!C5:U18,2,0)</f>
        <v>118.42407473809685</v>
      </c>
      <c r="I12" s="915">
        <f>VLOOKUP(G12,'Country Summary'!B:G,6,0)</f>
        <v>73.176684754285702</v>
      </c>
    </row>
    <row r="13" spans="2:34" ht="15.75" customHeight="1" x14ac:dyDescent="0.3">
      <c r="B13" s="910" t="s">
        <v>1288</v>
      </c>
      <c r="C13" s="915">
        <f>(VLOOKUP(B13,'Table Gulf War'!C6:U19,2,0)/VLOOKUP(B13,'Table Gulf War'!C6:U19,8,0))*100</f>
        <v>0.54521540145099512</v>
      </c>
      <c r="D13" s="915">
        <f>VLOOKUP(B13,'Country Summary'!B:J,9,0)</f>
        <v>0.16791640519043149</v>
      </c>
      <c r="G13" s="910" t="s">
        <v>1804</v>
      </c>
      <c r="H13" s="915">
        <f>VLOOKUP(G13,'Table Gulf War'!C6:U19,2,0)</f>
        <v>22.345263938286799</v>
      </c>
      <c r="I13" s="915">
        <f>VLOOKUP(G13,'Country Summary'!B:G,6,0)</f>
        <v>1.051764161904762</v>
      </c>
      <c r="J13" s="1035"/>
      <c r="K13" s="1035"/>
      <c r="L13" s="1035"/>
      <c r="Q13" s="1035"/>
      <c r="R13" s="1035"/>
      <c r="S13" s="1035"/>
      <c r="T13" s="1035"/>
      <c r="U13" s="1035"/>
      <c r="V13" s="1035"/>
      <c r="W13" s="1035"/>
      <c r="X13" s="1035"/>
      <c r="Y13" s="1035"/>
      <c r="Z13" s="1035"/>
      <c r="AA13" s="1035"/>
      <c r="AB13" s="1035"/>
      <c r="AC13" s="1035"/>
      <c r="AD13" s="1035"/>
      <c r="AE13" s="1035"/>
      <c r="AF13" s="1035"/>
      <c r="AG13" s="1035"/>
      <c r="AH13" s="1035"/>
    </row>
    <row r="14" spans="2:34" ht="15.75" customHeight="1" x14ac:dyDescent="0.3">
      <c r="B14" s="910" t="s">
        <v>1804</v>
      </c>
      <c r="C14" s="915">
        <f>(VLOOKUP(B14,'Table Gulf War'!C7:U20,2,0)/VLOOKUP(B14,'Table Gulf War'!C7:U20,8,0))*100</f>
        <v>0.32111191636080633</v>
      </c>
      <c r="D14" s="915">
        <f>VLOOKUP(B14,'Country Summary'!B:J,9,0)</f>
        <v>2.1834816145528613E-2</v>
      </c>
      <c r="G14" s="910" t="s">
        <v>1288</v>
      </c>
      <c r="H14" s="915">
        <f>VLOOKUP(G14,'Table Gulf War'!C7:U20,2,0)</f>
        <v>19.782211807043009</v>
      </c>
      <c r="I14" s="915">
        <f>VLOOKUP(G14,'Country Summary'!B:G,6,0)</f>
        <v>6.1512000000000002</v>
      </c>
      <c r="J14" s="1035"/>
      <c r="K14" s="1035"/>
      <c r="L14" s="1035"/>
      <c r="Q14" s="1035"/>
      <c r="R14" s="1035"/>
      <c r="S14" s="1035"/>
      <c r="T14" s="1035"/>
      <c r="U14" s="1035"/>
      <c r="V14" s="1035"/>
      <c r="W14" s="1035"/>
      <c r="X14" s="1035"/>
      <c r="Y14" s="1035"/>
      <c r="Z14" s="1035"/>
      <c r="AA14" s="1035"/>
      <c r="AB14" s="1035"/>
      <c r="AC14" s="1035"/>
      <c r="AD14" s="1035"/>
      <c r="AE14" s="1035"/>
      <c r="AF14" s="1035"/>
      <c r="AG14" s="1035"/>
      <c r="AH14" s="1035"/>
    </row>
    <row r="15" spans="2:34" ht="15.75" customHeight="1" x14ac:dyDescent="0.3">
      <c r="B15" s="910" t="s">
        <v>2424</v>
      </c>
      <c r="C15" s="915">
        <f>(VLOOKUP(B15,'Table Gulf War'!C8:U21,2,0)/VLOOKUP(B15,'Table Gulf War'!C8:U21,8,0))*100</f>
        <v>0.10736475956270405</v>
      </c>
      <c r="D15" s="915">
        <f>VLOOKUP(B15,'Country Summary'!B:J,9,0)</f>
        <v>6.323967606692558E-3</v>
      </c>
      <c r="G15" s="1131" t="s">
        <v>2424</v>
      </c>
      <c r="H15" s="1036">
        <f>VLOOKUP(G15,'Table Gulf War'!C8:U21,2,0)</f>
        <v>0.68918928741023566</v>
      </c>
      <c r="I15" s="1036">
        <f>VLOOKUP(G15,'Country Summary'!B:G,6,0)</f>
        <v>9.8647619047619067E-2</v>
      </c>
      <c r="J15" s="1035"/>
      <c r="K15" s="1035"/>
      <c r="L15" s="1035"/>
      <c r="Q15" s="1035"/>
      <c r="R15" s="1035"/>
      <c r="S15" s="1035"/>
      <c r="T15" s="1035"/>
      <c r="U15" s="1035"/>
      <c r="V15" s="1035"/>
      <c r="W15" s="1035"/>
      <c r="X15" s="1035"/>
      <c r="Y15" s="1035"/>
      <c r="Z15" s="1035"/>
      <c r="AA15" s="1035"/>
      <c r="AB15" s="1035"/>
      <c r="AC15" s="1035"/>
      <c r="AD15" s="1035"/>
      <c r="AE15" s="1035"/>
      <c r="AF15" s="1035"/>
      <c r="AG15" s="1035"/>
      <c r="AH15" s="1035"/>
    </row>
    <row r="16" spans="2:34" ht="15.75" customHeight="1" x14ac:dyDescent="0.3">
      <c r="B16" s="1037"/>
      <c r="C16" s="1038"/>
      <c r="D16" s="1038"/>
      <c r="H16" s="898"/>
      <c r="I16" s="898"/>
      <c r="J16" s="1035"/>
      <c r="K16" s="1035"/>
      <c r="L16" s="1035"/>
      <c r="Q16" s="1035"/>
      <c r="R16" s="1035"/>
      <c r="S16" s="1035"/>
      <c r="T16" s="1035"/>
      <c r="U16" s="1035"/>
      <c r="V16" s="1035"/>
      <c r="W16" s="1035"/>
      <c r="X16" s="1035"/>
      <c r="Y16" s="1035"/>
      <c r="Z16" s="1035"/>
      <c r="AA16" s="1035"/>
      <c r="AB16" s="1035"/>
      <c r="AC16" s="1035"/>
      <c r="AD16" s="1035"/>
      <c r="AE16" s="1035"/>
      <c r="AF16" s="1035"/>
      <c r="AG16" s="1035"/>
      <c r="AH16" s="1035"/>
    </row>
    <row r="17" spans="2:15" ht="15.75" customHeight="1" x14ac:dyDescent="0.3">
      <c r="B17" s="936" t="s">
        <v>3517</v>
      </c>
      <c r="C17" s="953">
        <f>SUM(C12:C15)</f>
        <v>1.9642526843380816</v>
      </c>
      <c r="D17" s="953">
        <f>SUM(D12:D15)</f>
        <v>0.562778806471955</v>
      </c>
      <c r="G17" s="936" t="s">
        <v>3517</v>
      </c>
      <c r="H17" s="953">
        <f>SUM(H12:H15)</f>
        <v>161.24073977083691</v>
      </c>
      <c r="I17" s="953">
        <f>SUM(I12:I15)</f>
        <v>80.478296535238087</v>
      </c>
    </row>
    <row r="18" spans="2:15" ht="15.75" customHeight="1" x14ac:dyDescent="0.3">
      <c r="F18" s="910"/>
      <c r="G18" s="912"/>
      <c r="H18" s="912"/>
      <c r="M18" s="910"/>
      <c r="N18" s="912"/>
      <c r="O18" s="912"/>
    </row>
    <row r="19" spans="2:15" ht="15.75" customHeight="1" x14ac:dyDescent="0.3">
      <c r="F19" s="910"/>
      <c r="G19" s="912"/>
      <c r="H19" s="912"/>
      <c r="M19" s="910"/>
      <c r="N19" s="912"/>
      <c r="O19" s="912"/>
    </row>
    <row r="20" spans="2:15" ht="15.75" customHeight="1" x14ac:dyDescent="0.3">
      <c r="F20" s="910"/>
      <c r="G20" s="912"/>
      <c r="H20" s="912"/>
      <c r="M20" s="910"/>
      <c r="N20" s="912"/>
      <c r="O20" s="912"/>
    </row>
    <row r="21" spans="2:15" ht="15.75" customHeight="1" x14ac:dyDescent="0.3">
      <c r="N21" s="898"/>
      <c r="O21" s="898"/>
    </row>
    <row r="22" spans="2:15" ht="15.75" customHeight="1" x14ac:dyDescent="0.3">
      <c r="N22" s="898"/>
      <c r="O22" s="898"/>
    </row>
    <row r="23" spans="2:15" ht="24.75" customHeight="1" x14ac:dyDescent="0.3">
      <c r="B23" s="913" t="s">
        <v>3731</v>
      </c>
      <c r="G23" s="913" t="s">
        <v>3732</v>
      </c>
      <c r="N23" s="898"/>
      <c r="O23" s="898"/>
    </row>
    <row r="24" spans="2:15" ht="15.75" customHeight="1" x14ac:dyDescent="0.3">
      <c r="N24" s="898"/>
      <c r="O24" s="898"/>
    </row>
    <row r="25" spans="2:15" ht="13.2" x14ac:dyDescent="0.3">
      <c r="N25" s="898"/>
      <c r="O25" s="898"/>
    </row>
    <row r="26" spans="2:15" ht="15.75" customHeight="1" x14ac:dyDescent="0.3">
      <c r="N26" s="898"/>
      <c r="O26" s="898"/>
    </row>
    <row r="27" spans="2:15" ht="15.75" customHeight="1" x14ac:dyDescent="0.3">
      <c r="N27" s="898"/>
      <c r="O27" s="898"/>
    </row>
    <row r="29" spans="2:15" ht="15.75" customHeight="1" x14ac:dyDescent="0.3">
      <c r="N29" s="898"/>
      <c r="O29" s="898"/>
    </row>
    <row r="30" spans="2:15" ht="15.75" customHeight="1" x14ac:dyDescent="0.3">
      <c r="N30" s="898"/>
      <c r="O30" s="898"/>
    </row>
    <row r="31" spans="2:15" ht="15.75" customHeight="1" x14ac:dyDescent="0.3">
      <c r="N31" s="898"/>
      <c r="O31" s="898"/>
    </row>
    <row r="32" spans="2:15" ht="15.75" customHeight="1" x14ac:dyDescent="0.3">
      <c r="N32" s="898"/>
      <c r="O32" s="898"/>
    </row>
    <row r="33" spans="14:15" ht="15.75" customHeight="1" x14ac:dyDescent="0.3">
      <c r="N33" s="898"/>
      <c r="O33" s="898"/>
    </row>
    <row r="34" spans="14:15" ht="15.75" customHeight="1" x14ac:dyDescent="0.3">
      <c r="N34" s="898"/>
      <c r="O34" s="898"/>
    </row>
    <row r="35" spans="14:15" ht="15.75" customHeight="1" x14ac:dyDescent="0.3">
      <c r="N35" s="898"/>
      <c r="O35" s="898"/>
    </row>
    <row r="36" spans="14:15" ht="15.75" customHeight="1" x14ac:dyDescent="0.3">
      <c r="N36" s="898"/>
      <c r="O36" s="898"/>
    </row>
    <row r="37" spans="14:15" ht="15.75" customHeight="1" x14ac:dyDescent="0.3">
      <c r="N37" s="898"/>
      <c r="O37" s="898"/>
    </row>
    <row r="38" spans="14:15" ht="15.75" customHeight="1" x14ac:dyDescent="0.3">
      <c r="N38" s="898"/>
      <c r="O38" s="898"/>
    </row>
    <row r="39" spans="14:15" ht="15.75" customHeight="1" x14ac:dyDescent="0.3">
      <c r="N39" s="898"/>
      <c r="O39" s="898"/>
    </row>
    <row r="40" spans="14:15" ht="15.75" customHeight="1" x14ac:dyDescent="0.3">
      <c r="N40" s="898"/>
      <c r="O40" s="898"/>
    </row>
    <row r="41" spans="14:15" ht="15.75" customHeight="1" x14ac:dyDescent="0.3">
      <c r="N41" s="898"/>
      <c r="O41" s="898"/>
    </row>
    <row r="42" spans="14:15" ht="15.75" customHeight="1" x14ac:dyDescent="0.3">
      <c r="N42" s="898"/>
      <c r="O42" s="898"/>
    </row>
    <row r="43" spans="14:15" ht="15.75" customHeight="1" x14ac:dyDescent="0.3">
      <c r="N43" s="898"/>
      <c r="O43" s="898"/>
    </row>
    <row r="44" spans="14:15" ht="15.75" customHeight="1" x14ac:dyDescent="0.3">
      <c r="N44" s="898"/>
      <c r="O44" s="898"/>
    </row>
    <row r="45" spans="14:15" ht="15.75" customHeight="1" x14ac:dyDescent="0.3">
      <c r="N45" s="898"/>
      <c r="O45" s="898"/>
    </row>
    <row r="46" spans="14:15" ht="15.75" customHeight="1" x14ac:dyDescent="0.3">
      <c r="N46" s="898"/>
      <c r="O46" s="898"/>
    </row>
    <row r="47" spans="14:15" ht="15.75" customHeight="1" x14ac:dyDescent="0.3">
      <c r="N47" s="898"/>
      <c r="O47" s="898"/>
    </row>
  </sheetData>
  <mergeCells count="1">
    <mergeCell ref="B4:E9"/>
  </mergeCells>
  <pageMargins left="0.7" right="0.7" top="0.78740157499999996" bottom="0.78740157499999996"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B4C6E7"/>
  </sheetPr>
  <dimension ref="B2:I48"/>
  <sheetViews>
    <sheetView showGridLines="0" zoomScaleNormal="100" workbookViewId="0"/>
  </sheetViews>
  <sheetFormatPr baseColWidth="10" defaultColWidth="11" defaultRowHeight="15.75" customHeight="1" x14ac:dyDescent="0.3"/>
  <cols>
    <col min="1" max="1" width="8.59765625" style="890" customWidth="1"/>
    <col min="2" max="2" width="46.59765625" style="890" customWidth="1"/>
    <col min="3" max="3" width="22" style="890" bestFit="1" customWidth="1"/>
    <col min="4" max="8" width="13.59765625" style="890" customWidth="1"/>
    <col min="9" max="16384" width="11" style="890"/>
  </cols>
  <sheetData>
    <row r="2" spans="2:8" s="902" customFormat="1" ht="24.75" customHeight="1" x14ac:dyDescent="0.3">
      <c r="B2" s="913" t="s">
        <v>3733</v>
      </c>
    </row>
    <row r="4" spans="2:8" ht="15.75" customHeight="1" x14ac:dyDescent="0.3">
      <c r="B4" s="1200" t="s">
        <v>3734</v>
      </c>
      <c r="C4" s="1200"/>
      <c r="D4" s="1200"/>
      <c r="E4" s="1200"/>
      <c r="F4" s="1200"/>
      <c r="G4" s="1200"/>
      <c r="H4" s="1200"/>
    </row>
    <row r="5" spans="2:8" ht="15.75" customHeight="1" x14ac:dyDescent="0.3">
      <c r="B5" s="1200"/>
      <c r="C5" s="1200"/>
      <c r="D5" s="1200"/>
      <c r="E5" s="1200"/>
      <c r="F5" s="1200"/>
      <c r="G5" s="1200"/>
      <c r="H5" s="1200"/>
    </row>
    <row r="6" spans="2:8" ht="15.75" customHeight="1" x14ac:dyDescent="0.3">
      <c r="B6" s="1200"/>
      <c r="C6" s="1200"/>
      <c r="D6" s="1200"/>
      <c r="E6" s="1200"/>
      <c r="F6" s="1200"/>
      <c r="G6" s="1200"/>
      <c r="H6" s="1200"/>
    </row>
    <row r="7" spans="2:8" ht="15.75" customHeight="1" x14ac:dyDescent="0.3">
      <c r="B7" s="1200"/>
      <c r="C7" s="1200"/>
      <c r="D7" s="1200"/>
      <c r="E7" s="1200"/>
      <c r="F7" s="1200"/>
      <c r="G7" s="1200"/>
      <c r="H7" s="1200"/>
    </row>
    <row r="8" spans="2:8" ht="15.75" customHeight="1" x14ac:dyDescent="0.3">
      <c r="B8" s="1200"/>
      <c r="C8" s="1200"/>
      <c r="D8" s="1200"/>
      <c r="E8" s="1200"/>
      <c r="F8" s="1200"/>
      <c r="G8" s="1200"/>
      <c r="H8" s="1200"/>
    </row>
    <row r="9" spans="2:8" ht="15.75" customHeight="1" x14ac:dyDescent="0.3">
      <c r="B9" s="1200"/>
      <c r="C9" s="1200"/>
      <c r="D9" s="1200"/>
      <c r="E9" s="1200"/>
      <c r="F9" s="1200"/>
      <c r="G9" s="1200"/>
      <c r="H9" s="1200"/>
    </row>
    <row r="11" spans="2:8" s="902" customFormat="1" ht="24.75" customHeight="1" x14ac:dyDescent="0.3">
      <c r="B11" s="926" t="s">
        <v>3735</v>
      </c>
      <c r="C11" s="930" t="s">
        <v>3736</v>
      </c>
      <c r="E11" s="913" t="s">
        <v>3737</v>
      </c>
    </row>
    <row r="12" spans="2:8" ht="15.75" customHeight="1" x14ac:dyDescent="0.3">
      <c r="B12" s="910" t="s">
        <v>3738</v>
      </c>
      <c r="C12" s="915">
        <v>806.9</v>
      </c>
    </row>
    <row r="13" spans="2:8" ht="15.75" customHeight="1" x14ac:dyDescent="0.3">
      <c r="B13" s="910" t="s">
        <v>3739</v>
      </c>
      <c r="C13" s="915">
        <f>'Table European Crisis'!E21</f>
        <v>394.6</v>
      </c>
    </row>
    <row r="14" spans="2:8" ht="15.75" customHeight="1" x14ac:dyDescent="0.3">
      <c r="B14" s="942" t="s">
        <v>3740</v>
      </c>
      <c r="C14" s="943">
        <f>'Table Aid vs Energy'!E43</f>
        <v>54.921652335815303</v>
      </c>
    </row>
    <row r="16" spans="2:8" ht="15.75" customHeight="1" x14ac:dyDescent="0.3">
      <c r="B16" s="936" t="s">
        <v>3741</v>
      </c>
      <c r="C16" s="953">
        <f>C12+C13</f>
        <v>1201.5</v>
      </c>
    </row>
    <row r="48" spans="9:9" ht="15.75" customHeight="1" x14ac:dyDescent="0.3">
      <c r="I48" s="898"/>
    </row>
  </sheetData>
  <mergeCells count="1">
    <mergeCell ref="B4:H9"/>
  </mergeCells>
  <pageMargins left="0.7" right="0.7" top="0.78740157499999996" bottom="0.78740157499999996"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B4C6E7"/>
  </sheetPr>
  <dimension ref="B2:W23"/>
  <sheetViews>
    <sheetView showGridLines="0" zoomScaleNormal="100" workbookViewId="0"/>
  </sheetViews>
  <sheetFormatPr baseColWidth="10" defaultColWidth="9" defaultRowHeight="15.75" customHeight="1" x14ac:dyDescent="0.3"/>
  <cols>
    <col min="1" max="1" width="8.59765625" style="890" customWidth="1"/>
    <col min="2" max="2" width="15" style="890" customWidth="1"/>
    <col min="3" max="3" width="37.59765625" style="898" bestFit="1" customWidth="1"/>
    <col min="4" max="4" width="33.59765625" style="898" bestFit="1" customWidth="1"/>
    <col min="5" max="7" width="13.59765625" style="890" customWidth="1"/>
    <col min="8" max="8" width="37.59765625" style="898" bestFit="1" customWidth="1"/>
    <col min="9" max="9" width="29.59765625" style="890" bestFit="1" customWidth="1"/>
    <col min="10" max="10" width="13.59765625" style="893" customWidth="1"/>
    <col min="11" max="11" width="13.59765625" style="890" customWidth="1"/>
    <col min="12" max="16384" width="9" style="890"/>
  </cols>
  <sheetData>
    <row r="2" spans="2:23" ht="24.75" customHeight="1" x14ac:dyDescent="0.3">
      <c r="B2" s="913" t="s">
        <v>3742</v>
      </c>
      <c r="G2" s="913"/>
      <c r="H2" s="929"/>
      <c r="I2" s="902"/>
      <c r="J2" s="927"/>
      <c r="K2" s="902"/>
      <c r="L2" s="902"/>
      <c r="M2" s="902"/>
      <c r="N2" s="902"/>
      <c r="O2" s="902"/>
      <c r="P2" s="902"/>
      <c r="Q2" s="902"/>
      <c r="R2" s="902"/>
      <c r="S2" s="902"/>
      <c r="T2" s="902"/>
      <c r="U2" s="902"/>
      <c r="V2" s="902"/>
      <c r="W2" s="902"/>
    </row>
    <row r="4" spans="2:23" ht="15.75" customHeight="1" x14ac:dyDescent="0.3">
      <c r="B4" s="1200" t="s">
        <v>3743</v>
      </c>
      <c r="C4" s="1200"/>
      <c r="D4" s="1200"/>
      <c r="E4" s="1200"/>
      <c r="F4" s="1200"/>
      <c r="G4" s="1200"/>
      <c r="H4" s="1200"/>
      <c r="I4" s="1200"/>
      <c r="J4" s="1200"/>
      <c r="K4" s="1200"/>
    </row>
    <row r="5" spans="2:23" s="891" customFormat="1" ht="15.75" customHeight="1" x14ac:dyDescent="0.3">
      <c r="B5" s="1200"/>
      <c r="C5" s="1200"/>
      <c r="D5" s="1200"/>
      <c r="E5" s="1200"/>
      <c r="F5" s="1200"/>
      <c r="G5" s="1200"/>
      <c r="H5" s="1200"/>
      <c r="I5" s="1200"/>
      <c r="J5" s="1200"/>
      <c r="K5" s="1200"/>
    </row>
    <row r="6" spans="2:23" ht="15.75" customHeight="1" x14ac:dyDescent="0.3">
      <c r="B6" s="1200"/>
      <c r="C6" s="1200"/>
      <c r="D6" s="1200"/>
      <c r="E6" s="1200"/>
      <c r="F6" s="1200"/>
      <c r="G6" s="1200"/>
      <c r="H6" s="1200"/>
      <c r="I6" s="1200"/>
      <c r="J6" s="1200"/>
      <c r="K6" s="1200"/>
    </row>
    <row r="7" spans="2:23" ht="15.75" customHeight="1" x14ac:dyDescent="0.3">
      <c r="B7" s="1200"/>
      <c r="C7" s="1200"/>
      <c r="D7" s="1200"/>
      <c r="E7" s="1200"/>
      <c r="F7" s="1200"/>
      <c r="G7" s="1200"/>
      <c r="H7" s="1200"/>
      <c r="I7" s="1200"/>
      <c r="J7" s="1200"/>
      <c r="K7" s="1200"/>
    </row>
    <row r="8" spans="2:23" ht="15.75" customHeight="1" x14ac:dyDescent="0.3">
      <c r="B8" s="1200"/>
      <c r="C8" s="1200"/>
      <c r="D8" s="1200"/>
      <c r="E8" s="1200"/>
      <c r="F8" s="1200"/>
      <c r="G8" s="1200"/>
      <c r="H8" s="1200"/>
      <c r="I8" s="1200"/>
      <c r="J8" s="1200"/>
      <c r="K8" s="1200"/>
    </row>
    <row r="9" spans="2:23" ht="15.75" customHeight="1" x14ac:dyDescent="0.3">
      <c r="B9" s="1200"/>
      <c r="C9" s="1200"/>
      <c r="D9" s="1200"/>
      <c r="E9" s="1200"/>
      <c r="F9" s="1200"/>
      <c r="G9" s="1200"/>
      <c r="H9" s="1200"/>
      <c r="I9" s="1200"/>
      <c r="J9" s="1200"/>
      <c r="K9" s="1200"/>
    </row>
    <row r="11" spans="2:23" s="902" customFormat="1" ht="24.75" customHeight="1" x14ac:dyDescent="0.3">
      <c r="B11" s="926" t="s">
        <v>205</v>
      </c>
      <c r="C11" s="925" t="s">
        <v>3744</v>
      </c>
      <c r="D11" s="925" t="s">
        <v>3745</v>
      </c>
      <c r="G11" s="926" t="s">
        <v>205</v>
      </c>
      <c r="H11" s="928" t="s">
        <v>3744</v>
      </c>
      <c r="I11" s="928" t="s">
        <v>3746</v>
      </c>
      <c r="J11" s="927"/>
    </row>
    <row r="12" spans="2:23" ht="15.75" customHeight="1" x14ac:dyDescent="0.3">
      <c r="B12" s="910" t="s">
        <v>1288</v>
      </c>
      <c r="C12" s="915">
        <f>VLOOKUP(B12,'Table Aid vs Energy'!B11:J45,3,0)</f>
        <v>264.2</v>
      </c>
      <c r="D12" s="915">
        <f>VLOOKUP(B12,'Country Summary'!B:Q,15,0)</f>
        <v>13.331095476972546</v>
      </c>
      <c r="G12" s="910" t="s">
        <v>1288</v>
      </c>
      <c r="H12" s="912">
        <f>VLOOKUP($G12,'Table Aid vs Energy'!B11:J45,6,0)</f>
        <v>7.2121722999271691</v>
      </c>
      <c r="I12" s="912">
        <f>VLOOKUP($G12,'Table Aid vs Energy'!B11:J45,8,0)</f>
        <v>0.36391429798147529</v>
      </c>
    </row>
    <row r="13" spans="2:23" ht="15.75" customHeight="1" x14ac:dyDescent="0.3">
      <c r="B13" s="910" t="s">
        <v>2864</v>
      </c>
      <c r="C13" s="915">
        <f>VLOOKUP(B13,'Table Aid vs Energy'!B12:J46,3,0)</f>
        <v>96.65</v>
      </c>
      <c r="D13" s="915">
        <f>VLOOKUP(B13,'Country Summary'!B:Q,15,0)</f>
        <v>8.3066789144399067</v>
      </c>
      <c r="G13" s="910" t="s">
        <v>2076</v>
      </c>
      <c r="H13" s="912">
        <f>VLOOKUP($G13,'Table Aid vs Energy'!B12:J46,6,0)</f>
        <v>5.0382145992177847</v>
      </c>
      <c r="I13" s="912">
        <f>VLOOKUP($G13,'Table Aid vs Energy'!B12:J46,8,0)</f>
        <v>0.46712908878091608</v>
      </c>
    </row>
    <row r="14" spans="2:23" ht="15.75" customHeight="1" x14ac:dyDescent="0.3">
      <c r="B14" s="910" t="s">
        <v>1730</v>
      </c>
      <c r="C14" s="915">
        <f>VLOOKUP(B14,'Table Aid vs Energy'!B13:J47,3,0)</f>
        <v>83.44</v>
      </c>
      <c r="D14" s="915">
        <f>VLOOKUP(B14,'Country Summary'!B:Q,15,0)</f>
        <v>5.4416588898901672</v>
      </c>
      <c r="G14" s="910" t="s">
        <v>1730</v>
      </c>
      <c r="H14" s="912">
        <f>VLOOKUP($G14,'Table Aid vs Energy'!B13:J47,6,0)</f>
        <v>4.6387230425448607</v>
      </c>
      <c r="I14" s="912">
        <f>VLOOKUP($G14,'Table Aid vs Energy'!B13:J47,8,0)</f>
        <v>0.30252095496407727</v>
      </c>
    </row>
    <row r="15" spans="2:23" ht="15.75" customHeight="1" x14ac:dyDescent="0.3">
      <c r="B15" s="910" t="s">
        <v>1131</v>
      </c>
      <c r="C15" s="915">
        <f>VLOOKUP(B15,'Table Aid vs Energy'!B14:J48,3,0)</f>
        <v>49.43</v>
      </c>
      <c r="D15" s="915">
        <f>VLOOKUP(B15,'Country Summary'!B:Q,15,0)</f>
        <v>7.6574679800366088</v>
      </c>
      <c r="G15" s="911" t="s">
        <v>3747</v>
      </c>
      <c r="H15" s="912">
        <f>'Table Aid vs Energy'!G43</f>
        <v>3.9130030073532711</v>
      </c>
      <c r="I15" s="912">
        <f>'Table Aid vs Energy'!H43</f>
        <v>0.37711209140887864</v>
      </c>
    </row>
    <row r="16" spans="2:23" ht="15.75" customHeight="1" x14ac:dyDescent="0.3">
      <c r="B16" s="910" t="s">
        <v>2076</v>
      </c>
      <c r="C16" s="915">
        <f>VLOOKUP(B16,'Table Aid vs Energy'!B15:J49,3,0)</f>
        <v>43.85</v>
      </c>
      <c r="D16" s="915">
        <f>VLOOKUP(B16,'Country Summary'!B:Q,15,0)</f>
        <v>4.0656486816229274</v>
      </c>
      <c r="G16" s="910" t="s">
        <v>2864</v>
      </c>
      <c r="H16" s="912">
        <f>VLOOKUP($G16,'Table Aid vs Energy'!B15:J49,6,0)</f>
        <v>3.6771632258559692</v>
      </c>
      <c r="I16" s="912">
        <f>VLOOKUP($G16,'Table Aid vs Energy'!B15:J49,8,0)</f>
        <v>0.31603739506644191</v>
      </c>
    </row>
    <row r="17" spans="2:9" ht="15.75" customHeight="1" x14ac:dyDescent="0.3">
      <c r="B17" s="910" t="s">
        <v>2615</v>
      </c>
      <c r="C17" s="915">
        <f>VLOOKUP(B17,'Table Aid vs Energy'!B16:J50,3,0)</f>
        <v>35.799999999999997</v>
      </c>
      <c r="D17" s="915">
        <f>VLOOKUP(B17,'Country Summary'!B:Q,15,0)</f>
        <v>4.4263629622177492</v>
      </c>
      <c r="G17" s="910" t="s">
        <v>2615</v>
      </c>
      <c r="H17" s="912">
        <f>VLOOKUP($G17,'Table Aid vs Energy'!B16:J50,6,0)</f>
        <v>2.9333164695598697</v>
      </c>
      <c r="I17" s="912">
        <f>VLOOKUP($G17,'Table Aid vs Energy'!B16:J50,8,0)</f>
        <v>0.36267942394757358</v>
      </c>
    </row>
    <row r="18" spans="2:9" ht="15.75" customHeight="1" x14ac:dyDescent="0.3">
      <c r="B18" s="951" t="s">
        <v>3747</v>
      </c>
      <c r="C18" s="943">
        <f>'Table Aid vs Energy'!D43/27</f>
        <v>21.106661962962956</v>
      </c>
      <c r="D18" s="943">
        <f>(SUMIFS('Country Summary'!G:G,'Country Summary'!C:C,1)+29.9+2+3.1)/27</f>
        <v>2.0333945309561221</v>
      </c>
      <c r="G18" s="942" t="s">
        <v>1131</v>
      </c>
      <c r="H18" s="952">
        <f>VLOOKUP($G18,'Table Aid vs Energy'!B17:J51,6,0)</f>
        <v>1.9732026822478206</v>
      </c>
      <c r="I18" s="1022">
        <f>VLOOKUP($G18,'Table Aid vs Energy'!B17:J51,8,0)</f>
        <v>0.30567947314252558</v>
      </c>
    </row>
    <row r="20" spans="2:9" ht="15.75" customHeight="1" x14ac:dyDescent="0.3">
      <c r="B20" s="936" t="s">
        <v>3517</v>
      </c>
      <c r="C20" s="953">
        <f>SUM(C12:C17)</f>
        <v>573.37</v>
      </c>
      <c r="D20" s="953">
        <f>SUM(D12:D17)</f>
        <v>43.228912905179904</v>
      </c>
      <c r="G20" s="936" t="s">
        <v>3517</v>
      </c>
      <c r="H20" s="953">
        <f>SUM(H12:H18)-H15</f>
        <v>25.472792319353474</v>
      </c>
      <c r="I20" s="953">
        <f>SUM(I12:I17)</f>
        <v>2.1893932521493626</v>
      </c>
    </row>
    <row r="23" spans="2:9" ht="24.75" customHeight="1" x14ac:dyDescent="0.3">
      <c r="B23" s="913" t="s">
        <v>3748</v>
      </c>
      <c r="G23" s="913" t="s">
        <v>3749</v>
      </c>
    </row>
  </sheetData>
  <mergeCells count="2">
    <mergeCell ref="B4:F9"/>
    <mergeCell ref="G4:K9"/>
  </mergeCells>
  <pageMargins left="0.7" right="0.7" top="0.78740157499999996" bottom="0.78740157499999996" header="0.3" footer="0.3"/>
  <pageSetup paperSize="9"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B4C6E7"/>
  </sheetPr>
  <dimension ref="B2:Z18"/>
  <sheetViews>
    <sheetView showGridLines="0" zoomScaleNormal="100" workbookViewId="0"/>
  </sheetViews>
  <sheetFormatPr baseColWidth="10" defaultColWidth="11" defaultRowHeight="15.75" customHeight="1" x14ac:dyDescent="0.3"/>
  <cols>
    <col min="1" max="1" width="8.59765625" style="890" customWidth="1"/>
    <col min="2" max="2" width="54.8984375" style="890" customWidth="1"/>
    <col min="3" max="3" width="32.19921875" style="892" customWidth="1"/>
    <col min="4" max="4" width="16.69921875" style="892" customWidth="1"/>
    <col min="5" max="5" width="22.5" style="890" customWidth="1"/>
    <col min="6" max="7" width="13.59765625" style="890" customWidth="1"/>
    <col min="8" max="16384" width="11" style="890"/>
  </cols>
  <sheetData>
    <row r="2" spans="2:26" s="902" customFormat="1" ht="24.75" customHeight="1" x14ac:dyDescent="0.3">
      <c r="B2" s="913" t="s">
        <v>3750</v>
      </c>
      <c r="C2" s="1102"/>
      <c r="D2" s="1102"/>
    </row>
    <row r="4" spans="2:26" ht="15.75" customHeight="1" x14ac:dyDescent="0.3">
      <c r="B4" s="1200" t="s">
        <v>3751</v>
      </c>
      <c r="C4" s="1200"/>
      <c r="D4" s="1200"/>
      <c r="E4" s="1200"/>
      <c r="F4" s="1200"/>
      <c r="G4" s="1200"/>
    </row>
    <row r="5" spans="2:26" ht="15.75" customHeight="1" x14ac:dyDescent="0.3">
      <c r="B5" s="1200"/>
      <c r="C5" s="1200"/>
      <c r="D5" s="1200"/>
      <c r="E5" s="1200"/>
      <c r="F5" s="1200"/>
      <c r="G5" s="1200"/>
      <c r="Y5" s="894"/>
    </row>
    <row r="6" spans="2:26" ht="15.75" customHeight="1" x14ac:dyDescent="0.3">
      <c r="B6" s="1200"/>
      <c r="C6" s="1200"/>
      <c r="D6" s="1200"/>
      <c r="E6" s="1200"/>
      <c r="F6" s="1200"/>
      <c r="G6" s="1200"/>
      <c r="Y6" s="894"/>
      <c r="Z6" s="895"/>
    </row>
    <row r="7" spans="2:26" ht="15.75" customHeight="1" x14ac:dyDescent="0.3">
      <c r="B7" s="1200"/>
      <c r="C7" s="1200"/>
      <c r="D7" s="1200"/>
      <c r="E7" s="1200"/>
      <c r="F7" s="1200"/>
      <c r="G7" s="1200"/>
      <c r="Y7" s="894"/>
    </row>
    <row r="8" spans="2:26" ht="15.75" customHeight="1" x14ac:dyDescent="0.3">
      <c r="B8" s="1200"/>
      <c r="C8" s="1200"/>
      <c r="D8" s="1200"/>
      <c r="E8" s="1200"/>
      <c r="F8" s="1200"/>
      <c r="G8" s="1200"/>
      <c r="Y8" s="894"/>
    </row>
    <row r="9" spans="2:26" ht="15.75" customHeight="1" x14ac:dyDescent="0.3">
      <c r="B9" s="1200"/>
      <c r="C9" s="1200"/>
      <c r="D9" s="1200"/>
      <c r="E9" s="1200"/>
      <c r="F9" s="1200"/>
      <c r="G9" s="1200"/>
      <c r="Y9" s="896"/>
    </row>
    <row r="10" spans="2:26" ht="15.75" customHeight="1" x14ac:dyDescent="0.3">
      <c r="Y10" s="894"/>
    </row>
    <row r="11" spans="2:26" s="902" customFormat="1" ht="24.75" customHeight="1" x14ac:dyDescent="0.3">
      <c r="B11" s="926" t="s">
        <v>3735</v>
      </c>
      <c r="C11" s="925" t="s">
        <v>3752</v>
      </c>
      <c r="D11" s="925" t="s">
        <v>3753</v>
      </c>
      <c r="E11" s="930" t="s">
        <v>3754</v>
      </c>
      <c r="G11" s="913" t="s">
        <v>3755</v>
      </c>
      <c r="Y11" s="897"/>
    </row>
    <row r="12" spans="2:26" ht="15.75" customHeight="1" x14ac:dyDescent="0.3">
      <c r="B12" s="910" t="s">
        <v>3756</v>
      </c>
      <c r="C12" s="912"/>
      <c r="D12" s="912"/>
      <c r="E12" s="915">
        <v>200</v>
      </c>
    </row>
    <row r="13" spans="2:26" ht="15.75" customHeight="1" x14ac:dyDescent="0.3">
      <c r="B13" s="910" t="s">
        <v>3757</v>
      </c>
      <c r="C13" s="912"/>
      <c r="D13" s="912"/>
      <c r="E13" s="915">
        <v>100</v>
      </c>
    </row>
    <row r="14" spans="2:26" ht="15.75" customHeight="1" x14ac:dyDescent="0.3">
      <c r="B14" s="910" t="s">
        <v>3758</v>
      </c>
      <c r="C14" s="912"/>
      <c r="D14" s="912"/>
      <c r="E14" s="915">
        <v>34.5</v>
      </c>
    </row>
    <row r="15" spans="2:26" ht="15.75" customHeight="1" x14ac:dyDescent="0.3">
      <c r="B15" s="910" t="s">
        <v>3759</v>
      </c>
      <c r="C15" s="1104">
        <f>VLOOKUP("Germany",'Country Summary'!B:P,6)</f>
        <v>6.1512000000000002</v>
      </c>
      <c r="D15" s="912">
        <f>VLOOKUP("Germany",'Country Summary'!B:P,13)</f>
        <v>7.1798954769725452</v>
      </c>
      <c r="E15" s="915"/>
    </row>
    <row r="16" spans="2:26" ht="15.75" customHeight="1" x14ac:dyDescent="0.3">
      <c r="B16" s="1101" t="s">
        <v>3760</v>
      </c>
      <c r="C16" s="1103"/>
      <c r="D16" s="1103"/>
      <c r="E16" s="943">
        <f>3.15+2.5</f>
        <v>5.65</v>
      </c>
    </row>
    <row r="17" spans="2:5" ht="15.75" customHeight="1" x14ac:dyDescent="0.3">
      <c r="E17" s="892"/>
    </row>
    <row r="18" spans="2:5" ht="15.75" customHeight="1" x14ac:dyDescent="0.3">
      <c r="B18" s="936" t="s">
        <v>3741</v>
      </c>
      <c r="C18" s="953"/>
      <c r="D18" s="953"/>
      <c r="E18" s="953">
        <f>SUM(E12:E16)-E15</f>
        <v>340.15</v>
      </c>
    </row>
  </sheetData>
  <mergeCells count="1">
    <mergeCell ref="B4:G9"/>
  </mergeCell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BS1471"/>
  <sheetViews>
    <sheetView zoomScaleNormal="100" workbookViewId="0">
      <pane xSplit="1" ySplit="1" topLeftCell="B2" activePane="bottomRight" state="frozen"/>
      <selection pane="topRight" activeCell="B9" sqref="B9"/>
      <selection pane="bottomLeft" activeCell="B9" sqref="B9"/>
      <selection pane="bottomRight"/>
    </sheetView>
  </sheetViews>
  <sheetFormatPr baseColWidth="10" defaultColWidth="10.5" defaultRowHeight="15.9" customHeight="1" x14ac:dyDescent="0.3"/>
  <cols>
    <col min="1" max="1" width="8" style="505" customWidth="1"/>
    <col min="2" max="2" width="16.5" style="505" customWidth="1"/>
    <col min="3" max="3" width="18.5" style="506" customWidth="1"/>
    <col min="4" max="4" width="19.5" style="507" customWidth="1"/>
    <col min="5" max="5" width="37" style="507" customWidth="1"/>
    <col min="6" max="6" width="55" style="508" customWidth="1"/>
    <col min="7" max="7" width="19" style="509" customWidth="1"/>
    <col min="8" max="8" width="31.5" style="510" customWidth="1"/>
    <col min="9" max="9" width="76.3984375" style="505" customWidth="1"/>
    <col min="10" max="10" width="34" style="511" customWidth="1"/>
    <col min="11" max="11" width="55.5" style="511" customWidth="1"/>
    <col min="12" max="12" width="7.5" style="512" customWidth="1"/>
    <col min="13" max="13" width="16.5" style="513" customWidth="1"/>
    <col min="14" max="14" width="15" style="513" customWidth="1"/>
    <col min="15" max="15" width="18.5" style="513" customWidth="1"/>
    <col min="16" max="16" width="38" style="510" customWidth="1"/>
    <col min="17" max="17" width="37" style="510" customWidth="1"/>
    <col min="18" max="18" width="24.5" style="510" customWidth="1"/>
    <col min="19" max="19" width="24" style="510" customWidth="1"/>
    <col min="20" max="20" width="39.5" style="510" customWidth="1"/>
    <col min="21" max="21" width="17" style="509" customWidth="1"/>
    <col min="22" max="22" width="37.5" style="529" customWidth="1"/>
    <col min="23" max="23" width="32.5" style="529" customWidth="1"/>
    <col min="24" max="25" width="36" style="529" customWidth="1"/>
    <col min="26" max="26" width="44.5" style="509" customWidth="1"/>
    <col min="27" max="27" width="27" style="514" customWidth="1"/>
    <col min="28" max="28" width="24.5" style="534" customWidth="1"/>
    <col min="29" max="29" width="32" style="515" customWidth="1"/>
    <col min="30" max="39" width="20.5" style="514" customWidth="1"/>
    <col min="40" max="40" width="15" style="514" customWidth="1"/>
    <col min="41" max="41" width="26.5" style="514" customWidth="1"/>
    <col min="42" max="42" width="18.3984375" style="516" bestFit="1" customWidth="1"/>
    <col min="43" max="43" width="12.5" style="514" customWidth="1"/>
    <col min="44" max="45" width="10.5" style="514" customWidth="1"/>
    <col min="46" max="47" width="10.5" style="514"/>
    <col min="48" max="49" width="10.5" style="517"/>
    <col min="50" max="51" width="10.5" style="518"/>
    <col min="52" max="52" width="32.59765625" style="518" customWidth="1"/>
    <col min="53" max="16384" width="10.5" style="518"/>
  </cols>
  <sheetData>
    <row r="1" spans="1:52" s="504" customFormat="1" ht="15.9" customHeight="1" x14ac:dyDescent="0.3">
      <c r="A1" s="202" t="s">
        <v>204</v>
      </c>
      <c r="B1" s="697" t="s">
        <v>205</v>
      </c>
      <c r="C1" s="537" t="s">
        <v>206</v>
      </c>
      <c r="D1" s="697" t="s">
        <v>207</v>
      </c>
      <c r="E1" s="697" t="s">
        <v>208</v>
      </c>
      <c r="F1" s="202" t="s">
        <v>209</v>
      </c>
      <c r="G1" s="202" t="s">
        <v>210</v>
      </c>
      <c r="H1" s="204" t="s">
        <v>211</v>
      </c>
      <c r="I1" s="205" t="s">
        <v>212</v>
      </c>
      <c r="J1" s="869" t="s">
        <v>213</v>
      </c>
      <c r="K1" s="870" t="s">
        <v>214</v>
      </c>
      <c r="L1" s="208" t="s">
        <v>215</v>
      </c>
      <c r="M1" s="538" t="s">
        <v>216</v>
      </c>
      <c r="N1" s="538" t="s">
        <v>217</v>
      </c>
      <c r="O1" s="729" t="s">
        <v>218</v>
      </c>
      <c r="P1" s="730" t="s">
        <v>219</v>
      </c>
      <c r="Q1" s="730" t="s">
        <v>220</v>
      </c>
      <c r="R1" s="730" t="s">
        <v>221</v>
      </c>
      <c r="S1" s="731" t="s">
        <v>222</v>
      </c>
      <c r="T1" s="204" t="s">
        <v>223</v>
      </c>
      <c r="U1" s="202" t="s">
        <v>224</v>
      </c>
      <c r="V1" s="202" t="s">
        <v>225</v>
      </c>
      <c r="W1" s="202" t="s">
        <v>226</v>
      </c>
      <c r="X1" s="202" t="s">
        <v>227</v>
      </c>
      <c r="Y1" s="202" t="s">
        <v>228</v>
      </c>
      <c r="Z1" s="202" t="s">
        <v>229</v>
      </c>
      <c r="AA1" s="213" t="s">
        <v>230</v>
      </c>
      <c r="AB1" s="214" t="s">
        <v>231</v>
      </c>
      <c r="AC1" s="539" t="s">
        <v>232</v>
      </c>
      <c r="AD1" s="540" t="s">
        <v>233</v>
      </c>
      <c r="AE1" s="215" t="s">
        <v>234</v>
      </c>
      <c r="AF1" s="215" t="s">
        <v>235</v>
      </c>
      <c r="AG1" s="215" t="s">
        <v>236</v>
      </c>
      <c r="AH1" s="215" t="s">
        <v>237</v>
      </c>
      <c r="AI1" s="215" t="s">
        <v>238</v>
      </c>
      <c r="AJ1" s="215" t="s">
        <v>239</v>
      </c>
      <c r="AK1" s="215" t="s">
        <v>240</v>
      </c>
      <c r="AL1" s="215" t="s">
        <v>241</v>
      </c>
      <c r="AM1" s="215" t="s">
        <v>242</v>
      </c>
      <c r="AN1" s="213" t="s">
        <v>243</v>
      </c>
      <c r="AO1" s="213" t="s">
        <v>214</v>
      </c>
      <c r="AP1" s="213" t="s">
        <v>244</v>
      </c>
      <c r="AQ1" s="213" t="str">
        <f>'Price List, Weapons &amp; Items'!L11</f>
        <v>Relative importance(2=very imporant, 1=important, 0=less important)</v>
      </c>
      <c r="AR1" s="213" t="s">
        <v>245</v>
      </c>
      <c r="AS1" s="213" t="s">
        <v>246</v>
      </c>
      <c r="AT1" s="213" t="s">
        <v>247</v>
      </c>
      <c r="AU1" s="213" t="s">
        <v>248</v>
      </c>
      <c r="AV1" s="541" t="s">
        <v>249</v>
      </c>
      <c r="AW1" s="541" t="s">
        <v>250</v>
      </c>
      <c r="AX1" s="213" t="s">
        <v>251</v>
      </c>
      <c r="AY1" s="213" t="s">
        <v>252</v>
      </c>
      <c r="AZ1" s="213" t="s">
        <v>253</v>
      </c>
    </row>
    <row r="2" spans="1:52" ht="15.9" customHeight="1" x14ac:dyDescent="0.3">
      <c r="A2" s="17" t="s">
        <v>254</v>
      </c>
      <c r="B2" s="17" t="s">
        <v>255</v>
      </c>
      <c r="C2" s="174">
        <v>44621</v>
      </c>
      <c r="D2" s="5" t="s">
        <v>256</v>
      </c>
      <c r="E2" s="5" t="s">
        <v>257</v>
      </c>
      <c r="F2" s="175" t="s">
        <v>258</v>
      </c>
      <c r="G2" s="15" t="s">
        <v>259</v>
      </c>
      <c r="H2" s="176">
        <v>35000000</v>
      </c>
      <c r="I2" s="184" t="s">
        <v>260</v>
      </c>
      <c r="J2" s="113" t="str">
        <f>VLOOKUP($I2,'Price List, Weapons &amp; Items'!B:C,2,0)</f>
        <v>.</v>
      </c>
      <c r="K2" s="113" t="str">
        <f>IF(I2=".",I2,VLOOKUP($I2,'Price List, Weapons &amp; Items'!B:D,3,0))</f>
        <v>.</v>
      </c>
      <c r="L2" s="177">
        <f>VLOOKUP(I2,'Price List, Weapons &amp; Items'!B:E,4,0)</f>
        <v>0</v>
      </c>
      <c r="M2" s="542" t="s">
        <v>260</v>
      </c>
      <c r="N2" s="542" t="s">
        <v>260</v>
      </c>
      <c r="O2" s="543" t="str">
        <f>VLOOKUP($I2,'Price List, Weapons &amp; Items'!B:G,6,0)</f>
        <v>.</v>
      </c>
      <c r="P2" s="176" t="str">
        <f t="shared" ref="P2" si="0">IF(TYPE(M2)=1,IF(TYPE(O2)=1,M2*O2,"No price"),".")</f>
        <v>.</v>
      </c>
      <c r="Q2" s="176" t="str">
        <f t="shared" ref="Q2" si="1">IF(TYPE(N2)=1,IF(TYPE(O2)=1,N2*O2,"No price"),".")</f>
        <v>.</v>
      </c>
      <c r="R2" s="176">
        <f t="shared" ref="R2:R65" si="2">IF(AD2=1,IF(H2&lt;&gt;"Not given",H2,IF(TYPE(H2)=2,IF(SUMIFS(P:P,A:A,A2)&gt;0,SUMIFS(P:P,A:A,A2),"."),"Format error")),"")</f>
        <v>35000000</v>
      </c>
      <c r="S2" s="176">
        <f>IF(AND(AD2=1,R2&lt;&gt;".")=TRUE,R2/VLOOKUP(G2,'Exchange Rates'!B:C,2,0),IF(R2=".",".",""))</f>
        <v>22659588.242910787</v>
      </c>
      <c r="T2" s="176" t="str">
        <f>IF(AD2=1,IF(AF2="Value is not given at all",".",IF(AF2="Value is given by the source",S2,IF(AF2="Value is calculated with prices",(IF(SUMIFS(Q:Q,A:A,A2)&gt;0,SUMIFS(Q:Q,A:A,A2),"."))/VLOOKUP("USD",'Exchange Rates'!B:C,2,0),"Error with coding"))),"")</f>
        <v>.</v>
      </c>
      <c r="U2" s="15" t="s">
        <v>261</v>
      </c>
      <c r="V2" s="300" t="s">
        <v>262</v>
      </c>
      <c r="W2" s="300" t="s">
        <v>263</v>
      </c>
      <c r="X2" s="175" t="s">
        <v>260</v>
      </c>
      <c r="Y2" s="175" t="s">
        <v>260</v>
      </c>
      <c r="Z2" s="15">
        <v>0</v>
      </c>
      <c r="AA2" s="180">
        <v>0</v>
      </c>
      <c r="AB2" s="184" t="s">
        <v>260</v>
      </c>
      <c r="AC2" s="544" t="str">
        <f>""</f>
        <v/>
      </c>
      <c r="AD2" s="181">
        <v>1</v>
      </c>
      <c r="AE2" s="181" t="s">
        <v>264</v>
      </c>
      <c r="AF2" s="181" t="s">
        <v>265</v>
      </c>
      <c r="AG2" s="181">
        <v>1</v>
      </c>
      <c r="AH2" s="181">
        <v>3</v>
      </c>
      <c r="AI2" s="181">
        <v>0</v>
      </c>
      <c r="AJ2" s="181">
        <f>VLOOKUP($I2,'Price List, Weapons &amp; Items'!B:F,5,0)</f>
        <v>0</v>
      </c>
      <c r="AK2" s="181">
        <f t="shared" ref="AK2" si="3">IF(AND(AJ2=1,M2="undisclosed")=TRUE,1,0)</f>
        <v>0</v>
      </c>
      <c r="AL2" s="181">
        <f t="shared" ref="AL2" si="4">IF(AND(AJ2=1,N2="undisclosed")=TRUE,1,0)</f>
        <v>0</v>
      </c>
      <c r="AM2" s="181">
        <f>IFERROR(IF(SEARCH("ammuni",I2,1)&gt;0,1,0),0)</f>
        <v>0</v>
      </c>
      <c r="AN2" s="180" t="str">
        <f>VLOOKUP($I2,'Price List, Weapons &amp; Items'!B:L,COLUMN('Price List, Weapons &amp; Items'!$J$11)-1,0)</f>
        <v>.</v>
      </c>
      <c r="AO2" s="180" t="str">
        <f>IF(I2=".",".",VLOOKUP($I2,'Price List, Weapons &amp; Items'!B:J,3,0))</f>
        <v>.</v>
      </c>
      <c r="AP2" s="545" t="str">
        <f ca="1">IF(AD2=1,(OFFSET(I2,0,0,COUNTIF(A:A,A2),1)),"")</f>
        <v>.</v>
      </c>
      <c r="AQ2" s="180" t="str">
        <f>VLOOKUP($I2,'Price List, Weapons &amp; Items'!B:L,COLUMN('Price List, Weapons &amp; Items'!$L$11)-1,0)</f>
        <v>no price, 0 count</v>
      </c>
      <c r="AR2" s="180">
        <f>IF(U2="Yes",1,0)</f>
        <v>1</v>
      </c>
      <c r="AS2" s="180">
        <f>IF(D2="Military",IF(OR(IFERROR(SEARCH("equipment",E2,1),0)&gt;0,IFERROR(SEARCH("weapons",E2,1),0)&gt;0),1,0),0)</f>
        <v>0</v>
      </c>
      <c r="AT2" s="180">
        <f t="shared" ref="AT2:AT65" si="5">IFERROR(IF(VALUE(TEXT(C2,"mm"))=AH2,".",IF(TEXT(C2,"mm")="01",".",1)),"Value is not in date format")</f>
        <v>1</v>
      </c>
      <c r="AU2" s="180" t="str">
        <f>IF(AND(A2=A1,C2=C1)=TRUE,IF(F2=F1,".","1"),".")</f>
        <v>.</v>
      </c>
      <c r="AV2" s="180" t="str">
        <f>IF(T2&lt;&gt;".",IF(T2&gt;S2,1,"."),".")</f>
        <v>.</v>
      </c>
      <c r="AW2" s="180">
        <f>IFERROR(VLOOKUP(B2,'Share, Heavy Weapons to Ukraine'!B:J,COLUMN('Share, Heavy Weapons to Ukraine'!C12)-1,0),0)</f>
        <v>0</v>
      </c>
      <c r="AX2" s="180">
        <f>VLOOKUP('Bilateral Assistance, MAIN DATA'!B2,'Country Summary'!B:F,COLUMN('Country Summary'!C13)-1,FALSE)</f>
        <v>0</v>
      </c>
      <c r="AY2" s="180" t="str">
        <f>IF(AND(AD2=1,D2="Military",H2&lt;&gt;"Not given")=TRUE,IF(SUMIFS(P:P,A:A,A2)&gt;0,ABS((SUMIFS(P:P,A:A,A2)/VLOOKUP("USD",'Exchange Rates'!B:C,2,0)))/S2,"."),".")</f>
        <v>.</v>
      </c>
      <c r="AZ2" s="182" t="str">
        <f>IF(AND(AD2=1,D2="Military",H2&lt;&gt;"Not given")=TRUE,IF(SUMIFS(P:P,A:A,A2)&gt;0,IF((ABS((SUMIFS(P:P,A:A,A2)/VLOOKUP("USD",'Exchange Rates'!B:C,2,0)))/S2)&gt;1,(SUMIFS(P:P,A:A,A2)-S2)/S2,(S2-SUMIFS(P:P,A:A,A2))/SUMIFS(P:P,A:A,A2)),"."),".")</f>
        <v>.</v>
      </c>
    </row>
    <row r="3" spans="1:52" ht="15.9" customHeight="1" x14ac:dyDescent="0.3">
      <c r="A3" s="17" t="s">
        <v>266</v>
      </c>
      <c r="B3" s="17" t="s">
        <v>255</v>
      </c>
      <c r="C3" s="174">
        <v>44640</v>
      </c>
      <c r="D3" s="5" t="s">
        <v>256</v>
      </c>
      <c r="E3" s="5" t="s">
        <v>267</v>
      </c>
      <c r="F3" s="175" t="s">
        <v>268</v>
      </c>
      <c r="G3" s="15" t="s">
        <v>259</v>
      </c>
      <c r="H3" s="176">
        <v>32600000</v>
      </c>
      <c r="I3" s="17" t="s">
        <v>269</v>
      </c>
      <c r="J3" s="113" t="str">
        <f>VLOOKUP($I3,'Price List, Weapons &amp; Items'!B:C,2,0)</f>
        <v>Humanitarian</v>
      </c>
      <c r="K3" s="113" t="str">
        <f>IF(I3=".",I3,VLOOKUP($I3,'Price List, Weapons &amp; Items'!B:D,3,0))</f>
        <v>Humanitarian</v>
      </c>
      <c r="L3" s="177">
        <f>VLOOKUP(I3,'Price List, Weapons &amp; Items'!B:E,4,0)</f>
        <v>0</v>
      </c>
      <c r="M3" s="542">
        <v>70000</v>
      </c>
      <c r="N3" s="542" t="s">
        <v>270</v>
      </c>
      <c r="O3" s="543">
        <f>VLOOKUP($I3,'Price List, Weapons &amp; Items'!B:G,6,0)</f>
        <v>329</v>
      </c>
      <c r="P3" s="176">
        <f t="shared" ref="P3:P66" si="6">IF(TYPE(M3)=1,IF(TYPE(O3)=1,M3*O3,"No price"),".")</f>
        <v>23030000</v>
      </c>
      <c r="Q3" s="176" t="str">
        <f t="shared" ref="Q3:Q66" si="7">IF(TYPE(N3)=1,IF(TYPE(O3)=1,N3*O3,"No price"),".")</f>
        <v>.</v>
      </c>
      <c r="R3" s="176">
        <f t="shared" si="2"/>
        <v>32600000</v>
      </c>
      <c r="S3" s="176">
        <f>IF(AND(AD3=1,R3&lt;&gt;".")=TRUE,R3/VLOOKUP(G3,'Exchange Rates'!B:C,2,0),IF(R3=".",".",""))</f>
        <v>21105787.906254046</v>
      </c>
      <c r="T3" s="176" t="str">
        <f>IF(AD3=1,IF(AF3="Value is not given at all",".",IF(AF3="Value is given by the source",S3,IF(AF3="Value is calculated with prices",(IF(SUMIFS(Q:Q,A:A,A3)&gt;0,SUMIFS(Q:Q,A:A,A3),"."))/VLOOKUP("USD",'Exchange Rates'!B:C,2,0),"Error with coding"))),"")</f>
        <v>.</v>
      </c>
      <c r="U3" s="15" t="s">
        <v>261</v>
      </c>
      <c r="V3" s="300" t="s">
        <v>271</v>
      </c>
      <c r="W3" s="300" t="s">
        <v>272</v>
      </c>
      <c r="X3" s="300" t="s">
        <v>273</v>
      </c>
      <c r="Y3" s="546" t="s">
        <v>274</v>
      </c>
      <c r="Z3" s="15">
        <v>0</v>
      </c>
      <c r="AA3" s="180">
        <v>0</v>
      </c>
      <c r="AB3" s="184" t="s">
        <v>260</v>
      </c>
      <c r="AC3" s="544" t="str">
        <f>""</f>
        <v/>
      </c>
      <c r="AD3" s="181">
        <v>1</v>
      </c>
      <c r="AE3" s="181" t="s">
        <v>264</v>
      </c>
      <c r="AF3" s="181" t="s">
        <v>265</v>
      </c>
      <c r="AG3" s="181">
        <v>1</v>
      </c>
      <c r="AH3" s="181">
        <v>3</v>
      </c>
      <c r="AI3" s="181">
        <v>0</v>
      </c>
      <c r="AJ3" s="181">
        <f>VLOOKUP($I3,'Price List, Weapons &amp; Items'!B:F,5,0)</f>
        <v>0</v>
      </c>
      <c r="AK3" s="181">
        <f t="shared" ref="AK3:AK66" si="8">IF(AND(AJ3=1,M3="undisclosed")=TRUE,1,0)</f>
        <v>0</v>
      </c>
      <c r="AL3" s="181">
        <f t="shared" ref="AL3:AL66" si="9">IF(AND(AJ3=1,N3="undisclosed")=TRUE,1,0)</f>
        <v>0</v>
      </c>
      <c r="AM3" s="181">
        <f t="shared" ref="AM3:AM66" si="10">IFERROR(IF(SEARCH("ammuni",I3,1)&gt;0,1,0),0)</f>
        <v>0</v>
      </c>
      <c r="AN3" s="180" t="str">
        <f>VLOOKUP($I3,'Price List, Weapons &amp; Items'!B:L,COLUMN('Price List, Weapons &amp; Items'!$J$11)-1,0)</f>
        <v>Media reports (incl. social media)</v>
      </c>
      <c r="AO3" s="180" t="str">
        <f>IF(I3=".",".",VLOOKUP($I3,'Price List, Weapons &amp; Items'!B:J,3,0))</f>
        <v>Humanitarian</v>
      </c>
      <c r="AP3" s="545" t="e">
        <f t="shared" ref="AP3:AP66" ca="1" si="11">IF(AD3=1,_xlfn.ARRAYTOTEXT(OFFSET(I3,0,0,COUNTIF(A:A,A3),1)),"")</f>
        <v>#NAME?</v>
      </c>
      <c r="AQ3" s="180">
        <f>VLOOKUP($I3,'Price List, Weapons &amp; Items'!B:L,COLUMN('Price List, Weapons &amp; Items'!$L$11)-1,0)</f>
        <v>0</v>
      </c>
      <c r="AR3" s="180">
        <f t="shared" ref="AR3:AR66" si="12">IF(U3="Yes",1,0)</f>
        <v>1</v>
      </c>
      <c r="AS3" s="180">
        <f t="shared" ref="AS3:AS66" si="13">IF(D3="Military",IF(OR(IFERROR(SEARCH("equipment",E3,1),0)&gt;0,IFERROR(SEARCH("weapons",E3,1),0)&gt;0),1,0),0)</f>
        <v>0</v>
      </c>
      <c r="AT3" s="180">
        <f t="shared" si="5"/>
        <v>1</v>
      </c>
      <c r="AU3" s="180" t="str">
        <f t="shared" ref="AU3:AU66" si="14">IF(AND(A3=A2,C3=C2)=TRUE,IF(F3=F2,".","1"),".")</f>
        <v>.</v>
      </c>
      <c r="AV3" s="180" t="str">
        <f t="shared" ref="AV3:AV66" si="15">IF(T3&lt;&gt;".",IF(T3&gt;S3,1,"."),".")</f>
        <v>.</v>
      </c>
      <c r="AW3" s="180">
        <f>IFERROR(VLOOKUP(B3,'Share, Heavy Weapons to Ukraine'!B:J,COLUMN('Share, Heavy Weapons to Ukraine'!C13)-1,0),0)</f>
        <v>0</v>
      </c>
      <c r="AX3" s="180">
        <f>VLOOKUP('Bilateral Assistance, MAIN DATA'!B3,'Country Summary'!B:F,COLUMN('Country Summary'!C14)-1,FALSE)</f>
        <v>0</v>
      </c>
      <c r="AY3" s="180" t="str">
        <f>IF(AND(AD3=1,D3="Military",H3&lt;&gt;"Not given")=TRUE,IF(SUMIFS(P:P,A:A,A3)&gt;0,ABS((SUMIFS(P:P,A:A,A3)/VLOOKUP("USD",'Exchange Rates'!B:C,2,0)))/S3,"."),".")</f>
        <v>.</v>
      </c>
      <c r="AZ3" s="182" t="str">
        <f>IF(AND(AD3=1,D3="Military",H3&lt;&gt;"Not given")=TRUE,IF(SUMIFS(P:P,A:A,A3)&gt;0,IF((ABS((SUMIFS(P:P,A:A,A3)/VLOOKUP("USD",'Exchange Rates'!B:C,2,0)))/S3)&gt;1,(SUMIFS(P:P,A:A,A3)-S3)/S3,(S3-SUMIFS(P:P,A:A,A3))/SUMIFS(P:P,A:A,A3)),"."),".")</f>
        <v>.</v>
      </c>
    </row>
    <row r="4" spans="1:52" ht="15.9" customHeight="1" x14ac:dyDescent="0.3">
      <c r="A4" s="17" t="s">
        <v>275</v>
      </c>
      <c r="B4" s="17" t="s">
        <v>255</v>
      </c>
      <c r="C4" s="174">
        <v>44640</v>
      </c>
      <c r="D4" s="5" t="s">
        <v>256</v>
      </c>
      <c r="E4" s="5" t="s">
        <v>257</v>
      </c>
      <c r="F4" s="175" t="s">
        <v>276</v>
      </c>
      <c r="G4" s="15" t="s">
        <v>259</v>
      </c>
      <c r="H4" s="176">
        <v>12000000</v>
      </c>
      <c r="I4" s="184" t="s">
        <v>260</v>
      </c>
      <c r="J4" s="113" t="str">
        <f>VLOOKUP($I4,'Price List, Weapons &amp; Items'!B:C,2,0)</f>
        <v>.</v>
      </c>
      <c r="K4" s="113" t="str">
        <f>IF(I4=".",I4,VLOOKUP($I4,'Price List, Weapons &amp; Items'!B:D,3,0))</f>
        <v>.</v>
      </c>
      <c r="L4" s="177">
        <f>VLOOKUP(I4,'Price List, Weapons &amp; Items'!B:E,4,0)</f>
        <v>0</v>
      </c>
      <c r="M4" s="542" t="s">
        <v>260</v>
      </c>
      <c r="N4" s="542" t="s">
        <v>260</v>
      </c>
      <c r="O4" s="543" t="str">
        <f>VLOOKUP($I4,'Price List, Weapons &amp; Items'!B:G,6,0)</f>
        <v>.</v>
      </c>
      <c r="P4" s="176" t="str">
        <f t="shared" si="6"/>
        <v>.</v>
      </c>
      <c r="Q4" s="176" t="str">
        <f t="shared" si="7"/>
        <v>.</v>
      </c>
      <c r="R4" s="176">
        <f t="shared" si="2"/>
        <v>12000000</v>
      </c>
      <c r="S4" s="176">
        <f>IF(AND(AD4=1,R4&lt;&gt;".")=TRUE,R4/VLOOKUP(G4,'Exchange Rates'!B:C,2,0),IF(R4=".",".",""))</f>
        <v>7769001.6832836978</v>
      </c>
      <c r="T4" s="176" t="str">
        <f>IF(AD4=1,IF(AF4="Value is not given at all",".",IF(AF4="Value is given by the source",S4,IF(AF4="Value is calculated with prices",(IF(SUMIFS(Q:Q,A:A,A4)&gt;0,SUMIFS(Q:Q,A:A,A4),"."))/VLOOKUP("USD",'Exchange Rates'!B:C,2,0),"Error with coding"))),"")</f>
        <v>.</v>
      </c>
      <c r="U4" s="15" t="s">
        <v>261</v>
      </c>
      <c r="V4" s="300" t="s">
        <v>277</v>
      </c>
      <c r="W4" s="300" t="s">
        <v>278</v>
      </c>
      <c r="X4" s="300" t="s">
        <v>279</v>
      </c>
      <c r="Y4" s="175" t="s">
        <v>260</v>
      </c>
      <c r="Z4" s="15">
        <v>0</v>
      </c>
      <c r="AA4" s="180">
        <v>0</v>
      </c>
      <c r="AB4" s="184" t="s">
        <v>260</v>
      </c>
      <c r="AC4" s="544" t="str">
        <f>""</f>
        <v/>
      </c>
      <c r="AD4" s="181">
        <v>1</v>
      </c>
      <c r="AE4" s="181" t="s">
        <v>264</v>
      </c>
      <c r="AF4" s="181" t="s">
        <v>265</v>
      </c>
      <c r="AG4" s="181">
        <v>1</v>
      </c>
      <c r="AH4" s="181">
        <v>3</v>
      </c>
      <c r="AI4" s="181">
        <v>0</v>
      </c>
      <c r="AJ4" s="181">
        <f>VLOOKUP($I4,'Price List, Weapons &amp; Items'!B:F,5,0)</f>
        <v>0</v>
      </c>
      <c r="AK4" s="181">
        <f t="shared" si="8"/>
        <v>0</v>
      </c>
      <c r="AL4" s="181">
        <f t="shared" si="9"/>
        <v>0</v>
      </c>
      <c r="AM4" s="181">
        <f t="shared" si="10"/>
        <v>0</v>
      </c>
      <c r="AN4" s="180" t="str">
        <f>VLOOKUP($I4,'Price List, Weapons &amp; Items'!B:L,COLUMN('Price List, Weapons &amp; Items'!$J$11)-1,0)</f>
        <v>.</v>
      </c>
      <c r="AO4" s="180" t="str">
        <f>IF(I4=".",".",VLOOKUP($I4,'Price List, Weapons &amp; Items'!B:J,3,0))</f>
        <v>.</v>
      </c>
      <c r="AP4" s="545" t="e">
        <f t="shared" ca="1" si="11"/>
        <v>#NAME?</v>
      </c>
      <c r="AQ4" s="180" t="str">
        <f>VLOOKUP($I4,'Price List, Weapons &amp; Items'!B:L,COLUMN('Price List, Weapons &amp; Items'!$L$11)-1,0)</f>
        <v>no price, 0 count</v>
      </c>
      <c r="AR4" s="180">
        <f t="shared" si="12"/>
        <v>1</v>
      </c>
      <c r="AS4" s="180">
        <f t="shared" si="13"/>
        <v>0</v>
      </c>
      <c r="AT4" s="180">
        <f t="shared" si="5"/>
        <v>1</v>
      </c>
      <c r="AU4" s="180" t="str">
        <f t="shared" si="14"/>
        <v>.</v>
      </c>
      <c r="AV4" s="180" t="str">
        <f t="shared" si="15"/>
        <v>.</v>
      </c>
      <c r="AW4" s="180">
        <f>IFERROR(VLOOKUP(B4,'Share, Heavy Weapons to Ukraine'!B:J,COLUMN('Share, Heavy Weapons to Ukraine'!C14)-1,0),0)</f>
        <v>0</v>
      </c>
      <c r="AX4" s="180">
        <f>VLOOKUP('Bilateral Assistance, MAIN DATA'!B4,'Country Summary'!B:F,COLUMN('Country Summary'!C15)-1,FALSE)</f>
        <v>0</v>
      </c>
      <c r="AY4" s="180" t="str">
        <f>IF(AND(AD4=1,D4="Military",H4&lt;&gt;"Not given")=TRUE,IF(SUMIFS(P:P,A:A,A4)&gt;0,ABS((SUMIFS(P:P,A:A,A4)/VLOOKUP("USD",'Exchange Rates'!B:C,2,0)))/S4,"."),".")</f>
        <v>.</v>
      </c>
      <c r="AZ4" s="182" t="str">
        <f>IF(AND(AD4=1,D4="Military",H4&lt;&gt;"Not given")=TRUE,IF(SUMIFS(P:P,A:A,A4)&gt;0,IF((ABS((SUMIFS(P:P,A:A,A4)/VLOOKUP("USD",'Exchange Rates'!B:C,2,0)))/S4)&gt;1,(SUMIFS(P:P,A:A,A4)-S4)/S4,(S4-SUMIFS(P:P,A:A,A4))/SUMIFS(P:P,A:A,A4)),"."),".")</f>
        <v>.</v>
      </c>
    </row>
    <row r="5" spans="1:52" ht="15.9" customHeight="1" x14ac:dyDescent="0.3">
      <c r="A5" s="17" t="s">
        <v>280</v>
      </c>
      <c r="B5" s="17" t="s">
        <v>255</v>
      </c>
      <c r="C5" s="174">
        <v>44859</v>
      </c>
      <c r="D5" s="5" t="s">
        <v>256</v>
      </c>
      <c r="E5" s="5" t="s">
        <v>257</v>
      </c>
      <c r="F5" s="175" t="s">
        <v>281</v>
      </c>
      <c r="G5" s="15" t="s">
        <v>259</v>
      </c>
      <c r="H5" s="176">
        <v>27000000</v>
      </c>
      <c r="I5" s="184" t="s">
        <v>260</v>
      </c>
      <c r="J5" s="113" t="str">
        <f>VLOOKUP($I5,'Price List, Weapons &amp; Items'!B:C,2,0)</f>
        <v>.</v>
      </c>
      <c r="K5" s="113" t="str">
        <f>IF(I5=".",I5,VLOOKUP($I5,'Price List, Weapons &amp; Items'!B:D,3,0))</f>
        <v>.</v>
      </c>
      <c r="L5" s="177">
        <f>VLOOKUP(I5,'Price List, Weapons &amp; Items'!B:E,4,0)</f>
        <v>0</v>
      </c>
      <c r="M5" s="542" t="s">
        <v>260</v>
      </c>
      <c r="N5" s="542" t="s">
        <v>260</v>
      </c>
      <c r="O5" s="543" t="str">
        <f>VLOOKUP($I5,'Price List, Weapons &amp; Items'!B:G,6,0)</f>
        <v>.</v>
      </c>
      <c r="P5" s="176" t="str">
        <f t="shared" si="6"/>
        <v>.</v>
      </c>
      <c r="Q5" s="176" t="str">
        <f t="shared" si="7"/>
        <v>.</v>
      </c>
      <c r="R5" s="176">
        <f t="shared" si="2"/>
        <v>27000000</v>
      </c>
      <c r="S5" s="176">
        <f>IF(AND(AD5=1,R5&lt;&gt;".")=TRUE,R5/VLOOKUP(G5,'Exchange Rates'!B:C,2,0),IF(R5=".",".",""))</f>
        <v>17480253.787388321</v>
      </c>
      <c r="T5" s="176" t="str">
        <f>IF(AD5=1,IF(AF5="Value is not given at all",".",IF(AF5="Value is given by the source",S5,IF(AF5="Value is calculated with prices",(IF(SUMIFS(Q:Q,A:A,A5)&gt;0,SUMIFS(Q:Q,A:A,A5),"."))/VLOOKUP("USD",'Exchange Rates'!B:C,2,0),"Error with coding"))),"")</f>
        <v>.</v>
      </c>
      <c r="U5" s="15" t="s">
        <v>261</v>
      </c>
      <c r="V5" s="300" t="s">
        <v>282</v>
      </c>
      <c r="W5" s="300" t="s">
        <v>283</v>
      </c>
      <c r="X5" s="300"/>
      <c r="Y5" s="175" t="s">
        <v>260</v>
      </c>
      <c r="Z5" s="15">
        <v>0</v>
      </c>
      <c r="AA5" s="180">
        <v>0</v>
      </c>
      <c r="AB5" s="184" t="s">
        <v>260</v>
      </c>
      <c r="AC5" s="544"/>
      <c r="AD5" s="181">
        <v>1</v>
      </c>
      <c r="AE5" s="181" t="s">
        <v>264</v>
      </c>
      <c r="AF5" s="181" t="s">
        <v>265</v>
      </c>
      <c r="AG5" s="181">
        <v>1</v>
      </c>
      <c r="AH5" s="181">
        <v>10</v>
      </c>
      <c r="AI5" s="181">
        <v>0</v>
      </c>
      <c r="AJ5" s="181">
        <f>VLOOKUP($I5,'Price List, Weapons &amp; Items'!B:F,5,0)</f>
        <v>0</v>
      </c>
      <c r="AK5" s="181">
        <f t="shared" si="8"/>
        <v>0</v>
      </c>
      <c r="AL5" s="181">
        <f t="shared" si="9"/>
        <v>0</v>
      </c>
      <c r="AM5" s="181">
        <f t="shared" si="10"/>
        <v>0</v>
      </c>
      <c r="AN5" s="180" t="str">
        <f>VLOOKUP($I5,'Price List, Weapons &amp; Items'!B:L,COLUMN('Price List, Weapons &amp; Items'!$J$11)-1,0)</f>
        <v>.</v>
      </c>
      <c r="AO5" s="180" t="str">
        <f>IF(I5=".",".",VLOOKUP($I5,'Price List, Weapons &amp; Items'!B:J,3,0))</f>
        <v>.</v>
      </c>
      <c r="AP5" s="545" t="e">
        <f t="shared" ca="1" si="11"/>
        <v>#NAME?</v>
      </c>
      <c r="AQ5" s="180" t="str">
        <f>VLOOKUP($I5,'Price List, Weapons &amp; Items'!B:L,COLUMN('Price List, Weapons &amp; Items'!$L$11)-1,0)</f>
        <v>no price, 0 count</v>
      </c>
      <c r="AR5" s="180">
        <f t="shared" si="12"/>
        <v>1</v>
      </c>
      <c r="AS5" s="180">
        <f t="shared" si="13"/>
        <v>0</v>
      </c>
      <c r="AT5" s="180">
        <f t="shared" si="5"/>
        <v>1</v>
      </c>
      <c r="AU5" s="180" t="str">
        <f t="shared" si="14"/>
        <v>.</v>
      </c>
      <c r="AV5" s="180" t="str">
        <f t="shared" si="15"/>
        <v>.</v>
      </c>
      <c r="AW5" s="180">
        <f>IFERROR(VLOOKUP(B5,'Share, Heavy Weapons to Ukraine'!B:J,COLUMN('Share, Heavy Weapons to Ukraine'!C15)-1,0),0)</f>
        <v>0</v>
      </c>
      <c r="AX5" s="180">
        <f>VLOOKUP('Bilateral Assistance, MAIN DATA'!B5,'Country Summary'!B:F,COLUMN('Country Summary'!C16)-1,FALSE)</f>
        <v>0</v>
      </c>
      <c r="AY5" s="180" t="str">
        <f>IF(AND(AD5=1,D5="Military",H5&lt;&gt;"Not given")=TRUE,IF(SUMIFS(P:P,A:A,A5)&gt;0,ABS((SUMIFS(P:P,A:A,A5)/VLOOKUP("USD",'Exchange Rates'!B:C,2,0)))/S5,"."),".")</f>
        <v>.</v>
      </c>
      <c r="AZ5" s="182" t="str">
        <f>IF(AND(AD5=1,D5="Military",H5&lt;&gt;"Not given")=TRUE,IF(SUMIFS(P:P,A:A,A5)&gt;0,IF((ABS((SUMIFS(P:P,A:A,A5)/VLOOKUP("USD",'Exchange Rates'!B:C,2,0)))/S5)&gt;1,(SUMIFS(P:P,A:A,A5)-S5)/S5,(S5-SUMIFS(P:P,A:A,A5))/SUMIFS(P:P,A:A,A5)),"."),".")</f>
        <v>.</v>
      </c>
    </row>
    <row r="6" spans="1:52" ht="15.9" customHeight="1" x14ac:dyDescent="0.3">
      <c r="A6" s="17" t="s">
        <v>284</v>
      </c>
      <c r="B6" s="17" t="s">
        <v>255</v>
      </c>
      <c r="C6" s="174">
        <v>44621</v>
      </c>
      <c r="D6" s="5" t="s">
        <v>285</v>
      </c>
      <c r="E6" s="5" t="s">
        <v>286</v>
      </c>
      <c r="F6" s="175" t="s">
        <v>287</v>
      </c>
      <c r="G6" s="15" t="s">
        <v>259</v>
      </c>
      <c r="H6" s="176">
        <v>70000000</v>
      </c>
      <c r="I6" s="184" t="s">
        <v>260</v>
      </c>
      <c r="J6" s="113" t="str">
        <f>VLOOKUP($I6,'Price List, Weapons &amp; Items'!B:C,2,0)</f>
        <v>.</v>
      </c>
      <c r="K6" s="113" t="str">
        <f>IF(I6=".",I6,VLOOKUP($I6,'Price List, Weapons &amp; Items'!B:D,3,0))</f>
        <v>.</v>
      </c>
      <c r="L6" s="177">
        <f>VLOOKUP(I6,'Price List, Weapons &amp; Items'!B:E,4,0)</f>
        <v>0</v>
      </c>
      <c r="M6" s="542" t="s">
        <v>260</v>
      </c>
      <c r="N6" s="542" t="s">
        <v>260</v>
      </c>
      <c r="O6" s="543" t="str">
        <f>VLOOKUP($I6,'Price List, Weapons &amp; Items'!B:G,6,0)</f>
        <v>.</v>
      </c>
      <c r="P6" s="176" t="str">
        <f t="shared" si="6"/>
        <v>.</v>
      </c>
      <c r="Q6" s="176" t="str">
        <f t="shared" si="7"/>
        <v>.</v>
      </c>
      <c r="R6" s="176">
        <f t="shared" si="2"/>
        <v>70000000</v>
      </c>
      <c r="S6" s="176">
        <f>IF(AND(AD6=1,R6&lt;&gt;".")=TRUE,R6/VLOOKUP(G6,'Exchange Rates'!B:C,2,0),IF(R6=".",".",""))</f>
        <v>45319176.485821575</v>
      </c>
      <c r="T6" s="176" t="str">
        <f>IF(AD6=1,IF(AF6="Value is not given at all",".",IF(AF6="Value is given by the source",S6,IF(AF6="Value is calculated with prices",(IF(SUMIFS(Q:Q,A:A,A6)&gt;0,SUMIFS(Q:Q,A:A,A6),"."))/VLOOKUP("USD",'Exchange Rates'!B:C,2,0),"Error with coding"))),"")</f>
        <v>.</v>
      </c>
      <c r="U6" s="15" t="s">
        <v>261</v>
      </c>
      <c r="V6" s="300" t="s">
        <v>262</v>
      </c>
      <c r="W6" s="300" t="s">
        <v>288</v>
      </c>
      <c r="X6" s="546" t="s">
        <v>277</v>
      </c>
      <c r="Y6" s="175" t="s">
        <v>260</v>
      </c>
      <c r="Z6" s="15">
        <v>0</v>
      </c>
      <c r="AA6" s="180">
        <v>0</v>
      </c>
      <c r="AB6" s="184" t="s">
        <v>260</v>
      </c>
      <c r="AC6" s="544" t="str">
        <f>""</f>
        <v/>
      </c>
      <c r="AD6" s="181">
        <v>1</v>
      </c>
      <c r="AE6" s="181" t="s">
        <v>264</v>
      </c>
      <c r="AF6" s="181" t="s">
        <v>265</v>
      </c>
      <c r="AG6" s="181">
        <v>1</v>
      </c>
      <c r="AH6" s="181">
        <v>3</v>
      </c>
      <c r="AI6" s="181">
        <v>0</v>
      </c>
      <c r="AJ6" s="181">
        <f>VLOOKUP($I6,'Price List, Weapons &amp; Items'!B:F,5,0)</f>
        <v>0</v>
      </c>
      <c r="AK6" s="181">
        <f t="shared" si="8"/>
        <v>0</v>
      </c>
      <c r="AL6" s="181">
        <f t="shared" si="9"/>
        <v>0</v>
      </c>
      <c r="AM6" s="181">
        <f t="shared" si="10"/>
        <v>0</v>
      </c>
      <c r="AN6" s="180" t="str">
        <f>VLOOKUP($I6,'Price List, Weapons &amp; Items'!B:L,COLUMN('Price List, Weapons &amp; Items'!$J$11)-1,0)</f>
        <v>.</v>
      </c>
      <c r="AO6" s="180" t="str">
        <f>IF(I6=".",".",VLOOKUP($I6,'Price List, Weapons &amp; Items'!B:J,3,0))</f>
        <v>.</v>
      </c>
      <c r="AP6" s="545" t="e">
        <f t="shared" ca="1" si="11"/>
        <v>#NAME?</v>
      </c>
      <c r="AQ6" s="180" t="str">
        <f>VLOOKUP($I6,'Price List, Weapons &amp; Items'!B:L,COLUMN('Price List, Weapons &amp; Items'!$L$11)-1,0)</f>
        <v>no price, 0 count</v>
      </c>
      <c r="AR6" s="180">
        <f t="shared" si="12"/>
        <v>1</v>
      </c>
      <c r="AS6" s="180">
        <f t="shared" si="13"/>
        <v>1</v>
      </c>
      <c r="AT6" s="180">
        <f t="shared" si="5"/>
        <v>1</v>
      </c>
      <c r="AU6" s="180" t="str">
        <f t="shared" si="14"/>
        <v>.</v>
      </c>
      <c r="AV6" s="180" t="str">
        <f t="shared" si="15"/>
        <v>.</v>
      </c>
      <c r="AW6" s="180">
        <f>IFERROR(VLOOKUP(B6,'Share, Heavy Weapons to Ukraine'!B:J,COLUMN('Share, Heavy Weapons to Ukraine'!C16)-1,0),0)</f>
        <v>0</v>
      </c>
      <c r="AX6" s="180">
        <f>VLOOKUP('Bilateral Assistance, MAIN DATA'!B6,'Country Summary'!B:F,COLUMN('Country Summary'!C17)-1,FALSE)</f>
        <v>0</v>
      </c>
      <c r="AY6" s="180" t="str">
        <f>IF(AND(AD6=1,D6="Military",H6&lt;&gt;"Not given")=TRUE,IF(SUMIFS(P:P,A:A,A6)&gt;0,ABS((SUMIFS(P:P,A:A,A6)/VLOOKUP("USD",'Exchange Rates'!B:C,2,0)))/S6,"."),".")</f>
        <v>.</v>
      </c>
      <c r="AZ6" s="182" t="str">
        <f>IF(AND(AD6=1,D6="Military",H6&lt;&gt;"Not given")=TRUE,IF(SUMIFS(P:P,A:A,A6)&gt;0,IF((ABS((SUMIFS(P:P,A:A,A6)/VLOOKUP("USD",'Exchange Rates'!B:C,2,0)))/S6)&gt;1,(SUMIFS(P:P,A:A,A6)-S6)/S6,(S6-SUMIFS(P:P,A:A,A6))/SUMIFS(P:P,A:A,A6)),"."),".")</f>
        <v>.</v>
      </c>
    </row>
    <row r="7" spans="1:52" ht="15.9" customHeight="1" x14ac:dyDescent="0.3">
      <c r="A7" s="17" t="s">
        <v>289</v>
      </c>
      <c r="B7" s="17" t="s">
        <v>255</v>
      </c>
      <c r="C7" s="174">
        <v>44640</v>
      </c>
      <c r="D7" s="5" t="s">
        <v>285</v>
      </c>
      <c r="E7" s="5" t="s">
        <v>286</v>
      </c>
      <c r="F7" s="175" t="s">
        <v>290</v>
      </c>
      <c r="G7" s="15" t="s">
        <v>259</v>
      </c>
      <c r="H7" s="176">
        <v>21000000</v>
      </c>
      <c r="I7" s="184" t="s">
        <v>260</v>
      </c>
      <c r="J7" s="113" t="str">
        <f>VLOOKUP($I7,'Price List, Weapons &amp; Items'!B:C,2,0)</f>
        <v>.</v>
      </c>
      <c r="K7" s="113" t="str">
        <f>IF(I7=".",I7,VLOOKUP($I7,'Price List, Weapons &amp; Items'!B:D,3,0))</f>
        <v>.</v>
      </c>
      <c r="L7" s="177">
        <f>VLOOKUP(I7,'Price List, Weapons &amp; Items'!B:E,4,0)</f>
        <v>0</v>
      </c>
      <c r="M7" s="542" t="s">
        <v>260</v>
      </c>
      <c r="N7" s="542" t="s">
        <v>260</v>
      </c>
      <c r="O7" s="543" t="str">
        <f>VLOOKUP($I7,'Price List, Weapons &amp; Items'!B:G,6,0)</f>
        <v>.</v>
      </c>
      <c r="P7" s="176" t="str">
        <f t="shared" si="6"/>
        <v>.</v>
      </c>
      <c r="Q7" s="176" t="str">
        <f t="shared" si="7"/>
        <v>.</v>
      </c>
      <c r="R7" s="176">
        <f t="shared" si="2"/>
        <v>21000000</v>
      </c>
      <c r="S7" s="176">
        <f>IF(AND(AD7=1,R7&lt;&gt;".")=TRUE,R7/VLOOKUP(G7,'Exchange Rates'!B:C,2,0),IF(R7=".",".",""))</f>
        <v>13595752.945746472</v>
      </c>
      <c r="T7" s="176" t="str">
        <f>IF(AD7=1,IF(AF7="Value is not given at all",".",IF(AF7="Value is given by the source",S7,IF(AF7="Value is calculated with prices",(IF(SUMIFS(Q:Q,A:A,A7)&gt;0,SUMIFS(Q:Q,A:A,A7),"."))/VLOOKUP("USD",'Exchange Rates'!B:C,2,0),"Error with coding"))),"")</f>
        <v>.</v>
      </c>
      <c r="U7" s="15" t="s">
        <v>261</v>
      </c>
      <c r="V7" s="300" t="s">
        <v>291</v>
      </c>
      <c r="W7" s="300" t="s">
        <v>278</v>
      </c>
      <c r="X7" s="300" t="s">
        <v>292</v>
      </c>
      <c r="Y7" s="175" t="s">
        <v>260</v>
      </c>
      <c r="Z7" s="15">
        <v>0</v>
      </c>
      <c r="AA7" s="180">
        <v>0</v>
      </c>
      <c r="AB7" s="184" t="s">
        <v>260</v>
      </c>
      <c r="AC7" s="544" t="str">
        <f>""</f>
        <v/>
      </c>
      <c r="AD7" s="181">
        <v>1</v>
      </c>
      <c r="AE7" s="181" t="s">
        <v>264</v>
      </c>
      <c r="AF7" s="181" t="s">
        <v>265</v>
      </c>
      <c r="AG7" s="181">
        <v>1</v>
      </c>
      <c r="AH7" s="181">
        <v>3</v>
      </c>
      <c r="AI7" s="181">
        <v>0</v>
      </c>
      <c r="AJ7" s="181">
        <f>VLOOKUP($I7,'Price List, Weapons &amp; Items'!B:F,5,0)</f>
        <v>0</v>
      </c>
      <c r="AK7" s="181">
        <f t="shared" si="8"/>
        <v>0</v>
      </c>
      <c r="AL7" s="181">
        <f t="shared" si="9"/>
        <v>0</v>
      </c>
      <c r="AM7" s="181">
        <f t="shared" si="10"/>
        <v>0</v>
      </c>
      <c r="AN7" s="180" t="str">
        <f>VLOOKUP($I7,'Price List, Weapons &amp; Items'!B:L,COLUMN('Price List, Weapons &amp; Items'!$J$11)-1,0)</f>
        <v>.</v>
      </c>
      <c r="AO7" s="180" t="str">
        <f>IF(I7=".",".",VLOOKUP($I7,'Price List, Weapons &amp; Items'!B:J,3,0))</f>
        <v>.</v>
      </c>
      <c r="AP7" s="545" t="e">
        <f t="shared" ca="1" si="11"/>
        <v>#NAME?</v>
      </c>
      <c r="AQ7" s="180" t="str">
        <f>VLOOKUP($I7,'Price List, Weapons &amp; Items'!B:L,COLUMN('Price List, Weapons &amp; Items'!$L$11)-1,0)</f>
        <v>no price, 0 count</v>
      </c>
      <c r="AR7" s="180">
        <f t="shared" si="12"/>
        <v>1</v>
      </c>
      <c r="AS7" s="180">
        <f t="shared" si="13"/>
        <v>1</v>
      </c>
      <c r="AT7" s="180">
        <f t="shared" si="5"/>
        <v>1</v>
      </c>
      <c r="AU7" s="180" t="str">
        <f t="shared" si="14"/>
        <v>.</v>
      </c>
      <c r="AV7" s="180" t="str">
        <f t="shared" si="15"/>
        <v>.</v>
      </c>
      <c r="AW7" s="180">
        <f>IFERROR(VLOOKUP(B7,'Share, Heavy Weapons to Ukraine'!B:J,COLUMN('Share, Heavy Weapons to Ukraine'!C17)-1,0),0)</f>
        <v>0</v>
      </c>
      <c r="AX7" s="180">
        <f>VLOOKUP('Bilateral Assistance, MAIN DATA'!B7,'Country Summary'!B:F,COLUMN('Country Summary'!C18)-1,FALSE)</f>
        <v>0</v>
      </c>
      <c r="AY7" s="180" t="str">
        <f>IF(AND(AD7=1,D7="Military",H7&lt;&gt;"Not given")=TRUE,IF(SUMIFS(P:P,A:A,A7)&gt;0,ABS((SUMIFS(P:P,A:A,A7)/VLOOKUP("USD",'Exchange Rates'!B:C,2,0)))/S7,"."),".")</f>
        <v>.</v>
      </c>
      <c r="AZ7" s="182" t="str">
        <f>IF(AND(AD7=1,D7="Military",H7&lt;&gt;"Not given")=TRUE,IF(SUMIFS(P:P,A:A,A7)&gt;0,IF((ABS((SUMIFS(P:P,A:A,A7)/VLOOKUP("USD",'Exchange Rates'!B:C,2,0)))/S7)&gt;1,(SUMIFS(P:P,A:A,A7)-S7)/S7,(S7-SUMIFS(P:P,A:A,A7))/SUMIFS(P:P,A:A,A7)),"."),".")</f>
        <v>.</v>
      </c>
    </row>
    <row r="8" spans="1:52" ht="15.9" customHeight="1" x14ac:dyDescent="0.3">
      <c r="A8" s="5" t="s">
        <v>293</v>
      </c>
      <c r="B8" s="5" t="s">
        <v>255</v>
      </c>
      <c r="C8" s="174">
        <v>44651</v>
      </c>
      <c r="D8" s="5" t="s">
        <v>285</v>
      </c>
      <c r="E8" s="5" t="s">
        <v>294</v>
      </c>
      <c r="F8" s="175" t="s">
        <v>295</v>
      </c>
      <c r="G8" s="15" t="s">
        <v>259</v>
      </c>
      <c r="H8" s="176">
        <v>25000000</v>
      </c>
      <c r="I8" s="184" t="s">
        <v>296</v>
      </c>
      <c r="J8" s="113" t="str">
        <f>VLOOKUP($I8,'Price List, Weapons &amp; Items'!B:C,2,0)</f>
        <v>Military equipment</v>
      </c>
      <c r="K8" s="113" t="str">
        <f>IF(I8=".",I8,VLOOKUP($I8,'Price List, Weapons &amp; Items'!B:D,3,0))</f>
        <v>Military equipment</v>
      </c>
      <c r="L8" s="177">
        <f>VLOOKUP(I8,'Price List, Weapons &amp; Items'!B:E,4,0)</f>
        <v>0</v>
      </c>
      <c r="M8" s="542" t="s">
        <v>270</v>
      </c>
      <c r="N8" s="542" t="s">
        <v>270</v>
      </c>
      <c r="O8" s="543" t="str">
        <f>VLOOKUP($I8,'Price List, Weapons &amp; Items'!B:G,6,0)</f>
        <v>.</v>
      </c>
      <c r="P8" s="176" t="str">
        <f t="shared" si="6"/>
        <v>.</v>
      </c>
      <c r="Q8" s="176" t="str">
        <f t="shared" si="7"/>
        <v>.</v>
      </c>
      <c r="R8" s="176">
        <f t="shared" si="2"/>
        <v>25000000</v>
      </c>
      <c r="S8" s="176">
        <f>IF(AND(AD8=1,R8&lt;&gt;".")=TRUE,R8/VLOOKUP(G8,'Exchange Rates'!B:C,2,0),IF(R8=".",".",""))</f>
        <v>16185420.173507705</v>
      </c>
      <c r="T8" s="176" t="str">
        <f>IF(AD8=1,IF(AF8="Value is not given at all",".",IF(AF8="Value is given by the source",S8,IF(AF8="Value is calculated with prices",(IF(SUMIFS(Q:Q,A:A,A8)&gt;0,SUMIFS(Q:Q,A:A,A8),"."))/VLOOKUP("USD",'Exchange Rates'!B:C,2,0),"Error with coding"))),"")</f>
        <v>.</v>
      </c>
      <c r="U8" s="15" t="s">
        <v>261</v>
      </c>
      <c r="V8" s="547" t="s">
        <v>297</v>
      </c>
      <c r="W8" s="548" t="s">
        <v>298</v>
      </c>
      <c r="X8" s="547" t="s">
        <v>299</v>
      </c>
      <c r="Y8" s="188" t="s">
        <v>260</v>
      </c>
      <c r="Z8" s="15">
        <v>0</v>
      </c>
      <c r="AA8" s="180">
        <v>0</v>
      </c>
      <c r="AB8" s="184" t="s">
        <v>260</v>
      </c>
      <c r="AC8" s="544" t="str">
        <f>""</f>
        <v/>
      </c>
      <c r="AD8" s="181">
        <v>1</v>
      </c>
      <c r="AE8" s="181" t="s">
        <v>264</v>
      </c>
      <c r="AF8" s="181" t="s">
        <v>265</v>
      </c>
      <c r="AG8" s="181">
        <v>1</v>
      </c>
      <c r="AH8" s="181">
        <v>3</v>
      </c>
      <c r="AI8" s="181">
        <v>0</v>
      </c>
      <c r="AJ8" s="181">
        <f>VLOOKUP($I8,'Price List, Weapons &amp; Items'!B:F,5,0)</f>
        <v>0</v>
      </c>
      <c r="AK8" s="181">
        <f t="shared" si="8"/>
        <v>0</v>
      </c>
      <c r="AL8" s="181">
        <f t="shared" si="9"/>
        <v>0</v>
      </c>
      <c r="AM8" s="181">
        <f t="shared" si="10"/>
        <v>0</v>
      </c>
      <c r="AN8" s="180" t="str">
        <f>VLOOKUP($I8,'Price List, Weapons &amp; Items'!B:L,COLUMN('Price List, Weapons &amp; Items'!$J$11)-1,0)</f>
        <v>.</v>
      </c>
      <c r="AO8" s="180" t="str">
        <f>IF(I8=".",".",VLOOKUP($I8,'Price List, Weapons &amp; Items'!B:J,3,0))</f>
        <v>Military equipment</v>
      </c>
      <c r="AP8" s="545" t="e">
        <f t="shared" ca="1" si="11"/>
        <v>#NAME?</v>
      </c>
      <c r="AQ8" s="180" t="str">
        <f>VLOOKUP($I8,'Price List, Weapons &amp; Items'!B:L,COLUMN('Price List, Weapons &amp; Items'!$L$11)-1,0)</f>
        <v>no price, 0 count</v>
      </c>
      <c r="AR8" s="180">
        <f t="shared" si="12"/>
        <v>1</v>
      </c>
      <c r="AS8" s="180">
        <f t="shared" si="13"/>
        <v>1</v>
      </c>
      <c r="AT8" s="180">
        <f t="shared" si="5"/>
        <v>1</v>
      </c>
      <c r="AU8" s="180" t="str">
        <f t="shared" si="14"/>
        <v>.</v>
      </c>
      <c r="AV8" s="180" t="str">
        <f t="shared" si="15"/>
        <v>.</v>
      </c>
      <c r="AW8" s="180">
        <f>IFERROR(VLOOKUP(B8,'Share, Heavy Weapons to Ukraine'!B:J,COLUMN('Share, Heavy Weapons to Ukraine'!C18)-1,0),0)</f>
        <v>0</v>
      </c>
      <c r="AX8" s="180">
        <f>VLOOKUP('Bilateral Assistance, MAIN DATA'!B8,'Country Summary'!B:F,COLUMN('Country Summary'!C19)-1,FALSE)</f>
        <v>0</v>
      </c>
      <c r="AY8" s="180" t="str">
        <f>IF(AND(AD8=1,D8="Military",H8&lt;&gt;"Not given")=TRUE,IF(SUMIFS(P:P,A:A,A8)&gt;0,ABS((SUMIFS(P:P,A:A,A8)/VLOOKUP("USD",'Exchange Rates'!B:C,2,0)))/S8,"."),".")</f>
        <v>.</v>
      </c>
      <c r="AZ8" s="182" t="str">
        <f>IF(AND(AD8=1,D8="Military",H8&lt;&gt;"Not given")=TRUE,IF(SUMIFS(P:P,A:A,A8)&gt;0,IF((ABS((SUMIFS(P:P,A:A,A8)/VLOOKUP("USD",'Exchange Rates'!B:C,2,0)))/S8)&gt;1,(SUMIFS(P:P,A:A,A8)-S8)/S8,(S8-SUMIFS(P:P,A:A,A8))/SUMIFS(P:P,A:A,A8)),"."),".")</f>
        <v>.</v>
      </c>
    </row>
    <row r="9" spans="1:52" ht="15.9" customHeight="1" x14ac:dyDescent="0.3">
      <c r="A9" s="5" t="s">
        <v>293</v>
      </c>
      <c r="B9" s="5" t="s">
        <v>255</v>
      </c>
      <c r="C9" s="174">
        <v>44651</v>
      </c>
      <c r="D9" s="5" t="s">
        <v>285</v>
      </c>
      <c r="E9" s="5" t="s">
        <v>294</v>
      </c>
      <c r="F9" s="175" t="s">
        <v>295</v>
      </c>
      <c r="G9" s="15" t="s">
        <v>259</v>
      </c>
      <c r="H9" s="176">
        <v>25000000</v>
      </c>
      <c r="I9" s="184" t="s">
        <v>300</v>
      </c>
      <c r="J9" s="113" t="str">
        <f>VLOOKUP($I9,'Price List, Weapons &amp; Items'!B:C,2,0)</f>
        <v>Aviation and drones</v>
      </c>
      <c r="K9" s="113" t="str">
        <f>IF(I9=".",I9,VLOOKUP($I9,'Price List, Weapons &amp; Items'!B:D,3,0))</f>
        <v>Unknown drone</v>
      </c>
      <c r="L9" s="177">
        <f>VLOOKUP(I9,'Price List, Weapons &amp; Items'!B:E,4,0)</f>
        <v>0</v>
      </c>
      <c r="M9" s="542" t="s">
        <v>270</v>
      </c>
      <c r="N9" s="542" t="s">
        <v>270</v>
      </c>
      <c r="O9" s="543" t="str">
        <f>VLOOKUP($I9,'Price List, Weapons &amp; Items'!B:G,6,0)</f>
        <v>.</v>
      </c>
      <c r="P9" s="176" t="str">
        <f t="shared" si="6"/>
        <v>.</v>
      </c>
      <c r="Q9" s="176" t="str">
        <f t="shared" si="7"/>
        <v>.</v>
      </c>
      <c r="R9" s="176" t="str">
        <f t="shared" si="2"/>
        <v/>
      </c>
      <c r="S9" s="176" t="str">
        <f>IF(AND(AD9=1,R9&lt;&gt;".")=TRUE,R9/VLOOKUP(G9,'Exchange Rates'!B:C,2,0),IF(R9=".",".",""))</f>
        <v/>
      </c>
      <c r="T9" s="176" t="str">
        <f>IF(AD9=1,IF(AF9="Value is not given at all",".",IF(AF9="Value is given by the source",S9,IF(AF9="Value is calculated with prices",(IF(SUMIFS(Q:Q,A:A,A9)&gt;0,SUMIFS(Q:Q,A:A,A9),"."))/VLOOKUP("USD",'Exchange Rates'!B:C,2,0),"Error with coding"))),"")</f>
        <v/>
      </c>
      <c r="U9" s="15" t="s">
        <v>261</v>
      </c>
      <c r="V9" s="547" t="s">
        <v>297</v>
      </c>
      <c r="W9" s="548" t="s">
        <v>298</v>
      </c>
      <c r="X9" s="547" t="s">
        <v>299</v>
      </c>
      <c r="Y9" s="188" t="s">
        <v>260</v>
      </c>
      <c r="Z9" s="15">
        <v>0</v>
      </c>
      <c r="AA9" s="180">
        <v>0</v>
      </c>
      <c r="AB9" s="184" t="s">
        <v>260</v>
      </c>
      <c r="AC9" s="544" t="str">
        <f>""</f>
        <v/>
      </c>
      <c r="AD9" s="181">
        <v>0</v>
      </c>
      <c r="AE9" s="181" t="s">
        <v>264</v>
      </c>
      <c r="AF9" s="181" t="s">
        <v>265</v>
      </c>
      <c r="AG9" s="181">
        <v>1</v>
      </c>
      <c r="AH9" s="181">
        <v>3</v>
      </c>
      <c r="AI9" s="181">
        <v>0</v>
      </c>
      <c r="AJ9" s="181">
        <f>VLOOKUP($I9,'Price List, Weapons &amp; Items'!B:F,5,0)</f>
        <v>0</v>
      </c>
      <c r="AK9" s="181">
        <f t="shared" si="8"/>
        <v>0</v>
      </c>
      <c r="AL9" s="181">
        <f t="shared" si="9"/>
        <v>0</v>
      </c>
      <c r="AM9" s="181">
        <f t="shared" si="10"/>
        <v>0</v>
      </c>
      <c r="AN9" s="180" t="str">
        <f>VLOOKUP($I9,'Price List, Weapons &amp; Items'!B:L,COLUMN('Price List, Weapons &amp; Items'!$J$11)-1,0)</f>
        <v>.</v>
      </c>
      <c r="AO9" s="180" t="str">
        <f>IF(I9=".",".",VLOOKUP($I9,'Price List, Weapons &amp; Items'!B:J,3,0))</f>
        <v>Unknown drone</v>
      </c>
      <c r="AP9" s="545" t="str">
        <f t="shared" ca="1" si="11"/>
        <v/>
      </c>
      <c r="AQ9" s="180" t="str">
        <f>VLOOKUP($I9,'Price List, Weapons &amp; Items'!B:L,COLUMN('Price List, Weapons &amp; Items'!$L$11)-1,0)</f>
        <v>no price, 0 count</v>
      </c>
      <c r="AR9" s="180">
        <f t="shared" si="12"/>
        <v>1</v>
      </c>
      <c r="AS9" s="180">
        <f t="shared" si="13"/>
        <v>1</v>
      </c>
      <c r="AT9" s="180">
        <f t="shared" si="5"/>
        <v>1</v>
      </c>
      <c r="AU9" s="180" t="str">
        <f t="shared" si="14"/>
        <v>.</v>
      </c>
      <c r="AV9" s="180" t="str">
        <f t="shared" si="15"/>
        <v>.</v>
      </c>
      <c r="AW9" s="180">
        <f>IFERROR(VLOOKUP(B9,'Share, Heavy Weapons to Ukraine'!B:J,COLUMN('Share, Heavy Weapons to Ukraine'!C19)-1,0),0)</f>
        <v>0</v>
      </c>
      <c r="AX9" s="180">
        <f>VLOOKUP('Bilateral Assistance, MAIN DATA'!B9,'Country Summary'!B:F,COLUMN('Country Summary'!C20)-1,FALSE)</f>
        <v>0</v>
      </c>
      <c r="AY9" s="180" t="str">
        <f>IF(AND(AD9=1,D9="Military",H9&lt;&gt;"Not given")=TRUE,IF(SUMIFS(P:P,A:A,A9)&gt;0,ABS((SUMIFS(P:P,A:A,A9)/VLOOKUP("USD",'Exchange Rates'!B:C,2,0)))/S9,"."),".")</f>
        <v>.</v>
      </c>
      <c r="AZ9" s="182" t="str">
        <f>IF(AND(AD9=1,D9="Military",H9&lt;&gt;"Not given")=TRUE,IF(SUMIFS(P:P,A:A,A9)&gt;0,IF((ABS((SUMIFS(P:P,A:A,A9)/VLOOKUP("USD",'Exchange Rates'!B:C,2,0)))/S9)&gt;1,(SUMIFS(P:P,A:A,A9)-S9)/S9,(S9-SUMIFS(P:P,A:A,A9))/SUMIFS(P:P,A:A,A9)),"."),".")</f>
        <v>.</v>
      </c>
    </row>
    <row r="10" spans="1:52" ht="15.9" customHeight="1" x14ac:dyDescent="0.3">
      <c r="A10" s="5" t="s">
        <v>293</v>
      </c>
      <c r="B10" s="5" t="s">
        <v>255</v>
      </c>
      <c r="C10" s="174">
        <v>44651</v>
      </c>
      <c r="D10" s="5" t="s">
        <v>285</v>
      </c>
      <c r="E10" s="5" t="s">
        <v>294</v>
      </c>
      <c r="F10" s="175" t="s">
        <v>295</v>
      </c>
      <c r="G10" s="15" t="s">
        <v>259</v>
      </c>
      <c r="H10" s="176">
        <v>25000000</v>
      </c>
      <c r="I10" s="184" t="s">
        <v>301</v>
      </c>
      <c r="J10" s="113" t="str">
        <f>VLOOKUP($I10,'Price List, Weapons &amp; Items'!B:C,2,0)</f>
        <v>Portable defence system</v>
      </c>
      <c r="K10" s="113" t="str">
        <f>IF(I10=".",I10,VLOOKUP($I10,'Price List, Weapons &amp; Items'!B:D,3,0))</f>
        <v>Unknown drone</v>
      </c>
      <c r="L10" s="177">
        <f>VLOOKUP(I10,'Price List, Weapons &amp; Items'!B:E,4,0)</f>
        <v>0</v>
      </c>
      <c r="M10" s="542" t="s">
        <v>270</v>
      </c>
      <c r="N10" s="542" t="s">
        <v>270</v>
      </c>
      <c r="O10" s="543" t="str">
        <f>VLOOKUP($I10,'Price List, Weapons &amp; Items'!B:G,6,0)</f>
        <v>.</v>
      </c>
      <c r="P10" s="176" t="str">
        <f t="shared" si="6"/>
        <v>.</v>
      </c>
      <c r="Q10" s="176" t="str">
        <f t="shared" si="7"/>
        <v>.</v>
      </c>
      <c r="R10" s="176" t="str">
        <f t="shared" si="2"/>
        <v/>
      </c>
      <c r="S10" s="176" t="str">
        <f>IF(AND(AD10=1,R10&lt;&gt;".")=TRUE,R10/VLOOKUP(G10,'Exchange Rates'!B:C,2,0),IF(R10=".",".",""))</f>
        <v/>
      </c>
      <c r="T10" s="176" t="str">
        <f>IF(AD10=1,IF(AF10="Value is not given at all",".",IF(AF10="Value is given by the source",S10,IF(AF10="Value is calculated with prices",(IF(SUMIFS(Q:Q,A:A,A10)&gt;0,SUMIFS(Q:Q,A:A,A10),"."))/VLOOKUP("USD",'Exchange Rates'!B:C,2,0),"Error with coding"))),"")</f>
        <v/>
      </c>
      <c r="U10" s="15" t="s">
        <v>261</v>
      </c>
      <c r="V10" s="547" t="s">
        <v>297</v>
      </c>
      <c r="W10" s="548" t="s">
        <v>298</v>
      </c>
      <c r="X10" s="547" t="s">
        <v>299</v>
      </c>
      <c r="Y10" s="188" t="s">
        <v>260</v>
      </c>
      <c r="Z10" s="15">
        <v>0</v>
      </c>
      <c r="AA10" s="180">
        <v>0</v>
      </c>
      <c r="AB10" s="184" t="s">
        <v>260</v>
      </c>
      <c r="AC10" s="544" t="str">
        <f>""</f>
        <v/>
      </c>
      <c r="AD10" s="181">
        <v>0</v>
      </c>
      <c r="AE10" s="181" t="s">
        <v>264</v>
      </c>
      <c r="AF10" s="181" t="s">
        <v>265</v>
      </c>
      <c r="AG10" s="181">
        <v>1</v>
      </c>
      <c r="AH10" s="181">
        <v>3</v>
      </c>
      <c r="AI10" s="181">
        <v>0</v>
      </c>
      <c r="AJ10" s="181">
        <f>VLOOKUP($I10,'Price List, Weapons &amp; Items'!B:F,5,0)</f>
        <v>0</v>
      </c>
      <c r="AK10" s="181">
        <f t="shared" si="8"/>
        <v>0</v>
      </c>
      <c r="AL10" s="181">
        <f t="shared" si="9"/>
        <v>0</v>
      </c>
      <c r="AM10" s="181">
        <f t="shared" si="10"/>
        <v>0</v>
      </c>
      <c r="AN10" s="180" t="str">
        <f>VLOOKUP($I10,'Price List, Weapons &amp; Items'!B:L,COLUMN('Price List, Weapons &amp; Items'!$J$11)-1,0)</f>
        <v>.</v>
      </c>
      <c r="AO10" s="180" t="str">
        <f>IF(I10=".",".",VLOOKUP($I10,'Price List, Weapons &amp; Items'!B:J,3,0))</f>
        <v>Unknown drone</v>
      </c>
      <c r="AP10" s="545" t="str">
        <f t="shared" ca="1" si="11"/>
        <v/>
      </c>
      <c r="AQ10" s="180" t="str">
        <f>VLOOKUP($I10,'Price List, Weapons &amp; Items'!B:L,COLUMN('Price List, Weapons &amp; Items'!$L$11)-1,0)</f>
        <v>no price, 0 count</v>
      </c>
      <c r="AR10" s="180">
        <f t="shared" si="12"/>
        <v>1</v>
      </c>
      <c r="AS10" s="180">
        <f t="shared" si="13"/>
        <v>1</v>
      </c>
      <c r="AT10" s="180">
        <f t="shared" si="5"/>
        <v>1</v>
      </c>
      <c r="AU10" s="180" t="str">
        <f t="shared" si="14"/>
        <v>.</v>
      </c>
      <c r="AV10" s="180" t="str">
        <f t="shared" si="15"/>
        <v>.</v>
      </c>
      <c r="AW10" s="180">
        <f>IFERROR(VLOOKUP(B10,'Share, Heavy Weapons to Ukraine'!B:J,COLUMN('Share, Heavy Weapons to Ukraine'!C20)-1,0),0)</f>
        <v>0</v>
      </c>
      <c r="AX10" s="180">
        <f>VLOOKUP('Bilateral Assistance, MAIN DATA'!B10,'Country Summary'!B:F,COLUMN('Country Summary'!C21)-1,FALSE)</f>
        <v>0</v>
      </c>
      <c r="AY10" s="180" t="str">
        <f>IF(AND(AD10=1,D10="Military",H10&lt;&gt;"Not given")=TRUE,IF(SUMIFS(P:P,A:A,A10)&gt;0,ABS((SUMIFS(P:P,A:A,A10)/VLOOKUP("USD",'Exchange Rates'!B:C,2,0)))/S10,"."),".")</f>
        <v>.</v>
      </c>
      <c r="AZ10" s="182" t="str">
        <f>IF(AND(AD10=1,D10="Military",H10&lt;&gt;"Not given")=TRUE,IF(SUMIFS(P:P,A:A,A10)&gt;0,IF((ABS((SUMIFS(P:P,A:A,A10)/VLOOKUP("USD",'Exchange Rates'!B:C,2,0)))/S10)&gt;1,(SUMIFS(P:P,A:A,A10)-S10)/S10,(S10-SUMIFS(P:P,A:A,A10))/SUMIFS(P:P,A:A,A10)),"."),".")</f>
        <v>.</v>
      </c>
    </row>
    <row r="11" spans="1:52" ht="15.9" customHeight="1" x14ac:dyDescent="0.3">
      <c r="A11" s="5" t="s">
        <v>293</v>
      </c>
      <c r="B11" s="5" t="s">
        <v>255</v>
      </c>
      <c r="C11" s="174">
        <v>44651</v>
      </c>
      <c r="D11" s="5" t="s">
        <v>285</v>
      </c>
      <c r="E11" s="5" t="s">
        <v>294</v>
      </c>
      <c r="F11" s="175" t="s">
        <v>295</v>
      </c>
      <c r="G11" s="15" t="s">
        <v>259</v>
      </c>
      <c r="H11" s="176">
        <v>25000000</v>
      </c>
      <c r="I11" s="184" t="s">
        <v>302</v>
      </c>
      <c r="J11" s="113" t="str">
        <f>VLOOKUP($I11,'Price List, Weapons &amp; Items'!B:C,2,0)</f>
        <v>Military equipment</v>
      </c>
      <c r="K11" s="113" t="str">
        <f>IF(I11=".",I11,VLOOKUP($I11,'Price List, Weapons &amp; Items'!B:D,3,0))</f>
        <v>Military equipment</v>
      </c>
      <c r="L11" s="177">
        <f>VLOOKUP(I11,'Price List, Weapons &amp; Items'!B:E,4,0)</f>
        <v>0</v>
      </c>
      <c r="M11" s="542" t="s">
        <v>270</v>
      </c>
      <c r="N11" s="542" t="s">
        <v>270</v>
      </c>
      <c r="O11" s="543">
        <f>VLOOKUP($I11,'Price List, Weapons &amp; Items'!B:G,6,0)</f>
        <v>22</v>
      </c>
      <c r="P11" s="176" t="str">
        <f t="shared" si="6"/>
        <v>.</v>
      </c>
      <c r="Q11" s="176" t="str">
        <f t="shared" si="7"/>
        <v>.</v>
      </c>
      <c r="R11" s="176" t="str">
        <f t="shared" si="2"/>
        <v/>
      </c>
      <c r="S11" s="176" t="str">
        <f>IF(AND(AD11=1,R11&lt;&gt;".")=TRUE,R11/VLOOKUP(G11,'Exchange Rates'!B:C,2,0),IF(R11=".",".",""))</f>
        <v/>
      </c>
      <c r="T11" s="176" t="str">
        <f>IF(AD11=1,IF(AF11="Value is not given at all",".",IF(AF11="Value is given by the source",S11,IF(AF11="Value is calculated with prices",(IF(SUMIFS(Q:Q,A:A,A11)&gt;0,SUMIFS(Q:Q,A:A,A11),"."))/VLOOKUP("USD",'Exchange Rates'!B:C,2,0),"Error with coding"))),"")</f>
        <v/>
      </c>
      <c r="U11" s="15" t="s">
        <v>261</v>
      </c>
      <c r="V11" s="547" t="s">
        <v>297</v>
      </c>
      <c r="W11" s="548" t="s">
        <v>298</v>
      </c>
      <c r="X11" s="547" t="s">
        <v>299</v>
      </c>
      <c r="Y11" s="188" t="s">
        <v>260</v>
      </c>
      <c r="Z11" s="15">
        <v>0</v>
      </c>
      <c r="AA11" s="180">
        <v>0</v>
      </c>
      <c r="AB11" s="184" t="s">
        <v>260</v>
      </c>
      <c r="AC11" s="544" t="str">
        <f>""</f>
        <v/>
      </c>
      <c r="AD11" s="181">
        <v>0</v>
      </c>
      <c r="AE11" s="181" t="s">
        <v>264</v>
      </c>
      <c r="AF11" s="181" t="s">
        <v>265</v>
      </c>
      <c r="AG11" s="181">
        <v>1</v>
      </c>
      <c r="AH11" s="181">
        <v>3</v>
      </c>
      <c r="AI11" s="181">
        <v>0</v>
      </c>
      <c r="AJ11" s="181">
        <f>VLOOKUP($I11,'Price List, Weapons &amp; Items'!B:F,5,0)</f>
        <v>0</v>
      </c>
      <c r="AK11" s="181">
        <f t="shared" si="8"/>
        <v>0</v>
      </c>
      <c r="AL11" s="181">
        <f t="shared" si="9"/>
        <v>0</v>
      </c>
      <c r="AM11" s="181">
        <f t="shared" si="10"/>
        <v>0</v>
      </c>
      <c r="AN11" s="180" t="str">
        <f>VLOOKUP($I11,'Price List, Weapons &amp; Items'!B:L,COLUMN('Price List, Weapons &amp; Items'!$J$11)-1,0)</f>
        <v>Online marketplaces and stores</v>
      </c>
      <c r="AO11" s="180" t="str">
        <f>IF(I11=".",".",VLOOKUP($I11,'Price List, Weapons &amp; Items'!B:J,3,0))</f>
        <v>Military equipment</v>
      </c>
      <c r="AP11" s="545" t="str">
        <f t="shared" ca="1" si="11"/>
        <v/>
      </c>
      <c r="AQ11" s="180">
        <f>VLOOKUP($I11,'Price List, Weapons &amp; Items'!B:L,COLUMN('Price List, Weapons &amp; Items'!$L$11)-1,0)</f>
        <v>2</v>
      </c>
      <c r="AR11" s="180">
        <f t="shared" si="12"/>
        <v>1</v>
      </c>
      <c r="AS11" s="180">
        <f t="shared" si="13"/>
        <v>1</v>
      </c>
      <c r="AT11" s="180">
        <f t="shared" si="5"/>
        <v>1</v>
      </c>
      <c r="AU11" s="180" t="str">
        <f t="shared" si="14"/>
        <v>.</v>
      </c>
      <c r="AV11" s="180" t="str">
        <f t="shared" si="15"/>
        <v>.</v>
      </c>
      <c r="AW11" s="180">
        <f>IFERROR(VLOOKUP(B11,'Share, Heavy Weapons to Ukraine'!B:J,COLUMN('Share, Heavy Weapons to Ukraine'!C21)-1,0),0)</f>
        <v>0</v>
      </c>
      <c r="AX11" s="180">
        <f>VLOOKUP('Bilateral Assistance, MAIN DATA'!B11,'Country Summary'!B:F,COLUMN('Country Summary'!C22)-1,FALSE)</f>
        <v>0</v>
      </c>
      <c r="AY11" s="180" t="str">
        <f>IF(AND(AD11=1,D11="Military",H11&lt;&gt;"Not given")=TRUE,IF(SUMIFS(P:P,A:A,A11)&gt;0,ABS((SUMIFS(P:P,A:A,A11)/VLOOKUP("USD",'Exchange Rates'!B:C,2,0)))/S11,"."),".")</f>
        <v>.</v>
      </c>
      <c r="AZ11" s="182" t="str">
        <f>IF(AND(AD11=1,D11="Military",H11&lt;&gt;"Not given")=TRUE,IF(SUMIFS(P:P,A:A,A11)&gt;0,IF((ABS((SUMIFS(P:P,A:A,A11)/VLOOKUP("USD",'Exchange Rates'!B:C,2,0)))/S11)&gt;1,(SUMIFS(P:P,A:A,A11)-S11)/S11,(S11-SUMIFS(P:P,A:A,A11))/SUMIFS(P:P,A:A,A11)),"."),".")</f>
        <v>.</v>
      </c>
    </row>
    <row r="12" spans="1:52" ht="15.9" customHeight="1" x14ac:dyDescent="0.3">
      <c r="A12" s="5" t="s">
        <v>293</v>
      </c>
      <c r="B12" s="5" t="s">
        <v>255</v>
      </c>
      <c r="C12" s="174">
        <v>44651</v>
      </c>
      <c r="D12" s="5" t="s">
        <v>285</v>
      </c>
      <c r="E12" s="5" t="s">
        <v>294</v>
      </c>
      <c r="F12" s="175" t="s">
        <v>295</v>
      </c>
      <c r="G12" s="15" t="s">
        <v>259</v>
      </c>
      <c r="H12" s="176">
        <v>25000000</v>
      </c>
      <c r="I12" s="184" t="s">
        <v>303</v>
      </c>
      <c r="J12" s="113" t="str">
        <f>VLOOKUP($I12,'Price List, Weapons &amp; Items'!B:C,2,0)</f>
        <v>Humanitarian</v>
      </c>
      <c r="K12" s="113" t="str">
        <f>IF(I12=".",I12,VLOOKUP($I12,'Price List, Weapons &amp; Items'!B:D,3,0))</f>
        <v>Humanitarian</v>
      </c>
      <c r="L12" s="177">
        <f>VLOOKUP(I12,'Price List, Weapons &amp; Items'!B:E,4,0)</f>
        <v>0</v>
      </c>
      <c r="M12" s="542" t="s">
        <v>270</v>
      </c>
      <c r="N12" s="542" t="s">
        <v>270</v>
      </c>
      <c r="O12" s="543" t="str">
        <f>VLOOKUP($I12,'Price List, Weapons &amp; Items'!B:G,6,0)</f>
        <v>.</v>
      </c>
      <c r="P12" s="176" t="str">
        <f t="shared" si="6"/>
        <v>.</v>
      </c>
      <c r="Q12" s="176" t="str">
        <f t="shared" si="7"/>
        <v>.</v>
      </c>
      <c r="R12" s="176" t="str">
        <f t="shared" si="2"/>
        <v/>
      </c>
      <c r="S12" s="176" t="str">
        <f>IF(AND(AD12=1,R12&lt;&gt;".")=TRUE,R12/VLOOKUP(G12,'Exchange Rates'!B:C,2,0),IF(R12=".",".",""))</f>
        <v/>
      </c>
      <c r="T12" s="176" t="str">
        <f>IF(AD12=1,IF(AF12="Value is not given at all",".",IF(AF12="Value is given by the source",S12,IF(AF12="Value is calculated with prices",(IF(SUMIFS(Q:Q,A:A,A12)&gt;0,SUMIFS(Q:Q,A:A,A12),"."))/VLOOKUP("USD",'Exchange Rates'!B:C,2,0),"Error with coding"))),"")</f>
        <v/>
      </c>
      <c r="U12" s="15" t="s">
        <v>261</v>
      </c>
      <c r="V12" s="547" t="s">
        <v>297</v>
      </c>
      <c r="W12" s="548" t="s">
        <v>298</v>
      </c>
      <c r="X12" s="547" t="s">
        <v>299</v>
      </c>
      <c r="Y12" s="188" t="s">
        <v>260</v>
      </c>
      <c r="Z12" s="15">
        <v>0</v>
      </c>
      <c r="AA12" s="180">
        <v>0</v>
      </c>
      <c r="AB12" s="184" t="s">
        <v>260</v>
      </c>
      <c r="AC12" s="544" t="str">
        <f>""</f>
        <v/>
      </c>
      <c r="AD12" s="181">
        <v>0</v>
      </c>
      <c r="AE12" s="181" t="s">
        <v>264</v>
      </c>
      <c r="AF12" s="181" t="s">
        <v>265</v>
      </c>
      <c r="AG12" s="181">
        <v>1</v>
      </c>
      <c r="AH12" s="181">
        <v>3</v>
      </c>
      <c r="AI12" s="181">
        <v>0</v>
      </c>
      <c r="AJ12" s="181">
        <f>VLOOKUP($I12,'Price List, Weapons &amp; Items'!B:F,5,0)</f>
        <v>0</v>
      </c>
      <c r="AK12" s="181">
        <f t="shared" si="8"/>
        <v>0</v>
      </c>
      <c r="AL12" s="181">
        <f t="shared" si="9"/>
        <v>0</v>
      </c>
      <c r="AM12" s="181">
        <f t="shared" si="10"/>
        <v>0</v>
      </c>
      <c r="AN12" s="180" t="str">
        <f>VLOOKUP($I12,'Price List, Weapons &amp; Items'!B:L,COLUMN('Price List, Weapons &amp; Items'!$J$11)-1,0)</f>
        <v>.</v>
      </c>
      <c r="AO12" s="180" t="str">
        <f>IF(I12=".",".",VLOOKUP($I12,'Price List, Weapons &amp; Items'!B:J,3,0))</f>
        <v>Humanitarian</v>
      </c>
      <c r="AP12" s="545" t="str">
        <f t="shared" ca="1" si="11"/>
        <v/>
      </c>
      <c r="AQ12" s="180">
        <f>VLOOKUP($I12,'Price List, Weapons &amp; Items'!B:L,COLUMN('Price List, Weapons &amp; Items'!$L$11)-1,0)</f>
        <v>0</v>
      </c>
      <c r="AR12" s="180">
        <f t="shared" si="12"/>
        <v>1</v>
      </c>
      <c r="AS12" s="180">
        <f t="shared" si="13"/>
        <v>1</v>
      </c>
      <c r="AT12" s="180">
        <f t="shared" si="5"/>
        <v>1</v>
      </c>
      <c r="AU12" s="180" t="str">
        <f t="shared" si="14"/>
        <v>.</v>
      </c>
      <c r="AV12" s="180" t="str">
        <f t="shared" si="15"/>
        <v>.</v>
      </c>
      <c r="AW12" s="180">
        <f>IFERROR(VLOOKUP(B12,'Share, Heavy Weapons to Ukraine'!B:J,COLUMN('Share, Heavy Weapons to Ukraine'!C22)-1,0),0)</f>
        <v>0</v>
      </c>
      <c r="AX12" s="180">
        <f>VLOOKUP('Bilateral Assistance, MAIN DATA'!B12,'Country Summary'!B:F,COLUMN('Country Summary'!C23)-1,FALSE)</f>
        <v>0</v>
      </c>
      <c r="AY12" s="180" t="str">
        <f>IF(AND(AD12=1,D12="Military",H12&lt;&gt;"Not given")=TRUE,IF(SUMIFS(P:P,A:A,A12)&gt;0,ABS((SUMIFS(P:P,A:A,A12)/VLOOKUP("USD",'Exchange Rates'!B:C,2,0)))/S12,"."),".")</f>
        <v>.</v>
      </c>
      <c r="AZ12" s="182" t="str">
        <f>IF(AND(AD12=1,D12="Military",H12&lt;&gt;"Not given")=TRUE,IF(SUMIFS(P:P,A:A,A12)&gt;0,IF((ABS((SUMIFS(P:P,A:A,A12)/VLOOKUP("USD",'Exchange Rates'!B:C,2,0)))/S12)&gt;1,(SUMIFS(P:P,A:A,A12)-S12)/S12,(S12-SUMIFS(P:P,A:A,A12))/SUMIFS(P:P,A:A,A12)),"."),".")</f>
        <v>.</v>
      </c>
    </row>
    <row r="13" spans="1:52" ht="15.9" customHeight="1" x14ac:dyDescent="0.3">
      <c r="A13" s="17" t="s">
        <v>304</v>
      </c>
      <c r="B13" s="17" t="s">
        <v>255</v>
      </c>
      <c r="C13" s="174">
        <v>44659</v>
      </c>
      <c r="D13" s="5" t="s">
        <v>285</v>
      </c>
      <c r="E13" s="5" t="s">
        <v>294</v>
      </c>
      <c r="F13" s="175" t="s">
        <v>305</v>
      </c>
      <c r="G13" s="177" t="s">
        <v>259</v>
      </c>
      <c r="H13" s="176">
        <v>49000000</v>
      </c>
      <c r="I13" s="184" t="s">
        <v>306</v>
      </c>
      <c r="J13" s="113" t="str">
        <f>VLOOKUP($I13,'Price List, Weapons &amp; Items'!B:C,2,0)</f>
        <v>Heavy weapon</v>
      </c>
      <c r="K13" s="113" t="str">
        <f>IF(I13=".",I13,VLOOKUP($I13,'Price List, Weapons &amp; Items'!B:D,3,0))</f>
        <v>Armoured Utility Vehicle (AUV)</v>
      </c>
      <c r="L13" s="177">
        <f>VLOOKUP(I13,'Price List, Weapons &amp; Items'!B:E,4,0)</f>
        <v>0</v>
      </c>
      <c r="M13" s="542">
        <v>20</v>
      </c>
      <c r="N13" s="542">
        <v>20</v>
      </c>
      <c r="O13" s="543">
        <f>VLOOKUP($I13,'Price List, Weapons &amp; Items'!B:G,6,0)</f>
        <v>1650000</v>
      </c>
      <c r="P13" s="176">
        <f t="shared" si="6"/>
        <v>33000000</v>
      </c>
      <c r="Q13" s="176">
        <f t="shared" si="7"/>
        <v>33000000</v>
      </c>
      <c r="R13" s="176">
        <f t="shared" si="2"/>
        <v>49000000</v>
      </c>
      <c r="S13" s="176">
        <f>IF(AND(AD13=1,R13&lt;&gt;".")=TRUE,R13/VLOOKUP(G13,'Exchange Rates'!B:C,2,0),IF(R13=".",".",""))</f>
        <v>31723423.540075101</v>
      </c>
      <c r="T13" s="176">
        <f>IF(AD13=1,IF(AF13="Value is not given at all",".",IF(AF13="Value is given by the source",S13,IF(AF13="Value is calculated with prices",(IF(SUMIFS(Q:Q,A:A,A13)&gt;0,SUMIFS(Q:Q,A:A,A13),"."))/VLOOKUP("USD",'Exchange Rates'!B:C,2,0),"Error with coding"))),"")</f>
        <v>31723423.540075101</v>
      </c>
      <c r="U13" s="15" t="s">
        <v>261</v>
      </c>
      <c r="V13" s="546" t="s">
        <v>307</v>
      </c>
      <c r="W13" s="546" t="s">
        <v>308</v>
      </c>
      <c r="X13" s="175" t="s">
        <v>260</v>
      </c>
      <c r="Y13" s="175" t="s">
        <v>260</v>
      </c>
      <c r="Z13" s="15">
        <v>0</v>
      </c>
      <c r="AA13" s="180">
        <v>0</v>
      </c>
      <c r="AB13" s="549" t="s">
        <v>309</v>
      </c>
      <c r="AC13" s="544" t="str">
        <f>""</f>
        <v/>
      </c>
      <c r="AD13" s="181">
        <v>1</v>
      </c>
      <c r="AE13" s="181" t="s">
        <v>264</v>
      </c>
      <c r="AF13" s="181" t="s">
        <v>264</v>
      </c>
      <c r="AG13" s="181">
        <v>1</v>
      </c>
      <c r="AH13" s="181">
        <v>4</v>
      </c>
      <c r="AI13" s="181">
        <v>0</v>
      </c>
      <c r="AJ13" s="181">
        <f>VLOOKUP($I13,'Price List, Weapons &amp; Items'!B:F,5,0)</f>
        <v>1</v>
      </c>
      <c r="AK13" s="181">
        <f t="shared" si="8"/>
        <v>0</v>
      </c>
      <c r="AL13" s="181">
        <f t="shared" si="9"/>
        <v>0</v>
      </c>
      <c r="AM13" s="181">
        <f t="shared" si="10"/>
        <v>0</v>
      </c>
      <c r="AN13" s="180" t="str">
        <f>VLOOKUP($I13,'Price List, Weapons &amp; Items'!B:L,COLUMN('Price List, Weapons &amp; Items'!$J$11)-1,0)</f>
        <v>Miscellaneous</v>
      </c>
      <c r="AO13" s="180" t="str">
        <f>IF(I13=".",".",VLOOKUP($I13,'Price List, Weapons &amp; Items'!B:J,3,0))</f>
        <v>Armoured Utility Vehicle (AUV)</v>
      </c>
      <c r="AP13" s="545" t="e">
        <f t="shared" ca="1" si="11"/>
        <v>#NAME?</v>
      </c>
      <c r="AQ13" s="180">
        <f>VLOOKUP($I13,'Price List, Weapons &amp; Items'!B:L,COLUMN('Price List, Weapons &amp; Items'!$L$11)-1,0)</f>
        <v>2</v>
      </c>
      <c r="AR13" s="180">
        <f t="shared" si="12"/>
        <v>1</v>
      </c>
      <c r="AS13" s="180">
        <f t="shared" si="13"/>
        <v>1</v>
      </c>
      <c r="AT13" s="180">
        <f t="shared" si="5"/>
        <v>1</v>
      </c>
      <c r="AU13" s="180" t="str">
        <f t="shared" si="14"/>
        <v>.</v>
      </c>
      <c r="AV13" s="180" t="str">
        <f t="shared" si="15"/>
        <v>.</v>
      </c>
      <c r="AW13" s="180">
        <f>IFERROR(VLOOKUP(B13,'Share, Heavy Weapons to Ukraine'!B:J,COLUMN('Share, Heavy Weapons to Ukraine'!C23)-1,0),0)</f>
        <v>0</v>
      </c>
      <c r="AX13" s="180">
        <f>VLOOKUP('Bilateral Assistance, MAIN DATA'!B13,'Country Summary'!B:F,COLUMN('Country Summary'!C24)-1,FALSE)</f>
        <v>0</v>
      </c>
      <c r="AY13" s="180">
        <f>IF(AND(AD13=1,D13="Military",H13&lt;&gt;"Not given")=TRUE,IF(SUMIFS(P:P,A:A,A13)&gt;0,ABS((SUMIFS(P:P,A:A,A13)/VLOOKUP("USD",'Exchange Rates'!B:C,2,0)))/S13,"."),".")</f>
        <v>0.99070553935860062</v>
      </c>
      <c r="AZ13" s="182">
        <f>IF(AND(AD13=1,D13="Military",H13&lt;&gt;"Not given")=TRUE,IF(SUMIFS(P:P,A:A,A13)&gt;0,IF((ABS((SUMIFS(P:P,A:A,A13)/VLOOKUP("USD",'Exchange Rates'!B:C,2,0)))/S13)&gt;1,(SUMIFS(P:P,A:A,A13)-S13)/S13,(S13-SUMIFS(P:P,A:A,A13))/SUMIFS(P:P,A:A,A13)),"."),".")</f>
        <v>-3.8684135149239365E-2</v>
      </c>
    </row>
    <row r="14" spans="1:52" ht="15.9" customHeight="1" x14ac:dyDescent="0.3">
      <c r="A14" s="5" t="s">
        <v>310</v>
      </c>
      <c r="B14" s="5" t="s">
        <v>255</v>
      </c>
      <c r="C14" s="174">
        <v>44659</v>
      </c>
      <c r="D14" s="5" t="s">
        <v>285</v>
      </c>
      <c r="E14" s="5" t="s">
        <v>286</v>
      </c>
      <c r="F14" s="175" t="s">
        <v>311</v>
      </c>
      <c r="G14" s="177" t="s">
        <v>259</v>
      </c>
      <c r="H14" s="176">
        <v>26500000</v>
      </c>
      <c r="I14" s="184" t="s">
        <v>312</v>
      </c>
      <c r="J14" s="113" t="str">
        <f>VLOOKUP($I14,'Price List, Weapons &amp; Items'!B:C,2,0)</f>
        <v>Portable defence system</v>
      </c>
      <c r="K14" s="113" t="str">
        <f>IF(I14=".",I14,VLOOKUP($I14,'Price List, Weapons &amp; Items'!B:D,3,0))</f>
        <v>Light Anti-armor Weapon (LAW)</v>
      </c>
      <c r="L14" s="177">
        <f>VLOOKUP(I14,'Price List, Weapons &amp; Items'!B:E,4,0)</f>
        <v>0</v>
      </c>
      <c r="M14" s="542" t="s">
        <v>270</v>
      </c>
      <c r="N14" s="542" t="s">
        <v>270</v>
      </c>
      <c r="O14" s="543">
        <f>VLOOKUP($I14,'Price List, Weapons &amp; Items'!B:G,6,0)</f>
        <v>1475</v>
      </c>
      <c r="P14" s="176" t="str">
        <f t="shared" si="6"/>
        <v>.</v>
      </c>
      <c r="Q14" s="176" t="str">
        <f t="shared" si="7"/>
        <v>.</v>
      </c>
      <c r="R14" s="176">
        <f t="shared" si="2"/>
        <v>26500000</v>
      </c>
      <c r="S14" s="176">
        <f>IF(AND(AD14=1,R14&lt;&gt;".")=TRUE,R14/VLOOKUP(G14,'Exchange Rates'!B:C,2,0),IF(R14=".",".",""))</f>
        <v>17156545.383918166</v>
      </c>
      <c r="T14" s="176">
        <f>IF(AD14=1,IF(AF14="Value is not given at all",".",IF(AF14="Value is given by the source",S14,IF(AF14="Value is calculated with prices",(IF(SUMIFS(Q:Q,A:A,A14)&gt;0,SUMIFS(Q:Q,A:A,A14),"."))/VLOOKUP("USD",'Exchange Rates'!B:C,2,0),"Error with coding"))),"")</f>
        <v>17156545.383918166</v>
      </c>
      <c r="U14" s="15" t="s">
        <v>261</v>
      </c>
      <c r="V14" s="547" t="s">
        <v>313</v>
      </c>
      <c r="W14" s="188" t="s">
        <v>260</v>
      </c>
      <c r="X14" s="188" t="s">
        <v>260</v>
      </c>
      <c r="Y14" s="188" t="s">
        <v>260</v>
      </c>
      <c r="Z14" s="180">
        <v>0</v>
      </c>
      <c r="AA14" s="180">
        <v>0</v>
      </c>
      <c r="AB14" s="550" t="s">
        <v>314</v>
      </c>
      <c r="AC14" s="544" t="str">
        <f>""</f>
        <v/>
      </c>
      <c r="AD14" s="181">
        <v>1</v>
      </c>
      <c r="AE14" s="181" t="s">
        <v>264</v>
      </c>
      <c r="AF14" s="181" t="s">
        <v>264</v>
      </c>
      <c r="AG14" s="181">
        <v>1</v>
      </c>
      <c r="AH14" s="181">
        <v>4</v>
      </c>
      <c r="AI14" s="181">
        <v>0</v>
      </c>
      <c r="AJ14" s="181">
        <f>VLOOKUP($I14,'Price List, Weapons &amp; Items'!B:F,5,0)</f>
        <v>0</v>
      </c>
      <c r="AK14" s="181">
        <f t="shared" si="8"/>
        <v>0</v>
      </c>
      <c r="AL14" s="181">
        <f t="shared" si="9"/>
        <v>0</v>
      </c>
      <c r="AM14" s="181">
        <f t="shared" si="10"/>
        <v>0</v>
      </c>
      <c r="AN14" s="180" t="str">
        <f>VLOOKUP($I14,'Price List, Weapons &amp; Items'!B:L,COLUMN('Price List, Weapons &amp; Items'!$J$11)-1,0)</f>
        <v>Military media (incl. websites)</v>
      </c>
      <c r="AO14" s="180" t="str">
        <f>IF(I14=".",".",VLOOKUP($I14,'Price List, Weapons &amp; Items'!B:J,3,0))</f>
        <v>Light Anti-armor Weapon (LAW)</v>
      </c>
      <c r="AP14" s="545" t="e">
        <f t="shared" ca="1" si="11"/>
        <v>#NAME?</v>
      </c>
      <c r="AQ14" s="180">
        <f>VLOOKUP($I14,'Price List, Weapons &amp; Items'!B:L,COLUMN('Price List, Weapons &amp; Items'!$L$11)-1,0)</f>
        <v>1</v>
      </c>
      <c r="AR14" s="180">
        <f t="shared" si="12"/>
        <v>1</v>
      </c>
      <c r="AS14" s="180">
        <f t="shared" si="13"/>
        <v>1</v>
      </c>
      <c r="AT14" s="180">
        <f t="shared" si="5"/>
        <v>1</v>
      </c>
      <c r="AU14" s="180" t="str">
        <f t="shared" si="14"/>
        <v>.</v>
      </c>
      <c r="AV14" s="180" t="str">
        <f t="shared" si="15"/>
        <v>.</v>
      </c>
      <c r="AW14" s="180">
        <f>IFERROR(VLOOKUP(B14,'Share, Heavy Weapons to Ukraine'!B:J,COLUMN('Share, Heavy Weapons to Ukraine'!C24)-1,0),0)</f>
        <v>0</v>
      </c>
      <c r="AX14" s="180">
        <f>VLOOKUP('Bilateral Assistance, MAIN DATA'!B14,'Country Summary'!B:F,COLUMN('Country Summary'!C25)-1,FALSE)</f>
        <v>0</v>
      </c>
      <c r="AY14" s="180" t="str">
        <f>IF(AND(AD14=1,D14="Military",H14&lt;&gt;"Not given")=TRUE,IF(SUMIFS(P:P,A:A,A14)&gt;0,ABS((SUMIFS(P:P,A:A,A14)/VLOOKUP("USD",'Exchange Rates'!B:C,2,0)))/S14,"."),".")</f>
        <v>.</v>
      </c>
      <c r="AZ14" s="182" t="str">
        <f>IF(AND(AD14=1,D14="Military",H14&lt;&gt;"Not given")=TRUE,IF(SUMIFS(P:P,A:A,A14)&gt;0,IF((ABS((SUMIFS(P:P,A:A,A14)/VLOOKUP("USD",'Exchange Rates'!B:C,2,0)))/S14)&gt;1,(SUMIFS(P:P,A:A,A14)-S14)/S14,(S14-SUMIFS(P:P,A:A,A14))/SUMIFS(P:P,A:A,A14)),"."),".")</f>
        <v>.</v>
      </c>
    </row>
    <row r="15" spans="1:52" ht="15.9" customHeight="1" x14ac:dyDescent="0.3">
      <c r="A15" s="5" t="s">
        <v>310</v>
      </c>
      <c r="B15" s="5" t="s">
        <v>255</v>
      </c>
      <c r="C15" s="174">
        <v>44659</v>
      </c>
      <c r="D15" s="5" t="s">
        <v>285</v>
      </c>
      <c r="E15" s="5" t="s">
        <v>286</v>
      </c>
      <c r="F15" s="175" t="s">
        <v>311</v>
      </c>
      <c r="G15" s="177" t="s">
        <v>259</v>
      </c>
      <c r="H15" s="176">
        <v>26500000</v>
      </c>
      <c r="I15" s="184" t="s">
        <v>315</v>
      </c>
      <c r="J15" s="113" t="str">
        <f>VLOOKUP($I15,'Price List, Weapons &amp; Items'!B:C,2,0)</f>
        <v>Ammunition for portable defence system</v>
      </c>
      <c r="K15" s="113" t="str">
        <f>IF(I15=".",I15,VLOOKUP($I15,'Price List, Weapons &amp; Items'!B:D,3,0))</f>
        <v>Light Anti-armor Weapon (LAW) ammunition</v>
      </c>
      <c r="L15" s="177">
        <f>VLOOKUP(I15,'Price List, Weapons &amp; Items'!B:E,4,0)</f>
        <v>0</v>
      </c>
      <c r="M15" s="542" t="s">
        <v>270</v>
      </c>
      <c r="N15" s="542" t="s">
        <v>270</v>
      </c>
      <c r="O15" s="543">
        <f>VLOOKUP($I15,'Price List, Weapons &amp; Items'!B:G,6,0)</f>
        <v>3661.76</v>
      </c>
      <c r="P15" s="176" t="str">
        <f t="shared" si="6"/>
        <v>.</v>
      </c>
      <c r="Q15" s="176" t="str">
        <f t="shared" si="7"/>
        <v>.</v>
      </c>
      <c r="R15" s="176" t="str">
        <f t="shared" si="2"/>
        <v/>
      </c>
      <c r="S15" s="176" t="str">
        <f>IF(AND(AD15=1,R15&lt;&gt;".")=TRUE,R15/VLOOKUP(G15,'Exchange Rates'!B:C,2,0),IF(R15=".",".",""))</f>
        <v/>
      </c>
      <c r="T15" s="176" t="str">
        <f>IF(AD15=1,IF(AF15="Value is not given at all",".",IF(AF15="Value is given by the source",S15,IF(AF15="Value is calculated with prices",(IF(SUMIFS(Q:Q,A:A,A15)&gt;0,SUMIFS(Q:Q,A:A,A15),"."))/VLOOKUP("USD",'Exchange Rates'!B:C,2,0),"Error with coding"))),"")</f>
        <v/>
      </c>
      <c r="U15" s="15" t="s">
        <v>261</v>
      </c>
      <c r="V15" s="547" t="s">
        <v>313</v>
      </c>
      <c r="W15" s="188" t="s">
        <v>260</v>
      </c>
      <c r="X15" s="188" t="s">
        <v>260</v>
      </c>
      <c r="Y15" s="188" t="s">
        <v>260</v>
      </c>
      <c r="Z15" s="180">
        <v>0</v>
      </c>
      <c r="AA15" s="180">
        <v>0</v>
      </c>
      <c r="AB15" s="550" t="s">
        <v>314</v>
      </c>
      <c r="AC15" s="544" t="str">
        <f>""</f>
        <v/>
      </c>
      <c r="AD15" s="181">
        <v>0</v>
      </c>
      <c r="AE15" s="181" t="s">
        <v>264</v>
      </c>
      <c r="AF15" s="181" t="s">
        <v>264</v>
      </c>
      <c r="AG15" s="181">
        <v>1</v>
      </c>
      <c r="AH15" s="181">
        <v>4</v>
      </c>
      <c r="AI15" s="181">
        <v>0</v>
      </c>
      <c r="AJ15" s="181">
        <f>VLOOKUP($I15,'Price List, Weapons &amp; Items'!B:F,5,0)</f>
        <v>0</v>
      </c>
      <c r="AK15" s="181">
        <f t="shared" si="8"/>
        <v>0</v>
      </c>
      <c r="AL15" s="181">
        <f t="shared" si="9"/>
        <v>0</v>
      </c>
      <c r="AM15" s="181">
        <f t="shared" si="10"/>
        <v>1</v>
      </c>
      <c r="AN15" s="180" t="str">
        <f>VLOOKUP($I15,'Price List, Weapons &amp; Items'!B:L,COLUMN('Price List, Weapons &amp; Items'!$J$11)-1,0)</f>
        <v>Miscellaneous</v>
      </c>
      <c r="AO15" s="180" t="str">
        <f>IF(I15=".",".",VLOOKUP($I15,'Price List, Weapons &amp; Items'!B:J,3,0))</f>
        <v>Light Anti-armor Weapon (LAW) ammunition</v>
      </c>
      <c r="AP15" s="545" t="str">
        <f t="shared" ca="1" si="11"/>
        <v/>
      </c>
      <c r="AQ15" s="180" t="str">
        <f>VLOOKUP($I15,'Price List, Weapons &amp; Items'!B:L,COLUMN('Price List, Weapons &amp; Items'!$L$11)-1,0)</f>
        <v>no price, 0 count</v>
      </c>
      <c r="AR15" s="180">
        <f t="shared" si="12"/>
        <v>1</v>
      </c>
      <c r="AS15" s="180">
        <f t="shared" si="13"/>
        <v>1</v>
      </c>
      <c r="AT15" s="180">
        <f t="shared" si="5"/>
        <v>1</v>
      </c>
      <c r="AU15" s="180" t="str">
        <f t="shared" si="14"/>
        <v>.</v>
      </c>
      <c r="AV15" s="180" t="str">
        <f t="shared" si="15"/>
        <v>.</v>
      </c>
      <c r="AW15" s="180">
        <f>IFERROR(VLOOKUP(B15,'Share, Heavy Weapons to Ukraine'!B:J,COLUMN('Share, Heavy Weapons to Ukraine'!C25)-1,0),0)</f>
        <v>0</v>
      </c>
      <c r="AX15" s="180">
        <f>VLOOKUP('Bilateral Assistance, MAIN DATA'!B15,'Country Summary'!B:F,COLUMN('Country Summary'!C26)-1,FALSE)</f>
        <v>0</v>
      </c>
      <c r="AY15" s="180" t="str">
        <f>IF(AND(AD15=1,D15="Military",H15&lt;&gt;"Not given")=TRUE,IF(SUMIFS(P:P,A:A,A15)&gt;0,ABS((SUMIFS(P:P,A:A,A15)/VLOOKUP("USD",'Exchange Rates'!B:C,2,0)))/S15,"."),".")</f>
        <v>.</v>
      </c>
      <c r="AZ15" s="182" t="str">
        <f>IF(AND(AD15=1,D15="Military",H15&lt;&gt;"Not given")=TRUE,IF(SUMIFS(P:P,A:A,A15)&gt;0,IF((ABS((SUMIFS(P:P,A:A,A15)/VLOOKUP("USD",'Exchange Rates'!B:C,2,0)))/S15)&gt;1,(SUMIFS(P:P,A:A,A15)-S15)/S15,(S15-SUMIFS(P:P,A:A,A15))/SUMIFS(P:P,A:A,A15)),"."),".")</f>
        <v>.</v>
      </c>
    </row>
    <row r="16" spans="1:52" ht="15.9" customHeight="1" x14ac:dyDescent="0.3">
      <c r="A16" s="5" t="s">
        <v>316</v>
      </c>
      <c r="B16" s="5" t="s">
        <v>255</v>
      </c>
      <c r="C16" s="174">
        <v>44678</v>
      </c>
      <c r="D16" s="5" t="s">
        <v>285</v>
      </c>
      <c r="E16" s="5" t="s">
        <v>286</v>
      </c>
      <c r="F16" s="175" t="s">
        <v>317</v>
      </c>
      <c r="G16" s="15" t="s">
        <v>259</v>
      </c>
      <c r="H16" s="176">
        <v>26700000</v>
      </c>
      <c r="I16" s="184" t="s">
        <v>318</v>
      </c>
      <c r="J16" s="113" t="str">
        <f>VLOOKUP($I16,'Price List, Weapons &amp; Items'!B:C,2,0)</f>
        <v>Heavy weapon</v>
      </c>
      <c r="K16" s="113" t="str">
        <f>IF(I16=".",I16,VLOOKUP($I16,'Price List, Weapons &amp; Items'!B:D,3,0))</f>
        <v>155mm howitzer</v>
      </c>
      <c r="L16" s="177">
        <f>VLOOKUP(I16,'Price List, Weapons &amp; Items'!B:E,4,0)</f>
        <v>0</v>
      </c>
      <c r="M16" s="542">
        <v>6</v>
      </c>
      <c r="N16" s="542">
        <v>6</v>
      </c>
      <c r="O16" s="543">
        <f>VLOOKUP($I16,'Price List, Weapons &amp; Items'!B:G,6,0)</f>
        <v>5170000</v>
      </c>
      <c r="P16" s="176">
        <f t="shared" si="6"/>
        <v>31020000</v>
      </c>
      <c r="Q16" s="176">
        <f t="shared" si="7"/>
        <v>31020000</v>
      </c>
      <c r="R16" s="176">
        <f t="shared" si="2"/>
        <v>26700000</v>
      </c>
      <c r="S16" s="176">
        <f>IF(AND(AD16=1,R16&lt;&gt;".")=TRUE,R16/VLOOKUP(G16,'Exchange Rates'!B:C,2,0),IF(R16=".",".",""))</f>
        <v>17286028.745306227</v>
      </c>
      <c r="T16" s="176">
        <f>IF(AD16=1,IF(AF16="Value is not given at all",".",IF(AF16="Value is given by the source",S16,IF(AF16="Value is calculated with prices",(IF(SUMIFS(Q:Q,A:A,A16)&gt;0,SUMIFS(Q:Q,A:A,A16),"."))/VLOOKUP("USD",'Exchange Rates'!B:C,2,0),"Error with coding"))),"")</f>
        <v>17286028.745306227</v>
      </c>
      <c r="U16" s="551" t="s">
        <v>261</v>
      </c>
      <c r="V16" s="547" t="s">
        <v>319</v>
      </c>
      <c r="W16" s="547" t="s">
        <v>320</v>
      </c>
      <c r="X16" s="188" t="s">
        <v>260</v>
      </c>
      <c r="Y16" s="188" t="s">
        <v>260</v>
      </c>
      <c r="Z16" s="180">
        <v>0</v>
      </c>
      <c r="AA16" s="180">
        <v>0</v>
      </c>
      <c r="AB16" s="550" t="s">
        <v>309</v>
      </c>
      <c r="AC16" s="544" t="str">
        <f>""</f>
        <v/>
      </c>
      <c r="AD16" s="181">
        <v>1</v>
      </c>
      <c r="AE16" s="181" t="s">
        <v>264</v>
      </c>
      <c r="AF16" s="181" t="s">
        <v>264</v>
      </c>
      <c r="AG16" s="181">
        <v>1</v>
      </c>
      <c r="AH16" s="181">
        <v>4</v>
      </c>
      <c r="AI16" s="181">
        <v>0</v>
      </c>
      <c r="AJ16" s="181">
        <f>VLOOKUP($I16,'Price List, Weapons &amp; Items'!B:F,5,0)</f>
        <v>1</v>
      </c>
      <c r="AK16" s="181">
        <f t="shared" si="8"/>
        <v>0</v>
      </c>
      <c r="AL16" s="181">
        <f t="shared" si="9"/>
        <v>0</v>
      </c>
      <c r="AM16" s="181">
        <f t="shared" si="10"/>
        <v>0</v>
      </c>
      <c r="AN16" s="180" t="str">
        <f>VLOOKUP($I16,'Price List, Weapons &amp; Items'!B:L,COLUMN('Price List, Weapons &amp; Items'!$J$11)-1,0)</f>
        <v>Military media (incl. websites)</v>
      </c>
      <c r="AO16" s="180" t="str">
        <f>IF(I16=".",".",VLOOKUP($I16,'Price List, Weapons &amp; Items'!B:J,3,0))</f>
        <v>155mm howitzer</v>
      </c>
      <c r="AP16" s="545" t="e">
        <f t="shared" ca="1" si="11"/>
        <v>#NAME?</v>
      </c>
      <c r="AQ16" s="180">
        <f>VLOOKUP($I16,'Price List, Weapons &amp; Items'!B:L,COLUMN('Price List, Weapons &amp; Items'!$L$11)-1,0)</f>
        <v>2</v>
      </c>
      <c r="AR16" s="180">
        <f t="shared" si="12"/>
        <v>1</v>
      </c>
      <c r="AS16" s="180">
        <f t="shared" si="13"/>
        <v>1</v>
      </c>
      <c r="AT16" s="180">
        <f t="shared" si="5"/>
        <v>1</v>
      </c>
      <c r="AU16" s="180" t="str">
        <f t="shared" si="14"/>
        <v>.</v>
      </c>
      <c r="AV16" s="180" t="str">
        <f t="shared" si="15"/>
        <v>.</v>
      </c>
      <c r="AW16" s="180">
        <f>IFERROR(VLOOKUP(B16,'Share, Heavy Weapons to Ukraine'!B:J,COLUMN('Share, Heavy Weapons to Ukraine'!C26)-1,0),0)</f>
        <v>0</v>
      </c>
      <c r="AX16" s="180">
        <f>VLOOKUP('Bilateral Assistance, MAIN DATA'!B16,'Country Summary'!B:F,COLUMN('Country Summary'!C27)-1,FALSE)</f>
        <v>0</v>
      </c>
      <c r="AY16" s="180">
        <f>IF(AND(AD16=1,D16="Military",H16&lt;&gt;"Not given")=TRUE,IF(SUMIFS(P:P,A:A,A16)&gt;0,ABS((SUMIFS(P:P,A:A,A16)/VLOOKUP("USD",'Exchange Rates'!B:C,2,0)))/S16,"."),".")</f>
        <v>1.7090598180845371</v>
      </c>
      <c r="AZ16" s="182">
        <f>IF(AND(AD16=1,D16="Military",H16&lt;&gt;"Not given")=TRUE,IF(SUMIFS(P:P,A:A,A16)&gt;0,IF((ABS((SUMIFS(P:P,A:A,A16)/VLOOKUP("USD",'Exchange Rates'!B:C,2,0)))/S16)&gt;1,(SUMIFS(P:P,A:A,A16)-S16)/S16,(S16-SUMIFS(P:P,A:A,A16))/SUMIFS(P:P,A:A,A16)),"."),".")</f>
        <v>0.79451280898876409</v>
      </c>
    </row>
    <row r="17" spans="1:52" ht="15.9" customHeight="1" x14ac:dyDescent="0.3">
      <c r="A17" s="5" t="s">
        <v>316</v>
      </c>
      <c r="B17" s="5" t="s">
        <v>255</v>
      </c>
      <c r="C17" s="174">
        <v>44678</v>
      </c>
      <c r="D17" s="5" t="s">
        <v>285</v>
      </c>
      <c r="E17" s="5" t="s">
        <v>286</v>
      </c>
      <c r="F17" s="175" t="s">
        <v>317</v>
      </c>
      <c r="G17" s="15" t="s">
        <v>259</v>
      </c>
      <c r="H17" s="176">
        <v>26700000</v>
      </c>
      <c r="I17" s="184" t="s">
        <v>321</v>
      </c>
      <c r="J17" s="113" t="str">
        <f>VLOOKUP($I17,'Price List, Weapons &amp; Items'!B:C,2,0)</f>
        <v>Ammunition for heavy weapon</v>
      </c>
      <c r="K17" s="113" t="str">
        <f>IF(I17=".",I17,VLOOKUP($I17,'Price List, Weapons &amp; Items'!B:D,3,0))</f>
        <v>155mm howitzer ammunition</v>
      </c>
      <c r="L17" s="177">
        <f>VLOOKUP(I17,'Price List, Weapons &amp; Items'!B:E,4,0)</f>
        <v>0</v>
      </c>
      <c r="M17" s="542" t="s">
        <v>270</v>
      </c>
      <c r="N17" s="542" t="s">
        <v>270</v>
      </c>
      <c r="O17" s="543">
        <f>VLOOKUP($I17,'Price List, Weapons &amp; Items'!B:G,6,0)</f>
        <v>3800</v>
      </c>
      <c r="P17" s="176" t="str">
        <f t="shared" si="6"/>
        <v>.</v>
      </c>
      <c r="Q17" s="176" t="str">
        <f t="shared" si="7"/>
        <v>.</v>
      </c>
      <c r="R17" s="176" t="str">
        <f t="shared" si="2"/>
        <v/>
      </c>
      <c r="S17" s="176" t="str">
        <f>IF(AND(AD17=1,R17&lt;&gt;".")=TRUE,R17/VLOOKUP(G17,'Exchange Rates'!B:C,2,0),IF(R17=".",".",""))</f>
        <v/>
      </c>
      <c r="T17" s="176" t="str">
        <f>IF(AD17=1,IF(AF17="Value is not given at all",".",IF(AF17="Value is given by the source",S17,IF(AF17="Value is calculated with prices",(IF(SUMIFS(Q:Q,A:A,A17)&gt;0,SUMIFS(Q:Q,A:A,A17),"."))/VLOOKUP("USD",'Exchange Rates'!B:C,2,0),"Error with coding"))),"")</f>
        <v/>
      </c>
      <c r="U17" s="551" t="s">
        <v>261</v>
      </c>
      <c r="V17" s="547" t="s">
        <v>319</v>
      </c>
      <c r="W17" s="547" t="s">
        <v>320</v>
      </c>
      <c r="X17" s="188" t="s">
        <v>260</v>
      </c>
      <c r="Y17" s="188" t="s">
        <v>260</v>
      </c>
      <c r="Z17" s="180">
        <v>0</v>
      </c>
      <c r="AA17" s="180">
        <v>0</v>
      </c>
      <c r="AB17" s="550" t="s">
        <v>309</v>
      </c>
      <c r="AC17" s="544" t="str">
        <f>""</f>
        <v/>
      </c>
      <c r="AD17" s="181">
        <v>0</v>
      </c>
      <c r="AE17" s="181" t="s">
        <v>264</v>
      </c>
      <c r="AF17" s="181" t="s">
        <v>264</v>
      </c>
      <c r="AG17" s="181">
        <v>1</v>
      </c>
      <c r="AH17" s="181">
        <v>4</v>
      </c>
      <c r="AI17" s="181">
        <v>0</v>
      </c>
      <c r="AJ17" s="181">
        <f>VLOOKUP($I17,'Price List, Weapons &amp; Items'!B:F,5,0)</f>
        <v>1</v>
      </c>
      <c r="AK17" s="181">
        <f t="shared" si="8"/>
        <v>1</v>
      </c>
      <c r="AL17" s="181">
        <f t="shared" si="9"/>
        <v>1</v>
      </c>
      <c r="AM17" s="181">
        <f t="shared" si="10"/>
        <v>1</v>
      </c>
      <c r="AN17" s="180" t="str">
        <f>VLOOKUP($I17,'Price List, Weapons &amp; Items'!B:L,COLUMN('Price List, Weapons &amp; Items'!$J$11)-1,0)</f>
        <v>Government information</v>
      </c>
      <c r="AO17" s="180" t="str">
        <f>IF(I17=".",".",VLOOKUP($I17,'Price List, Weapons &amp; Items'!B:J,3,0))</f>
        <v>155mm howitzer ammunition</v>
      </c>
      <c r="AP17" s="545" t="str">
        <f t="shared" ca="1" si="11"/>
        <v/>
      </c>
      <c r="AQ17" s="180" t="str">
        <f>VLOOKUP($I17,'Price List, Weapons &amp; Items'!B:L,COLUMN('Price List, Weapons &amp; Items'!$L$11)-1,0)</f>
        <v>no price, 0 count</v>
      </c>
      <c r="AR17" s="180">
        <f t="shared" si="12"/>
        <v>1</v>
      </c>
      <c r="AS17" s="180">
        <f t="shared" si="13"/>
        <v>1</v>
      </c>
      <c r="AT17" s="180">
        <f t="shared" si="5"/>
        <v>1</v>
      </c>
      <c r="AU17" s="180" t="str">
        <f t="shared" si="14"/>
        <v>.</v>
      </c>
      <c r="AV17" s="180" t="str">
        <f t="shared" si="15"/>
        <v>.</v>
      </c>
      <c r="AW17" s="180">
        <f>IFERROR(VLOOKUP(B17,'Share, Heavy Weapons to Ukraine'!B:J,COLUMN('Share, Heavy Weapons to Ukraine'!C27)-1,0),0)</f>
        <v>0</v>
      </c>
      <c r="AX17" s="180">
        <f>VLOOKUP('Bilateral Assistance, MAIN DATA'!B17,'Country Summary'!B:F,COLUMN('Country Summary'!C28)-1,FALSE)</f>
        <v>0</v>
      </c>
      <c r="AY17" s="180" t="str">
        <f>IF(AND(AD17=1,D17="Military",H17&lt;&gt;"Not given")=TRUE,IF(SUMIFS(P:P,A:A,A17)&gt;0,ABS((SUMIFS(P:P,A:A,A17)/VLOOKUP("USD",'Exchange Rates'!B:C,2,0)))/S17,"."),".")</f>
        <v>.</v>
      </c>
      <c r="AZ17" s="182" t="str">
        <f>IF(AND(AD17=1,D17="Military",H17&lt;&gt;"Not given")=TRUE,IF(SUMIFS(P:P,A:A,A17)&gt;0,IF((ABS((SUMIFS(P:P,A:A,A17)/VLOOKUP("USD",'Exchange Rates'!B:C,2,0)))/S17)&gt;1,(SUMIFS(P:P,A:A,A17)-S17)/S17,(S17-SUMIFS(P:P,A:A,A17))/SUMIFS(P:P,A:A,A17)),"."),".")</f>
        <v>.</v>
      </c>
    </row>
    <row r="18" spans="1:52" ht="15.9" customHeight="1" x14ac:dyDescent="0.3">
      <c r="A18" s="5" t="s">
        <v>322</v>
      </c>
      <c r="B18" s="5" t="s">
        <v>255</v>
      </c>
      <c r="C18" s="174">
        <v>44700</v>
      </c>
      <c r="D18" s="5" t="s">
        <v>285</v>
      </c>
      <c r="E18" s="5" t="s">
        <v>286</v>
      </c>
      <c r="F18" s="175" t="s">
        <v>323</v>
      </c>
      <c r="G18" s="15" t="s">
        <v>259</v>
      </c>
      <c r="H18" s="176">
        <v>60900000</v>
      </c>
      <c r="I18" s="17" t="s">
        <v>324</v>
      </c>
      <c r="J18" s="113" t="str">
        <f>VLOOKUP($I18,'Price List, Weapons &amp; Items'!B:C,2,0)</f>
        <v>Heavy weapon</v>
      </c>
      <c r="K18" s="113" t="str">
        <f>IF(I18=".",I18,VLOOKUP($I18,'Price List, Weapons &amp; Items'!B:D,3,0))</f>
        <v>Armoured Personnel Carrier (APC)</v>
      </c>
      <c r="L18" s="177">
        <f>VLOOKUP(I18,'Price List, Weapons &amp; Items'!B:E,4,0)</f>
        <v>0</v>
      </c>
      <c r="M18" s="542">
        <v>14</v>
      </c>
      <c r="N18" s="542">
        <v>14</v>
      </c>
      <c r="O18" s="543">
        <f>VLOOKUP($I18,'Price List, Weapons &amp; Items'!B:G,6,0)</f>
        <v>300000</v>
      </c>
      <c r="P18" s="176">
        <f t="shared" si="6"/>
        <v>4200000</v>
      </c>
      <c r="Q18" s="176">
        <f t="shared" si="7"/>
        <v>4200000</v>
      </c>
      <c r="R18" s="176">
        <f t="shared" si="2"/>
        <v>60900000</v>
      </c>
      <c r="S18" s="176">
        <f>IF(AND(AD18=1,R18&lt;&gt;".")=TRUE,R18/VLOOKUP(G18,'Exchange Rates'!B:C,2,0),IF(R18=".",".",""))</f>
        <v>39427683.542664766</v>
      </c>
      <c r="T18" s="176">
        <f>IF(AD18=1,IF(AF18="Value is not given at all",".",IF(AF18="Value is given by the source",S18,IF(AF18="Value is calculated with prices",(IF(SUMIFS(Q:Q,A:A,A18)&gt;0,SUMIFS(Q:Q,A:A,A18),"."))/VLOOKUP("USD",'Exchange Rates'!B:C,2,0),"Error with coding"))),"")</f>
        <v>39427683.542664766</v>
      </c>
      <c r="U18" s="15" t="s">
        <v>261</v>
      </c>
      <c r="V18" s="547" t="s">
        <v>325</v>
      </c>
      <c r="W18" s="547" t="s">
        <v>326</v>
      </c>
      <c r="X18" s="547" t="s">
        <v>327</v>
      </c>
      <c r="Y18" s="188" t="s">
        <v>260</v>
      </c>
      <c r="Z18" s="15">
        <v>0</v>
      </c>
      <c r="AA18" s="180">
        <v>0</v>
      </c>
      <c r="AB18" s="550" t="s">
        <v>314</v>
      </c>
      <c r="AC18" s="544" t="str">
        <f>""</f>
        <v/>
      </c>
      <c r="AD18" s="181">
        <v>1</v>
      </c>
      <c r="AE18" s="181" t="s">
        <v>264</v>
      </c>
      <c r="AF18" s="181" t="s">
        <v>264</v>
      </c>
      <c r="AG18" s="181">
        <v>1</v>
      </c>
      <c r="AH18" s="181">
        <v>5</v>
      </c>
      <c r="AI18" s="181">
        <v>0</v>
      </c>
      <c r="AJ18" s="181">
        <f>VLOOKUP($I18,'Price List, Weapons &amp; Items'!B:F,5,0)</f>
        <v>1</v>
      </c>
      <c r="AK18" s="181">
        <f t="shared" si="8"/>
        <v>0</v>
      </c>
      <c r="AL18" s="181">
        <f t="shared" si="9"/>
        <v>0</v>
      </c>
      <c r="AM18" s="181">
        <f t="shared" si="10"/>
        <v>0</v>
      </c>
      <c r="AN18" s="180" t="str">
        <f>VLOOKUP($I18,'Price List, Weapons &amp; Items'!B:L,COLUMN('Price List, Weapons &amp; Items'!$J$11)-1,0)</f>
        <v>Military media (incl. websites)</v>
      </c>
      <c r="AO18" s="180" t="str">
        <f>IF(I18=".",".",VLOOKUP($I18,'Price List, Weapons &amp; Items'!B:J,3,0))</f>
        <v>Armoured Personnel Carrier (APC)</v>
      </c>
      <c r="AP18" s="545" t="e">
        <f t="shared" ca="1" si="11"/>
        <v>#NAME?</v>
      </c>
      <c r="AQ18" s="180">
        <f>VLOOKUP($I18,'Price List, Weapons &amp; Items'!B:L,COLUMN('Price List, Weapons &amp; Items'!$L$11)-1,0)</f>
        <v>2</v>
      </c>
      <c r="AR18" s="180">
        <f t="shared" si="12"/>
        <v>1</v>
      </c>
      <c r="AS18" s="180">
        <f t="shared" si="13"/>
        <v>1</v>
      </c>
      <c r="AT18" s="180">
        <f t="shared" si="5"/>
        <v>1</v>
      </c>
      <c r="AU18" s="180" t="str">
        <f t="shared" si="14"/>
        <v>.</v>
      </c>
      <c r="AV18" s="180" t="str">
        <f t="shared" si="15"/>
        <v>.</v>
      </c>
      <c r="AW18" s="180">
        <f>IFERROR(VLOOKUP(B18,'Share, Heavy Weapons to Ukraine'!B:J,COLUMN('Share, Heavy Weapons to Ukraine'!C28)-1,0),0)</f>
        <v>0</v>
      </c>
      <c r="AX18" s="180">
        <f>VLOOKUP('Bilateral Assistance, MAIN DATA'!B18,'Country Summary'!B:F,COLUMN('Country Summary'!C29)-1,FALSE)</f>
        <v>0</v>
      </c>
      <c r="AY18" s="180">
        <f>IF(AND(AD18=1,D18="Military",H18&lt;&gt;"Not given")=TRUE,IF(SUMIFS(P:P,A:A,A18)&gt;0,ABS((SUMIFS(P:P,A:A,A18)/VLOOKUP("USD",'Exchange Rates'!B:C,2,0)))/S18,"."),".")</f>
        <v>0.89857095941825005</v>
      </c>
      <c r="AZ18" s="182">
        <f>IF(AND(AD18=1,D18="Military",H18&lt;&gt;"Not given")=TRUE,IF(SUMIFS(P:P,A:A,A18)&gt;0,IF((ABS((SUMIFS(P:P,A:A,A18)/VLOOKUP("USD",'Exchange Rates'!B:C,2,0)))/S18)&gt;1,(SUMIFS(P:P,A:A,A18)-S18)/S18,(S18-SUMIFS(P:P,A:A,A18))/SUMIFS(P:P,A:A,A18)),"."),".")</f>
        <v>5.9883966200665759E-2</v>
      </c>
    </row>
    <row r="19" spans="1:52" ht="15.9" customHeight="1" x14ac:dyDescent="0.3">
      <c r="A19" s="5" t="s">
        <v>322</v>
      </c>
      <c r="B19" s="5" t="s">
        <v>255</v>
      </c>
      <c r="C19" s="174">
        <v>44700</v>
      </c>
      <c r="D19" s="5" t="s">
        <v>285</v>
      </c>
      <c r="E19" s="5" t="s">
        <v>286</v>
      </c>
      <c r="F19" s="175" t="s">
        <v>323</v>
      </c>
      <c r="G19" s="15" t="s">
        <v>259</v>
      </c>
      <c r="H19" s="176">
        <v>60900000</v>
      </c>
      <c r="I19" s="17" t="s">
        <v>306</v>
      </c>
      <c r="J19" s="113" t="str">
        <f>VLOOKUP($I19,'Price List, Weapons &amp; Items'!B:C,2,0)</f>
        <v>Heavy weapon</v>
      </c>
      <c r="K19" s="113" t="str">
        <f>IF(I19=".",I19,VLOOKUP($I19,'Price List, Weapons &amp; Items'!B:D,3,0))</f>
        <v>Armoured Utility Vehicle (AUV)</v>
      </c>
      <c r="L19" s="177">
        <f>VLOOKUP(I19,'Price List, Weapons &amp; Items'!B:E,4,0)</f>
        <v>0</v>
      </c>
      <c r="M19" s="542">
        <v>20</v>
      </c>
      <c r="N19" s="542">
        <v>20</v>
      </c>
      <c r="O19" s="543">
        <f>VLOOKUP($I19,'Price List, Weapons &amp; Items'!B:G,6,0)</f>
        <v>1650000</v>
      </c>
      <c r="P19" s="176">
        <f t="shared" si="6"/>
        <v>33000000</v>
      </c>
      <c r="Q19" s="176">
        <f t="shared" si="7"/>
        <v>33000000</v>
      </c>
      <c r="R19" s="176" t="str">
        <f t="shared" si="2"/>
        <v/>
      </c>
      <c r="S19" s="176" t="str">
        <f>IF(AND(AD19=1,R19&lt;&gt;".")=TRUE,R19/VLOOKUP(G19,'Exchange Rates'!B:C,2,0),IF(R19=".",".",""))</f>
        <v/>
      </c>
      <c r="T19" s="176" t="str">
        <f>IF(AD19=1,IF(AF19="Value is not given at all",".",IF(AF19="Value is given by the source",S19,IF(AF19="Value is calculated with prices",(IF(SUMIFS(Q:Q,A:A,A19)&gt;0,SUMIFS(Q:Q,A:A,A19),"."))/VLOOKUP("USD",'Exchange Rates'!B:C,2,0),"Error with coding"))),"")</f>
        <v/>
      </c>
      <c r="U19" s="15" t="s">
        <v>261</v>
      </c>
      <c r="V19" s="547" t="s">
        <v>325</v>
      </c>
      <c r="W19" s="547" t="s">
        <v>326</v>
      </c>
      <c r="X19" s="547" t="s">
        <v>327</v>
      </c>
      <c r="Y19" s="188" t="s">
        <v>260</v>
      </c>
      <c r="Z19" s="15">
        <v>0</v>
      </c>
      <c r="AA19" s="180">
        <v>0</v>
      </c>
      <c r="AB19" s="550" t="s">
        <v>314</v>
      </c>
      <c r="AC19" s="544" t="str">
        <f>""</f>
        <v/>
      </c>
      <c r="AD19" s="181">
        <v>0</v>
      </c>
      <c r="AE19" s="181" t="s">
        <v>264</v>
      </c>
      <c r="AF19" s="181" t="s">
        <v>264</v>
      </c>
      <c r="AG19" s="181">
        <v>1</v>
      </c>
      <c r="AH19" s="181">
        <v>5</v>
      </c>
      <c r="AI19" s="181">
        <v>0</v>
      </c>
      <c r="AJ19" s="181">
        <f>VLOOKUP($I19,'Price List, Weapons &amp; Items'!B:F,5,0)</f>
        <v>1</v>
      </c>
      <c r="AK19" s="181">
        <f t="shared" si="8"/>
        <v>0</v>
      </c>
      <c r="AL19" s="181">
        <f t="shared" si="9"/>
        <v>0</v>
      </c>
      <c r="AM19" s="181">
        <f t="shared" si="10"/>
        <v>0</v>
      </c>
      <c r="AN19" s="180" t="str">
        <f>VLOOKUP($I19,'Price List, Weapons &amp; Items'!B:L,COLUMN('Price List, Weapons &amp; Items'!$J$11)-1,0)</f>
        <v>Miscellaneous</v>
      </c>
      <c r="AO19" s="180" t="str">
        <f>IF(I19=".",".",VLOOKUP($I19,'Price List, Weapons &amp; Items'!B:J,3,0))</f>
        <v>Armoured Utility Vehicle (AUV)</v>
      </c>
      <c r="AP19" s="545" t="str">
        <f t="shared" ca="1" si="11"/>
        <v/>
      </c>
      <c r="AQ19" s="180">
        <f>VLOOKUP($I19,'Price List, Weapons &amp; Items'!B:L,COLUMN('Price List, Weapons &amp; Items'!$L$11)-1,0)</f>
        <v>2</v>
      </c>
      <c r="AR19" s="180">
        <f t="shared" si="12"/>
        <v>1</v>
      </c>
      <c r="AS19" s="180">
        <f t="shared" si="13"/>
        <v>1</v>
      </c>
      <c r="AT19" s="180">
        <f t="shared" si="5"/>
        <v>1</v>
      </c>
      <c r="AU19" s="180" t="str">
        <f t="shared" si="14"/>
        <v>.</v>
      </c>
      <c r="AV19" s="180" t="str">
        <f t="shared" si="15"/>
        <v>.</v>
      </c>
      <c r="AW19" s="180">
        <f>IFERROR(VLOOKUP(B19,'Share, Heavy Weapons to Ukraine'!B:J,COLUMN('Share, Heavy Weapons to Ukraine'!C29)-1,0),0)</f>
        <v>0</v>
      </c>
      <c r="AX19" s="180">
        <f>VLOOKUP('Bilateral Assistance, MAIN DATA'!B19,'Country Summary'!B:F,COLUMN('Country Summary'!C30)-1,FALSE)</f>
        <v>0</v>
      </c>
      <c r="AY19" s="180" t="str">
        <f>IF(AND(AD19=1,D19="Military",H19&lt;&gt;"Not given")=TRUE,IF(SUMIFS(P:P,A:A,A19)&gt;0,ABS((SUMIFS(P:P,A:A,A19)/VLOOKUP("USD",'Exchange Rates'!B:C,2,0)))/S19,"."),".")</f>
        <v>.</v>
      </c>
      <c r="AZ19" s="182" t="str">
        <f>IF(AND(AD19=1,D19="Military",H19&lt;&gt;"Not given")=TRUE,IF(SUMIFS(P:P,A:A,A19)&gt;0,IF((ABS((SUMIFS(P:P,A:A,A19)/VLOOKUP("USD",'Exchange Rates'!B:C,2,0)))/S19)&gt;1,(SUMIFS(P:P,A:A,A19)-S19)/S19,(S19-SUMIFS(P:P,A:A,A19))/SUMIFS(P:P,A:A,A19)),"."),".")</f>
        <v>.</v>
      </c>
    </row>
    <row r="20" spans="1:52" ht="15.9" customHeight="1" x14ac:dyDescent="0.3">
      <c r="A20" s="19" t="s">
        <v>328</v>
      </c>
      <c r="B20" s="19" t="s">
        <v>255</v>
      </c>
      <c r="C20" s="174">
        <v>44746</v>
      </c>
      <c r="D20" s="19" t="s">
        <v>285</v>
      </c>
      <c r="E20" s="19" t="s">
        <v>286</v>
      </c>
      <c r="F20" s="19" t="s">
        <v>329</v>
      </c>
      <c r="G20" s="199" t="s">
        <v>259</v>
      </c>
      <c r="H20" s="176">
        <v>79500000</v>
      </c>
      <c r="I20" s="19" t="s">
        <v>306</v>
      </c>
      <c r="J20" s="113" t="str">
        <f>VLOOKUP($I20,'Price List, Weapons &amp; Items'!B:C,2,0)</f>
        <v>Heavy weapon</v>
      </c>
      <c r="K20" s="113" t="str">
        <f>IF(I20=".",I20,VLOOKUP($I20,'Price List, Weapons &amp; Items'!B:D,3,0))</f>
        <v>Armoured Utility Vehicle (AUV)</v>
      </c>
      <c r="L20" s="177">
        <f>VLOOKUP(I20,'Price List, Weapons &amp; Items'!B:E,4,0)</f>
        <v>0</v>
      </c>
      <c r="M20" s="247">
        <v>20</v>
      </c>
      <c r="N20" s="247">
        <v>20</v>
      </c>
      <c r="O20" s="543">
        <f>VLOOKUP($I20,'Price List, Weapons &amp; Items'!B:G,6,0)</f>
        <v>1650000</v>
      </c>
      <c r="P20" s="176">
        <f t="shared" si="6"/>
        <v>33000000</v>
      </c>
      <c r="Q20" s="176">
        <f t="shared" si="7"/>
        <v>33000000</v>
      </c>
      <c r="R20" s="176">
        <f t="shared" si="2"/>
        <v>79500000</v>
      </c>
      <c r="S20" s="176">
        <f>IF(AND(AD20=1,R20&lt;&gt;".")=TRUE,R20/VLOOKUP(G20,'Exchange Rates'!B:C,2,0),IF(R20=".",".",""))</f>
        <v>51469636.151754498</v>
      </c>
      <c r="T20" s="176">
        <f>IF(AD20=1,IF(AF20="Value is not given at all",".",IF(AF20="Value is given by the source",S20,IF(AF20="Value is calculated with prices",(IF(SUMIFS(Q:Q,A:A,A20)&gt;0,SUMIFS(Q:Q,A:A,A20),"."))/VLOOKUP("USD",'Exchange Rates'!B:C,2,0),"Error with coding"))),"")</f>
        <v>35428571.428571425</v>
      </c>
      <c r="U20" s="15" t="s">
        <v>261</v>
      </c>
      <c r="V20" s="304" t="s">
        <v>330</v>
      </c>
      <c r="W20" s="304" t="s">
        <v>331</v>
      </c>
      <c r="X20" s="552" t="s">
        <v>327</v>
      </c>
      <c r="Y20" s="19" t="s">
        <v>260</v>
      </c>
      <c r="Z20" s="199">
        <v>0</v>
      </c>
      <c r="AA20" s="180">
        <v>0</v>
      </c>
      <c r="AB20" s="304" t="s">
        <v>314</v>
      </c>
      <c r="AC20" s="544" t="str">
        <f>""</f>
        <v/>
      </c>
      <c r="AD20" s="199">
        <v>1</v>
      </c>
      <c r="AE20" s="199" t="s">
        <v>264</v>
      </c>
      <c r="AF20" s="199" t="s">
        <v>332</v>
      </c>
      <c r="AG20" s="15">
        <v>1</v>
      </c>
      <c r="AH20" s="15">
        <v>7</v>
      </c>
      <c r="AI20" s="15">
        <v>0</v>
      </c>
      <c r="AJ20" s="181">
        <f>VLOOKUP($I20,'Price List, Weapons &amp; Items'!B:F,5,0)</f>
        <v>1</v>
      </c>
      <c r="AK20" s="181">
        <f t="shared" si="8"/>
        <v>0</v>
      </c>
      <c r="AL20" s="181">
        <f t="shared" si="9"/>
        <v>0</v>
      </c>
      <c r="AM20" s="181">
        <f t="shared" si="10"/>
        <v>0</v>
      </c>
      <c r="AN20" s="180" t="str">
        <f>VLOOKUP($I20,'Price List, Weapons &amp; Items'!B:L,COLUMN('Price List, Weapons &amp; Items'!$J$11)-1,0)</f>
        <v>Miscellaneous</v>
      </c>
      <c r="AO20" s="180" t="str">
        <f>IF(I20=".",".",VLOOKUP($I20,'Price List, Weapons &amp; Items'!B:J,3,0))</f>
        <v>Armoured Utility Vehicle (AUV)</v>
      </c>
      <c r="AP20" s="545" t="e">
        <f t="shared" ca="1" si="11"/>
        <v>#NAME?</v>
      </c>
      <c r="AQ20" s="180">
        <f>VLOOKUP($I20,'Price List, Weapons &amp; Items'!B:L,COLUMN('Price List, Weapons &amp; Items'!$L$11)-1,0)</f>
        <v>2</v>
      </c>
      <c r="AR20" s="180">
        <f t="shared" si="12"/>
        <v>1</v>
      </c>
      <c r="AS20" s="180">
        <f t="shared" si="13"/>
        <v>1</v>
      </c>
      <c r="AT20" s="180">
        <f t="shared" si="5"/>
        <v>1</v>
      </c>
      <c r="AU20" s="180" t="str">
        <f t="shared" si="14"/>
        <v>.</v>
      </c>
      <c r="AV20" s="180" t="str">
        <f t="shared" si="15"/>
        <v>.</v>
      </c>
      <c r="AW20" s="180">
        <f>IFERROR(VLOOKUP(B20,'Share, Heavy Weapons to Ukraine'!B:J,COLUMN('Share, Heavy Weapons to Ukraine'!C30)-1,0),0)</f>
        <v>0</v>
      </c>
      <c r="AX20" s="180">
        <f>VLOOKUP('Bilateral Assistance, MAIN DATA'!B20,'Country Summary'!B:F,COLUMN('Country Summary'!C31)-1,FALSE)</f>
        <v>0</v>
      </c>
      <c r="AY20" s="180">
        <f>IF(AND(AD20=1,D20="Military",H20&lt;&gt;"Not given")=TRUE,IF(SUMIFS(P:P,A:A,A20)&gt;0,ABS((SUMIFS(P:P,A:A,A20)/VLOOKUP("USD",'Exchange Rates'!B:C,2,0)))/S20,"."),".")</f>
        <v>0.68833926325247075</v>
      </c>
      <c r="AZ20" s="182">
        <f>IF(AND(AD20=1,D20="Military",H20&lt;&gt;"Not given")=TRUE,IF(SUMIFS(P:P,A:A,A20)&gt;0,IF((ABS((SUMIFS(P:P,A:A,A20)/VLOOKUP("USD",'Exchange Rates'!B:C,2,0)))/S20)&gt;1,(SUMIFS(P:P,A:A,A20)-S20)/S20,(S20-SUMIFS(P:P,A:A,A20))/SUMIFS(P:P,A:A,A20)),"."),".")</f>
        <v>0.38359236967081983</v>
      </c>
    </row>
    <row r="21" spans="1:52" ht="15.9" customHeight="1" x14ac:dyDescent="0.3">
      <c r="A21" s="5" t="s">
        <v>328</v>
      </c>
      <c r="B21" s="5" t="s">
        <v>255</v>
      </c>
      <c r="C21" s="174">
        <v>44746</v>
      </c>
      <c r="D21" s="5" t="s">
        <v>285</v>
      </c>
      <c r="E21" s="5" t="s">
        <v>286</v>
      </c>
      <c r="F21" s="175" t="s">
        <v>329</v>
      </c>
      <c r="G21" s="15" t="s">
        <v>259</v>
      </c>
      <c r="H21" s="176">
        <v>79500000</v>
      </c>
      <c r="I21" s="17" t="s">
        <v>324</v>
      </c>
      <c r="J21" s="113" t="str">
        <f>VLOOKUP($I21,'Price List, Weapons &amp; Items'!B:C,2,0)</f>
        <v>Heavy weapon</v>
      </c>
      <c r="K21" s="113" t="str">
        <f>IF(I21=".",I21,VLOOKUP($I21,'Price List, Weapons &amp; Items'!B:D,3,0))</f>
        <v>Armoured Personnel Carrier (APC)</v>
      </c>
      <c r="L21" s="177">
        <f>VLOOKUP(I21,'Price List, Weapons &amp; Items'!B:E,4,0)</f>
        <v>0</v>
      </c>
      <c r="M21" s="542">
        <v>14</v>
      </c>
      <c r="N21" s="542">
        <v>14</v>
      </c>
      <c r="O21" s="543">
        <f>VLOOKUP($I21,'Price List, Weapons &amp; Items'!B:G,6,0)</f>
        <v>300000</v>
      </c>
      <c r="P21" s="176">
        <f t="shared" si="6"/>
        <v>4200000</v>
      </c>
      <c r="Q21" s="176">
        <f t="shared" si="7"/>
        <v>4200000</v>
      </c>
      <c r="R21" s="176" t="str">
        <f t="shared" si="2"/>
        <v/>
      </c>
      <c r="S21" s="176" t="str">
        <f>IF(AND(AD21=1,R21&lt;&gt;".")=TRUE,R21/VLOOKUP(G21,'Exchange Rates'!B:C,2,0),IF(R21=".",".",""))</f>
        <v/>
      </c>
      <c r="T21" s="176" t="str">
        <f>IF(AD21=1,IF(AF21="Value is not given at all",".",IF(AF21="Value is given by the source",S21,IF(AF21="Value is calculated with prices",(IF(SUMIFS(Q:Q,A:A,A21)&gt;0,SUMIFS(Q:Q,A:A,A21),"."))/VLOOKUP("USD",'Exchange Rates'!B:C,2,0),"Error with coding"))),"")</f>
        <v/>
      </c>
      <c r="U21" s="15" t="s">
        <v>261</v>
      </c>
      <c r="V21" s="547" t="s">
        <v>330</v>
      </c>
      <c r="W21" s="547" t="s">
        <v>331</v>
      </c>
      <c r="X21" s="547" t="s">
        <v>327</v>
      </c>
      <c r="Y21" s="188" t="s">
        <v>260</v>
      </c>
      <c r="Z21" s="15">
        <v>0</v>
      </c>
      <c r="AA21" s="180">
        <v>0</v>
      </c>
      <c r="AB21" s="550" t="s">
        <v>314</v>
      </c>
      <c r="AC21" s="544" t="str">
        <f>""</f>
        <v/>
      </c>
      <c r="AD21" s="181">
        <v>0</v>
      </c>
      <c r="AE21" s="181" t="s">
        <v>264</v>
      </c>
      <c r="AF21" s="181" t="s">
        <v>265</v>
      </c>
      <c r="AG21" s="181">
        <v>1</v>
      </c>
      <c r="AH21" s="181">
        <v>7</v>
      </c>
      <c r="AI21" s="181">
        <v>0</v>
      </c>
      <c r="AJ21" s="181">
        <f>VLOOKUP($I21,'Price List, Weapons &amp; Items'!B:F,5,0)</f>
        <v>1</v>
      </c>
      <c r="AK21" s="181">
        <f t="shared" si="8"/>
        <v>0</v>
      </c>
      <c r="AL21" s="181">
        <f t="shared" si="9"/>
        <v>0</v>
      </c>
      <c r="AM21" s="181">
        <f t="shared" si="10"/>
        <v>0</v>
      </c>
      <c r="AN21" s="180" t="str">
        <f>VLOOKUP($I21,'Price List, Weapons &amp; Items'!B:L,COLUMN('Price List, Weapons &amp; Items'!$J$11)-1,0)</f>
        <v>Military media (incl. websites)</v>
      </c>
      <c r="AO21" s="180" t="str">
        <f>IF(I21=".",".",VLOOKUP($I21,'Price List, Weapons &amp; Items'!B:J,3,0))</f>
        <v>Armoured Personnel Carrier (APC)</v>
      </c>
      <c r="AP21" s="545" t="str">
        <f t="shared" ca="1" si="11"/>
        <v/>
      </c>
      <c r="AQ21" s="180">
        <f>VLOOKUP($I21,'Price List, Weapons &amp; Items'!B:L,COLUMN('Price List, Weapons &amp; Items'!$L$11)-1,0)</f>
        <v>2</v>
      </c>
      <c r="AR21" s="180">
        <f t="shared" si="12"/>
        <v>1</v>
      </c>
      <c r="AS21" s="180">
        <f t="shared" si="13"/>
        <v>1</v>
      </c>
      <c r="AT21" s="180">
        <f t="shared" si="5"/>
        <v>1</v>
      </c>
      <c r="AU21" s="180" t="str">
        <f t="shared" si="14"/>
        <v>.</v>
      </c>
      <c r="AV21" s="180" t="str">
        <f t="shared" si="15"/>
        <v>.</v>
      </c>
      <c r="AW21" s="180">
        <f>IFERROR(VLOOKUP(B21,'Share, Heavy Weapons to Ukraine'!B:J,COLUMN('Share, Heavy Weapons to Ukraine'!C31)-1,0),0)</f>
        <v>0</v>
      </c>
      <c r="AX21" s="180">
        <f>VLOOKUP('Bilateral Assistance, MAIN DATA'!B21,'Country Summary'!B:F,COLUMN('Country Summary'!C32)-1,FALSE)</f>
        <v>0</v>
      </c>
      <c r="AY21" s="180" t="str">
        <f>IF(AND(AD21=1,D21="Military",H21&lt;&gt;"Not given")=TRUE,IF(SUMIFS(P:P,A:A,A21)&gt;0,ABS((SUMIFS(P:P,A:A,A21)/VLOOKUP("USD",'Exchange Rates'!B:C,2,0)))/S21,"."),".")</f>
        <v>.</v>
      </c>
      <c r="AZ21" s="182" t="str">
        <f>IF(AND(AD21=1,D21="Military",H21&lt;&gt;"Not given")=TRUE,IF(SUMIFS(P:P,A:A,A21)&gt;0,IF((ABS((SUMIFS(P:P,A:A,A21)/VLOOKUP("USD",'Exchange Rates'!B:C,2,0)))/S21)&gt;1,(SUMIFS(P:P,A:A,A21)-S21)/S21,(S21-SUMIFS(P:P,A:A,A21))/SUMIFS(P:P,A:A,A21)),"."),".")</f>
        <v>.</v>
      </c>
    </row>
    <row r="22" spans="1:52" ht="15.9" customHeight="1" x14ac:dyDescent="0.3">
      <c r="A22" s="5" t="s">
        <v>328</v>
      </c>
      <c r="B22" s="5" t="s">
        <v>255</v>
      </c>
      <c r="C22" s="174">
        <v>44746</v>
      </c>
      <c r="D22" s="5" t="s">
        <v>285</v>
      </c>
      <c r="E22" s="5" t="s">
        <v>286</v>
      </c>
      <c r="F22" s="175" t="s">
        <v>329</v>
      </c>
      <c r="G22" s="15" t="s">
        <v>259</v>
      </c>
      <c r="H22" s="176">
        <v>79500000</v>
      </c>
      <c r="I22" s="17" t="s">
        <v>333</v>
      </c>
      <c r="J22" s="113" t="str">
        <f>VLOOKUP($I22,'Price List, Weapons &amp; Items'!B:C,2,0)</f>
        <v>Military equipment</v>
      </c>
      <c r="K22" s="113" t="str">
        <f>IF(I22=".",I22,VLOOKUP($I22,'Price List, Weapons &amp; Items'!B:D,3,0))</f>
        <v>Military equipment</v>
      </c>
      <c r="L22" s="177">
        <f>VLOOKUP(I22,'Price List, Weapons &amp; Items'!B:E,4,0)</f>
        <v>0</v>
      </c>
      <c r="M22" s="542" t="s">
        <v>270</v>
      </c>
      <c r="N22" s="542" t="s">
        <v>270</v>
      </c>
      <c r="O22" s="543" t="str">
        <f>VLOOKUP($I22,'Price List, Weapons &amp; Items'!B:G,6,0)</f>
        <v>.</v>
      </c>
      <c r="P22" s="176" t="str">
        <f t="shared" si="6"/>
        <v>.</v>
      </c>
      <c r="Q22" s="176" t="str">
        <f t="shared" si="7"/>
        <v>.</v>
      </c>
      <c r="R22" s="176" t="str">
        <f t="shared" si="2"/>
        <v/>
      </c>
      <c r="S22" s="176" t="str">
        <f>IF(AND(AD22=1,R22&lt;&gt;".")=TRUE,R22/VLOOKUP(G22,'Exchange Rates'!B:C,2,0),IF(R22=".",".",""))</f>
        <v/>
      </c>
      <c r="T22" s="176" t="str">
        <f>IF(AD22=1,IF(AF22="Value is not given at all",".",IF(AF22="Value is given by the source",S22,IF(AF22="Value is calculated with prices",(IF(SUMIFS(Q:Q,A:A,A22)&gt;0,SUMIFS(Q:Q,A:A,A22),"."))/VLOOKUP("USD",'Exchange Rates'!B:C,2,0),"Error with coding"))),"")</f>
        <v/>
      </c>
      <c r="U22" s="15" t="s">
        <v>261</v>
      </c>
      <c r="V22" s="547" t="s">
        <v>330</v>
      </c>
      <c r="W22" s="547" t="s">
        <v>331</v>
      </c>
      <c r="X22" s="547" t="s">
        <v>327</v>
      </c>
      <c r="Y22" s="188" t="s">
        <v>260</v>
      </c>
      <c r="Z22" s="15">
        <v>0</v>
      </c>
      <c r="AA22" s="180">
        <v>0</v>
      </c>
      <c r="AB22" s="550" t="s">
        <v>314</v>
      </c>
      <c r="AC22" s="544" t="str">
        <f>""</f>
        <v/>
      </c>
      <c r="AD22" s="181">
        <v>0</v>
      </c>
      <c r="AE22" s="181" t="s">
        <v>264</v>
      </c>
      <c r="AF22" s="181" t="s">
        <v>265</v>
      </c>
      <c r="AG22" s="181">
        <v>1</v>
      </c>
      <c r="AH22" s="181">
        <v>7</v>
      </c>
      <c r="AI22" s="181">
        <v>0</v>
      </c>
      <c r="AJ22" s="181">
        <f>VLOOKUP($I22,'Price List, Weapons &amp; Items'!B:F,5,0)</f>
        <v>0</v>
      </c>
      <c r="AK22" s="181">
        <f t="shared" si="8"/>
        <v>0</v>
      </c>
      <c r="AL22" s="181">
        <f t="shared" si="9"/>
        <v>0</v>
      </c>
      <c r="AM22" s="181">
        <f t="shared" si="10"/>
        <v>0</v>
      </c>
      <c r="AN22" s="180" t="str">
        <f>VLOOKUP($I22,'Price List, Weapons &amp; Items'!B:L,COLUMN('Price List, Weapons &amp; Items'!$J$11)-1,0)</f>
        <v>.</v>
      </c>
      <c r="AO22" s="180" t="str">
        <f>IF(I22=".",".",VLOOKUP($I22,'Price List, Weapons &amp; Items'!B:J,3,0))</f>
        <v>Military equipment</v>
      </c>
      <c r="AP22" s="545" t="str">
        <f t="shared" ca="1" si="11"/>
        <v/>
      </c>
      <c r="AQ22" s="180" t="str">
        <f>VLOOKUP($I22,'Price List, Weapons &amp; Items'!B:L,COLUMN('Price List, Weapons &amp; Items'!$L$11)-1,0)</f>
        <v>no price, 0 count</v>
      </c>
      <c r="AR22" s="180">
        <f t="shared" si="12"/>
        <v>1</v>
      </c>
      <c r="AS22" s="180">
        <f t="shared" si="13"/>
        <v>1</v>
      </c>
      <c r="AT22" s="180">
        <f t="shared" si="5"/>
        <v>1</v>
      </c>
      <c r="AU22" s="180" t="str">
        <f t="shared" si="14"/>
        <v>.</v>
      </c>
      <c r="AV22" s="180" t="str">
        <f t="shared" si="15"/>
        <v>.</v>
      </c>
      <c r="AW22" s="180">
        <f>IFERROR(VLOOKUP(B22,'Share, Heavy Weapons to Ukraine'!B:J,COLUMN('Share, Heavy Weapons to Ukraine'!C32)-1,0),0)</f>
        <v>0</v>
      </c>
      <c r="AX22" s="180">
        <f>VLOOKUP('Bilateral Assistance, MAIN DATA'!B22,'Country Summary'!B:F,COLUMN('Country Summary'!C33)-1,FALSE)</f>
        <v>0</v>
      </c>
      <c r="AY22" s="180" t="str">
        <f>IF(AND(AD22=1,D22="Military",H22&lt;&gt;"Not given")=TRUE,IF(SUMIFS(P:P,A:A,A22)&gt;0,ABS((SUMIFS(P:P,A:A,A22)/VLOOKUP("USD",'Exchange Rates'!B:C,2,0)))/S22,"."),".")</f>
        <v>.</v>
      </c>
      <c r="AZ22" s="182" t="str">
        <f>IF(AND(AD22=1,D22="Military",H22&lt;&gt;"Not given")=TRUE,IF(SUMIFS(P:P,A:A,A22)&gt;0,IF((ABS((SUMIFS(P:P,A:A,A22)/VLOOKUP("USD",'Exchange Rates'!B:C,2,0)))/S22)&gt;1,(SUMIFS(P:P,A:A,A22)-S22)/S22,(S22-SUMIFS(P:P,A:A,A22))/SUMIFS(P:P,A:A,A22)),"."),".")</f>
        <v>.</v>
      </c>
    </row>
    <row r="23" spans="1:52" ht="15.9" customHeight="1" x14ac:dyDescent="0.3">
      <c r="A23" s="5" t="s">
        <v>328</v>
      </c>
      <c r="B23" s="5" t="s">
        <v>255</v>
      </c>
      <c r="C23" s="174">
        <v>44746</v>
      </c>
      <c r="D23" s="5" t="s">
        <v>285</v>
      </c>
      <c r="E23" s="5" t="s">
        <v>286</v>
      </c>
      <c r="F23" s="175" t="s">
        <v>329</v>
      </c>
      <c r="G23" s="15" t="s">
        <v>259</v>
      </c>
      <c r="H23" s="176">
        <v>79500000</v>
      </c>
      <c r="I23" s="17" t="s">
        <v>334</v>
      </c>
      <c r="J23" s="113" t="str">
        <f>VLOOKUP($I23,'Price List, Weapons &amp; Items'!B:C,2,0)</f>
        <v>Military equipment</v>
      </c>
      <c r="K23" s="113" t="str">
        <f>IF(I23=".",I23,VLOOKUP($I23,'Price List, Weapons &amp; Items'!B:D,3,0))</f>
        <v>Military equipment</v>
      </c>
      <c r="L23" s="177">
        <f>VLOOKUP(I23,'Price List, Weapons &amp; Items'!B:E,4,0)</f>
        <v>0</v>
      </c>
      <c r="M23" s="542" t="s">
        <v>270</v>
      </c>
      <c r="N23" s="542" t="s">
        <v>270</v>
      </c>
      <c r="O23" s="543" t="str">
        <f>VLOOKUP($I23,'Price List, Weapons &amp; Items'!B:G,6,0)</f>
        <v>.</v>
      </c>
      <c r="P23" s="176" t="str">
        <f t="shared" si="6"/>
        <v>.</v>
      </c>
      <c r="Q23" s="176" t="str">
        <f t="shared" si="7"/>
        <v>.</v>
      </c>
      <c r="R23" s="176" t="str">
        <f t="shared" si="2"/>
        <v/>
      </c>
      <c r="S23" s="176" t="str">
        <f>IF(AND(AD23=1,R23&lt;&gt;".")=TRUE,R23/VLOOKUP(G23,'Exchange Rates'!B:C,2,0),IF(R23=".",".",""))</f>
        <v/>
      </c>
      <c r="T23" s="176" t="str">
        <f>IF(AD23=1,IF(AF23="Value is not given at all",".",IF(AF23="Value is given by the source",S23,IF(AF23="Value is calculated with prices",(IF(SUMIFS(Q:Q,A:A,A23)&gt;0,SUMIFS(Q:Q,A:A,A23),"."))/VLOOKUP("USD",'Exchange Rates'!B:C,2,0),"Error with coding"))),"")</f>
        <v/>
      </c>
      <c r="U23" s="15" t="s">
        <v>261</v>
      </c>
      <c r="V23" s="547" t="s">
        <v>330</v>
      </c>
      <c r="W23" s="547" t="s">
        <v>331</v>
      </c>
      <c r="X23" s="547" t="s">
        <v>327</v>
      </c>
      <c r="Y23" s="188" t="s">
        <v>260</v>
      </c>
      <c r="Z23" s="15">
        <v>0</v>
      </c>
      <c r="AA23" s="180">
        <v>0</v>
      </c>
      <c r="AB23" s="550" t="s">
        <v>314</v>
      </c>
      <c r="AC23" s="544" t="str">
        <f>""</f>
        <v/>
      </c>
      <c r="AD23" s="181">
        <v>0</v>
      </c>
      <c r="AE23" s="181" t="s">
        <v>264</v>
      </c>
      <c r="AF23" s="181" t="s">
        <v>265</v>
      </c>
      <c r="AG23" s="181">
        <v>1</v>
      </c>
      <c r="AH23" s="181">
        <v>7</v>
      </c>
      <c r="AI23" s="181">
        <v>0</v>
      </c>
      <c r="AJ23" s="181">
        <f>VLOOKUP($I23,'Price List, Weapons &amp; Items'!B:F,5,0)</f>
        <v>0</v>
      </c>
      <c r="AK23" s="181">
        <f t="shared" si="8"/>
        <v>0</v>
      </c>
      <c r="AL23" s="181">
        <f t="shared" si="9"/>
        <v>0</v>
      </c>
      <c r="AM23" s="181">
        <f t="shared" si="10"/>
        <v>0</v>
      </c>
      <c r="AN23" s="180" t="str">
        <f>VLOOKUP($I23,'Price List, Weapons &amp; Items'!B:L,COLUMN('Price List, Weapons &amp; Items'!$J$11)-1,0)</f>
        <v>.</v>
      </c>
      <c r="AO23" s="180" t="str">
        <f>IF(I23=".",".",VLOOKUP($I23,'Price List, Weapons &amp; Items'!B:J,3,0))</f>
        <v>Military equipment</v>
      </c>
      <c r="AP23" s="545" t="str">
        <f t="shared" ca="1" si="11"/>
        <v/>
      </c>
      <c r="AQ23" s="180" t="str">
        <f>VLOOKUP($I23,'Price List, Weapons &amp; Items'!B:L,COLUMN('Price List, Weapons &amp; Items'!$L$11)-1,0)</f>
        <v>no price, 0 count</v>
      </c>
      <c r="AR23" s="180">
        <f t="shared" si="12"/>
        <v>1</v>
      </c>
      <c r="AS23" s="180">
        <f t="shared" si="13"/>
        <v>1</v>
      </c>
      <c r="AT23" s="180">
        <f t="shared" si="5"/>
        <v>1</v>
      </c>
      <c r="AU23" s="180" t="str">
        <f t="shared" si="14"/>
        <v>.</v>
      </c>
      <c r="AV23" s="180" t="str">
        <f t="shared" si="15"/>
        <v>.</v>
      </c>
      <c r="AW23" s="180">
        <f>IFERROR(VLOOKUP(B23,'Share, Heavy Weapons to Ukraine'!B:J,COLUMN('Share, Heavy Weapons to Ukraine'!C33)-1,0),0)</f>
        <v>0</v>
      </c>
      <c r="AX23" s="180">
        <f>VLOOKUP('Bilateral Assistance, MAIN DATA'!B23,'Country Summary'!B:F,COLUMN('Country Summary'!C34)-1,FALSE)</f>
        <v>0</v>
      </c>
      <c r="AY23" s="180" t="str">
        <f>IF(AND(AD23=1,D23="Military",H23&lt;&gt;"Not given")=TRUE,IF(SUMIFS(P:P,A:A,A23)&gt;0,ABS((SUMIFS(P:P,A:A,A23)/VLOOKUP("USD",'Exchange Rates'!B:C,2,0)))/S23,"."),".")</f>
        <v>.</v>
      </c>
      <c r="AZ23" s="182" t="str">
        <f>IF(AND(AD23=1,D23="Military",H23&lt;&gt;"Not given")=TRUE,IF(SUMIFS(P:P,A:A,A23)&gt;0,IF((ABS((SUMIFS(P:P,A:A,A23)/VLOOKUP("USD",'Exchange Rates'!B:C,2,0)))/S23)&gt;1,(SUMIFS(P:P,A:A,A23)-S23)/S23,(S23-SUMIFS(P:P,A:A,A23))/SUMIFS(P:P,A:A,A23)),"."),".")</f>
        <v>.</v>
      </c>
    </row>
    <row r="24" spans="1:52" ht="15.9" customHeight="1" x14ac:dyDescent="0.3">
      <c r="A24" s="17" t="s">
        <v>335</v>
      </c>
      <c r="B24" s="17" t="s">
        <v>255</v>
      </c>
      <c r="C24" s="174">
        <v>44746</v>
      </c>
      <c r="D24" s="5" t="s">
        <v>285</v>
      </c>
      <c r="E24" s="5" t="s">
        <v>257</v>
      </c>
      <c r="F24" s="175" t="s">
        <v>336</v>
      </c>
      <c r="G24" s="15" t="s">
        <v>259</v>
      </c>
      <c r="H24" s="176">
        <v>8700000</v>
      </c>
      <c r="I24" s="17" t="s">
        <v>260</v>
      </c>
      <c r="J24" s="113" t="str">
        <f>VLOOKUP($I24,'Price List, Weapons &amp; Items'!B:C,2,0)</f>
        <v>.</v>
      </c>
      <c r="K24" s="113" t="str">
        <f>IF(I24=".",I24,VLOOKUP($I24,'Price List, Weapons &amp; Items'!B:D,3,0))</f>
        <v>.</v>
      </c>
      <c r="L24" s="177">
        <f>VLOOKUP(I24,'Price List, Weapons &amp; Items'!B:E,4,0)</f>
        <v>0</v>
      </c>
      <c r="M24" s="542" t="s">
        <v>260</v>
      </c>
      <c r="N24" s="542" t="s">
        <v>260</v>
      </c>
      <c r="O24" s="543" t="str">
        <f>VLOOKUP($I24,'Price List, Weapons &amp; Items'!B:G,6,0)</f>
        <v>.</v>
      </c>
      <c r="P24" s="176" t="str">
        <f t="shared" si="6"/>
        <v>.</v>
      </c>
      <c r="Q24" s="176" t="str">
        <f t="shared" si="7"/>
        <v>.</v>
      </c>
      <c r="R24" s="176">
        <f t="shared" si="2"/>
        <v>8700000</v>
      </c>
      <c r="S24" s="176">
        <f>IF(AND(AD24=1,R24&lt;&gt;".")=TRUE,R24/VLOOKUP(G24,'Exchange Rates'!B:C,2,0),IF(R24=".",".",""))</f>
        <v>5632526.2203806816</v>
      </c>
      <c r="T24" s="176" t="str">
        <f>IF(AD24=1,IF(AF24="Value is not given at all",".",IF(AF24="Value is given by the source",S24,IF(AF24="Value is calculated with prices",(IF(SUMIFS(Q:Q,A:A,A24)&gt;0,SUMIFS(Q:Q,A:A,A24),"."))/VLOOKUP("USD",'Exchange Rates'!B:C,2,0),"Error with coding"))),"")</f>
        <v>.</v>
      </c>
      <c r="U24" s="15" t="s">
        <v>261</v>
      </c>
      <c r="V24" s="300" t="s">
        <v>330</v>
      </c>
      <c r="W24" s="300" t="s">
        <v>331</v>
      </c>
      <c r="X24" s="300" t="s">
        <v>327</v>
      </c>
      <c r="Y24" s="546" t="s">
        <v>274</v>
      </c>
      <c r="Z24" s="15">
        <v>0</v>
      </c>
      <c r="AA24" s="180">
        <v>0</v>
      </c>
      <c r="AB24" s="550" t="s">
        <v>314</v>
      </c>
      <c r="AC24" s="544" t="str">
        <f>""</f>
        <v/>
      </c>
      <c r="AD24" s="181">
        <v>1</v>
      </c>
      <c r="AE24" s="181" t="s">
        <v>264</v>
      </c>
      <c r="AF24" s="181" t="s">
        <v>265</v>
      </c>
      <c r="AG24" s="181">
        <v>1</v>
      </c>
      <c r="AH24" s="181">
        <v>7</v>
      </c>
      <c r="AI24" s="181">
        <v>0</v>
      </c>
      <c r="AJ24" s="181">
        <f>VLOOKUP($I24,'Price List, Weapons &amp; Items'!B:F,5,0)</f>
        <v>0</v>
      </c>
      <c r="AK24" s="181">
        <f t="shared" si="8"/>
        <v>0</v>
      </c>
      <c r="AL24" s="181">
        <f t="shared" si="9"/>
        <v>0</v>
      </c>
      <c r="AM24" s="181">
        <f t="shared" si="10"/>
        <v>0</v>
      </c>
      <c r="AN24" s="180" t="str">
        <f>VLOOKUP($I24,'Price List, Weapons &amp; Items'!B:L,COLUMN('Price List, Weapons &amp; Items'!$J$11)-1,0)</f>
        <v>.</v>
      </c>
      <c r="AO24" s="180" t="str">
        <f>IF(I24=".",".",VLOOKUP($I24,'Price List, Weapons &amp; Items'!B:J,3,0))</f>
        <v>.</v>
      </c>
      <c r="AP24" s="545" t="e">
        <f t="shared" ca="1" si="11"/>
        <v>#NAME?</v>
      </c>
      <c r="AQ24" s="180" t="str">
        <f>VLOOKUP($I24,'Price List, Weapons &amp; Items'!B:L,COLUMN('Price List, Weapons &amp; Items'!$L$11)-1,0)</f>
        <v>no price, 0 count</v>
      </c>
      <c r="AR24" s="180">
        <f t="shared" si="12"/>
        <v>1</v>
      </c>
      <c r="AS24" s="180">
        <f t="shared" si="13"/>
        <v>0</v>
      </c>
      <c r="AT24" s="180">
        <f t="shared" si="5"/>
        <v>1</v>
      </c>
      <c r="AU24" s="180" t="str">
        <f t="shared" si="14"/>
        <v>.</v>
      </c>
      <c r="AV24" s="180" t="str">
        <f t="shared" si="15"/>
        <v>.</v>
      </c>
      <c r="AW24" s="180">
        <f>IFERROR(VLOOKUP(B24,'Share, Heavy Weapons to Ukraine'!B:J,COLUMN('Share, Heavy Weapons to Ukraine'!C34)-1,0),0)</f>
        <v>0</v>
      </c>
      <c r="AX24" s="180">
        <f>VLOOKUP('Bilateral Assistance, MAIN DATA'!B24,'Country Summary'!B:F,COLUMN('Country Summary'!C35)-1,FALSE)</f>
        <v>0</v>
      </c>
      <c r="AY24" s="180" t="str">
        <f>IF(AND(AD24=1,D24="Military",H24&lt;&gt;"Not given")=TRUE,IF(SUMIFS(P:P,A:A,A24)&gt;0,ABS((SUMIFS(P:P,A:A,A24)/VLOOKUP("USD",'Exchange Rates'!B:C,2,0)))/S24,"."),".")</f>
        <v>.</v>
      </c>
      <c r="AZ24" s="182" t="str">
        <f>IF(AND(AD24=1,D24="Military",H24&lt;&gt;"Not given")=TRUE,IF(SUMIFS(P:P,A:A,A24)&gt;0,IF((ABS((SUMIFS(P:P,A:A,A24)/VLOOKUP("USD",'Exchange Rates'!B:C,2,0)))/S24)&gt;1,(SUMIFS(P:P,A:A,A24)-S24)/S24,(S24-SUMIFS(P:P,A:A,A24))/SUMIFS(P:P,A:A,A24)),"."),".")</f>
        <v>.</v>
      </c>
    </row>
    <row r="25" spans="1:52" ht="15.9" customHeight="1" x14ac:dyDescent="0.3">
      <c r="A25" s="17" t="s">
        <v>337</v>
      </c>
      <c r="B25" s="17" t="s">
        <v>255</v>
      </c>
      <c r="C25" s="174">
        <v>44859</v>
      </c>
      <c r="D25" s="5" t="s">
        <v>285</v>
      </c>
      <c r="E25" s="5" t="s">
        <v>286</v>
      </c>
      <c r="F25" s="175" t="s">
        <v>338</v>
      </c>
      <c r="G25" s="15" t="s">
        <v>259</v>
      </c>
      <c r="H25" s="176">
        <v>186000000</v>
      </c>
      <c r="I25" s="17" t="s">
        <v>260</v>
      </c>
      <c r="J25" s="113" t="str">
        <f>VLOOKUP($I25,'Price List, Weapons &amp; Items'!B:C,2,0)</f>
        <v>.</v>
      </c>
      <c r="K25" s="113" t="str">
        <f>IF(I25=".",I25,VLOOKUP($I25,'Price List, Weapons &amp; Items'!B:D,3,0))</f>
        <v>.</v>
      </c>
      <c r="L25" s="177">
        <f>VLOOKUP(I25,'Price List, Weapons &amp; Items'!B:E,4,0)</f>
        <v>0</v>
      </c>
      <c r="M25" s="542" t="s">
        <v>260</v>
      </c>
      <c r="N25" s="542" t="s">
        <v>260</v>
      </c>
      <c r="O25" s="543" t="str">
        <f>VLOOKUP($I25,'Price List, Weapons &amp; Items'!B:G,6,0)</f>
        <v>.</v>
      </c>
      <c r="P25" s="176" t="str">
        <f t="shared" si="6"/>
        <v>.</v>
      </c>
      <c r="Q25" s="176" t="str">
        <f t="shared" si="7"/>
        <v>.</v>
      </c>
      <c r="R25" s="176">
        <f t="shared" si="2"/>
        <v>186000000</v>
      </c>
      <c r="S25" s="176">
        <f>IF(AND(AD25=1,R25&lt;&gt;".")=TRUE,R25/VLOOKUP(G25,'Exchange Rates'!B:C,2,0),IF(R25=".",".",""))</f>
        <v>120419526.09089732</v>
      </c>
      <c r="T25" s="176" t="str">
        <f>IF(AD25=1,IF(AF25="Value is not given at all",".",IF(AF25="Value is given by the source",S25,IF(AF25="Value is calculated with prices",(IF(SUMIFS(Q:Q,A:A,A25)&gt;0,SUMIFS(Q:Q,A:A,A25),"."))/VLOOKUP("USD",'Exchange Rates'!B:C,2,0),"Error with coding"))),"")</f>
        <v>.</v>
      </c>
      <c r="U25" s="15" t="s">
        <v>261</v>
      </c>
      <c r="V25" s="553" t="s">
        <v>282</v>
      </c>
      <c r="W25" s="553" t="s">
        <v>283</v>
      </c>
      <c r="Y25" s="175" t="s">
        <v>260</v>
      </c>
      <c r="Z25" s="15">
        <v>0</v>
      </c>
      <c r="AA25" s="180">
        <v>0</v>
      </c>
      <c r="AB25" s="184" t="s">
        <v>260</v>
      </c>
      <c r="AC25" s="544"/>
      <c r="AD25" s="180">
        <v>1</v>
      </c>
      <c r="AE25" s="181" t="s">
        <v>264</v>
      </c>
      <c r="AF25" s="181" t="s">
        <v>265</v>
      </c>
      <c r="AG25" s="180">
        <v>1</v>
      </c>
      <c r="AH25" s="180">
        <v>10</v>
      </c>
      <c r="AI25" s="180">
        <v>0</v>
      </c>
      <c r="AJ25" s="181">
        <f>VLOOKUP($I25,'Price List, Weapons &amp; Items'!B:F,5,0)</f>
        <v>0</v>
      </c>
      <c r="AK25" s="181">
        <f t="shared" si="8"/>
        <v>0</v>
      </c>
      <c r="AL25" s="181">
        <f t="shared" si="9"/>
        <v>0</v>
      </c>
      <c r="AM25" s="181">
        <f t="shared" si="10"/>
        <v>0</v>
      </c>
      <c r="AN25" s="180" t="str">
        <f>VLOOKUP($I25,'Price List, Weapons &amp; Items'!B:L,COLUMN('Price List, Weapons &amp; Items'!$J$11)-1,0)</f>
        <v>.</v>
      </c>
      <c r="AO25" s="180" t="str">
        <f>IF(I25=".",".",VLOOKUP($I25,'Price List, Weapons &amp; Items'!B:J,3,0))</f>
        <v>.</v>
      </c>
      <c r="AP25" s="545" t="e">
        <f t="shared" ca="1" si="11"/>
        <v>#NAME?</v>
      </c>
      <c r="AQ25" s="180" t="str">
        <f>VLOOKUP($I25,'Price List, Weapons &amp; Items'!B:L,COLUMN('Price List, Weapons &amp; Items'!$L$11)-1,0)</f>
        <v>no price, 0 count</v>
      </c>
      <c r="AR25" s="180">
        <f t="shared" si="12"/>
        <v>1</v>
      </c>
      <c r="AS25" s="180">
        <f t="shared" si="13"/>
        <v>1</v>
      </c>
      <c r="AT25" s="180">
        <f t="shared" si="5"/>
        <v>1</v>
      </c>
      <c r="AU25" s="180" t="str">
        <f t="shared" si="14"/>
        <v>.</v>
      </c>
      <c r="AV25" s="180" t="str">
        <f t="shared" si="15"/>
        <v>.</v>
      </c>
      <c r="AW25" s="180">
        <f>IFERROR(VLOOKUP(B25,'Share, Heavy Weapons to Ukraine'!B:J,COLUMN('Share, Heavy Weapons to Ukraine'!C35)-1,0),0)</f>
        <v>0</v>
      </c>
      <c r="AX25" s="180">
        <f>VLOOKUP('Bilateral Assistance, MAIN DATA'!B25,'Country Summary'!B:F,COLUMN('Country Summary'!C36)-1,FALSE)</f>
        <v>0</v>
      </c>
      <c r="AY25" s="180">
        <f>IF(AND(AD25=1,D25="Military",H25&lt;&gt;"Not given")=TRUE,IF(SUMIFS(P:P,A:A,A25)&gt;0,ABS((SUMIFS(P:P,A:A,A25)/VLOOKUP("USD",'Exchange Rates'!B:C,2,0)))/S25,"."),".")</f>
        <v>0.39148847926267277</v>
      </c>
      <c r="AZ25" s="182">
        <f>IF(AND(AD25=1,D25="Military",H25&lt;&gt;"Not given")=TRUE,IF(SUMIFS(P:P,A:A,A25)&gt;0,IF((ABS((SUMIFS(P:P,A:A,A25)/VLOOKUP("USD",'Exchange Rates'!B:C,2,0)))/S25)&gt;1,(SUMIFS(P:P,A:A,A25)-S25)/S25,(S25-SUMIFS(P:P,A:A,A25))/SUMIFS(P:P,A:A,A25)),"."),".")</f>
        <v>1.4327176988060064</v>
      </c>
    </row>
    <row r="26" spans="1:52" ht="15.9" customHeight="1" x14ac:dyDescent="0.3">
      <c r="A26" s="17" t="s">
        <v>337</v>
      </c>
      <c r="B26" s="17" t="s">
        <v>255</v>
      </c>
      <c r="C26" s="174">
        <v>44861</v>
      </c>
      <c r="D26" s="5" t="s">
        <v>285</v>
      </c>
      <c r="E26" s="5" t="s">
        <v>339</v>
      </c>
      <c r="F26" s="175" t="s">
        <v>340</v>
      </c>
      <c r="G26" s="15" t="s">
        <v>259</v>
      </c>
      <c r="H26" s="176" t="s">
        <v>341</v>
      </c>
      <c r="I26" s="17" t="s">
        <v>306</v>
      </c>
      <c r="J26" s="113" t="str">
        <f>VLOOKUP($I26,'Price List, Weapons &amp; Items'!B:C,2,0)</f>
        <v>Heavy weapon</v>
      </c>
      <c r="K26" s="113" t="str">
        <f>IF(I26=".",I26,VLOOKUP($I26,'Price List, Weapons &amp; Items'!B:D,3,0))</f>
        <v>Armoured Utility Vehicle (AUV)</v>
      </c>
      <c r="L26" s="177">
        <f>VLOOKUP(I26,'Price List, Weapons &amp; Items'!B:E,4,0)</f>
        <v>0</v>
      </c>
      <c r="M26" s="542">
        <v>30</v>
      </c>
      <c r="N26" s="542" t="s">
        <v>270</v>
      </c>
      <c r="O26" s="543">
        <f>VLOOKUP($I26,'Price List, Weapons &amp; Items'!B:G,6,0)</f>
        <v>1650000</v>
      </c>
      <c r="P26" s="176">
        <f t="shared" si="6"/>
        <v>49500000</v>
      </c>
      <c r="Q26" s="176" t="str">
        <f t="shared" si="7"/>
        <v>.</v>
      </c>
      <c r="R26" s="176" t="str">
        <f t="shared" si="2"/>
        <v/>
      </c>
      <c r="S26" s="176" t="str">
        <f>IF(AND(AD26=1,R26&lt;&gt;".")=TRUE,R26/VLOOKUP(G26,'Exchange Rates'!B:C,2,0),IF(R26=".",".",""))</f>
        <v/>
      </c>
      <c r="T26" s="176" t="str">
        <f>IF(AD26=1,IF(AF26="Value is not given at all",".",IF(AF26="Value is given by the source",S26,IF(AF26="Value is calculated with prices",(IF(SUMIFS(Q:Q,A:A,A26)&gt;0,SUMIFS(Q:Q,A:A,A26),"."))/VLOOKUP("USD",'Exchange Rates'!B:C,2,0),"Error with coding"))),"")</f>
        <v/>
      </c>
      <c r="U26" s="15" t="s">
        <v>261</v>
      </c>
      <c r="V26" s="305" t="s">
        <v>342</v>
      </c>
      <c r="W26" s="144" t="s">
        <v>260</v>
      </c>
      <c r="X26" s="144" t="s">
        <v>260</v>
      </c>
      <c r="Y26" s="668" t="s">
        <v>260</v>
      </c>
      <c r="Z26" s="15">
        <v>0</v>
      </c>
      <c r="AA26" s="180">
        <v>0</v>
      </c>
      <c r="AB26" s="669" t="s">
        <v>260</v>
      </c>
      <c r="AC26" s="544" t="str">
        <f>""</f>
        <v/>
      </c>
      <c r="AD26" s="181">
        <v>0</v>
      </c>
      <c r="AE26" s="181" t="s">
        <v>332</v>
      </c>
      <c r="AF26" s="181" t="s">
        <v>265</v>
      </c>
      <c r="AG26" s="181">
        <v>1</v>
      </c>
      <c r="AH26" s="181">
        <v>10</v>
      </c>
      <c r="AI26" s="181">
        <v>0</v>
      </c>
      <c r="AJ26" s="181">
        <f>VLOOKUP($I26,'Price List, Weapons &amp; Items'!B:F,5,0)</f>
        <v>1</v>
      </c>
      <c r="AK26" s="181">
        <f t="shared" si="8"/>
        <v>0</v>
      </c>
      <c r="AL26" s="181">
        <f t="shared" si="9"/>
        <v>1</v>
      </c>
      <c r="AM26" s="181">
        <f t="shared" si="10"/>
        <v>0</v>
      </c>
      <c r="AN26" s="180" t="str">
        <f>VLOOKUP($I26,'Price List, Weapons &amp; Items'!B:L,COLUMN('Price List, Weapons &amp; Items'!$J$11)-1,0)</f>
        <v>Miscellaneous</v>
      </c>
      <c r="AO26" s="180" t="str">
        <f>IF(I26=".",".",VLOOKUP($I26,'Price List, Weapons &amp; Items'!B:J,3,0))</f>
        <v>Armoured Utility Vehicle (AUV)</v>
      </c>
      <c r="AP26" s="545" t="str">
        <f t="shared" ca="1" si="11"/>
        <v/>
      </c>
      <c r="AQ26" s="180">
        <f>VLOOKUP($I26,'Price List, Weapons &amp; Items'!B:L,COLUMN('Price List, Weapons &amp; Items'!$L$11)-1,0)</f>
        <v>2</v>
      </c>
      <c r="AR26" s="180">
        <f t="shared" si="12"/>
        <v>1</v>
      </c>
      <c r="AS26" s="180">
        <f t="shared" si="13"/>
        <v>1</v>
      </c>
      <c r="AT26" s="180">
        <f t="shared" si="5"/>
        <v>1</v>
      </c>
      <c r="AU26" s="180" t="str">
        <f t="shared" si="14"/>
        <v>.</v>
      </c>
      <c r="AV26" s="180" t="str">
        <f t="shared" si="15"/>
        <v>.</v>
      </c>
      <c r="AW26" s="180">
        <f>IFERROR(VLOOKUP(B26,'Share, Heavy Weapons to Ukraine'!B:J,COLUMN('Share, Heavy Weapons to Ukraine'!C36)-1,0),0)</f>
        <v>0</v>
      </c>
      <c r="AX26" s="180">
        <f>VLOOKUP('Bilateral Assistance, MAIN DATA'!B26,'Country Summary'!B:F,COLUMN('Country Summary'!C37)-1,FALSE)</f>
        <v>0</v>
      </c>
      <c r="AY26" s="180" t="str">
        <f>IF(AND(AD26=1,D26="Military",H26&lt;&gt;"Not given")=TRUE,IF(SUMIFS(P:P,A:A,A26)&gt;0,ABS((SUMIFS(P:P,A:A,A26)/VLOOKUP("USD",'Exchange Rates'!B:C,2,0)))/S26,"."),".")</f>
        <v>.</v>
      </c>
      <c r="AZ26" s="182" t="str">
        <f>IF(AND(AD26=1,D26="Military",H26&lt;&gt;"Not given")=TRUE,IF(SUMIFS(P:P,A:A,A26)&gt;0,IF((ABS((SUMIFS(P:P,A:A,A26)/VLOOKUP("USD",'Exchange Rates'!B:C,2,0)))/S26)&gt;1,(SUMIFS(P:P,A:A,A26)-S26)/S26,(S26-SUMIFS(P:P,A:A,A26))/SUMIFS(P:P,A:A,A26)),"."),".")</f>
        <v>.</v>
      </c>
    </row>
    <row r="27" spans="1:52" s="520" customFormat="1" ht="15.9" customHeight="1" x14ac:dyDescent="0.3">
      <c r="A27" s="5" t="s">
        <v>343</v>
      </c>
      <c r="B27" s="5" t="s">
        <v>344</v>
      </c>
      <c r="C27" s="174">
        <v>44617</v>
      </c>
      <c r="D27" s="5" t="s">
        <v>256</v>
      </c>
      <c r="E27" s="5" t="s">
        <v>267</v>
      </c>
      <c r="F27" s="175" t="s">
        <v>345</v>
      </c>
      <c r="G27" s="15" t="s">
        <v>346</v>
      </c>
      <c r="H27" s="176" t="s">
        <v>341</v>
      </c>
      <c r="I27" s="17" t="s">
        <v>347</v>
      </c>
      <c r="J27" s="113" t="str">
        <f>VLOOKUP($I27,'Price List, Weapons &amp; Items'!B:C,2,0)</f>
        <v>Humanitarian</v>
      </c>
      <c r="K27" s="113" t="str">
        <f>IF(I27=".",I27,VLOOKUP($I27,'Price List, Weapons &amp; Items'!B:D,3,0))</f>
        <v>Humanitarian</v>
      </c>
      <c r="L27" s="177">
        <f>VLOOKUP(I27,'Price List, Weapons &amp; Items'!B:E,4,0)</f>
        <v>0</v>
      </c>
      <c r="M27" s="542">
        <v>50000</v>
      </c>
      <c r="N27" s="542" t="s">
        <v>270</v>
      </c>
      <c r="O27" s="543">
        <f>VLOOKUP($I27,'Price List, Weapons &amp; Items'!B:G,6,0)</f>
        <v>6.2309999999999999</v>
      </c>
      <c r="P27" s="176">
        <f t="shared" si="6"/>
        <v>311550</v>
      </c>
      <c r="Q27" s="176" t="str">
        <f t="shared" si="7"/>
        <v>.</v>
      </c>
      <c r="R27" s="176">
        <f t="shared" si="2"/>
        <v>1081150</v>
      </c>
      <c r="S27" s="176">
        <f>IF(AND(AD27=1,R27&lt;&gt;".")=TRUE,R27/VLOOKUP(G27,'Exchange Rates'!B:C,2,0),IF(R27=".",".",""))</f>
        <v>1029666.6666666666</v>
      </c>
      <c r="T27" s="176" t="str">
        <f>IF(AD27=1,IF(AF27="Value is not given at all",".",IF(AF27="Value is given by the source",S27,IF(AF27="Value is calculated with prices",(IF(SUMIFS(Q:Q,A:A,A27)&gt;0,SUMIFS(Q:Q,A:A,A27),"."))/VLOOKUP("USD",'Exchange Rates'!B:C,2,0),"Error with coding"))),"")</f>
        <v>.</v>
      </c>
      <c r="U27" s="15" t="s">
        <v>261</v>
      </c>
      <c r="V27" s="547" t="s">
        <v>348</v>
      </c>
      <c r="W27" s="188" t="s">
        <v>260</v>
      </c>
      <c r="X27" s="188" t="s">
        <v>260</v>
      </c>
      <c r="Y27" s="188" t="s">
        <v>260</v>
      </c>
      <c r="Z27" s="15">
        <v>0</v>
      </c>
      <c r="AA27" s="180">
        <v>0</v>
      </c>
      <c r="AB27" s="184" t="s">
        <v>260</v>
      </c>
      <c r="AC27" s="544" t="str">
        <f>""</f>
        <v/>
      </c>
      <c r="AD27" s="181">
        <v>1</v>
      </c>
      <c r="AE27" s="181" t="s">
        <v>332</v>
      </c>
      <c r="AF27" s="181" t="s">
        <v>265</v>
      </c>
      <c r="AG27" s="181">
        <v>1</v>
      </c>
      <c r="AH27" s="181">
        <v>2</v>
      </c>
      <c r="AI27" s="181">
        <v>0</v>
      </c>
      <c r="AJ27" s="181">
        <f>VLOOKUP($I27,'Price List, Weapons &amp; Items'!B:F,5,0)</f>
        <v>0</v>
      </c>
      <c r="AK27" s="181">
        <f t="shared" si="8"/>
        <v>0</v>
      </c>
      <c r="AL27" s="181">
        <f t="shared" si="9"/>
        <v>0</v>
      </c>
      <c r="AM27" s="181">
        <f t="shared" si="10"/>
        <v>0</v>
      </c>
      <c r="AN27" s="180" t="str">
        <f>VLOOKUP($I27,'Price List, Weapons &amp; Items'!B:L,COLUMN('Price List, Weapons &amp; Items'!$J$11)-1,0)</f>
        <v>Online marketplaces and stores</v>
      </c>
      <c r="AO27" s="180" t="str">
        <f>IF(I27=".",".",VLOOKUP($I27,'Price List, Weapons &amp; Items'!B:J,3,0))</f>
        <v>Humanitarian</v>
      </c>
      <c r="AP27" s="545" t="e">
        <f t="shared" ca="1" si="11"/>
        <v>#NAME?</v>
      </c>
      <c r="AQ27" s="180">
        <f>VLOOKUP($I27,'Price List, Weapons &amp; Items'!B:L,COLUMN('Price List, Weapons &amp; Items'!$L$11)-1,0)</f>
        <v>0</v>
      </c>
      <c r="AR27" s="180">
        <f t="shared" si="12"/>
        <v>1</v>
      </c>
      <c r="AS27" s="180">
        <f t="shared" si="13"/>
        <v>0</v>
      </c>
      <c r="AT27" s="180">
        <f t="shared" si="5"/>
        <v>1</v>
      </c>
      <c r="AU27" s="180" t="str">
        <f t="shared" si="14"/>
        <v>.</v>
      </c>
      <c r="AV27" s="180" t="str">
        <f t="shared" si="15"/>
        <v>.</v>
      </c>
      <c r="AW27" s="180">
        <f>IFERROR(VLOOKUP(B27,'Share, Heavy Weapons to Ukraine'!B:J,COLUMN('Share, Heavy Weapons to Ukraine'!C37)-1,0),0)</f>
        <v>0</v>
      </c>
      <c r="AX27" s="180">
        <f>VLOOKUP('Bilateral Assistance, MAIN DATA'!B27,'Country Summary'!B:F,COLUMN('Country Summary'!C38)-1,FALSE)</f>
        <v>1</v>
      </c>
      <c r="AY27" s="180" t="str">
        <f>IF(AND(AD27=1,D27="Military",H27&lt;&gt;"Not given")=TRUE,IF(SUMIFS(P:P,A:A,A27)&gt;0,ABS((SUMIFS(P:P,A:A,A27)/VLOOKUP("USD",'Exchange Rates'!B:C,2,0)))/S27,"."),".")</f>
        <v>.</v>
      </c>
      <c r="AZ27" s="182" t="str">
        <f>IF(AND(AD27=1,D27="Military",H27&lt;&gt;"Not given")=TRUE,IF(SUMIFS(P:P,A:A,A27)&gt;0,IF((ABS((SUMIFS(P:P,A:A,A27)/VLOOKUP("USD",'Exchange Rates'!B:C,2,0)))/S27)&gt;1,(SUMIFS(P:P,A:A,A27)-S27)/S27,(S27-SUMIFS(P:P,A:A,A27))/SUMIFS(P:P,A:A,A27)),"."),".")</f>
        <v>.</v>
      </c>
    </row>
    <row r="28" spans="1:52" s="520" customFormat="1" ht="15.9" customHeight="1" x14ac:dyDescent="0.3">
      <c r="A28" s="5" t="s">
        <v>343</v>
      </c>
      <c r="B28" s="5" t="s">
        <v>344</v>
      </c>
      <c r="C28" s="174">
        <v>44617</v>
      </c>
      <c r="D28" s="5" t="s">
        <v>256</v>
      </c>
      <c r="E28" s="5" t="s">
        <v>267</v>
      </c>
      <c r="F28" s="175" t="s">
        <v>345</v>
      </c>
      <c r="G28" s="15" t="s">
        <v>346</v>
      </c>
      <c r="H28" s="176" t="s">
        <v>341</v>
      </c>
      <c r="I28" s="17" t="s">
        <v>349</v>
      </c>
      <c r="J28" s="113" t="str">
        <f>VLOOKUP($I28,'Price List, Weapons &amp; Items'!B:C,2,0)</f>
        <v>Humanitarian</v>
      </c>
      <c r="K28" s="113" t="str">
        <f>IF(I28=".",I28,VLOOKUP($I28,'Price List, Weapons &amp; Items'!B:D,3,0))</f>
        <v>Humanitarian</v>
      </c>
      <c r="L28" s="177">
        <f>VLOOKUP(I28,'Price List, Weapons &amp; Items'!B:E,4,0)</f>
        <v>0</v>
      </c>
      <c r="M28" s="542">
        <v>9000</v>
      </c>
      <c r="N28" s="542" t="s">
        <v>270</v>
      </c>
      <c r="O28" s="543">
        <f>VLOOKUP($I28,'Price List, Weapons &amp; Items'!B:G,6,0)</f>
        <v>12</v>
      </c>
      <c r="P28" s="176">
        <f t="shared" si="6"/>
        <v>108000</v>
      </c>
      <c r="Q28" s="176" t="str">
        <f t="shared" si="7"/>
        <v>.</v>
      </c>
      <c r="R28" s="176" t="str">
        <f t="shared" si="2"/>
        <v/>
      </c>
      <c r="S28" s="176" t="str">
        <f>IF(AND(AD28=1,R28&lt;&gt;".")=TRUE,R28/VLOOKUP(G28,'Exchange Rates'!B:C,2,0),IF(R28=".",".",""))</f>
        <v/>
      </c>
      <c r="T28" s="176" t="str">
        <f>IF(AD28=1,IF(AF28="Value is not given at all",".",IF(AF28="Value is given by the source",S28,IF(AF28="Value is calculated with prices",(IF(SUMIFS(Q:Q,A:A,A28)&gt;0,SUMIFS(Q:Q,A:A,A28),"."))/VLOOKUP("USD",'Exchange Rates'!B:C,2,0),"Error with coding"))),"")</f>
        <v/>
      </c>
      <c r="U28" s="15" t="s">
        <v>261</v>
      </c>
      <c r="V28" s="547" t="s">
        <v>348</v>
      </c>
      <c r="W28" s="188" t="s">
        <v>260</v>
      </c>
      <c r="X28" s="188" t="s">
        <v>260</v>
      </c>
      <c r="Y28" s="188" t="s">
        <v>260</v>
      </c>
      <c r="Z28" s="15">
        <v>0</v>
      </c>
      <c r="AA28" s="180">
        <v>0</v>
      </c>
      <c r="AB28" s="184" t="s">
        <v>260</v>
      </c>
      <c r="AC28" s="544" t="str">
        <f>""</f>
        <v/>
      </c>
      <c r="AD28" s="181">
        <v>0</v>
      </c>
      <c r="AE28" s="181" t="s">
        <v>332</v>
      </c>
      <c r="AF28" s="181" t="s">
        <v>265</v>
      </c>
      <c r="AG28" s="181">
        <v>1</v>
      </c>
      <c r="AH28" s="181">
        <v>2</v>
      </c>
      <c r="AI28" s="181">
        <v>0</v>
      </c>
      <c r="AJ28" s="181">
        <f>VLOOKUP($I28,'Price List, Weapons &amp; Items'!B:F,5,0)</f>
        <v>0</v>
      </c>
      <c r="AK28" s="181">
        <f t="shared" si="8"/>
        <v>0</v>
      </c>
      <c r="AL28" s="181">
        <f t="shared" si="9"/>
        <v>0</v>
      </c>
      <c r="AM28" s="181">
        <f t="shared" si="10"/>
        <v>0</v>
      </c>
      <c r="AN28" s="180" t="str">
        <f>VLOOKUP($I28,'Price List, Weapons &amp; Items'!B:L,COLUMN('Price List, Weapons &amp; Items'!$J$11)-1,0)</f>
        <v>Online marketplaces and stores</v>
      </c>
      <c r="AO28" s="180" t="str">
        <f>IF(I28=".",".",VLOOKUP($I28,'Price List, Weapons &amp; Items'!B:J,3,0))</f>
        <v>Humanitarian</v>
      </c>
      <c r="AP28" s="545" t="str">
        <f t="shared" ca="1" si="11"/>
        <v/>
      </c>
      <c r="AQ28" s="180">
        <f>VLOOKUP($I28,'Price List, Weapons &amp; Items'!B:L,COLUMN('Price List, Weapons &amp; Items'!$L$11)-1,0)</f>
        <v>0</v>
      </c>
      <c r="AR28" s="180">
        <f t="shared" si="12"/>
        <v>1</v>
      </c>
      <c r="AS28" s="180">
        <f t="shared" si="13"/>
        <v>0</v>
      </c>
      <c r="AT28" s="180">
        <f t="shared" si="5"/>
        <v>1</v>
      </c>
      <c r="AU28" s="180" t="str">
        <f t="shared" si="14"/>
        <v>.</v>
      </c>
      <c r="AV28" s="180" t="str">
        <f t="shared" si="15"/>
        <v>.</v>
      </c>
      <c r="AW28" s="180">
        <f>IFERROR(VLOOKUP(B28,'Share, Heavy Weapons to Ukraine'!B:J,COLUMN('Share, Heavy Weapons to Ukraine'!C38)-1,0),0)</f>
        <v>0</v>
      </c>
      <c r="AX28" s="180">
        <f>VLOOKUP('Bilateral Assistance, MAIN DATA'!B28,'Country Summary'!B:F,COLUMN('Country Summary'!C39)-1,FALSE)</f>
        <v>1</v>
      </c>
      <c r="AY28" s="180" t="str">
        <f>IF(AND(AD28=1,D28="Military",H28&lt;&gt;"Not given")=TRUE,IF(SUMIFS(P:P,A:A,A28)&gt;0,ABS((SUMIFS(P:P,A:A,A28)/VLOOKUP("USD",'Exchange Rates'!B:C,2,0)))/S28,"."),".")</f>
        <v>.</v>
      </c>
      <c r="AZ28" s="182" t="str">
        <f>IF(AND(AD28=1,D28="Military",H28&lt;&gt;"Not given")=TRUE,IF(SUMIFS(P:P,A:A,A28)&gt;0,IF((ABS((SUMIFS(P:P,A:A,A28)/VLOOKUP("USD",'Exchange Rates'!B:C,2,0)))/S28)&gt;1,(SUMIFS(P:P,A:A,A28)-S28)/S28,(S28-SUMIFS(P:P,A:A,A28))/SUMIFS(P:P,A:A,A28)),"."),".")</f>
        <v>.</v>
      </c>
    </row>
    <row r="29" spans="1:52" s="520" customFormat="1" ht="15.9" customHeight="1" x14ac:dyDescent="0.3">
      <c r="A29" s="5" t="s">
        <v>343</v>
      </c>
      <c r="B29" s="5" t="s">
        <v>344</v>
      </c>
      <c r="C29" s="174">
        <v>44617</v>
      </c>
      <c r="D29" s="5" t="s">
        <v>256</v>
      </c>
      <c r="E29" s="5" t="s">
        <v>267</v>
      </c>
      <c r="F29" s="175" t="s">
        <v>345</v>
      </c>
      <c r="G29" s="15" t="s">
        <v>346</v>
      </c>
      <c r="H29" s="176" t="s">
        <v>341</v>
      </c>
      <c r="I29" s="17" t="s">
        <v>350</v>
      </c>
      <c r="J29" s="113" t="str">
        <f>VLOOKUP($I29,'Price List, Weapons &amp; Items'!B:C,2,0)</f>
        <v>Humanitarian</v>
      </c>
      <c r="K29" s="113" t="str">
        <f>IF(I29=".",I29,VLOOKUP($I29,'Price List, Weapons &amp; Items'!B:D,3,0))</f>
        <v>Humanitarian</v>
      </c>
      <c r="L29" s="177">
        <f>VLOOKUP(I29,'Price List, Weapons &amp; Items'!B:E,4,0)</f>
        <v>0</v>
      </c>
      <c r="M29" s="542">
        <v>50000</v>
      </c>
      <c r="N29" s="542" t="s">
        <v>270</v>
      </c>
      <c r="O29" s="543">
        <f>VLOOKUP($I29,'Price List, Weapons &amp; Items'!B:G,6,0)</f>
        <v>10</v>
      </c>
      <c r="P29" s="176">
        <f t="shared" si="6"/>
        <v>500000</v>
      </c>
      <c r="Q29" s="176" t="str">
        <f t="shared" si="7"/>
        <v>.</v>
      </c>
      <c r="R29" s="176" t="str">
        <f t="shared" si="2"/>
        <v/>
      </c>
      <c r="S29" s="176" t="str">
        <f>IF(AND(AD29=1,R29&lt;&gt;".")=TRUE,R29/VLOOKUP(G29,'Exchange Rates'!B:C,2,0),IF(R29=".",".",""))</f>
        <v/>
      </c>
      <c r="T29" s="176" t="str">
        <f>IF(AD29=1,IF(AF29="Value is not given at all",".",IF(AF29="Value is given by the source",S29,IF(AF29="Value is calculated with prices",(IF(SUMIFS(Q:Q,A:A,A29)&gt;0,SUMIFS(Q:Q,A:A,A29),"."))/VLOOKUP("USD",'Exchange Rates'!B:C,2,0),"Error with coding"))),"")</f>
        <v/>
      </c>
      <c r="U29" s="15" t="s">
        <v>261</v>
      </c>
      <c r="V29" s="547" t="s">
        <v>348</v>
      </c>
      <c r="W29" s="188" t="s">
        <v>260</v>
      </c>
      <c r="X29" s="188" t="s">
        <v>260</v>
      </c>
      <c r="Y29" s="188" t="s">
        <v>260</v>
      </c>
      <c r="Z29" s="15">
        <v>0</v>
      </c>
      <c r="AA29" s="180">
        <v>0</v>
      </c>
      <c r="AB29" s="184" t="s">
        <v>260</v>
      </c>
      <c r="AC29" s="544" t="str">
        <f>""</f>
        <v/>
      </c>
      <c r="AD29" s="181">
        <v>0</v>
      </c>
      <c r="AE29" s="181" t="s">
        <v>332</v>
      </c>
      <c r="AF29" s="181" t="s">
        <v>265</v>
      </c>
      <c r="AG29" s="181">
        <v>1</v>
      </c>
      <c r="AH29" s="181">
        <v>2</v>
      </c>
      <c r="AI29" s="181">
        <v>0</v>
      </c>
      <c r="AJ29" s="181">
        <f>VLOOKUP($I29,'Price List, Weapons &amp; Items'!B:F,5,0)</f>
        <v>0</v>
      </c>
      <c r="AK29" s="181">
        <f t="shared" si="8"/>
        <v>0</v>
      </c>
      <c r="AL29" s="181">
        <f t="shared" si="9"/>
        <v>0</v>
      </c>
      <c r="AM29" s="181">
        <f t="shared" si="10"/>
        <v>0</v>
      </c>
      <c r="AN29" s="180" t="str">
        <f>VLOOKUP($I29,'Price List, Weapons &amp; Items'!B:L,COLUMN('Price List, Weapons &amp; Items'!$J$11)-1,0)</f>
        <v>Online marketplaces and stores</v>
      </c>
      <c r="AO29" s="180" t="str">
        <f>IF(I29=".",".",VLOOKUP($I29,'Price List, Weapons &amp; Items'!B:J,3,0))</f>
        <v>Humanitarian</v>
      </c>
      <c r="AP29" s="545" t="str">
        <f t="shared" ca="1" si="11"/>
        <v/>
      </c>
      <c r="AQ29" s="180">
        <f>VLOOKUP($I29,'Price List, Weapons &amp; Items'!B:L,COLUMN('Price List, Weapons &amp; Items'!$L$11)-1,0)</f>
        <v>0</v>
      </c>
      <c r="AR29" s="180">
        <f t="shared" si="12"/>
        <v>1</v>
      </c>
      <c r="AS29" s="180">
        <f t="shared" si="13"/>
        <v>0</v>
      </c>
      <c r="AT29" s="180">
        <f t="shared" si="5"/>
        <v>1</v>
      </c>
      <c r="AU29" s="180" t="str">
        <f t="shared" si="14"/>
        <v>.</v>
      </c>
      <c r="AV29" s="180" t="str">
        <f t="shared" si="15"/>
        <v>.</v>
      </c>
      <c r="AW29" s="180">
        <f>IFERROR(VLOOKUP(B29,'Share, Heavy Weapons to Ukraine'!B:J,COLUMN('Share, Heavy Weapons to Ukraine'!C39)-1,0),0)</f>
        <v>0</v>
      </c>
      <c r="AX29" s="180">
        <f>VLOOKUP('Bilateral Assistance, MAIN DATA'!B29,'Country Summary'!B:F,COLUMN('Country Summary'!C40)-1,FALSE)</f>
        <v>1</v>
      </c>
      <c r="AY29" s="180" t="str">
        <f>IF(AND(AD29=1,D29="Military",H29&lt;&gt;"Not given")=TRUE,IF(SUMIFS(P:P,A:A,A29)&gt;0,ABS((SUMIFS(P:P,A:A,A29)/VLOOKUP("USD",'Exchange Rates'!B:C,2,0)))/S29,"."),".")</f>
        <v>.</v>
      </c>
      <c r="AZ29" s="182" t="str">
        <f>IF(AND(AD29=1,D29="Military",H29&lt;&gt;"Not given")=TRUE,IF(SUMIFS(P:P,A:A,A29)&gt;0,IF((ABS((SUMIFS(P:P,A:A,A29)/VLOOKUP("USD",'Exchange Rates'!B:C,2,0)))/S29)&gt;1,(SUMIFS(P:P,A:A,A29)-S29)/S29,(S29-SUMIFS(P:P,A:A,A29))/SUMIFS(P:P,A:A,A29)),"."),".")</f>
        <v>.</v>
      </c>
    </row>
    <row r="30" spans="1:52" s="520" customFormat="1" ht="15.9" customHeight="1" x14ac:dyDescent="0.3">
      <c r="A30" s="5" t="s">
        <v>343</v>
      </c>
      <c r="B30" s="5" t="s">
        <v>344</v>
      </c>
      <c r="C30" s="174">
        <v>44617</v>
      </c>
      <c r="D30" s="5" t="s">
        <v>256</v>
      </c>
      <c r="E30" s="5" t="s">
        <v>267</v>
      </c>
      <c r="F30" s="175" t="s">
        <v>345</v>
      </c>
      <c r="G30" s="15" t="s">
        <v>346</v>
      </c>
      <c r="H30" s="176" t="s">
        <v>341</v>
      </c>
      <c r="I30" s="17" t="s">
        <v>351</v>
      </c>
      <c r="J30" s="113" t="str">
        <f>VLOOKUP($I30,'Price List, Weapons &amp; Items'!B:C,2,0)</f>
        <v>Humanitarian</v>
      </c>
      <c r="K30" s="113" t="str">
        <f>IF(I30=".",I30,VLOOKUP($I30,'Price List, Weapons &amp; Items'!B:D,3,0))</f>
        <v>Humanitarian</v>
      </c>
      <c r="L30" s="177">
        <f>VLOOKUP(I30,'Price List, Weapons &amp; Items'!B:E,4,0)</f>
        <v>0</v>
      </c>
      <c r="M30" s="542">
        <v>50000</v>
      </c>
      <c r="N30" s="542" t="s">
        <v>270</v>
      </c>
      <c r="O30" s="543">
        <f>VLOOKUP($I30,'Price List, Weapons &amp; Items'!B:G,6,0)</f>
        <v>0.24</v>
      </c>
      <c r="P30" s="176">
        <f t="shared" si="6"/>
        <v>12000</v>
      </c>
      <c r="Q30" s="176" t="str">
        <f t="shared" si="7"/>
        <v>.</v>
      </c>
      <c r="R30" s="176" t="str">
        <f t="shared" si="2"/>
        <v/>
      </c>
      <c r="S30" s="176" t="str">
        <f>IF(AND(AD30=1,R30&lt;&gt;".")=TRUE,R30/VLOOKUP(G30,'Exchange Rates'!B:C,2,0),IF(R30=".",".",""))</f>
        <v/>
      </c>
      <c r="T30" s="176" t="str">
        <f>IF(AD30=1,IF(AF30="Value is not given at all",".",IF(AF30="Value is given by the source",S30,IF(AF30="Value is calculated with prices",(IF(SUMIFS(Q:Q,A:A,A30)&gt;0,SUMIFS(Q:Q,A:A,A30),"."))/VLOOKUP("USD",'Exchange Rates'!B:C,2,0),"Error with coding"))),"")</f>
        <v/>
      </c>
      <c r="U30" s="15" t="s">
        <v>261</v>
      </c>
      <c r="V30" s="547" t="s">
        <v>348</v>
      </c>
      <c r="W30" s="188" t="s">
        <v>260</v>
      </c>
      <c r="X30" s="188" t="s">
        <v>260</v>
      </c>
      <c r="Y30" s="188" t="s">
        <v>260</v>
      </c>
      <c r="Z30" s="15">
        <v>0</v>
      </c>
      <c r="AA30" s="180">
        <v>0</v>
      </c>
      <c r="AB30" s="184" t="s">
        <v>260</v>
      </c>
      <c r="AC30" s="544" t="str">
        <f>""</f>
        <v/>
      </c>
      <c r="AD30" s="181">
        <v>0</v>
      </c>
      <c r="AE30" s="181" t="s">
        <v>332</v>
      </c>
      <c r="AF30" s="181" t="s">
        <v>265</v>
      </c>
      <c r="AG30" s="181">
        <v>1</v>
      </c>
      <c r="AH30" s="181">
        <v>2</v>
      </c>
      <c r="AI30" s="181">
        <v>0</v>
      </c>
      <c r="AJ30" s="181">
        <f>VLOOKUP($I30,'Price List, Weapons &amp; Items'!B:F,5,0)</f>
        <v>0</v>
      </c>
      <c r="AK30" s="181">
        <f t="shared" si="8"/>
        <v>0</v>
      </c>
      <c r="AL30" s="181">
        <f t="shared" si="9"/>
        <v>0</v>
      </c>
      <c r="AM30" s="181">
        <f t="shared" si="10"/>
        <v>0</v>
      </c>
      <c r="AN30" s="180" t="str">
        <f>VLOOKUP($I30,'Price List, Weapons &amp; Items'!B:L,COLUMN('Price List, Weapons &amp; Items'!$J$11)-1,0)</f>
        <v>Online marketplaces and stores</v>
      </c>
      <c r="AO30" s="180" t="str">
        <f>IF(I30=".",".",VLOOKUP($I30,'Price List, Weapons &amp; Items'!B:J,3,0))</f>
        <v>Humanitarian</v>
      </c>
      <c r="AP30" s="545" t="str">
        <f t="shared" ca="1" si="11"/>
        <v/>
      </c>
      <c r="AQ30" s="180">
        <f>VLOOKUP($I30,'Price List, Weapons &amp; Items'!B:L,COLUMN('Price List, Weapons &amp; Items'!$L$11)-1,0)</f>
        <v>0</v>
      </c>
      <c r="AR30" s="180">
        <f t="shared" si="12"/>
        <v>1</v>
      </c>
      <c r="AS30" s="180">
        <f t="shared" si="13"/>
        <v>0</v>
      </c>
      <c r="AT30" s="180">
        <f t="shared" si="5"/>
        <v>1</v>
      </c>
      <c r="AU30" s="180" t="str">
        <f t="shared" si="14"/>
        <v>.</v>
      </c>
      <c r="AV30" s="180" t="str">
        <f t="shared" si="15"/>
        <v>.</v>
      </c>
      <c r="AW30" s="180">
        <f>IFERROR(VLOOKUP(B30,'Share, Heavy Weapons to Ukraine'!B:J,COLUMN('Share, Heavy Weapons to Ukraine'!C40)-1,0),0)</f>
        <v>0</v>
      </c>
      <c r="AX30" s="180">
        <f>VLOOKUP('Bilateral Assistance, MAIN DATA'!B30,'Country Summary'!B:F,COLUMN('Country Summary'!C41)-1,FALSE)</f>
        <v>1</v>
      </c>
      <c r="AY30" s="180" t="str">
        <f>IF(AND(AD30=1,D30="Military",H30&lt;&gt;"Not given")=TRUE,IF(SUMIFS(P:P,A:A,A30)&gt;0,ABS((SUMIFS(P:P,A:A,A30)/VLOOKUP("USD",'Exchange Rates'!B:C,2,0)))/S30,"."),".")</f>
        <v>.</v>
      </c>
      <c r="AZ30" s="182" t="str">
        <f>IF(AND(AD30=1,D30="Military",H30&lt;&gt;"Not given")=TRUE,IF(SUMIFS(P:P,A:A,A30)&gt;0,IF((ABS((SUMIFS(P:P,A:A,A30)/VLOOKUP("USD",'Exchange Rates'!B:C,2,0)))/S30)&gt;1,(SUMIFS(P:P,A:A,A30)-S30)/S30,(S30-SUMIFS(P:P,A:A,A30))/SUMIFS(P:P,A:A,A30)),"."),".")</f>
        <v>.</v>
      </c>
    </row>
    <row r="31" spans="1:52" s="520" customFormat="1" ht="15.9" customHeight="1" x14ac:dyDescent="0.3">
      <c r="A31" s="5" t="s">
        <v>343</v>
      </c>
      <c r="B31" s="5" t="s">
        <v>344</v>
      </c>
      <c r="C31" s="174">
        <v>44617</v>
      </c>
      <c r="D31" s="5" t="s">
        <v>256</v>
      </c>
      <c r="E31" s="5" t="s">
        <v>267</v>
      </c>
      <c r="F31" s="175" t="s">
        <v>345</v>
      </c>
      <c r="G31" s="15" t="s">
        <v>346</v>
      </c>
      <c r="H31" s="176" t="s">
        <v>341</v>
      </c>
      <c r="I31" s="17" t="s">
        <v>352</v>
      </c>
      <c r="J31" s="113" t="str">
        <f>VLOOKUP($I31,'Price List, Weapons &amp; Items'!B:C,2,0)</f>
        <v>Humanitarian</v>
      </c>
      <c r="K31" s="113" t="str">
        <f>IF(I31=".",I31,VLOOKUP($I31,'Price List, Weapons &amp; Items'!B:D,3,0))</f>
        <v>Humanitarian</v>
      </c>
      <c r="L31" s="177">
        <f>VLOOKUP(I31,'Price List, Weapons &amp; Items'!B:E,4,0)</f>
        <v>0</v>
      </c>
      <c r="M31" s="542">
        <v>20000</v>
      </c>
      <c r="N31" s="542" t="s">
        <v>270</v>
      </c>
      <c r="O31" s="543">
        <f>VLOOKUP($I31,'Price List, Weapons &amp; Items'!B:G,6,0)</f>
        <v>0.13</v>
      </c>
      <c r="P31" s="176">
        <f t="shared" si="6"/>
        <v>2600</v>
      </c>
      <c r="Q31" s="176" t="str">
        <f t="shared" si="7"/>
        <v>.</v>
      </c>
      <c r="R31" s="176" t="str">
        <f t="shared" si="2"/>
        <v/>
      </c>
      <c r="S31" s="176" t="str">
        <f>IF(AND(AD31=1,R31&lt;&gt;".")=TRUE,R31/VLOOKUP(G31,'Exchange Rates'!B:C,2,0),IF(R31=".",".",""))</f>
        <v/>
      </c>
      <c r="T31" s="176" t="str">
        <f>IF(AD31=1,IF(AF31="Value is not given at all",".",IF(AF31="Value is given by the source",S31,IF(AF31="Value is calculated with prices",(IF(SUMIFS(Q:Q,A:A,A31)&gt;0,SUMIFS(Q:Q,A:A,A31),"."))/VLOOKUP("USD",'Exchange Rates'!B:C,2,0),"Error with coding"))),"")</f>
        <v/>
      </c>
      <c r="U31" s="15" t="s">
        <v>261</v>
      </c>
      <c r="V31" s="547" t="s">
        <v>348</v>
      </c>
      <c r="W31" s="188" t="s">
        <v>260</v>
      </c>
      <c r="X31" s="188" t="s">
        <v>260</v>
      </c>
      <c r="Y31" s="188" t="s">
        <v>260</v>
      </c>
      <c r="Z31" s="15">
        <v>0</v>
      </c>
      <c r="AA31" s="180">
        <v>0</v>
      </c>
      <c r="AB31" s="184" t="s">
        <v>260</v>
      </c>
      <c r="AC31" s="544" t="str">
        <f>""</f>
        <v/>
      </c>
      <c r="AD31" s="181">
        <v>0</v>
      </c>
      <c r="AE31" s="181" t="s">
        <v>332</v>
      </c>
      <c r="AF31" s="181" t="s">
        <v>265</v>
      </c>
      <c r="AG31" s="181">
        <v>1</v>
      </c>
      <c r="AH31" s="181">
        <v>2</v>
      </c>
      <c r="AI31" s="181">
        <v>0</v>
      </c>
      <c r="AJ31" s="181">
        <f>VLOOKUP($I31,'Price List, Weapons &amp; Items'!B:F,5,0)</f>
        <v>0</v>
      </c>
      <c r="AK31" s="181">
        <f t="shared" si="8"/>
        <v>0</v>
      </c>
      <c r="AL31" s="181">
        <f t="shared" si="9"/>
        <v>0</v>
      </c>
      <c r="AM31" s="181">
        <f t="shared" si="10"/>
        <v>0</v>
      </c>
      <c r="AN31" s="180" t="str">
        <f>VLOOKUP($I31,'Price List, Weapons &amp; Items'!B:L,COLUMN('Price List, Weapons &amp; Items'!$J$11)-1,0)</f>
        <v>Online marketplaces and stores</v>
      </c>
      <c r="AO31" s="180" t="str">
        <f>IF(I31=".",".",VLOOKUP($I31,'Price List, Weapons &amp; Items'!B:J,3,0))</f>
        <v>Humanitarian</v>
      </c>
      <c r="AP31" s="545" t="str">
        <f t="shared" ca="1" si="11"/>
        <v/>
      </c>
      <c r="AQ31" s="180">
        <f>VLOOKUP($I31,'Price List, Weapons &amp; Items'!B:L,COLUMN('Price List, Weapons &amp; Items'!$L$11)-1,0)</f>
        <v>0</v>
      </c>
      <c r="AR31" s="180">
        <f t="shared" si="12"/>
        <v>1</v>
      </c>
      <c r="AS31" s="180">
        <f t="shared" si="13"/>
        <v>0</v>
      </c>
      <c r="AT31" s="180">
        <f t="shared" si="5"/>
        <v>1</v>
      </c>
      <c r="AU31" s="180" t="str">
        <f t="shared" si="14"/>
        <v>.</v>
      </c>
      <c r="AV31" s="180" t="str">
        <f t="shared" si="15"/>
        <v>.</v>
      </c>
      <c r="AW31" s="180">
        <f>IFERROR(VLOOKUP(B31,'Share, Heavy Weapons to Ukraine'!B:J,COLUMN('Share, Heavy Weapons to Ukraine'!C41)-1,0),0)</f>
        <v>0</v>
      </c>
      <c r="AX31" s="180">
        <f>VLOOKUP('Bilateral Assistance, MAIN DATA'!B31,'Country Summary'!B:F,COLUMN('Country Summary'!C42)-1,FALSE)</f>
        <v>1</v>
      </c>
      <c r="AY31" s="180" t="str">
        <f>IF(AND(AD31=1,D31="Military",H31&lt;&gt;"Not given")=TRUE,IF(SUMIFS(P:P,A:A,A31)&gt;0,ABS((SUMIFS(P:P,A:A,A31)/VLOOKUP("USD",'Exchange Rates'!B:C,2,0)))/S31,"."),".")</f>
        <v>.</v>
      </c>
      <c r="AZ31" s="182" t="str">
        <f>IF(AND(AD31=1,D31="Military",H31&lt;&gt;"Not given")=TRUE,IF(SUMIFS(P:P,A:A,A31)&gt;0,IF((ABS((SUMIFS(P:P,A:A,A31)/VLOOKUP("USD",'Exchange Rates'!B:C,2,0)))/S31)&gt;1,(SUMIFS(P:P,A:A,A31)-S31)/S31,(S31-SUMIFS(P:P,A:A,A31))/SUMIFS(P:P,A:A,A31)),"."),".")</f>
        <v>.</v>
      </c>
    </row>
    <row r="32" spans="1:52" s="520" customFormat="1" ht="15.9" customHeight="1" x14ac:dyDescent="0.3">
      <c r="A32" s="5" t="s">
        <v>343</v>
      </c>
      <c r="B32" s="5" t="s">
        <v>344</v>
      </c>
      <c r="C32" s="174">
        <v>44617</v>
      </c>
      <c r="D32" s="5" t="s">
        <v>256</v>
      </c>
      <c r="E32" s="5" t="s">
        <v>267</v>
      </c>
      <c r="F32" s="175" t="s">
        <v>345</v>
      </c>
      <c r="G32" s="15" t="s">
        <v>346</v>
      </c>
      <c r="H32" s="176" t="s">
        <v>341</v>
      </c>
      <c r="I32" s="17" t="s">
        <v>353</v>
      </c>
      <c r="J32" s="113" t="str">
        <f>VLOOKUP($I32,'Price List, Weapons &amp; Items'!B:C,2,0)</f>
        <v>Humanitarian</v>
      </c>
      <c r="K32" s="113" t="str">
        <f>IF(I32=".",I32,VLOOKUP($I32,'Price List, Weapons &amp; Items'!B:D,3,0))</f>
        <v>Humanitarian</v>
      </c>
      <c r="L32" s="177">
        <f>VLOOKUP(I32,'Price List, Weapons &amp; Items'!B:E,4,0)</f>
        <v>0</v>
      </c>
      <c r="M32" s="542">
        <v>5</v>
      </c>
      <c r="N32" s="542" t="s">
        <v>270</v>
      </c>
      <c r="O32" s="543" t="str">
        <f>VLOOKUP($I32,'Price List, Weapons &amp; Items'!B:G,6,0)</f>
        <v>.</v>
      </c>
      <c r="P32" s="176" t="str">
        <f t="shared" si="6"/>
        <v>No price</v>
      </c>
      <c r="Q32" s="176" t="str">
        <f t="shared" si="7"/>
        <v>.</v>
      </c>
      <c r="R32" s="176" t="str">
        <f t="shared" si="2"/>
        <v/>
      </c>
      <c r="S32" s="176" t="str">
        <f>IF(AND(AD32=1,R32&lt;&gt;".")=TRUE,R32/VLOOKUP(G32,'Exchange Rates'!B:C,2,0),IF(R32=".",".",""))</f>
        <v/>
      </c>
      <c r="T32" s="176" t="str">
        <f>IF(AD32=1,IF(AF32="Value is not given at all",".",IF(AF32="Value is given by the source",S32,IF(AF32="Value is calculated with prices",(IF(SUMIFS(Q:Q,A:A,A32)&gt;0,SUMIFS(Q:Q,A:A,A32),"."))/VLOOKUP("USD",'Exchange Rates'!B:C,2,0),"Error with coding"))),"")</f>
        <v/>
      </c>
      <c r="U32" s="15" t="s">
        <v>261</v>
      </c>
      <c r="V32" s="547" t="s">
        <v>348</v>
      </c>
      <c r="W32" s="188" t="s">
        <v>260</v>
      </c>
      <c r="X32" s="188" t="s">
        <v>260</v>
      </c>
      <c r="Y32" s="188" t="s">
        <v>260</v>
      </c>
      <c r="Z32" s="15">
        <v>0</v>
      </c>
      <c r="AA32" s="180">
        <v>0</v>
      </c>
      <c r="AB32" s="184" t="s">
        <v>260</v>
      </c>
      <c r="AC32" s="544" t="str">
        <f>""</f>
        <v/>
      </c>
      <c r="AD32" s="181">
        <v>0</v>
      </c>
      <c r="AE32" s="181" t="s">
        <v>332</v>
      </c>
      <c r="AF32" s="181" t="s">
        <v>265</v>
      </c>
      <c r="AG32" s="181">
        <v>1</v>
      </c>
      <c r="AH32" s="181">
        <v>2</v>
      </c>
      <c r="AI32" s="181">
        <v>0</v>
      </c>
      <c r="AJ32" s="181">
        <f>VLOOKUP($I32,'Price List, Weapons &amp; Items'!B:F,5,0)</f>
        <v>0</v>
      </c>
      <c r="AK32" s="181">
        <f t="shared" si="8"/>
        <v>0</v>
      </c>
      <c r="AL32" s="181">
        <f t="shared" si="9"/>
        <v>0</v>
      </c>
      <c r="AM32" s="181">
        <f t="shared" si="10"/>
        <v>0</v>
      </c>
      <c r="AN32" s="180" t="str">
        <f>VLOOKUP($I32,'Price List, Weapons &amp; Items'!B:L,COLUMN('Price List, Weapons &amp; Items'!$J$11)-1,0)</f>
        <v>Media reports (incl. social media)</v>
      </c>
      <c r="AO32" s="180" t="str">
        <f>IF(I32=".",".",VLOOKUP($I32,'Price List, Weapons &amp; Items'!B:J,3,0))</f>
        <v>Humanitarian</v>
      </c>
      <c r="AP32" s="545" t="str">
        <f t="shared" ca="1" si="11"/>
        <v/>
      </c>
      <c r="AQ32" s="180">
        <f>VLOOKUP($I32,'Price List, Weapons &amp; Items'!B:L,COLUMN('Price List, Weapons &amp; Items'!$L$11)-1,0)</f>
        <v>0</v>
      </c>
      <c r="AR32" s="180">
        <f t="shared" si="12"/>
        <v>1</v>
      </c>
      <c r="AS32" s="180">
        <f t="shared" si="13"/>
        <v>0</v>
      </c>
      <c r="AT32" s="180">
        <f t="shared" si="5"/>
        <v>1</v>
      </c>
      <c r="AU32" s="180" t="str">
        <f t="shared" si="14"/>
        <v>.</v>
      </c>
      <c r="AV32" s="180" t="str">
        <f t="shared" si="15"/>
        <v>.</v>
      </c>
      <c r="AW32" s="180">
        <f>IFERROR(VLOOKUP(B32,'Share, Heavy Weapons to Ukraine'!B:J,COLUMN('Share, Heavy Weapons to Ukraine'!C42)-1,0),0)</f>
        <v>0</v>
      </c>
      <c r="AX32" s="180">
        <f>VLOOKUP('Bilateral Assistance, MAIN DATA'!B32,'Country Summary'!B:F,COLUMN('Country Summary'!C43)-1,FALSE)</f>
        <v>1</v>
      </c>
      <c r="AY32" s="180" t="str">
        <f>IF(AND(AD32=1,D32="Military",H32&lt;&gt;"Not given")=TRUE,IF(SUMIFS(P:P,A:A,A32)&gt;0,ABS((SUMIFS(P:P,A:A,A32)/VLOOKUP("USD",'Exchange Rates'!B:C,2,0)))/S32,"."),".")</f>
        <v>.</v>
      </c>
      <c r="AZ32" s="182" t="str">
        <f>IF(AND(AD32=1,D32="Military",H32&lt;&gt;"Not given")=TRUE,IF(SUMIFS(P:P,A:A,A32)&gt;0,IF((ABS((SUMIFS(P:P,A:A,A32)/VLOOKUP("USD",'Exchange Rates'!B:C,2,0)))/S32)&gt;1,(SUMIFS(P:P,A:A,A32)-S32)/S32,(S32-SUMIFS(P:P,A:A,A32))/SUMIFS(P:P,A:A,A32)),"."),".")</f>
        <v>.</v>
      </c>
    </row>
    <row r="33" spans="1:52" s="520" customFormat="1" ht="15.9" customHeight="1" x14ac:dyDescent="0.3">
      <c r="A33" s="5" t="s">
        <v>343</v>
      </c>
      <c r="B33" s="5" t="s">
        <v>344</v>
      </c>
      <c r="C33" s="174">
        <v>44617</v>
      </c>
      <c r="D33" s="5" t="s">
        <v>256</v>
      </c>
      <c r="E33" s="5" t="s">
        <v>267</v>
      </c>
      <c r="F33" s="175" t="s">
        <v>345</v>
      </c>
      <c r="G33" s="15" t="s">
        <v>346</v>
      </c>
      <c r="H33" s="176" t="s">
        <v>341</v>
      </c>
      <c r="I33" s="17" t="s">
        <v>354</v>
      </c>
      <c r="J33" s="113" t="str">
        <f>VLOOKUP($I33,'Price List, Weapons &amp; Items'!B:C,2,0)</f>
        <v>Humanitarian</v>
      </c>
      <c r="K33" s="113" t="str">
        <f>IF(I33=".",I33,VLOOKUP($I33,'Price List, Weapons &amp; Items'!B:D,3,0))</f>
        <v>Humanitarian</v>
      </c>
      <c r="L33" s="177">
        <f>VLOOKUP(I33,'Price List, Weapons &amp; Items'!B:E,4,0)</f>
        <v>0</v>
      </c>
      <c r="M33" s="542">
        <v>700</v>
      </c>
      <c r="N33" s="542" t="s">
        <v>270</v>
      </c>
      <c r="O33" s="543">
        <f>VLOOKUP($I33,'Price List, Weapons &amp; Items'!B:G,6,0)</f>
        <v>150</v>
      </c>
      <c r="P33" s="176">
        <f t="shared" si="6"/>
        <v>105000</v>
      </c>
      <c r="Q33" s="176" t="str">
        <f t="shared" si="7"/>
        <v>.</v>
      </c>
      <c r="R33" s="176" t="str">
        <f t="shared" si="2"/>
        <v/>
      </c>
      <c r="S33" s="176" t="str">
        <f>IF(AND(AD33=1,R33&lt;&gt;".")=TRUE,R33/VLOOKUP(G33,'Exchange Rates'!B:C,2,0),IF(R33=".",".",""))</f>
        <v/>
      </c>
      <c r="T33" s="176" t="str">
        <f>IF(AD33=1,IF(AF33="Value is not given at all",".",IF(AF33="Value is given by the source",S33,IF(AF33="Value is calculated with prices",(IF(SUMIFS(Q:Q,A:A,A33)&gt;0,SUMIFS(Q:Q,A:A,A33),"."))/VLOOKUP("USD",'Exchange Rates'!B:C,2,0),"Error with coding"))),"")</f>
        <v/>
      </c>
      <c r="U33" s="15" t="s">
        <v>261</v>
      </c>
      <c r="V33" s="547" t="s">
        <v>348</v>
      </c>
      <c r="W33" s="188" t="s">
        <v>260</v>
      </c>
      <c r="X33" s="188" t="s">
        <v>260</v>
      </c>
      <c r="Y33" s="188" t="s">
        <v>260</v>
      </c>
      <c r="Z33" s="15">
        <v>0</v>
      </c>
      <c r="AA33" s="180">
        <v>0</v>
      </c>
      <c r="AB33" s="184" t="s">
        <v>260</v>
      </c>
      <c r="AC33" s="544" t="str">
        <f>""</f>
        <v/>
      </c>
      <c r="AD33" s="181">
        <v>0</v>
      </c>
      <c r="AE33" s="181" t="s">
        <v>332</v>
      </c>
      <c r="AF33" s="181" t="s">
        <v>265</v>
      </c>
      <c r="AG33" s="181">
        <v>1</v>
      </c>
      <c r="AH33" s="181">
        <v>2</v>
      </c>
      <c r="AI33" s="181">
        <v>0</v>
      </c>
      <c r="AJ33" s="181">
        <f>VLOOKUP($I33,'Price List, Weapons &amp; Items'!B:F,5,0)</f>
        <v>0</v>
      </c>
      <c r="AK33" s="181">
        <f t="shared" si="8"/>
        <v>0</v>
      </c>
      <c r="AL33" s="181">
        <f t="shared" si="9"/>
        <v>0</v>
      </c>
      <c r="AM33" s="181">
        <f t="shared" si="10"/>
        <v>0</v>
      </c>
      <c r="AN33" s="180" t="str">
        <f>VLOOKUP($I33,'Price List, Weapons &amp; Items'!B:L,COLUMN('Price List, Weapons &amp; Items'!$J$11)-1,0)</f>
        <v>Miscellaneous</v>
      </c>
      <c r="AO33" s="180" t="str">
        <f>IF(I33=".",".",VLOOKUP($I33,'Price List, Weapons &amp; Items'!B:J,3,0))</f>
        <v>Humanitarian</v>
      </c>
      <c r="AP33" s="545" t="str">
        <f t="shared" ca="1" si="11"/>
        <v/>
      </c>
      <c r="AQ33" s="180">
        <f>VLOOKUP($I33,'Price List, Weapons &amp; Items'!B:L,COLUMN('Price List, Weapons &amp; Items'!$L$11)-1,0)</f>
        <v>0</v>
      </c>
      <c r="AR33" s="180">
        <f t="shared" si="12"/>
        <v>1</v>
      </c>
      <c r="AS33" s="180">
        <f t="shared" si="13"/>
        <v>0</v>
      </c>
      <c r="AT33" s="180">
        <f t="shared" si="5"/>
        <v>1</v>
      </c>
      <c r="AU33" s="180" t="str">
        <f t="shared" si="14"/>
        <v>.</v>
      </c>
      <c r="AV33" s="180" t="str">
        <f t="shared" si="15"/>
        <v>.</v>
      </c>
      <c r="AW33" s="180">
        <f>IFERROR(VLOOKUP(B33,'Share, Heavy Weapons to Ukraine'!B:J,COLUMN('Share, Heavy Weapons to Ukraine'!C43)-1,0),0)</f>
        <v>0</v>
      </c>
      <c r="AX33" s="180">
        <f>VLOOKUP('Bilateral Assistance, MAIN DATA'!B33,'Country Summary'!B:F,COLUMN('Country Summary'!C44)-1,FALSE)</f>
        <v>1</v>
      </c>
      <c r="AY33" s="180" t="str">
        <f>IF(AND(AD33=1,D33="Military",H33&lt;&gt;"Not given")=TRUE,IF(SUMIFS(P:P,A:A,A33)&gt;0,ABS((SUMIFS(P:P,A:A,A33)/VLOOKUP("USD",'Exchange Rates'!B:C,2,0)))/S33,"."),".")</f>
        <v>.</v>
      </c>
      <c r="AZ33" s="182" t="str">
        <f>IF(AND(AD33=1,D33="Military",H33&lt;&gt;"Not given")=TRUE,IF(SUMIFS(P:P,A:A,A33)&gt;0,IF((ABS((SUMIFS(P:P,A:A,A33)/VLOOKUP("USD",'Exchange Rates'!B:C,2,0)))/S33)&gt;1,(SUMIFS(P:P,A:A,A33)-S33)/S33,(S33-SUMIFS(P:P,A:A,A33))/SUMIFS(P:P,A:A,A33)),"."),".")</f>
        <v>.</v>
      </c>
    </row>
    <row r="34" spans="1:52" s="520" customFormat="1" ht="15.9" customHeight="1" x14ac:dyDescent="0.3">
      <c r="A34" s="5" t="s">
        <v>343</v>
      </c>
      <c r="B34" s="5" t="s">
        <v>344</v>
      </c>
      <c r="C34" s="174">
        <v>44617</v>
      </c>
      <c r="D34" s="5" t="s">
        <v>256</v>
      </c>
      <c r="E34" s="5" t="s">
        <v>267</v>
      </c>
      <c r="F34" s="175" t="s">
        <v>345</v>
      </c>
      <c r="G34" s="15" t="s">
        <v>346</v>
      </c>
      <c r="H34" s="176" t="s">
        <v>341</v>
      </c>
      <c r="I34" s="17" t="s">
        <v>355</v>
      </c>
      <c r="J34" s="113" t="str">
        <f>VLOOKUP($I34,'Price List, Weapons &amp; Items'!B:C,2,0)</f>
        <v>Humanitarian</v>
      </c>
      <c r="K34" s="113" t="str">
        <f>IF(I34=".",I34,VLOOKUP($I34,'Price List, Weapons &amp; Items'!B:D,3,0))</f>
        <v>Humanitarian</v>
      </c>
      <c r="L34" s="177">
        <f>VLOOKUP(I34,'Price List, Weapons &amp; Items'!B:E,4,0)</f>
        <v>0</v>
      </c>
      <c r="M34" s="542">
        <v>28000</v>
      </c>
      <c r="N34" s="542" t="s">
        <v>270</v>
      </c>
      <c r="O34" s="543">
        <f>VLOOKUP($I34,'Price List, Weapons &amp; Items'!B:G,6,0)</f>
        <v>1.5</v>
      </c>
      <c r="P34" s="176">
        <f t="shared" si="6"/>
        <v>42000</v>
      </c>
      <c r="Q34" s="176" t="str">
        <f t="shared" si="7"/>
        <v>.</v>
      </c>
      <c r="R34" s="176" t="str">
        <f t="shared" si="2"/>
        <v/>
      </c>
      <c r="S34" s="176" t="str">
        <f>IF(AND(AD34=1,R34&lt;&gt;".")=TRUE,R34/VLOOKUP(G34,'Exchange Rates'!B:C,2,0),IF(R34=".",".",""))</f>
        <v/>
      </c>
      <c r="T34" s="176" t="str">
        <f>IF(AD34=1,IF(AF34="Value is not given at all",".",IF(AF34="Value is given by the source",S34,IF(AF34="Value is calculated with prices",(IF(SUMIFS(Q:Q,A:A,A34)&gt;0,SUMIFS(Q:Q,A:A,A34),"."))/VLOOKUP("USD",'Exchange Rates'!B:C,2,0),"Error with coding"))),"")</f>
        <v/>
      </c>
      <c r="U34" s="15" t="s">
        <v>261</v>
      </c>
      <c r="V34" s="547" t="s">
        <v>348</v>
      </c>
      <c r="W34" s="188" t="s">
        <v>260</v>
      </c>
      <c r="X34" s="188" t="s">
        <v>260</v>
      </c>
      <c r="Y34" s="188" t="s">
        <v>260</v>
      </c>
      <c r="Z34" s="15">
        <v>0</v>
      </c>
      <c r="AA34" s="180">
        <v>0</v>
      </c>
      <c r="AB34" s="184" t="s">
        <v>260</v>
      </c>
      <c r="AC34" s="544" t="str">
        <f>""</f>
        <v/>
      </c>
      <c r="AD34" s="181">
        <v>0</v>
      </c>
      <c r="AE34" s="181" t="s">
        <v>332</v>
      </c>
      <c r="AF34" s="181" t="s">
        <v>265</v>
      </c>
      <c r="AG34" s="181">
        <v>1</v>
      </c>
      <c r="AH34" s="181">
        <v>2</v>
      </c>
      <c r="AI34" s="181">
        <v>0</v>
      </c>
      <c r="AJ34" s="181">
        <f>VLOOKUP($I34,'Price List, Weapons &amp; Items'!B:F,5,0)</f>
        <v>0</v>
      </c>
      <c r="AK34" s="181">
        <f t="shared" si="8"/>
        <v>0</v>
      </c>
      <c r="AL34" s="181">
        <f t="shared" si="9"/>
        <v>0</v>
      </c>
      <c r="AM34" s="181">
        <f t="shared" si="10"/>
        <v>0</v>
      </c>
      <c r="AN34" s="180" t="str">
        <f>VLOOKUP($I34,'Price List, Weapons &amp; Items'!B:L,COLUMN('Price List, Weapons &amp; Items'!$J$11)-1,0)</f>
        <v>Online marketplaces and stores</v>
      </c>
      <c r="AO34" s="180" t="str">
        <f>IF(I34=".",".",VLOOKUP($I34,'Price List, Weapons &amp; Items'!B:J,3,0))</f>
        <v>Humanitarian</v>
      </c>
      <c r="AP34" s="545" t="str">
        <f t="shared" ca="1" si="11"/>
        <v/>
      </c>
      <c r="AQ34" s="180">
        <f>VLOOKUP($I34,'Price List, Weapons &amp; Items'!B:L,COLUMN('Price List, Weapons &amp; Items'!$L$11)-1,0)</f>
        <v>0</v>
      </c>
      <c r="AR34" s="180">
        <f t="shared" si="12"/>
        <v>1</v>
      </c>
      <c r="AS34" s="180">
        <f t="shared" si="13"/>
        <v>0</v>
      </c>
      <c r="AT34" s="180">
        <f t="shared" si="5"/>
        <v>1</v>
      </c>
      <c r="AU34" s="180" t="str">
        <f t="shared" si="14"/>
        <v>.</v>
      </c>
      <c r="AV34" s="180" t="str">
        <f t="shared" si="15"/>
        <v>.</v>
      </c>
      <c r="AW34" s="180">
        <f>IFERROR(VLOOKUP(B34,'Share, Heavy Weapons to Ukraine'!B:J,COLUMN('Share, Heavy Weapons to Ukraine'!C44)-1,0),0)</f>
        <v>0</v>
      </c>
      <c r="AX34" s="180">
        <f>VLOOKUP('Bilateral Assistance, MAIN DATA'!B34,'Country Summary'!B:F,COLUMN('Country Summary'!C45)-1,FALSE)</f>
        <v>1</v>
      </c>
      <c r="AY34" s="180" t="str">
        <f>IF(AND(AD34=1,D34="Military",H34&lt;&gt;"Not given")=TRUE,IF(SUMIFS(P:P,A:A,A34)&gt;0,ABS((SUMIFS(P:P,A:A,A34)/VLOOKUP("USD",'Exchange Rates'!B:C,2,0)))/S34,"."),".")</f>
        <v>.</v>
      </c>
      <c r="AZ34" s="182" t="str">
        <f>IF(AND(AD34=1,D34="Military",H34&lt;&gt;"Not given")=TRUE,IF(SUMIFS(P:P,A:A,A34)&gt;0,IF((ABS((SUMIFS(P:P,A:A,A34)/VLOOKUP("USD",'Exchange Rates'!B:C,2,0)))/S34)&gt;1,(SUMIFS(P:P,A:A,A34)-S34)/S34,(S34-SUMIFS(P:P,A:A,A34))/SUMIFS(P:P,A:A,A34)),"."),".")</f>
        <v>.</v>
      </c>
    </row>
    <row r="35" spans="1:52" s="521" customFormat="1" ht="15.9" customHeight="1" x14ac:dyDescent="0.3">
      <c r="A35" s="17" t="s">
        <v>356</v>
      </c>
      <c r="B35" s="17" t="s">
        <v>344</v>
      </c>
      <c r="C35" s="174">
        <v>44715</v>
      </c>
      <c r="D35" s="5" t="s">
        <v>256</v>
      </c>
      <c r="E35" s="5" t="s">
        <v>267</v>
      </c>
      <c r="F35" s="175" t="s">
        <v>357</v>
      </c>
      <c r="G35" s="15" t="s">
        <v>346</v>
      </c>
      <c r="H35" s="176" t="s">
        <v>341</v>
      </c>
      <c r="I35" s="17" t="s">
        <v>358</v>
      </c>
      <c r="J35" s="113" t="str">
        <f>VLOOKUP($I35,'Price List, Weapons &amp; Items'!B:C,2,0)</f>
        <v>Humanitarian</v>
      </c>
      <c r="K35" s="113" t="str">
        <f>IF(I35=".",I35,VLOOKUP($I35,'Price List, Weapons &amp; Items'!B:D,3,0))</f>
        <v>Humanitarian</v>
      </c>
      <c r="L35" s="177">
        <f>VLOOKUP(I35,'Price List, Weapons &amp; Items'!B:E,4,0)</f>
        <v>0</v>
      </c>
      <c r="M35" s="554">
        <v>36</v>
      </c>
      <c r="N35" s="542" t="s">
        <v>270</v>
      </c>
      <c r="O35" s="543">
        <f>VLOOKUP($I35,'Price List, Weapons &amp; Items'!B:G,6,0)</f>
        <v>317500</v>
      </c>
      <c r="P35" s="176">
        <f t="shared" si="6"/>
        <v>11430000</v>
      </c>
      <c r="Q35" s="176" t="str">
        <f t="shared" si="7"/>
        <v>.</v>
      </c>
      <c r="R35" s="176">
        <f t="shared" si="2"/>
        <v>11430000</v>
      </c>
      <c r="S35" s="176">
        <f>IF(AND(AD35=1,R35&lt;&gt;".")=TRUE,R35/VLOOKUP(G35,'Exchange Rates'!B:C,2,0),IF(R35=".",".",""))</f>
        <v>10885714.285714285</v>
      </c>
      <c r="T35" s="176" t="str">
        <f>IF(AD35=1,IF(AF35="Value is not given at all",".",IF(AF35="Value is given by the source",S35,IF(AF35="Value is calculated with prices",(IF(SUMIFS(Q:Q,A:A,A35)&gt;0,SUMIFS(Q:Q,A:A,A35),"."))/VLOOKUP("USD",'Exchange Rates'!B:C,2,0),"Error with coding"))),"")</f>
        <v>.</v>
      </c>
      <c r="U35" s="177" t="s">
        <v>261</v>
      </c>
      <c r="V35" s="300" t="s">
        <v>359</v>
      </c>
      <c r="W35" s="300" t="s">
        <v>360</v>
      </c>
      <c r="X35" s="175" t="s">
        <v>260</v>
      </c>
      <c r="Y35" s="175" t="s">
        <v>260</v>
      </c>
      <c r="Z35" s="180">
        <v>0</v>
      </c>
      <c r="AA35" s="180">
        <v>0</v>
      </c>
      <c r="AB35" s="17" t="s">
        <v>260</v>
      </c>
      <c r="AC35" s="544" t="str">
        <f>""</f>
        <v/>
      </c>
      <c r="AD35" s="183">
        <v>1</v>
      </c>
      <c r="AE35" s="183" t="s">
        <v>332</v>
      </c>
      <c r="AF35" s="183" t="s">
        <v>265</v>
      </c>
      <c r="AG35" s="183">
        <v>1</v>
      </c>
      <c r="AH35" s="181">
        <v>6</v>
      </c>
      <c r="AI35" s="181">
        <v>0</v>
      </c>
      <c r="AJ35" s="181">
        <f>VLOOKUP($I35,'Price List, Weapons &amp; Items'!B:F,5,0)</f>
        <v>0</v>
      </c>
      <c r="AK35" s="181">
        <f t="shared" si="8"/>
        <v>0</v>
      </c>
      <c r="AL35" s="181">
        <f t="shared" si="9"/>
        <v>0</v>
      </c>
      <c r="AM35" s="181">
        <f t="shared" si="10"/>
        <v>0</v>
      </c>
      <c r="AN35" s="180" t="str">
        <f>VLOOKUP($I35,'Price List, Weapons &amp; Items'!B:L,COLUMN('Price List, Weapons &amp; Items'!$J$11)-1,0)</f>
        <v>Media reports (incl. social media)</v>
      </c>
      <c r="AO35" s="180" t="str">
        <f>IF(I35=".",".",VLOOKUP($I35,'Price List, Weapons &amp; Items'!B:J,3,0))</f>
        <v>Humanitarian</v>
      </c>
      <c r="AP35" s="545" t="e">
        <f t="shared" ca="1" si="11"/>
        <v>#NAME?</v>
      </c>
      <c r="AQ35" s="180">
        <f>VLOOKUP($I35,'Price List, Weapons &amp; Items'!B:L,COLUMN('Price List, Weapons &amp; Items'!$L$11)-1,0)</f>
        <v>0</v>
      </c>
      <c r="AR35" s="180">
        <f t="shared" si="12"/>
        <v>1</v>
      </c>
      <c r="AS35" s="180">
        <f t="shared" si="13"/>
        <v>0</v>
      </c>
      <c r="AT35" s="180">
        <f t="shared" si="5"/>
        <v>1</v>
      </c>
      <c r="AU35" s="180" t="str">
        <f t="shared" si="14"/>
        <v>.</v>
      </c>
      <c r="AV35" s="180" t="str">
        <f t="shared" si="15"/>
        <v>.</v>
      </c>
      <c r="AW35" s="180">
        <f>IFERROR(VLOOKUP(B35,'Share, Heavy Weapons to Ukraine'!B:J,COLUMN('Share, Heavy Weapons to Ukraine'!C45)-1,0),0)</f>
        <v>0</v>
      </c>
      <c r="AX35" s="180">
        <f>VLOOKUP('Bilateral Assistance, MAIN DATA'!B35,'Country Summary'!B:F,COLUMN('Country Summary'!C46)-1,FALSE)</f>
        <v>1</v>
      </c>
      <c r="AY35" s="180" t="str">
        <f>IF(AND(AD35=1,D35="Military",H35&lt;&gt;"Not given")=TRUE,IF(SUMIFS(P:P,A:A,A35)&gt;0,ABS((SUMIFS(P:P,A:A,A35)/VLOOKUP("USD",'Exchange Rates'!B:C,2,0)))/S35,"."),".")</f>
        <v>.</v>
      </c>
      <c r="AZ35" s="182" t="str">
        <f>IF(AND(AD35=1,D35="Military",H35&lt;&gt;"Not given")=TRUE,IF(SUMIFS(P:P,A:A,A35)&gt;0,IF((ABS((SUMIFS(P:P,A:A,A35)/VLOOKUP("USD",'Exchange Rates'!B:C,2,0)))/S35)&gt;1,(SUMIFS(P:P,A:A,A35)-S35)/S35,(S35-SUMIFS(P:P,A:A,A35))/SUMIFS(P:P,A:A,A35)),"."),".")</f>
        <v>.</v>
      </c>
    </row>
    <row r="36" spans="1:52" s="521" customFormat="1" ht="15.9" customHeight="1" x14ac:dyDescent="0.3">
      <c r="A36" s="17" t="s">
        <v>361</v>
      </c>
      <c r="B36" s="17" t="s">
        <v>344</v>
      </c>
      <c r="C36" s="174">
        <v>44685</v>
      </c>
      <c r="D36" s="5" t="s">
        <v>256</v>
      </c>
      <c r="E36" s="5" t="s">
        <v>362</v>
      </c>
      <c r="F36" s="175" t="s">
        <v>363</v>
      </c>
      <c r="G36" s="15" t="s">
        <v>364</v>
      </c>
      <c r="H36" s="176">
        <v>36900000</v>
      </c>
      <c r="I36" s="17" t="s">
        <v>260</v>
      </c>
      <c r="J36" s="113" t="str">
        <f>VLOOKUP($I36,'Price List, Weapons &amp; Items'!B:C,2,0)</f>
        <v>.</v>
      </c>
      <c r="K36" s="113" t="str">
        <f>IF(I36=".",I36,VLOOKUP($I36,'Price List, Weapons &amp; Items'!B:D,3,0))</f>
        <v>.</v>
      </c>
      <c r="L36" s="177">
        <f>VLOOKUP(I36,'Price List, Weapons &amp; Items'!B:E,4,0)</f>
        <v>0</v>
      </c>
      <c r="M36" s="554" t="s">
        <v>260</v>
      </c>
      <c r="N36" s="542" t="s">
        <v>260</v>
      </c>
      <c r="O36" s="543" t="str">
        <f>VLOOKUP($I36,'Price List, Weapons &amp; Items'!B:G,6,0)</f>
        <v>.</v>
      </c>
      <c r="P36" s="176" t="str">
        <f t="shared" si="6"/>
        <v>.</v>
      </c>
      <c r="Q36" s="176" t="str">
        <f t="shared" si="7"/>
        <v>.</v>
      </c>
      <c r="R36" s="176">
        <f t="shared" si="2"/>
        <v>36900000</v>
      </c>
      <c r="S36" s="176">
        <f>IF(AND(AD36=1,R36&lt;&gt;".")=TRUE,R36/VLOOKUP(G36,'Exchange Rates'!B:C,2,0),IF(R36=".",".",""))</f>
        <v>36900000</v>
      </c>
      <c r="T36" s="176" t="str">
        <f>IF(AD36=1,IF(AF36="Value is not given at all",".",IF(AF36="Value is given by the source",S36,IF(AF36="Value is calculated with prices",(IF(SUMIFS(Q:Q,A:A,A36)&gt;0,SUMIFS(Q:Q,A:A,A36),"."))/VLOOKUP("USD",'Exchange Rates'!B:C,2,0),"Error with coding"))),"")</f>
        <v>.</v>
      </c>
      <c r="U36" s="15" t="s">
        <v>261</v>
      </c>
      <c r="V36" s="300" t="s">
        <v>365</v>
      </c>
      <c r="W36" s="300" t="s">
        <v>366</v>
      </c>
      <c r="X36" s="300" t="s">
        <v>367</v>
      </c>
      <c r="Y36" s="546" t="s">
        <v>368</v>
      </c>
      <c r="Z36" s="180">
        <v>0</v>
      </c>
      <c r="AA36" s="180">
        <v>0</v>
      </c>
      <c r="AB36" s="184" t="s">
        <v>260</v>
      </c>
      <c r="AC36" s="544" t="str">
        <f>""</f>
        <v/>
      </c>
      <c r="AD36" s="183">
        <v>1</v>
      </c>
      <c r="AE36" s="183" t="s">
        <v>264</v>
      </c>
      <c r="AF36" s="183" t="s">
        <v>265</v>
      </c>
      <c r="AG36" s="183">
        <v>1</v>
      </c>
      <c r="AH36" s="181">
        <v>5</v>
      </c>
      <c r="AI36" s="181">
        <v>0</v>
      </c>
      <c r="AJ36" s="181">
        <f>VLOOKUP($I36,'Price List, Weapons &amp; Items'!B:F,5,0)</f>
        <v>0</v>
      </c>
      <c r="AK36" s="181">
        <f t="shared" si="8"/>
        <v>0</v>
      </c>
      <c r="AL36" s="181">
        <f t="shared" si="9"/>
        <v>0</v>
      </c>
      <c r="AM36" s="181">
        <f t="shared" si="10"/>
        <v>0</v>
      </c>
      <c r="AN36" s="180" t="str">
        <f>VLOOKUP($I36,'Price List, Weapons &amp; Items'!B:L,COLUMN('Price List, Weapons &amp; Items'!$J$11)-1,0)</f>
        <v>.</v>
      </c>
      <c r="AO36" s="180" t="str">
        <f>IF(I36=".",".",VLOOKUP($I36,'Price List, Weapons &amp; Items'!B:J,3,0))</f>
        <v>.</v>
      </c>
      <c r="AP36" s="545" t="e">
        <f t="shared" ca="1" si="11"/>
        <v>#NAME?</v>
      </c>
      <c r="AQ36" s="180" t="str">
        <f>VLOOKUP($I36,'Price List, Weapons &amp; Items'!B:L,COLUMN('Price List, Weapons &amp; Items'!$L$11)-1,0)</f>
        <v>no price, 0 count</v>
      </c>
      <c r="AR36" s="180">
        <f t="shared" si="12"/>
        <v>1</v>
      </c>
      <c r="AS36" s="180">
        <f t="shared" si="13"/>
        <v>0</v>
      </c>
      <c r="AT36" s="180">
        <f t="shared" si="5"/>
        <v>1</v>
      </c>
      <c r="AU36" s="180" t="str">
        <f t="shared" si="14"/>
        <v>.</v>
      </c>
      <c r="AV36" s="180" t="str">
        <f t="shared" si="15"/>
        <v>.</v>
      </c>
      <c r="AW36" s="180">
        <f>IFERROR(VLOOKUP(B36,'Share, Heavy Weapons to Ukraine'!B:J,COLUMN('Share, Heavy Weapons to Ukraine'!C46)-1,0),0)</f>
        <v>0</v>
      </c>
      <c r="AX36" s="180">
        <f>VLOOKUP('Bilateral Assistance, MAIN DATA'!B36,'Country Summary'!B:F,COLUMN('Country Summary'!C47)-1,FALSE)</f>
        <v>1</v>
      </c>
      <c r="AY36" s="180" t="str">
        <f>IF(AND(AD36=1,D36="Military",H36&lt;&gt;"Not given")=TRUE,IF(SUMIFS(P:P,A:A,A36)&gt;0,ABS((SUMIFS(P:P,A:A,A36)/VLOOKUP("USD",'Exchange Rates'!B:C,2,0)))/S36,"."),".")</f>
        <v>.</v>
      </c>
      <c r="AZ36" s="182" t="str">
        <f>IF(AND(AD36=1,D36="Military",H36&lt;&gt;"Not given")=TRUE,IF(SUMIFS(P:P,A:A,A36)&gt;0,IF((ABS((SUMIFS(P:P,A:A,A36)/VLOOKUP("USD",'Exchange Rates'!B:C,2,0)))/S36)&gt;1,(SUMIFS(P:P,A:A,A36)-S36)/S36,(S36-SUMIFS(P:P,A:A,A36))/SUMIFS(P:P,A:A,A36)),"."),".")</f>
        <v>.</v>
      </c>
    </row>
    <row r="37" spans="1:52" s="521" customFormat="1" ht="15.9" customHeight="1" x14ac:dyDescent="0.3">
      <c r="A37" s="17" t="s">
        <v>369</v>
      </c>
      <c r="B37" s="17" t="s">
        <v>344</v>
      </c>
      <c r="C37" s="174">
        <v>44815</v>
      </c>
      <c r="D37" s="5" t="s">
        <v>256</v>
      </c>
      <c r="E37" s="5" t="s">
        <v>267</v>
      </c>
      <c r="F37" s="175" t="s">
        <v>370</v>
      </c>
      <c r="G37" s="15" t="s">
        <v>346</v>
      </c>
      <c r="H37" s="176" t="s">
        <v>341</v>
      </c>
      <c r="I37" s="17" t="s">
        <v>358</v>
      </c>
      <c r="J37" s="113" t="str">
        <f>VLOOKUP($I37,'Price List, Weapons &amp; Items'!B:C,2,0)</f>
        <v>Humanitarian</v>
      </c>
      <c r="K37" s="113" t="str">
        <f>IF(I37=".",I37,VLOOKUP($I37,'Price List, Weapons &amp; Items'!B:D,3,0))</f>
        <v>Humanitarian</v>
      </c>
      <c r="L37" s="177">
        <f>VLOOKUP(I37,'Price List, Weapons &amp; Items'!B:E,4,0)</f>
        <v>0</v>
      </c>
      <c r="M37" s="554">
        <v>1</v>
      </c>
      <c r="N37" s="542" t="s">
        <v>270</v>
      </c>
      <c r="O37" s="543">
        <f>VLOOKUP($I37,'Price List, Weapons &amp; Items'!B:G,6,0)</f>
        <v>317500</v>
      </c>
      <c r="P37" s="176">
        <f t="shared" si="6"/>
        <v>317500</v>
      </c>
      <c r="Q37" s="176" t="str">
        <f t="shared" si="7"/>
        <v>.</v>
      </c>
      <c r="R37" s="176">
        <f t="shared" si="2"/>
        <v>1817500</v>
      </c>
      <c r="S37" s="176">
        <f>IF(AND(AD37=1,R37&lt;&gt;".")=TRUE,R37/VLOOKUP(G37,'Exchange Rates'!B:C,2,0),IF(R37=".",".",""))</f>
        <v>1730952.3809523808</v>
      </c>
      <c r="T37" s="176" t="str">
        <f>IF(AD37=1,IF(AF37="Value is not given at all",".",IF(AF37="Value is given by the source",S37,IF(AF37="Value is calculated with prices",(IF(SUMIFS(Q:Q,A:A,A37)&gt;0,SUMIFS(Q:Q,A:A,A37),"."))/VLOOKUP("USD",'Exchange Rates'!B:C,2,0),"Error with coding"))),"")</f>
        <v>.</v>
      </c>
      <c r="U37" s="15" t="s">
        <v>261</v>
      </c>
      <c r="V37" s="300" t="s">
        <v>371</v>
      </c>
      <c r="W37" s="300" t="s">
        <v>372</v>
      </c>
      <c r="X37" s="144" t="s">
        <v>260</v>
      </c>
      <c r="Y37" s="175" t="s">
        <v>260</v>
      </c>
      <c r="Z37" s="180">
        <v>0</v>
      </c>
      <c r="AA37" s="180">
        <v>0</v>
      </c>
      <c r="AB37" s="184" t="s">
        <v>260</v>
      </c>
      <c r="AC37" s="544" t="str">
        <f>""</f>
        <v/>
      </c>
      <c r="AD37" s="183">
        <v>1</v>
      </c>
      <c r="AE37" s="183" t="s">
        <v>332</v>
      </c>
      <c r="AF37" s="183" t="s">
        <v>265</v>
      </c>
      <c r="AG37" s="183">
        <v>1</v>
      </c>
      <c r="AH37" s="181">
        <v>9</v>
      </c>
      <c r="AI37" s="181">
        <v>0</v>
      </c>
      <c r="AJ37" s="181">
        <f>VLOOKUP($I37,'Price List, Weapons &amp; Items'!B:F,5,0)</f>
        <v>0</v>
      </c>
      <c r="AK37" s="181">
        <f t="shared" si="8"/>
        <v>0</v>
      </c>
      <c r="AL37" s="181">
        <f t="shared" si="9"/>
        <v>0</v>
      </c>
      <c r="AM37" s="181">
        <f t="shared" si="10"/>
        <v>0</v>
      </c>
      <c r="AN37" s="180" t="str">
        <f>VLOOKUP($I37,'Price List, Weapons &amp; Items'!B:L,COLUMN('Price List, Weapons &amp; Items'!$J$11)-1,0)</f>
        <v>Media reports (incl. social media)</v>
      </c>
      <c r="AO37" s="180" t="str">
        <f>IF(I37=".",".",VLOOKUP($I37,'Price List, Weapons &amp; Items'!B:J,3,0))</f>
        <v>Humanitarian</v>
      </c>
      <c r="AP37" s="545" t="e">
        <f t="shared" ca="1" si="11"/>
        <v>#NAME?</v>
      </c>
      <c r="AQ37" s="180">
        <f>VLOOKUP($I37,'Price List, Weapons &amp; Items'!B:L,COLUMN('Price List, Weapons &amp; Items'!$L$11)-1,0)</f>
        <v>0</v>
      </c>
      <c r="AR37" s="180">
        <f t="shared" si="12"/>
        <v>1</v>
      </c>
      <c r="AS37" s="180">
        <f t="shared" si="13"/>
        <v>0</v>
      </c>
      <c r="AT37" s="180">
        <f t="shared" si="5"/>
        <v>1</v>
      </c>
      <c r="AU37" s="180" t="str">
        <f t="shared" si="14"/>
        <v>.</v>
      </c>
      <c r="AV37" s="180" t="str">
        <f t="shared" si="15"/>
        <v>.</v>
      </c>
      <c r="AW37" s="180">
        <f>IFERROR(VLOOKUP(B37,'Share, Heavy Weapons to Ukraine'!B:J,COLUMN('Share, Heavy Weapons to Ukraine'!C47)-1,0),0)</f>
        <v>0</v>
      </c>
      <c r="AX37" s="180">
        <f>VLOOKUP('Bilateral Assistance, MAIN DATA'!B37,'Country Summary'!B:F,COLUMN('Country Summary'!C48)-1,FALSE)</f>
        <v>1</v>
      </c>
      <c r="AY37" s="180" t="str">
        <f>IF(AND(AD37=1,D37="Military",H37&lt;&gt;"Not given")=TRUE,IF(SUMIFS(P:P,A:A,A37)&gt;0,ABS((SUMIFS(P:P,A:A,A37)/VLOOKUP("USD",'Exchange Rates'!B:C,2,0)))/S37,"."),".")</f>
        <v>.</v>
      </c>
      <c r="AZ37" s="182" t="str">
        <f>IF(AND(AD37=1,D37="Military",H37&lt;&gt;"Not given")=TRUE,IF(SUMIFS(P:P,A:A,A37)&gt;0,IF((ABS((SUMIFS(P:P,A:A,A37)/VLOOKUP("USD",'Exchange Rates'!B:C,2,0)))/S37)&gt;1,(SUMIFS(P:P,A:A,A37)-S37)/S37,(S37-SUMIFS(P:P,A:A,A37))/SUMIFS(P:P,A:A,A37)),"."),".")</f>
        <v>.</v>
      </c>
    </row>
    <row r="38" spans="1:52" s="521" customFormat="1" ht="15.9" customHeight="1" x14ac:dyDescent="0.3">
      <c r="A38" s="17" t="s">
        <v>369</v>
      </c>
      <c r="B38" s="17" t="s">
        <v>344</v>
      </c>
      <c r="C38" s="174">
        <v>44815</v>
      </c>
      <c r="D38" s="5" t="s">
        <v>256</v>
      </c>
      <c r="E38" s="5" t="s">
        <v>267</v>
      </c>
      <c r="F38" s="175" t="s">
        <v>370</v>
      </c>
      <c r="G38" s="15" t="s">
        <v>346</v>
      </c>
      <c r="H38" s="176" t="s">
        <v>341</v>
      </c>
      <c r="I38" s="17" t="s">
        <v>373</v>
      </c>
      <c r="J38" s="113" t="str">
        <f>VLOOKUP($I38,'Price List, Weapons &amp; Items'!B:C,2,0)</f>
        <v>Humanitarian</v>
      </c>
      <c r="K38" s="113" t="str">
        <f>IF(I38=".",I38,VLOOKUP($I38,'Price List, Weapons &amp; Items'!B:D,3,0))</f>
        <v>Humanitarian</v>
      </c>
      <c r="L38" s="177">
        <f>VLOOKUP(I38,'Price List, Weapons &amp; Items'!B:E,4,0)</f>
        <v>0</v>
      </c>
      <c r="M38" s="554">
        <v>3</v>
      </c>
      <c r="N38" s="542" t="s">
        <v>270</v>
      </c>
      <c r="O38" s="543">
        <f>VLOOKUP($I38,'Price List, Weapons &amp; Items'!B:G,6,0)</f>
        <v>400000</v>
      </c>
      <c r="P38" s="176">
        <f t="shared" si="6"/>
        <v>1200000</v>
      </c>
      <c r="Q38" s="176" t="str">
        <f t="shared" si="7"/>
        <v>.</v>
      </c>
      <c r="R38" s="176" t="str">
        <f t="shared" si="2"/>
        <v/>
      </c>
      <c r="S38" s="176" t="str">
        <f>IF(AND(AD38=1,R38&lt;&gt;".")=TRUE,R38/VLOOKUP(G38,'Exchange Rates'!B:C,2,0),IF(R38=".",".",""))</f>
        <v/>
      </c>
      <c r="T38" s="176" t="str">
        <f>IF(AD38=1,IF(AF38="Value is not given at all",".",IF(AF38="Value is given by the source",S38,IF(AF38="Value is calculated with prices",(IF(SUMIFS(Q:Q,A:A,A38)&gt;0,SUMIFS(Q:Q,A:A,A38),"."))/VLOOKUP("USD",'Exchange Rates'!B:C,2,0),"Error with coding"))),"")</f>
        <v/>
      </c>
      <c r="U38" s="15" t="s">
        <v>261</v>
      </c>
      <c r="V38" s="300" t="s">
        <v>371</v>
      </c>
      <c r="W38" s="300" t="s">
        <v>372</v>
      </c>
      <c r="X38" s="144" t="s">
        <v>260</v>
      </c>
      <c r="Y38" s="175" t="s">
        <v>260</v>
      </c>
      <c r="Z38" s="180">
        <v>0</v>
      </c>
      <c r="AA38" s="180">
        <v>0</v>
      </c>
      <c r="AB38" s="184" t="s">
        <v>260</v>
      </c>
      <c r="AC38" s="544" t="str">
        <f>""</f>
        <v/>
      </c>
      <c r="AD38" s="183">
        <v>0</v>
      </c>
      <c r="AE38" s="183" t="s">
        <v>332</v>
      </c>
      <c r="AF38" s="183" t="s">
        <v>265</v>
      </c>
      <c r="AG38" s="183">
        <v>1</v>
      </c>
      <c r="AH38" s="181">
        <v>9</v>
      </c>
      <c r="AI38" s="181">
        <v>0</v>
      </c>
      <c r="AJ38" s="181">
        <f>VLOOKUP($I38,'Price List, Weapons &amp; Items'!B:F,5,0)</f>
        <v>0</v>
      </c>
      <c r="AK38" s="181">
        <f t="shared" si="8"/>
        <v>0</v>
      </c>
      <c r="AL38" s="181">
        <f t="shared" si="9"/>
        <v>0</v>
      </c>
      <c r="AM38" s="181">
        <f t="shared" si="10"/>
        <v>0</v>
      </c>
      <c r="AN38" s="180" t="str">
        <f>VLOOKUP($I38,'Price List, Weapons &amp; Items'!B:L,COLUMN('Price List, Weapons &amp; Items'!$J$11)-1,0)</f>
        <v>Media reports (incl. social media)</v>
      </c>
      <c r="AO38" s="180" t="str">
        <f>IF(I38=".",".",VLOOKUP($I38,'Price List, Weapons &amp; Items'!B:J,3,0))</f>
        <v>Humanitarian</v>
      </c>
      <c r="AP38" s="545" t="str">
        <f t="shared" ca="1" si="11"/>
        <v/>
      </c>
      <c r="AQ38" s="180">
        <f>VLOOKUP($I38,'Price List, Weapons &amp; Items'!B:L,COLUMN('Price List, Weapons &amp; Items'!$L$11)-1,0)</f>
        <v>0</v>
      </c>
      <c r="AR38" s="180">
        <f t="shared" si="12"/>
        <v>1</v>
      </c>
      <c r="AS38" s="180">
        <f t="shared" si="13"/>
        <v>0</v>
      </c>
      <c r="AT38" s="180">
        <f t="shared" si="5"/>
        <v>1</v>
      </c>
      <c r="AU38" s="180" t="str">
        <f t="shared" si="14"/>
        <v>.</v>
      </c>
      <c r="AV38" s="180" t="str">
        <f t="shared" si="15"/>
        <v>.</v>
      </c>
      <c r="AW38" s="180">
        <f>IFERROR(VLOOKUP(B38,'Share, Heavy Weapons to Ukraine'!B:J,COLUMN('Share, Heavy Weapons to Ukraine'!C48)-1,0),0)</f>
        <v>0</v>
      </c>
      <c r="AX38" s="180">
        <f>VLOOKUP('Bilateral Assistance, MAIN DATA'!B38,'Country Summary'!B:F,COLUMN('Country Summary'!C49)-1,FALSE)</f>
        <v>1</v>
      </c>
      <c r="AY38" s="180" t="str">
        <f>IF(AND(AD38=1,D38="Military",H38&lt;&gt;"Not given")=TRUE,IF(SUMIFS(P:P,A:A,A38)&gt;0,ABS((SUMIFS(P:P,A:A,A38)/VLOOKUP("USD",'Exchange Rates'!B:C,2,0)))/S38,"."),".")</f>
        <v>.</v>
      </c>
      <c r="AZ38" s="182" t="str">
        <f>IF(AND(AD38=1,D38="Military",H38&lt;&gt;"Not given")=TRUE,IF(SUMIFS(P:P,A:A,A38)&gt;0,IF((ABS((SUMIFS(P:P,A:A,A38)/VLOOKUP("USD",'Exchange Rates'!B:C,2,0)))/S38)&gt;1,(SUMIFS(P:P,A:A,A38)-S38)/S38,(S38-SUMIFS(P:P,A:A,A38))/SUMIFS(P:P,A:A,A38)),"."),".")</f>
        <v>.</v>
      </c>
    </row>
    <row r="39" spans="1:52" s="521" customFormat="1" ht="15.9" customHeight="1" x14ac:dyDescent="0.3">
      <c r="A39" s="17" t="s">
        <v>369</v>
      </c>
      <c r="B39" s="17" t="s">
        <v>344</v>
      </c>
      <c r="C39" s="174">
        <v>44815</v>
      </c>
      <c r="D39" s="5" t="s">
        <v>256</v>
      </c>
      <c r="E39" s="5" t="s">
        <v>267</v>
      </c>
      <c r="F39" s="175" t="s">
        <v>370</v>
      </c>
      <c r="G39" s="15" t="s">
        <v>346</v>
      </c>
      <c r="H39" s="176" t="s">
        <v>341</v>
      </c>
      <c r="I39" s="17" t="s">
        <v>374</v>
      </c>
      <c r="J39" s="113" t="str">
        <f>VLOOKUP($I39,'Price List, Weapons &amp; Items'!B:C,2,0)</f>
        <v>Humanitarian</v>
      </c>
      <c r="K39" s="113" t="str">
        <f>IF(I39=".",I39,VLOOKUP($I39,'Price List, Weapons &amp; Items'!B:D,3,0))</f>
        <v>Humanitarian</v>
      </c>
      <c r="L39" s="177">
        <f>VLOOKUP(I39,'Price List, Weapons &amp; Items'!B:E,4,0)</f>
        <v>0</v>
      </c>
      <c r="M39" s="554">
        <v>1</v>
      </c>
      <c r="N39" s="542" t="s">
        <v>270</v>
      </c>
      <c r="O39" s="543">
        <f>VLOOKUP($I39,'Price List, Weapons &amp; Items'!B:G,6,0)</f>
        <v>300000</v>
      </c>
      <c r="P39" s="176">
        <f t="shared" si="6"/>
        <v>300000</v>
      </c>
      <c r="Q39" s="176" t="str">
        <f t="shared" si="7"/>
        <v>.</v>
      </c>
      <c r="R39" s="176" t="str">
        <f t="shared" si="2"/>
        <v/>
      </c>
      <c r="S39" s="176" t="str">
        <f>IF(AND(AD39=1,R39&lt;&gt;".")=TRUE,R39/VLOOKUP(G39,'Exchange Rates'!B:C,2,0),IF(R39=".",".",""))</f>
        <v/>
      </c>
      <c r="T39" s="176" t="str">
        <f>IF(AD39=1,IF(AF39="Value is not given at all",".",IF(AF39="Value is given by the source",S39,IF(AF39="Value is calculated with prices",(IF(SUMIFS(Q:Q,A:A,A39)&gt;0,SUMIFS(Q:Q,A:A,A39),"."))/VLOOKUP("USD",'Exchange Rates'!B:C,2,0),"Error with coding"))),"")</f>
        <v/>
      </c>
      <c r="U39" s="15" t="s">
        <v>261</v>
      </c>
      <c r="V39" s="300" t="s">
        <v>371</v>
      </c>
      <c r="W39" s="300" t="s">
        <v>372</v>
      </c>
      <c r="X39" s="144" t="s">
        <v>260</v>
      </c>
      <c r="Y39" s="175" t="s">
        <v>260</v>
      </c>
      <c r="Z39" s="180">
        <v>0</v>
      </c>
      <c r="AA39" s="180">
        <v>0</v>
      </c>
      <c r="AB39" s="184" t="s">
        <v>260</v>
      </c>
      <c r="AC39" s="544" t="str">
        <f>""</f>
        <v/>
      </c>
      <c r="AD39" s="183">
        <v>0</v>
      </c>
      <c r="AE39" s="183" t="s">
        <v>332</v>
      </c>
      <c r="AF39" s="183" t="s">
        <v>265</v>
      </c>
      <c r="AG39" s="183">
        <v>1</v>
      </c>
      <c r="AH39" s="181">
        <v>9</v>
      </c>
      <c r="AI39" s="181">
        <v>0</v>
      </c>
      <c r="AJ39" s="181">
        <f>VLOOKUP($I39,'Price List, Weapons &amp; Items'!B:F,5,0)</f>
        <v>0</v>
      </c>
      <c r="AK39" s="181">
        <f t="shared" si="8"/>
        <v>0</v>
      </c>
      <c r="AL39" s="181">
        <f t="shared" si="9"/>
        <v>0</v>
      </c>
      <c r="AM39" s="181">
        <f t="shared" si="10"/>
        <v>0</v>
      </c>
      <c r="AN39" s="180" t="str">
        <f>VLOOKUP($I39,'Price List, Weapons &amp; Items'!B:L,COLUMN('Price List, Weapons &amp; Items'!$J$11)-1,0)</f>
        <v>Online marketplaces and stores</v>
      </c>
      <c r="AO39" s="180" t="str">
        <f>IF(I39=".",".",VLOOKUP($I39,'Price List, Weapons &amp; Items'!B:J,3,0))</f>
        <v>Humanitarian</v>
      </c>
      <c r="AP39" s="545" t="str">
        <f t="shared" ca="1" si="11"/>
        <v/>
      </c>
      <c r="AQ39" s="180">
        <f>VLOOKUP($I39,'Price List, Weapons &amp; Items'!B:L,COLUMN('Price List, Weapons &amp; Items'!$L$11)-1,0)</f>
        <v>0</v>
      </c>
      <c r="AR39" s="180">
        <f t="shared" si="12"/>
        <v>1</v>
      </c>
      <c r="AS39" s="180">
        <f t="shared" si="13"/>
        <v>0</v>
      </c>
      <c r="AT39" s="180">
        <f t="shared" si="5"/>
        <v>1</v>
      </c>
      <c r="AU39" s="180" t="str">
        <f t="shared" si="14"/>
        <v>.</v>
      </c>
      <c r="AV39" s="180" t="str">
        <f t="shared" si="15"/>
        <v>.</v>
      </c>
      <c r="AW39" s="180">
        <f>IFERROR(VLOOKUP(B39,'Share, Heavy Weapons to Ukraine'!B:J,COLUMN('Share, Heavy Weapons to Ukraine'!#REF!)-1,0),0)</f>
        <v>0</v>
      </c>
      <c r="AX39" s="180">
        <f>VLOOKUP('Bilateral Assistance, MAIN DATA'!B39,'Country Summary'!B:F,COLUMN('Country Summary'!C50)-1,FALSE)</f>
        <v>1</v>
      </c>
      <c r="AY39" s="180" t="str">
        <f>IF(AND(AD39=1,D39="Military",H39&lt;&gt;"Not given")=TRUE,IF(SUMIFS(P:P,A:A,A39)&gt;0,ABS((SUMIFS(P:P,A:A,A39)/VLOOKUP("USD",'Exchange Rates'!B:C,2,0)))/S39,"."),".")</f>
        <v>.</v>
      </c>
      <c r="AZ39" s="182" t="str">
        <f>IF(AND(AD39=1,D39="Military",H39&lt;&gt;"Not given")=TRUE,IF(SUMIFS(P:P,A:A,A39)&gt;0,IF((ABS((SUMIFS(P:P,A:A,A39)/VLOOKUP("USD",'Exchange Rates'!B:C,2,0)))/S39)&gt;1,(SUMIFS(P:P,A:A,A39)-S39)/S39,(S39-SUMIFS(P:P,A:A,A39))/SUMIFS(P:P,A:A,A39)),"."),".")</f>
        <v>.</v>
      </c>
    </row>
    <row r="40" spans="1:52" s="521" customFormat="1" ht="15.9" customHeight="1" x14ac:dyDescent="0.3">
      <c r="A40" s="17" t="s">
        <v>375</v>
      </c>
      <c r="B40" s="17" t="s">
        <v>344</v>
      </c>
      <c r="C40" s="174">
        <v>44808</v>
      </c>
      <c r="D40" s="5" t="s">
        <v>256</v>
      </c>
      <c r="E40" s="5" t="s">
        <v>376</v>
      </c>
      <c r="F40" s="175" t="s">
        <v>377</v>
      </c>
      <c r="G40" s="15" t="s">
        <v>364</v>
      </c>
      <c r="H40" s="176">
        <v>500000000</v>
      </c>
      <c r="I40" s="17" t="s">
        <v>260</v>
      </c>
      <c r="J40" s="113" t="str">
        <f>VLOOKUP($I40,'Price List, Weapons &amp; Items'!B:C,2,0)</f>
        <v>.</v>
      </c>
      <c r="K40" s="113" t="str">
        <f>IF(I40=".",I40,VLOOKUP($I40,'Price List, Weapons &amp; Items'!B:D,3,0))</f>
        <v>.</v>
      </c>
      <c r="L40" s="177">
        <f>VLOOKUP(I40,'Price List, Weapons &amp; Items'!B:E,4,0)</f>
        <v>0</v>
      </c>
      <c r="M40" s="554" t="s">
        <v>260</v>
      </c>
      <c r="N40" s="542" t="s">
        <v>260</v>
      </c>
      <c r="O40" s="543" t="str">
        <f>VLOOKUP($I40,'Price List, Weapons &amp; Items'!B:G,6,0)</f>
        <v>.</v>
      </c>
      <c r="P40" s="176" t="str">
        <f t="shared" si="6"/>
        <v>.</v>
      </c>
      <c r="Q40" s="176" t="str">
        <f t="shared" si="7"/>
        <v>.</v>
      </c>
      <c r="R40" s="176">
        <f t="shared" si="2"/>
        <v>500000000</v>
      </c>
      <c r="S40" s="176">
        <f>IF(AND(AD40=1,R40&lt;&gt;".")=TRUE,R40/VLOOKUP(G40,'Exchange Rates'!B:C,2,0),IF(R40=".",".",""))</f>
        <v>500000000</v>
      </c>
      <c r="T40" s="176" t="str">
        <f>IF(AD40=1,IF(AF40="Value is not given at all",".",IF(AF40="Value is given by the source",S40,IF(AF40="Value is calculated with prices",(IF(SUMIFS(Q:Q,A:A,A40)&gt;0,SUMIFS(Q:Q,A:A,A40),"."))/VLOOKUP("USD",'Exchange Rates'!B:C,2,0),"Error with coding"))),"")</f>
        <v>.</v>
      </c>
      <c r="U40" s="15" t="s">
        <v>261</v>
      </c>
      <c r="V40" s="300" t="s">
        <v>378</v>
      </c>
      <c r="W40" s="300" t="s">
        <v>379</v>
      </c>
      <c r="X40" s="144" t="s">
        <v>260</v>
      </c>
      <c r="Y40" s="175" t="s">
        <v>260</v>
      </c>
      <c r="Z40" s="180">
        <v>0</v>
      </c>
      <c r="AA40" s="180">
        <v>0</v>
      </c>
      <c r="AB40" s="184" t="s">
        <v>260</v>
      </c>
      <c r="AC40" s="544" t="str">
        <f>""</f>
        <v/>
      </c>
      <c r="AD40" s="183">
        <v>1</v>
      </c>
      <c r="AE40" s="183" t="s">
        <v>264</v>
      </c>
      <c r="AF40" s="183" t="s">
        <v>265</v>
      </c>
      <c r="AG40" s="183">
        <v>1</v>
      </c>
      <c r="AH40" s="181">
        <v>9</v>
      </c>
      <c r="AI40" s="181">
        <v>0</v>
      </c>
      <c r="AJ40" s="181">
        <f>VLOOKUP($I40,'Price List, Weapons &amp; Items'!B:F,5,0)</f>
        <v>0</v>
      </c>
      <c r="AK40" s="181">
        <f t="shared" si="8"/>
        <v>0</v>
      </c>
      <c r="AL40" s="181">
        <f t="shared" si="9"/>
        <v>0</v>
      </c>
      <c r="AM40" s="181">
        <f t="shared" si="10"/>
        <v>0</v>
      </c>
      <c r="AN40" s="180" t="str">
        <f>VLOOKUP($I40,'Price List, Weapons &amp; Items'!B:L,COLUMN('Price List, Weapons &amp; Items'!$J$11)-1,0)</f>
        <v>.</v>
      </c>
      <c r="AO40" s="180" t="str">
        <f>IF(I40=".",".",VLOOKUP($I40,'Price List, Weapons &amp; Items'!B:J,3,0))</f>
        <v>.</v>
      </c>
      <c r="AP40" s="545" t="e">
        <f t="shared" ca="1" si="11"/>
        <v>#NAME?</v>
      </c>
      <c r="AQ40" s="180" t="str">
        <f>VLOOKUP($I40,'Price List, Weapons &amp; Items'!B:L,COLUMN('Price List, Weapons &amp; Items'!$L$11)-1,0)</f>
        <v>no price, 0 count</v>
      </c>
      <c r="AR40" s="180">
        <f t="shared" si="12"/>
        <v>1</v>
      </c>
      <c r="AS40" s="180">
        <f t="shared" si="13"/>
        <v>0</v>
      </c>
      <c r="AT40" s="180">
        <f t="shared" si="5"/>
        <v>1</v>
      </c>
      <c r="AU40" s="180" t="str">
        <f t="shared" si="14"/>
        <v>.</v>
      </c>
      <c r="AV40" s="180" t="str">
        <f t="shared" si="15"/>
        <v>.</v>
      </c>
      <c r="AW40" s="180">
        <f>IFERROR(VLOOKUP(B40,'Share, Heavy Weapons to Ukraine'!B:J,COLUMN('Share, Heavy Weapons to Ukraine'!#REF!)-1,0),0)</f>
        <v>0</v>
      </c>
      <c r="AX40" s="180">
        <f>VLOOKUP('Bilateral Assistance, MAIN DATA'!B40,'Country Summary'!B:F,COLUMN('Country Summary'!C51)-1,FALSE)</f>
        <v>1</v>
      </c>
      <c r="AY40" s="180" t="str">
        <f>IF(AND(AD40=1,D40="Military",H40&lt;&gt;"Not given")=TRUE,IF(SUMIFS(P:P,A:A,A40)&gt;0,ABS((SUMIFS(P:P,A:A,A40)/VLOOKUP("USD",'Exchange Rates'!B:C,2,0)))/S40,"."),".")</f>
        <v>.</v>
      </c>
      <c r="AZ40" s="182" t="str">
        <f>IF(AND(AD40=1,D40="Military",H40&lt;&gt;"Not given")=TRUE,IF(SUMIFS(P:P,A:A,A40)&gt;0,IF((ABS((SUMIFS(P:P,A:A,A40)/VLOOKUP("USD",'Exchange Rates'!B:C,2,0)))/S40)&gt;1,(SUMIFS(P:P,A:A,A40)-S40)/S40,(S40-SUMIFS(P:P,A:A,A40))/SUMIFS(P:P,A:A,A40)),"."),".")</f>
        <v>.</v>
      </c>
    </row>
    <row r="41" spans="1:52" s="521" customFormat="1" ht="15.9" customHeight="1" x14ac:dyDescent="0.3">
      <c r="A41" s="17" t="s">
        <v>380</v>
      </c>
      <c r="B41" s="17" t="s">
        <v>344</v>
      </c>
      <c r="C41" s="174">
        <v>44866</v>
      </c>
      <c r="D41" s="5" t="s">
        <v>256</v>
      </c>
      <c r="E41" s="5" t="s">
        <v>267</v>
      </c>
      <c r="F41" s="175" t="s">
        <v>381</v>
      </c>
      <c r="G41" s="15" t="s">
        <v>364</v>
      </c>
      <c r="H41" s="176">
        <f>6000000-$S$27</f>
        <v>4970333.333333333</v>
      </c>
      <c r="I41" s="17" t="s">
        <v>260</v>
      </c>
      <c r="J41" s="113" t="str">
        <f>VLOOKUP($I41,'Price List, Weapons &amp; Items'!B:C,2,0)</f>
        <v>.</v>
      </c>
      <c r="K41" s="113" t="str">
        <f>IF(I41=".",I41,VLOOKUP($I41,'Price List, Weapons &amp; Items'!B:D,3,0))</f>
        <v>.</v>
      </c>
      <c r="L41" s="177">
        <f>VLOOKUP(I41,'Price List, Weapons &amp; Items'!B:E,4,0)</f>
        <v>0</v>
      </c>
      <c r="M41" s="554" t="s">
        <v>260</v>
      </c>
      <c r="N41" s="542" t="s">
        <v>260</v>
      </c>
      <c r="O41" s="543" t="str">
        <f>VLOOKUP($I41,'Price List, Weapons &amp; Items'!B:G,6,0)</f>
        <v>.</v>
      </c>
      <c r="P41" s="176" t="str">
        <f t="shared" si="6"/>
        <v>.</v>
      </c>
      <c r="Q41" s="176" t="str">
        <f t="shared" si="7"/>
        <v>.</v>
      </c>
      <c r="R41" s="176">
        <f t="shared" si="2"/>
        <v>4970333.333333333</v>
      </c>
      <c r="S41" s="176">
        <f>IF(AND(AD41=1,R41&lt;&gt;".")=TRUE,R41/VLOOKUP(G41,'Exchange Rates'!B:C,2,0),IF(R41=".",".",""))</f>
        <v>4970333.333333333</v>
      </c>
      <c r="T41" s="176" t="str">
        <f>IF(AD41=1,IF(AF41="Value is not given at all",".",IF(AF41="Value is given by the source",S41,IF(AF41="Value is calculated with prices",(IF(SUMIFS(Q:Q,A:A,A41)&gt;0,SUMIFS(Q:Q,A:A,A41),"."))/VLOOKUP("USD",'Exchange Rates'!B:C,2,0),"Error with coding"))),"")</f>
        <v>.</v>
      </c>
      <c r="U41" s="15" t="s">
        <v>261</v>
      </c>
      <c r="V41" s="300" t="s">
        <v>382</v>
      </c>
      <c r="W41" s="144" t="s">
        <v>260</v>
      </c>
      <c r="X41" s="144" t="s">
        <v>260</v>
      </c>
      <c r="Y41" s="175" t="s">
        <v>260</v>
      </c>
      <c r="Z41" s="180">
        <v>0</v>
      </c>
      <c r="AA41" s="180">
        <v>0</v>
      </c>
      <c r="AB41" s="184" t="s">
        <v>260</v>
      </c>
      <c r="AC41" s="544" t="str">
        <f>""</f>
        <v/>
      </c>
      <c r="AD41" s="183">
        <v>1</v>
      </c>
      <c r="AE41" s="183" t="s">
        <v>264</v>
      </c>
      <c r="AF41" s="183" t="s">
        <v>265</v>
      </c>
      <c r="AG41" s="183">
        <v>1</v>
      </c>
      <c r="AH41" s="181">
        <v>11</v>
      </c>
      <c r="AI41" s="181">
        <v>0</v>
      </c>
      <c r="AJ41" s="181">
        <f>VLOOKUP($I41,'Price List, Weapons &amp; Items'!B:F,5,0)</f>
        <v>0</v>
      </c>
      <c r="AK41" s="181">
        <f t="shared" si="8"/>
        <v>0</v>
      </c>
      <c r="AL41" s="181">
        <f t="shared" si="9"/>
        <v>0</v>
      </c>
      <c r="AM41" s="181">
        <f t="shared" si="10"/>
        <v>0</v>
      </c>
      <c r="AN41" s="180" t="str">
        <f>VLOOKUP($I41,'Price List, Weapons &amp; Items'!B:L,COLUMN('Price List, Weapons &amp; Items'!$J$11)-1,0)</f>
        <v>.</v>
      </c>
      <c r="AO41" s="180" t="str">
        <f>IF(I41=".",".",VLOOKUP($I41,'Price List, Weapons &amp; Items'!B:J,3,0))</f>
        <v>.</v>
      </c>
      <c r="AP41" s="545" t="e">
        <f t="shared" ca="1" si="11"/>
        <v>#NAME?</v>
      </c>
      <c r="AQ41" s="180" t="str">
        <f>VLOOKUP($I41,'Price List, Weapons &amp; Items'!B:L,COLUMN('Price List, Weapons &amp; Items'!$L$11)-1,0)</f>
        <v>no price, 0 count</v>
      </c>
      <c r="AR41" s="180">
        <f t="shared" si="12"/>
        <v>1</v>
      </c>
      <c r="AS41" s="180">
        <f t="shared" si="13"/>
        <v>0</v>
      </c>
      <c r="AT41" s="180">
        <f t="shared" si="5"/>
        <v>1</v>
      </c>
      <c r="AU41" s="180" t="str">
        <f t="shared" si="14"/>
        <v>.</v>
      </c>
      <c r="AV41" s="180" t="str">
        <f t="shared" si="15"/>
        <v>.</v>
      </c>
      <c r="AW41" s="180">
        <f>IFERROR(VLOOKUP(B41,'Share, Heavy Weapons to Ukraine'!B:J,COLUMN('Share, Heavy Weapons to Ukraine'!#REF!)-1,0),0)</f>
        <v>0</v>
      </c>
      <c r="AX41" s="180">
        <f>VLOOKUP('Bilateral Assistance, MAIN DATA'!B41,'Country Summary'!B:F,COLUMN('Country Summary'!C52)-1,FALSE)</f>
        <v>1</v>
      </c>
      <c r="AY41" s="180" t="str">
        <f>IF(AND(AD41=1,D41="Military",H41&lt;&gt;"Not given")=TRUE,IF(SUMIFS(P:P,A:A,A41)&gt;0,ABS((SUMIFS(P:P,A:A,A41)/VLOOKUP("USD",'Exchange Rates'!B:C,2,0)))/S41,"."),".")</f>
        <v>.</v>
      </c>
      <c r="AZ41" s="182" t="str">
        <f>IF(AND(AD41=1,D41="Military",H41&lt;&gt;"Not given")=TRUE,IF(SUMIFS(P:P,A:A,A41)&gt;0,IF((ABS((SUMIFS(P:P,A:A,A41)/VLOOKUP("USD",'Exchange Rates'!B:C,2,0)))/S41)&gt;1,(SUMIFS(P:P,A:A,A41)-S41)/S41,(S41-SUMIFS(P:P,A:A,A41))/SUMIFS(P:P,A:A,A41)),"."),".")</f>
        <v>.</v>
      </c>
    </row>
    <row r="42" spans="1:52" s="521" customFormat="1" ht="15.9" customHeight="1" x14ac:dyDescent="0.3">
      <c r="A42" s="17" t="s">
        <v>383</v>
      </c>
      <c r="B42" s="17" t="s">
        <v>344</v>
      </c>
      <c r="C42" s="174">
        <v>44866</v>
      </c>
      <c r="D42" s="5" t="s">
        <v>256</v>
      </c>
      <c r="E42" s="5" t="s">
        <v>384</v>
      </c>
      <c r="F42" s="175" t="s">
        <v>385</v>
      </c>
      <c r="G42" s="15" t="s">
        <v>364</v>
      </c>
      <c r="H42" s="176">
        <v>5000000</v>
      </c>
      <c r="I42" s="17" t="s">
        <v>260</v>
      </c>
      <c r="J42" s="113" t="str">
        <f>VLOOKUP($I42,'Price List, Weapons &amp; Items'!B:C,2,0)</f>
        <v>.</v>
      </c>
      <c r="K42" s="113" t="str">
        <f>IF(I42=".",I42,VLOOKUP($I42,'Price List, Weapons &amp; Items'!B:D,3,0))</f>
        <v>.</v>
      </c>
      <c r="L42" s="177">
        <f>VLOOKUP(I42,'Price List, Weapons &amp; Items'!B:E,4,0)</f>
        <v>0</v>
      </c>
      <c r="M42" s="554" t="s">
        <v>260</v>
      </c>
      <c r="N42" s="542" t="s">
        <v>260</v>
      </c>
      <c r="O42" s="543" t="str">
        <f>VLOOKUP($I42,'Price List, Weapons &amp; Items'!B:G,6,0)</f>
        <v>.</v>
      </c>
      <c r="P42" s="176" t="str">
        <f t="shared" si="6"/>
        <v>.</v>
      </c>
      <c r="Q42" s="176" t="str">
        <f t="shared" si="7"/>
        <v>.</v>
      </c>
      <c r="R42" s="176">
        <f t="shared" si="2"/>
        <v>5000000</v>
      </c>
      <c r="S42" s="176">
        <f>IF(AND(AD42=1,R42&lt;&gt;".")=TRUE,R42/VLOOKUP(G42,'Exchange Rates'!B:C,2,0),IF(R42=".",".",""))</f>
        <v>5000000</v>
      </c>
      <c r="T42" s="176" t="str">
        <f>IF(AD42=1,IF(AF42="Value is not given at all",".",IF(AF42="Value is given by the source",S42,IF(AF42="Value is calculated with prices",(IF(SUMIFS(Q:Q,A:A,A42)&gt;0,SUMIFS(Q:Q,A:A,A42),"."))/VLOOKUP("USD",'Exchange Rates'!B:C,2,0),"Error with coding"))),"")</f>
        <v>.</v>
      </c>
      <c r="U42" s="15" t="s">
        <v>261</v>
      </c>
      <c r="V42" s="300" t="s">
        <v>382</v>
      </c>
      <c r="W42" s="144" t="s">
        <v>260</v>
      </c>
      <c r="X42" s="144" t="s">
        <v>260</v>
      </c>
      <c r="Y42" s="175" t="s">
        <v>260</v>
      </c>
      <c r="Z42" s="180">
        <v>0</v>
      </c>
      <c r="AA42" s="180">
        <v>0</v>
      </c>
      <c r="AB42" s="184" t="s">
        <v>260</v>
      </c>
      <c r="AC42" s="544" t="str">
        <f>""</f>
        <v/>
      </c>
      <c r="AD42" s="183">
        <v>1</v>
      </c>
      <c r="AE42" s="183" t="s">
        <v>264</v>
      </c>
      <c r="AF42" s="183" t="s">
        <v>265</v>
      </c>
      <c r="AG42" s="183">
        <v>1</v>
      </c>
      <c r="AH42" s="181">
        <v>11</v>
      </c>
      <c r="AI42" s="181">
        <v>0</v>
      </c>
      <c r="AJ42" s="181">
        <f>VLOOKUP($I42,'Price List, Weapons &amp; Items'!B:F,5,0)</f>
        <v>0</v>
      </c>
      <c r="AK42" s="181">
        <f t="shared" si="8"/>
        <v>0</v>
      </c>
      <c r="AL42" s="181">
        <f t="shared" si="9"/>
        <v>0</v>
      </c>
      <c r="AM42" s="181">
        <f t="shared" si="10"/>
        <v>0</v>
      </c>
      <c r="AN42" s="180" t="str">
        <f>VLOOKUP($I42,'Price List, Weapons &amp; Items'!B:L,COLUMN('Price List, Weapons &amp; Items'!$J$11)-1,0)</f>
        <v>.</v>
      </c>
      <c r="AO42" s="180" t="str">
        <f>IF(I42=".",".",VLOOKUP($I42,'Price List, Weapons &amp; Items'!B:J,3,0))</f>
        <v>.</v>
      </c>
      <c r="AP42" s="545" t="e">
        <f t="shared" ca="1" si="11"/>
        <v>#NAME?</v>
      </c>
      <c r="AQ42" s="180" t="str">
        <f>VLOOKUP($I42,'Price List, Weapons &amp; Items'!B:L,COLUMN('Price List, Weapons &amp; Items'!$L$11)-1,0)</f>
        <v>no price, 0 count</v>
      </c>
      <c r="AR42" s="180">
        <f t="shared" si="12"/>
        <v>1</v>
      </c>
      <c r="AS42" s="180">
        <f t="shared" si="13"/>
        <v>0</v>
      </c>
      <c r="AT42" s="180">
        <f t="shared" si="5"/>
        <v>1</v>
      </c>
      <c r="AU42" s="180" t="str">
        <f t="shared" si="14"/>
        <v>.</v>
      </c>
      <c r="AV42" s="180" t="str">
        <f t="shared" si="15"/>
        <v>.</v>
      </c>
      <c r="AW42" s="180">
        <f>IFERROR(VLOOKUP(B42,'Share, Heavy Weapons to Ukraine'!B:J,COLUMN('Share, Heavy Weapons to Ukraine'!C50)-1,0),0)</f>
        <v>0</v>
      </c>
      <c r="AX42" s="180">
        <f>VLOOKUP('Bilateral Assistance, MAIN DATA'!B42,'Country Summary'!B:F,COLUMN('Country Summary'!C53)-1,FALSE)</f>
        <v>1</v>
      </c>
      <c r="AY42" s="180" t="str">
        <f>IF(AND(AD42=1,D42="Military",H42&lt;&gt;"Not given")=TRUE,IF(SUMIFS(P:P,A:A,A42)&gt;0,ABS((SUMIFS(P:P,A:A,A42)/VLOOKUP("USD",'Exchange Rates'!B:C,2,0)))/S42,"."),".")</f>
        <v>.</v>
      </c>
      <c r="AZ42" s="182" t="str">
        <f>IF(AND(AD42=1,D42="Military",H42&lt;&gt;"Not given")=TRUE,IF(SUMIFS(P:P,A:A,A42)&gt;0,IF((ABS((SUMIFS(P:P,A:A,A42)/VLOOKUP("USD",'Exchange Rates'!B:C,2,0)))/S42)&gt;1,(SUMIFS(P:P,A:A,A42)-S42)/S42,(S42-SUMIFS(P:P,A:A,A42))/SUMIFS(P:P,A:A,A42)),"."),".")</f>
        <v>.</v>
      </c>
    </row>
    <row r="43" spans="1:52" s="521" customFormat="1" ht="15.9" customHeight="1" x14ac:dyDescent="0.3">
      <c r="A43" s="17" t="s">
        <v>386</v>
      </c>
      <c r="B43" s="17" t="s">
        <v>344</v>
      </c>
      <c r="C43" s="174">
        <v>44866</v>
      </c>
      <c r="D43" s="5" t="s">
        <v>256</v>
      </c>
      <c r="E43" s="5" t="s">
        <v>384</v>
      </c>
      <c r="F43" s="175" t="s">
        <v>387</v>
      </c>
      <c r="G43" s="15" t="s">
        <v>364</v>
      </c>
      <c r="H43" s="176" t="s">
        <v>341</v>
      </c>
      <c r="I43" s="17" t="s">
        <v>358</v>
      </c>
      <c r="J43" s="113" t="str">
        <f>VLOOKUP($I43,'Price List, Weapons &amp; Items'!B:C,2,0)</f>
        <v>Humanitarian</v>
      </c>
      <c r="K43" s="113" t="str">
        <f>IF(I43=".",I43,VLOOKUP($I43,'Price List, Weapons &amp; Items'!B:D,3,0))</f>
        <v>Humanitarian</v>
      </c>
      <c r="L43" s="177">
        <f>VLOOKUP(I43,'Price List, Weapons &amp; Items'!B:E,4,0)</f>
        <v>0</v>
      </c>
      <c r="M43" s="554">
        <v>7</v>
      </c>
      <c r="N43" s="542" t="s">
        <v>270</v>
      </c>
      <c r="O43" s="543">
        <f>VLOOKUP($I43,'Price List, Weapons &amp; Items'!B:G,6,0)</f>
        <v>317500</v>
      </c>
      <c r="P43" s="176">
        <f t="shared" si="6"/>
        <v>2222500</v>
      </c>
      <c r="Q43" s="176" t="str">
        <f t="shared" si="7"/>
        <v>.</v>
      </c>
      <c r="R43" s="176">
        <f t="shared" si="2"/>
        <v>5422500</v>
      </c>
      <c r="S43" s="176">
        <f>IF(AND(AD43=1,R43&lt;&gt;".")=TRUE,R43/VLOOKUP(G43,'Exchange Rates'!B:C,2,0),IF(R43=".",".",""))</f>
        <v>5422500</v>
      </c>
      <c r="T43" s="176" t="str">
        <f>IF(AD43=1,IF(AF43="Value is not given at all",".",IF(AF43="Value is given by the source",S43,IF(AF43="Value is calculated with prices",(IF(SUMIFS(Q:Q,A:A,A43)&gt;0,SUMIFS(Q:Q,A:A,A43),"."))/VLOOKUP("USD",'Exchange Rates'!B:C,2,0),"Error with coding"))),"")</f>
        <v>.</v>
      </c>
      <c r="U43" s="15" t="s">
        <v>261</v>
      </c>
      <c r="V43" s="300" t="s">
        <v>382</v>
      </c>
      <c r="W43" s="144" t="s">
        <v>260</v>
      </c>
      <c r="X43" s="144" t="s">
        <v>260</v>
      </c>
      <c r="Y43" s="175" t="s">
        <v>260</v>
      </c>
      <c r="Z43" s="180">
        <v>0</v>
      </c>
      <c r="AA43" s="180">
        <v>0</v>
      </c>
      <c r="AB43" s="184" t="s">
        <v>260</v>
      </c>
      <c r="AC43" s="544" t="str">
        <f>""</f>
        <v/>
      </c>
      <c r="AD43" s="183">
        <v>1</v>
      </c>
      <c r="AE43" s="183" t="s">
        <v>264</v>
      </c>
      <c r="AF43" s="183" t="s">
        <v>265</v>
      </c>
      <c r="AG43" s="183">
        <v>1</v>
      </c>
      <c r="AH43" s="181">
        <v>11</v>
      </c>
      <c r="AI43" s="181">
        <v>0</v>
      </c>
      <c r="AJ43" s="181">
        <f>VLOOKUP($I43,'Price List, Weapons &amp; Items'!B:F,5,0)</f>
        <v>0</v>
      </c>
      <c r="AK43" s="181">
        <f t="shared" si="8"/>
        <v>0</v>
      </c>
      <c r="AL43" s="181">
        <f t="shared" si="9"/>
        <v>0</v>
      </c>
      <c r="AM43" s="181">
        <f t="shared" si="10"/>
        <v>0</v>
      </c>
      <c r="AN43" s="180" t="str">
        <f>VLOOKUP($I43,'Price List, Weapons &amp; Items'!B:L,COLUMN('Price List, Weapons &amp; Items'!$J$11)-1,0)</f>
        <v>Media reports (incl. social media)</v>
      </c>
      <c r="AO43" s="180" t="str">
        <f>IF(I43=".",".",VLOOKUP($I43,'Price List, Weapons &amp; Items'!B:J,3,0))</f>
        <v>Humanitarian</v>
      </c>
      <c r="AP43" s="545" t="e">
        <f t="shared" ca="1" si="11"/>
        <v>#NAME?</v>
      </c>
      <c r="AQ43" s="180">
        <f>VLOOKUP($I43,'Price List, Weapons &amp; Items'!B:L,COLUMN('Price List, Weapons &amp; Items'!$L$11)-1,0)</f>
        <v>0</v>
      </c>
      <c r="AR43" s="180">
        <f t="shared" si="12"/>
        <v>1</v>
      </c>
      <c r="AS43" s="180">
        <f t="shared" si="13"/>
        <v>0</v>
      </c>
      <c r="AT43" s="180">
        <f t="shared" si="5"/>
        <v>1</v>
      </c>
      <c r="AU43" s="180" t="str">
        <f t="shared" si="14"/>
        <v>.</v>
      </c>
      <c r="AV43" s="180" t="str">
        <f t="shared" si="15"/>
        <v>.</v>
      </c>
      <c r="AW43" s="180">
        <f>IFERROR(VLOOKUP(B43,'Share, Heavy Weapons to Ukraine'!B:J,COLUMN('Share, Heavy Weapons to Ukraine'!C51)-1,0),0)</f>
        <v>0</v>
      </c>
      <c r="AX43" s="180">
        <f>VLOOKUP('Bilateral Assistance, MAIN DATA'!B43,'Country Summary'!B:F,COLUMN('Country Summary'!C54)-1,FALSE)</f>
        <v>1</v>
      </c>
      <c r="AY43" s="180" t="str">
        <f>IF(AND(AD43=1,D43="Military",H43&lt;&gt;"Not given")=TRUE,IF(SUMIFS(P:P,A:A,A43)&gt;0,ABS((SUMIFS(P:P,A:A,A43)/VLOOKUP("USD",'Exchange Rates'!B:C,2,0)))/S43,"."),".")</f>
        <v>.</v>
      </c>
      <c r="AZ43" s="182" t="str">
        <f>IF(AND(AD43=1,D43="Military",H43&lt;&gt;"Not given")=TRUE,IF(SUMIFS(P:P,A:A,A43)&gt;0,IF((ABS((SUMIFS(P:P,A:A,A43)/VLOOKUP("USD",'Exchange Rates'!B:C,2,0)))/S43)&gt;1,(SUMIFS(P:P,A:A,A43)-S43)/S43,(S43-SUMIFS(P:P,A:A,A43))/SUMIFS(P:P,A:A,A43)),"."),".")</f>
        <v>.</v>
      </c>
    </row>
    <row r="44" spans="1:52" s="521" customFormat="1" ht="15.9" customHeight="1" x14ac:dyDescent="0.3">
      <c r="A44" s="17" t="s">
        <v>386</v>
      </c>
      <c r="B44" s="17" t="s">
        <v>344</v>
      </c>
      <c r="C44" s="174">
        <v>44866</v>
      </c>
      <c r="D44" s="5" t="s">
        <v>256</v>
      </c>
      <c r="E44" s="5" t="s">
        <v>384</v>
      </c>
      <c r="F44" s="175" t="s">
        <v>387</v>
      </c>
      <c r="G44" s="15" t="s">
        <v>364</v>
      </c>
      <c r="H44" s="176" t="s">
        <v>341</v>
      </c>
      <c r="I44" s="17" t="s">
        <v>373</v>
      </c>
      <c r="J44" s="113" t="str">
        <f>VLOOKUP($I44,'Price List, Weapons &amp; Items'!B:C,2,0)</f>
        <v>Humanitarian</v>
      </c>
      <c r="K44" s="113" t="str">
        <f>IF(I44=".",I44,VLOOKUP($I44,'Price List, Weapons &amp; Items'!B:D,3,0))</f>
        <v>Humanitarian</v>
      </c>
      <c r="L44" s="177">
        <f>VLOOKUP(I44,'Price List, Weapons &amp; Items'!B:E,4,0)</f>
        <v>0</v>
      </c>
      <c r="M44" s="554">
        <v>8</v>
      </c>
      <c r="N44" s="542" t="s">
        <v>270</v>
      </c>
      <c r="O44" s="543">
        <f>VLOOKUP($I44,'Price List, Weapons &amp; Items'!B:G,6,0)</f>
        <v>400000</v>
      </c>
      <c r="P44" s="176">
        <f t="shared" si="6"/>
        <v>3200000</v>
      </c>
      <c r="Q44" s="176" t="str">
        <f t="shared" si="7"/>
        <v>.</v>
      </c>
      <c r="R44" s="176" t="str">
        <f t="shared" si="2"/>
        <v/>
      </c>
      <c r="S44" s="176" t="str">
        <f>IF(AND(AD44=1,R44&lt;&gt;".")=TRUE,R44/VLOOKUP(G44,'Exchange Rates'!B:C,2,0),IF(R44=".",".",""))</f>
        <v/>
      </c>
      <c r="T44" s="176" t="str">
        <f>IF(AD44=1,IF(AF44="Value is not given at all",".",IF(AF44="Value is given by the source",S44,IF(AF44="Value is calculated with prices",(IF(SUMIFS(Q:Q,A:A,A44)&gt;0,SUMIFS(Q:Q,A:A,A44),"."))/VLOOKUP("USD",'Exchange Rates'!B:C,2,0),"Error with coding"))),"")</f>
        <v/>
      </c>
      <c r="U44" s="15" t="s">
        <v>261</v>
      </c>
      <c r="V44" s="300" t="s">
        <v>382</v>
      </c>
      <c r="W44" s="144" t="s">
        <v>260</v>
      </c>
      <c r="X44" s="144" t="s">
        <v>260</v>
      </c>
      <c r="Y44" s="175" t="s">
        <v>260</v>
      </c>
      <c r="Z44" s="180">
        <v>0</v>
      </c>
      <c r="AA44" s="180">
        <v>0</v>
      </c>
      <c r="AB44" s="184" t="s">
        <v>260</v>
      </c>
      <c r="AC44" s="544" t="str">
        <f>""</f>
        <v/>
      </c>
      <c r="AD44" s="183">
        <v>0</v>
      </c>
      <c r="AE44" s="183" t="s">
        <v>264</v>
      </c>
      <c r="AF44" s="183" t="s">
        <v>265</v>
      </c>
      <c r="AG44" s="183">
        <v>1</v>
      </c>
      <c r="AH44" s="181">
        <v>11</v>
      </c>
      <c r="AI44" s="181">
        <v>0</v>
      </c>
      <c r="AJ44" s="181">
        <f>VLOOKUP($I44,'Price List, Weapons &amp; Items'!B:F,5,0)</f>
        <v>0</v>
      </c>
      <c r="AK44" s="181">
        <f t="shared" si="8"/>
        <v>0</v>
      </c>
      <c r="AL44" s="181">
        <f t="shared" si="9"/>
        <v>0</v>
      </c>
      <c r="AM44" s="181">
        <f t="shared" si="10"/>
        <v>0</v>
      </c>
      <c r="AN44" s="180" t="str">
        <f>VLOOKUP($I44,'Price List, Weapons &amp; Items'!B:L,COLUMN('Price List, Weapons &amp; Items'!$J$11)-1,0)</f>
        <v>Media reports (incl. social media)</v>
      </c>
      <c r="AO44" s="180" t="str">
        <f>IF(I44=".",".",VLOOKUP($I44,'Price List, Weapons &amp; Items'!B:J,3,0))</f>
        <v>Humanitarian</v>
      </c>
      <c r="AP44" s="545" t="str">
        <f t="shared" ca="1" si="11"/>
        <v/>
      </c>
      <c r="AQ44" s="180">
        <f>VLOOKUP($I44,'Price List, Weapons &amp; Items'!B:L,COLUMN('Price List, Weapons &amp; Items'!$L$11)-1,0)</f>
        <v>0</v>
      </c>
      <c r="AR44" s="180">
        <f t="shared" si="12"/>
        <v>1</v>
      </c>
      <c r="AS44" s="180">
        <f t="shared" si="13"/>
        <v>0</v>
      </c>
      <c r="AT44" s="180">
        <f t="shared" si="5"/>
        <v>1</v>
      </c>
      <c r="AU44" s="180" t="str">
        <f t="shared" si="14"/>
        <v>.</v>
      </c>
      <c r="AV44" s="180" t="str">
        <f t="shared" si="15"/>
        <v>.</v>
      </c>
      <c r="AW44" s="180">
        <f>IFERROR(VLOOKUP(B44,'Share, Heavy Weapons to Ukraine'!B:J,COLUMN('Share, Heavy Weapons to Ukraine'!C52)-1,0),0)</f>
        <v>0</v>
      </c>
      <c r="AX44" s="180">
        <f>VLOOKUP('Bilateral Assistance, MAIN DATA'!B44,'Country Summary'!B:F,COLUMN('Country Summary'!C55)-1,FALSE)</f>
        <v>1</v>
      </c>
      <c r="AY44" s="180" t="str">
        <f>IF(AND(AD44=1,D44="Military",H44&lt;&gt;"Not given")=TRUE,IF(SUMIFS(P:P,A:A,A44)&gt;0,ABS((SUMIFS(P:P,A:A,A44)/VLOOKUP("USD",'Exchange Rates'!B:C,2,0)))/S44,"."),".")</f>
        <v>.</v>
      </c>
      <c r="AZ44" s="182" t="str">
        <f>IF(AND(AD44=1,D44="Military",H44&lt;&gt;"Not given")=TRUE,IF(SUMIFS(P:P,A:A,A44)&gt;0,IF((ABS((SUMIFS(P:P,A:A,A44)/VLOOKUP("USD",'Exchange Rates'!B:C,2,0)))/S44)&gt;1,(SUMIFS(P:P,A:A,A44)-S44)/S44,(S44-SUMIFS(P:P,A:A,A44))/SUMIFS(P:P,A:A,A44)),"."),".")</f>
        <v>.</v>
      </c>
    </row>
    <row r="45" spans="1:52" s="521" customFormat="1" ht="15.9" customHeight="1" x14ac:dyDescent="0.3">
      <c r="A45" s="17" t="s">
        <v>388</v>
      </c>
      <c r="B45" s="17" t="s">
        <v>344</v>
      </c>
      <c r="C45" s="174">
        <v>44866</v>
      </c>
      <c r="D45" s="5" t="s">
        <v>256</v>
      </c>
      <c r="E45" s="5" t="s">
        <v>384</v>
      </c>
      <c r="F45" s="1139" t="s">
        <v>389</v>
      </c>
      <c r="G45" s="15" t="s">
        <v>364</v>
      </c>
      <c r="H45" s="176">
        <f>87000000-SUM(S27:S39)-SUM(S41:S44)</f>
        <v>21060833.333333332</v>
      </c>
      <c r="I45" s="17" t="s">
        <v>260</v>
      </c>
      <c r="J45" s="113" t="str">
        <f>VLOOKUP($I45,'Price List, Weapons &amp; Items'!B:C,2,0)</f>
        <v>.</v>
      </c>
      <c r="K45" s="113" t="str">
        <f>IF(I45=".",I45,VLOOKUP($I45,'Price List, Weapons &amp; Items'!B:D,3,0))</f>
        <v>.</v>
      </c>
      <c r="L45" s="177">
        <f>VLOOKUP(I45,'Price List, Weapons &amp; Items'!B:E,4,0)</f>
        <v>0</v>
      </c>
      <c r="M45" s="554" t="s">
        <v>260</v>
      </c>
      <c r="N45" s="542" t="s">
        <v>260</v>
      </c>
      <c r="O45" s="543" t="str">
        <f>VLOOKUP($I45,'Price List, Weapons &amp; Items'!B:G,6,0)</f>
        <v>.</v>
      </c>
      <c r="P45" s="176" t="str">
        <f t="shared" si="6"/>
        <v>.</v>
      </c>
      <c r="Q45" s="176" t="str">
        <f t="shared" si="7"/>
        <v>.</v>
      </c>
      <c r="R45" s="176">
        <f t="shared" si="2"/>
        <v>21060833.333333332</v>
      </c>
      <c r="S45" s="176">
        <f>IF(AND(AD45=1,R45&lt;&gt;".")=TRUE,R45/VLOOKUP(G45,'Exchange Rates'!B:C,2,0),IF(R45=".",".",""))</f>
        <v>21060833.333333332</v>
      </c>
      <c r="T45" s="176" t="str">
        <f>IF(AD45=1,IF(AF45="Value is not given at all",".",IF(AF45="Value is given by the source",S45,IF(AF45="Value is calculated with prices",(IF(SUMIFS(Q:Q,A:A,A45)&gt;0,SUMIFS(Q:Q,A:A,A45),"."))/VLOOKUP("USD",'Exchange Rates'!B:C,2,0),"Error with coding"))),"")</f>
        <v>.</v>
      </c>
      <c r="U45" s="15" t="s">
        <v>261</v>
      </c>
      <c r="V45" s="300" t="s">
        <v>390</v>
      </c>
      <c r="W45" s="300" t="s">
        <v>391</v>
      </c>
      <c r="X45" s="144" t="s">
        <v>260</v>
      </c>
      <c r="Y45" s="175" t="s">
        <v>260</v>
      </c>
      <c r="Z45" s="15">
        <v>0</v>
      </c>
      <c r="AA45" s="199">
        <v>1</v>
      </c>
      <c r="AB45" s="184" t="s">
        <v>260</v>
      </c>
      <c r="AC45" s="659" t="str">
        <f>""</f>
        <v/>
      </c>
      <c r="AD45" s="183">
        <v>1</v>
      </c>
      <c r="AE45" s="183" t="s">
        <v>264</v>
      </c>
      <c r="AF45" s="183" t="s">
        <v>265</v>
      </c>
      <c r="AG45" s="183">
        <v>1</v>
      </c>
      <c r="AH45" s="183">
        <v>11</v>
      </c>
      <c r="AI45" s="183">
        <v>0</v>
      </c>
      <c r="AJ45" s="183">
        <f>VLOOKUP($I45,'Price List, Weapons &amp; Items'!B:F,5,0)</f>
        <v>0</v>
      </c>
      <c r="AK45" s="183">
        <f t="shared" si="8"/>
        <v>0</v>
      </c>
      <c r="AL45" s="183">
        <f t="shared" si="9"/>
        <v>0</v>
      </c>
      <c r="AM45" s="183">
        <f t="shared" si="10"/>
        <v>0</v>
      </c>
      <c r="AN45" s="15" t="str">
        <f>VLOOKUP($I45,'Price List, Weapons &amp; Items'!B:L,COLUMN('Price List, Weapons &amp; Items'!$J$11)-1,0)</f>
        <v>.</v>
      </c>
      <c r="AO45" s="15" t="str">
        <f>IF(I45=".",".",VLOOKUP($I45,'Price List, Weapons &amp; Items'!B:J,3,0))</f>
        <v>.</v>
      </c>
      <c r="AP45" s="660" t="e">
        <f t="shared" ca="1" si="11"/>
        <v>#NAME?</v>
      </c>
      <c r="AQ45" s="15" t="str">
        <f>VLOOKUP($I45,'Price List, Weapons &amp; Items'!B:L,COLUMN('Price List, Weapons &amp; Items'!$L$11)-1,0)</f>
        <v>no price, 0 count</v>
      </c>
      <c r="AR45" s="15">
        <f t="shared" si="12"/>
        <v>1</v>
      </c>
      <c r="AS45" s="15">
        <f t="shared" si="13"/>
        <v>0</v>
      </c>
      <c r="AT45" s="180">
        <f t="shared" si="5"/>
        <v>1</v>
      </c>
      <c r="AU45" s="15" t="str">
        <f t="shared" si="14"/>
        <v>.</v>
      </c>
      <c r="AV45" s="15" t="str">
        <f t="shared" si="15"/>
        <v>.</v>
      </c>
      <c r="AW45" s="180">
        <f>IFERROR(VLOOKUP(B45,'Share, Heavy Weapons to Ukraine'!B:J,COLUMN('Share, Heavy Weapons to Ukraine'!C53)-1,0),0)</f>
        <v>0</v>
      </c>
      <c r="AX45" s="180">
        <f>VLOOKUP('Bilateral Assistance, MAIN DATA'!B45,'Country Summary'!B:F,COLUMN('Country Summary'!C56)-1,FALSE)</f>
        <v>1</v>
      </c>
      <c r="AY45" s="180" t="str">
        <f>IF(AND(AD45=1,D45="Military",H45&lt;&gt;"Not given")=TRUE,IF(SUMIFS(P:P,A:A,A45)&gt;0,ABS((SUMIFS(P:P,A:A,A45)/VLOOKUP("USD",'Exchange Rates'!B:C,2,0)))/S45,"."),".")</f>
        <v>.</v>
      </c>
      <c r="AZ45" s="182" t="str">
        <f>IF(AND(AD45=1,D45="Military",H45&lt;&gt;"Not given")=TRUE,IF(SUMIFS(P:P,A:A,A45)&gt;0,IF((ABS((SUMIFS(P:P,A:A,A45)/VLOOKUP("USD",'Exchange Rates'!B:C,2,0)))/S45)&gt;1,(SUMIFS(P:P,A:A,A45)-S45)/S45,(S45-SUMIFS(P:P,A:A,A45))/SUMIFS(P:P,A:A,A45)),"."),".")</f>
        <v>.</v>
      </c>
    </row>
    <row r="46" spans="1:52" s="521" customFormat="1" ht="15.9" customHeight="1" x14ac:dyDescent="0.3">
      <c r="A46" s="17" t="s">
        <v>392</v>
      </c>
      <c r="B46" s="17" t="s">
        <v>344</v>
      </c>
      <c r="C46" s="174">
        <v>44911</v>
      </c>
      <c r="D46" s="5" t="s">
        <v>256</v>
      </c>
      <c r="E46" s="5" t="s">
        <v>362</v>
      </c>
      <c r="F46" s="175" t="s">
        <v>393</v>
      </c>
      <c r="G46" s="15" t="s">
        <v>364</v>
      </c>
      <c r="H46" s="176">
        <v>5000000</v>
      </c>
      <c r="I46" s="17" t="s">
        <v>260</v>
      </c>
      <c r="J46" s="113" t="str">
        <f>VLOOKUP($I46,'Price List, Weapons &amp; Items'!B:C,2,0)</f>
        <v>.</v>
      </c>
      <c r="K46" s="113" t="str">
        <f>IF(I46=".",I46,VLOOKUP($I46,'Price List, Weapons &amp; Items'!B:D,3,0))</f>
        <v>.</v>
      </c>
      <c r="L46" s="177">
        <f>VLOOKUP(I46,'Price List, Weapons &amp; Items'!B:E,4,0)</f>
        <v>0</v>
      </c>
      <c r="M46" s="554" t="s">
        <v>260</v>
      </c>
      <c r="N46" s="542" t="s">
        <v>260</v>
      </c>
      <c r="O46" s="543" t="str">
        <f>VLOOKUP($I46,'Price List, Weapons &amp; Items'!B:G,6,0)</f>
        <v>.</v>
      </c>
      <c r="P46" s="176" t="str">
        <f t="shared" si="6"/>
        <v>.</v>
      </c>
      <c r="Q46" s="176" t="str">
        <f t="shared" si="7"/>
        <v>.</v>
      </c>
      <c r="R46" s="176">
        <f t="shared" si="2"/>
        <v>5000000</v>
      </c>
      <c r="S46" s="176">
        <f>IF(AND(AD46=1,R46&lt;&gt;".")=TRUE,R46/VLOOKUP(G46,'Exchange Rates'!B:C,2,0),IF(R46=".",".",""))</f>
        <v>5000000</v>
      </c>
      <c r="T46" s="176" t="str">
        <f>IF(AD46=1,IF(AF46="Value is not given at all",".",IF(AF46="Value is given by the source",S46,IF(AF46="Value is calculated with prices",(IF(SUMIFS(Q:Q,A:A,A46)&gt;0,SUMIFS(Q:Q,A:A,A46),"."))/VLOOKUP("USD",'Exchange Rates'!B:C,2,0),"Error with coding"))),"")</f>
        <v>.</v>
      </c>
      <c r="U46" s="15" t="s">
        <v>261</v>
      </c>
      <c r="V46" s="300" t="s">
        <v>394</v>
      </c>
      <c r="W46" s="144" t="s">
        <v>260</v>
      </c>
      <c r="X46" s="144" t="s">
        <v>260</v>
      </c>
      <c r="Y46" s="175" t="s">
        <v>260</v>
      </c>
      <c r="Z46" s="15">
        <v>0</v>
      </c>
      <c r="AA46" s="199">
        <v>1</v>
      </c>
      <c r="AB46" s="184" t="s">
        <v>260</v>
      </c>
      <c r="AC46" s="659" t="str">
        <f>""</f>
        <v/>
      </c>
      <c r="AD46" s="183">
        <v>1</v>
      </c>
      <c r="AE46" s="183" t="s">
        <v>264</v>
      </c>
      <c r="AF46" s="183" t="s">
        <v>265</v>
      </c>
      <c r="AG46" s="183">
        <v>1</v>
      </c>
      <c r="AH46" s="183">
        <v>12</v>
      </c>
      <c r="AI46" s="183">
        <v>0</v>
      </c>
      <c r="AJ46" s="183">
        <f>VLOOKUP($I46,'Price List, Weapons &amp; Items'!B:F,5,0)</f>
        <v>0</v>
      </c>
      <c r="AK46" s="183">
        <f t="shared" si="8"/>
        <v>0</v>
      </c>
      <c r="AL46" s="183">
        <f t="shared" si="9"/>
        <v>0</v>
      </c>
      <c r="AM46" s="183">
        <f t="shared" si="10"/>
        <v>0</v>
      </c>
      <c r="AN46" s="15" t="str">
        <f>VLOOKUP($I46,'Price List, Weapons &amp; Items'!B:L,COLUMN('Price List, Weapons &amp; Items'!$J$11)-1,0)</f>
        <v>.</v>
      </c>
      <c r="AO46" s="15" t="str">
        <f>IF(I46=".",".",VLOOKUP($I46,'Price List, Weapons &amp; Items'!B:J,3,0))</f>
        <v>.</v>
      </c>
      <c r="AP46" s="660" t="e">
        <f t="shared" ca="1" si="11"/>
        <v>#NAME?</v>
      </c>
      <c r="AQ46" s="15" t="str">
        <f>VLOOKUP($I46,'Price List, Weapons &amp; Items'!B:L,COLUMN('Price List, Weapons &amp; Items'!$L$11)-1,0)</f>
        <v>no price, 0 count</v>
      </c>
      <c r="AR46" s="15">
        <f t="shared" si="12"/>
        <v>1</v>
      </c>
      <c r="AS46" s="15">
        <f t="shared" si="13"/>
        <v>0</v>
      </c>
      <c r="AT46" s="180">
        <f t="shared" si="5"/>
        <v>1</v>
      </c>
      <c r="AU46" s="15" t="str">
        <f t="shared" si="14"/>
        <v>.</v>
      </c>
      <c r="AV46" s="15" t="str">
        <f t="shared" si="15"/>
        <v>.</v>
      </c>
      <c r="AW46" s="180">
        <f>IFERROR(VLOOKUP(B46,'Share, Heavy Weapons to Ukraine'!B:J,COLUMN('Share, Heavy Weapons to Ukraine'!C54)-1,0),0)</f>
        <v>0</v>
      </c>
      <c r="AX46" s="180">
        <f>VLOOKUP('Bilateral Assistance, MAIN DATA'!B46,'Country Summary'!B:F,COLUMN('Country Summary'!C57)-1,FALSE)</f>
        <v>1</v>
      </c>
      <c r="AY46" s="180" t="str">
        <f>IF(AND(AD46=1,D46="Military",H46&lt;&gt;"Not given")=TRUE,IF(SUMIFS(P:P,A:A,A46)&gt;0,ABS((SUMIFS(P:P,A:A,A46)/VLOOKUP("USD",'Exchange Rates'!B:C,2,0)))/S46,"."),".")</f>
        <v>.</v>
      </c>
      <c r="AZ46" s="182" t="str">
        <f>IF(AND(AD46=1,D46="Military",H46&lt;&gt;"Not given")=TRUE,IF(SUMIFS(P:P,A:A,A46)&gt;0,IF((ABS((SUMIFS(P:P,A:A,A46)/VLOOKUP("USD",'Exchange Rates'!B:C,2,0)))/S46)&gt;1,(SUMIFS(P:P,A:A,A46)-S46)/S46,(S46-SUMIFS(P:P,A:A,A46))/SUMIFS(P:P,A:A,A46)),"."),".")</f>
        <v>.</v>
      </c>
    </row>
    <row r="47" spans="1:52" s="519" customFormat="1" ht="15.9" customHeight="1" x14ac:dyDescent="0.3">
      <c r="A47" s="5" t="s">
        <v>395</v>
      </c>
      <c r="B47" s="5" t="s">
        <v>344</v>
      </c>
      <c r="C47" s="174">
        <v>44633</v>
      </c>
      <c r="D47" s="5" t="s">
        <v>285</v>
      </c>
      <c r="E47" s="5" t="s">
        <v>294</v>
      </c>
      <c r="F47" s="175" t="s">
        <v>396</v>
      </c>
      <c r="G47" s="15" t="s">
        <v>346</v>
      </c>
      <c r="H47" s="176" t="s">
        <v>341</v>
      </c>
      <c r="I47" s="17" t="s">
        <v>397</v>
      </c>
      <c r="J47" s="113" t="str">
        <f>VLOOKUP($I47,'Price List, Weapons &amp; Items'!B:C,2,0)</f>
        <v>Military equipment</v>
      </c>
      <c r="K47" s="113" t="str">
        <f>IF(I47=".",I47,VLOOKUP($I47,'Price List, Weapons &amp; Items'!B:D,3,0))</f>
        <v>Military equipment</v>
      </c>
      <c r="L47" s="177">
        <f>VLOOKUP(I47,'Price List, Weapons &amp; Items'!B:E,4,0)</f>
        <v>0</v>
      </c>
      <c r="M47" s="554">
        <v>200000</v>
      </c>
      <c r="N47" s="542">
        <v>200000</v>
      </c>
      <c r="O47" s="543">
        <f>VLOOKUP($I47,'Price List, Weapons &amp; Items'!B:G,6,0)</f>
        <v>1.35</v>
      </c>
      <c r="P47" s="176">
        <f t="shared" si="6"/>
        <v>270000</v>
      </c>
      <c r="Q47" s="176">
        <f t="shared" si="7"/>
        <v>270000</v>
      </c>
      <c r="R47" s="176">
        <f t="shared" si="2"/>
        <v>3587374.05</v>
      </c>
      <c r="S47" s="176">
        <f>IF(AND(AD47=1,R47&lt;&gt;".")=TRUE,R47/VLOOKUP(G47,'Exchange Rates'!B:C,2,0),IF(R47=".",".",""))</f>
        <v>3416546.7142857141</v>
      </c>
      <c r="T47" s="176">
        <f>IF(AD47=1,IF(AF47="Value is not given at all",".",IF(AF47="Value is given by the source",S47,IF(AF47="Value is calculated with prices",(IF(SUMIFS(Q:Q,A:A,A47)&gt;0,SUMIFS(Q:Q,A:A,A47),"."))/VLOOKUP("USD",'Exchange Rates'!B:C,2,0),"Error with coding"))),"")</f>
        <v>3416546.7142857141</v>
      </c>
      <c r="U47" s="15" t="s">
        <v>261</v>
      </c>
      <c r="V47" s="547" t="s">
        <v>398</v>
      </c>
      <c r="W47" s="547" t="s">
        <v>399</v>
      </c>
      <c r="X47" s="188" t="s">
        <v>260</v>
      </c>
      <c r="Y47" s="188" t="s">
        <v>260</v>
      </c>
      <c r="Z47" s="15">
        <v>0</v>
      </c>
      <c r="AA47" s="180">
        <v>0</v>
      </c>
      <c r="AB47" s="549" t="s">
        <v>400</v>
      </c>
      <c r="AC47" s="544" t="str">
        <f>""</f>
        <v/>
      </c>
      <c r="AD47" s="181">
        <v>1</v>
      </c>
      <c r="AE47" s="181" t="s">
        <v>332</v>
      </c>
      <c r="AF47" s="181" t="s">
        <v>332</v>
      </c>
      <c r="AG47" s="181">
        <v>1</v>
      </c>
      <c r="AH47" s="181">
        <v>3</v>
      </c>
      <c r="AI47" s="181">
        <v>0</v>
      </c>
      <c r="AJ47" s="181">
        <f>VLOOKUP($I47,'Price List, Weapons &amp; Items'!B:F,5,0)</f>
        <v>0</v>
      </c>
      <c r="AK47" s="181">
        <f t="shared" si="8"/>
        <v>0</v>
      </c>
      <c r="AL47" s="181">
        <f t="shared" si="9"/>
        <v>0</v>
      </c>
      <c r="AM47" s="181">
        <f t="shared" si="10"/>
        <v>0</v>
      </c>
      <c r="AN47" s="180" t="str">
        <f>VLOOKUP($I47,'Price List, Weapons &amp; Items'!B:L,COLUMN('Price List, Weapons &amp; Items'!$J$11)-1,0)</f>
        <v>Miscellaneous</v>
      </c>
      <c r="AO47" s="180" t="str">
        <f>IF(I47=".",".",VLOOKUP($I47,'Price List, Weapons &amp; Items'!B:J,3,0))</f>
        <v>Military equipment</v>
      </c>
      <c r="AP47" s="545" t="e">
        <f t="shared" ca="1" si="11"/>
        <v>#NAME?</v>
      </c>
      <c r="AQ47" s="180">
        <f>VLOOKUP($I47,'Price List, Weapons &amp; Items'!B:L,COLUMN('Price List, Weapons &amp; Items'!$L$11)-1,0)</f>
        <v>1</v>
      </c>
      <c r="AR47" s="180">
        <f t="shared" si="12"/>
        <v>1</v>
      </c>
      <c r="AS47" s="180">
        <f t="shared" si="13"/>
        <v>1</v>
      </c>
      <c r="AT47" s="180">
        <f t="shared" si="5"/>
        <v>1</v>
      </c>
      <c r="AU47" s="180" t="str">
        <f t="shared" si="14"/>
        <v>.</v>
      </c>
      <c r="AV47" s="180" t="str">
        <f t="shared" si="15"/>
        <v>.</v>
      </c>
      <c r="AW47" s="180">
        <f>IFERROR(VLOOKUP(B47,'Share, Heavy Weapons to Ukraine'!B:J,COLUMN('Share, Heavy Weapons to Ukraine'!C55)-1,0),0)</f>
        <v>0</v>
      </c>
      <c r="AX47" s="180">
        <f>VLOOKUP('Bilateral Assistance, MAIN DATA'!B47,'Country Summary'!B:F,COLUMN('Country Summary'!C58)-1,FALSE)</f>
        <v>1</v>
      </c>
      <c r="AY47" s="180" t="str">
        <f>IF(AND(AD47=1,D47="Military",H47&lt;&gt;"Not given")=TRUE,IF(SUMIFS(P:P,A:A,A47)&gt;0,ABS((SUMIFS(P:P,A:A,A47)/VLOOKUP("USD",'Exchange Rates'!B:C,2,0)))/S47,"."),".")</f>
        <v>.</v>
      </c>
      <c r="AZ47" s="182" t="str">
        <f>IF(AND(AD47=1,D47="Military",H47&lt;&gt;"Not given")=TRUE,IF(SUMIFS(P:P,A:A,A47)&gt;0,IF((ABS((SUMIFS(P:P,A:A,A47)/VLOOKUP("USD",'Exchange Rates'!B:C,2,0)))/S47)&gt;1,(SUMIFS(P:P,A:A,A47)-S47)/S47,(S47-SUMIFS(P:P,A:A,A47))/SUMIFS(P:P,A:A,A47)),"."),".")</f>
        <v>.</v>
      </c>
    </row>
    <row r="48" spans="1:52" s="519" customFormat="1" ht="15.9" customHeight="1" x14ac:dyDescent="0.3">
      <c r="A48" s="5" t="s">
        <v>395</v>
      </c>
      <c r="B48" s="5" t="s">
        <v>344</v>
      </c>
      <c r="C48" s="174">
        <v>44633</v>
      </c>
      <c r="D48" s="5" t="s">
        <v>285</v>
      </c>
      <c r="E48" s="5" t="s">
        <v>294</v>
      </c>
      <c r="F48" s="175" t="s">
        <v>396</v>
      </c>
      <c r="G48" s="15" t="s">
        <v>346</v>
      </c>
      <c r="H48" s="176" t="s">
        <v>341</v>
      </c>
      <c r="I48" s="17" t="s">
        <v>401</v>
      </c>
      <c r="J48" s="113" t="str">
        <f>VLOOKUP($I48,'Price List, Weapons &amp; Items'!B:C,2,0)</f>
        <v>Military equipment</v>
      </c>
      <c r="K48" s="113" t="str">
        <f>IF(I48=".",I48,VLOOKUP($I48,'Price List, Weapons &amp; Items'!B:D,3,0))</f>
        <v>Military equipment</v>
      </c>
      <c r="L48" s="177">
        <f>VLOOKUP(I48,'Price List, Weapons &amp; Items'!B:E,4,0)</f>
        <v>0</v>
      </c>
      <c r="M48" s="554">
        <v>10059</v>
      </c>
      <c r="N48" s="554">
        <v>10059</v>
      </c>
      <c r="O48" s="543">
        <f>VLOOKUP($I48,'Price List, Weapons &amp; Items'!B:G,6,0)</f>
        <v>36.950000000000003</v>
      </c>
      <c r="P48" s="176">
        <f t="shared" si="6"/>
        <v>371680.05000000005</v>
      </c>
      <c r="Q48" s="176">
        <f t="shared" si="7"/>
        <v>371680.05000000005</v>
      </c>
      <c r="R48" s="176" t="str">
        <f t="shared" si="2"/>
        <v/>
      </c>
      <c r="S48" s="176" t="str">
        <f>IF(AND(AD48=1,R48&lt;&gt;".")=TRUE,R48/VLOOKUP(G48,'Exchange Rates'!B:C,2,0),IF(R48=".",".",""))</f>
        <v/>
      </c>
      <c r="T48" s="176" t="str">
        <f>IF(AD48=1,IF(AF48="Value is not given at all",".",IF(AF48="Value is given by the source",S48,IF(AF48="Value is calculated with prices",(IF(SUMIFS(Q:Q,A:A,A48)&gt;0,SUMIFS(Q:Q,A:A,A48),"."))/VLOOKUP("USD",'Exchange Rates'!B:C,2,0),"Error with coding"))),"")</f>
        <v/>
      </c>
      <c r="U48" s="15" t="s">
        <v>261</v>
      </c>
      <c r="V48" s="547" t="s">
        <v>398</v>
      </c>
      <c r="W48" s="547" t="s">
        <v>399</v>
      </c>
      <c r="X48" s="188" t="s">
        <v>260</v>
      </c>
      <c r="Y48" s="188" t="s">
        <v>260</v>
      </c>
      <c r="Z48" s="15">
        <v>0</v>
      </c>
      <c r="AA48" s="180">
        <v>0</v>
      </c>
      <c r="AB48" s="549" t="s">
        <v>398</v>
      </c>
      <c r="AC48" s="544" t="str">
        <f>""</f>
        <v/>
      </c>
      <c r="AD48" s="181">
        <v>0</v>
      </c>
      <c r="AE48" s="181" t="s">
        <v>332</v>
      </c>
      <c r="AF48" s="181" t="s">
        <v>332</v>
      </c>
      <c r="AG48" s="181">
        <v>1</v>
      </c>
      <c r="AH48" s="181">
        <v>3</v>
      </c>
      <c r="AI48" s="181">
        <v>0</v>
      </c>
      <c r="AJ48" s="181">
        <f>VLOOKUP($I48,'Price List, Weapons &amp; Items'!B:F,5,0)</f>
        <v>0</v>
      </c>
      <c r="AK48" s="181">
        <f t="shared" si="8"/>
        <v>0</v>
      </c>
      <c r="AL48" s="181">
        <f t="shared" si="9"/>
        <v>0</v>
      </c>
      <c r="AM48" s="181">
        <f t="shared" si="10"/>
        <v>0</v>
      </c>
      <c r="AN48" s="180" t="str">
        <f>VLOOKUP($I48,'Price List, Weapons &amp; Items'!B:L,COLUMN('Price List, Weapons &amp; Items'!$J$11)-1,0)</f>
        <v>Government information</v>
      </c>
      <c r="AO48" s="180" t="str">
        <f>IF(I48=".",".",VLOOKUP($I48,'Price List, Weapons &amp; Items'!B:J,3,0))</f>
        <v>Military equipment</v>
      </c>
      <c r="AP48" s="545" t="str">
        <f t="shared" ca="1" si="11"/>
        <v/>
      </c>
      <c r="AQ48" s="180">
        <f>VLOOKUP($I48,'Price List, Weapons &amp; Items'!B:L,COLUMN('Price List, Weapons &amp; Items'!$L$11)-1,0)</f>
        <v>1</v>
      </c>
      <c r="AR48" s="180">
        <f t="shared" si="12"/>
        <v>1</v>
      </c>
      <c r="AS48" s="180">
        <f t="shared" si="13"/>
        <v>1</v>
      </c>
      <c r="AT48" s="180">
        <f t="shared" si="5"/>
        <v>1</v>
      </c>
      <c r="AU48" s="180" t="str">
        <f t="shared" si="14"/>
        <v>.</v>
      </c>
      <c r="AV48" s="180" t="str">
        <f t="shared" si="15"/>
        <v>.</v>
      </c>
      <c r="AW48" s="180">
        <f>IFERROR(VLOOKUP(B48,'Share, Heavy Weapons to Ukraine'!B:J,COLUMN('Share, Heavy Weapons to Ukraine'!C56)-1,0),0)</f>
        <v>0</v>
      </c>
      <c r="AX48" s="180">
        <f>VLOOKUP('Bilateral Assistance, MAIN DATA'!B48,'Country Summary'!B:F,COLUMN('Country Summary'!C59)-1,FALSE)</f>
        <v>1</v>
      </c>
      <c r="AY48" s="180" t="str">
        <f>IF(AND(AD48=1,D48="Military",H48&lt;&gt;"Not given")=TRUE,IF(SUMIFS(P:P,A:A,A48)&gt;0,ABS((SUMIFS(P:P,A:A,A48)/VLOOKUP("USD",'Exchange Rates'!B:C,2,0)))/S48,"."),".")</f>
        <v>.</v>
      </c>
      <c r="AZ48" s="182" t="str">
        <f>IF(AND(AD48=1,D48="Military",H48&lt;&gt;"Not given")=TRUE,IF(SUMIFS(P:P,A:A,A48)&gt;0,IF((ABS((SUMIFS(P:P,A:A,A48)/VLOOKUP("USD",'Exchange Rates'!B:C,2,0)))/S48)&gt;1,(SUMIFS(P:P,A:A,A48)-S48)/S48,(S48-SUMIFS(P:P,A:A,A48))/SUMIFS(P:P,A:A,A48)),"."),".")</f>
        <v>.</v>
      </c>
    </row>
    <row r="49" spans="1:52" s="519" customFormat="1" ht="15.9" customHeight="1" x14ac:dyDescent="0.3">
      <c r="A49" s="5" t="s">
        <v>395</v>
      </c>
      <c r="B49" s="5" t="s">
        <v>344</v>
      </c>
      <c r="C49" s="174">
        <v>44633</v>
      </c>
      <c r="D49" s="5" t="s">
        <v>285</v>
      </c>
      <c r="E49" s="5" t="s">
        <v>294</v>
      </c>
      <c r="F49" s="175" t="s">
        <v>396</v>
      </c>
      <c r="G49" s="15" t="s">
        <v>346</v>
      </c>
      <c r="H49" s="176" t="s">
        <v>341</v>
      </c>
      <c r="I49" s="17" t="s">
        <v>402</v>
      </c>
      <c r="J49" s="113" t="str">
        <f>VLOOKUP($I49,'Price List, Weapons &amp; Items'!B:C,2,0)</f>
        <v>Military equipment</v>
      </c>
      <c r="K49" s="113" t="str">
        <f>IF(I49=".",I49,VLOOKUP($I49,'Price List, Weapons &amp; Items'!B:D,3,0))</f>
        <v>Military equipment</v>
      </c>
      <c r="L49" s="177">
        <f>VLOOKUP(I49,'Price List, Weapons &amp; Items'!B:E,4,0)</f>
        <v>0</v>
      </c>
      <c r="M49" s="554">
        <v>9300</v>
      </c>
      <c r="N49" s="554">
        <v>9300</v>
      </c>
      <c r="O49" s="543">
        <f>VLOOKUP($I49,'Price List, Weapons &amp; Items'!B:G,6,0)</f>
        <v>316.68</v>
      </c>
      <c r="P49" s="176">
        <f t="shared" si="6"/>
        <v>2945124</v>
      </c>
      <c r="Q49" s="176">
        <f t="shared" si="7"/>
        <v>2945124</v>
      </c>
      <c r="R49" s="176" t="str">
        <f t="shared" si="2"/>
        <v/>
      </c>
      <c r="S49" s="176" t="str">
        <f>IF(AND(AD49=1,R49&lt;&gt;".")=TRUE,R49/VLOOKUP(G49,'Exchange Rates'!B:C,2,0),IF(R49=".",".",""))</f>
        <v/>
      </c>
      <c r="T49" s="176" t="str">
        <f>IF(AD49=1,IF(AF49="Value is not given at all",".",IF(AF49="Value is given by the source",S49,IF(AF49="Value is calculated with prices",(IF(SUMIFS(Q:Q,A:A,A49)&gt;0,SUMIFS(Q:Q,A:A,A49),"."))/VLOOKUP("USD",'Exchange Rates'!B:C,2,0),"Error with coding"))),"")</f>
        <v/>
      </c>
      <c r="U49" s="15" t="s">
        <v>261</v>
      </c>
      <c r="V49" s="547" t="s">
        <v>398</v>
      </c>
      <c r="W49" s="547" t="s">
        <v>399</v>
      </c>
      <c r="X49" s="188" t="s">
        <v>260</v>
      </c>
      <c r="Y49" s="188" t="s">
        <v>260</v>
      </c>
      <c r="Z49" s="15">
        <v>0</v>
      </c>
      <c r="AA49" s="180">
        <v>0</v>
      </c>
      <c r="AB49" s="549" t="s">
        <v>398</v>
      </c>
      <c r="AC49" s="544" t="str">
        <f>""</f>
        <v/>
      </c>
      <c r="AD49" s="181">
        <v>0</v>
      </c>
      <c r="AE49" s="181" t="s">
        <v>332</v>
      </c>
      <c r="AF49" s="181" t="s">
        <v>332</v>
      </c>
      <c r="AG49" s="181">
        <v>1</v>
      </c>
      <c r="AH49" s="181">
        <v>3</v>
      </c>
      <c r="AI49" s="181">
        <v>0</v>
      </c>
      <c r="AJ49" s="181">
        <f>VLOOKUP($I49,'Price List, Weapons &amp; Items'!B:F,5,0)</f>
        <v>0</v>
      </c>
      <c r="AK49" s="181">
        <f t="shared" si="8"/>
        <v>0</v>
      </c>
      <c r="AL49" s="181">
        <f t="shared" si="9"/>
        <v>0</v>
      </c>
      <c r="AM49" s="181">
        <f t="shared" si="10"/>
        <v>0</v>
      </c>
      <c r="AN49" s="180" t="str">
        <f>VLOOKUP($I49,'Price List, Weapons &amp; Items'!B:L,COLUMN('Price List, Weapons &amp; Items'!$J$11)-1,0)</f>
        <v>Online marketplaces and stores</v>
      </c>
      <c r="AO49" s="180" t="str">
        <f>IF(I49=".",".",VLOOKUP($I49,'Price List, Weapons &amp; Items'!B:J,3,0))</f>
        <v>Military equipment</v>
      </c>
      <c r="AP49" s="545" t="str">
        <f t="shared" ca="1" si="11"/>
        <v/>
      </c>
      <c r="AQ49" s="180">
        <f>VLOOKUP($I49,'Price List, Weapons &amp; Items'!B:L,COLUMN('Price List, Weapons &amp; Items'!$L$11)-1,0)</f>
        <v>2</v>
      </c>
      <c r="AR49" s="180">
        <f t="shared" si="12"/>
        <v>1</v>
      </c>
      <c r="AS49" s="180">
        <f t="shared" si="13"/>
        <v>1</v>
      </c>
      <c r="AT49" s="180">
        <f t="shared" si="5"/>
        <v>1</v>
      </c>
      <c r="AU49" s="180" t="str">
        <f t="shared" si="14"/>
        <v>.</v>
      </c>
      <c r="AV49" s="180" t="str">
        <f t="shared" si="15"/>
        <v>.</v>
      </c>
      <c r="AW49" s="180">
        <f>IFERROR(VLOOKUP(B49,'Share, Heavy Weapons to Ukraine'!B:J,COLUMN('Share, Heavy Weapons to Ukraine'!C57)-1,0),0)</f>
        <v>0</v>
      </c>
      <c r="AX49" s="180">
        <f>VLOOKUP('Bilateral Assistance, MAIN DATA'!B49,'Country Summary'!B:F,COLUMN('Country Summary'!C60)-1,FALSE)</f>
        <v>1</v>
      </c>
      <c r="AY49" s="180" t="str">
        <f>IF(AND(AD49=1,D49="Military",H49&lt;&gt;"Not given")=TRUE,IF(SUMIFS(P:P,A:A,A49)&gt;0,ABS((SUMIFS(P:P,A:A,A49)/VLOOKUP("USD",'Exchange Rates'!B:C,2,0)))/S49,"."),".")</f>
        <v>.</v>
      </c>
      <c r="AZ49" s="182" t="str">
        <f>IF(AND(AD49=1,D49="Military",H49&lt;&gt;"Not given")=TRUE,IF(SUMIFS(P:P,A:A,A49)&gt;0,IF((ABS((SUMIFS(P:P,A:A,A49)/VLOOKUP("USD",'Exchange Rates'!B:C,2,0)))/S49)&gt;1,(SUMIFS(P:P,A:A,A49)-S49)/S49,(S49-SUMIFS(P:P,A:A,A49))/SUMIFS(P:P,A:A,A49)),"."),".")</f>
        <v>.</v>
      </c>
    </row>
    <row r="50" spans="1:52" s="519" customFormat="1" ht="15.9" customHeight="1" x14ac:dyDescent="0.3">
      <c r="A50" s="5" t="s">
        <v>395</v>
      </c>
      <c r="B50" s="5" t="s">
        <v>344</v>
      </c>
      <c r="C50" s="174">
        <v>44633</v>
      </c>
      <c r="D50" s="5" t="s">
        <v>285</v>
      </c>
      <c r="E50" s="5" t="s">
        <v>294</v>
      </c>
      <c r="F50" s="175" t="s">
        <v>396</v>
      </c>
      <c r="G50" s="15" t="s">
        <v>346</v>
      </c>
      <c r="H50" s="176" t="s">
        <v>341</v>
      </c>
      <c r="I50" s="17" t="s">
        <v>403</v>
      </c>
      <c r="J50" s="113" t="str">
        <f>VLOOKUP($I50,'Price List, Weapons &amp; Items'!B:C,2,0)</f>
        <v>Military equipment</v>
      </c>
      <c r="K50" s="113" t="str">
        <f>IF(I50=".",I50,VLOOKUP($I50,'Price List, Weapons &amp; Items'!B:D,3,0))</f>
        <v>Military equipment</v>
      </c>
      <c r="L50" s="177">
        <f>VLOOKUP(I50,'Price List, Weapons &amp; Items'!B:E,4,0)</f>
        <v>0</v>
      </c>
      <c r="M50" s="554">
        <v>1500</v>
      </c>
      <c r="N50" s="554">
        <v>1500</v>
      </c>
      <c r="O50" s="543">
        <f>VLOOKUP($I50,'Price List, Weapons &amp; Items'!B:G,6,0)</f>
        <v>0.38</v>
      </c>
      <c r="P50" s="176">
        <f t="shared" si="6"/>
        <v>570</v>
      </c>
      <c r="Q50" s="176">
        <f t="shared" si="7"/>
        <v>570</v>
      </c>
      <c r="R50" s="176" t="str">
        <f t="shared" si="2"/>
        <v/>
      </c>
      <c r="S50" s="176" t="str">
        <f>IF(AND(AD50=1,R50&lt;&gt;".")=TRUE,R50/VLOOKUP(G50,'Exchange Rates'!B:C,2,0),IF(R50=".",".",""))</f>
        <v/>
      </c>
      <c r="T50" s="176" t="str">
        <f>IF(AD50=1,IF(AF50="Value is not given at all",".",IF(AF50="Value is given by the source",S50,IF(AF50="Value is calculated with prices",(IF(SUMIFS(Q:Q,A:A,A50)&gt;0,SUMIFS(Q:Q,A:A,A50),"."))/VLOOKUP("USD",'Exchange Rates'!B:C,2,0),"Error with coding"))),"")</f>
        <v/>
      </c>
      <c r="U50" s="15" t="s">
        <v>261</v>
      </c>
      <c r="V50" s="547" t="s">
        <v>398</v>
      </c>
      <c r="W50" s="547" t="s">
        <v>399</v>
      </c>
      <c r="X50" s="188" t="s">
        <v>260</v>
      </c>
      <c r="Y50" s="188" t="s">
        <v>260</v>
      </c>
      <c r="Z50" s="15">
        <v>0</v>
      </c>
      <c r="AA50" s="180">
        <v>0</v>
      </c>
      <c r="AB50" s="549" t="s">
        <v>398</v>
      </c>
      <c r="AC50" s="544" t="str">
        <f>""</f>
        <v/>
      </c>
      <c r="AD50" s="181">
        <v>0</v>
      </c>
      <c r="AE50" s="181" t="s">
        <v>332</v>
      </c>
      <c r="AF50" s="181" t="s">
        <v>332</v>
      </c>
      <c r="AG50" s="181">
        <v>1</v>
      </c>
      <c r="AH50" s="181">
        <v>3</v>
      </c>
      <c r="AI50" s="181">
        <v>0</v>
      </c>
      <c r="AJ50" s="181">
        <f>VLOOKUP($I50,'Price List, Weapons &amp; Items'!B:F,5,0)</f>
        <v>0</v>
      </c>
      <c r="AK50" s="181">
        <f t="shared" si="8"/>
        <v>0</v>
      </c>
      <c r="AL50" s="181">
        <f t="shared" si="9"/>
        <v>0</v>
      </c>
      <c r="AM50" s="181">
        <f t="shared" si="10"/>
        <v>0</v>
      </c>
      <c r="AN50" s="180" t="str">
        <f>VLOOKUP($I50,'Price List, Weapons &amp; Items'!B:L,COLUMN('Price List, Weapons &amp; Items'!$J$11)-1,0)</f>
        <v>Online marketplaces and stores</v>
      </c>
      <c r="AO50" s="180" t="str">
        <f>IF(I50=".",".",VLOOKUP($I50,'Price List, Weapons &amp; Items'!B:J,3,0))</f>
        <v>Military equipment</v>
      </c>
      <c r="AP50" s="545" t="str">
        <f t="shared" ca="1" si="11"/>
        <v/>
      </c>
      <c r="AQ50" s="180">
        <f>VLOOKUP($I50,'Price List, Weapons &amp; Items'!B:L,COLUMN('Price List, Weapons &amp; Items'!$L$11)-1,0)</f>
        <v>1</v>
      </c>
      <c r="AR50" s="180">
        <f t="shared" si="12"/>
        <v>1</v>
      </c>
      <c r="AS50" s="180">
        <f t="shared" si="13"/>
        <v>1</v>
      </c>
      <c r="AT50" s="180">
        <f t="shared" si="5"/>
        <v>1</v>
      </c>
      <c r="AU50" s="180" t="str">
        <f t="shared" si="14"/>
        <v>.</v>
      </c>
      <c r="AV50" s="180" t="str">
        <f t="shared" si="15"/>
        <v>.</v>
      </c>
      <c r="AW50" s="180">
        <f>IFERROR(VLOOKUP(B50,'Share, Heavy Weapons to Ukraine'!B:J,COLUMN('Share, Heavy Weapons to Ukraine'!C58)-1,0),0)</f>
        <v>0</v>
      </c>
      <c r="AX50" s="180">
        <f>VLOOKUP('Bilateral Assistance, MAIN DATA'!B50,'Country Summary'!B:F,COLUMN('Country Summary'!C61)-1,FALSE)</f>
        <v>1</v>
      </c>
      <c r="AY50" s="180" t="str">
        <f>IF(AND(AD50=1,D50="Military",H50&lt;&gt;"Not given")=TRUE,IF(SUMIFS(P:P,A:A,A50)&gt;0,ABS((SUMIFS(P:P,A:A,A50)/VLOOKUP("USD",'Exchange Rates'!B:C,2,0)))/S50,"."),".")</f>
        <v>.</v>
      </c>
      <c r="AZ50" s="182" t="str">
        <f>IF(AND(AD50=1,D50="Military",H50&lt;&gt;"Not given")=TRUE,IF(SUMIFS(P:P,A:A,A50)&gt;0,IF((ABS((SUMIFS(P:P,A:A,A50)/VLOOKUP("USD",'Exchange Rates'!B:C,2,0)))/S50)&gt;1,(SUMIFS(P:P,A:A,A50)-S50)/S50,(S50-SUMIFS(P:P,A:A,A50))/SUMIFS(P:P,A:A,A50)),"."),".")</f>
        <v>.</v>
      </c>
    </row>
    <row r="51" spans="1:52" s="519" customFormat="1" ht="15.9" customHeight="1" x14ac:dyDescent="0.3">
      <c r="A51" s="17" t="s">
        <v>404</v>
      </c>
      <c r="B51" s="17" t="s">
        <v>344</v>
      </c>
      <c r="C51" s="174">
        <v>44627</v>
      </c>
      <c r="D51" s="5" t="s">
        <v>405</v>
      </c>
      <c r="E51" s="5" t="s">
        <v>362</v>
      </c>
      <c r="F51" s="175" t="s">
        <v>406</v>
      </c>
      <c r="G51" s="15" t="s">
        <v>364</v>
      </c>
      <c r="H51" s="176">
        <v>10000000</v>
      </c>
      <c r="I51" s="17" t="s">
        <v>260</v>
      </c>
      <c r="J51" s="113" t="str">
        <f>VLOOKUP($I51,'Price List, Weapons &amp; Items'!B:C,2,0)</f>
        <v>.</v>
      </c>
      <c r="K51" s="113" t="str">
        <f>IF(I51=".",I51,VLOOKUP($I51,'Price List, Weapons &amp; Items'!B:D,3,0))</f>
        <v>.</v>
      </c>
      <c r="L51" s="177">
        <f>VLOOKUP(I51,'Price List, Weapons &amp; Items'!B:E,4,0)</f>
        <v>0</v>
      </c>
      <c r="M51" s="554" t="s">
        <v>260</v>
      </c>
      <c r="N51" s="542" t="s">
        <v>260</v>
      </c>
      <c r="O51" s="543" t="str">
        <f>VLOOKUP($I51,'Price List, Weapons &amp; Items'!B:G,6,0)</f>
        <v>.</v>
      </c>
      <c r="P51" s="176" t="str">
        <f t="shared" si="6"/>
        <v>.</v>
      </c>
      <c r="Q51" s="176" t="str">
        <f t="shared" si="7"/>
        <v>.</v>
      </c>
      <c r="R51" s="176">
        <f t="shared" si="2"/>
        <v>10000000</v>
      </c>
      <c r="S51" s="176">
        <f>IF(AND(AD51=1,R51&lt;&gt;".")=TRUE,R51/VLOOKUP(G51,'Exchange Rates'!B:C,2,0),IF(R51=".",".",""))</f>
        <v>10000000</v>
      </c>
      <c r="T51" s="176" t="str">
        <f>IF(AD51=1,IF(AF51="Value is not given at all",".",IF(AF51="Value is given by the source",S51,IF(AF51="Value is calculated with prices",(IF(SUMIFS(Q:Q,A:A,A51)&gt;0,SUMIFS(Q:Q,A:A,A51),"."))/VLOOKUP("USD",'Exchange Rates'!B:C,2,0),"Error with coding"))),"")</f>
        <v>.</v>
      </c>
      <c r="U51" s="15" t="s">
        <v>261</v>
      </c>
      <c r="V51" s="300" t="s">
        <v>407</v>
      </c>
      <c r="W51" s="175" t="s">
        <v>260</v>
      </c>
      <c r="X51" s="175" t="s">
        <v>260</v>
      </c>
      <c r="Y51" s="175" t="s">
        <v>260</v>
      </c>
      <c r="Z51" s="15">
        <v>1</v>
      </c>
      <c r="AA51" s="180">
        <v>0</v>
      </c>
      <c r="AB51" s="184" t="s">
        <v>260</v>
      </c>
      <c r="AC51" s="544" t="str">
        <f>""</f>
        <v/>
      </c>
      <c r="AD51" s="181">
        <v>1</v>
      </c>
      <c r="AE51" s="181" t="s">
        <v>264</v>
      </c>
      <c r="AF51" s="181" t="s">
        <v>265</v>
      </c>
      <c r="AG51" s="181">
        <v>1</v>
      </c>
      <c r="AH51" s="181">
        <v>3</v>
      </c>
      <c r="AI51" s="181">
        <v>0</v>
      </c>
      <c r="AJ51" s="181">
        <f>VLOOKUP($I51,'Price List, Weapons &amp; Items'!B:F,5,0)</f>
        <v>0</v>
      </c>
      <c r="AK51" s="181">
        <f t="shared" si="8"/>
        <v>0</v>
      </c>
      <c r="AL51" s="181">
        <f t="shared" si="9"/>
        <v>0</v>
      </c>
      <c r="AM51" s="181">
        <f t="shared" si="10"/>
        <v>0</v>
      </c>
      <c r="AN51" s="180" t="str">
        <f>VLOOKUP($I51,'Price List, Weapons &amp; Items'!B:L,COLUMN('Price List, Weapons &amp; Items'!$J$11)-1,0)</f>
        <v>.</v>
      </c>
      <c r="AO51" s="180" t="str">
        <f>IF(I51=".",".",VLOOKUP($I51,'Price List, Weapons &amp; Items'!B:J,3,0))</f>
        <v>.</v>
      </c>
      <c r="AP51" s="545" t="e">
        <f t="shared" ca="1" si="11"/>
        <v>#NAME?</v>
      </c>
      <c r="AQ51" s="180" t="str">
        <f>VLOOKUP($I51,'Price List, Weapons &amp; Items'!B:L,COLUMN('Price List, Weapons &amp; Items'!$L$11)-1,0)</f>
        <v>no price, 0 count</v>
      </c>
      <c r="AR51" s="180">
        <f t="shared" si="12"/>
        <v>1</v>
      </c>
      <c r="AS51" s="180">
        <f t="shared" si="13"/>
        <v>0</v>
      </c>
      <c r="AT51" s="180">
        <f t="shared" si="5"/>
        <v>1</v>
      </c>
      <c r="AU51" s="180" t="str">
        <f t="shared" si="14"/>
        <v>.</v>
      </c>
      <c r="AV51" s="180" t="str">
        <f t="shared" si="15"/>
        <v>.</v>
      </c>
      <c r="AW51" s="180">
        <f>IFERROR(VLOOKUP(B51,'Share, Heavy Weapons to Ukraine'!B:J,COLUMN('Share, Heavy Weapons to Ukraine'!C59)-1,0),0)</f>
        <v>0</v>
      </c>
      <c r="AX51" s="180">
        <f>VLOOKUP('Bilateral Assistance, MAIN DATA'!B51,'Country Summary'!B:F,COLUMN('Country Summary'!C62)-1,FALSE)</f>
        <v>1</v>
      </c>
      <c r="AY51" s="180" t="str">
        <f>IF(AND(AD51=1,D51="Military",H51&lt;&gt;"Not given")=TRUE,IF(SUMIFS(P:P,A:A,A51)&gt;0,ABS((SUMIFS(P:P,A:A,A51)/VLOOKUP("USD",'Exchange Rates'!B:C,2,0)))/S51,"."),".")</f>
        <v>.</v>
      </c>
      <c r="AZ51" s="182" t="str">
        <f>IF(AND(AD51=1,D51="Military",H51&lt;&gt;"Not given")=TRUE,IF(SUMIFS(P:P,A:A,A51)&gt;0,IF((ABS((SUMIFS(P:P,A:A,A51)/VLOOKUP("USD",'Exchange Rates'!B:C,2,0)))/S51)&gt;1,(SUMIFS(P:P,A:A,A51)-S51)/S51,(S51-SUMIFS(P:P,A:A,A51))/SUMIFS(P:P,A:A,A51)),"."),".")</f>
        <v>.</v>
      </c>
    </row>
    <row r="52" spans="1:52" s="519" customFormat="1" ht="15.9" customHeight="1" x14ac:dyDescent="0.3">
      <c r="A52" s="17" t="s">
        <v>408</v>
      </c>
      <c r="B52" s="17" t="s">
        <v>344</v>
      </c>
      <c r="C52" s="174">
        <v>44900</v>
      </c>
      <c r="D52" s="5" t="s">
        <v>405</v>
      </c>
      <c r="E52" s="5" t="s">
        <v>362</v>
      </c>
      <c r="F52" s="175" t="s">
        <v>409</v>
      </c>
      <c r="G52" s="15" t="s">
        <v>364</v>
      </c>
      <c r="H52" s="176">
        <v>20000000</v>
      </c>
      <c r="I52" s="17" t="s">
        <v>260</v>
      </c>
      <c r="J52" s="113" t="str">
        <f>VLOOKUP($I52,'Price List, Weapons &amp; Items'!B:C,2,0)</f>
        <v>.</v>
      </c>
      <c r="K52" s="113" t="str">
        <f>IF(I52=".",I52,VLOOKUP($I52,'Price List, Weapons &amp; Items'!B:D,3,0))</f>
        <v>.</v>
      </c>
      <c r="L52" s="177">
        <f>VLOOKUP(I52,'Price List, Weapons &amp; Items'!B:E,4,0)</f>
        <v>0</v>
      </c>
      <c r="M52" s="554" t="s">
        <v>260</v>
      </c>
      <c r="N52" s="542" t="s">
        <v>260</v>
      </c>
      <c r="O52" s="543" t="str">
        <f>VLOOKUP($I52,'Price List, Weapons &amp; Items'!B:G,6,0)</f>
        <v>.</v>
      </c>
      <c r="P52" s="176" t="str">
        <f t="shared" si="6"/>
        <v>.</v>
      </c>
      <c r="Q52" s="176" t="str">
        <f t="shared" si="7"/>
        <v>.</v>
      </c>
      <c r="R52" s="176">
        <f t="shared" si="2"/>
        <v>20000000</v>
      </c>
      <c r="S52" s="176">
        <f>IF(AND(AD52=1,R52&lt;&gt;".")=TRUE,R52/VLOOKUP(G52,'Exchange Rates'!B:C,2,0),IF(R52=".",".",""))</f>
        <v>20000000</v>
      </c>
      <c r="T52" s="176" t="str">
        <f>IF(AD52=1,IF(AF52="Value is not given at all",".",IF(AF52="Value is given by the source",S52,IF(AF52="Value is calculated with prices",(IF(SUMIFS(Q:Q,A:A,A52)&gt;0,SUMIFS(Q:Q,A:A,A52),"."))/VLOOKUP("USD",'Exchange Rates'!B:C,2,0),"Error with coding"))),"")</f>
        <v>.</v>
      </c>
      <c r="U52" s="15" t="s">
        <v>261</v>
      </c>
      <c r="V52" s="300" t="s">
        <v>410</v>
      </c>
      <c r="W52" s="546" t="s">
        <v>411</v>
      </c>
      <c r="X52" s="175" t="s">
        <v>260</v>
      </c>
      <c r="Y52" s="175" t="s">
        <v>260</v>
      </c>
      <c r="Z52" s="15">
        <v>1</v>
      </c>
      <c r="AA52" s="199">
        <v>1</v>
      </c>
      <c r="AB52" s="184" t="s">
        <v>260</v>
      </c>
      <c r="AC52" s="544" t="str">
        <f>""</f>
        <v/>
      </c>
      <c r="AD52" s="181">
        <v>1</v>
      </c>
      <c r="AE52" s="181" t="s">
        <v>264</v>
      </c>
      <c r="AF52" s="181" t="s">
        <v>265</v>
      </c>
      <c r="AG52" s="181">
        <v>1</v>
      </c>
      <c r="AH52" s="181">
        <v>12</v>
      </c>
      <c r="AI52" s="181">
        <v>0</v>
      </c>
      <c r="AJ52" s="181">
        <f>VLOOKUP($I52,'Price List, Weapons &amp; Items'!B:F,5,0)</f>
        <v>0</v>
      </c>
      <c r="AK52" s="181">
        <f t="shared" si="8"/>
        <v>0</v>
      </c>
      <c r="AL52" s="181">
        <f t="shared" si="9"/>
        <v>0</v>
      </c>
      <c r="AM52" s="181">
        <f t="shared" si="10"/>
        <v>0</v>
      </c>
      <c r="AN52" s="180" t="str">
        <f>VLOOKUP($I52,'Price List, Weapons &amp; Items'!B:L,COLUMN('Price List, Weapons &amp; Items'!$J$11)-1,0)</f>
        <v>.</v>
      </c>
      <c r="AO52" s="180" t="str">
        <f>IF(I52=".",".",VLOOKUP($I52,'Price List, Weapons &amp; Items'!B:J,3,0))</f>
        <v>.</v>
      </c>
      <c r="AP52" s="545" t="e">
        <f t="shared" ca="1" si="11"/>
        <v>#NAME?</v>
      </c>
      <c r="AQ52" s="180" t="str">
        <f>VLOOKUP($I52,'Price List, Weapons &amp; Items'!B:L,COLUMN('Price List, Weapons &amp; Items'!$L$11)-1,0)</f>
        <v>no price, 0 count</v>
      </c>
      <c r="AR52" s="180">
        <f t="shared" si="12"/>
        <v>1</v>
      </c>
      <c r="AS52" s="180">
        <f t="shared" si="13"/>
        <v>0</v>
      </c>
      <c r="AT52" s="180">
        <f t="shared" si="5"/>
        <v>1</v>
      </c>
      <c r="AU52" s="180" t="str">
        <f t="shared" si="14"/>
        <v>.</v>
      </c>
      <c r="AV52" s="180" t="str">
        <f t="shared" si="15"/>
        <v>.</v>
      </c>
      <c r="AW52" s="180">
        <f>IFERROR(VLOOKUP(B52,'Share, Heavy Weapons to Ukraine'!B:J,COLUMN('Share, Heavy Weapons to Ukraine'!C60)-1,0),0)</f>
        <v>0</v>
      </c>
      <c r="AX52" s="180">
        <f>VLOOKUP('Bilateral Assistance, MAIN DATA'!B52,'Country Summary'!B:F,COLUMN('Country Summary'!C63)-1,FALSE)</f>
        <v>1</v>
      </c>
      <c r="AY52" s="180" t="str">
        <f>IF(AND(AD52=1,D52="Military",H52&lt;&gt;"Not given")=TRUE,IF(SUMIFS(P:P,A:A,A52)&gt;0,ABS((SUMIFS(P:P,A:A,A52)/VLOOKUP("USD",'Exchange Rates'!B:C,2,0)))/S52,"."),".")</f>
        <v>.</v>
      </c>
      <c r="AZ52" s="182" t="str">
        <f>IF(AND(AD52=1,D52="Military",H52&lt;&gt;"Not given")=TRUE,IF(SUMIFS(P:P,A:A,A52)&gt;0,IF((ABS((SUMIFS(P:P,A:A,A52)/VLOOKUP("USD",'Exchange Rates'!B:C,2,0)))/S52)&gt;1,(SUMIFS(P:P,A:A,A52)-S52)/S52,(S52-SUMIFS(P:P,A:A,A52))/SUMIFS(P:P,A:A,A52)),"."),".")</f>
        <v>.</v>
      </c>
    </row>
    <row r="53" spans="1:52" s="519" customFormat="1" ht="15.9" customHeight="1" x14ac:dyDescent="0.3">
      <c r="A53" s="5" t="s">
        <v>412</v>
      </c>
      <c r="B53" s="5" t="s">
        <v>413</v>
      </c>
      <c r="C53" s="174">
        <v>44621</v>
      </c>
      <c r="D53" s="5" t="s">
        <v>256</v>
      </c>
      <c r="E53" s="5" t="s">
        <v>267</v>
      </c>
      <c r="F53" s="175" t="s">
        <v>414</v>
      </c>
      <c r="G53" s="15" t="s">
        <v>364</v>
      </c>
      <c r="H53" s="176">
        <v>3400000</v>
      </c>
      <c r="I53" s="17" t="s">
        <v>352</v>
      </c>
      <c r="J53" s="113" t="str">
        <f>VLOOKUP($I53,'Price List, Weapons &amp; Items'!B:C,2,0)</f>
        <v>Humanitarian</v>
      </c>
      <c r="K53" s="113" t="str">
        <f>IF(I53=".",I53,VLOOKUP($I53,'Price List, Weapons &amp; Items'!B:D,3,0))</f>
        <v>Humanitarian</v>
      </c>
      <c r="L53" s="177">
        <f>VLOOKUP(I53,'Price List, Weapons &amp; Items'!B:E,4,0)</f>
        <v>0</v>
      </c>
      <c r="M53" s="554">
        <v>400000</v>
      </c>
      <c r="N53" s="542" t="s">
        <v>270</v>
      </c>
      <c r="O53" s="543">
        <f>VLOOKUP($I53,'Price List, Weapons &amp; Items'!B:G,6,0)</f>
        <v>0.13</v>
      </c>
      <c r="P53" s="176">
        <f t="shared" si="6"/>
        <v>52000</v>
      </c>
      <c r="Q53" s="176" t="str">
        <f t="shared" si="7"/>
        <v>.</v>
      </c>
      <c r="R53" s="176">
        <f t="shared" si="2"/>
        <v>3400000</v>
      </c>
      <c r="S53" s="176">
        <f>IF(AND(AD53=1,R53&lt;&gt;".")=TRUE,R53/VLOOKUP(G53,'Exchange Rates'!B:C,2,0),IF(R53=".",".",""))</f>
        <v>3400000</v>
      </c>
      <c r="T53" s="176" t="str">
        <f>IF(AD53=1,IF(AF53="Value is not given at all",".",IF(AF53="Value is given by the source",S53,IF(AF53="Value is calculated with prices",(IF(SUMIFS(Q:Q,A:A,A53)&gt;0,SUMIFS(Q:Q,A:A,A53),"."))/VLOOKUP("USD",'Exchange Rates'!B:C,2,0),"Error with coding"))),"")</f>
        <v>.</v>
      </c>
      <c r="U53" s="15" t="s">
        <v>415</v>
      </c>
      <c r="V53" s="547" t="s">
        <v>416</v>
      </c>
      <c r="W53" s="188" t="s">
        <v>260</v>
      </c>
      <c r="X53" s="188" t="s">
        <v>260</v>
      </c>
      <c r="Y53" s="188" t="s">
        <v>260</v>
      </c>
      <c r="Z53" s="15">
        <v>0</v>
      </c>
      <c r="AA53" s="180">
        <v>0</v>
      </c>
      <c r="AB53" s="184" t="s">
        <v>260</v>
      </c>
      <c r="AC53" s="544" t="str">
        <f>""</f>
        <v/>
      </c>
      <c r="AD53" s="181">
        <v>1</v>
      </c>
      <c r="AE53" s="181" t="s">
        <v>264</v>
      </c>
      <c r="AF53" s="181" t="s">
        <v>265</v>
      </c>
      <c r="AG53" s="181">
        <v>1</v>
      </c>
      <c r="AH53" s="181">
        <v>3</v>
      </c>
      <c r="AI53" s="181">
        <v>0</v>
      </c>
      <c r="AJ53" s="181">
        <f>VLOOKUP($I53,'Price List, Weapons &amp; Items'!B:F,5,0)</f>
        <v>0</v>
      </c>
      <c r="AK53" s="181">
        <f t="shared" si="8"/>
        <v>0</v>
      </c>
      <c r="AL53" s="181">
        <f t="shared" si="9"/>
        <v>0</v>
      </c>
      <c r="AM53" s="181">
        <f t="shared" si="10"/>
        <v>0</v>
      </c>
      <c r="AN53" s="180" t="str">
        <f>VLOOKUP($I53,'Price List, Weapons &amp; Items'!B:L,COLUMN('Price List, Weapons &amp; Items'!$J$11)-1,0)</f>
        <v>Online marketplaces and stores</v>
      </c>
      <c r="AO53" s="180" t="str">
        <f>IF(I53=".",".",VLOOKUP($I53,'Price List, Weapons &amp; Items'!B:J,3,0))</f>
        <v>Humanitarian</v>
      </c>
      <c r="AP53" s="545" t="e">
        <f t="shared" ca="1" si="11"/>
        <v>#NAME?</v>
      </c>
      <c r="AQ53" s="180">
        <f>VLOOKUP($I53,'Price List, Weapons &amp; Items'!B:L,COLUMN('Price List, Weapons &amp; Items'!$L$11)-1,0)</f>
        <v>0</v>
      </c>
      <c r="AR53" s="180">
        <f t="shared" si="12"/>
        <v>0</v>
      </c>
      <c r="AS53" s="180">
        <f t="shared" si="13"/>
        <v>0</v>
      </c>
      <c r="AT53" s="180">
        <f t="shared" si="5"/>
        <v>1</v>
      </c>
      <c r="AU53" s="180" t="str">
        <f t="shared" si="14"/>
        <v>.</v>
      </c>
      <c r="AV53" s="180" t="str">
        <f t="shared" si="15"/>
        <v>.</v>
      </c>
      <c r="AW53" s="180">
        <f>IFERROR(VLOOKUP(B53,'Share, Heavy Weapons to Ukraine'!B:J,COLUMN('Share, Heavy Weapons to Ukraine'!C61)-1,0),0)</f>
        <v>0</v>
      </c>
      <c r="AX53" s="180">
        <f>VLOOKUP('Bilateral Assistance, MAIN DATA'!B53,'Country Summary'!B:F,COLUMN('Country Summary'!C64)-1,FALSE)</f>
        <v>1</v>
      </c>
      <c r="AY53" s="180" t="str">
        <f>IF(AND(AD53=1,D53="Military",H53&lt;&gt;"Not given")=TRUE,IF(SUMIFS(P:P,A:A,A53)&gt;0,ABS((SUMIFS(P:P,A:A,A53)/VLOOKUP("USD",'Exchange Rates'!B:C,2,0)))/S53,"."),".")</f>
        <v>.</v>
      </c>
      <c r="AZ53" s="182" t="str">
        <f>IF(AND(AD53=1,D53="Military",H53&lt;&gt;"Not given")=TRUE,IF(SUMIFS(P:P,A:A,A53)&gt;0,IF((ABS((SUMIFS(P:P,A:A,A53)/VLOOKUP("USD",'Exchange Rates'!B:C,2,0)))/S53)&gt;1,(SUMIFS(P:P,A:A,A53)-S53)/S53,(S53-SUMIFS(P:P,A:A,A53))/SUMIFS(P:P,A:A,A53)),"."),".")</f>
        <v>.</v>
      </c>
    </row>
    <row r="54" spans="1:52" s="519" customFormat="1" ht="15.9" customHeight="1" x14ac:dyDescent="0.3">
      <c r="A54" s="5" t="s">
        <v>412</v>
      </c>
      <c r="B54" s="5" t="s">
        <v>413</v>
      </c>
      <c r="C54" s="174">
        <v>44621</v>
      </c>
      <c r="D54" s="5" t="s">
        <v>256</v>
      </c>
      <c r="E54" s="5" t="s">
        <v>267</v>
      </c>
      <c r="F54" s="175" t="s">
        <v>414</v>
      </c>
      <c r="G54" s="15" t="s">
        <v>364</v>
      </c>
      <c r="H54" s="176">
        <v>3400000</v>
      </c>
      <c r="I54" s="17" t="s">
        <v>417</v>
      </c>
      <c r="J54" s="113" t="str">
        <f>VLOOKUP($I54,'Price List, Weapons &amp; Items'!B:C,2,0)</f>
        <v>Humanitarian</v>
      </c>
      <c r="K54" s="113" t="str">
        <f>IF(I54=".",I54,VLOOKUP($I54,'Price List, Weapons &amp; Items'!B:D,3,0))</f>
        <v>Humanitarian</v>
      </c>
      <c r="L54" s="177">
        <f>VLOOKUP(I54,'Price List, Weapons &amp; Items'!B:E,4,0)</f>
        <v>0</v>
      </c>
      <c r="M54" s="554">
        <v>600000</v>
      </c>
      <c r="N54" s="542" t="s">
        <v>270</v>
      </c>
      <c r="O54" s="543" t="str">
        <f>VLOOKUP($I54,'Price List, Weapons &amp; Items'!B:G,6,0)</f>
        <v>.</v>
      </c>
      <c r="P54" s="176" t="str">
        <f t="shared" si="6"/>
        <v>No price</v>
      </c>
      <c r="Q54" s="176" t="str">
        <f t="shared" si="7"/>
        <v>.</v>
      </c>
      <c r="R54" s="176" t="str">
        <f t="shared" si="2"/>
        <v/>
      </c>
      <c r="S54" s="176" t="str">
        <f>IF(AND(AD54=1,R54&lt;&gt;".")=TRUE,R54/VLOOKUP(G54,'Exchange Rates'!B:C,2,0),IF(R54=".",".",""))</f>
        <v/>
      </c>
      <c r="T54" s="176" t="str">
        <f>IF(AD54=1,IF(AF54="Value is not given at all",".",IF(AF54="Value is given by the source",S54,IF(AF54="Value is calculated with prices",(IF(SUMIFS(Q:Q,A:A,A54)&gt;0,SUMIFS(Q:Q,A:A,A54),"."))/VLOOKUP("USD",'Exchange Rates'!B:C,2,0),"Error with coding"))),"")</f>
        <v/>
      </c>
      <c r="U54" s="15" t="s">
        <v>415</v>
      </c>
      <c r="V54" s="547" t="s">
        <v>416</v>
      </c>
      <c r="W54" s="188" t="s">
        <v>260</v>
      </c>
      <c r="X54" s="188" t="s">
        <v>260</v>
      </c>
      <c r="Y54" s="188" t="s">
        <v>260</v>
      </c>
      <c r="Z54" s="15">
        <v>0</v>
      </c>
      <c r="AA54" s="180">
        <v>0</v>
      </c>
      <c r="AB54" s="184" t="s">
        <v>260</v>
      </c>
      <c r="AC54" s="544" t="str">
        <f>""</f>
        <v/>
      </c>
      <c r="AD54" s="181">
        <v>0</v>
      </c>
      <c r="AE54" s="181" t="s">
        <v>264</v>
      </c>
      <c r="AF54" s="181" t="s">
        <v>265</v>
      </c>
      <c r="AG54" s="181">
        <v>1</v>
      </c>
      <c r="AH54" s="181">
        <v>3</v>
      </c>
      <c r="AI54" s="181">
        <v>0</v>
      </c>
      <c r="AJ54" s="181">
        <f>VLOOKUP($I54,'Price List, Weapons &amp; Items'!B:F,5,0)</f>
        <v>0</v>
      </c>
      <c r="AK54" s="181">
        <f t="shared" si="8"/>
        <v>0</v>
      </c>
      <c r="AL54" s="181">
        <f t="shared" si="9"/>
        <v>0</v>
      </c>
      <c r="AM54" s="181">
        <f t="shared" si="10"/>
        <v>0</v>
      </c>
      <c r="AN54" s="180" t="str">
        <f>VLOOKUP($I54,'Price List, Weapons &amp; Items'!B:L,COLUMN('Price List, Weapons &amp; Items'!$J$11)-1,0)</f>
        <v>.</v>
      </c>
      <c r="AO54" s="180" t="str">
        <f>IF(I54=".",".",VLOOKUP($I54,'Price List, Weapons &amp; Items'!B:J,3,0))</f>
        <v>Humanitarian</v>
      </c>
      <c r="AP54" s="545" t="str">
        <f t="shared" ca="1" si="11"/>
        <v/>
      </c>
      <c r="AQ54" s="180">
        <f>VLOOKUP($I54,'Price List, Weapons &amp; Items'!B:L,COLUMN('Price List, Weapons &amp; Items'!$L$11)-1,0)</f>
        <v>0</v>
      </c>
      <c r="AR54" s="180">
        <f t="shared" si="12"/>
        <v>0</v>
      </c>
      <c r="AS54" s="180">
        <f t="shared" si="13"/>
        <v>0</v>
      </c>
      <c r="AT54" s="180">
        <f t="shared" si="5"/>
        <v>1</v>
      </c>
      <c r="AU54" s="180" t="str">
        <f t="shared" si="14"/>
        <v>.</v>
      </c>
      <c r="AV54" s="180" t="str">
        <f t="shared" si="15"/>
        <v>.</v>
      </c>
      <c r="AW54" s="180">
        <f>IFERROR(VLOOKUP(B54,'Share, Heavy Weapons to Ukraine'!B:J,COLUMN('Share, Heavy Weapons to Ukraine'!C62)-1,0),0)</f>
        <v>0</v>
      </c>
      <c r="AX54" s="180">
        <f>VLOOKUP('Bilateral Assistance, MAIN DATA'!B54,'Country Summary'!B:F,COLUMN('Country Summary'!C65)-1,FALSE)</f>
        <v>1</v>
      </c>
      <c r="AY54" s="180" t="str">
        <f>IF(AND(AD54=1,D54="Military",H54&lt;&gt;"Not given")=TRUE,IF(SUMIFS(P:P,A:A,A54)&gt;0,ABS((SUMIFS(P:P,A:A,A54)/VLOOKUP("USD",'Exchange Rates'!B:C,2,0)))/S54,"."),".")</f>
        <v>.</v>
      </c>
      <c r="AZ54" s="182" t="str">
        <f>IF(AND(AD54=1,D54="Military",H54&lt;&gt;"Not given")=TRUE,IF(SUMIFS(P:P,A:A,A54)&gt;0,IF((ABS((SUMIFS(P:P,A:A,A54)/VLOOKUP("USD",'Exchange Rates'!B:C,2,0)))/S54)&gt;1,(SUMIFS(P:P,A:A,A54)-S54)/S54,(S54-SUMIFS(P:P,A:A,A54))/SUMIFS(P:P,A:A,A54)),"."),".")</f>
        <v>.</v>
      </c>
    </row>
    <row r="55" spans="1:52" s="519" customFormat="1" ht="15.9" customHeight="1" x14ac:dyDescent="0.3">
      <c r="A55" s="5" t="s">
        <v>412</v>
      </c>
      <c r="B55" s="5" t="s">
        <v>413</v>
      </c>
      <c r="C55" s="174">
        <v>44621</v>
      </c>
      <c r="D55" s="5" t="s">
        <v>256</v>
      </c>
      <c r="E55" s="5" t="s">
        <v>267</v>
      </c>
      <c r="F55" s="175" t="s">
        <v>414</v>
      </c>
      <c r="G55" s="15" t="s">
        <v>364</v>
      </c>
      <c r="H55" s="176">
        <v>3400000</v>
      </c>
      <c r="I55" s="17" t="s">
        <v>418</v>
      </c>
      <c r="J55" s="113" t="str">
        <f>VLOOKUP($I55,'Price List, Weapons &amp; Items'!B:C,2,0)</f>
        <v>Humanitarian</v>
      </c>
      <c r="K55" s="113" t="str">
        <f>IF(I55=".",I55,VLOOKUP($I55,'Price List, Weapons &amp; Items'!B:D,3,0))</f>
        <v>Humanitarian</v>
      </c>
      <c r="L55" s="177">
        <f>VLOOKUP(I55,'Price List, Weapons &amp; Items'!B:E,4,0)</f>
        <v>0</v>
      </c>
      <c r="M55" s="554">
        <v>10000000</v>
      </c>
      <c r="N55" s="542" t="s">
        <v>270</v>
      </c>
      <c r="O55" s="543">
        <f>VLOOKUP($I55,'Price List, Weapons &amp; Items'!B:G,6,0)</f>
        <v>4.4999999999999998E-2</v>
      </c>
      <c r="P55" s="176">
        <f t="shared" si="6"/>
        <v>450000</v>
      </c>
      <c r="Q55" s="176" t="str">
        <f t="shared" si="7"/>
        <v>.</v>
      </c>
      <c r="R55" s="176" t="str">
        <f t="shared" si="2"/>
        <v/>
      </c>
      <c r="S55" s="176" t="str">
        <f>IF(AND(AD55=1,R55&lt;&gt;".")=TRUE,R55/VLOOKUP(G55,'Exchange Rates'!B:C,2,0),IF(R55=".",".",""))</f>
        <v/>
      </c>
      <c r="T55" s="176" t="str">
        <f>IF(AD55=1,IF(AF55="Value is not given at all",".",IF(AF55="Value is given by the source",S55,IF(AF55="Value is calculated with prices",(IF(SUMIFS(Q:Q,A:A,A55)&gt;0,SUMIFS(Q:Q,A:A,A55),"."))/VLOOKUP("USD",'Exchange Rates'!B:C,2,0),"Error with coding"))),"")</f>
        <v/>
      </c>
      <c r="U55" s="15" t="s">
        <v>415</v>
      </c>
      <c r="V55" s="547" t="s">
        <v>416</v>
      </c>
      <c r="W55" s="188" t="s">
        <v>260</v>
      </c>
      <c r="X55" s="188" t="s">
        <v>260</v>
      </c>
      <c r="Y55" s="188" t="s">
        <v>260</v>
      </c>
      <c r="Z55" s="15">
        <v>0</v>
      </c>
      <c r="AA55" s="180">
        <v>0</v>
      </c>
      <c r="AB55" s="184" t="s">
        <v>260</v>
      </c>
      <c r="AC55" s="544" t="str">
        <f>""</f>
        <v/>
      </c>
      <c r="AD55" s="181">
        <v>0</v>
      </c>
      <c r="AE55" s="181" t="s">
        <v>264</v>
      </c>
      <c r="AF55" s="181" t="s">
        <v>265</v>
      </c>
      <c r="AG55" s="181">
        <v>1</v>
      </c>
      <c r="AH55" s="181">
        <v>3</v>
      </c>
      <c r="AI55" s="181">
        <v>0</v>
      </c>
      <c r="AJ55" s="181">
        <f>VLOOKUP($I55,'Price List, Weapons &amp; Items'!B:F,5,0)</f>
        <v>0</v>
      </c>
      <c r="AK55" s="181">
        <f t="shared" si="8"/>
        <v>0</v>
      </c>
      <c r="AL55" s="181">
        <f t="shared" si="9"/>
        <v>0</v>
      </c>
      <c r="AM55" s="181">
        <f t="shared" si="10"/>
        <v>0</v>
      </c>
      <c r="AN55" s="180" t="str">
        <f>VLOOKUP($I55,'Price List, Weapons &amp; Items'!B:L,COLUMN('Price List, Weapons &amp; Items'!$J$11)-1,0)</f>
        <v>Miscellaneous</v>
      </c>
      <c r="AO55" s="180" t="str">
        <f>IF(I55=".",".",VLOOKUP($I55,'Price List, Weapons &amp; Items'!B:J,3,0))</f>
        <v>Humanitarian</v>
      </c>
      <c r="AP55" s="545" t="str">
        <f t="shared" ca="1" si="11"/>
        <v/>
      </c>
      <c r="AQ55" s="180">
        <f>VLOOKUP($I55,'Price List, Weapons &amp; Items'!B:L,COLUMN('Price List, Weapons &amp; Items'!$L$11)-1,0)</f>
        <v>0</v>
      </c>
      <c r="AR55" s="180">
        <f t="shared" si="12"/>
        <v>0</v>
      </c>
      <c r="AS55" s="180">
        <f t="shared" si="13"/>
        <v>0</v>
      </c>
      <c r="AT55" s="180">
        <f t="shared" si="5"/>
        <v>1</v>
      </c>
      <c r="AU55" s="180" t="str">
        <f t="shared" si="14"/>
        <v>.</v>
      </c>
      <c r="AV55" s="180" t="str">
        <f t="shared" si="15"/>
        <v>.</v>
      </c>
      <c r="AW55" s="180">
        <f>IFERROR(VLOOKUP(B55,'Share, Heavy Weapons to Ukraine'!B:J,COLUMN('Share, Heavy Weapons to Ukraine'!C63)-1,0),0)</f>
        <v>0</v>
      </c>
      <c r="AX55" s="180">
        <f>VLOOKUP('Bilateral Assistance, MAIN DATA'!B55,'Country Summary'!B:F,COLUMN('Country Summary'!C66)-1,FALSE)</f>
        <v>1</v>
      </c>
      <c r="AY55" s="180" t="str">
        <f>IF(AND(AD55=1,D55="Military",H55&lt;&gt;"Not given")=TRUE,IF(SUMIFS(P:P,A:A,A55)&gt;0,ABS((SUMIFS(P:P,A:A,A55)/VLOOKUP("USD",'Exchange Rates'!B:C,2,0)))/S55,"."),".")</f>
        <v>.</v>
      </c>
      <c r="AZ55" s="182" t="str">
        <f>IF(AND(AD55=1,D55="Military",H55&lt;&gt;"Not given")=TRUE,IF(SUMIFS(P:P,A:A,A55)&gt;0,IF((ABS((SUMIFS(P:P,A:A,A55)/VLOOKUP("USD",'Exchange Rates'!B:C,2,0)))/S55)&gt;1,(SUMIFS(P:P,A:A,A55)-S55)/S55,(S55-SUMIFS(P:P,A:A,A55))/SUMIFS(P:P,A:A,A55)),"."),".")</f>
        <v>.</v>
      </c>
    </row>
    <row r="56" spans="1:52" ht="15.9" customHeight="1" x14ac:dyDescent="0.3">
      <c r="A56" s="17" t="s">
        <v>419</v>
      </c>
      <c r="B56" s="17" t="s">
        <v>413</v>
      </c>
      <c r="C56" s="174">
        <v>44622</v>
      </c>
      <c r="D56" s="5" t="s">
        <v>256</v>
      </c>
      <c r="E56" s="5" t="s">
        <v>267</v>
      </c>
      <c r="F56" s="175" t="s">
        <v>420</v>
      </c>
      <c r="G56" s="15" t="s">
        <v>364</v>
      </c>
      <c r="H56" s="176">
        <v>230000</v>
      </c>
      <c r="I56" s="17" t="s">
        <v>260</v>
      </c>
      <c r="J56" s="113" t="str">
        <f>VLOOKUP($I56,'Price List, Weapons &amp; Items'!B:C,2,0)</f>
        <v>.</v>
      </c>
      <c r="K56" s="113" t="str">
        <f>IF(I56=".",I56,VLOOKUP($I56,'Price List, Weapons &amp; Items'!B:D,3,0))</f>
        <v>.</v>
      </c>
      <c r="L56" s="177">
        <f>VLOOKUP(I56,'Price List, Weapons &amp; Items'!B:E,4,0)</f>
        <v>0</v>
      </c>
      <c r="M56" s="542" t="s">
        <v>260</v>
      </c>
      <c r="N56" s="542" t="s">
        <v>260</v>
      </c>
      <c r="O56" s="543" t="str">
        <f>VLOOKUP($I56,'Price List, Weapons &amp; Items'!B:G,6,0)</f>
        <v>.</v>
      </c>
      <c r="P56" s="176" t="str">
        <f t="shared" si="6"/>
        <v>.</v>
      </c>
      <c r="Q56" s="176" t="str">
        <f t="shared" si="7"/>
        <v>.</v>
      </c>
      <c r="R56" s="176">
        <f t="shared" si="2"/>
        <v>230000</v>
      </c>
      <c r="S56" s="176">
        <f>IF(AND(AD56=1,R56&lt;&gt;".")=TRUE,R56/VLOOKUP(G56,'Exchange Rates'!B:C,2,0),IF(R56=".",".",""))</f>
        <v>230000</v>
      </c>
      <c r="T56" s="176" t="str">
        <f>IF(AD56=1,IF(AF56="Value is not given at all",".",IF(AF56="Value is given by the source",S56,IF(AF56="Value is calculated with prices",(IF(SUMIFS(Q:Q,A:A,A56)&gt;0,SUMIFS(Q:Q,A:A,A56),"."))/VLOOKUP("USD",'Exchange Rates'!B:C,2,0),"Error with coding"))),"")</f>
        <v>.</v>
      </c>
      <c r="U56" s="15" t="s">
        <v>261</v>
      </c>
      <c r="V56" s="300" t="s">
        <v>421</v>
      </c>
      <c r="W56" s="175" t="s">
        <v>260</v>
      </c>
      <c r="X56" s="175" t="s">
        <v>260</v>
      </c>
      <c r="Y56" s="175" t="s">
        <v>260</v>
      </c>
      <c r="Z56" s="15">
        <v>0</v>
      </c>
      <c r="AA56" s="180">
        <v>0</v>
      </c>
      <c r="AB56" s="184" t="s">
        <v>260</v>
      </c>
      <c r="AC56" s="544" t="str">
        <f>""</f>
        <v/>
      </c>
      <c r="AD56" s="181">
        <v>1</v>
      </c>
      <c r="AE56" s="181" t="s">
        <v>264</v>
      </c>
      <c r="AF56" s="181" t="s">
        <v>265</v>
      </c>
      <c r="AG56" s="181">
        <v>1</v>
      </c>
      <c r="AH56" s="181">
        <v>3</v>
      </c>
      <c r="AI56" s="181">
        <v>0</v>
      </c>
      <c r="AJ56" s="181">
        <f>VLOOKUP($I56,'Price List, Weapons &amp; Items'!B:F,5,0)</f>
        <v>0</v>
      </c>
      <c r="AK56" s="181">
        <f t="shared" si="8"/>
        <v>0</v>
      </c>
      <c r="AL56" s="181">
        <f t="shared" si="9"/>
        <v>0</v>
      </c>
      <c r="AM56" s="181">
        <f t="shared" si="10"/>
        <v>0</v>
      </c>
      <c r="AN56" s="180" t="str">
        <f>VLOOKUP($I56,'Price List, Weapons &amp; Items'!B:L,COLUMN('Price List, Weapons &amp; Items'!$J$11)-1,0)</f>
        <v>.</v>
      </c>
      <c r="AO56" s="180" t="str">
        <f>IF(I56=".",".",VLOOKUP($I56,'Price List, Weapons &amp; Items'!B:J,3,0))</f>
        <v>.</v>
      </c>
      <c r="AP56" s="545" t="e">
        <f t="shared" ca="1" si="11"/>
        <v>#NAME?</v>
      </c>
      <c r="AQ56" s="180" t="str">
        <f>VLOOKUP($I56,'Price List, Weapons &amp; Items'!B:L,COLUMN('Price List, Weapons &amp; Items'!$L$11)-1,0)</f>
        <v>no price, 0 count</v>
      </c>
      <c r="AR56" s="180">
        <f t="shared" si="12"/>
        <v>1</v>
      </c>
      <c r="AS56" s="180">
        <f t="shared" si="13"/>
        <v>0</v>
      </c>
      <c r="AT56" s="180">
        <f t="shared" si="5"/>
        <v>1</v>
      </c>
      <c r="AU56" s="180" t="str">
        <f t="shared" si="14"/>
        <v>.</v>
      </c>
      <c r="AV56" s="180" t="str">
        <f t="shared" si="15"/>
        <v>.</v>
      </c>
      <c r="AW56" s="180">
        <f>IFERROR(VLOOKUP(B56,'Share, Heavy Weapons to Ukraine'!B:J,COLUMN('Share, Heavy Weapons to Ukraine'!C64)-1,0),0)</f>
        <v>0</v>
      </c>
      <c r="AX56" s="180">
        <f>VLOOKUP('Bilateral Assistance, MAIN DATA'!B56,'Country Summary'!B:F,COLUMN('Country Summary'!C67)-1,FALSE)</f>
        <v>1</v>
      </c>
      <c r="AY56" s="180" t="str">
        <f>IF(AND(AD56=1,D56="Military",H56&lt;&gt;"Not given")=TRUE,IF(SUMIFS(P:P,A:A,A56)&gt;0,ABS((SUMIFS(P:P,A:A,A56)/VLOOKUP("USD",'Exchange Rates'!B:C,2,0)))/S56,"."),".")</f>
        <v>.</v>
      </c>
      <c r="AZ56" s="182" t="str">
        <f>IF(AND(AD56=1,D56="Military",H56&lt;&gt;"Not given")=TRUE,IF(SUMIFS(P:P,A:A,A56)&gt;0,IF((ABS((SUMIFS(P:P,A:A,A56)/VLOOKUP("USD",'Exchange Rates'!B:C,2,0)))/S56)&gt;1,(SUMIFS(P:P,A:A,A56)-S56)/S56,(S56-SUMIFS(P:P,A:A,A56))/SUMIFS(P:P,A:A,A56)),"."),".")</f>
        <v>.</v>
      </c>
    </row>
    <row r="57" spans="1:52" s="520" customFormat="1" ht="15.9" customHeight="1" x14ac:dyDescent="0.3">
      <c r="A57" s="17" t="s">
        <v>422</v>
      </c>
      <c r="B57" s="17" t="s">
        <v>413</v>
      </c>
      <c r="C57" s="174">
        <v>44660</v>
      </c>
      <c r="D57" s="5" t="s">
        <v>256</v>
      </c>
      <c r="E57" s="5" t="s">
        <v>257</v>
      </c>
      <c r="F57" s="175" t="s">
        <v>423</v>
      </c>
      <c r="G57" s="15" t="s">
        <v>364</v>
      </c>
      <c r="H57" s="176">
        <v>60600000</v>
      </c>
      <c r="I57" s="17" t="s">
        <v>260</v>
      </c>
      <c r="J57" s="113" t="str">
        <f>VLOOKUP($I57,'Price List, Weapons &amp; Items'!B:C,2,0)</f>
        <v>.</v>
      </c>
      <c r="K57" s="113" t="str">
        <f>IF(I57=".",I57,VLOOKUP($I57,'Price List, Weapons &amp; Items'!B:D,3,0))</f>
        <v>.</v>
      </c>
      <c r="L57" s="177">
        <f>VLOOKUP(I57,'Price List, Weapons &amp; Items'!B:E,4,0)</f>
        <v>0</v>
      </c>
      <c r="M57" s="542" t="s">
        <v>260</v>
      </c>
      <c r="N57" s="542" t="s">
        <v>260</v>
      </c>
      <c r="O57" s="543" t="str">
        <f>VLOOKUP($I57,'Price List, Weapons &amp; Items'!B:G,6,0)</f>
        <v>.</v>
      </c>
      <c r="P57" s="176" t="str">
        <f t="shared" si="6"/>
        <v>.</v>
      </c>
      <c r="Q57" s="176" t="str">
        <f t="shared" si="7"/>
        <v>.</v>
      </c>
      <c r="R57" s="176">
        <f t="shared" si="2"/>
        <v>60600000</v>
      </c>
      <c r="S57" s="176">
        <f>IF(AND(AD57=1,R57&lt;&gt;".")=TRUE,R57/VLOOKUP(G57,'Exchange Rates'!B:C,2,0),IF(R57=".",".",""))</f>
        <v>60600000</v>
      </c>
      <c r="T57" s="176" t="str">
        <f>IF(AD57=1,IF(AF57="Value is not given at all",".",IF(AF57="Value is given by the source",S57,IF(AF57="Value is calculated with prices",(IF(SUMIFS(Q:Q,A:A,A57)&gt;0,SUMIFS(Q:Q,A:A,A57),"."))/VLOOKUP("USD",'Exchange Rates'!B:C,2,0),"Error with coding"))),"")</f>
        <v>.</v>
      </c>
      <c r="U57" s="15" t="s">
        <v>261</v>
      </c>
      <c r="V57" s="300" t="s">
        <v>424</v>
      </c>
      <c r="W57" s="300" t="s">
        <v>425</v>
      </c>
      <c r="X57" s="546" t="s">
        <v>426</v>
      </c>
      <c r="Y57" s="175" t="s">
        <v>260</v>
      </c>
      <c r="Z57" s="15">
        <v>0</v>
      </c>
      <c r="AA57" s="180">
        <v>0</v>
      </c>
      <c r="AB57" s="184" t="s">
        <v>260</v>
      </c>
      <c r="AC57" s="544" t="str">
        <f>""</f>
        <v/>
      </c>
      <c r="AD57" s="181">
        <v>1</v>
      </c>
      <c r="AE57" s="181" t="s">
        <v>264</v>
      </c>
      <c r="AF57" s="181" t="s">
        <v>265</v>
      </c>
      <c r="AG57" s="181">
        <v>1</v>
      </c>
      <c r="AH57" s="181">
        <v>4</v>
      </c>
      <c r="AI57" s="181">
        <v>0</v>
      </c>
      <c r="AJ57" s="181">
        <f>VLOOKUP($I57,'Price List, Weapons &amp; Items'!B:F,5,0)</f>
        <v>0</v>
      </c>
      <c r="AK57" s="181">
        <f t="shared" si="8"/>
        <v>0</v>
      </c>
      <c r="AL57" s="181">
        <f t="shared" si="9"/>
        <v>0</v>
      </c>
      <c r="AM57" s="181">
        <f t="shared" si="10"/>
        <v>0</v>
      </c>
      <c r="AN57" s="180" t="str">
        <f>VLOOKUP($I57,'Price List, Weapons &amp; Items'!B:L,COLUMN('Price List, Weapons &amp; Items'!$J$11)-1,0)</f>
        <v>.</v>
      </c>
      <c r="AO57" s="180" t="str">
        <f>IF(I57=".",".",VLOOKUP($I57,'Price List, Weapons &amp; Items'!B:J,3,0))</f>
        <v>.</v>
      </c>
      <c r="AP57" s="545" t="e">
        <f t="shared" ca="1" si="11"/>
        <v>#NAME?</v>
      </c>
      <c r="AQ57" s="180" t="str">
        <f>VLOOKUP($I57,'Price List, Weapons &amp; Items'!B:L,COLUMN('Price List, Weapons &amp; Items'!$L$11)-1,0)</f>
        <v>no price, 0 count</v>
      </c>
      <c r="AR57" s="180">
        <f t="shared" si="12"/>
        <v>1</v>
      </c>
      <c r="AS57" s="180">
        <f t="shared" si="13"/>
        <v>0</v>
      </c>
      <c r="AT57" s="180">
        <f t="shared" si="5"/>
        <v>1</v>
      </c>
      <c r="AU57" s="180" t="str">
        <f t="shared" si="14"/>
        <v>.</v>
      </c>
      <c r="AV57" s="180" t="str">
        <f t="shared" si="15"/>
        <v>.</v>
      </c>
      <c r="AW57" s="180">
        <f>IFERROR(VLOOKUP(B57,'Share, Heavy Weapons to Ukraine'!B:J,COLUMN('Share, Heavy Weapons to Ukraine'!C65)-1,0),0)</f>
        <v>0</v>
      </c>
      <c r="AX57" s="180">
        <f>VLOOKUP('Bilateral Assistance, MAIN DATA'!B57,'Country Summary'!B:F,COLUMN('Country Summary'!C68)-1,FALSE)</f>
        <v>1</v>
      </c>
      <c r="AY57" s="180" t="str">
        <f>IF(AND(AD57=1,D57="Military",H57&lt;&gt;"Not given")=TRUE,IF(SUMIFS(P:P,A:A,A57)&gt;0,ABS((SUMIFS(P:P,A:A,A57)/VLOOKUP("USD",'Exchange Rates'!B:C,2,0)))/S57,"."),".")</f>
        <v>.</v>
      </c>
      <c r="AZ57" s="182" t="str">
        <f>IF(AND(AD57=1,D57="Military",H57&lt;&gt;"Not given")=TRUE,IF(SUMIFS(P:P,A:A,A57)&gt;0,IF((ABS((SUMIFS(P:P,A:A,A57)/VLOOKUP("USD",'Exchange Rates'!B:C,2,0)))/S57)&gt;1,(SUMIFS(P:P,A:A,A57)-S57)/S57,(S57-SUMIFS(P:P,A:A,A57))/SUMIFS(P:P,A:A,A57)),"."),".")</f>
        <v>.</v>
      </c>
    </row>
    <row r="58" spans="1:52" s="520" customFormat="1" ht="15.9" customHeight="1" x14ac:dyDescent="0.3">
      <c r="A58" s="17" t="s">
        <v>427</v>
      </c>
      <c r="B58" s="17" t="s">
        <v>413</v>
      </c>
      <c r="C58" s="174">
        <v>44686</v>
      </c>
      <c r="D58" s="5" t="s">
        <v>256</v>
      </c>
      <c r="E58" s="5" t="s">
        <v>257</v>
      </c>
      <c r="F58" s="175" t="s">
        <v>428</v>
      </c>
      <c r="G58" s="15" t="s">
        <v>364</v>
      </c>
      <c r="H58" s="176">
        <v>29770000</v>
      </c>
      <c r="I58" s="17" t="s">
        <v>260</v>
      </c>
      <c r="J58" s="113" t="str">
        <f>VLOOKUP($I58,'Price List, Weapons &amp; Items'!B:C,2,0)</f>
        <v>.</v>
      </c>
      <c r="K58" s="113" t="str">
        <f>IF(I58=".",I58,VLOOKUP($I58,'Price List, Weapons &amp; Items'!B:D,3,0))</f>
        <v>.</v>
      </c>
      <c r="L58" s="177">
        <f>VLOOKUP(I58,'Price List, Weapons &amp; Items'!B:E,4,0)</f>
        <v>0</v>
      </c>
      <c r="M58" s="542" t="s">
        <v>260</v>
      </c>
      <c r="N58" s="542" t="s">
        <v>260</v>
      </c>
      <c r="O58" s="543" t="str">
        <f>VLOOKUP($I58,'Price List, Weapons &amp; Items'!B:G,6,0)</f>
        <v>.</v>
      </c>
      <c r="P58" s="176" t="str">
        <f t="shared" si="6"/>
        <v>.</v>
      </c>
      <c r="Q58" s="176" t="str">
        <f t="shared" si="7"/>
        <v>.</v>
      </c>
      <c r="R58" s="176">
        <f t="shared" si="2"/>
        <v>29770000</v>
      </c>
      <c r="S58" s="176">
        <f>IF(AND(AD58=1,R58&lt;&gt;".")=TRUE,R58/VLOOKUP(G58,'Exchange Rates'!B:C,2,0),IF(R58=".",".",""))</f>
        <v>29770000</v>
      </c>
      <c r="T58" s="176" t="str">
        <f>IF(AD58=1,IF(AF58="Value is not given at all",".",IF(AF58="Value is given by the source",S58,IF(AF58="Value is calculated with prices",(IF(SUMIFS(Q:Q,A:A,A58)&gt;0,SUMIFS(Q:Q,A:A,A58),"."))/VLOOKUP("USD",'Exchange Rates'!B:C,2,0),"Error with coding"))),"")</f>
        <v>.</v>
      </c>
      <c r="U58" s="15" t="s">
        <v>261</v>
      </c>
      <c r="V58" s="300" t="s">
        <v>429</v>
      </c>
      <c r="W58" s="144" t="s">
        <v>260</v>
      </c>
      <c r="X58" s="175" t="s">
        <v>260</v>
      </c>
      <c r="Y58" s="175" t="s">
        <v>260</v>
      </c>
      <c r="Z58" s="15">
        <v>0</v>
      </c>
      <c r="AA58" s="180">
        <v>0</v>
      </c>
      <c r="AB58" s="184" t="s">
        <v>260</v>
      </c>
      <c r="AC58" s="544" t="str">
        <f>""</f>
        <v/>
      </c>
      <c r="AD58" s="181">
        <v>1</v>
      </c>
      <c r="AE58" s="181" t="s">
        <v>264</v>
      </c>
      <c r="AF58" s="181" t="s">
        <v>265</v>
      </c>
      <c r="AG58" s="181">
        <v>1</v>
      </c>
      <c r="AH58" s="181">
        <v>5</v>
      </c>
      <c r="AI58" s="181">
        <v>0</v>
      </c>
      <c r="AJ58" s="181">
        <f>VLOOKUP($I58,'Price List, Weapons &amp; Items'!B:F,5,0)</f>
        <v>0</v>
      </c>
      <c r="AK58" s="181">
        <f t="shared" si="8"/>
        <v>0</v>
      </c>
      <c r="AL58" s="181">
        <f t="shared" si="9"/>
        <v>0</v>
      </c>
      <c r="AM58" s="181">
        <f t="shared" si="10"/>
        <v>0</v>
      </c>
      <c r="AN58" s="180" t="str">
        <f>VLOOKUP($I58,'Price List, Weapons &amp; Items'!B:L,COLUMN('Price List, Weapons &amp; Items'!$J$11)-1,0)</f>
        <v>.</v>
      </c>
      <c r="AO58" s="180" t="str">
        <f>IF(I58=".",".",VLOOKUP($I58,'Price List, Weapons &amp; Items'!B:J,3,0))</f>
        <v>.</v>
      </c>
      <c r="AP58" s="545" t="e">
        <f t="shared" ca="1" si="11"/>
        <v>#NAME?</v>
      </c>
      <c r="AQ58" s="180" t="str">
        <f>VLOOKUP($I58,'Price List, Weapons &amp; Items'!B:L,COLUMN('Price List, Weapons &amp; Items'!$L$11)-1,0)</f>
        <v>no price, 0 count</v>
      </c>
      <c r="AR58" s="180">
        <f t="shared" si="12"/>
        <v>1</v>
      </c>
      <c r="AS58" s="180">
        <f t="shared" si="13"/>
        <v>0</v>
      </c>
      <c r="AT58" s="180">
        <f t="shared" si="5"/>
        <v>1</v>
      </c>
      <c r="AU58" s="180" t="str">
        <f t="shared" si="14"/>
        <v>.</v>
      </c>
      <c r="AV58" s="180" t="str">
        <f t="shared" si="15"/>
        <v>.</v>
      </c>
      <c r="AW58" s="180">
        <f>IFERROR(VLOOKUP(B58,'Share, Heavy Weapons to Ukraine'!B:J,COLUMN('Share, Heavy Weapons to Ukraine'!C66)-1,0),0)</f>
        <v>0</v>
      </c>
      <c r="AX58" s="180">
        <f>VLOOKUP('Bilateral Assistance, MAIN DATA'!B58,'Country Summary'!B:F,COLUMN('Country Summary'!C69)-1,FALSE)</f>
        <v>1</v>
      </c>
      <c r="AY58" s="180" t="str">
        <f>IF(AND(AD58=1,D58="Military",H58&lt;&gt;"Not given")=TRUE,IF(SUMIFS(P:P,A:A,A58)&gt;0,ABS((SUMIFS(P:P,A:A,A58)/VLOOKUP("USD",'Exchange Rates'!B:C,2,0)))/S58,"."),".")</f>
        <v>.</v>
      </c>
      <c r="AZ58" s="182" t="str">
        <f>IF(AND(AD58=1,D58="Military",H58&lt;&gt;"Not given")=TRUE,IF(SUMIFS(P:P,A:A,A58)&gt;0,IF((ABS((SUMIFS(P:P,A:A,A58)/VLOOKUP("USD",'Exchange Rates'!B:C,2,0)))/S58)&gt;1,(SUMIFS(P:P,A:A,A58)-S58)/S58,(S58-SUMIFS(P:P,A:A,A58))/SUMIFS(P:P,A:A,A58)),"."),".")</f>
        <v>.</v>
      </c>
    </row>
    <row r="59" spans="1:52" s="520" customFormat="1" ht="15.9" customHeight="1" x14ac:dyDescent="0.3">
      <c r="A59" s="17" t="s">
        <v>430</v>
      </c>
      <c r="B59" s="17" t="s">
        <v>413</v>
      </c>
      <c r="C59" s="174">
        <v>44757</v>
      </c>
      <c r="D59" s="5" t="s">
        <v>256</v>
      </c>
      <c r="E59" s="5" t="s">
        <v>267</v>
      </c>
      <c r="F59" s="175" t="s">
        <v>431</v>
      </c>
      <c r="G59" s="15" t="s">
        <v>364</v>
      </c>
      <c r="H59" s="176">
        <v>800000</v>
      </c>
      <c r="I59" s="17" t="s">
        <v>260</v>
      </c>
      <c r="J59" s="113" t="str">
        <f>VLOOKUP($I59,'Price List, Weapons &amp; Items'!B:C,2,0)</f>
        <v>.</v>
      </c>
      <c r="K59" s="113" t="str">
        <f>IF(I59=".",I59,VLOOKUP($I59,'Price List, Weapons &amp; Items'!B:D,3,0))</f>
        <v>.</v>
      </c>
      <c r="L59" s="177">
        <f>VLOOKUP(I59,'Price List, Weapons &amp; Items'!B:E,4,0)</f>
        <v>0</v>
      </c>
      <c r="M59" s="542" t="s">
        <v>260</v>
      </c>
      <c r="N59" s="542" t="s">
        <v>260</v>
      </c>
      <c r="O59" s="543" t="str">
        <f>VLOOKUP($I59,'Price List, Weapons &amp; Items'!B:G,6,0)</f>
        <v>.</v>
      </c>
      <c r="P59" s="176" t="str">
        <f t="shared" si="6"/>
        <v>.</v>
      </c>
      <c r="Q59" s="176" t="str">
        <f t="shared" si="7"/>
        <v>.</v>
      </c>
      <c r="R59" s="176">
        <f t="shared" si="2"/>
        <v>800000</v>
      </c>
      <c r="S59" s="176">
        <f>IF(AND(AD59=1,R59&lt;&gt;".")=TRUE,R59/VLOOKUP(G59,'Exchange Rates'!B:C,2,0),IF(R59=".",".",""))</f>
        <v>800000</v>
      </c>
      <c r="T59" s="176" t="str">
        <f>IF(AD59=1,IF(AF59="Value is not given at all",".",IF(AF59="Value is given by the source",S59,IF(AF59="Value is calculated with prices",(IF(SUMIFS(Q:Q,A:A,A59)&gt;0,SUMIFS(Q:Q,A:A,A59),"."))/VLOOKUP("USD",'Exchange Rates'!B:C,2,0),"Error with coding"))),"")</f>
        <v>.</v>
      </c>
      <c r="U59" s="15" t="s">
        <v>415</v>
      </c>
      <c r="V59" s="300" t="s">
        <v>432</v>
      </c>
      <c r="W59" s="144" t="s">
        <v>260</v>
      </c>
      <c r="X59" s="175" t="s">
        <v>260</v>
      </c>
      <c r="Y59" s="175" t="s">
        <v>260</v>
      </c>
      <c r="Z59" s="15">
        <v>0</v>
      </c>
      <c r="AA59" s="180">
        <v>0</v>
      </c>
      <c r="AB59" s="184" t="s">
        <v>260</v>
      </c>
      <c r="AC59" s="544" t="str">
        <f>""</f>
        <v/>
      </c>
      <c r="AD59" s="181">
        <v>1</v>
      </c>
      <c r="AE59" s="181" t="s">
        <v>264</v>
      </c>
      <c r="AF59" s="181" t="s">
        <v>265</v>
      </c>
      <c r="AG59" s="181">
        <v>1</v>
      </c>
      <c r="AH59" s="181">
        <v>7</v>
      </c>
      <c r="AI59" s="181">
        <v>0</v>
      </c>
      <c r="AJ59" s="181">
        <f>VLOOKUP($I59,'Price List, Weapons &amp; Items'!B:F,5,0)</f>
        <v>0</v>
      </c>
      <c r="AK59" s="181">
        <f t="shared" si="8"/>
        <v>0</v>
      </c>
      <c r="AL59" s="181">
        <f t="shared" si="9"/>
        <v>0</v>
      </c>
      <c r="AM59" s="181">
        <f t="shared" si="10"/>
        <v>0</v>
      </c>
      <c r="AN59" s="180" t="str">
        <f>VLOOKUP($I59,'Price List, Weapons &amp; Items'!B:L,COLUMN('Price List, Weapons &amp; Items'!$J$11)-1,0)</f>
        <v>.</v>
      </c>
      <c r="AO59" s="180" t="str">
        <f>IF(I59=".",".",VLOOKUP($I59,'Price List, Weapons &amp; Items'!B:J,3,0))</f>
        <v>.</v>
      </c>
      <c r="AP59" s="545" t="e">
        <f t="shared" ca="1" si="11"/>
        <v>#NAME?</v>
      </c>
      <c r="AQ59" s="180" t="str">
        <f>VLOOKUP($I59,'Price List, Weapons &amp; Items'!B:L,COLUMN('Price List, Weapons &amp; Items'!$L$11)-1,0)</f>
        <v>no price, 0 count</v>
      </c>
      <c r="AR59" s="180">
        <f t="shared" si="12"/>
        <v>0</v>
      </c>
      <c r="AS59" s="180">
        <f t="shared" si="13"/>
        <v>0</v>
      </c>
      <c r="AT59" s="180">
        <f t="shared" si="5"/>
        <v>1</v>
      </c>
      <c r="AU59" s="180" t="str">
        <f t="shared" si="14"/>
        <v>.</v>
      </c>
      <c r="AV59" s="180" t="str">
        <f t="shared" si="15"/>
        <v>.</v>
      </c>
      <c r="AW59" s="180">
        <f>IFERROR(VLOOKUP(B59,'Share, Heavy Weapons to Ukraine'!B:J,COLUMN('Share, Heavy Weapons to Ukraine'!C67)-1,0),0)</f>
        <v>0</v>
      </c>
      <c r="AX59" s="180">
        <f>VLOOKUP('Bilateral Assistance, MAIN DATA'!B59,'Country Summary'!B:F,COLUMN('Country Summary'!C70)-1,FALSE)</f>
        <v>1</v>
      </c>
      <c r="AY59" s="180" t="str">
        <f>IF(AND(AD59=1,D59="Military",H59&lt;&gt;"Not given")=TRUE,IF(SUMIFS(P:P,A:A,A59)&gt;0,ABS((SUMIFS(P:P,A:A,A59)/VLOOKUP("USD",'Exchange Rates'!B:C,2,0)))/S59,"."),".")</f>
        <v>.</v>
      </c>
      <c r="AZ59" s="182" t="str">
        <f>IF(AND(AD59=1,D59="Military",H59&lt;&gt;"Not given")=TRUE,IF(SUMIFS(P:P,A:A,A59)&gt;0,IF((ABS((SUMIFS(P:P,A:A,A59)/VLOOKUP("USD",'Exchange Rates'!B:C,2,0)))/S59)&gt;1,(SUMIFS(P:P,A:A,A59)-S59)/S59,(S59-SUMIFS(P:P,A:A,A59))/SUMIFS(P:P,A:A,A59)),"."),".")</f>
        <v>.</v>
      </c>
    </row>
    <row r="60" spans="1:52" ht="15.9" customHeight="1" x14ac:dyDescent="0.3">
      <c r="A60" s="5" t="s">
        <v>433</v>
      </c>
      <c r="B60" s="5" t="s">
        <v>413</v>
      </c>
      <c r="C60" s="174">
        <v>44618</v>
      </c>
      <c r="D60" s="5" t="s">
        <v>285</v>
      </c>
      <c r="E60" s="5" t="s">
        <v>286</v>
      </c>
      <c r="F60" s="175" t="s">
        <v>434</v>
      </c>
      <c r="G60" s="15" t="s">
        <v>364</v>
      </c>
      <c r="H60" s="176">
        <v>76000000</v>
      </c>
      <c r="I60" s="17" t="s">
        <v>435</v>
      </c>
      <c r="J60" s="113" t="str">
        <f>VLOOKUP($I60,'Price List, Weapons &amp; Items'!B:C,2,0)</f>
        <v>Light armaments &amp; infantry</v>
      </c>
      <c r="K60" s="113" t="str">
        <f>IF(I60=".",I60,VLOOKUP($I60,'Price List, Weapons &amp; Items'!B:D,3,0))</f>
        <v>Small Arms and Light Weapons (SALW)</v>
      </c>
      <c r="L60" s="177">
        <f>VLOOKUP(I60,'Price List, Weapons &amp; Items'!B:E,4,0)</f>
        <v>0</v>
      </c>
      <c r="M60" s="542">
        <v>2000</v>
      </c>
      <c r="N60" s="542">
        <v>2000</v>
      </c>
      <c r="O60" s="543">
        <f>VLOOKUP($I60,'Price List, Weapons &amp; Items'!B:G,6,0)</f>
        <v>3000</v>
      </c>
      <c r="P60" s="176">
        <f t="shared" si="6"/>
        <v>6000000</v>
      </c>
      <c r="Q60" s="176">
        <f t="shared" si="7"/>
        <v>6000000</v>
      </c>
      <c r="R60" s="176">
        <f t="shared" si="2"/>
        <v>76000000</v>
      </c>
      <c r="S60" s="176">
        <f>IF(AND(AD60=1,R60&lt;&gt;".")=TRUE,R60/VLOOKUP(G60,'Exchange Rates'!B:C,2,0),IF(R60=".",".",""))</f>
        <v>76000000</v>
      </c>
      <c r="T60" s="176">
        <f>IF(AD60=1,IF(AF60="Value is not given at all",".",IF(AF60="Value is given by the source",S60,IF(AF60="Value is calculated with prices",(IF(SUMIFS(Q:Q,A:A,A60)&gt;0,SUMIFS(Q:Q,A:A,A60),"."))/VLOOKUP("USD",'Exchange Rates'!B:C,2,0),"Error with coding"))),"")</f>
        <v>76000000</v>
      </c>
      <c r="U60" s="15" t="s">
        <v>261</v>
      </c>
      <c r="V60" s="547" t="s">
        <v>436</v>
      </c>
      <c r="W60" s="547" t="s">
        <v>437</v>
      </c>
      <c r="X60" s="547" t="s">
        <v>438</v>
      </c>
      <c r="Y60" s="188" t="s">
        <v>260</v>
      </c>
      <c r="Z60" s="15">
        <v>0</v>
      </c>
      <c r="AA60" s="180">
        <v>0</v>
      </c>
      <c r="AB60" s="549" t="s">
        <v>436</v>
      </c>
      <c r="AC60" s="544" t="str">
        <f>""</f>
        <v/>
      </c>
      <c r="AD60" s="181">
        <v>1</v>
      </c>
      <c r="AE60" s="181" t="s">
        <v>264</v>
      </c>
      <c r="AF60" s="181" t="s">
        <v>264</v>
      </c>
      <c r="AG60" s="181">
        <v>1</v>
      </c>
      <c r="AH60" s="181">
        <v>2</v>
      </c>
      <c r="AI60" s="181">
        <v>0</v>
      </c>
      <c r="AJ60" s="181">
        <f>VLOOKUP($I60,'Price List, Weapons &amp; Items'!B:F,5,0)</f>
        <v>0</v>
      </c>
      <c r="AK60" s="181">
        <f t="shared" si="8"/>
        <v>0</v>
      </c>
      <c r="AL60" s="181">
        <f t="shared" si="9"/>
        <v>0</v>
      </c>
      <c r="AM60" s="181">
        <f t="shared" si="10"/>
        <v>0</v>
      </c>
      <c r="AN60" s="180" t="str">
        <f>VLOOKUP($I60,'Price List, Weapons &amp; Items'!B:L,COLUMN('Price List, Weapons &amp; Items'!$J$11)-1,0)</f>
        <v>Military media (incl. websites)</v>
      </c>
      <c r="AO60" s="180" t="str">
        <f>IF(I60=".",".",VLOOKUP($I60,'Price List, Weapons &amp; Items'!B:J,3,0))</f>
        <v>Small Arms and Light Weapons (SALW)</v>
      </c>
      <c r="AP60" s="545" t="e">
        <f t="shared" ca="1" si="11"/>
        <v>#NAME?</v>
      </c>
      <c r="AQ60" s="180">
        <f>VLOOKUP($I60,'Price List, Weapons &amp; Items'!B:L,COLUMN('Price List, Weapons &amp; Items'!$L$11)-1,0)</f>
        <v>2</v>
      </c>
      <c r="AR60" s="180">
        <f t="shared" si="12"/>
        <v>1</v>
      </c>
      <c r="AS60" s="180">
        <f t="shared" si="13"/>
        <v>1</v>
      </c>
      <c r="AT60" s="180">
        <f t="shared" si="5"/>
        <v>1</v>
      </c>
      <c r="AU60" s="180" t="str">
        <f t="shared" si="14"/>
        <v>.</v>
      </c>
      <c r="AV60" s="180" t="str">
        <f t="shared" si="15"/>
        <v>.</v>
      </c>
      <c r="AW60" s="180">
        <f>IFERROR(VLOOKUP(B60,'Share, Heavy Weapons to Ukraine'!B:J,COLUMN('Share, Heavy Weapons to Ukraine'!C68)-1,0),0)</f>
        <v>0</v>
      </c>
      <c r="AX60" s="180">
        <f>VLOOKUP('Bilateral Assistance, MAIN DATA'!B60,'Country Summary'!B:F,COLUMN('Country Summary'!C71)-1,FALSE)</f>
        <v>1</v>
      </c>
      <c r="AY60" s="180">
        <f>IF(AND(AD60=1,D60="Military",H60&lt;&gt;"Not given")=TRUE,IF(SUMIFS(P:P,A:A,A60)&gt;0,ABS((SUMIFS(P:P,A:A,A60)/VLOOKUP("USD",'Exchange Rates'!B:C,2,0)))/S60,"."),".")</f>
        <v>0.26845238095238094</v>
      </c>
      <c r="AZ60" s="182">
        <f>IF(AND(AD60=1,D60="Military",H60&lt;&gt;"Not given")=TRUE,IF(SUMIFS(P:P,A:A,A60)&gt;0,IF((ABS((SUMIFS(P:P,A:A,A60)/VLOOKUP("USD",'Exchange Rates'!B:C,2,0)))/S60)&gt;1,(SUMIFS(P:P,A:A,A60)-S60)/S60,(S60-SUMIFS(P:P,A:A,A60))/SUMIFS(P:P,A:A,A60)),"."),".")</f>
        <v>2.5476718403547673</v>
      </c>
    </row>
    <row r="61" spans="1:52" ht="15.9" customHeight="1" x14ac:dyDescent="0.3">
      <c r="A61" s="5" t="s">
        <v>433</v>
      </c>
      <c r="B61" s="5" t="s">
        <v>413</v>
      </c>
      <c r="C61" s="174">
        <v>44618</v>
      </c>
      <c r="D61" s="5" t="s">
        <v>285</v>
      </c>
      <c r="E61" s="5" t="s">
        <v>286</v>
      </c>
      <c r="F61" s="175" t="s">
        <v>434</v>
      </c>
      <c r="G61" s="15" t="s">
        <v>364</v>
      </c>
      <c r="H61" s="176">
        <v>76000000</v>
      </c>
      <c r="I61" s="17" t="s">
        <v>439</v>
      </c>
      <c r="J61" s="113" t="str">
        <f>VLOOKUP($I61,'Price List, Weapons &amp; Items'!B:C,2,0)</f>
        <v>Military equipment</v>
      </c>
      <c r="K61" s="113" t="str">
        <f>IF(I61=".",I61,VLOOKUP($I61,'Price List, Weapons &amp; Items'!B:D,3,0))</f>
        <v>Military equipment</v>
      </c>
      <c r="L61" s="177">
        <f>VLOOKUP(I61,'Price List, Weapons &amp; Items'!B:E,4,0)</f>
        <v>0</v>
      </c>
      <c r="M61" s="542">
        <v>3800</v>
      </c>
      <c r="N61" s="542">
        <v>3800</v>
      </c>
      <c r="O61" s="543">
        <f>VLOOKUP($I61,'Price List, Weapons &amp; Items'!B:G,6,0)</f>
        <v>1612.5</v>
      </c>
      <c r="P61" s="176">
        <f t="shared" si="6"/>
        <v>6127500</v>
      </c>
      <c r="Q61" s="176">
        <f t="shared" si="7"/>
        <v>6127500</v>
      </c>
      <c r="R61" s="176" t="str">
        <f t="shared" si="2"/>
        <v/>
      </c>
      <c r="S61" s="176" t="str">
        <f>IF(AND(AD61=1,R61&lt;&gt;".")=TRUE,R61/VLOOKUP(G61,'Exchange Rates'!B:C,2,0),IF(R61=".",".",""))</f>
        <v/>
      </c>
      <c r="T61" s="176" t="str">
        <f>IF(AD61=1,IF(AF61="Value is not given at all",".",IF(AF61="Value is given by the source",S61,IF(AF61="Value is calculated with prices",(IF(SUMIFS(Q:Q,A:A,A61)&gt;0,SUMIFS(Q:Q,A:A,A61),"."))/VLOOKUP("USD",'Exchange Rates'!B:C,2,0),"Error with coding"))),"")</f>
        <v/>
      </c>
      <c r="U61" s="15" t="s">
        <v>261</v>
      </c>
      <c r="V61" s="547" t="s">
        <v>436</v>
      </c>
      <c r="W61" s="547" t="s">
        <v>437</v>
      </c>
      <c r="X61" s="547" t="s">
        <v>438</v>
      </c>
      <c r="Y61" s="188" t="s">
        <v>260</v>
      </c>
      <c r="Z61" s="15">
        <v>0</v>
      </c>
      <c r="AA61" s="180">
        <v>0</v>
      </c>
      <c r="AB61" s="549" t="s">
        <v>436</v>
      </c>
      <c r="AC61" s="544" t="str">
        <f>""</f>
        <v/>
      </c>
      <c r="AD61" s="181">
        <v>0</v>
      </c>
      <c r="AE61" s="181" t="s">
        <v>264</v>
      </c>
      <c r="AF61" s="181" t="s">
        <v>332</v>
      </c>
      <c r="AG61" s="181">
        <v>1</v>
      </c>
      <c r="AH61" s="181">
        <v>2</v>
      </c>
      <c r="AI61" s="181">
        <v>0</v>
      </c>
      <c r="AJ61" s="181">
        <f>VLOOKUP($I61,'Price List, Weapons &amp; Items'!B:F,5,0)</f>
        <v>0</v>
      </c>
      <c r="AK61" s="181">
        <f t="shared" si="8"/>
        <v>0</v>
      </c>
      <c r="AL61" s="181">
        <f t="shared" si="9"/>
        <v>0</v>
      </c>
      <c r="AM61" s="181">
        <f t="shared" si="10"/>
        <v>0</v>
      </c>
      <c r="AN61" s="180" t="str">
        <f>VLOOKUP($I61,'Price List, Weapons &amp; Items'!B:L,COLUMN('Price List, Weapons &amp; Items'!$J$11)-1,0)</f>
        <v>Miscellaneous</v>
      </c>
      <c r="AO61" s="180" t="str">
        <f>IF(I61=".",".",VLOOKUP($I61,'Price List, Weapons &amp; Items'!B:J,3,0))</f>
        <v>Military equipment</v>
      </c>
      <c r="AP61" s="545" t="str">
        <f t="shared" ca="1" si="11"/>
        <v/>
      </c>
      <c r="AQ61" s="180">
        <f>VLOOKUP($I61,'Price List, Weapons &amp; Items'!B:L,COLUMN('Price List, Weapons &amp; Items'!$L$11)-1,0)</f>
        <v>2</v>
      </c>
      <c r="AR61" s="180">
        <f t="shared" si="12"/>
        <v>1</v>
      </c>
      <c r="AS61" s="180">
        <f t="shared" si="13"/>
        <v>1</v>
      </c>
      <c r="AT61" s="180">
        <f t="shared" si="5"/>
        <v>1</v>
      </c>
      <c r="AU61" s="180" t="str">
        <f t="shared" si="14"/>
        <v>.</v>
      </c>
      <c r="AV61" s="180" t="str">
        <f t="shared" si="15"/>
        <v>.</v>
      </c>
      <c r="AW61" s="180">
        <f>IFERROR(VLOOKUP(B61,'Share, Heavy Weapons to Ukraine'!B:J,COLUMN('Share, Heavy Weapons to Ukraine'!C69)-1,0),0)</f>
        <v>0</v>
      </c>
      <c r="AX61" s="180">
        <f>VLOOKUP('Bilateral Assistance, MAIN DATA'!B61,'Country Summary'!B:F,COLUMN('Country Summary'!C72)-1,FALSE)</f>
        <v>1</v>
      </c>
      <c r="AY61" s="180" t="str">
        <f>IF(AND(AD61=1,D61="Military",H61&lt;&gt;"Not given")=TRUE,IF(SUMIFS(P:P,A:A,A61)&gt;0,ABS((SUMIFS(P:P,A:A,A61)/VLOOKUP("USD",'Exchange Rates'!B:C,2,0)))/S61,"."),".")</f>
        <v>.</v>
      </c>
      <c r="AZ61" s="182" t="str">
        <f>IF(AND(AD61=1,D61="Military",H61&lt;&gt;"Not given")=TRUE,IF(SUMIFS(P:P,A:A,A61)&gt;0,IF((ABS((SUMIFS(P:P,A:A,A61)/VLOOKUP("USD",'Exchange Rates'!B:C,2,0)))/S61)&gt;1,(SUMIFS(P:P,A:A,A61)-S61)/S61,(S61-SUMIFS(P:P,A:A,A61))/SUMIFS(P:P,A:A,A61)),"."),".")</f>
        <v>.</v>
      </c>
    </row>
    <row r="62" spans="1:52" ht="15.9" customHeight="1" x14ac:dyDescent="0.3">
      <c r="A62" s="5" t="s">
        <v>433</v>
      </c>
      <c r="B62" s="5" t="s">
        <v>413</v>
      </c>
      <c r="C62" s="174">
        <v>44619</v>
      </c>
      <c r="D62" s="5" t="s">
        <v>285</v>
      </c>
      <c r="E62" s="5" t="s">
        <v>339</v>
      </c>
      <c r="F62" s="175" t="s">
        <v>434</v>
      </c>
      <c r="G62" s="15" t="s">
        <v>364</v>
      </c>
      <c r="H62" s="176">
        <v>76000000</v>
      </c>
      <c r="I62" s="17" t="s">
        <v>435</v>
      </c>
      <c r="J62" s="113" t="str">
        <f>VLOOKUP($I62,'Price List, Weapons &amp; Items'!B:C,2,0)</f>
        <v>Light armaments &amp; infantry</v>
      </c>
      <c r="K62" s="113" t="str">
        <f>IF(I62=".",I62,VLOOKUP($I62,'Price List, Weapons &amp; Items'!B:D,3,0))</f>
        <v>Small Arms and Light Weapons (SALW)</v>
      </c>
      <c r="L62" s="177">
        <f>VLOOKUP(I62,'Price List, Weapons &amp; Items'!B:E,4,0)</f>
        <v>0</v>
      </c>
      <c r="M62" s="542">
        <v>3000</v>
      </c>
      <c r="N62" s="542">
        <v>3000</v>
      </c>
      <c r="O62" s="543">
        <f>VLOOKUP($I62,'Price List, Weapons &amp; Items'!B:G,6,0)</f>
        <v>3000</v>
      </c>
      <c r="P62" s="176">
        <f t="shared" si="6"/>
        <v>9000000</v>
      </c>
      <c r="Q62" s="176">
        <f t="shared" si="7"/>
        <v>9000000</v>
      </c>
      <c r="R62" s="176" t="str">
        <f t="shared" si="2"/>
        <v/>
      </c>
      <c r="S62" s="176" t="str">
        <f>IF(AND(AD62=1,R62&lt;&gt;".")=TRUE,R62/VLOOKUP(G62,'Exchange Rates'!B:C,2,0),IF(R62=".",".",""))</f>
        <v/>
      </c>
      <c r="T62" s="176" t="str">
        <f>IF(AD62=1,IF(AF62="Value is not given at all",".",IF(AF62="Value is given by the source",S62,IF(AF62="Value is calculated with prices",(IF(SUMIFS(Q:Q,A:A,A62)&gt;0,SUMIFS(Q:Q,A:A,A62),"."))/VLOOKUP("USD",'Exchange Rates'!B:C,2,0),"Error with coding"))),"")</f>
        <v/>
      </c>
      <c r="U62" s="15" t="s">
        <v>261</v>
      </c>
      <c r="V62" s="547" t="s">
        <v>436</v>
      </c>
      <c r="W62" s="547" t="s">
        <v>440</v>
      </c>
      <c r="X62" s="547" t="s">
        <v>438</v>
      </c>
      <c r="Y62" s="188" t="s">
        <v>260</v>
      </c>
      <c r="Z62" s="15">
        <v>0</v>
      </c>
      <c r="AA62" s="180">
        <v>0</v>
      </c>
      <c r="AB62" s="549" t="s">
        <v>436</v>
      </c>
      <c r="AC62" s="544" t="str">
        <f>""</f>
        <v/>
      </c>
      <c r="AD62" s="181">
        <v>0</v>
      </c>
      <c r="AE62" s="181" t="s">
        <v>264</v>
      </c>
      <c r="AF62" s="181" t="s">
        <v>332</v>
      </c>
      <c r="AG62" s="181">
        <v>1</v>
      </c>
      <c r="AH62" s="181">
        <v>2</v>
      </c>
      <c r="AI62" s="181">
        <v>0</v>
      </c>
      <c r="AJ62" s="181">
        <f>VLOOKUP($I62,'Price List, Weapons &amp; Items'!B:F,5,0)</f>
        <v>0</v>
      </c>
      <c r="AK62" s="181">
        <f t="shared" si="8"/>
        <v>0</v>
      </c>
      <c r="AL62" s="181">
        <f t="shared" si="9"/>
        <v>0</v>
      </c>
      <c r="AM62" s="181">
        <f t="shared" si="10"/>
        <v>0</v>
      </c>
      <c r="AN62" s="180" t="str">
        <f>VLOOKUP($I62,'Price List, Weapons &amp; Items'!B:L,COLUMN('Price List, Weapons &amp; Items'!$J$11)-1,0)</f>
        <v>Military media (incl. websites)</v>
      </c>
      <c r="AO62" s="180" t="str">
        <f>IF(I62=".",".",VLOOKUP($I62,'Price List, Weapons &amp; Items'!B:J,3,0))</f>
        <v>Small Arms and Light Weapons (SALW)</v>
      </c>
      <c r="AP62" s="545" t="str">
        <f t="shared" ca="1" si="11"/>
        <v/>
      </c>
      <c r="AQ62" s="180">
        <f>VLOOKUP($I62,'Price List, Weapons &amp; Items'!B:L,COLUMN('Price List, Weapons &amp; Items'!$L$11)-1,0)</f>
        <v>2</v>
      </c>
      <c r="AR62" s="180">
        <f t="shared" si="12"/>
        <v>1</v>
      </c>
      <c r="AS62" s="180">
        <f t="shared" si="13"/>
        <v>1</v>
      </c>
      <c r="AT62" s="180">
        <f t="shared" si="5"/>
        <v>1</v>
      </c>
      <c r="AU62" s="180" t="str">
        <f t="shared" si="14"/>
        <v>.</v>
      </c>
      <c r="AV62" s="180" t="str">
        <f t="shared" si="15"/>
        <v>.</v>
      </c>
      <c r="AW62" s="180">
        <f>IFERROR(VLOOKUP(B62,'Share, Heavy Weapons to Ukraine'!B:J,COLUMN('Share, Heavy Weapons to Ukraine'!C70)-1,0),0)</f>
        <v>0</v>
      </c>
      <c r="AX62" s="180">
        <f>VLOOKUP('Bilateral Assistance, MAIN DATA'!B62,'Country Summary'!B:F,COLUMN('Country Summary'!C73)-1,FALSE)</f>
        <v>1</v>
      </c>
      <c r="AY62" s="180" t="str">
        <f>IF(AND(AD62=1,D62="Military",H62&lt;&gt;"Not given")=TRUE,IF(SUMIFS(P:P,A:A,A62)&gt;0,ABS((SUMIFS(P:P,A:A,A62)/VLOOKUP("USD",'Exchange Rates'!B:C,2,0)))/S62,"."),".")</f>
        <v>.</v>
      </c>
      <c r="AZ62" s="182" t="str">
        <f>IF(AND(AD62=1,D62="Military",H62&lt;&gt;"Not given")=TRUE,IF(SUMIFS(P:P,A:A,A62)&gt;0,IF((ABS((SUMIFS(P:P,A:A,A62)/VLOOKUP("USD",'Exchange Rates'!B:C,2,0)))/S62)&gt;1,(SUMIFS(P:P,A:A,A62)-S62)/S62,(S62-SUMIFS(P:P,A:A,A62))/SUMIFS(P:P,A:A,A62)),"."),".")</f>
        <v>.</v>
      </c>
    </row>
    <row r="63" spans="1:52" ht="15.9" customHeight="1" x14ac:dyDescent="0.3">
      <c r="A63" s="5" t="s">
        <v>433</v>
      </c>
      <c r="B63" s="5" t="s">
        <v>413</v>
      </c>
      <c r="C63" s="174">
        <v>44619</v>
      </c>
      <c r="D63" s="5" t="s">
        <v>285</v>
      </c>
      <c r="E63" s="5" t="s">
        <v>339</v>
      </c>
      <c r="F63" s="175" t="s">
        <v>434</v>
      </c>
      <c r="G63" s="15" t="s">
        <v>364</v>
      </c>
      <c r="H63" s="176">
        <v>76000000</v>
      </c>
      <c r="I63" s="17" t="s">
        <v>441</v>
      </c>
      <c r="J63" s="113" t="str">
        <f>VLOOKUP($I63,'Price List, Weapons &amp; Items'!B:C,2,0)</f>
        <v>Portable defence system</v>
      </c>
      <c r="K63" s="113" t="str">
        <f>IF(I63=".",I63,VLOOKUP($I63,'Price List, Weapons &amp; Items'!B:D,3,0))</f>
        <v>Light Anti-armor Weapon (LAW)</v>
      </c>
      <c r="L63" s="177">
        <f>VLOOKUP(I63,'Price List, Weapons &amp; Items'!B:E,4,0)</f>
        <v>0</v>
      </c>
      <c r="M63" s="542">
        <v>200</v>
      </c>
      <c r="N63" s="542">
        <v>200</v>
      </c>
      <c r="O63" s="543">
        <f>VLOOKUP($I63,'Price List, Weapons &amp; Items'!B:G,6,0)</f>
        <v>1475</v>
      </c>
      <c r="P63" s="176">
        <f t="shared" si="6"/>
        <v>295000</v>
      </c>
      <c r="Q63" s="176">
        <f t="shared" si="7"/>
        <v>295000</v>
      </c>
      <c r="R63" s="176" t="str">
        <f t="shared" si="2"/>
        <v/>
      </c>
      <c r="S63" s="176" t="str">
        <f>IF(AND(AD63=1,R63&lt;&gt;".")=TRUE,R63/VLOOKUP(G63,'Exchange Rates'!B:C,2,0),IF(R63=".",".",""))</f>
        <v/>
      </c>
      <c r="T63" s="176" t="str">
        <f>IF(AD63=1,IF(AF63="Value is not given at all",".",IF(AF63="Value is given by the source",S63,IF(AF63="Value is calculated with prices",(IF(SUMIFS(Q:Q,A:A,A63)&gt;0,SUMIFS(Q:Q,A:A,A63),"."))/VLOOKUP("USD",'Exchange Rates'!B:C,2,0),"Error with coding"))),"")</f>
        <v/>
      </c>
      <c r="U63" s="15" t="s">
        <v>261</v>
      </c>
      <c r="V63" s="547" t="s">
        <v>436</v>
      </c>
      <c r="W63" s="547" t="s">
        <v>440</v>
      </c>
      <c r="X63" s="547" t="s">
        <v>438</v>
      </c>
      <c r="Y63" s="188" t="s">
        <v>260</v>
      </c>
      <c r="Z63" s="15">
        <v>0</v>
      </c>
      <c r="AA63" s="180">
        <v>0</v>
      </c>
      <c r="AB63" s="549" t="s">
        <v>436</v>
      </c>
      <c r="AC63" s="544" t="str">
        <f>""</f>
        <v/>
      </c>
      <c r="AD63" s="181">
        <v>0</v>
      </c>
      <c r="AE63" s="181" t="s">
        <v>264</v>
      </c>
      <c r="AF63" s="181" t="s">
        <v>332</v>
      </c>
      <c r="AG63" s="181">
        <v>1</v>
      </c>
      <c r="AH63" s="181">
        <v>2</v>
      </c>
      <c r="AI63" s="181">
        <v>0</v>
      </c>
      <c r="AJ63" s="181">
        <f>VLOOKUP($I63,'Price List, Weapons &amp; Items'!B:F,5,0)</f>
        <v>0</v>
      </c>
      <c r="AK63" s="181">
        <f t="shared" si="8"/>
        <v>0</v>
      </c>
      <c r="AL63" s="181">
        <f t="shared" si="9"/>
        <v>0</v>
      </c>
      <c r="AM63" s="181">
        <f t="shared" si="10"/>
        <v>0</v>
      </c>
      <c r="AN63" s="180" t="str">
        <f>VLOOKUP($I63,'Price List, Weapons &amp; Items'!B:L,COLUMN('Price List, Weapons &amp; Items'!$J$11)-1,0)</f>
        <v>Military media (incl. websites)</v>
      </c>
      <c r="AO63" s="180" t="str">
        <f>IF(I63=".",".",VLOOKUP($I63,'Price List, Weapons &amp; Items'!B:J,3,0))</f>
        <v>Light Anti-armor Weapon (LAW)</v>
      </c>
      <c r="AP63" s="545" t="str">
        <f t="shared" ca="1" si="11"/>
        <v/>
      </c>
      <c r="AQ63" s="180">
        <f>VLOOKUP($I63,'Price List, Weapons &amp; Items'!B:L,COLUMN('Price List, Weapons &amp; Items'!$L$11)-1,0)</f>
        <v>2</v>
      </c>
      <c r="AR63" s="180">
        <f t="shared" si="12"/>
        <v>1</v>
      </c>
      <c r="AS63" s="180">
        <f t="shared" si="13"/>
        <v>1</v>
      </c>
      <c r="AT63" s="180">
        <f t="shared" si="5"/>
        <v>1</v>
      </c>
      <c r="AU63" s="180" t="str">
        <f t="shared" si="14"/>
        <v>.</v>
      </c>
      <c r="AV63" s="180" t="str">
        <f t="shared" si="15"/>
        <v>.</v>
      </c>
      <c r="AW63" s="180">
        <f>IFERROR(VLOOKUP(B63,'Share, Heavy Weapons to Ukraine'!B:J,COLUMN('Share, Heavy Weapons to Ukraine'!C71)-1,0),0)</f>
        <v>0</v>
      </c>
      <c r="AX63" s="180">
        <f>VLOOKUP('Bilateral Assistance, MAIN DATA'!B63,'Country Summary'!B:F,COLUMN('Country Summary'!C74)-1,FALSE)</f>
        <v>1</v>
      </c>
      <c r="AY63" s="180" t="str">
        <f>IF(AND(AD63=1,D63="Military",H63&lt;&gt;"Not given")=TRUE,IF(SUMIFS(P:P,A:A,A63)&gt;0,ABS((SUMIFS(P:P,A:A,A63)/VLOOKUP("USD",'Exchange Rates'!B:C,2,0)))/S63,"."),".")</f>
        <v>.</v>
      </c>
      <c r="AZ63" s="182" t="str">
        <f>IF(AND(AD63=1,D63="Military",H63&lt;&gt;"Not given")=TRUE,IF(SUMIFS(P:P,A:A,A63)&gt;0,IF((ABS((SUMIFS(P:P,A:A,A63)/VLOOKUP("USD",'Exchange Rates'!B:C,2,0)))/S63)&gt;1,(SUMIFS(P:P,A:A,A63)-S63)/S63,(S63-SUMIFS(P:P,A:A,A63))/SUMIFS(P:P,A:A,A63)),"."),".")</f>
        <v>.</v>
      </c>
    </row>
    <row r="64" spans="1:52" ht="15.9" customHeight="1" x14ac:dyDescent="0.3">
      <c r="A64" s="5" t="s">
        <v>442</v>
      </c>
      <c r="B64" s="5" t="s">
        <v>413</v>
      </c>
      <c r="C64" s="174">
        <v>44642</v>
      </c>
      <c r="D64" s="5" t="s">
        <v>285</v>
      </c>
      <c r="E64" s="5" t="s">
        <v>339</v>
      </c>
      <c r="F64" s="175" t="s">
        <v>443</v>
      </c>
      <c r="G64" s="15" t="s">
        <v>364</v>
      </c>
      <c r="H64" s="176">
        <v>11000000</v>
      </c>
      <c r="I64" s="17" t="s">
        <v>260</v>
      </c>
      <c r="J64" s="113" t="str">
        <f>VLOOKUP($I64,'Price List, Weapons &amp; Items'!B:C,2,0)</f>
        <v>.</v>
      </c>
      <c r="K64" s="113" t="str">
        <f>IF(I64=".",I64,VLOOKUP($I64,'Price List, Weapons &amp; Items'!B:D,3,0))</f>
        <v>.</v>
      </c>
      <c r="L64" s="177">
        <f>VLOOKUP(I64,'Price List, Weapons &amp; Items'!B:E,4,0)</f>
        <v>0</v>
      </c>
      <c r="M64" s="542" t="s">
        <v>260</v>
      </c>
      <c r="N64" s="542" t="s">
        <v>260</v>
      </c>
      <c r="O64" s="543" t="str">
        <f>VLOOKUP($I64,'Price List, Weapons &amp; Items'!B:G,6,0)</f>
        <v>.</v>
      </c>
      <c r="P64" s="176" t="str">
        <f t="shared" si="6"/>
        <v>.</v>
      </c>
      <c r="Q64" s="176" t="str">
        <f t="shared" si="7"/>
        <v>.</v>
      </c>
      <c r="R64" s="176">
        <f t="shared" si="2"/>
        <v>11000000</v>
      </c>
      <c r="S64" s="176">
        <f>IF(AND(AD64=1,R64&lt;&gt;".")=TRUE,R64/VLOOKUP(G64,'Exchange Rates'!B:C,2,0),IF(R64=".",".",""))</f>
        <v>11000000</v>
      </c>
      <c r="T64" s="176">
        <f>IF(AD64=1,IF(AF64="Value is not given at all",".",IF(AF64="Value is given by the source",S64,IF(AF64="Value is calculated with prices",(IF(SUMIFS(Q:Q,A:A,A64)&gt;0,SUMIFS(Q:Q,A:A,A64),"."))/VLOOKUP("USD",'Exchange Rates'!B:C,2,0),"Error with coding"))),"")</f>
        <v>11000000</v>
      </c>
      <c r="U64" s="15" t="s">
        <v>261</v>
      </c>
      <c r="V64" s="547" t="s">
        <v>436</v>
      </c>
      <c r="W64" s="300" t="s">
        <v>444</v>
      </c>
      <c r="X64" s="300" t="s">
        <v>445</v>
      </c>
      <c r="Y64" s="175" t="s">
        <v>260</v>
      </c>
      <c r="Z64" s="15">
        <v>0</v>
      </c>
      <c r="AA64" s="180">
        <v>0</v>
      </c>
      <c r="AB64" s="549" t="s">
        <v>436</v>
      </c>
      <c r="AC64" s="544" t="str">
        <f>""</f>
        <v/>
      </c>
      <c r="AD64" s="181">
        <v>1</v>
      </c>
      <c r="AE64" s="181" t="s">
        <v>264</v>
      </c>
      <c r="AF64" s="181" t="s">
        <v>264</v>
      </c>
      <c r="AG64" s="181">
        <v>1</v>
      </c>
      <c r="AH64" s="181">
        <v>3</v>
      </c>
      <c r="AI64" s="181">
        <v>0</v>
      </c>
      <c r="AJ64" s="181">
        <f>VLOOKUP($I64,'Price List, Weapons &amp; Items'!B:F,5,0)</f>
        <v>0</v>
      </c>
      <c r="AK64" s="181">
        <f t="shared" si="8"/>
        <v>0</v>
      </c>
      <c r="AL64" s="181">
        <f t="shared" si="9"/>
        <v>0</v>
      </c>
      <c r="AM64" s="181">
        <f t="shared" si="10"/>
        <v>0</v>
      </c>
      <c r="AN64" s="180" t="str">
        <f>VLOOKUP($I64,'Price List, Weapons &amp; Items'!B:L,COLUMN('Price List, Weapons &amp; Items'!$J$11)-1,0)</f>
        <v>.</v>
      </c>
      <c r="AO64" s="180" t="str">
        <f>IF(I64=".",".",VLOOKUP($I64,'Price List, Weapons &amp; Items'!B:J,3,0))</f>
        <v>.</v>
      </c>
      <c r="AP64" s="545" t="e">
        <f t="shared" ca="1" si="11"/>
        <v>#NAME?</v>
      </c>
      <c r="AQ64" s="180" t="str">
        <f>VLOOKUP($I64,'Price List, Weapons &amp; Items'!B:L,COLUMN('Price List, Weapons &amp; Items'!$L$11)-1,0)</f>
        <v>no price, 0 count</v>
      </c>
      <c r="AR64" s="180">
        <f t="shared" si="12"/>
        <v>1</v>
      </c>
      <c r="AS64" s="180">
        <f t="shared" si="13"/>
        <v>1</v>
      </c>
      <c r="AT64" s="180">
        <f t="shared" si="5"/>
        <v>1</v>
      </c>
      <c r="AU64" s="180" t="str">
        <f t="shared" si="14"/>
        <v>.</v>
      </c>
      <c r="AV64" s="180" t="str">
        <f t="shared" si="15"/>
        <v>.</v>
      </c>
      <c r="AW64" s="180">
        <f>IFERROR(VLOOKUP(B64,'Share, Heavy Weapons to Ukraine'!B:J,COLUMN('Share, Heavy Weapons to Ukraine'!C72)-1,0),0)</f>
        <v>0</v>
      </c>
      <c r="AX64" s="180">
        <f>VLOOKUP('Bilateral Assistance, MAIN DATA'!B64,'Country Summary'!B:F,COLUMN('Country Summary'!C75)-1,FALSE)</f>
        <v>1</v>
      </c>
      <c r="AY64" s="180" t="str">
        <f>IF(AND(AD64=1,D64="Military",H64&lt;&gt;"Not given")=TRUE,IF(SUMIFS(P:P,A:A,A64)&gt;0,ABS((SUMIFS(P:P,A:A,A64)/VLOOKUP("USD",'Exchange Rates'!B:C,2,0)))/S64,"."),".")</f>
        <v>.</v>
      </c>
      <c r="AZ64" s="182" t="str">
        <f>IF(AND(AD64=1,D64="Military",H64&lt;&gt;"Not given")=TRUE,IF(SUMIFS(P:P,A:A,A64)&gt;0,IF((ABS((SUMIFS(P:P,A:A,A64)/VLOOKUP("USD",'Exchange Rates'!B:C,2,0)))/S64)&gt;1,(SUMIFS(P:P,A:A,A64)-S64)/S64,(S64-SUMIFS(P:P,A:A,A64))/SUMIFS(P:P,A:A,A64)),"."),".")</f>
        <v>.</v>
      </c>
    </row>
    <row r="65" spans="1:52" ht="15.9" customHeight="1" x14ac:dyDescent="0.3">
      <c r="A65" s="5" t="s">
        <v>446</v>
      </c>
      <c r="B65" s="5" t="s">
        <v>413</v>
      </c>
      <c r="C65" s="555">
        <v>44798</v>
      </c>
      <c r="D65" s="19" t="s">
        <v>285</v>
      </c>
      <c r="E65" s="19" t="s">
        <v>294</v>
      </c>
      <c r="F65" s="19" t="s">
        <v>447</v>
      </c>
      <c r="G65" s="15" t="s">
        <v>364</v>
      </c>
      <c r="H65" s="176">
        <v>8000000</v>
      </c>
      <c r="I65" s="19" t="s">
        <v>448</v>
      </c>
      <c r="J65" s="113" t="str">
        <f>VLOOKUP($I65,'Price List, Weapons &amp; Items'!B:C,2,0)</f>
        <v>Military equipment</v>
      </c>
      <c r="K65" s="113" t="str">
        <f>IF(I65=".",I65,VLOOKUP($I65,'Price List, Weapons &amp; Items'!B:D,3,0))</f>
        <v>Military equipment</v>
      </c>
      <c r="L65" s="177">
        <f>VLOOKUP(I65,'Price List, Weapons &amp; Items'!B:E,4,0)</f>
        <v>0</v>
      </c>
      <c r="M65" s="542" t="s">
        <v>270</v>
      </c>
      <c r="N65" s="542" t="s">
        <v>270</v>
      </c>
      <c r="O65" s="543">
        <f>VLOOKUP($I65,'Price List, Weapons &amp; Items'!B:G,6,0)</f>
        <v>37.82</v>
      </c>
      <c r="P65" s="176" t="str">
        <f t="shared" si="6"/>
        <v>.</v>
      </c>
      <c r="Q65" s="176" t="str">
        <f t="shared" si="7"/>
        <v>.</v>
      </c>
      <c r="R65" s="176">
        <f t="shared" si="2"/>
        <v>8000000</v>
      </c>
      <c r="S65" s="176">
        <f>IF(AND(AD65=1,R65&lt;&gt;".")=TRUE,R65/VLOOKUP(G65,'Exchange Rates'!B:C,2,0),IF(R65=".",".",""))</f>
        <v>8000000</v>
      </c>
      <c r="T65" s="176">
        <f>IF(AD65=1,IF(AF65="Value is not given at all",".",IF(AF65="Value is given by the source",S65,IF(AF65="Value is calculated with prices",(IF(SUMIFS(Q:Q,A:A,A65)&gt;0,SUMIFS(Q:Q,A:A,A65),"."))/VLOOKUP("USD",'Exchange Rates'!B:C,2,0),"Error with coding"))),"")</f>
        <v>8000000</v>
      </c>
      <c r="U65" s="15" t="s">
        <v>261</v>
      </c>
      <c r="V65" s="304" t="s">
        <v>449</v>
      </c>
      <c r="W65" s="304" t="s">
        <v>450</v>
      </c>
      <c r="X65" s="300" t="s">
        <v>451</v>
      </c>
      <c r="Y65" s="546" t="s">
        <v>452</v>
      </c>
      <c r="Z65" s="15">
        <v>0</v>
      </c>
      <c r="AA65" s="180">
        <v>0</v>
      </c>
      <c r="AB65" s="304" t="s">
        <v>426</v>
      </c>
      <c r="AC65" s="544" t="str">
        <f>""</f>
        <v/>
      </c>
      <c r="AD65" s="181">
        <v>1</v>
      </c>
      <c r="AE65" s="181" t="s">
        <v>264</v>
      </c>
      <c r="AF65" s="181" t="s">
        <v>264</v>
      </c>
      <c r="AG65" s="181">
        <v>1</v>
      </c>
      <c r="AH65" s="181">
        <v>8</v>
      </c>
      <c r="AI65" s="181">
        <v>0</v>
      </c>
      <c r="AJ65" s="181">
        <f>VLOOKUP($I65,'Price List, Weapons &amp; Items'!B:F,5,0)</f>
        <v>0</v>
      </c>
      <c r="AK65" s="181">
        <f t="shared" si="8"/>
        <v>0</v>
      </c>
      <c r="AL65" s="181">
        <f t="shared" si="9"/>
        <v>0</v>
      </c>
      <c r="AM65" s="181">
        <f t="shared" si="10"/>
        <v>0</v>
      </c>
      <c r="AN65" s="180" t="str">
        <f>VLOOKUP($I65,'Price List, Weapons &amp; Items'!B:L,COLUMN('Price List, Weapons &amp; Items'!$J$11)-1,0)</f>
        <v>Online marketplaces and stores</v>
      </c>
      <c r="AO65" s="180" t="str">
        <f>IF(I65=".",".",VLOOKUP($I65,'Price List, Weapons &amp; Items'!B:J,3,0))</f>
        <v>Military equipment</v>
      </c>
      <c r="AP65" s="545" t="e">
        <f t="shared" ca="1" si="11"/>
        <v>#NAME?</v>
      </c>
      <c r="AQ65" s="180">
        <f>VLOOKUP($I65,'Price List, Weapons &amp; Items'!B:L,COLUMN('Price List, Weapons &amp; Items'!$L$11)-1,0)</f>
        <v>2</v>
      </c>
      <c r="AR65" s="180">
        <f t="shared" si="12"/>
        <v>1</v>
      </c>
      <c r="AS65" s="180">
        <f t="shared" si="13"/>
        <v>1</v>
      </c>
      <c r="AT65" s="180">
        <f t="shared" si="5"/>
        <v>1</v>
      </c>
      <c r="AU65" s="180" t="str">
        <f t="shared" si="14"/>
        <v>.</v>
      </c>
      <c r="AV65" s="180" t="str">
        <f t="shared" si="15"/>
        <v>.</v>
      </c>
      <c r="AW65" s="180">
        <f>IFERROR(VLOOKUP(B65,'Share, Heavy Weapons to Ukraine'!B:J,COLUMN('Share, Heavy Weapons to Ukraine'!C73)-1,0),0)</f>
        <v>0</v>
      </c>
      <c r="AX65" s="180">
        <f>VLOOKUP('Bilateral Assistance, MAIN DATA'!B65,'Country Summary'!B:F,COLUMN('Country Summary'!C76)-1,FALSE)</f>
        <v>1</v>
      </c>
      <c r="AY65" s="180" t="str">
        <f>IF(AND(AD65=1,D65="Military",H65&lt;&gt;"Not given")=TRUE,IF(SUMIFS(P:P,A:A,A65)&gt;0,ABS((SUMIFS(P:P,A:A,A65)/VLOOKUP("USD",'Exchange Rates'!B:C,2,0)))/S65,"."),".")</f>
        <v>.</v>
      </c>
      <c r="AZ65" s="182" t="str">
        <f>IF(AND(AD65=1,D65="Military",H65&lt;&gt;"Not given")=TRUE,IF(SUMIFS(P:P,A:A,A65)&gt;0,IF((ABS((SUMIFS(P:P,A:A,A65)/VLOOKUP("USD",'Exchange Rates'!B:C,2,0)))/S65)&gt;1,(SUMIFS(P:P,A:A,A65)-S65)/S65,(S65-SUMIFS(P:P,A:A,A65))/SUMIFS(P:P,A:A,A65)),"."),".")</f>
        <v>.</v>
      </c>
    </row>
    <row r="66" spans="1:52" ht="15.9" customHeight="1" x14ac:dyDescent="0.3">
      <c r="A66" s="5" t="s">
        <v>446</v>
      </c>
      <c r="B66" s="5" t="s">
        <v>413</v>
      </c>
      <c r="C66" s="555">
        <v>44798</v>
      </c>
      <c r="D66" s="19" t="s">
        <v>285</v>
      </c>
      <c r="E66" s="19" t="s">
        <v>294</v>
      </c>
      <c r="F66" s="19" t="s">
        <v>447</v>
      </c>
      <c r="G66" s="15" t="s">
        <v>364</v>
      </c>
      <c r="H66" s="176">
        <v>8000000</v>
      </c>
      <c r="I66" s="19" t="s">
        <v>453</v>
      </c>
      <c r="J66" s="113" t="str">
        <f>VLOOKUP($I66,'Price List, Weapons &amp; Items'!B:C,2,0)</f>
        <v>Military equipment</v>
      </c>
      <c r="K66" s="113" t="str">
        <f>IF(I66=".",I66,VLOOKUP($I66,'Price List, Weapons &amp; Items'!B:D,3,0))</f>
        <v>Military equipment</v>
      </c>
      <c r="L66" s="177">
        <f>VLOOKUP(I66,'Price List, Weapons &amp; Items'!B:E,4,0)</f>
        <v>0</v>
      </c>
      <c r="M66" s="542" t="s">
        <v>270</v>
      </c>
      <c r="N66" s="542" t="s">
        <v>270</v>
      </c>
      <c r="O66" s="543">
        <f>VLOOKUP($I66,'Price List, Weapons &amp; Items'!B:G,6,0)</f>
        <v>59.234999999999999</v>
      </c>
      <c r="P66" s="176" t="str">
        <f t="shared" si="6"/>
        <v>.</v>
      </c>
      <c r="Q66" s="176" t="str">
        <f t="shared" si="7"/>
        <v>.</v>
      </c>
      <c r="R66" s="176" t="str">
        <f t="shared" ref="R66:R129" si="16">IF(AD66=1,IF(H66&lt;&gt;"Not given",H66,IF(TYPE(H66)=2,IF(SUMIFS(P:P,A:A,A66)&gt;0,SUMIFS(P:P,A:A,A66),"."),"Format error")),"")</f>
        <v/>
      </c>
      <c r="S66" s="176" t="str">
        <f>IF(AND(AD66=1,R66&lt;&gt;".")=TRUE,R66/VLOOKUP(G66,'Exchange Rates'!B:C,2,0),IF(R66=".",".",""))</f>
        <v/>
      </c>
      <c r="T66" s="176" t="str">
        <f>IF(AD66=1,IF(AF66="Value is not given at all",".",IF(AF66="Value is given by the source",S66,IF(AF66="Value is calculated with prices",(IF(SUMIFS(Q:Q,A:A,A66)&gt;0,SUMIFS(Q:Q,A:A,A66),"."))/VLOOKUP("USD",'Exchange Rates'!B:C,2,0),"Error with coding"))),"")</f>
        <v/>
      </c>
      <c r="U66" s="15" t="s">
        <v>261</v>
      </c>
      <c r="V66" s="304" t="s">
        <v>449</v>
      </c>
      <c r="W66" s="552" t="s">
        <v>450</v>
      </c>
      <c r="X66" s="300" t="s">
        <v>451</v>
      </c>
      <c r="Y66" s="546" t="s">
        <v>452</v>
      </c>
      <c r="Z66" s="15">
        <v>0</v>
      </c>
      <c r="AA66" s="180">
        <v>0</v>
      </c>
      <c r="AB66" s="304" t="s">
        <v>426</v>
      </c>
      <c r="AC66" s="544" t="str">
        <f>""</f>
        <v/>
      </c>
      <c r="AD66" s="181">
        <v>0</v>
      </c>
      <c r="AE66" s="181" t="s">
        <v>264</v>
      </c>
      <c r="AF66" s="181" t="s">
        <v>264</v>
      </c>
      <c r="AG66" s="181">
        <v>1</v>
      </c>
      <c r="AH66" s="181">
        <v>8</v>
      </c>
      <c r="AI66" s="181">
        <v>0</v>
      </c>
      <c r="AJ66" s="181">
        <f>VLOOKUP($I66,'Price List, Weapons &amp; Items'!B:F,5,0)</f>
        <v>0</v>
      </c>
      <c r="AK66" s="181">
        <f t="shared" si="8"/>
        <v>0</v>
      </c>
      <c r="AL66" s="181">
        <f t="shared" si="9"/>
        <v>0</v>
      </c>
      <c r="AM66" s="181">
        <f t="shared" si="10"/>
        <v>0</v>
      </c>
      <c r="AN66" s="180" t="str">
        <f>VLOOKUP($I66,'Price List, Weapons &amp; Items'!B:L,COLUMN('Price List, Weapons &amp; Items'!$J$11)-1,0)</f>
        <v>Government information</v>
      </c>
      <c r="AO66" s="180" t="str">
        <f>IF(I66=".",".",VLOOKUP($I66,'Price List, Weapons &amp; Items'!B:J,3,0))</f>
        <v>Military equipment</v>
      </c>
      <c r="AP66" s="545" t="str">
        <f t="shared" ca="1" si="11"/>
        <v/>
      </c>
      <c r="AQ66" s="180">
        <f>VLOOKUP($I66,'Price List, Weapons &amp; Items'!B:L,COLUMN('Price List, Weapons &amp; Items'!$L$11)-1,0)</f>
        <v>2</v>
      </c>
      <c r="AR66" s="180">
        <f t="shared" si="12"/>
        <v>1</v>
      </c>
      <c r="AS66" s="180">
        <f t="shared" si="13"/>
        <v>1</v>
      </c>
      <c r="AT66" s="180">
        <f t="shared" ref="AT66:AT130" si="17">IFERROR(IF(VALUE(TEXT(C66,"mm"))=AH66,".",IF(TEXT(C66,"mm")="01",".",1)),"Value is not in date format")</f>
        <v>1</v>
      </c>
      <c r="AU66" s="180" t="str">
        <f t="shared" si="14"/>
        <v>.</v>
      </c>
      <c r="AV66" s="180" t="str">
        <f t="shared" si="15"/>
        <v>.</v>
      </c>
      <c r="AW66" s="180">
        <f>IFERROR(VLOOKUP(B66,'Share, Heavy Weapons to Ukraine'!B:J,COLUMN('Share, Heavy Weapons to Ukraine'!C74)-1,0),0)</f>
        <v>0</v>
      </c>
      <c r="AX66" s="180">
        <f>VLOOKUP('Bilateral Assistance, MAIN DATA'!B66,'Country Summary'!B:F,COLUMN('Country Summary'!C77)-1,FALSE)</f>
        <v>1</v>
      </c>
      <c r="AY66" s="180" t="str">
        <f>IF(AND(AD66=1,D66="Military",H66&lt;&gt;"Not given")=TRUE,IF(SUMIFS(P:P,A:A,A66)&gt;0,ABS((SUMIFS(P:P,A:A,A66)/VLOOKUP("USD",'Exchange Rates'!B:C,2,0)))/S66,"."),".")</f>
        <v>.</v>
      </c>
      <c r="AZ66" s="182" t="str">
        <f>IF(AND(AD66=1,D66="Military",H66&lt;&gt;"Not given")=TRUE,IF(SUMIFS(P:P,A:A,A66)&gt;0,IF((ABS((SUMIFS(P:P,A:A,A66)/VLOOKUP("USD",'Exchange Rates'!B:C,2,0)))/S66)&gt;1,(SUMIFS(P:P,A:A,A66)-S66)/S66,(S66-SUMIFS(P:P,A:A,A66))/SUMIFS(P:P,A:A,A66)),"."),".")</f>
        <v>.</v>
      </c>
    </row>
    <row r="67" spans="1:52" ht="15.9" customHeight="1" x14ac:dyDescent="0.3">
      <c r="A67" s="5" t="s">
        <v>446</v>
      </c>
      <c r="B67" s="5" t="s">
        <v>413</v>
      </c>
      <c r="C67" s="555">
        <v>44798</v>
      </c>
      <c r="D67" s="19" t="s">
        <v>285</v>
      </c>
      <c r="E67" s="19" t="s">
        <v>294</v>
      </c>
      <c r="F67" s="19" t="s">
        <v>447</v>
      </c>
      <c r="G67" s="15" t="s">
        <v>364</v>
      </c>
      <c r="H67" s="176">
        <v>8000000</v>
      </c>
      <c r="I67" s="19" t="s">
        <v>454</v>
      </c>
      <c r="J67" s="113" t="str">
        <f>VLOOKUP($I67,'Price List, Weapons &amp; Items'!B:C,2,0)</f>
        <v>Military equipment</v>
      </c>
      <c r="K67" s="113" t="str">
        <f>IF(I67=".",I67,VLOOKUP($I67,'Price List, Weapons &amp; Items'!B:D,3,0))</f>
        <v>Military equipment</v>
      </c>
      <c r="L67" s="177">
        <f>VLOOKUP(I67,'Price List, Weapons &amp; Items'!B:E,4,0)</f>
        <v>0</v>
      </c>
      <c r="M67" s="542" t="s">
        <v>270</v>
      </c>
      <c r="N67" s="542" t="s">
        <v>270</v>
      </c>
      <c r="O67" s="543">
        <f>VLOOKUP($I67,'Price List, Weapons &amp; Items'!B:G,6,0)</f>
        <v>2320</v>
      </c>
      <c r="P67" s="176" t="str">
        <f t="shared" ref="P67:P131" si="18">IF(TYPE(M67)=1,IF(TYPE(O67)=1,M67*O67,"No price"),".")</f>
        <v>.</v>
      </c>
      <c r="Q67" s="176" t="str">
        <f t="shared" ref="Q67:Q131" si="19">IF(TYPE(N67)=1,IF(TYPE(O67)=1,N67*O67,"No price"),".")</f>
        <v>.</v>
      </c>
      <c r="R67" s="176" t="str">
        <f t="shared" si="16"/>
        <v/>
      </c>
      <c r="S67" s="176" t="str">
        <f>IF(AND(AD67=1,R67&lt;&gt;".")=TRUE,R67/VLOOKUP(G67,'Exchange Rates'!B:C,2,0),IF(R67=".",".",""))</f>
        <v/>
      </c>
      <c r="T67" s="176" t="str">
        <f>IF(AD67=1,IF(AF67="Value is not given at all",".",IF(AF67="Value is given by the source",S67,IF(AF67="Value is calculated with prices",(IF(SUMIFS(Q:Q,A:A,A67)&gt;0,SUMIFS(Q:Q,A:A,A67),"."))/VLOOKUP("USD",'Exchange Rates'!B:C,2,0),"Error with coding"))),"")</f>
        <v/>
      </c>
      <c r="U67" s="15" t="s">
        <v>261</v>
      </c>
      <c r="V67" s="304" t="s">
        <v>449</v>
      </c>
      <c r="W67" s="552" t="s">
        <v>450</v>
      </c>
      <c r="X67" s="300" t="s">
        <v>451</v>
      </c>
      <c r="Y67" s="546" t="s">
        <v>452</v>
      </c>
      <c r="Z67" s="15">
        <v>0</v>
      </c>
      <c r="AA67" s="180">
        <v>0</v>
      </c>
      <c r="AB67" s="304" t="s">
        <v>426</v>
      </c>
      <c r="AC67" s="544" t="str">
        <f>""</f>
        <v/>
      </c>
      <c r="AD67" s="181">
        <v>0</v>
      </c>
      <c r="AE67" s="181" t="s">
        <v>264</v>
      </c>
      <c r="AF67" s="181" t="s">
        <v>264</v>
      </c>
      <c r="AG67" s="181">
        <v>1</v>
      </c>
      <c r="AH67" s="181">
        <v>8</v>
      </c>
      <c r="AI67" s="181">
        <v>0</v>
      </c>
      <c r="AJ67" s="181">
        <f>VLOOKUP($I67,'Price List, Weapons &amp; Items'!B:F,5,0)</f>
        <v>0</v>
      </c>
      <c r="AK67" s="181">
        <f t="shared" ref="AK67:AK131" si="20">IF(AND(AJ67=1,M67="undisclosed")=TRUE,1,0)</f>
        <v>0</v>
      </c>
      <c r="AL67" s="181">
        <f t="shared" ref="AL67:AL131" si="21">IF(AND(AJ67=1,N67="undisclosed")=TRUE,1,0)</f>
        <v>0</v>
      </c>
      <c r="AM67" s="181">
        <f t="shared" ref="AM67:AM131" si="22">IFERROR(IF(SEARCH("ammuni",I67,1)&gt;0,1,0),0)</f>
        <v>0</v>
      </c>
      <c r="AN67" s="180" t="str">
        <f>VLOOKUP($I67,'Price List, Weapons &amp; Items'!B:L,COLUMN('Price List, Weapons &amp; Items'!$J$11)-1,0)</f>
        <v>Media reports (incl. social media)</v>
      </c>
      <c r="AO67" s="180" t="str">
        <f>IF(I67=".",".",VLOOKUP($I67,'Price List, Weapons &amp; Items'!B:J,3,0))</f>
        <v>Military equipment</v>
      </c>
      <c r="AP67" s="545" t="str">
        <f t="shared" ref="AP67:AP130" ca="1" si="23">IF(AD67=1,_xlfn.ARRAYTOTEXT(OFFSET(I67,0,0,COUNTIF(A:A,A67),1)),"")</f>
        <v/>
      </c>
      <c r="AQ67" s="180">
        <f>VLOOKUP($I67,'Price List, Weapons &amp; Items'!B:L,COLUMN('Price List, Weapons &amp; Items'!$L$11)-1,0)</f>
        <v>1</v>
      </c>
      <c r="AR67" s="180">
        <f t="shared" ref="AR67:AR131" si="24">IF(U67="Yes",1,0)</f>
        <v>1</v>
      </c>
      <c r="AS67" s="180">
        <f t="shared" ref="AS67:AS131" si="25">IF(D67="Military",IF(OR(IFERROR(SEARCH("equipment",E67,1),0)&gt;0,IFERROR(SEARCH("weapons",E67,1),0)&gt;0),1,0),0)</f>
        <v>1</v>
      </c>
      <c r="AT67" s="180">
        <f t="shared" si="17"/>
        <v>1</v>
      </c>
      <c r="AU67" s="180" t="str">
        <f t="shared" ref="AU67:AU131" si="26">IF(AND(A67=A66,C67=C66)=TRUE,IF(F67=F66,".","1"),".")</f>
        <v>.</v>
      </c>
      <c r="AV67" s="180" t="str">
        <f t="shared" ref="AV67:AV131" si="27">IF(T67&lt;&gt;".",IF(T67&gt;S67,1,"."),".")</f>
        <v>.</v>
      </c>
      <c r="AW67" s="180">
        <f>IFERROR(VLOOKUP(B67,'Share, Heavy Weapons to Ukraine'!B:J,COLUMN('Share, Heavy Weapons to Ukraine'!C75)-1,0),0)</f>
        <v>0</v>
      </c>
      <c r="AX67" s="180">
        <f>VLOOKUP('Bilateral Assistance, MAIN DATA'!B67,'Country Summary'!B:F,COLUMN('Country Summary'!C78)-1,FALSE)</f>
        <v>1</v>
      </c>
      <c r="AY67" s="180" t="str">
        <f>IF(AND(AD67=1,D67="Military",H67&lt;&gt;"Not given")=TRUE,IF(SUMIFS(P:P,A:A,A67)&gt;0,ABS((SUMIFS(P:P,A:A,A67)/VLOOKUP("USD",'Exchange Rates'!B:C,2,0)))/S67,"."),".")</f>
        <v>.</v>
      </c>
      <c r="AZ67" s="182" t="str">
        <f>IF(AND(AD67=1,D67="Military",H67&lt;&gt;"Not given")=TRUE,IF(SUMIFS(P:P,A:A,A67)&gt;0,IF((ABS((SUMIFS(P:P,A:A,A67)/VLOOKUP("USD",'Exchange Rates'!B:C,2,0)))/S67)&gt;1,(SUMIFS(P:P,A:A,A67)-S67)/S67,(S67-SUMIFS(P:P,A:A,A67))/SUMIFS(P:P,A:A,A67)),"."),".")</f>
        <v>.</v>
      </c>
    </row>
    <row r="68" spans="1:52" ht="15.9" customHeight="1" x14ac:dyDescent="0.3">
      <c r="A68" s="5" t="s">
        <v>446</v>
      </c>
      <c r="B68" s="5" t="s">
        <v>413</v>
      </c>
      <c r="C68" s="555">
        <v>44798</v>
      </c>
      <c r="D68" s="19" t="s">
        <v>285</v>
      </c>
      <c r="E68" s="19" t="s">
        <v>294</v>
      </c>
      <c r="F68" s="19" t="s">
        <v>447</v>
      </c>
      <c r="G68" s="15" t="s">
        <v>364</v>
      </c>
      <c r="H68" s="176">
        <v>8000000</v>
      </c>
      <c r="I68" s="19" t="s">
        <v>455</v>
      </c>
      <c r="J68" s="113" t="str">
        <f>VLOOKUP($I68,'Price List, Weapons &amp; Items'!B:C,2,0)</f>
        <v>Humanitarian</v>
      </c>
      <c r="K68" s="113" t="str">
        <f>IF(I68=".",I68,VLOOKUP($I68,'Price List, Weapons &amp; Items'!B:D,3,0))</f>
        <v>Humanitarian</v>
      </c>
      <c r="L68" s="177">
        <f>VLOOKUP(I68,'Price List, Weapons &amp; Items'!B:E,4,0)</f>
        <v>0</v>
      </c>
      <c r="M68" s="542" t="s">
        <v>270</v>
      </c>
      <c r="N68" s="542" t="s">
        <v>270</v>
      </c>
      <c r="O68" s="543" t="str">
        <f>VLOOKUP($I68,'Price List, Weapons &amp; Items'!B:G,6,0)</f>
        <v>.</v>
      </c>
      <c r="P68" s="176" t="str">
        <f t="shared" si="18"/>
        <v>.</v>
      </c>
      <c r="Q68" s="176" t="str">
        <f t="shared" si="19"/>
        <v>.</v>
      </c>
      <c r="R68" s="176" t="str">
        <f t="shared" si="16"/>
        <v/>
      </c>
      <c r="S68" s="176" t="str">
        <f>IF(AND(AD68=1,R68&lt;&gt;".")=TRUE,R68/VLOOKUP(G68,'Exchange Rates'!B:C,2,0),IF(R68=".",".",""))</f>
        <v/>
      </c>
      <c r="T68" s="176" t="str">
        <f>IF(AD68=1,IF(AF68="Value is not given at all",".",IF(AF68="Value is given by the source",S68,IF(AF68="Value is calculated with prices",(IF(SUMIFS(Q:Q,A:A,A68)&gt;0,SUMIFS(Q:Q,A:A,A68),"."))/VLOOKUP("USD",'Exchange Rates'!B:C,2,0),"Error with coding"))),"")</f>
        <v/>
      </c>
      <c r="U68" s="15" t="s">
        <v>261</v>
      </c>
      <c r="V68" s="304" t="s">
        <v>449</v>
      </c>
      <c r="W68" s="552" t="s">
        <v>450</v>
      </c>
      <c r="X68" s="300" t="s">
        <v>451</v>
      </c>
      <c r="Y68" s="546" t="s">
        <v>452</v>
      </c>
      <c r="Z68" s="15">
        <v>0</v>
      </c>
      <c r="AA68" s="180">
        <v>0</v>
      </c>
      <c r="AB68" s="304" t="s">
        <v>426</v>
      </c>
      <c r="AC68" s="544" t="str">
        <f>""</f>
        <v/>
      </c>
      <c r="AD68" s="181">
        <v>0</v>
      </c>
      <c r="AE68" s="181" t="s">
        <v>264</v>
      </c>
      <c r="AF68" s="181" t="s">
        <v>264</v>
      </c>
      <c r="AG68" s="181">
        <v>1</v>
      </c>
      <c r="AH68" s="181">
        <v>8</v>
      </c>
      <c r="AI68" s="181">
        <v>0</v>
      </c>
      <c r="AJ68" s="181">
        <f>VLOOKUP($I68,'Price List, Weapons &amp; Items'!B:F,5,0)</f>
        <v>0</v>
      </c>
      <c r="AK68" s="181">
        <f t="shared" si="20"/>
        <v>0</v>
      </c>
      <c r="AL68" s="181">
        <f t="shared" si="21"/>
        <v>0</v>
      </c>
      <c r="AM68" s="181">
        <f t="shared" si="22"/>
        <v>0</v>
      </c>
      <c r="AN68" s="180" t="str">
        <f>VLOOKUP($I68,'Price List, Weapons &amp; Items'!B:L,COLUMN('Price List, Weapons &amp; Items'!$J$11)-1,0)</f>
        <v>.</v>
      </c>
      <c r="AO68" s="180" t="str">
        <f>IF(I68=".",".",VLOOKUP($I68,'Price List, Weapons &amp; Items'!B:J,3,0))</f>
        <v>Humanitarian</v>
      </c>
      <c r="AP68" s="545" t="str">
        <f t="shared" ca="1" si="23"/>
        <v/>
      </c>
      <c r="AQ68" s="180">
        <f>VLOOKUP($I68,'Price List, Weapons &amp; Items'!B:L,COLUMN('Price List, Weapons &amp; Items'!$L$11)-1,0)</f>
        <v>0</v>
      </c>
      <c r="AR68" s="180">
        <f t="shared" si="24"/>
        <v>1</v>
      </c>
      <c r="AS68" s="180">
        <f t="shared" si="25"/>
        <v>1</v>
      </c>
      <c r="AT68" s="180">
        <f t="shared" si="17"/>
        <v>1</v>
      </c>
      <c r="AU68" s="180" t="str">
        <f t="shared" si="26"/>
        <v>.</v>
      </c>
      <c r="AV68" s="180" t="str">
        <f t="shared" si="27"/>
        <v>.</v>
      </c>
      <c r="AW68" s="180">
        <f>IFERROR(VLOOKUP(B68,'Share, Heavy Weapons to Ukraine'!B:J,COLUMN('Share, Heavy Weapons to Ukraine'!C76)-1,0),0)</f>
        <v>0</v>
      </c>
      <c r="AX68" s="180">
        <f>VLOOKUP('Bilateral Assistance, MAIN DATA'!B68,'Country Summary'!B:F,COLUMN('Country Summary'!C79)-1,FALSE)</f>
        <v>1</v>
      </c>
      <c r="AY68" s="180" t="str">
        <f>IF(AND(AD68=1,D68="Military",H68&lt;&gt;"Not given")=TRUE,IF(SUMIFS(P:P,A:A,A68)&gt;0,ABS((SUMIFS(P:P,A:A,A68)/VLOOKUP("USD",'Exchange Rates'!B:C,2,0)))/S68,"."),".")</f>
        <v>.</v>
      </c>
      <c r="AZ68" s="182" t="str">
        <f>IF(AND(AD68=1,D68="Military",H68&lt;&gt;"Not given")=TRUE,IF(SUMIFS(P:P,A:A,A68)&gt;0,IF((ABS((SUMIFS(P:P,A:A,A68)/VLOOKUP("USD",'Exchange Rates'!B:C,2,0)))/S68)&gt;1,(SUMIFS(P:P,A:A,A68)-S68)/S68,(S68-SUMIFS(P:P,A:A,A68))/SUMIFS(P:P,A:A,A68)),"."),".")</f>
        <v>.</v>
      </c>
    </row>
    <row r="69" spans="1:52" ht="15.9" customHeight="1" x14ac:dyDescent="0.3">
      <c r="A69" s="5" t="s">
        <v>456</v>
      </c>
      <c r="B69" s="5" t="s">
        <v>413</v>
      </c>
      <c r="C69" s="555">
        <v>44821</v>
      </c>
      <c r="D69" s="19" t="s">
        <v>285</v>
      </c>
      <c r="E69" s="19" t="s">
        <v>339</v>
      </c>
      <c r="F69" s="19" t="s">
        <v>457</v>
      </c>
      <c r="G69" s="15" t="s">
        <v>364</v>
      </c>
      <c r="H69" s="176">
        <v>12000000</v>
      </c>
      <c r="I69" s="19" t="s">
        <v>458</v>
      </c>
      <c r="J69" s="113" t="str">
        <f>VLOOKUP($I69,'Price List, Weapons &amp; Items'!B:C,2,0)</f>
        <v>Light armaments &amp; infantry</v>
      </c>
      <c r="K69" s="113" t="str">
        <f>IF(I69=".",I69,VLOOKUP($I69,'Price List, Weapons &amp; Items'!B:D,3,0))</f>
        <v>Small Arms and Light Weapons (SALW)</v>
      </c>
      <c r="L69" s="177">
        <f>VLOOKUP(I69,'Price List, Weapons &amp; Items'!B:E,4,0)</f>
        <v>0</v>
      </c>
      <c r="M69" s="542" t="s">
        <v>270</v>
      </c>
      <c r="N69" s="542" t="s">
        <v>270</v>
      </c>
      <c r="O69" s="543">
        <f>VLOOKUP($I69,'Price List, Weapons &amp; Items'!B:G,6,0)</f>
        <v>5300</v>
      </c>
      <c r="P69" s="176" t="str">
        <f t="shared" si="18"/>
        <v>.</v>
      </c>
      <c r="Q69" s="176" t="str">
        <f t="shared" si="19"/>
        <v>.</v>
      </c>
      <c r="R69" s="176">
        <f t="shared" si="16"/>
        <v>12000000</v>
      </c>
      <c r="S69" s="176">
        <f>IF(AND(AD69=1,R69&lt;&gt;".")=TRUE,R69/VLOOKUP(G69,'Exchange Rates'!B:C,2,0),IF(R69=".",".",""))</f>
        <v>12000000</v>
      </c>
      <c r="T69" s="176">
        <f>IF(AD69=1,IF(AF69="Value is not given at all",".",IF(AF69="Value is given by the source",S69,IF(AF69="Value is calculated with prices",(IF(SUMIFS(Q:Q,A:A,A69)&gt;0,SUMIFS(Q:Q,A:A,A69),"."))/VLOOKUP("USD",'Exchange Rates'!B:C,2,0),"Error with coding"))),"")</f>
        <v>12000000</v>
      </c>
      <c r="U69" s="15" t="s">
        <v>261</v>
      </c>
      <c r="V69" s="304" t="s">
        <v>459</v>
      </c>
      <c r="W69" s="304" t="s">
        <v>460</v>
      </c>
      <c r="X69" s="300" t="s">
        <v>461</v>
      </c>
      <c r="Y69" s="175" t="s">
        <v>260</v>
      </c>
      <c r="Z69" s="15">
        <v>0</v>
      </c>
      <c r="AA69" s="180">
        <v>0</v>
      </c>
      <c r="AB69" s="304" t="s">
        <v>426</v>
      </c>
      <c r="AC69" s="544" t="str">
        <f>""</f>
        <v/>
      </c>
      <c r="AD69" s="181">
        <v>1</v>
      </c>
      <c r="AE69" s="181" t="s">
        <v>264</v>
      </c>
      <c r="AF69" s="181" t="s">
        <v>264</v>
      </c>
      <c r="AG69" s="181">
        <v>1</v>
      </c>
      <c r="AH69" s="181">
        <v>9</v>
      </c>
      <c r="AI69" s="181">
        <v>0</v>
      </c>
      <c r="AJ69" s="181">
        <f>VLOOKUP($I69,'Price List, Weapons &amp; Items'!B:F,5,0)</f>
        <v>0</v>
      </c>
      <c r="AK69" s="181">
        <f t="shared" si="20"/>
        <v>0</v>
      </c>
      <c r="AL69" s="181">
        <f t="shared" si="21"/>
        <v>0</v>
      </c>
      <c r="AM69" s="181">
        <f t="shared" si="22"/>
        <v>0</v>
      </c>
      <c r="AN69" s="180" t="str">
        <f>VLOOKUP($I69,'Price List, Weapons &amp; Items'!B:L,COLUMN('Price List, Weapons &amp; Items'!$J$11)-1,0)</f>
        <v>Miscellaneous</v>
      </c>
      <c r="AO69" s="180" t="str">
        <f>IF(I69=".",".",VLOOKUP($I69,'Price List, Weapons &amp; Items'!B:J,3,0))</f>
        <v>Small Arms and Light Weapons (SALW)</v>
      </c>
      <c r="AP69" s="545" t="e">
        <f t="shared" ca="1" si="23"/>
        <v>#NAME?</v>
      </c>
      <c r="AQ69" s="180">
        <f>VLOOKUP($I69,'Price List, Weapons &amp; Items'!B:L,COLUMN('Price List, Weapons &amp; Items'!$L$11)-1,0)</f>
        <v>1</v>
      </c>
      <c r="AR69" s="180">
        <f t="shared" si="24"/>
        <v>1</v>
      </c>
      <c r="AS69" s="180">
        <f t="shared" si="25"/>
        <v>1</v>
      </c>
      <c r="AT69" s="180">
        <f t="shared" si="17"/>
        <v>1</v>
      </c>
      <c r="AU69" s="180" t="str">
        <f t="shared" si="26"/>
        <v>.</v>
      </c>
      <c r="AV69" s="180" t="str">
        <f t="shared" si="27"/>
        <v>.</v>
      </c>
      <c r="AW69" s="180">
        <f>IFERROR(VLOOKUP(B69,'Share, Heavy Weapons to Ukraine'!B:J,COLUMN('Share, Heavy Weapons to Ukraine'!C77)-1,0),0)</f>
        <v>0</v>
      </c>
      <c r="AX69" s="180">
        <f>VLOOKUP('Bilateral Assistance, MAIN DATA'!B69,'Country Summary'!B:F,COLUMN('Country Summary'!C80)-1,FALSE)</f>
        <v>1</v>
      </c>
      <c r="AY69" s="180" t="str">
        <f>IF(AND(AD69=1,D69="Military",H69&lt;&gt;"Not given")=TRUE,IF(SUMIFS(P:P,A:A,A69)&gt;0,ABS((SUMIFS(P:P,A:A,A69)/VLOOKUP("USD",'Exchange Rates'!B:C,2,0)))/S69,"."),".")</f>
        <v>.</v>
      </c>
      <c r="AZ69" s="182" t="str">
        <f>IF(AND(AD69=1,D69="Military",H69&lt;&gt;"Not given")=TRUE,IF(SUMIFS(P:P,A:A,A69)&gt;0,IF((ABS((SUMIFS(P:P,A:A,A69)/VLOOKUP("USD",'Exchange Rates'!B:C,2,0)))/S69)&gt;1,(SUMIFS(P:P,A:A,A69)-S69)/S69,(S69-SUMIFS(P:P,A:A,A69))/SUMIFS(P:P,A:A,A69)),"."),".")</f>
        <v>.</v>
      </c>
    </row>
    <row r="70" spans="1:52" ht="15.9" customHeight="1" x14ac:dyDescent="0.3">
      <c r="A70" s="5" t="s">
        <v>456</v>
      </c>
      <c r="B70" s="5" t="s">
        <v>413</v>
      </c>
      <c r="C70" s="555">
        <v>44821</v>
      </c>
      <c r="D70" s="19" t="s">
        <v>285</v>
      </c>
      <c r="E70" s="19" t="s">
        <v>339</v>
      </c>
      <c r="F70" s="19" t="s">
        <v>457</v>
      </c>
      <c r="G70" s="15" t="s">
        <v>364</v>
      </c>
      <c r="H70" s="176">
        <v>12000000</v>
      </c>
      <c r="I70" s="19" t="s">
        <v>462</v>
      </c>
      <c r="J70" s="113" t="str">
        <f>VLOOKUP($I70,'Price List, Weapons &amp; Items'!B:C,2,0)</f>
        <v>Ammunition</v>
      </c>
      <c r="K70" s="113" t="str">
        <f>IF(I70=".",I70,VLOOKUP($I70,'Price List, Weapons &amp; Items'!B:D,3,0))</f>
        <v>Military equipment</v>
      </c>
      <c r="L70" s="177">
        <f>VLOOKUP(I70,'Price List, Weapons &amp; Items'!B:E,4,0)</f>
        <v>0</v>
      </c>
      <c r="M70" s="542" t="s">
        <v>270</v>
      </c>
      <c r="N70" s="542" t="s">
        <v>270</v>
      </c>
      <c r="O70" s="543" t="str">
        <f>VLOOKUP($I70,'Price List, Weapons &amp; Items'!B:G,6,0)</f>
        <v>.</v>
      </c>
      <c r="P70" s="176" t="str">
        <f t="shared" si="18"/>
        <v>.</v>
      </c>
      <c r="Q70" s="176" t="str">
        <f t="shared" si="19"/>
        <v>.</v>
      </c>
      <c r="R70" s="176" t="str">
        <f t="shared" si="16"/>
        <v/>
      </c>
      <c r="S70" s="176" t="str">
        <f>IF(AND(AD70=1,R70&lt;&gt;".")=TRUE,R70/VLOOKUP(G70,'Exchange Rates'!B:C,2,0),IF(R70=".",".",""))</f>
        <v/>
      </c>
      <c r="T70" s="176" t="str">
        <f>IF(AD70=1,IF(AF70="Value is not given at all",".",IF(AF70="Value is given by the source",S70,IF(AF70="Value is calculated with prices",(IF(SUMIFS(Q:Q,A:A,A70)&gt;0,SUMIFS(Q:Q,A:A,A70),"."))/VLOOKUP("USD",'Exchange Rates'!B:C,2,0),"Error with coding"))),"")</f>
        <v/>
      </c>
      <c r="U70" s="15" t="s">
        <v>261</v>
      </c>
      <c r="V70" s="304" t="s">
        <v>459</v>
      </c>
      <c r="W70" s="552" t="s">
        <v>460</v>
      </c>
      <c r="X70" s="300" t="s">
        <v>461</v>
      </c>
      <c r="Y70" s="175" t="s">
        <v>260</v>
      </c>
      <c r="Z70" s="15">
        <v>0</v>
      </c>
      <c r="AA70" s="180">
        <v>0</v>
      </c>
      <c r="AB70" s="304" t="s">
        <v>426</v>
      </c>
      <c r="AC70" s="544" t="str">
        <f>""</f>
        <v/>
      </c>
      <c r="AD70" s="181">
        <v>0</v>
      </c>
      <c r="AE70" s="181" t="s">
        <v>264</v>
      </c>
      <c r="AF70" s="181" t="s">
        <v>264</v>
      </c>
      <c r="AG70" s="181">
        <v>1</v>
      </c>
      <c r="AH70" s="181">
        <v>9</v>
      </c>
      <c r="AI70" s="181">
        <v>0</v>
      </c>
      <c r="AJ70" s="181">
        <f>VLOOKUP($I70,'Price List, Weapons &amp; Items'!B:F,5,0)</f>
        <v>0</v>
      </c>
      <c r="AK70" s="181">
        <f t="shared" si="20"/>
        <v>0</v>
      </c>
      <c r="AL70" s="181">
        <f t="shared" si="21"/>
        <v>0</v>
      </c>
      <c r="AM70" s="181">
        <f t="shared" si="22"/>
        <v>1</v>
      </c>
      <c r="AN70" s="180" t="str">
        <f>VLOOKUP($I70,'Price List, Weapons &amp; Items'!B:L,COLUMN('Price List, Weapons &amp; Items'!$J$11)-1,0)</f>
        <v>.</v>
      </c>
      <c r="AO70" s="180" t="str">
        <f>IF(I70=".",".",VLOOKUP($I70,'Price List, Weapons &amp; Items'!B:J,3,0))</f>
        <v>Military equipment</v>
      </c>
      <c r="AP70" s="545" t="str">
        <f t="shared" ca="1" si="23"/>
        <v/>
      </c>
      <c r="AQ70" s="180" t="str">
        <f>VLOOKUP($I70,'Price List, Weapons &amp; Items'!B:L,COLUMN('Price List, Weapons &amp; Items'!$L$11)-1,0)</f>
        <v>no price, 0 count</v>
      </c>
      <c r="AR70" s="180">
        <f t="shared" si="24"/>
        <v>1</v>
      </c>
      <c r="AS70" s="180">
        <f t="shared" si="25"/>
        <v>1</v>
      </c>
      <c r="AT70" s="180">
        <f t="shared" si="17"/>
        <v>1</v>
      </c>
      <c r="AU70" s="180" t="str">
        <f t="shared" si="26"/>
        <v>.</v>
      </c>
      <c r="AV70" s="180" t="str">
        <f t="shared" si="27"/>
        <v>.</v>
      </c>
      <c r="AW70" s="180">
        <f>IFERROR(VLOOKUP(B70,'Share, Heavy Weapons to Ukraine'!B:J,COLUMN('Share, Heavy Weapons to Ukraine'!C78)-1,0),0)</f>
        <v>0</v>
      </c>
      <c r="AX70" s="180">
        <f>VLOOKUP('Bilateral Assistance, MAIN DATA'!B70,'Country Summary'!B:F,COLUMN('Country Summary'!C81)-1,FALSE)</f>
        <v>1</v>
      </c>
      <c r="AY70" s="180" t="str">
        <f>IF(AND(AD70=1,D70="Military",H70&lt;&gt;"Not given")=TRUE,IF(SUMIFS(P:P,A:A,A70)&gt;0,ABS((SUMIFS(P:P,A:A,A70)/VLOOKUP("USD",'Exchange Rates'!B:C,2,0)))/S70,"."),".")</f>
        <v>.</v>
      </c>
      <c r="AZ70" s="182" t="str">
        <f>IF(AND(AD70=1,D70="Military",H70&lt;&gt;"Not given")=TRUE,IF(SUMIFS(P:P,A:A,A70)&gt;0,IF((ABS((SUMIFS(P:P,A:A,A70)/VLOOKUP("USD",'Exchange Rates'!B:C,2,0)))/S70)&gt;1,(SUMIFS(P:P,A:A,A70)-S70)/S70,(S70-SUMIFS(P:P,A:A,A70))/SUMIFS(P:P,A:A,A70)),"."),".")</f>
        <v>.</v>
      </c>
    </row>
    <row r="71" spans="1:52" ht="15.9" customHeight="1" x14ac:dyDescent="0.3">
      <c r="A71" s="5" t="s">
        <v>456</v>
      </c>
      <c r="B71" s="5" t="s">
        <v>413</v>
      </c>
      <c r="C71" s="555">
        <v>44821</v>
      </c>
      <c r="D71" s="19" t="s">
        <v>285</v>
      </c>
      <c r="E71" s="19" t="s">
        <v>339</v>
      </c>
      <c r="F71" s="19" t="s">
        <v>457</v>
      </c>
      <c r="G71" s="15" t="s">
        <v>364</v>
      </c>
      <c r="H71" s="176">
        <v>12000000</v>
      </c>
      <c r="I71" s="19" t="s">
        <v>453</v>
      </c>
      <c r="J71" s="113" t="str">
        <f>VLOOKUP($I71,'Price List, Weapons &amp; Items'!B:C,2,0)</f>
        <v>Military equipment</v>
      </c>
      <c r="K71" s="113" t="str">
        <f>IF(I71=".",I71,VLOOKUP($I71,'Price List, Weapons &amp; Items'!B:D,3,0))</f>
        <v>Military equipment</v>
      </c>
      <c r="L71" s="177">
        <f>VLOOKUP(I71,'Price List, Weapons &amp; Items'!B:E,4,0)</f>
        <v>0</v>
      </c>
      <c r="M71" s="542" t="s">
        <v>270</v>
      </c>
      <c r="N71" s="542" t="s">
        <v>270</v>
      </c>
      <c r="O71" s="543">
        <f>VLOOKUP($I71,'Price List, Weapons &amp; Items'!B:G,6,0)</f>
        <v>59.234999999999999</v>
      </c>
      <c r="P71" s="176" t="str">
        <f t="shared" si="18"/>
        <v>.</v>
      </c>
      <c r="Q71" s="176" t="str">
        <f t="shared" si="19"/>
        <v>.</v>
      </c>
      <c r="R71" s="176" t="str">
        <f t="shared" si="16"/>
        <v/>
      </c>
      <c r="S71" s="176" t="str">
        <f>IF(AND(AD71=1,R71&lt;&gt;".")=TRUE,R71/VLOOKUP(G71,'Exchange Rates'!B:C,2,0),IF(R71=".",".",""))</f>
        <v/>
      </c>
      <c r="T71" s="176" t="str">
        <f>IF(AD71=1,IF(AF71="Value is not given at all",".",IF(AF71="Value is given by the source",S71,IF(AF71="Value is calculated with prices",(IF(SUMIFS(Q:Q,A:A,A71)&gt;0,SUMIFS(Q:Q,A:A,A71),"."))/VLOOKUP("USD",'Exchange Rates'!B:C,2,0),"Error with coding"))),"")</f>
        <v/>
      </c>
      <c r="U71" s="15" t="s">
        <v>261</v>
      </c>
      <c r="V71" s="304" t="s">
        <v>459</v>
      </c>
      <c r="W71" s="552" t="s">
        <v>460</v>
      </c>
      <c r="X71" s="300" t="s">
        <v>461</v>
      </c>
      <c r="Y71" s="175" t="s">
        <v>260</v>
      </c>
      <c r="Z71" s="15">
        <v>0</v>
      </c>
      <c r="AA71" s="180">
        <v>0</v>
      </c>
      <c r="AB71" s="304" t="s">
        <v>426</v>
      </c>
      <c r="AC71" s="544" t="str">
        <f>""</f>
        <v/>
      </c>
      <c r="AD71" s="181">
        <v>0</v>
      </c>
      <c r="AE71" s="181" t="s">
        <v>264</v>
      </c>
      <c r="AF71" s="181" t="s">
        <v>264</v>
      </c>
      <c r="AG71" s="181">
        <v>1</v>
      </c>
      <c r="AH71" s="181">
        <v>9</v>
      </c>
      <c r="AI71" s="181">
        <v>0</v>
      </c>
      <c r="AJ71" s="181">
        <f>VLOOKUP($I71,'Price List, Weapons &amp; Items'!B:F,5,0)</f>
        <v>0</v>
      </c>
      <c r="AK71" s="181">
        <f t="shared" si="20"/>
        <v>0</v>
      </c>
      <c r="AL71" s="181">
        <f t="shared" si="21"/>
        <v>0</v>
      </c>
      <c r="AM71" s="181">
        <f t="shared" si="22"/>
        <v>0</v>
      </c>
      <c r="AN71" s="180" t="str">
        <f>VLOOKUP($I71,'Price List, Weapons &amp; Items'!B:L,COLUMN('Price List, Weapons &amp; Items'!$J$11)-1,0)</f>
        <v>Government information</v>
      </c>
      <c r="AO71" s="180" t="str">
        <f>IF(I71=".",".",VLOOKUP($I71,'Price List, Weapons &amp; Items'!B:J,3,0))</f>
        <v>Military equipment</v>
      </c>
      <c r="AP71" s="545" t="str">
        <f t="shared" ca="1" si="23"/>
        <v/>
      </c>
      <c r="AQ71" s="180">
        <f>VLOOKUP($I71,'Price List, Weapons &amp; Items'!B:L,COLUMN('Price List, Weapons &amp; Items'!$L$11)-1,0)</f>
        <v>2</v>
      </c>
      <c r="AR71" s="180">
        <f t="shared" si="24"/>
        <v>1</v>
      </c>
      <c r="AS71" s="180">
        <f t="shared" si="25"/>
        <v>1</v>
      </c>
      <c r="AT71" s="180">
        <f t="shared" si="17"/>
        <v>1</v>
      </c>
      <c r="AU71" s="180" t="str">
        <f t="shared" si="26"/>
        <v>.</v>
      </c>
      <c r="AV71" s="180" t="str">
        <f t="shared" si="27"/>
        <v>.</v>
      </c>
      <c r="AW71" s="180">
        <f>IFERROR(VLOOKUP(B71,'Share, Heavy Weapons to Ukraine'!B:J,COLUMN('Share, Heavy Weapons to Ukraine'!C79)-1,0),0)</f>
        <v>0</v>
      </c>
      <c r="AX71" s="180">
        <f>VLOOKUP('Bilateral Assistance, MAIN DATA'!B71,'Country Summary'!B:F,COLUMN('Country Summary'!C82)-1,FALSE)</f>
        <v>1</v>
      </c>
      <c r="AY71" s="180" t="str">
        <f>IF(AND(AD71=1,D71="Military",H71&lt;&gt;"Not given")=TRUE,IF(SUMIFS(P:P,A:A,A71)&gt;0,ABS((SUMIFS(P:P,A:A,A71)/VLOOKUP("USD",'Exchange Rates'!B:C,2,0)))/S71,"."),".")</f>
        <v>.</v>
      </c>
      <c r="AZ71" s="182" t="str">
        <f>IF(AND(AD71=1,D71="Military",H71&lt;&gt;"Not given")=TRUE,IF(SUMIFS(P:P,A:A,A71)&gt;0,IF((ABS((SUMIFS(P:P,A:A,A71)/VLOOKUP("USD",'Exchange Rates'!B:C,2,0)))/S71)&gt;1,(SUMIFS(P:P,A:A,A71)-S71)/S71,(S71-SUMIFS(P:P,A:A,A71))/SUMIFS(P:P,A:A,A71)),"."),".")</f>
        <v>.</v>
      </c>
    </row>
    <row r="72" spans="1:52" ht="15.9" customHeight="1" x14ac:dyDescent="0.3">
      <c r="A72" s="5" t="s">
        <v>456</v>
      </c>
      <c r="B72" s="5" t="s">
        <v>413</v>
      </c>
      <c r="C72" s="555">
        <v>44821</v>
      </c>
      <c r="D72" s="19" t="s">
        <v>285</v>
      </c>
      <c r="E72" s="19" t="s">
        <v>339</v>
      </c>
      <c r="F72" s="19" t="s">
        <v>457</v>
      </c>
      <c r="G72" s="15" t="s">
        <v>364</v>
      </c>
      <c r="H72" s="176">
        <v>12000000</v>
      </c>
      <c r="I72" s="19" t="s">
        <v>463</v>
      </c>
      <c r="J72" s="113" t="str">
        <f>VLOOKUP($I72,'Price List, Weapons &amp; Items'!B:C,2,0)</f>
        <v>Military equipment</v>
      </c>
      <c r="K72" s="113" t="str">
        <f>IF(I72=".",I72,VLOOKUP($I72,'Price List, Weapons &amp; Items'!B:D,3,0))</f>
        <v>Military equipment</v>
      </c>
      <c r="L72" s="177">
        <f>VLOOKUP(I72,'Price List, Weapons &amp; Items'!B:E,4,0)</f>
        <v>0</v>
      </c>
      <c r="M72" s="542" t="s">
        <v>270</v>
      </c>
      <c r="N72" s="542" t="s">
        <v>270</v>
      </c>
      <c r="O72" s="543">
        <f>VLOOKUP($I72,'Price List, Weapons &amp; Items'!B:G,6,0)</f>
        <v>1400</v>
      </c>
      <c r="P72" s="176" t="str">
        <f t="shared" si="18"/>
        <v>.</v>
      </c>
      <c r="Q72" s="176" t="str">
        <f t="shared" si="19"/>
        <v>.</v>
      </c>
      <c r="R72" s="176" t="str">
        <f t="shared" si="16"/>
        <v/>
      </c>
      <c r="S72" s="176" t="str">
        <f>IF(AND(AD72=1,R72&lt;&gt;".")=TRUE,R72/VLOOKUP(G72,'Exchange Rates'!B:C,2,0),IF(R72=".",".",""))</f>
        <v/>
      </c>
      <c r="T72" s="176" t="str">
        <f>IF(AD72=1,IF(AF72="Value is not given at all",".",IF(AF72="Value is given by the source",S72,IF(AF72="Value is calculated with prices",(IF(SUMIFS(Q:Q,A:A,A72)&gt;0,SUMIFS(Q:Q,A:A,A72),"."))/VLOOKUP("USD",'Exchange Rates'!B:C,2,0),"Error with coding"))),"")</f>
        <v/>
      </c>
      <c r="U72" s="15" t="s">
        <v>261</v>
      </c>
      <c r="V72" s="304" t="s">
        <v>459</v>
      </c>
      <c r="W72" s="552" t="s">
        <v>460</v>
      </c>
      <c r="X72" s="300" t="s">
        <v>461</v>
      </c>
      <c r="Y72" s="175" t="s">
        <v>260</v>
      </c>
      <c r="Z72" s="15">
        <v>0</v>
      </c>
      <c r="AA72" s="180">
        <v>0</v>
      </c>
      <c r="AB72" s="304" t="s">
        <v>426</v>
      </c>
      <c r="AC72" s="544" t="str">
        <f>""</f>
        <v/>
      </c>
      <c r="AD72" s="181">
        <v>0</v>
      </c>
      <c r="AE72" s="181" t="s">
        <v>264</v>
      </c>
      <c r="AF72" s="181" t="s">
        <v>264</v>
      </c>
      <c r="AG72" s="181">
        <v>1</v>
      </c>
      <c r="AH72" s="181">
        <v>9</v>
      </c>
      <c r="AI72" s="181">
        <v>0</v>
      </c>
      <c r="AJ72" s="181">
        <f>VLOOKUP($I72,'Price List, Weapons &amp; Items'!B:F,5,0)</f>
        <v>0</v>
      </c>
      <c r="AK72" s="181">
        <f t="shared" si="20"/>
        <v>0</v>
      </c>
      <c r="AL72" s="181">
        <f t="shared" si="21"/>
        <v>0</v>
      </c>
      <c r="AM72" s="181">
        <f t="shared" si="22"/>
        <v>0</v>
      </c>
      <c r="AN72" s="180" t="str">
        <f>VLOOKUP($I72,'Price List, Weapons &amp; Items'!B:L,COLUMN('Price List, Weapons &amp; Items'!$J$11)-1,0)</f>
        <v>Military media (incl. websites)</v>
      </c>
      <c r="AO72" s="180" t="str">
        <f>IF(I72=".",".",VLOOKUP($I72,'Price List, Weapons &amp; Items'!B:J,3,0))</f>
        <v>Military equipment</v>
      </c>
      <c r="AP72" s="545" t="str">
        <f t="shared" ca="1" si="23"/>
        <v/>
      </c>
      <c r="AQ72" s="180">
        <f>VLOOKUP($I72,'Price List, Weapons &amp; Items'!B:L,COLUMN('Price List, Weapons &amp; Items'!$L$11)-1,0)</f>
        <v>2</v>
      </c>
      <c r="AR72" s="180">
        <f t="shared" si="24"/>
        <v>1</v>
      </c>
      <c r="AS72" s="180">
        <f t="shared" si="25"/>
        <v>1</v>
      </c>
      <c r="AT72" s="180">
        <f t="shared" si="17"/>
        <v>1</v>
      </c>
      <c r="AU72" s="180" t="str">
        <f t="shared" si="26"/>
        <v>.</v>
      </c>
      <c r="AV72" s="180" t="str">
        <f t="shared" si="27"/>
        <v>.</v>
      </c>
      <c r="AW72" s="180">
        <f>IFERROR(VLOOKUP(B72,'Share, Heavy Weapons to Ukraine'!B:J,COLUMN('Share, Heavy Weapons to Ukraine'!C80)-1,0),0)</f>
        <v>0</v>
      </c>
      <c r="AX72" s="180">
        <f>VLOOKUP('Bilateral Assistance, MAIN DATA'!B72,'Country Summary'!B:F,COLUMN('Country Summary'!C83)-1,FALSE)</f>
        <v>1</v>
      </c>
      <c r="AY72" s="180" t="str">
        <f>IF(AND(AD72=1,D72="Military",H72&lt;&gt;"Not given")=TRUE,IF(SUMIFS(P:P,A:A,A72)&gt;0,ABS((SUMIFS(P:P,A:A,A72)/VLOOKUP("USD",'Exchange Rates'!B:C,2,0)))/S72,"."),".")</f>
        <v>.</v>
      </c>
      <c r="AZ72" s="182" t="str">
        <f>IF(AND(AD72=1,D72="Military",H72&lt;&gt;"Not given")=TRUE,IF(SUMIFS(P:P,A:A,A72)&gt;0,IF((ABS((SUMIFS(P:P,A:A,A72)/VLOOKUP("USD",'Exchange Rates'!B:C,2,0)))/S72)&gt;1,(SUMIFS(P:P,A:A,A72)-S72)/S72,(S72-SUMIFS(P:P,A:A,A72))/SUMIFS(P:P,A:A,A72)),"."),".")</f>
        <v>.</v>
      </c>
    </row>
    <row r="73" spans="1:52" ht="15.9" customHeight="1" x14ac:dyDescent="0.3">
      <c r="A73" s="5" t="s">
        <v>456</v>
      </c>
      <c r="B73" s="5" t="s">
        <v>413</v>
      </c>
      <c r="C73" s="555">
        <v>44821</v>
      </c>
      <c r="D73" s="19" t="s">
        <v>285</v>
      </c>
      <c r="E73" s="19" t="s">
        <v>339</v>
      </c>
      <c r="F73" s="19" t="s">
        <v>457</v>
      </c>
      <c r="G73" s="15" t="s">
        <v>364</v>
      </c>
      <c r="H73" s="176">
        <v>12000000</v>
      </c>
      <c r="I73" s="19" t="s">
        <v>464</v>
      </c>
      <c r="J73" s="113" t="str">
        <f>VLOOKUP($I73,'Price List, Weapons &amp; Items'!B:C,2,0)</f>
        <v>Military equipment</v>
      </c>
      <c r="K73" s="113" t="str">
        <f>IF(I73=".",I73,VLOOKUP($I73,'Price List, Weapons &amp; Items'!B:D,3,0))</f>
        <v>spare parts</v>
      </c>
      <c r="L73" s="177">
        <f>VLOOKUP(I73,'Price List, Weapons &amp; Items'!B:E,4,0)</f>
        <v>0</v>
      </c>
      <c r="M73" s="542" t="s">
        <v>270</v>
      </c>
      <c r="N73" s="542" t="s">
        <v>270</v>
      </c>
      <c r="O73" s="543" t="str">
        <f>VLOOKUP($I73,'Price List, Weapons &amp; Items'!B:G,6,0)</f>
        <v>.</v>
      </c>
      <c r="P73" s="176" t="str">
        <f t="shared" si="18"/>
        <v>.</v>
      </c>
      <c r="Q73" s="176" t="str">
        <f t="shared" si="19"/>
        <v>.</v>
      </c>
      <c r="R73" s="176" t="str">
        <f t="shared" si="16"/>
        <v/>
      </c>
      <c r="S73" s="176" t="str">
        <f>IF(AND(AD73=1,R73&lt;&gt;".")=TRUE,R73/VLOOKUP(G73,'Exchange Rates'!B:C,2,0),IF(R73=".",".",""))</f>
        <v/>
      </c>
      <c r="T73" s="176" t="str">
        <f>IF(AD73=1,IF(AF73="Value is not given at all",".",IF(AF73="Value is given by the source",S73,IF(AF73="Value is calculated with prices",(IF(SUMIFS(Q:Q,A:A,A73)&gt;0,SUMIFS(Q:Q,A:A,A73),"."))/VLOOKUP("USD",'Exchange Rates'!B:C,2,0),"Error with coding"))),"")</f>
        <v/>
      </c>
      <c r="U73" s="15" t="s">
        <v>261</v>
      </c>
      <c r="V73" s="304" t="s">
        <v>459</v>
      </c>
      <c r="W73" s="552" t="s">
        <v>460</v>
      </c>
      <c r="X73" s="300" t="s">
        <v>461</v>
      </c>
      <c r="Y73" s="175" t="s">
        <v>260</v>
      </c>
      <c r="Z73" s="15">
        <v>0</v>
      </c>
      <c r="AA73" s="180">
        <v>0</v>
      </c>
      <c r="AB73" s="304" t="s">
        <v>426</v>
      </c>
      <c r="AC73" s="544" t="str">
        <f>""</f>
        <v/>
      </c>
      <c r="AD73" s="181">
        <v>0</v>
      </c>
      <c r="AE73" s="181" t="s">
        <v>264</v>
      </c>
      <c r="AF73" s="181" t="s">
        <v>264</v>
      </c>
      <c r="AG73" s="181">
        <v>1</v>
      </c>
      <c r="AH73" s="181">
        <v>9</v>
      </c>
      <c r="AI73" s="181">
        <v>0</v>
      </c>
      <c r="AJ73" s="181">
        <f>VLOOKUP($I73,'Price List, Weapons &amp; Items'!B:F,5,0)</f>
        <v>0</v>
      </c>
      <c r="AK73" s="181">
        <f t="shared" si="20"/>
        <v>0</v>
      </c>
      <c r="AL73" s="181">
        <f t="shared" si="21"/>
        <v>0</v>
      </c>
      <c r="AM73" s="181">
        <f t="shared" si="22"/>
        <v>0</v>
      </c>
      <c r="AN73" s="180" t="str">
        <f>VLOOKUP($I73,'Price List, Weapons &amp; Items'!B:L,COLUMN('Price List, Weapons &amp; Items'!$J$11)-1,0)</f>
        <v>.</v>
      </c>
      <c r="AO73" s="180" t="str">
        <f>IF(I73=".",".",VLOOKUP($I73,'Price List, Weapons &amp; Items'!B:J,3,0))</f>
        <v>spare parts</v>
      </c>
      <c r="AP73" s="545" t="str">
        <f t="shared" ca="1" si="23"/>
        <v/>
      </c>
      <c r="AQ73" s="180" t="str">
        <f>VLOOKUP($I73,'Price List, Weapons &amp; Items'!B:L,COLUMN('Price List, Weapons &amp; Items'!$L$11)-1,0)</f>
        <v>no price, 0 count</v>
      </c>
      <c r="AR73" s="180">
        <f t="shared" si="24"/>
        <v>1</v>
      </c>
      <c r="AS73" s="180">
        <f t="shared" si="25"/>
        <v>1</v>
      </c>
      <c r="AT73" s="180">
        <f t="shared" si="17"/>
        <v>1</v>
      </c>
      <c r="AU73" s="180" t="str">
        <f t="shared" si="26"/>
        <v>.</v>
      </c>
      <c r="AV73" s="180" t="str">
        <f t="shared" si="27"/>
        <v>.</v>
      </c>
      <c r="AW73" s="180">
        <f>IFERROR(VLOOKUP(B73,'Share, Heavy Weapons to Ukraine'!B:J,COLUMN('Share, Heavy Weapons to Ukraine'!C81)-1,0),0)</f>
        <v>0</v>
      </c>
      <c r="AX73" s="180">
        <f>VLOOKUP('Bilateral Assistance, MAIN DATA'!B73,'Country Summary'!B:F,COLUMN('Country Summary'!C84)-1,FALSE)</f>
        <v>1</v>
      </c>
      <c r="AY73" s="180" t="str">
        <f>IF(AND(AD73=1,D73="Military",H73&lt;&gt;"Not given")=TRUE,IF(SUMIFS(P:P,A:A,A73)&gt;0,ABS((SUMIFS(P:P,A:A,A73)/VLOOKUP("USD",'Exchange Rates'!B:C,2,0)))/S73,"."),".")</f>
        <v>.</v>
      </c>
      <c r="AZ73" s="182" t="str">
        <f>IF(AND(AD73=1,D73="Military",H73&lt;&gt;"Not given")=TRUE,IF(SUMIFS(P:P,A:A,A73)&gt;0,IF((ABS((SUMIFS(P:P,A:A,A73)/VLOOKUP("USD",'Exchange Rates'!B:C,2,0)))/S73)&gt;1,(SUMIFS(P:P,A:A,A73)-S73)/S73,(S73-SUMIFS(P:P,A:A,A73))/SUMIFS(P:P,A:A,A73)),"."),".")</f>
        <v>.</v>
      </c>
    </row>
    <row r="74" spans="1:52" ht="15.9" customHeight="1" x14ac:dyDescent="0.3">
      <c r="A74" s="5" t="s">
        <v>456</v>
      </c>
      <c r="B74" s="5" t="s">
        <v>413</v>
      </c>
      <c r="C74" s="555">
        <v>44821</v>
      </c>
      <c r="D74" s="19" t="s">
        <v>285</v>
      </c>
      <c r="E74" s="19" t="s">
        <v>339</v>
      </c>
      <c r="F74" s="19" t="s">
        <v>457</v>
      </c>
      <c r="G74" s="15" t="s">
        <v>364</v>
      </c>
      <c r="H74" s="176">
        <v>12000000</v>
      </c>
      <c r="I74" s="19" t="s">
        <v>465</v>
      </c>
      <c r="J74" s="113" t="str">
        <f>VLOOKUP($I74,'Price List, Weapons &amp; Items'!B:C,2,0)</f>
        <v>Military equipment</v>
      </c>
      <c r="K74" s="113" t="str">
        <f>IF(I74=".",I74,VLOOKUP($I74,'Price List, Weapons &amp; Items'!B:D,3,0))</f>
        <v>Military equipment</v>
      </c>
      <c r="L74" s="177">
        <f>VLOOKUP(I74,'Price List, Weapons &amp; Items'!B:E,4,0)</f>
        <v>0</v>
      </c>
      <c r="M74" s="542" t="s">
        <v>270</v>
      </c>
      <c r="N74" s="542" t="s">
        <v>270</v>
      </c>
      <c r="O74" s="543" t="str">
        <f>VLOOKUP($I74,'Price List, Weapons &amp; Items'!B:G,6,0)</f>
        <v>.</v>
      </c>
      <c r="P74" s="176" t="str">
        <f t="shared" si="18"/>
        <v>.</v>
      </c>
      <c r="Q74" s="176" t="str">
        <f t="shared" si="19"/>
        <v>.</v>
      </c>
      <c r="R74" s="176" t="str">
        <f t="shared" si="16"/>
        <v/>
      </c>
      <c r="S74" s="176" t="str">
        <f>IF(AND(AD74=1,R74&lt;&gt;".")=TRUE,R74/VLOOKUP(G74,'Exchange Rates'!B:C,2,0),IF(R74=".",".",""))</f>
        <v/>
      </c>
      <c r="T74" s="176" t="str">
        <f>IF(AD74=1,IF(AF74="Value is not given at all",".",IF(AF74="Value is given by the source",S74,IF(AF74="Value is calculated with prices",(IF(SUMIFS(Q:Q,A:A,A74)&gt;0,SUMIFS(Q:Q,A:A,A74),"."))/VLOOKUP("USD",'Exchange Rates'!B:C,2,0),"Error with coding"))),"")</f>
        <v/>
      </c>
      <c r="U74" s="15" t="s">
        <v>261</v>
      </c>
      <c r="V74" s="304" t="s">
        <v>459</v>
      </c>
      <c r="W74" s="552" t="s">
        <v>460</v>
      </c>
      <c r="X74" s="300" t="s">
        <v>461</v>
      </c>
      <c r="Y74" s="175" t="s">
        <v>260</v>
      </c>
      <c r="Z74" s="15">
        <v>0</v>
      </c>
      <c r="AA74" s="180">
        <v>0</v>
      </c>
      <c r="AB74" s="304" t="s">
        <v>426</v>
      </c>
      <c r="AC74" s="544" t="str">
        <f>""</f>
        <v/>
      </c>
      <c r="AD74" s="181">
        <v>0</v>
      </c>
      <c r="AE74" s="181" t="s">
        <v>264</v>
      </c>
      <c r="AF74" s="181" t="s">
        <v>264</v>
      </c>
      <c r="AG74" s="181">
        <v>1</v>
      </c>
      <c r="AH74" s="181">
        <v>9</v>
      </c>
      <c r="AI74" s="181">
        <v>0</v>
      </c>
      <c r="AJ74" s="181">
        <f>VLOOKUP($I74,'Price List, Weapons &amp; Items'!B:F,5,0)</f>
        <v>0</v>
      </c>
      <c r="AK74" s="181">
        <f t="shared" si="20"/>
        <v>0</v>
      </c>
      <c r="AL74" s="181">
        <f t="shared" si="21"/>
        <v>0</v>
      </c>
      <c r="AM74" s="181">
        <f t="shared" si="22"/>
        <v>0</v>
      </c>
      <c r="AN74" s="180" t="str">
        <f>VLOOKUP($I74,'Price List, Weapons &amp; Items'!B:L,COLUMN('Price List, Weapons &amp; Items'!$J$11)-1,0)</f>
        <v>.</v>
      </c>
      <c r="AO74" s="180" t="str">
        <f>IF(I74=".",".",VLOOKUP($I74,'Price List, Weapons &amp; Items'!B:J,3,0))</f>
        <v>Military equipment</v>
      </c>
      <c r="AP74" s="545" t="str">
        <f t="shared" ca="1" si="23"/>
        <v/>
      </c>
      <c r="AQ74" s="180" t="str">
        <f>VLOOKUP($I74,'Price List, Weapons &amp; Items'!B:L,COLUMN('Price List, Weapons &amp; Items'!$L$11)-1,0)</f>
        <v>no price, 0 count</v>
      </c>
      <c r="AR74" s="180">
        <f t="shared" si="24"/>
        <v>1</v>
      </c>
      <c r="AS74" s="180">
        <f t="shared" si="25"/>
        <v>1</v>
      </c>
      <c r="AT74" s="180">
        <f t="shared" si="17"/>
        <v>1</v>
      </c>
      <c r="AU74" s="180" t="str">
        <f t="shared" si="26"/>
        <v>.</v>
      </c>
      <c r="AV74" s="180" t="str">
        <f t="shared" si="27"/>
        <v>.</v>
      </c>
      <c r="AW74" s="180">
        <f>IFERROR(VLOOKUP(B74,'Share, Heavy Weapons to Ukraine'!B:J,COLUMN('Share, Heavy Weapons to Ukraine'!C82)-1,0),0)</f>
        <v>0</v>
      </c>
      <c r="AX74" s="180">
        <f>VLOOKUP('Bilateral Assistance, MAIN DATA'!B74,'Country Summary'!B:F,COLUMN('Country Summary'!C85)-1,FALSE)</f>
        <v>1</v>
      </c>
      <c r="AY74" s="180" t="str">
        <f>IF(AND(AD74=1,D74="Military",H74&lt;&gt;"Not given")=TRUE,IF(SUMIFS(P:P,A:A,A74)&gt;0,ABS((SUMIFS(P:P,A:A,A74)/VLOOKUP("USD",'Exchange Rates'!B:C,2,0)))/S74,"."),".")</f>
        <v>.</v>
      </c>
      <c r="AZ74" s="182" t="str">
        <f>IF(AND(AD74=1,D74="Military",H74&lt;&gt;"Not given")=TRUE,IF(SUMIFS(P:P,A:A,A74)&gt;0,IF((ABS((SUMIFS(P:P,A:A,A74)/VLOOKUP("USD",'Exchange Rates'!B:C,2,0)))/S74)&gt;1,(SUMIFS(P:P,A:A,A74)-S74)/S74,(S74-SUMIFS(P:P,A:A,A74))/SUMIFS(P:P,A:A,A74)),"."),".")</f>
        <v>.</v>
      </c>
    </row>
    <row r="75" spans="1:52" ht="15.9" customHeight="1" x14ac:dyDescent="0.3">
      <c r="A75" s="5" t="s">
        <v>456</v>
      </c>
      <c r="B75" s="5" t="s">
        <v>413</v>
      </c>
      <c r="C75" s="555">
        <v>44821</v>
      </c>
      <c r="D75" s="19" t="s">
        <v>285</v>
      </c>
      <c r="E75" s="19" t="s">
        <v>339</v>
      </c>
      <c r="F75" s="19" t="s">
        <v>457</v>
      </c>
      <c r="G75" s="15" t="s">
        <v>364</v>
      </c>
      <c r="H75" s="176">
        <v>12000000</v>
      </c>
      <c r="I75" s="19" t="s">
        <v>466</v>
      </c>
      <c r="J75" s="113" t="str">
        <f>VLOOKUP($I75,'Price List, Weapons &amp; Items'!B:C,2,0)</f>
        <v>Humanitarian</v>
      </c>
      <c r="K75" s="113" t="str">
        <f>IF(I75=".",I75,VLOOKUP($I75,'Price List, Weapons &amp; Items'!B:D,3,0))</f>
        <v>Humanitarian</v>
      </c>
      <c r="L75" s="177">
        <f>VLOOKUP(I75,'Price List, Weapons &amp; Items'!B:E,4,0)</f>
        <v>0</v>
      </c>
      <c r="M75" s="542" t="s">
        <v>270</v>
      </c>
      <c r="N75" s="542" t="s">
        <v>270</v>
      </c>
      <c r="O75" s="543">
        <f>VLOOKUP($I75,'Price List, Weapons &amp; Items'!B:G,6,0)</f>
        <v>220000</v>
      </c>
      <c r="P75" s="176" t="str">
        <f t="shared" si="18"/>
        <v>.</v>
      </c>
      <c r="Q75" s="176" t="str">
        <f t="shared" si="19"/>
        <v>.</v>
      </c>
      <c r="R75" s="176" t="str">
        <f t="shared" si="16"/>
        <v/>
      </c>
      <c r="S75" s="176" t="str">
        <f>IF(AND(AD75=1,R75&lt;&gt;".")=TRUE,R75/VLOOKUP(G75,'Exchange Rates'!B:C,2,0),IF(R75=".",".",""))</f>
        <v/>
      </c>
      <c r="T75" s="176" t="str">
        <f>IF(AD75=1,IF(AF75="Value is not given at all",".",IF(AF75="Value is given by the source",S75,IF(AF75="Value is calculated with prices",(IF(SUMIFS(Q:Q,A:A,A75)&gt;0,SUMIFS(Q:Q,A:A,A75),"."))/VLOOKUP("USD",'Exchange Rates'!B:C,2,0),"Error with coding"))),"")</f>
        <v/>
      </c>
      <c r="U75" s="15" t="s">
        <v>261</v>
      </c>
      <c r="V75" s="304" t="s">
        <v>459</v>
      </c>
      <c r="W75" s="552" t="s">
        <v>460</v>
      </c>
      <c r="X75" s="300" t="s">
        <v>461</v>
      </c>
      <c r="Y75" s="175" t="s">
        <v>260</v>
      </c>
      <c r="Z75" s="15">
        <v>0</v>
      </c>
      <c r="AA75" s="180">
        <v>0</v>
      </c>
      <c r="AB75" s="304" t="s">
        <v>426</v>
      </c>
      <c r="AC75" s="544" t="str">
        <f>""</f>
        <v/>
      </c>
      <c r="AD75" s="181">
        <v>0</v>
      </c>
      <c r="AE75" s="181" t="s">
        <v>264</v>
      </c>
      <c r="AF75" s="181" t="s">
        <v>264</v>
      </c>
      <c r="AG75" s="181">
        <v>1</v>
      </c>
      <c r="AH75" s="181">
        <v>9</v>
      </c>
      <c r="AI75" s="181">
        <v>0</v>
      </c>
      <c r="AJ75" s="181">
        <f>VLOOKUP($I75,'Price List, Weapons &amp; Items'!B:F,5,0)</f>
        <v>0</v>
      </c>
      <c r="AK75" s="181">
        <f t="shared" si="20"/>
        <v>0</v>
      </c>
      <c r="AL75" s="181">
        <f t="shared" si="21"/>
        <v>0</v>
      </c>
      <c r="AM75" s="181">
        <f t="shared" si="22"/>
        <v>0</v>
      </c>
      <c r="AN75" s="180" t="str">
        <f>VLOOKUP($I75,'Price List, Weapons &amp; Items'!B:L,COLUMN('Price List, Weapons &amp; Items'!$J$11)-1,0)</f>
        <v>Miscellaneous</v>
      </c>
      <c r="AO75" s="180" t="str">
        <f>IF(I75=".",".",VLOOKUP($I75,'Price List, Weapons &amp; Items'!B:J,3,0))</f>
        <v>Humanitarian</v>
      </c>
      <c r="AP75" s="545" t="str">
        <f t="shared" ca="1" si="23"/>
        <v/>
      </c>
      <c r="AQ75" s="180">
        <f>VLOOKUP($I75,'Price List, Weapons &amp; Items'!B:L,COLUMN('Price List, Weapons &amp; Items'!$L$11)-1,0)</f>
        <v>0</v>
      </c>
      <c r="AR75" s="180">
        <f t="shared" si="24"/>
        <v>1</v>
      </c>
      <c r="AS75" s="180">
        <f t="shared" si="25"/>
        <v>1</v>
      </c>
      <c r="AT75" s="180">
        <f t="shared" si="17"/>
        <v>1</v>
      </c>
      <c r="AU75" s="180" t="str">
        <f t="shared" si="26"/>
        <v>.</v>
      </c>
      <c r="AV75" s="180" t="str">
        <f t="shared" si="27"/>
        <v>.</v>
      </c>
      <c r="AW75" s="180">
        <f>IFERROR(VLOOKUP(B75,'Share, Heavy Weapons to Ukraine'!B:J,COLUMN('Share, Heavy Weapons to Ukraine'!C83)-1,0),0)</f>
        <v>0</v>
      </c>
      <c r="AX75" s="180">
        <f>VLOOKUP('Bilateral Assistance, MAIN DATA'!B75,'Country Summary'!B:F,COLUMN('Country Summary'!C86)-1,FALSE)</f>
        <v>1</v>
      </c>
      <c r="AY75" s="180" t="str">
        <f>IF(AND(AD75=1,D75="Military",H75&lt;&gt;"Not given")=TRUE,IF(SUMIFS(P:P,A:A,A75)&gt;0,ABS((SUMIFS(P:P,A:A,A75)/VLOOKUP("USD",'Exchange Rates'!B:C,2,0)))/S75,"."),".")</f>
        <v>.</v>
      </c>
      <c r="AZ75" s="182" t="str">
        <f>IF(AND(AD75=1,D75="Military",H75&lt;&gt;"Not given")=TRUE,IF(SUMIFS(P:P,A:A,A75)&gt;0,IF((ABS((SUMIFS(P:P,A:A,A75)/VLOOKUP("USD",'Exchange Rates'!B:C,2,0)))/S75)&gt;1,(SUMIFS(P:P,A:A,A75)-S75)/S75,(S75-SUMIFS(P:P,A:A,A75))/SUMIFS(P:P,A:A,A75)),"."),".")</f>
        <v>.</v>
      </c>
    </row>
    <row r="76" spans="1:52" ht="15.9" customHeight="1" x14ac:dyDescent="0.3">
      <c r="A76" s="5" t="s">
        <v>456</v>
      </c>
      <c r="B76" s="5" t="s">
        <v>413</v>
      </c>
      <c r="C76" s="555">
        <v>44821</v>
      </c>
      <c r="D76" s="19" t="s">
        <v>285</v>
      </c>
      <c r="E76" s="19" t="s">
        <v>339</v>
      </c>
      <c r="F76" s="19" t="s">
        <v>457</v>
      </c>
      <c r="G76" s="15" t="s">
        <v>364</v>
      </c>
      <c r="H76" s="176">
        <v>12000000</v>
      </c>
      <c r="I76" s="19" t="s">
        <v>467</v>
      </c>
      <c r="J76" s="113" t="str">
        <f>VLOOKUP($I76,'Price List, Weapons &amp; Items'!B:C,2,0)</f>
        <v>Humanitarian</v>
      </c>
      <c r="K76" s="113" t="str">
        <f>IF(I76=".",I76,VLOOKUP($I76,'Price List, Weapons &amp; Items'!B:D,3,0))</f>
        <v>Humanitarian</v>
      </c>
      <c r="L76" s="177">
        <f>VLOOKUP(I76,'Price List, Weapons &amp; Items'!B:E,4,0)</f>
        <v>0</v>
      </c>
      <c r="M76" s="542" t="s">
        <v>270</v>
      </c>
      <c r="N76" s="542" t="s">
        <v>270</v>
      </c>
      <c r="O76" s="543" t="str">
        <f>VLOOKUP($I76,'Price List, Weapons &amp; Items'!B:G,6,0)</f>
        <v>.</v>
      </c>
      <c r="P76" s="176" t="str">
        <f t="shared" si="18"/>
        <v>.</v>
      </c>
      <c r="Q76" s="176" t="str">
        <f t="shared" si="19"/>
        <v>.</v>
      </c>
      <c r="R76" s="176" t="str">
        <f t="shared" si="16"/>
        <v/>
      </c>
      <c r="S76" s="176" t="str">
        <f>IF(AND(AD76=1,R76&lt;&gt;".")=TRUE,R76/VLOOKUP(G76,'Exchange Rates'!B:C,2,0),IF(R76=".",".",""))</f>
        <v/>
      </c>
      <c r="T76" s="176" t="str">
        <f>IF(AD76=1,IF(AF76="Value is not given at all",".",IF(AF76="Value is given by the source",S76,IF(AF76="Value is calculated with prices",(IF(SUMIFS(Q:Q,A:A,A76)&gt;0,SUMIFS(Q:Q,A:A,A76),"."))/VLOOKUP("USD",'Exchange Rates'!B:C,2,0),"Error with coding"))),"")</f>
        <v/>
      </c>
      <c r="U76" s="15" t="s">
        <v>261</v>
      </c>
      <c r="V76" s="304" t="s">
        <v>459</v>
      </c>
      <c r="W76" s="552" t="s">
        <v>460</v>
      </c>
      <c r="X76" s="300" t="s">
        <v>461</v>
      </c>
      <c r="Y76" s="175" t="s">
        <v>260</v>
      </c>
      <c r="Z76" s="15">
        <v>0</v>
      </c>
      <c r="AA76" s="180">
        <v>0</v>
      </c>
      <c r="AB76" s="304" t="s">
        <v>426</v>
      </c>
      <c r="AC76" s="544" t="str">
        <f>""</f>
        <v/>
      </c>
      <c r="AD76" s="181">
        <v>0</v>
      </c>
      <c r="AE76" s="181" t="s">
        <v>264</v>
      </c>
      <c r="AF76" s="181" t="s">
        <v>264</v>
      </c>
      <c r="AG76" s="181">
        <v>1</v>
      </c>
      <c r="AH76" s="181">
        <v>9</v>
      </c>
      <c r="AI76" s="181">
        <v>0</v>
      </c>
      <c r="AJ76" s="181">
        <f>VLOOKUP($I76,'Price List, Weapons &amp; Items'!B:F,5,0)</f>
        <v>0</v>
      </c>
      <c r="AK76" s="181">
        <f t="shared" si="20"/>
        <v>0</v>
      </c>
      <c r="AL76" s="181">
        <f t="shared" si="21"/>
        <v>0</v>
      </c>
      <c r="AM76" s="181">
        <f t="shared" si="22"/>
        <v>0</v>
      </c>
      <c r="AN76" s="180" t="str">
        <f>VLOOKUP($I76,'Price List, Weapons &amp; Items'!B:L,COLUMN('Price List, Weapons &amp; Items'!$J$11)-1,0)</f>
        <v>.</v>
      </c>
      <c r="AO76" s="180" t="str">
        <f>IF(I76=".",".",VLOOKUP($I76,'Price List, Weapons &amp; Items'!B:J,3,0))</f>
        <v>Humanitarian</v>
      </c>
      <c r="AP76" s="545" t="str">
        <f t="shared" ca="1" si="23"/>
        <v/>
      </c>
      <c r="AQ76" s="180">
        <f>VLOOKUP($I76,'Price List, Weapons &amp; Items'!B:L,COLUMN('Price List, Weapons &amp; Items'!$L$11)-1,0)</f>
        <v>0</v>
      </c>
      <c r="AR76" s="180">
        <f t="shared" si="24"/>
        <v>1</v>
      </c>
      <c r="AS76" s="180">
        <f t="shared" si="25"/>
        <v>1</v>
      </c>
      <c r="AT76" s="180">
        <f t="shared" si="17"/>
        <v>1</v>
      </c>
      <c r="AU76" s="180" t="str">
        <f t="shared" si="26"/>
        <v>.</v>
      </c>
      <c r="AV76" s="180" t="str">
        <f t="shared" si="27"/>
        <v>.</v>
      </c>
      <c r="AW76" s="180">
        <f>IFERROR(VLOOKUP(B76,'Share, Heavy Weapons to Ukraine'!B:J,COLUMN('Share, Heavy Weapons to Ukraine'!C84)-1,0),0)</f>
        <v>0</v>
      </c>
      <c r="AX76" s="180">
        <f>VLOOKUP('Bilateral Assistance, MAIN DATA'!B76,'Country Summary'!B:F,COLUMN('Country Summary'!C87)-1,FALSE)</f>
        <v>1</v>
      </c>
      <c r="AY76" s="180" t="str">
        <f>IF(AND(AD76=1,D76="Military",H76&lt;&gt;"Not given")=TRUE,IF(SUMIFS(P:P,A:A,A76)&gt;0,ABS((SUMIFS(P:P,A:A,A76)/VLOOKUP("USD",'Exchange Rates'!B:C,2,0)))/S76,"."),".")</f>
        <v>.</v>
      </c>
      <c r="AZ76" s="182" t="str">
        <f>IF(AND(AD76=1,D76="Military",H76&lt;&gt;"Not given")=TRUE,IF(SUMIFS(P:P,A:A,A76)&gt;0,IF((ABS((SUMIFS(P:P,A:A,A76)/VLOOKUP("USD",'Exchange Rates'!B:C,2,0)))/S76)&gt;1,(SUMIFS(P:P,A:A,A76)-S76)/S76,(S76-SUMIFS(P:P,A:A,A76))/SUMIFS(P:P,A:A,A76)),"."),".")</f>
        <v>.</v>
      </c>
    </row>
    <row r="77" spans="1:52" ht="15.9" customHeight="1" x14ac:dyDescent="0.3">
      <c r="A77" s="5" t="s">
        <v>468</v>
      </c>
      <c r="B77" s="5" t="s">
        <v>413</v>
      </c>
      <c r="C77" s="555">
        <v>44921</v>
      </c>
      <c r="D77" s="19" t="s">
        <v>285</v>
      </c>
      <c r="E77" s="19" t="s">
        <v>339</v>
      </c>
      <c r="F77" s="19" t="s">
        <v>469</v>
      </c>
      <c r="G77" s="15" t="s">
        <v>364</v>
      </c>
      <c r="H77" s="176" t="s">
        <v>341</v>
      </c>
      <c r="I77" s="19" t="s">
        <v>470</v>
      </c>
      <c r="J77" s="113" t="str">
        <f>VLOOKUP($I77,'Price List, Weapons &amp; Items'!B:C,2,0)</f>
        <v>Military equipment</v>
      </c>
      <c r="K77" s="113" t="str">
        <f>IF(I77=".",I77,VLOOKUP($I77,'Price List, Weapons &amp; Items'!B:D,3,0))</f>
        <v>Military equipment</v>
      </c>
      <c r="L77" s="177">
        <f>VLOOKUP(I77,'Price List, Weapons &amp; Items'!B:E,4,0)</f>
        <v>0</v>
      </c>
      <c r="M77" s="542">
        <v>10</v>
      </c>
      <c r="N77" s="542">
        <v>10</v>
      </c>
      <c r="O77" s="543">
        <f>VLOOKUP($I77,'Price List, Weapons &amp; Items'!B:G,6,0)</f>
        <v>40000</v>
      </c>
      <c r="P77" s="176">
        <f t="shared" si="18"/>
        <v>400000</v>
      </c>
      <c r="Q77" s="176">
        <f t="shared" si="19"/>
        <v>400000</v>
      </c>
      <c r="R77" s="176">
        <f t="shared" si="16"/>
        <v>400000</v>
      </c>
      <c r="S77" s="176">
        <f>IF(AND(AD77=1,R77&lt;&gt;".")=TRUE,R77/VLOOKUP(G77,'Exchange Rates'!B:C,2,0),IF(R77=".",".",""))</f>
        <v>400000</v>
      </c>
      <c r="T77" s="176">
        <f>IF(AD77=1,IF(AF77="Value is not given at all",".",IF(AF77="Value is given by the source",S77,IF(AF77="Value is calculated with prices",(IF(SUMIFS(Q:Q,A:A,A77)&gt;0,SUMIFS(Q:Q,A:A,A77),"."))/VLOOKUP("USD",'Exchange Rates'!B:C,2,0),"Error with coding"))),"")</f>
        <v>400000</v>
      </c>
      <c r="U77" s="15" t="s">
        <v>415</v>
      </c>
      <c r="V77" s="304" t="s">
        <v>471</v>
      </c>
      <c r="W77" s="304" t="s">
        <v>472</v>
      </c>
      <c r="X77" s="144" t="s">
        <v>260</v>
      </c>
      <c r="Y77" s="175" t="s">
        <v>260</v>
      </c>
      <c r="Z77" s="15">
        <v>0</v>
      </c>
      <c r="AA77" s="180">
        <v>0</v>
      </c>
      <c r="AB77" s="304" t="s">
        <v>426</v>
      </c>
      <c r="AC77" s="544" t="str">
        <f>""</f>
        <v/>
      </c>
      <c r="AD77" s="181">
        <v>1</v>
      </c>
      <c r="AE77" s="181" t="s">
        <v>264</v>
      </c>
      <c r="AF77" s="181" t="s">
        <v>264</v>
      </c>
      <c r="AG77" s="181">
        <v>1</v>
      </c>
      <c r="AH77" s="181">
        <v>12</v>
      </c>
      <c r="AI77" s="181">
        <v>0</v>
      </c>
      <c r="AJ77" s="181">
        <f>VLOOKUP($I77,'Price List, Weapons &amp; Items'!B:F,5,0)</f>
        <v>0</v>
      </c>
      <c r="AK77" s="181">
        <f t="shared" si="20"/>
        <v>0</v>
      </c>
      <c r="AL77" s="181">
        <f t="shared" si="21"/>
        <v>0</v>
      </c>
      <c r="AM77" s="181">
        <f t="shared" si="22"/>
        <v>0</v>
      </c>
      <c r="AN77" s="180" t="str">
        <f>VLOOKUP($I77,'Price List, Weapons &amp; Items'!B:L,COLUMN('Price List, Weapons &amp; Items'!$J$11)-1,0)</f>
        <v>Manufacturer price</v>
      </c>
      <c r="AO77" s="180" t="str">
        <f>IF(I77=".",".",VLOOKUP($I77,'Price List, Weapons &amp; Items'!B:J,3,0))</f>
        <v>Military equipment</v>
      </c>
      <c r="AP77" s="545" t="e">
        <f t="shared" ca="1" si="23"/>
        <v>#NAME?</v>
      </c>
      <c r="AQ77" s="180">
        <f>VLOOKUP($I77,'Price List, Weapons &amp; Items'!B:L,COLUMN('Price List, Weapons &amp; Items'!$L$11)-1,0)</f>
        <v>1</v>
      </c>
      <c r="AR77" s="180">
        <f t="shared" si="24"/>
        <v>0</v>
      </c>
      <c r="AS77" s="180">
        <f t="shared" si="25"/>
        <v>1</v>
      </c>
      <c r="AT77" s="180">
        <f t="shared" si="17"/>
        <v>1</v>
      </c>
      <c r="AU77" s="180" t="str">
        <f t="shared" si="26"/>
        <v>.</v>
      </c>
      <c r="AV77" s="180" t="str">
        <f t="shared" si="27"/>
        <v>.</v>
      </c>
      <c r="AW77" s="180">
        <f>IFERROR(VLOOKUP(B77,'Share, Heavy Weapons to Ukraine'!B:J,COLUMN('Share, Heavy Weapons to Ukraine'!C85)-1,0),0)</f>
        <v>0</v>
      </c>
      <c r="AX77" s="180">
        <f>VLOOKUP('Bilateral Assistance, MAIN DATA'!B77,'Country Summary'!B:F,COLUMN('Country Summary'!C88)-1,FALSE)</f>
        <v>1</v>
      </c>
      <c r="AY77" s="180" t="str">
        <f>IF(AND(AD77=1,D77="Military",H77&lt;&gt;"Not given")=TRUE,IF(SUMIFS(P:P,A:A,A77)&gt;0,ABS((SUMIFS(P:P,A:A,A77)/VLOOKUP("USD",'Exchange Rates'!B:C,2,0)))/S77,"."),".")</f>
        <v>.</v>
      </c>
      <c r="AZ77" s="182" t="str">
        <f>IF(AND(AD77=1,D77="Military",H77&lt;&gt;"Not given")=TRUE,IF(SUMIFS(P:P,A:A,A77)&gt;0,IF((ABS((SUMIFS(P:P,A:A,A77)/VLOOKUP("USD",'Exchange Rates'!B:C,2,0)))/S77)&gt;1,(SUMIFS(P:P,A:A,A77)-S77)/S77,(S77-SUMIFS(P:P,A:A,A77))/SUMIFS(P:P,A:A,A77)),"."),".")</f>
        <v>.</v>
      </c>
    </row>
    <row r="78" spans="1:52" ht="15.9" customHeight="1" x14ac:dyDescent="0.3">
      <c r="A78" s="5" t="s">
        <v>468</v>
      </c>
      <c r="B78" s="5" t="s">
        <v>413</v>
      </c>
      <c r="C78" s="555">
        <v>44921</v>
      </c>
      <c r="D78" s="19" t="s">
        <v>285</v>
      </c>
      <c r="E78" s="19" t="s">
        <v>339</v>
      </c>
      <c r="F78" s="19" t="s">
        <v>469</v>
      </c>
      <c r="G78" s="15" t="s">
        <v>364</v>
      </c>
      <c r="H78" s="176" t="s">
        <v>341</v>
      </c>
      <c r="I78" s="19" t="s">
        <v>473</v>
      </c>
      <c r="J78" s="113" t="str">
        <f>VLOOKUP($I78,'Price List, Weapons &amp; Items'!B:C,2,0)</f>
        <v>Military equipment</v>
      </c>
      <c r="K78" s="113" t="str">
        <f>IF(I78=".",I78,VLOOKUP($I78,'Price List, Weapons &amp; Items'!B:D,3,0))</f>
        <v>non combat military vehicle</v>
      </c>
      <c r="L78" s="177">
        <f>VLOOKUP(I78,'Price List, Weapons &amp; Items'!B:E,4,0)</f>
        <v>0</v>
      </c>
      <c r="M78" s="542">
        <v>2</v>
      </c>
      <c r="N78" s="542" t="s">
        <v>270</v>
      </c>
      <c r="O78" s="543" t="str">
        <f>VLOOKUP($I78,'Price List, Weapons &amp; Items'!B:G,6,0)</f>
        <v>.</v>
      </c>
      <c r="P78" s="176" t="str">
        <f t="shared" si="18"/>
        <v>No price</v>
      </c>
      <c r="Q78" s="176" t="str">
        <f t="shared" si="19"/>
        <v>.</v>
      </c>
      <c r="R78" s="176" t="str">
        <f t="shared" si="16"/>
        <v/>
      </c>
      <c r="S78" s="176" t="str">
        <f>IF(AND(AD78=1,R78&lt;&gt;".")=TRUE,R78/VLOOKUP(G78,'Exchange Rates'!B:C,2,0),IF(R78=".",".",""))</f>
        <v/>
      </c>
      <c r="T78" s="176" t="str">
        <f>IF(AD78=1,IF(AF78="Value is not given at all",".",IF(AF78="Value is given by the source",S78,IF(AF78="Value is calculated with prices",(IF(SUMIFS(Q:Q,A:A,A78)&gt;0,SUMIFS(Q:Q,A:A,A78),"."))/VLOOKUP("USD",'Exchange Rates'!B:C,2,0),"Error with coding"))),"")</f>
        <v/>
      </c>
      <c r="U78" s="15" t="s">
        <v>415</v>
      </c>
      <c r="V78" s="304" t="s">
        <v>471</v>
      </c>
      <c r="W78" s="304" t="s">
        <v>472</v>
      </c>
      <c r="X78" s="144" t="s">
        <v>260</v>
      </c>
      <c r="Y78" s="175" t="s">
        <v>260</v>
      </c>
      <c r="Z78" s="15">
        <v>0</v>
      </c>
      <c r="AA78" s="180">
        <v>0</v>
      </c>
      <c r="AB78" s="304" t="s">
        <v>426</v>
      </c>
      <c r="AC78" s="544" t="str">
        <f>""</f>
        <v/>
      </c>
      <c r="AD78" s="181">
        <v>0</v>
      </c>
      <c r="AE78" s="181" t="s">
        <v>264</v>
      </c>
      <c r="AF78" s="181" t="s">
        <v>264</v>
      </c>
      <c r="AG78" s="181">
        <v>1</v>
      </c>
      <c r="AH78" s="181">
        <v>12</v>
      </c>
      <c r="AI78" s="181">
        <v>0</v>
      </c>
      <c r="AJ78" s="181">
        <f>VLOOKUP($I78,'Price List, Weapons &amp; Items'!B:F,5,0)</f>
        <v>0</v>
      </c>
      <c r="AK78" s="181">
        <f t="shared" si="20"/>
        <v>0</v>
      </c>
      <c r="AL78" s="181">
        <f t="shared" si="21"/>
        <v>0</v>
      </c>
      <c r="AM78" s="181">
        <f t="shared" si="22"/>
        <v>0</v>
      </c>
      <c r="AN78" s="180" t="str">
        <f>VLOOKUP($I78,'Price List, Weapons &amp; Items'!B:L,COLUMN('Price List, Weapons &amp; Items'!$J$11)-1,0)</f>
        <v> </v>
      </c>
      <c r="AO78" s="180" t="str">
        <f>IF(I78=".",".",VLOOKUP($I78,'Price List, Weapons &amp; Items'!B:J,3,0))</f>
        <v>non combat military vehicle</v>
      </c>
      <c r="AP78" s="545" t="str">
        <f t="shared" ca="1" si="23"/>
        <v/>
      </c>
      <c r="AQ78" s="180">
        <f>VLOOKUP($I78,'Price List, Weapons &amp; Items'!B:L,COLUMN('Price List, Weapons &amp; Items'!$L$11)-1,0)</f>
        <v>0</v>
      </c>
      <c r="AR78" s="180">
        <f t="shared" si="24"/>
        <v>0</v>
      </c>
      <c r="AS78" s="180">
        <f t="shared" si="25"/>
        <v>1</v>
      </c>
      <c r="AT78" s="180">
        <f t="shared" si="17"/>
        <v>1</v>
      </c>
      <c r="AU78" s="180" t="str">
        <f t="shared" si="26"/>
        <v>.</v>
      </c>
      <c r="AV78" s="180" t="str">
        <f t="shared" si="27"/>
        <v>.</v>
      </c>
      <c r="AW78" s="180">
        <f>IFERROR(VLOOKUP(B78,'Share, Heavy Weapons to Ukraine'!B:J,COLUMN('Share, Heavy Weapons to Ukraine'!C86)-1,0),0)</f>
        <v>0</v>
      </c>
      <c r="AX78" s="180">
        <f>VLOOKUP('Bilateral Assistance, MAIN DATA'!B78,'Country Summary'!B:F,COLUMN('Country Summary'!C89)-1,FALSE)</f>
        <v>1</v>
      </c>
      <c r="AY78" s="180" t="str">
        <f>IF(AND(AD78=1,D78="Military",H78&lt;&gt;"Not given")=TRUE,IF(SUMIFS(P:P,A:A,A78)&gt;0,ABS((SUMIFS(P:P,A:A,A78)/VLOOKUP("USD",'Exchange Rates'!B:C,2,0)))/S78,"."),".")</f>
        <v>.</v>
      </c>
      <c r="AZ78" s="182" t="str">
        <f>IF(AND(AD78=1,D78="Military",H78&lt;&gt;"Not given")=TRUE,IF(SUMIFS(P:P,A:A,A78)&gt;0,IF((ABS((SUMIFS(P:P,A:A,A78)/VLOOKUP("USD",'Exchange Rates'!B:C,2,0)))/S78)&gt;1,(SUMIFS(P:P,A:A,A78)-S78)/S78,(S78-SUMIFS(P:P,A:A,A78))/SUMIFS(P:P,A:A,A78)),"."),".")</f>
        <v>.</v>
      </c>
    </row>
    <row r="79" spans="1:52" ht="15.9" customHeight="1" x14ac:dyDescent="0.3">
      <c r="A79" s="5" t="s">
        <v>474</v>
      </c>
      <c r="B79" s="5" t="s">
        <v>413</v>
      </c>
      <c r="C79" s="555">
        <v>44930</v>
      </c>
      <c r="D79" s="19" t="s">
        <v>285</v>
      </c>
      <c r="E79" s="19" t="s">
        <v>294</v>
      </c>
      <c r="F79" s="19" t="s">
        <v>475</v>
      </c>
      <c r="G79" s="15" t="s">
        <v>364</v>
      </c>
      <c r="H79" s="176">
        <f>144950000-SUM(R60:R78)</f>
        <v>37550000</v>
      </c>
      <c r="I79" s="19" t="s">
        <v>260</v>
      </c>
      <c r="J79" s="113" t="str">
        <f>VLOOKUP($I79,'Price List, Weapons &amp; Items'!B:C,2,0)</f>
        <v>.</v>
      </c>
      <c r="K79" s="113" t="str">
        <f>IF(I79=".",I79,VLOOKUP($I79,'Price List, Weapons &amp; Items'!B:D,3,0))</f>
        <v>.</v>
      </c>
      <c r="L79" s="177">
        <f>VLOOKUP(I79,'Price List, Weapons &amp; Items'!B:E,4,0)</f>
        <v>0</v>
      </c>
      <c r="M79" s="542" t="s">
        <v>260</v>
      </c>
      <c r="N79" s="542" t="s">
        <v>260</v>
      </c>
      <c r="O79" s="543" t="str">
        <f>VLOOKUP($I79,'Price List, Weapons &amp; Items'!B:G,6,0)</f>
        <v>.</v>
      </c>
      <c r="P79" s="176" t="str">
        <f t="shared" si="18"/>
        <v>.</v>
      </c>
      <c r="Q79" s="176" t="str">
        <f t="shared" si="19"/>
        <v>.</v>
      </c>
      <c r="R79" s="176">
        <f t="shared" si="16"/>
        <v>37550000</v>
      </c>
      <c r="S79" s="176">
        <f>IF(AND(AD79=1,R79&lt;&gt;".")=TRUE,R79/VLOOKUP(G79,'Exchange Rates'!B:C,2,0),IF(R79=".",".",""))</f>
        <v>37550000</v>
      </c>
      <c r="T79" s="176">
        <f>IF(AD79=1,IF(AF79="Value is not given at all",".",IF(AF79="Value is given by the source",S79,IF(AF79="Value is calculated with prices",(IF(SUMIFS(Q:Q,A:A,A79)&gt;0,SUMIFS(Q:Q,A:A,A79),"."))/VLOOKUP("USD",'Exchange Rates'!B:C,2,0),"Error with coding"))),"")</f>
        <v>37550000</v>
      </c>
      <c r="U79" s="15" t="s">
        <v>415</v>
      </c>
      <c r="V79" s="304" t="s">
        <v>426</v>
      </c>
      <c r="W79" s="682" t="s">
        <v>260</v>
      </c>
      <c r="X79" s="144" t="s">
        <v>260</v>
      </c>
      <c r="Y79" s="175" t="s">
        <v>260</v>
      </c>
      <c r="Z79" s="15">
        <v>0</v>
      </c>
      <c r="AA79" s="180">
        <v>0</v>
      </c>
      <c r="AB79" s="304" t="s">
        <v>426</v>
      </c>
      <c r="AC79" s="544" t="str">
        <f>""</f>
        <v/>
      </c>
      <c r="AD79" s="181">
        <v>1</v>
      </c>
      <c r="AE79" s="181" t="s">
        <v>264</v>
      </c>
      <c r="AF79" s="181" t="s">
        <v>264</v>
      </c>
      <c r="AG79" s="181">
        <v>1</v>
      </c>
      <c r="AH79" s="181">
        <v>13</v>
      </c>
      <c r="AI79" s="181">
        <v>0</v>
      </c>
      <c r="AJ79" s="181">
        <f>VLOOKUP($I79,'Price List, Weapons &amp; Items'!B:F,5,0)</f>
        <v>0</v>
      </c>
      <c r="AK79" s="181">
        <f t="shared" si="20"/>
        <v>0</v>
      </c>
      <c r="AL79" s="181">
        <f t="shared" si="21"/>
        <v>0</v>
      </c>
      <c r="AM79" s="181">
        <f t="shared" si="22"/>
        <v>0</v>
      </c>
      <c r="AN79" s="180" t="str">
        <f>VLOOKUP($I79,'Price List, Weapons &amp; Items'!B:L,COLUMN('Price List, Weapons &amp; Items'!$J$11)-1,0)</f>
        <v>.</v>
      </c>
      <c r="AO79" s="180" t="str">
        <f>IF(I79=".",".",VLOOKUP($I79,'Price List, Weapons &amp; Items'!B:J,3,0))</f>
        <v>.</v>
      </c>
      <c r="AP79" s="545" t="e">
        <f t="shared" ca="1" si="23"/>
        <v>#NAME?</v>
      </c>
      <c r="AQ79" s="180" t="str">
        <f>VLOOKUP($I79,'Price List, Weapons &amp; Items'!B:L,COLUMN('Price List, Weapons &amp; Items'!$L$11)-1,0)</f>
        <v>no price, 0 count</v>
      </c>
      <c r="AR79" s="180">
        <f t="shared" si="24"/>
        <v>0</v>
      </c>
      <c r="AS79" s="180">
        <f t="shared" si="25"/>
        <v>1</v>
      </c>
      <c r="AT79" s="180">
        <f t="shared" si="17"/>
        <v>1</v>
      </c>
      <c r="AU79" s="180" t="str">
        <f t="shared" si="26"/>
        <v>.</v>
      </c>
      <c r="AV79" s="180" t="str">
        <f t="shared" si="27"/>
        <v>.</v>
      </c>
      <c r="AW79" s="180">
        <f>IFERROR(VLOOKUP(B79,'Share, Heavy Weapons to Ukraine'!B:J,COLUMN('Share, Heavy Weapons to Ukraine'!C87)-1,0),0)</f>
        <v>0</v>
      </c>
      <c r="AX79" s="180">
        <f>VLOOKUP('Bilateral Assistance, MAIN DATA'!B79,'Country Summary'!B:F,COLUMN('Country Summary'!C90)-1,FALSE)</f>
        <v>1</v>
      </c>
      <c r="AY79" s="180" t="str">
        <f>IF(AND(AD79=1,D79="Military",H79&lt;&gt;"Not given")=TRUE,IF(SUMIFS(P:P,A:A,A79)&gt;0,ABS((SUMIFS(P:P,A:A,A79)/VLOOKUP("USD",'Exchange Rates'!B:C,2,0)))/S79,"."),".")</f>
        <v>.</v>
      </c>
      <c r="AZ79" s="182" t="str">
        <f>IF(AND(AD79=1,D79="Military",H79&lt;&gt;"Not given")=TRUE,IF(SUMIFS(P:P,A:A,A79)&gt;0,IF((ABS((SUMIFS(P:P,A:A,A79)/VLOOKUP("USD",'Exchange Rates'!B:C,2,0)))/S79)&gt;1,(SUMIFS(P:P,A:A,A79)-S79)/S79,(S79-SUMIFS(P:P,A:A,A79))/SUMIFS(P:P,A:A,A79)),"."),".")</f>
        <v>.</v>
      </c>
    </row>
    <row r="80" spans="1:52" s="505" customFormat="1" ht="15.9" customHeight="1" x14ac:dyDescent="0.3">
      <c r="A80" s="5" t="s">
        <v>476</v>
      </c>
      <c r="B80" s="5" t="s">
        <v>413</v>
      </c>
      <c r="C80" s="555">
        <v>44875</v>
      </c>
      <c r="D80" s="19" t="s">
        <v>405</v>
      </c>
      <c r="E80" s="19" t="s">
        <v>362</v>
      </c>
      <c r="F80" s="19" t="s">
        <v>477</v>
      </c>
      <c r="G80" s="15" t="s">
        <v>364</v>
      </c>
      <c r="H80" s="176">
        <v>4960000</v>
      </c>
      <c r="I80" s="19" t="s">
        <v>260</v>
      </c>
      <c r="J80" s="113" t="str">
        <f>VLOOKUP($I80,'Price List, Weapons &amp; Items'!B:C,2,0)</f>
        <v>.</v>
      </c>
      <c r="K80" s="113" t="str">
        <f>IF(I80=".",I80,VLOOKUP($I80,'Price List, Weapons &amp; Items'!B:D,3,0))</f>
        <v>.</v>
      </c>
      <c r="L80" s="177">
        <f>VLOOKUP(I80,'Price List, Weapons &amp; Items'!B:E,4,0)</f>
        <v>0</v>
      </c>
      <c r="M80" s="542" t="s">
        <v>260</v>
      </c>
      <c r="N80" s="542" t="s">
        <v>260</v>
      </c>
      <c r="O80" s="543" t="str">
        <f>VLOOKUP($I80,'Price List, Weapons &amp; Items'!B:G,6,0)</f>
        <v>.</v>
      </c>
      <c r="P80" s="176" t="str">
        <f t="shared" si="18"/>
        <v>.</v>
      </c>
      <c r="Q80" s="176" t="str">
        <f t="shared" si="19"/>
        <v>.</v>
      </c>
      <c r="R80" s="176">
        <f t="shared" si="16"/>
        <v>4960000</v>
      </c>
      <c r="S80" s="176">
        <f>IF(AND(AD80=1,R80&lt;&gt;".")=TRUE,R80/VLOOKUP(G80,'Exchange Rates'!B:C,2,0),IF(R80=".",".",""))</f>
        <v>4960000</v>
      </c>
      <c r="T80" s="176" t="str">
        <f>IF(AD80=1,IF(AF80="Value is not given at all",".",IF(AF80="Value is given by the source",S80,IF(AF80="Value is calculated with prices",(IF(SUMIFS(Q:Q,A:A,A80)&gt;0,SUMIFS(Q:Q,A:A,A80),"."))/VLOOKUP("USD",'Exchange Rates'!B:C,2,0),"Error with coding"))),"")</f>
        <v>.</v>
      </c>
      <c r="U80" s="15" t="s">
        <v>261</v>
      </c>
      <c r="V80" s="304" t="s">
        <v>478</v>
      </c>
      <c r="W80" s="19" t="s">
        <v>260</v>
      </c>
      <c r="X80" s="144" t="s">
        <v>260</v>
      </c>
      <c r="Y80" s="175" t="s">
        <v>260</v>
      </c>
      <c r="Z80" s="15">
        <v>1</v>
      </c>
      <c r="AA80" s="180">
        <v>0</v>
      </c>
      <c r="AB80" s="184" t="s">
        <v>260</v>
      </c>
      <c r="AC80" s="544" t="str">
        <f>""</f>
        <v/>
      </c>
      <c r="AD80" s="183">
        <v>1</v>
      </c>
      <c r="AE80" s="183" t="s">
        <v>264</v>
      </c>
      <c r="AF80" s="183" t="s">
        <v>265</v>
      </c>
      <c r="AG80" s="183">
        <v>1</v>
      </c>
      <c r="AH80" s="183">
        <v>11</v>
      </c>
      <c r="AI80" s="183">
        <v>0</v>
      </c>
      <c r="AJ80" s="181">
        <f>VLOOKUP($I80,'Price List, Weapons &amp; Items'!B:F,5,0)</f>
        <v>0</v>
      </c>
      <c r="AK80" s="181">
        <f t="shared" si="20"/>
        <v>0</v>
      </c>
      <c r="AL80" s="181">
        <f t="shared" si="21"/>
        <v>0</v>
      </c>
      <c r="AM80" s="181">
        <f t="shared" si="22"/>
        <v>0</v>
      </c>
      <c r="AN80" s="180" t="str">
        <f>VLOOKUP($I80,'Price List, Weapons &amp; Items'!B:L,COLUMN('Price List, Weapons &amp; Items'!$J$11)-1,0)</f>
        <v>.</v>
      </c>
      <c r="AO80" s="180" t="str">
        <f>IF(I80=".",".",VLOOKUP($I80,'Price List, Weapons &amp; Items'!B:J,3,0))</f>
        <v>.</v>
      </c>
      <c r="AP80" s="545" t="e">
        <f t="shared" ca="1" si="23"/>
        <v>#NAME?</v>
      </c>
      <c r="AQ80" s="180" t="str">
        <f>VLOOKUP($I80,'Price List, Weapons &amp; Items'!B:L,COLUMN('Price List, Weapons &amp; Items'!$L$11)-1,0)</f>
        <v>no price, 0 count</v>
      </c>
      <c r="AR80" s="180">
        <f t="shared" si="24"/>
        <v>1</v>
      </c>
      <c r="AS80" s="180">
        <f t="shared" si="25"/>
        <v>0</v>
      </c>
      <c r="AT80" s="180">
        <f t="shared" si="17"/>
        <v>1</v>
      </c>
      <c r="AU80" s="180" t="str">
        <f t="shared" si="26"/>
        <v>.</v>
      </c>
      <c r="AV80" s="180" t="str">
        <f t="shared" si="27"/>
        <v>.</v>
      </c>
      <c r="AW80" s="180">
        <f>IFERROR(VLOOKUP(B80,'Share, Heavy Weapons to Ukraine'!B:J,COLUMN('Share, Heavy Weapons to Ukraine'!C88)-1,0),0)</f>
        <v>0</v>
      </c>
      <c r="AX80" s="180">
        <f>VLOOKUP('Bilateral Assistance, MAIN DATA'!B80,'Country Summary'!B:F,COLUMN('Country Summary'!C91)-1,FALSE)</f>
        <v>1</v>
      </c>
      <c r="AY80" s="180" t="str">
        <f>IF(AND(AD80=1,D80="Military",H80&lt;&gt;"Not given")=TRUE,IF(SUMIFS(P:P,A:A,A80)&gt;0,ABS((SUMIFS(P:P,A:A,A80)/VLOOKUP("USD",'Exchange Rates'!B:C,2,0)))/S80,"."),".")</f>
        <v>.</v>
      </c>
      <c r="AZ80" s="182" t="str">
        <f>IF(AND(AD80=1,D80="Military",H80&lt;&gt;"Not given")=TRUE,IF(SUMIFS(P:P,A:A,A80)&gt;0,IF((ABS((SUMIFS(P:P,A:A,A80)/VLOOKUP("USD",'Exchange Rates'!B:C,2,0)))/S80)&gt;1,(SUMIFS(P:P,A:A,A80)-S80)/S80,(S80-SUMIFS(P:P,A:A,A80))/SUMIFS(P:P,A:A,A80)),"."),".")</f>
        <v>.</v>
      </c>
    </row>
    <row r="81" spans="1:52" ht="15.9" customHeight="1" x14ac:dyDescent="0.3">
      <c r="A81" s="17" t="s">
        <v>479</v>
      </c>
      <c r="B81" s="17" t="s">
        <v>480</v>
      </c>
      <c r="C81" s="174">
        <v>44619</v>
      </c>
      <c r="D81" s="5" t="s">
        <v>256</v>
      </c>
      <c r="E81" s="5" t="s">
        <v>257</v>
      </c>
      <c r="F81" s="175" t="s">
        <v>481</v>
      </c>
      <c r="G81" s="15" t="s">
        <v>364</v>
      </c>
      <c r="H81" s="176" t="s">
        <v>341</v>
      </c>
      <c r="I81" s="17" t="s">
        <v>260</v>
      </c>
      <c r="J81" s="113" t="str">
        <f>VLOOKUP($I81,'Price List, Weapons &amp; Items'!B:C,2,0)</f>
        <v>.</v>
      </c>
      <c r="K81" s="113" t="str">
        <f>IF(I81=".",I81,VLOOKUP($I81,'Price List, Weapons &amp; Items'!B:D,3,0))</f>
        <v>.</v>
      </c>
      <c r="L81" s="177">
        <f>VLOOKUP(I81,'Price List, Weapons &amp; Items'!B:E,4,0)</f>
        <v>0</v>
      </c>
      <c r="M81" s="542" t="s">
        <v>260</v>
      </c>
      <c r="N81" s="542" t="s">
        <v>260</v>
      </c>
      <c r="O81" s="543" t="str">
        <f>VLOOKUP($I81,'Price List, Weapons &amp; Items'!B:G,6,0)</f>
        <v>.</v>
      </c>
      <c r="P81" s="176" t="str">
        <f t="shared" si="18"/>
        <v>.</v>
      </c>
      <c r="Q81" s="176" t="str">
        <f t="shared" si="19"/>
        <v>.</v>
      </c>
      <c r="R81" s="176" t="str">
        <f t="shared" si="16"/>
        <v>.</v>
      </c>
      <c r="S81" s="176" t="str">
        <f>IF(AND(AD81=1,R81&lt;&gt;".")=TRUE,R81/VLOOKUP(G81,'Exchange Rates'!B:C,2,0),IF(R81=".",".",""))</f>
        <v>.</v>
      </c>
      <c r="T81" s="176" t="str">
        <f>IF(AD81=1,IF(AF81="Value is not given at all",".",IF(AF81="Value is given by the source",S81,IF(AF81="Value is calculated with prices",(IF(SUMIFS(Q:Q,A:A,A81)&gt;0,SUMIFS(Q:Q,A:A,A81),"."))/VLOOKUP("USD",'Exchange Rates'!B:C,2,0),"Error with coding"))),"")</f>
        <v>.</v>
      </c>
      <c r="U81" s="15" t="s">
        <v>415</v>
      </c>
      <c r="V81" s="300" t="s">
        <v>482</v>
      </c>
      <c r="W81" s="300" t="s">
        <v>483</v>
      </c>
      <c r="X81" s="175" t="s">
        <v>260</v>
      </c>
      <c r="Y81" s="175" t="s">
        <v>260</v>
      </c>
      <c r="Z81" s="15">
        <v>0</v>
      </c>
      <c r="AA81" s="180">
        <v>0</v>
      </c>
      <c r="AB81" s="184" t="s">
        <v>260</v>
      </c>
      <c r="AC81" s="544" t="str">
        <f>""</f>
        <v/>
      </c>
      <c r="AD81" s="181">
        <v>1</v>
      </c>
      <c r="AE81" s="181" t="s">
        <v>265</v>
      </c>
      <c r="AF81" s="181" t="s">
        <v>265</v>
      </c>
      <c r="AG81" s="181">
        <v>1</v>
      </c>
      <c r="AH81" s="181">
        <v>2</v>
      </c>
      <c r="AI81" s="181">
        <v>0</v>
      </c>
      <c r="AJ81" s="181">
        <f>VLOOKUP($I81,'Price List, Weapons &amp; Items'!B:F,5,0)</f>
        <v>0</v>
      </c>
      <c r="AK81" s="181">
        <f t="shared" si="20"/>
        <v>0</v>
      </c>
      <c r="AL81" s="181">
        <f t="shared" si="21"/>
        <v>0</v>
      </c>
      <c r="AM81" s="181">
        <f t="shared" si="22"/>
        <v>0</v>
      </c>
      <c r="AN81" s="180" t="str">
        <f>VLOOKUP($I81,'Price List, Weapons &amp; Items'!B:L,COLUMN('Price List, Weapons &amp; Items'!$J$11)-1,0)</f>
        <v>.</v>
      </c>
      <c r="AO81" s="180" t="str">
        <f>IF(I81=".",".",VLOOKUP($I81,'Price List, Weapons &amp; Items'!B:J,3,0))</f>
        <v>.</v>
      </c>
      <c r="AP81" s="545" t="e">
        <f t="shared" ca="1" si="23"/>
        <v>#NAME?</v>
      </c>
      <c r="AQ81" s="180" t="str">
        <f>VLOOKUP($I81,'Price List, Weapons &amp; Items'!B:L,COLUMN('Price List, Weapons &amp; Items'!$L$11)-1,0)</f>
        <v>no price, 0 count</v>
      </c>
      <c r="AR81" s="180">
        <f t="shared" si="24"/>
        <v>0</v>
      </c>
      <c r="AS81" s="180">
        <f t="shared" si="25"/>
        <v>0</v>
      </c>
      <c r="AT81" s="180">
        <f t="shared" si="17"/>
        <v>1</v>
      </c>
      <c r="AU81" s="180" t="str">
        <f t="shared" si="26"/>
        <v>.</v>
      </c>
      <c r="AV81" s="180" t="str">
        <f t="shared" si="27"/>
        <v>.</v>
      </c>
      <c r="AW81" s="180">
        <f>IFERROR(VLOOKUP(B81,'Share, Heavy Weapons to Ukraine'!B:J,COLUMN('Share, Heavy Weapons to Ukraine'!C89)-1,0),0)</f>
        <v>0</v>
      </c>
      <c r="AX81" s="180">
        <f>VLOOKUP('Bilateral Assistance, MAIN DATA'!B81,'Country Summary'!B:F,COLUMN('Country Summary'!C92)-1,FALSE)</f>
        <v>1</v>
      </c>
      <c r="AY81" s="180" t="str">
        <f>IF(AND(AD81=1,D81="Military",H81&lt;&gt;"Not given")=TRUE,IF(SUMIFS(P:P,A:A,A81)&gt;0,ABS((SUMIFS(P:P,A:A,A81)/VLOOKUP("USD",'Exchange Rates'!B:C,2,0)))/S81,"."),".")</f>
        <v>.</v>
      </c>
      <c r="AZ81" s="182" t="str">
        <f>IF(AND(AD81=1,D81="Military",H81&lt;&gt;"Not given")=TRUE,IF(SUMIFS(P:P,A:A,A81)&gt;0,IF((ABS((SUMIFS(P:P,A:A,A81)/VLOOKUP("USD",'Exchange Rates'!B:C,2,0)))/S81)&gt;1,(SUMIFS(P:P,A:A,A81)-S81)/S81,(S81-SUMIFS(P:P,A:A,A81))/SUMIFS(P:P,A:A,A81)),"."),".")</f>
        <v>.</v>
      </c>
    </row>
    <row r="82" spans="1:52" ht="15.9" customHeight="1" x14ac:dyDescent="0.3">
      <c r="A82" s="17" t="s">
        <v>484</v>
      </c>
      <c r="B82" s="17" t="s">
        <v>480</v>
      </c>
      <c r="C82" s="174">
        <v>44679</v>
      </c>
      <c r="D82" s="5" t="s">
        <v>256</v>
      </c>
      <c r="E82" s="5" t="s">
        <v>257</v>
      </c>
      <c r="F82" s="175" t="s">
        <v>485</v>
      </c>
      <c r="G82" s="15" t="s">
        <v>364</v>
      </c>
      <c r="H82" s="176">
        <v>706000</v>
      </c>
      <c r="I82" s="17" t="s">
        <v>260</v>
      </c>
      <c r="J82" s="113" t="str">
        <f>VLOOKUP($I82,'Price List, Weapons &amp; Items'!B:C,2,0)</f>
        <v>.</v>
      </c>
      <c r="K82" s="113" t="str">
        <f>IF(I82=".",I82,VLOOKUP($I82,'Price List, Weapons &amp; Items'!B:D,3,0))</f>
        <v>.</v>
      </c>
      <c r="L82" s="177">
        <f>VLOOKUP(I82,'Price List, Weapons &amp; Items'!B:E,4,0)</f>
        <v>0</v>
      </c>
      <c r="M82" s="542" t="s">
        <v>260</v>
      </c>
      <c r="N82" s="542" t="s">
        <v>260</v>
      </c>
      <c r="O82" s="543" t="str">
        <f>VLOOKUP($I82,'Price List, Weapons &amp; Items'!B:G,6,0)</f>
        <v>.</v>
      </c>
      <c r="P82" s="176" t="str">
        <f t="shared" si="18"/>
        <v>.</v>
      </c>
      <c r="Q82" s="176" t="str">
        <f t="shared" si="19"/>
        <v>.</v>
      </c>
      <c r="R82" s="176">
        <f t="shared" si="16"/>
        <v>706000</v>
      </c>
      <c r="S82" s="176">
        <f>IF(AND(AD82=1,R82&lt;&gt;".")=TRUE,R82/VLOOKUP(G82,'Exchange Rates'!B:C,2,0),IF(R82=".",".",""))</f>
        <v>706000</v>
      </c>
      <c r="T82" s="176" t="str">
        <f>IF(AD82=1,IF(AF82="Value is not given at all",".",IF(AF82="Value is given by the source",S82,IF(AF82="Value is calculated with prices",(IF(SUMIFS(Q:Q,A:A,A82)&gt;0,SUMIFS(Q:Q,A:A,A82),"."))/VLOOKUP("USD",'Exchange Rates'!B:C,2,0),"Error with coding"))),"")</f>
        <v>.</v>
      </c>
      <c r="U82" s="15" t="s">
        <v>261</v>
      </c>
      <c r="V82" s="300" t="s">
        <v>486</v>
      </c>
      <c r="W82" s="300" t="s">
        <v>487</v>
      </c>
      <c r="X82" s="300" t="s">
        <v>488</v>
      </c>
      <c r="Y82" s="175" t="s">
        <v>260</v>
      </c>
      <c r="Z82" s="15">
        <v>0</v>
      </c>
      <c r="AA82" s="180">
        <v>0</v>
      </c>
      <c r="AB82" s="184" t="s">
        <v>260</v>
      </c>
      <c r="AC82" s="544" t="str">
        <f>""</f>
        <v/>
      </c>
      <c r="AD82" s="181">
        <v>1</v>
      </c>
      <c r="AE82" s="181" t="s">
        <v>264</v>
      </c>
      <c r="AF82" s="181" t="s">
        <v>265</v>
      </c>
      <c r="AG82" s="181">
        <v>1</v>
      </c>
      <c r="AH82" s="181">
        <v>4</v>
      </c>
      <c r="AI82" s="181">
        <v>0</v>
      </c>
      <c r="AJ82" s="181">
        <f>VLOOKUP($I82,'Price List, Weapons &amp; Items'!B:F,5,0)</f>
        <v>0</v>
      </c>
      <c r="AK82" s="181">
        <f t="shared" si="20"/>
        <v>0</v>
      </c>
      <c r="AL82" s="181">
        <f t="shared" si="21"/>
        <v>0</v>
      </c>
      <c r="AM82" s="181">
        <f t="shared" si="22"/>
        <v>0</v>
      </c>
      <c r="AN82" s="180" t="str">
        <f>VLOOKUP($I82,'Price List, Weapons &amp; Items'!B:L,COLUMN('Price List, Weapons &amp; Items'!$J$11)-1,0)</f>
        <v>.</v>
      </c>
      <c r="AO82" s="180" t="str">
        <f>IF(I82=".",".",VLOOKUP($I82,'Price List, Weapons &amp; Items'!B:J,3,0))</f>
        <v>.</v>
      </c>
      <c r="AP82" s="545" t="e">
        <f t="shared" ca="1" si="23"/>
        <v>#NAME?</v>
      </c>
      <c r="AQ82" s="180" t="str">
        <f>VLOOKUP($I82,'Price List, Weapons &amp; Items'!B:L,COLUMN('Price List, Weapons &amp; Items'!$L$11)-1,0)</f>
        <v>no price, 0 count</v>
      </c>
      <c r="AR82" s="180">
        <f t="shared" si="24"/>
        <v>1</v>
      </c>
      <c r="AS82" s="180">
        <f t="shared" si="25"/>
        <v>0</v>
      </c>
      <c r="AT82" s="180">
        <f t="shared" si="17"/>
        <v>1</v>
      </c>
      <c r="AU82" s="180" t="str">
        <f t="shared" si="26"/>
        <v>.</v>
      </c>
      <c r="AV82" s="180" t="str">
        <f t="shared" si="27"/>
        <v>.</v>
      </c>
      <c r="AW82" s="180">
        <f>IFERROR(VLOOKUP(B82,'Share, Heavy Weapons to Ukraine'!B:J,COLUMN('Share, Heavy Weapons to Ukraine'!C90)-1,0),0)</f>
        <v>0</v>
      </c>
      <c r="AX82" s="180">
        <f>VLOOKUP('Bilateral Assistance, MAIN DATA'!B82,'Country Summary'!B:F,COLUMN('Country Summary'!C93)-1,FALSE)</f>
        <v>1</v>
      </c>
      <c r="AY82" s="180" t="str">
        <f>IF(AND(AD82=1,D82="Military",H82&lt;&gt;"Not given")=TRUE,IF(SUMIFS(P:P,A:A,A82)&gt;0,ABS((SUMIFS(P:P,A:A,A82)/VLOOKUP("USD",'Exchange Rates'!B:C,2,0)))/S82,"."),".")</f>
        <v>.</v>
      </c>
      <c r="AZ82" s="182" t="str">
        <f>IF(AND(AD82=1,D82="Military",H82&lt;&gt;"Not given")=TRUE,IF(SUMIFS(P:P,A:A,A82)&gt;0,IF((ABS((SUMIFS(P:P,A:A,A82)/VLOOKUP("USD",'Exchange Rates'!B:C,2,0)))/S82)&gt;1,(SUMIFS(P:P,A:A,A82)-S82)/S82,(S82-SUMIFS(P:P,A:A,A82))/SUMIFS(P:P,A:A,A82)),"."),".")</f>
        <v>.</v>
      </c>
    </row>
    <row r="83" spans="1:52" ht="15.9" customHeight="1" x14ac:dyDescent="0.3">
      <c r="A83" s="17" t="s">
        <v>489</v>
      </c>
      <c r="B83" s="17" t="s">
        <v>480</v>
      </c>
      <c r="C83" s="174">
        <v>44685</v>
      </c>
      <c r="D83" s="5" t="s">
        <v>256</v>
      </c>
      <c r="E83" s="5" t="s">
        <v>267</v>
      </c>
      <c r="F83" s="175" t="s">
        <v>490</v>
      </c>
      <c r="G83" s="15" t="s">
        <v>260</v>
      </c>
      <c r="H83" s="176" t="s">
        <v>341</v>
      </c>
      <c r="I83" s="17" t="s">
        <v>260</v>
      </c>
      <c r="J83" s="113" t="str">
        <f>VLOOKUP($I83,'Price List, Weapons &amp; Items'!B:C,2,0)</f>
        <v>.</v>
      </c>
      <c r="K83" s="113" t="str">
        <f>IF(I83=".",I83,VLOOKUP($I83,'Price List, Weapons &amp; Items'!B:D,3,0))</f>
        <v>.</v>
      </c>
      <c r="L83" s="177">
        <f>VLOOKUP(I83,'Price List, Weapons &amp; Items'!B:E,4,0)</f>
        <v>0</v>
      </c>
      <c r="M83" s="542" t="s">
        <v>260</v>
      </c>
      <c r="N83" s="542" t="s">
        <v>260</v>
      </c>
      <c r="O83" s="543" t="str">
        <f>VLOOKUP($I83,'Price List, Weapons &amp; Items'!B:G,6,0)</f>
        <v>.</v>
      </c>
      <c r="P83" s="176" t="str">
        <f t="shared" si="18"/>
        <v>.</v>
      </c>
      <c r="Q83" s="176" t="str">
        <f t="shared" si="19"/>
        <v>.</v>
      </c>
      <c r="R83" s="176" t="str">
        <f t="shared" si="16"/>
        <v>.</v>
      </c>
      <c r="S83" s="176" t="str">
        <f>IF(AND(AD83=1,R83&lt;&gt;".")=TRUE,R83/VLOOKUP(G83,'Exchange Rates'!B:C,2,0),IF(R83=".",".",""))</f>
        <v>.</v>
      </c>
      <c r="T83" s="176" t="str">
        <f>IF(AD83=1,IF(AF83="Value is not given at all",".",IF(AF83="Value is given by the source",S83,IF(AF83="Value is calculated with prices",(IF(SUMIFS(Q:Q,A:A,A83)&gt;0,SUMIFS(Q:Q,A:A,A83),"."))/VLOOKUP("USD",'Exchange Rates'!B:C,2,0),"Error with coding"))),"")</f>
        <v>.</v>
      </c>
      <c r="U83" s="15" t="s">
        <v>415</v>
      </c>
      <c r="V83" s="300" t="s">
        <v>491</v>
      </c>
      <c r="W83" s="300" t="s">
        <v>492</v>
      </c>
      <c r="X83" s="529" t="s">
        <v>260</v>
      </c>
      <c r="Y83" s="175" t="s">
        <v>260</v>
      </c>
      <c r="Z83" s="15">
        <v>0</v>
      </c>
      <c r="AA83" s="180">
        <v>0</v>
      </c>
      <c r="AB83" s="184" t="s">
        <v>260</v>
      </c>
      <c r="AC83" s="544" t="str">
        <f>""</f>
        <v/>
      </c>
      <c r="AD83" s="181">
        <v>1</v>
      </c>
      <c r="AE83" s="181" t="s">
        <v>265</v>
      </c>
      <c r="AF83" s="181" t="s">
        <v>265</v>
      </c>
      <c r="AG83" s="181">
        <v>1</v>
      </c>
      <c r="AH83" s="181">
        <v>5</v>
      </c>
      <c r="AI83" s="181">
        <v>0</v>
      </c>
      <c r="AJ83" s="181">
        <f>VLOOKUP($I83,'Price List, Weapons &amp; Items'!B:F,5,0)</f>
        <v>0</v>
      </c>
      <c r="AK83" s="181">
        <f t="shared" si="20"/>
        <v>0</v>
      </c>
      <c r="AL83" s="181">
        <f t="shared" si="21"/>
        <v>0</v>
      </c>
      <c r="AM83" s="181">
        <f t="shared" si="22"/>
        <v>0</v>
      </c>
      <c r="AN83" s="180" t="str">
        <f>VLOOKUP($I83,'Price List, Weapons &amp; Items'!B:L,COLUMN('Price List, Weapons &amp; Items'!$J$11)-1,0)</f>
        <v>.</v>
      </c>
      <c r="AO83" s="180" t="str">
        <f>IF(I83=".",".",VLOOKUP($I83,'Price List, Weapons &amp; Items'!B:J,3,0))</f>
        <v>.</v>
      </c>
      <c r="AP83" s="545" t="e">
        <f t="shared" ca="1" si="23"/>
        <v>#NAME?</v>
      </c>
      <c r="AQ83" s="180" t="str">
        <f>VLOOKUP($I83,'Price List, Weapons &amp; Items'!B:L,COLUMN('Price List, Weapons &amp; Items'!$L$11)-1,0)</f>
        <v>no price, 0 count</v>
      </c>
      <c r="AR83" s="180">
        <f t="shared" si="24"/>
        <v>0</v>
      </c>
      <c r="AS83" s="180">
        <f t="shared" si="25"/>
        <v>0</v>
      </c>
      <c r="AT83" s="180">
        <f t="shared" si="17"/>
        <v>1</v>
      </c>
      <c r="AU83" s="180" t="str">
        <f t="shared" si="26"/>
        <v>.</v>
      </c>
      <c r="AV83" s="180" t="str">
        <f t="shared" si="27"/>
        <v>.</v>
      </c>
      <c r="AW83" s="180">
        <f>IFERROR(VLOOKUP(B83,'Share, Heavy Weapons to Ukraine'!B:J,COLUMN('Share, Heavy Weapons to Ukraine'!C91)-1,0),0)</f>
        <v>0</v>
      </c>
      <c r="AX83" s="180">
        <f>VLOOKUP('Bilateral Assistance, MAIN DATA'!B83,'Country Summary'!B:F,COLUMN('Country Summary'!C94)-1,FALSE)</f>
        <v>1</v>
      </c>
      <c r="AY83" s="180" t="str">
        <f>IF(AND(AD83=1,D83="Military",H83&lt;&gt;"Not given")=TRUE,IF(SUMIFS(P:P,A:A,A83)&gt;0,ABS((SUMIFS(P:P,A:A,A83)/VLOOKUP("USD",'Exchange Rates'!B:C,2,0)))/S83,"."),".")</f>
        <v>.</v>
      </c>
      <c r="AZ83" s="182" t="str">
        <f>IF(AND(AD83=1,D83="Military",H83&lt;&gt;"Not given")=TRUE,IF(SUMIFS(P:P,A:A,A83)&gt;0,IF((ABS((SUMIFS(P:P,A:A,A83)/VLOOKUP("USD",'Exchange Rates'!B:C,2,0)))/S83)&gt;1,(SUMIFS(P:P,A:A,A83)-S83)/S83,(S83-SUMIFS(P:P,A:A,A83))/SUMIFS(P:P,A:A,A83)),"."),".")</f>
        <v>.</v>
      </c>
    </row>
    <row r="84" spans="1:52" ht="15.9" customHeight="1" x14ac:dyDescent="0.3">
      <c r="A84" s="5" t="s">
        <v>493</v>
      </c>
      <c r="B84" s="5" t="s">
        <v>480</v>
      </c>
      <c r="C84" s="174">
        <v>44658</v>
      </c>
      <c r="D84" s="5" t="s">
        <v>285</v>
      </c>
      <c r="E84" s="5" t="s">
        <v>294</v>
      </c>
      <c r="F84" s="175" t="s">
        <v>494</v>
      </c>
      <c r="G84" s="15" t="s">
        <v>495</v>
      </c>
      <c r="H84" s="176">
        <v>448000000</v>
      </c>
      <c r="I84" s="17" t="s">
        <v>463</v>
      </c>
      <c r="J84" s="113" t="str">
        <f>VLOOKUP($I84,'Price List, Weapons &amp; Items'!B:C,2,0)</f>
        <v>Military equipment</v>
      </c>
      <c r="K84" s="113" t="str">
        <f>IF(I84=".",I84,VLOOKUP($I84,'Price List, Weapons &amp; Items'!B:D,3,0))</f>
        <v>Military equipment</v>
      </c>
      <c r="L84" s="177">
        <f>VLOOKUP(I84,'Price List, Weapons &amp; Items'!B:E,4,0)</f>
        <v>0</v>
      </c>
      <c r="M84" s="542">
        <v>2000</v>
      </c>
      <c r="N84" s="542">
        <v>2000</v>
      </c>
      <c r="O84" s="543">
        <f>VLOOKUP($I84,'Price List, Weapons &amp; Items'!B:G,6,0)</f>
        <v>1400</v>
      </c>
      <c r="P84" s="176">
        <f t="shared" si="18"/>
        <v>2800000</v>
      </c>
      <c r="Q84" s="176">
        <f t="shared" si="19"/>
        <v>2800000</v>
      </c>
      <c r="R84" s="176">
        <f t="shared" si="16"/>
        <v>448000000</v>
      </c>
      <c r="S84" s="176">
        <f>IF(AND(AD84=1,R84&lt;&gt;".")=TRUE,R84/VLOOKUP(G84,'Exchange Rates'!B:C,2,0),IF(R84=".",".",""))</f>
        <v>229062276.30637079</v>
      </c>
      <c r="T84" s="176">
        <f>IF(AD84=1,IF(AF84="Value is not given at all",".",IF(AF84="Value is given by the source",S84,IF(AF84="Value is calculated with prices",(IF(SUMIFS(Q:Q,A:A,A84)&gt;0,SUMIFS(Q:Q,A:A,A84),"."))/VLOOKUP("USD",'Exchange Rates'!B:C,2,0),"Error with coding"))),"")</f>
        <v>229062276.30637079</v>
      </c>
      <c r="U84" s="177" t="s">
        <v>261</v>
      </c>
      <c r="V84" s="561" t="s">
        <v>496</v>
      </c>
      <c r="W84" s="561" t="s">
        <v>497</v>
      </c>
      <c r="X84" s="557" t="s">
        <v>498</v>
      </c>
      <c r="Y84" s="683" t="s">
        <v>260</v>
      </c>
      <c r="Z84" s="216">
        <v>0</v>
      </c>
      <c r="AA84" s="216">
        <v>1</v>
      </c>
      <c r="AB84" s="561" t="s">
        <v>496</v>
      </c>
      <c r="AC84" s="544" t="str">
        <f>""</f>
        <v/>
      </c>
      <c r="AD84" s="181">
        <v>1</v>
      </c>
      <c r="AE84" s="181" t="s">
        <v>264</v>
      </c>
      <c r="AF84" s="181" t="s">
        <v>264</v>
      </c>
      <c r="AG84" s="181">
        <v>1</v>
      </c>
      <c r="AH84" s="181">
        <v>4</v>
      </c>
      <c r="AI84" s="181">
        <v>0</v>
      </c>
      <c r="AJ84" s="181">
        <f>VLOOKUP($I84,'Price List, Weapons &amp; Items'!B:F,5,0)</f>
        <v>0</v>
      </c>
      <c r="AK84" s="181">
        <f t="shared" si="20"/>
        <v>0</v>
      </c>
      <c r="AL84" s="181">
        <f t="shared" si="21"/>
        <v>0</v>
      </c>
      <c r="AM84" s="181">
        <f t="shared" si="22"/>
        <v>0</v>
      </c>
      <c r="AN84" s="180" t="str">
        <f>VLOOKUP($I84,'Price List, Weapons &amp; Items'!B:L,COLUMN('Price List, Weapons &amp; Items'!$J$11)-1,0)</f>
        <v>Military media (incl. websites)</v>
      </c>
      <c r="AO84" s="180" t="str">
        <f>IF(I84=".",".",VLOOKUP($I84,'Price List, Weapons &amp; Items'!B:J,3,0))</f>
        <v>Military equipment</v>
      </c>
      <c r="AP84" s="545" t="e">
        <f t="shared" ca="1" si="23"/>
        <v>#NAME?</v>
      </c>
      <c r="AQ84" s="180">
        <f>VLOOKUP($I84,'Price List, Weapons &amp; Items'!B:L,COLUMN('Price List, Weapons &amp; Items'!$L$11)-1,0)</f>
        <v>2</v>
      </c>
      <c r="AR84" s="180">
        <f t="shared" si="24"/>
        <v>1</v>
      </c>
      <c r="AS84" s="180">
        <f t="shared" si="25"/>
        <v>1</v>
      </c>
      <c r="AT84" s="180">
        <f t="shared" si="17"/>
        <v>1</v>
      </c>
      <c r="AU84" s="180" t="str">
        <f t="shared" si="26"/>
        <v>.</v>
      </c>
      <c r="AV84" s="180" t="str">
        <f t="shared" si="27"/>
        <v>.</v>
      </c>
      <c r="AW84" s="180">
        <f>IFERROR(VLOOKUP(B84,'Share, Heavy Weapons to Ukraine'!B:J,COLUMN('Share, Heavy Weapons to Ukraine'!C92)-1,0),0)</f>
        <v>0</v>
      </c>
      <c r="AX84" s="180">
        <f>VLOOKUP('Bilateral Assistance, MAIN DATA'!B84,'Country Summary'!B:F,COLUMN('Country Summary'!C95)-1,FALSE)</f>
        <v>1</v>
      </c>
      <c r="AY84" s="180">
        <f>IF(AND(AD84=1,D84="Military",H84&lt;&gt;"Not given")=TRUE,IF(SUMIFS(P:P,A:A,A84)&gt;0,ABS((SUMIFS(P:P,A:A,A84)/VLOOKUP("USD",'Exchange Rates'!B:C,2,0)))/S84,"."),".")</f>
        <v>1.708585882142857E-2</v>
      </c>
      <c r="AZ84" s="182">
        <f>IF(AND(AD84=1,D84="Military",H84&lt;&gt;"Not given")=TRUE,IF(SUMIFS(P:P,A:A,A84)&gt;0,IF((ABS((SUMIFS(P:P,A:A,A84)/VLOOKUP("USD",'Exchange Rates'!B:C,2,0)))/S84)&gt;1,(SUMIFS(P:P,A:A,A84)-S84)/S84,(S84-SUMIFS(P:P,A:A,A84))/SUMIFS(P:P,A:A,A84)),"."),".")</f>
        <v>54.740888552029048</v>
      </c>
    </row>
    <row r="85" spans="1:52" ht="15.9" customHeight="1" x14ac:dyDescent="0.3">
      <c r="A85" s="5" t="s">
        <v>493</v>
      </c>
      <c r="B85" s="5" t="s">
        <v>480</v>
      </c>
      <c r="C85" s="174">
        <v>44658</v>
      </c>
      <c r="D85" s="5" t="s">
        <v>285</v>
      </c>
      <c r="E85" s="5" t="s">
        <v>294</v>
      </c>
      <c r="F85" s="175" t="s">
        <v>494</v>
      </c>
      <c r="G85" s="15" t="s">
        <v>495</v>
      </c>
      <c r="H85" s="176">
        <v>448000000</v>
      </c>
      <c r="I85" s="17" t="s">
        <v>499</v>
      </c>
      <c r="J85" s="113" t="str">
        <f>VLOOKUP($I85,'Price List, Weapons &amp; Items'!B:C,2,0)</f>
        <v>Military equipment</v>
      </c>
      <c r="K85" s="113" t="str">
        <f>IF(I85=".",I85,VLOOKUP($I85,'Price List, Weapons &amp; Items'!B:D,3,0))</f>
        <v>Military equipment</v>
      </c>
      <c r="L85" s="177">
        <f>VLOOKUP(I85,'Price List, Weapons &amp; Items'!B:E,4,0)</f>
        <v>0</v>
      </c>
      <c r="M85" s="542">
        <v>2000</v>
      </c>
      <c r="N85" s="542">
        <v>2000</v>
      </c>
      <c r="O85" s="543">
        <f>VLOOKUP($I85,'Price List, Weapons &amp; Items'!B:G,6,0)</f>
        <v>500</v>
      </c>
      <c r="P85" s="176">
        <f t="shared" si="18"/>
        <v>1000000</v>
      </c>
      <c r="Q85" s="176">
        <f t="shared" si="19"/>
        <v>1000000</v>
      </c>
      <c r="R85" s="176" t="str">
        <f t="shared" si="16"/>
        <v/>
      </c>
      <c r="S85" s="176" t="str">
        <f>IF(AND(AD85=1,R85&lt;&gt;".")=TRUE,R85/VLOOKUP(G85,'Exchange Rates'!B:C,2,0),IF(R85=".",".",""))</f>
        <v/>
      </c>
      <c r="T85" s="176" t="str">
        <f>IF(AD85=1,IF(AF85="Value is not given at all",".",IF(AF85="Value is given by the source",S85,IF(AF85="Value is calculated with prices",(IF(SUMIFS(Q:Q,A:A,A85)&gt;0,SUMIFS(Q:Q,A:A,A85),"."))/VLOOKUP("USD",'Exchange Rates'!B:C,2,0),"Error with coding"))),"")</f>
        <v/>
      </c>
      <c r="U85" s="177" t="s">
        <v>261</v>
      </c>
      <c r="V85" s="561" t="s">
        <v>500</v>
      </c>
      <c r="W85" s="561" t="s">
        <v>497</v>
      </c>
      <c r="X85" s="557" t="s">
        <v>498</v>
      </c>
      <c r="Y85" s="683" t="s">
        <v>260</v>
      </c>
      <c r="Z85" s="216">
        <v>0</v>
      </c>
      <c r="AA85" s="216">
        <v>1</v>
      </c>
      <c r="AB85" s="561" t="s">
        <v>500</v>
      </c>
      <c r="AC85" s="544" t="str">
        <f>""</f>
        <v/>
      </c>
      <c r="AD85" s="181">
        <v>0</v>
      </c>
      <c r="AE85" s="181" t="s">
        <v>264</v>
      </c>
      <c r="AF85" s="181" t="s">
        <v>264</v>
      </c>
      <c r="AG85" s="181">
        <v>1</v>
      </c>
      <c r="AH85" s="181">
        <v>4</v>
      </c>
      <c r="AI85" s="181">
        <v>0</v>
      </c>
      <c r="AJ85" s="181">
        <f>VLOOKUP($I85,'Price List, Weapons &amp; Items'!B:F,5,0)</f>
        <v>0</v>
      </c>
      <c r="AK85" s="181">
        <f t="shared" si="20"/>
        <v>0</v>
      </c>
      <c r="AL85" s="181">
        <f t="shared" si="21"/>
        <v>0</v>
      </c>
      <c r="AM85" s="181">
        <f t="shared" si="22"/>
        <v>0</v>
      </c>
      <c r="AN85" s="180" t="str">
        <f>VLOOKUP($I85,'Price List, Weapons &amp; Items'!B:L,COLUMN('Price List, Weapons &amp; Items'!$J$11)-1,0)</f>
        <v>Military media (incl. websites)</v>
      </c>
      <c r="AO85" s="180" t="str">
        <f>IF(I85=".",".",VLOOKUP($I85,'Price List, Weapons &amp; Items'!B:J,3,0))</f>
        <v>Military equipment</v>
      </c>
      <c r="AP85" s="545" t="str">
        <f t="shared" ca="1" si="23"/>
        <v/>
      </c>
      <c r="AQ85" s="180">
        <f>VLOOKUP($I85,'Price List, Weapons &amp; Items'!B:L,COLUMN('Price List, Weapons &amp; Items'!$L$11)-1,0)</f>
        <v>2</v>
      </c>
      <c r="AR85" s="180">
        <f t="shared" si="24"/>
        <v>1</v>
      </c>
      <c r="AS85" s="180">
        <f t="shared" si="25"/>
        <v>1</v>
      </c>
      <c r="AT85" s="180">
        <f t="shared" si="17"/>
        <v>1</v>
      </c>
      <c r="AU85" s="180" t="str">
        <f t="shared" si="26"/>
        <v>.</v>
      </c>
      <c r="AV85" s="180" t="str">
        <f t="shared" si="27"/>
        <v>.</v>
      </c>
      <c r="AW85" s="180">
        <f>IFERROR(VLOOKUP(B85,'Share, Heavy Weapons to Ukraine'!B:J,COLUMN('Share, Heavy Weapons to Ukraine'!C93)-1,0),0)</f>
        <v>0</v>
      </c>
      <c r="AX85" s="180">
        <f>VLOOKUP('Bilateral Assistance, MAIN DATA'!B85,'Country Summary'!B:F,COLUMN('Country Summary'!C96)-1,FALSE)</f>
        <v>1</v>
      </c>
      <c r="AY85" s="180" t="str">
        <f>IF(AND(AD85=1,D85="Military",H85&lt;&gt;"Not given")=TRUE,IF(SUMIFS(P:P,A:A,A85)&gt;0,ABS((SUMIFS(P:P,A:A,A85)/VLOOKUP("USD",'Exchange Rates'!B:C,2,0)))/S85,"."),".")</f>
        <v>.</v>
      </c>
      <c r="AZ85" s="182" t="str">
        <f>IF(AND(AD85=1,D85="Military",H85&lt;&gt;"Not given")=TRUE,IF(SUMIFS(P:P,A:A,A85)&gt;0,IF((ABS((SUMIFS(P:P,A:A,A85)/VLOOKUP("USD",'Exchange Rates'!B:C,2,0)))/S85)&gt;1,(SUMIFS(P:P,A:A,A85)-S85)/S85,(S85-SUMIFS(P:P,A:A,A85))/SUMIFS(P:P,A:A,A85)),"."),".")</f>
        <v>.</v>
      </c>
    </row>
    <row r="86" spans="1:52" ht="15.9" customHeight="1" x14ac:dyDescent="0.3">
      <c r="A86" s="5" t="s">
        <v>493</v>
      </c>
      <c r="B86" s="5" t="s">
        <v>480</v>
      </c>
      <c r="C86" s="174" t="s">
        <v>501</v>
      </c>
      <c r="D86" s="5" t="s">
        <v>285</v>
      </c>
      <c r="E86" s="5" t="s">
        <v>294</v>
      </c>
      <c r="F86" s="175" t="s">
        <v>494</v>
      </c>
      <c r="G86" s="15" t="s">
        <v>495</v>
      </c>
      <c r="H86" s="176">
        <v>448000000</v>
      </c>
      <c r="I86" s="188" t="s">
        <v>448</v>
      </c>
      <c r="J86" s="113" t="str">
        <f>VLOOKUP($I86,'Price List, Weapons &amp; Items'!B:C,2,0)</f>
        <v>Military equipment</v>
      </c>
      <c r="K86" s="113" t="str">
        <f>IF(I86=".",I86,VLOOKUP($I86,'Price List, Weapons &amp; Items'!B:D,3,0))</f>
        <v>Military equipment</v>
      </c>
      <c r="L86" s="177">
        <f>VLOOKUP(I86,'Price List, Weapons &amp; Items'!B:E,4,0)</f>
        <v>0</v>
      </c>
      <c r="M86" s="542">
        <v>350</v>
      </c>
      <c r="N86" s="542">
        <v>350</v>
      </c>
      <c r="O86" s="543">
        <f>VLOOKUP($I86,'Price List, Weapons &amp; Items'!B:G,6,0)</f>
        <v>37.82</v>
      </c>
      <c r="P86" s="176">
        <f t="shared" si="18"/>
        <v>13237</v>
      </c>
      <c r="Q86" s="176">
        <f t="shared" si="19"/>
        <v>13237</v>
      </c>
      <c r="R86" s="176" t="str">
        <f t="shared" si="16"/>
        <v/>
      </c>
      <c r="S86" s="176" t="str">
        <f>IF(AND(AD86=1,R86&lt;&gt;".")=TRUE,R86/VLOOKUP(G86,'Exchange Rates'!B:C,2,0),IF(R86=".",".",""))</f>
        <v/>
      </c>
      <c r="T86" s="176" t="str">
        <f>IF(AD86=1,IF(AF86="Value is not given at all",".",IF(AF86="Value is given by the source",S86,IF(AF86="Value is calculated with prices",(IF(SUMIFS(Q:Q,A:A,A86)&gt;0,SUMIFS(Q:Q,A:A,A86),"."))/VLOOKUP("USD",'Exchange Rates'!B:C,2,0),"Error with coding"))),"")</f>
        <v/>
      </c>
      <c r="U86" s="177" t="s">
        <v>261</v>
      </c>
      <c r="V86" s="561" t="s">
        <v>502</v>
      </c>
      <c r="W86" s="561" t="s">
        <v>497</v>
      </c>
      <c r="X86" s="683" t="s">
        <v>260</v>
      </c>
      <c r="Y86" s="683" t="s">
        <v>260</v>
      </c>
      <c r="Z86" s="216">
        <v>0</v>
      </c>
      <c r="AA86" s="216">
        <v>1</v>
      </c>
      <c r="AB86" s="561" t="s">
        <v>502</v>
      </c>
      <c r="AC86" s="544"/>
      <c r="AD86" s="181">
        <v>0</v>
      </c>
      <c r="AE86" s="181" t="s">
        <v>264</v>
      </c>
      <c r="AF86" s="181" t="s">
        <v>264</v>
      </c>
      <c r="AG86" s="181">
        <v>0</v>
      </c>
      <c r="AH86" s="181">
        <v>0</v>
      </c>
      <c r="AI86" s="181">
        <v>0</v>
      </c>
      <c r="AJ86" s="181">
        <f>VLOOKUP($I86,'Price List, Weapons &amp; Items'!B:F,5,0)</f>
        <v>0</v>
      </c>
      <c r="AK86" s="181">
        <f t="shared" si="20"/>
        <v>0</v>
      </c>
      <c r="AL86" s="181">
        <f t="shared" si="21"/>
        <v>0</v>
      </c>
      <c r="AM86" s="181">
        <f t="shared" si="22"/>
        <v>0</v>
      </c>
      <c r="AN86" s="180" t="str">
        <f>VLOOKUP($I86,'Price List, Weapons &amp; Items'!B:L,COLUMN('Price List, Weapons &amp; Items'!$J$11)-1,0)</f>
        <v>Online marketplaces and stores</v>
      </c>
      <c r="AO86" s="180" t="str">
        <f>IF(I86=".",".",VLOOKUP($I86,'Price List, Weapons &amp; Items'!B:J,3,0))</f>
        <v>Military equipment</v>
      </c>
      <c r="AP86" s="545" t="str">
        <f t="shared" ca="1" si="23"/>
        <v/>
      </c>
      <c r="AQ86" s="180">
        <f>VLOOKUP($I86,'Price List, Weapons &amp; Items'!B:L,COLUMN('Price List, Weapons &amp; Items'!$L$11)-1,0)</f>
        <v>2</v>
      </c>
      <c r="AR86" s="180">
        <f t="shared" si="24"/>
        <v>1</v>
      </c>
      <c r="AS86" s="180">
        <f t="shared" si="25"/>
        <v>1</v>
      </c>
      <c r="AT86" s="180" t="str">
        <f t="shared" si="17"/>
        <v>Value is not in date format</v>
      </c>
      <c r="AU86" s="180" t="str">
        <f t="shared" si="26"/>
        <v>.</v>
      </c>
      <c r="AV86" s="180" t="str">
        <f t="shared" si="27"/>
        <v>.</v>
      </c>
      <c r="AW86" s="180">
        <f>IFERROR(VLOOKUP(B86,'Share, Heavy Weapons to Ukraine'!B:J,COLUMN('Share, Heavy Weapons to Ukraine'!C94)-1,0),0)</f>
        <v>0</v>
      </c>
      <c r="AX86" s="180">
        <f>VLOOKUP('Bilateral Assistance, MAIN DATA'!B86,'Country Summary'!B:F,COLUMN('Country Summary'!C97)-1,FALSE)</f>
        <v>1</v>
      </c>
      <c r="AY86" s="180" t="str">
        <f>IF(AND(AD86=1,D86="Military",H86&lt;&gt;"Not given")=TRUE,IF(SUMIFS(P:P,A:A,A86)&gt;0,ABS((SUMIFS(P:P,A:A,A86)/VLOOKUP("USD",'Exchange Rates'!B:C,2,0)))/S86,"."),".")</f>
        <v>.</v>
      </c>
      <c r="AZ86" s="182" t="str">
        <f>IF(AND(AD86=1,D86="Military",H86&lt;&gt;"Not given")=TRUE,IF(SUMIFS(P:P,A:A,A86)&gt;0,IF((ABS((SUMIFS(P:P,A:A,A86)/VLOOKUP("USD",'Exchange Rates'!B:C,2,0)))/S86)&gt;1,(SUMIFS(P:P,A:A,A86)-S86)/S86,(S86-SUMIFS(P:P,A:A,A86))/SUMIFS(P:P,A:A,A86)),"."),".")</f>
        <v>.</v>
      </c>
    </row>
    <row r="87" spans="1:52" ht="15.9" customHeight="1" x14ac:dyDescent="0.3">
      <c r="A87" s="5" t="s">
        <v>493</v>
      </c>
      <c r="B87" s="5" t="s">
        <v>480</v>
      </c>
      <c r="C87" s="174" t="s">
        <v>501</v>
      </c>
      <c r="D87" s="5" t="s">
        <v>285</v>
      </c>
      <c r="E87" s="5" t="s">
        <v>294</v>
      </c>
      <c r="F87" s="175" t="s">
        <v>494</v>
      </c>
      <c r="G87" s="15" t="s">
        <v>495</v>
      </c>
      <c r="H87" s="176">
        <v>448000000</v>
      </c>
      <c r="I87" s="175" t="s">
        <v>453</v>
      </c>
      <c r="J87" s="113" t="str">
        <f>VLOOKUP($I87,'Price List, Weapons &amp; Items'!B:C,2,0)</f>
        <v>Military equipment</v>
      </c>
      <c r="K87" s="113" t="str">
        <f>IF(I87=".",I87,VLOOKUP($I87,'Price List, Weapons &amp; Items'!B:D,3,0))</f>
        <v>Military equipment</v>
      </c>
      <c r="L87" s="177">
        <f>VLOOKUP(I87,'Price List, Weapons &amp; Items'!B:E,4,0)</f>
        <v>0</v>
      </c>
      <c r="M87" s="542">
        <v>5000</v>
      </c>
      <c r="N87" s="542">
        <v>5000</v>
      </c>
      <c r="O87" s="543">
        <f>VLOOKUP($I87,'Price List, Weapons &amp; Items'!B:G,6,0)</f>
        <v>59.234999999999999</v>
      </c>
      <c r="P87" s="176">
        <f t="shared" si="18"/>
        <v>296175</v>
      </c>
      <c r="Q87" s="176">
        <f t="shared" si="19"/>
        <v>296175</v>
      </c>
      <c r="R87" s="176" t="str">
        <f t="shared" si="16"/>
        <v/>
      </c>
      <c r="S87" s="176" t="str">
        <f>IF(AND(AD87=1,R87&lt;&gt;".")=TRUE,R87/VLOOKUP(G87,'Exchange Rates'!B:C,2,0),IF(R87=".",".",""))</f>
        <v/>
      </c>
      <c r="T87" s="176" t="str">
        <f>IF(AD87=1,IF(AF87="Value is not given at all",".",IF(AF87="Value is given by the source",S87,IF(AF87="Value is calculated with prices",(IF(SUMIFS(Q:Q,A:A,A87)&gt;0,SUMIFS(Q:Q,A:A,A87),"."))/VLOOKUP("USD",'Exchange Rates'!B:C,2,0),"Error with coding"))),"")</f>
        <v/>
      </c>
      <c r="U87" s="177" t="s">
        <v>261</v>
      </c>
      <c r="V87" s="561" t="s">
        <v>503</v>
      </c>
      <c r="W87" s="561" t="s">
        <v>497</v>
      </c>
      <c r="X87" s="683" t="s">
        <v>260</v>
      </c>
      <c r="Y87" s="683" t="s">
        <v>260</v>
      </c>
      <c r="Z87" s="216">
        <v>0</v>
      </c>
      <c r="AA87" s="216">
        <v>1</v>
      </c>
      <c r="AB87" s="561" t="s">
        <v>503</v>
      </c>
      <c r="AC87" s="544"/>
      <c r="AD87" s="181">
        <v>0</v>
      </c>
      <c r="AE87" s="181" t="s">
        <v>264</v>
      </c>
      <c r="AF87" s="181" t="s">
        <v>264</v>
      </c>
      <c r="AG87" s="181">
        <v>0</v>
      </c>
      <c r="AH87" s="181">
        <v>0</v>
      </c>
      <c r="AI87" s="181">
        <v>0</v>
      </c>
      <c r="AJ87" s="181">
        <f>VLOOKUP($I87,'Price List, Weapons &amp; Items'!B:F,5,0)</f>
        <v>0</v>
      </c>
      <c r="AK87" s="181">
        <f t="shared" si="20"/>
        <v>0</v>
      </c>
      <c r="AL87" s="181">
        <f t="shared" si="21"/>
        <v>0</v>
      </c>
      <c r="AM87" s="181">
        <f t="shared" si="22"/>
        <v>0</v>
      </c>
      <c r="AN87" s="180" t="str">
        <f>VLOOKUP($I87,'Price List, Weapons &amp; Items'!B:L,COLUMN('Price List, Weapons &amp; Items'!$J$11)-1,0)</f>
        <v>Government information</v>
      </c>
      <c r="AO87" s="180" t="str">
        <f>IF(I87=".",".",VLOOKUP($I87,'Price List, Weapons &amp; Items'!B:J,3,0))</f>
        <v>Military equipment</v>
      </c>
      <c r="AP87" s="545" t="str">
        <f t="shared" ca="1" si="23"/>
        <v/>
      </c>
      <c r="AQ87" s="180">
        <f>VLOOKUP($I87,'Price List, Weapons &amp; Items'!B:L,COLUMN('Price List, Weapons &amp; Items'!$L$11)-1,0)</f>
        <v>2</v>
      </c>
      <c r="AR87" s="180">
        <f t="shared" si="24"/>
        <v>1</v>
      </c>
      <c r="AS87" s="180">
        <f t="shared" si="25"/>
        <v>1</v>
      </c>
      <c r="AT87" s="180" t="str">
        <f t="shared" si="17"/>
        <v>Value is not in date format</v>
      </c>
      <c r="AU87" s="180" t="str">
        <f t="shared" si="26"/>
        <v>.</v>
      </c>
      <c r="AV87" s="180" t="str">
        <f t="shared" si="27"/>
        <v>.</v>
      </c>
      <c r="AW87" s="180">
        <f>IFERROR(VLOOKUP(B87,'Share, Heavy Weapons to Ukraine'!B:J,COLUMN('Share, Heavy Weapons to Ukraine'!C95)-1,0),0)</f>
        <v>0</v>
      </c>
      <c r="AX87" s="180">
        <f>VLOOKUP('Bilateral Assistance, MAIN DATA'!B87,'Country Summary'!B:F,COLUMN('Country Summary'!C98)-1,FALSE)</f>
        <v>1</v>
      </c>
      <c r="AY87" s="180" t="str">
        <f>IF(AND(AD87=1,D87="Military",H87&lt;&gt;"Not given")=TRUE,IF(SUMIFS(P:P,A:A,A87)&gt;0,ABS((SUMIFS(P:P,A:A,A87)/VLOOKUP("USD",'Exchange Rates'!B:C,2,0)))/S87,"."),".")</f>
        <v>.</v>
      </c>
      <c r="AZ87" s="182" t="str">
        <f>IF(AND(AD87=1,D87="Military",H87&lt;&gt;"Not given")=TRUE,IF(SUMIFS(P:P,A:A,A87)&gt;0,IF((ABS((SUMIFS(P:P,A:A,A87)/VLOOKUP("USD",'Exchange Rates'!B:C,2,0)))/S87)&gt;1,(SUMIFS(P:P,A:A,A87)-S87)/S87,(S87-SUMIFS(P:P,A:A,A87))/SUMIFS(P:P,A:A,A87)),"."),".")</f>
        <v>.</v>
      </c>
    </row>
    <row r="88" spans="1:52" ht="15.9" customHeight="1" x14ac:dyDescent="0.3">
      <c r="A88" s="5" t="s">
        <v>493</v>
      </c>
      <c r="B88" s="5" t="s">
        <v>480</v>
      </c>
      <c r="C88" s="174" t="s">
        <v>501</v>
      </c>
      <c r="D88" s="5" t="s">
        <v>285</v>
      </c>
      <c r="E88" s="5" t="s">
        <v>294</v>
      </c>
      <c r="F88" s="175" t="s">
        <v>494</v>
      </c>
      <c r="G88" s="15" t="s">
        <v>495</v>
      </c>
      <c r="H88" s="176">
        <v>448000000</v>
      </c>
      <c r="I88" s="185" t="s">
        <v>504</v>
      </c>
      <c r="J88" s="113" t="str">
        <f>VLOOKUP($I88,'Price List, Weapons &amp; Items'!B:C,2,0)</f>
        <v>Humanitarian</v>
      </c>
      <c r="K88" s="113" t="str">
        <f>IF(I88=".",I88,VLOOKUP($I88,'Price List, Weapons &amp; Items'!B:D,3,0))</f>
        <v>Humanitarian</v>
      </c>
      <c r="L88" s="177">
        <f>VLOOKUP(I88,'Price List, Weapons &amp; Items'!B:E,4,0)</f>
        <v>0</v>
      </c>
      <c r="M88" s="542">
        <v>5000</v>
      </c>
      <c r="N88" s="542">
        <v>5000</v>
      </c>
      <c r="O88" s="543" t="str">
        <f>VLOOKUP($I88,'Price List, Weapons &amp; Items'!B:G,6,0)</f>
        <v>.</v>
      </c>
      <c r="P88" s="176" t="str">
        <f t="shared" si="18"/>
        <v>No price</v>
      </c>
      <c r="Q88" s="176" t="str">
        <f t="shared" si="19"/>
        <v>No price</v>
      </c>
      <c r="R88" s="176" t="str">
        <f t="shared" si="16"/>
        <v/>
      </c>
      <c r="S88" s="176" t="str">
        <f>IF(AND(AD88=1,R88&lt;&gt;".")=TRUE,R88/VLOOKUP(G88,'Exchange Rates'!B:C,2,0),IF(R88=".",".",""))</f>
        <v/>
      </c>
      <c r="T88" s="176" t="str">
        <f>IF(AD88=1,IF(AF88="Value is not given at all",".",IF(AF88="Value is given by the source",S88,IF(AF88="Value is calculated with prices",(IF(SUMIFS(Q:Q,A:A,A88)&gt;0,SUMIFS(Q:Q,A:A,A88),"."))/VLOOKUP("USD",'Exchange Rates'!B:C,2,0),"Error with coding"))),"")</f>
        <v/>
      </c>
      <c r="U88" s="177" t="s">
        <v>261</v>
      </c>
      <c r="V88" s="561" t="s">
        <v>505</v>
      </c>
      <c r="W88" s="561" t="s">
        <v>497</v>
      </c>
      <c r="X88" s="683" t="s">
        <v>260</v>
      </c>
      <c r="Y88" s="683" t="s">
        <v>260</v>
      </c>
      <c r="Z88" s="216">
        <v>0</v>
      </c>
      <c r="AA88" s="216">
        <v>1</v>
      </c>
      <c r="AB88" s="561" t="s">
        <v>505</v>
      </c>
      <c r="AC88" s="544"/>
      <c r="AD88" s="181">
        <v>0</v>
      </c>
      <c r="AE88" s="181" t="s">
        <v>264</v>
      </c>
      <c r="AF88" s="181" t="s">
        <v>264</v>
      </c>
      <c r="AG88" s="181">
        <v>0</v>
      </c>
      <c r="AH88" s="181">
        <v>0</v>
      </c>
      <c r="AI88" s="181">
        <v>0</v>
      </c>
      <c r="AJ88" s="181">
        <f>VLOOKUP($I88,'Price List, Weapons &amp; Items'!B:F,5,0)</f>
        <v>0</v>
      </c>
      <c r="AK88" s="181">
        <f t="shared" si="20"/>
        <v>0</v>
      </c>
      <c r="AL88" s="181">
        <f t="shared" si="21"/>
        <v>0</v>
      </c>
      <c r="AM88" s="181">
        <f t="shared" si="22"/>
        <v>0</v>
      </c>
      <c r="AN88" s="180" t="str">
        <f>VLOOKUP($I88,'Price List, Weapons &amp; Items'!B:L,COLUMN('Price List, Weapons &amp; Items'!$J$11)-1,0)</f>
        <v>.</v>
      </c>
      <c r="AO88" s="180" t="str">
        <f>IF(I88=".",".",VLOOKUP($I88,'Price List, Weapons &amp; Items'!B:J,3,0))</f>
        <v>Humanitarian</v>
      </c>
      <c r="AP88" s="545" t="str">
        <f t="shared" ca="1" si="23"/>
        <v/>
      </c>
      <c r="AQ88" s="180">
        <f>VLOOKUP($I88,'Price List, Weapons &amp; Items'!B:L,COLUMN('Price List, Weapons &amp; Items'!$L$11)-1,0)</f>
        <v>0</v>
      </c>
      <c r="AR88" s="180">
        <f t="shared" si="24"/>
        <v>1</v>
      </c>
      <c r="AS88" s="180">
        <f t="shared" si="25"/>
        <v>1</v>
      </c>
      <c r="AT88" s="180" t="str">
        <f t="shared" si="17"/>
        <v>Value is not in date format</v>
      </c>
      <c r="AU88" s="180" t="str">
        <f t="shared" si="26"/>
        <v>.</v>
      </c>
      <c r="AV88" s="180" t="str">
        <f t="shared" si="27"/>
        <v>.</v>
      </c>
      <c r="AW88" s="180">
        <f>IFERROR(VLOOKUP(B88,'Share, Heavy Weapons to Ukraine'!B:J,COLUMN('Share, Heavy Weapons to Ukraine'!C96)-1,0),0)</f>
        <v>0</v>
      </c>
      <c r="AX88" s="180">
        <f>VLOOKUP('Bilateral Assistance, MAIN DATA'!B88,'Country Summary'!B:F,COLUMN('Country Summary'!C99)-1,FALSE)</f>
        <v>1</v>
      </c>
      <c r="AY88" s="180" t="str">
        <f>IF(AND(AD88=1,D88="Military",H88&lt;&gt;"Not given")=TRUE,IF(SUMIFS(P:P,A:A,A88)&gt;0,ABS((SUMIFS(P:P,A:A,A88)/VLOOKUP("USD",'Exchange Rates'!B:C,2,0)))/S88,"."),".")</f>
        <v>.</v>
      </c>
      <c r="AZ88" s="182" t="str">
        <f>IF(AND(AD88=1,D88="Military",H88&lt;&gt;"Not given")=TRUE,IF(SUMIFS(P:P,A:A,A88)&gt;0,IF((ABS((SUMIFS(P:P,A:A,A88)/VLOOKUP("USD",'Exchange Rates'!B:C,2,0)))/S88)&gt;1,(SUMIFS(P:P,A:A,A88)-S88)/S88,(S88-SUMIFS(P:P,A:A,A88))/SUMIFS(P:P,A:A,A88)),"."),".")</f>
        <v>.</v>
      </c>
    </row>
    <row r="89" spans="1:52" ht="15.9" customHeight="1" x14ac:dyDescent="0.3">
      <c r="A89" s="17" t="s">
        <v>506</v>
      </c>
      <c r="B89" s="17" t="s">
        <v>480</v>
      </c>
      <c r="C89" s="174">
        <v>44685</v>
      </c>
      <c r="D89" s="5" t="s">
        <v>285</v>
      </c>
      <c r="E89" s="5" t="s">
        <v>257</v>
      </c>
      <c r="F89" s="175" t="s">
        <v>507</v>
      </c>
      <c r="G89" s="15" t="s">
        <v>260</v>
      </c>
      <c r="H89" s="176" t="s">
        <v>341</v>
      </c>
      <c r="I89" s="17" t="s">
        <v>260</v>
      </c>
      <c r="J89" s="113" t="str">
        <f>VLOOKUP($I89,'Price List, Weapons &amp; Items'!B:C,2,0)</f>
        <v>.</v>
      </c>
      <c r="K89" s="113" t="str">
        <f>IF(I89=".",I89,VLOOKUP($I89,'Price List, Weapons &amp; Items'!B:D,3,0))</f>
        <v>.</v>
      </c>
      <c r="L89" s="177">
        <f>VLOOKUP(I89,'Price List, Weapons &amp; Items'!B:E,4,0)</f>
        <v>0</v>
      </c>
      <c r="M89" s="542" t="s">
        <v>260</v>
      </c>
      <c r="N89" s="542" t="s">
        <v>260</v>
      </c>
      <c r="O89" s="543" t="str">
        <f>VLOOKUP($I89,'Price List, Weapons &amp; Items'!B:G,6,0)</f>
        <v>.</v>
      </c>
      <c r="P89" s="176" t="str">
        <f t="shared" si="18"/>
        <v>.</v>
      </c>
      <c r="Q89" s="176" t="str">
        <f t="shared" si="19"/>
        <v>.</v>
      </c>
      <c r="R89" s="176" t="str">
        <f t="shared" si="16"/>
        <v>.</v>
      </c>
      <c r="S89" s="176" t="str">
        <f>IF(AND(AD89=1,R89&lt;&gt;".")=TRUE,R89/VLOOKUP(G89,'Exchange Rates'!B:C,2,0),IF(R89=".",".",""))</f>
        <v>.</v>
      </c>
      <c r="T89" s="176" t="str">
        <f>IF(AD89=1,IF(AF89="Value is not given at all",".",IF(AF89="Value is given by the source",S89,IF(AF89="Value is calculated with prices",(IF(SUMIFS(Q:Q,A:A,A89)&gt;0,SUMIFS(Q:Q,A:A,A89),"."))/VLOOKUP("USD",'Exchange Rates'!B:C,2,0),"Error with coding"))),"")</f>
        <v>.</v>
      </c>
      <c r="U89" s="177" t="s">
        <v>415</v>
      </c>
      <c r="V89" s="556" t="s">
        <v>508</v>
      </c>
      <c r="W89" s="556" t="s">
        <v>509</v>
      </c>
      <c r="X89" s="218" t="s">
        <v>260</v>
      </c>
      <c r="Y89" s="218" t="s">
        <v>260</v>
      </c>
      <c r="Z89" s="216">
        <v>0</v>
      </c>
      <c r="AA89" s="180">
        <v>0</v>
      </c>
      <c r="AB89" s="690" t="s">
        <v>260</v>
      </c>
      <c r="AC89" s="544" t="str">
        <f>""</f>
        <v/>
      </c>
      <c r="AD89" s="181">
        <v>1</v>
      </c>
      <c r="AE89" s="181" t="s">
        <v>265</v>
      </c>
      <c r="AF89" s="181" t="s">
        <v>265</v>
      </c>
      <c r="AG89" s="181">
        <v>1</v>
      </c>
      <c r="AH89" s="181">
        <v>5</v>
      </c>
      <c r="AI89" s="181">
        <v>0</v>
      </c>
      <c r="AJ89" s="181">
        <f>VLOOKUP($I89,'Price List, Weapons &amp; Items'!B:F,5,0)</f>
        <v>0</v>
      </c>
      <c r="AK89" s="181">
        <f t="shared" si="20"/>
        <v>0</v>
      </c>
      <c r="AL89" s="181">
        <f t="shared" si="21"/>
        <v>0</v>
      </c>
      <c r="AM89" s="181">
        <f t="shared" si="22"/>
        <v>0</v>
      </c>
      <c r="AN89" s="180" t="str">
        <f>VLOOKUP($I89,'Price List, Weapons &amp; Items'!B:L,COLUMN('Price List, Weapons &amp; Items'!$J$11)-1,0)</f>
        <v>.</v>
      </c>
      <c r="AO89" s="180" t="str">
        <f>IF(I89=".",".",VLOOKUP($I89,'Price List, Weapons &amp; Items'!B:J,3,0))</f>
        <v>.</v>
      </c>
      <c r="AP89" s="545" t="e">
        <f t="shared" ca="1" si="23"/>
        <v>#NAME?</v>
      </c>
      <c r="AQ89" s="180" t="str">
        <f>VLOOKUP($I89,'Price List, Weapons &amp; Items'!B:L,COLUMN('Price List, Weapons &amp; Items'!$L$11)-1,0)</f>
        <v>no price, 0 count</v>
      </c>
      <c r="AR89" s="180">
        <f t="shared" si="24"/>
        <v>0</v>
      </c>
      <c r="AS89" s="180">
        <f t="shared" si="25"/>
        <v>0</v>
      </c>
      <c r="AT89" s="180">
        <f t="shared" si="17"/>
        <v>1</v>
      </c>
      <c r="AU89" s="180" t="str">
        <f t="shared" si="26"/>
        <v>.</v>
      </c>
      <c r="AV89" s="180" t="str">
        <f t="shared" si="27"/>
        <v>.</v>
      </c>
      <c r="AW89" s="180">
        <f>IFERROR(VLOOKUP(B89,'Share, Heavy Weapons to Ukraine'!B:J,COLUMN('Share, Heavy Weapons to Ukraine'!C97)-1,0),0)</f>
        <v>0</v>
      </c>
      <c r="AX89" s="180">
        <f>VLOOKUP('Bilateral Assistance, MAIN DATA'!B89,'Country Summary'!B:F,COLUMN('Country Summary'!C100)-1,FALSE)</f>
        <v>1</v>
      </c>
      <c r="AY89" s="180" t="str">
        <f>IF(AND(AD89=1,D89="Military",H89&lt;&gt;"Not given")=TRUE,IF(SUMIFS(P:P,A:A,A89)&gt;0,ABS((SUMIFS(P:P,A:A,A89)/VLOOKUP("USD",'Exchange Rates'!B:C,2,0)))/S89,"."),".")</f>
        <v>.</v>
      </c>
      <c r="AZ89" s="182" t="str">
        <f>IF(AND(AD89=1,D89="Military",H89&lt;&gt;"Not given")=TRUE,IF(SUMIFS(P:P,A:A,A89)&gt;0,IF((ABS((SUMIFS(P:P,A:A,A89)/VLOOKUP("USD",'Exchange Rates'!B:C,2,0)))/S89)&gt;1,(SUMIFS(P:P,A:A,A89)-S89)/S89,(S89-SUMIFS(P:P,A:A,A89))/SUMIFS(P:P,A:A,A89)),"."),".")</f>
        <v>.</v>
      </c>
    </row>
    <row r="90" spans="1:52" ht="15.9" customHeight="1" x14ac:dyDescent="0.3">
      <c r="A90" s="17" t="s">
        <v>510</v>
      </c>
      <c r="B90" s="17" t="s">
        <v>480</v>
      </c>
      <c r="C90" s="174">
        <v>44904</v>
      </c>
      <c r="D90" s="5" t="s">
        <v>285</v>
      </c>
      <c r="E90" s="5" t="s">
        <v>339</v>
      </c>
      <c r="F90" s="175" t="s">
        <v>511</v>
      </c>
      <c r="G90" s="15" t="s">
        <v>495</v>
      </c>
      <c r="H90" s="176">
        <v>20000000</v>
      </c>
      <c r="I90" s="17" t="s">
        <v>260</v>
      </c>
      <c r="J90" s="113" t="str">
        <f>VLOOKUP($I90,'Price List, Weapons &amp; Items'!B:C,2,0)</f>
        <v>.</v>
      </c>
      <c r="K90" s="113" t="str">
        <f>IF(I90=".",I90,VLOOKUP($I90,'Price List, Weapons &amp; Items'!B:D,3,0))</f>
        <v>.</v>
      </c>
      <c r="L90" s="177">
        <f>VLOOKUP(I90,'Price List, Weapons &amp; Items'!B:E,4,0)</f>
        <v>0</v>
      </c>
      <c r="M90" s="542" t="s">
        <v>260</v>
      </c>
      <c r="N90" s="542" t="s">
        <v>260</v>
      </c>
      <c r="O90" s="543" t="str">
        <f>VLOOKUP($I90,'Price List, Weapons &amp; Items'!B:G,6,0)</f>
        <v>.</v>
      </c>
      <c r="P90" s="176" t="str">
        <f t="shared" si="18"/>
        <v>.</v>
      </c>
      <c r="Q90" s="176" t="str">
        <f t="shared" si="19"/>
        <v>.</v>
      </c>
      <c r="R90" s="176">
        <f t="shared" si="16"/>
        <v>20000000</v>
      </c>
      <c r="S90" s="176">
        <f>IF(AND(AD90=1,R90&lt;&gt;".")=TRUE,R90/VLOOKUP(G90,'Exchange Rates'!B:C,2,0),IF(R90=".",".",""))</f>
        <v>10225994.477962982</v>
      </c>
      <c r="T90" s="176" t="str">
        <f>IF(AD90=1,IF(AF90="Value is not given at all",".",IF(AF90="Value is given by the source",S90,IF(AF90="Value is calculated with prices",(IF(SUMIFS(Q:Q,A:A,A90)&gt;0,SUMIFS(Q:Q,A:A,A90),"."))/VLOOKUP("USD",'Exchange Rates'!B:C,2,0),"Error with coding"))),"")</f>
        <v>.</v>
      </c>
      <c r="U90" s="177" t="s">
        <v>415</v>
      </c>
      <c r="V90" s="661" t="s">
        <v>512</v>
      </c>
      <c r="W90" s="662" t="s">
        <v>513</v>
      </c>
      <c r="X90" s="661" t="s">
        <v>514</v>
      </c>
      <c r="Y90" s="582" t="s">
        <v>515</v>
      </c>
      <c r="Z90" s="216">
        <v>0</v>
      </c>
      <c r="AA90" s="180">
        <v>1</v>
      </c>
      <c r="AB90" s="691" t="s">
        <v>260</v>
      </c>
      <c r="AC90" s="544" t="str">
        <f>""</f>
        <v/>
      </c>
      <c r="AD90" s="181">
        <v>1</v>
      </c>
      <c r="AE90" s="181" t="s">
        <v>264</v>
      </c>
      <c r="AF90" s="181" t="s">
        <v>265</v>
      </c>
      <c r="AG90" s="181">
        <v>1</v>
      </c>
      <c r="AH90" s="181">
        <v>12</v>
      </c>
      <c r="AI90" s="181">
        <v>0</v>
      </c>
      <c r="AJ90" s="181">
        <f>VLOOKUP($I90,'Price List, Weapons &amp; Items'!B:F,5,0)</f>
        <v>0</v>
      </c>
      <c r="AK90" s="181">
        <f t="shared" si="20"/>
        <v>0</v>
      </c>
      <c r="AL90" s="181">
        <f t="shared" si="21"/>
        <v>0</v>
      </c>
      <c r="AM90" s="181">
        <f t="shared" si="22"/>
        <v>0</v>
      </c>
      <c r="AN90" s="180" t="str">
        <f>VLOOKUP($I90,'Price List, Weapons &amp; Items'!B:L,COLUMN('Price List, Weapons &amp; Items'!$J$11)-1,0)</f>
        <v>.</v>
      </c>
      <c r="AO90" s="180" t="str">
        <f>IF(I90=".",".",VLOOKUP($I90,'Price List, Weapons &amp; Items'!B:J,3,0))</f>
        <v>.</v>
      </c>
      <c r="AP90" s="545" t="e">
        <f t="shared" ca="1" si="23"/>
        <v>#NAME?</v>
      </c>
      <c r="AQ90" s="180" t="str">
        <f>VLOOKUP($I90,'Price List, Weapons &amp; Items'!B:L,COLUMN('Price List, Weapons &amp; Items'!$L$11)-1,0)</f>
        <v>no price, 0 count</v>
      </c>
      <c r="AR90" s="180">
        <f t="shared" si="24"/>
        <v>0</v>
      </c>
      <c r="AS90" s="180">
        <f t="shared" si="25"/>
        <v>1</v>
      </c>
      <c r="AT90" s="180">
        <f t="shared" si="17"/>
        <v>1</v>
      </c>
      <c r="AU90" s="180" t="str">
        <f t="shared" si="26"/>
        <v>.</v>
      </c>
      <c r="AV90" s="180" t="str">
        <f t="shared" si="27"/>
        <v>.</v>
      </c>
      <c r="AW90" s="180">
        <f>IFERROR(VLOOKUP(B90,'Share, Heavy Weapons to Ukraine'!B:J,COLUMN('Share, Heavy Weapons to Ukraine'!C98)-1,0),0)</f>
        <v>0</v>
      </c>
      <c r="AX90" s="180">
        <f>VLOOKUP('Bilateral Assistance, MAIN DATA'!B90,'Country Summary'!B:F,COLUMN('Country Summary'!C101)-1,FALSE)</f>
        <v>1</v>
      </c>
      <c r="AY90" s="180" t="str">
        <f>IF(AND(AD90=1,D90="Military",H90&lt;&gt;"Not given")=TRUE,IF(SUMIFS(P:P,A:A,A90)&gt;0,ABS((SUMIFS(P:P,A:A,A90)/VLOOKUP("USD",'Exchange Rates'!B:C,2,0)))/S90,"."),".")</f>
        <v>.</v>
      </c>
      <c r="AZ90" s="182" t="str">
        <f>IF(AND(AD90=1,D90="Military",H90&lt;&gt;"Not given")=TRUE,IF(SUMIFS(P:P,A:A,A90)&gt;0,IF((ABS((SUMIFS(P:P,A:A,A90)/VLOOKUP("USD",'Exchange Rates'!B:C,2,0)))/S90)&gt;1,(SUMIFS(P:P,A:A,A90)-S90)/S90,(S90-SUMIFS(P:P,A:A,A90))/SUMIFS(P:P,A:A,A90)),"."),".")</f>
        <v>.</v>
      </c>
    </row>
    <row r="91" spans="1:52" s="520" customFormat="1" ht="15.9" customHeight="1" x14ac:dyDescent="0.3">
      <c r="A91" s="17" t="s">
        <v>516</v>
      </c>
      <c r="B91" s="17" t="s">
        <v>517</v>
      </c>
      <c r="C91" s="174">
        <v>44606</v>
      </c>
      <c r="D91" s="5" t="s">
        <v>405</v>
      </c>
      <c r="E91" s="5" t="s">
        <v>518</v>
      </c>
      <c r="F91" s="175" t="s">
        <v>519</v>
      </c>
      <c r="G91" s="15" t="s">
        <v>520</v>
      </c>
      <c r="H91" s="176">
        <v>500000000</v>
      </c>
      <c r="I91" s="17" t="s">
        <v>260</v>
      </c>
      <c r="J91" s="113" t="str">
        <f>VLOOKUP($I91,'Price List, Weapons &amp; Items'!B:C,2,0)</f>
        <v>.</v>
      </c>
      <c r="K91" s="113" t="str">
        <f>IF(I91=".",I91,VLOOKUP($I91,'Price List, Weapons &amp; Items'!B:D,3,0))</f>
        <v>.</v>
      </c>
      <c r="L91" s="177">
        <f>VLOOKUP(I91,'Price List, Weapons &amp; Items'!B:E,4,0)</f>
        <v>0</v>
      </c>
      <c r="M91" s="542" t="s">
        <v>260</v>
      </c>
      <c r="N91" s="542" t="s">
        <v>260</v>
      </c>
      <c r="O91" s="543" t="str">
        <f>VLOOKUP($I91,'Price List, Weapons &amp; Items'!B:G,6,0)</f>
        <v>.</v>
      </c>
      <c r="P91" s="176" t="str">
        <f t="shared" si="18"/>
        <v>.</v>
      </c>
      <c r="Q91" s="176" t="str">
        <f t="shared" si="19"/>
        <v>.</v>
      </c>
      <c r="R91" s="176">
        <f t="shared" si="16"/>
        <v>500000000</v>
      </c>
      <c r="S91" s="176">
        <f>IF(AND(AD91=1,R91&lt;&gt;".")=TRUE,R91/VLOOKUP(G91,'Exchange Rates'!B:C,2,0),IF(R91=".",".",""))</f>
        <v>349674802.43373662</v>
      </c>
      <c r="T91" s="176" t="str">
        <f>IF(AD91=1,IF(AF91="Value is not given at all",".",IF(AF91="Value is given by the source",S91,IF(AF91="Value is calculated with prices",(IF(SUMIFS(Q:Q,A:A,A91)&gt;0,SUMIFS(Q:Q,A:A,A91),"."))/VLOOKUP("USD",'Exchange Rates'!B:C,2,0),"Error with coding"))),"")</f>
        <v>.</v>
      </c>
      <c r="U91" s="15" t="s">
        <v>261</v>
      </c>
      <c r="V91" s="300" t="s">
        <v>521</v>
      </c>
      <c r="W91" s="300" t="s">
        <v>522</v>
      </c>
      <c r="X91" s="175" t="s">
        <v>260</v>
      </c>
      <c r="Y91" s="175" t="s">
        <v>260</v>
      </c>
      <c r="Z91" s="15">
        <v>0</v>
      </c>
      <c r="AA91" s="180">
        <v>0</v>
      </c>
      <c r="AB91" s="184" t="s">
        <v>260</v>
      </c>
      <c r="AC91" s="544" t="str">
        <f>""</f>
        <v/>
      </c>
      <c r="AD91" s="181">
        <v>1</v>
      </c>
      <c r="AE91" s="181" t="s">
        <v>264</v>
      </c>
      <c r="AF91" s="181" t="s">
        <v>265</v>
      </c>
      <c r="AG91" s="181">
        <v>1</v>
      </c>
      <c r="AH91" s="181">
        <v>2</v>
      </c>
      <c r="AI91" s="181">
        <v>1</v>
      </c>
      <c r="AJ91" s="181">
        <f>VLOOKUP($I91,'Price List, Weapons &amp; Items'!B:F,5,0)</f>
        <v>0</v>
      </c>
      <c r="AK91" s="181">
        <f t="shared" si="20"/>
        <v>0</v>
      </c>
      <c r="AL91" s="181">
        <f t="shared" si="21"/>
        <v>0</v>
      </c>
      <c r="AM91" s="181">
        <f t="shared" si="22"/>
        <v>0</v>
      </c>
      <c r="AN91" s="180" t="str">
        <f>VLOOKUP($I91,'Price List, Weapons &amp; Items'!B:L,COLUMN('Price List, Weapons &amp; Items'!$J$11)-1,0)</f>
        <v>.</v>
      </c>
      <c r="AO91" s="180" t="str">
        <f>IF(I91=".",".",VLOOKUP($I91,'Price List, Weapons &amp; Items'!B:J,3,0))</f>
        <v>.</v>
      </c>
      <c r="AP91" s="545" t="e">
        <f t="shared" ca="1" si="23"/>
        <v>#NAME?</v>
      </c>
      <c r="AQ91" s="180" t="str">
        <f>VLOOKUP($I91,'Price List, Weapons &amp; Items'!B:L,COLUMN('Price List, Weapons &amp; Items'!$L$11)-1,0)</f>
        <v>no price, 0 count</v>
      </c>
      <c r="AR91" s="180">
        <f t="shared" si="24"/>
        <v>1</v>
      </c>
      <c r="AS91" s="180">
        <f t="shared" si="25"/>
        <v>0</v>
      </c>
      <c r="AT91" s="180">
        <f t="shared" si="17"/>
        <v>1</v>
      </c>
      <c r="AU91" s="180" t="str">
        <f t="shared" si="26"/>
        <v>.</v>
      </c>
      <c r="AV91" s="180" t="str">
        <f t="shared" si="27"/>
        <v>.</v>
      </c>
      <c r="AW91" s="180">
        <f>IFERROR(VLOOKUP(B91,'Share, Heavy Weapons to Ukraine'!B:J,COLUMN('Share, Heavy Weapons to Ukraine'!C99)-1,0),0)</f>
        <v>1</v>
      </c>
      <c r="AX91" s="180">
        <f>VLOOKUP('Bilateral Assistance, MAIN DATA'!B91,'Country Summary'!B:F,COLUMN('Country Summary'!C102)-1,FALSE)</f>
        <v>0</v>
      </c>
      <c r="AY91" s="180" t="str">
        <f>IF(AND(AD91=1,D91="Military",H91&lt;&gt;"Not given")=TRUE,IF(SUMIFS(P:P,A:A,A91)&gt;0,ABS((SUMIFS(P:P,A:A,A91)/VLOOKUP("USD",'Exchange Rates'!B:C,2,0)))/S91,"."),".")</f>
        <v>.</v>
      </c>
      <c r="AZ91" s="182" t="str">
        <f>IF(AND(AD91=1,D91="Military",H91&lt;&gt;"Not given")=TRUE,IF(SUMIFS(P:P,A:A,A91)&gt;0,IF((ABS((SUMIFS(P:P,A:A,A91)/VLOOKUP("USD",'Exchange Rates'!B:C,2,0)))/S91)&gt;1,(SUMIFS(P:P,A:A,A91)-S91)/S91,(S91-SUMIFS(P:P,A:A,A91))/SUMIFS(P:P,A:A,A91)),"."),".")</f>
        <v>.</v>
      </c>
    </row>
    <row r="92" spans="1:52" s="520" customFormat="1" ht="15.9" customHeight="1" x14ac:dyDescent="0.3">
      <c r="A92" s="17" t="s">
        <v>523</v>
      </c>
      <c r="B92" s="17" t="s">
        <v>517</v>
      </c>
      <c r="C92" s="174">
        <v>44658</v>
      </c>
      <c r="D92" s="5" t="s">
        <v>405</v>
      </c>
      <c r="E92" s="5" t="s">
        <v>518</v>
      </c>
      <c r="F92" s="175" t="s">
        <v>524</v>
      </c>
      <c r="G92" s="15" t="s">
        <v>520</v>
      </c>
      <c r="H92" s="176">
        <v>1000000000</v>
      </c>
      <c r="I92" s="17" t="s">
        <v>260</v>
      </c>
      <c r="J92" s="113" t="str">
        <f>VLOOKUP($I92,'Price List, Weapons &amp; Items'!B:C,2,0)</f>
        <v>.</v>
      </c>
      <c r="K92" s="113" t="str">
        <f>IF(I92=".",I92,VLOOKUP($I92,'Price List, Weapons &amp; Items'!B:D,3,0))</f>
        <v>.</v>
      </c>
      <c r="L92" s="177">
        <f>VLOOKUP(I92,'Price List, Weapons &amp; Items'!B:E,4,0)</f>
        <v>0</v>
      </c>
      <c r="M92" s="542" t="s">
        <v>260</v>
      </c>
      <c r="N92" s="542" t="s">
        <v>260</v>
      </c>
      <c r="O92" s="543" t="str">
        <f>VLOOKUP($I92,'Price List, Weapons &amp; Items'!B:G,6,0)</f>
        <v>.</v>
      </c>
      <c r="P92" s="176" t="str">
        <f t="shared" si="18"/>
        <v>.</v>
      </c>
      <c r="Q92" s="176" t="str">
        <f t="shared" si="19"/>
        <v>.</v>
      </c>
      <c r="R92" s="176">
        <f t="shared" si="16"/>
        <v>1000000000</v>
      </c>
      <c r="S92" s="176">
        <f>IF(AND(AD92=1,R92&lt;&gt;".")=TRUE,R92/VLOOKUP(G92,'Exchange Rates'!B:C,2,0),IF(R92=".",".",""))</f>
        <v>699349604.86747324</v>
      </c>
      <c r="T92" s="176" t="str">
        <f>IF(AD92=1,IF(AF92="Value is not given at all",".",IF(AF92="Value is given by the source",S92,IF(AF92="Value is calculated with prices",(IF(SUMIFS(Q:Q,A:A,A92)&gt;0,SUMIFS(Q:Q,A:A,A92),"."))/VLOOKUP("USD",'Exchange Rates'!B:C,2,0),"Error with coding"))),"")</f>
        <v>.</v>
      </c>
      <c r="U92" s="15" t="s">
        <v>415</v>
      </c>
      <c r="V92" s="300" t="s">
        <v>525</v>
      </c>
      <c r="W92" s="300" t="s">
        <v>526</v>
      </c>
      <c r="X92" s="300" t="s">
        <v>527</v>
      </c>
      <c r="Y92" s="300" t="s">
        <v>528</v>
      </c>
      <c r="Z92" s="15">
        <v>1</v>
      </c>
      <c r="AA92" s="180">
        <v>0</v>
      </c>
      <c r="AB92" s="184" t="s">
        <v>260</v>
      </c>
      <c r="AC92" s="544" t="str">
        <f>""</f>
        <v/>
      </c>
      <c r="AD92" s="181">
        <v>1</v>
      </c>
      <c r="AE92" s="181" t="s">
        <v>264</v>
      </c>
      <c r="AF92" s="181" t="s">
        <v>265</v>
      </c>
      <c r="AG92" s="181">
        <v>1</v>
      </c>
      <c r="AH92" s="181">
        <v>4</v>
      </c>
      <c r="AI92" s="181">
        <v>0</v>
      </c>
      <c r="AJ92" s="181">
        <f>VLOOKUP($I92,'Price List, Weapons &amp; Items'!B:F,5,0)</f>
        <v>0</v>
      </c>
      <c r="AK92" s="181">
        <f t="shared" si="20"/>
        <v>0</v>
      </c>
      <c r="AL92" s="181">
        <f t="shared" si="21"/>
        <v>0</v>
      </c>
      <c r="AM92" s="181">
        <f t="shared" si="22"/>
        <v>0</v>
      </c>
      <c r="AN92" s="180" t="str">
        <f>VLOOKUP($I92,'Price List, Weapons &amp; Items'!B:L,COLUMN('Price List, Weapons &amp; Items'!$J$11)-1,0)</f>
        <v>.</v>
      </c>
      <c r="AO92" s="180" t="str">
        <f>IF(I92=".",".",VLOOKUP($I92,'Price List, Weapons &amp; Items'!B:J,3,0))</f>
        <v>.</v>
      </c>
      <c r="AP92" s="545" t="e">
        <f t="shared" ca="1" si="23"/>
        <v>#NAME?</v>
      </c>
      <c r="AQ92" s="180" t="str">
        <f>VLOOKUP($I92,'Price List, Weapons &amp; Items'!B:L,COLUMN('Price List, Weapons &amp; Items'!$L$11)-1,0)</f>
        <v>no price, 0 count</v>
      </c>
      <c r="AR92" s="180">
        <f t="shared" si="24"/>
        <v>0</v>
      </c>
      <c r="AS92" s="180">
        <f t="shared" si="25"/>
        <v>0</v>
      </c>
      <c r="AT92" s="180">
        <f t="shared" si="17"/>
        <v>1</v>
      </c>
      <c r="AU92" s="180" t="str">
        <f t="shared" si="26"/>
        <v>.</v>
      </c>
      <c r="AV92" s="180" t="str">
        <f t="shared" si="27"/>
        <v>.</v>
      </c>
      <c r="AW92" s="180">
        <f>IFERROR(VLOOKUP(B92,'Share, Heavy Weapons to Ukraine'!B:J,COLUMN('Share, Heavy Weapons to Ukraine'!C100)-1,0),0)</f>
        <v>1</v>
      </c>
      <c r="AX92" s="180">
        <f>VLOOKUP('Bilateral Assistance, MAIN DATA'!B92,'Country Summary'!B:F,COLUMN('Country Summary'!C103)-1,FALSE)</f>
        <v>0</v>
      </c>
      <c r="AY92" s="180" t="str">
        <f>IF(AND(AD92=1,D92="Military",H92&lt;&gt;"Not given")=TRUE,IF(SUMIFS(P:P,A:A,A92)&gt;0,ABS((SUMIFS(P:P,A:A,A92)/VLOOKUP("USD",'Exchange Rates'!B:C,2,0)))/S92,"."),".")</f>
        <v>.</v>
      </c>
      <c r="AZ92" s="182" t="str">
        <f>IF(AND(AD92=1,D92="Military",H92&lt;&gt;"Not given")=TRUE,IF(SUMIFS(P:P,A:A,A92)&gt;0,IF((ABS((SUMIFS(P:P,A:A,A92)/VLOOKUP("USD",'Exchange Rates'!B:C,2,0)))/S92)&gt;1,(SUMIFS(P:P,A:A,A92)-S92)/S92,(S92-SUMIFS(P:P,A:A,A92))/SUMIFS(P:P,A:A,A92)),"."),".")</f>
        <v>.</v>
      </c>
    </row>
    <row r="93" spans="1:52" s="520" customFormat="1" ht="15.9" customHeight="1" x14ac:dyDescent="0.3">
      <c r="A93" s="17" t="s">
        <v>529</v>
      </c>
      <c r="B93" s="17" t="s">
        <v>517</v>
      </c>
      <c r="C93" s="174">
        <v>44701</v>
      </c>
      <c r="D93" s="5" t="s">
        <v>405</v>
      </c>
      <c r="E93" s="5" t="s">
        <v>518</v>
      </c>
      <c r="F93" s="175" t="s">
        <v>530</v>
      </c>
      <c r="G93" s="15" t="s">
        <v>520</v>
      </c>
      <c r="H93" s="176">
        <v>250000000</v>
      </c>
      <c r="I93" s="17" t="s">
        <v>260</v>
      </c>
      <c r="J93" s="113" t="str">
        <f>VLOOKUP($I93,'Price List, Weapons &amp; Items'!B:C,2,0)</f>
        <v>.</v>
      </c>
      <c r="K93" s="113" t="str">
        <f>IF(I93=".",I93,VLOOKUP($I93,'Price List, Weapons &amp; Items'!B:D,3,0))</f>
        <v>.</v>
      </c>
      <c r="L93" s="177">
        <f>VLOOKUP(I93,'Price List, Weapons &amp; Items'!B:E,4,0)</f>
        <v>0</v>
      </c>
      <c r="M93" s="542" t="s">
        <v>260</v>
      </c>
      <c r="N93" s="542" t="s">
        <v>260</v>
      </c>
      <c r="O93" s="543" t="str">
        <f>VLOOKUP($I93,'Price List, Weapons &amp; Items'!B:G,6,0)</f>
        <v>.</v>
      </c>
      <c r="P93" s="176" t="str">
        <f t="shared" si="18"/>
        <v>.</v>
      </c>
      <c r="Q93" s="176" t="str">
        <f t="shared" si="19"/>
        <v>.</v>
      </c>
      <c r="R93" s="176">
        <f t="shared" si="16"/>
        <v>250000000</v>
      </c>
      <c r="S93" s="176">
        <f>IF(AND(AD93=1,R93&lt;&gt;".")=TRUE,R93/VLOOKUP(G93,'Exchange Rates'!B:C,2,0),IF(R93=".",".",""))</f>
        <v>174837401.21686831</v>
      </c>
      <c r="T93" s="176" t="str">
        <f>IF(AD93=1,IF(AF93="Value is not given at all",".",IF(AF93="Value is given by the source",S93,IF(AF93="Value is calculated with prices",(IF(SUMIFS(Q:Q,A:A,A93)&gt;0,SUMIFS(Q:Q,A:A,A93),"."))/VLOOKUP("USD",'Exchange Rates'!B:C,2,0),"Error with coding"))),"")</f>
        <v>.</v>
      </c>
      <c r="U93" s="177" t="s">
        <v>261</v>
      </c>
      <c r="V93" s="300" t="s">
        <v>531</v>
      </c>
      <c r="W93" s="300" t="s">
        <v>532</v>
      </c>
      <c r="X93" s="300" t="s">
        <v>533</v>
      </c>
      <c r="Y93" s="175" t="s">
        <v>260</v>
      </c>
      <c r="Z93" s="15">
        <v>1</v>
      </c>
      <c r="AA93" s="180">
        <v>0</v>
      </c>
      <c r="AB93" s="17" t="s">
        <v>260</v>
      </c>
      <c r="AC93" s="544" t="str">
        <f>""</f>
        <v/>
      </c>
      <c r="AD93" s="181">
        <v>1</v>
      </c>
      <c r="AE93" s="181" t="s">
        <v>264</v>
      </c>
      <c r="AF93" s="181" t="s">
        <v>265</v>
      </c>
      <c r="AG93" s="181">
        <v>1</v>
      </c>
      <c r="AH93" s="181">
        <v>5</v>
      </c>
      <c r="AI93" s="181">
        <v>0</v>
      </c>
      <c r="AJ93" s="181">
        <f>VLOOKUP($I93,'Price List, Weapons &amp; Items'!B:F,5,0)</f>
        <v>0</v>
      </c>
      <c r="AK93" s="181">
        <f t="shared" si="20"/>
        <v>0</v>
      </c>
      <c r="AL93" s="181">
        <f t="shared" si="21"/>
        <v>0</v>
      </c>
      <c r="AM93" s="181">
        <f t="shared" si="22"/>
        <v>0</v>
      </c>
      <c r="AN93" s="180" t="str">
        <f>VLOOKUP($I93,'Price List, Weapons &amp; Items'!B:L,COLUMN('Price List, Weapons &amp; Items'!$J$11)-1,0)</f>
        <v>.</v>
      </c>
      <c r="AO93" s="180" t="str">
        <f>IF(I93=".",".",VLOOKUP($I93,'Price List, Weapons &amp; Items'!B:J,3,0))</f>
        <v>.</v>
      </c>
      <c r="AP93" s="545" t="e">
        <f t="shared" ca="1" si="23"/>
        <v>#NAME?</v>
      </c>
      <c r="AQ93" s="180" t="str">
        <f>VLOOKUP($I93,'Price List, Weapons &amp; Items'!B:L,COLUMN('Price List, Weapons &amp; Items'!$L$11)-1,0)</f>
        <v>no price, 0 count</v>
      </c>
      <c r="AR93" s="180">
        <f t="shared" si="24"/>
        <v>1</v>
      </c>
      <c r="AS93" s="180">
        <f t="shared" si="25"/>
        <v>0</v>
      </c>
      <c r="AT93" s="180">
        <f t="shared" si="17"/>
        <v>1</v>
      </c>
      <c r="AU93" s="180" t="str">
        <f t="shared" si="26"/>
        <v>.</v>
      </c>
      <c r="AV93" s="180" t="str">
        <f t="shared" si="27"/>
        <v>.</v>
      </c>
      <c r="AW93" s="180">
        <f>IFERROR(VLOOKUP(B93,'Share, Heavy Weapons to Ukraine'!B:J,COLUMN('Share, Heavy Weapons to Ukraine'!C101)-1,0),0)</f>
        <v>1</v>
      </c>
      <c r="AX93" s="180">
        <f>VLOOKUP('Bilateral Assistance, MAIN DATA'!B93,'Country Summary'!B:F,COLUMN('Country Summary'!C104)-1,FALSE)</f>
        <v>0</v>
      </c>
      <c r="AY93" s="180" t="str">
        <f>IF(AND(AD93=1,D93="Military",H93&lt;&gt;"Not given")=TRUE,IF(SUMIFS(P:P,A:A,A93)&gt;0,ABS((SUMIFS(P:P,A:A,A93)/VLOOKUP("USD",'Exchange Rates'!B:C,2,0)))/S93,"."),".")</f>
        <v>.</v>
      </c>
      <c r="AZ93" s="182" t="str">
        <f>IF(AND(AD93=1,D93="Military",H93&lt;&gt;"Not given")=TRUE,IF(SUMIFS(P:P,A:A,A93)&gt;0,IF((ABS((SUMIFS(P:P,A:A,A93)/VLOOKUP("USD",'Exchange Rates'!B:C,2,0)))/S93)&gt;1,(SUMIFS(P:P,A:A,A93)-S93)/S93,(S93-SUMIFS(P:P,A:A,A93))/SUMIFS(P:P,A:A,A93)),"."),".")</f>
        <v>.</v>
      </c>
    </row>
    <row r="94" spans="1:52" s="520" customFormat="1" ht="15.9" customHeight="1" x14ac:dyDescent="0.3">
      <c r="A94" s="17" t="s">
        <v>534</v>
      </c>
      <c r="B94" s="17" t="s">
        <v>517</v>
      </c>
      <c r="C94" s="174">
        <v>44740</v>
      </c>
      <c r="D94" s="5" t="s">
        <v>405</v>
      </c>
      <c r="E94" s="5" t="s">
        <v>518</v>
      </c>
      <c r="F94" s="175" t="s">
        <v>535</v>
      </c>
      <c r="G94" s="15" t="s">
        <v>520</v>
      </c>
      <c r="H94" s="176">
        <v>200000000</v>
      </c>
      <c r="I94" s="17" t="s">
        <v>260</v>
      </c>
      <c r="J94" s="113" t="str">
        <f>VLOOKUP($I94,'Price List, Weapons &amp; Items'!B:C,2,0)</f>
        <v>.</v>
      </c>
      <c r="K94" s="113" t="str">
        <f>IF(I94=".",I94,VLOOKUP($I94,'Price List, Weapons &amp; Items'!B:D,3,0))</f>
        <v>.</v>
      </c>
      <c r="L94" s="177">
        <f>VLOOKUP(I94,'Price List, Weapons &amp; Items'!B:E,4,0)</f>
        <v>0</v>
      </c>
      <c r="M94" s="542" t="s">
        <v>260</v>
      </c>
      <c r="N94" s="542" t="s">
        <v>260</v>
      </c>
      <c r="O94" s="543" t="str">
        <f>VLOOKUP($I94,'Price List, Weapons &amp; Items'!B:G,6,0)</f>
        <v>.</v>
      </c>
      <c r="P94" s="176" t="str">
        <f t="shared" si="18"/>
        <v>.</v>
      </c>
      <c r="Q94" s="176" t="str">
        <f t="shared" si="19"/>
        <v>.</v>
      </c>
      <c r="R94" s="176">
        <f t="shared" si="16"/>
        <v>200000000</v>
      </c>
      <c r="S94" s="176">
        <f>IF(AND(AD94=1,R94&lt;&gt;".")=TRUE,R94/VLOOKUP(G94,'Exchange Rates'!B:C,2,0),IF(R94=".",".",""))</f>
        <v>139869920.97349465</v>
      </c>
      <c r="T94" s="176" t="str">
        <f>IF(AD94=1,IF(AF94="Value is not given at all",".",IF(AF94="Value is given by the source",S94,IF(AF94="Value is calculated with prices",(IF(SUMIFS(Q:Q,A:A,A94)&gt;0,SUMIFS(Q:Q,A:A,A94),"."))/VLOOKUP("USD",'Exchange Rates'!B:C,2,0),"Error with coding"))),"")</f>
        <v>.</v>
      </c>
      <c r="U94" s="177" t="s">
        <v>261</v>
      </c>
      <c r="V94" s="300" t="s">
        <v>536</v>
      </c>
      <c r="W94" s="300" t="s">
        <v>537</v>
      </c>
      <c r="X94" s="300" t="s">
        <v>260</v>
      </c>
      <c r="Y94" s="175" t="s">
        <v>260</v>
      </c>
      <c r="Z94" s="15">
        <v>1</v>
      </c>
      <c r="AA94" s="180">
        <v>0</v>
      </c>
      <c r="AB94" s="17" t="s">
        <v>260</v>
      </c>
      <c r="AC94" s="544" t="str">
        <f>""</f>
        <v/>
      </c>
      <c r="AD94" s="181">
        <v>1</v>
      </c>
      <c r="AE94" s="181" t="s">
        <v>264</v>
      </c>
      <c r="AF94" s="181" t="s">
        <v>265</v>
      </c>
      <c r="AG94" s="181">
        <v>1</v>
      </c>
      <c r="AH94" s="181">
        <v>6</v>
      </c>
      <c r="AI94" s="181">
        <v>0</v>
      </c>
      <c r="AJ94" s="181">
        <f>VLOOKUP($I94,'Price List, Weapons &amp; Items'!B:F,5,0)</f>
        <v>0</v>
      </c>
      <c r="AK94" s="181">
        <f t="shared" si="20"/>
        <v>0</v>
      </c>
      <c r="AL94" s="181">
        <f t="shared" si="21"/>
        <v>0</v>
      </c>
      <c r="AM94" s="181">
        <f t="shared" si="22"/>
        <v>0</v>
      </c>
      <c r="AN94" s="180" t="str">
        <f>VLOOKUP($I94,'Price List, Weapons &amp; Items'!B:L,COLUMN('Price List, Weapons &amp; Items'!$J$11)-1,0)</f>
        <v>.</v>
      </c>
      <c r="AO94" s="180" t="str">
        <f>IF(I94=".",".",VLOOKUP($I94,'Price List, Weapons &amp; Items'!B:J,3,0))</f>
        <v>.</v>
      </c>
      <c r="AP94" s="545" t="e">
        <f t="shared" ca="1" si="23"/>
        <v>#NAME?</v>
      </c>
      <c r="AQ94" s="180" t="str">
        <f>VLOOKUP($I94,'Price List, Weapons &amp; Items'!B:L,COLUMN('Price List, Weapons &amp; Items'!$L$11)-1,0)</f>
        <v>no price, 0 count</v>
      </c>
      <c r="AR94" s="180">
        <f t="shared" si="24"/>
        <v>1</v>
      </c>
      <c r="AS94" s="180">
        <f t="shared" si="25"/>
        <v>0</v>
      </c>
      <c r="AT94" s="180">
        <f t="shared" si="17"/>
        <v>1</v>
      </c>
      <c r="AU94" s="180" t="str">
        <f t="shared" si="26"/>
        <v>.</v>
      </c>
      <c r="AV94" s="180" t="str">
        <f t="shared" si="27"/>
        <v>.</v>
      </c>
      <c r="AW94" s="180">
        <f>IFERROR(VLOOKUP(B94,'Share, Heavy Weapons to Ukraine'!B:J,COLUMN('Share, Heavy Weapons to Ukraine'!C102)-1,0),0)</f>
        <v>1</v>
      </c>
      <c r="AX94" s="180">
        <f>VLOOKUP('Bilateral Assistance, MAIN DATA'!B94,'Country Summary'!B:F,COLUMN('Country Summary'!C105)-1,FALSE)</f>
        <v>0</v>
      </c>
      <c r="AY94" s="180" t="str">
        <f>IF(AND(AD94=1,D94="Military",H94&lt;&gt;"Not given")=TRUE,IF(SUMIFS(P:P,A:A,A94)&gt;0,ABS((SUMIFS(P:P,A:A,A94)/VLOOKUP("USD",'Exchange Rates'!B:C,2,0)))/S94,"."),".")</f>
        <v>.</v>
      </c>
      <c r="AZ94" s="182" t="str">
        <f>IF(AND(AD94=1,D94="Military",H94&lt;&gt;"Not given")=TRUE,IF(SUMIFS(P:P,A:A,A94)&gt;0,IF((ABS((SUMIFS(P:P,A:A,A94)/VLOOKUP("USD",'Exchange Rates'!B:C,2,0)))/S94)&gt;1,(SUMIFS(P:P,A:A,A94)-S94)/S94,(S94-SUMIFS(P:P,A:A,A94))/SUMIFS(P:P,A:A,A94)),"."),".")</f>
        <v>.</v>
      </c>
    </row>
    <row r="95" spans="1:52" s="520" customFormat="1" ht="15.9" customHeight="1" x14ac:dyDescent="0.3">
      <c r="A95" s="17" t="s">
        <v>538</v>
      </c>
      <c r="B95" s="17" t="s">
        <v>517</v>
      </c>
      <c r="C95" s="174">
        <v>44771</v>
      </c>
      <c r="D95" s="5" t="s">
        <v>405</v>
      </c>
      <c r="E95" s="5" t="s">
        <v>518</v>
      </c>
      <c r="F95" s="175" t="s">
        <v>539</v>
      </c>
      <c r="G95" s="15" t="s">
        <v>520</v>
      </c>
      <c r="H95" s="176">
        <v>450000000</v>
      </c>
      <c r="I95" s="17" t="s">
        <v>260</v>
      </c>
      <c r="J95" s="113" t="str">
        <f>VLOOKUP($I95,'Price List, Weapons &amp; Items'!B:C,2,0)</f>
        <v>.</v>
      </c>
      <c r="K95" s="113" t="str">
        <f>IF(I95=".",I95,VLOOKUP($I95,'Price List, Weapons &amp; Items'!B:D,3,0))</f>
        <v>.</v>
      </c>
      <c r="L95" s="177">
        <f>VLOOKUP(I95,'Price List, Weapons &amp; Items'!B:E,4,0)</f>
        <v>0</v>
      </c>
      <c r="M95" s="187" t="s">
        <v>260</v>
      </c>
      <c r="N95" s="542" t="s">
        <v>260</v>
      </c>
      <c r="O95" s="543" t="str">
        <f>VLOOKUP($I95,'Price List, Weapons &amp; Items'!B:G,6,0)</f>
        <v>.</v>
      </c>
      <c r="P95" s="176" t="str">
        <f t="shared" si="18"/>
        <v>.</v>
      </c>
      <c r="Q95" s="176" t="str">
        <f t="shared" si="19"/>
        <v>.</v>
      </c>
      <c r="R95" s="176">
        <f t="shared" si="16"/>
        <v>450000000</v>
      </c>
      <c r="S95" s="176">
        <f>IF(AND(AD95=1,R95&lt;&gt;".")=TRUE,R95/VLOOKUP(G95,'Exchange Rates'!B:C,2,0),IF(R95=".",".",""))</f>
        <v>314707322.19036299</v>
      </c>
      <c r="T95" s="176" t="str">
        <f>IF(AD95=1,IF(AF95="Value is not given at all",".",IF(AF95="Value is given by the source",S95,IF(AF95="Value is calculated with prices",(IF(SUMIFS(Q:Q,A:A,A95)&gt;0,SUMIFS(Q:Q,A:A,A95),"."))/VLOOKUP("USD",'Exchange Rates'!B:C,2,0),"Error with coding"))),"")</f>
        <v>.</v>
      </c>
      <c r="U95" s="15" t="s">
        <v>261</v>
      </c>
      <c r="V95" s="300" t="s">
        <v>540</v>
      </c>
      <c r="W95" s="300" t="s">
        <v>541</v>
      </c>
      <c r="X95" s="546" t="s">
        <v>542</v>
      </c>
      <c r="Y95" s="175" t="s">
        <v>260</v>
      </c>
      <c r="Z95" s="15">
        <v>0</v>
      </c>
      <c r="AA95" s="180">
        <v>0</v>
      </c>
      <c r="AB95" s="17" t="s">
        <v>260</v>
      </c>
      <c r="AC95" s="544" t="str">
        <f>""</f>
        <v/>
      </c>
      <c r="AD95" s="183">
        <v>1</v>
      </c>
      <c r="AE95" s="183" t="s">
        <v>264</v>
      </c>
      <c r="AF95" s="183" t="s">
        <v>265</v>
      </c>
      <c r="AG95" s="183">
        <v>1</v>
      </c>
      <c r="AH95" s="181">
        <v>7</v>
      </c>
      <c r="AI95" s="181">
        <v>0</v>
      </c>
      <c r="AJ95" s="181">
        <f>VLOOKUP($I95,'Price List, Weapons &amp; Items'!B:F,5,0)</f>
        <v>0</v>
      </c>
      <c r="AK95" s="181">
        <f t="shared" si="20"/>
        <v>0</v>
      </c>
      <c r="AL95" s="181">
        <f t="shared" si="21"/>
        <v>0</v>
      </c>
      <c r="AM95" s="181">
        <f t="shared" si="22"/>
        <v>0</v>
      </c>
      <c r="AN95" s="180" t="str">
        <f>VLOOKUP($I95,'Price List, Weapons &amp; Items'!B:L,COLUMN('Price List, Weapons &amp; Items'!$J$11)-1,0)</f>
        <v>.</v>
      </c>
      <c r="AO95" s="180" t="str">
        <f>IF(I95=".",".",VLOOKUP($I95,'Price List, Weapons &amp; Items'!B:J,3,0))</f>
        <v>.</v>
      </c>
      <c r="AP95" s="545" t="e">
        <f t="shared" ca="1" si="23"/>
        <v>#NAME?</v>
      </c>
      <c r="AQ95" s="180" t="str">
        <f>VLOOKUP($I95,'Price List, Weapons &amp; Items'!B:L,COLUMN('Price List, Weapons &amp; Items'!$L$11)-1,0)</f>
        <v>no price, 0 count</v>
      </c>
      <c r="AR95" s="180">
        <f t="shared" si="24"/>
        <v>1</v>
      </c>
      <c r="AS95" s="180">
        <f t="shared" si="25"/>
        <v>0</v>
      </c>
      <c r="AT95" s="180">
        <f t="shared" si="17"/>
        <v>1</v>
      </c>
      <c r="AU95" s="180" t="str">
        <f t="shared" si="26"/>
        <v>.</v>
      </c>
      <c r="AV95" s="180" t="str">
        <f t="shared" si="27"/>
        <v>.</v>
      </c>
      <c r="AW95" s="180">
        <f>IFERROR(VLOOKUP(B95,'Share, Heavy Weapons to Ukraine'!B:J,COLUMN('Share, Heavy Weapons to Ukraine'!C103)-1,0),0)</f>
        <v>1</v>
      </c>
      <c r="AX95" s="180">
        <f>VLOOKUP('Bilateral Assistance, MAIN DATA'!B95,'Country Summary'!B:F,COLUMN('Country Summary'!C106)-1,FALSE)</f>
        <v>0</v>
      </c>
      <c r="AY95" s="180" t="str">
        <f>IF(AND(AD95=1,D95="Military",H95&lt;&gt;"Not given")=TRUE,IF(SUMIFS(P:P,A:A,A95)&gt;0,ABS((SUMIFS(P:P,A:A,A95)/VLOOKUP("USD",'Exchange Rates'!B:C,2,0)))/S95,"."),".")</f>
        <v>.</v>
      </c>
      <c r="AZ95" s="182" t="str">
        <f>IF(AND(AD95=1,D95="Military",H95&lt;&gt;"Not given")=TRUE,IF(SUMIFS(P:P,A:A,A95)&gt;0,IF((ABS((SUMIFS(P:P,A:A,A95)/VLOOKUP("USD",'Exchange Rates'!B:C,2,0)))/S95)&gt;1,(SUMIFS(P:P,A:A,A95)-S95)/S95,(S95-SUMIFS(P:P,A:A,A95))/SUMIFS(P:P,A:A,A95)),"."),".")</f>
        <v>.</v>
      </c>
    </row>
    <row r="96" spans="1:52" s="520" customFormat="1" ht="15.9" customHeight="1" x14ac:dyDescent="0.3">
      <c r="A96" s="17" t="s">
        <v>543</v>
      </c>
      <c r="B96" s="17" t="s">
        <v>517</v>
      </c>
      <c r="C96" s="174">
        <v>44796</v>
      </c>
      <c r="D96" s="5" t="s">
        <v>405</v>
      </c>
      <c r="E96" s="5" t="s">
        <v>362</v>
      </c>
      <c r="F96" s="175" t="s">
        <v>544</v>
      </c>
      <c r="G96" s="15" t="s">
        <v>520</v>
      </c>
      <c r="H96" s="176">
        <v>3850000</v>
      </c>
      <c r="I96" s="17" t="s">
        <v>260</v>
      </c>
      <c r="J96" s="113" t="str">
        <f>VLOOKUP($I96,'Price List, Weapons &amp; Items'!B:C,2,0)</f>
        <v>.</v>
      </c>
      <c r="K96" s="113" t="str">
        <f>IF(I96=".",I96,VLOOKUP($I96,'Price List, Weapons &amp; Items'!B:D,3,0))</f>
        <v>.</v>
      </c>
      <c r="L96" s="177">
        <f>VLOOKUP(I96,'Price List, Weapons &amp; Items'!B:E,4,0)</f>
        <v>0</v>
      </c>
      <c r="M96" s="187" t="s">
        <v>260</v>
      </c>
      <c r="N96" s="542" t="s">
        <v>260</v>
      </c>
      <c r="O96" s="543" t="str">
        <f>VLOOKUP($I96,'Price List, Weapons &amp; Items'!B:G,6,0)</f>
        <v>.</v>
      </c>
      <c r="P96" s="176" t="str">
        <f t="shared" si="18"/>
        <v>.</v>
      </c>
      <c r="Q96" s="176" t="str">
        <f t="shared" si="19"/>
        <v>.</v>
      </c>
      <c r="R96" s="176">
        <f t="shared" si="16"/>
        <v>3850000</v>
      </c>
      <c r="S96" s="176">
        <f>IF(AND(AD96=1,R96&lt;&gt;".")=TRUE,R96/VLOOKUP(G96,'Exchange Rates'!B:C,2,0),IF(R96=".",".",""))</f>
        <v>2692495.978739772</v>
      </c>
      <c r="T96" s="176" t="str">
        <f>IF(AD96=1,IF(AF96="Value is not given at all",".",IF(AF96="Value is given by the source",S96,IF(AF96="Value is calculated with prices",(IF(SUMIFS(Q:Q,A:A,A96)&gt;0,SUMIFS(Q:Q,A:A,A96),"."))/VLOOKUP("USD",'Exchange Rates'!B:C,2,0),"Error with coding"))),"")</f>
        <v>.</v>
      </c>
      <c r="U96" s="15" t="s">
        <v>261</v>
      </c>
      <c r="V96" s="300" t="s">
        <v>545</v>
      </c>
      <c r="W96" s="144" t="s">
        <v>260</v>
      </c>
      <c r="X96" s="668" t="s">
        <v>260</v>
      </c>
      <c r="Y96" s="175" t="s">
        <v>260</v>
      </c>
      <c r="Z96" s="15">
        <v>0</v>
      </c>
      <c r="AA96" s="180">
        <v>0</v>
      </c>
      <c r="AB96" s="17" t="s">
        <v>260</v>
      </c>
      <c r="AC96" s="544" t="str">
        <f>""</f>
        <v/>
      </c>
      <c r="AD96" s="183">
        <v>1</v>
      </c>
      <c r="AE96" s="183" t="s">
        <v>264</v>
      </c>
      <c r="AF96" s="183" t="s">
        <v>265</v>
      </c>
      <c r="AG96" s="183">
        <v>1</v>
      </c>
      <c r="AH96" s="181">
        <v>8</v>
      </c>
      <c r="AI96" s="181">
        <v>0</v>
      </c>
      <c r="AJ96" s="181">
        <f>VLOOKUP($I96,'Price List, Weapons &amp; Items'!B:F,5,0)</f>
        <v>0</v>
      </c>
      <c r="AK96" s="181">
        <f t="shared" si="20"/>
        <v>0</v>
      </c>
      <c r="AL96" s="181">
        <f t="shared" si="21"/>
        <v>0</v>
      </c>
      <c r="AM96" s="181">
        <f t="shared" si="22"/>
        <v>0</v>
      </c>
      <c r="AN96" s="180" t="str">
        <f>VLOOKUP($I96,'Price List, Weapons &amp; Items'!B:L,COLUMN('Price List, Weapons &amp; Items'!$J$11)-1,0)</f>
        <v>.</v>
      </c>
      <c r="AO96" s="180" t="str">
        <f>IF(I96=".",".",VLOOKUP($I96,'Price List, Weapons &amp; Items'!B:J,3,0))</f>
        <v>.</v>
      </c>
      <c r="AP96" s="545" t="e">
        <f t="shared" ca="1" si="23"/>
        <v>#NAME?</v>
      </c>
      <c r="AQ96" s="180" t="str">
        <f>VLOOKUP($I96,'Price List, Weapons &amp; Items'!B:L,COLUMN('Price List, Weapons &amp; Items'!$L$11)-1,0)</f>
        <v>no price, 0 count</v>
      </c>
      <c r="AR96" s="180">
        <f t="shared" si="24"/>
        <v>1</v>
      </c>
      <c r="AS96" s="180">
        <f t="shared" si="25"/>
        <v>0</v>
      </c>
      <c r="AT96" s="180">
        <f t="shared" si="17"/>
        <v>1</v>
      </c>
      <c r="AU96" s="180" t="str">
        <f t="shared" si="26"/>
        <v>.</v>
      </c>
      <c r="AV96" s="180" t="str">
        <f t="shared" si="27"/>
        <v>.</v>
      </c>
      <c r="AW96" s="180">
        <f>IFERROR(VLOOKUP(B96,'Share, Heavy Weapons to Ukraine'!B:J,COLUMN('Share, Heavy Weapons to Ukraine'!C104)-1,0),0)</f>
        <v>1</v>
      </c>
      <c r="AX96" s="180">
        <f>VLOOKUP('Bilateral Assistance, MAIN DATA'!B96,'Country Summary'!B:F,COLUMN('Country Summary'!C107)-1,FALSE)</f>
        <v>0</v>
      </c>
      <c r="AY96" s="180" t="str">
        <f>IF(AND(AD96=1,D96="Military",H96&lt;&gt;"Not given")=TRUE,IF(SUMIFS(P:P,A:A,A96)&gt;0,ABS((SUMIFS(P:P,A:A,A96)/VLOOKUP("USD",'Exchange Rates'!B:C,2,0)))/S96,"."),".")</f>
        <v>.</v>
      </c>
      <c r="AZ96" s="182" t="str">
        <f>IF(AND(AD96=1,D96="Military",H96&lt;&gt;"Not given")=TRUE,IF(SUMIFS(P:P,A:A,A96)&gt;0,IF((ABS((SUMIFS(P:P,A:A,A96)/VLOOKUP("USD",'Exchange Rates'!B:C,2,0)))/S96)&gt;1,(SUMIFS(P:P,A:A,A96)-S96)/S96,(S96-SUMIFS(P:P,A:A,A96))/SUMIFS(P:P,A:A,A96)),"."),".")</f>
        <v>.</v>
      </c>
    </row>
    <row r="97" spans="1:71" s="520" customFormat="1" ht="15.9" customHeight="1" x14ac:dyDescent="0.3">
      <c r="A97" s="17" t="s">
        <v>546</v>
      </c>
      <c r="B97" s="17" t="s">
        <v>517</v>
      </c>
      <c r="C97" s="174">
        <v>44862</v>
      </c>
      <c r="D97" s="5" t="s">
        <v>405</v>
      </c>
      <c r="E97" s="5" t="s">
        <v>362</v>
      </c>
      <c r="F97" s="175" t="s">
        <v>547</v>
      </c>
      <c r="G97" s="15" t="s">
        <v>520</v>
      </c>
      <c r="H97" s="176">
        <v>500000000</v>
      </c>
      <c r="I97" s="17" t="s">
        <v>260</v>
      </c>
      <c r="J97" s="113" t="str">
        <f>VLOOKUP($I97,'Price List, Weapons &amp; Items'!B:C,2,0)</f>
        <v>.</v>
      </c>
      <c r="K97" s="113" t="str">
        <f>IF(I97=".",I97,VLOOKUP($I97,'Price List, Weapons &amp; Items'!B:D,3,0))</f>
        <v>.</v>
      </c>
      <c r="L97" s="177">
        <f>VLOOKUP(I97,'Price List, Weapons &amp; Items'!B:E,4,0)</f>
        <v>0</v>
      </c>
      <c r="M97" s="187" t="s">
        <v>260</v>
      </c>
      <c r="N97" s="542" t="s">
        <v>260</v>
      </c>
      <c r="O97" s="543" t="str">
        <f>VLOOKUP($I97,'Price List, Weapons &amp; Items'!B:G,6,0)</f>
        <v>.</v>
      </c>
      <c r="P97" s="176" t="str">
        <f t="shared" si="18"/>
        <v>.</v>
      </c>
      <c r="Q97" s="176" t="str">
        <f t="shared" si="19"/>
        <v>.</v>
      </c>
      <c r="R97" s="176">
        <f t="shared" si="16"/>
        <v>500000000</v>
      </c>
      <c r="S97" s="176">
        <f>IF(AND(AD97=1,R97&lt;&gt;".")=TRUE,R97/VLOOKUP(G97,'Exchange Rates'!B:C,2,0),IF(R97=".",".",""))</f>
        <v>349674802.43373662</v>
      </c>
      <c r="T97" s="176" t="str">
        <f>IF(AD97=1,IF(AF97="Value is not given at all",".",IF(AF97="Value is given by the source",S97,IF(AF97="Value is calculated with prices",(IF(SUMIFS(Q:Q,A:A,A97)&gt;0,SUMIFS(Q:Q,A:A,A97),"."))/VLOOKUP("USD",'Exchange Rates'!B:C,2,0),"Error with coding"))),"")</f>
        <v>.</v>
      </c>
      <c r="U97" s="15" t="s">
        <v>261</v>
      </c>
      <c r="V97" s="300" t="s">
        <v>548</v>
      </c>
      <c r="W97" s="300" t="s">
        <v>549</v>
      </c>
      <c r="X97" s="144" t="s">
        <v>260</v>
      </c>
      <c r="Y97" s="668" t="s">
        <v>260</v>
      </c>
      <c r="Z97" s="15">
        <v>1</v>
      </c>
      <c r="AA97" s="180">
        <v>0</v>
      </c>
      <c r="AB97" s="17" t="s">
        <v>260</v>
      </c>
      <c r="AC97" s="544" t="str">
        <f>""</f>
        <v/>
      </c>
      <c r="AD97" s="183">
        <v>1</v>
      </c>
      <c r="AE97" s="183" t="s">
        <v>264</v>
      </c>
      <c r="AF97" s="183" t="s">
        <v>265</v>
      </c>
      <c r="AG97" s="183">
        <v>1</v>
      </c>
      <c r="AH97" s="181">
        <v>10</v>
      </c>
      <c r="AI97" s="181">
        <v>0</v>
      </c>
      <c r="AJ97" s="181">
        <f>VLOOKUP($I97,'Price List, Weapons &amp; Items'!B:F,5,0)</f>
        <v>0</v>
      </c>
      <c r="AK97" s="181">
        <f t="shared" si="20"/>
        <v>0</v>
      </c>
      <c r="AL97" s="181">
        <f t="shared" si="21"/>
        <v>0</v>
      </c>
      <c r="AM97" s="181">
        <f t="shared" si="22"/>
        <v>0</v>
      </c>
      <c r="AN97" s="180" t="str">
        <f>VLOOKUP($I97,'Price List, Weapons &amp; Items'!B:L,COLUMN('Price List, Weapons &amp; Items'!$J$11)-1,0)</f>
        <v>.</v>
      </c>
      <c r="AO97" s="180" t="str">
        <f>IF(I97=".",".",VLOOKUP($I97,'Price List, Weapons &amp; Items'!B:J,3,0))</f>
        <v>.</v>
      </c>
      <c r="AP97" s="545" t="e">
        <f t="shared" ca="1" si="23"/>
        <v>#NAME?</v>
      </c>
      <c r="AQ97" s="180" t="str">
        <f>VLOOKUP($I97,'Price List, Weapons &amp; Items'!B:L,COLUMN('Price List, Weapons &amp; Items'!$L$11)-1,0)</f>
        <v>no price, 0 count</v>
      </c>
      <c r="AR97" s="180">
        <f t="shared" si="24"/>
        <v>1</v>
      </c>
      <c r="AS97" s="180">
        <f t="shared" si="25"/>
        <v>0</v>
      </c>
      <c r="AT97" s="180">
        <f t="shared" si="17"/>
        <v>1</v>
      </c>
      <c r="AU97" s="180" t="str">
        <f t="shared" si="26"/>
        <v>.</v>
      </c>
      <c r="AV97" s="180" t="str">
        <f t="shared" si="27"/>
        <v>.</v>
      </c>
      <c r="AW97" s="180">
        <f>IFERROR(VLOOKUP(B97,'Share, Heavy Weapons to Ukraine'!B:J,COLUMN('Share, Heavy Weapons to Ukraine'!C105)-1,0),0)</f>
        <v>1</v>
      </c>
      <c r="AX97" s="180">
        <f>VLOOKUP('Bilateral Assistance, MAIN DATA'!B97,'Country Summary'!B:F,COLUMN('Country Summary'!C108)-1,FALSE)</f>
        <v>0</v>
      </c>
      <c r="AY97" s="180" t="str">
        <f>IF(AND(AD97=1,D97="Military",H97&lt;&gt;"Not given")=TRUE,IF(SUMIFS(P:P,A:A,A97)&gt;0,ABS((SUMIFS(P:P,A:A,A97)/VLOOKUP("USD",'Exchange Rates'!B:C,2,0)))/S97,"."),".")</f>
        <v>.</v>
      </c>
      <c r="AZ97" s="182" t="str">
        <f>IF(AND(AD97=1,D97="Military",H97&lt;&gt;"Not given")=TRUE,IF(SUMIFS(P:P,A:A,A97)&gt;0,IF((ABS((SUMIFS(P:P,A:A,A97)/VLOOKUP("USD",'Exchange Rates'!B:C,2,0)))/S97)&gt;1,(SUMIFS(P:P,A:A,A97)-S97)/S97,(S97-SUMIFS(P:P,A:A,A97))/SUMIFS(P:P,A:A,A97)),"."),".")</f>
        <v>.</v>
      </c>
      <c r="BA97" s="1024"/>
      <c r="BB97" s="1024"/>
      <c r="BC97" s="1024"/>
      <c r="BD97" s="1024"/>
      <c r="BE97" s="1024"/>
      <c r="BF97" s="1024"/>
      <c r="BG97" s="1024"/>
      <c r="BH97" s="1024"/>
      <c r="BI97" s="1024"/>
      <c r="BJ97" s="1024"/>
      <c r="BK97" s="1024"/>
      <c r="BL97" s="1024"/>
      <c r="BM97" s="1024"/>
      <c r="BN97" s="1024"/>
      <c r="BO97" s="1024"/>
      <c r="BP97" s="1024"/>
      <c r="BQ97" s="1024"/>
      <c r="BR97" s="1024"/>
      <c r="BS97" s="1024"/>
    </row>
    <row r="98" spans="1:71" s="520" customFormat="1" ht="15.9" customHeight="1" x14ac:dyDescent="0.3">
      <c r="A98" s="17" t="s">
        <v>550</v>
      </c>
      <c r="B98" s="17" t="s">
        <v>517</v>
      </c>
      <c r="C98" s="174">
        <v>44587</v>
      </c>
      <c r="D98" s="5" t="s">
        <v>256</v>
      </c>
      <c r="E98" s="5" t="s">
        <v>257</v>
      </c>
      <c r="F98" s="175" t="s">
        <v>551</v>
      </c>
      <c r="G98" s="15" t="s">
        <v>520</v>
      </c>
      <c r="H98" s="176">
        <v>50000000</v>
      </c>
      <c r="I98" s="17" t="s">
        <v>260</v>
      </c>
      <c r="J98" s="113" t="str">
        <f>VLOOKUP($I98,'Price List, Weapons &amp; Items'!B:C,2,0)</f>
        <v>.</v>
      </c>
      <c r="K98" s="113" t="str">
        <f>IF(I98=".",I98,VLOOKUP($I98,'Price List, Weapons &amp; Items'!B:D,3,0))</f>
        <v>.</v>
      </c>
      <c r="L98" s="177">
        <f>VLOOKUP(I98,'Price List, Weapons &amp; Items'!B:E,4,0)</f>
        <v>0</v>
      </c>
      <c r="M98" s="542" t="s">
        <v>260</v>
      </c>
      <c r="N98" s="542" t="s">
        <v>260</v>
      </c>
      <c r="O98" s="543" t="str">
        <f>VLOOKUP($I98,'Price List, Weapons &amp; Items'!B:G,6,0)</f>
        <v>.</v>
      </c>
      <c r="P98" s="176" t="str">
        <f t="shared" si="18"/>
        <v>.</v>
      </c>
      <c r="Q98" s="176" t="str">
        <f t="shared" si="19"/>
        <v>.</v>
      </c>
      <c r="R98" s="176">
        <f t="shared" si="16"/>
        <v>50000000</v>
      </c>
      <c r="S98" s="176">
        <f>IF(AND(AD98=1,R98&lt;&gt;".")=TRUE,R98/VLOOKUP(G98,'Exchange Rates'!B:C,2,0),IF(R98=".",".",""))</f>
        <v>34967480.243373662</v>
      </c>
      <c r="T98" s="176" t="str">
        <f>IF(AD98=1,IF(AF98="Value is not given at all",".",IF(AF98="Value is given by the source",S98,IF(AF98="Value is calculated with prices",(IF(SUMIFS(Q:Q,A:A,A98)&gt;0,SUMIFS(Q:Q,A:A,A98),"."))/VLOOKUP("USD",'Exchange Rates'!B:C,2,0),"Error with coding"))),"")</f>
        <v>.</v>
      </c>
      <c r="U98" s="15" t="s">
        <v>261</v>
      </c>
      <c r="V98" s="300" t="s">
        <v>552</v>
      </c>
      <c r="W98" s="175" t="s">
        <v>260</v>
      </c>
      <c r="X98" s="175" t="s">
        <v>260</v>
      </c>
      <c r="Y98" s="175" t="s">
        <v>260</v>
      </c>
      <c r="Z98" s="15">
        <v>0</v>
      </c>
      <c r="AA98" s="180">
        <v>0</v>
      </c>
      <c r="AB98" s="184" t="s">
        <v>260</v>
      </c>
      <c r="AC98" s="544" t="str">
        <f>""</f>
        <v/>
      </c>
      <c r="AD98" s="181">
        <v>1</v>
      </c>
      <c r="AE98" s="181" t="s">
        <v>264</v>
      </c>
      <c r="AF98" s="181" t="s">
        <v>265</v>
      </c>
      <c r="AG98" s="181">
        <v>1</v>
      </c>
      <c r="AH98" s="181">
        <v>1</v>
      </c>
      <c r="AI98" s="181">
        <v>1</v>
      </c>
      <c r="AJ98" s="181">
        <f>VLOOKUP($I98,'Price List, Weapons &amp; Items'!B:F,5,0)</f>
        <v>0</v>
      </c>
      <c r="AK98" s="181">
        <f t="shared" si="20"/>
        <v>0</v>
      </c>
      <c r="AL98" s="181">
        <f t="shared" si="21"/>
        <v>0</v>
      </c>
      <c r="AM98" s="181">
        <f t="shared" si="22"/>
        <v>0</v>
      </c>
      <c r="AN98" s="180" t="str">
        <f>VLOOKUP($I98,'Price List, Weapons &amp; Items'!B:L,COLUMN('Price List, Weapons &amp; Items'!$J$11)-1,0)</f>
        <v>.</v>
      </c>
      <c r="AO98" s="180" t="str">
        <f>IF(I98=".",".",VLOOKUP($I98,'Price List, Weapons &amp; Items'!B:J,3,0))</f>
        <v>.</v>
      </c>
      <c r="AP98" s="545" t="e">
        <f t="shared" ca="1" si="23"/>
        <v>#NAME?</v>
      </c>
      <c r="AQ98" s="180" t="str">
        <f>VLOOKUP($I98,'Price List, Weapons &amp; Items'!B:L,COLUMN('Price List, Weapons &amp; Items'!$L$11)-1,0)</f>
        <v>no price, 0 count</v>
      </c>
      <c r="AR98" s="180">
        <f t="shared" si="24"/>
        <v>1</v>
      </c>
      <c r="AS98" s="180">
        <f t="shared" si="25"/>
        <v>0</v>
      </c>
      <c r="AT98" s="180">
        <f t="shared" si="17"/>
        <v>1</v>
      </c>
      <c r="AU98" s="180" t="str">
        <f t="shared" si="26"/>
        <v>.</v>
      </c>
      <c r="AV98" s="180" t="str">
        <f t="shared" si="27"/>
        <v>.</v>
      </c>
      <c r="AW98" s="180">
        <f>IFERROR(VLOOKUP(B98,'Share, Heavy Weapons to Ukraine'!B:J,COLUMN('Share, Heavy Weapons to Ukraine'!C106)-1,0),0)</f>
        <v>1</v>
      </c>
      <c r="AX98" s="180">
        <f>VLOOKUP('Bilateral Assistance, MAIN DATA'!B98,'Country Summary'!B:F,COLUMN('Country Summary'!C109)-1,FALSE)</f>
        <v>0</v>
      </c>
      <c r="AY98" s="180" t="str">
        <f>IF(AND(AD98=1,D98="Military",H98&lt;&gt;"Not given")=TRUE,IF(SUMIFS(P:P,A:A,A98)&gt;0,ABS((SUMIFS(P:P,A:A,A98)/VLOOKUP("USD",'Exchange Rates'!B:C,2,0)))/S98,"."),".")</f>
        <v>.</v>
      </c>
      <c r="AZ98" s="182" t="str">
        <f>IF(AND(AD98=1,D98="Military",H98&lt;&gt;"Not given")=TRUE,IF(SUMIFS(P:P,A:A,A98)&gt;0,IF((ABS((SUMIFS(P:P,A:A,A98)/VLOOKUP("USD",'Exchange Rates'!B:C,2,0)))/S98)&gt;1,(SUMIFS(P:P,A:A,A98)-S98)/S98,(S98-SUMIFS(P:P,A:A,A98))/SUMIFS(P:P,A:A,A98)),"."),".")</f>
        <v>.</v>
      </c>
      <c r="BA98" s="1024"/>
      <c r="BB98" s="1024"/>
      <c r="BC98" s="1024"/>
      <c r="BD98" s="1024"/>
      <c r="BE98" s="1024"/>
      <c r="BF98" s="1024"/>
      <c r="BG98" s="1024"/>
      <c r="BH98" s="1024"/>
      <c r="BI98" s="1024"/>
      <c r="BJ98" s="1024"/>
      <c r="BK98" s="1024"/>
      <c r="BL98" s="1024"/>
      <c r="BM98" s="1024"/>
      <c r="BN98" s="1024"/>
      <c r="BO98" s="1024"/>
      <c r="BP98" s="1024"/>
      <c r="BQ98" s="1024"/>
      <c r="BR98" s="1024"/>
      <c r="BS98" s="1024"/>
    </row>
    <row r="99" spans="1:71" s="520" customFormat="1" ht="15.9" customHeight="1" x14ac:dyDescent="0.3">
      <c r="A99" s="17" t="s">
        <v>553</v>
      </c>
      <c r="B99" s="17" t="s">
        <v>517</v>
      </c>
      <c r="C99" s="174">
        <v>44621</v>
      </c>
      <c r="D99" s="5" t="s">
        <v>256</v>
      </c>
      <c r="E99" s="5" t="s">
        <v>554</v>
      </c>
      <c r="F99" s="175" t="s">
        <v>555</v>
      </c>
      <c r="G99" s="15" t="s">
        <v>520</v>
      </c>
      <c r="H99" s="176">
        <v>50000000</v>
      </c>
      <c r="I99" s="17" t="s">
        <v>260</v>
      </c>
      <c r="J99" s="113" t="str">
        <f>VLOOKUP($I99,'Price List, Weapons &amp; Items'!B:C,2,0)</f>
        <v>.</v>
      </c>
      <c r="K99" s="113" t="str">
        <f>IF(I99=".",I99,VLOOKUP($I99,'Price List, Weapons &amp; Items'!B:D,3,0))</f>
        <v>.</v>
      </c>
      <c r="L99" s="177">
        <f>VLOOKUP(I99,'Price List, Weapons &amp; Items'!B:E,4,0)</f>
        <v>0</v>
      </c>
      <c r="M99" s="542" t="s">
        <v>260</v>
      </c>
      <c r="N99" s="542" t="s">
        <v>260</v>
      </c>
      <c r="O99" s="543" t="str">
        <f>VLOOKUP($I99,'Price List, Weapons &amp; Items'!B:G,6,0)</f>
        <v>.</v>
      </c>
      <c r="P99" s="176" t="str">
        <f t="shared" si="18"/>
        <v>.</v>
      </c>
      <c r="Q99" s="176" t="str">
        <f t="shared" si="19"/>
        <v>.</v>
      </c>
      <c r="R99" s="176">
        <f t="shared" si="16"/>
        <v>50000000</v>
      </c>
      <c r="S99" s="176">
        <f>IF(AND(AD99=1,R99&lt;&gt;".")=TRUE,R99/VLOOKUP(G99,'Exchange Rates'!B:C,2,0),IF(R99=".",".",""))</f>
        <v>34967480.243373662</v>
      </c>
      <c r="T99" s="176" t="str">
        <f>IF(AD99=1,IF(AF99="Value is not given at all",".",IF(AF99="Value is given by the source",S99,IF(AF99="Value is calculated with prices",(IF(SUMIFS(Q:Q,A:A,A99)&gt;0,SUMIFS(Q:Q,A:A,A99),"."))/VLOOKUP("USD",'Exchange Rates'!B:C,2,0),"Error with coding"))),"")</f>
        <v>.</v>
      </c>
      <c r="U99" s="15" t="s">
        <v>261</v>
      </c>
      <c r="V99" s="300" t="s">
        <v>556</v>
      </c>
      <c r="W99" s="300" t="s">
        <v>557</v>
      </c>
      <c r="X99" s="175" t="s">
        <v>260</v>
      </c>
      <c r="Y99" s="175" t="s">
        <v>260</v>
      </c>
      <c r="Z99" s="15">
        <v>0</v>
      </c>
      <c r="AA99" s="180">
        <v>0</v>
      </c>
      <c r="AB99" s="184" t="s">
        <v>260</v>
      </c>
      <c r="AC99" s="544" t="str">
        <f>""</f>
        <v/>
      </c>
      <c r="AD99" s="181">
        <v>1</v>
      </c>
      <c r="AE99" s="181" t="s">
        <v>264</v>
      </c>
      <c r="AF99" s="181" t="s">
        <v>265</v>
      </c>
      <c r="AG99" s="181">
        <v>1</v>
      </c>
      <c r="AH99" s="181">
        <v>3</v>
      </c>
      <c r="AI99" s="181">
        <v>0</v>
      </c>
      <c r="AJ99" s="181">
        <f>VLOOKUP($I99,'Price List, Weapons &amp; Items'!B:F,5,0)</f>
        <v>0</v>
      </c>
      <c r="AK99" s="181">
        <f t="shared" si="20"/>
        <v>0</v>
      </c>
      <c r="AL99" s="181">
        <f t="shared" si="21"/>
        <v>0</v>
      </c>
      <c r="AM99" s="181">
        <f t="shared" si="22"/>
        <v>0</v>
      </c>
      <c r="AN99" s="180" t="str">
        <f>VLOOKUP($I99,'Price List, Weapons &amp; Items'!B:L,COLUMN('Price List, Weapons &amp; Items'!$J$11)-1,0)</f>
        <v>.</v>
      </c>
      <c r="AO99" s="180" t="str">
        <f>IF(I99=".",".",VLOOKUP($I99,'Price List, Weapons &amp; Items'!B:J,3,0))</f>
        <v>.</v>
      </c>
      <c r="AP99" s="545" t="e">
        <f t="shared" ca="1" si="23"/>
        <v>#NAME?</v>
      </c>
      <c r="AQ99" s="180" t="str">
        <f>VLOOKUP($I99,'Price List, Weapons &amp; Items'!B:L,COLUMN('Price List, Weapons &amp; Items'!$L$11)-1,0)</f>
        <v>no price, 0 count</v>
      </c>
      <c r="AR99" s="180">
        <f t="shared" si="24"/>
        <v>1</v>
      </c>
      <c r="AS99" s="180">
        <f t="shared" si="25"/>
        <v>0</v>
      </c>
      <c r="AT99" s="180">
        <f t="shared" si="17"/>
        <v>1</v>
      </c>
      <c r="AU99" s="180" t="str">
        <f t="shared" si="26"/>
        <v>.</v>
      </c>
      <c r="AV99" s="180" t="str">
        <f t="shared" si="27"/>
        <v>.</v>
      </c>
      <c r="AW99" s="180">
        <f>IFERROR(VLOOKUP(B99,'Share, Heavy Weapons to Ukraine'!B:J,COLUMN('Share, Heavy Weapons to Ukraine'!C107)-1,0),0)</f>
        <v>1</v>
      </c>
      <c r="AX99" s="180">
        <f>VLOOKUP('Bilateral Assistance, MAIN DATA'!B99,'Country Summary'!B:F,COLUMN('Country Summary'!C110)-1,FALSE)</f>
        <v>0</v>
      </c>
      <c r="AY99" s="180" t="str">
        <f>IF(AND(AD99=1,D99="Military",H99&lt;&gt;"Not given")=TRUE,IF(SUMIFS(P:P,A:A,A99)&gt;0,ABS((SUMIFS(P:P,A:A,A99)/VLOOKUP("USD",'Exchange Rates'!B:C,2,0)))/S99,"."),".")</f>
        <v>.</v>
      </c>
      <c r="AZ99" s="182" t="str">
        <f>IF(AND(AD99=1,D99="Military",H99&lt;&gt;"Not given")=TRUE,IF(SUMIFS(P:P,A:A,A99)&gt;0,IF((ABS((SUMIFS(P:P,A:A,A99)/VLOOKUP("USD",'Exchange Rates'!B:C,2,0)))/S99)&gt;1,(SUMIFS(P:P,A:A,A99)-S99)/S99,(S99-SUMIFS(P:P,A:A,A99))/SUMIFS(P:P,A:A,A99)),"."),".")</f>
        <v>.</v>
      </c>
      <c r="BA99" s="1024"/>
      <c r="BB99" s="1024"/>
      <c r="BC99" s="1024"/>
      <c r="BD99" s="1024"/>
      <c r="BE99" s="1024"/>
      <c r="BF99" s="1024"/>
      <c r="BG99" s="1024"/>
      <c r="BH99" s="1024"/>
      <c r="BI99" s="1024"/>
      <c r="BJ99" s="1024"/>
      <c r="BK99" s="1024"/>
      <c r="BL99" s="1024"/>
      <c r="BM99" s="1024"/>
      <c r="BN99" s="1024"/>
      <c r="BO99" s="1024"/>
      <c r="BP99" s="1024"/>
      <c r="BQ99" s="1024"/>
      <c r="BR99" s="1024"/>
      <c r="BS99" s="1024"/>
    </row>
    <row r="100" spans="1:71" s="520" customFormat="1" ht="15.9" customHeight="1" x14ac:dyDescent="0.3">
      <c r="A100" s="17" t="s">
        <v>558</v>
      </c>
      <c r="B100" s="17" t="s">
        <v>517</v>
      </c>
      <c r="C100" s="174">
        <v>44660</v>
      </c>
      <c r="D100" s="5" t="s">
        <v>256</v>
      </c>
      <c r="E100" s="5" t="s">
        <v>257</v>
      </c>
      <c r="F100" s="175" t="s">
        <v>559</v>
      </c>
      <c r="G100" s="15" t="s">
        <v>520</v>
      </c>
      <c r="H100" s="176">
        <v>100000000</v>
      </c>
      <c r="I100" s="17" t="s">
        <v>260</v>
      </c>
      <c r="J100" s="113" t="str">
        <f>VLOOKUP($I100,'Price List, Weapons &amp; Items'!B:C,2,0)</f>
        <v>.</v>
      </c>
      <c r="K100" s="113" t="str">
        <f>IF(I100=".",I100,VLOOKUP($I100,'Price List, Weapons &amp; Items'!B:D,3,0))</f>
        <v>.</v>
      </c>
      <c r="L100" s="177">
        <f>VLOOKUP(I100,'Price List, Weapons &amp; Items'!B:E,4,0)</f>
        <v>0</v>
      </c>
      <c r="M100" s="542" t="s">
        <v>260</v>
      </c>
      <c r="N100" s="542" t="s">
        <v>260</v>
      </c>
      <c r="O100" s="543" t="str">
        <f>VLOOKUP($I100,'Price List, Weapons &amp; Items'!B:G,6,0)</f>
        <v>.</v>
      </c>
      <c r="P100" s="176" t="str">
        <f t="shared" si="18"/>
        <v>.</v>
      </c>
      <c r="Q100" s="176" t="str">
        <f t="shared" si="19"/>
        <v>.</v>
      </c>
      <c r="R100" s="176">
        <f t="shared" si="16"/>
        <v>100000000</v>
      </c>
      <c r="S100" s="176">
        <f>IF(AND(AD100=1,R100&lt;&gt;".")=TRUE,R100/VLOOKUP(G100,'Exchange Rates'!B:C,2,0),IF(R100=".",".",""))</f>
        <v>69934960.486747324</v>
      </c>
      <c r="T100" s="176" t="str">
        <f>IF(AD100=1,IF(AF100="Value is not given at all",".",IF(AF100="Value is given by the source",S100,IF(AF100="Value is calculated with prices",(IF(SUMIFS(Q:Q,A:A,A100)&gt;0,SUMIFS(Q:Q,A:A,A100),"."))/VLOOKUP("USD",'Exchange Rates'!B:C,2,0),"Error with coding"))),"")</f>
        <v>.</v>
      </c>
      <c r="U100" s="15" t="s">
        <v>261</v>
      </c>
      <c r="V100" s="300" t="s">
        <v>425</v>
      </c>
      <c r="W100" s="175" t="s">
        <v>260</v>
      </c>
      <c r="X100" s="175" t="s">
        <v>260</v>
      </c>
      <c r="Y100" s="175" t="s">
        <v>260</v>
      </c>
      <c r="Z100" s="15">
        <v>0</v>
      </c>
      <c r="AA100" s="180">
        <v>0</v>
      </c>
      <c r="AB100" s="184" t="s">
        <v>260</v>
      </c>
      <c r="AC100" s="544" t="str">
        <f>""</f>
        <v/>
      </c>
      <c r="AD100" s="181">
        <v>1</v>
      </c>
      <c r="AE100" s="181" t="s">
        <v>264</v>
      </c>
      <c r="AF100" s="181" t="s">
        <v>265</v>
      </c>
      <c r="AG100" s="181">
        <v>1</v>
      </c>
      <c r="AH100" s="181">
        <v>4</v>
      </c>
      <c r="AI100" s="181">
        <v>0</v>
      </c>
      <c r="AJ100" s="181">
        <f>VLOOKUP($I100,'Price List, Weapons &amp; Items'!B:F,5,0)</f>
        <v>0</v>
      </c>
      <c r="AK100" s="181">
        <f t="shared" si="20"/>
        <v>0</v>
      </c>
      <c r="AL100" s="181">
        <f t="shared" si="21"/>
        <v>0</v>
      </c>
      <c r="AM100" s="181">
        <f t="shared" si="22"/>
        <v>0</v>
      </c>
      <c r="AN100" s="180" t="str">
        <f>VLOOKUP($I100,'Price List, Weapons &amp; Items'!B:L,COLUMN('Price List, Weapons &amp; Items'!$J$11)-1,0)</f>
        <v>.</v>
      </c>
      <c r="AO100" s="180" t="str">
        <f>IF(I100=".",".",VLOOKUP($I100,'Price List, Weapons &amp; Items'!B:J,3,0))</f>
        <v>.</v>
      </c>
      <c r="AP100" s="545" t="e">
        <f t="shared" ca="1" si="23"/>
        <v>#NAME?</v>
      </c>
      <c r="AQ100" s="180" t="str">
        <f>VLOOKUP($I100,'Price List, Weapons &amp; Items'!B:L,COLUMN('Price List, Weapons &amp; Items'!$L$11)-1,0)</f>
        <v>no price, 0 count</v>
      </c>
      <c r="AR100" s="180">
        <f t="shared" si="24"/>
        <v>1</v>
      </c>
      <c r="AS100" s="180">
        <f t="shared" si="25"/>
        <v>0</v>
      </c>
      <c r="AT100" s="180">
        <f t="shared" si="17"/>
        <v>1</v>
      </c>
      <c r="AU100" s="180" t="str">
        <f t="shared" si="26"/>
        <v>.</v>
      </c>
      <c r="AV100" s="180" t="str">
        <f t="shared" si="27"/>
        <v>.</v>
      </c>
      <c r="AW100" s="180">
        <f>IFERROR(VLOOKUP(B100,'Share, Heavy Weapons to Ukraine'!B:J,COLUMN('Share, Heavy Weapons to Ukraine'!C108)-1,0),0)</f>
        <v>1</v>
      </c>
      <c r="AX100" s="180">
        <f>VLOOKUP('Bilateral Assistance, MAIN DATA'!B100,'Country Summary'!B:F,COLUMN('Country Summary'!C111)-1,FALSE)</f>
        <v>0</v>
      </c>
      <c r="AY100" s="180" t="str">
        <f>IF(AND(AD100=1,D100="Military",H100&lt;&gt;"Not given")=TRUE,IF(SUMIFS(P:P,A:A,A100)&gt;0,ABS((SUMIFS(P:P,A:A,A100)/VLOOKUP("USD",'Exchange Rates'!B:C,2,0)))/S100,"."),".")</f>
        <v>.</v>
      </c>
      <c r="AZ100" s="182" t="str">
        <f>IF(AND(AD100=1,D100="Military",H100&lt;&gt;"Not given")=TRUE,IF(SUMIFS(P:P,A:A,A100)&gt;0,IF((ABS((SUMIFS(P:P,A:A,A100)/VLOOKUP("USD",'Exchange Rates'!B:C,2,0)))/S100)&gt;1,(SUMIFS(P:P,A:A,A100)-S100)/S100,(S100-SUMIFS(P:P,A:A,A100))/SUMIFS(P:P,A:A,A100)),"."),".")</f>
        <v>.</v>
      </c>
      <c r="BA100" s="1024"/>
      <c r="BB100" s="1024"/>
      <c r="BC100" s="1024"/>
      <c r="BD100" s="1024"/>
      <c r="BE100" s="1024"/>
      <c r="BF100" s="1024"/>
      <c r="BG100" s="1024"/>
      <c r="BH100" s="1024"/>
      <c r="BI100" s="1024"/>
      <c r="BJ100" s="1024"/>
      <c r="BK100" s="1024"/>
      <c r="BL100" s="1024"/>
      <c r="BM100" s="1024"/>
      <c r="BN100" s="1024"/>
      <c r="BO100" s="1024"/>
      <c r="BP100" s="1024"/>
      <c r="BQ100" s="1024"/>
      <c r="BR100" s="1024"/>
      <c r="BS100" s="1024"/>
    </row>
    <row r="101" spans="1:71" s="521" customFormat="1" ht="15.9" customHeight="1" x14ac:dyDescent="0.3">
      <c r="A101" s="17" t="s">
        <v>560</v>
      </c>
      <c r="B101" s="17" t="s">
        <v>517</v>
      </c>
      <c r="C101" s="174">
        <v>44700</v>
      </c>
      <c r="D101" s="5" t="s">
        <v>256</v>
      </c>
      <c r="E101" s="5" t="s">
        <v>257</v>
      </c>
      <c r="F101" s="175" t="s">
        <v>561</v>
      </c>
      <c r="G101" s="15" t="s">
        <v>520</v>
      </c>
      <c r="H101" s="176">
        <v>2000000</v>
      </c>
      <c r="I101" s="17" t="s">
        <v>260</v>
      </c>
      <c r="J101" s="113" t="str">
        <f>VLOOKUP($I101,'Price List, Weapons &amp; Items'!B:C,2,0)</f>
        <v>.</v>
      </c>
      <c r="K101" s="113" t="str">
        <f>IF(I101=".",I101,VLOOKUP($I101,'Price List, Weapons &amp; Items'!B:D,3,0))</f>
        <v>.</v>
      </c>
      <c r="L101" s="177">
        <f>VLOOKUP(I101,'Price List, Weapons &amp; Items'!B:E,4,0)</f>
        <v>0</v>
      </c>
      <c r="M101" s="542" t="s">
        <v>260</v>
      </c>
      <c r="N101" s="542" t="s">
        <v>260</v>
      </c>
      <c r="O101" s="543" t="str">
        <f>VLOOKUP($I101,'Price List, Weapons &amp; Items'!B:G,6,0)</f>
        <v>.</v>
      </c>
      <c r="P101" s="176" t="str">
        <f t="shared" si="18"/>
        <v>.</v>
      </c>
      <c r="Q101" s="176" t="str">
        <f t="shared" si="19"/>
        <v>.</v>
      </c>
      <c r="R101" s="176">
        <f t="shared" si="16"/>
        <v>2000000</v>
      </c>
      <c r="S101" s="176">
        <f>IF(AND(AD101=1,R101&lt;&gt;".")=TRUE,R101/VLOOKUP(G101,'Exchange Rates'!B:C,2,0),IF(R101=".",".",""))</f>
        <v>1398699.2097349465</v>
      </c>
      <c r="T101" s="176" t="str">
        <f>IF(AD101=1,IF(AF101="Value is not given at all",".",IF(AF101="Value is given by the source",S101,IF(AF101="Value is calculated with prices",(IF(SUMIFS(Q:Q,A:A,A101)&gt;0,SUMIFS(Q:Q,A:A,A101),"."))/VLOOKUP("USD",'Exchange Rates'!B:C,2,0),"Error with coding"))),"")</f>
        <v>.</v>
      </c>
      <c r="U101" s="15" t="s">
        <v>261</v>
      </c>
      <c r="V101" s="300" t="s">
        <v>562</v>
      </c>
      <c r="W101" s="300" t="s">
        <v>563</v>
      </c>
      <c r="X101" s="175" t="s">
        <v>260</v>
      </c>
      <c r="Y101" s="175" t="s">
        <v>260</v>
      </c>
      <c r="Z101" s="15">
        <v>0</v>
      </c>
      <c r="AA101" s="180">
        <v>0</v>
      </c>
      <c r="AB101" s="17" t="s">
        <v>260</v>
      </c>
      <c r="AC101" s="544" t="str">
        <f>""</f>
        <v/>
      </c>
      <c r="AD101" s="183">
        <v>1</v>
      </c>
      <c r="AE101" s="183" t="s">
        <v>264</v>
      </c>
      <c r="AF101" s="183" t="s">
        <v>265</v>
      </c>
      <c r="AG101" s="183">
        <v>1</v>
      </c>
      <c r="AH101" s="181">
        <v>5</v>
      </c>
      <c r="AI101" s="181">
        <v>0</v>
      </c>
      <c r="AJ101" s="181">
        <f>VLOOKUP($I101,'Price List, Weapons &amp; Items'!B:F,5,0)</f>
        <v>0</v>
      </c>
      <c r="AK101" s="181">
        <f t="shared" si="20"/>
        <v>0</v>
      </c>
      <c r="AL101" s="181">
        <f t="shared" si="21"/>
        <v>0</v>
      </c>
      <c r="AM101" s="181">
        <f t="shared" si="22"/>
        <v>0</v>
      </c>
      <c r="AN101" s="180" t="str">
        <f>VLOOKUP($I101,'Price List, Weapons &amp; Items'!B:L,COLUMN('Price List, Weapons &amp; Items'!$J$11)-1,0)</f>
        <v>.</v>
      </c>
      <c r="AO101" s="180" t="str">
        <f>IF(I101=".",".",VLOOKUP($I101,'Price List, Weapons &amp; Items'!B:J,3,0))</f>
        <v>.</v>
      </c>
      <c r="AP101" s="545" t="e">
        <f t="shared" ca="1" si="23"/>
        <v>#NAME?</v>
      </c>
      <c r="AQ101" s="180" t="str">
        <f>VLOOKUP($I101,'Price List, Weapons &amp; Items'!B:L,COLUMN('Price List, Weapons &amp; Items'!$L$11)-1,0)</f>
        <v>no price, 0 count</v>
      </c>
      <c r="AR101" s="180">
        <f t="shared" si="24"/>
        <v>1</v>
      </c>
      <c r="AS101" s="180">
        <f t="shared" si="25"/>
        <v>0</v>
      </c>
      <c r="AT101" s="180">
        <f t="shared" si="17"/>
        <v>1</v>
      </c>
      <c r="AU101" s="180" t="str">
        <f t="shared" si="26"/>
        <v>.</v>
      </c>
      <c r="AV101" s="180" t="str">
        <f t="shared" si="27"/>
        <v>.</v>
      </c>
      <c r="AW101" s="180">
        <f>IFERROR(VLOOKUP(B101,'Share, Heavy Weapons to Ukraine'!B:J,COLUMN('Share, Heavy Weapons to Ukraine'!C109)-1,0),0)</f>
        <v>1</v>
      </c>
      <c r="AX101" s="180">
        <f>VLOOKUP('Bilateral Assistance, MAIN DATA'!B101,'Country Summary'!B:F,COLUMN('Country Summary'!C112)-1,FALSE)</f>
        <v>0</v>
      </c>
      <c r="AY101" s="180" t="str">
        <f>IF(AND(AD101=1,D101="Military",H101&lt;&gt;"Not given")=TRUE,IF(SUMIFS(P:P,A:A,A101)&gt;0,ABS((SUMIFS(P:P,A:A,A101)/VLOOKUP("USD",'Exchange Rates'!B:C,2,0)))/S101,"."),".")</f>
        <v>.</v>
      </c>
      <c r="AZ101" s="182" t="str">
        <f>IF(AND(AD101=1,D101="Military",H101&lt;&gt;"Not given")=TRUE,IF(SUMIFS(P:P,A:A,A101)&gt;0,IF((ABS((SUMIFS(P:P,A:A,A101)/VLOOKUP("USD",'Exchange Rates'!B:C,2,0)))/S101)&gt;1,(SUMIFS(P:P,A:A,A101)-S101)/S101,(S101-SUMIFS(P:P,A:A,A101))/SUMIFS(P:P,A:A,A101)),"."),".")</f>
        <v>.</v>
      </c>
      <c r="BA101" s="1025"/>
      <c r="BB101" s="1025"/>
      <c r="BC101" s="1025"/>
      <c r="BD101" s="1025"/>
      <c r="BE101" s="1025"/>
      <c r="BF101" s="1025"/>
      <c r="BG101" s="1025"/>
      <c r="BH101" s="1025"/>
      <c r="BI101" s="1025"/>
      <c r="BJ101" s="1025"/>
      <c r="BK101" s="1025"/>
      <c r="BL101" s="1025"/>
      <c r="BM101" s="1025"/>
      <c r="BN101" s="1025"/>
      <c r="BO101" s="1025"/>
      <c r="BP101" s="1025"/>
      <c r="BQ101" s="1025"/>
      <c r="BR101" s="1025"/>
      <c r="BS101" s="1025"/>
    </row>
    <row r="102" spans="1:71" s="521" customFormat="1" ht="15.9" customHeight="1" x14ac:dyDescent="0.3">
      <c r="A102" s="17" t="s">
        <v>564</v>
      </c>
      <c r="B102" s="17" t="s">
        <v>517</v>
      </c>
      <c r="C102" s="174">
        <v>44740</v>
      </c>
      <c r="D102" s="5" t="s">
        <v>256</v>
      </c>
      <c r="E102" s="5" t="s">
        <v>257</v>
      </c>
      <c r="F102" s="175" t="s">
        <v>565</v>
      </c>
      <c r="G102" s="15" t="s">
        <v>520</v>
      </c>
      <c r="H102" s="176">
        <v>75000000</v>
      </c>
      <c r="I102" s="17" t="s">
        <v>260</v>
      </c>
      <c r="J102" s="113" t="str">
        <f>VLOOKUP($I102,'Price List, Weapons &amp; Items'!B:C,2,0)</f>
        <v>.</v>
      </c>
      <c r="K102" s="113" t="str">
        <f>IF(I102=".",I102,VLOOKUP($I102,'Price List, Weapons &amp; Items'!B:D,3,0))</f>
        <v>.</v>
      </c>
      <c r="L102" s="177">
        <f>VLOOKUP(I102,'Price List, Weapons &amp; Items'!B:E,4,0)</f>
        <v>0</v>
      </c>
      <c r="M102" s="542" t="s">
        <v>260</v>
      </c>
      <c r="N102" s="542" t="s">
        <v>260</v>
      </c>
      <c r="O102" s="543" t="str">
        <f>VLOOKUP($I102,'Price List, Weapons &amp; Items'!B:G,6,0)</f>
        <v>.</v>
      </c>
      <c r="P102" s="176" t="str">
        <f t="shared" si="18"/>
        <v>.</v>
      </c>
      <c r="Q102" s="176" t="str">
        <f t="shared" si="19"/>
        <v>.</v>
      </c>
      <c r="R102" s="176">
        <f t="shared" si="16"/>
        <v>75000000</v>
      </c>
      <c r="S102" s="176">
        <f>IF(AND(AD102=1,R102&lt;&gt;".")=TRUE,R102/VLOOKUP(G102,'Exchange Rates'!B:C,2,0),IF(R102=".",".",""))</f>
        <v>52451220.365060493</v>
      </c>
      <c r="T102" s="176" t="str">
        <f>IF(AD102=1,IF(AF102="Value is not given at all",".",IF(AF102="Value is given by the source",S102,IF(AF102="Value is calculated with prices",(IF(SUMIFS(Q:Q,A:A,A102)&gt;0,SUMIFS(Q:Q,A:A,A102),"."))/VLOOKUP("USD",'Exchange Rates'!B:C,2,0),"Error with coding"))),"")</f>
        <v>.</v>
      </c>
      <c r="U102" s="15" t="s">
        <v>261</v>
      </c>
      <c r="V102" s="300" t="s">
        <v>536</v>
      </c>
      <c r="W102" s="300" t="s">
        <v>537</v>
      </c>
      <c r="X102" s="175" t="s">
        <v>260</v>
      </c>
      <c r="Y102" s="175" t="s">
        <v>260</v>
      </c>
      <c r="Z102" s="15">
        <v>0</v>
      </c>
      <c r="AA102" s="180">
        <v>0</v>
      </c>
      <c r="AB102" s="17" t="s">
        <v>260</v>
      </c>
      <c r="AC102" s="544" t="str">
        <f>""</f>
        <v/>
      </c>
      <c r="AD102" s="183">
        <v>1</v>
      </c>
      <c r="AE102" s="183" t="s">
        <v>264</v>
      </c>
      <c r="AF102" s="183" t="s">
        <v>265</v>
      </c>
      <c r="AG102" s="183">
        <v>1</v>
      </c>
      <c r="AH102" s="181">
        <v>6</v>
      </c>
      <c r="AI102" s="181">
        <v>0</v>
      </c>
      <c r="AJ102" s="181">
        <f>VLOOKUP($I102,'Price List, Weapons &amp; Items'!B:F,5,0)</f>
        <v>0</v>
      </c>
      <c r="AK102" s="181">
        <f t="shared" si="20"/>
        <v>0</v>
      </c>
      <c r="AL102" s="181">
        <f t="shared" si="21"/>
        <v>0</v>
      </c>
      <c r="AM102" s="181">
        <f t="shared" si="22"/>
        <v>0</v>
      </c>
      <c r="AN102" s="180" t="str">
        <f>VLOOKUP($I102,'Price List, Weapons &amp; Items'!B:L,COLUMN('Price List, Weapons &amp; Items'!$J$11)-1,0)</f>
        <v>.</v>
      </c>
      <c r="AO102" s="180" t="str">
        <f>IF(I102=".",".",VLOOKUP($I102,'Price List, Weapons &amp; Items'!B:J,3,0))</f>
        <v>.</v>
      </c>
      <c r="AP102" s="545" t="e">
        <f t="shared" ca="1" si="23"/>
        <v>#NAME?</v>
      </c>
      <c r="AQ102" s="180" t="str">
        <f>VLOOKUP($I102,'Price List, Weapons &amp; Items'!B:L,COLUMN('Price List, Weapons &amp; Items'!$L$11)-1,0)</f>
        <v>no price, 0 count</v>
      </c>
      <c r="AR102" s="180">
        <f t="shared" si="24"/>
        <v>1</v>
      </c>
      <c r="AS102" s="180">
        <f t="shared" si="25"/>
        <v>0</v>
      </c>
      <c r="AT102" s="180">
        <f t="shared" si="17"/>
        <v>1</v>
      </c>
      <c r="AU102" s="180" t="str">
        <f t="shared" si="26"/>
        <v>.</v>
      </c>
      <c r="AV102" s="180" t="str">
        <f t="shared" si="27"/>
        <v>.</v>
      </c>
      <c r="AW102" s="180">
        <f>IFERROR(VLOOKUP(B102,'Share, Heavy Weapons to Ukraine'!B:J,COLUMN('Share, Heavy Weapons to Ukraine'!C110)-1,0),0)</f>
        <v>1</v>
      </c>
      <c r="AX102" s="180">
        <f>VLOOKUP('Bilateral Assistance, MAIN DATA'!B102,'Country Summary'!B:F,COLUMN('Country Summary'!C113)-1,FALSE)</f>
        <v>0</v>
      </c>
      <c r="AY102" s="180" t="str">
        <f>IF(AND(AD102=1,D102="Military",H102&lt;&gt;"Not given")=TRUE,IF(SUMIFS(P:P,A:A,A102)&gt;0,ABS((SUMIFS(P:P,A:A,A102)/VLOOKUP("USD",'Exchange Rates'!B:C,2,0)))/S102,"."),".")</f>
        <v>.</v>
      </c>
      <c r="AZ102" s="182" t="str">
        <f>IF(AND(AD102=1,D102="Military",H102&lt;&gt;"Not given")=TRUE,IF(SUMIFS(P:P,A:A,A102)&gt;0,IF((ABS((SUMIFS(P:P,A:A,A102)/VLOOKUP("USD",'Exchange Rates'!B:C,2,0)))/S102)&gt;1,(SUMIFS(P:P,A:A,A102)-S102)/S102,(S102-SUMIFS(P:P,A:A,A102))/SUMIFS(P:P,A:A,A102)),"."),".")</f>
        <v>.</v>
      </c>
      <c r="BA102" s="1025"/>
      <c r="BB102" s="1025"/>
      <c r="BC102" s="1025"/>
      <c r="BD102" s="1025"/>
      <c r="BE102" s="1025"/>
      <c r="BF102" s="1025"/>
      <c r="BG102" s="1025"/>
      <c r="BH102" s="1025"/>
      <c r="BI102" s="1025"/>
      <c r="BJ102" s="1025"/>
      <c r="BK102" s="1025"/>
      <c r="BL102" s="1025"/>
      <c r="BM102" s="1025"/>
      <c r="BN102" s="1025"/>
      <c r="BO102" s="1025"/>
      <c r="BP102" s="1025"/>
      <c r="BQ102" s="1025"/>
      <c r="BR102" s="1025"/>
      <c r="BS102" s="1025"/>
    </row>
    <row r="103" spans="1:71" s="521" customFormat="1" ht="15.9" customHeight="1" x14ac:dyDescent="0.3">
      <c r="A103" s="17" t="s">
        <v>566</v>
      </c>
      <c r="B103" s="17" t="s">
        <v>517</v>
      </c>
      <c r="C103" s="174">
        <v>44740</v>
      </c>
      <c r="D103" s="5" t="s">
        <v>256</v>
      </c>
      <c r="E103" s="5" t="s">
        <v>257</v>
      </c>
      <c r="F103" s="175" t="s">
        <v>567</v>
      </c>
      <c r="G103" s="15" t="s">
        <v>520</v>
      </c>
      <c r="H103" s="176">
        <v>52000000</v>
      </c>
      <c r="I103" s="17" t="s">
        <v>260</v>
      </c>
      <c r="J103" s="113" t="str">
        <f>VLOOKUP($I103,'Price List, Weapons &amp; Items'!B:C,2,0)</f>
        <v>.</v>
      </c>
      <c r="K103" s="113" t="str">
        <f>IF(I103=".",I103,VLOOKUP($I103,'Price List, Weapons &amp; Items'!B:D,3,0))</f>
        <v>.</v>
      </c>
      <c r="L103" s="177">
        <f>VLOOKUP(I103,'Price List, Weapons &amp; Items'!B:E,4,0)</f>
        <v>0</v>
      </c>
      <c r="M103" s="542" t="s">
        <v>260</v>
      </c>
      <c r="N103" s="542" t="s">
        <v>260</v>
      </c>
      <c r="O103" s="543" t="str">
        <f>VLOOKUP($I103,'Price List, Weapons &amp; Items'!B:G,6,0)</f>
        <v>.</v>
      </c>
      <c r="P103" s="176" t="str">
        <f t="shared" si="18"/>
        <v>.</v>
      </c>
      <c r="Q103" s="176" t="str">
        <f t="shared" si="19"/>
        <v>.</v>
      </c>
      <c r="R103" s="176">
        <f t="shared" si="16"/>
        <v>52000000</v>
      </c>
      <c r="S103" s="176">
        <f>IF(AND(AD103=1,R103&lt;&gt;".")=TRUE,R103/VLOOKUP(G103,'Exchange Rates'!B:C,2,0),IF(R103=".",".",""))</f>
        <v>36366179.453108609</v>
      </c>
      <c r="T103" s="176" t="str">
        <f>IF(AD103=1,IF(AF103="Value is not given at all",".",IF(AF103="Value is given by the source",S103,IF(AF103="Value is calculated with prices",(IF(SUMIFS(Q:Q,A:A,A103)&gt;0,SUMIFS(Q:Q,A:A,A103),"."))/VLOOKUP("USD",'Exchange Rates'!B:C,2,0),"Error with coding"))),"")</f>
        <v>.</v>
      </c>
      <c r="U103" s="15" t="s">
        <v>261</v>
      </c>
      <c r="V103" s="300" t="s">
        <v>536</v>
      </c>
      <c r="W103" s="144" t="s">
        <v>260</v>
      </c>
      <c r="X103" s="175" t="s">
        <v>260</v>
      </c>
      <c r="Y103" s="175" t="s">
        <v>260</v>
      </c>
      <c r="Z103" s="15">
        <v>0</v>
      </c>
      <c r="AA103" s="180">
        <v>0</v>
      </c>
      <c r="AB103" s="17" t="s">
        <v>260</v>
      </c>
      <c r="AC103" s="544" t="str">
        <f>""</f>
        <v/>
      </c>
      <c r="AD103" s="183">
        <v>1</v>
      </c>
      <c r="AE103" s="183" t="s">
        <v>264</v>
      </c>
      <c r="AF103" s="183" t="s">
        <v>265</v>
      </c>
      <c r="AG103" s="183">
        <v>1</v>
      </c>
      <c r="AH103" s="181">
        <v>6</v>
      </c>
      <c r="AI103" s="181">
        <v>0</v>
      </c>
      <c r="AJ103" s="181">
        <f>VLOOKUP($I103,'Price List, Weapons &amp; Items'!B:F,5,0)</f>
        <v>0</v>
      </c>
      <c r="AK103" s="181">
        <f t="shared" si="20"/>
        <v>0</v>
      </c>
      <c r="AL103" s="181">
        <f t="shared" si="21"/>
        <v>0</v>
      </c>
      <c r="AM103" s="181">
        <f t="shared" si="22"/>
        <v>0</v>
      </c>
      <c r="AN103" s="180" t="str">
        <f>VLOOKUP($I103,'Price List, Weapons &amp; Items'!B:L,COLUMN('Price List, Weapons &amp; Items'!$J$11)-1,0)</f>
        <v>.</v>
      </c>
      <c r="AO103" s="180" t="str">
        <f>IF(I103=".",".",VLOOKUP($I103,'Price List, Weapons &amp; Items'!B:J,3,0))</f>
        <v>.</v>
      </c>
      <c r="AP103" s="545" t="e">
        <f t="shared" ca="1" si="23"/>
        <v>#NAME?</v>
      </c>
      <c r="AQ103" s="180" t="str">
        <f>VLOOKUP($I103,'Price List, Weapons &amp; Items'!B:L,COLUMN('Price List, Weapons &amp; Items'!$L$11)-1,0)</f>
        <v>no price, 0 count</v>
      </c>
      <c r="AR103" s="180">
        <f t="shared" si="24"/>
        <v>1</v>
      </c>
      <c r="AS103" s="180">
        <f t="shared" si="25"/>
        <v>0</v>
      </c>
      <c r="AT103" s="180">
        <f t="shared" si="17"/>
        <v>1</v>
      </c>
      <c r="AU103" s="180" t="str">
        <f t="shared" si="26"/>
        <v>.</v>
      </c>
      <c r="AV103" s="180" t="str">
        <f t="shared" si="27"/>
        <v>.</v>
      </c>
      <c r="AW103" s="180">
        <f>IFERROR(VLOOKUP(B103,'Share, Heavy Weapons to Ukraine'!B:J,COLUMN('Share, Heavy Weapons to Ukraine'!C111)-1,0),0)</f>
        <v>1</v>
      </c>
      <c r="AX103" s="180">
        <f>VLOOKUP('Bilateral Assistance, MAIN DATA'!B103,'Country Summary'!B:F,COLUMN('Country Summary'!C114)-1,FALSE)</f>
        <v>0</v>
      </c>
      <c r="AY103" s="180" t="str">
        <f>IF(AND(AD103=1,D103="Military",H103&lt;&gt;"Not given")=TRUE,IF(SUMIFS(P:P,A:A,A103)&gt;0,ABS((SUMIFS(P:P,A:A,A103)/VLOOKUP("USD",'Exchange Rates'!B:C,2,0)))/S103,"."),".")</f>
        <v>.</v>
      </c>
      <c r="AZ103" s="182" t="str">
        <f>IF(AND(AD103=1,D103="Military",H103&lt;&gt;"Not given")=TRUE,IF(SUMIFS(P:P,A:A,A103)&gt;0,IF((ABS((SUMIFS(P:P,A:A,A103)/VLOOKUP("USD",'Exchange Rates'!B:C,2,0)))/S103)&gt;1,(SUMIFS(P:P,A:A,A103)-S103)/S103,(S103-SUMIFS(P:P,A:A,A103))/SUMIFS(P:P,A:A,A103)),"."),".")</f>
        <v>.</v>
      </c>
      <c r="BA103" s="1025"/>
      <c r="BB103" s="1025"/>
      <c r="BC103" s="1025"/>
      <c r="BD103" s="1025"/>
      <c r="BE103" s="1025"/>
      <c r="BF103" s="1025"/>
      <c r="BG103" s="1025"/>
      <c r="BH103" s="1025"/>
      <c r="BI103" s="1025"/>
      <c r="BJ103" s="1025"/>
      <c r="BK103" s="1025"/>
      <c r="BL103" s="1025"/>
      <c r="BM103" s="1025"/>
      <c r="BN103" s="1025"/>
      <c r="BO103" s="1025"/>
      <c r="BP103" s="1025"/>
      <c r="BQ103" s="1025"/>
      <c r="BR103" s="1025"/>
      <c r="BS103" s="1025"/>
    </row>
    <row r="104" spans="1:71" s="520" customFormat="1" ht="15.9" customHeight="1" x14ac:dyDescent="0.3">
      <c r="A104" s="17" t="s">
        <v>546</v>
      </c>
      <c r="B104" s="17" t="s">
        <v>517</v>
      </c>
      <c r="C104" s="174">
        <v>44862</v>
      </c>
      <c r="D104" s="5" t="s">
        <v>405</v>
      </c>
      <c r="E104" s="5" t="s">
        <v>362</v>
      </c>
      <c r="F104" s="175" t="s">
        <v>568</v>
      </c>
      <c r="G104" s="15" t="s">
        <v>520</v>
      </c>
      <c r="H104" s="176">
        <v>500000000</v>
      </c>
      <c r="I104" s="17" t="s">
        <v>260</v>
      </c>
      <c r="J104" s="113" t="str">
        <f>VLOOKUP($I104,'Price List, Weapons &amp; Items'!B:C,2,0)</f>
        <v>.</v>
      </c>
      <c r="K104" s="113" t="str">
        <f>IF(I104=".",I104,VLOOKUP($I104,'Price List, Weapons &amp; Items'!B:D,3,0))</f>
        <v>.</v>
      </c>
      <c r="L104" s="177">
        <f>VLOOKUP(I104,'Price List, Weapons &amp; Items'!B:E,4,0)</f>
        <v>0</v>
      </c>
      <c r="M104" s="187" t="s">
        <v>260</v>
      </c>
      <c r="N104" s="542" t="s">
        <v>260</v>
      </c>
      <c r="O104" s="543" t="str">
        <f>VLOOKUP($I104,'Price List, Weapons &amp; Items'!B:G,6,0)</f>
        <v>.</v>
      </c>
      <c r="P104" s="176" t="str">
        <f t="shared" si="18"/>
        <v>.</v>
      </c>
      <c r="Q104" s="176" t="str">
        <f t="shared" si="19"/>
        <v>.</v>
      </c>
      <c r="R104" s="176">
        <f t="shared" si="16"/>
        <v>500000000</v>
      </c>
      <c r="S104" s="176">
        <f>IF(AND(AD104=1,R104&lt;&gt;".")=TRUE,R104/VLOOKUP(G104,'Exchange Rates'!B:C,2,0),IF(R104=".",".",""))</f>
        <v>349674802.43373662</v>
      </c>
      <c r="T104" s="176" t="str">
        <f>IF(AD104=1,IF(AF104="Value is not given at all",".",IF(AF104="Value is given by the source",S104,IF(AF104="Value is calculated with prices",(IF(SUMIFS(Q:Q,A:A,A104)&gt;0,SUMIFS(Q:Q,A:A,A104),"."))/VLOOKUP("USD",'Exchange Rates'!B:C,2,0),"Error with coding"))),"")</f>
        <v>.</v>
      </c>
      <c r="U104" s="15" t="s">
        <v>261</v>
      </c>
      <c r="V104" s="300" t="s">
        <v>548</v>
      </c>
      <c r="W104" s="300" t="s">
        <v>549</v>
      </c>
      <c r="X104" s="300" t="s">
        <v>569</v>
      </c>
      <c r="Y104" s="668" t="s">
        <v>260</v>
      </c>
      <c r="Z104" s="15">
        <v>1</v>
      </c>
      <c r="AA104" s="199">
        <v>1</v>
      </c>
      <c r="AB104" s="17" t="s">
        <v>260</v>
      </c>
      <c r="AC104" s="544" t="str">
        <f>""</f>
        <v/>
      </c>
      <c r="AD104" s="183">
        <v>1</v>
      </c>
      <c r="AE104" s="183" t="s">
        <v>264</v>
      </c>
      <c r="AF104" s="183" t="s">
        <v>265</v>
      </c>
      <c r="AG104" s="183">
        <v>1</v>
      </c>
      <c r="AH104" s="181">
        <v>10</v>
      </c>
      <c r="AI104" s="181">
        <v>0</v>
      </c>
      <c r="AJ104" s="181">
        <f>VLOOKUP($I104,'Price List, Weapons &amp; Items'!B:F,5,0)</f>
        <v>0</v>
      </c>
      <c r="AK104" s="181">
        <f t="shared" si="20"/>
        <v>0</v>
      </c>
      <c r="AL104" s="181">
        <f t="shared" si="21"/>
        <v>0</v>
      </c>
      <c r="AM104" s="181">
        <f t="shared" si="22"/>
        <v>0</v>
      </c>
      <c r="AN104" s="180" t="str">
        <f>VLOOKUP($I104,'Price List, Weapons &amp; Items'!B:L,COLUMN('Price List, Weapons &amp; Items'!$J$11)-1,0)</f>
        <v>.</v>
      </c>
      <c r="AO104" s="180" t="str">
        <f>IF(I104=".",".",VLOOKUP($I104,'Price List, Weapons &amp; Items'!B:J,3,0))</f>
        <v>.</v>
      </c>
      <c r="AP104" s="545" t="e">
        <f t="shared" ca="1" si="23"/>
        <v>#NAME?</v>
      </c>
      <c r="AQ104" s="180" t="str">
        <f>VLOOKUP($I104,'Price List, Weapons &amp; Items'!B:L,COLUMN('Price List, Weapons &amp; Items'!$L$11)-1,0)</f>
        <v>no price, 0 count</v>
      </c>
      <c r="AR104" s="180">
        <f t="shared" si="24"/>
        <v>1</v>
      </c>
      <c r="AS104" s="180">
        <f t="shared" si="25"/>
        <v>0</v>
      </c>
      <c r="AT104" s="180">
        <f t="shared" si="17"/>
        <v>1</v>
      </c>
      <c r="AU104" s="180" t="str">
        <f t="shared" si="26"/>
        <v>.</v>
      </c>
      <c r="AV104" s="180" t="str">
        <f t="shared" si="27"/>
        <v>.</v>
      </c>
      <c r="AW104" s="180">
        <f>IFERROR(VLOOKUP(B104,'Share, Heavy Weapons to Ukraine'!B:J,COLUMN('Share, Heavy Weapons to Ukraine'!C112)-1,0),0)</f>
        <v>1</v>
      </c>
      <c r="AX104" s="180">
        <f>VLOOKUP('Bilateral Assistance, MAIN DATA'!B104,'Country Summary'!B:F,COLUMN('Country Summary'!C115)-1,FALSE)</f>
        <v>0</v>
      </c>
      <c r="AY104" s="180" t="str">
        <f>IF(AND(AD104=1,D104="Military",H104&lt;&gt;"Not given")=TRUE,IF(SUMIFS(P:P,A:A,A104)&gt;0,ABS((SUMIFS(P:P,A:A,A104)/VLOOKUP("USD",'Exchange Rates'!B:C,2,0)))/S104,"."),".")</f>
        <v>.</v>
      </c>
      <c r="AZ104" s="182" t="str">
        <f>IF(AND(AD104=1,D104="Military",H104&lt;&gt;"Not given")=TRUE,IF(SUMIFS(P:P,A:A,A104)&gt;0,IF((ABS((SUMIFS(P:P,A:A,A104)/VLOOKUP("USD",'Exchange Rates'!B:C,2,0)))/S104)&gt;1,(SUMIFS(P:P,A:A,A104)-S104)/S104,(S104-SUMIFS(P:P,A:A,A104))/SUMIFS(P:P,A:A,A104)),"."),".")</f>
        <v>.</v>
      </c>
      <c r="BA104" s="1024"/>
      <c r="BB104" s="1024"/>
      <c r="BC104" s="1024"/>
      <c r="BD104" s="1024"/>
      <c r="BE104" s="1024"/>
      <c r="BF104" s="1024"/>
      <c r="BG104" s="1024"/>
      <c r="BH104" s="1024"/>
      <c r="BI104" s="1024"/>
      <c r="BJ104" s="1024"/>
      <c r="BK104" s="1024"/>
      <c r="BL104" s="1024"/>
      <c r="BM104" s="1024"/>
      <c r="BN104" s="1024"/>
      <c r="BO104" s="1024"/>
      <c r="BP104" s="1024"/>
      <c r="BQ104" s="1024"/>
      <c r="BR104" s="1024"/>
      <c r="BS104" s="1024"/>
    </row>
    <row r="105" spans="1:71" s="521" customFormat="1" ht="15.9" customHeight="1" x14ac:dyDescent="0.3">
      <c r="A105" s="17" t="s">
        <v>570</v>
      </c>
      <c r="B105" s="17" t="s">
        <v>517</v>
      </c>
      <c r="C105" s="174">
        <v>44807</v>
      </c>
      <c r="D105" s="5" t="s">
        <v>256</v>
      </c>
      <c r="E105" s="5" t="s">
        <v>257</v>
      </c>
      <c r="F105" s="175" t="s">
        <v>571</v>
      </c>
      <c r="G105" s="15" t="s">
        <v>520</v>
      </c>
      <c r="H105" s="176">
        <v>52000000</v>
      </c>
      <c r="I105" s="17" t="s">
        <v>260</v>
      </c>
      <c r="J105" s="113" t="str">
        <f>VLOOKUP($I105,'Price List, Weapons &amp; Items'!B:C,2,0)</f>
        <v>.</v>
      </c>
      <c r="K105" s="113" t="str">
        <f>IF(I105=".",I105,VLOOKUP($I105,'Price List, Weapons &amp; Items'!B:D,3,0))</f>
        <v>.</v>
      </c>
      <c r="L105" s="177">
        <f>VLOOKUP(I105,'Price List, Weapons &amp; Items'!B:E,4,0)</f>
        <v>0</v>
      </c>
      <c r="M105" s="542" t="s">
        <v>260</v>
      </c>
      <c r="N105" s="542" t="s">
        <v>260</v>
      </c>
      <c r="O105" s="543" t="str">
        <f>VLOOKUP($I105,'Price List, Weapons &amp; Items'!B:G,6,0)</f>
        <v>.</v>
      </c>
      <c r="P105" s="176" t="str">
        <f t="shared" si="18"/>
        <v>.</v>
      </c>
      <c r="Q105" s="176" t="str">
        <f t="shared" si="19"/>
        <v>.</v>
      </c>
      <c r="R105" s="176">
        <f t="shared" si="16"/>
        <v>52000000</v>
      </c>
      <c r="S105" s="176">
        <f>IF(AND(AD105=1,R105&lt;&gt;".")=TRUE,R105/VLOOKUP(G105,'Exchange Rates'!B:C,2,0),IF(R105=".",".",""))</f>
        <v>36366179.453108609</v>
      </c>
      <c r="T105" s="176" t="str">
        <f>IF(AD105=1,IF(AF105="Value is not given at all",".",IF(AF105="Value is given by the source",S105,IF(AF105="Value is calculated with prices",(IF(SUMIFS(Q:Q,A:A,A105)&gt;0,SUMIFS(Q:Q,A:A,A105),"."))/VLOOKUP("USD",'Exchange Rates'!B:C,2,0),"Error with coding"))),"")</f>
        <v>.</v>
      </c>
      <c r="U105" s="15" t="s">
        <v>261</v>
      </c>
      <c r="V105" s="300" t="s">
        <v>572</v>
      </c>
      <c r="W105" s="300" t="s">
        <v>545</v>
      </c>
      <c r="X105" s="175" t="s">
        <v>260</v>
      </c>
      <c r="Y105" s="175" t="s">
        <v>260</v>
      </c>
      <c r="Z105" s="15">
        <v>0</v>
      </c>
      <c r="AA105" s="180">
        <v>0</v>
      </c>
      <c r="AB105" s="17" t="s">
        <v>260</v>
      </c>
      <c r="AC105" s="544" t="str">
        <f>""</f>
        <v/>
      </c>
      <c r="AD105" s="183">
        <v>1</v>
      </c>
      <c r="AE105" s="183" t="s">
        <v>264</v>
      </c>
      <c r="AF105" s="183" t="s">
        <v>265</v>
      </c>
      <c r="AG105" s="183">
        <v>1</v>
      </c>
      <c r="AH105" s="181">
        <v>9</v>
      </c>
      <c r="AI105" s="181">
        <v>0</v>
      </c>
      <c r="AJ105" s="181">
        <f>VLOOKUP($I105,'Price List, Weapons &amp; Items'!B:F,5,0)</f>
        <v>0</v>
      </c>
      <c r="AK105" s="181">
        <f t="shared" si="20"/>
        <v>0</v>
      </c>
      <c r="AL105" s="181">
        <f t="shared" si="21"/>
        <v>0</v>
      </c>
      <c r="AM105" s="181">
        <f t="shared" si="22"/>
        <v>0</v>
      </c>
      <c r="AN105" s="180" t="str">
        <f>VLOOKUP($I105,'Price List, Weapons &amp; Items'!B:L,COLUMN('Price List, Weapons &amp; Items'!$J$11)-1,0)</f>
        <v>.</v>
      </c>
      <c r="AO105" s="180" t="str">
        <f>IF(I105=".",".",VLOOKUP($I105,'Price List, Weapons &amp; Items'!B:J,3,0))</f>
        <v>.</v>
      </c>
      <c r="AP105" s="545" t="e">
        <f t="shared" ca="1" si="23"/>
        <v>#NAME?</v>
      </c>
      <c r="AQ105" s="180" t="str">
        <f>VLOOKUP($I105,'Price List, Weapons &amp; Items'!B:L,COLUMN('Price List, Weapons &amp; Items'!$L$11)-1,0)</f>
        <v>no price, 0 count</v>
      </c>
      <c r="AR105" s="180">
        <f t="shared" si="24"/>
        <v>1</v>
      </c>
      <c r="AS105" s="180">
        <f t="shared" si="25"/>
        <v>0</v>
      </c>
      <c r="AT105" s="180">
        <f t="shared" si="17"/>
        <v>1</v>
      </c>
      <c r="AU105" s="180" t="str">
        <f t="shared" si="26"/>
        <v>.</v>
      </c>
      <c r="AV105" s="180" t="str">
        <f t="shared" si="27"/>
        <v>.</v>
      </c>
      <c r="AW105" s="180">
        <f>IFERROR(VLOOKUP(B105,'Share, Heavy Weapons to Ukraine'!B:J,COLUMN('Share, Heavy Weapons to Ukraine'!C113)-1,0),0)</f>
        <v>1</v>
      </c>
      <c r="AX105" s="180">
        <f>VLOOKUP('Bilateral Assistance, MAIN DATA'!B105,'Country Summary'!B:F,COLUMN('Country Summary'!C116)-1,FALSE)</f>
        <v>0</v>
      </c>
      <c r="AY105" s="180" t="str">
        <f>IF(AND(AD105=1,D105="Military",H105&lt;&gt;"Not given")=TRUE,IF(SUMIFS(P:P,A:A,A105)&gt;0,ABS((SUMIFS(P:P,A:A,A105)/VLOOKUP("USD",'Exchange Rates'!B:C,2,0)))/S105,"."),".")</f>
        <v>.</v>
      </c>
      <c r="AZ105" s="182" t="str">
        <f>IF(AND(AD105=1,D105="Military",H105&lt;&gt;"Not given")=TRUE,IF(SUMIFS(P:P,A:A,A105)&gt;0,IF((ABS((SUMIFS(P:P,A:A,A105)/VLOOKUP("USD",'Exchange Rates'!B:C,2,0)))/S105)&gt;1,(SUMIFS(P:P,A:A,A105)-S105)/S105,(S105-SUMIFS(P:P,A:A,A105))/SUMIFS(P:P,A:A,A105)),"."),".")</f>
        <v>.</v>
      </c>
      <c r="BA105" s="1025"/>
      <c r="BB105" s="1025"/>
      <c r="BC105" s="1025"/>
      <c r="BD105" s="1025"/>
      <c r="BE105" s="1025"/>
      <c r="BF105" s="1025"/>
      <c r="BG105" s="1025"/>
      <c r="BH105" s="1025"/>
      <c r="BI105" s="1025"/>
      <c r="BJ105" s="1025"/>
      <c r="BK105" s="1025"/>
      <c r="BL105" s="1025"/>
      <c r="BM105" s="1025"/>
      <c r="BN105" s="1025"/>
      <c r="BO105" s="1025"/>
      <c r="BP105" s="1025"/>
      <c r="BQ105" s="1025"/>
      <c r="BR105" s="1025"/>
      <c r="BS105" s="1025"/>
    </row>
    <row r="106" spans="1:71" s="521" customFormat="1" ht="15.9" customHeight="1" x14ac:dyDescent="0.3">
      <c r="A106" s="17" t="s">
        <v>573</v>
      </c>
      <c r="B106" s="17" t="s">
        <v>517</v>
      </c>
      <c r="C106" s="174">
        <v>44908</v>
      </c>
      <c r="D106" s="5" t="s">
        <v>256</v>
      </c>
      <c r="E106" s="5" t="s">
        <v>362</v>
      </c>
      <c r="F106" s="175" t="s">
        <v>574</v>
      </c>
      <c r="G106" s="15" t="s">
        <v>520</v>
      </c>
      <c r="H106" s="176">
        <v>115000000</v>
      </c>
      <c r="I106" s="17" t="s">
        <v>260</v>
      </c>
      <c r="J106" s="113" t="str">
        <f>VLOOKUP($I106,'Price List, Weapons &amp; Items'!B:C,2,0)</f>
        <v>.</v>
      </c>
      <c r="K106" s="113" t="str">
        <f>IF(I106=".",I106,VLOOKUP($I106,'Price List, Weapons &amp; Items'!B:D,3,0))</f>
        <v>.</v>
      </c>
      <c r="L106" s="177">
        <f>VLOOKUP(I106,'Price List, Weapons &amp; Items'!B:E,4,0)</f>
        <v>0</v>
      </c>
      <c r="M106" s="542" t="s">
        <v>260</v>
      </c>
      <c r="N106" s="542" t="s">
        <v>260</v>
      </c>
      <c r="O106" s="543" t="str">
        <f>VLOOKUP($I106,'Price List, Weapons &amp; Items'!B:G,6,0)</f>
        <v>.</v>
      </c>
      <c r="P106" s="176" t="str">
        <f t="shared" si="18"/>
        <v>.</v>
      </c>
      <c r="Q106" s="176" t="str">
        <f t="shared" si="19"/>
        <v>.</v>
      </c>
      <c r="R106" s="176">
        <f t="shared" si="16"/>
        <v>115000000</v>
      </c>
      <c r="S106" s="176">
        <f>IF(AND(AD106=1,R106&lt;&gt;".")=TRUE,R106/VLOOKUP(G106,'Exchange Rates'!B:C,2,0),IF(R106=".",".",""))</f>
        <v>80425204.559759423</v>
      </c>
      <c r="T106" s="176" t="str">
        <f>IF(AD106=1,IF(AF106="Value is not given at all",".",IF(AF106="Value is given by the source",S106,IF(AF106="Value is calculated with prices",(IF(SUMIFS(Q:Q,A:A,A106)&gt;0,SUMIFS(Q:Q,A:A,A106),"."))/VLOOKUP("USD",'Exchange Rates'!B:C,2,0),"Error with coding"))),"")</f>
        <v>.</v>
      </c>
      <c r="U106" s="15" t="s">
        <v>261</v>
      </c>
      <c r="V106" s="636" t="s">
        <v>575</v>
      </c>
      <c r="W106" s="636" t="s">
        <v>576</v>
      </c>
      <c r="X106" s="175" t="s">
        <v>260</v>
      </c>
      <c r="Y106" s="175" t="s">
        <v>260</v>
      </c>
      <c r="Z106" s="15">
        <v>1</v>
      </c>
      <c r="AA106" s="180">
        <v>1</v>
      </c>
      <c r="AB106" s="17" t="s">
        <v>260</v>
      </c>
      <c r="AC106" s="544"/>
      <c r="AD106" s="183">
        <v>1</v>
      </c>
      <c r="AE106" s="183" t="s">
        <v>264</v>
      </c>
      <c r="AF106" s="183" t="s">
        <v>265</v>
      </c>
      <c r="AG106" s="183">
        <v>1</v>
      </c>
      <c r="AH106" s="181">
        <v>12</v>
      </c>
      <c r="AI106" s="181">
        <v>0</v>
      </c>
      <c r="AJ106" s="181">
        <f>VLOOKUP($I106,'Price List, Weapons &amp; Items'!B:F,5,0)</f>
        <v>0</v>
      </c>
      <c r="AK106" s="181">
        <f t="shared" si="20"/>
        <v>0</v>
      </c>
      <c r="AL106" s="181">
        <f t="shared" si="21"/>
        <v>0</v>
      </c>
      <c r="AM106" s="181">
        <f t="shared" si="22"/>
        <v>0</v>
      </c>
      <c r="AN106" s="180" t="str">
        <f>VLOOKUP($I106,'Price List, Weapons &amp; Items'!B:L,COLUMN('Price List, Weapons &amp; Items'!$J$11)-1,0)</f>
        <v>.</v>
      </c>
      <c r="AO106" s="180" t="str">
        <f>IF(I106=".",".",VLOOKUP($I106,'Price List, Weapons &amp; Items'!B:J,3,0))</f>
        <v>.</v>
      </c>
      <c r="AP106" s="545" t="e">
        <f t="shared" ca="1" si="23"/>
        <v>#NAME?</v>
      </c>
      <c r="AQ106" s="180" t="str">
        <f>VLOOKUP($I106,'Price List, Weapons &amp; Items'!B:L,COLUMN('Price List, Weapons &amp; Items'!$L$11)-1,0)</f>
        <v>no price, 0 count</v>
      </c>
      <c r="AR106" s="180">
        <f t="shared" si="24"/>
        <v>1</v>
      </c>
      <c r="AS106" s="180">
        <f t="shared" si="25"/>
        <v>0</v>
      </c>
      <c r="AT106" s="180">
        <f t="shared" si="17"/>
        <v>1</v>
      </c>
      <c r="AU106" s="180" t="str">
        <f t="shared" si="26"/>
        <v>.</v>
      </c>
      <c r="AV106" s="180" t="str">
        <f t="shared" si="27"/>
        <v>.</v>
      </c>
      <c r="AW106" s="180">
        <f>IFERROR(VLOOKUP(B106,'Share, Heavy Weapons to Ukraine'!B:J,COLUMN('Share, Heavy Weapons to Ukraine'!C114)-1,0),0)</f>
        <v>1</v>
      </c>
      <c r="AX106" s="180">
        <f>VLOOKUP('Bilateral Assistance, MAIN DATA'!B106,'Country Summary'!B:F,COLUMN('Country Summary'!C117)-1,FALSE)</f>
        <v>0</v>
      </c>
      <c r="AY106" s="180" t="str">
        <f>IF(AND(AD106=1,D106="Military",H106&lt;&gt;"Not given")=TRUE,IF(SUMIFS(P:P,A:A,A106)&gt;0,ABS((SUMIFS(P:P,A:A,A106)/VLOOKUP("USD",'Exchange Rates'!B:C,2,0)))/S106,"."),".")</f>
        <v>.</v>
      </c>
      <c r="AZ106" s="182" t="str">
        <f>IF(AND(AD106=1,D106="Military",H106&lt;&gt;"Not given")=TRUE,IF(SUMIFS(P:P,A:A,A106)&gt;0,IF((ABS((SUMIFS(P:P,A:A,A106)/VLOOKUP("USD",'Exchange Rates'!B:C,2,0)))/S106)&gt;1,(SUMIFS(P:P,A:A,A106)-S106)/S106,(S106-SUMIFS(P:P,A:A,A106))/SUMIFS(P:P,A:A,A106)),"."),".")</f>
        <v>.</v>
      </c>
      <c r="BA106" s="1025"/>
      <c r="BB106" s="1025"/>
      <c r="BC106" s="1025"/>
      <c r="BD106" s="1025"/>
      <c r="BE106" s="1025"/>
      <c r="BF106" s="1025"/>
      <c r="BG106" s="1025"/>
      <c r="BH106" s="1025"/>
      <c r="BI106" s="1025"/>
      <c r="BJ106" s="1025"/>
      <c r="BK106" s="1025"/>
      <c r="BL106" s="1025"/>
      <c r="BM106" s="1025"/>
      <c r="BN106" s="1025"/>
      <c r="BO106" s="1025"/>
      <c r="BP106" s="1025"/>
      <c r="BQ106" s="1025"/>
      <c r="BR106" s="1025"/>
      <c r="BS106" s="1025"/>
    </row>
    <row r="107" spans="1:71" s="520" customFormat="1" ht="15.9" customHeight="1" x14ac:dyDescent="0.3">
      <c r="A107" s="17" t="s">
        <v>577</v>
      </c>
      <c r="B107" s="17" t="s">
        <v>517</v>
      </c>
      <c r="C107" s="174">
        <v>44587</v>
      </c>
      <c r="D107" s="5" t="s">
        <v>285</v>
      </c>
      <c r="E107" s="5" t="s">
        <v>286</v>
      </c>
      <c r="F107" s="175" t="s">
        <v>578</v>
      </c>
      <c r="G107" s="15" t="s">
        <v>520</v>
      </c>
      <c r="H107" s="176">
        <v>340000000</v>
      </c>
      <c r="I107" s="17" t="s">
        <v>260</v>
      </c>
      <c r="J107" s="113" t="str">
        <f>VLOOKUP($I107,'Price List, Weapons &amp; Items'!B:C,2,0)</f>
        <v>.</v>
      </c>
      <c r="K107" s="113" t="str">
        <f>IF(I107=".",I107,VLOOKUP($I107,'Price List, Weapons &amp; Items'!B:D,3,0))</f>
        <v>.</v>
      </c>
      <c r="L107" s="177">
        <f>VLOOKUP(I107,'Price List, Weapons &amp; Items'!B:E,4,0)</f>
        <v>0</v>
      </c>
      <c r="M107" s="542" t="s">
        <v>260</v>
      </c>
      <c r="N107" s="542" t="s">
        <v>260</v>
      </c>
      <c r="O107" s="543" t="str">
        <f>VLOOKUP($I107,'Price List, Weapons &amp; Items'!B:G,6,0)</f>
        <v>.</v>
      </c>
      <c r="P107" s="176" t="str">
        <f t="shared" si="18"/>
        <v>.</v>
      </c>
      <c r="Q107" s="176" t="str">
        <f t="shared" si="19"/>
        <v>.</v>
      </c>
      <c r="R107" s="176">
        <f t="shared" si="16"/>
        <v>340000000</v>
      </c>
      <c r="S107" s="176">
        <f>IF(AND(AD107=1,R107&lt;&gt;".")=TRUE,R107/VLOOKUP(G107,'Exchange Rates'!B:C,2,0),IF(R107=".",".",""))</f>
        <v>237778865.6549409</v>
      </c>
      <c r="T107" s="176">
        <f>IF(AD107=1,IF(AF107="Value is not given at all",".",IF(AF107="Value is given by the source",S107,IF(AF107="Value is calculated with prices",(IF(SUMIFS(Q:Q,A:A,A107)&gt;0,SUMIFS(Q:Q,A:A,A107),"."))/VLOOKUP("USD",'Exchange Rates'!B:C,2,0),"Error with coding"))),"")</f>
        <v>237778865.6549409</v>
      </c>
      <c r="U107" s="15" t="s">
        <v>261</v>
      </c>
      <c r="V107" s="300" t="s">
        <v>552</v>
      </c>
      <c r="W107" s="300" t="s">
        <v>579</v>
      </c>
      <c r="X107" s="175" t="s">
        <v>260</v>
      </c>
      <c r="Y107" s="175" t="s">
        <v>260</v>
      </c>
      <c r="Z107" s="15">
        <v>0</v>
      </c>
      <c r="AA107" s="180">
        <v>0</v>
      </c>
      <c r="AB107" s="549" t="s">
        <v>580</v>
      </c>
      <c r="AC107" s="544" t="str">
        <f>""</f>
        <v/>
      </c>
      <c r="AD107" s="181">
        <v>1</v>
      </c>
      <c r="AE107" s="181" t="s">
        <v>264</v>
      </c>
      <c r="AF107" s="181" t="s">
        <v>264</v>
      </c>
      <c r="AG107" s="181">
        <v>1</v>
      </c>
      <c r="AH107" s="181">
        <v>1</v>
      </c>
      <c r="AI107" s="181">
        <v>1</v>
      </c>
      <c r="AJ107" s="181">
        <f>VLOOKUP($I107,'Price List, Weapons &amp; Items'!B:F,5,0)</f>
        <v>0</v>
      </c>
      <c r="AK107" s="181">
        <f t="shared" si="20"/>
        <v>0</v>
      </c>
      <c r="AL107" s="181">
        <f t="shared" si="21"/>
        <v>0</v>
      </c>
      <c r="AM107" s="181">
        <f t="shared" si="22"/>
        <v>0</v>
      </c>
      <c r="AN107" s="180" t="str">
        <f>VLOOKUP($I107,'Price List, Weapons &amp; Items'!B:L,COLUMN('Price List, Weapons &amp; Items'!$J$11)-1,0)</f>
        <v>.</v>
      </c>
      <c r="AO107" s="180" t="str">
        <f>IF(I107=".",".",VLOOKUP($I107,'Price List, Weapons &amp; Items'!B:J,3,0))</f>
        <v>.</v>
      </c>
      <c r="AP107" s="545" t="e">
        <f t="shared" ca="1" si="23"/>
        <v>#NAME?</v>
      </c>
      <c r="AQ107" s="180" t="str">
        <f>VLOOKUP($I107,'Price List, Weapons &amp; Items'!B:L,COLUMN('Price List, Weapons &amp; Items'!$L$11)-1,0)</f>
        <v>no price, 0 count</v>
      </c>
      <c r="AR107" s="180">
        <f t="shared" si="24"/>
        <v>1</v>
      </c>
      <c r="AS107" s="180">
        <f t="shared" si="25"/>
        <v>1</v>
      </c>
      <c r="AT107" s="180">
        <f t="shared" si="17"/>
        <v>1</v>
      </c>
      <c r="AU107" s="180" t="str">
        <f>IF(AND(A107=A105,C107=C105)=TRUE,IF(F107=F105,".","1"),".")</f>
        <v>.</v>
      </c>
      <c r="AV107" s="180" t="str">
        <f t="shared" si="27"/>
        <v>.</v>
      </c>
      <c r="AW107" s="180">
        <f>IFERROR(VLOOKUP(B107,'Share, Heavy Weapons to Ukraine'!B:J,COLUMN('Share, Heavy Weapons to Ukraine'!C114)-1,0),0)</f>
        <v>1</v>
      </c>
      <c r="AX107" s="180">
        <f>VLOOKUP('Bilateral Assistance, MAIN DATA'!B107,'Country Summary'!B:F,COLUMN('Country Summary'!C117)-1,FALSE)</f>
        <v>0</v>
      </c>
      <c r="AY107" s="180" t="str">
        <f>IF(AND(AD107=1,D107="Military",H107&lt;&gt;"Not given")=TRUE,IF(SUMIFS(P:P,A:A,A107)&gt;0,ABS((SUMIFS(P:P,A:A,A107)/VLOOKUP("USD",'Exchange Rates'!B:C,2,0)))/S107,"."),".")</f>
        <v>.</v>
      </c>
      <c r="AZ107" s="182" t="str">
        <f>IF(AND(AD107=1,D107="Military",H107&lt;&gt;"Not given")=TRUE,IF(SUMIFS(P:P,A:A,A107)&gt;0,IF((ABS((SUMIFS(P:P,A:A,A107)/VLOOKUP("USD",'Exchange Rates'!B:C,2,0)))/S107)&gt;1,(SUMIFS(P:P,A:A,A107)-S107)/S107,(S107-SUMIFS(P:P,A:A,A107))/SUMIFS(P:P,A:A,A107)),"."),".")</f>
        <v>.</v>
      </c>
      <c r="BA107" s="1024"/>
      <c r="BB107" s="1024"/>
      <c r="BC107" s="1024"/>
      <c r="BD107" s="1024"/>
      <c r="BE107" s="1024"/>
      <c r="BF107" s="1024"/>
      <c r="BG107" s="1024"/>
      <c r="BH107" s="1024"/>
      <c r="BI107" s="1024"/>
      <c r="BJ107" s="1024"/>
      <c r="BK107" s="1024"/>
      <c r="BL107" s="1024"/>
      <c r="BM107" s="1024"/>
      <c r="BN107" s="1024"/>
      <c r="BO107" s="1024"/>
      <c r="BP107" s="1024"/>
      <c r="BQ107" s="1024"/>
      <c r="BR107" s="1024"/>
      <c r="BS107" s="1024"/>
    </row>
    <row r="108" spans="1:71" s="520" customFormat="1" ht="15.9" customHeight="1" x14ac:dyDescent="0.3">
      <c r="A108" s="17" t="s">
        <v>581</v>
      </c>
      <c r="B108" s="17" t="s">
        <v>517</v>
      </c>
      <c r="C108" s="174">
        <v>44606</v>
      </c>
      <c r="D108" s="5" t="s">
        <v>285</v>
      </c>
      <c r="E108" s="5" t="s">
        <v>286</v>
      </c>
      <c r="F108" s="175" t="s">
        <v>582</v>
      </c>
      <c r="G108" s="15" t="s">
        <v>520</v>
      </c>
      <c r="H108" s="176">
        <v>7000000</v>
      </c>
      <c r="I108" s="17" t="s">
        <v>260</v>
      </c>
      <c r="J108" s="113" t="str">
        <f>VLOOKUP($I108,'Price List, Weapons &amp; Items'!B:C,2,0)</f>
        <v>.</v>
      </c>
      <c r="K108" s="113" t="str">
        <f>IF(I108=".",I108,VLOOKUP($I108,'Price List, Weapons &amp; Items'!B:D,3,0))</f>
        <v>.</v>
      </c>
      <c r="L108" s="177">
        <f>VLOOKUP(I108,'Price List, Weapons &amp; Items'!B:E,4,0)</f>
        <v>0</v>
      </c>
      <c r="M108" s="542" t="s">
        <v>260</v>
      </c>
      <c r="N108" s="542" t="s">
        <v>260</v>
      </c>
      <c r="O108" s="543" t="str">
        <f>VLOOKUP($I108,'Price List, Weapons &amp; Items'!B:G,6,0)</f>
        <v>.</v>
      </c>
      <c r="P108" s="176" t="str">
        <f t="shared" si="18"/>
        <v>.</v>
      </c>
      <c r="Q108" s="176" t="str">
        <f t="shared" si="19"/>
        <v>.</v>
      </c>
      <c r="R108" s="176">
        <f t="shared" si="16"/>
        <v>7000000</v>
      </c>
      <c r="S108" s="176">
        <f>IF(AND(AD108=1,R108&lt;&gt;".")=TRUE,R108/VLOOKUP(G108,'Exchange Rates'!B:C,2,0),IF(R108=".",".",""))</f>
        <v>4895447.2340723127</v>
      </c>
      <c r="T108" s="176">
        <f>IF(AD108=1,IF(AF108="Value is not given at all",".",IF(AF108="Value is given by the source",S108,IF(AF108="Value is calculated with prices",(IF(SUMIFS(Q:Q,A:A,A108)&gt;0,SUMIFS(Q:Q,A:A,A108),"."))/VLOOKUP("USD",'Exchange Rates'!B:C,2,0),"Error with coding"))),"")</f>
        <v>4895447.2340723127</v>
      </c>
      <c r="U108" s="15" t="s">
        <v>261</v>
      </c>
      <c r="V108" s="300" t="s">
        <v>583</v>
      </c>
      <c r="W108" s="175" t="s">
        <v>260</v>
      </c>
      <c r="X108" s="175" t="s">
        <v>260</v>
      </c>
      <c r="Y108" s="175" t="s">
        <v>260</v>
      </c>
      <c r="Z108" s="15">
        <v>0</v>
      </c>
      <c r="AA108" s="180">
        <v>0</v>
      </c>
      <c r="AB108" s="549" t="s">
        <v>584</v>
      </c>
      <c r="AC108" s="544" t="str">
        <f>""</f>
        <v/>
      </c>
      <c r="AD108" s="181">
        <v>1</v>
      </c>
      <c r="AE108" s="181" t="s">
        <v>264</v>
      </c>
      <c r="AF108" s="181" t="s">
        <v>264</v>
      </c>
      <c r="AG108" s="181">
        <v>1</v>
      </c>
      <c r="AH108" s="181">
        <v>2</v>
      </c>
      <c r="AI108" s="181">
        <v>1</v>
      </c>
      <c r="AJ108" s="181">
        <f>VLOOKUP($I108,'Price List, Weapons &amp; Items'!B:F,5,0)</f>
        <v>0</v>
      </c>
      <c r="AK108" s="181">
        <f t="shared" si="20"/>
        <v>0</v>
      </c>
      <c r="AL108" s="181">
        <f t="shared" si="21"/>
        <v>0</v>
      </c>
      <c r="AM108" s="181">
        <f t="shared" si="22"/>
        <v>0</v>
      </c>
      <c r="AN108" s="180" t="str">
        <f>VLOOKUP($I108,'Price List, Weapons &amp; Items'!B:L,COLUMN('Price List, Weapons &amp; Items'!$J$11)-1,0)</f>
        <v>.</v>
      </c>
      <c r="AO108" s="180" t="str">
        <f>IF(I108=".",".",VLOOKUP($I108,'Price List, Weapons &amp; Items'!B:J,3,0))</f>
        <v>.</v>
      </c>
      <c r="AP108" s="545" t="e">
        <f t="shared" ca="1" si="23"/>
        <v>#NAME?</v>
      </c>
      <c r="AQ108" s="180" t="str">
        <f>VLOOKUP($I108,'Price List, Weapons &amp; Items'!B:L,COLUMN('Price List, Weapons &amp; Items'!$L$11)-1,0)</f>
        <v>no price, 0 count</v>
      </c>
      <c r="AR108" s="180">
        <f t="shared" si="24"/>
        <v>1</v>
      </c>
      <c r="AS108" s="180">
        <f t="shared" si="25"/>
        <v>1</v>
      </c>
      <c r="AT108" s="180">
        <f t="shared" si="17"/>
        <v>1</v>
      </c>
      <c r="AU108" s="180" t="str">
        <f t="shared" si="26"/>
        <v>.</v>
      </c>
      <c r="AV108" s="180" t="str">
        <f t="shared" si="27"/>
        <v>.</v>
      </c>
      <c r="AW108" s="180">
        <f>IFERROR(VLOOKUP(B108,'Share, Heavy Weapons to Ukraine'!B:J,COLUMN('Share, Heavy Weapons to Ukraine'!C115)-1,0),0)</f>
        <v>1</v>
      </c>
      <c r="AX108" s="180">
        <f>VLOOKUP('Bilateral Assistance, MAIN DATA'!B108,'Country Summary'!B:F,COLUMN('Country Summary'!C118)-1,FALSE)</f>
        <v>0</v>
      </c>
      <c r="AY108" s="180" t="str">
        <f>IF(AND(AD108=1,D108="Military",H108&lt;&gt;"Not given")=TRUE,IF(SUMIFS(P:P,A:A,A108)&gt;0,ABS((SUMIFS(P:P,A:A,A108)/VLOOKUP("USD",'Exchange Rates'!B:C,2,0)))/S108,"."),".")</f>
        <v>.</v>
      </c>
      <c r="AZ108" s="182" t="str">
        <f>IF(AND(AD108=1,D108="Military",H108&lt;&gt;"Not given")=TRUE,IF(SUMIFS(P:P,A:A,A108)&gt;0,IF((ABS((SUMIFS(P:P,A:A,A108)/VLOOKUP("USD",'Exchange Rates'!B:C,2,0)))/S108)&gt;1,(SUMIFS(P:P,A:A,A108)-S108)/S108,(S108-SUMIFS(P:P,A:A,A108))/SUMIFS(P:P,A:A,A108)),"."),".")</f>
        <v>.</v>
      </c>
      <c r="BA108" s="1024"/>
      <c r="BB108" s="1024"/>
      <c r="BC108" s="1024"/>
      <c r="BD108" s="1024"/>
      <c r="BE108" s="1024"/>
      <c r="BF108" s="1024"/>
      <c r="BG108" s="1024"/>
      <c r="BH108" s="1024"/>
      <c r="BI108" s="1024"/>
      <c r="BJ108" s="1024"/>
      <c r="BK108" s="1024"/>
      <c r="BL108" s="1024"/>
      <c r="BM108" s="1024"/>
      <c r="BN108" s="1024"/>
      <c r="BO108" s="1024"/>
      <c r="BP108" s="1024"/>
      <c r="BQ108" s="1024"/>
      <c r="BR108" s="1024"/>
      <c r="BS108" s="1024"/>
    </row>
    <row r="109" spans="1:71" ht="15.9" customHeight="1" x14ac:dyDescent="0.3">
      <c r="A109" s="5" t="s">
        <v>585</v>
      </c>
      <c r="B109" s="5" t="s">
        <v>517</v>
      </c>
      <c r="C109" s="174">
        <v>44619</v>
      </c>
      <c r="D109" s="5" t="s">
        <v>285</v>
      </c>
      <c r="E109" s="5" t="s">
        <v>286</v>
      </c>
      <c r="F109" s="175" t="s">
        <v>586</v>
      </c>
      <c r="G109" s="15" t="s">
        <v>346</v>
      </c>
      <c r="H109" s="176" t="s">
        <v>341</v>
      </c>
      <c r="I109" s="17" t="s">
        <v>587</v>
      </c>
      <c r="J109" s="113" t="str">
        <f>VLOOKUP($I109,'Price List, Weapons &amp; Items'!B:C,2,0)</f>
        <v>Military equipment</v>
      </c>
      <c r="K109" s="113" t="str">
        <f>IF(I109=".",I109,VLOOKUP($I109,'Price List, Weapons &amp; Items'!B:D,3,0))</f>
        <v>Military equipment</v>
      </c>
      <c r="L109" s="177">
        <f>VLOOKUP(I109,'Price List, Weapons &amp; Items'!B:E,4,0)</f>
        <v>0</v>
      </c>
      <c r="M109" s="542">
        <v>1600</v>
      </c>
      <c r="N109" s="542">
        <v>1600</v>
      </c>
      <c r="O109" s="543">
        <f>VLOOKUP($I109,'Price List, Weapons &amp; Items'!B:G,6,0)</f>
        <v>219</v>
      </c>
      <c r="P109" s="176">
        <f t="shared" si="18"/>
        <v>350400</v>
      </c>
      <c r="Q109" s="176">
        <f t="shared" si="19"/>
        <v>350400</v>
      </c>
      <c r="R109" s="176">
        <f t="shared" si="16"/>
        <v>16263853.182718271</v>
      </c>
      <c r="S109" s="176">
        <f>IF(AND(AD109=1,R109&lt;&gt;".")=TRUE,R109/VLOOKUP(G109,'Exchange Rates'!B:C,2,0),IF(R109=".",".",""))</f>
        <v>15489383.983541211</v>
      </c>
      <c r="T109" s="176">
        <f>IF(AD109=1,IF(AF109="Value is not given at all",".",IF(AF109="Value is given by the source",S109,IF(AF109="Value is calculated with prices",(IF(SUMIFS(Q:Q,A:A,A109)&gt;0,SUMIFS(Q:Q,A:A,A109),"."))/VLOOKUP("USD",'Exchange Rates'!B:C,2,0),"Error with coding"))),"")</f>
        <v>15489383.983541211</v>
      </c>
      <c r="U109" s="15" t="s">
        <v>261</v>
      </c>
      <c r="V109" s="547" t="s">
        <v>588</v>
      </c>
      <c r="W109" s="188" t="s">
        <v>260</v>
      </c>
      <c r="X109" s="188" t="s">
        <v>260</v>
      </c>
      <c r="Y109" s="188" t="s">
        <v>260</v>
      </c>
      <c r="Z109" s="15">
        <v>0</v>
      </c>
      <c r="AA109" s="180">
        <v>0</v>
      </c>
      <c r="AB109" s="549" t="s">
        <v>589</v>
      </c>
      <c r="AC109" s="544" t="str">
        <f>""</f>
        <v/>
      </c>
      <c r="AD109" s="181">
        <v>1</v>
      </c>
      <c r="AE109" s="181" t="s">
        <v>332</v>
      </c>
      <c r="AF109" s="181" t="s">
        <v>332</v>
      </c>
      <c r="AG109" s="181">
        <v>1</v>
      </c>
      <c r="AH109" s="181">
        <v>2</v>
      </c>
      <c r="AI109" s="181">
        <v>0</v>
      </c>
      <c r="AJ109" s="181">
        <f>VLOOKUP($I109,'Price List, Weapons &amp; Items'!B:F,5,0)</f>
        <v>0</v>
      </c>
      <c r="AK109" s="181">
        <f t="shared" si="20"/>
        <v>0</v>
      </c>
      <c r="AL109" s="181">
        <f t="shared" si="21"/>
        <v>0</v>
      </c>
      <c r="AM109" s="181">
        <f t="shared" si="22"/>
        <v>0</v>
      </c>
      <c r="AN109" s="180" t="str">
        <f>VLOOKUP($I109,'Price List, Weapons &amp; Items'!B:L,COLUMN('Price List, Weapons &amp; Items'!$J$11)-1,0)</f>
        <v>Online marketplaces and stores</v>
      </c>
      <c r="AO109" s="180" t="str">
        <f>IF(I109=".",".",VLOOKUP($I109,'Price List, Weapons &amp; Items'!B:J,3,0))</f>
        <v>Military equipment</v>
      </c>
      <c r="AP109" s="545" t="e">
        <f t="shared" ca="1" si="23"/>
        <v>#NAME?</v>
      </c>
      <c r="AQ109" s="180">
        <f>VLOOKUP($I109,'Price List, Weapons &amp; Items'!B:L,COLUMN('Price List, Weapons &amp; Items'!$L$11)-1,0)</f>
        <v>1</v>
      </c>
      <c r="AR109" s="180">
        <f t="shared" si="24"/>
        <v>1</v>
      </c>
      <c r="AS109" s="180">
        <f t="shared" si="25"/>
        <v>1</v>
      </c>
      <c r="AT109" s="180">
        <f t="shared" si="17"/>
        <v>1</v>
      </c>
      <c r="AU109" s="180" t="str">
        <f t="shared" si="26"/>
        <v>.</v>
      </c>
      <c r="AV109" s="180" t="str">
        <f t="shared" si="27"/>
        <v>.</v>
      </c>
      <c r="AW109" s="180">
        <f>IFERROR(VLOOKUP(B109,'Share, Heavy Weapons to Ukraine'!B:J,COLUMN('Share, Heavy Weapons to Ukraine'!C116)-1,0),0)</f>
        <v>1</v>
      </c>
      <c r="AX109" s="180">
        <f>VLOOKUP('Bilateral Assistance, MAIN DATA'!B109,'Country Summary'!B:F,COLUMN('Country Summary'!C119)-1,FALSE)</f>
        <v>0</v>
      </c>
      <c r="AY109" s="180" t="str">
        <f>IF(AND(AD109=1,D109="Military",H109&lt;&gt;"Not given")=TRUE,IF(SUMIFS(P:P,A:A,A109)&gt;0,ABS((SUMIFS(P:P,A:A,A109)/VLOOKUP("USD",'Exchange Rates'!B:C,2,0)))/S109,"."),".")</f>
        <v>.</v>
      </c>
      <c r="AZ109" s="182" t="str">
        <f>IF(AND(AD109=1,D109="Military",H109&lt;&gt;"Not given")=TRUE,IF(SUMIFS(P:P,A:A,A109)&gt;0,IF((ABS((SUMIFS(P:P,A:A,A109)/VLOOKUP("USD",'Exchange Rates'!B:C,2,0)))/S109)&gt;1,(SUMIFS(P:P,A:A,A109)-S109)/S109,(S109-SUMIFS(P:P,A:A,A109))/SUMIFS(P:P,A:A,A109)),"."),".")</f>
        <v>.</v>
      </c>
      <c r="BA109" s="182"/>
      <c r="BB109" s="182"/>
      <c r="BC109" s="182"/>
      <c r="BD109" s="182"/>
      <c r="BE109" s="182"/>
      <c r="BF109" s="182"/>
      <c r="BG109" s="182"/>
      <c r="BH109" s="182"/>
      <c r="BI109" s="182"/>
      <c r="BJ109" s="182"/>
      <c r="BK109" s="182"/>
      <c r="BL109" s="182"/>
      <c r="BM109" s="182"/>
      <c r="BN109" s="182"/>
      <c r="BO109" s="182"/>
      <c r="BP109" s="182"/>
      <c r="BQ109" s="182"/>
      <c r="BR109" s="182"/>
      <c r="BS109" s="182"/>
    </row>
    <row r="110" spans="1:71" ht="15.9" customHeight="1" x14ac:dyDescent="0.3">
      <c r="A110" s="5" t="s">
        <v>585</v>
      </c>
      <c r="B110" s="5" t="s">
        <v>517</v>
      </c>
      <c r="C110" s="174">
        <v>44619</v>
      </c>
      <c r="D110" s="5" t="s">
        <v>285</v>
      </c>
      <c r="E110" s="5" t="s">
        <v>286</v>
      </c>
      <c r="F110" s="175" t="s">
        <v>586</v>
      </c>
      <c r="G110" s="15" t="s">
        <v>346</v>
      </c>
      <c r="H110" s="176" t="s">
        <v>341</v>
      </c>
      <c r="I110" s="17" t="s">
        <v>590</v>
      </c>
      <c r="J110" s="113" t="str">
        <f>VLOOKUP($I110,'Price List, Weapons &amp; Items'!B:C,2,0)</f>
        <v>Military equipment</v>
      </c>
      <c r="K110" s="113" t="str">
        <f>IF(I110=".",I110,VLOOKUP($I110,'Price List, Weapons &amp; Items'!B:D,3,0))</f>
        <v>Military equipment</v>
      </c>
      <c r="L110" s="177">
        <f>VLOOKUP(I110,'Price List, Weapons &amp; Items'!B:E,4,0)</f>
        <v>0</v>
      </c>
      <c r="M110" s="542">
        <v>390000</v>
      </c>
      <c r="N110" s="542">
        <v>390000</v>
      </c>
      <c r="O110" s="543">
        <f>VLOOKUP($I110,'Price List, Weapons &amp; Items'!B:G,6,0)</f>
        <v>22</v>
      </c>
      <c r="P110" s="176">
        <f t="shared" si="18"/>
        <v>8580000</v>
      </c>
      <c r="Q110" s="176">
        <f t="shared" si="19"/>
        <v>8580000</v>
      </c>
      <c r="R110" s="176" t="str">
        <f t="shared" si="16"/>
        <v/>
      </c>
      <c r="S110" s="176" t="str">
        <f>IF(AND(AD110=1,R110&lt;&gt;".")=TRUE,R110/VLOOKUP(G110,'Exchange Rates'!B:C,2,0),IF(R110=".",".",""))</f>
        <v/>
      </c>
      <c r="T110" s="176" t="str">
        <f>IF(AD110=1,IF(AF110="Value is not given at all",".",IF(AF110="Value is given by the source",S110,IF(AF110="Value is calculated with prices",(IF(SUMIFS(Q:Q,A:A,A110)&gt;0,SUMIFS(Q:Q,A:A,A110),"."))/VLOOKUP("USD",'Exchange Rates'!B:C,2,0),"Error with coding"))),"")</f>
        <v/>
      </c>
      <c r="U110" s="15" t="s">
        <v>261</v>
      </c>
      <c r="V110" s="547" t="s">
        <v>588</v>
      </c>
      <c r="W110" s="188" t="s">
        <v>260</v>
      </c>
      <c r="X110" s="188" t="s">
        <v>260</v>
      </c>
      <c r="Y110" s="188" t="s">
        <v>260</v>
      </c>
      <c r="Z110" s="15">
        <v>0</v>
      </c>
      <c r="AA110" s="180">
        <v>0</v>
      </c>
      <c r="AB110" s="184" t="s">
        <v>260</v>
      </c>
      <c r="AC110" s="544" t="str">
        <f>""</f>
        <v/>
      </c>
      <c r="AD110" s="181">
        <v>0</v>
      </c>
      <c r="AE110" s="181" t="s">
        <v>332</v>
      </c>
      <c r="AF110" s="181" t="s">
        <v>332</v>
      </c>
      <c r="AG110" s="181">
        <v>1</v>
      </c>
      <c r="AH110" s="181">
        <v>2</v>
      </c>
      <c r="AI110" s="181">
        <v>0</v>
      </c>
      <c r="AJ110" s="181">
        <f>VLOOKUP($I110,'Price List, Weapons &amp; Items'!B:F,5,0)</f>
        <v>0</v>
      </c>
      <c r="AK110" s="181">
        <f t="shared" si="20"/>
        <v>0</v>
      </c>
      <c r="AL110" s="181">
        <f t="shared" si="21"/>
        <v>0</v>
      </c>
      <c r="AM110" s="181">
        <f t="shared" si="22"/>
        <v>0</v>
      </c>
      <c r="AN110" s="180" t="str">
        <f>VLOOKUP($I110,'Price List, Weapons &amp; Items'!B:L,COLUMN('Price List, Weapons &amp; Items'!$J$11)-1,0)</f>
        <v>Online marketplaces and stores</v>
      </c>
      <c r="AO110" s="180" t="str">
        <f>IF(I110=".",".",VLOOKUP($I110,'Price List, Weapons &amp; Items'!B:J,3,0))</f>
        <v>Military equipment</v>
      </c>
      <c r="AP110" s="545" t="str">
        <f t="shared" ca="1" si="23"/>
        <v/>
      </c>
      <c r="AQ110" s="180">
        <f>VLOOKUP($I110,'Price List, Weapons &amp; Items'!B:L,COLUMN('Price List, Weapons &amp; Items'!$L$11)-1,0)</f>
        <v>2</v>
      </c>
      <c r="AR110" s="180">
        <f t="shared" si="24"/>
        <v>1</v>
      </c>
      <c r="AS110" s="180">
        <f t="shared" si="25"/>
        <v>1</v>
      </c>
      <c r="AT110" s="180">
        <f t="shared" si="17"/>
        <v>1</v>
      </c>
      <c r="AU110" s="180" t="str">
        <f t="shared" si="26"/>
        <v>.</v>
      </c>
      <c r="AV110" s="180" t="str">
        <f t="shared" si="27"/>
        <v>.</v>
      </c>
      <c r="AW110" s="180">
        <f>IFERROR(VLOOKUP(B110,'Share, Heavy Weapons to Ukraine'!B:J,COLUMN('Share, Heavy Weapons to Ukraine'!C117)-1,0),0)</f>
        <v>1</v>
      </c>
      <c r="AX110" s="180">
        <f>VLOOKUP('Bilateral Assistance, MAIN DATA'!B110,'Country Summary'!B:F,COLUMN('Country Summary'!C120)-1,FALSE)</f>
        <v>0</v>
      </c>
      <c r="AY110" s="180" t="str">
        <f>IF(AND(AD110=1,D110="Military",H110&lt;&gt;"Not given")=TRUE,IF(SUMIFS(P:P,A:A,A110)&gt;0,ABS((SUMIFS(P:P,A:A,A110)/VLOOKUP("USD",'Exchange Rates'!B:C,2,0)))/S110,"."),".")</f>
        <v>.</v>
      </c>
      <c r="AZ110" s="182" t="str">
        <f>IF(AND(AD110=1,D110="Military",H110&lt;&gt;"Not given")=TRUE,IF(SUMIFS(P:P,A:A,A110)&gt;0,IF((ABS((SUMIFS(P:P,A:A,A110)/VLOOKUP("USD",'Exchange Rates'!B:C,2,0)))/S110)&gt;1,(SUMIFS(P:P,A:A,A110)-S110)/S110,(S110-SUMIFS(P:P,A:A,A110))/SUMIFS(P:P,A:A,A110)),"."),".")</f>
        <v>.</v>
      </c>
      <c r="BA110" s="182"/>
      <c r="BB110" s="182"/>
      <c r="BC110" s="182"/>
      <c r="BD110" s="182"/>
      <c r="BE110" s="182"/>
      <c r="BF110" s="182"/>
      <c r="BG110" s="182"/>
      <c r="BH110" s="182"/>
      <c r="BI110" s="182"/>
      <c r="BJ110" s="182"/>
      <c r="BK110" s="182"/>
      <c r="BL110" s="182"/>
      <c r="BM110" s="182"/>
      <c r="BN110" s="182"/>
      <c r="BO110" s="182"/>
      <c r="BP110" s="182"/>
      <c r="BQ110" s="182"/>
      <c r="BR110" s="182"/>
      <c r="BS110" s="182"/>
    </row>
    <row r="111" spans="1:71" ht="15.9" customHeight="1" x14ac:dyDescent="0.3">
      <c r="A111" s="5" t="s">
        <v>585</v>
      </c>
      <c r="B111" s="5" t="s">
        <v>517</v>
      </c>
      <c r="C111" s="174">
        <v>44619</v>
      </c>
      <c r="D111" s="5" t="s">
        <v>285</v>
      </c>
      <c r="E111" s="5" t="s">
        <v>286</v>
      </c>
      <c r="F111" s="175" t="s">
        <v>586</v>
      </c>
      <c r="G111" s="15" t="s">
        <v>346</v>
      </c>
      <c r="H111" s="176" t="s">
        <v>341</v>
      </c>
      <c r="I111" s="17" t="s">
        <v>591</v>
      </c>
      <c r="J111" s="113" t="str">
        <f>VLOOKUP($I111,'Price List, Weapons &amp; Items'!B:C,2,0)</f>
        <v>Light armaments &amp; infantry</v>
      </c>
      <c r="K111" s="113" t="str">
        <f>IF(I111=".",I111,VLOOKUP($I111,'Price List, Weapons &amp; Items'!B:D,3,0))</f>
        <v>Recoilless rifle (RR/RCL)</v>
      </c>
      <c r="L111" s="177">
        <f>VLOOKUP(I111,'Price List, Weapons &amp; Items'!B:E,4,0)</f>
        <v>0</v>
      </c>
      <c r="M111" s="542">
        <v>100</v>
      </c>
      <c r="N111" s="542">
        <v>100</v>
      </c>
      <c r="O111" s="543">
        <f>VLOOKUP($I111,'Price List, Weapons &amp; Items'!B:G,6,0)</f>
        <v>38334.53182718272</v>
      </c>
      <c r="P111" s="176">
        <f t="shared" si="18"/>
        <v>3833453.1827182719</v>
      </c>
      <c r="Q111" s="176">
        <f t="shared" si="19"/>
        <v>3833453.1827182719</v>
      </c>
      <c r="R111" s="176" t="str">
        <f t="shared" si="16"/>
        <v/>
      </c>
      <c r="S111" s="176" t="str">
        <f>IF(AND(AD111=1,R111&lt;&gt;".")=TRUE,R111/VLOOKUP(G111,'Exchange Rates'!B:C,2,0),IF(R111=".",".",""))</f>
        <v/>
      </c>
      <c r="T111" s="176" t="str">
        <f>IF(AD111=1,IF(AF111="Value is not given at all",".",IF(AF111="Value is given by the source",S111,IF(AF111="Value is calculated with prices",(IF(SUMIFS(Q:Q,A:A,A111)&gt;0,SUMIFS(Q:Q,A:A,A111),"."))/VLOOKUP("USD",'Exchange Rates'!B:C,2,0),"Error with coding"))),"")</f>
        <v/>
      </c>
      <c r="U111" s="15" t="s">
        <v>261</v>
      </c>
      <c r="V111" s="547" t="s">
        <v>588</v>
      </c>
      <c r="W111" s="188" t="s">
        <v>260</v>
      </c>
      <c r="X111" s="188" t="s">
        <v>260</v>
      </c>
      <c r="Y111" s="188" t="s">
        <v>260</v>
      </c>
      <c r="Z111" s="15">
        <v>0</v>
      </c>
      <c r="AA111" s="180">
        <v>0</v>
      </c>
      <c r="AB111" s="549" t="s">
        <v>589</v>
      </c>
      <c r="AC111" s="544" t="str">
        <f>""</f>
        <v/>
      </c>
      <c r="AD111" s="181">
        <v>0</v>
      </c>
      <c r="AE111" s="181" t="s">
        <v>332</v>
      </c>
      <c r="AF111" s="181" t="s">
        <v>332</v>
      </c>
      <c r="AG111" s="181">
        <v>1</v>
      </c>
      <c r="AH111" s="181">
        <v>2</v>
      </c>
      <c r="AI111" s="181">
        <v>0</v>
      </c>
      <c r="AJ111" s="181">
        <f>VLOOKUP($I111,'Price List, Weapons &amp; Items'!B:F,5,0)</f>
        <v>0</v>
      </c>
      <c r="AK111" s="181">
        <f t="shared" si="20"/>
        <v>0</v>
      </c>
      <c r="AL111" s="181">
        <f t="shared" si="21"/>
        <v>0</v>
      </c>
      <c r="AM111" s="181">
        <f t="shared" si="22"/>
        <v>0</v>
      </c>
      <c r="AN111" s="180" t="str">
        <f>VLOOKUP($I111,'Price List, Weapons &amp; Items'!B:L,COLUMN('Price List, Weapons &amp; Items'!$J$11)-1,0)</f>
        <v>Military media (incl. websites)</v>
      </c>
      <c r="AO111" s="180" t="str">
        <f>IF(I111=".",".",VLOOKUP($I111,'Price List, Weapons &amp; Items'!B:J,3,0))</f>
        <v>Recoilless rifle (RR/RCL)</v>
      </c>
      <c r="AP111" s="545" t="str">
        <f t="shared" ca="1" si="23"/>
        <v/>
      </c>
      <c r="AQ111" s="180">
        <f>VLOOKUP($I111,'Price List, Weapons &amp; Items'!B:L,COLUMN('Price List, Weapons &amp; Items'!$L$11)-1,0)</f>
        <v>2</v>
      </c>
      <c r="AR111" s="180">
        <f t="shared" si="24"/>
        <v>1</v>
      </c>
      <c r="AS111" s="180">
        <f t="shared" si="25"/>
        <v>1</v>
      </c>
      <c r="AT111" s="180">
        <f t="shared" si="17"/>
        <v>1</v>
      </c>
      <c r="AU111" s="180" t="str">
        <f t="shared" si="26"/>
        <v>.</v>
      </c>
      <c r="AV111" s="180" t="str">
        <f t="shared" si="27"/>
        <v>.</v>
      </c>
      <c r="AW111" s="180">
        <f>IFERROR(VLOOKUP(B111,'Share, Heavy Weapons to Ukraine'!B:J,COLUMN('Share, Heavy Weapons to Ukraine'!C118)-1,0),0)</f>
        <v>1</v>
      </c>
      <c r="AX111" s="180">
        <f>VLOOKUP('Bilateral Assistance, MAIN DATA'!B111,'Country Summary'!B:F,COLUMN('Country Summary'!C121)-1,FALSE)</f>
        <v>0</v>
      </c>
      <c r="AY111" s="180" t="str">
        <f>IF(AND(AD111=1,D111="Military",H111&lt;&gt;"Not given")=TRUE,IF(SUMIFS(P:P,A:A,A111)&gt;0,ABS((SUMIFS(P:P,A:A,A111)/VLOOKUP("USD",'Exchange Rates'!B:C,2,0)))/S111,"."),".")</f>
        <v>.</v>
      </c>
      <c r="AZ111" s="182" t="str">
        <f>IF(AND(AD111=1,D111="Military",H111&lt;&gt;"Not given")=TRUE,IF(SUMIFS(P:P,A:A,A111)&gt;0,IF((ABS((SUMIFS(P:P,A:A,A111)/VLOOKUP("USD",'Exchange Rates'!B:C,2,0)))/S111)&gt;1,(SUMIFS(P:P,A:A,A111)-S111)/S111,(S111-SUMIFS(P:P,A:A,A111))/SUMIFS(P:P,A:A,A111)),"."),".")</f>
        <v>.</v>
      </c>
      <c r="BA111" s="182"/>
      <c r="BB111" s="182"/>
      <c r="BC111" s="182"/>
      <c r="BD111" s="182"/>
      <c r="BE111" s="182"/>
      <c r="BF111" s="182"/>
      <c r="BG111" s="182"/>
      <c r="BH111" s="182"/>
      <c r="BI111" s="182"/>
      <c r="BJ111" s="182"/>
      <c r="BK111" s="182"/>
      <c r="BL111" s="182"/>
      <c r="BM111" s="182"/>
      <c r="BN111" s="182"/>
      <c r="BO111" s="182"/>
      <c r="BP111" s="182"/>
      <c r="BQ111" s="182"/>
      <c r="BR111" s="182"/>
      <c r="BS111" s="182"/>
    </row>
    <row r="112" spans="1:71" ht="15.9" customHeight="1" x14ac:dyDescent="0.3">
      <c r="A112" s="5" t="s">
        <v>585</v>
      </c>
      <c r="B112" s="5" t="s">
        <v>517</v>
      </c>
      <c r="C112" s="174">
        <v>44619</v>
      </c>
      <c r="D112" s="5" t="s">
        <v>285</v>
      </c>
      <c r="E112" s="5" t="s">
        <v>286</v>
      </c>
      <c r="F112" s="175" t="s">
        <v>586</v>
      </c>
      <c r="G112" s="15" t="s">
        <v>346</v>
      </c>
      <c r="H112" s="176" t="s">
        <v>341</v>
      </c>
      <c r="I112" s="17" t="s">
        <v>592</v>
      </c>
      <c r="J112" s="113" t="str">
        <f>VLOOKUP($I112,'Price List, Weapons &amp; Items'!B:C,2,0)</f>
        <v>Ammunition for light infantry</v>
      </c>
      <c r="K112" s="113" t="str">
        <f>IF(I112=".",I112,VLOOKUP($I112,'Price List, Weapons &amp; Items'!B:D,3,0))</f>
        <v>Recoilless rifle (RR/RCL) ammunition</v>
      </c>
      <c r="L112" s="177">
        <f>VLOOKUP(I112,'Price List, Weapons &amp; Items'!B:E,4,0)</f>
        <v>0</v>
      </c>
      <c r="M112" s="542">
        <v>2000</v>
      </c>
      <c r="N112" s="542">
        <v>2000</v>
      </c>
      <c r="O112" s="543">
        <f>VLOOKUP($I112,'Price List, Weapons &amp; Items'!B:G,6,0)</f>
        <v>1750</v>
      </c>
      <c r="P112" s="176">
        <f t="shared" si="18"/>
        <v>3500000</v>
      </c>
      <c r="Q112" s="176">
        <f t="shared" si="19"/>
        <v>3500000</v>
      </c>
      <c r="R112" s="176" t="str">
        <f t="shared" si="16"/>
        <v/>
      </c>
      <c r="S112" s="176" t="str">
        <f>IF(AND(AD112=1,R112&lt;&gt;".")=TRUE,R112/VLOOKUP(G112,'Exchange Rates'!B:C,2,0),IF(R112=".",".",""))</f>
        <v/>
      </c>
      <c r="T112" s="176" t="str">
        <f>IF(AD112=1,IF(AF112="Value is not given at all",".",IF(AF112="Value is given by the source",S112,IF(AF112="Value is calculated with prices",(IF(SUMIFS(Q:Q,A:A,A112)&gt;0,SUMIFS(Q:Q,A:A,A112),"."))/VLOOKUP("USD",'Exchange Rates'!B:C,2,0),"Error with coding"))),"")</f>
        <v/>
      </c>
      <c r="U112" s="15" t="s">
        <v>261</v>
      </c>
      <c r="V112" s="547" t="s">
        <v>588</v>
      </c>
      <c r="W112" s="188" t="s">
        <v>260</v>
      </c>
      <c r="X112" s="188" t="s">
        <v>260</v>
      </c>
      <c r="Y112" s="188" t="s">
        <v>260</v>
      </c>
      <c r="Z112" s="15">
        <v>0</v>
      </c>
      <c r="AA112" s="180">
        <v>0</v>
      </c>
      <c r="AB112" s="549" t="s">
        <v>589</v>
      </c>
      <c r="AC112" s="544" t="str">
        <f>""</f>
        <v/>
      </c>
      <c r="AD112" s="181">
        <v>0</v>
      </c>
      <c r="AE112" s="181" t="s">
        <v>332</v>
      </c>
      <c r="AF112" s="181" t="s">
        <v>332</v>
      </c>
      <c r="AG112" s="181">
        <v>1</v>
      </c>
      <c r="AH112" s="181">
        <v>2</v>
      </c>
      <c r="AI112" s="181">
        <v>0</v>
      </c>
      <c r="AJ112" s="181">
        <f>VLOOKUP($I112,'Price List, Weapons &amp; Items'!B:F,5,0)</f>
        <v>0</v>
      </c>
      <c r="AK112" s="181">
        <f t="shared" si="20"/>
        <v>0</v>
      </c>
      <c r="AL112" s="181">
        <f t="shared" si="21"/>
        <v>0</v>
      </c>
      <c r="AM112" s="181">
        <f t="shared" si="22"/>
        <v>1</v>
      </c>
      <c r="AN112" s="180" t="str">
        <f>VLOOKUP($I112,'Price List, Weapons &amp; Items'!B:L,COLUMN('Price List, Weapons &amp; Items'!$J$11)-1,0)</f>
        <v>Military media (incl. websites)</v>
      </c>
      <c r="AO112" s="180" t="str">
        <f>IF(I112=".",".",VLOOKUP($I112,'Price List, Weapons &amp; Items'!B:J,3,0))</f>
        <v>Recoilless rifle (RR/RCL) ammunition</v>
      </c>
      <c r="AP112" s="545" t="str">
        <f t="shared" ca="1" si="23"/>
        <v/>
      </c>
      <c r="AQ112" s="180">
        <f>VLOOKUP($I112,'Price List, Weapons &amp; Items'!B:L,COLUMN('Price List, Weapons &amp; Items'!$L$11)-1,0)</f>
        <v>2</v>
      </c>
      <c r="AR112" s="180">
        <f t="shared" si="24"/>
        <v>1</v>
      </c>
      <c r="AS112" s="180">
        <f t="shared" si="25"/>
        <v>1</v>
      </c>
      <c r="AT112" s="180">
        <f t="shared" si="17"/>
        <v>1</v>
      </c>
      <c r="AU112" s="180" t="str">
        <f t="shared" si="26"/>
        <v>.</v>
      </c>
      <c r="AV112" s="180" t="str">
        <f t="shared" si="27"/>
        <v>.</v>
      </c>
      <c r="AW112" s="180">
        <f>IFERROR(VLOOKUP(B112,'Share, Heavy Weapons to Ukraine'!B:J,COLUMN('Share, Heavy Weapons to Ukraine'!C119)-1,0),0)</f>
        <v>1</v>
      </c>
      <c r="AX112" s="180">
        <f>VLOOKUP('Bilateral Assistance, MAIN DATA'!B112,'Country Summary'!B:F,COLUMN('Country Summary'!C122)-1,FALSE)</f>
        <v>0</v>
      </c>
      <c r="AY112" s="180" t="str">
        <f>IF(AND(AD112=1,D112="Military",H112&lt;&gt;"Not given")=TRUE,IF(SUMIFS(P:P,A:A,A112)&gt;0,ABS((SUMIFS(P:P,A:A,A112)/VLOOKUP("USD",'Exchange Rates'!B:C,2,0)))/S112,"."),".")</f>
        <v>.</v>
      </c>
      <c r="AZ112" s="182" t="str">
        <f>IF(AND(AD112=1,D112="Military",H112&lt;&gt;"Not given")=TRUE,IF(SUMIFS(P:P,A:A,A112)&gt;0,IF((ABS((SUMIFS(P:P,A:A,A112)/VLOOKUP("USD",'Exchange Rates'!B:C,2,0)))/S112)&gt;1,(SUMIFS(P:P,A:A,A112)-S112)/S112,(S112-SUMIFS(P:P,A:A,A112))/SUMIFS(P:P,A:A,A112)),"."),".")</f>
        <v>.</v>
      </c>
      <c r="BA112" s="182"/>
      <c r="BB112" s="182"/>
      <c r="BC112" s="182"/>
      <c r="BD112" s="182"/>
      <c r="BE112" s="182"/>
      <c r="BF112" s="182"/>
      <c r="BG112" s="182"/>
      <c r="BH112" s="182"/>
      <c r="BI112" s="182"/>
      <c r="BJ112" s="182"/>
      <c r="BK112" s="182"/>
      <c r="BL112" s="182"/>
      <c r="BM112" s="182"/>
      <c r="BN112" s="182"/>
      <c r="BO112" s="182"/>
      <c r="BP112" s="182"/>
      <c r="BQ112" s="182"/>
      <c r="BR112" s="182"/>
      <c r="BS112" s="182"/>
    </row>
    <row r="113" spans="1:71" s="520" customFormat="1" ht="15.9" customHeight="1" x14ac:dyDescent="0.3">
      <c r="A113" s="5" t="s">
        <v>593</v>
      </c>
      <c r="B113" s="5" t="s">
        <v>517</v>
      </c>
      <c r="C113" s="174">
        <v>44619</v>
      </c>
      <c r="D113" s="5" t="s">
        <v>285</v>
      </c>
      <c r="E113" s="5" t="s">
        <v>294</v>
      </c>
      <c r="F113" s="175" t="s">
        <v>594</v>
      </c>
      <c r="G113" s="15" t="s">
        <v>520</v>
      </c>
      <c r="H113" s="176">
        <v>25000000</v>
      </c>
      <c r="I113" s="17" t="s">
        <v>463</v>
      </c>
      <c r="J113" s="113" t="str">
        <f>VLOOKUP($I113,'Price List, Weapons &amp; Items'!B:C,2,0)</f>
        <v>Military equipment</v>
      </c>
      <c r="K113" s="113" t="str">
        <f>IF(I113=".",I113,VLOOKUP($I113,'Price List, Weapons &amp; Items'!B:D,3,0))</f>
        <v>Military equipment</v>
      </c>
      <c r="L113" s="177">
        <f>VLOOKUP(I113,'Price List, Weapons &amp; Items'!B:E,4,0)</f>
        <v>0</v>
      </c>
      <c r="M113" s="542" t="s">
        <v>270</v>
      </c>
      <c r="N113" s="542" t="s">
        <v>270</v>
      </c>
      <c r="O113" s="543">
        <f>VLOOKUP($I113,'Price List, Weapons &amp; Items'!B:G,6,0)</f>
        <v>1400</v>
      </c>
      <c r="P113" s="176" t="str">
        <f t="shared" si="18"/>
        <v>.</v>
      </c>
      <c r="Q113" s="176" t="str">
        <f t="shared" si="19"/>
        <v>.</v>
      </c>
      <c r="R113" s="176">
        <f t="shared" si="16"/>
        <v>25000000</v>
      </c>
      <c r="S113" s="176">
        <f>IF(AND(AD113=1,R113&lt;&gt;".")=TRUE,R113/VLOOKUP(G113,'Exchange Rates'!B:C,2,0),IF(R113=".",".",""))</f>
        <v>17483740.121686831</v>
      </c>
      <c r="T113" s="176">
        <f>IF(AD113=1,IF(AF113="Value is not given at all",".",IF(AF113="Value is given by the source",S113,IF(AF113="Value is calculated with prices",(IF(SUMIFS(Q:Q,A:A,A113)&gt;0,SUMIFS(Q:Q,A:A,A113),"."))/VLOOKUP("USD",'Exchange Rates'!B:C,2,0),"Error with coding"))),"")</f>
        <v>17483740.121686831</v>
      </c>
      <c r="U113" s="15" t="s">
        <v>261</v>
      </c>
      <c r="V113" s="547" t="s">
        <v>588</v>
      </c>
      <c r="W113" s="547" t="s">
        <v>595</v>
      </c>
      <c r="X113" s="175" t="s">
        <v>260</v>
      </c>
      <c r="Y113" s="175" t="s">
        <v>260</v>
      </c>
      <c r="Z113" s="15">
        <v>0</v>
      </c>
      <c r="AA113" s="180">
        <v>0</v>
      </c>
      <c r="AB113" s="549" t="s">
        <v>596</v>
      </c>
      <c r="AC113" s="544" t="str">
        <f>""</f>
        <v/>
      </c>
      <c r="AD113" s="181">
        <v>1</v>
      </c>
      <c r="AE113" s="181" t="s">
        <v>264</v>
      </c>
      <c r="AF113" s="181" t="s">
        <v>264</v>
      </c>
      <c r="AG113" s="181">
        <v>1</v>
      </c>
      <c r="AH113" s="181">
        <v>2</v>
      </c>
      <c r="AI113" s="181">
        <v>0</v>
      </c>
      <c r="AJ113" s="181">
        <f>VLOOKUP($I113,'Price List, Weapons &amp; Items'!B:F,5,0)</f>
        <v>0</v>
      </c>
      <c r="AK113" s="181">
        <f t="shared" si="20"/>
        <v>0</v>
      </c>
      <c r="AL113" s="181">
        <f t="shared" si="21"/>
        <v>0</v>
      </c>
      <c r="AM113" s="181">
        <f t="shared" si="22"/>
        <v>0</v>
      </c>
      <c r="AN113" s="180" t="str">
        <f>VLOOKUP($I113,'Price List, Weapons &amp; Items'!B:L,COLUMN('Price List, Weapons &amp; Items'!$J$11)-1,0)</f>
        <v>Military media (incl. websites)</v>
      </c>
      <c r="AO113" s="180" t="str">
        <f>IF(I113=".",".",VLOOKUP($I113,'Price List, Weapons &amp; Items'!B:J,3,0))</f>
        <v>Military equipment</v>
      </c>
      <c r="AP113" s="545" t="e">
        <f t="shared" ca="1" si="23"/>
        <v>#NAME?</v>
      </c>
      <c r="AQ113" s="180">
        <f>VLOOKUP($I113,'Price List, Weapons &amp; Items'!B:L,COLUMN('Price List, Weapons &amp; Items'!$L$11)-1,0)</f>
        <v>2</v>
      </c>
      <c r="AR113" s="180">
        <f t="shared" si="24"/>
        <v>1</v>
      </c>
      <c r="AS113" s="180">
        <f t="shared" si="25"/>
        <v>1</v>
      </c>
      <c r="AT113" s="180">
        <f t="shared" si="17"/>
        <v>1</v>
      </c>
      <c r="AU113" s="180" t="str">
        <f t="shared" si="26"/>
        <v>.</v>
      </c>
      <c r="AV113" s="180" t="str">
        <f t="shared" si="27"/>
        <v>.</v>
      </c>
      <c r="AW113" s="180">
        <f>IFERROR(VLOOKUP(B113,'Share, Heavy Weapons to Ukraine'!B:J,COLUMN('Share, Heavy Weapons to Ukraine'!C120)-1,0),0)</f>
        <v>1</v>
      </c>
      <c r="AX113" s="180">
        <f>VLOOKUP('Bilateral Assistance, MAIN DATA'!B113,'Country Summary'!B:F,COLUMN('Country Summary'!C123)-1,FALSE)</f>
        <v>0</v>
      </c>
      <c r="AY113" s="180" t="str">
        <f>IF(AND(AD113=1,D113="Military",H113&lt;&gt;"Not given")=TRUE,IF(SUMIFS(P:P,A:A,A113)&gt;0,ABS((SUMIFS(P:P,A:A,A113)/VLOOKUP("USD",'Exchange Rates'!B:C,2,0)))/S113,"."),".")</f>
        <v>.</v>
      </c>
      <c r="AZ113" s="182" t="str">
        <f>IF(AND(AD113=1,D113="Military",H113&lt;&gt;"Not given")=TRUE,IF(SUMIFS(P:P,A:A,A113)&gt;0,IF((ABS((SUMIFS(P:P,A:A,A113)/VLOOKUP("USD",'Exchange Rates'!B:C,2,0)))/S113)&gt;1,(SUMIFS(P:P,A:A,A113)-S113)/S113,(S113-SUMIFS(P:P,A:A,A113))/SUMIFS(P:P,A:A,A113)),"."),".")</f>
        <v>.</v>
      </c>
      <c r="BA113" s="1024"/>
      <c r="BB113" s="1024"/>
      <c r="BC113" s="1024"/>
      <c r="BD113" s="1024"/>
      <c r="BE113" s="1024"/>
      <c r="BF113" s="1024"/>
      <c r="BG113" s="1024"/>
      <c r="BH113" s="1024"/>
      <c r="BI113" s="1024"/>
      <c r="BJ113" s="1024"/>
      <c r="BK113" s="1024"/>
      <c r="BL113" s="1024"/>
      <c r="BM113" s="1024"/>
      <c r="BN113" s="1024"/>
      <c r="BO113" s="1024"/>
      <c r="BP113" s="1024"/>
      <c r="BQ113" s="1024"/>
      <c r="BR113" s="1024"/>
      <c r="BS113" s="1024"/>
    </row>
    <row r="114" spans="1:71" s="520" customFormat="1" ht="15.9" customHeight="1" x14ac:dyDescent="0.3">
      <c r="A114" s="5" t="s">
        <v>593</v>
      </c>
      <c r="B114" s="5" t="s">
        <v>517</v>
      </c>
      <c r="C114" s="174">
        <v>44619</v>
      </c>
      <c r="D114" s="5" t="s">
        <v>285</v>
      </c>
      <c r="E114" s="5" t="s">
        <v>294</v>
      </c>
      <c r="F114" s="175" t="s">
        <v>594</v>
      </c>
      <c r="G114" s="15" t="s">
        <v>520</v>
      </c>
      <c r="H114" s="176">
        <v>25000000</v>
      </c>
      <c r="I114" s="192" t="s">
        <v>499</v>
      </c>
      <c r="J114" s="113" t="str">
        <f>VLOOKUP($I114,'Price List, Weapons &amp; Items'!B:C,2,0)</f>
        <v>Military equipment</v>
      </c>
      <c r="K114" s="113" t="str">
        <f>IF(I114=".",I114,VLOOKUP($I114,'Price List, Weapons &amp; Items'!B:D,3,0))</f>
        <v>Military equipment</v>
      </c>
      <c r="L114" s="177">
        <f>VLOOKUP(I114,'Price List, Weapons &amp; Items'!B:E,4,0)</f>
        <v>0</v>
      </c>
      <c r="M114" s="542" t="s">
        <v>270</v>
      </c>
      <c r="N114" s="542" t="s">
        <v>270</v>
      </c>
      <c r="O114" s="543">
        <f>VLOOKUP($I114,'Price List, Weapons &amp; Items'!B:G,6,0)</f>
        <v>500</v>
      </c>
      <c r="P114" s="176" t="str">
        <f t="shared" si="18"/>
        <v>.</v>
      </c>
      <c r="Q114" s="176" t="str">
        <f t="shared" si="19"/>
        <v>.</v>
      </c>
      <c r="R114" s="176" t="str">
        <f t="shared" si="16"/>
        <v/>
      </c>
      <c r="S114" s="176" t="str">
        <f>IF(AND(AD114=1,R114&lt;&gt;".")=TRUE,R114/VLOOKUP(G114,'Exchange Rates'!B:C,2,0),IF(R114=".",".",""))</f>
        <v/>
      </c>
      <c r="T114" s="176" t="str">
        <f>IF(AD114=1,IF(AF114="Value is not given at all",".",IF(AF114="Value is given by the source",S114,IF(AF114="Value is calculated with prices",(IF(SUMIFS(Q:Q,A:A,A114)&gt;0,SUMIFS(Q:Q,A:A,A114),"."))/VLOOKUP("USD",'Exchange Rates'!B:C,2,0),"Error with coding"))),"")</f>
        <v/>
      </c>
      <c r="U114" s="15" t="s">
        <v>261</v>
      </c>
      <c r="V114" s="547" t="s">
        <v>588</v>
      </c>
      <c r="W114" s="547" t="s">
        <v>595</v>
      </c>
      <c r="X114" s="175" t="s">
        <v>260</v>
      </c>
      <c r="Y114" s="175" t="s">
        <v>260</v>
      </c>
      <c r="Z114" s="15">
        <v>0</v>
      </c>
      <c r="AA114" s="180">
        <v>0</v>
      </c>
      <c r="AB114" s="549" t="s">
        <v>596</v>
      </c>
      <c r="AC114" s="544" t="str">
        <f>""</f>
        <v/>
      </c>
      <c r="AD114" s="181">
        <v>0</v>
      </c>
      <c r="AE114" s="181" t="s">
        <v>264</v>
      </c>
      <c r="AF114" s="181" t="s">
        <v>264</v>
      </c>
      <c r="AG114" s="181">
        <v>1</v>
      </c>
      <c r="AH114" s="181">
        <v>2</v>
      </c>
      <c r="AI114" s="181">
        <v>0</v>
      </c>
      <c r="AJ114" s="181">
        <f>VLOOKUP($I114,'Price List, Weapons &amp; Items'!B:F,5,0)</f>
        <v>0</v>
      </c>
      <c r="AK114" s="181">
        <f t="shared" si="20"/>
        <v>0</v>
      </c>
      <c r="AL114" s="181">
        <f t="shared" si="21"/>
        <v>0</v>
      </c>
      <c r="AM114" s="181">
        <f t="shared" si="22"/>
        <v>0</v>
      </c>
      <c r="AN114" s="180" t="str">
        <f>VLOOKUP($I114,'Price List, Weapons &amp; Items'!B:L,COLUMN('Price List, Weapons &amp; Items'!$J$11)-1,0)</f>
        <v>Military media (incl. websites)</v>
      </c>
      <c r="AO114" s="180" t="str">
        <f>IF(I114=".",".",VLOOKUP($I114,'Price List, Weapons &amp; Items'!B:J,3,0))</f>
        <v>Military equipment</v>
      </c>
      <c r="AP114" s="545" t="str">
        <f t="shared" ca="1" si="23"/>
        <v/>
      </c>
      <c r="AQ114" s="180">
        <f>VLOOKUP($I114,'Price List, Weapons &amp; Items'!B:L,COLUMN('Price List, Weapons &amp; Items'!$L$11)-1,0)</f>
        <v>2</v>
      </c>
      <c r="AR114" s="180">
        <f t="shared" si="24"/>
        <v>1</v>
      </c>
      <c r="AS114" s="180">
        <f t="shared" si="25"/>
        <v>1</v>
      </c>
      <c r="AT114" s="180">
        <f t="shared" si="17"/>
        <v>1</v>
      </c>
      <c r="AU114" s="180" t="str">
        <f t="shared" si="26"/>
        <v>.</v>
      </c>
      <c r="AV114" s="180" t="str">
        <f t="shared" si="27"/>
        <v>.</v>
      </c>
      <c r="AW114" s="180">
        <f>IFERROR(VLOOKUP(B114,'Share, Heavy Weapons to Ukraine'!B:J,COLUMN('Share, Heavy Weapons to Ukraine'!C121)-1,0),0)</f>
        <v>1</v>
      </c>
      <c r="AX114" s="180">
        <f>VLOOKUP('Bilateral Assistance, MAIN DATA'!B114,'Country Summary'!B:F,COLUMN('Country Summary'!C124)-1,FALSE)</f>
        <v>0</v>
      </c>
      <c r="AY114" s="180" t="str">
        <f>IF(AND(AD114=1,D114="Military",H114&lt;&gt;"Not given")=TRUE,IF(SUMIFS(P:P,A:A,A114)&gt;0,ABS((SUMIFS(P:P,A:A,A114)/VLOOKUP("USD",'Exchange Rates'!B:C,2,0)))/S114,"."),".")</f>
        <v>.</v>
      </c>
      <c r="AZ114" s="182" t="str">
        <f>IF(AND(AD114=1,D114="Military",H114&lt;&gt;"Not given")=TRUE,IF(SUMIFS(P:P,A:A,A114)&gt;0,IF((ABS((SUMIFS(P:P,A:A,A114)/VLOOKUP("USD",'Exchange Rates'!B:C,2,0)))/S114)&gt;1,(SUMIFS(P:P,A:A,A114)-S114)/S114,(S114-SUMIFS(P:P,A:A,A114))/SUMIFS(P:P,A:A,A114)),"."),".")</f>
        <v>.</v>
      </c>
      <c r="BA114" s="1024"/>
      <c r="BB114" s="1024"/>
      <c r="BC114" s="1024"/>
      <c r="BD114" s="1024"/>
      <c r="BE114" s="1024"/>
      <c r="BF114" s="1024"/>
      <c r="BG114" s="1024"/>
      <c r="BH114" s="1024"/>
      <c r="BI114" s="1024"/>
      <c r="BJ114" s="1024"/>
      <c r="BK114" s="1024"/>
      <c r="BL114" s="1024"/>
      <c r="BM114" s="1024"/>
      <c r="BN114" s="1024"/>
      <c r="BO114" s="1024"/>
      <c r="BP114" s="1024"/>
      <c r="BQ114" s="1024"/>
      <c r="BR114" s="1024"/>
      <c r="BS114" s="1024"/>
    </row>
    <row r="115" spans="1:71" s="520" customFormat="1" ht="15.9" customHeight="1" x14ac:dyDescent="0.3">
      <c r="A115" s="5" t="s">
        <v>593</v>
      </c>
      <c r="B115" s="5" t="s">
        <v>517</v>
      </c>
      <c r="C115" s="174">
        <v>44619</v>
      </c>
      <c r="D115" s="5" t="s">
        <v>285</v>
      </c>
      <c r="E115" s="5" t="s">
        <v>294</v>
      </c>
      <c r="F115" s="175" t="s">
        <v>594</v>
      </c>
      <c r="G115" s="15" t="s">
        <v>520</v>
      </c>
      <c r="H115" s="176">
        <v>25000000</v>
      </c>
      <c r="I115" s="190" t="s">
        <v>597</v>
      </c>
      <c r="J115" s="113" t="str">
        <f>VLOOKUP($I115,'Price List, Weapons &amp; Items'!B:C,2,0)</f>
        <v>Military equipment</v>
      </c>
      <c r="K115" s="113" t="str">
        <f>IF(I115=".",I115,VLOOKUP($I115,'Price List, Weapons &amp; Items'!B:D,3,0))</f>
        <v>Military equipment</v>
      </c>
      <c r="L115" s="177">
        <f>VLOOKUP(I115,'Price List, Weapons &amp; Items'!B:E,4,0)</f>
        <v>0</v>
      </c>
      <c r="M115" s="542" t="s">
        <v>270</v>
      </c>
      <c r="N115" s="542" t="s">
        <v>270</v>
      </c>
      <c r="O115" s="543">
        <f>VLOOKUP($I115,'Price List, Weapons &amp; Items'!B:G,6,0)</f>
        <v>62</v>
      </c>
      <c r="P115" s="176" t="str">
        <f t="shared" si="18"/>
        <v>.</v>
      </c>
      <c r="Q115" s="176" t="str">
        <f t="shared" si="19"/>
        <v>.</v>
      </c>
      <c r="R115" s="176" t="str">
        <f t="shared" si="16"/>
        <v/>
      </c>
      <c r="S115" s="176" t="str">
        <f>IF(AND(AD115=1,R115&lt;&gt;".")=TRUE,R115/VLOOKUP(G115,'Exchange Rates'!B:C,2,0),IF(R115=".",".",""))</f>
        <v/>
      </c>
      <c r="T115" s="176" t="str">
        <f>IF(AD115=1,IF(AF115="Value is not given at all",".",IF(AF115="Value is given by the source",S115,IF(AF115="Value is calculated with prices",(IF(SUMIFS(Q:Q,A:A,A115)&gt;0,SUMIFS(Q:Q,A:A,A115),"."))/VLOOKUP("USD",'Exchange Rates'!B:C,2,0),"Error with coding"))),"")</f>
        <v/>
      </c>
      <c r="U115" s="15" t="s">
        <v>261</v>
      </c>
      <c r="V115" s="547" t="s">
        <v>588</v>
      </c>
      <c r="W115" s="547" t="s">
        <v>595</v>
      </c>
      <c r="X115" s="175" t="s">
        <v>260</v>
      </c>
      <c r="Y115" s="175" t="s">
        <v>260</v>
      </c>
      <c r="Z115" s="15">
        <v>0</v>
      </c>
      <c r="AA115" s="180">
        <v>0</v>
      </c>
      <c r="AB115" s="549" t="s">
        <v>596</v>
      </c>
      <c r="AC115" s="544" t="str">
        <f>""</f>
        <v/>
      </c>
      <c r="AD115" s="181">
        <v>0</v>
      </c>
      <c r="AE115" s="181" t="s">
        <v>264</v>
      </c>
      <c r="AF115" s="181" t="s">
        <v>264</v>
      </c>
      <c r="AG115" s="181">
        <v>1</v>
      </c>
      <c r="AH115" s="181">
        <v>2</v>
      </c>
      <c r="AI115" s="181">
        <v>0</v>
      </c>
      <c r="AJ115" s="181">
        <f>VLOOKUP($I115,'Price List, Weapons &amp; Items'!B:F,5,0)</f>
        <v>0</v>
      </c>
      <c r="AK115" s="181">
        <f t="shared" si="20"/>
        <v>0</v>
      </c>
      <c r="AL115" s="181">
        <f t="shared" si="21"/>
        <v>0</v>
      </c>
      <c r="AM115" s="181">
        <f t="shared" si="22"/>
        <v>0</v>
      </c>
      <c r="AN115" s="180" t="str">
        <f>VLOOKUP($I115,'Price List, Weapons &amp; Items'!B:L,COLUMN('Price List, Weapons &amp; Items'!$J$11)-1,0)</f>
        <v>Online marketplaces and stores</v>
      </c>
      <c r="AO115" s="180" t="str">
        <f>IF(I115=".",".",VLOOKUP($I115,'Price List, Weapons &amp; Items'!B:J,3,0))</f>
        <v>Military equipment</v>
      </c>
      <c r="AP115" s="545" t="str">
        <f t="shared" ca="1" si="23"/>
        <v/>
      </c>
      <c r="AQ115" s="180">
        <f>VLOOKUP($I115,'Price List, Weapons &amp; Items'!B:L,COLUMN('Price List, Weapons &amp; Items'!$L$11)-1,0)</f>
        <v>1</v>
      </c>
      <c r="AR115" s="180">
        <f t="shared" si="24"/>
        <v>1</v>
      </c>
      <c r="AS115" s="180">
        <f t="shared" si="25"/>
        <v>1</v>
      </c>
      <c r="AT115" s="180">
        <f t="shared" si="17"/>
        <v>1</v>
      </c>
      <c r="AU115" s="180" t="str">
        <f t="shared" si="26"/>
        <v>.</v>
      </c>
      <c r="AV115" s="180" t="str">
        <f t="shared" si="27"/>
        <v>.</v>
      </c>
      <c r="AW115" s="180">
        <f>IFERROR(VLOOKUP(B115,'Share, Heavy Weapons to Ukraine'!B:J,COLUMN('Share, Heavy Weapons to Ukraine'!C122)-1,0),0)</f>
        <v>1</v>
      </c>
      <c r="AX115" s="180">
        <f>VLOOKUP('Bilateral Assistance, MAIN DATA'!B115,'Country Summary'!B:F,COLUMN('Country Summary'!C125)-1,FALSE)</f>
        <v>0</v>
      </c>
      <c r="AY115" s="180" t="str">
        <f>IF(AND(AD115=1,D115="Military",H115&lt;&gt;"Not given")=TRUE,IF(SUMIFS(P:P,A:A,A115)&gt;0,ABS((SUMIFS(P:P,A:A,A115)/VLOOKUP("USD",'Exchange Rates'!B:C,2,0)))/S115,"."),".")</f>
        <v>.</v>
      </c>
      <c r="AZ115" s="182" t="str">
        <f>IF(AND(AD115=1,D115="Military",H115&lt;&gt;"Not given")=TRUE,IF(SUMIFS(P:P,A:A,A115)&gt;0,IF((ABS((SUMIFS(P:P,A:A,A115)/VLOOKUP("USD",'Exchange Rates'!B:C,2,0)))/S115)&gt;1,(SUMIFS(P:P,A:A,A115)-S115)/S115,(S115-SUMIFS(P:P,A:A,A115))/SUMIFS(P:P,A:A,A115)),"."),".")</f>
        <v>.</v>
      </c>
      <c r="BA115" s="1024"/>
      <c r="BB115" s="1024"/>
      <c r="BC115" s="1024"/>
      <c r="BD115" s="1024"/>
      <c r="BE115" s="1024"/>
      <c r="BF115" s="1024"/>
      <c r="BG115" s="1024"/>
      <c r="BH115" s="1024"/>
      <c r="BI115" s="1024"/>
      <c r="BJ115" s="1024"/>
      <c r="BK115" s="1024"/>
      <c r="BL115" s="1024"/>
      <c r="BM115" s="1024"/>
      <c r="BN115" s="1024"/>
      <c r="BO115" s="1024"/>
      <c r="BP115" s="1024"/>
      <c r="BQ115" s="1024"/>
      <c r="BR115" s="1024"/>
      <c r="BS115" s="1024"/>
    </row>
    <row r="116" spans="1:71" s="520" customFormat="1" ht="15.9" customHeight="1" x14ac:dyDescent="0.3">
      <c r="A116" s="5" t="s">
        <v>593</v>
      </c>
      <c r="B116" s="5" t="s">
        <v>517</v>
      </c>
      <c r="C116" s="174">
        <v>44619</v>
      </c>
      <c r="D116" s="5" t="s">
        <v>285</v>
      </c>
      <c r="E116" s="5" t="s">
        <v>294</v>
      </c>
      <c r="F116" s="175" t="s">
        <v>594</v>
      </c>
      <c r="G116" s="15" t="s">
        <v>520</v>
      </c>
      <c r="H116" s="176">
        <v>25000000</v>
      </c>
      <c r="I116" s="217" t="s">
        <v>598</v>
      </c>
      <c r="J116" s="113" t="str">
        <f>VLOOKUP($I116,'Price List, Weapons &amp; Items'!B:C,2,0)</f>
        <v>Military equipment</v>
      </c>
      <c r="K116" s="113" t="str">
        <f>IF(I116=".",I116,VLOOKUP($I116,'Price List, Weapons &amp; Items'!B:D,3,0))</f>
        <v>Military equipment</v>
      </c>
      <c r="L116" s="177">
        <f>VLOOKUP(I116,'Price List, Weapons &amp; Items'!B:E,4,0)</f>
        <v>0</v>
      </c>
      <c r="M116" s="542" t="s">
        <v>270</v>
      </c>
      <c r="N116" s="542" t="s">
        <v>270</v>
      </c>
      <c r="O116" s="543">
        <f>VLOOKUP($I116,'Price List, Weapons &amp; Items'!B:G,6,0)</f>
        <v>2320</v>
      </c>
      <c r="P116" s="176" t="str">
        <f t="shared" si="18"/>
        <v>.</v>
      </c>
      <c r="Q116" s="176" t="str">
        <f t="shared" si="19"/>
        <v>.</v>
      </c>
      <c r="R116" s="176" t="str">
        <f t="shared" si="16"/>
        <v/>
      </c>
      <c r="S116" s="176" t="str">
        <f>IF(AND(AD116=1,R116&lt;&gt;".")=TRUE,R116/VLOOKUP(G116,'Exchange Rates'!B:C,2,0),IF(R116=".",".",""))</f>
        <v/>
      </c>
      <c r="T116" s="176" t="str">
        <f>IF(AD116=1,IF(AF116="Value is not given at all",".",IF(AF116="Value is given by the source",S116,IF(AF116="Value is calculated with prices",(IF(SUMIFS(Q:Q,A:A,A116)&gt;0,SUMIFS(Q:Q,A:A,A116),"."))/VLOOKUP("USD",'Exchange Rates'!B:C,2,0),"Error with coding"))),"")</f>
        <v/>
      </c>
      <c r="U116" s="15" t="s">
        <v>261</v>
      </c>
      <c r="V116" s="547" t="s">
        <v>588</v>
      </c>
      <c r="W116" s="547" t="s">
        <v>595</v>
      </c>
      <c r="X116" s="175" t="s">
        <v>260</v>
      </c>
      <c r="Y116" s="175" t="s">
        <v>260</v>
      </c>
      <c r="Z116" s="15">
        <v>0</v>
      </c>
      <c r="AA116" s="180">
        <v>0</v>
      </c>
      <c r="AB116" s="549" t="s">
        <v>596</v>
      </c>
      <c r="AC116" s="544" t="str">
        <f>""</f>
        <v/>
      </c>
      <c r="AD116" s="181">
        <v>0</v>
      </c>
      <c r="AE116" s="181" t="s">
        <v>264</v>
      </c>
      <c r="AF116" s="181" t="s">
        <v>264</v>
      </c>
      <c r="AG116" s="181">
        <v>1</v>
      </c>
      <c r="AH116" s="181">
        <v>2</v>
      </c>
      <c r="AI116" s="181">
        <v>0</v>
      </c>
      <c r="AJ116" s="181">
        <f>VLOOKUP($I116,'Price List, Weapons &amp; Items'!B:F,5,0)</f>
        <v>0</v>
      </c>
      <c r="AK116" s="181">
        <f t="shared" si="20"/>
        <v>0</v>
      </c>
      <c r="AL116" s="181">
        <f t="shared" si="21"/>
        <v>0</v>
      </c>
      <c r="AM116" s="181">
        <f t="shared" si="22"/>
        <v>0</v>
      </c>
      <c r="AN116" s="180" t="str">
        <f>VLOOKUP($I116,'Price List, Weapons &amp; Items'!B:L,COLUMN('Price List, Weapons &amp; Items'!$J$11)-1,0)</f>
        <v>Media reports (incl. social media)</v>
      </c>
      <c r="AO116" s="180" t="str">
        <f>IF(I116=".",".",VLOOKUP($I116,'Price List, Weapons &amp; Items'!B:J,3,0))</f>
        <v>Military equipment</v>
      </c>
      <c r="AP116" s="545" t="str">
        <f t="shared" ca="1" si="23"/>
        <v/>
      </c>
      <c r="AQ116" s="180">
        <f>VLOOKUP($I116,'Price List, Weapons &amp; Items'!B:L,COLUMN('Price List, Weapons &amp; Items'!$L$11)-1,0)</f>
        <v>2</v>
      </c>
      <c r="AR116" s="180">
        <f t="shared" si="24"/>
        <v>1</v>
      </c>
      <c r="AS116" s="180">
        <f t="shared" si="25"/>
        <v>1</v>
      </c>
      <c r="AT116" s="180">
        <f t="shared" si="17"/>
        <v>1</v>
      </c>
      <c r="AU116" s="180" t="str">
        <f t="shared" si="26"/>
        <v>.</v>
      </c>
      <c r="AV116" s="180" t="str">
        <f t="shared" si="27"/>
        <v>.</v>
      </c>
      <c r="AW116" s="180">
        <f>IFERROR(VLOOKUP(B116,'Share, Heavy Weapons to Ukraine'!B:J,COLUMN('Share, Heavy Weapons to Ukraine'!C123)-1,0),0)</f>
        <v>1</v>
      </c>
      <c r="AX116" s="180">
        <f>VLOOKUP('Bilateral Assistance, MAIN DATA'!B116,'Country Summary'!B:F,COLUMN('Country Summary'!C126)-1,FALSE)</f>
        <v>0</v>
      </c>
      <c r="AY116" s="180" t="str">
        <f>IF(AND(AD116=1,D116="Military",H116&lt;&gt;"Not given")=TRUE,IF(SUMIFS(P:P,A:A,A116)&gt;0,ABS((SUMIFS(P:P,A:A,A116)/VLOOKUP("USD",'Exchange Rates'!B:C,2,0)))/S116,"."),".")</f>
        <v>.</v>
      </c>
      <c r="AZ116" s="182" t="str">
        <f>IF(AND(AD116=1,D116="Military",H116&lt;&gt;"Not given")=TRUE,IF(SUMIFS(P:P,A:A,A116)&gt;0,IF((ABS((SUMIFS(P:P,A:A,A116)/VLOOKUP("USD",'Exchange Rates'!B:C,2,0)))/S116)&gt;1,(SUMIFS(P:P,A:A,A116)-S116)/S116,(S116-SUMIFS(P:P,A:A,A116))/SUMIFS(P:P,A:A,A116)),"."),".")</f>
        <v>.</v>
      </c>
      <c r="BA116" s="1024"/>
      <c r="BB116" s="1024"/>
      <c r="BC116" s="1024"/>
      <c r="BD116" s="1024"/>
      <c r="BE116" s="1024"/>
      <c r="BF116" s="1024"/>
      <c r="BG116" s="1024"/>
      <c r="BH116" s="1024"/>
      <c r="BI116" s="1024"/>
      <c r="BJ116" s="1024"/>
      <c r="BK116" s="1024"/>
      <c r="BL116" s="1024"/>
      <c r="BM116" s="1024"/>
      <c r="BN116" s="1024"/>
      <c r="BO116" s="1024"/>
      <c r="BP116" s="1024"/>
      <c r="BQ116" s="1024"/>
      <c r="BR116" s="1024"/>
      <c r="BS116" s="1024"/>
    </row>
    <row r="117" spans="1:71" ht="15.9" customHeight="1" x14ac:dyDescent="0.3">
      <c r="A117" s="5" t="s">
        <v>599</v>
      </c>
      <c r="B117" s="5" t="s">
        <v>517</v>
      </c>
      <c r="C117" s="174">
        <v>44623</v>
      </c>
      <c r="D117" s="5" t="s">
        <v>285</v>
      </c>
      <c r="E117" s="5" t="s">
        <v>286</v>
      </c>
      <c r="F117" s="175" t="s">
        <v>600</v>
      </c>
      <c r="G117" s="15" t="s">
        <v>346</v>
      </c>
      <c r="H117" s="176" t="s">
        <v>341</v>
      </c>
      <c r="I117" s="17" t="s">
        <v>441</v>
      </c>
      <c r="J117" s="113" t="str">
        <f>VLOOKUP($I117,'Price List, Weapons &amp; Items'!B:C,2,0)</f>
        <v>Portable defence system</v>
      </c>
      <c r="K117" s="113" t="str">
        <f>IF(I117=".",I117,VLOOKUP($I117,'Price List, Weapons &amp; Items'!B:D,3,0))</f>
        <v>Light Anti-armor Weapon (LAW)</v>
      </c>
      <c r="L117" s="177">
        <f>VLOOKUP(I117,'Price List, Weapons &amp; Items'!B:E,4,0)</f>
        <v>0</v>
      </c>
      <c r="M117" s="542">
        <v>4500</v>
      </c>
      <c r="N117" s="542">
        <v>4500</v>
      </c>
      <c r="O117" s="543">
        <f>VLOOKUP($I117,'Price List, Weapons &amp; Items'!B:G,6,0)</f>
        <v>1475</v>
      </c>
      <c r="P117" s="176">
        <f t="shared" si="18"/>
        <v>6637500</v>
      </c>
      <c r="Q117" s="176">
        <f t="shared" si="19"/>
        <v>6637500</v>
      </c>
      <c r="R117" s="176">
        <f t="shared" si="16"/>
        <v>6975000</v>
      </c>
      <c r="S117" s="176">
        <f>IF(AND(AD117=1,R117&lt;&gt;".")=TRUE,R117/VLOOKUP(G117,'Exchange Rates'!B:C,2,0),IF(R117=".",".",""))</f>
        <v>6642857.1428571427</v>
      </c>
      <c r="T117" s="176">
        <f>IF(AD117=1,IF(AF117="Value is not given at all",".",IF(AF117="Value is given by the source",S117,IF(AF117="Value is calculated with prices",(IF(SUMIFS(Q:Q,A:A,A117)&gt;0,SUMIFS(Q:Q,A:A,A117),"."))/VLOOKUP("USD",'Exchange Rates'!B:C,2,0),"Error with coding"))),"")</f>
        <v>6642857.1428571427</v>
      </c>
      <c r="U117" s="15" t="s">
        <v>261</v>
      </c>
      <c r="V117" s="547" t="s">
        <v>601</v>
      </c>
      <c r="W117" s="188" t="s">
        <v>260</v>
      </c>
      <c r="X117" s="188" t="s">
        <v>260</v>
      </c>
      <c r="Y117" s="188" t="s">
        <v>260</v>
      </c>
      <c r="Z117" s="15">
        <v>0</v>
      </c>
      <c r="AA117" s="180">
        <v>0</v>
      </c>
      <c r="AB117" s="549" t="s">
        <v>589</v>
      </c>
      <c r="AC117" s="544" t="str">
        <f>""</f>
        <v/>
      </c>
      <c r="AD117" s="181">
        <v>1</v>
      </c>
      <c r="AE117" s="181" t="s">
        <v>332</v>
      </c>
      <c r="AF117" s="181" t="s">
        <v>332</v>
      </c>
      <c r="AG117" s="181">
        <v>1</v>
      </c>
      <c r="AH117" s="181">
        <v>3</v>
      </c>
      <c r="AI117" s="181">
        <v>0</v>
      </c>
      <c r="AJ117" s="181">
        <f>VLOOKUP($I117,'Price List, Weapons &amp; Items'!B:F,5,0)</f>
        <v>0</v>
      </c>
      <c r="AK117" s="181">
        <f t="shared" si="20"/>
        <v>0</v>
      </c>
      <c r="AL117" s="181">
        <f t="shared" si="21"/>
        <v>0</v>
      </c>
      <c r="AM117" s="181">
        <f t="shared" si="22"/>
        <v>0</v>
      </c>
      <c r="AN117" s="180" t="str">
        <f>VLOOKUP($I117,'Price List, Weapons &amp; Items'!B:L,COLUMN('Price List, Weapons &amp; Items'!$J$11)-1,0)</f>
        <v>Military media (incl. websites)</v>
      </c>
      <c r="AO117" s="180" t="str">
        <f>IF(I117=".",".",VLOOKUP($I117,'Price List, Weapons &amp; Items'!B:J,3,0))</f>
        <v>Light Anti-armor Weapon (LAW)</v>
      </c>
      <c r="AP117" s="545" t="e">
        <f t="shared" ca="1" si="23"/>
        <v>#NAME?</v>
      </c>
      <c r="AQ117" s="180">
        <f>VLOOKUP($I117,'Price List, Weapons &amp; Items'!B:L,COLUMN('Price List, Weapons &amp; Items'!$L$11)-1,0)</f>
        <v>2</v>
      </c>
      <c r="AR117" s="180">
        <f t="shared" si="24"/>
        <v>1</v>
      </c>
      <c r="AS117" s="180">
        <f t="shared" si="25"/>
        <v>1</v>
      </c>
      <c r="AT117" s="180">
        <f t="shared" si="17"/>
        <v>1</v>
      </c>
      <c r="AU117" s="180" t="str">
        <f t="shared" si="26"/>
        <v>.</v>
      </c>
      <c r="AV117" s="180" t="str">
        <f t="shared" si="27"/>
        <v>.</v>
      </c>
      <c r="AW117" s="180">
        <f>IFERROR(VLOOKUP(B117,'Share, Heavy Weapons to Ukraine'!B:J,COLUMN('Share, Heavy Weapons to Ukraine'!C124)-1,0),0)</f>
        <v>1</v>
      </c>
      <c r="AX117" s="180">
        <f>VLOOKUP('Bilateral Assistance, MAIN DATA'!B117,'Country Summary'!B:F,COLUMN('Country Summary'!C127)-1,FALSE)</f>
        <v>0</v>
      </c>
      <c r="AY117" s="180" t="str">
        <f>IF(AND(AD117=1,D117="Military",H117&lt;&gt;"Not given")=TRUE,IF(SUMIFS(P:P,A:A,A117)&gt;0,ABS((SUMIFS(P:P,A:A,A117)/VLOOKUP("USD",'Exchange Rates'!B:C,2,0)))/S117,"."),".")</f>
        <v>.</v>
      </c>
      <c r="AZ117" s="182" t="str">
        <f>IF(AND(AD117=1,D117="Military",H117&lt;&gt;"Not given")=TRUE,IF(SUMIFS(P:P,A:A,A117)&gt;0,IF((ABS((SUMIFS(P:P,A:A,A117)/VLOOKUP("USD",'Exchange Rates'!B:C,2,0)))/S117)&gt;1,(SUMIFS(P:P,A:A,A117)-S117)/S117,(S117-SUMIFS(P:P,A:A,A117))/SUMIFS(P:P,A:A,A117)),"."),".")</f>
        <v>.</v>
      </c>
      <c r="BA117" s="182"/>
      <c r="BB117" s="182"/>
      <c r="BC117" s="182"/>
      <c r="BD117" s="182"/>
      <c r="BE117" s="182"/>
      <c r="BF117" s="182"/>
      <c r="BG117" s="182"/>
      <c r="BH117" s="182"/>
      <c r="BI117" s="182"/>
      <c r="BJ117" s="182"/>
      <c r="BK117" s="182"/>
      <c r="BL117" s="182"/>
      <c r="BM117" s="182"/>
      <c r="BN117" s="182"/>
      <c r="BO117" s="182"/>
      <c r="BP117" s="182"/>
      <c r="BQ117" s="182"/>
      <c r="BR117" s="182"/>
      <c r="BS117" s="182"/>
    </row>
    <row r="118" spans="1:71" ht="15.9" customHeight="1" x14ac:dyDescent="0.3">
      <c r="A118" s="5" t="s">
        <v>599</v>
      </c>
      <c r="B118" s="5" t="s">
        <v>517</v>
      </c>
      <c r="C118" s="174">
        <v>44623</v>
      </c>
      <c r="D118" s="5" t="s">
        <v>285</v>
      </c>
      <c r="E118" s="5" t="s">
        <v>286</v>
      </c>
      <c r="F118" s="175" t="s">
        <v>600</v>
      </c>
      <c r="G118" s="15" t="s">
        <v>346</v>
      </c>
      <c r="H118" s="176" t="s">
        <v>341</v>
      </c>
      <c r="I118" s="17" t="s">
        <v>602</v>
      </c>
      <c r="J118" s="113" t="str">
        <f>VLOOKUP($I118,'Price List, Weapons &amp; Items'!B:C,2,0)</f>
        <v>Light armaments &amp; infantry</v>
      </c>
      <c r="K118" s="113" t="str">
        <f>IF(I118=".",I118,VLOOKUP($I118,'Price List, Weapons &amp; Items'!B:D,3,0))</f>
        <v>Explosive</v>
      </c>
      <c r="L118" s="177">
        <f>VLOOKUP(I118,'Price List, Weapons &amp; Items'!B:E,4,0)</f>
        <v>0</v>
      </c>
      <c r="M118" s="542">
        <v>7500</v>
      </c>
      <c r="N118" s="542">
        <v>7500</v>
      </c>
      <c r="O118" s="543">
        <f>VLOOKUP($I118,'Price List, Weapons &amp; Items'!B:G,6,0)</f>
        <v>45</v>
      </c>
      <c r="P118" s="176">
        <f t="shared" si="18"/>
        <v>337500</v>
      </c>
      <c r="Q118" s="176">
        <f t="shared" si="19"/>
        <v>337500</v>
      </c>
      <c r="R118" s="176" t="str">
        <f t="shared" si="16"/>
        <v/>
      </c>
      <c r="S118" s="176" t="str">
        <f>IF(AND(AD118=1,R118&lt;&gt;".")=TRUE,R118/VLOOKUP(G118,'Exchange Rates'!B:C,2,0),IF(R118=".",".",""))</f>
        <v/>
      </c>
      <c r="T118" s="176" t="str">
        <f>IF(AD118=1,IF(AF118="Value is not given at all",".",IF(AF118="Value is given by the source",S118,IF(AF118="Value is calculated with prices",(IF(SUMIFS(Q:Q,A:A,A118)&gt;0,SUMIFS(Q:Q,A:A,A118),"."))/VLOOKUP("USD",'Exchange Rates'!B:C,2,0),"Error with coding"))),"")</f>
        <v/>
      </c>
      <c r="U118" s="15" t="s">
        <v>261</v>
      </c>
      <c r="V118" s="547" t="s">
        <v>601</v>
      </c>
      <c r="W118" s="188" t="s">
        <v>260</v>
      </c>
      <c r="X118" s="188" t="s">
        <v>260</v>
      </c>
      <c r="Y118" s="188" t="s">
        <v>260</v>
      </c>
      <c r="Z118" s="15">
        <v>0</v>
      </c>
      <c r="AA118" s="180">
        <v>0</v>
      </c>
      <c r="AB118" s="549" t="s">
        <v>589</v>
      </c>
      <c r="AC118" s="544" t="str">
        <f>""</f>
        <v/>
      </c>
      <c r="AD118" s="181">
        <v>0</v>
      </c>
      <c r="AE118" s="181" t="s">
        <v>332</v>
      </c>
      <c r="AF118" s="181" t="s">
        <v>332</v>
      </c>
      <c r="AG118" s="181">
        <v>1</v>
      </c>
      <c r="AH118" s="181">
        <v>3</v>
      </c>
      <c r="AI118" s="181">
        <v>0</v>
      </c>
      <c r="AJ118" s="181">
        <f>VLOOKUP($I118,'Price List, Weapons &amp; Items'!B:F,5,0)</f>
        <v>0</v>
      </c>
      <c r="AK118" s="181">
        <f t="shared" si="20"/>
        <v>0</v>
      </c>
      <c r="AL118" s="181">
        <f t="shared" si="21"/>
        <v>0</v>
      </c>
      <c r="AM118" s="181">
        <f t="shared" si="22"/>
        <v>0</v>
      </c>
      <c r="AN118" s="180" t="str">
        <f>VLOOKUP($I118,'Price List, Weapons &amp; Items'!B:L,COLUMN('Price List, Weapons &amp; Items'!$J$11)-1,0)</f>
        <v>Miscellaneous</v>
      </c>
      <c r="AO118" s="180" t="str">
        <f>IF(I118=".",".",VLOOKUP($I118,'Price List, Weapons &amp; Items'!B:J,3,0))</f>
        <v>Explosive</v>
      </c>
      <c r="AP118" s="545" t="str">
        <f t="shared" ca="1" si="23"/>
        <v/>
      </c>
      <c r="AQ118" s="180">
        <f>VLOOKUP($I118,'Price List, Weapons &amp; Items'!B:L,COLUMN('Price List, Weapons &amp; Items'!$L$11)-1,0)</f>
        <v>2</v>
      </c>
      <c r="AR118" s="180">
        <f t="shared" si="24"/>
        <v>1</v>
      </c>
      <c r="AS118" s="180">
        <f t="shared" si="25"/>
        <v>1</v>
      </c>
      <c r="AT118" s="180">
        <f t="shared" si="17"/>
        <v>1</v>
      </c>
      <c r="AU118" s="180" t="str">
        <f t="shared" si="26"/>
        <v>.</v>
      </c>
      <c r="AV118" s="180" t="str">
        <f t="shared" si="27"/>
        <v>.</v>
      </c>
      <c r="AW118" s="180">
        <f>IFERROR(VLOOKUP(B118,'Share, Heavy Weapons to Ukraine'!B:J,COLUMN('Share, Heavy Weapons to Ukraine'!C125)-1,0),0)</f>
        <v>1</v>
      </c>
      <c r="AX118" s="180">
        <f>VLOOKUP('Bilateral Assistance, MAIN DATA'!B118,'Country Summary'!B:F,COLUMN('Country Summary'!C128)-1,FALSE)</f>
        <v>0</v>
      </c>
      <c r="AY118" s="180" t="str">
        <f>IF(AND(AD118=1,D118="Military",H118&lt;&gt;"Not given")=TRUE,IF(SUMIFS(P:P,A:A,A118)&gt;0,ABS((SUMIFS(P:P,A:A,A118)/VLOOKUP("USD",'Exchange Rates'!B:C,2,0)))/S118,"."),".")</f>
        <v>.</v>
      </c>
      <c r="AZ118" s="182" t="str">
        <f>IF(AND(AD118=1,D118="Military",H118&lt;&gt;"Not given")=TRUE,IF(SUMIFS(P:P,A:A,A118)&gt;0,IF((ABS((SUMIFS(P:P,A:A,A118)/VLOOKUP("USD",'Exchange Rates'!B:C,2,0)))/S118)&gt;1,(SUMIFS(P:P,A:A,A118)-S118)/S118,(S118-SUMIFS(P:P,A:A,A118))/SUMIFS(P:P,A:A,A118)),"."),".")</f>
        <v>.</v>
      </c>
      <c r="BA118" s="182"/>
      <c r="BB118" s="182"/>
      <c r="BC118" s="182"/>
      <c r="BD118" s="182"/>
      <c r="BE118" s="182"/>
      <c r="BF118" s="182"/>
      <c r="BG118" s="182"/>
      <c r="BH118" s="182"/>
      <c r="BI118" s="182"/>
      <c r="BJ118" s="182"/>
      <c r="BK118" s="182"/>
      <c r="BL118" s="182"/>
      <c r="BM118" s="182"/>
      <c r="BN118" s="182"/>
      <c r="BO118" s="182"/>
      <c r="BP118" s="182"/>
      <c r="BQ118" s="182"/>
      <c r="BR118" s="182"/>
      <c r="BS118" s="182"/>
    </row>
    <row r="119" spans="1:71" s="520" customFormat="1" ht="15.9" customHeight="1" x14ac:dyDescent="0.3">
      <c r="A119" s="17" t="s">
        <v>603</v>
      </c>
      <c r="B119" s="17" t="s">
        <v>517</v>
      </c>
      <c r="C119" s="174">
        <v>44623</v>
      </c>
      <c r="D119" s="5" t="s">
        <v>285</v>
      </c>
      <c r="E119" s="5" t="s">
        <v>294</v>
      </c>
      <c r="F119" s="175" t="s">
        <v>604</v>
      </c>
      <c r="G119" s="15" t="s">
        <v>520</v>
      </c>
      <c r="H119" s="176">
        <v>1000000</v>
      </c>
      <c r="I119" s="17" t="s">
        <v>260</v>
      </c>
      <c r="J119" s="113" t="str">
        <f>VLOOKUP($I119,'Price List, Weapons &amp; Items'!B:C,2,0)</f>
        <v>.</v>
      </c>
      <c r="K119" s="113" t="str">
        <f>IF(I119=".",I119,VLOOKUP($I119,'Price List, Weapons &amp; Items'!B:D,3,0))</f>
        <v>.</v>
      </c>
      <c r="L119" s="177">
        <f>VLOOKUP(I119,'Price List, Weapons &amp; Items'!B:E,4,0)</f>
        <v>0</v>
      </c>
      <c r="M119" s="542" t="s">
        <v>260</v>
      </c>
      <c r="N119" s="542" t="s">
        <v>260</v>
      </c>
      <c r="O119" s="543" t="str">
        <f>VLOOKUP($I119,'Price List, Weapons &amp; Items'!B:G,6,0)</f>
        <v>.</v>
      </c>
      <c r="P119" s="176" t="str">
        <f t="shared" si="18"/>
        <v>.</v>
      </c>
      <c r="Q119" s="176" t="str">
        <f t="shared" si="19"/>
        <v>.</v>
      </c>
      <c r="R119" s="176">
        <f t="shared" si="16"/>
        <v>1000000</v>
      </c>
      <c r="S119" s="176">
        <f>IF(AND(AD119=1,R119&lt;&gt;".")=TRUE,R119/VLOOKUP(G119,'Exchange Rates'!B:C,2,0),IF(R119=".",".",""))</f>
        <v>699349.60486747324</v>
      </c>
      <c r="T119" s="176">
        <f>IF(AD119=1,IF(AF119="Value is not given at all",".",IF(AF119="Value is given by the source",S119,IF(AF119="Value is calculated with prices",(IF(SUMIFS(Q:Q,A:A,A119)&gt;0,SUMIFS(Q:Q,A:A,A119),"."))/VLOOKUP("USD",'Exchange Rates'!B:C,2,0),"Error with coding"))),"")</f>
        <v>699349.60486747324</v>
      </c>
      <c r="U119" s="15" t="s">
        <v>261</v>
      </c>
      <c r="V119" s="300" t="s">
        <v>601</v>
      </c>
      <c r="W119" s="144" t="s">
        <v>260</v>
      </c>
      <c r="X119" s="175" t="s">
        <v>260</v>
      </c>
      <c r="Y119" s="175" t="s">
        <v>260</v>
      </c>
      <c r="Z119" s="15">
        <v>0</v>
      </c>
      <c r="AA119" s="180">
        <v>0</v>
      </c>
      <c r="AB119" s="549" t="s">
        <v>605</v>
      </c>
      <c r="AC119" s="544" t="str">
        <f>""</f>
        <v/>
      </c>
      <c r="AD119" s="181">
        <v>1</v>
      </c>
      <c r="AE119" s="181" t="s">
        <v>264</v>
      </c>
      <c r="AF119" s="181" t="s">
        <v>264</v>
      </c>
      <c r="AG119" s="181">
        <v>1</v>
      </c>
      <c r="AH119" s="181">
        <v>3</v>
      </c>
      <c r="AI119" s="181">
        <v>0</v>
      </c>
      <c r="AJ119" s="181">
        <f>VLOOKUP($I119,'Price List, Weapons &amp; Items'!B:F,5,0)</f>
        <v>0</v>
      </c>
      <c r="AK119" s="181">
        <f t="shared" si="20"/>
        <v>0</v>
      </c>
      <c r="AL119" s="181">
        <f t="shared" si="21"/>
        <v>0</v>
      </c>
      <c r="AM119" s="181">
        <f t="shared" si="22"/>
        <v>0</v>
      </c>
      <c r="AN119" s="180" t="str">
        <f>VLOOKUP($I119,'Price List, Weapons &amp; Items'!B:L,COLUMN('Price List, Weapons &amp; Items'!$J$11)-1,0)</f>
        <v>.</v>
      </c>
      <c r="AO119" s="180" t="str">
        <f>IF(I119=".",".",VLOOKUP($I119,'Price List, Weapons &amp; Items'!B:J,3,0))</f>
        <v>.</v>
      </c>
      <c r="AP119" s="545" t="e">
        <f t="shared" ca="1" si="23"/>
        <v>#NAME?</v>
      </c>
      <c r="AQ119" s="180" t="str">
        <f>VLOOKUP($I119,'Price List, Weapons &amp; Items'!B:L,COLUMN('Price List, Weapons &amp; Items'!$L$11)-1,0)</f>
        <v>no price, 0 count</v>
      </c>
      <c r="AR119" s="180">
        <f t="shared" si="24"/>
        <v>1</v>
      </c>
      <c r="AS119" s="180">
        <f t="shared" si="25"/>
        <v>1</v>
      </c>
      <c r="AT119" s="180">
        <f t="shared" si="17"/>
        <v>1</v>
      </c>
      <c r="AU119" s="180" t="str">
        <f t="shared" si="26"/>
        <v>.</v>
      </c>
      <c r="AV119" s="180" t="str">
        <f t="shared" si="27"/>
        <v>.</v>
      </c>
      <c r="AW119" s="180">
        <f>IFERROR(VLOOKUP(B119,'Share, Heavy Weapons to Ukraine'!B:J,COLUMN('Share, Heavy Weapons to Ukraine'!C126)-1,0),0)</f>
        <v>1</v>
      </c>
      <c r="AX119" s="180">
        <f>VLOOKUP('Bilateral Assistance, MAIN DATA'!B119,'Country Summary'!B:F,COLUMN('Country Summary'!C129)-1,FALSE)</f>
        <v>0</v>
      </c>
      <c r="AY119" s="180" t="str">
        <f>IF(AND(AD119=1,D119="Military",H119&lt;&gt;"Not given")=TRUE,IF(SUMIFS(P:P,A:A,A119)&gt;0,ABS((SUMIFS(P:P,A:A,A119)/VLOOKUP("USD",'Exchange Rates'!B:C,2,0)))/S119,"."),".")</f>
        <v>.</v>
      </c>
      <c r="AZ119" s="182" t="str">
        <f>IF(AND(AD119=1,D119="Military",H119&lt;&gt;"Not given")=TRUE,IF(SUMIFS(P:P,A:A,A119)&gt;0,IF((ABS((SUMIFS(P:P,A:A,A119)/VLOOKUP("USD",'Exchange Rates'!B:C,2,0)))/S119)&gt;1,(SUMIFS(P:P,A:A,A119)-S119)/S119,(S119-SUMIFS(P:P,A:A,A119))/SUMIFS(P:P,A:A,A119)),"."),".")</f>
        <v>.</v>
      </c>
      <c r="BA119" s="1024"/>
      <c r="BB119" s="1024"/>
      <c r="BC119" s="1024"/>
      <c r="BD119" s="1024"/>
      <c r="BE119" s="1024"/>
      <c r="BF119" s="1024"/>
      <c r="BG119" s="1024"/>
      <c r="BH119" s="1024"/>
      <c r="BI119" s="1024"/>
      <c r="BJ119" s="1024"/>
      <c r="BK119" s="1024"/>
      <c r="BL119" s="1024"/>
      <c r="BM119" s="1024"/>
      <c r="BN119" s="1024"/>
      <c r="BO119" s="1024"/>
      <c r="BP119" s="1024"/>
      <c r="BQ119" s="1024"/>
      <c r="BR119" s="1024"/>
      <c r="BS119" s="1024"/>
    </row>
    <row r="120" spans="1:71" s="520" customFormat="1" ht="15.9" customHeight="1" x14ac:dyDescent="0.3">
      <c r="A120" s="5" t="s">
        <v>606</v>
      </c>
      <c r="B120" s="5" t="s">
        <v>517</v>
      </c>
      <c r="C120" s="174">
        <v>44629</v>
      </c>
      <c r="D120" s="5" t="s">
        <v>285</v>
      </c>
      <c r="E120" s="5" t="s">
        <v>286</v>
      </c>
      <c r="F120" s="175" t="s">
        <v>607</v>
      </c>
      <c r="G120" s="15" t="s">
        <v>520</v>
      </c>
      <c r="H120" s="176">
        <v>50000000</v>
      </c>
      <c r="I120" s="17" t="s">
        <v>608</v>
      </c>
      <c r="J120" s="113" t="str">
        <f>VLOOKUP($I120,'Price List, Weapons &amp; Items'!B:C,2,0)</f>
        <v>Light armaments &amp; infantry</v>
      </c>
      <c r="K120" s="113" t="str">
        <f>IF(I120=".",I120,VLOOKUP($I120,'Price List, Weapons &amp; Items'!B:D,3,0))</f>
        <v>Small Arms and Light Weapons (SALW) ammunition</v>
      </c>
      <c r="L120" s="177">
        <f>VLOOKUP(I120,'Price List, Weapons &amp; Items'!B:E,4,0)</f>
        <v>0</v>
      </c>
      <c r="M120" s="542" t="s">
        <v>270</v>
      </c>
      <c r="N120" s="542" t="s">
        <v>270</v>
      </c>
      <c r="O120" s="543" t="str">
        <f>VLOOKUP($I120,'Price List, Weapons &amp; Items'!B:G,6,0)</f>
        <v>.</v>
      </c>
      <c r="P120" s="176" t="str">
        <f t="shared" si="18"/>
        <v>.</v>
      </c>
      <c r="Q120" s="176" t="str">
        <f t="shared" si="19"/>
        <v>.</v>
      </c>
      <c r="R120" s="176">
        <f t="shared" si="16"/>
        <v>50000000</v>
      </c>
      <c r="S120" s="176">
        <f>IF(AND(AD120=1,R120&lt;&gt;".")=TRUE,R120/VLOOKUP(G120,'Exchange Rates'!B:C,2,0),IF(R120=".",".",""))</f>
        <v>34967480.243373662</v>
      </c>
      <c r="T120" s="176">
        <f>IF(AD120=1,IF(AF120="Value is not given at all",".",IF(AF120="Value is given by the source",S120,IF(AF120="Value is calculated with prices",(IF(SUMIFS(Q:Q,A:A,A120)&gt;0,SUMIFS(Q:Q,A:A,A120),"."))/VLOOKUP("USD",'Exchange Rates'!B:C,2,0),"Error with coding"))),"")</f>
        <v>34967480.243373662</v>
      </c>
      <c r="U120" s="15" t="s">
        <v>415</v>
      </c>
      <c r="V120" s="547" t="s">
        <v>609</v>
      </c>
      <c r="W120" s="547" t="s">
        <v>610</v>
      </c>
      <c r="X120" s="175" t="s">
        <v>260</v>
      </c>
      <c r="Y120" s="175" t="s">
        <v>260</v>
      </c>
      <c r="Z120" s="15">
        <v>0</v>
      </c>
      <c r="AA120" s="180">
        <v>0</v>
      </c>
      <c r="AB120" s="549" t="s">
        <v>611</v>
      </c>
      <c r="AC120" s="544" t="str">
        <f>""</f>
        <v/>
      </c>
      <c r="AD120" s="181">
        <v>1</v>
      </c>
      <c r="AE120" s="181" t="s">
        <v>264</v>
      </c>
      <c r="AF120" s="181" t="s">
        <v>264</v>
      </c>
      <c r="AG120" s="181">
        <v>1</v>
      </c>
      <c r="AH120" s="181">
        <v>3</v>
      </c>
      <c r="AI120" s="181">
        <v>0</v>
      </c>
      <c r="AJ120" s="181">
        <f>VLOOKUP($I120,'Price List, Weapons &amp; Items'!B:F,5,0)</f>
        <v>0</v>
      </c>
      <c r="AK120" s="181">
        <f t="shared" si="20"/>
        <v>0</v>
      </c>
      <c r="AL120" s="181">
        <f t="shared" si="21"/>
        <v>0</v>
      </c>
      <c r="AM120" s="181">
        <f t="shared" si="22"/>
        <v>0</v>
      </c>
      <c r="AN120" s="180" t="str">
        <f>VLOOKUP($I120,'Price List, Weapons &amp; Items'!B:L,COLUMN('Price List, Weapons &amp; Items'!$J$11)-1,0)</f>
        <v>.</v>
      </c>
      <c r="AO120" s="180" t="str">
        <f>IF(I120=".",".",VLOOKUP($I120,'Price List, Weapons &amp; Items'!B:J,3,0))</f>
        <v>Small Arms and Light Weapons (SALW) ammunition</v>
      </c>
      <c r="AP120" s="545" t="e">
        <f t="shared" ca="1" si="23"/>
        <v>#NAME?</v>
      </c>
      <c r="AQ120" s="180" t="str">
        <f>VLOOKUP($I120,'Price List, Weapons &amp; Items'!B:L,COLUMN('Price List, Weapons &amp; Items'!$L$11)-1,0)</f>
        <v>no price, 0 count</v>
      </c>
      <c r="AR120" s="180">
        <f t="shared" si="24"/>
        <v>0</v>
      </c>
      <c r="AS120" s="180">
        <f t="shared" si="25"/>
        <v>1</v>
      </c>
      <c r="AT120" s="180">
        <f t="shared" si="17"/>
        <v>1</v>
      </c>
      <c r="AU120" s="180" t="str">
        <f t="shared" si="26"/>
        <v>.</v>
      </c>
      <c r="AV120" s="180" t="str">
        <f t="shared" si="27"/>
        <v>.</v>
      </c>
      <c r="AW120" s="180">
        <f>IFERROR(VLOOKUP(B120,'Share, Heavy Weapons to Ukraine'!B:J,COLUMN('Share, Heavy Weapons to Ukraine'!C127)-1,0),0)</f>
        <v>1</v>
      </c>
      <c r="AX120" s="180">
        <f>VLOOKUP('Bilateral Assistance, MAIN DATA'!B120,'Country Summary'!B:F,COLUMN('Country Summary'!C130)-1,FALSE)</f>
        <v>0</v>
      </c>
      <c r="AY120" s="180" t="str">
        <f>IF(AND(AD120=1,D120="Military",H120&lt;&gt;"Not given")=TRUE,IF(SUMIFS(P:P,A:A,A120)&gt;0,ABS((SUMIFS(P:P,A:A,A120)/VLOOKUP("USD",'Exchange Rates'!B:C,2,0)))/S120,"."),".")</f>
        <v>.</v>
      </c>
      <c r="AZ120" s="182" t="str">
        <f>IF(AND(AD120=1,D120="Military",H120&lt;&gt;"Not given")=TRUE,IF(SUMIFS(P:P,A:A,A120)&gt;0,IF((ABS((SUMIFS(P:P,A:A,A120)/VLOOKUP("USD",'Exchange Rates'!B:C,2,0)))/S120)&gt;1,(SUMIFS(P:P,A:A,A120)-S120)/S120,(S120-SUMIFS(P:P,A:A,A120))/SUMIFS(P:P,A:A,A120)),"."),".")</f>
        <v>.</v>
      </c>
      <c r="BA120" s="1024"/>
      <c r="BB120" s="1024"/>
      <c r="BC120" s="1024"/>
      <c r="BD120" s="1024"/>
      <c r="BE120" s="1024"/>
      <c r="BF120" s="1024"/>
      <c r="BG120" s="1024"/>
      <c r="BH120" s="1024"/>
      <c r="BI120" s="1024"/>
      <c r="BJ120" s="1024"/>
      <c r="BK120" s="1024"/>
      <c r="BL120" s="1024"/>
      <c r="BM120" s="1024"/>
      <c r="BN120" s="1024"/>
      <c r="BO120" s="1024"/>
      <c r="BP120" s="1024"/>
      <c r="BQ120" s="1024"/>
      <c r="BR120" s="1024"/>
      <c r="BS120" s="1024"/>
    </row>
    <row r="121" spans="1:71" s="520" customFormat="1" ht="15.9" customHeight="1" x14ac:dyDescent="0.3">
      <c r="A121" s="5" t="s">
        <v>606</v>
      </c>
      <c r="B121" s="5" t="s">
        <v>517</v>
      </c>
      <c r="C121" s="174">
        <v>44629</v>
      </c>
      <c r="D121" s="5" t="s">
        <v>285</v>
      </c>
      <c r="E121" s="5" t="s">
        <v>286</v>
      </c>
      <c r="F121" s="175" t="s">
        <v>607</v>
      </c>
      <c r="G121" s="15" t="s">
        <v>520</v>
      </c>
      <c r="H121" s="176">
        <v>50000000</v>
      </c>
      <c r="I121" s="17" t="s">
        <v>612</v>
      </c>
      <c r="J121" s="113" t="str">
        <f>VLOOKUP($I121,'Price List, Weapons &amp; Items'!B:C,2,0)</f>
        <v>Military equipment</v>
      </c>
      <c r="K121" s="113" t="str">
        <f>IF(I121=".",I121,VLOOKUP($I121,'Price List, Weapons &amp; Items'!B:D,3,0))</f>
        <v>Military equipment</v>
      </c>
      <c r="L121" s="177">
        <f>VLOOKUP(I121,'Price List, Weapons &amp; Items'!B:E,4,0)</f>
        <v>0</v>
      </c>
      <c r="M121" s="542" t="s">
        <v>270</v>
      </c>
      <c r="N121" s="542" t="s">
        <v>270</v>
      </c>
      <c r="O121" s="543">
        <f>VLOOKUP($I121,'Price List, Weapons &amp; Items'!B:G,6,0)</f>
        <v>2000</v>
      </c>
      <c r="P121" s="176" t="str">
        <f t="shared" si="18"/>
        <v>.</v>
      </c>
      <c r="Q121" s="176" t="str">
        <f t="shared" si="19"/>
        <v>.</v>
      </c>
      <c r="R121" s="176" t="str">
        <f t="shared" si="16"/>
        <v/>
      </c>
      <c r="S121" s="176" t="str">
        <f>IF(AND(AD121=1,R121&lt;&gt;".")=TRUE,R121/VLOOKUP(G121,'Exchange Rates'!B:C,2,0),IF(R121=".",".",""))</f>
        <v/>
      </c>
      <c r="T121" s="176" t="str">
        <f>IF(AD121=1,IF(AF121="Value is not given at all",".",IF(AF121="Value is given by the source",S121,IF(AF121="Value is calculated with prices",(IF(SUMIFS(Q:Q,A:A,A121)&gt;0,SUMIFS(Q:Q,A:A,A121),"."))/VLOOKUP("USD",'Exchange Rates'!B:C,2,0),"Error with coding"))),"")</f>
        <v/>
      </c>
      <c r="U121" s="15" t="s">
        <v>415</v>
      </c>
      <c r="V121" s="547" t="s">
        <v>609</v>
      </c>
      <c r="W121" s="547" t="s">
        <v>610</v>
      </c>
      <c r="X121" s="175" t="s">
        <v>260</v>
      </c>
      <c r="Y121" s="175" t="s">
        <v>260</v>
      </c>
      <c r="Z121" s="15">
        <v>0</v>
      </c>
      <c r="AA121" s="180">
        <v>0</v>
      </c>
      <c r="AB121" s="549" t="s">
        <v>611</v>
      </c>
      <c r="AC121" s="544" t="str">
        <f>""</f>
        <v/>
      </c>
      <c r="AD121" s="181">
        <v>0</v>
      </c>
      <c r="AE121" s="181" t="s">
        <v>264</v>
      </c>
      <c r="AF121" s="181" t="s">
        <v>264</v>
      </c>
      <c r="AG121" s="181">
        <v>1</v>
      </c>
      <c r="AH121" s="181">
        <v>3</v>
      </c>
      <c r="AI121" s="181">
        <v>0</v>
      </c>
      <c r="AJ121" s="181">
        <f>VLOOKUP($I121,'Price List, Weapons &amp; Items'!B:F,5,0)</f>
        <v>0</v>
      </c>
      <c r="AK121" s="181">
        <f t="shared" si="20"/>
        <v>0</v>
      </c>
      <c r="AL121" s="181">
        <f t="shared" si="21"/>
        <v>0</v>
      </c>
      <c r="AM121" s="181">
        <f t="shared" si="22"/>
        <v>0</v>
      </c>
      <c r="AN121" s="180" t="str">
        <f>VLOOKUP($I121,'Price List, Weapons &amp; Items'!B:L,COLUMN('Price List, Weapons &amp; Items'!$J$11)-1,0)</f>
        <v>Online marketplaces and stores</v>
      </c>
      <c r="AO121" s="180" t="str">
        <f>IF(I121=".",".",VLOOKUP($I121,'Price List, Weapons &amp; Items'!B:J,3,0))</f>
        <v>Military equipment</v>
      </c>
      <c r="AP121" s="545" t="str">
        <f t="shared" ca="1" si="23"/>
        <v/>
      </c>
      <c r="AQ121" s="180">
        <f>VLOOKUP($I121,'Price List, Weapons &amp; Items'!B:L,COLUMN('Price List, Weapons &amp; Items'!$L$11)-1,0)</f>
        <v>1</v>
      </c>
      <c r="AR121" s="180">
        <f t="shared" si="24"/>
        <v>0</v>
      </c>
      <c r="AS121" s="180">
        <f t="shared" si="25"/>
        <v>1</v>
      </c>
      <c r="AT121" s="180">
        <f t="shared" si="17"/>
        <v>1</v>
      </c>
      <c r="AU121" s="180" t="str">
        <f t="shared" si="26"/>
        <v>.</v>
      </c>
      <c r="AV121" s="180" t="str">
        <f t="shared" si="27"/>
        <v>.</v>
      </c>
      <c r="AW121" s="180">
        <f>IFERROR(VLOOKUP(B121,'Share, Heavy Weapons to Ukraine'!B:J,COLUMN('Share, Heavy Weapons to Ukraine'!C128)-1,0),0)</f>
        <v>1</v>
      </c>
      <c r="AX121" s="180">
        <f>VLOOKUP('Bilateral Assistance, MAIN DATA'!B121,'Country Summary'!B:F,COLUMN('Country Summary'!C131)-1,FALSE)</f>
        <v>0</v>
      </c>
      <c r="AY121" s="180" t="str">
        <f>IF(AND(AD121=1,D121="Military",H121&lt;&gt;"Not given")=TRUE,IF(SUMIFS(P:P,A:A,A121)&gt;0,ABS((SUMIFS(P:P,A:A,A121)/VLOOKUP("USD",'Exchange Rates'!B:C,2,0)))/S121,"."),".")</f>
        <v>.</v>
      </c>
      <c r="AZ121" s="182" t="str">
        <f>IF(AND(AD121=1,D121="Military",H121&lt;&gt;"Not given")=TRUE,IF(SUMIFS(P:P,A:A,A121)&gt;0,IF((ABS((SUMIFS(P:P,A:A,A121)/VLOOKUP("USD",'Exchange Rates'!B:C,2,0)))/S121)&gt;1,(SUMIFS(P:P,A:A,A121)-S121)/S121,(S121-SUMIFS(P:P,A:A,A121))/SUMIFS(P:P,A:A,A121)),"."),".")</f>
        <v>.</v>
      </c>
      <c r="BA121" s="1024"/>
      <c r="BB121" s="1024"/>
      <c r="BC121" s="1024"/>
      <c r="BD121" s="1024"/>
      <c r="BE121" s="1024"/>
      <c r="BF121" s="1024"/>
      <c r="BG121" s="1024"/>
      <c r="BH121" s="1024"/>
      <c r="BI121" s="1024"/>
      <c r="BJ121" s="1024"/>
      <c r="BK121" s="1024"/>
      <c r="BL121" s="1024"/>
      <c r="BM121" s="1024"/>
      <c r="BN121" s="1024"/>
      <c r="BO121" s="1024"/>
      <c r="BP121" s="1024"/>
      <c r="BQ121" s="1024"/>
      <c r="BR121" s="1024"/>
      <c r="BS121" s="1024"/>
    </row>
    <row r="122" spans="1:71" s="520" customFormat="1" ht="15.9" customHeight="1" x14ac:dyDescent="0.3">
      <c r="A122" s="5" t="s">
        <v>613</v>
      </c>
      <c r="B122" s="5" t="s">
        <v>517</v>
      </c>
      <c r="C122" s="174">
        <v>44673</v>
      </c>
      <c r="D122" s="5" t="s">
        <v>285</v>
      </c>
      <c r="E122" s="5" t="s">
        <v>339</v>
      </c>
      <c r="F122" s="175" t="s">
        <v>614</v>
      </c>
      <c r="G122" s="15" t="s">
        <v>346</v>
      </c>
      <c r="H122" s="176" t="s">
        <v>341</v>
      </c>
      <c r="I122" s="17" t="s">
        <v>318</v>
      </c>
      <c r="J122" s="113" t="str">
        <f>VLOOKUP($I122,'Price List, Weapons &amp; Items'!B:C,2,0)</f>
        <v>Heavy weapon</v>
      </c>
      <c r="K122" s="113" t="str">
        <f>IF(I122=".",I122,VLOOKUP($I122,'Price List, Weapons &amp; Items'!B:D,3,0))</f>
        <v>155mm howitzer</v>
      </c>
      <c r="L122" s="177">
        <f>VLOOKUP(I122,'Price List, Weapons &amp; Items'!B:E,4,0)</f>
        <v>0</v>
      </c>
      <c r="M122" s="542">
        <v>4</v>
      </c>
      <c r="N122" s="542">
        <v>4</v>
      </c>
      <c r="O122" s="543">
        <f>VLOOKUP($I122,'Price List, Weapons &amp; Items'!B:G,6,0)</f>
        <v>5170000</v>
      </c>
      <c r="P122" s="176">
        <f t="shared" si="18"/>
        <v>20680000</v>
      </c>
      <c r="Q122" s="176">
        <f t="shared" si="19"/>
        <v>20680000</v>
      </c>
      <c r="R122" s="176">
        <f t="shared" si="16"/>
        <v>20680000</v>
      </c>
      <c r="S122" s="176">
        <f>IF(AND(AD122=1,R122&lt;&gt;".")=TRUE,R122/VLOOKUP(G122,'Exchange Rates'!B:C,2,0),IF(R122=".",".",""))</f>
        <v>19695238.095238093</v>
      </c>
      <c r="T122" s="176">
        <f>IF(AD122=1,IF(AF122="Value is not given at all",".",IF(AF122="Value is given by the source",S122,IF(AF122="Value is calculated with prices",(IF(SUMIFS(Q:Q,A:A,A122)&gt;0,SUMIFS(Q:Q,A:A,A122),"."))/VLOOKUP("USD",'Exchange Rates'!B:C,2,0),"Error with coding"))),"")</f>
        <v>19695238.095238093</v>
      </c>
      <c r="U122" s="177" t="s">
        <v>261</v>
      </c>
      <c r="V122" s="557" t="s">
        <v>615</v>
      </c>
      <c r="W122" s="557" t="s">
        <v>616</v>
      </c>
      <c r="X122" s="683" t="s">
        <v>260</v>
      </c>
      <c r="Y122" s="683" t="s">
        <v>260</v>
      </c>
      <c r="Z122" s="216">
        <v>0</v>
      </c>
      <c r="AA122" s="180">
        <v>0</v>
      </c>
      <c r="AB122" s="549" t="s">
        <v>616</v>
      </c>
      <c r="AC122" s="544" t="str">
        <f>""</f>
        <v/>
      </c>
      <c r="AD122" s="181">
        <v>1</v>
      </c>
      <c r="AE122" s="181" t="s">
        <v>332</v>
      </c>
      <c r="AF122" s="181" t="s">
        <v>332</v>
      </c>
      <c r="AG122" s="181">
        <v>1</v>
      </c>
      <c r="AH122" s="181">
        <v>4</v>
      </c>
      <c r="AI122" s="181">
        <v>0</v>
      </c>
      <c r="AJ122" s="181">
        <f>VLOOKUP($I122,'Price List, Weapons &amp; Items'!B:F,5,0)</f>
        <v>1</v>
      </c>
      <c r="AK122" s="181">
        <f t="shared" si="20"/>
        <v>0</v>
      </c>
      <c r="AL122" s="181">
        <f t="shared" si="21"/>
        <v>0</v>
      </c>
      <c r="AM122" s="181">
        <f t="shared" si="22"/>
        <v>0</v>
      </c>
      <c r="AN122" s="180" t="str">
        <f>VLOOKUP($I122,'Price List, Weapons &amp; Items'!B:L,COLUMN('Price List, Weapons &amp; Items'!$J$11)-1,0)</f>
        <v>Military media (incl. websites)</v>
      </c>
      <c r="AO122" s="180" t="str">
        <f>IF(I122=".",".",VLOOKUP($I122,'Price List, Weapons &amp; Items'!B:J,3,0))</f>
        <v>155mm howitzer</v>
      </c>
      <c r="AP122" s="545" t="e">
        <f t="shared" ca="1" si="23"/>
        <v>#NAME?</v>
      </c>
      <c r="AQ122" s="180">
        <f>VLOOKUP($I122,'Price List, Weapons &amp; Items'!B:L,COLUMN('Price List, Weapons &amp; Items'!$L$11)-1,0)</f>
        <v>2</v>
      </c>
      <c r="AR122" s="180">
        <f t="shared" si="24"/>
        <v>1</v>
      </c>
      <c r="AS122" s="180">
        <f t="shared" si="25"/>
        <v>1</v>
      </c>
      <c r="AT122" s="180">
        <f t="shared" si="17"/>
        <v>1</v>
      </c>
      <c r="AU122" s="180" t="str">
        <f t="shared" si="26"/>
        <v>.</v>
      </c>
      <c r="AV122" s="180" t="str">
        <f t="shared" si="27"/>
        <v>.</v>
      </c>
      <c r="AW122" s="180">
        <f>IFERROR(VLOOKUP(B122,'Share, Heavy Weapons to Ukraine'!B:J,COLUMN('Share, Heavy Weapons to Ukraine'!C129)-1,0),0)</f>
        <v>1</v>
      </c>
      <c r="AX122" s="180">
        <f>VLOOKUP('Bilateral Assistance, MAIN DATA'!B122,'Country Summary'!B:F,COLUMN('Country Summary'!C132)-1,FALSE)</f>
        <v>0</v>
      </c>
      <c r="AY122" s="180" t="str">
        <f>IF(AND(AD122=1,D122="Military",H122&lt;&gt;"Not given")=TRUE,IF(SUMIFS(P:P,A:A,A122)&gt;0,ABS((SUMIFS(P:P,A:A,A122)/VLOOKUP("USD",'Exchange Rates'!B:C,2,0)))/S122,"."),".")</f>
        <v>.</v>
      </c>
      <c r="AZ122" s="182" t="str">
        <f>IF(AND(AD122=1,D122="Military",H122&lt;&gt;"Not given")=TRUE,IF(SUMIFS(P:P,A:A,A122)&gt;0,IF((ABS((SUMIFS(P:P,A:A,A122)/VLOOKUP("USD",'Exchange Rates'!B:C,2,0)))/S122)&gt;1,(SUMIFS(P:P,A:A,A122)-S122)/S122,(S122-SUMIFS(P:P,A:A,A122))/SUMIFS(P:P,A:A,A122)),"."),".")</f>
        <v>.</v>
      </c>
      <c r="BA122" s="1024"/>
      <c r="BB122" s="1024"/>
      <c r="BC122" s="1024"/>
      <c r="BD122" s="1024"/>
      <c r="BE122" s="1024"/>
      <c r="BF122" s="1024"/>
      <c r="BG122" s="1024"/>
      <c r="BH122" s="1024"/>
      <c r="BI122" s="1024"/>
      <c r="BJ122" s="1024"/>
      <c r="BK122" s="1024"/>
      <c r="BL122" s="1024"/>
      <c r="BM122" s="1024"/>
      <c r="BN122" s="1024"/>
      <c r="BO122" s="1024"/>
      <c r="BP122" s="1024"/>
      <c r="BQ122" s="1024"/>
      <c r="BR122" s="1024"/>
      <c r="BS122" s="1024"/>
    </row>
    <row r="123" spans="1:71" s="520" customFormat="1" ht="15.9" customHeight="1" x14ac:dyDescent="0.3">
      <c r="A123" s="5" t="s">
        <v>613</v>
      </c>
      <c r="B123" s="5" t="s">
        <v>517</v>
      </c>
      <c r="C123" s="174">
        <v>44673</v>
      </c>
      <c r="D123" s="5" t="s">
        <v>285</v>
      </c>
      <c r="E123" s="5" t="s">
        <v>339</v>
      </c>
      <c r="F123" s="175" t="s">
        <v>614</v>
      </c>
      <c r="G123" s="15" t="s">
        <v>346</v>
      </c>
      <c r="H123" s="176" t="s">
        <v>341</v>
      </c>
      <c r="I123" s="17" t="s">
        <v>591</v>
      </c>
      <c r="J123" s="113" t="str">
        <f>VLOOKUP($I123,'Price List, Weapons &amp; Items'!B:C,2,0)</f>
        <v>Light armaments &amp; infantry</v>
      </c>
      <c r="K123" s="113" t="str">
        <f>IF(I123=".",I123,VLOOKUP($I123,'Price List, Weapons &amp; Items'!B:D,3,0))</f>
        <v>Recoilless rifle (RR/RCL)</v>
      </c>
      <c r="L123" s="177">
        <f>VLOOKUP(I123,'Price List, Weapons &amp; Items'!B:E,4,0)</f>
        <v>0</v>
      </c>
      <c r="M123" s="542" t="s">
        <v>270</v>
      </c>
      <c r="N123" s="542" t="s">
        <v>270</v>
      </c>
      <c r="O123" s="543">
        <f>VLOOKUP($I123,'Price List, Weapons &amp; Items'!B:G,6,0)</f>
        <v>38334.53182718272</v>
      </c>
      <c r="P123" s="176" t="str">
        <f t="shared" si="18"/>
        <v>.</v>
      </c>
      <c r="Q123" s="176" t="str">
        <f t="shared" si="19"/>
        <v>.</v>
      </c>
      <c r="R123" s="176" t="str">
        <f t="shared" si="16"/>
        <v/>
      </c>
      <c r="S123" s="176" t="str">
        <f>IF(AND(AD123=1,R123&lt;&gt;".")=TRUE,R123/VLOOKUP(G123,'Exchange Rates'!B:C,2,0),IF(R123=".",".",""))</f>
        <v/>
      </c>
      <c r="T123" s="176" t="str">
        <f>IF(AD123=1,IF(AF123="Value is not given at all",".",IF(AF123="Value is given by the source",S123,IF(AF123="Value is calculated with prices",(IF(SUMIFS(Q:Q,A:A,A123)&gt;0,SUMIFS(Q:Q,A:A,A123),"."))/VLOOKUP("USD",'Exchange Rates'!B:C,2,0),"Error with coding"))),"")</f>
        <v/>
      </c>
      <c r="U123" s="15" t="s">
        <v>261</v>
      </c>
      <c r="V123" s="547" t="s">
        <v>615</v>
      </c>
      <c r="W123" s="547" t="s">
        <v>616</v>
      </c>
      <c r="X123" s="188" t="s">
        <v>260</v>
      </c>
      <c r="Y123" s="188" t="s">
        <v>260</v>
      </c>
      <c r="Z123" s="180">
        <v>0</v>
      </c>
      <c r="AA123" s="180">
        <v>0</v>
      </c>
      <c r="AB123" s="550" t="s">
        <v>617</v>
      </c>
      <c r="AC123" s="544" t="str">
        <f>""</f>
        <v/>
      </c>
      <c r="AD123" s="181">
        <v>0</v>
      </c>
      <c r="AE123" s="181" t="s">
        <v>332</v>
      </c>
      <c r="AF123" s="181" t="s">
        <v>332</v>
      </c>
      <c r="AG123" s="181">
        <v>1</v>
      </c>
      <c r="AH123" s="181">
        <v>4</v>
      </c>
      <c r="AI123" s="181">
        <v>0</v>
      </c>
      <c r="AJ123" s="181">
        <f>VLOOKUP($I123,'Price List, Weapons &amp; Items'!B:F,5,0)</f>
        <v>0</v>
      </c>
      <c r="AK123" s="181">
        <f t="shared" si="20"/>
        <v>0</v>
      </c>
      <c r="AL123" s="181">
        <f t="shared" si="21"/>
        <v>0</v>
      </c>
      <c r="AM123" s="181">
        <f t="shared" si="22"/>
        <v>0</v>
      </c>
      <c r="AN123" s="180" t="str">
        <f>VLOOKUP($I123,'Price List, Weapons &amp; Items'!B:L,COLUMN('Price List, Weapons &amp; Items'!$J$11)-1,0)</f>
        <v>Military media (incl. websites)</v>
      </c>
      <c r="AO123" s="180" t="str">
        <f>IF(I123=".",".",VLOOKUP($I123,'Price List, Weapons &amp; Items'!B:J,3,0))</f>
        <v>Recoilless rifle (RR/RCL)</v>
      </c>
      <c r="AP123" s="545" t="str">
        <f t="shared" ca="1" si="23"/>
        <v/>
      </c>
      <c r="AQ123" s="180">
        <f>VLOOKUP($I123,'Price List, Weapons &amp; Items'!B:L,COLUMN('Price List, Weapons &amp; Items'!$L$11)-1,0)</f>
        <v>2</v>
      </c>
      <c r="AR123" s="180">
        <f t="shared" si="24"/>
        <v>1</v>
      </c>
      <c r="AS123" s="180">
        <f t="shared" si="25"/>
        <v>1</v>
      </c>
      <c r="AT123" s="180">
        <f t="shared" si="17"/>
        <v>1</v>
      </c>
      <c r="AU123" s="180" t="str">
        <f t="shared" si="26"/>
        <v>.</v>
      </c>
      <c r="AV123" s="180" t="str">
        <f t="shared" si="27"/>
        <v>.</v>
      </c>
      <c r="AW123" s="180">
        <f>IFERROR(VLOOKUP(B123,'Share, Heavy Weapons to Ukraine'!B:J,COLUMN('Share, Heavy Weapons to Ukraine'!C130)-1,0),0)</f>
        <v>1</v>
      </c>
      <c r="AX123" s="180">
        <f>VLOOKUP('Bilateral Assistance, MAIN DATA'!B123,'Country Summary'!B:F,COLUMN('Country Summary'!C133)-1,FALSE)</f>
        <v>0</v>
      </c>
      <c r="AY123" s="180" t="str">
        <f>IF(AND(AD123=1,D123="Military",H123&lt;&gt;"Not given")=TRUE,IF(SUMIFS(P:P,A:A,A123)&gt;0,ABS((SUMIFS(P:P,A:A,A123)/VLOOKUP("USD",'Exchange Rates'!B:C,2,0)))/S123,"."),".")</f>
        <v>.</v>
      </c>
      <c r="AZ123" s="182" t="str">
        <f>IF(AND(AD123=1,D123="Military",H123&lt;&gt;"Not given")=TRUE,IF(SUMIFS(P:P,A:A,A123)&gt;0,IF((ABS((SUMIFS(P:P,A:A,A123)/VLOOKUP("USD",'Exchange Rates'!B:C,2,0)))/S123)&gt;1,(SUMIFS(P:P,A:A,A123)-S123)/S123,(S123-SUMIFS(P:P,A:A,A123))/SUMIFS(P:P,A:A,A123)),"."),".")</f>
        <v>.</v>
      </c>
      <c r="BA123" s="1024"/>
      <c r="BB123" s="1024"/>
      <c r="BC123" s="1024"/>
      <c r="BD123" s="1024"/>
      <c r="BE123" s="1024"/>
      <c r="BF123" s="1024"/>
      <c r="BG123" s="1024"/>
      <c r="BH123" s="1024"/>
      <c r="BI123" s="1024"/>
      <c r="BJ123" s="1024"/>
      <c r="BK123" s="1024"/>
      <c r="BL123" s="1024"/>
      <c r="BM123" s="1024"/>
      <c r="BN123" s="1024"/>
      <c r="BO123" s="1024"/>
      <c r="BP123" s="1024"/>
      <c r="BQ123" s="1024"/>
      <c r="BR123" s="1024"/>
      <c r="BS123" s="1024"/>
    </row>
    <row r="124" spans="1:71" s="520" customFormat="1" ht="15.9" customHeight="1" x14ac:dyDescent="0.3">
      <c r="A124" s="5" t="s">
        <v>618</v>
      </c>
      <c r="B124" s="5" t="s">
        <v>517</v>
      </c>
      <c r="C124" s="174">
        <v>44673</v>
      </c>
      <c r="D124" s="5" t="s">
        <v>285</v>
      </c>
      <c r="E124" s="5" t="s">
        <v>286</v>
      </c>
      <c r="F124" s="175" t="s">
        <v>619</v>
      </c>
      <c r="G124" s="15" t="s">
        <v>520</v>
      </c>
      <c r="H124" s="176">
        <v>500000000</v>
      </c>
      <c r="I124" s="17" t="s">
        <v>620</v>
      </c>
      <c r="J124" s="113" t="str">
        <f>VLOOKUP($I124,'Price List, Weapons &amp; Items'!B:C,2,0)</f>
        <v>Military equipment</v>
      </c>
      <c r="K124" s="113" t="str">
        <f>IF(I124=".",I124,VLOOKUP($I124,'Price List, Weapons &amp; Items'!B:D,3,0))</f>
        <v>Armoured Personnel Carrier (APC)</v>
      </c>
      <c r="L124" s="177">
        <f>VLOOKUP(I124,'Price List, Weapons &amp; Items'!B:E,4,0)</f>
        <v>0</v>
      </c>
      <c r="M124" s="542">
        <v>8</v>
      </c>
      <c r="N124" s="542">
        <v>8</v>
      </c>
      <c r="O124" s="543">
        <f>VLOOKUP($I124,'Price List, Weapons &amp; Items'!B:G,6,0)</f>
        <v>350000</v>
      </c>
      <c r="P124" s="176">
        <f t="shared" si="18"/>
        <v>2800000</v>
      </c>
      <c r="Q124" s="176">
        <f t="shared" si="19"/>
        <v>2800000</v>
      </c>
      <c r="R124" s="176">
        <f t="shared" si="16"/>
        <v>500000000</v>
      </c>
      <c r="S124" s="176">
        <f>IF(AND(AD124=1,R124&lt;&gt;".")=TRUE,R124/VLOOKUP(G124,'Exchange Rates'!B:C,2,0),IF(R124=".",".",""))</f>
        <v>349674802.43373662</v>
      </c>
      <c r="T124" s="176">
        <f>IF(AD124=1,IF(AF124="Value is not given at all",".",IF(AF124="Value is given by the source",S124,IF(AF124="Value is calculated with prices",(IF(SUMIFS(Q:Q,A:A,A124)&gt;0,SUMIFS(Q:Q,A:A,A124),"."))/VLOOKUP("USD",'Exchange Rates'!B:C,2,0),"Error with coding"))),"")</f>
        <v>349674802.43373662</v>
      </c>
      <c r="U124" s="15" t="s">
        <v>261</v>
      </c>
      <c r="V124" s="300" t="s">
        <v>615</v>
      </c>
      <c r="W124" s="300" t="s">
        <v>621</v>
      </c>
      <c r="X124" s="300" t="s">
        <v>622</v>
      </c>
      <c r="Y124" s="175" t="s">
        <v>260</v>
      </c>
      <c r="Z124" s="15">
        <v>0</v>
      </c>
      <c r="AA124" s="180">
        <v>0</v>
      </c>
      <c r="AB124" s="550" t="s">
        <v>623</v>
      </c>
      <c r="AC124" s="544" t="str">
        <f>""</f>
        <v/>
      </c>
      <c r="AD124" s="181">
        <v>1</v>
      </c>
      <c r="AE124" s="181" t="s">
        <v>264</v>
      </c>
      <c r="AF124" s="181" t="s">
        <v>264</v>
      </c>
      <c r="AG124" s="181">
        <v>1</v>
      </c>
      <c r="AH124" s="181">
        <v>4</v>
      </c>
      <c r="AI124" s="181">
        <v>0</v>
      </c>
      <c r="AJ124" s="181">
        <f>VLOOKUP($I124,'Price List, Weapons &amp; Items'!B:F,5,0)</f>
        <v>1</v>
      </c>
      <c r="AK124" s="181">
        <f t="shared" si="20"/>
        <v>0</v>
      </c>
      <c r="AL124" s="181">
        <f t="shared" si="21"/>
        <v>0</v>
      </c>
      <c r="AM124" s="181">
        <f t="shared" si="22"/>
        <v>0</v>
      </c>
      <c r="AN124" s="180" t="str">
        <f>VLOOKUP($I124,'Price List, Weapons &amp; Items'!B:L,COLUMN('Price List, Weapons &amp; Items'!$J$11)-1,0)</f>
        <v>Media reports (incl. social media)</v>
      </c>
      <c r="AO124" s="180" t="str">
        <f>IF(I124=".",".",VLOOKUP($I124,'Price List, Weapons &amp; Items'!B:J,3,0))</f>
        <v>Armoured Personnel Carrier (APC)</v>
      </c>
      <c r="AP124" s="545" t="e">
        <f t="shared" ca="1" si="23"/>
        <v>#NAME?</v>
      </c>
      <c r="AQ124" s="180">
        <f>VLOOKUP($I124,'Price List, Weapons &amp; Items'!B:L,COLUMN('Price List, Weapons &amp; Items'!$L$11)-1,0)</f>
        <v>2</v>
      </c>
      <c r="AR124" s="180">
        <f t="shared" si="24"/>
        <v>1</v>
      </c>
      <c r="AS124" s="180">
        <f t="shared" si="25"/>
        <v>1</v>
      </c>
      <c r="AT124" s="180">
        <f t="shared" si="17"/>
        <v>1</v>
      </c>
      <c r="AU124" s="180" t="str">
        <f t="shared" si="26"/>
        <v>.</v>
      </c>
      <c r="AV124" s="180" t="str">
        <f t="shared" si="27"/>
        <v>.</v>
      </c>
      <c r="AW124" s="180">
        <f>IFERROR(VLOOKUP(B124,'Share, Heavy Weapons to Ukraine'!B:J,COLUMN('Share, Heavy Weapons to Ukraine'!C131)-1,0),0)</f>
        <v>1</v>
      </c>
      <c r="AX124" s="180">
        <f>VLOOKUP('Bilateral Assistance, MAIN DATA'!B124,'Country Summary'!B:F,COLUMN('Country Summary'!C134)-1,FALSE)</f>
        <v>0</v>
      </c>
      <c r="AY124" s="180">
        <f>IF(AND(AD124=1,D124="Military",H124&lt;&gt;"Not given")=TRUE,IF(SUMIFS(P:P,A:A,A124)&gt;0,ABS((SUMIFS(P:P,A:A,A124)/VLOOKUP("USD",'Exchange Rates'!B:C,2,0)))/S124,"."),".")</f>
        <v>0.23381215810072381</v>
      </c>
      <c r="AZ124" s="182">
        <f>IF(AND(AD124=1,D124="Military",H124&lt;&gt;"Not given")=TRUE,IF(SUMIFS(P:P,A:A,A124)&gt;0,IF((ABS((SUMIFS(P:P,A:A,A124)/VLOOKUP("USD",'Exchange Rates'!B:C,2,0)))/S124)&gt;1,(SUMIFS(P:P,A:A,A124)-S124)/S124,(S124-SUMIFS(P:P,A:A,A124))/SUMIFS(P:P,A:A,A124)),"."),".")</f>
        <v>3.0732738627333345</v>
      </c>
      <c r="BA124" s="1024"/>
      <c r="BB124" s="1024"/>
      <c r="BC124" s="1024"/>
      <c r="BD124" s="1024"/>
      <c r="BE124" s="1024"/>
      <c r="BF124" s="1024"/>
      <c r="BG124" s="1024"/>
      <c r="BH124" s="1024"/>
      <c r="BI124" s="1024"/>
      <c r="BJ124" s="1024"/>
      <c r="BK124" s="1024"/>
      <c r="BL124" s="1024"/>
      <c r="BM124" s="1024"/>
      <c r="BN124" s="1024"/>
      <c r="BO124" s="1024"/>
      <c r="BP124" s="1024"/>
      <c r="BQ124" s="1024"/>
      <c r="BR124" s="1024"/>
      <c r="BS124" s="1024"/>
    </row>
    <row r="125" spans="1:71" s="520" customFormat="1" ht="15.9" customHeight="1" x14ac:dyDescent="0.3">
      <c r="A125" s="5" t="s">
        <v>618</v>
      </c>
      <c r="B125" s="5" t="s">
        <v>517</v>
      </c>
      <c r="C125" s="174">
        <v>44677</v>
      </c>
      <c r="D125" s="5" t="s">
        <v>285</v>
      </c>
      <c r="E125" s="5" t="s">
        <v>286</v>
      </c>
      <c r="F125" s="175" t="s">
        <v>619</v>
      </c>
      <c r="G125" s="15" t="s">
        <v>520</v>
      </c>
      <c r="H125" s="176">
        <v>500000000</v>
      </c>
      <c r="I125" s="17" t="s">
        <v>624</v>
      </c>
      <c r="J125" s="113" t="str">
        <f>VLOOKUP($I125,'Price List, Weapons &amp; Items'!B:C,2,0)</f>
        <v>Ammunition for heavy weapon</v>
      </c>
      <c r="K125" s="113" t="str">
        <f>IF(I125=".",I125,VLOOKUP($I125,'Price List, Weapons &amp; Items'!B:D,3,0))</f>
        <v>155mm howitzer ammunition</v>
      </c>
      <c r="L125" s="177">
        <f>VLOOKUP(I125,'Price List, Weapons &amp; Items'!B:E,4,0)</f>
        <v>0</v>
      </c>
      <c r="M125" s="542">
        <v>20000</v>
      </c>
      <c r="N125" s="542">
        <v>20000</v>
      </c>
      <c r="O125" s="543">
        <f>VLOOKUP($I125,'Price List, Weapons &amp; Items'!B:G,6,0)</f>
        <v>3800</v>
      </c>
      <c r="P125" s="176">
        <f t="shared" si="18"/>
        <v>76000000</v>
      </c>
      <c r="Q125" s="176">
        <f t="shared" si="19"/>
        <v>76000000</v>
      </c>
      <c r="R125" s="176" t="str">
        <f t="shared" si="16"/>
        <v/>
      </c>
      <c r="S125" s="176" t="str">
        <f>IF(AND(AD125=1,R125&lt;&gt;".")=TRUE,R125/VLOOKUP(G125,'Exchange Rates'!B:C,2,0),IF(R125=".",".",""))</f>
        <v/>
      </c>
      <c r="T125" s="176" t="str">
        <f>IF(AD125=1,IF(AF125="Value is not given at all",".",IF(AF125="Value is given by the source",S125,IF(AF125="Value is calculated with prices",(IF(SUMIFS(Q:Q,A:A,A125)&gt;0,SUMIFS(Q:Q,A:A,A125),"."))/VLOOKUP("USD",'Exchange Rates'!B:C,2,0),"Error with coding"))),"")</f>
        <v/>
      </c>
      <c r="U125" s="15" t="s">
        <v>261</v>
      </c>
      <c r="V125" s="300" t="s">
        <v>615</v>
      </c>
      <c r="W125" s="300" t="s">
        <v>625</v>
      </c>
      <c r="X125" s="300" t="s">
        <v>626</v>
      </c>
      <c r="Y125" s="175" t="s">
        <v>260</v>
      </c>
      <c r="Z125" s="15">
        <v>0</v>
      </c>
      <c r="AA125" s="180">
        <v>0</v>
      </c>
      <c r="AB125" s="550" t="s">
        <v>627</v>
      </c>
      <c r="AC125" s="544" t="str">
        <f>""</f>
        <v/>
      </c>
      <c r="AD125" s="180">
        <v>0</v>
      </c>
      <c r="AE125" s="180" t="s">
        <v>264</v>
      </c>
      <c r="AF125" s="180" t="s">
        <v>264</v>
      </c>
      <c r="AG125" s="180">
        <v>1</v>
      </c>
      <c r="AH125" s="181">
        <v>4</v>
      </c>
      <c r="AI125" s="181">
        <v>0</v>
      </c>
      <c r="AJ125" s="181">
        <f>VLOOKUP($I125,'Price List, Weapons &amp; Items'!B:F,5,0)</f>
        <v>1</v>
      </c>
      <c r="AK125" s="181">
        <f t="shared" si="20"/>
        <v>0</v>
      </c>
      <c r="AL125" s="181">
        <f t="shared" si="21"/>
        <v>0</v>
      </c>
      <c r="AM125" s="181">
        <f t="shared" si="22"/>
        <v>1</v>
      </c>
      <c r="AN125" s="180" t="str">
        <f>VLOOKUP($I125,'Price List, Weapons &amp; Items'!B:L,COLUMN('Price List, Weapons &amp; Items'!$J$11)-1,0)</f>
        <v>Government information</v>
      </c>
      <c r="AO125" s="180" t="str">
        <f>IF(I125=".",".",VLOOKUP($I125,'Price List, Weapons &amp; Items'!B:J,3,0))</f>
        <v>155mm howitzer ammunition</v>
      </c>
      <c r="AP125" s="545" t="str">
        <f t="shared" ca="1" si="23"/>
        <v/>
      </c>
      <c r="AQ125" s="180">
        <f>VLOOKUP($I125,'Price List, Weapons &amp; Items'!B:L,COLUMN('Price List, Weapons &amp; Items'!$L$11)-1,0)</f>
        <v>2</v>
      </c>
      <c r="AR125" s="180">
        <f t="shared" si="24"/>
        <v>1</v>
      </c>
      <c r="AS125" s="180">
        <f t="shared" si="25"/>
        <v>1</v>
      </c>
      <c r="AT125" s="180">
        <f t="shared" si="17"/>
        <v>1</v>
      </c>
      <c r="AU125" s="180" t="str">
        <f t="shared" si="26"/>
        <v>.</v>
      </c>
      <c r="AV125" s="180" t="str">
        <f t="shared" si="27"/>
        <v>.</v>
      </c>
      <c r="AW125" s="180">
        <f>IFERROR(VLOOKUP(B125,'Share, Heavy Weapons to Ukraine'!B:J,COLUMN('Share, Heavy Weapons to Ukraine'!C132)-1,0),0)</f>
        <v>1</v>
      </c>
      <c r="AX125" s="180">
        <f>VLOOKUP('Bilateral Assistance, MAIN DATA'!B125,'Country Summary'!B:F,COLUMN('Country Summary'!C135)-1,FALSE)</f>
        <v>0</v>
      </c>
      <c r="AY125" s="180" t="str">
        <f>IF(AND(AD125=1,D125="Military",H125&lt;&gt;"Not given")=TRUE,IF(SUMIFS(P:P,A:A,A125)&gt;0,ABS((SUMIFS(P:P,A:A,A125)/VLOOKUP("USD",'Exchange Rates'!B:C,2,0)))/S125,"."),".")</f>
        <v>.</v>
      </c>
      <c r="AZ125" s="182" t="str">
        <f>IF(AND(AD125=1,D125="Military",H125&lt;&gt;"Not given")=TRUE,IF(SUMIFS(P:P,A:A,A125)&gt;0,IF((ABS((SUMIFS(P:P,A:A,A125)/VLOOKUP("USD",'Exchange Rates'!B:C,2,0)))/S125)&gt;1,(SUMIFS(P:P,A:A,A125)-S125)/S125,(S125-SUMIFS(P:P,A:A,A125))/SUMIFS(P:P,A:A,A125)),"."),".")</f>
        <v>.</v>
      </c>
      <c r="BA125" s="1024"/>
      <c r="BB125" s="1024"/>
      <c r="BC125" s="1024"/>
      <c r="BD125" s="1024"/>
      <c r="BE125" s="1024"/>
      <c r="BF125" s="1024"/>
      <c r="BG125" s="1024"/>
      <c r="BH125" s="1024"/>
      <c r="BI125" s="1024"/>
      <c r="BJ125" s="1024"/>
      <c r="BK125" s="1024"/>
      <c r="BL125" s="1024"/>
      <c r="BM125" s="1024"/>
      <c r="BN125" s="1024"/>
      <c r="BO125" s="1024"/>
      <c r="BP125" s="1024"/>
      <c r="BQ125" s="1024"/>
      <c r="BR125" s="1024"/>
      <c r="BS125" s="1024"/>
    </row>
    <row r="126" spans="1:71" s="520" customFormat="1" ht="15.9" customHeight="1" x14ac:dyDescent="0.3">
      <c r="A126" s="5" t="s">
        <v>618</v>
      </c>
      <c r="B126" s="5" t="s">
        <v>517</v>
      </c>
      <c r="C126" s="174">
        <v>44704</v>
      </c>
      <c r="D126" s="5" t="s">
        <v>285</v>
      </c>
      <c r="E126" s="5" t="s">
        <v>286</v>
      </c>
      <c r="F126" s="175" t="s">
        <v>619</v>
      </c>
      <c r="G126" s="15" t="s">
        <v>520</v>
      </c>
      <c r="H126" s="176">
        <v>500000000</v>
      </c>
      <c r="I126" s="17" t="s">
        <v>628</v>
      </c>
      <c r="J126" s="113" t="str">
        <f>VLOOKUP($I126,'Price List, Weapons &amp; Items'!B:C,2,0)</f>
        <v>Ammunition for heavy weapon</v>
      </c>
      <c r="K126" s="113" t="str">
        <f>IF(I126=".",I126,VLOOKUP($I126,'Price List, Weapons &amp; Items'!B:D,3,0))</f>
        <v>155mm howitzer ammunition</v>
      </c>
      <c r="L126" s="177">
        <f>VLOOKUP(I126,'Price List, Weapons &amp; Items'!B:E,4,0)</f>
        <v>0</v>
      </c>
      <c r="M126" s="542">
        <v>10</v>
      </c>
      <c r="N126" s="542" t="s">
        <v>270</v>
      </c>
      <c r="O126" s="543">
        <f>VLOOKUP($I126,'Price List, Weapons &amp; Items'!B:G,6,0)</f>
        <v>704613.12</v>
      </c>
      <c r="P126" s="176">
        <f t="shared" si="18"/>
        <v>7046131.2000000002</v>
      </c>
      <c r="Q126" s="176" t="str">
        <f t="shared" si="19"/>
        <v>.</v>
      </c>
      <c r="R126" s="176" t="str">
        <f t="shared" si="16"/>
        <v/>
      </c>
      <c r="S126" s="176" t="str">
        <f>IF(AND(AD126=1,R126&lt;&gt;".")=TRUE,R126/VLOOKUP(G126,'Exchange Rates'!B:C,2,0),IF(R126=".",".",""))</f>
        <v/>
      </c>
      <c r="T126" s="176" t="str">
        <f>IF(AD126=1,IF(AF126="Value is not given at all",".",IF(AF126="Value is given by the source",S126,IF(AF126="Value is calculated with prices",(IF(SUMIFS(Q:Q,A:A,A126)&gt;0,SUMIFS(Q:Q,A:A,A126),"."))/VLOOKUP("USD",'Exchange Rates'!B:C,2,0),"Error with coding"))),"")</f>
        <v/>
      </c>
      <c r="U126" s="15" t="s">
        <v>261</v>
      </c>
      <c r="V126" s="300" t="s">
        <v>615</v>
      </c>
      <c r="W126" s="300" t="s">
        <v>629</v>
      </c>
      <c r="X126" s="144" t="s">
        <v>260</v>
      </c>
      <c r="Y126" s="175" t="s">
        <v>260</v>
      </c>
      <c r="Z126" s="15">
        <v>0</v>
      </c>
      <c r="AA126" s="180">
        <v>0</v>
      </c>
      <c r="AB126" s="669" t="s">
        <v>260</v>
      </c>
      <c r="AC126" s="544" t="str">
        <f>""</f>
        <v/>
      </c>
      <c r="AD126" s="181">
        <v>0</v>
      </c>
      <c r="AE126" s="181" t="s">
        <v>264</v>
      </c>
      <c r="AF126" s="181" t="s">
        <v>264</v>
      </c>
      <c r="AG126" s="181">
        <v>1</v>
      </c>
      <c r="AH126" s="181">
        <v>5</v>
      </c>
      <c r="AI126" s="181">
        <v>0</v>
      </c>
      <c r="AJ126" s="181">
        <f>VLOOKUP($I126,'Price List, Weapons &amp; Items'!B:F,5,0)</f>
        <v>1</v>
      </c>
      <c r="AK126" s="181">
        <f t="shared" si="20"/>
        <v>0</v>
      </c>
      <c r="AL126" s="181">
        <f t="shared" si="21"/>
        <v>1</v>
      </c>
      <c r="AM126" s="181">
        <f t="shared" si="22"/>
        <v>0</v>
      </c>
      <c r="AN126" s="180" t="str">
        <f>VLOOKUP($I126,'Price List, Weapons &amp; Items'!B:L,COLUMN('Price List, Weapons &amp; Items'!$J$11)-1,0)</f>
        <v>Government information</v>
      </c>
      <c r="AO126" s="180" t="str">
        <f>IF(I126=".",".",VLOOKUP($I126,'Price List, Weapons &amp; Items'!B:J,3,0))</f>
        <v>155mm howitzer ammunition</v>
      </c>
      <c r="AP126" s="545" t="str">
        <f t="shared" ca="1" si="23"/>
        <v/>
      </c>
      <c r="AQ126" s="180">
        <f>VLOOKUP($I126,'Price List, Weapons &amp; Items'!B:L,COLUMN('Price List, Weapons &amp; Items'!$L$11)-1,0)</f>
        <v>2</v>
      </c>
      <c r="AR126" s="180">
        <f t="shared" si="24"/>
        <v>1</v>
      </c>
      <c r="AS126" s="180">
        <f t="shared" si="25"/>
        <v>1</v>
      </c>
      <c r="AT126" s="180">
        <f t="shared" si="17"/>
        <v>1</v>
      </c>
      <c r="AU126" s="180" t="str">
        <f t="shared" si="26"/>
        <v>.</v>
      </c>
      <c r="AV126" s="180" t="str">
        <f t="shared" si="27"/>
        <v>.</v>
      </c>
      <c r="AW126" s="180">
        <f>IFERROR(VLOOKUP(B126,'Share, Heavy Weapons to Ukraine'!B:J,COLUMN('Share, Heavy Weapons to Ukraine'!C133)-1,0),0)</f>
        <v>1</v>
      </c>
      <c r="AX126" s="180">
        <f>VLOOKUP('Bilateral Assistance, MAIN DATA'!B126,'Country Summary'!B:F,COLUMN('Country Summary'!C136)-1,FALSE)</f>
        <v>0</v>
      </c>
      <c r="AY126" s="180" t="str">
        <f>IF(AND(AD126=1,D126="Military",H126&lt;&gt;"Not given")=TRUE,IF(SUMIFS(P:P,A:A,A126)&gt;0,ABS((SUMIFS(P:P,A:A,A126)/VLOOKUP("USD",'Exchange Rates'!B:C,2,0)))/S126,"."),".")</f>
        <v>.</v>
      </c>
      <c r="AZ126" s="182" t="str">
        <f>IF(AND(AD126=1,D126="Military",H126&lt;&gt;"Not given")=TRUE,IF(SUMIFS(P:P,A:A,A126)&gt;0,IF((ABS((SUMIFS(P:P,A:A,A126)/VLOOKUP("USD",'Exchange Rates'!B:C,2,0)))/S126)&gt;1,(SUMIFS(P:P,A:A,A126)-S126)/S126,(S126-SUMIFS(P:P,A:A,A126))/SUMIFS(P:P,A:A,A126)),"."),".")</f>
        <v>.</v>
      </c>
      <c r="BA126" s="1024"/>
      <c r="BB126" s="1024"/>
      <c r="BC126" s="1024"/>
      <c r="BD126" s="1024"/>
      <c r="BE126" s="1024"/>
      <c r="BF126" s="1024"/>
      <c r="BG126" s="1024"/>
      <c r="BH126" s="1024"/>
      <c r="BI126" s="1024"/>
      <c r="BJ126" s="1024"/>
      <c r="BK126" s="1024"/>
      <c r="BL126" s="1024"/>
      <c r="BM126" s="1024"/>
      <c r="BN126" s="1024"/>
      <c r="BO126" s="1024"/>
      <c r="BP126" s="1024"/>
      <c r="BQ126" s="1024"/>
      <c r="BR126" s="1024"/>
      <c r="BS126" s="1024"/>
    </row>
    <row r="127" spans="1:71" s="520" customFormat="1" ht="15.9" customHeight="1" x14ac:dyDescent="0.3">
      <c r="A127" s="5" t="s">
        <v>630</v>
      </c>
      <c r="B127" s="5" t="s">
        <v>517</v>
      </c>
      <c r="C127" s="174">
        <v>44689</v>
      </c>
      <c r="D127" s="5" t="s">
        <v>285</v>
      </c>
      <c r="E127" s="5" t="s">
        <v>286</v>
      </c>
      <c r="F127" s="175" t="s">
        <v>631</v>
      </c>
      <c r="G127" s="15" t="s">
        <v>520</v>
      </c>
      <c r="H127" s="176">
        <v>50000000</v>
      </c>
      <c r="I127" s="17" t="s">
        <v>612</v>
      </c>
      <c r="J127" s="113" t="str">
        <f>VLOOKUP($I127,'Price List, Weapons &amp; Items'!B:C,2,0)</f>
        <v>Military equipment</v>
      </c>
      <c r="K127" s="113" t="str">
        <f>IF(I127=".",I127,VLOOKUP($I127,'Price List, Weapons &amp; Items'!B:D,3,0))</f>
        <v>Military equipment</v>
      </c>
      <c r="L127" s="177">
        <f>VLOOKUP(I127,'Price List, Weapons &amp; Items'!B:E,4,0)</f>
        <v>0</v>
      </c>
      <c r="M127" s="542">
        <v>18</v>
      </c>
      <c r="N127" s="542">
        <v>18</v>
      </c>
      <c r="O127" s="543">
        <f>VLOOKUP($I127,'Price List, Weapons &amp; Items'!B:G,6,0)</f>
        <v>2000</v>
      </c>
      <c r="P127" s="176">
        <f t="shared" si="18"/>
        <v>36000</v>
      </c>
      <c r="Q127" s="176">
        <f t="shared" si="19"/>
        <v>36000</v>
      </c>
      <c r="R127" s="176">
        <f t="shared" si="16"/>
        <v>50000000</v>
      </c>
      <c r="S127" s="176">
        <f>IF(AND(AD127=1,R127&lt;&gt;".")=TRUE,R127/VLOOKUP(G127,'Exchange Rates'!B:C,2,0),IF(R127=".",".",""))</f>
        <v>34967480.243373662</v>
      </c>
      <c r="T127" s="176">
        <f>IF(AD127=1,IF(AF127="Value is not given at all",".",IF(AF127="Value is given by the source",S127,IF(AF127="Value is calculated with prices",(IF(SUMIFS(Q:Q,A:A,A127)&gt;0,SUMIFS(Q:Q,A:A,A127),"."))/VLOOKUP("USD",'Exchange Rates'!B:C,2,0),"Error with coding"))),"")</f>
        <v>34967480.243373662</v>
      </c>
      <c r="U127" s="15" t="s">
        <v>261</v>
      </c>
      <c r="V127" s="547" t="s">
        <v>632</v>
      </c>
      <c r="W127" s="680" t="s">
        <v>260</v>
      </c>
      <c r="X127" s="680" t="s">
        <v>260</v>
      </c>
      <c r="Y127" s="680" t="s">
        <v>260</v>
      </c>
      <c r="Z127" s="15">
        <v>0</v>
      </c>
      <c r="AA127" s="180">
        <v>0</v>
      </c>
      <c r="AB127" s="549" t="s">
        <v>633</v>
      </c>
      <c r="AC127" s="544" t="str">
        <f>""</f>
        <v/>
      </c>
      <c r="AD127" s="181">
        <v>1</v>
      </c>
      <c r="AE127" s="181" t="s">
        <v>264</v>
      </c>
      <c r="AF127" s="181" t="s">
        <v>264</v>
      </c>
      <c r="AG127" s="181">
        <v>1</v>
      </c>
      <c r="AH127" s="181">
        <v>5</v>
      </c>
      <c r="AI127" s="181">
        <v>0</v>
      </c>
      <c r="AJ127" s="181">
        <f>VLOOKUP($I127,'Price List, Weapons &amp; Items'!B:F,5,0)</f>
        <v>0</v>
      </c>
      <c r="AK127" s="181">
        <f t="shared" si="20"/>
        <v>0</v>
      </c>
      <c r="AL127" s="181">
        <f t="shared" si="21"/>
        <v>0</v>
      </c>
      <c r="AM127" s="181">
        <f t="shared" si="22"/>
        <v>0</v>
      </c>
      <c r="AN127" s="180" t="str">
        <f>VLOOKUP($I127,'Price List, Weapons &amp; Items'!B:L,COLUMN('Price List, Weapons &amp; Items'!$J$11)-1,0)</f>
        <v>Online marketplaces and stores</v>
      </c>
      <c r="AO127" s="180" t="str">
        <f>IF(I127=".",".",VLOOKUP($I127,'Price List, Weapons &amp; Items'!B:J,3,0))</f>
        <v>Military equipment</v>
      </c>
      <c r="AP127" s="545" t="e">
        <f t="shared" ca="1" si="23"/>
        <v>#NAME?</v>
      </c>
      <c r="AQ127" s="180">
        <f>VLOOKUP($I127,'Price List, Weapons &amp; Items'!B:L,COLUMN('Price List, Weapons &amp; Items'!$L$11)-1,0)</f>
        <v>1</v>
      </c>
      <c r="AR127" s="180">
        <f t="shared" si="24"/>
        <v>1</v>
      </c>
      <c r="AS127" s="180">
        <f t="shared" si="25"/>
        <v>1</v>
      </c>
      <c r="AT127" s="180">
        <f t="shared" si="17"/>
        <v>1</v>
      </c>
      <c r="AU127" s="180" t="str">
        <f t="shared" si="26"/>
        <v>.</v>
      </c>
      <c r="AV127" s="180" t="str">
        <f t="shared" si="27"/>
        <v>.</v>
      </c>
      <c r="AW127" s="180">
        <f>IFERROR(VLOOKUP(B127,'Share, Heavy Weapons to Ukraine'!B:J,COLUMN('Share, Heavy Weapons to Ukraine'!C134)-1,0),0)</f>
        <v>1</v>
      </c>
      <c r="AX127" s="180">
        <f>VLOOKUP('Bilateral Assistance, MAIN DATA'!B127,'Country Summary'!B:F,COLUMN('Country Summary'!C137)-1,FALSE)</f>
        <v>0</v>
      </c>
      <c r="AY127" s="180">
        <f>IF(AND(AD127=1,D127="Military",H127&lt;&gt;"Not given")=TRUE,IF(SUMIFS(P:P,A:A,A127)&gt;0,ABS((SUMIFS(P:P,A:A,A127)/VLOOKUP("USD",'Exchange Rates'!B:C,2,0)))/S127,"."),".")</f>
        <v>9.8050285714285697E-4</v>
      </c>
      <c r="AZ127" s="182">
        <f>IF(AND(AD127=1,D127="Military",H127&lt;&gt;"Not given")=TRUE,IF(SUMIFS(P:P,A:A,A127)&gt;0,IF((ABS((SUMIFS(P:P,A:A,A127)/VLOOKUP("USD",'Exchange Rates'!B:C,2,0)))/S127)&gt;1,(SUMIFS(P:P,A:A,A127)-S127)/S127,(S127-SUMIFS(P:P,A:A,A127))/SUMIFS(P:P,A:A,A127)),"."),".")</f>
        <v>970.31889564926837</v>
      </c>
      <c r="BA127" s="1024"/>
      <c r="BB127" s="1024"/>
      <c r="BC127" s="1024"/>
      <c r="BD127" s="1024"/>
      <c r="BE127" s="1024"/>
      <c r="BF127" s="1024"/>
      <c r="BG127" s="1024"/>
      <c r="BH127" s="1024"/>
      <c r="BI127" s="1024"/>
      <c r="BJ127" s="1024"/>
      <c r="BK127" s="1024"/>
      <c r="BL127" s="1024"/>
      <c r="BM127" s="1024"/>
      <c r="BN127" s="1024"/>
      <c r="BO127" s="1024"/>
      <c r="BP127" s="1024"/>
      <c r="BQ127" s="1024"/>
      <c r="BR127" s="1024"/>
      <c r="BS127" s="1024"/>
    </row>
    <row r="128" spans="1:71" s="520" customFormat="1" ht="15.9" customHeight="1" x14ac:dyDescent="0.3">
      <c r="A128" s="5" t="s">
        <v>630</v>
      </c>
      <c r="B128" s="5" t="s">
        <v>517</v>
      </c>
      <c r="C128" s="174">
        <v>44689</v>
      </c>
      <c r="D128" s="5" t="s">
        <v>285</v>
      </c>
      <c r="E128" s="5" t="s">
        <v>286</v>
      </c>
      <c r="F128" s="175" t="s">
        <v>631</v>
      </c>
      <c r="G128" s="15" t="s">
        <v>520</v>
      </c>
      <c r="H128" s="176">
        <v>50000000</v>
      </c>
      <c r="I128" s="17" t="s">
        <v>634</v>
      </c>
      <c r="J128" s="113" t="str">
        <f>VLOOKUP($I128,'Price List, Weapons &amp; Items'!B:C,2,0)</f>
        <v>Military equipment</v>
      </c>
      <c r="K128" s="113" t="str">
        <f>IF(I128=".",I128,VLOOKUP($I128,'Price List, Weapons &amp; Items'!B:D,3,0))</f>
        <v>Military equipment</v>
      </c>
      <c r="L128" s="177">
        <f>VLOOKUP(I128,'Price List, Weapons &amp; Items'!B:E,4,0)</f>
        <v>0</v>
      </c>
      <c r="M128" s="542" t="s">
        <v>270</v>
      </c>
      <c r="N128" s="542" t="s">
        <v>270</v>
      </c>
      <c r="O128" s="543" t="str">
        <f>VLOOKUP($I128,'Price List, Weapons &amp; Items'!B:G,6,0)</f>
        <v>.</v>
      </c>
      <c r="P128" s="176" t="str">
        <f t="shared" si="18"/>
        <v>.</v>
      </c>
      <c r="Q128" s="176" t="str">
        <f t="shared" si="19"/>
        <v>.</v>
      </c>
      <c r="R128" s="176" t="str">
        <f t="shared" si="16"/>
        <v/>
      </c>
      <c r="S128" s="176" t="str">
        <f>IF(AND(AD128=1,R128&lt;&gt;".")=TRUE,R128/VLOOKUP(G128,'Exchange Rates'!B:C,2,0),IF(R128=".",".",""))</f>
        <v/>
      </c>
      <c r="T128" s="176" t="str">
        <f>IF(AD128=1,IF(AF128="Value is not given at all",".",IF(AF128="Value is given by the source",S128,IF(AF128="Value is calculated with prices",(IF(SUMIFS(Q:Q,A:A,A128)&gt;0,SUMIFS(Q:Q,A:A,A128),"."))/VLOOKUP("USD",'Exchange Rates'!B:C,2,0),"Error with coding"))),"")</f>
        <v/>
      </c>
      <c r="U128" s="15" t="s">
        <v>261</v>
      </c>
      <c r="V128" s="547" t="s">
        <v>632</v>
      </c>
      <c r="W128" s="680" t="s">
        <v>260</v>
      </c>
      <c r="X128" s="680" t="s">
        <v>260</v>
      </c>
      <c r="Y128" s="680" t="s">
        <v>260</v>
      </c>
      <c r="Z128" s="15">
        <v>0</v>
      </c>
      <c r="AA128" s="180">
        <v>0</v>
      </c>
      <c r="AB128" s="549" t="s">
        <v>633</v>
      </c>
      <c r="AC128" s="544" t="str">
        <f>""</f>
        <v/>
      </c>
      <c r="AD128" s="181">
        <v>0</v>
      </c>
      <c r="AE128" s="181" t="s">
        <v>264</v>
      </c>
      <c r="AF128" s="181" t="s">
        <v>264</v>
      </c>
      <c r="AG128" s="181">
        <v>1</v>
      </c>
      <c r="AH128" s="181">
        <v>5</v>
      </c>
      <c r="AI128" s="181">
        <v>0</v>
      </c>
      <c r="AJ128" s="181">
        <f>VLOOKUP($I128,'Price List, Weapons &amp; Items'!B:F,5,0)</f>
        <v>0</v>
      </c>
      <c r="AK128" s="181">
        <f t="shared" si="20"/>
        <v>0</v>
      </c>
      <c r="AL128" s="181">
        <f t="shared" si="21"/>
        <v>0</v>
      </c>
      <c r="AM128" s="181">
        <f t="shared" si="22"/>
        <v>0</v>
      </c>
      <c r="AN128" s="180" t="str">
        <f>VLOOKUP($I128,'Price List, Weapons &amp; Items'!B:L,COLUMN('Price List, Weapons &amp; Items'!$J$11)-1,0)</f>
        <v>.</v>
      </c>
      <c r="AO128" s="180" t="str">
        <f>IF(I128=".",".",VLOOKUP($I128,'Price List, Weapons &amp; Items'!B:J,3,0))</f>
        <v>Military equipment</v>
      </c>
      <c r="AP128" s="545" t="str">
        <f t="shared" ca="1" si="23"/>
        <v/>
      </c>
      <c r="AQ128" s="180" t="str">
        <f>VLOOKUP($I128,'Price List, Weapons &amp; Items'!B:L,COLUMN('Price List, Weapons &amp; Items'!$L$11)-1,0)</f>
        <v>no price, 0 count</v>
      </c>
      <c r="AR128" s="180">
        <f t="shared" si="24"/>
        <v>1</v>
      </c>
      <c r="AS128" s="180">
        <f t="shared" si="25"/>
        <v>1</v>
      </c>
      <c r="AT128" s="180">
        <f t="shared" si="17"/>
        <v>1</v>
      </c>
      <c r="AU128" s="180" t="str">
        <f t="shared" si="26"/>
        <v>.</v>
      </c>
      <c r="AV128" s="180" t="str">
        <f t="shared" si="27"/>
        <v>.</v>
      </c>
      <c r="AW128" s="180">
        <f>IFERROR(VLOOKUP(B128,'Share, Heavy Weapons to Ukraine'!B:J,COLUMN('Share, Heavy Weapons to Ukraine'!C135)-1,0),0)</f>
        <v>1</v>
      </c>
      <c r="AX128" s="180">
        <f>VLOOKUP('Bilateral Assistance, MAIN DATA'!B128,'Country Summary'!B:F,COLUMN('Country Summary'!C138)-1,FALSE)</f>
        <v>0</v>
      </c>
      <c r="AY128" s="180" t="str">
        <f>IF(AND(AD128=1,D128="Military",H128&lt;&gt;"Not given")=TRUE,IF(SUMIFS(P:P,A:A,A128)&gt;0,ABS((SUMIFS(P:P,A:A,A128)/VLOOKUP("USD",'Exchange Rates'!B:C,2,0)))/S128,"."),".")</f>
        <v>.</v>
      </c>
      <c r="AZ128" s="182" t="str">
        <f>IF(AND(AD128=1,D128="Military",H128&lt;&gt;"Not given")=TRUE,IF(SUMIFS(P:P,A:A,A128)&gt;0,IF((ABS((SUMIFS(P:P,A:A,A128)/VLOOKUP("USD",'Exchange Rates'!B:C,2,0)))/S128)&gt;1,(SUMIFS(P:P,A:A,A128)-S128)/S128,(S128-SUMIFS(P:P,A:A,A128))/SUMIFS(P:P,A:A,A128)),"."),".")</f>
        <v>.</v>
      </c>
      <c r="BA128" s="1024"/>
      <c r="BB128" s="1024"/>
      <c r="BC128" s="1024"/>
      <c r="BD128" s="1024"/>
      <c r="BE128" s="1024"/>
      <c r="BF128" s="1024"/>
      <c r="BG128" s="1024"/>
      <c r="BH128" s="1024"/>
      <c r="BI128" s="1024"/>
      <c r="BJ128" s="1024"/>
      <c r="BK128" s="1024"/>
      <c r="BL128" s="1024"/>
      <c r="BM128" s="1024"/>
      <c r="BN128" s="1024"/>
      <c r="BO128" s="1024"/>
      <c r="BP128" s="1024"/>
      <c r="BQ128" s="1024"/>
      <c r="BR128" s="1024"/>
      <c r="BS128" s="1024"/>
    </row>
    <row r="129" spans="1:71" s="520" customFormat="1" ht="15.9" customHeight="1" x14ac:dyDescent="0.3">
      <c r="A129" s="5" t="s">
        <v>630</v>
      </c>
      <c r="B129" s="5" t="s">
        <v>517</v>
      </c>
      <c r="C129" s="174">
        <v>44689</v>
      </c>
      <c r="D129" s="5" t="s">
        <v>285</v>
      </c>
      <c r="E129" s="5" t="s">
        <v>286</v>
      </c>
      <c r="F129" s="175" t="s">
        <v>631</v>
      </c>
      <c r="G129" s="15" t="s">
        <v>520</v>
      </c>
      <c r="H129" s="176">
        <v>50000000</v>
      </c>
      <c r="I129" s="17" t="s">
        <v>635</v>
      </c>
      <c r="J129" s="113" t="str">
        <f>VLOOKUP($I129,'Price List, Weapons &amp; Items'!B:C,2,0)</f>
        <v>Ammunition for light infantry</v>
      </c>
      <c r="K129" s="113" t="str">
        <f>IF(I129=".",I129,VLOOKUP($I129,'Price List, Weapons &amp; Items'!B:D,3,0))</f>
        <v>Small Arms and Light Weapons (SALW) ammunition</v>
      </c>
      <c r="L129" s="177">
        <f>VLOOKUP(I129,'Price List, Weapons &amp; Items'!B:E,4,0)</f>
        <v>0</v>
      </c>
      <c r="M129" s="542" t="s">
        <v>270</v>
      </c>
      <c r="N129" s="542" t="s">
        <v>270</v>
      </c>
      <c r="O129" s="543" t="str">
        <f>VLOOKUP($I129,'Price List, Weapons &amp; Items'!B:G,6,0)</f>
        <v>.</v>
      </c>
      <c r="P129" s="176" t="str">
        <f t="shared" si="18"/>
        <v>.</v>
      </c>
      <c r="Q129" s="176" t="str">
        <f t="shared" si="19"/>
        <v>.</v>
      </c>
      <c r="R129" s="176" t="str">
        <f t="shared" si="16"/>
        <v/>
      </c>
      <c r="S129" s="176" t="str">
        <f>IF(AND(AD129=1,R129&lt;&gt;".")=TRUE,R129/VLOOKUP(G129,'Exchange Rates'!B:C,2,0),IF(R129=".",".",""))</f>
        <v/>
      </c>
      <c r="T129" s="176" t="str">
        <f>IF(AD129=1,IF(AF129="Value is not given at all",".",IF(AF129="Value is given by the source",S129,IF(AF129="Value is calculated with prices",(IF(SUMIFS(Q:Q,A:A,A129)&gt;0,SUMIFS(Q:Q,A:A,A129),"."))/VLOOKUP("USD",'Exchange Rates'!B:C,2,0),"Error with coding"))),"")</f>
        <v/>
      </c>
      <c r="U129" s="15" t="s">
        <v>261</v>
      </c>
      <c r="V129" s="547" t="s">
        <v>632</v>
      </c>
      <c r="W129" s="680" t="s">
        <v>260</v>
      </c>
      <c r="X129" s="680" t="s">
        <v>260</v>
      </c>
      <c r="Y129" s="680" t="s">
        <v>260</v>
      </c>
      <c r="Z129" s="15">
        <v>0</v>
      </c>
      <c r="AA129" s="180">
        <v>0</v>
      </c>
      <c r="AB129" s="549" t="s">
        <v>633</v>
      </c>
      <c r="AC129" s="544" t="str">
        <f>""</f>
        <v/>
      </c>
      <c r="AD129" s="181">
        <v>0</v>
      </c>
      <c r="AE129" s="181" t="s">
        <v>264</v>
      </c>
      <c r="AF129" s="181" t="s">
        <v>264</v>
      </c>
      <c r="AG129" s="181">
        <v>1</v>
      </c>
      <c r="AH129" s="181">
        <v>5</v>
      </c>
      <c r="AI129" s="181">
        <v>0</v>
      </c>
      <c r="AJ129" s="181">
        <f>VLOOKUP($I129,'Price List, Weapons &amp; Items'!B:F,5,0)</f>
        <v>0</v>
      </c>
      <c r="AK129" s="181">
        <f t="shared" si="20"/>
        <v>0</v>
      </c>
      <c r="AL129" s="181">
        <f t="shared" si="21"/>
        <v>0</v>
      </c>
      <c r="AM129" s="181">
        <f t="shared" si="22"/>
        <v>1</v>
      </c>
      <c r="AN129" s="180" t="str">
        <f>VLOOKUP($I129,'Price List, Weapons &amp; Items'!B:L,COLUMN('Price List, Weapons &amp; Items'!$J$11)-1,0)</f>
        <v>.</v>
      </c>
      <c r="AO129" s="180" t="str">
        <f>IF(I129=".",".",VLOOKUP($I129,'Price List, Weapons &amp; Items'!B:J,3,0))</f>
        <v>Small Arms and Light Weapons (SALW) ammunition</v>
      </c>
      <c r="AP129" s="545" t="str">
        <f t="shared" ca="1" si="23"/>
        <v/>
      </c>
      <c r="AQ129" s="180" t="str">
        <f>VLOOKUP($I129,'Price List, Weapons &amp; Items'!B:L,COLUMN('Price List, Weapons &amp; Items'!$L$11)-1,0)</f>
        <v>no price, 0 count</v>
      </c>
      <c r="AR129" s="180">
        <f t="shared" si="24"/>
        <v>1</v>
      </c>
      <c r="AS129" s="180">
        <f t="shared" si="25"/>
        <v>1</v>
      </c>
      <c r="AT129" s="180">
        <f t="shared" si="17"/>
        <v>1</v>
      </c>
      <c r="AU129" s="180" t="str">
        <f t="shared" si="26"/>
        <v>.</v>
      </c>
      <c r="AV129" s="180" t="str">
        <f t="shared" si="27"/>
        <v>.</v>
      </c>
      <c r="AW129" s="180">
        <f>IFERROR(VLOOKUP(B129,'Share, Heavy Weapons to Ukraine'!B:J,COLUMN('Share, Heavy Weapons to Ukraine'!C136)-1,0),0)</f>
        <v>1</v>
      </c>
      <c r="AX129" s="180">
        <f>VLOOKUP('Bilateral Assistance, MAIN DATA'!B129,'Country Summary'!B:F,COLUMN('Country Summary'!C139)-1,FALSE)</f>
        <v>0</v>
      </c>
      <c r="AY129" s="180" t="str">
        <f>IF(AND(AD129=1,D129="Military",H129&lt;&gt;"Not given")=TRUE,IF(SUMIFS(P:P,A:A,A129)&gt;0,ABS((SUMIFS(P:P,A:A,A129)/VLOOKUP("USD",'Exchange Rates'!B:C,2,0)))/S129,"."),".")</f>
        <v>.</v>
      </c>
      <c r="AZ129" s="182" t="str">
        <f>IF(AND(AD129=1,D129="Military",H129&lt;&gt;"Not given")=TRUE,IF(SUMIFS(P:P,A:A,A129)&gt;0,IF((ABS((SUMIFS(P:P,A:A,A129)/VLOOKUP("USD",'Exchange Rates'!B:C,2,0)))/S129)&gt;1,(SUMIFS(P:P,A:A,A129)-S129)/S129,(S129-SUMIFS(P:P,A:A,A129))/SUMIFS(P:P,A:A,A129)),"."),".")</f>
        <v>.</v>
      </c>
      <c r="BA129" s="1024"/>
      <c r="BB129" s="1024"/>
      <c r="BC129" s="1024"/>
      <c r="BD129" s="1024"/>
      <c r="BE129" s="1024"/>
      <c r="BF129" s="1024"/>
      <c r="BG129" s="1024"/>
      <c r="BH129" s="1024"/>
      <c r="BI129" s="1024"/>
      <c r="BJ129" s="1024"/>
      <c r="BK129" s="1024"/>
      <c r="BL129" s="1024"/>
      <c r="BM129" s="1024"/>
      <c r="BN129" s="1024"/>
      <c r="BO129" s="1024"/>
      <c r="BP129" s="1024"/>
      <c r="BQ129" s="1024"/>
      <c r="BR129" s="1024"/>
      <c r="BS129" s="1024"/>
    </row>
    <row r="130" spans="1:71" s="520" customFormat="1" ht="15.9" customHeight="1" x14ac:dyDescent="0.3">
      <c r="A130" s="5" t="s">
        <v>630</v>
      </c>
      <c r="B130" s="5" t="s">
        <v>517</v>
      </c>
      <c r="C130" s="174">
        <v>44689</v>
      </c>
      <c r="D130" s="5" t="s">
        <v>285</v>
      </c>
      <c r="E130" s="5" t="s">
        <v>286</v>
      </c>
      <c r="F130" s="175" t="s">
        <v>631</v>
      </c>
      <c r="G130" s="15" t="s">
        <v>520</v>
      </c>
      <c r="H130" s="176">
        <v>50000000</v>
      </c>
      <c r="I130" s="17" t="s">
        <v>321</v>
      </c>
      <c r="J130" s="113" t="str">
        <f>VLOOKUP($I130,'Price List, Weapons &amp; Items'!B:C,2,0)</f>
        <v>Ammunition for heavy weapon</v>
      </c>
      <c r="K130" s="113" t="str">
        <f>IF(I130=".",I130,VLOOKUP($I130,'Price List, Weapons &amp; Items'!B:D,3,0))</f>
        <v>155mm howitzer ammunition</v>
      </c>
      <c r="L130" s="177">
        <f>VLOOKUP(I130,'Price List, Weapons &amp; Items'!B:E,4,0)</f>
        <v>0</v>
      </c>
      <c r="M130" s="542" t="s">
        <v>270</v>
      </c>
      <c r="N130" s="542" t="s">
        <v>270</v>
      </c>
      <c r="O130" s="543">
        <f>VLOOKUP($I130,'Price List, Weapons &amp; Items'!B:G,6,0)</f>
        <v>3800</v>
      </c>
      <c r="P130" s="176" t="str">
        <f t="shared" si="18"/>
        <v>.</v>
      </c>
      <c r="Q130" s="176" t="str">
        <f t="shared" si="19"/>
        <v>.</v>
      </c>
      <c r="R130" s="176" t="str">
        <f t="shared" ref="R130:R193" si="28">IF(AD130=1,IF(H130&lt;&gt;"Not given",H130,IF(TYPE(H130)=2,IF(SUMIFS(P:P,A:A,A130)&gt;0,SUMIFS(P:P,A:A,A130),"."),"Format error")),"")</f>
        <v/>
      </c>
      <c r="S130" s="176" t="str">
        <f>IF(AND(AD130=1,R130&lt;&gt;".")=TRUE,R130/VLOOKUP(G130,'Exchange Rates'!B:C,2,0),IF(R130=".",".",""))</f>
        <v/>
      </c>
      <c r="T130" s="176" t="str">
        <f>IF(AD130=1,IF(AF130="Value is not given at all",".",IF(AF130="Value is given by the source",S130,IF(AF130="Value is calculated with prices",(IF(SUMIFS(Q:Q,A:A,A130)&gt;0,SUMIFS(Q:Q,A:A,A130),"."))/VLOOKUP("USD",'Exchange Rates'!B:C,2,0),"Error with coding"))),"")</f>
        <v/>
      </c>
      <c r="U130" s="15" t="s">
        <v>261</v>
      </c>
      <c r="V130" s="547" t="s">
        <v>632</v>
      </c>
      <c r="W130" s="680" t="s">
        <v>260</v>
      </c>
      <c r="X130" s="680" t="s">
        <v>260</v>
      </c>
      <c r="Y130" s="680" t="s">
        <v>260</v>
      </c>
      <c r="Z130" s="15">
        <v>0</v>
      </c>
      <c r="AA130" s="180">
        <v>0</v>
      </c>
      <c r="AB130" s="549" t="s">
        <v>633</v>
      </c>
      <c r="AC130" s="544" t="str">
        <f>""</f>
        <v/>
      </c>
      <c r="AD130" s="181">
        <v>0</v>
      </c>
      <c r="AE130" s="181" t="s">
        <v>264</v>
      </c>
      <c r="AF130" s="181" t="s">
        <v>264</v>
      </c>
      <c r="AG130" s="181">
        <v>1</v>
      </c>
      <c r="AH130" s="181">
        <v>5</v>
      </c>
      <c r="AI130" s="181">
        <v>0</v>
      </c>
      <c r="AJ130" s="181">
        <f>VLOOKUP($I130,'Price List, Weapons &amp; Items'!B:F,5,0)</f>
        <v>1</v>
      </c>
      <c r="AK130" s="181">
        <f t="shared" si="20"/>
        <v>1</v>
      </c>
      <c r="AL130" s="181">
        <f t="shared" si="21"/>
        <v>1</v>
      </c>
      <c r="AM130" s="181">
        <f t="shared" si="22"/>
        <v>1</v>
      </c>
      <c r="AN130" s="180" t="str">
        <f>VLOOKUP($I130,'Price List, Weapons &amp; Items'!B:L,COLUMN('Price List, Weapons &amp; Items'!$J$11)-1,0)</f>
        <v>Government information</v>
      </c>
      <c r="AO130" s="180" t="str">
        <f>IF(I130=".",".",VLOOKUP($I130,'Price List, Weapons &amp; Items'!B:J,3,0))</f>
        <v>155mm howitzer ammunition</v>
      </c>
      <c r="AP130" s="545" t="str">
        <f t="shared" ca="1" si="23"/>
        <v/>
      </c>
      <c r="AQ130" s="180" t="str">
        <f>VLOOKUP($I130,'Price List, Weapons &amp; Items'!B:L,COLUMN('Price List, Weapons &amp; Items'!$L$11)-1,0)</f>
        <v>no price, 0 count</v>
      </c>
      <c r="AR130" s="180">
        <f t="shared" si="24"/>
        <v>1</v>
      </c>
      <c r="AS130" s="180">
        <f t="shared" si="25"/>
        <v>1</v>
      </c>
      <c r="AT130" s="180">
        <f t="shared" si="17"/>
        <v>1</v>
      </c>
      <c r="AU130" s="180" t="str">
        <f t="shared" si="26"/>
        <v>.</v>
      </c>
      <c r="AV130" s="180" t="str">
        <f t="shared" si="27"/>
        <v>.</v>
      </c>
      <c r="AW130" s="180">
        <f>IFERROR(VLOOKUP(B130,'Share, Heavy Weapons to Ukraine'!B:J,COLUMN('Share, Heavy Weapons to Ukraine'!C137)-1,0),0)</f>
        <v>1</v>
      </c>
      <c r="AX130" s="180">
        <f>VLOOKUP('Bilateral Assistance, MAIN DATA'!B130,'Country Summary'!B:F,COLUMN('Country Summary'!C140)-1,FALSE)</f>
        <v>0</v>
      </c>
      <c r="AY130" s="180" t="str">
        <f>IF(AND(AD130=1,D130="Military",H130&lt;&gt;"Not given")=TRUE,IF(SUMIFS(P:P,A:A,A130)&gt;0,ABS((SUMIFS(P:P,A:A,A130)/VLOOKUP("USD",'Exchange Rates'!B:C,2,0)))/S130,"."),".")</f>
        <v>.</v>
      </c>
      <c r="AZ130" s="182" t="str">
        <f>IF(AND(AD130=1,D130="Military",H130&lt;&gt;"Not given")=TRUE,IF(SUMIFS(P:P,A:A,A130)&gt;0,IF((ABS((SUMIFS(P:P,A:A,A130)/VLOOKUP("USD",'Exchange Rates'!B:C,2,0)))/S130)&gt;1,(SUMIFS(P:P,A:A,A130)-S130)/S130,(S130-SUMIFS(P:P,A:A,A130))/SUMIFS(P:P,A:A,A130)),"."),".")</f>
        <v>.</v>
      </c>
      <c r="BA130" s="1024"/>
      <c r="BB130" s="1024"/>
      <c r="BC130" s="1024"/>
      <c r="BD130" s="1024"/>
      <c r="BE130" s="1024"/>
      <c r="BF130" s="1024"/>
      <c r="BG130" s="1024"/>
      <c r="BH130" s="1024"/>
      <c r="BI130" s="1024"/>
      <c r="BJ130" s="1024"/>
      <c r="BK130" s="1024"/>
      <c r="BL130" s="1024"/>
      <c r="BM130" s="1024"/>
      <c r="BN130" s="1024"/>
      <c r="BO130" s="1024"/>
      <c r="BP130" s="1024"/>
      <c r="BQ130" s="1024"/>
      <c r="BR130" s="1024"/>
      <c r="BS130" s="1024"/>
    </row>
    <row r="131" spans="1:71" s="520" customFormat="1" ht="15.9" customHeight="1" x14ac:dyDescent="0.3">
      <c r="A131" s="5" t="s">
        <v>636</v>
      </c>
      <c r="B131" s="5" t="s">
        <v>517</v>
      </c>
      <c r="C131" s="174">
        <v>44742</v>
      </c>
      <c r="D131" s="5" t="s">
        <v>285</v>
      </c>
      <c r="E131" s="5" t="s">
        <v>339</v>
      </c>
      <c r="F131" s="1139" t="s">
        <v>637</v>
      </c>
      <c r="G131" s="15" t="s">
        <v>346</v>
      </c>
      <c r="H131" s="176" t="s">
        <v>341</v>
      </c>
      <c r="I131" s="17" t="s">
        <v>612</v>
      </c>
      <c r="J131" s="113" t="str">
        <f>VLOOKUP($I131,'Price List, Weapons &amp; Items'!B:C,2,0)</f>
        <v>Military equipment</v>
      </c>
      <c r="K131" s="113" t="str">
        <f>IF(I131=".",I131,VLOOKUP($I131,'Price List, Weapons &amp; Items'!B:D,3,0))</f>
        <v>Military equipment</v>
      </c>
      <c r="L131" s="177">
        <f>VLOOKUP(I131,'Price List, Weapons &amp; Items'!B:E,4,0)</f>
        <v>0</v>
      </c>
      <c r="M131" s="542">
        <v>6</v>
      </c>
      <c r="N131" s="542">
        <v>6</v>
      </c>
      <c r="O131" s="543">
        <f>VLOOKUP($I131,'Price List, Weapons &amp; Items'!B:G,6,0)</f>
        <v>2000</v>
      </c>
      <c r="P131" s="176">
        <f t="shared" si="18"/>
        <v>12000</v>
      </c>
      <c r="Q131" s="176">
        <f t="shared" si="19"/>
        <v>12000</v>
      </c>
      <c r="R131" s="176">
        <f t="shared" si="28"/>
        <v>169528867.14300001</v>
      </c>
      <c r="S131" s="176">
        <f>IF(AND(AD131=1,R131&lt;&gt;".")=TRUE,R131/VLOOKUP(G131,'Exchange Rates'!B:C,2,0),IF(R131=".",".",""))</f>
        <v>161456063.94571429</v>
      </c>
      <c r="T131" s="176">
        <f>IF(AD131=1,IF(AF131="Value is not given at all",".",IF(AF131="Value is given by the source",S131,IF(AF131="Value is calculated with prices",(IF(SUMIFS(Q:Q,A:A,A131)&gt;0,SUMIFS(Q:Q,A:A,A131),"."))/VLOOKUP("USD",'Exchange Rates'!B:C,2,0),"Error with coding"))),"")</f>
        <v>161456063.94571429</v>
      </c>
      <c r="U131" s="15" t="s">
        <v>261</v>
      </c>
      <c r="V131" s="547" t="s">
        <v>638</v>
      </c>
      <c r="W131" s="547" t="s">
        <v>639</v>
      </c>
      <c r="X131" s="144" t="s">
        <v>260</v>
      </c>
      <c r="Y131" s="175" t="s">
        <v>260</v>
      </c>
      <c r="Z131" s="15">
        <v>0</v>
      </c>
      <c r="AA131" s="180">
        <v>1</v>
      </c>
      <c r="AB131" s="550" t="s">
        <v>640</v>
      </c>
      <c r="AC131" s="544" t="str">
        <f>""</f>
        <v/>
      </c>
      <c r="AD131" s="181">
        <v>1</v>
      </c>
      <c r="AE131" s="181" t="s">
        <v>332</v>
      </c>
      <c r="AF131" s="181" t="s">
        <v>332</v>
      </c>
      <c r="AG131" s="181">
        <v>1</v>
      </c>
      <c r="AH131" s="181">
        <v>6</v>
      </c>
      <c r="AI131" s="181">
        <v>0</v>
      </c>
      <c r="AJ131" s="181">
        <f>VLOOKUP($I131,'Price List, Weapons &amp; Items'!B:F,5,0)</f>
        <v>0</v>
      </c>
      <c r="AK131" s="181">
        <f t="shared" si="20"/>
        <v>0</v>
      </c>
      <c r="AL131" s="181">
        <f t="shared" si="21"/>
        <v>0</v>
      </c>
      <c r="AM131" s="181">
        <f t="shared" si="22"/>
        <v>0</v>
      </c>
      <c r="AN131" s="180" t="str">
        <f>VLOOKUP($I131,'Price List, Weapons &amp; Items'!B:L,COLUMN('Price List, Weapons &amp; Items'!$J$11)-1,0)</f>
        <v>Online marketplaces and stores</v>
      </c>
      <c r="AO131" s="180" t="str">
        <f>IF(I131=".",".",VLOOKUP($I131,'Price List, Weapons &amp; Items'!B:J,3,0))</f>
        <v>Military equipment</v>
      </c>
      <c r="AP131" s="545" t="e">
        <f t="shared" ref="AP131:AP194" ca="1" si="29">IF(AD131=1,_xlfn.ARRAYTOTEXT(OFFSET(I131,0,0,COUNTIF(A:A,A131),1)),"")</f>
        <v>#NAME?</v>
      </c>
      <c r="AQ131" s="180">
        <f>VLOOKUP($I131,'Price List, Weapons &amp; Items'!B:L,COLUMN('Price List, Weapons &amp; Items'!$L$11)-1,0)</f>
        <v>1</v>
      </c>
      <c r="AR131" s="180">
        <f t="shared" si="24"/>
        <v>1</v>
      </c>
      <c r="AS131" s="180">
        <f t="shared" si="25"/>
        <v>1</v>
      </c>
      <c r="AT131" s="180">
        <f t="shared" ref="AT131:AT194" si="30">IFERROR(IF(VALUE(TEXT(C131,"mm"))=AH131,".",IF(TEXT(C131,"mm")="01",".",1)),"Value is not in date format")</f>
        <v>1</v>
      </c>
      <c r="AU131" s="180" t="str">
        <f t="shared" si="26"/>
        <v>.</v>
      </c>
      <c r="AV131" s="180" t="str">
        <f t="shared" si="27"/>
        <v>.</v>
      </c>
      <c r="AW131" s="180">
        <f>IFERROR(VLOOKUP(B131,'Share, Heavy Weapons to Ukraine'!B:J,COLUMN('Share, Heavy Weapons to Ukraine'!C138)-1,0),0)</f>
        <v>1</v>
      </c>
      <c r="AX131" s="180">
        <f>VLOOKUP('Bilateral Assistance, MAIN DATA'!B131,'Country Summary'!B:F,COLUMN('Country Summary'!C141)-1,FALSE)</f>
        <v>0</v>
      </c>
      <c r="AY131" s="180" t="str">
        <f>IF(AND(AD131=1,D131="Military",H131&lt;&gt;"Not given")=TRUE,IF(SUMIFS(P:P,A:A,A131)&gt;0,ABS((SUMIFS(P:P,A:A,A131)/VLOOKUP("USD",'Exchange Rates'!B:C,2,0)))/S131,"."),".")</f>
        <v>.</v>
      </c>
      <c r="AZ131" s="182" t="str">
        <f>IF(AND(AD131=1,D131="Military",H131&lt;&gt;"Not given")=TRUE,IF(SUMIFS(P:P,A:A,A131)&gt;0,IF((ABS((SUMIFS(P:P,A:A,A131)/VLOOKUP("USD",'Exchange Rates'!B:C,2,0)))/S131)&gt;1,(SUMIFS(P:P,A:A,A131)-S131)/S131,(S131-SUMIFS(P:P,A:A,A131))/SUMIFS(P:P,A:A,A131)),"."),".")</f>
        <v>.</v>
      </c>
      <c r="BA131" s="1024"/>
      <c r="BB131" s="1024"/>
      <c r="BC131" s="1024"/>
      <c r="BD131" s="1024"/>
      <c r="BE131" s="1024"/>
      <c r="BF131" s="1024"/>
      <c r="BG131" s="1024"/>
      <c r="BH131" s="1024"/>
      <c r="BI131" s="1024"/>
      <c r="BJ131" s="1024"/>
      <c r="BK131" s="1024"/>
      <c r="BL131" s="1024"/>
      <c r="BM131" s="1024"/>
      <c r="BN131" s="1024"/>
      <c r="BO131" s="1024"/>
      <c r="BP131" s="1024"/>
      <c r="BQ131" s="1024"/>
      <c r="BR131" s="1024"/>
      <c r="BS131" s="1024"/>
    </row>
    <row r="132" spans="1:71" s="520" customFormat="1" ht="15.9" customHeight="1" x14ac:dyDescent="0.3">
      <c r="A132" s="5" t="s">
        <v>636</v>
      </c>
      <c r="B132" s="5" t="s">
        <v>517</v>
      </c>
      <c r="C132" s="174">
        <v>44742</v>
      </c>
      <c r="D132" s="5" t="s">
        <v>285</v>
      </c>
      <c r="E132" s="5" t="s">
        <v>339</v>
      </c>
      <c r="F132" s="1139" t="s">
        <v>637</v>
      </c>
      <c r="G132" s="15" t="s">
        <v>346</v>
      </c>
      <c r="H132" s="176" t="s">
        <v>341</v>
      </c>
      <c r="I132" s="17" t="s">
        <v>641</v>
      </c>
      <c r="J132" s="113" t="str">
        <f>VLOOKUP($I132,'Price List, Weapons &amp; Items'!B:C,2,0)</f>
        <v>Heavy weapon</v>
      </c>
      <c r="K132" s="113" t="str">
        <f>IF(I132=".",I132,VLOOKUP($I132,'Price List, Weapons &amp; Items'!B:D,3,0))</f>
        <v>Armoured Personnel Carrier (APC)</v>
      </c>
      <c r="L132" s="177">
        <f>VLOOKUP(I132,'Price List, Weapons &amp; Items'!B:E,4,0)</f>
        <v>0</v>
      </c>
      <c r="M132" s="542">
        <v>39</v>
      </c>
      <c r="N132" s="542">
        <v>39</v>
      </c>
      <c r="O132" s="543">
        <f>VLOOKUP($I132,'Price List, Weapons &amp; Items'!B:G,6,0)</f>
        <v>4346586.3370000003</v>
      </c>
      <c r="P132" s="176">
        <f t="shared" ref="P132:P195" si="31">IF(TYPE(M132)=1,IF(TYPE(O132)=1,M132*O132,"No price"),".")</f>
        <v>169516867.14300001</v>
      </c>
      <c r="Q132" s="176">
        <f t="shared" ref="Q132:Q195" si="32">IF(TYPE(N132)=1,IF(TYPE(O132)=1,N132*O132,"No price"),".")</f>
        <v>169516867.14300001</v>
      </c>
      <c r="R132" s="176" t="str">
        <f t="shared" si="28"/>
        <v/>
      </c>
      <c r="S132" s="176" t="str">
        <f>IF(AND(AD132=1,R132&lt;&gt;".")=TRUE,R132/VLOOKUP(G132,'Exchange Rates'!B:C,2,0),IF(R132=".",".",""))</f>
        <v/>
      </c>
      <c r="T132" s="176" t="str">
        <f>IF(AD132=1,IF(AF132="Value is not given at all",".",IF(AF132="Value is given by the source",S132,IF(AF132="Value is calculated with prices",(IF(SUMIFS(Q:Q,A:A,A132)&gt;0,SUMIFS(Q:Q,A:A,A132),"."))/VLOOKUP("USD",'Exchange Rates'!B:C,2,0),"Error with coding"))),"")</f>
        <v/>
      </c>
      <c r="U132" s="15" t="s">
        <v>261</v>
      </c>
      <c r="V132" s="547" t="s">
        <v>638</v>
      </c>
      <c r="W132" s="547" t="s">
        <v>639</v>
      </c>
      <c r="X132" s="144" t="s">
        <v>260</v>
      </c>
      <c r="Y132" s="175" t="s">
        <v>260</v>
      </c>
      <c r="Z132" s="15">
        <v>0</v>
      </c>
      <c r="AA132" s="15">
        <v>1</v>
      </c>
      <c r="AB132" s="550" t="s">
        <v>640</v>
      </c>
      <c r="AC132" s="544" t="str">
        <f>""</f>
        <v/>
      </c>
      <c r="AD132" s="181">
        <v>0</v>
      </c>
      <c r="AE132" s="181" t="s">
        <v>332</v>
      </c>
      <c r="AF132" s="181" t="s">
        <v>332</v>
      </c>
      <c r="AG132" s="181">
        <v>1</v>
      </c>
      <c r="AH132" s="181">
        <v>6</v>
      </c>
      <c r="AI132" s="181">
        <v>0</v>
      </c>
      <c r="AJ132" s="181">
        <f>VLOOKUP($I132,'Price List, Weapons &amp; Items'!B:F,5,0)</f>
        <v>1</v>
      </c>
      <c r="AK132" s="181">
        <f t="shared" ref="AK132:AK195" si="33">IF(AND(AJ132=1,M132="undisclosed")=TRUE,1,0)</f>
        <v>0</v>
      </c>
      <c r="AL132" s="181">
        <f t="shared" ref="AL132:AL195" si="34">IF(AND(AJ132=1,N132="undisclosed")=TRUE,1,0)</f>
        <v>0</v>
      </c>
      <c r="AM132" s="181">
        <f t="shared" ref="AM132:AM195" si="35">IFERROR(IF(SEARCH("ammuni",I132,1)&gt;0,1,0),0)</f>
        <v>0</v>
      </c>
      <c r="AN132" s="180" t="str">
        <f>VLOOKUP($I132,'Price List, Weapons &amp; Items'!B:L,COLUMN('Price List, Weapons &amp; Items'!$J$11)-1,0)</f>
        <v>Government information</v>
      </c>
      <c r="AO132" s="180" t="str">
        <f>IF(I132=".",".",VLOOKUP($I132,'Price List, Weapons &amp; Items'!B:J,3,0))</f>
        <v>Armoured Personnel Carrier (APC)</v>
      </c>
      <c r="AP132" s="545" t="str">
        <f t="shared" ca="1" si="29"/>
        <v/>
      </c>
      <c r="AQ132" s="180">
        <f>VLOOKUP($I132,'Price List, Weapons &amp; Items'!B:L,COLUMN('Price List, Weapons &amp; Items'!$L$11)-1,0)</f>
        <v>2</v>
      </c>
      <c r="AR132" s="180">
        <f t="shared" ref="AR132:AR195" si="36">IF(U132="Yes",1,0)</f>
        <v>1</v>
      </c>
      <c r="AS132" s="180">
        <f t="shared" ref="AS132:AS195" si="37">IF(D132="Military",IF(OR(IFERROR(SEARCH("equipment",E132,1),0)&gt;0,IFERROR(SEARCH("weapons",E132,1),0)&gt;0),1,0),0)</f>
        <v>1</v>
      </c>
      <c r="AT132" s="180">
        <f t="shared" si="30"/>
        <v>1</v>
      </c>
      <c r="AU132" s="180" t="str">
        <f t="shared" ref="AU132:AU195" si="38">IF(AND(A132=A131,C132=C131)=TRUE,IF(F132=F131,".","1"),".")</f>
        <v>.</v>
      </c>
      <c r="AV132" s="180" t="str">
        <f t="shared" ref="AV132:AV195" si="39">IF(T132&lt;&gt;".",IF(T132&gt;S132,1,"."),".")</f>
        <v>.</v>
      </c>
      <c r="AW132" s="180">
        <f>IFERROR(VLOOKUP(B132,'Share, Heavy Weapons to Ukraine'!B:J,COLUMN('Share, Heavy Weapons to Ukraine'!C139)-1,0),0)</f>
        <v>1</v>
      </c>
      <c r="AX132" s="180">
        <f>VLOOKUP('Bilateral Assistance, MAIN DATA'!B132,'Country Summary'!B:F,COLUMN('Country Summary'!C142)-1,FALSE)</f>
        <v>0</v>
      </c>
      <c r="AY132" s="180" t="str">
        <f>IF(AND(AD132=1,D132="Military",H132&lt;&gt;"Not given")=TRUE,IF(SUMIFS(P:P,A:A,A132)&gt;0,ABS((SUMIFS(P:P,A:A,A132)/VLOOKUP("USD",'Exchange Rates'!B:C,2,0)))/S132,"."),".")</f>
        <v>.</v>
      </c>
      <c r="AZ132" s="182" t="str">
        <f>IF(AND(AD132=1,D132="Military",H132&lt;&gt;"Not given")=TRUE,IF(SUMIFS(P:P,A:A,A132)&gt;0,IF((ABS((SUMIFS(P:P,A:A,A132)/VLOOKUP("USD",'Exchange Rates'!B:C,2,0)))/S132)&gt;1,(SUMIFS(P:P,A:A,A132)-S132)/S132,(S132-SUMIFS(P:P,A:A,A132))/SUMIFS(P:P,A:A,A132)),"."),".")</f>
        <v>.</v>
      </c>
      <c r="BA132" s="1024"/>
      <c r="BB132" s="1024"/>
      <c r="BC132" s="1024"/>
      <c r="BD132" s="1024"/>
      <c r="BE132" s="1024"/>
      <c r="BF132" s="1024"/>
      <c r="BG132" s="1024"/>
      <c r="BH132" s="1024"/>
      <c r="BI132" s="1024"/>
      <c r="BJ132" s="1024"/>
      <c r="BK132" s="1024"/>
      <c r="BL132" s="1024"/>
      <c r="BM132" s="1024"/>
      <c r="BN132" s="1024"/>
      <c r="BO132" s="1024"/>
      <c r="BP132" s="1024"/>
      <c r="BQ132" s="1024"/>
      <c r="BR132" s="1024"/>
      <c r="BS132" s="1024"/>
    </row>
    <row r="133" spans="1:71" s="520" customFormat="1" ht="15.9" customHeight="1" x14ac:dyDescent="0.3">
      <c r="A133" s="5" t="s">
        <v>642</v>
      </c>
      <c r="B133" s="5" t="s">
        <v>517</v>
      </c>
      <c r="C133" s="174">
        <v>44846</v>
      </c>
      <c r="D133" s="5" t="s">
        <v>285</v>
      </c>
      <c r="E133" s="5" t="s">
        <v>286</v>
      </c>
      <c r="F133" s="175" t="s">
        <v>643</v>
      </c>
      <c r="G133" s="15" t="s">
        <v>520</v>
      </c>
      <c r="H133" s="176">
        <v>47000000</v>
      </c>
      <c r="I133" s="17" t="s">
        <v>644</v>
      </c>
      <c r="J133" s="113" t="str">
        <f>VLOOKUP($I133,'Price List, Weapons &amp; Items'!B:C,2,0)</f>
        <v>Ammunition for heavy weapon</v>
      </c>
      <c r="K133" s="113" t="str">
        <f>IF(I133=".",I133,VLOOKUP($I133,'Price List, Weapons &amp; Items'!B:D,3,0))</f>
        <v>155mm howitzer ammunition</v>
      </c>
      <c r="L133" s="177">
        <f>VLOOKUP(I133,'Price List, Weapons &amp; Items'!B:E,4,0)</f>
        <v>0</v>
      </c>
      <c r="M133" s="542" t="s">
        <v>270</v>
      </c>
      <c r="N133" s="542" t="s">
        <v>270</v>
      </c>
      <c r="O133" s="543">
        <f>VLOOKUP($I133,'Price List, Weapons &amp; Items'!B:G,6,0)</f>
        <v>3800</v>
      </c>
      <c r="P133" s="176" t="str">
        <f t="shared" si="31"/>
        <v>.</v>
      </c>
      <c r="Q133" s="176" t="str">
        <f t="shared" si="32"/>
        <v>.</v>
      </c>
      <c r="R133" s="176">
        <f t="shared" si="28"/>
        <v>47000000</v>
      </c>
      <c r="S133" s="176">
        <f>IF(AND(AD133=1,R133&lt;&gt;".")=TRUE,R133/VLOOKUP(G133,'Exchange Rates'!B:C,2,0),IF(R133=".",".",""))</f>
        <v>32869431.428771242</v>
      </c>
      <c r="T133" s="176" t="str">
        <f>IF(AD133=1,IF(AF133="Value is not given at all",".",IF(AF133="Value is given by the source",S133,IF(AF133="Value is calculated with prices",(IF(SUMIFS(Q:Q,A:A,A133)&gt;0,SUMIFS(Q:Q,A:A,A133),"."))/VLOOKUP("USD",'Exchange Rates'!B:C,2,0),"Error with coding"))),"")</f>
        <v>.</v>
      </c>
      <c r="U133" s="15" t="s">
        <v>261</v>
      </c>
      <c r="V133" s="547" t="s">
        <v>645</v>
      </c>
      <c r="W133" s="680" t="s">
        <v>260</v>
      </c>
      <c r="X133" s="144" t="s">
        <v>260</v>
      </c>
      <c r="Y133" s="175" t="s">
        <v>260</v>
      </c>
      <c r="Z133" s="15">
        <v>0</v>
      </c>
      <c r="AA133" s="180">
        <v>0</v>
      </c>
      <c r="AB133" s="669" t="s">
        <v>260</v>
      </c>
      <c r="AC133" s="544" t="str">
        <f>""</f>
        <v/>
      </c>
      <c r="AD133" s="181">
        <v>1</v>
      </c>
      <c r="AE133" s="181" t="s">
        <v>264</v>
      </c>
      <c r="AF133" s="181" t="s">
        <v>265</v>
      </c>
      <c r="AG133" s="181">
        <v>1</v>
      </c>
      <c r="AH133" s="181">
        <v>10</v>
      </c>
      <c r="AI133" s="181">
        <v>0</v>
      </c>
      <c r="AJ133" s="181">
        <f>VLOOKUP($I133,'Price List, Weapons &amp; Items'!B:F,5,0)</f>
        <v>1</v>
      </c>
      <c r="AK133" s="181">
        <f t="shared" si="33"/>
        <v>1</v>
      </c>
      <c r="AL133" s="181">
        <f t="shared" si="34"/>
        <v>1</v>
      </c>
      <c r="AM133" s="181">
        <f t="shared" si="35"/>
        <v>0</v>
      </c>
      <c r="AN133" s="180" t="str">
        <f>VLOOKUP($I133,'Price List, Weapons &amp; Items'!B:L,COLUMN('Price List, Weapons &amp; Items'!$J$11)-1,0)</f>
        <v>Government information</v>
      </c>
      <c r="AO133" s="180" t="str">
        <f>IF(I133=".",".",VLOOKUP($I133,'Price List, Weapons &amp; Items'!B:J,3,0))</f>
        <v>155mm howitzer ammunition</v>
      </c>
      <c r="AP133" s="545" t="e">
        <f t="shared" ca="1" si="29"/>
        <v>#NAME?</v>
      </c>
      <c r="AQ133" s="180">
        <f>VLOOKUP($I133,'Price List, Weapons &amp; Items'!B:L,COLUMN('Price List, Weapons &amp; Items'!$L$11)-1,0)</f>
        <v>2</v>
      </c>
      <c r="AR133" s="180">
        <f t="shared" si="36"/>
        <v>1</v>
      </c>
      <c r="AS133" s="180">
        <f t="shared" si="37"/>
        <v>1</v>
      </c>
      <c r="AT133" s="180">
        <f t="shared" si="30"/>
        <v>1</v>
      </c>
      <c r="AU133" s="180" t="str">
        <f t="shared" si="38"/>
        <v>.</v>
      </c>
      <c r="AV133" s="180" t="str">
        <f t="shared" si="39"/>
        <v>.</v>
      </c>
      <c r="AW133" s="180">
        <f>IFERROR(VLOOKUP(B133,'Share, Heavy Weapons to Ukraine'!B:J,COLUMN('Share, Heavy Weapons to Ukraine'!C140)-1,0),0)</f>
        <v>1</v>
      </c>
      <c r="AX133" s="180">
        <f>VLOOKUP('Bilateral Assistance, MAIN DATA'!B133,'Country Summary'!B:F,COLUMN('Country Summary'!C143)-1,FALSE)</f>
        <v>0</v>
      </c>
      <c r="AY133" s="180">
        <f>IF(AND(AD133=1,D133="Military",H133&lt;&gt;"Not given")=TRUE,IF(SUMIFS(P:P,A:A,A133)&gt;0,ABS((SUMIFS(P:P,A:A,A133)/VLOOKUP("USD",'Exchange Rates'!B:C,2,0)))/S133,"."),".")</f>
        <v>0.42114346975801698</v>
      </c>
      <c r="AZ133" s="182">
        <f>IF(AND(AD133=1,D133="Military",H133&lt;&gt;"Not given")=TRUE,IF(SUMIFS(P:P,A:A,A133)&gt;0,IF((ABS((SUMIFS(P:P,A:A,A133)/VLOOKUP("USD",'Exchange Rates'!B:C,2,0)))/S133)&gt;1,(SUMIFS(P:P,A:A,A133)-S133)/S133,(S133-SUMIFS(P:P,A:A,A133))/SUMIFS(P:P,A:A,A133)),"."),".")</f>
        <v>1.2614168822994616</v>
      </c>
      <c r="BA133" s="1024"/>
      <c r="BB133" s="1024"/>
      <c r="BC133" s="1024"/>
      <c r="BD133" s="1024"/>
      <c r="BE133" s="1024"/>
      <c r="BF133" s="1024"/>
      <c r="BG133" s="1024"/>
      <c r="BH133" s="1024"/>
      <c r="BI133" s="1024"/>
      <c r="BJ133" s="1024"/>
      <c r="BK133" s="1024"/>
      <c r="BL133" s="1024"/>
      <c r="BM133" s="1024"/>
      <c r="BN133" s="1024"/>
      <c r="BO133" s="1024"/>
      <c r="BP133" s="1024"/>
      <c r="BQ133" s="1024"/>
      <c r="BR133" s="1024"/>
      <c r="BS133" s="1024"/>
    </row>
    <row r="134" spans="1:71" s="520" customFormat="1" ht="15.9" customHeight="1" x14ac:dyDescent="0.3">
      <c r="A134" s="5" t="s">
        <v>642</v>
      </c>
      <c r="B134" s="5" t="s">
        <v>517</v>
      </c>
      <c r="C134" s="174">
        <v>44846</v>
      </c>
      <c r="D134" s="5" t="s">
        <v>285</v>
      </c>
      <c r="E134" s="5" t="s">
        <v>286</v>
      </c>
      <c r="F134" s="175" t="s">
        <v>643</v>
      </c>
      <c r="G134" s="15" t="s">
        <v>520</v>
      </c>
      <c r="H134" s="176">
        <v>47000000</v>
      </c>
      <c r="I134" s="17" t="s">
        <v>612</v>
      </c>
      <c r="J134" s="113" t="str">
        <f>VLOOKUP($I134,'Price List, Weapons &amp; Items'!B:C,2,0)</f>
        <v>Military equipment</v>
      </c>
      <c r="K134" s="113" t="str">
        <f>IF(I134=".",I134,VLOOKUP($I134,'Price List, Weapons &amp; Items'!B:D,3,0))</f>
        <v>Military equipment</v>
      </c>
      <c r="L134" s="177">
        <f>VLOOKUP(I134,'Price List, Weapons &amp; Items'!B:E,4,0)</f>
        <v>0</v>
      </c>
      <c r="M134" s="542" t="s">
        <v>270</v>
      </c>
      <c r="N134" s="542" t="s">
        <v>270</v>
      </c>
      <c r="O134" s="543">
        <f>VLOOKUP($I134,'Price List, Weapons &amp; Items'!B:G,6,0)</f>
        <v>2000</v>
      </c>
      <c r="P134" s="176" t="str">
        <f t="shared" si="31"/>
        <v>.</v>
      </c>
      <c r="Q134" s="176" t="str">
        <f t="shared" si="32"/>
        <v>.</v>
      </c>
      <c r="R134" s="176" t="str">
        <f t="shared" si="28"/>
        <v/>
      </c>
      <c r="S134" s="176" t="str">
        <f>IF(AND(AD134=1,R134&lt;&gt;".")=TRUE,R134/VLOOKUP(G134,'Exchange Rates'!B:C,2,0),IF(R134=".",".",""))</f>
        <v/>
      </c>
      <c r="T134" s="176" t="str">
        <f>IF(AD134=1,IF(AF134="Value is not given at all",".",IF(AF134="Value is given by the source",S134,IF(AF134="Value is calculated with prices",(IF(SUMIFS(Q:Q,A:A,A134)&gt;0,SUMIFS(Q:Q,A:A,A134),"."))/VLOOKUP("USD",'Exchange Rates'!B:C,2,0),"Error with coding"))),"")</f>
        <v/>
      </c>
      <c r="U134" s="15" t="s">
        <v>261</v>
      </c>
      <c r="V134" s="547" t="s">
        <v>645</v>
      </c>
      <c r="W134" s="680" t="s">
        <v>260</v>
      </c>
      <c r="X134" s="144" t="s">
        <v>260</v>
      </c>
      <c r="Y134" s="175" t="s">
        <v>260</v>
      </c>
      <c r="Z134" s="15">
        <v>0</v>
      </c>
      <c r="AA134" s="180">
        <v>0</v>
      </c>
      <c r="AB134" s="669" t="s">
        <v>260</v>
      </c>
      <c r="AC134" s="544" t="str">
        <f>""</f>
        <v/>
      </c>
      <c r="AD134" s="181">
        <v>0</v>
      </c>
      <c r="AE134" s="181" t="s">
        <v>264</v>
      </c>
      <c r="AF134" s="181" t="s">
        <v>265</v>
      </c>
      <c r="AG134" s="181">
        <v>1</v>
      </c>
      <c r="AH134" s="181">
        <v>10</v>
      </c>
      <c r="AI134" s="181">
        <v>0</v>
      </c>
      <c r="AJ134" s="181">
        <f>VLOOKUP($I134,'Price List, Weapons &amp; Items'!B:F,5,0)</f>
        <v>0</v>
      </c>
      <c r="AK134" s="181">
        <f t="shared" si="33"/>
        <v>0</v>
      </c>
      <c r="AL134" s="181">
        <f t="shared" si="34"/>
        <v>0</v>
      </c>
      <c r="AM134" s="181">
        <f t="shared" si="35"/>
        <v>0</v>
      </c>
      <c r="AN134" s="180" t="str">
        <f>VLOOKUP($I134,'Price List, Weapons &amp; Items'!B:L,COLUMN('Price List, Weapons &amp; Items'!$J$11)-1,0)</f>
        <v>Online marketplaces and stores</v>
      </c>
      <c r="AO134" s="180" t="str">
        <f>IF(I134=".",".",VLOOKUP($I134,'Price List, Weapons &amp; Items'!B:J,3,0))</f>
        <v>Military equipment</v>
      </c>
      <c r="AP134" s="545" t="str">
        <f t="shared" ca="1" si="29"/>
        <v/>
      </c>
      <c r="AQ134" s="180">
        <f>VLOOKUP($I134,'Price List, Weapons &amp; Items'!B:L,COLUMN('Price List, Weapons &amp; Items'!$L$11)-1,0)</f>
        <v>1</v>
      </c>
      <c r="AR134" s="180">
        <f t="shared" si="36"/>
        <v>1</v>
      </c>
      <c r="AS134" s="180">
        <f t="shared" si="37"/>
        <v>1</v>
      </c>
      <c r="AT134" s="180">
        <f t="shared" si="30"/>
        <v>1</v>
      </c>
      <c r="AU134" s="180" t="str">
        <f t="shared" si="38"/>
        <v>.</v>
      </c>
      <c r="AV134" s="180" t="str">
        <f t="shared" si="39"/>
        <v>.</v>
      </c>
      <c r="AW134" s="180">
        <f>IFERROR(VLOOKUP(B134,'Share, Heavy Weapons to Ukraine'!B:J,COLUMN('Share, Heavy Weapons to Ukraine'!C141)-1,0),0)</f>
        <v>1</v>
      </c>
      <c r="AX134" s="180">
        <f>VLOOKUP('Bilateral Assistance, MAIN DATA'!B134,'Country Summary'!B:F,COLUMN('Country Summary'!C144)-1,FALSE)</f>
        <v>0</v>
      </c>
      <c r="AY134" s="180" t="str">
        <f>IF(AND(AD134=1,D134="Military",H134&lt;&gt;"Not given")=TRUE,IF(SUMIFS(P:P,A:A,A134)&gt;0,ABS((SUMIFS(P:P,A:A,A134)/VLOOKUP("USD",'Exchange Rates'!B:C,2,0)))/S134,"."),".")</f>
        <v>.</v>
      </c>
      <c r="AZ134" s="182" t="str">
        <f>IF(AND(AD134=1,D134="Military",H134&lt;&gt;"Not given")=TRUE,IF(SUMIFS(P:P,A:A,A134)&gt;0,IF((ABS((SUMIFS(P:P,A:A,A134)/VLOOKUP("USD",'Exchange Rates'!B:C,2,0)))/S134)&gt;1,(SUMIFS(P:P,A:A,A134)-S134)/S134,(S134-SUMIFS(P:P,A:A,A134))/SUMIFS(P:P,A:A,A134)),"."),".")</f>
        <v>.</v>
      </c>
      <c r="BA134" s="1024"/>
      <c r="BB134" s="1024"/>
      <c r="BC134" s="1024"/>
      <c r="BD134" s="1024"/>
      <c r="BE134" s="1024"/>
      <c r="BF134" s="1024"/>
      <c r="BG134" s="1024"/>
      <c r="BH134" s="1024"/>
      <c r="BI134" s="1024"/>
      <c r="BJ134" s="1024"/>
      <c r="BK134" s="1024"/>
      <c r="BL134" s="1024"/>
      <c r="BM134" s="1024"/>
      <c r="BN134" s="1024"/>
      <c r="BO134" s="1024"/>
      <c r="BP134" s="1024"/>
      <c r="BQ134" s="1024"/>
      <c r="BR134" s="1024"/>
      <c r="BS134" s="1024"/>
    </row>
    <row r="135" spans="1:71" s="520" customFormat="1" ht="15.9" customHeight="1" x14ac:dyDescent="0.3">
      <c r="A135" s="5" t="s">
        <v>642</v>
      </c>
      <c r="B135" s="5" t="s">
        <v>517</v>
      </c>
      <c r="C135" s="174">
        <v>44846</v>
      </c>
      <c r="D135" s="5" t="s">
        <v>285</v>
      </c>
      <c r="E135" s="5" t="s">
        <v>286</v>
      </c>
      <c r="F135" s="175" t="s">
        <v>643</v>
      </c>
      <c r="G135" s="15" t="s">
        <v>520</v>
      </c>
      <c r="H135" s="176">
        <v>47000000</v>
      </c>
      <c r="I135" s="156" t="s">
        <v>646</v>
      </c>
      <c r="J135" s="113" t="str">
        <f>VLOOKUP($I135,'Price List, Weapons &amp; Items'!B:C,2,0)</f>
        <v>Military equipment</v>
      </c>
      <c r="K135" s="113" t="str">
        <f>IF(I135=".",I135,VLOOKUP($I135,'Price List, Weapons &amp; Items'!B:D,3,0))</f>
        <v>Military equipment</v>
      </c>
      <c r="L135" s="177">
        <f>VLOOKUP(I135,'Price List, Weapons &amp; Items'!B:E,4,0)</f>
        <v>0</v>
      </c>
      <c r="M135" s="542">
        <v>500000</v>
      </c>
      <c r="N135" s="542" t="s">
        <v>270</v>
      </c>
      <c r="O135" s="543">
        <f>VLOOKUP($I135,'Price List, Weapons &amp; Items'!B:G,6,0)</f>
        <v>29.069767441860463</v>
      </c>
      <c r="P135" s="176">
        <f t="shared" si="31"/>
        <v>14534883.720930232</v>
      </c>
      <c r="Q135" s="176" t="str">
        <f t="shared" si="32"/>
        <v>.</v>
      </c>
      <c r="R135" s="176" t="str">
        <f t="shared" si="28"/>
        <v/>
      </c>
      <c r="S135" s="176" t="str">
        <f>IF(AND(AD135=1,R135&lt;&gt;".")=TRUE,R135/VLOOKUP(G135,'Exchange Rates'!B:C,2,0),IF(R135=".",".",""))</f>
        <v/>
      </c>
      <c r="T135" s="176" t="str">
        <f>IF(AD135=1,IF(AF135="Value is not given at all",".",IF(AF135="Value is given by the source",S135,IF(AF135="Value is calculated with prices",(IF(SUMIFS(Q:Q,A:A,A135)&gt;0,SUMIFS(Q:Q,A:A,A135),"."))/VLOOKUP("USD",'Exchange Rates'!B:C,2,0),"Error with coding"))),"")</f>
        <v/>
      </c>
      <c r="U135" s="15" t="s">
        <v>261</v>
      </c>
      <c r="V135" s="547" t="s">
        <v>645</v>
      </c>
      <c r="W135" s="680" t="s">
        <v>260</v>
      </c>
      <c r="X135" s="144" t="s">
        <v>260</v>
      </c>
      <c r="Y135" s="175" t="s">
        <v>260</v>
      </c>
      <c r="Z135" s="15">
        <v>0</v>
      </c>
      <c r="AA135" s="180">
        <v>0</v>
      </c>
      <c r="AB135" s="669" t="s">
        <v>260</v>
      </c>
      <c r="AC135" s="544" t="str">
        <f>""</f>
        <v/>
      </c>
      <c r="AD135" s="181">
        <v>0</v>
      </c>
      <c r="AE135" s="181" t="s">
        <v>264</v>
      </c>
      <c r="AF135" s="181" t="s">
        <v>265</v>
      </c>
      <c r="AG135" s="181">
        <v>1</v>
      </c>
      <c r="AH135" s="181">
        <v>10</v>
      </c>
      <c r="AI135" s="181">
        <v>0</v>
      </c>
      <c r="AJ135" s="181">
        <f>VLOOKUP($I135,'Price List, Weapons &amp; Items'!B:F,5,0)</f>
        <v>0</v>
      </c>
      <c r="AK135" s="181">
        <f t="shared" si="33"/>
        <v>0</v>
      </c>
      <c r="AL135" s="181">
        <f t="shared" si="34"/>
        <v>0</v>
      </c>
      <c r="AM135" s="181">
        <f t="shared" si="35"/>
        <v>0</v>
      </c>
      <c r="AN135" s="180" t="str">
        <f>VLOOKUP($I135,'Price List, Weapons &amp; Items'!B:L,COLUMN('Price List, Weapons &amp; Items'!$J$11)-1,0)</f>
        <v>Government information</v>
      </c>
      <c r="AO135" s="180" t="str">
        <f>IF(I135=".",".",VLOOKUP($I135,'Price List, Weapons &amp; Items'!B:J,3,0))</f>
        <v>Military equipment</v>
      </c>
      <c r="AP135" s="545" t="str">
        <f t="shared" ca="1" si="29"/>
        <v/>
      </c>
      <c r="AQ135" s="180">
        <f>VLOOKUP($I135,'Price List, Weapons &amp; Items'!B:L,COLUMN('Price List, Weapons &amp; Items'!$L$11)-1,0)</f>
        <v>2</v>
      </c>
      <c r="AR135" s="180">
        <f t="shared" si="36"/>
        <v>1</v>
      </c>
      <c r="AS135" s="180">
        <f t="shared" si="37"/>
        <v>1</v>
      </c>
      <c r="AT135" s="180">
        <f t="shared" si="30"/>
        <v>1</v>
      </c>
      <c r="AU135" s="180" t="str">
        <f t="shared" si="38"/>
        <v>.</v>
      </c>
      <c r="AV135" s="180" t="str">
        <f t="shared" si="39"/>
        <v>.</v>
      </c>
      <c r="AW135" s="180">
        <f>IFERROR(VLOOKUP(B135,'Share, Heavy Weapons to Ukraine'!B:J,COLUMN('Share, Heavy Weapons to Ukraine'!C142)-1,0),0)</f>
        <v>1</v>
      </c>
      <c r="AX135" s="180">
        <f>VLOOKUP('Bilateral Assistance, MAIN DATA'!B135,'Country Summary'!B:F,COLUMN('Country Summary'!C145)-1,FALSE)</f>
        <v>0</v>
      </c>
      <c r="AY135" s="180" t="str">
        <f>IF(AND(AD135=1,D135="Military",H135&lt;&gt;"Not given")=TRUE,IF(SUMIFS(P:P,A:A,A135)&gt;0,ABS((SUMIFS(P:P,A:A,A135)/VLOOKUP("USD",'Exchange Rates'!B:C,2,0)))/S135,"."),".")</f>
        <v>.</v>
      </c>
      <c r="AZ135" s="182" t="str">
        <f>IF(AND(AD135=1,D135="Military",H135&lt;&gt;"Not given")=TRUE,IF(SUMIFS(P:P,A:A,A135)&gt;0,IF((ABS((SUMIFS(P:P,A:A,A135)/VLOOKUP("USD",'Exchange Rates'!B:C,2,0)))/S135)&gt;1,(SUMIFS(P:P,A:A,A135)-S135)/S135,(S135-SUMIFS(P:P,A:A,A135))/SUMIFS(P:P,A:A,A135)),"."),".")</f>
        <v>.</v>
      </c>
      <c r="BA135" s="1024"/>
      <c r="BB135" s="1024"/>
      <c r="BC135" s="1024"/>
      <c r="BD135" s="1024"/>
      <c r="BE135" s="1024"/>
      <c r="BF135" s="1024"/>
      <c r="BG135" s="1024"/>
      <c r="BH135" s="1024"/>
      <c r="BI135" s="1024"/>
      <c r="BJ135" s="1024"/>
      <c r="BK135" s="1024"/>
      <c r="BL135" s="1024"/>
      <c r="BM135" s="1024"/>
      <c r="BN135" s="1024"/>
      <c r="BO135" s="1024"/>
      <c r="BP135" s="1024"/>
      <c r="BQ135" s="1024"/>
      <c r="BR135" s="1024"/>
      <c r="BS135" s="1024"/>
    </row>
    <row r="136" spans="1:71" s="520" customFormat="1" ht="15.9" customHeight="1" x14ac:dyDescent="0.3">
      <c r="A136" s="5" t="s">
        <v>647</v>
      </c>
      <c r="B136" s="5" t="s">
        <v>517</v>
      </c>
      <c r="C136" s="174">
        <v>44879</v>
      </c>
      <c r="D136" s="5" t="s">
        <v>285</v>
      </c>
      <c r="E136" s="5" t="s">
        <v>339</v>
      </c>
      <c r="F136" s="175" t="s">
        <v>648</v>
      </c>
      <c r="G136" s="15" t="s">
        <v>520</v>
      </c>
      <c r="H136" s="176">
        <v>500000000</v>
      </c>
      <c r="I136" s="17" t="s">
        <v>649</v>
      </c>
      <c r="J136" s="113" t="str">
        <f>VLOOKUP($I136,'Price List, Weapons &amp; Items'!B:C,2,0)</f>
        <v>Heavy weapon</v>
      </c>
      <c r="K136" s="113" t="str">
        <f>IF(I136=".",I136,VLOOKUP($I136,'Price List, Weapons &amp; Items'!B:D,3,0))</f>
        <v>Anti-aircraft surface-to-air missile (SAM) system (short-range)</v>
      </c>
      <c r="L136" s="177">
        <f>VLOOKUP(I136,'Price List, Weapons &amp; Items'!B:E,4,0)</f>
        <v>0</v>
      </c>
      <c r="M136" s="542">
        <v>1</v>
      </c>
      <c r="N136" s="542" t="s">
        <v>270</v>
      </c>
      <c r="O136" s="543">
        <f>VLOOKUP($I136,'Price List, Weapons &amp; Items'!B:G,6,0)</f>
        <v>50000000</v>
      </c>
      <c r="P136" s="176">
        <f t="shared" si="31"/>
        <v>50000000</v>
      </c>
      <c r="Q136" s="176" t="str">
        <f t="shared" si="32"/>
        <v>.</v>
      </c>
      <c r="R136" s="176">
        <f t="shared" si="28"/>
        <v>500000000</v>
      </c>
      <c r="S136" s="176">
        <f>IF(AND(AD136=1,R136&lt;&gt;".")=TRUE,R136/VLOOKUP(G136,'Exchange Rates'!B:C,2,0),IF(R136=".",".",""))</f>
        <v>349674802.43373662</v>
      </c>
      <c r="T136" s="176" t="str">
        <f>IF(AD136=1,IF(AF136="Value is not given at all",".",IF(AF136="Value is given by the source",S136,IF(AF136="Value is calculated with prices",(IF(SUMIFS(Q:Q,A:A,A136)&gt;0,SUMIFS(Q:Q,A:A,A136),"."))/VLOOKUP("USD",'Exchange Rates'!B:C,2,0),"Error with coding"))),"")</f>
        <v>.</v>
      </c>
      <c r="U136" s="15" t="s">
        <v>261</v>
      </c>
      <c r="V136" s="547" t="s">
        <v>650</v>
      </c>
      <c r="W136" s="547" t="s">
        <v>651</v>
      </c>
      <c r="X136" s="144" t="s">
        <v>260</v>
      </c>
      <c r="Y136" s="175" t="s">
        <v>260</v>
      </c>
      <c r="Z136" s="15">
        <v>0</v>
      </c>
      <c r="AA136" s="199">
        <v>1</v>
      </c>
      <c r="AB136" s="669" t="s">
        <v>260</v>
      </c>
      <c r="AC136" s="544" t="str">
        <f>""</f>
        <v/>
      </c>
      <c r="AD136" s="181">
        <v>1</v>
      </c>
      <c r="AE136" s="181" t="s">
        <v>264</v>
      </c>
      <c r="AF136" s="181" t="s">
        <v>265</v>
      </c>
      <c r="AG136" s="181">
        <v>1</v>
      </c>
      <c r="AH136" s="181">
        <v>11</v>
      </c>
      <c r="AI136" s="181">
        <v>0</v>
      </c>
      <c r="AJ136" s="181">
        <f>VLOOKUP($I136,'Price List, Weapons &amp; Items'!B:F,5,0)</f>
        <v>0</v>
      </c>
      <c r="AK136" s="181">
        <f t="shared" si="33"/>
        <v>0</v>
      </c>
      <c r="AL136" s="181">
        <f t="shared" si="34"/>
        <v>0</v>
      </c>
      <c r="AM136" s="181">
        <f t="shared" si="35"/>
        <v>0</v>
      </c>
      <c r="AN136" s="180" t="str">
        <f>VLOOKUP($I136,'Price List, Weapons &amp; Items'!B:L,COLUMN('Price List, Weapons &amp; Items'!$J$11)-1,0)</f>
        <v>Military media (incl. websites)</v>
      </c>
      <c r="AO136" s="180" t="str">
        <f>IF(I136=".",".",VLOOKUP($I136,'Price List, Weapons &amp; Items'!B:J,3,0))</f>
        <v>Anti-aircraft surface-to-air missile (SAM) system (short-range)</v>
      </c>
      <c r="AP136" s="545" t="e">
        <f t="shared" ca="1" si="29"/>
        <v>#NAME?</v>
      </c>
      <c r="AQ136" s="180">
        <f>VLOOKUP($I136,'Price List, Weapons &amp; Items'!B:L,COLUMN('Price List, Weapons &amp; Items'!$L$11)-1,0)</f>
        <v>2</v>
      </c>
      <c r="AR136" s="180">
        <f t="shared" si="36"/>
        <v>1</v>
      </c>
      <c r="AS136" s="180">
        <f t="shared" si="37"/>
        <v>1</v>
      </c>
      <c r="AT136" s="180">
        <f t="shared" si="30"/>
        <v>1</v>
      </c>
      <c r="AU136" s="180" t="str">
        <f t="shared" si="38"/>
        <v>.</v>
      </c>
      <c r="AV136" s="180" t="str">
        <f t="shared" si="39"/>
        <v>.</v>
      </c>
      <c r="AW136" s="180">
        <f>IFERROR(VLOOKUP(B136,'Share, Heavy Weapons to Ukraine'!B:J,COLUMN('Share, Heavy Weapons to Ukraine'!C143)-1,0),0)</f>
        <v>1</v>
      </c>
      <c r="AX136" s="180">
        <f>VLOOKUP('Bilateral Assistance, MAIN DATA'!B136,'Country Summary'!B:F,COLUMN('Country Summary'!C146)-1,FALSE)</f>
        <v>0</v>
      </c>
      <c r="AY136" s="180">
        <f>IF(AND(AD136=1,D136="Military",H136&lt;&gt;"Not given")=TRUE,IF(SUMIFS(P:P,A:A,A136)&gt;0,ABS((SUMIFS(P:P,A:A,A136)/VLOOKUP("USD",'Exchange Rates'!B:C,2,0)))/S136,"."),".")</f>
        <v>0.13618095238095237</v>
      </c>
      <c r="AZ136" s="182">
        <f>IF(AND(AD136=1,D136="Military",H136&lt;&gt;"Not given")=TRUE,IF(SUMIFS(P:P,A:A,A136)&gt;0,IF((ABS((SUMIFS(P:P,A:A,A136)/VLOOKUP("USD",'Exchange Rates'!B:C,2,0)))/S136)&gt;1,(SUMIFS(P:P,A:A,A136)-S136)/S136,(S136-SUMIFS(P:P,A:A,A136))/SUMIFS(P:P,A:A,A136)),"."),".")</f>
        <v>5.9934960486747322</v>
      </c>
      <c r="BA136" s="1024"/>
      <c r="BB136" s="1024"/>
      <c r="BC136" s="1024"/>
      <c r="BD136" s="1024"/>
      <c r="BE136" s="1024"/>
      <c r="BF136" s="1024"/>
      <c r="BG136" s="1024"/>
      <c r="BH136" s="1024"/>
      <c r="BI136" s="1024"/>
      <c r="BJ136" s="1024"/>
      <c r="BK136" s="1024"/>
      <c r="BL136" s="1024"/>
      <c r="BM136" s="1024"/>
      <c r="BN136" s="1024"/>
      <c r="BO136" s="1024"/>
      <c r="BP136" s="1024"/>
      <c r="BQ136" s="1024"/>
      <c r="BR136" s="1024"/>
      <c r="BS136" s="1024"/>
    </row>
    <row r="137" spans="1:71" s="520" customFormat="1" ht="15.9" customHeight="1" x14ac:dyDescent="0.3">
      <c r="A137" s="5" t="s">
        <v>647</v>
      </c>
      <c r="B137" s="5" t="s">
        <v>517</v>
      </c>
      <c r="C137" s="174">
        <v>44879</v>
      </c>
      <c r="D137" s="5" t="s">
        <v>285</v>
      </c>
      <c r="E137" s="5" t="s">
        <v>339</v>
      </c>
      <c r="F137" s="175" t="s">
        <v>648</v>
      </c>
      <c r="G137" s="15" t="s">
        <v>520</v>
      </c>
      <c r="H137" s="176">
        <v>500000000</v>
      </c>
      <c r="I137" s="17" t="s">
        <v>652</v>
      </c>
      <c r="J137" s="113" t="str">
        <f>VLOOKUP($I137,'Price List, Weapons &amp; Items'!B:C,2,0)</f>
        <v>Ammunition for Heavy Weapon</v>
      </c>
      <c r="K137" s="113" t="str">
        <f>IF(I137=".",I137,VLOOKUP($I137,'Price List, Weapons &amp; Items'!B:D,3,0))</f>
        <v>missile</v>
      </c>
      <c r="L137" s="177">
        <f>VLOOKUP(I137,'Price List, Weapons &amp; Items'!B:E,4,0)</f>
        <v>0</v>
      </c>
      <c r="M137" s="542" t="s">
        <v>270</v>
      </c>
      <c r="N137" s="542" t="s">
        <v>270</v>
      </c>
      <c r="O137" s="543">
        <f>VLOOKUP($I137,'Price List, Weapons &amp; Items'!B:G,6,0)</f>
        <v>1090000</v>
      </c>
      <c r="P137" s="176" t="str">
        <f t="shared" si="31"/>
        <v>.</v>
      </c>
      <c r="Q137" s="176" t="str">
        <f t="shared" si="32"/>
        <v>.</v>
      </c>
      <c r="R137" s="176" t="str">
        <f t="shared" si="28"/>
        <v/>
      </c>
      <c r="S137" s="176" t="str">
        <f>IF(AND(AD137=1,R137&lt;&gt;".")=TRUE,R137/VLOOKUP(G137,'Exchange Rates'!B:C,2,0),IF(R137=".",".",""))</f>
        <v/>
      </c>
      <c r="T137" s="176" t="str">
        <f>IF(AD137=1,IF(AF137="Value is not given at all",".",IF(AF137="Value is given by the source",S137,IF(AF137="Value is calculated with prices",(IF(SUMIFS(Q:Q,A:A,A137)&gt;0,SUMIFS(Q:Q,A:A,A137),"."))/VLOOKUP("USD",'Exchange Rates'!B:C,2,0),"Error with coding"))),"")</f>
        <v/>
      </c>
      <c r="U137" s="15" t="s">
        <v>261</v>
      </c>
      <c r="V137" s="547" t="s">
        <v>650</v>
      </c>
      <c r="W137" s="547" t="s">
        <v>651</v>
      </c>
      <c r="X137" s="144" t="s">
        <v>260</v>
      </c>
      <c r="Y137" s="175" t="s">
        <v>260</v>
      </c>
      <c r="Z137" s="15">
        <v>0</v>
      </c>
      <c r="AA137" s="199">
        <v>1</v>
      </c>
      <c r="AB137" s="669" t="s">
        <v>260</v>
      </c>
      <c r="AC137" s="544" t="str">
        <f>""</f>
        <v/>
      </c>
      <c r="AD137" s="181">
        <v>0</v>
      </c>
      <c r="AE137" s="181" t="s">
        <v>264</v>
      </c>
      <c r="AF137" s="181" t="s">
        <v>265</v>
      </c>
      <c r="AG137" s="181">
        <v>1</v>
      </c>
      <c r="AH137" s="181">
        <v>11</v>
      </c>
      <c r="AI137" s="181">
        <v>0</v>
      </c>
      <c r="AJ137" s="181">
        <f>VLOOKUP($I137,'Price List, Weapons &amp; Items'!B:F,5,0)</f>
        <v>0</v>
      </c>
      <c r="AK137" s="181">
        <f t="shared" si="33"/>
        <v>0</v>
      </c>
      <c r="AL137" s="181">
        <f t="shared" si="34"/>
        <v>0</v>
      </c>
      <c r="AM137" s="181">
        <f t="shared" si="35"/>
        <v>0</v>
      </c>
      <c r="AN137" s="180" t="str">
        <f>VLOOKUP($I137,'Price List, Weapons &amp; Items'!B:L,COLUMN('Price List, Weapons &amp; Items'!$J$11)-1,0)</f>
        <v>Miscellaneous</v>
      </c>
      <c r="AO137" s="180" t="str">
        <f>IF(I137=".",".",VLOOKUP($I137,'Price List, Weapons &amp; Items'!B:J,3,0))</f>
        <v>missile</v>
      </c>
      <c r="AP137" s="545" t="str">
        <f t="shared" ca="1" si="29"/>
        <v/>
      </c>
      <c r="AQ137" s="180" t="str">
        <f>VLOOKUP($I137,'Price List, Weapons &amp; Items'!B:L,COLUMN('Price List, Weapons &amp; Items'!$L$11)-1,0)</f>
        <v>no price, 0 count</v>
      </c>
      <c r="AR137" s="180">
        <f t="shared" si="36"/>
        <v>1</v>
      </c>
      <c r="AS137" s="180">
        <f t="shared" si="37"/>
        <v>1</v>
      </c>
      <c r="AT137" s="180">
        <f t="shared" si="30"/>
        <v>1</v>
      </c>
      <c r="AU137" s="180" t="str">
        <f t="shared" si="38"/>
        <v>.</v>
      </c>
      <c r="AV137" s="180" t="str">
        <f t="shared" si="39"/>
        <v>.</v>
      </c>
      <c r="AW137" s="180">
        <f>IFERROR(VLOOKUP(B137,'Share, Heavy Weapons to Ukraine'!B:J,COLUMN('Share, Heavy Weapons to Ukraine'!C144)-1,0),0)</f>
        <v>1</v>
      </c>
      <c r="AX137" s="180">
        <f>VLOOKUP('Bilateral Assistance, MAIN DATA'!B137,'Country Summary'!B:F,COLUMN('Country Summary'!C147)-1,FALSE)</f>
        <v>0</v>
      </c>
      <c r="AY137" s="180" t="str">
        <f>IF(AND(AD137=1,D137="Military",H137&lt;&gt;"Not given")=TRUE,IF(SUMIFS(P:P,A:A,A137)&gt;0,ABS((SUMIFS(P:P,A:A,A137)/VLOOKUP("USD",'Exchange Rates'!B:C,2,0)))/S137,"."),".")</f>
        <v>.</v>
      </c>
      <c r="AZ137" s="182" t="str">
        <f>IF(AND(AD137=1,D137="Military",H137&lt;&gt;"Not given")=TRUE,IF(SUMIFS(P:P,A:A,A137)&gt;0,IF((ABS((SUMIFS(P:P,A:A,A137)/VLOOKUP("USD",'Exchange Rates'!B:C,2,0)))/S137)&gt;1,(SUMIFS(P:P,A:A,A137)-S137)/S137,(S137-SUMIFS(P:P,A:A,A137))/SUMIFS(P:P,A:A,A137)),"."),".")</f>
        <v>.</v>
      </c>
      <c r="BA137" s="1024"/>
      <c r="BB137" s="1024"/>
      <c r="BC137" s="1024"/>
      <c r="BD137" s="1024"/>
      <c r="BE137" s="1024"/>
      <c r="BF137" s="1024"/>
      <c r="BG137" s="1024"/>
      <c r="BH137" s="1024"/>
      <c r="BI137" s="1024"/>
      <c r="BJ137" s="1024"/>
      <c r="BK137" s="1024"/>
      <c r="BL137" s="1024"/>
      <c r="BM137" s="1024"/>
      <c r="BN137" s="1024"/>
      <c r="BO137" s="1024"/>
      <c r="BP137" s="1024"/>
      <c r="BQ137" s="1024"/>
      <c r="BR137" s="1024"/>
      <c r="BS137" s="1024"/>
    </row>
    <row r="138" spans="1:71" s="520" customFormat="1" ht="15.9" customHeight="1" x14ac:dyDescent="0.3">
      <c r="A138" s="5" t="s">
        <v>653</v>
      </c>
      <c r="B138" s="5" t="s">
        <v>517</v>
      </c>
      <c r="C138" s="174">
        <v>44881</v>
      </c>
      <c r="D138" s="5" t="s">
        <v>285</v>
      </c>
      <c r="E138" s="5" t="s">
        <v>339</v>
      </c>
      <c r="F138" s="175" t="s">
        <v>654</v>
      </c>
      <c r="G138" s="15" t="s">
        <v>520</v>
      </c>
      <c r="H138" s="176">
        <v>33000000</v>
      </c>
      <c r="I138" s="17" t="s">
        <v>260</v>
      </c>
      <c r="J138" s="113" t="str">
        <f>VLOOKUP($I138,'Price List, Weapons &amp; Items'!B:C,2,0)</f>
        <v>.</v>
      </c>
      <c r="K138" s="113" t="str">
        <f>IF(I138=".",I138,VLOOKUP($I138,'Price List, Weapons &amp; Items'!B:D,3,0))</f>
        <v>.</v>
      </c>
      <c r="L138" s="177">
        <f>VLOOKUP(I138,'Price List, Weapons &amp; Items'!B:E,4,0)</f>
        <v>0</v>
      </c>
      <c r="M138" s="542" t="s">
        <v>260</v>
      </c>
      <c r="N138" s="542" t="s">
        <v>260</v>
      </c>
      <c r="O138" s="543" t="str">
        <f>VLOOKUP($I138,'Price List, Weapons &amp; Items'!B:G,6,0)</f>
        <v>.</v>
      </c>
      <c r="P138" s="176" t="str">
        <f t="shared" si="31"/>
        <v>.</v>
      </c>
      <c r="Q138" s="176" t="str">
        <f t="shared" si="32"/>
        <v>.</v>
      </c>
      <c r="R138" s="176">
        <f t="shared" si="28"/>
        <v>33000000</v>
      </c>
      <c r="S138" s="176">
        <f>IF(AND(AD138=1,R138&lt;&gt;".")=TRUE,R138/VLOOKUP(G138,'Exchange Rates'!B:C,2,0),IF(R138=".",".",""))</f>
        <v>23078536.960626617</v>
      </c>
      <c r="T138" s="176" t="str">
        <f>IF(AD138=1,IF(AF138="Value is not given at all",".",IF(AF138="Value is given by the source",S138,IF(AF138="Value is calculated with prices",(IF(SUMIFS(Q:Q,A:A,A138)&gt;0,SUMIFS(Q:Q,A:A,A138),"."))/VLOOKUP("USD",'Exchange Rates'!B:C,2,0),"Error with coding"))),"")</f>
        <v>.</v>
      </c>
      <c r="U138" s="15" t="s">
        <v>261</v>
      </c>
      <c r="V138" s="547" t="s">
        <v>645</v>
      </c>
      <c r="W138" s="680" t="s">
        <v>260</v>
      </c>
      <c r="X138" s="144" t="s">
        <v>260</v>
      </c>
      <c r="Y138" s="175" t="s">
        <v>260</v>
      </c>
      <c r="Z138" s="15">
        <v>0</v>
      </c>
      <c r="AA138" s="180">
        <v>0</v>
      </c>
      <c r="AB138" s="669" t="s">
        <v>260</v>
      </c>
      <c r="AC138" s="544" t="str">
        <f>""</f>
        <v/>
      </c>
      <c r="AD138" s="181">
        <v>1</v>
      </c>
      <c r="AE138" s="181" t="s">
        <v>264</v>
      </c>
      <c r="AF138" s="181" t="s">
        <v>265</v>
      </c>
      <c r="AG138" s="181">
        <v>1</v>
      </c>
      <c r="AH138" s="181">
        <v>11</v>
      </c>
      <c r="AI138" s="181">
        <v>0</v>
      </c>
      <c r="AJ138" s="181">
        <f>VLOOKUP($I138,'Price List, Weapons &amp; Items'!B:F,5,0)</f>
        <v>0</v>
      </c>
      <c r="AK138" s="181">
        <f t="shared" si="33"/>
        <v>0</v>
      </c>
      <c r="AL138" s="181">
        <f t="shared" si="34"/>
        <v>0</v>
      </c>
      <c r="AM138" s="181">
        <f t="shared" si="35"/>
        <v>0</v>
      </c>
      <c r="AN138" s="180" t="str">
        <f>VLOOKUP($I138,'Price List, Weapons &amp; Items'!B:L,COLUMN('Price List, Weapons &amp; Items'!$J$11)-1,0)</f>
        <v>.</v>
      </c>
      <c r="AO138" s="180" t="str">
        <f>IF(I138=".",".",VLOOKUP($I138,'Price List, Weapons &amp; Items'!B:J,3,0))</f>
        <v>.</v>
      </c>
      <c r="AP138" s="545" t="e">
        <f t="shared" ca="1" si="29"/>
        <v>#NAME?</v>
      </c>
      <c r="AQ138" s="180" t="str">
        <f>VLOOKUP($I138,'Price List, Weapons &amp; Items'!B:L,COLUMN('Price List, Weapons &amp; Items'!$L$11)-1,0)</f>
        <v>no price, 0 count</v>
      </c>
      <c r="AR138" s="180">
        <f t="shared" si="36"/>
        <v>1</v>
      </c>
      <c r="AS138" s="180">
        <f t="shared" si="37"/>
        <v>1</v>
      </c>
      <c r="AT138" s="180">
        <f t="shared" si="30"/>
        <v>1</v>
      </c>
      <c r="AU138" s="180" t="str">
        <f t="shared" si="38"/>
        <v>.</v>
      </c>
      <c r="AV138" s="180" t="str">
        <f t="shared" si="39"/>
        <v>.</v>
      </c>
      <c r="AW138" s="180">
        <f>IFERROR(VLOOKUP(B138,'Share, Heavy Weapons to Ukraine'!B:J,COLUMN('Share, Heavy Weapons to Ukraine'!C145)-1,0),0)</f>
        <v>1</v>
      </c>
      <c r="AX138" s="180">
        <f>VLOOKUP('Bilateral Assistance, MAIN DATA'!B138,'Country Summary'!B:F,COLUMN('Country Summary'!C148)-1,FALSE)</f>
        <v>0</v>
      </c>
      <c r="AY138" s="180" t="str">
        <f>IF(AND(AD138=1,D138="Military",H138&lt;&gt;"Not given")=TRUE,IF(SUMIFS(P:P,A:A,A138)&gt;0,ABS((SUMIFS(P:P,A:A,A138)/VLOOKUP("USD",'Exchange Rates'!B:C,2,0)))/S138,"."),".")</f>
        <v>.</v>
      </c>
      <c r="AZ138" s="182" t="str">
        <f>IF(AND(AD138=1,D138="Military",H138&lt;&gt;"Not given")=TRUE,IF(SUMIFS(P:P,A:A,A138)&gt;0,IF((ABS((SUMIFS(P:P,A:A,A138)/VLOOKUP("USD",'Exchange Rates'!B:C,2,0)))/S138)&gt;1,(SUMIFS(P:P,A:A,A138)-S138)/S138,(S138-SUMIFS(P:P,A:A,A138))/SUMIFS(P:P,A:A,A138)),"."),".")</f>
        <v>.</v>
      </c>
      <c r="BA138" s="1024"/>
      <c r="BB138" s="1024"/>
      <c r="BC138" s="1024"/>
      <c r="BD138" s="1024"/>
      <c r="BE138" s="1024"/>
      <c r="BF138" s="1024"/>
      <c r="BG138" s="1024"/>
      <c r="BH138" s="1024"/>
      <c r="BI138" s="1024"/>
      <c r="BJ138" s="1024"/>
      <c r="BK138" s="1024"/>
      <c r="BL138" s="1024"/>
      <c r="BM138" s="1024"/>
      <c r="BN138" s="1024"/>
      <c r="BO138" s="1024"/>
      <c r="BP138" s="1024"/>
      <c r="BQ138" s="1024"/>
      <c r="BR138" s="1024"/>
      <c r="BS138" s="1024"/>
    </row>
    <row r="139" spans="1:71" s="520" customFormat="1" ht="15.9" customHeight="1" x14ac:dyDescent="0.3">
      <c r="A139" s="17" t="s">
        <v>655</v>
      </c>
      <c r="B139" s="17" t="s">
        <v>656</v>
      </c>
      <c r="C139" s="174">
        <v>44629</v>
      </c>
      <c r="D139" s="5" t="s">
        <v>256</v>
      </c>
      <c r="E139" s="5" t="s">
        <v>257</v>
      </c>
      <c r="F139" s="175" t="s">
        <v>657</v>
      </c>
      <c r="G139" s="15" t="s">
        <v>658</v>
      </c>
      <c r="H139" s="176">
        <v>5000000</v>
      </c>
      <c r="I139" s="185" t="s">
        <v>260</v>
      </c>
      <c r="J139" s="113" t="str">
        <f>VLOOKUP($I139,'Price List, Weapons &amp; Items'!B:C,2,0)</f>
        <v>.</v>
      </c>
      <c r="K139" s="113" t="str">
        <f>IF(I139=".",I139,VLOOKUP($I139,'Price List, Weapons &amp; Items'!B:D,3,0))</f>
        <v>.</v>
      </c>
      <c r="L139" s="177">
        <f>VLOOKUP(I139,'Price List, Weapons &amp; Items'!B:E,4,0)</f>
        <v>0</v>
      </c>
      <c r="M139" s="542" t="s">
        <v>260</v>
      </c>
      <c r="N139" s="542" t="s">
        <v>260</v>
      </c>
      <c r="O139" s="543" t="str">
        <f>VLOOKUP($I139,'Price List, Weapons &amp; Items'!B:G,6,0)</f>
        <v>.</v>
      </c>
      <c r="P139" s="176" t="str">
        <f t="shared" si="31"/>
        <v>.</v>
      </c>
      <c r="Q139" s="176" t="str">
        <f t="shared" si="32"/>
        <v>.</v>
      </c>
      <c r="R139" s="176">
        <f t="shared" si="28"/>
        <v>5000000</v>
      </c>
      <c r="S139" s="176">
        <f>IF(AND(AD139=1,R139&lt;&gt;".")=TRUE,R139/VLOOKUP(G139,'Exchange Rates'!B:C,2,0),IF(R139=".",".",""))</f>
        <v>694010.68776459154</v>
      </c>
      <c r="T139" s="176" t="str">
        <f>IF(AD139=1,IF(AF139="Value is not given at all",".",IF(AF139="Value is given by the source",S139,IF(AF139="Value is calculated with prices",(IF(SUMIFS(Q:Q,A:A,A139)&gt;0,SUMIFS(Q:Q,A:A,A139),"."))/VLOOKUP("USD",'Exchange Rates'!B:C,2,0),"Error with coding"))),"")</f>
        <v>.</v>
      </c>
      <c r="U139" s="15" t="s">
        <v>415</v>
      </c>
      <c r="V139" s="300" t="s">
        <v>659</v>
      </c>
      <c r="W139" s="175" t="s">
        <v>260</v>
      </c>
      <c r="X139" s="175" t="s">
        <v>260</v>
      </c>
      <c r="Y139" s="175" t="s">
        <v>260</v>
      </c>
      <c r="Z139" s="15">
        <v>0</v>
      </c>
      <c r="AA139" s="180">
        <v>0</v>
      </c>
      <c r="AB139" s="17" t="s">
        <v>260</v>
      </c>
      <c r="AC139" s="544" t="str">
        <f>""</f>
        <v/>
      </c>
      <c r="AD139" s="183">
        <v>1</v>
      </c>
      <c r="AE139" s="183" t="s">
        <v>264</v>
      </c>
      <c r="AF139" s="183" t="s">
        <v>265</v>
      </c>
      <c r="AG139" s="183">
        <v>1</v>
      </c>
      <c r="AH139" s="181">
        <v>3</v>
      </c>
      <c r="AI139" s="181">
        <v>0</v>
      </c>
      <c r="AJ139" s="181">
        <f>VLOOKUP($I139,'Price List, Weapons &amp; Items'!B:F,5,0)</f>
        <v>0</v>
      </c>
      <c r="AK139" s="181">
        <f t="shared" si="33"/>
        <v>0</v>
      </c>
      <c r="AL139" s="181">
        <f t="shared" si="34"/>
        <v>0</v>
      </c>
      <c r="AM139" s="181">
        <f t="shared" si="35"/>
        <v>0</v>
      </c>
      <c r="AN139" s="180" t="str">
        <f>VLOOKUP($I139,'Price List, Weapons &amp; Items'!B:L,COLUMN('Price List, Weapons &amp; Items'!$J$11)-1,0)</f>
        <v>.</v>
      </c>
      <c r="AO139" s="180" t="str">
        <f>IF(I139=".",".",VLOOKUP($I139,'Price List, Weapons &amp; Items'!B:J,3,0))</f>
        <v>.</v>
      </c>
      <c r="AP139" s="545" t="e">
        <f t="shared" ca="1" si="29"/>
        <v>#NAME?</v>
      </c>
      <c r="AQ139" s="180" t="str">
        <f>VLOOKUP($I139,'Price List, Weapons &amp; Items'!B:L,COLUMN('Price List, Weapons &amp; Items'!$L$11)-1,0)</f>
        <v>no price, 0 count</v>
      </c>
      <c r="AR139" s="180">
        <f t="shared" si="36"/>
        <v>0</v>
      </c>
      <c r="AS139" s="180">
        <f t="shared" si="37"/>
        <v>0</v>
      </c>
      <c r="AT139" s="180">
        <f t="shared" si="30"/>
        <v>1</v>
      </c>
      <c r="AU139" s="180" t="str">
        <f t="shared" si="38"/>
        <v>.</v>
      </c>
      <c r="AV139" s="180" t="str">
        <f t="shared" si="39"/>
        <v>.</v>
      </c>
      <c r="AW139" s="180">
        <f>IFERROR(VLOOKUP(B139,'Share, Heavy Weapons to Ukraine'!B:J,COLUMN('Share, Heavy Weapons to Ukraine'!C146)-1,0),0)</f>
        <v>0</v>
      </c>
      <c r="AX139" s="180">
        <f>VLOOKUP('Bilateral Assistance, MAIN DATA'!B139,'Country Summary'!B:F,COLUMN('Country Summary'!C149)-1,FALSE)</f>
        <v>0</v>
      </c>
      <c r="AY139" s="180" t="str">
        <f>IF(AND(AD139=1,D139="Military",H139&lt;&gt;"Not given")=TRUE,IF(SUMIFS(P:P,A:A,A139)&gt;0,ABS((SUMIFS(P:P,A:A,A139)/VLOOKUP("USD",'Exchange Rates'!B:C,2,0)))/S139,"."),".")</f>
        <v>.</v>
      </c>
      <c r="AZ139" s="182" t="str">
        <f>IF(AND(AD139=1,D139="Military",H139&lt;&gt;"Not given")=TRUE,IF(SUMIFS(P:P,A:A,A139)&gt;0,IF((ABS((SUMIFS(P:P,A:A,A139)/VLOOKUP("USD",'Exchange Rates'!B:C,2,0)))/S139)&gt;1,(SUMIFS(P:P,A:A,A139)-S139)/S139,(S139-SUMIFS(P:P,A:A,A139))/SUMIFS(P:P,A:A,A139)),"."),".")</f>
        <v>.</v>
      </c>
      <c r="BA139" s="1024"/>
      <c r="BB139" s="1024"/>
      <c r="BC139" s="1024"/>
      <c r="BD139" s="1024"/>
      <c r="BE139" s="1024"/>
      <c r="BF139" s="1024"/>
      <c r="BG139" s="1024"/>
      <c r="BH139" s="1024"/>
      <c r="BI139" s="1024"/>
      <c r="BJ139" s="1024"/>
      <c r="BK139" s="1024"/>
      <c r="BL139" s="1024"/>
      <c r="BM139" s="1024"/>
      <c r="BN139" s="1024"/>
      <c r="BO139" s="1024"/>
      <c r="BP139" s="1024"/>
      <c r="BQ139" s="1024"/>
      <c r="BR139" s="1024"/>
      <c r="BS139" s="1024"/>
    </row>
    <row r="140" spans="1:71" s="520" customFormat="1" ht="15.9" customHeight="1" x14ac:dyDescent="0.3">
      <c r="A140" s="17" t="s">
        <v>660</v>
      </c>
      <c r="B140" s="17" t="s">
        <v>656</v>
      </c>
      <c r="C140" s="174">
        <v>44641</v>
      </c>
      <c r="D140" s="5" t="s">
        <v>256</v>
      </c>
      <c r="E140" s="5" t="s">
        <v>257</v>
      </c>
      <c r="F140" s="175" t="s">
        <v>661</v>
      </c>
      <c r="G140" s="15" t="s">
        <v>658</v>
      </c>
      <c r="H140" s="176">
        <v>10000000</v>
      </c>
      <c r="I140" s="185" t="s">
        <v>260</v>
      </c>
      <c r="J140" s="113" t="str">
        <f>VLOOKUP($I140,'Price List, Weapons &amp; Items'!B:C,2,0)</f>
        <v>.</v>
      </c>
      <c r="K140" s="113" t="str">
        <f>IF(I140=".",I140,VLOOKUP($I140,'Price List, Weapons &amp; Items'!B:D,3,0))</f>
        <v>.</v>
      </c>
      <c r="L140" s="177">
        <f>VLOOKUP(I140,'Price List, Weapons &amp; Items'!B:E,4,0)</f>
        <v>0</v>
      </c>
      <c r="M140" s="542" t="s">
        <v>260</v>
      </c>
      <c r="N140" s="542" t="s">
        <v>260</v>
      </c>
      <c r="O140" s="543" t="str">
        <f>VLOOKUP($I140,'Price List, Weapons &amp; Items'!B:G,6,0)</f>
        <v>.</v>
      </c>
      <c r="P140" s="176" t="str">
        <f t="shared" si="31"/>
        <v>.</v>
      </c>
      <c r="Q140" s="176" t="str">
        <f t="shared" si="32"/>
        <v>.</v>
      </c>
      <c r="R140" s="176">
        <f t="shared" si="28"/>
        <v>10000000</v>
      </c>
      <c r="S140" s="176">
        <f>IF(AND(AD140=1,R140&lt;&gt;".")=TRUE,R140/VLOOKUP(G140,'Exchange Rates'!B:C,2,0),IF(R140=".",".",""))</f>
        <v>1388021.3755291831</v>
      </c>
      <c r="T140" s="176" t="str">
        <f>IF(AD140=1,IF(AF140="Value is not given at all",".",IF(AF140="Value is given by the source",S140,IF(AF140="Value is calculated with prices",(IF(SUMIFS(Q:Q,A:A,A140)&gt;0,SUMIFS(Q:Q,A:A,A140),"."))/VLOOKUP("USD",'Exchange Rates'!B:C,2,0),"Error with coding"))),"")</f>
        <v>.</v>
      </c>
      <c r="U140" s="15" t="s">
        <v>415</v>
      </c>
      <c r="V140" s="300" t="s">
        <v>662</v>
      </c>
      <c r="W140" s="175" t="s">
        <v>260</v>
      </c>
      <c r="X140" s="175" t="s">
        <v>260</v>
      </c>
      <c r="Y140" s="175" t="s">
        <v>260</v>
      </c>
      <c r="Z140" s="15">
        <v>0</v>
      </c>
      <c r="AA140" s="180">
        <v>0</v>
      </c>
      <c r="AB140" s="17" t="s">
        <v>260</v>
      </c>
      <c r="AC140" s="544" t="str">
        <f>""</f>
        <v/>
      </c>
      <c r="AD140" s="183">
        <v>1</v>
      </c>
      <c r="AE140" s="183" t="s">
        <v>264</v>
      </c>
      <c r="AF140" s="183" t="s">
        <v>265</v>
      </c>
      <c r="AG140" s="183">
        <v>1</v>
      </c>
      <c r="AH140" s="181">
        <v>3</v>
      </c>
      <c r="AI140" s="181">
        <v>0</v>
      </c>
      <c r="AJ140" s="181">
        <f>VLOOKUP($I140,'Price List, Weapons &amp; Items'!B:F,5,0)</f>
        <v>0</v>
      </c>
      <c r="AK140" s="181">
        <f t="shared" si="33"/>
        <v>0</v>
      </c>
      <c r="AL140" s="181">
        <f t="shared" si="34"/>
        <v>0</v>
      </c>
      <c r="AM140" s="181">
        <f t="shared" si="35"/>
        <v>0</v>
      </c>
      <c r="AN140" s="180" t="str">
        <f>VLOOKUP($I140,'Price List, Weapons &amp; Items'!B:L,COLUMN('Price List, Weapons &amp; Items'!$J$11)-1,0)</f>
        <v>.</v>
      </c>
      <c r="AO140" s="180" t="str">
        <f>IF(I140=".",".",VLOOKUP($I140,'Price List, Weapons &amp; Items'!B:J,3,0))</f>
        <v>.</v>
      </c>
      <c r="AP140" s="545" t="e">
        <f t="shared" ca="1" si="29"/>
        <v>#NAME?</v>
      </c>
      <c r="AQ140" s="180" t="str">
        <f>VLOOKUP($I140,'Price List, Weapons &amp; Items'!B:L,COLUMN('Price List, Weapons &amp; Items'!$L$11)-1,0)</f>
        <v>no price, 0 count</v>
      </c>
      <c r="AR140" s="180">
        <f t="shared" si="36"/>
        <v>0</v>
      </c>
      <c r="AS140" s="180">
        <f t="shared" si="37"/>
        <v>0</v>
      </c>
      <c r="AT140" s="180">
        <f t="shared" si="30"/>
        <v>1</v>
      </c>
      <c r="AU140" s="180" t="str">
        <f t="shared" si="38"/>
        <v>.</v>
      </c>
      <c r="AV140" s="180" t="str">
        <f t="shared" si="39"/>
        <v>.</v>
      </c>
      <c r="AW140" s="180">
        <f>IFERROR(VLOOKUP(B140,'Share, Heavy Weapons to Ukraine'!B:J,COLUMN('Share, Heavy Weapons to Ukraine'!C147)-1,0),0)</f>
        <v>0</v>
      </c>
      <c r="AX140" s="180">
        <f>VLOOKUP('Bilateral Assistance, MAIN DATA'!B140,'Country Summary'!B:F,COLUMN('Country Summary'!C150)-1,FALSE)</f>
        <v>0</v>
      </c>
      <c r="AY140" s="180" t="str">
        <f>IF(AND(AD140=1,D140="Military",H140&lt;&gt;"Not given")=TRUE,IF(SUMIFS(P:P,A:A,A140)&gt;0,ABS((SUMIFS(P:P,A:A,A140)/VLOOKUP("USD",'Exchange Rates'!B:C,2,0)))/S140,"."),".")</f>
        <v>.</v>
      </c>
      <c r="AZ140" s="182" t="str">
        <f>IF(AND(AD140=1,D140="Military",H140&lt;&gt;"Not given")=TRUE,IF(SUMIFS(P:P,A:A,A140)&gt;0,IF((ABS((SUMIFS(P:P,A:A,A140)/VLOOKUP("USD",'Exchange Rates'!B:C,2,0)))/S140)&gt;1,(SUMIFS(P:P,A:A,A140)-S140)/S140,(S140-SUMIFS(P:P,A:A,A140))/SUMIFS(P:P,A:A,A140)),"."),".")</f>
        <v>.</v>
      </c>
      <c r="BA140" s="1024"/>
      <c r="BB140" s="1024"/>
      <c r="BC140" s="1024"/>
      <c r="BD140" s="1024"/>
      <c r="BE140" s="1024"/>
      <c r="BF140" s="1024"/>
      <c r="BG140" s="1024"/>
      <c r="BH140" s="1024"/>
      <c r="BI140" s="1024"/>
      <c r="BJ140" s="1024"/>
      <c r="BK140" s="1024"/>
      <c r="BL140" s="1024"/>
      <c r="BM140" s="1024"/>
      <c r="BN140" s="1024"/>
      <c r="BO140" s="1024"/>
      <c r="BP140" s="1024"/>
      <c r="BQ140" s="1024"/>
      <c r="BR140" s="1024"/>
      <c r="BS140" s="1024"/>
    </row>
    <row r="141" spans="1:71" ht="15.9" customHeight="1" x14ac:dyDescent="0.3">
      <c r="A141" s="17" t="s">
        <v>663</v>
      </c>
      <c r="B141" s="17" t="s">
        <v>664</v>
      </c>
      <c r="C141" s="174">
        <v>44616</v>
      </c>
      <c r="D141" s="5" t="s">
        <v>256</v>
      </c>
      <c r="E141" s="5" t="s">
        <v>267</v>
      </c>
      <c r="F141" s="175" t="s">
        <v>665</v>
      </c>
      <c r="G141" s="15" t="s">
        <v>666</v>
      </c>
      <c r="H141" s="176">
        <v>9100000</v>
      </c>
      <c r="I141" s="17" t="s">
        <v>260</v>
      </c>
      <c r="J141" s="113" t="str">
        <f>VLOOKUP($I141,'Price List, Weapons &amp; Items'!B:C,2,0)</f>
        <v>.</v>
      </c>
      <c r="K141" s="113" t="str">
        <f>IF(I141=".",I141,VLOOKUP($I141,'Price List, Weapons &amp; Items'!B:D,3,0))</f>
        <v>.</v>
      </c>
      <c r="L141" s="177">
        <f>VLOOKUP(I141,'Price List, Weapons &amp; Items'!B:E,4,0)</f>
        <v>0</v>
      </c>
      <c r="M141" s="542" t="s">
        <v>260</v>
      </c>
      <c r="N141" s="542" t="s">
        <v>260</v>
      </c>
      <c r="O141" s="543" t="str">
        <f>VLOOKUP($I141,'Price List, Weapons &amp; Items'!B:G,6,0)</f>
        <v>.</v>
      </c>
      <c r="P141" s="176" t="str">
        <f t="shared" si="31"/>
        <v>.</v>
      </c>
      <c r="Q141" s="176" t="str">
        <f t="shared" si="32"/>
        <v>.</v>
      </c>
      <c r="R141" s="176">
        <f t="shared" si="28"/>
        <v>9100000</v>
      </c>
      <c r="S141" s="176">
        <f>IF(AND(AD141=1,R141&lt;&gt;".")=TRUE,R141/VLOOKUP(G141,'Exchange Rates'!B:C,2,0),IF(R141=".",".",""))</f>
        <v>1206896.551724138</v>
      </c>
      <c r="T141" s="176" t="str">
        <f>IF(AD141=1,IF(AF141="Value is not given at all",".",IF(AF141="Value is given by the source",S141,IF(AF141="Value is calculated with prices",(IF(SUMIFS(Q:Q,A:A,A141)&gt;0,SUMIFS(Q:Q,A:A,A141),"."))/VLOOKUP("USD",'Exchange Rates'!B:C,2,0),"Error with coding"))),"")</f>
        <v>.</v>
      </c>
      <c r="U141" s="15" t="s">
        <v>261</v>
      </c>
      <c r="V141" s="300" t="s">
        <v>667</v>
      </c>
      <c r="W141" s="300" t="s">
        <v>668</v>
      </c>
      <c r="X141" s="300" t="s">
        <v>669</v>
      </c>
      <c r="Y141" s="175" t="s">
        <v>260</v>
      </c>
      <c r="Z141" s="15">
        <v>0</v>
      </c>
      <c r="AA141" s="180">
        <v>0</v>
      </c>
      <c r="AB141" s="184" t="s">
        <v>260</v>
      </c>
      <c r="AC141" s="544" t="str">
        <f>""</f>
        <v/>
      </c>
      <c r="AD141" s="181">
        <v>1</v>
      </c>
      <c r="AE141" s="181" t="s">
        <v>264</v>
      </c>
      <c r="AF141" s="181" t="s">
        <v>265</v>
      </c>
      <c r="AG141" s="181">
        <v>1</v>
      </c>
      <c r="AH141" s="181">
        <v>2</v>
      </c>
      <c r="AI141" s="181">
        <v>0</v>
      </c>
      <c r="AJ141" s="181">
        <f>VLOOKUP($I141,'Price List, Weapons &amp; Items'!B:F,5,0)</f>
        <v>0</v>
      </c>
      <c r="AK141" s="181">
        <f t="shared" si="33"/>
        <v>0</v>
      </c>
      <c r="AL141" s="181">
        <f t="shared" si="34"/>
        <v>0</v>
      </c>
      <c r="AM141" s="181">
        <f t="shared" si="35"/>
        <v>0</v>
      </c>
      <c r="AN141" s="180" t="str">
        <f>VLOOKUP($I141,'Price List, Weapons &amp; Items'!B:L,COLUMN('Price List, Weapons &amp; Items'!$J$11)-1,0)</f>
        <v>.</v>
      </c>
      <c r="AO141" s="180" t="str">
        <f>IF(I141=".",".",VLOOKUP($I141,'Price List, Weapons &amp; Items'!B:J,3,0))</f>
        <v>.</v>
      </c>
      <c r="AP141" s="545" t="e">
        <f t="shared" ca="1" si="29"/>
        <v>#NAME?</v>
      </c>
      <c r="AQ141" s="180" t="str">
        <f>VLOOKUP($I141,'Price List, Weapons &amp; Items'!B:L,COLUMN('Price List, Weapons &amp; Items'!$L$11)-1,0)</f>
        <v>no price, 0 count</v>
      </c>
      <c r="AR141" s="180">
        <f t="shared" si="36"/>
        <v>1</v>
      </c>
      <c r="AS141" s="180">
        <f t="shared" si="37"/>
        <v>0</v>
      </c>
      <c r="AT141" s="180">
        <f t="shared" si="30"/>
        <v>1</v>
      </c>
      <c r="AU141" s="180" t="str">
        <f t="shared" si="38"/>
        <v>.</v>
      </c>
      <c r="AV141" s="180" t="str">
        <f t="shared" si="39"/>
        <v>.</v>
      </c>
      <c r="AW141" s="180">
        <f>IFERROR(VLOOKUP(B141,'Share, Heavy Weapons to Ukraine'!B:J,COLUMN('Share, Heavy Weapons to Ukraine'!C148)-1,0),0)</f>
        <v>0</v>
      </c>
      <c r="AX141" s="180">
        <f>VLOOKUP('Bilateral Assistance, MAIN DATA'!B141,'Country Summary'!B:F,COLUMN('Country Summary'!C151)-1,FALSE)</f>
        <v>1</v>
      </c>
      <c r="AY141" s="180" t="str">
        <f>IF(AND(AD141=1,D141="Military",H141&lt;&gt;"Not given")=TRUE,IF(SUMIFS(P:P,A:A,A141)&gt;0,ABS((SUMIFS(P:P,A:A,A141)/VLOOKUP("USD",'Exchange Rates'!B:C,2,0)))/S141,"."),".")</f>
        <v>.</v>
      </c>
      <c r="AZ141" s="182" t="str">
        <f>IF(AND(AD141=1,D141="Military",H141&lt;&gt;"Not given")=TRUE,IF(SUMIFS(P:P,A:A,A141)&gt;0,IF((ABS((SUMIFS(P:P,A:A,A141)/VLOOKUP("USD",'Exchange Rates'!B:C,2,0)))/S141)&gt;1,(SUMIFS(P:P,A:A,A141)-S141)/S141,(S141-SUMIFS(P:P,A:A,A141))/SUMIFS(P:P,A:A,A141)),"."),".")</f>
        <v>.</v>
      </c>
      <c r="BA141" s="182"/>
      <c r="BB141" s="182"/>
      <c r="BC141" s="182"/>
      <c r="BD141" s="182"/>
      <c r="BE141" s="182"/>
      <c r="BF141" s="182"/>
      <c r="BG141" s="182"/>
      <c r="BH141" s="182"/>
      <c r="BI141" s="182"/>
      <c r="BJ141" s="182"/>
      <c r="BK141" s="182"/>
      <c r="BL141" s="182"/>
      <c r="BM141" s="182"/>
      <c r="BN141" s="182"/>
      <c r="BO141" s="182"/>
      <c r="BP141" s="182"/>
      <c r="BQ141" s="182"/>
      <c r="BR141" s="182"/>
      <c r="BS141" s="182"/>
    </row>
    <row r="142" spans="1:71" ht="15.9" customHeight="1" x14ac:dyDescent="0.3">
      <c r="A142" s="17" t="s">
        <v>670</v>
      </c>
      <c r="B142" s="17" t="s">
        <v>664</v>
      </c>
      <c r="C142" s="174">
        <v>44659</v>
      </c>
      <c r="D142" s="5" t="s">
        <v>256</v>
      </c>
      <c r="E142" s="5" t="s">
        <v>267</v>
      </c>
      <c r="F142" s="175" t="s">
        <v>671</v>
      </c>
      <c r="G142" s="15" t="s">
        <v>666</v>
      </c>
      <c r="H142" s="176">
        <v>1516800</v>
      </c>
      <c r="I142" s="17" t="s">
        <v>260</v>
      </c>
      <c r="J142" s="113" t="str">
        <f>VLOOKUP($I142,'Price List, Weapons &amp; Items'!B:C,2,0)</f>
        <v>.</v>
      </c>
      <c r="K142" s="113" t="str">
        <f>IF(I142=".",I142,VLOOKUP($I142,'Price List, Weapons &amp; Items'!B:D,3,0))</f>
        <v>.</v>
      </c>
      <c r="L142" s="177">
        <f>VLOOKUP(I142,'Price List, Weapons &amp; Items'!B:E,4,0)</f>
        <v>0</v>
      </c>
      <c r="M142" s="542" t="s">
        <v>260</v>
      </c>
      <c r="N142" s="542" t="s">
        <v>260</v>
      </c>
      <c r="O142" s="543" t="str">
        <f>VLOOKUP($I142,'Price List, Weapons &amp; Items'!B:G,6,0)</f>
        <v>.</v>
      </c>
      <c r="P142" s="176" t="str">
        <f t="shared" si="31"/>
        <v>.</v>
      </c>
      <c r="Q142" s="176" t="str">
        <f t="shared" si="32"/>
        <v>.</v>
      </c>
      <c r="R142" s="176">
        <f t="shared" si="28"/>
        <v>1516800</v>
      </c>
      <c r="S142" s="176">
        <f>IF(AND(AD142=1,R142&lt;&gt;".")=TRUE,R142/VLOOKUP(G142,'Exchange Rates'!B:C,2,0),IF(R142=".",".",""))</f>
        <v>201167.10875331564</v>
      </c>
      <c r="T142" s="176" t="str">
        <f>IF(AD142=1,IF(AF142="Value is not given at all",".",IF(AF142="Value is given by the source",S142,IF(AF142="Value is calculated with prices",(IF(SUMIFS(Q:Q,A:A,A142)&gt;0,SUMIFS(Q:Q,A:A,A142),"."))/VLOOKUP("USD",'Exchange Rates'!B:C,2,0),"Error with coding"))),"")</f>
        <v>.</v>
      </c>
      <c r="U142" s="15" t="s">
        <v>261</v>
      </c>
      <c r="V142" s="300" t="s">
        <v>672</v>
      </c>
      <c r="W142" s="300" t="s">
        <v>673</v>
      </c>
      <c r="X142" s="175" t="s">
        <v>260</v>
      </c>
      <c r="Y142" s="175" t="s">
        <v>260</v>
      </c>
      <c r="Z142" s="15">
        <v>0</v>
      </c>
      <c r="AA142" s="180">
        <v>0</v>
      </c>
      <c r="AB142" s="184" t="s">
        <v>260</v>
      </c>
      <c r="AC142" s="544" t="str">
        <f>""</f>
        <v/>
      </c>
      <c r="AD142" s="181">
        <v>1</v>
      </c>
      <c r="AE142" s="181" t="s">
        <v>264</v>
      </c>
      <c r="AF142" s="181" t="s">
        <v>265</v>
      </c>
      <c r="AG142" s="181">
        <v>1</v>
      </c>
      <c r="AH142" s="181">
        <v>4</v>
      </c>
      <c r="AI142" s="181">
        <v>0</v>
      </c>
      <c r="AJ142" s="181">
        <f>VLOOKUP($I142,'Price List, Weapons &amp; Items'!B:F,5,0)</f>
        <v>0</v>
      </c>
      <c r="AK142" s="181">
        <f t="shared" si="33"/>
        <v>0</v>
      </c>
      <c r="AL142" s="181">
        <f t="shared" si="34"/>
        <v>0</v>
      </c>
      <c r="AM142" s="181">
        <f t="shared" si="35"/>
        <v>0</v>
      </c>
      <c r="AN142" s="180" t="str">
        <f>VLOOKUP($I142,'Price List, Weapons &amp; Items'!B:L,COLUMN('Price List, Weapons &amp; Items'!$J$11)-1,0)</f>
        <v>.</v>
      </c>
      <c r="AO142" s="180" t="str">
        <f>IF(I142=".",".",VLOOKUP($I142,'Price List, Weapons &amp; Items'!B:J,3,0))</f>
        <v>.</v>
      </c>
      <c r="AP142" s="545" t="e">
        <f t="shared" ca="1" si="29"/>
        <v>#NAME?</v>
      </c>
      <c r="AQ142" s="180" t="str">
        <f>VLOOKUP($I142,'Price List, Weapons &amp; Items'!B:L,COLUMN('Price List, Weapons &amp; Items'!$L$11)-1,0)</f>
        <v>no price, 0 count</v>
      </c>
      <c r="AR142" s="180">
        <f t="shared" si="36"/>
        <v>1</v>
      </c>
      <c r="AS142" s="180">
        <f t="shared" si="37"/>
        <v>0</v>
      </c>
      <c r="AT142" s="180">
        <f t="shared" si="30"/>
        <v>1</v>
      </c>
      <c r="AU142" s="180" t="str">
        <f t="shared" si="38"/>
        <v>.</v>
      </c>
      <c r="AV142" s="180" t="str">
        <f t="shared" si="39"/>
        <v>.</v>
      </c>
      <c r="AW142" s="180">
        <f>IFERROR(VLOOKUP(B142,'Share, Heavy Weapons to Ukraine'!B:J,COLUMN('Share, Heavy Weapons to Ukraine'!C149)-1,0),0)</f>
        <v>0</v>
      </c>
      <c r="AX142" s="180">
        <f>VLOOKUP('Bilateral Assistance, MAIN DATA'!B142,'Country Summary'!B:F,COLUMN('Country Summary'!C152)-1,FALSE)</f>
        <v>1</v>
      </c>
      <c r="AY142" s="180" t="str">
        <f>IF(AND(AD142=1,D142="Military",H142&lt;&gt;"Not given")=TRUE,IF(SUMIFS(P:P,A:A,A142)&gt;0,ABS((SUMIFS(P:P,A:A,A142)/VLOOKUP("USD",'Exchange Rates'!B:C,2,0)))/S142,"."),".")</f>
        <v>.</v>
      </c>
      <c r="AZ142" s="182" t="str">
        <f>IF(AND(AD142=1,D142="Military",H142&lt;&gt;"Not given")=TRUE,IF(SUMIFS(P:P,A:A,A142)&gt;0,IF((ABS((SUMIFS(P:P,A:A,A142)/VLOOKUP("USD",'Exchange Rates'!B:C,2,0)))/S142)&gt;1,(SUMIFS(P:P,A:A,A142)-S142)/S142,(S142-SUMIFS(P:P,A:A,A142))/SUMIFS(P:P,A:A,A142)),"."),".")</f>
        <v>.</v>
      </c>
      <c r="BA142" s="182"/>
      <c r="BB142" s="182"/>
      <c r="BC142" s="182"/>
      <c r="BD142" s="182"/>
      <c r="BE142" s="182"/>
      <c r="BF142" s="182"/>
      <c r="BG142" s="182"/>
      <c r="BH142" s="182"/>
      <c r="BI142" s="182"/>
      <c r="BJ142" s="182"/>
      <c r="BK142" s="182"/>
      <c r="BL142" s="182"/>
      <c r="BM142" s="182"/>
      <c r="BN142" s="182"/>
      <c r="BO142" s="182"/>
      <c r="BP142" s="182"/>
      <c r="BQ142" s="182"/>
      <c r="BR142" s="182"/>
      <c r="BS142" s="182"/>
    </row>
    <row r="143" spans="1:71" ht="15.9" customHeight="1" x14ac:dyDescent="0.3">
      <c r="A143" s="17" t="s">
        <v>674</v>
      </c>
      <c r="B143" s="17" t="s">
        <v>664</v>
      </c>
      <c r="C143" s="174">
        <v>44686</v>
      </c>
      <c r="D143" s="5" t="s">
        <v>256</v>
      </c>
      <c r="E143" s="5" t="s">
        <v>257</v>
      </c>
      <c r="F143" s="175" t="s">
        <v>675</v>
      </c>
      <c r="G143" s="15" t="s">
        <v>364</v>
      </c>
      <c r="H143" s="176">
        <v>5000000</v>
      </c>
      <c r="I143" s="17" t="s">
        <v>260</v>
      </c>
      <c r="J143" s="113" t="str">
        <f>VLOOKUP($I143,'Price List, Weapons &amp; Items'!B:C,2,0)</f>
        <v>.</v>
      </c>
      <c r="K143" s="113" t="str">
        <f>IF(I143=".",I143,VLOOKUP($I143,'Price List, Weapons &amp; Items'!B:D,3,0))</f>
        <v>.</v>
      </c>
      <c r="L143" s="177">
        <f>VLOOKUP(I143,'Price List, Weapons &amp; Items'!B:E,4,0)</f>
        <v>0</v>
      </c>
      <c r="M143" s="542" t="s">
        <v>260</v>
      </c>
      <c r="N143" s="542" t="s">
        <v>260</v>
      </c>
      <c r="O143" s="543" t="str">
        <f>VLOOKUP($I143,'Price List, Weapons &amp; Items'!B:G,6,0)</f>
        <v>.</v>
      </c>
      <c r="P143" s="176" t="str">
        <f t="shared" si="31"/>
        <v>.</v>
      </c>
      <c r="Q143" s="176" t="str">
        <f t="shared" si="32"/>
        <v>.</v>
      </c>
      <c r="R143" s="176">
        <f t="shared" si="28"/>
        <v>5000000</v>
      </c>
      <c r="S143" s="176">
        <f>IF(AND(AD143=1,R143&lt;&gt;".")=TRUE,R143/VLOOKUP(G143,'Exchange Rates'!B:C,2,0),IF(R143=".",".",""))</f>
        <v>5000000</v>
      </c>
      <c r="T143" s="176" t="str">
        <f>IF(AD143=1,IF(AF143="Value is not given at all",".",IF(AF143="Value is given by the source",S143,IF(AF143="Value is calculated with prices",(IF(SUMIFS(Q:Q,A:A,A143)&gt;0,SUMIFS(Q:Q,A:A,A143),"."))/VLOOKUP("USD",'Exchange Rates'!B:C,2,0),"Error with coding"))),"")</f>
        <v>.</v>
      </c>
      <c r="U143" s="15" t="s">
        <v>261</v>
      </c>
      <c r="V143" s="300" t="s">
        <v>429</v>
      </c>
      <c r="W143" s="300" t="s">
        <v>676</v>
      </c>
      <c r="X143" s="300" t="s">
        <v>677</v>
      </c>
      <c r="Y143" s="175" t="s">
        <v>260</v>
      </c>
      <c r="Z143" s="15">
        <v>0</v>
      </c>
      <c r="AA143" s="180">
        <v>0</v>
      </c>
      <c r="AB143" s="184" t="s">
        <v>260</v>
      </c>
      <c r="AC143" s="544" t="str">
        <f>""</f>
        <v/>
      </c>
      <c r="AD143" s="181">
        <v>1</v>
      </c>
      <c r="AE143" s="181" t="s">
        <v>264</v>
      </c>
      <c r="AF143" s="181" t="s">
        <v>265</v>
      </c>
      <c r="AG143" s="181">
        <v>1</v>
      </c>
      <c r="AH143" s="181">
        <v>5</v>
      </c>
      <c r="AI143" s="181">
        <v>0</v>
      </c>
      <c r="AJ143" s="181">
        <f>VLOOKUP($I143,'Price List, Weapons &amp; Items'!B:F,5,0)</f>
        <v>0</v>
      </c>
      <c r="AK143" s="181">
        <f t="shared" si="33"/>
        <v>0</v>
      </c>
      <c r="AL143" s="181">
        <f t="shared" si="34"/>
        <v>0</v>
      </c>
      <c r="AM143" s="181">
        <f t="shared" si="35"/>
        <v>0</v>
      </c>
      <c r="AN143" s="180" t="str">
        <f>VLOOKUP($I143,'Price List, Weapons &amp; Items'!B:L,COLUMN('Price List, Weapons &amp; Items'!$J$11)-1,0)</f>
        <v>.</v>
      </c>
      <c r="AO143" s="180" t="str">
        <f>IF(I143=".",".",VLOOKUP($I143,'Price List, Weapons &amp; Items'!B:J,3,0))</f>
        <v>.</v>
      </c>
      <c r="AP143" s="545" t="e">
        <f t="shared" ca="1" si="29"/>
        <v>#NAME?</v>
      </c>
      <c r="AQ143" s="180" t="str">
        <f>VLOOKUP($I143,'Price List, Weapons &amp; Items'!B:L,COLUMN('Price List, Weapons &amp; Items'!$L$11)-1,0)</f>
        <v>no price, 0 count</v>
      </c>
      <c r="AR143" s="180">
        <f t="shared" si="36"/>
        <v>1</v>
      </c>
      <c r="AS143" s="180">
        <f t="shared" si="37"/>
        <v>0</v>
      </c>
      <c r="AT143" s="180">
        <f t="shared" si="30"/>
        <v>1</v>
      </c>
      <c r="AU143" s="180" t="str">
        <f t="shared" si="38"/>
        <v>.</v>
      </c>
      <c r="AV143" s="180" t="str">
        <f t="shared" si="39"/>
        <v>.</v>
      </c>
      <c r="AW143" s="180">
        <f>IFERROR(VLOOKUP(B143,'Share, Heavy Weapons to Ukraine'!B:J,COLUMN('Share, Heavy Weapons to Ukraine'!C150)-1,0),0)</f>
        <v>0</v>
      </c>
      <c r="AX143" s="180">
        <f>VLOOKUP('Bilateral Assistance, MAIN DATA'!B143,'Country Summary'!B:F,COLUMN('Country Summary'!C153)-1,FALSE)</f>
        <v>1</v>
      </c>
      <c r="AY143" s="180" t="str">
        <f>IF(AND(AD143=1,D143="Military",H143&lt;&gt;"Not given")=TRUE,IF(SUMIFS(P:P,A:A,A143)&gt;0,ABS((SUMIFS(P:P,A:A,A143)/VLOOKUP("USD",'Exchange Rates'!B:C,2,0)))/S143,"."),".")</f>
        <v>.</v>
      </c>
      <c r="AZ143" s="182" t="str">
        <f>IF(AND(AD143=1,D143="Military",H143&lt;&gt;"Not given")=TRUE,IF(SUMIFS(P:P,A:A,A143)&gt;0,IF((ABS((SUMIFS(P:P,A:A,A143)/VLOOKUP("USD",'Exchange Rates'!B:C,2,0)))/S143)&gt;1,(SUMIFS(P:P,A:A,A143)-S143)/S143,(S143-SUMIFS(P:P,A:A,A143))/SUMIFS(P:P,A:A,A143)),"."),".")</f>
        <v>.</v>
      </c>
      <c r="BA143" s="182"/>
      <c r="BB143" s="182"/>
      <c r="BC143" s="182"/>
      <c r="BD143" s="182"/>
      <c r="BE143" s="182"/>
      <c r="BF143" s="182"/>
      <c r="BG143" s="182"/>
      <c r="BH143" s="182"/>
      <c r="BI143" s="182"/>
      <c r="BJ143" s="182"/>
      <c r="BK143" s="182"/>
      <c r="BL143" s="182"/>
      <c r="BM143" s="182"/>
      <c r="BN143" s="182"/>
      <c r="BO143" s="182"/>
      <c r="BP143" s="182"/>
      <c r="BQ143" s="182"/>
      <c r="BR143" s="182"/>
      <c r="BS143" s="182"/>
    </row>
    <row r="144" spans="1:71" ht="15.9" customHeight="1" x14ac:dyDescent="0.3">
      <c r="A144" s="17" t="s">
        <v>678</v>
      </c>
      <c r="B144" s="17" t="s">
        <v>664</v>
      </c>
      <c r="C144" s="174">
        <v>44718</v>
      </c>
      <c r="D144" s="5" t="s">
        <v>256</v>
      </c>
      <c r="E144" s="5" t="s">
        <v>267</v>
      </c>
      <c r="F144" s="175" t="s">
        <v>679</v>
      </c>
      <c r="G144" s="15" t="s">
        <v>364</v>
      </c>
      <c r="H144" s="176">
        <v>33000</v>
      </c>
      <c r="I144" s="17" t="s">
        <v>260</v>
      </c>
      <c r="J144" s="113" t="str">
        <f>VLOOKUP($I144,'Price List, Weapons &amp; Items'!B:C,2,0)</f>
        <v>.</v>
      </c>
      <c r="K144" s="113" t="str">
        <f>IF(I144=".",I144,VLOOKUP($I144,'Price List, Weapons &amp; Items'!B:D,3,0))</f>
        <v>.</v>
      </c>
      <c r="L144" s="177">
        <f>VLOOKUP(I144,'Price List, Weapons &amp; Items'!B:E,4,0)</f>
        <v>0</v>
      </c>
      <c r="M144" s="542" t="s">
        <v>260</v>
      </c>
      <c r="N144" s="542" t="s">
        <v>260</v>
      </c>
      <c r="O144" s="543" t="str">
        <f>VLOOKUP($I144,'Price List, Weapons &amp; Items'!B:G,6,0)</f>
        <v>.</v>
      </c>
      <c r="P144" s="176" t="str">
        <f t="shared" si="31"/>
        <v>.</v>
      </c>
      <c r="Q144" s="176" t="str">
        <f t="shared" si="32"/>
        <v>.</v>
      </c>
      <c r="R144" s="176">
        <f t="shared" si="28"/>
        <v>33000</v>
      </c>
      <c r="S144" s="176">
        <f>IF(AND(AD144=1,R144&lt;&gt;".")=TRUE,R144/VLOOKUP(G144,'Exchange Rates'!B:C,2,0),IF(R144=".",".",""))</f>
        <v>33000</v>
      </c>
      <c r="T144" s="176" t="str">
        <f>IF(AD144=1,IF(AF144="Value is not given at all",".",IF(AF144="Value is given by the source",S144,IF(AF144="Value is calculated with prices",(IF(SUMIFS(Q:Q,A:A,A144)&gt;0,SUMIFS(Q:Q,A:A,A144),"."))/VLOOKUP("USD",'Exchange Rates'!B:C,2,0),"Error with coding"))),"")</f>
        <v>.</v>
      </c>
      <c r="U144" s="15" t="s">
        <v>415</v>
      </c>
      <c r="V144" s="300" t="s">
        <v>680</v>
      </c>
      <c r="W144" s="300" t="s">
        <v>681</v>
      </c>
      <c r="X144" s="558" t="s">
        <v>682</v>
      </c>
      <c r="Y144" s="175" t="s">
        <v>260</v>
      </c>
      <c r="Z144" s="15">
        <v>0</v>
      </c>
      <c r="AA144" s="180">
        <v>0</v>
      </c>
      <c r="AB144" s="17" t="s">
        <v>260</v>
      </c>
      <c r="AC144" s="544" t="str">
        <f>""</f>
        <v/>
      </c>
      <c r="AD144" s="183">
        <v>1</v>
      </c>
      <c r="AE144" s="183" t="s">
        <v>264</v>
      </c>
      <c r="AF144" s="183" t="s">
        <v>265</v>
      </c>
      <c r="AG144" s="183">
        <v>1</v>
      </c>
      <c r="AH144" s="181">
        <v>6</v>
      </c>
      <c r="AI144" s="181">
        <v>0</v>
      </c>
      <c r="AJ144" s="181">
        <f>VLOOKUP($I144,'Price List, Weapons &amp; Items'!B:F,5,0)</f>
        <v>0</v>
      </c>
      <c r="AK144" s="181">
        <f t="shared" si="33"/>
        <v>0</v>
      </c>
      <c r="AL144" s="181">
        <f t="shared" si="34"/>
        <v>0</v>
      </c>
      <c r="AM144" s="181">
        <f t="shared" si="35"/>
        <v>0</v>
      </c>
      <c r="AN144" s="180" t="str">
        <f>VLOOKUP($I144,'Price List, Weapons &amp; Items'!B:L,COLUMN('Price List, Weapons &amp; Items'!$J$11)-1,0)</f>
        <v>.</v>
      </c>
      <c r="AO144" s="180" t="str">
        <f>IF(I144=".",".",VLOOKUP($I144,'Price List, Weapons &amp; Items'!B:J,3,0))</f>
        <v>.</v>
      </c>
      <c r="AP144" s="545" t="e">
        <f t="shared" ca="1" si="29"/>
        <v>#NAME?</v>
      </c>
      <c r="AQ144" s="180" t="str">
        <f>VLOOKUP($I144,'Price List, Weapons &amp; Items'!B:L,COLUMN('Price List, Weapons &amp; Items'!$L$11)-1,0)</f>
        <v>no price, 0 count</v>
      </c>
      <c r="AR144" s="180">
        <f t="shared" si="36"/>
        <v>0</v>
      </c>
      <c r="AS144" s="180">
        <f t="shared" si="37"/>
        <v>0</v>
      </c>
      <c r="AT144" s="180">
        <f t="shared" si="30"/>
        <v>1</v>
      </c>
      <c r="AU144" s="180" t="str">
        <f t="shared" si="38"/>
        <v>.</v>
      </c>
      <c r="AV144" s="180" t="str">
        <f t="shared" si="39"/>
        <v>.</v>
      </c>
      <c r="AW144" s="180">
        <f>IFERROR(VLOOKUP(B144,'Share, Heavy Weapons to Ukraine'!B:J,COLUMN('Share, Heavy Weapons to Ukraine'!C151)-1,0),0)</f>
        <v>0</v>
      </c>
      <c r="AX144" s="180">
        <f>VLOOKUP('Bilateral Assistance, MAIN DATA'!B144,'Country Summary'!B:F,COLUMN('Country Summary'!C154)-1,FALSE)</f>
        <v>1</v>
      </c>
      <c r="AY144" s="180" t="str">
        <f>IF(AND(AD144=1,D144="Military",H144&lt;&gt;"Not given")=TRUE,IF(SUMIFS(P:P,A:A,A144)&gt;0,ABS((SUMIFS(P:P,A:A,A144)/VLOOKUP("USD",'Exchange Rates'!B:C,2,0)))/S144,"."),".")</f>
        <v>.</v>
      </c>
      <c r="AZ144" s="182" t="str">
        <f>IF(AND(AD144=1,D144="Military",H144&lt;&gt;"Not given")=TRUE,IF(SUMIFS(P:P,A:A,A144)&gt;0,IF((ABS((SUMIFS(P:P,A:A,A144)/VLOOKUP("USD",'Exchange Rates'!B:C,2,0)))/S144)&gt;1,(SUMIFS(P:P,A:A,A144)-S144)/S144,(S144-SUMIFS(P:P,A:A,A144))/SUMIFS(P:P,A:A,A144)),"."),".")</f>
        <v>.</v>
      </c>
      <c r="BA144" s="182"/>
      <c r="BB144" s="182"/>
      <c r="BC144" s="182"/>
      <c r="BD144" s="182"/>
      <c r="BE144" s="182"/>
      <c r="BF144" s="182"/>
      <c r="BG144" s="182"/>
      <c r="BH144" s="182"/>
      <c r="BI144" s="182"/>
      <c r="BJ144" s="182"/>
      <c r="BK144" s="182"/>
      <c r="BL144" s="182"/>
      <c r="BM144" s="182"/>
      <c r="BN144" s="182"/>
      <c r="BO144" s="182"/>
      <c r="BP144" s="182"/>
      <c r="BQ144" s="182"/>
      <c r="BR144" s="182"/>
      <c r="BS144" s="182"/>
    </row>
    <row r="145" spans="1:71" ht="15.9" customHeight="1" x14ac:dyDescent="0.3">
      <c r="A145" s="17" t="s">
        <v>683</v>
      </c>
      <c r="B145" s="17" t="s">
        <v>664</v>
      </c>
      <c r="C145" s="174">
        <v>44620</v>
      </c>
      <c r="D145" s="5" t="s">
        <v>285</v>
      </c>
      <c r="E145" s="5" t="s">
        <v>286</v>
      </c>
      <c r="F145" s="175" t="s">
        <v>684</v>
      </c>
      <c r="G145" s="15" t="s">
        <v>666</v>
      </c>
      <c r="H145" s="176">
        <v>124000000</v>
      </c>
      <c r="I145" s="17" t="s">
        <v>260</v>
      </c>
      <c r="J145" s="113" t="str">
        <f>VLOOKUP($I145,'Price List, Weapons &amp; Items'!B:C,2,0)</f>
        <v>.</v>
      </c>
      <c r="K145" s="113" t="str">
        <f>IF(I145=".",I145,VLOOKUP($I145,'Price List, Weapons &amp; Items'!B:D,3,0))</f>
        <v>.</v>
      </c>
      <c r="L145" s="177">
        <f>VLOOKUP(I145,'Price List, Weapons &amp; Items'!B:E,4,0)</f>
        <v>0</v>
      </c>
      <c r="M145" s="542" t="s">
        <v>260</v>
      </c>
      <c r="N145" s="542" t="s">
        <v>260</v>
      </c>
      <c r="O145" s="543" t="str">
        <f>VLOOKUP($I145,'Price List, Weapons &amp; Items'!B:G,6,0)</f>
        <v>.</v>
      </c>
      <c r="P145" s="176" t="str">
        <f t="shared" si="31"/>
        <v>.</v>
      </c>
      <c r="Q145" s="176" t="str">
        <f t="shared" si="32"/>
        <v>.</v>
      </c>
      <c r="R145" s="176">
        <f t="shared" si="28"/>
        <v>124000000</v>
      </c>
      <c r="S145" s="176">
        <f>IF(AND(AD145=1,R145&lt;&gt;".")=TRUE,R145/VLOOKUP(G145,'Exchange Rates'!B:C,2,0),IF(R145=".",".",""))</f>
        <v>16445623.342175066</v>
      </c>
      <c r="T145" s="176" t="str">
        <f>IF(AD145=1,IF(AF145="Value is not given at all",".",IF(AF145="Value is given by the source",S145,IF(AF145="Value is calculated with prices",(IF(SUMIFS(Q:Q,A:A,A145)&gt;0,SUMIFS(Q:Q,A:A,A145),"."))/VLOOKUP("USD",'Exchange Rates'!B:C,2,0),"Error with coding"))),"")</f>
        <v>.</v>
      </c>
      <c r="U145" s="15" t="s">
        <v>261</v>
      </c>
      <c r="V145" s="300" t="s">
        <v>685</v>
      </c>
      <c r="W145" s="300" t="s">
        <v>686</v>
      </c>
      <c r="X145" s="300" t="s">
        <v>687</v>
      </c>
      <c r="Y145" s="546" t="s">
        <v>688</v>
      </c>
      <c r="Z145" s="15">
        <v>0</v>
      </c>
      <c r="AA145" s="180">
        <v>0</v>
      </c>
      <c r="AB145" s="549" t="s">
        <v>689</v>
      </c>
      <c r="AC145" s="544" t="str">
        <f>""</f>
        <v/>
      </c>
      <c r="AD145" s="181">
        <v>1</v>
      </c>
      <c r="AE145" s="181" t="s">
        <v>264</v>
      </c>
      <c r="AF145" s="181" t="s">
        <v>265</v>
      </c>
      <c r="AG145" s="181">
        <v>1</v>
      </c>
      <c r="AH145" s="181">
        <v>2</v>
      </c>
      <c r="AI145" s="181">
        <v>0</v>
      </c>
      <c r="AJ145" s="181">
        <f>VLOOKUP($I145,'Price List, Weapons &amp; Items'!B:F,5,0)</f>
        <v>0</v>
      </c>
      <c r="AK145" s="181">
        <f t="shared" si="33"/>
        <v>0</v>
      </c>
      <c r="AL145" s="181">
        <f t="shared" si="34"/>
        <v>0</v>
      </c>
      <c r="AM145" s="181">
        <f t="shared" si="35"/>
        <v>0</v>
      </c>
      <c r="AN145" s="180" t="str">
        <f>VLOOKUP($I145,'Price List, Weapons &amp; Items'!B:L,COLUMN('Price List, Weapons &amp; Items'!$J$11)-1,0)</f>
        <v>.</v>
      </c>
      <c r="AO145" s="180" t="str">
        <f>IF(I145=".",".",VLOOKUP($I145,'Price List, Weapons &amp; Items'!B:J,3,0))</f>
        <v>.</v>
      </c>
      <c r="AP145" s="545" t="e">
        <f t="shared" ca="1" si="29"/>
        <v>#NAME?</v>
      </c>
      <c r="AQ145" s="180" t="str">
        <f>VLOOKUP($I145,'Price List, Weapons &amp; Items'!B:L,COLUMN('Price List, Weapons &amp; Items'!$L$11)-1,0)</f>
        <v>no price, 0 count</v>
      </c>
      <c r="AR145" s="180">
        <f t="shared" si="36"/>
        <v>1</v>
      </c>
      <c r="AS145" s="180">
        <f t="shared" si="37"/>
        <v>1</v>
      </c>
      <c r="AT145" s="180">
        <f t="shared" si="30"/>
        <v>1</v>
      </c>
      <c r="AU145" s="180" t="str">
        <f t="shared" si="38"/>
        <v>.</v>
      </c>
      <c r="AV145" s="180" t="str">
        <f t="shared" si="39"/>
        <v>.</v>
      </c>
      <c r="AW145" s="180">
        <f>IFERROR(VLOOKUP(B145,'Share, Heavy Weapons to Ukraine'!B:J,COLUMN('Share, Heavy Weapons to Ukraine'!C152)-1,0),0)</f>
        <v>0</v>
      </c>
      <c r="AX145" s="180">
        <f>VLOOKUP('Bilateral Assistance, MAIN DATA'!B145,'Country Summary'!B:F,COLUMN('Country Summary'!C155)-1,FALSE)</f>
        <v>1</v>
      </c>
      <c r="AY145" s="180" t="str">
        <f>IF(AND(AD145=1,D145="Military",H145&lt;&gt;"Not given")=TRUE,IF(SUMIFS(P:P,A:A,A145)&gt;0,ABS((SUMIFS(P:P,A:A,A145)/VLOOKUP("USD",'Exchange Rates'!B:C,2,0)))/S145,"."),".")</f>
        <v>.</v>
      </c>
      <c r="AZ145" s="182" t="str">
        <f>IF(AND(AD145=1,D145="Military",H145&lt;&gt;"Not given")=TRUE,IF(SUMIFS(P:P,A:A,A145)&gt;0,IF((ABS((SUMIFS(P:P,A:A,A145)/VLOOKUP("USD",'Exchange Rates'!B:C,2,0)))/S145)&gt;1,(SUMIFS(P:P,A:A,A145)-S145)/S145,(S145-SUMIFS(P:P,A:A,A145))/SUMIFS(P:P,A:A,A145)),"."),".")</f>
        <v>.</v>
      </c>
      <c r="BA145" s="182"/>
      <c r="BB145" s="182"/>
      <c r="BC145" s="182"/>
      <c r="BD145" s="182"/>
      <c r="BE145" s="182"/>
      <c r="BF145" s="182"/>
      <c r="BG145" s="182"/>
      <c r="BH145" s="182"/>
      <c r="BI145" s="182"/>
      <c r="BJ145" s="182"/>
      <c r="BK145" s="182"/>
      <c r="BL145" s="182"/>
      <c r="BM145" s="182"/>
      <c r="BN145" s="182"/>
      <c r="BO145" s="182"/>
      <c r="BP145" s="182"/>
      <c r="BQ145" s="182"/>
      <c r="BR145" s="182"/>
      <c r="BS145" s="182"/>
    </row>
    <row r="146" spans="1:71" ht="15.9" customHeight="1" x14ac:dyDescent="0.3">
      <c r="A146" s="17" t="s">
        <v>690</v>
      </c>
      <c r="B146" s="17" t="s">
        <v>664</v>
      </c>
      <c r="C146" s="174">
        <v>44916</v>
      </c>
      <c r="D146" s="5" t="s">
        <v>285</v>
      </c>
      <c r="E146" s="5" t="s">
        <v>294</v>
      </c>
      <c r="F146" s="175" t="s">
        <v>691</v>
      </c>
      <c r="G146" s="15" t="s">
        <v>364</v>
      </c>
      <c r="H146" s="176">
        <v>3000000</v>
      </c>
      <c r="I146" s="185" t="s">
        <v>692</v>
      </c>
      <c r="J146" s="113" t="str">
        <f>VLOOKUP($I146,'Price List, Weapons &amp; Items'!B:C,2,0)</f>
        <v>military equipment</v>
      </c>
      <c r="K146" s="113" t="str">
        <f>IF(I146=".",I146,VLOOKUP($I146,'Price List, Weapons &amp; Items'!B:D,3,0))</f>
        <v>Armoured Recovery Vehicle (ARV)</v>
      </c>
      <c r="L146" s="177">
        <f>VLOOKUP(I146,'Price List, Weapons &amp; Items'!B:E,4,0)</f>
        <v>0</v>
      </c>
      <c r="M146" s="542" t="s">
        <v>270</v>
      </c>
      <c r="N146" s="542" t="s">
        <v>270</v>
      </c>
      <c r="O146" s="543">
        <f>VLOOKUP($I146,'Price List, Weapons &amp; Items'!B:G,6,0)</f>
        <v>405530</v>
      </c>
      <c r="P146" s="176" t="str">
        <f t="shared" si="31"/>
        <v>.</v>
      </c>
      <c r="Q146" s="176" t="str">
        <f t="shared" si="32"/>
        <v>.</v>
      </c>
      <c r="R146" s="176">
        <f t="shared" si="28"/>
        <v>3000000</v>
      </c>
      <c r="S146" s="176">
        <f>IF(AND(AD146=1,R146&lt;&gt;".")=TRUE,R146/VLOOKUP(G146,'Exchange Rates'!B:C,2,0),IF(R146=".",".",""))</f>
        <v>3000000</v>
      </c>
      <c r="T146" s="176" t="str">
        <f>IF(AD146=1,IF(AF146="Value is not given at all",".",IF(AF146="Value is given by the source",S146,IF(AF146="Value is calculated with prices",(IF(SUMIFS(Q:Q,A:A,A146)&gt;0,SUMIFS(Q:Q,A:A,A146),"."))/VLOOKUP("USD",'Exchange Rates'!B:C,2,0),"Error with coding"))),"")</f>
        <v>.</v>
      </c>
      <c r="U146" s="15" t="s">
        <v>261</v>
      </c>
      <c r="V146" s="300" t="s">
        <v>693</v>
      </c>
      <c r="W146" s="300" t="s">
        <v>694</v>
      </c>
      <c r="X146" s="144" t="s">
        <v>260</v>
      </c>
      <c r="Y146" s="668" t="s">
        <v>260</v>
      </c>
      <c r="Z146" s="15">
        <v>0</v>
      </c>
      <c r="AA146" s="180">
        <v>1</v>
      </c>
      <c r="AB146" s="690" t="s">
        <v>260</v>
      </c>
      <c r="AC146" s="544"/>
      <c r="AD146" s="181">
        <v>1</v>
      </c>
      <c r="AE146" s="181" t="s">
        <v>264</v>
      </c>
      <c r="AF146" s="181" t="s">
        <v>265</v>
      </c>
      <c r="AG146" s="181">
        <v>1</v>
      </c>
      <c r="AH146" s="181">
        <v>12</v>
      </c>
      <c r="AI146" s="181">
        <v>0</v>
      </c>
      <c r="AJ146" s="181">
        <f>VLOOKUP($I146,'Price List, Weapons &amp; Items'!B:F,5,0)</f>
        <v>1</v>
      </c>
      <c r="AK146" s="181">
        <f t="shared" si="33"/>
        <v>1</v>
      </c>
      <c r="AL146" s="181">
        <f t="shared" si="34"/>
        <v>1</v>
      </c>
      <c r="AM146" s="181">
        <f t="shared" si="35"/>
        <v>0</v>
      </c>
      <c r="AN146" s="180" t="str">
        <f>VLOOKUP($I146,'Price List, Weapons &amp; Items'!B:L,COLUMN('Price List, Weapons &amp; Items'!$J$11)-1,0)</f>
        <v>Contract</v>
      </c>
      <c r="AO146" s="180" t="str">
        <f>IF(I146=".",".",VLOOKUP($I146,'Price List, Weapons &amp; Items'!B:J,3,0))</f>
        <v>Armoured Recovery Vehicle (ARV)</v>
      </c>
      <c r="AP146" s="545" t="e">
        <f t="shared" ca="1" si="29"/>
        <v>#NAME?</v>
      </c>
      <c r="AQ146" s="180">
        <f>VLOOKUP($I146,'Price List, Weapons &amp; Items'!B:L,COLUMN('Price List, Weapons &amp; Items'!$L$11)-1,0)</f>
        <v>2</v>
      </c>
      <c r="AR146" s="180">
        <f t="shared" si="36"/>
        <v>1</v>
      </c>
      <c r="AS146" s="180">
        <f t="shared" si="37"/>
        <v>1</v>
      </c>
      <c r="AT146" s="180">
        <f t="shared" si="30"/>
        <v>1</v>
      </c>
      <c r="AU146" s="180" t="str">
        <f t="shared" si="38"/>
        <v>.</v>
      </c>
      <c r="AV146" s="180" t="str">
        <f t="shared" si="39"/>
        <v>.</v>
      </c>
      <c r="AW146" s="180">
        <f>IFERROR(VLOOKUP(B146,'Share, Heavy Weapons to Ukraine'!B:J,COLUMN('Share, Heavy Weapons to Ukraine'!C153)-1,0),0)</f>
        <v>0</v>
      </c>
      <c r="AX146" s="180">
        <f>VLOOKUP('Bilateral Assistance, MAIN DATA'!B146,'Country Summary'!B:F,COLUMN('Country Summary'!C156)-1,FALSE)</f>
        <v>1</v>
      </c>
      <c r="AY146" s="180" t="str">
        <f>IF(AND(AD146=1,D146="Military",H146&lt;&gt;"Not given")=TRUE,IF(SUMIFS(P:P,A:A,A146)&gt;0,ABS((SUMIFS(P:P,A:A,A146)/VLOOKUP("USD",'Exchange Rates'!B:C,2,0)))/S146,"."),".")</f>
        <v>.</v>
      </c>
      <c r="AZ146" s="182" t="str">
        <f>IF(AND(AD146=1,D146="Military",H146&lt;&gt;"Not given")=TRUE,IF(SUMIFS(P:P,A:A,A146)&gt;0,IF((ABS((SUMIFS(P:P,A:A,A146)/VLOOKUP("USD",'Exchange Rates'!B:C,2,0)))/S146)&gt;1,(SUMIFS(P:P,A:A,A146)-S146)/S146,(S146-SUMIFS(P:P,A:A,A146))/SUMIFS(P:P,A:A,A146)),"."),".")</f>
        <v>.</v>
      </c>
      <c r="BA146" s="182"/>
      <c r="BB146" s="182"/>
      <c r="BC146" s="182"/>
      <c r="BD146" s="182"/>
      <c r="BE146" s="182"/>
      <c r="BF146" s="182"/>
      <c r="BG146" s="182"/>
      <c r="BH146" s="182"/>
      <c r="BI146" s="182"/>
      <c r="BJ146" s="182"/>
      <c r="BK146" s="182"/>
      <c r="BL146" s="182"/>
      <c r="BM146" s="182"/>
      <c r="BN146" s="182"/>
      <c r="BO146" s="182"/>
      <c r="BP146" s="182"/>
      <c r="BQ146" s="182"/>
      <c r="BR146" s="182"/>
      <c r="BS146" s="182"/>
    </row>
    <row r="147" spans="1:71" s="520" customFormat="1" ht="15.9" customHeight="1" x14ac:dyDescent="0.3">
      <c r="A147" s="5" t="s">
        <v>695</v>
      </c>
      <c r="B147" s="5" t="s">
        <v>696</v>
      </c>
      <c r="C147" s="174">
        <v>44629</v>
      </c>
      <c r="D147" s="5" t="s">
        <v>256</v>
      </c>
      <c r="E147" s="5" t="s">
        <v>267</v>
      </c>
      <c r="F147" s="175" t="s">
        <v>697</v>
      </c>
      <c r="G147" s="15" t="s">
        <v>364</v>
      </c>
      <c r="H147" s="176">
        <v>2000000</v>
      </c>
      <c r="I147" s="17" t="s">
        <v>698</v>
      </c>
      <c r="J147" s="113" t="str">
        <f>VLOOKUP($I147,'Price List, Weapons &amp; Items'!B:C,2,0)</f>
        <v>Humanitarian</v>
      </c>
      <c r="K147" s="113" t="str">
        <f>IF(I147=".",I147,VLOOKUP($I147,'Price List, Weapons &amp; Items'!B:D,3,0))</f>
        <v>Humanitarian</v>
      </c>
      <c r="L147" s="177">
        <f>VLOOKUP(I147,'Price List, Weapons &amp; Items'!B:E,4,0)</f>
        <v>0</v>
      </c>
      <c r="M147" s="542">
        <v>80</v>
      </c>
      <c r="N147" s="542" t="s">
        <v>270</v>
      </c>
      <c r="O147" s="543">
        <f>VLOOKUP($I147,'Price List, Weapons &amp; Items'!B:G,6,0)</f>
        <v>2430</v>
      </c>
      <c r="P147" s="176">
        <f t="shared" si="31"/>
        <v>194400</v>
      </c>
      <c r="Q147" s="176" t="str">
        <f t="shared" si="32"/>
        <v>.</v>
      </c>
      <c r="R147" s="176">
        <f t="shared" si="28"/>
        <v>2000000</v>
      </c>
      <c r="S147" s="176">
        <f>IF(AND(AD147=1,R147&lt;&gt;".")=TRUE,R147/VLOOKUP(G147,'Exchange Rates'!B:C,2,0),IF(R147=".",".",""))</f>
        <v>2000000</v>
      </c>
      <c r="T147" s="176" t="str">
        <f>IF(AD147=1,IF(AF147="Value is not given at all",".",IF(AF147="Value is given by the source",S147,IF(AF147="Value is calculated with prices",(IF(SUMIFS(Q:Q,A:A,A147)&gt;0,SUMIFS(Q:Q,A:A,A147),"."))/VLOOKUP("USD",'Exchange Rates'!B:C,2,0),"Error with coding"))),"")</f>
        <v>.</v>
      </c>
      <c r="U147" s="15" t="s">
        <v>261</v>
      </c>
      <c r="V147" s="547" t="s">
        <v>699</v>
      </c>
      <c r="W147" s="547" t="s">
        <v>700</v>
      </c>
      <c r="X147" s="188" t="s">
        <v>260</v>
      </c>
      <c r="Y147" s="188" t="s">
        <v>260</v>
      </c>
      <c r="Z147" s="15">
        <v>0</v>
      </c>
      <c r="AA147" s="180">
        <v>0</v>
      </c>
      <c r="AB147" s="184" t="s">
        <v>260</v>
      </c>
      <c r="AC147" s="544" t="str">
        <f>""</f>
        <v/>
      </c>
      <c r="AD147" s="183">
        <v>1</v>
      </c>
      <c r="AE147" s="183" t="s">
        <v>264</v>
      </c>
      <c r="AF147" s="183" t="s">
        <v>265</v>
      </c>
      <c r="AG147" s="183">
        <v>1</v>
      </c>
      <c r="AH147" s="183">
        <v>3</v>
      </c>
      <c r="AI147" s="183">
        <v>0</v>
      </c>
      <c r="AJ147" s="181">
        <f>VLOOKUP($I147,'Price List, Weapons &amp; Items'!B:F,5,0)</f>
        <v>0</v>
      </c>
      <c r="AK147" s="181">
        <f t="shared" si="33"/>
        <v>0</v>
      </c>
      <c r="AL147" s="181">
        <f t="shared" si="34"/>
        <v>0</v>
      </c>
      <c r="AM147" s="181">
        <f t="shared" si="35"/>
        <v>0</v>
      </c>
      <c r="AN147" s="180" t="str">
        <f>VLOOKUP($I147,'Price List, Weapons &amp; Items'!B:L,COLUMN('Price List, Weapons &amp; Items'!$J$11)-1,0)</f>
        <v>Government information</v>
      </c>
      <c r="AO147" s="180" t="str">
        <f>IF(I147=".",".",VLOOKUP($I147,'Price List, Weapons &amp; Items'!B:J,3,0))</f>
        <v>Humanitarian</v>
      </c>
      <c r="AP147" s="545" t="e">
        <f t="shared" ca="1" si="29"/>
        <v>#NAME?</v>
      </c>
      <c r="AQ147" s="180">
        <f>VLOOKUP($I147,'Price List, Weapons &amp; Items'!B:L,COLUMN('Price List, Weapons &amp; Items'!$L$11)-1,0)</f>
        <v>0</v>
      </c>
      <c r="AR147" s="180">
        <f t="shared" si="36"/>
        <v>1</v>
      </c>
      <c r="AS147" s="180">
        <f t="shared" si="37"/>
        <v>0</v>
      </c>
      <c r="AT147" s="180">
        <f t="shared" si="30"/>
        <v>1</v>
      </c>
      <c r="AU147" s="180" t="str">
        <f t="shared" si="38"/>
        <v>.</v>
      </c>
      <c r="AV147" s="180" t="str">
        <f t="shared" si="39"/>
        <v>.</v>
      </c>
      <c r="AW147" s="180">
        <f>IFERROR(VLOOKUP(B147,'Share, Heavy Weapons to Ukraine'!B:J,COLUMN('Share, Heavy Weapons to Ukraine'!C154)-1,0),0)</f>
        <v>0</v>
      </c>
      <c r="AX147" s="180">
        <f>VLOOKUP('Bilateral Assistance, MAIN DATA'!B147,'Country Summary'!B:F,COLUMN('Country Summary'!C157)-1,FALSE)</f>
        <v>1</v>
      </c>
      <c r="AY147" s="180" t="str">
        <f>IF(AND(AD147=1,D147="Military",H147&lt;&gt;"Not given")=TRUE,IF(SUMIFS(P:P,A:A,A147)&gt;0,ABS((SUMIFS(P:P,A:A,A147)/VLOOKUP("USD",'Exchange Rates'!B:C,2,0)))/S147,"."),".")</f>
        <v>.</v>
      </c>
      <c r="AZ147" s="182" t="str">
        <f>IF(AND(AD147=1,D147="Military",H147&lt;&gt;"Not given")=TRUE,IF(SUMIFS(P:P,A:A,A147)&gt;0,IF((ABS((SUMIFS(P:P,A:A,A147)/VLOOKUP("USD",'Exchange Rates'!B:C,2,0)))/S147)&gt;1,(SUMIFS(P:P,A:A,A147)-S147)/S147,(S147-SUMIFS(P:P,A:A,A147))/SUMIFS(P:P,A:A,A147)),"."),".")</f>
        <v>.</v>
      </c>
      <c r="BA147" s="1024"/>
      <c r="BB147" s="1024"/>
      <c r="BC147" s="1024"/>
      <c r="BD147" s="1024"/>
      <c r="BE147" s="1024"/>
      <c r="BF147" s="1024"/>
      <c r="BG147" s="1024"/>
      <c r="BH147" s="1024"/>
      <c r="BI147" s="1024"/>
      <c r="BJ147" s="1024"/>
      <c r="BK147" s="1024"/>
      <c r="BL147" s="1024"/>
      <c r="BM147" s="1024"/>
      <c r="BN147" s="1024"/>
      <c r="BO147" s="1024"/>
      <c r="BP147" s="1024"/>
      <c r="BQ147" s="1024"/>
      <c r="BR147" s="1024"/>
      <c r="BS147" s="1024"/>
    </row>
    <row r="148" spans="1:71" s="520" customFormat="1" ht="15.9" customHeight="1" x14ac:dyDescent="0.3">
      <c r="A148" s="5" t="s">
        <v>695</v>
      </c>
      <c r="B148" s="5" t="s">
        <v>696</v>
      </c>
      <c r="C148" s="174">
        <v>44629</v>
      </c>
      <c r="D148" s="5" t="s">
        <v>256</v>
      </c>
      <c r="E148" s="5" t="s">
        <v>267</v>
      </c>
      <c r="F148" s="175" t="s">
        <v>697</v>
      </c>
      <c r="G148" s="15" t="s">
        <v>364</v>
      </c>
      <c r="H148" s="176">
        <v>2000000</v>
      </c>
      <c r="I148" s="17" t="s">
        <v>701</v>
      </c>
      <c r="J148" s="113" t="str">
        <f>VLOOKUP($I148,'Price List, Weapons &amp; Items'!B:C,2,0)</f>
        <v>Humanitarian</v>
      </c>
      <c r="K148" s="113" t="str">
        <f>IF(I148=".",I148,VLOOKUP($I148,'Price List, Weapons &amp; Items'!B:D,3,0))</f>
        <v>Humanitarian</v>
      </c>
      <c r="L148" s="177">
        <f>VLOOKUP(I148,'Price List, Weapons &amp; Items'!B:E,4,0)</f>
        <v>0</v>
      </c>
      <c r="M148" s="542">
        <v>13</v>
      </c>
      <c r="N148" s="542" t="s">
        <v>270</v>
      </c>
      <c r="O148" s="543">
        <f>VLOOKUP($I148,'Price List, Weapons &amp; Items'!B:G,6,0)</f>
        <v>10000</v>
      </c>
      <c r="P148" s="176">
        <f t="shared" si="31"/>
        <v>130000</v>
      </c>
      <c r="Q148" s="176" t="str">
        <f t="shared" si="32"/>
        <v>.</v>
      </c>
      <c r="R148" s="176" t="str">
        <f t="shared" si="28"/>
        <v/>
      </c>
      <c r="S148" s="176" t="str">
        <f>IF(AND(AD148=1,R148&lt;&gt;".")=TRUE,R148/VLOOKUP(G148,'Exchange Rates'!B:C,2,0),IF(R148=".",".",""))</f>
        <v/>
      </c>
      <c r="T148" s="176" t="str">
        <f>IF(AD148=1,IF(AF148="Value is not given at all",".",IF(AF148="Value is given by the source",S148,IF(AF148="Value is calculated with prices",(IF(SUMIFS(Q:Q,A:A,A148)&gt;0,SUMIFS(Q:Q,A:A,A148),"."))/VLOOKUP("USD",'Exchange Rates'!B:C,2,0),"Error with coding"))),"")</f>
        <v/>
      </c>
      <c r="U148" s="15" t="s">
        <v>261</v>
      </c>
      <c r="V148" s="547" t="s">
        <v>699</v>
      </c>
      <c r="W148" s="547" t="s">
        <v>700</v>
      </c>
      <c r="X148" s="188" t="s">
        <v>260</v>
      </c>
      <c r="Y148" s="188" t="s">
        <v>260</v>
      </c>
      <c r="Z148" s="15">
        <v>0</v>
      </c>
      <c r="AA148" s="180">
        <v>0</v>
      </c>
      <c r="AB148" s="184" t="s">
        <v>260</v>
      </c>
      <c r="AC148" s="544" t="str">
        <f>""</f>
        <v/>
      </c>
      <c r="AD148" s="183">
        <v>0</v>
      </c>
      <c r="AE148" s="183" t="s">
        <v>264</v>
      </c>
      <c r="AF148" s="183" t="s">
        <v>265</v>
      </c>
      <c r="AG148" s="183">
        <v>1</v>
      </c>
      <c r="AH148" s="183">
        <v>3</v>
      </c>
      <c r="AI148" s="183">
        <v>0</v>
      </c>
      <c r="AJ148" s="181">
        <f>VLOOKUP($I148,'Price List, Weapons &amp; Items'!B:F,5,0)</f>
        <v>0</v>
      </c>
      <c r="AK148" s="181">
        <f t="shared" si="33"/>
        <v>0</v>
      </c>
      <c r="AL148" s="181">
        <f t="shared" si="34"/>
        <v>0</v>
      </c>
      <c r="AM148" s="181">
        <f t="shared" si="35"/>
        <v>0</v>
      </c>
      <c r="AN148" s="180" t="str">
        <f>VLOOKUP($I148,'Price List, Weapons &amp; Items'!B:L,COLUMN('Price List, Weapons &amp; Items'!$J$11)-1,0)</f>
        <v>Miscellaneous</v>
      </c>
      <c r="AO148" s="180" t="str">
        <f>IF(I148=".",".",VLOOKUP($I148,'Price List, Weapons &amp; Items'!B:J,3,0))</f>
        <v>Humanitarian</v>
      </c>
      <c r="AP148" s="545" t="str">
        <f t="shared" ca="1" si="29"/>
        <v/>
      </c>
      <c r="AQ148" s="180">
        <f>VLOOKUP($I148,'Price List, Weapons &amp; Items'!B:L,COLUMN('Price List, Weapons &amp; Items'!$L$11)-1,0)</f>
        <v>0</v>
      </c>
      <c r="AR148" s="180">
        <f t="shared" si="36"/>
        <v>1</v>
      </c>
      <c r="AS148" s="180">
        <f t="shared" si="37"/>
        <v>0</v>
      </c>
      <c r="AT148" s="180">
        <f t="shared" si="30"/>
        <v>1</v>
      </c>
      <c r="AU148" s="180" t="str">
        <f t="shared" si="38"/>
        <v>.</v>
      </c>
      <c r="AV148" s="180" t="str">
        <f t="shared" si="39"/>
        <v>.</v>
      </c>
      <c r="AW148" s="180">
        <f>IFERROR(VLOOKUP(B148,'Share, Heavy Weapons to Ukraine'!B:J,COLUMN('Share, Heavy Weapons to Ukraine'!C155)-1,0),0)</f>
        <v>0</v>
      </c>
      <c r="AX148" s="180">
        <f>VLOOKUP('Bilateral Assistance, MAIN DATA'!B148,'Country Summary'!B:F,COLUMN('Country Summary'!C158)-1,FALSE)</f>
        <v>1</v>
      </c>
      <c r="AY148" s="180" t="str">
        <f>IF(AND(AD148=1,D148="Military",H148&lt;&gt;"Not given")=TRUE,IF(SUMIFS(P:P,A:A,A148)&gt;0,ABS((SUMIFS(P:P,A:A,A148)/VLOOKUP("USD",'Exchange Rates'!B:C,2,0)))/S148,"."),".")</f>
        <v>.</v>
      </c>
      <c r="AZ148" s="182" t="str">
        <f>IF(AND(AD148=1,D148="Military",H148&lt;&gt;"Not given")=TRUE,IF(SUMIFS(P:P,A:A,A148)&gt;0,IF((ABS((SUMIFS(P:P,A:A,A148)/VLOOKUP("USD",'Exchange Rates'!B:C,2,0)))/S148)&gt;1,(SUMIFS(P:P,A:A,A148)-S148)/S148,(S148-SUMIFS(P:P,A:A,A148))/SUMIFS(P:P,A:A,A148)),"."),".")</f>
        <v>.</v>
      </c>
      <c r="BA148" s="1024"/>
      <c r="BB148" s="1024"/>
      <c r="BC148" s="1024"/>
      <c r="BD148" s="1024"/>
      <c r="BE148" s="1024"/>
      <c r="BF148" s="1024"/>
      <c r="BG148" s="1024"/>
      <c r="BH148" s="1024"/>
      <c r="BI148" s="1024"/>
      <c r="BJ148" s="1024"/>
      <c r="BK148" s="1024"/>
      <c r="BL148" s="1024"/>
      <c r="BM148" s="1024"/>
      <c r="BN148" s="1024"/>
      <c r="BO148" s="1024"/>
      <c r="BP148" s="1024"/>
      <c r="BQ148" s="1024"/>
      <c r="BR148" s="1024"/>
      <c r="BS148" s="1024"/>
    </row>
    <row r="149" spans="1:71" s="520" customFormat="1" ht="15.9" customHeight="1" x14ac:dyDescent="0.3">
      <c r="A149" s="5" t="s">
        <v>695</v>
      </c>
      <c r="B149" s="5" t="s">
        <v>696</v>
      </c>
      <c r="C149" s="174">
        <v>44629</v>
      </c>
      <c r="D149" s="5" t="s">
        <v>256</v>
      </c>
      <c r="E149" s="5" t="s">
        <v>267</v>
      </c>
      <c r="F149" s="175" t="s">
        <v>697</v>
      </c>
      <c r="G149" s="15" t="s">
        <v>364</v>
      </c>
      <c r="H149" s="176">
        <v>2000000</v>
      </c>
      <c r="I149" s="17" t="s">
        <v>702</v>
      </c>
      <c r="J149" s="113" t="str">
        <f>VLOOKUP($I149,'Price List, Weapons &amp; Items'!B:C,2,0)</f>
        <v>Humanitarian</v>
      </c>
      <c r="K149" s="113" t="str">
        <f>IF(I149=".",I149,VLOOKUP($I149,'Price List, Weapons &amp; Items'!B:D,3,0))</f>
        <v>Humanitarian</v>
      </c>
      <c r="L149" s="177">
        <f>VLOOKUP(I149,'Price List, Weapons &amp; Items'!B:E,4,0)</f>
        <v>0</v>
      </c>
      <c r="M149" s="542">
        <v>22500</v>
      </c>
      <c r="N149" s="542" t="s">
        <v>270</v>
      </c>
      <c r="O149" s="543">
        <f>VLOOKUP($I149,'Price List, Weapons &amp; Items'!B:G,6,0)</f>
        <v>1.5</v>
      </c>
      <c r="P149" s="176">
        <f t="shared" si="31"/>
        <v>33750</v>
      </c>
      <c r="Q149" s="176" t="str">
        <f t="shared" si="32"/>
        <v>.</v>
      </c>
      <c r="R149" s="176" t="str">
        <f t="shared" si="28"/>
        <v/>
      </c>
      <c r="S149" s="176" t="str">
        <f>IF(AND(AD149=1,R149&lt;&gt;".")=TRUE,R149/VLOOKUP(G149,'Exchange Rates'!B:C,2,0),IF(R149=".",".",""))</f>
        <v/>
      </c>
      <c r="T149" s="176" t="str">
        <f>IF(AD149=1,IF(AF149="Value is not given at all",".",IF(AF149="Value is given by the source",S149,IF(AF149="Value is calculated with prices",(IF(SUMIFS(Q:Q,A:A,A149)&gt;0,SUMIFS(Q:Q,A:A,A149),"."))/VLOOKUP("USD",'Exchange Rates'!B:C,2,0),"Error with coding"))),"")</f>
        <v/>
      </c>
      <c r="U149" s="15" t="s">
        <v>261</v>
      </c>
      <c r="V149" s="547" t="s">
        <v>699</v>
      </c>
      <c r="W149" s="547" t="s">
        <v>700</v>
      </c>
      <c r="X149" s="188" t="s">
        <v>260</v>
      </c>
      <c r="Y149" s="188" t="s">
        <v>260</v>
      </c>
      <c r="Z149" s="15">
        <v>0</v>
      </c>
      <c r="AA149" s="180">
        <v>0</v>
      </c>
      <c r="AB149" s="184" t="s">
        <v>260</v>
      </c>
      <c r="AC149" s="544" t="str">
        <f>""</f>
        <v/>
      </c>
      <c r="AD149" s="183">
        <v>0</v>
      </c>
      <c r="AE149" s="183" t="s">
        <v>264</v>
      </c>
      <c r="AF149" s="183" t="s">
        <v>265</v>
      </c>
      <c r="AG149" s="183">
        <v>1</v>
      </c>
      <c r="AH149" s="183">
        <v>3</v>
      </c>
      <c r="AI149" s="183">
        <v>0</v>
      </c>
      <c r="AJ149" s="181">
        <f>VLOOKUP($I149,'Price List, Weapons &amp; Items'!B:F,5,0)</f>
        <v>0</v>
      </c>
      <c r="AK149" s="181">
        <f t="shared" si="33"/>
        <v>0</v>
      </c>
      <c r="AL149" s="181">
        <f t="shared" si="34"/>
        <v>0</v>
      </c>
      <c r="AM149" s="181">
        <f t="shared" si="35"/>
        <v>0</v>
      </c>
      <c r="AN149" s="180" t="str">
        <f>VLOOKUP($I149,'Price List, Weapons &amp; Items'!B:L,COLUMN('Price List, Weapons &amp; Items'!$J$11)-1,0)</f>
        <v>Online marketplaces and stores</v>
      </c>
      <c r="AO149" s="180" t="str">
        <f>IF(I149=".",".",VLOOKUP($I149,'Price List, Weapons &amp; Items'!B:J,3,0))</f>
        <v>Humanitarian</v>
      </c>
      <c r="AP149" s="545" t="str">
        <f t="shared" ca="1" si="29"/>
        <v/>
      </c>
      <c r="AQ149" s="180">
        <f>VLOOKUP($I149,'Price List, Weapons &amp; Items'!B:L,COLUMN('Price List, Weapons &amp; Items'!$L$11)-1,0)</f>
        <v>0</v>
      </c>
      <c r="AR149" s="180">
        <f t="shared" si="36"/>
        <v>1</v>
      </c>
      <c r="AS149" s="180">
        <f t="shared" si="37"/>
        <v>0</v>
      </c>
      <c r="AT149" s="180">
        <f t="shared" si="30"/>
        <v>1</v>
      </c>
      <c r="AU149" s="180" t="str">
        <f t="shared" si="38"/>
        <v>.</v>
      </c>
      <c r="AV149" s="180" t="str">
        <f t="shared" si="39"/>
        <v>.</v>
      </c>
      <c r="AW149" s="180">
        <f>IFERROR(VLOOKUP(B149,'Share, Heavy Weapons to Ukraine'!B:J,COLUMN('Share, Heavy Weapons to Ukraine'!C156)-1,0),0)</f>
        <v>0</v>
      </c>
      <c r="AX149" s="180">
        <f>VLOOKUP('Bilateral Assistance, MAIN DATA'!B149,'Country Summary'!B:F,COLUMN('Country Summary'!C159)-1,FALSE)</f>
        <v>1</v>
      </c>
      <c r="AY149" s="180" t="str">
        <f>IF(AND(AD149=1,D149="Military",H149&lt;&gt;"Not given")=TRUE,IF(SUMIFS(P:P,A:A,A149)&gt;0,ABS((SUMIFS(P:P,A:A,A149)/VLOOKUP("USD",'Exchange Rates'!B:C,2,0)))/S149,"."),".")</f>
        <v>.</v>
      </c>
      <c r="AZ149" s="182" t="str">
        <f>IF(AND(AD149=1,D149="Military",H149&lt;&gt;"Not given")=TRUE,IF(SUMIFS(P:P,A:A,A149)&gt;0,IF((ABS((SUMIFS(P:P,A:A,A149)/VLOOKUP("USD",'Exchange Rates'!B:C,2,0)))/S149)&gt;1,(SUMIFS(P:P,A:A,A149)-S149)/S149,(S149-SUMIFS(P:P,A:A,A149))/SUMIFS(P:P,A:A,A149)),"."),".")</f>
        <v>.</v>
      </c>
      <c r="BA149" s="1024"/>
      <c r="BB149" s="1024"/>
      <c r="BC149" s="1024"/>
      <c r="BD149" s="1024"/>
      <c r="BE149" s="1024"/>
      <c r="BF149" s="1024"/>
      <c r="BG149" s="1024"/>
      <c r="BH149" s="1024"/>
      <c r="BI149" s="1024"/>
      <c r="BJ149" s="1024"/>
      <c r="BK149" s="1024"/>
      <c r="BL149" s="1024"/>
      <c r="BM149" s="1024"/>
      <c r="BN149" s="1024"/>
      <c r="BO149" s="1024"/>
      <c r="BP149" s="1024"/>
      <c r="BQ149" s="1024"/>
      <c r="BR149" s="1024"/>
      <c r="BS149" s="1024"/>
    </row>
    <row r="150" spans="1:71" s="520" customFormat="1" ht="15.9" customHeight="1" x14ac:dyDescent="0.3">
      <c r="A150" s="5" t="s">
        <v>695</v>
      </c>
      <c r="B150" s="5" t="s">
        <v>696</v>
      </c>
      <c r="C150" s="174">
        <v>44629</v>
      </c>
      <c r="D150" s="5" t="s">
        <v>256</v>
      </c>
      <c r="E150" s="5" t="s">
        <v>267</v>
      </c>
      <c r="F150" s="175" t="s">
        <v>697</v>
      </c>
      <c r="G150" s="15" t="s">
        <v>364</v>
      </c>
      <c r="H150" s="176">
        <v>2000000</v>
      </c>
      <c r="I150" s="17" t="s">
        <v>703</v>
      </c>
      <c r="J150" s="113" t="str">
        <f>VLOOKUP($I150,'Price List, Weapons &amp; Items'!B:C,2,0)</f>
        <v>Humanitarian</v>
      </c>
      <c r="K150" s="113" t="str">
        <f>IF(I150=".",I150,VLOOKUP($I150,'Price List, Weapons &amp; Items'!B:D,3,0))</f>
        <v>Humanitarian</v>
      </c>
      <c r="L150" s="177">
        <f>VLOOKUP(I150,'Price List, Weapons &amp; Items'!B:E,4,0)</f>
        <v>0</v>
      </c>
      <c r="M150" s="542">
        <v>5000</v>
      </c>
      <c r="N150" s="542" t="s">
        <v>270</v>
      </c>
      <c r="O150" s="543">
        <f>VLOOKUP($I150,'Price List, Weapons &amp; Items'!B:G,6,0)</f>
        <v>20</v>
      </c>
      <c r="P150" s="176">
        <f t="shared" si="31"/>
        <v>100000</v>
      </c>
      <c r="Q150" s="176" t="str">
        <f t="shared" si="32"/>
        <v>.</v>
      </c>
      <c r="R150" s="176" t="str">
        <f t="shared" si="28"/>
        <v/>
      </c>
      <c r="S150" s="176" t="str">
        <f>IF(AND(AD150=1,R150&lt;&gt;".")=TRUE,R150/VLOOKUP(G150,'Exchange Rates'!B:C,2,0),IF(R150=".",".",""))</f>
        <v/>
      </c>
      <c r="T150" s="176" t="str">
        <f>IF(AD150=1,IF(AF150="Value is not given at all",".",IF(AF150="Value is given by the source",S150,IF(AF150="Value is calculated with prices",(IF(SUMIFS(Q:Q,A:A,A150)&gt;0,SUMIFS(Q:Q,A:A,A150),"."))/VLOOKUP("USD",'Exchange Rates'!B:C,2,0),"Error with coding"))),"")</f>
        <v/>
      </c>
      <c r="U150" s="15" t="s">
        <v>261</v>
      </c>
      <c r="V150" s="547" t="s">
        <v>699</v>
      </c>
      <c r="W150" s="547" t="s">
        <v>700</v>
      </c>
      <c r="X150" s="188" t="s">
        <v>260</v>
      </c>
      <c r="Y150" s="188" t="s">
        <v>260</v>
      </c>
      <c r="Z150" s="15">
        <v>0</v>
      </c>
      <c r="AA150" s="180">
        <v>0</v>
      </c>
      <c r="AB150" s="184" t="s">
        <v>260</v>
      </c>
      <c r="AC150" s="544" t="str">
        <f>""</f>
        <v/>
      </c>
      <c r="AD150" s="183">
        <v>0</v>
      </c>
      <c r="AE150" s="183" t="s">
        <v>264</v>
      </c>
      <c r="AF150" s="183" t="s">
        <v>265</v>
      </c>
      <c r="AG150" s="183">
        <v>1</v>
      </c>
      <c r="AH150" s="183">
        <v>3</v>
      </c>
      <c r="AI150" s="183">
        <v>0</v>
      </c>
      <c r="AJ150" s="181">
        <f>VLOOKUP($I150,'Price List, Weapons &amp; Items'!B:F,5,0)</f>
        <v>0</v>
      </c>
      <c r="AK150" s="181">
        <f t="shared" si="33"/>
        <v>0</v>
      </c>
      <c r="AL150" s="181">
        <f t="shared" si="34"/>
        <v>0</v>
      </c>
      <c r="AM150" s="181">
        <f t="shared" si="35"/>
        <v>0</v>
      </c>
      <c r="AN150" s="180" t="str">
        <f>VLOOKUP($I150,'Price List, Weapons &amp; Items'!B:L,COLUMN('Price List, Weapons &amp; Items'!$J$11)-1,0)</f>
        <v>Online marketplaces and stores</v>
      </c>
      <c r="AO150" s="180" t="str">
        <f>IF(I150=".",".",VLOOKUP($I150,'Price List, Weapons &amp; Items'!B:J,3,0))</f>
        <v>Humanitarian</v>
      </c>
      <c r="AP150" s="545" t="str">
        <f t="shared" ca="1" si="29"/>
        <v/>
      </c>
      <c r="AQ150" s="180">
        <f>VLOOKUP($I150,'Price List, Weapons &amp; Items'!B:L,COLUMN('Price List, Weapons &amp; Items'!$L$11)-1,0)</f>
        <v>0</v>
      </c>
      <c r="AR150" s="180">
        <f t="shared" si="36"/>
        <v>1</v>
      </c>
      <c r="AS150" s="180">
        <f t="shared" si="37"/>
        <v>0</v>
      </c>
      <c r="AT150" s="180">
        <f t="shared" si="30"/>
        <v>1</v>
      </c>
      <c r="AU150" s="180" t="str">
        <f t="shared" si="38"/>
        <v>.</v>
      </c>
      <c r="AV150" s="180" t="str">
        <f t="shared" si="39"/>
        <v>.</v>
      </c>
      <c r="AW150" s="180">
        <f>IFERROR(VLOOKUP(B150,'Share, Heavy Weapons to Ukraine'!B:J,COLUMN('Share, Heavy Weapons to Ukraine'!C157)-1,0),0)</f>
        <v>0</v>
      </c>
      <c r="AX150" s="180">
        <f>VLOOKUP('Bilateral Assistance, MAIN DATA'!B150,'Country Summary'!B:F,COLUMN('Country Summary'!C160)-1,FALSE)</f>
        <v>1</v>
      </c>
      <c r="AY150" s="180" t="str">
        <f>IF(AND(AD150=1,D150="Military",H150&lt;&gt;"Not given")=TRUE,IF(SUMIFS(P:P,A:A,A150)&gt;0,ABS((SUMIFS(P:P,A:A,A150)/VLOOKUP("USD",'Exchange Rates'!B:C,2,0)))/S150,"."),".")</f>
        <v>.</v>
      </c>
      <c r="AZ150" s="182" t="str">
        <f>IF(AND(AD150=1,D150="Military",H150&lt;&gt;"Not given")=TRUE,IF(SUMIFS(P:P,A:A,A150)&gt;0,IF((ABS((SUMIFS(P:P,A:A,A150)/VLOOKUP("USD",'Exchange Rates'!B:C,2,0)))/S150)&gt;1,(SUMIFS(P:P,A:A,A150)-S150)/S150,(S150-SUMIFS(P:P,A:A,A150))/SUMIFS(P:P,A:A,A150)),"."),".")</f>
        <v>.</v>
      </c>
      <c r="BA150" s="1024"/>
      <c r="BB150" s="1024"/>
      <c r="BC150" s="1024"/>
      <c r="BD150" s="1024"/>
      <c r="BE150" s="1024"/>
      <c r="BF150" s="1024"/>
      <c r="BG150" s="1024"/>
      <c r="BH150" s="1024"/>
      <c r="BI150" s="1024"/>
      <c r="BJ150" s="1024"/>
      <c r="BK150" s="1024"/>
      <c r="BL150" s="1024"/>
      <c r="BM150" s="1024"/>
      <c r="BN150" s="1024"/>
      <c r="BO150" s="1024"/>
      <c r="BP150" s="1024"/>
      <c r="BQ150" s="1024"/>
      <c r="BR150" s="1024"/>
      <c r="BS150" s="1024"/>
    </row>
    <row r="151" spans="1:71" s="520" customFormat="1" ht="15.9" customHeight="1" x14ac:dyDescent="0.3">
      <c r="A151" s="5" t="s">
        <v>695</v>
      </c>
      <c r="B151" s="5" t="s">
        <v>696</v>
      </c>
      <c r="C151" s="174">
        <v>44629</v>
      </c>
      <c r="D151" s="5" t="s">
        <v>256</v>
      </c>
      <c r="E151" s="5" t="s">
        <v>267</v>
      </c>
      <c r="F151" s="175" t="s">
        <v>697</v>
      </c>
      <c r="G151" s="15" t="s">
        <v>364</v>
      </c>
      <c r="H151" s="176">
        <v>2000000</v>
      </c>
      <c r="I151" s="17" t="s">
        <v>704</v>
      </c>
      <c r="J151" s="113" t="str">
        <f>VLOOKUP($I151,'Price List, Weapons &amp; Items'!B:C,2,0)</f>
        <v>Humanitarian</v>
      </c>
      <c r="K151" s="113" t="str">
        <f>IF(I151=".",I151,VLOOKUP($I151,'Price List, Weapons &amp; Items'!B:D,3,0))</f>
        <v>Humanitarian</v>
      </c>
      <c r="L151" s="177">
        <f>VLOOKUP(I151,'Price List, Weapons &amp; Items'!B:E,4,0)</f>
        <v>0</v>
      </c>
      <c r="M151" s="542">
        <v>1</v>
      </c>
      <c r="N151" s="542" t="s">
        <v>270</v>
      </c>
      <c r="O151" s="543" t="str">
        <f>VLOOKUP($I151,'Price List, Weapons &amp; Items'!B:G,6,0)</f>
        <v>.</v>
      </c>
      <c r="P151" s="176" t="str">
        <f t="shared" si="31"/>
        <v>No price</v>
      </c>
      <c r="Q151" s="176" t="str">
        <f t="shared" si="32"/>
        <v>.</v>
      </c>
      <c r="R151" s="176" t="str">
        <f t="shared" si="28"/>
        <v/>
      </c>
      <c r="S151" s="176" t="str">
        <f>IF(AND(AD151=1,R151&lt;&gt;".")=TRUE,R151/VLOOKUP(G151,'Exchange Rates'!B:C,2,0),IF(R151=".",".",""))</f>
        <v/>
      </c>
      <c r="T151" s="176" t="str">
        <f>IF(AD151=1,IF(AF151="Value is not given at all",".",IF(AF151="Value is given by the source",S151,IF(AF151="Value is calculated with prices",(IF(SUMIFS(Q:Q,A:A,A151)&gt;0,SUMIFS(Q:Q,A:A,A151),"."))/VLOOKUP("USD",'Exchange Rates'!B:C,2,0),"Error with coding"))),"")</f>
        <v/>
      </c>
      <c r="U151" s="15" t="s">
        <v>261</v>
      </c>
      <c r="V151" s="547" t="s">
        <v>699</v>
      </c>
      <c r="W151" s="547" t="s">
        <v>700</v>
      </c>
      <c r="X151" s="188" t="s">
        <v>260</v>
      </c>
      <c r="Y151" s="175" t="s">
        <v>260</v>
      </c>
      <c r="Z151" s="15">
        <v>0</v>
      </c>
      <c r="AA151" s="180">
        <v>0</v>
      </c>
      <c r="AB151" s="184" t="s">
        <v>260</v>
      </c>
      <c r="AC151" s="544" t="str">
        <f>""</f>
        <v/>
      </c>
      <c r="AD151" s="183">
        <v>0</v>
      </c>
      <c r="AE151" s="183" t="s">
        <v>264</v>
      </c>
      <c r="AF151" s="183" t="s">
        <v>265</v>
      </c>
      <c r="AG151" s="183">
        <v>1</v>
      </c>
      <c r="AH151" s="183">
        <v>3</v>
      </c>
      <c r="AI151" s="183">
        <v>0</v>
      </c>
      <c r="AJ151" s="181">
        <f>VLOOKUP($I151,'Price List, Weapons &amp; Items'!B:F,5,0)</f>
        <v>0</v>
      </c>
      <c r="AK151" s="181">
        <f t="shared" si="33"/>
        <v>0</v>
      </c>
      <c r="AL151" s="181">
        <f t="shared" si="34"/>
        <v>0</v>
      </c>
      <c r="AM151" s="181">
        <f t="shared" si="35"/>
        <v>0</v>
      </c>
      <c r="AN151" s="180" t="str">
        <f>VLOOKUP($I151,'Price List, Weapons &amp; Items'!B:L,COLUMN('Price List, Weapons &amp; Items'!$J$11)-1,0)</f>
        <v>Media reports (incl. social media)</v>
      </c>
      <c r="AO151" s="180" t="str">
        <f>IF(I151=".",".",VLOOKUP($I151,'Price List, Weapons &amp; Items'!B:J,3,0))</f>
        <v>Humanitarian</v>
      </c>
      <c r="AP151" s="545" t="str">
        <f t="shared" ca="1" si="29"/>
        <v/>
      </c>
      <c r="AQ151" s="180">
        <f>VLOOKUP($I151,'Price List, Weapons &amp; Items'!B:L,COLUMN('Price List, Weapons &amp; Items'!$L$11)-1,0)</f>
        <v>0</v>
      </c>
      <c r="AR151" s="180">
        <f t="shared" si="36"/>
        <v>1</v>
      </c>
      <c r="AS151" s="180">
        <f t="shared" si="37"/>
        <v>0</v>
      </c>
      <c r="AT151" s="180">
        <f t="shared" si="30"/>
        <v>1</v>
      </c>
      <c r="AU151" s="180" t="str">
        <f t="shared" si="38"/>
        <v>.</v>
      </c>
      <c r="AV151" s="180" t="str">
        <f t="shared" si="39"/>
        <v>.</v>
      </c>
      <c r="AW151" s="180">
        <f>IFERROR(VLOOKUP(B151,'Share, Heavy Weapons to Ukraine'!B:J,COLUMN('Share, Heavy Weapons to Ukraine'!C158)-1,0),0)</f>
        <v>0</v>
      </c>
      <c r="AX151" s="180">
        <f>VLOOKUP('Bilateral Assistance, MAIN DATA'!B151,'Country Summary'!B:F,COLUMN('Country Summary'!C161)-1,FALSE)</f>
        <v>1</v>
      </c>
      <c r="AY151" s="180" t="str">
        <f>IF(AND(AD151=1,D151="Military",H151&lt;&gt;"Not given")=TRUE,IF(SUMIFS(P:P,A:A,A151)&gt;0,ABS((SUMIFS(P:P,A:A,A151)/VLOOKUP("USD",'Exchange Rates'!B:C,2,0)))/S151,"."),".")</f>
        <v>.</v>
      </c>
      <c r="AZ151" s="182" t="str">
        <f>IF(AND(AD151=1,D151="Military",H151&lt;&gt;"Not given")=TRUE,IF(SUMIFS(P:P,A:A,A151)&gt;0,IF((ABS((SUMIFS(P:P,A:A,A151)/VLOOKUP("USD",'Exchange Rates'!B:C,2,0)))/S151)&gt;1,(SUMIFS(P:P,A:A,A151)-S151)/S151,(S151-SUMIFS(P:P,A:A,A151))/SUMIFS(P:P,A:A,A151)),"."),".")</f>
        <v>.</v>
      </c>
      <c r="BA151" s="1024"/>
      <c r="BB151" s="1024"/>
      <c r="BC151" s="1024"/>
      <c r="BD151" s="1024"/>
      <c r="BE151" s="1024"/>
      <c r="BF151" s="1024"/>
      <c r="BG151" s="1024"/>
      <c r="BH151" s="1024"/>
      <c r="BI151" s="1024"/>
      <c r="BJ151" s="1024"/>
      <c r="BK151" s="1024"/>
      <c r="BL151" s="1024"/>
      <c r="BM151" s="1024"/>
      <c r="BN151" s="1024"/>
      <c r="BO151" s="1024"/>
      <c r="BP151" s="1024"/>
      <c r="BQ151" s="1024"/>
      <c r="BR151" s="1024"/>
      <c r="BS151" s="1024"/>
    </row>
    <row r="152" spans="1:71" s="520" customFormat="1" ht="15.9" customHeight="1" x14ac:dyDescent="0.3">
      <c r="A152" s="17" t="s">
        <v>705</v>
      </c>
      <c r="B152" s="17" t="s">
        <v>696</v>
      </c>
      <c r="C152" s="174">
        <v>44715</v>
      </c>
      <c r="D152" s="5" t="s">
        <v>256</v>
      </c>
      <c r="E152" s="5" t="s">
        <v>267</v>
      </c>
      <c r="F152" s="175" t="s">
        <v>706</v>
      </c>
      <c r="G152" s="15" t="s">
        <v>364</v>
      </c>
      <c r="H152" s="176">
        <v>500000</v>
      </c>
      <c r="I152" s="17" t="s">
        <v>260</v>
      </c>
      <c r="J152" s="113" t="str">
        <f>VLOOKUP($I152,'Price List, Weapons &amp; Items'!B:C,2,0)</f>
        <v>.</v>
      </c>
      <c r="K152" s="113" t="str">
        <f>IF(I152=".",I152,VLOOKUP($I152,'Price List, Weapons &amp; Items'!B:D,3,0))</f>
        <v>.</v>
      </c>
      <c r="L152" s="177">
        <f>VLOOKUP(I152,'Price List, Weapons &amp; Items'!B:E,4,0)</f>
        <v>0</v>
      </c>
      <c r="M152" s="542" t="s">
        <v>260</v>
      </c>
      <c r="N152" s="542" t="s">
        <v>260</v>
      </c>
      <c r="O152" s="543" t="str">
        <f>VLOOKUP($I152,'Price List, Weapons &amp; Items'!B:G,6,0)</f>
        <v>.</v>
      </c>
      <c r="P152" s="176" t="str">
        <f t="shared" si="31"/>
        <v>.</v>
      </c>
      <c r="Q152" s="176" t="str">
        <f t="shared" si="32"/>
        <v>.</v>
      </c>
      <c r="R152" s="176">
        <f t="shared" si="28"/>
        <v>500000</v>
      </c>
      <c r="S152" s="176">
        <f>IF(AND(AD152=1,R152&lt;&gt;".")=TRUE,R152/VLOOKUP(G152,'Exchange Rates'!B:C,2,0),IF(R152=".",".",""))</f>
        <v>500000</v>
      </c>
      <c r="T152" s="176" t="str">
        <f>IF(AD152=1,IF(AF152="Value is not given at all",".",IF(AF152="Value is given by the source",S152,IF(AF152="Value is calculated with prices",(IF(SUMIFS(Q:Q,A:A,A152)&gt;0,SUMIFS(Q:Q,A:A,A152),"."))/VLOOKUP("USD",'Exchange Rates'!B:C,2,0),"Error with coding"))),"")</f>
        <v>.</v>
      </c>
      <c r="U152" s="15" t="s">
        <v>415</v>
      </c>
      <c r="V152" s="300" t="s">
        <v>707</v>
      </c>
      <c r="W152" s="300" t="s">
        <v>708</v>
      </c>
      <c r="X152" s="175" t="s">
        <v>260</v>
      </c>
      <c r="Y152" s="175" t="s">
        <v>260</v>
      </c>
      <c r="Z152" s="15">
        <v>0</v>
      </c>
      <c r="AA152" s="180">
        <v>0</v>
      </c>
      <c r="AB152" s="184" t="s">
        <v>260</v>
      </c>
      <c r="AC152" s="544" t="str">
        <f>""</f>
        <v/>
      </c>
      <c r="AD152" s="183">
        <v>1</v>
      </c>
      <c r="AE152" s="183" t="s">
        <v>264</v>
      </c>
      <c r="AF152" s="183" t="s">
        <v>265</v>
      </c>
      <c r="AG152" s="183">
        <v>1</v>
      </c>
      <c r="AH152" s="181">
        <v>6</v>
      </c>
      <c r="AI152" s="181">
        <v>0</v>
      </c>
      <c r="AJ152" s="181">
        <f>VLOOKUP($I152,'Price List, Weapons &amp; Items'!B:F,5,0)</f>
        <v>0</v>
      </c>
      <c r="AK152" s="181">
        <f t="shared" si="33"/>
        <v>0</v>
      </c>
      <c r="AL152" s="181">
        <f t="shared" si="34"/>
        <v>0</v>
      </c>
      <c r="AM152" s="181">
        <f t="shared" si="35"/>
        <v>0</v>
      </c>
      <c r="AN152" s="180" t="str">
        <f>VLOOKUP($I152,'Price List, Weapons &amp; Items'!B:L,COLUMN('Price List, Weapons &amp; Items'!$J$11)-1,0)</f>
        <v>.</v>
      </c>
      <c r="AO152" s="180" t="str">
        <f>IF(I152=".",".",VLOOKUP($I152,'Price List, Weapons &amp; Items'!B:J,3,0))</f>
        <v>.</v>
      </c>
      <c r="AP152" s="545" t="e">
        <f t="shared" ca="1" si="29"/>
        <v>#NAME?</v>
      </c>
      <c r="AQ152" s="180" t="str">
        <f>VLOOKUP($I152,'Price List, Weapons &amp; Items'!B:L,COLUMN('Price List, Weapons &amp; Items'!$L$11)-1,0)</f>
        <v>no price, 0 count</v>
      </c>
      <c r="AR152" s="180">
        <f t="shared" si="36"/>
        <v>0</v>
      </c>
      <c r="AS152" s="180">
        <f t="shared" si="37"/>
        <v>0</v>
      </c>
      <c r="AT152" s="180">
        <f t="shared" si="30"/>
        <v>1</v>
      </c>
      <c r="AU152" s="180" t="str">
        <f t="shared" si="38"/>
        <v>.</v>
      </c>
      <c r="AV152" s="180" t="str">
        <f t="shared" si="39"/>
        <v>.</v>
      </c>
      <c r="AW152" s="180">
        <f>IFERROR(VLOOKUP(B152,'Share, Heavy Weapons to Ukraine'!B:J,COLUMN('Share, Heavy Weapons to Ukraine'!C159)-1,0),0)</f>
        <v>0</v>
      </c>
      <c r="AX152" s="180">
        <f>VLOOKUP('Bilateral Assistance, MAIN DATA'!B152,'Country Summary'!B:F,COLUMN('Country Summary'!C162)-1,FALSE)</f>
        <v>1</v>
      </c>
      <c r="AY152" s="180" t="str">
        <f>IF(AND(AD152=1,D152="Military",H152&lt;&gt;"Not given")=TRUE,IF(SUMIFS(P:P,A:A,A152)&gt;0,ABS((SUMIFS(P:P,A:A,A152)/VLOOKUP("USD",'Exchange Rates'!B:C,2,0)))/S152,"."),".")</f>
        <v>.</v>
      </c>
      <c r="AZ152" s="182" t="str">
        <f>IF(AND(AD152=1,D152="Military",H152&lt;&gt;"Not given")=TRUE,IF(SUMIFS(P:P,A:A,A152)&gt;0,IF((ABS((SUMIFS(P:P,A:A,A152)/VLOOKUP("USD",'Exchange Rates'!B:C,2,0)))/S152)&gt;1,(SUMIFS(P:P,A:A,A152)-S152)/S152,(S152-SUMIFS(P:P,A:A,A152))/SUMIFS(P:P,A:A,A152)),"."),".")</f>
        <v>.</v>
      </c>
      <c r="BA152" s="1024"/>
      <c r="BB152" s="1024"/>
      <c r="BC152" s="1024"/>
      <c r="BD152" s="1024"/>
      <c r="BE152" s="1024"/>
      <c r="BF152" s="1024"/>
      <c r="BG152" s="1024"/>
      <c r="BH152" s="1024"/>
      <c r="BI152" s="1024"/>
      <c r="BJ152" s="1024"/>
      <c r="BK152" s="1024"/>
      <c r="BL152" s="1024"/>
      <c r="BM152" s="1024"/>
      <c r="BN152" s="1024"/>
      <c r="BO152" s="1024"/>
      <c r="BP152" s="1024"/>
      <c r="BQ152" s="1024"/>
      <c r="BR152" s="1024"/>
      <c r="BS152" s="1024"/>
    </row>
    <row r="153" spans="1:71" s="520" customFormat="1" ht="15.9" customHeight="1" x14ac:dyDescent="0.3">
      <c r="A153" s="17" t="s">
        <v>709</v>
      </c>
      <c r="B153" s="17" t="s">
        <v>696</v>
      </c>
      <c r="C153" s="174">
        <v>44909</v>
      </c>
      <c r="D153" s="5" t="s">
        <v>256</v>
      </c>
      <c r="E153" s="5" t="s">
        <v>267</v>
      </c>
      <c r="F153" s="175" t="s">
        <v>710</v>
      </c>
      <c r="G153" s="15" t="s">
        <v>364</v>
      </c>
      <c r="H153" s="176">
        <v>300000</v>
      </c>
      <c r="I153" s="17" t="s">
        <v>704</v>
      </c>
      <c r="J153" s="113" t="str">
        <f>VLOOKUP($I153,'Price List, Weapons &amp; Items'!B:C,2,0)</f>
        <v>Humanitarian</v>
      </c>
      <c r="K153" s="113" t="str">
        <f>IF(I153=".",I153,VLOOKUP($I153,'Price List, Weapons &amp; Items'!B:D,3,0))</f>
        <v>Humanitarian</v>
      </c>
      <c r="L153" s="177">
        <f>VLOOKUP(I153,'Price List, Weapons &amp; Items'!B:E,4,0)</f>
        <v>0</v>
      </c>
      <c r="M153" s="542" t="s">
        <v>270</v>
      </c>
      <c r="N153" s="542" t="s">
        <v>270</v>
      </c>
      <c r="O153" s="543" t="str">
        <f>VLOOKUP($I153,'Price List, Weapons &amp; Items'!B:G,6,0)</f>
        <v>.</v>
      </c>
      <c r="P153" s="176" t="str">
        <f t="shared" si="31"/>
        <v>.</v>
      </c>
      <c r="Q153" s="176" t="str">
        <f t="shared" si="32"/>
        <v>.</v>
      </c>
      <c r="R153" s="176">
        <f t="shared" si="28"/>
        <v>300000</v>
      </c>
      <c r="S153" s="176">
        <f>IF(AND(AD153=1,R153&lt;&gt;".")=TRUE,R153/VLOOKUP(G153,'Exchange Rates'!B:C,2,0),IF(R153=".",".",""))</f>
        <v>300000</v>
      </c>
      <c r="T153" s="176" t="str">
        <f>IF(AD153=1,IF(AF153="Value is not given at all",".",IF(AF153="Value is given by the source",S153,IF(AF153="Value is calculated with prices",(IF(SUMIFS(Q:Q,A:A,A153)&gt;0,SUMIFS(Q:Q,A:A,A153),"."))/VLOOKUP("USD",'Exchange Rates'!B:C,2,0),"Error with coding"))),"")</f>
        <v>.</v>
      </c>
      <c r="U153" s="15" t="s">
        <v>261</v>
      </c>
      <c r="V153" s="300" t="s">
        <v>711</v>
      </c>
      <c r="W153" s="300" t="s">
        <v>712</v>
      </c>
      <c r="X153" s="175" t="s">
        <v>260</v>
      </c>
      <c r="Y153" s="175" t="s">
        <v>260</v>
      </c>
      <c r="Z153" s="15">
        <v>0</v>
      </c>
      <c r="AA153" s="15">
        <v>1</v>
      </c>
      <c r="AB153" s="184" t="s">
        <v>260</v>
      </c>
      <c r="AC153" s="544" t="str">
        <f>""</f>
        <v/>
      </c>
      <c r="AD153" s="183">
        <v>1</v>
      </c>
      <c r="AE153" s="183" t="s">
        <v>264</v>
      </c>
      <c r="AF153" s="183" t="s">
        <v>265</v>
      </c>
      <c r="AG153" s="183">
        <v>1</v>
      </c>
      <c r="AH153" s="181">
        <v>12</v>
      </c>
      <c r="AI153" s="181">
        <v>0</v>
      </c>
      <c r="AJ153" s="181">
        <f>VLOOKUP($I153,'Price List, Weapons &amp; Items'!B:F,5,0)</f>
        <v>0</v>
      </c>
      <c r="AK153" s="181">
        <f t="shared" si="33"/>
        <v>0</v>
      </c>
      <c r="AL153" s="181">
        <f t="shared" si="34"/>
        <v>0</v>
      </c>
      <c r="AM153" s="181">
        <f t="shared" si="35"/>
        <v>0</v>
      </c>
      <c r="AN153" s="180" t="str">
        <f>VLOOKUP($I153,'Price List, Weapons &amp; Items'!B:L,COLUMN('Price List, Weapons &amp; Items'!$J$11)-1,0)</f>
        <v>Media reports (incl. social media)</v>
      </c>
      <c r="AO153" s="180" t="str">
        <f>IF(I153=".",".",VLOOKUP($I153,'Price List, Weapons &amp; Items'!B:J,3,0))</f>
        <v>Humanitarian</v>
      </c>
      <c r="AP153" s="545" t="e">
        <f t="shared" ca="1" si="29"/>
        <v>#NAME?</v>
      </c>
      <c r="AQ153" s="180">
        <f>VLOOKUP($I153,'Price List, Weapons &amp; Items'!B:L,COLUMN('Price List, Weapons &amp; Items'!$L$11)-1,0)</f>
        <v>0</v>
      </c>
      <c r="AR153" s="180">
        <f t="shared" si="36"/>
        <v>1</v>
      </c>
      <c r="AS153" s="180">
        <f t="shared" si="37"/>
        <v>0</v>
      </c>
      <c r="AT153" s="180">
        <f t="shared" si="30"/>
        <v>1</v>
      </c>
      <c r="AU153" s="180" t="str">
        <f t="shared" si="38"/>
        <v>.</v>
      </c>
      <c r="AV153" s="180" t="str">
        <f t="shared" si="39"/>
        <v>.</v>
      </c>
      <c r="AW153" s="180">
        <f>IFERROR(VLOOKUP(B153,'Share, Heavy Weapons to Ukraine'!B:J,COLUMN('Share, Heavy Weapons to Ukraine'!C160)-1,0),0)</f>
        <v>0</v>
      </c>
      <c r="AX153" s="180">
        <f>VLOOKUP('Bilateral Assistance, MAIN DATA'!B153,'Country Summary'!B:F,COLUMN('Country Summary'!C163)-1,FALSE)</f>
        <v>1</v>
      </c>
      <c r="AY153" s="180" t="str">
        <f>IF(AND(AD153=1,D153="Military",H153&lt;&gt;"Not given")=TRUE,IF(SUMIFS(P:P,A:A,A153)&gt;0,ABS((SUMIFS(P:P,A:A,A153)/VLOOKUP("USD",'Exchange Rates'!B:C,2,0)))/S153,"."),".")</f>
        <v>.</v>
      </c>
      <c r="AZ153" s="182" t="str">
        <f>IF(AND(AD153=1,D153="Military",H153&lt;&gt;"Not given")=TRUE,IF(SUMIFS(P:P,A:A,A153)&gt;0,IF((ABS((SUMIFS(P:P,A:A,A153)/VLOOKUP("USD",'Exchange Rates'!B:C,2,0)))/S153)&gt;1,(SUMIFS(P:P,A:A,A153)-S153)/S153,(S153-SUMIFS(P:P,A:A,A153))/SUMIFS(P:P,A:A,A153)),"."),".")</f>
        <v>.</v>
      </c>
      <c r="BA153" s="1024"/>
      <c r="BB153" s="1024"/>
      <c r="BC153" s="1024"/>
      <c r="BD153" s="1024"/>
      <c r="BE153" s="1024"/>
      <c r="BF153" s="1024"/>
      <c r="BG153" s="1024"/>
      <c r="BH153" s="1024"/>
      <c r="BI153" s="1024"/>
      <c r="BJ153" s="1024"/>
      <c r="BK153" s="1024"/>
      <c r="BL153" s="1024"/>
      <c r="BM153" s="1024"/>
      <c r="BN153" s="1024"/>
      <c r="BO153" s="1024"/>
      <c r="BP153" s="1024"/>
      <c r="BQ153" s="1024"/>
      <c r="BR153" s="1024"/>
      <c r="BS153" s="1024"/>
    </row>
    <row r="154" spans="1:71" s="520" customFormat="1" ht="15.9" customHeight="1" x14ac:dyDescent="0.3">
      <c r="A154" s="17" t="s">
        <v>713</v>
      </c>
      <c r="B154" s="17" t="s">
        <v>696</v>
      </c>
      <c r="C154" s="174">
        <v>44925</v>
      </c>
      <c r="D154" s="5" t="s">
        <v>256</v>
      </c>
      <c r="E154" s="5" t="s">
        <v>257</v>
      </c>
      <c r="F154" s="175" t="s">
        <v>714</v>
      </c>
      <c r="G154" s="15" t="s">
        <v>364</v>
      </c>
      <c r="H154" s="176">
        <v>200000</v>
      </c>
      <c r="I154" s="17" t="s">
        <v>260</v>
      </c>
      <c r="J154" s="113" t="str">
        <f>VLOOKUP($I154,'Price List, Weapons &amp; Items'!B:C,2,0)</f>
        <v>.</v>
      </c>
      <c r="K154" s="113" t="str">
        <f>IF(I154=".",I154,VLOOKUP($I154,'Price List, Weapons &amp; Items'!B:D,3,0))</f>
        <v>.</v>
      </c>
      <c r="L154" s="177">
        <f>VLOOKUP(I154,'Price List, Weapons &amp; Items'!B:E,4,0)</f>
        <v>0</v>
      </c>
      <c r="M154" s="542" t="s">
        <v>260</v>
      </c>
      <c r="N154" s="542" t="s">
        <v>260</v>
      </c>
      <c r="O154" s="543" t="str">
        <f>VLOOKUP($I154,'Price List, Weapons &amp; Items'!B:G,6,0)</f>
        <v>.</v>
      </c>
      <c r="P154" s="176" t="str">
        <f t="shared" si="31"/>
        <v>.</v>
      </c>
      <c r="Q154" s="176" t="str">
        <f t="shared" si="32"/>
        <v>.</v>
      </c>
      <c r="R154" s="176">
        <f t="shared" si="28"/>
        <v>200000</v>
      </c>
      <c r="S154" s="176">
        <f>IF(AND(AD154=1,R154&lt;&gt;".")=TRUE,R154/VLOOKUP(G154,'Exchange Rates'!B:C,2,0),IF(R154=".",".",""))</f>
        <v>200000</v>
      </c>
      <c r="T154" s="176" t="str">
        <f>IF(AD154=1,IF(AF154="Value is not given at all",".",IF(AF154="Value is given by the source",S154,IF(AF154="Value is calculated with prices",(IF(SUMIFS(Q:Q,A:A,A154)&gt;0,SUMIFS(Q:Q,A:A,A154),"."))/VLOOKUP("USD",'Exchange Rates'!B:C,2,0),"Error with coding"))),"")</f>
        <v>.</v>
      </c>
      <c r="U154" s="15" t="s">
        <v>261</v>
      </c>
      <c r="V154" s="300" t="s">
        <v>711</v>
      </c>
      <c r="W154" s="673" t="s">
        <v>260</v>
      </c>
      <c r="X154" s="175" t="s">
        <v>260</v>
      </c>
      <c r="Y154" s="175" t="s">
        <v>260</v>
      </c>
      <c r="Z154" s="15">
        <v>0</v>
      </c>
      <c r="AA154" s="15">
        <v>1</v>
      </c>
      <c r="AB154" s="184" t="s">
        <v>260</v>
      </c>
      <c r="AC154" s="544" t="str">
        <f>""</f>
        <v/>
      </c>
      <c r="AD154" s="183">
        <v>1</v>
      </c>
      <c r="AE154" s="183" t="s">
        <v>264</v>
      </c>
      <c r="AF154" s="183" t="s">
        <v>265</v>
      </c>
      <c r="AG154" s="183">
        <v>1</v>
      </c>
      <c r="AH154" s="181">
        <v>12</v>
      </c>
      <c r="AI154" s="181">
        <v>0</v>
      </c>
      <c r="AJ154" s="181">
        <f>VLOOKUP($I154,'Price List, Weapons &amp; Items'!B:F,5,0)</f>
        <v>0</v>
      </c>
      <c r="AK154" s="181">
        <f t="shared" si="33"/>
        <v>0</v>
      </c>
      <c r="AL154" s="181">
        <f t="shared" si="34"/>
        <v>0</v>
      </c>
      <c r="AM154" s="181">
        <f t="shared" si="35"/>
        <v>0</v>
      </c>
      <c r="AN154" s="180" t="str">
        <f>VLOOKUP($I154,'Price List, Weapons &amp; Items'!B:L,COLUMN('Price List, Weapons &amp; Items'!$J$11)-1,0)</f>
        <v>.</v>
      </c>
      <c r="AO154" s="180" t="str">
        <f>IF(I154=".",".",VLOOKUP($I154,'Price List, Weapons &amp; Items'!B:J,3,0))</f>
        <v>.</v>
      </c>
      <c r="AP154" s="545" t="e">
        <f t="shared" ca="1" si="29"/>
        <v>#NAME?</v>
      </c>
      <c r="AQ154" s="180" t="str">
        <f>VLOOKUP($I154,'Price List, Weapons &amp; Items'!B:L,COLUMN('Price List, Weapons &amp; Items'!$L$11)-1,0)</f>
        <v>no price, 0 count</v>
      </c>
      <c r="AR154" s="180">
        <f t="shared" si="36"/>
        <v>1</v>
      </c>
      <c r="AS154" s="180">
        <f t="shared" si="37"/>
        <v>0</v>
      </c>
      <c r="AT154" s="180">
        <f t="shared" si="30"/>
        <v>1</v>
      </c>
      <c r="AU154" s="180" t="str">
        <f t="shared" si="38"/>
        <v>.</v>
      </c>
      <c r="AV154" s="180" t="str">
        <f t="shared" si="39"/>
        <v>.</v>
      </c>
      <c r="AW154" s="180">
        <f>IFERROR(VLOOKUP(B154,'Share, Heavy Weapons to Ukraine'!B:J,COLUMN('Share, Heavy Weapons to Ukraine'!C161)-1,0),0)</f>
        <v>0</v>
      </c>
      <c r="AX154" s="180">
        <f>VLOOKUP('Bilateral Assistance, MAIN DATA'!B154,'Country Summary'!B:F,COLUMN('Country Summary'!C164)-1,FALSE)</f>
        <v>1</v>
      </c>
      <c r="AY154" s="180" t="str">
        <f>IF(AND(AD154=1,D154="Military",H154&lt;&gt;"Not given")=TRUE,IF(SUMIFS(P:P,A:A,A154)&gt;0,ABS((SUMIFS(P:P,A:A,A154)/VLOOKUP("USD",'Exchange Rates'!B:C,2,0)))/S154,"."),".")</f>
        <v>.</v>
      </c>
      <c r="AZ154" s="182" t="str">
        <f>IF(AND(AD154=1,D154="Military",H154&lt;&gt;"Not given")=TRUE,IF(SUMIFS(P:P,A:A,A154)&gt;0,IF((ABS((SUMIFS(P:P,A:A,A154)/VLOOKUP("USD",'Exchange Rates'!B:C,2,0)))/S154)&gt;1,(SUMIFS(P:P,A:A,A154)-S154)/S154,(S154-SUMIFS(P:P,A:A,A154))/SUMIFS(P:P,A:A,A154)),"."),".")</f>
        <v>.</v>
      </c>
      <c r="BA154" s="1024"/>
      <c r="BB154" s="1024"/>
      <c r="BC154" s="1024"/>
      <c r="BD154" s="1024"/>
      <c r="BE154" s="1024"/>
      <c r="BF154" s="1024"/>
      <c r="BG154" s="1024"/>
      <c r="BH154" s="1024"/>
      <c r="BI154" s="1024"/>
      <c r="BJ154" s="1024"/>
      <c r="BK154" s="1024"/>
      <c r="BL154" s="1024"/>
      <c r="BM154" s="1024"/>
      <c r="BN154" s="1024"/>
      <c r="BO154" s="1024"/>
      <c r="BP154" s="1024"/>
      <c r="BQ154" s="1024"/>
      <c r="BR154" s="1024"/>
      <c r="BS154" s="1024"/>
    </row>
    <row r="155" spans="1:71" ht="15.9" customHeight="1" x14ac:dyDescent="0.3">
      <c r="A155" s="17" t="s">
        <v>715</v>
      </c>
      <c r="B155" s="17" t="s">
        <v>716</v>
      </c>
      <c r="C155" s="174">
        <v>44618</v>
      </c>
      <c r="D155" s="5" t="s">
        <v>285</v>
      </c>
      <c r="E155" s="5" t="s">
        <v>294</v>
      </c>
      <c r="F155" s="175" t="s">
        <v>717</v>
      </c>
      <c r="G155" s="15" t="s">
        <v>718</v>
      </c>
      <c r="H155" s="176">
        <v>36600000</v>
      </c>
      <c r="I155" s="184" t="s">
        <v>260</v>
      </c>
      <c r="J155" s="113" t="str">
        <f>VLOOKUP($I155,'Price List, Weapons &amp; Items'!B:C,2,0)</f>
        <v>.</v>
      </c>
      <c r="K155" s="113" t="str">
        <f>IF(I155=".",I155,VLOOKUP($I155,'Price List, Weapons &amp; Items'!B:D,3,0))</f>
        <v>.</v>
      </c>
      <c r="L155" s="177">
        <f>VLOOKUP(I155,'Price List, Weapons &amp; Items'!B:E,4,0)</f>
        <v>0</v>
      </c>
      <c r="M155" s="542" t="s">
        <v>260</v>
      </c>
      <c r="N155" s="542" t="s">
        <v>260</v>
      </c>
      <c r="O155" s="543" t="str">
        <f>VLOOKUP($I155,'Price List, Weapons &amp; Items'!B:G,6,0)</f>
        <v>.</v>
      </c>
      <c r="P155" s="176" t="str">
        <f t="shared" si="31"/>
        <v>.</v>
      </c>
      <c r="Q155" s="176" t="str">
        <f t="shared" si="32"/>
        <v>.</v>
      </c>
      <c r="R155" s="176">
        <f t="shared" si="28"/>
        <v>36600000</v>
      </c>
      <c r="S155" s="176">
        <f>IF(AND(AD155=1,R155&lt;&gt;".")=TRUE,R155/VLOOKUP(G155,'Exchange Rates'!B:C,2,0),IF(R155=".",".",""))</f>
        <v>1526017.3448965976</v>
      </c>
      <c r="T155" s="176">
        <f>IF(AD155=1,IF(AF155="Value is not given at all",".",IF(AF155="Value is given by the source",S155,IF(AF155="Value is calculated with prices",(IF(SUMIFS(Q:Q,A:A,A155)&gt;0,SUMIFS(Q:Q,A:A,A155),"."))/VLOOKUP("USD",'Exchange Rates'!B:C,2,0),"Error with coding"))),"")</f>
        <v>1526017.3448965976</v>
      </c>
      <c r="U155" s="15" t="s">
        <v>415</v>
      </c>
      <c r="V155" s="300" t="s">
        <v>719</v>
      </c>
      <c r="W155" s="300" t="s">
        <v>720</v>
      </c>
      <c r="X155" s="175" t="s">
        <v>260</v>
      </c>
      <c r="Y155" s="175" t="s">
        <v>260</v>
      </c>
      <c r="Z155" s="15">
        <v>0</v>
      </c>
      <c r="AA155" s="180">
        <v>0</v>
      </c>
      <c r="AB155" s="550" t="s">
        <v>720</v>
      </c>
      <c r="AC155" s="544" t="str">
        <f>""</f>
        <v/>
      </c>
      <c r="AD155" s="181">
        <v>1</v>
      </c>
      <c r="AE155" s="181" t="s">
        <v>264</v>
      </c>
      <c r="AF155" s="181" t="s">
        <v>264</v>
      </c>
      <c r="AG155" s="181">
        <v>1</v>
      </c>
      <c r="AH155" s="181">
        <v>2</v>
      </c>
      <c r="AI155" s="181">
        <v>0</v>
      </c>
      <c r="AJ155" s="181">
        <f>VLOOKUP($I155,'Price List, Weapons &amp; Items'!B:F,5,0)</f>
        <v>0</v>
      </c>
      <c r="AK155" s="181">
        <f t="shared" si="33"/>
        <v>0</v>
      </c>
      <c r="AL155" s="181">
        <f t="shared" si="34"/>
        <v>0</v>
      </c>
      <c r="AM155" s="181">
        <f t="shared" si="35"/>
        <v>0</v>
      </c>
      <c r="AN155" s="180" t="str">
        <f>VLOOKUP($I155,'Price List, Weapons &amp; Items'!B:L,COLUMN('Price List, Weapons &amp; Items'!$J$11)-1,0)</f>
        <v>.</v>
      </c>
      <c r="AO155" s="180" t="str">
        <f>IF(I155=".",".",VLOOKUP($I155,'Price List, Weapons &amp; Items'!B:J,3,0))</f>
        <v>.</v>
      </c>
      <c r="AP155" s="545" t="e">
        <f t="shared" ca="1" si="29"/>
        <v>#NAME?</v>
      </c>
      <c r="AQ155" s="180" t="str">
        <f>VLOOKUP($I155,'Price List, Weapons &amp; Items'!B:L,COLUMN('Price List, Weapons &amp; Items'!$L$11)-1,0)</f>
        <v>no price, 0 count</v>
      </c>
      <c r="AR155" s="180">
        <f t="shared" si="36"/>
        <v>0</v>
      </c>
      <c r="AS155" s="180">
        <f t="shared" si="37"/>
        <v>1</v>
      </c>
      <c r="AT155" s="180">
        <f t="shared" si="30"/>
        <v>1</v>
      </c>
      <c r="AU155" s="180" t="str">
        <f t="shared" si="38"/>
        <v>.</v>
      </c>
      <c r="AV155" s="180" t="str">
        <f t="shared" si="39"/>
        <v>.</v>
      </c>
      <c r="AW155" s="180">
        <f>IFERROR(VLOOKUP(B155,'Share, Heavy Weapons to Ukraine'!B:J,COLUMN('Share, Heavy Weapons to Ukraine'!C162)-1,0),0)</f>
        <v>0</v>
      </c>
      <c r="AX155" s="180">
        <f>VLOOKUP('Bilateral Assistance, MAIN DATA'!B155,'Country Summary'!B:F,COLUMN('Country Summary'!C165)-1,FALSE)</f>
        <v>1</v>
      </c>
      <c r="AY155" s="180" t="str">
        <f>IF(AND(AD155=1,D155="Military",H155&lt;&gt;"Not given")=TRUE,IF(SUMIFS(P:P,A:A,A155)&gt;0,ABS((SUMIFS(P:P,A:A,A155)/VLOOKUP("USD",'Exchange Rates'!B:C,2,0)))/S155,"."),".")</f>
        <v>.</v>
      </c>
      <c r="AZ155" s="182" t="str">
        <f>IF(AND(AD155=1,D155="Military",H155&lt;&gt;"Not given")=TRUE,IF(SUMIFS(P:P,A:A,A155)&gt;0,IF((ABS((SUMIFS(P:P,A:A,A155)/VLOOKUP("USD",'Exchange Rates'!B:C,2,0)))/S155)&gt;1,(SUMIFS(P:P,A:A,A155)-S155)/S155,(S155-SUMIFS(P:P,A:A,A155))/SUMIFS(P:P,A:A,A155)),"."),".")</f>
        <v>.</v>
      </c>
      <c r="BA155" s="182"/>
      <c r="BB155" s="182"/>
      <c r="BC155" s="182"/>
      <c r="BD155" s="182"/>
      <c r="BE155" s="182"/>
      <c r="BF155" s="182"/>
      <c r="BG155" s="182"/>
      <c r="BH155" s="182"/>
      <c r="BI155" s="182"/>
      <c r="BJ155" s="182"/>
      <c r="BK155" s="182"/>
      <c r="BL155" s="182"/>
      <c r="BM155" s="182"/>
      <c r="BN155" s="182"/>
      <c r="BO155" s="182"/>
      <c r="BP155" s="182"/>
      <c r="BQ155" s="182"/>
      <c r="BR155" s="182"/>
      <c r="BS155" s="182"/>
    </row>
    <row r="156" spans="1:71" ht="15.9" customHeight="1" x14ac:dyDescent="0.3">
      <c r="A156" s="5" t="s">
        <v>721</v>
      </c>
      <c r="B156" s="5" t="s">
        <v>716</v>
      </c>
      <c r="C156" s="174">
        <v>44618</v>
      </c>
      <c r="D156" s="194" t="s">
        <v>285</v>
      </c>
      <c r="E156" s="194" t="s">
        <v>286</v>
      </c>
      <c r="F156" s="175" t="s">
        <v>722</v>
      </c>
      <c r="G156" s="195" t="s">
        <v>718</v>
      </c>
      <c r="H156" s="176">
        <v>188106550</v>
      </c>
      <c r="I156" s="185" t="s">
        <v>723</v>
      </c>
      <c r="J156" s="113" t="str">
        <f>VLOOKUP($I156,'Price List, Weapons &amp; Items'!B:C,2,0)</f>
        <v>Light armaments &amp; infantry</v>
      </c>
      <c r="K156" s="113" t="str">
        <f>IF(I156=".",I156,VLOOKUP($I156,'Price List, Weapons &amp; Items'!B:D,3,0))</f>
        <v>Small Arms and Light Weapons (SALW)</v>
      </c>
      <c r="L156" s="177">
        <f>VLOOKUP(I156,'Price List, Weapons &amp; Items'!B:E,4,0)</f>
        <v>0</v>
      </c>
      <c r="M156" s="542">
        <v>150</v>
      </c>
      <c r="N156" s="542">
        <f t="shared" ref="N156:N167" si="40">M156</f>
        <v>150</v>
      </c>
      <c r="O156" s="543">
        <f>VLOOKUP($I156,'Price List, Weapons &amp; Items'!B:G,6,0)</f>
        <v>368.75</v>
      </c>
      <c r="P156" s="176">
        <f t="shared" si="31"/>
        <v>55312.5</v>
      </c>
      <c r="Q156" s="176">
        <f t="shared" si="32"/>
        <v>55312.5</v>
      </c>
      <c r="R156" s="176">
        <f t="shared" si="28"/>
        <v>188106550</v>
      </c>
      <c r="S156" s="176">
        <f>IF(AND(AD156=1,R156&lt;&gt;".")=TRUE,R156/VLOOKUP(G156,'Exchange Rates'!B:C,2,0),IF(R156=".",".",""))</f>
        <v>7843001.5843895925</v>
      </c>
      <c r="T156" s="176">
        <f>IF(AD156=1,IF(AF156="Value is not given at all",".",IF(AF156="Value is given by the source",S156,IF(AF156="Value is calculated with prices",(IF(SUMIFS(Q:Q,A:A,A156)&gt;0,SUMIFS(Q:Q,A:A,A156),"."))/VLOOKUP("USD",'Exchange Rates'!B:C,2,0),"Error with coding"))),"")</f>
        <v>7843001.5843895925</v>
      </c>
      <c r="U156" s="195" t="s">
        <v>415</v>
      </c>
      <c r="V156" s="559" t="s">
        <v>724</v>
      </c>
      <c r="W156" s="684" t="s">
        <v>260</v>
      </c>
      <c r="X156" s="684" t="s">
        <v>260</v>
      </c>
      <c r="Y156" s="684" t="s">
        <v>260</v>
      </c>
      <c r="Z156" s="15">
        <v>0</v>
      </c>
      <c r="AA156" s="180">
        <v>0</v>
      </c>
      <c r="AB156" s="549" t="s">
        <v>724</v>
      </c>
      <c r="AC156" s="544" t="str">
        <f>""</f>
        <v/>
      </c>
      <c r="AD156" s="181">
        <v>1</v>
      </c>
      <c r="AE156" s="181" t="s">
        <v>264</v>
      </c>
      <c r="AF156" s="181" t="s">
        <v>264</v>
      </c>
      <c r="AG156" s="181">
        <v>1</v>
      </c>
      <c r="AH156" s="181">
        <v>2</v>
      </c>
      <c r="AI156" s="181">
        <v>0</v>
      </c>
      <c r="AJ156" s="181">
        <f>VLOOKUP($I156,'Price List, Weapons &amp; Items'!B:F,5,0)</f>
        <v>0</v>
      </c>
      <c r="AK156" s="181">
        <f t="shared" si="33"/>
        <v>0</v>
      </c>
      <c r="AL156" s="181">
        <f t="shared" si="34"/>
        <v>0</v>
      </c>
      <c r="AM156" s="181">
        <f t="shared" si="35"/>
        <v>0</v>
      </c>
      <c r="AN156" s="180" t="str">
        <f>VLOOKUP($I156,'Price List, Weapons &amp; Items'!B:L,COLUMN('Price List, Weapons &amp; Items'!$J$11)-1,0)</f>
        <v>Online marketplaces and stores</v>
      </c>
      <c r="AO156" s="180" t="str">
        <f>IF(I156=".",".",VLOOKUP($I156,'Price List, Weapons &amp; Items'!B:J,3,0))</f>
        <v>Small Arms and Light Weapons (SALW)</v>
      </c>
      <c r="AP156" s="545" t="e">
        <f t="shared" ca="1" si="29"/>
        <v>#NAME?</v>
      </c>
      <c r="AQ156" s="180">
        <f>VLOOKUP($I156,'Price List, Weapons &amp; Items'!B:L,COLUMN('Price List, Weapons &amp; Items'!$L$11)-1,0)</f>
        <v>1</v>
      </c>
      <c r="AR156" s="180">
        <f t="shared" si="36"/>
        <v>0</v>
      </c>
      <c r="AS156" s="180">
        <f t="shared" si="37"/>
        <v>1</v>
      </c>
      <c r="AT156" s="180">
        <f t="shared" si="30"/>
        <v>1</v>
      </c>
      <c r="AU156" s="180" t="str">
        <f t="shared" si="38"/>
        <v>.</v>
      </c>
      <c r="AV156" s="180" t="str">
        <f t="shared" si="39"/>
        <v>.</v>
      </c>
      <c r="AW156" s="180">
        <f>IFERROR(VLOOKUP(B156,'Share, Heavy Weapons to Ukraine'!B:J,COLUMN('Share, Heavy Weapons to Ukraine'!C163)-1,0),0)</f>
        <v>0</v>
      </c>
      <c r="AX156" s="180">
        <f>VLOOKUP('Bilateral Assistance, MAIN DATA'!B156,'Country Summary'!B:F,COLUMN('Country Summary'!C166)-1,FALSE)</f>
        <v>1</v>
      </c>
      <c r="AY156" s="180">
        <f>IF(AND(AD156=1,D156="Military",H156&lt;&gt;"Not given")=TRUE,IF(SUMIFS(P:P,A:A,A156)&gt;0,ABS((SUMIFS(P:P,A:A,A156)/VLOOKUP("USD",'Exchange Rates'!B:C,2,0)))/S156,"."),".")</f>
        <v>3.3479321846414023</v>
      </c>
      <c r="AZ156" s="182">
        <f>IF(AND(AD156=1,D156="Military",H156&lt;&gt;"Not given")=TRUE,IF(SUMIFS(P:P,A:A,A156)&gt;0,IF((ABS((SUMIFS(P:P,A:A,A156)/VLOOKUP("USD",'Exchange Rates'!B:C,2,0)))/S156)&gt;1,(SUMIFS(P:P,A:A,A156)-S156)/S156,(S156-SUMIFS(P:P,A:A,A156))/SUMIFS(P:P,A:A,A156)),"."),".")</f>
        <v>2.5153287938734725</v>
      </c>
      <c r="BA156" s="182"/>
      <c r="BB156" s="182"/>
      <c r="BC156" s="182"/>
      <c r="BD156" s="182"/>
      <c r="BE156" s="182"/>
      <c r="BF156" s="182"/>
      <c r="BG156" s="182"/>
      <c r="BH156" s="182"/>
      <c r="BI156" s="182"/>
      <c r="BJ156" s="182"/>
      <c r="BK156" s="182"/>
      <c r="BL156" s="182"/>
      <c r="BM156" s="182"/>
      <c r="BN156" s="182"/>
      <c r="BO156" s="182"/>
      <c r="BP156" s="182"/>
      <c r="BQ156" s="182"/>
      <c r="BR156" s="182"/>
      <c r="BS156" s="182"/>
    </row>
    <row r="157" spans="1:71" ht="15.9" customHeight="1" x14ac:dyDescent="0.3">
      <c r="A157" s="5" t="s">
        <v>721</v>
      </c>
      <c r="B157" s="5" t="s">
        <v>716</v>
      </c>
      <c r="C157" s="174">
        <v>44618</v>
      </c>
      <c r="D157" s="5" t="s">
        <v>285</v>
      </c>
      <c r="E157" s="5" t="s">
        <v>286</v>
      </c>
      <c r="F157" s="175" t="s">
        <v>722</v>
      </c>
      <c r="G157" s="15" t="s">
        <v>718</v>
      </c>
      <c r="H157" s="176">
        <v>188106550</v>
      </c>
      <c r="I157" s="185" t="s">
        <v>725</v>
      </c>
      <c r="J157" s="113" t="str">
        <f>VLOOKUP($I157,'Price List, Weapons &amp; Items'!B:C,2,0)</f>
        <v>Light armaments &amp; infantry</v>
      </c>
      <c r="K157" s="113" t="str">
        <f>IF(I157=".",I157,VLOOKUP($I157,'Price List, Weapons &amp; Items'!B:D,3,0))</f>
        <v>Small Arms and Light Weapons (SALW)</v>
      </c>
      <c r="L157" s="177">
        <f>VLOOKUP(I157,'Price List, Weapons &amp; Items'!B:E,4,0)</f>
        <v>1</v>
      </c>
      <c r="M157" s="542">
        <v>5000</v>
      </c>
      <c r="N157" s="542">
        <f t="shared" si="40"/>
        <v>5000</v>
      </c>
      <c r="O157" s="543">
        <f>VLOOKUP($I157,'Price List, Weapons &amp; Items'!B:G,6,0)</f>
        <v>1266</v>
      </c>
      <c r="P157" s="176">
        <f t="shared" si="31"/>
        <v>6330000</v>
      </c>
      <c r="Q157" s="176">
        <f t="shared" si="32"/>
        <v>6330000</v>
      </c>
      <c r="R157" s="176" t="str">
        <f t="shared" si="28"/>
        <v/>
      </c>
      <c r="S157" s="176" t="str">
        <f>IF(AND(AD157=1,R157&lt;&gt;".")=TRUE,R157/VLOOKUP(G157,'Exchange Rates'!B:C,2,0),IF(R157=".",".",""))</f>
        <v/>
      </c>
      <c r="T157" s="176" t="str">
        <f>IF(AD157=1,IF(AF157="Value is not given at all",".",IF(AF157="Value is given by the source",S157,IF(AF157="Value is calculated with prices",(IF(SUMIFS(Q:Q,A:A,A157)&gt;0,SUMIFS(Q:Q,A:A,A157),"."))/VLOOKUP("USD",'Exchange Rates'!B:C,2,0),"Error with coding"))),"")</f>
        <v/>
      </c>
      <c r="U157" s="15" t="s">
        <v>415</v>
      </c>
      <c r="V157" s="547" t="s">
        <v>724</v>
      </c>
      <c r="W157" s="188" t="s">
        <v>260</v>
      </c>
      <c r="X157" s="188" t="s">
        <v>260</v>
      </c>
      <c r="Y157" s="188" t="s">
        <v>260</v>
      </c>
      <c r="Z157" s="15">
        <v>0</v>
      </c>
      <c r="AA157" s="180">
        <v>0</v>
      </c>
      <c r="AB157" s="549" t="s">
        <v>724</v>
      </c>
      <c r="AC157" s="544" t="str">
        <f>""</f>
        <v/>
      </c>
      <c r="AD157" s="181">
        <v>0</v>
      </c>
      <c r="AE157" s="181" t="s">
        <v>264</v>
      </c>
      <c r="AF157" s="181" t="s">
        <v>264</v>
      </c>
      <c r="AG157" s="181">
        <v>1</v>
      </c>
      <c r="AH157" s="181">
        <v>2</v>
      </c>
      <c r="AI157" s="181">
        <v>0</v>
      </c>
      <c r="AJ157" s="181">
        <f>VLOOKUP($I157,'Price List, Weapons &amp; Items'!B:F,5,0)</f>
        <v>0</v>
      </c>
      <c r="AK157" s="181">
        <f t="shared" si="33"/>
        <v>0</v>
      </c>
      <c r="AL157" s="181">
        <f t="shared" si="34"/>
        <v>0</v>
      </c>
      <c r="AM157" s="181">
        <f t="shared" si="35"/>
        <v>0</v>
      </c>
      <c r="AN157" s="180" t="str">
        <f>VLOOKUP($I157,'Price List, Weapons &amp; Items'!B:L,COLUMN('Price List, Weapons &amp; Items'!$J$11)-1,0)</f>
        <v>Miscellaneous</v>
      </c>
      <c r="AO157" s="180" t="str">
        <f>IF(I157=".",".",VLOOKUP($I157,'Price List, Weapons &amp; Items'!B:J,3,0))</f>
        <v>Small Arms and Light Weapons (SALW)</v>
      </c>
      <c r="AP157" s="545" t="str">
        <f t="shared" ca="1" si="29"/>
        <v/>
      </c>
      <c r="AQ157" s="180">
        <f>VLOOKUP($I157,'Price List, Weapons &amp; Items'!B:L,COLUMN('Price List, Weapons &amp; Items'!$L$11)-1,0)</f>
        <v>2</v>
      </c>
      <c r="AR157" s="180">
        <f t="shared" si="36"/>
        <v>0</v>
      </c>
      <c r="AS157" s="180">
        <f t="shared" si="37"/>
        <v>1</v>
      </c>
      <c r="AT157" s="180">
        <f t="shared" si="30"/>
        <v>1</v>
      </c>
      <c r="AU157" s="180" t="str">
        <f t="shared" si="38"/>
        <v>.</v>
      </c>
      <c r="AV157" s="180" t="str">
        <f t="shared" si="39"/>
        <v>.</v>
      </c>
      <c r="AW157" s="180">
        <f>IFERROR(VLOOKUP(B157,'Share, Heavy Weapons to Ukraine'!B:J,COLUMN('Share, Heavy Weapons to Ukraine'!C164)-1,0),0)</f>
        <v>0</v>
      </c>
      <c r="AX157" s="180">
        <f>VLOOKUP('Bilateral Assistance, MAIN DATA'!B157,'Country Summary'!B:F,COLUMN('Country Summary'!C167)-1,FALSE)</f>
        <v>1</v>
      </c>
      <c r="AY157" s="180" t="str">
        <f>IF(AND(AD157=1,D157="Military",H157&lt;&gt;"Not given")=TRUE,IF(SUMIFS(P:P,A:A,A157)&gt;0,ABS((SUMIFS(P:P,A:A,A157)/VLOOKUP("USD",'Exchange Rates'!B:C,2,0)))/S157,"."),".")</f>
        <v>.</v>
      </c>
      <c r="AZ157" s="182" t="str">
        <f>IF(AND(AD157=1,D157="Military",H157&lt;&gt;"Not given")=TRUE,IF(SUMIFS(P:P,A:A,A157)&gt;0,IF((ABS((SUMIFS(P:P,A:A,A157)/VLOOKUP("USD",'Exchange Rates'!B:C,2,0)))/S157)&gt;1,(SUMIFS(P:P,A:A,A157)-S157)/S157,(S157-SUMIFS(P:P,A:A,A157))/SUMIFS(P:P,A:A,A157)),"."),".")</f>
        <v>.</v>
      </c>
      <c r="BA157" s="182"/>
      <c r="BB157" s="182"/>
      <c r="BC157" s="182"/>
      <c r="BD157" s="182"/>
      <c r="BE157" s="182"/>
      <c r="BF157" s="182"/>
      <c r="BG157" s="182"/>
      <c r="BH157" s="182"/>
      <c r="BI157" s="182"/>
      <c r="BJ157" s="182"/>
      <c r="BK157" s="182"/>
      <c r="BL157" s="182"/>
      <c r="BM157" s="182"/>
      <c r="BN157" s="182"/>
      <c r="BO157" s="182"/>
      <c r="BP157" s="182"/>
      <c r="BQ157" s="182"/>
      <c r="BR157" s="182"/>
      <c r="BS157" s="182"/>
    </row>
    <row r="158" spans="1:71" ht="15.9" customHeight="1" x14ac:dyDescent="0.3">
      <c r="A158" s="5" t="s">
        <v>721</v>
      </c>
      <c r="B158" s="5" t="s">
        <v>716</v>
      </c>
      <c r="C158" s="174">
        <v>44618</v>
      </c>
      <c r="D158" s="5" t="s">
        <v>285</v>
      </c>
      <c r="E158" s="5" t="s">
        <v>286</v>
      </c>
      <c r="F158" s="175" t="s">
        <v>722</v>
      </c>
      <c r="G158" s="15" t="s">
        <v>718</v>
      </c>
      <c r="H158" s="176">
        <v>188106550</v>
      </c>
      <c r="I158" s="185" t="s">
        <v>726</v>
      </c>
      <c r="J158" s="113" t="str">
        <f>VLOOKUP($I158,'Price List, Weapons &amp; Items'!B:C,2,0)</f>
        <v>Ammunition for light infantry</v>
      </c>
      <c r="K158" s="113" t="str">
        <f>IF(I158=".",I158,VLOOKUP($I158,'Price List, Weapons &amp; Items'!B:D,3,0))</f>
        <v>Small Arms and Light Weapons (SALW) ammunition</v>
      </c>
      <c r="L158" s="177">
        <f>VLOOKUP(I158,'Price List, Weapons &amp; Items'!B:E,4,0)</f>
        <v>1</v>
      </c>
      <c r="M158" s="542">
        <v>500000</v>
      </c>
      <c r="N158" s="542">
        <f t="shared" si="40"/>
        <v>500000</v>
      </c>
      <c r="O158" s="543">
        <f>VLOOKUP($I158,'Price List, Weapons &amp; Items'!B:G,6,0)</f>
        <v>0.4</v>
      </c>
      <c r="P158" s="176">
        <f t="shared" si="31"/>
        <v>200000</v>
      </c>
      <c r="Q158" s="176">
        <f t="shared" si="32"/>
        <v>200000</v>
      </c>
      <c r="R158" s="176" t="str">
        <f t="shared" si="28"/>
        <v/>
      </c>
      <c r="S158" s="176" t="str">
        <f>IF(AND(AD158=1,R158&lt;&gt;".")=TRUE,R158/VLOOKUP(G158,'Exchange Rates'!B:C,2,0),IF(R158=".",".",""))</f>
        <v/>
      </c>
      <c r="T158" s="176" t="str">
        <f>IF(AD158=1,IF(AF158="Value is not given at all",".",IF(AF158="Value is given by the source",S158,IF(AF158="Value is calculated with prices",(IF(SUMIFS(Q:Q,A:A,A158)&gt;0,SUMIFS(Q:Q,A:A,A158),"."))/VLOOKUP("USD",'Exchange Rates'!B:C,2,0),"Error with coding"))),"")</f>
        <v/>
      </c>
      <c r="U158" s="15" t="s">
        <v>415</v>
      </c>
      <c r="V158" s="547" t="s">
        <v>724</v>
      </c>
      <c r="W158" s="188" t="s">
        <v>260</v>
      </c>
      <c r="X158" s="188" t="s">
        <v>260</v>
      </c>
      <c r="Y158" s="188" t="s">
        <v>260</v>
      </c>
      <c r="Z158" s="15">
        <v>0</v>
      </c>
      <c r="AA158" s="180">
        <v>0</v>
      </c>
      <c r="AB158" s="549" t="s">
        <v>724</v>
      </c>
      <c r="AC158" s="544" t="str">
        <f>""</f>
        <v/>
      </c>
      <c r="AD158" s="181">
        <v>0</v>
      </c>
      <c r="AE158" s="181" t="s">
        <v>264</v>
      </c>
      <c r="AF158" s="181" t="s">
        <v>264</v>
      </c>
      <c r="AG158" s="181">
        <v>1</v>
      </c>
      <c r="AH158" s="181">
        <v>2</v>
      </c>
      <c r="AI158" s="181">
        <v>0</v>
      </c>
      <c r="AJ158" s="181">
        <f>VLOOKUP($I158,'Price List, Weapons &amp; Items'!B:F,5,0)</f>
        <v>0</v>
      </c>
      <c r="AK158" s="181">
        <f t="shared" si="33"/>
        <v>0</v>
      </c>
      <c r="AL158" s="181">
        <f t="shared" si="34"/>
        <v>0</v>
      </c>
      <c r="AM158" s="181">
        <f t="shared" si="35"/>
        <v>0</v>
      </c>
      <c r="AN158" s="180" t="str">
        <f>VLOOKUP($I158,'Price List, Weapons &amp; Items'!B:L,COLUMN('Price List, Weapons &amp; Items'!$J$11)-1,0)</f>
        <v>Online marketplaces and stores</v>
      </c>
      <c r="AO158" s="180" t="str">
        <f>IF(I158=".",".",VLOOKUP($I158,'Price List, Weapons &amp; Items'!B:J,3,0))</f>
        <v>Small Arms and Light Weapons (SALW) ammunition</v>
      </c>
      <c r="AP158" s="545" t="str">
        <f t="shared" ca="1" si="29"/>
        <v/>
      </c>
      <c r="AQ158" s="180">
        <f>VLOOKUP($I158,'Price List, Weapons &amp; Items'!B:L,COLUMN('Price List, Weapons &amp; Items'!$L$11)-1,0)</f>
        <v>1</v>
      </c>
      <c r="AR158" s="180">
        <f t="shared" si="36"/>
        <v>0</v>
      </c>
      <c r="AS158" s="180">
        <f t="shared" si="37"/>
        <v>1</v>
      </c>
      <c r="AT158" s="180">
        <f t="shared" si="30"/>
        <v>1</v>
      </c>
      <c r="AU158" s="180" t="str">
        <f t="shared" si="38"/>
        <v>.</v>
      </c>
      <c r="AV158" s="180" t="str">
        <f t="shared" si="39"/>
        <v>.</v>
      </c>
      <c r="AW158" s="180">
        <f>IFERROR(VLOOKUP(B158,'Share, Heavy Weapons to Ukraine'!B:J,COLUMN('Share, Heavy Weapons to Ukraine'!C165)-1,0),0)</f>
        <v>0</v>
      </c>
      <c r="AX158" s="180">
        <f>VLOOKUP('Bilateral Assistance, MAIN DATA'!B158,'Country Summary'!B:F,COLUMN('Country Summary'!C168)-1,FALSE)</f>
        <v>1</v>
      </c>
      <c r="AY158" s="180" t="str">
        <f>IF(AND(AD158=1,D158="Military",H158&lt;&gt;"Not given")=TRUE,IF(SUMIFS(P:P,A:A,A158)&gt;0,ABS((SUMIFS(P:P,A:A,A158)/VLOOKUP("USD",'Exchange Rates'!B:C,2,0)))/S158,"."),".")</f>
        <v>.</v>
      </c>
      <c r="AZ158" s="182" t="str">
        <f>IF(AND(AD158=1,D158="Military",H158&lt;&gt;"Not given")=TRUE,IF(SUMIFS(P:P,A:A,A158)&gt;0,IF((ABS((SUMIFS(P:P,A:A,A158)/VLOOKUP("USD",'Exchange Rates'!B:C,2,0)))/S158)&gt;1,(SUMIFS(P:P,A:A,A158)-S158)/S158,(S158-SUMIFS(P:P,A:A,A158))/SUMIFS(P:P,A:A,A158)),"."),".")</f>
        <v>.</v>
      </c>
      <c r="BA158" s="182"/>
      <c r="BB158" s="182"/>
      <c r="BC158" s="182"/>
      <c r="BD158" s="182"/>
      <c r="BE158" s="182"/>
      <c r="BF158" s="182"/>
      <c r="BG158" s="182"/>
      <c r="BH158" s="182"/>
      <c r="BI158" s="182"/>
      <c r="BJ158" s="182"/>
      <c r="BK158" s="182"/>
      <c r="BL158" s="182"/>
      <c r="BM158" s="182"/>
      <c r="BN158" s="182"/>
      <c r="BO158" s="182"/>
      <c r="BP158" s="182"/>
      <c r="BQ158" s="182"/>
      <c r="BR158" s="182"/>
      <c r="BS158" s="182"/>
    </row>
    <row r="159" spans="1:71" ht="15.9" customHeight="1" x14ac:dyDescent="0.3">
      <c r="A159" s="5" t="s">
        <v>721</v>
      </c>
      <c r="B159" s="5" t="s">
        <v>716</v>
      </c>
      <c r="C159" s="174">
        <v>44618</v>
      </c>
      <c r="D159" s="5" t="s">
        <v>285</v>
      </c>
      <c r="E159" s="5" t="s">
        <v>286</v>
      </c>
      <c r="F159" s="175" t="s">
        <v>722</v>
      </c>
      <c r="G159" s="15" t="s">
        <v>718</v>
      </c>
      <c r="H159" s="176">
        <v>188106550</v>
      </c>
      <c r="I159" s="185" t="s">
        <v>727</v>
      </c>
      <c r="J159" s="113" t="str">
        <f>VLOOKUP($I159,'Price List, Weapons &amp; Items'!B:C,2,0)</f>
        <v>Ammunition for light infantry</v>
      </c>
      <c r="K159" s="113" t="str">
        <f>IF(I159=".",I159,VLOOKUP($I159,'Price List, Weapons &amp; Items'!B:D,3,0))</f>
        <v>Small Arms and Light Weapons (SALW) ammunition</v>
      </c>
      <c r="L159" s="177">
        <f>VLOOKUP(I159,'Price List, Weapons &amp; Items'!B:E,4,0)</f>
        <v>1</v>
      </c>
      <c r="M159" s="542">
        <v>125000</v>
      </c>
      <c r="N159" s="542">
        <f t="shared" si="40"/>
        <v>125000</v>
      </c>
      <c r="O159" s="543">
        <f>VLOOKUP($I159,'Price List, Weapons &amp; Items'!B:G,6,0)</f>
        <v>1.625</v>
      </c>
      <c r="P159" s="176">
        <f t="shared" si="31"/>
        <v>203125</v>
      </c>
      <c r="Q159" s="176">
        <f t="shared" si="32"/>
        <v>203125</v>
      </c>
      <c r="R159" s="176" t="str">
        <f t="shared" si="28"/>
        <v/>
      </c>
      <c r="S159" s="176" t="str">
        <f>IF(AND(AD159=1,R159&lt;&gt;".")=TRUE,R159/VLOOKUP(G159,'Exchange Rates'!B:C,2,0),IF(R159=".",".",""))</f>
        <v/>
      </c>
      <c r="T159" s="176" t="str">
        <f>IF(AD159=1,IF(AF159="Value is not given at all",".",IF(AF159="Value is given by the source",S159,IF(AF159="Value is calculated with prices",(IF(SUMIFS(Q:Q,A:A,A159)&gt;0,SUMIFS(Q:Q,A:A,A159),"."))/VLOOKUP("USD",'Exchange Rates'!B:C,2,0),"Error with coding"))),"")</f>
        <v/>
      </c>
      <c r="U159" s="15" t="s">
        <v>415</v>
      </c>
      <c r="V159" s="547" t="s">
        <v>724</v>
      </c>
      <c r="W159" s="188" t="s">
        <v>260</v>
      </c>
      <c r="X159" s="188" t="s">
        <v>260</v>
      </c>
      <c r="Y159" s="188" t="s">
        <v>260</v>
      </c>
      <c r="Z159" s="15">
        <v>0</v>
      </c>
      <c r="AA159" s="180">
        <v>0</v>
      </c>
      <c r="AB159" s="549" t="s">
        <v>724</v>
      </c>
      <c r="AC159" s="544" t="str">
        <f>""</f>
        <v/>
      </c>
      <c r="AD159" s="181">
        <v>0</v>
      </c>
      <c r="AE159" s="181" t="s">
        <v>264</v>
      </c>
      <c r="AF159" s="181" t="s">
        <v>264</v>
      </c>
      <c r="AG159" s="181">
        <v>1</v>
      </c>
      <c r="AH159" s="181">
        <v>2</v>
      </c>
      <c r="AI159" s="181">
        <v>0</v>
      </c>
      <c r="AJ159" s="181">
        <f>VLOOKUP($I159,'Price List, Weapons &amp; Items'!B:F,5,0)</f>
        <v>0</v>
      </c>
      <c r="AK159" s="181">
        <f t="shared" si="33"/>
        <v>0</v>
      </c>
      <c r="AL159" s="181">
        <f t="shared" si="34"/>
        <v>0</v>
      </c>
      <c r="AM159" s="181">
        <f t="shared" si="35"/>
        <v>0</v>
      </c>
      <c r="AN159" s="180" t="str">
        <f>VLOOKUP($I159,'Price List, Weapons &amp; Items'!B:L,COLUMN('Price List, Weapons &amp; Items'!$J$11)-1,0)</f>
        <v>Online marketplaces and stores</v>
      </c>
      <c r="AO159" s="180" t="str">
        <f>IF(I159=".",".",VLOOKUP($I159,'Price List, Weapons &amp; Items'!B:J,3,0))</f>
        <v>Small Arms and Light Weapons (SALW) ammunition</v>
      </c>
      <c r="AP159" s="545" t="str">
        <f t="shared" ca="1" si="29"/>
        <v/>
      </c>
      <c r="AQ159" s="180">
        <f>VLOOKUP($I159,'Price List, Weapons &amp; Items'!B:L,COLUMN('Price List, Weapons &amp; Items'!$L$11)-1,0)</f>
        <v>1</v>
      </c>
      <c r="AR159" s="180">
        <f t="shared" si="36"/>
        <v>0</v>
      </c>
      <c r="AS159" s="180">
        <f t="shared" si="37"/>
        <v>1</v>
      </c>
      <c r="AT159" s="180">
        <f t="shared" si="30"/>
        <v>1</v>
      </c>
      <c r="AU159" s="180" t="str">
        <f t="shared" si="38"/>
        <v>.</v>
      </c>
      <c r="AV159" s="180" t="str">
        <f t="shared" si="39"/>
        <v>.</v>
      </c>
      <c r="AW159" s="180">
        <f>IFERROR(VLOOKUP(B159,'Share, Heavy Weapons to Ukraine'!B:J,COLUMN('Share, Heavy Weapons to Ukraine'!C166)-1,0),0)</f>
        <v>0</v>
      </c>
      <c r="AX159" s="180">
        <f>VLOOKUP('Bilateral Assistance, MAIN DATA'!B159,'Country Summary'!B:F,COLUMN('Country Summary'!C169)-1,FALSE)</f>
        <v>1</v>
      </c>
      <c r="AY159" s="180" t="str">
        <f>IF(AND(AD159=1,D159="Military",H159&lt;&gt;"Not given")=TRUE,IF(SUMIFS(P:P,A:A,A159)&gt;0,ABS((SUMIFS(P:P,A:A,A159)/VLOOKUP("USD",'Exchange Rates'!B:C,2,0)))/S159,"."),".")</f>
        <v>.</v>
      </c>
      <c r="AZ159" s="182" t="str">
        <f>IF(AND(AD159=1,D159="Military",H159&lt;&gt;"Not given")=TRUE,IF(SUMIFS(P:P,A:A,A159)&gt;0,IF((ABS((SUMIFS(P:P,A:A,A159)/VLOOKUP("USD",'Exchange Rates'!B:C,2,0)))/S159)&gt;1,(SUMIFS(P:P,A:A,A159)-S159)/S159,(S159-SUMIFS(P:P,A:A,A159))/SUMIFS(P:P,A:A,A159)),"."),".")</f>
        <v>.</v>
      </c>
      <c r="BA159" s="182"/>
      <c r="BB159" s="182"/>
      <c r="BC159" s="182"/>
      <c r="BD159" s="182"/>
      <c r="BE159" s="182"/>
      <c r="BF159" s="182"/>
      <c r="BG159" s="182"/>
      <c r="BH159" s="182"/>
      <c r="BI159" s="182"/>
      <c r="BJ159" s="182"/>
      <c r="BK159" s="182"/>
      <c r="BL159" s="182"/>
      <c r="BM159" s="182"/>
      <c r="BN159" s="182"/>
      <c r="BO159" s="182"/>
      <c r="BP159" s="182"/>
      <c r="BQ159" s="182"/>
      <c r="BR159" s="182"/>
      <c r="BS159" s="182"/>
    </row>
    <row r="160" spans="1:71" ht="15.9" customHeight="1" x14ac:dyDescent="0.3">
      <c r="A160" s="5" t="s">
        <v>721</v>
      </c>
      <c r="B160" s="5" t="s">
        <v>716</v>
      </c>
      <c r="C160" s="174">
        <v>44618</v>
      </c>
      <c r="D160" s="5" t="s">
        <v>285</v>
      </c>
      <c r="E160" s="5" t="s">
        <v>286</v>
      </c>
      <c r="F160" s="175" t="s">
        <v>722</v>
      </c>
      <c r="G160" s="15" t="s">
        <v>718</v>
      </c>
      <c r="H160" s="176">
        <v>188106550</v>
      </c>
      <c r="I160" s="185" t="s">
        <v>728</v>
      </c>
      <c r="J160" s="113" t="str">
        <f>VLOOKUP($I160,'Price List, Weapons &amp; Items'!B:C,2,0)</f>
        <v>Light armaments &amp; infantry</v>
      </c>
      <c r="K160" s="113" t="str">
        <f>IF(I160=".",I160,VLOOKUP($I160,'Price List, Weapons &amp; Items'!B:D,3,0))</f>
        <v>Small Arms and Light Weapons (SALW) ammunition</v>
      </c>
      <c r="L160" s="177">
        <f>VLOOKUP(I160,'Price List, Weapons &amp; Items'!B:E,4,0)</f>
        <v>1</v>
      </c>
      <c r="M160" s="542">
        <v>2085</v>
      </c>
      <c r="N160" s="542">
        <f t="shared" si="40"/>
        <v>2085</v>
      </c>
      <c r="O160" s="543">
        <f>VLOOKUP($I160,'Price List, Weapons &amp; Items'!B:G,6,0)</f>
        <v>705</v>
      </c>
      <c r="P160" s="176">
        <f t="shared" si="31"/>
        <v>1469925</v>
      </c>
      <c r="Q160" s="176">
        <f t="shared" si="32"/>
        <v>1469925</v>
      </c>
      <c r="R160" s="176" t="str">
        <f t="shared" si="28"/>
        <v/>
      </c>
      <c r="S160" s="176" t="str">
        <f>IF(AND(AD160=1,R160&lt;&gt;".")=TRUE,R160/VLOOKUP(G160,'Exchange Rates'!B:C,2,0),IF(R160=".",".",""))</f>
        <v/>
      </c>
      <c r="T160" s="176" t="str">
        <f>IF(AD160=1,IF(AF160="Value is not given at all",".",IF(AF160="Value is given by the source",S160,IF(AF160="Value is calculated with prices",(IF(SUMIFS(Q:Q,A:A,A160)&gt;0,SUMIFS(Q:Q,A:A,A160),"."))/VLOOKUP("USD",'Exchange Rates'!B:C,2,0),"Error with coding"))),"")</f>
        <v/>
      </c>
      <c r="U160" s="15" t="s">
        <v>415</v>
      </c>
      <c r="V160" s="547" t="s">
        <v>724</v>
      </c>
      <c r="W160" s="188" t="s">
        <v>260</v>
      </c>
      <c r="X160" s="188" t="s">
        <v>260</v>
      </c>
      <c r="Y160" s="188" t="s">
        <v>260</v>
      </c>
      <c r="Z160" s="15">
        <v>0</v>
      </c>
      <c r="AA160" s="180">
        <v>0</v>
      </c>
      <c r="AB160" s="549" t="s">
        <v>724</v>
      </c>
      <c r="AC160" s="544" t="str">
        <f>""</f>
        <v/>
      </c>
      <c r="AD160" s="181">
        <v>0</v>
      </c>
      <c r="AE160" s="181" t="s">
        <v>264</v>
      </c>
      <c r="AF160" s="181" t="s">
        <v>264</v>
      </c>
      <c r="AG160" s="181">
        <v>1</v>
      </c>
      <c r="AH160" s="181">
        <v>2</v>
      </c>
      <c r="AI160" s="181">
        <v>0</v>
      </c>
      <c r="AJ160" s="181">
        <f>VLOOKUP($I160,'Price List, Weapons &amp; Items'!B:F,5,0)</f>
        <v>0</v>
      </c>
      <c r="AK160" s="181">
        <f t="shared" si="33"/>
        <v>0</v>
      </c>
      <c r="AL160" s="181">
        <f t="shared" si="34"/>
        <v>0</v>
      </c>
      <c r="AM160" s="181">
        <f t="shared" si="35"/>
        <v>0</v>
      </c>
      <c r="AN160" s="180" t="str">
        <f>VLOOKUP($I160,'Price List, Weapons &amp; Items'!B:L,COLUMN('Price List, Weapons &amp; Items'!$J$11)-1,0)</f>
        <v>Online marketplaces and stores</v>
      </c>
      <c r="AO160" s="180" t="str">
        <f>IF(I160=".",".",VLOOKUP($I160,'Price List, Weapons &amp; Items'!B:J,3,0))</f>
        <v>Small Arms and Light Weapons (SALW) ammunition</v>
      </c>
      <c r="AP160" s="545" t="str">
        <f t="shared" ca="1" si="29"/>
        <v/>
      </c>
      <c r="AQ160" s="180">
        <f>VLOOKUP($I160,'Price List, Weapons &amp; Items'!B:L,COLUMN('Price List, Weapons &amp; Items'!$L$11)-1,0)</f>
        <v>1</v>
      </c>
      <c r="AR160" s="180">
        <f t="shared" si="36"/>
        <v>0</v>
      </c>
      <c r="AS160" s="180">
        <f t="shared" si="37"/>
        <v>1</v>
      </c>
      <c r="AT160" s="180">
        <f t="shared" si="30"/>
        <v>1</v>
      </c>
      <c r="AU160" s="180" t="str">
        <f t="shared" si="38"/>
        <v>.</v>
      </c>
      <c r="AV160" s="180" t="str">
        <f t="shared" si="39"/>
        <v>.</v>
      </c>
      <c r="AW160" s="180">
        <f>IFERROR(VLOOKUP(B160,'Share, Heavy Weapons to Ukraine'!B:J,COLUMN('Share, Heavy Weapons to Ukraine'!C167)-1,0),0)</f>
        <v>0</v>
      </c>
      <c r="AX160" s="180">
        <f>VLOOKUP('Bilateral Assistance, MAIN DATA'!B160,'Country Summary'!B:F,COLUMN('Country Summary'!C170)-1,FALSE)</f>
        <v>1</v>
      </c>
      <c r="AY160" s="180" t="str">
        <f>IF(AND(AD160=1,D160="Military",H160&lt;&gt;"Not given")=TRUE,IF(SUMIFS(P:P,A:A,A160)&gt;0,ABS((SUMIFS(P:P,A:A,A160)/VLOOKUP("USD",'Exchange Rates'!B:C,2,0)))/S160,"."),".")</f>
        <v>.</v>
      </c>
      <c r="AZ160" s="182" t="str">
        <f>IF(AND(AD160=1,D160="Military",H160&lt;&gt;"Not given")=TRUE,IF(SUMIFS(P:P,A:A,A160)&gt;0,IF((ABS((SUMIFS(P:P,A:A,A160)/VLOOKUP("USD",'Exchange Rates'!B:C,2,0)))/S160)&gt;1,(SUMIFS(P:P,A:A,A160)-S160)/S160,(S160-SUMIFS(P:P,A:A,A160))/SUMIFS(P:P,A:A,A160)),"."),".")</f>
        <v>.</v>
      </c>
      <c r="BA160" s="182"/>
      <c r="BB160" s="182"/>
      <c r="BC160" s="182"/>
      <c r="BD160" s="182"/>
      <c r="BE160" s="182"/>
      <c r="BF160" s="182"/>
      <c r="BG160" s="182"/>
      <c r="BH160" s="182"/>
      <c r="BI160" s="182"/>
      <c r="BJ160" s="182"/>
      <c r="BK160" s="182"/>
      <c r="BL160" s="182"/>
      <c r="BM160" s="182"/>
      <c r="BN160" s="182"/>
      <c r="BO160" s="182"/>
      <c r="BP160" s="182"/>
      <c r="BQ160" s="182"/>
      <c r="BR160" s="182"/>
      <c r="BS160" s="182"/>
    </row>
    <row r="161" spans="1:71" ht="15.9" customHeight="1" x14ac:dyDescent="0.3">
      <c r="A161" s="5" t="s">
        <v>721</v>
      </c>
      <c r="B161" s="5" t="s">
        <v>716</v>
      </c>
      <c r="C161" s="174">
        <v>44618</v>
      </c>
      <c r="D161" s="5" t="s">
        <v>285</v>
      </c>
      <c r="E161" s="5" t="s">
        <v>286</v>
      </c>
      <c r="F161" s="175" t="s">
        <v>722</v>
      </c>
      <c r="G161" s="15" t="s">
        <v>718</v>
      </c>
      <c r="H161" s="176">
        <v>188106550</v>
      </c>
      <c r="I161" s="185" t="s">
        <v>729</v>
      </c>
      <c r="J161" s="113" t="str">
        <f>VLOOKUP($I161,'Price List, Weapons &amp; Items'!B:C,2,0)</f>
        <v>Ammunition for light infantry</v>
      </c>
      <c r="K161" s="113" t="str">
        <f>IF(I161=".",I161,VLOOKUP($I161,'Price List, Weapons &amp; Items'!B:D,3,0))</f>
        <v>Small Arms and Light Weapons (SALW) ammunition</v>
      </c>
      <c r="L161" s="177">
        <f>VLOOKUP(I161,'Price List, Weapons &amp; Items'!B:E,4,0)</f>
        <v>0</v>
      </c>
      <c r="M161" s="542">
        <v>1000000</v>
      </c>
      <c r="N161" s="542">
        <f t="shared" si="40"/>
        <v>1000000</v>
      </c>
      <c r="O161" s="543">
        <f>VLOOKUP($I161,'Price List, Weapons &amp; Items'!B:G,6,0)</f>
        <v>0.5</v>
      </c>
      <c r="P161" s="176">
        <f t="shared" si="31"/>
        <v>500000</v>
      </c>
      <c r="Q161" s="176">
        <f t="shared" si="32"/>
        <v>500000</v>
      </c>
      <c r="R161" s="176" t="str">
        <f t="shared" si="28"/>
        <v/>
      </c>
      <c r="S161" s="176" t="str">
        <f>IF(AND(AD161=1,R161&lt;&gt;".")=TRUE,R161/VLOOKUP(G161,'Exchange Rates'!B:C,2,0),IF(R161=".",".",""))</f>
        <v/>
      </c>
      <c r="T161" s="176" t="str">
        <f>IF(AD161=1,IF(AF161="Value is not given at all",".",IF(AF161="Value is given by the source",S161,IF(AF161="Value is calculated with prices",(IF(SUMIFS(Q:Q,A:A,A161)&gt;0,SUMIFS(Q:Q,A:A,A161),"."))/VLOOKUP("USD",'Exchange Rates'!B:C,2,0),"Error with coding"))),"")</f>
        <v/>
      </c>
      <c r="U161" s="15" t="s">
        <v>415</v>
      </c>
      <c r="V161" s="547" t="s">
        <v>724</v>
      </c>
      <c r="W161" s="188" t="s">
        <v>260</v>
      </c>
      <c r="X161" s="188" t="s">
        <v>260</v>
      </c>
      <c r="Y161" s="188" t="s">
        <v>260</v>
      </c>
      <c r="Z161" s="15">
        <v>0</v>
      </c>
      <c r="AA161" s="180">
        <v>0</v>
      </c>
      <c r="AB161" s="549" t="s">
        <v>724</v>
      </c>
      <c r="AC161" s="544" t="str">
        <f>""</f>
        <v/>
      </c>
      <c r="AD161" s="181">
        <v>0</v>
      </c>
      <c r="AE161" s="181" t="s">
        <v>264</v>
      </c>
      <c r="AF161" s="181" t="s">
        <v>264</v>
      </c>
      <c r="AG161" s="181">
        <v>1</v>
      </c>
      <c r="AH161" s="181">
        <v>2</v>
      </c>
      <c r="AI161" s="181">
        <v>0</v>
      </c>
      <c r="AJ161" s="181">
        <f>VLOOKUP($I161,'Price List, Weapons &amp; Items'!B:F,5,0)</f>
        <v>0</v>
      </c>
      <c r="AK161" s="181">
        <f t="shared" si="33"/>
        <v>0</v>
      </c>
      <c r="AL161" s="181">
        <f t="shared" si="34"/>
        <v>0</v>
      </c>
      <c r="AM161" s="181">
        <f t="shared" si="35"/>
        <v>0</v>
      </c>
      <c r="AN161" s="180" t="str">
        <f>VLOOKUP($I161,'Price List, Weapons &amp; Items'!B:L,COLUMN('Price List, Weapons &amp; Items'!$J$11)-1,0)</f>
        <v>Online marketplaces and stores</v>
      </c>
      <c r="AO161" s="180" t="str">
        <f>IF(I161=".",".",VLOOKUP($I161,'Price List, Weapons &amp; Items'!B:J,3,0))</f>
        <v>Small Arms and Light Weapons (SALW) ammunition</v>
      </c>
      <c r="AP161" s="545" t="str">
        <f t="shared" ca="1" si="29"/>
        <v/>
      </c>
      <c r="AQ161" s="180">
        <f>VLOOKUP($I161,'Price List, Weapons &amp; Items'!B:L,COLUMN('Price List, Weapons &amp; Items'!$L$11)-1,0)</f>
        <v>1</v>
      </c>
      <c r="AR161" s="180">
        <f t="shared" si="36"/>
        <v>0</v>
      </c>
      <c r="AS161" s="180">
        <f t="shared" si="37"/>
        <v>1</v>
      </c>
      <c r="AT161" s="180">
        <f t="shared" si="30"/>
        <v>1</v>
      </c>
      <c r="AU161" s="180" t="str">
        <f t="shared" si="38"/>
        <v>.</v>
      </c>
      <c r="AV161" s="180" t="str">
        <f t="shared" si="39"/>
        <v>.</v>
      </c>
      <c r="AW161" s="180">
        <f>IFERROR(VLOOKUP(B161,'Share, Heavy Weapons to Ukraine'!B:J,COLUMN('Share, Heavy Weapons to Ukraine'!C168)-1,0),0)</f>
        <v>0</v>
      </c>
      <c r="AX161" s="180">
        <f>VLOOKUP('Bilateral Assistance, MAIN DATA'!B161,'Country Summary'!B:F,COLUMN('Country Summary'!C171)-1,FALSE)</f>
        <v>1</v>
      </c>
      <c r="AY161" s="180" t="str">
        <f>IF(AND(AD161=1,D161="Military",H161&lt;&gt;"Not given")=TRUE,IF(SUMIFS(P:P,A:A,A161)&gt;0,ABS((SUMIFS(P:P,A:A,A161)/VLOOKUP("USD",'Exchange Rates'!B:C,2,0)))/S161,"."),".")</f>
        <v>.</v>
      </c>
      <c r="AZ161" s="182" t="str">
        <f>IF(AND(AD161=1,D161="Military",H161&lt;&gt;"Not given")=TRUE,IF(SUMIFS(P:P,A:A,A161)&gt;0,IF((ABS((SUMIFS(P:P,A:A,A161)/VLOOKUP("USD",'Exchange Rates'!B:C,2,0)))/S161)&gt;1,(SUMIFS(P:P,A:A,A161)-S161)/S161,(S161-SUMIFS(P:P,A:A,A161))/SUMIFS(P:P,A:A,A161)),"."),".")</f>
        <v>.</v>
      </c>
      <c r="BA161" s="182"/>
      <c r="BB161" s="182"/>
      <c r="BC161" s="182"/>
      <c r="BD161" s="182"/>
      <c r="BE161" s="182"/>
      <c r="BF161" s="182"/>
      <c r="BG161" s="182"/>
      <c r="BH161" s="182"/>
      <c r="BI161" s="182"/>
      <c r="BJ161" s="182"/>
      <c r="BK161" s="182"/>
      <c r="BL161" s="182"/>
      <c r="BM161" s="182"/>
      <c r="BN161" s="182"/>
      <c r="BO161" s="182"/>
      <c r="BP161" s="182"/>
      <c r="BQ161" s="182"/>
      <c r="BR161" s="182"/>
      <c r="BS161" s="182"/>
    </row>
    <row r="162" spans="1:71" ht="15.9" customHeight="1" x14ac:dyDescent="0.3">
      <c r="A162" s="5" t="s">
        <v>721</v>
      </c>
      <c r="B162" s="5" t="s">
        <v>716</v>
      </c>
      <c r="C162" s="174">
        <v>44618</v>
      </c>
      <c r="D162" s="5" t="s">
        <v>285</v>
      </c>
      <c r="E162" s="5" t="s">
        <v>286</v>
      </c>
      <c r="F162" s="175" t="s">
        <v>722</v>
      </c>
      <c r="G162" s="15" t="s">
        <v>718</v>
      </c>
      <c r="H162" s="176">
        <v>188106550</v>
      </c>
      <c r="I162" s="185" t="s">
        <v>730</v>
      </c>
      <c r="J162" s="113" t="str">
        <f>VLOOKUP($I162,'Price List, Weapons &amp; Items'!B:C,2,0)</f>
        <v>Light armaments &amp; infantry</v>
      </c>
      <c r="K162" s="113" t="str">
        <f>IF(I162=".",I162,VLOOKUP($I162,'Price List, Weapons &amp; Items'!B:D,3,0))</f>
        <v>Small Arms and Light Weapons (SALW)</v>
      </c>
      <c r="L162" s="177">
        <f>VLOOKUP(I162,'Price List, Weapons &amp; Items'!B:E,4,0)</f>
        <v>0</v>
      </c>
      <c r="M162" s="542">
        <v>3200</v>
      </c>
      <c r="N162" s="542">
        <f t="shared" si="40"/>
        <v>3200</v>
      </c>
      <c r="O162" s="543">
        <f>VLOOKUP($I162,'Price List, Weapons &amp; Items'!B:G,6,0)</f>
        <v>5175</v>
      </c>
      <c r="P162" s="176">
        <f t="shared" si="31"/>
        <v>16560000</v>
      </c>
      <c r="Q162" s="176">
        <f t="shared" si="32"/>
        <v>16560000</v>
      </c>
      <c r="R162" s="176" t="str">
        <f t="shared" si="28"/>
        <v/>
      </c>
      <c r="S162" s="176" t="str">
        <f>IF(AND(AD162=1,R162&lt;&gt;".")=TRUE,R162/VLOOKUP(G162,'Exchange Rates'!B:C,2,0),IF(R162=".",".",""))</f>
        <v/>
      </c>
      <c r="T162" s="176" t="str">
        <f>IF(AD162=1,IF(AF162="Value is not given at all",".",IF(AF162="Value is given by the source",S162,IF(AF162="Value is calculated with prices",(IF(SUMIFS(Q:Q,A:A,A162)&gt;0,SUMIFS(Q:Q,A:A,A162),"."))/VLOOKUP("USD",'Exchange Rates'!B:C,2,0),"Error with coding"))),"")</f>
        <v/>
      </c>
      <c r="U162" s="15" t="s">
        <v>415</v>
      </c>
      <c r="V162" s="547" t="s">
        <v>724</v>
      </c>
      <c r="W162" s="188" t="s">
        <v>260</v>
      </c>
      <c r="X162" s="188" t="s">
        <v>260</v>
      </c>
      <c r="Y162" s="188" t="s">
        <v>260</v>
      </c>
      <c r="Z162" s="15">
        <v>0</v>
      </c>
      <c r="AA162" s="180">
        <v>0</v>
      </c>
      <c r="AB162" s="549" t="s">
        <v>724</v>
      </c>
      <c r="AC162" s="544" t="str">
        <f>""</f>
        <v/>
      </c>
      <c r="AD162" s="181">
        <v>0</v>
      </c>
      <c r="AE162" s="181" t="s">
        <v>264</v>
      </c>
      <c r="AF162" s="181" t="s">
        <v>264</v>
      </c>
      <c r="AG162" s="181">
        <v>1</v>
      </c>
      <c r="AH162" s="181">
        <v>2</v>
      </c>
      <c r="AI162" s="181">
        <v>0</v>
      </c>
      <c r="AJ162" s="181">
        <f>VLOOKUP($I162,'Price List, Weapons &amp; Items'!B:F,5,0)</f>
        <v>0</v>
      </c>
      <c r="AK162" s="181">
        <f t="shared" si="33"/>
        <v>0</v>
      </c>
      <c r="AL162" s="181">
        <f t="shared" si="34"/>
        <v>0</v>
      </c>
      <c r="AM162" s="181">
        <f t="shared" si="35"/>
        <v>0</v>
      </c>
      <c r="AN162" s="180" t="str">
        <f>VLOOKUP($I162,'Price List, Weapons &amp; Items'!B:L,COLUMN('Price List, Weapons &amp; Items'!$J$11)-1,0)</f>
        <v>Online marketplaces and stores</v>
      </c>
      <c r="AO162" s="180" t="str">
        <f>IF(I162=".",".",VLOOKUP($I162,'Price List, Weapons &amp; Items'!B:J,3,0))</f>
        <v>Small Arms and Light Weapons (SALW)</v>
      </c>
      <c r="AP162" s="545" t="str">
        <f t="shared" ca="1" si="29"/>
        <v/>
      </c>
      <c r="AQ162" s="180">
        <f>VLOOKUP($I162,'Price List, Weapons &amp; Items'!B:L,COLUMN('Price List, Weapons &amp; Items'!$L$11)-1,0)</f>
        <v>2</v>
      </c>
      <c r="AR162" s="180">
        <f t="shared" si="36"/>
        <v>0</v>
      </c>
      <c r="AS162" s="180">
        <f t="shared" si="37"/>
        <v>1</v>
      </c>
      <c r="AT162" s="180">
        <f t="shared" si="30"/>
        <v>1</v>
      </c>
      <c r="AU162" s="180" t="str">
        <f t="shared" si="38"/>
        <v>.</v>
      </c>
      <c r="AV162" s="180" t="str">
        <f t="shared" si="39"/>
        <v>.</v>
      </c>
      <c r="AW162" s="180">
        <f>IFERROR(VLOOKUP(B162,'Share, Heavy Weapons to Ukraine'!B:J,COLUMN('Share, Heavy Weapons to Ukraine'!C169)-1,0),0)</f>
        <v>0</v>
      </c>
      <c r="AX162" s="180">
        <f>VLOOKUP('Bilateral Assistance, MAIN DATA'!B162,'Country Summary'!B:F,COLUMN('Country Summary'!C172)-1,FALSE)</f>
        <v>1</v>
      </c>
      <c r="AY162" s="180" t="str">
        <f>IF(AND(AD162=1,D162="Military",H162&lt;&gt;"Not given")=TRUE,IF(SUMIFS(P:P,A:A,A162)&gt;0,ABS((SUMIFS(P:P,A:A,A162)/VLOOKUP("USD",'Exchange Rates'!B:C,2,0)))/S162,"."),".")</f>
        <v>.</v>
      </c>
      <c r="AZ162" s="182" t="str">
        <f>IF(AND(AD162=1,D162="Military",H162&lt;&gt;"Not given")=TRUE,IF(SUMIFS(P:P,A:A,A162)&gt;0,IF((ABS((SUMIFS(P:P,A:A,A162)/VLOOKUP("USD",'Exchange Rates'!B:C,2,0)))/S162)&gt;1,(SUMIFS(P:P,A:A,A162)-S162)/S162,(S162-SUMIFS(P:P,A:A,A162))/SUMIFS(P:P,A:A,A162)),"."),".")</f>
        <v>.</v>
      </c>
      <c r="BA162" s="182"/>
      <c r="BB162" s="182"/>
      <c r="BC162" s="182"/>
      <c r="BD162" s="182"/>
      <c r="BE162" s="182"/>
      <c r="BF162" s="182"/>
      <c r="BG162" s="182"/>
      <c r="BH162" s="182"/>
      <c r="BI162" s="182"/>
      <c r="BJ162" s="182"/>
      <c r="BK162" s="182"/>
      <c r="BL162" s="182"/>
      <c r="BM162" s="182"/>
      <c r="BN162" s="182"/>
      <c r="BO162" s="182"/>
      <c r="BP162" s="182"/>
      <c r="BQ162" s="182"/>
      <c r="BR162" s="182"/>
      <c r="BS162" s="182"/>
    </row>
    <row r="163" spans="1:71" ht="15.9" customHeight="1" x14ac:dyDescent="0.3">
      <c r="A163" s="5" t="s">
        <v>721</v>
      </c>
      <c r="B163" s="5" t="s">
        <v>716</v>
      </c>
      <c r="C163" s="174">
        <v>44618</v>
      </c>
      <c r="D163" s="5" t="s">
        <v>285</v>
      </c>
      <c r="E163" s="5" t="s">
        <v>286</v>
      </c>
      <c r="F163" s="175" t="s">
        <v>722</v>
      </c>
      <c r="G163" s="15" t="s">
        <v>718</v>
      </c>
      <c r="H163" s="176">
        <v>188106550</v>
      </c>
      <c r="I163" s="185" t="s">
        <v>731</v>
      </c>
      <c r="J163" s="113" t="str">
        <f>VLOOKUP($I163,'Price List, Weapons &amp; Items'!B:C,2,0)</f>
        <v>Light armaments &amp; infantry</v>
      </c>
      <c r="K163" s="113" t="str">
        <f>IF(I163=".",I163,VLOOKUP($I163,'Price List, Weapons &amp; Items'!B:D,3,0))</f>
        <v>Small Arms and Light Weapons (SALW)</v>
      </c>
      <c r="L163" s="177">
        <f>VLOOKUP(I163,'Price List, Weapons &amp; Items'!B:E,4,0)</f>
        <v>1</v>
      </c>
      <c r="M163" s="542">
        <v>12</v>
      </c>
      <c r="N163" s="542">
        <f t="shared" si="40"/>
        <v>12</v>
      </c>
      <c r="O163" s="543">
        <f>VLOOKUP($I163,'Price List, Weapons &amp; Items'!B:G,6,0)</f>
        <v>3832.65</v>
      </c>
      <c r="P163" s="176">
        <f t="shared" si="31"/>
        <v>45991.8</v>
      </c>
      <c r="Q163" s="176">
        <f t="shared" si="32"/>
        <v>45991.8</v>
      </c>
      <c r="R163" s="176" t="str">
        <f t="shared" si="28"/>
        <v/>
      </c>
      <c r="S163" s="176" t="str">
        <f>IF(AND(AD163=1,R163&lt;&gt;".")=TRUE,R163/VLOOKUP(G163,'Exchange Rates'!B:C,2,0),IF(R163=".",".",""))</f>
        <v/>
      </c>
      <c r="T163" s="176" t="str">
        <f>IF(AD163=1,IF(AF163="Value is not given at all",".",IF(AF163="Value is given by the source",S163,IF(AF163="Value is calculated with prices",(IF(SUMIFS(Q:Q,A:A,A163)&gt;0,SUMIFS(Q:Q,A:A,A163),"."))/VLOOKUP("USD",'Exchange Rates'!B:C,2,0),"Error with coding"))),"")</f>
        <v/>
      </c>
      <c r="U163" s="15" t="s">
        <v>415</v>
      </c>
      <c r="V163" s="547" t="s">
        <v>724</v>
      </c>
      <c r="W163" s="188" t="s">
        <v>260</v>
      </c>
      <c r="X163" s="188" t="s">
        <v>260</v>
      </c>
      <c r="Y163" s="188" t="s">
        <v>260</v>
      </c>
      <c r="Z163" s="15">
        <v>0</v>
      </c>
      <c r="AA163" s="180">
        <v>0</v>
      </c>
      <c r="AB163" s="549" t="s">
        <v>724</v>
      </c>
      <c r="AC163" s="544" t="str">
        <f>""</f>
        <v/>
      </c>
      <c r="AD163" s="181">
        <v>0</v>
      </c>
      <c r="AE163" s="181" t="s">
        <v>264</v>
      </c>
      <c r="AF163" s="181" t="s">
        <v>264</v>
      </c>
      <c r="AG163" s="181">
        <v>1</v>
      </c>
      <c r="AH163" s="181">
        <v>2</v>
      </c>
      <c r="AI163" s="181">
        <v>0</v>
      </c>
      <c r="AJ163" s="181">
        <f>VLOOKUP($I163,'Price List, Weapons &amp; Items'!B:F,5,0)</f>
        <v>0</v>
      </c>
      <c r="AK163" s="181">
        <f t="shared" si="33"/>
        <v>0</v>
      </c>
      <c r="AL163" s="181">
        <f t="shared" si="34"/>
        <v>0</v>
      </c>
      <c r="AM163" s="181">
        <f t="shared" si="35"/>
        <v>0</v>
      </c>
      <c r="AN163" s="180" t="str">
        <f>VLOOKUP($I163,'Price List, Weapons &amp; Items'!B:L,COLUMN('Price List, Weapons &amp; Items'!$J$11)-1,0)</f>
        <v>Online marketplaces and stores</v>
      </c>
      <c r="AO163" s="180" t="str">
        <f>IF(I163=".",".",VLOOKUP($I163,'Price List, Weapons &amp; Items'!B:J,3,0))</f>
        <v>Small Arms and Light Weapons (SALW)</v>
      </c>
      <c r="AP163" s="545" t="str">
        <f t="shared" ca="1" si="29"/>
        <v/>
      </c>
      <c r="AQ163" s="180">
        <f>VLOOKUP($I163,'Price List, Weapons &amp; Items'!B:L,COLUMN('Price List, Weapons &amp; Items'!$L$11)-1,0)</f>
        <v>1</v>
      </c>
      <c r="AR163" s="180">
        <f t="shared" si="36"/>
        <v>0</v>
      </c>
      <c r="AS163" s="180">
        <f t="shared" si="37"/>
        <v>1</v>
      </c>
      <c r="AT163" s="180">
        <f t="shared" si="30"/>
        <v>1</v>
      </c>
      <c r="AU163" s="180" t="str">
        <f t="shared" si="38"/>
        <v>.</v>
      </c>
      <c r="AV163" s="180" t="str">
        <f t="shared" si="39"/>
        <v>.</v>
      </c>
      <c r="AW163" s="180">
        <f>IFERROR(VLOOKUP(B163,'Share, Heavy Weapons to Ukraine'!B:J,COLUMN('Share, Heavy Weapons to Ukraine'!C170)-1,0),0)</f>
        <v>0</v>
      </c>
      <c r="AX163" s="180">
        <f>VLOOKUP('Bilateral Assistance, MAIN DATA'!B163,'Country Summary'!B:F,COLUMN('Country Summary'!C173)-1,FALSE)</f>
        <v>1</v>
      </c>
      <c r="AY163" s="180" t="str">
        <f>IF(AND(AD163=1,D163="Military",H163&lt;&gt;"Not given")=TRUE,IF(SUMIFS(P:P,A:A,A163)&gt;0,ABS((SUMIFS(P:P,A:A,A163)/VLOOKUP("USD",'Exchange Rates'!B:C,2,0)))/S163,"."),".")</f>
        <v>.</v>
      </c>
      <c r="AZ163" s="182" t="str">
        <f>IF(AND(AD163=1,D163="Military",H163&lt;&gt;"Not given")=TRUE,IF(SUMIFS(P:P,A:A,A163)&gt;0,IF((ABS((SUMIFS(P:P,A:A,A163)/VLOOKUP("USD",'Exchange Rates'!B:C,2,0)))/S163)&gt;1,(SUMIFS(P:P,A:A,A163)-S163)/S163,(S163-SUMIFS(P:P,A:A,A163))/SUMIFS(P:P,A:A,A163)),"."),".")</f>
        <v>.</v>
      </c>
      <c r="BA163" s="182"/>
      <c r="BB163" s="182"/>
      <c r="BC163" s="182"/>
      <c r="BD163" s="182"/>
      <c r="BE163" s="182"/>
      <c r="BF163" s="182"/>
      <c r="BG163" s="182"/>
      <c r="BH163" s="182"/>
      <c r="BI163" s="182"/>
      <c r="BJ163" s="182"/>
      <c r="BK163" s="182"/>
      <c r="BL163" s="182"/>
      <c r="BM163" s="182"/>
      <c r="BN163" s="182"/>
      <c r="BO163" s="182"/>
      <c r="BP163" s="182"/>
      <c r="BQ163" s="182"/>
      <c r="BR163" s="182"/>
      <c r="BS163" s="182"/>
    </row>
    <row r="164" spans="1:71" ht="15.9" customHeight="1" x14ac:dyDescent="0.3">
      <c r="A164" s="5" t="s">
        <v>721</v>
      </c>
      <c r="B164" s="5" t="s">
        <v>716</v>
      </c>
      <c r="C164" s="174">
        <v>44618</v>
      </c>
      <c r="D164" s="5" t="s">
        <v>285</v>
      </c>
      <c r="E164" s="5" t="s">
        <v>286</v>
      </c>
      <c r="F164" s="175" t="s">
        <v>722</v>
      </c>
      <c r="G164" s="15" t="s">
        <v>718</v>
      </c>
      <c r="H164" s="176">
        <v>188106550</v>
      </c>
      <c r="I164" s="185" t="s">
        <v>732</v>
      </c>
      <c r="J164" s="113" t="str">
        <f>VLOOKUP($I164,'Price List, Weapons &amp; Items'!B:C,2,0)</f>
        <v>Ammunition for light infantry</v>
      </c>
      <c r="K164" s="113" t="str">
        <f>IF(I164=".",I164,VLOOKUP($I164,'Price List, Weapons &amp; Items'!B:D,3,0))</f>
        <v>Small Arms and Light Weapons (SALW) ammunition</v>
      </c>
      <c r="L164" s="177">
        <f>VLOOKUP(I164,'Price List, Weapons &amp; Items'!B:E,4,0)</f>
        <v>1</v>
      </c>
      <c r="M164" s="542">
        <v>1000000</v>
      </c>
      <c r="N164" s="542">
        <f t="shared" si="40"/>
        <v>1000000</v>
      </c>
      <c r="O164" s="543">
        <f>VLOOKUP($I164,'Price List, Weapons &amp; Items'!B:G,6,0)</f>
        <v>0.95</v>
      </c>
      <c r="P164" s="176">
        <f t="shared" si="31"/>
        <v>950000</v>
      </c>
      <c r="Q164" s="176">
        <f t="shared" si="32"/>
        <v>950000</v>
      </c>
      <c r="R164" s="176" t="str">
        <f t="shared" si="28"/>
        <v/>
      </c>
      <c r="S164" s="176" t="str">
        <f>IF(AND(AD164=1,R164&lt;&gt;".")=TRUE,R164/VLOOKUP(G164,'Exchange Rates'!B:C,2,0),IF(R164=".",".",""))</f>
        <v/>
      </c>
      <c r="T164" s="176" t="str">
        <f>IF(AD164=1,IF(AF164="Value is not given at all",".",IF(AF164="Value is given by the source",S164,IF(AF164="Value is calculated with prices",(IF(SUMIFS(Q:Q,A:A,A164)&gt;0,SUMIFS(Q:Q,A:A,A164),"."))/VLOOKUP("USD",'Exchange Rates'!B:C,2,0),"Error with coding"))),"")</f>
        <v/>
      </c>
      <c r="U164" s="15" t="s">
        <v>415</v>
      </c>
      <c r="V164" s="547" t="s">
        <v>724</v>
      </c>
      <c r="W164" s="188" t="s">
        <v>260</v>
      </c>
      <c r="X164" s="188" t="s">
        <v>260</v>
      </c>
      <c r="Y164" s="188" t="s">
        <v>260</v>
      </c>
      <c r="Z164" s="15">
        <v>0</v>
      </c>
      <c r="AA164" s="180">
        <v>0</v>
      </c>
      <c r="AB164" s="549" t="s">
        <v>724</v>
      </c>
      <c r="AC164" s="544" t="str">
        <f>""</f>
        <v/>
      </c>
      <c r="AD164" s="181">
        <v>0</v>
      </c>
      <c r="AE164" s="181" t="s">
        <v>264</v>
      </c>
      <c r="AF164" s="181" t="s">
        <v>264</v>
      </c>
      <c r="AG164" s="181">
        <v>1</v>
      </c>
      <c r="AH164" s="181">
        <v>2</v>
      </c>
      <c r="AI164" s="181">
        <v>0</v>
      </c>
      <c r="AJ164" s="181">
        <f>VLOOKUP($I164,'Price List, Weapons &amp; Items'!B:F,5,0)</f>
        <v>0</v>
      </c>
      <c r="AK164" s="181">
        <f t="shared" si="33"/>
        <v>0</v>
      </c>
      <c r="AL164" s="181">
        <f t="shared" si="34"/>
        <v>0</v>
      </c>
      <c r="AM164" s="181">
        <f t="shared" si="35"/>
        <v>0</v>
      </c>
      <c r="AN164" s="180" t="str">
        <f>VLOOKUP($I164,'Price List, Weapons &amp; Items'!B:L,COLUMN('Price List, Weapons &amp; Items'!$J$11)-1,0)</f>
        <v>Online marketplaces and stores</v>
      </c>
      <c r="AO164" s="180" t="str">
        <f>IF(I164=".",".",VLOOKUP($I164,'Price List, Weapons &amp; Items'!B:J,3,0))</f>
        <v>Small Arms and Light Weapons (SALW) ammunition</v>
      </c>
      <c r="AP164" s="545" t="str">
        <f t="shared" ca="1" si="29"/>
        <v/>
      </c>
      <c r="AQ164" s="180">
        <f>VLOOKUP($I164,'Price List, Weapons &amp; Items'!B:L,COLUMN('Price List, Weapons &amp; Items'!$L$11)-1,0)</f>
        <v>1</v>
      </c>
      <c r="AR164" s="180">
        <f t="shared" si="36"/>
        <v>0</v>
      </c>
      <c r="AS164" s="180">
        <f t="shared" si="37"/>
        <v>1</v>
      </c>
      <c r="AT164" s="180">
        <f t="shared" si="30"/>
        <v>1</v>
      </c>
      <c r="AU164" s="180" t="str">
        <f t="shared" si="38"/>
        <v>.</v>
      </c>
      <c r="AV164" s="180" t="str">
        <f t="shared" si="39"/>
        <v>.</v>
      </c>
      <c r="AW164" s="180">
        <f>IFERROR(VLOOKUP(B164,'Share, Heavy Weapons to Ukraine'!B:J,COLUMN('Share, Heavy Weapons to Ukraine'!C171)-1,0),0)</f>
        <v>0</v>
      </c>
      <c r="AX164" s="180">
        <f>VLOOKUP('Bilateral Assistance, MAIN DATA'!B164,'Country Summary'!B:F,COLUMN('Country Summary'!C174)-1,FALSE)</f>
        <v>1</v>
      </c>
      <c r="AY164" s="180" t="str">
        <f>IF(AND(AD164=1,D164="Military",H164&lt;&gt;"Not given")=TRUE,IF(SUMIFS(P:P,A:A,A164)&gt;0,ABS((SUMIFS(P:P,A:A,A164)/VLOOKUP("USD",'Exchange Rates'!B:C,2,0)))/S164,"."),".")</f>
        <v>.</v>
      </c>
      <c r="AZ164" s="182" t="str">
        <f>IF(AND(AD164=1,D164="Military",H164&lt;&gt;"Not given")=TRUE,IF(SUMIFS(P:P,A:A,A164)&gt;0,IF((ABS((SUMIFS(P:P,A:A,A164)/VLOOKUP("USD",'Exchange Rates'!B:C,2,0)))/S164)&gt;1,(SUMIFS(P:P,A:A,A164)-S164)/S164,(S164-SUMIFS(P:P,A:A,A164))/SUMIFS(P:P,A:A,A164)),"."),".")</f>
        <v>.</v>
      </c>
      <c r="BA164" s="182"/>
      <c r="BB164" s="182"/>
      <c r="BC164" s="182"/>
      <c r="BD164" s="182"/>
      <c r="BE164" s="182"/>
      <c r="BF164" s="182"/>
      <c r="BG164" s="182"/>
      <c r="BH164" s="182"/>
      <c r="BI164" s="182"/>
      <c r="BJ164" s="182"/>
      <c r="BK164" s="182"/>
      <c r="BL164" s="182"/>
      <c r="BM164" s="182"/>
      <c r="BN164" s="182"/>
      <c r="BO164" s="182"/>
      <c r="BP164" s="182"/>
      <c r="BQ164" s="182"/>
      <c r="BR164" s="182"/>
      <c r="BS164" s="182"/>
    </row>
    <row r="165" spans="1:71" ht="15.9" customHeight="1" x14ac:dyDescent="0.3">
      <c r="A165" s="5" t="s">
        <v>721</v>
      </c>
      <c r="B165" s="5" t="s">
        <v>716</v>
      </c>
      <c r="C165" s="174">
        <v>44618</v>
      </c>
      <c r="D165" s="5" t="s">
        <v>285</v>
      </c>
      <c r="E165" s="5" t="s">
        <v>286</v>
      </c>
      <c r="F165" s="175" t="s">
        <v>722</v>
      </c>
      <c r="G165" s="15" t="s">
        <v>718</v>
      </c>
      <c r="H165" s="176">
        <v>188106550</v>
      </c>
      <c r="I165" s="185" t="s">
        <v>733</v>
      </c>
      <c r="J165" s="113" t="str">
        <f>VLOOKUP($I165,'Price List, Weapons &amp; Items'!B:C,2,0)</f>
        <v>Ammunition for light infantry</v>
      </c>
      <c r="K165" s="113" t="str">
        <f>IF(I165=".",I165,VLOOKUP($I165,'Price List, Weapons &amp; Items'!B:D,3,0))</f>
        <v>Small Arms and Light Weapons (SALW) ammunition</v>
      </c>
      <c r="L165" s="177">
        <f>VLOOKUP(I165,'Price List, Weapons &amp; Items'!B:E,4,0)</f>
        <v>0</v>
      </c>
      <c r="M165" s="542">
        <v>1000000</v>
      </c>
      <c r="N165" s="542">
        <f t="shared" si="40"/>
        <v>1000000</v>
      </c>
      <c r="O165" s="543">
        <f>VLOOKUP($I165,'Price List, Weapons &amp; Items'!B:G,6,0)</f>
        <v>0.95</v>
      </c>
      <c r="P165" s="176">
        <f t="shared" si="31"/>
        <v>950000</v>
      </c>
      <c r="Q165" s="176">
        <f t="shared" si="32"/>
        <v>950000</v>
      </c>
      <c r="R165" s="176" t="str">
        <f t="shared" si="28"/>
        <v/>
      </c>
      <c r="S165" s="176" t="str">
        <f>IF(AND(AD165=1,R165&lt;&gt;".")=TRUE,R165/VLOOKUP(G165,'Exchange Rates'!B:C,2,0),IF(R165=".",".",""))</f>
        <v/>
      </c>
      <c r="T165" s="176" t="str">
        <f>IF(AD165=1,IF(AF165="Value is not given at all",".",IF(AF165="Value is given by the source",S165,IF(AF165="Value is calculated with prices",(IF(SUMIFS(Q:Q,A:A,A165)&gt;0,SUMIFS(Q:Q,A:A,A165),"."))/VLOOKUP("USD",'Exchange Rates'!B:C,2,0),"Error with coding"))),"")</f>
        <v/>
      </c>
      <c r="U165" s="15" t="s">
        <v>415</v>
      </c>
      <c r="V165" s="547" t="s">
        <v>724</v>
      </c>
      <c r="W165" s="188" t="s">
        <v>260</v>
      </c>
      <c r="X165" s="188" t="s">
        <v>260</v>
      </c>
      <c r="Y165" s="188" t="s">
        <v>260</v>
      </c>
      <c r="Z165" s="15">
        <v>0</v>
      </c>
      <c r="AA165" s="180">
        <v>0</v>
      </c>
      <c r="AB165" s="549" t="s">
        <v>724</v>
      </c>
      <c r="AC165" s="544" t="str">
        <f>""</f>
        <v/>
      </c>
      <c r="AD165" s="181">
        <v>0</v>
      </c>
      <c r="AE165" s="181" t="s">
        <v>264</v>
      </c>
      <c r="AF165" s="181" t="s">
        <v>264</v>
      </c>
      <c r="AG165" s="181">
        <v>1</v>
      </c>
      <c r="AH165" s="181">
        <v>2</v>
      </c>
      <c r="AI165" s="181">
        <v>0</v>
      </c>
      <c r="AJ165" s="181">
        <f>VLOOKUP($I165,'Price List, Weapons &amp; Items'!B:F,5,0)</f>
        <v>0</v>
      </c>
      <c r="AK165" s="181">
        <f t="shared" si="33"/>
        <v>0</v>
      </c>
      <c r="AL165" s="181">
        <f t="shared" si="34"/>
        <v>0</v>
      </c>
      <c r="AM165" s="181">
        <f t="shared" si="35"/>
        <v>0</v>
      </c>
      <c r="AN165" s="180" t="str">
        <f>VLOOKUP($I165,'Price List, Weapons &amp; Items'!B:L,COLUMN('Price List, Weapons &amp; Items'!$J$11)-1,0)</f>
        <v>Online marketplaces and stores</v>
      </c>
      <c r="AO165" s="180" t="str">
        <f>IF(I165=".",".",VLOOKUP($I165,'Price List, Weapons &amp; Items'!B:J,3,0))</f>
        <v>Small Arms and Light Weapons (SALW) ammunition</v>
      </c>
      <c r="AP165" s="545" t="str">
        <f t="shared" ca="1" si="29"/>
        <v/>
      </c>
      <c r="AQ165" s="180">
        <f>VLOOKUP($I165,'Price List, Weapons &amp; Items'!B:L,COLUMN('Price List, Weapons &amp; Items'!$L$11)-1,0)</f>
        <v>1</v>
      </c>
      <c r="AR165" s="180">
        <f t="shared" si="36"/>
        <v>0</v>
      </c>
      <c r="AS165" s="180">
        <f t="shared" si="37"/>
        <v>1</v>
      </c>
      <c r="AT165" s="180">
        <f t="shared" si="30"/>
        <v>1</v>
      </c>
      <c r="AU165" s="180" t="str">
        <f t="shared" si="38"/>
        <v>.</v>
      </c>
      <c r="AV165" s="180" t="str">
        <f t="shared" si="39"/>
        <v>.</v>
      </c>
      <c r="AW165" s="180">
        <f>IFERROR(VLOOKUP(B165,'Share, Heavy Weapons to Ukraine'!B:J,COLUMN('Share, Heavy Weapons to Ukraine'!C172)-1,0),0)</f>
        <v>0</v>
      </c>
      <c r="AX165" s="180">
        <f>VLOOKUP('Bilateral Assistance, MAIN DATA'!B165,'Country Summary'!B:F,COLUMN('Country Summary'!C175)-1,FALSE)</f>
        <v>1</v>
      </c>
      <c r="AY165" s="180" t="str">
        <f>IF(AND(AD165=1,D165="Military",H165&lt;&gt;"Not given")=TRUE,IF(SUMIFS(P:P,A:A,A165)&gt;0,ABS((SUMIFS(P:P,A:A,A165)/VLOOKUP("USD",'Exchange Rates'!B:C,2,0)))/S165,"."),".")</f>
        <v>.</v>
      </c>
      <c r="AZ165" s="182" t="str">
        <f>IF(AND(AD165=1,D165="Military",H165&lt;&gt;"Not given")=TRUE,IF(SUMIFS(P:P,A:A,A165)&gt;0,IF((ABS((SUMIFS(P:P,A:A,A165)/VLOOKUP("USD",'Exchange Rates'!B:C,2,0)))/S165)&gt;1,(SUMIFS(P:P,A:A,A165)-S165)/S165,(S165-SUMIFS(P:P,A:A,A165))/SUMIFS(P:P,A:A,A165)),"."),".")</f>
        <v>.</v>
      </c>
      <c r="BA165" s="182"/>
      <c r="BB165" s="182"/>
      <c r="BC165" s="182"/>
      <c r="BD165" s="182"/>
      <c r="BE165" s="182"/>
      <c r="BF165" s="182"/>
      <c r="BG165" s="182"/>
      <c r="BH165" s="182"/>
      <c r="BI165" s="182"/>
      <c r="BJ165" s="182"/>
      <c r="BK165" s="182"/>
      <c r="BL165" s="182"/>
      <c r="BM165" s="182"/>
      <c r="BN165" s="182"/>
      <c r="BO165" s="182"/>
      <c r="BP165" s="182"/>
      <c r="BQ165" s="182"/>
      <c r="BR165" s="182"/>
      <c r="BS165" s="182"/>
    </row>
    <row r="166" spans="1:71" ht="15.9" customHeight="1" x14ac:dyDescent="0.3">
      <c r="A166" s="5" t="s">
        <v>721</v>
      </c>
      <c r="B166" s="5" t="s">
        <v>716</v>
      </c>
      <c r="C166" s="174">
        <v>44618</v>
      </c>
      <c r="D166" s="5" t="s">
        <v>285</v>
      </c>
      <c r="E166" s="5" t="s">
        <v>286</v>
      </c>
      <c r="F166" s="175" t="s">
        <v>722</v>
      </c>
      <c r="G166" s="15" t="s">
        <v>718</v>
      </c>
      <c r="H166" s="176">
        <v>188106550</v>
      </c>
      <c r="I166" s="185" t="s">
        <v>734</v>
      </c>
      <c r="J166" s="113" t="str">
        <f>VLOOKUP($I166,'Price List, Weapons &amp; Items'!B:C,2,0)</f>
        <v>Ammunition for light infantry</v>
      </c>
      <c r="K166" s="113" t="str">
        <f>IF(I166=".",I166,VLOOKUP($I166,'Price List, Weapons &amp; Items'!B:D,3,0))</f>
        <v>Small Arms and Light Weapons (SALW) ammunition</v>
      </c>
      <c r="L166" s="177">
        <f>VLOOKUP(I166,'Price List, Weapons &amp; Items'!B:E,4,0)</f>
        <v>0</v>
      </c>
      <c r="M166" s="542">
        <v>150000</v>
      </c>
      <c r="N166" s="542">
        <f t="shared" si="40"/>
        <v>150000</v>
      </c>
      <c r="O166" s="543">
        <f>VLOOKUP($I166,'Price List, Weapons &amp; Items'!B:G,6,0)</f>
        <v>0.95</v>
      </c>
      <c r="P166" s="176">
        <f t="shared" si="31"/>
        <v>142500</v>
      </c>
      <c r="Q166" s="176">
        <f t="shared" si="32"/>
        <v>142500</v>
      </c>
      <c r="R166" s="176" t="str">
        <f t="shared" si="28"/>
        <v/>
      </c>
      <c r="S166" s="176" t="str">
        <f>IF(AND(AD166=1,R166&lt;&gt;".")=TRUE,R166/VLOOKUP(G166,'Exchange Rates'!B:C,2,0),IF(R166=".",".",""))</f>
        <v/>
      </c>
      <c r="T166" s="176" t="str">
        <f>IF(AD166=1,IF(AF166="Value is not given at all",".",IF(AF166="Value is given by the source",S166,IF(AF166="Value is calculated with prices",(IF(SUMIFS(Q:Q,A:A,A166)&gt;0,SUMIFS(Q:Q,A:A,A166),"."))/VLOOKUP("USD",'Exchange Rates'!B:C,2,0),"Error with coding"))),"")</f>
        <v/>
      </c>
      <c r="U166" s="15" t="s">
        <v>415</v>
      </c>
      <c r="V166" s="547" t="s">
        <v>724</v>
      </c>
      <c r="W166" s="188" t="s">
        <v>260</v>
      </c>
      <c r="X166" s="188" t="s">
        <v>260</v>
      </c>
      <c r="Y166" s="188" t="s">
        <v>260</v>
      </c>
      <c r="Z166" s="15">
        <v>0</v>
      </c>
      <c r="AA166" s="180">
        <v>0</v>
      </c>
      <c r="AB166" s="549" t="s">
        <v>724</v>
      </c>
      <c r="AC166" s="544" t="str">
        <f>""</f>
        <v/>
      </c>
      <c r="AD166" s="181">
        <v>0</v>
      </c>
      <c r="AE166" s="181" t="s">
        <v>264</v>
      </c>
      <c r="AF166" s="181" t="s">
        <v>264</v>
      </c>
      <c r="AG166" s="181">
        <v>1</v>
      </c>
      <c r="AH166" s="181">
        <v>2</v>
      </c>
      <c r="AI166" s="181">
        <v>0</v>
      </c>
      <c r="AJ166" s="181">
        <f>VLOOKUP($I166,'Price List, Weapons &amp; Items'!B:F,5,0)</f>
        <v>0</v>
      </c>
      <c r="AK166" s="181">
        <f t="shared" si="33"/>
        <v>0</v>
      </c>
      <c r="AL166" s="181">
        <f t="shared" si="34"/>
        <v>0</v>
      </c>
      <c r="AM166" s="181">
        <f t="shared" si="35"/>
        <v>0</v>
      </c>
      <c r="AN166" s="180" t="str">
        <f>VLOOKUP($I166,'Price List, Weapons &amp; Items'!B:L,COLUMN('Price List, Weapons &amp; Items'!$J$11)-1,0)</f>
        <v>Online marketplaces and stores</v>
      </c>
      <c r="AO166" s="180" t="str">
        <f>IF(I166=".",".",VLOOKUP($I166,'Price List, Weapons &amp; Items'!B:J,3,0))</f>
        <v>Small Arms and Light Weapons (SALW) ammunition</v>
      </c>
      <c r="AP166" s="545" t="str">
        <f t="shared" ca="1" si="29"/>
        <v/>
      </c>
      <c r="AQ166" s="180">
        <f>VLOOKUP($I166,'Price List, Weapons &amp; Items'!B:L,COLUMN('Price List, Weapons &amp; Items'!$L$11)-1,0)</f>
        <v>1</v>
      </c>
      <c r="AR166" s="180">
        <f t="shared" si="36"/>
        <v>0</v>
      </c>
      <c r="AS166" s="180">
        <f t="shared" si="37"/>
        <v>1</v>
      </c>
      <c r="AT166" s="180">
        <f t="shared" si="30"/>
        <v>1</v>
      </c>
      <c r="AU166" s="180" t="str">
        <f t="shared" si="38"/>
        <v>.</v>
      </c>
      <c r="AV166" s="180" t="str">
        <f t="shared" si="39"/>
        <v>.</v>
      </c>
      <c r="AW166" s="180">
        <f>IFERROR(VLOOKUP(B166,'Share, Heavy Weapons to Ukraine'!B:J,COLUMN('Share, Heavy Weapons to Ukraine'!C173)-1,0),0)</f>
        <v>0</v>
      </c>
      <c r="AX166" s="180">
        <f>VLOOKUP('Bilateral Assistance, MAIN DATA'!B166,'Country Summary'!B:F,COLUMN('Country Summary'!C176)-1,FALSE)</f>
        <v>1</v>
      </c>
      <c r="AY166" s="180" t="str">
        <f>IF(AND(AD166=1,D166="Military",H166&lt;&gt;"Not given")=TRUE,IF(SUMIFS(P:P,A:A,A166)&gt;0,ABS((SUMIFS(P:P,A:A,A166)/VLOOKUP("USD",'Exchange Rates'!B:C,2,0)))/S166,"."),".")</f>
        <v>.</v>
      </c>
      <c r="AZ166" s="182" t="str">
        <f>IF(AND(AD166=1,D166="Military",H166&lt;&gt;"Not given")=TRUE,IF(SUMIFS(P:P,A:A,A166)&gt;0,IF((ABS((SUMIFS(P:P,A:A,A166)/VLOOKUP("USD",'Exchange Rates'!B:C,2,0)))/S166)&gt;1,(SUMIFS(P:P,A:A,A166)-S166)/S166,(S166-SUMIFS(P:P,A:A,A166))/SUMIFS(P:P,A:A,A166)),"."),".")</f>
        <v>.</v>
      </c>
      <c r="BA166" s="182"/>
      <c r="BB166" s="182"/>
      <c r="BC166" s="182"/>
      <c r="BD166" s="182"/>
      <c r="BE166" s="182"/>
      <c r="BF166" s="182"/>
      <c r="BG166" s="182"/>
      <c r="BH166" s="182"/>
      <c r="BI166" s="182"/>
      <c r="BJ166" s="182"/>
      <c r="BK166" s="182"/>
      <c r="BL166" s="182"/>
      <c r="BM166" s="182"/>
      <c r="BN166" s="182"/>
      <c r="BO166" s="182"/>
      <c r="BP166" s="182"/>
      <c r="BQ166" s="182"/>
      <c r="BR166" s="182"/>
      <c r="BS166" s="182"/>
    </row>
    <row r="167" spans="1:71" ht="15.9" customHeight="1" x14ac:dyDescent="0.3">
      <c r="A167" s="5" t="s">
        <v>721</v>
      </c>
      <c r="B167" s="5" t="s">
        <v>716</v>
      </c>
      <c r="C167" s="174">
        <v>44618</v>
      </c>
      <c r="D167" s="5" t="s">
        <v>285</v>
      </c>
      <c r="E167" s="5" t="s">
        <v>286</v>
      </c>
      <c r="F167" s="175" t="s">
        <v>722</v>
      </c>
      <c r="G167" s="15" t="s">
        <v>718</v>
      </c>
      <c r="H167" s="176">
        <v>188106550</v>
      </c>
      <c r="I167" s="185" t="s">
        <v>735</v>
      </c>
      <c r="J167" s="113" t="str">
        <f>VLOOKUP($I167,'Price List, Weapons &amp; Items'!B:C,2,0)</f>
        <v>Light armaments &amp; infantry</v>
      </c>
      <c r="K167" s="113" t="str">
        <f>IF(I167=".",I167,VLOOKUP($I167,'Price List, Weapons &amp; Items'!B:D,3,0))</f>
        <v>Anti-materiel rifle</v>
      </c>
      <c r="L167" s="177">
        <f>VLOOKUP(I167,'Price List, Weapons &amp; Items'!B:E,4,0)</f>
        <v>1</v>
      </c>
      <c r="M167" s="542">
        <v>19</v>
      </c>
      <c r="N167" s="542">
        <f t="shared" si="40"/>
        <v>19</v>
      </c>
      <c r="O167" s="543">
        <f>VLOOKUP($I167,'Price List, Weapons &amp; Items'!B:G,6,0)</f>
        <v>8625</v>
      </c>
      <c r="P167" s="176">
        <f t="shared" si="31"/>
        <v>163875</v>
      </c>
      <c r="Q167" s="176">
        <f t="shared" si="32"/>
        <v>163875</v>
      </c>
      <c r="R167" s="176" t="str">
        <f t="shared" si="28"/>
        <v/>
      </c>
      <c r="S167" s="176" t="str">
        <f>IF(AND(AD167=1,R167&lt;&gt;".")=TRUE,R167/VLOOKUP(G167,'Exchange Rates'!B:C,2,0),IF(R167=".",".",""))</f>
        <v/>
      </c>
      <c r="T167" s="176" t="str">
        <f>IF(AD167=1,IF(AF167="Value is not given at all",".",IF(AF167="Value is given by the source",S167,IF(AF167="Value is calculated with prices",(IF(SUMIFS(Q:Q,A:A,A167)&gt;0,SUMIFS(Q:Q,A:A,A167),"."))/VLOOKUP("USD",'Exchange Rates'!B:C,2,0),"Error with coding"))),"")</f>
        <v/>
      </c>
      <c r="U167" s="15" t="s">
        <v>415</v>
      </c>
      <c r="V167" s="547" t="s">
        <v>724</v>
      </c>
      <c r="W167" s="188" t="s">
        <v>260</v>
      </c>
      <c r="X167" s="188" t="s">
        <v>260</v>
      </c>
      <c r="Y167" s="188" t="s">
        <v>260</v>
      </c>
      <c r="Z167" s="15">
        <v>0</v>
      </c>
      <c r="AA167" s="180">
        <v>0</v>
      </c>
      <c r="AB167" s="549" t="s">
        <v>724</v>
      </c>
      <c r="AC167" s="544" t="str">
        <f>""</f>
        <v/>
      </c>
      <c r="AD167" s="181">
        <v>0</v>
      </c>
      <c r="AE167" s="181" t="s">
        <v>264</v>
      </c>
      <c r="AF167" s="181" t="s">
        <v>264</v>
      </c>
      <c r="AG167" s="181">
        <v>1</v>
      </c>
      <c r="AH167" s="181">
        <v>2</v>
      </c>
      <c r="AI167" s="181">
        <v>0</v>
      </c>
      <c r="AJ167" s="181">
        <f>VLOOKUP($I167,'Price List, Weapons &amp; Items'!B:F,5,0)</f>
        <v>0</v>
      </c>
      <c r="AK167" s="181">
        <f t="shared" si="33"/>
        <v>0</v>
      </c>
      <c r="AL167" s="181">
        <f t="shared" si="34"/>
        <v>0</v>
      </c>
      <c r="AM167" s="181">
        <f t="shared" si="35"/>
        <v>0</v>
      </c>
      <c r="AN167" s="180" t="str">
        <f>VLOOKUP($I167,'Price List, Weapons &amp; Items'!B:L,COLUMN('Price List, Weapons &amp; Items'!$J$11)-1,0)</f>
        <v>Manufacturer price</v>
      </c>
      <c r="AO167" s="180" t="str">
        <f>IF(I167=".",".",VLOOKUP($I167,'Price List, Weapons &amp; Items'!B:J,3,0))</f>
        <v>Anti-materiel rifle</v>
      </c>
      <c r="AP167" s="545" t="str">
        <f t="shared" ca="1" si="29"/>
        <v/>
      </c>
      <c r="AQ167" s="180">
        <f>VLOOKUP($I167,'Price List, Weapons &amp; Items'!B:L,COLUMN('Price List, Weapons &amp; Items'!$L$11)-1,0)</f>
        <v>1</v>
      </c>
      <c r="AR167" s="180">
        <f t="shared" si="36"/>
        <v>0</v>
      </c>
      <c r="AS167" s="180">
        <f t="shared" si="37"/>
        <v>1</v>
      </c>
      <c r="AT167" s="180">
        <f t="shared" si="30"/>
        <v>1</v>
      </c>
      <c r="AU167" s="180" t="str">
        <f t="shared" si="38"/>
        <v>.</v>
      </c>
      <c r="AV167" s="180" t="str">
        <f t="shared" si="39"/>
        <v>.</v>
      </c>
      <c r="AW167" s="180">
        <f>IFERROR(VLOOKUP(B167,'Share, Heavy Weapons to Ukraine'!B:J,COLUMN('Share, Heavy Weapons to Ukraine'!C174)-1,0),0)</f>
        <v>0</v>
      </c>
      <c r="AX167" s="180">
        <f>VLOOKUP('Bilateral Assistance, MAIN DATA'!B167,'Country Summary'!B:F,COLUMN('Country Summary'!C177)-1,FALSE)</f>
        <v>1</v>
      </c>
      <c r="AY167" s="180" t="str">
        <f>IF(AND(AD167=1,D167="Military",H167&lt;&gt;"Not given")=TRUE,IF(SUMIFS(P:P,A:A,A167)&gt;0,ABS((SUMIFS(P:P,A:A,A167)/VLOOKUP("USD",'Exchange Rates'!B:C,2,0)))/S167,"."),".")</f>
        <v>.</v>
      </c>
      <c r="AZ167" s="182" t="str">
        <f>IF(AND(AD167=1,D167="Military",H167&lt;&gt;"Not given")=TRUE,IF(SUMIFS(P:P,A:A,A167)&gt;0,IF((ABS((SUMIFS(P:P,A:A,A167)/VLOOKUP("USD",'Exchange Rates'!B:C,2,0)))/S167)&gt;1,(SUMIFS(P:P,A:A,A167)-S167)/S167,(S167-SUMIFS(P:P,A:A,A167))/SUMIFS(P:P,A:A,A167)),"."),".")</f>
        <v>.</v>
      </c>
      <c r="BA167" s="182"/>
      <c r="BB167" s="182"/>
      <c r="BC167" s="182"/>
      <c r="BD167" s="182"/>
      <c r="BE167" s="182"/>
      <c r="BF167" s="182"/>
      <c r="BG167" s="182"/>
      <c r="BH167" s="182"/>
      <c r="BI167" s="182"/>
      <c r="BJ167" s="182"/>
      <c r="BK167" s="182"/>
      <c r="BL167" s="182"/>
      <c r="BM167" s="182"/>
      <c r="BN167" s="182"/>
      <c r="BO167" s="182"/>
      <c r="BP167" s="182"/>
      <c r="BQ167" s="182"/>
      <c r="BR167" s="182"/>
      <c r="BS167" s="182"/>
    </row>
    <row r="168" spans="1:71" s="520" customFormat="1" ht="15.9" customHeight="1" x14ac:dyDescent="0.3">
      <c r="A168" s="5" t="s">
        <v>736</v>
      </c>
      <c r="B168" s="5" t="s">
        <v>716</v>
      </c>
      <c r="C168" s="174">
        <v>44619</v>
      </c>
      <c r="D168" s="194" t="s">
        <v>285</v>
      </c>
      <c r="E168" s="5" t="s">
        <v>286</v>
      </c>
      <c r="F168" s="175" t="s">
        <v>737</v>
      </c>
      <c r="G168" s="15" t="s">
        <v>718</v>
      </c>
      <c r="H168" s="176">
        <v>400000000</v>
      </c>
      <c r="I168" s="184" t="s">
        <v>738</v>
      </c>
      <c r="J168" s="113" t="str">
        <f>VLOOKUP($I168,'Price List, Weapons &amp; Items'!B:C,2,0)</f>
        <v>Portable defence system</v>
      </c>
      <c r="K168" s="113" t="str">
        <f>IF(I168=".",I168,VLOOKUP($I168,'Price List, Weapons &amp; Items'!B:D,3,0))</f>
        <v>Light Anti-armor Weapon (LAW)</v>
      </c>
      <c r="L168" s="177">
        <f>VLOOKUP(I168,'Price List, Weapons &amp; Items'!B:E,4,0)</f>
        <v>0</v>
      </c>
      <c r="M168" s="542">
        <v>160</v>
      </c>
      <c r="N168" s="542">
        <v>160</v>
      </c>
      <c r="O168" s="543">
        <f>VLOOKUP($I168,'Price List, Weapons &amp; Items'!B:G,6,0)</f>
        <v>119000</v>
      </c>
      <c r="P168" s="176">
        <f t="shared" si="31"/>
        <v>19040000</v>
      </c>
      <c r="Q168" s="176">
        <f t="shared" si="32"/>
        <v>19040000</v>
      </c>
      <c r="R168" s="176">
        <f t="shared" si="28"/>
        <v>400000000</v>
      </c>
      <c r="S168" s="176">
        <f>IF(AND(AD168=1,R168&lt;&gt;".")=TRUE,R168/VLOOKUP(G168,'Exchange Rates'!B:C,2,0),IF(R168=".",".",""))</f>
        <v>16677785.190126751</v>
      </c>
      <c r="T168" s="176">
        <f>IF(AD168=1,IF(AF168="Value is not given at all",".",IF(AF168="Value is given by the source",S168,IF(AF168="Value is calculated with prices",(IF(SUMIFS(Q:Q,A:A,A168)&gt;0,SUMIFS(Q:Q,A:A,A168),"."))/VLOOKUP("USD",'Exchange Rates'!B:C,2,0),"Error with coding"))),"")</f>
        <v>16677785.190126751</v>
      </c>
      <c r="U168" s="15" t="s">
        <v>261</v>
      </c>
      <c r="V168" s="547" t="s">
        <v>739</v>
      </c>
      <c r="W168" s="547" t="s">
        <v>740</v>
      </c>
      <c r="X168" s="547" t="s">
        <v>741</v>
      </c>
      <c r="Y168" s="684" t="s">
        <v>260</v>
      </c>
      <c r="Z168" s="15">
        <v>0</v>
      </c>
      <c r="AA168" s="180">
        <v>0</v>
      </c>
      <c r="AB168" s="549" t="s">
        <v>742</v>
      </c>
      <c r="AC168" s="544" t="str">
        <f>""</f>
        <v/>
      </c>
      <c r="AD168" s="181">
        <v>1</v>
      </c>
      <c r="AE168" s="181" t="s">
        <v>264</v>
      </c>
      <c r="AF168" s="181" t="s">
        <v>264</v>
      </c>
      <c r="AG168" s="181">
        <v>1</v>
      </c>
      <c r="AH168" s="181">
        <v>2</v>
      </c>
      <c r="AI168" s="181">
        <v>0</v>
      </c>
      <c r="AJ168" s="181">
        <f>VLOOKUP($I168,'Price List, Weapons &amp; Items'!B:F,5,0)</f>
        <v>0</v>
      </c>
      <c r="AK168" s="181">
        <f t="shared" si="33"/>
        <v>0</v>
      </c>
      <c r="AL168" s="181">
        <f t="shared" si="34"/>
        <v>0</v>
      </c>
      <c r="AM168" s="181">
        <f t="shared" si="35"/>
        <v>0</v>
      </c>
      <c r="AN168" s="180" t="str">
        <f>VLOOKUP($I168,'Price List, Weapons &amp; Items'!B:L,COLUMN('Price List, Weapons &amp; Items'!$J$11)-1,0)</f>
        <v>Miscellaneous</v>
      </c>
      <c r="AO168" s="180" t="str">
        <f>IF(I168=".",".",VLOOKUP($I168,'Price List, Weapons &amp; Items'!B:J,3,0))</f>
        <v>Light Anti-armor Weapon (LAW)</v>
      </c>
      <c r="AP168" s="545" t="e">
        <f t="shared" ca="1" si="29"/>
        <v>#NAME?</v>
      </c>
      <c r="AQ168" s="180">
        <f>VLOOKUP($I168,'Price List, Weapons &amp; Items'!B:L,COLUMN('Price List, Weapons &amp; Items'!$L$11)-1,0)</f>
        <v>2</v>
      </c>
      <c r="AR168" s="180">
        <f t="shared" si="36"/>
        <v>1</v>
      </c>
      <c r="AS168" s="180">
        <f t="shared" si="37"/>
        <v>1</v>
      </c>
      <c r="AT168" s="180">
        <f t="shared" si="30"/>
        <v>1</v>
      </c>
      <c r="AU168" s="180" t="str">
        <f t="shared" si="38"/>
        <v>.</v>
      </c>
      <c r="AV168" s="180" t="str">
        <f t="shared" si="39"/>
        <v>.</v>
      </c>
      <c r="AW168" s="180">
        <f>IFERROR(VLOOKUP(B168,'Share, Heavy Weapons to Ukraine'!B:J,COLUMN('Share, Heavy Weapons to Ukraine'!C175)-1,0),0)</f>
        <v>0</v>
      </c>
      <c r="AX168" s="180">
        <f>VLOOKUP('Bilateral Assistance, MAIN DATA'!B168,'Country Summary'!B:F,COLUMN('Country Summary'!C178)-1,FALSE)</f>
        <v>1</v>
      </c>
      <c r="AY168" s="180">
        <f>IF(AND(AD168=1,D168="Military",H168&lt;&gt;"Not given")=TRUE,IF(SUMIFS(P:P,A:A,A168)&gt;0,ABS((SUMIFS(P:P,A:A,A168)/VLOOKUP("USD",'Exchange Rates'!B:C,2,0)))/S168,"."),".")</f>
        <v>1.1711252980967619</v>
      </c>
      <c r="AZ168" s="182">
        <f>IF(AND(AD168=1,D168="Military",H168&lt;&gt;"Not given")=TRUE,IF(SUMIFS(P:P,A:A,A168)&gt;0,IF((ABS((SUMIFS(P:P,A:A,A168)/VLOOKUP("USD",'Exchange Rates'!B:C,2,0)))/S168)&gt;1,(SUMIFS(P:P,A:A,A168)-S168)/S168,(S168-SUMIFS(P:P,A:A,A168))/SUMIFS(P:P,A:A,A168)),"."),".")</f>
        <v>0.22968156300160009</v>
      </c>
      <c r="BA168" s="1024"/>
      <c r="BB168" s="1024"/>
      <c r="BC168" s="1024"/>
      <c r="BD168" s="1024"/>
      <c r="BE168" s="1024"/>
      <c r="BF168" s="1024"/>
      <c r="BG168" s="1024"/>
      <c r="BH168" s="1024"/>
      <c r="BI168" s="1024"/>
      <c r="BJ168" s="1024"/>
      <c r="BK168" s="1024"/>
      <c r="BL168" s="1024"/>
      <c r="BM168" s="1024"/>
      <c r="BN168" s="1024"/>
      <c r="BO168" s="1024"/>
      <c r="BP168" s="1024"/>
      <c r="BQ168" s="1024"/>
      <c r="BR168" s="1024"/>
      <c r="BS168" s="1024"/>
    </row>
    <row r="169" spans="1:71" s="520" customFormat="1" ht="15.9" customHeight="1" x14ac:dyDescent="0.3">
      <c r="A169" s="5" t="s">
        <v>736</v>
      </c>
      <c r="B169" s="5" t="s">
        <v>716</v>
      </c>
      <c r="C169" s="174">
        <v>44619</v>
      </c>
      <c r="D169" s="194" t="s">
        <v>285</v>
      </c>
      <c r="E169" s="5" t="s">
        <v>286</v>
      </c>
      <c r="F169" s="175" t="s">
        <v>737</v>
      </c>
      <c r="G169" s="15" t="s">
        <v>718</v>
      </c>
      <c r="H169" s="176">
        <v>400000000</v>
      </c>
      <c r="I169" s="184" t="s">
        <v>743</v>
      </c>
      <c r="J169" s="113" t="str">
        <f>VLOOKUP($I169,'Price List, Weapons &amp; Items'!B:C,2,0)</f>
        <v>Light armaments &amp; infantry</v>
      </c>
      <c r="K169" s="113" t="str">
        <f>IF(I169=".",I169,VLOOKUP($I169,'Price List, Weapons &amp; Items'!B:D,3,0))</f>
        <v>Small Arms and Light Weapons (SALW)</v>
      </c>
      <c r="L169" s="177">
        <f>VLOOKUP(I169,'Price List, Weapons &amp; Items'!B:E,4,0)</f>
        <v>0</v>
      </c>
      <c r="M169" s="542">
        <v>20</v>
      </c>
      <c r="N169" s="542">
        <f>M169</f>
        <v>20</v>
      </c>
      <c r="O169" s="543">
        <f>VLOOKUP($I169,'Price List, Weapons &amp; Items'!B:G,6,0)</f>
        <v>52687</v>
      </c>
      <c r="P169" s="176">
        <f t="shared" si="31"/>
        <v>1053740</v>
      </c>
      <c r="Q169" s="176">
        <f t="shared" si="32"/>
        <v>1053740</v>
      </c>
      <c r="R169" s="176" t="str">
        <f t="shared" si="28"/>
        <v/>
      </c>
      <c r="S169" s="176" t="str">
        <f>IF(AND(AD169=1,R169&lt;&gt;".")=TRUE,R169/VLOOKUP(G169,'Exchange Rates'!B:C,2,0),IF(R169=".",".",""))</f>
        <v/>
      </c>
      <c r="T169" s="176" t="str">
        <f>IF(AD169=1,IF(AF169="Value is not given at all",".",IF(AF169="Value is given by the source",S169,IF(AF169="Value is calculated with prices",(IF(SUMIFS(Q:Q,A:A,A169)&gt;0,SUMIFS(Q:Q,A:A,A169),"."))/VLOOKUP("USD",'Exchange Rates'!B:C,2,0),"Error with coding"))),"")</f>
        <v/>
      </c>
      <c r="U169" s="15" t="s">
        <v>261</v>
      </c>
      <c r="V169" s="547" t="s">
        <v>739</v>
      </c>
      <c r="W169" s="547" t="s">
        <v>740</v>
      </c>
      <c r="X169" s="547" t="s">
        <v>741</v>
      </c>
      <c r="Y169" s="188" t="s">
        <v>260</v>
      </c>
      <c r="Z169" s="15">
        <v>0</v>
      </c>
      <c r="AA169" s="180">
        <v>0</v>
      </c>
      <c r="AB169" s="549" t="s">
        <v>742</v>
      </c>
      <c r="AC169" s="544" t="str">
        <f>""</f>
        <v/>
      </c>
      <c r="AD169" s="181">
        <v>0</v>
      </c>
      <c r="AE169" s="181" t="s">
        <v>264</v>
      </c>
      <c r="AF169" s="181" t="s">
        <v>264</v>
      </c>
      <c r="AG169" s="181">
        <v>1</v>
      </c>
      <c r="AH169" s="181">
        <v>2</v>
      </c>
      <c r="AI169" s="181">
        <v>0</v>
      </c>
      <c r="AJ169" s="181">
        <f>VLOOKUP($I169,'Price List, Weapons &amp; Items'!B:F,5,0)</f>
        <v>0</v>
      </c>
      <c r="AK169" s="181">
        <f t="shared" si="33"/>
        <v>0</v>
      </c>
      <c r="AL169" s="181">
        <f t="shared" si="34"/>
        <v>0</v>
      </c>
      <c r="AM169" s="181">
        <f t="shared" si="35"/>
        <v>0</v>
      </c>
      <c r="AN169" s="180" t="str">
        <f>VLOOKUP($I169,'Price List, Weapons &amp; Items'!B:L,COLUMN('Price List, Weapons &amp; Items'!$J$11)-1,0)</f>
        <v>Contracts</v>
      </c>
      <c r="AO169" s="180" t="str">
        <f>IF(I169=".",".",VLOOKUP($I169,'Price List, Weapons &amp; Items'!B:J,3,0))</f>
        <v>Small Arms and Light Weapons (SALW)</v>
      </c>
      <c r="AP169" s="545" t="str">
        <f t="shared" ca="1" si="29"/>
        <v/>
      </c>
      <c r="AQ169" s="180">
        <f>VLOOKUP($I169,'Price List, Weapons &amp; Items'!B:L,COLUMN('Price List, Weapons &amp; Items'!$L$11)-1,0)</f>
        <v>1</v>
      </c>
      <c r="AR169" s="180">
        <f t="shared" si="36"/>
        <v>1</v>
      </c>
      <c r="AS169" s="180">
        <f t="shared" si="37"/>
        <v>1</v>
      </c>
      <c r="AT169" s="180">
        <f t="shared" si="30"/>
        <v>1</v>
      </c>
      <c r="AU169" s="180" t="str">
        <f t="shared" si="38"/>
        <v>.</v>
      </c>
      <c r="AV169" s="180" t="str">
        <f t="shared" si="39"/>
        <v>.</v>
      </c>
      <c r="AW169" s="180">
        <f>IFERROR(VLOOKUP(B169,'Share, Heavy Weapons to Ukraine'!B:J,COLUMN('Share, Heavy Weapons to Ukraine'!C176)-1,0),0)</f>
        <v>0</v>
      </c>
      <c r="AX169" s="180">
        <f>VLOOKUP('Bilateral Assistance, MAIN DATA'!B169,'Country Summary'!B:F,COLUMN('Country Summary'!C179)-1,FALSE)</f>
        <v>1</v>
      </c>
      <c r="AY169" s="180" t="str">
        <f>IF(AND(AD169=1,D169="Military",H169&lt;&gt;"Not given")=TRUE,IF(SUMIFS(P:P,A:A,A169)&gt;0,ABS((SUMIFS(P:P,A:A,A169)/VLOOKUP("USD",'Exchange Rates'!B:C,2,0)))/S169,"."),".")</f>
        <v>.</v>
      </c>
      <c r="AZ169" s="182" t="str">
        <f>IF(AND(AD169=1,D169="Military",H169&lt;&gt;"Not given")=TRUE,IF(SUMIFS(P:P,A:A,A169)&gt;0,IF((ABS((SUMIFS(P:P,A:A,A169)/VLOOKUP("USD",'Exchange Rates'!B:C,2,0)))/S169)&gt;1,(SUMIFS(P:P,A:A,A169)-S169)/S169,(S169-SUMIFS(P:P,A:A,A169))/SUMIFS(P:P,A:A,A169)),"."),".")</f>
        <v>.</v>
      </c>
      <c r="BA169" s="1024"/>
      <c r="BB169" s="1024"/>
      <c r="BC169" s="1024"/>
      <c r="BD169" s="1024"/>
      <c r="BE169" s="1024"/>
      <c r="BF169" s="1024"/>
      <c r="BG169" s="1024"/>
      <c r="BH169" s="1024"/>
      <c r="BI169" s="1024"/>
      <c r="BJ169" s="1024"/>
      <c r="BK169" s="1024"/>
      <c r="BL169" s="1024"/>
      <c r="BM169" s="1024"/>
      <c r="BN169" s="1024"/>
      <c r="BO169" s="1024"/>
      <c r="BP169" s="1024"/>
      <c r="BQ169" s="1024"/>
      <c r="BR169" s="1024"/>
      <c r="BS169" s="1024"/>
    </row>
    <row r="170" spans="1:71" s="520" customFormat="1" ht="15.9" customHeight="1" x14ac:dyDescent="0.3">
      <c r="A170" s="5" t="s">
        <v>736</v>
      </c>
      <c r="B170" s="5" t="s">
        <v>716</v>
      </c>
      <c r="C170" s="174">
        <v>44619</v>
      </c>
      <c r="D170" s="194" t="s">
        <v>285</v>
      </c>
      <c r="E170" s="5" t="s">
        <v>286</v>
      </c>
      <c r="F170" s="175" t="s">
        <v>737</v>
      </c>
      <c r="G170" s="15" t="s">
        <v>718</v>
      </c>
      <c r="H170" s="176">
        <v>400000000</v>
      </c>
      <c r="I170" s="184" t="s">
        <v>744</v>
      </c>
      <c r="J170" s="113" t="str">
        <f>VLOOKUP($I170,'Price List, Weapons &amp; Items'!B:C,2,0)</f>
        <v>Light armaments &amp; infantry</v>
      </c>
      <c r="K170" s="113" t="str">
        <f>IF(I170=".",I170,VLOOKUP($I170,'Price List, Weapons &amp; Items'!B:D,3,0))</f>
        <v>Light Anti-armor Weapon (LAW) ammunition</v>
      </c>
      <c r="L170" s="177">
        <f>VLOOKUP(I170,'Price List, Weapons &amp; Items'!B:E,4,0)</f>
        <v>0</v>
      </c>
      <c r="M170" s="542">
        <v>132</v>
      </c>
      <c r="N170" s="542">
        <f>M170</f>
        <v>132</v>
      </c>
      <c r="O170" s="543">
        <f>VLOOKUP($I170,'Price List, Weapons &amp; Items'!B:G,6,0)</f>
        <v>1818.28</v>
      </c>
      <c r="P170" s="176">
        <f t="shared" si="31"/>
        <v>240012.96</v>
      </c>
      <c r="Q170" s="176">
        <f t="shared" si="32"/>
        <v>240012.96</v>
      </c>
      <c r="R170" s="176" t="str">
        <f t="shared" si="28"/>
        <v/>
      </c>
      <c r="S170" s="176" t="str">
        <f>IF(AND(AD170=1,R170&lt;&gt;".")=TRUE,R170/VLOOKUP(G170,'Exchange Rates'!B:C,2,0),IF(R170=".",".",""))</f>
        <v/>
      </c>
      <c r="T170" s="176" t="str">
        <f>IF(AD170=1,IF(AF170="Value is not given at all",".",IF(AF170="Value is given by the source",S170,IF(AF170="Value is calculated with prices",(IF(SUMIFS(Q:Q,A:A,A170)&gt;0,SUMIFS(Q:Q,A:A,A170),"."))/VLOOKUP("USD",'Exchange Rates'!B:C,2,0),"Error with coding"))),"")</f>
        <v/>
      </c>
      <c r="U170" s="15" t="s">
        <v>261</v>
      </c>
      <c r="V170" s="547" t="s">
        <v>739</v>
      </c>
      <c r="W170" s="547" t="s">
        <v>740</v>
      </c>
      <c r="X170" s="547" t="s">
        <v>741</v>
      </c>
      <c r="Y170" s="188" t="s">
        <v>260</v>
      </c>
      <c r="Z170" s="15">
        <v>0</v>
      </c>
      <c r="AA170" s="180">
        <v>0</v>
      </c>
      <c r="AB170" s="549" t="s">
        <v>742</v>
      </c>
      <c r="AC170" s="544" t="str">
        <f>""</f>
        <v/>
      </c>
      <c r="AD170" s="181">
        <v>0</v>
      </c>
      <c r="AE170" s="181" t="s">
        <v>264</v>
      </c>
      <c r="AF170" s="181" t="s">
        <v>264</v>
      </c>
      <c r="AG170" s="181">
        <v>1</v>
      </c>
      <c r="AH170" s="181">
        <v>2</v>
      </c>
      <c r="AI170" s="181">
        <v>0</v>
      </c>
      <c r="AJ170" s="181">
        <f>VLOOKUP($I170,'Price List, Weapons &amp; Items'!B:F,5,0)</f>
        <v>0</v>
      </c>
      <c r="AK170" s="181">
        <f t="shared" si="33"/>
        <v>0</v>
      </c>
      <c r="AL170" s="181">
        <f t="shared" si="34"/>
        <v>0</v>
      </c>
      <c r="AM170" s="181">
        <f t="shared" si="35"/>
        <v>0</v>
      </c>
      <c r="AN170" s="180" t="str">
        <f>VLOOKUP($I170,'Price List, Weapons &amp; Items'!B:L,COLUMN('Price List, Weapons &amp; Items'!$J$11)-1,0)</f>
        <v>Online marketplaces and stores</v>
      </c>
      <c r="AO170" s="180" t="str">
        <f>IF(I170=".",".",VLOOKUP($I170,'Price List, Weapons &amp; Items'!B:J,3,0))</f>
        <v>Light Anti-armor Weapon (LAW) ammunition</v>
      </c>
      <c r="AP170" s="545" t="str">
        <f t="shared" ca="1" si="29"/>
        <v/>
      </c>
      <c r="AQ170" s="180">
        <f>VLOOKUP($I170,'Price List, Weapons &amp; Items'!B:L,COLUMN('Price List, Weapons &amp; Items'!$L$11)-1,0)</f>
        <v>1</v>
      </c>
      <c r="AR170" s="180">
        <f t="shared" si="36"/>
        <v>1</v>
      </c>
      <c r="AS170" s="180">
        <f t="shared" si="37"/>
        <v>1</v>
      </c>
      <c r="AT170" s="180">
        <f t="shared" si="30"/>
        <v>1</v>
      </c>
      <c r="AU170" s="180" t="str">
        <f t="shared" si="38"/>
        <v>.</v>
      </c>
      <c r="AV170" s="180" t="str">
        <f t="shared" si="39"/>
        <v>.</v>
      </c>
      <c r="AW170" s="180">
        <f>IFERROR(VLOOKUP(B170,'Share, Heavy Weapons to Ukraine'!B:J,COLUMN('Share, Heavy Weapons to Ukraine'!C177)-1,0),0)</f>
        <v>0</v>
      </c>
      <c r="AX170" s="180">
        <f>VLOOKUP('Bilateral Assistance, MAIN DATA'!B170,'Country Summary'!B:F,COLUMN('Country Summary'!C180)-1,FALSE)</f>
        <v>1</v>
      </c>
      <c r="AY170" s="180" t="str">
        <f>IF(AND(AD170=1,D170="Military",H170&lt;&gt;"Not given")=TRUE,IF(SUMIFS(P:P,A:A,A170)&gt;0,ABS((SUMIFS(P:P,A:A,A170)/VLOOKUP("USD",'Exchange Rates'!B:C,2,0)))/S170,"."),".")</f>
        <v>.</v>
      </c>
      <c r="AZ170" s="182" t="str">
        <f>IF(AND(AD170=1,D170="Military",H170&lt;&gt;"Not given")=TRUE,IF(SUMIFS(P:P,A:A,A170)&gt;0,IF((ABS((SUMIFS(P:P,A:A,A170)/VLOOKUP("USD",'Exchange Rates'!B:C,2,0)))/S170)&gt;1,(SUMIFS(P:P,A:A,A170)-S170)/S170,(S170-SUMIFS(P:P,A:A,A170))/SUMIFS(P:P,A:A,A170)),"."),".")</f>
        <v>.</v>
      </c>
      <c r="BA170" s="1024"/>
      <c r="BB170" s="1024"/>
      <c r="BC170" s="1024"/>
      <c r="BD170" s="1024"/>
      <c r="BE170" s="1024"/>
      <c r="BF170" s="1024"/>
      <c r="BG170" s="1024"/>
      <c r="BH170" s="1024"/>
      <c r="BI170" s="1024"/>
      <c r="BJ170" s="1024"/>
      <c r="BK170" s="1024"/>
      <c r="BL170" s="1024"/>
      <c r="BM170" s="1024"/>
      <c r="BN170" s="1024"/>
      <c r="BO170" s="1024"/>
      <c r="BP170" s="1024"/>
      <c r="BQ170" s="1024"/>
      <c r="BR170" s="1024"/>
      <c r="BS170" s="1024"/>
    </row>
    <row r="171" spans="1:71" s="520" customFormat="1" ht="15.9" customHeight="1" x14ac:dyDescent="0.3">
      <c r="A171" s="5" t="s">
        <v>736</v>
      </c>
      <c r="B171" s="5" t="s">
        <v>716</v>
      </c>
      <c r="C171" s="174">
        <v>44619</v>
      </c>
      <c r="D171" s="194" t="s">
        <v>285</v>
      </c>
      <c r="E171" s="5" t="s">
        <v>286</v>
      </c>
      <c r="F171" s="175" t="s">
        <v>737</v>
      </c>
      <c r="G171" s="15" t="s">
        <v>718</v>
      </c>
      <c r="H171" s="176">
        <v>400000000</v>
      </c>
      <c r="I171" s="184" t="s">
        <v>745</v>
      </c>
      <c r="J171" s="113" t="str">
        <f>VLOOKUP($I171,'Price List, Weapons &amp; Items'!B:C,2,0)</f>
        <v>Light armaments &amp; infantry</v>
      </c>
      <c r="K171" s="113" t="str">
        <f>IF(I171=".",I171,VLOOKUP($I171,'Price List, Weapons &amp; Items'!B:D,3,0))</f>
        <v>Light Anti-armor Weapon (LAW) ammunition</v>
      </c>
      <c r="L171" s="177">
        <f>VLOOKUP(I171,'Price List, Weapons &amp; Items'!B:E,4,0)</f>
        <v>0</v>
      </c>
      <c r="M171" s="542">
        <v>70</v>
      </c>
      <c r="N171" s="542">
        <f>M171</f>
        <v>70</v>
      </c>
      <c r="O171" s="543">
        <f>VLOOKUP($I171,'Price List, Weapons &amp; Items'!B:G,6,0)</f>
        <v>992.4</v>
      </c>
      <c r="P171" s="176">
        <f t="shared" si="31"/>
        <v>69468</v>
      </c>
      <c r="Q171" s="176">
        <f t="shared" si="32"/>
        <v>69468</v>
      </c>
      <c r="R171" s="176" t="str">
        <f t="shared" si="28"/>
        <v/>
      </c>
      <c r="S171" s="176" t="str">
        <f>IF(AND(AD171=1,R171&lt;&gt;".")=TRUE,R171/VLOOKUP(G171,'Exchange Rates'!B:C,2,0),IF(R171=".",".",""))</f>
        <v/>
      </c>
      <c r="T171" s="176" t="str">
        <f>IF(AD171=1,IF(AF171="Value is not given at all",".",IF(AF171="Value is given by the source",S171,IF(AF171="Value is calculated with prices",(IF(SUMIFS(Q:Q,A:A,A171)&gt;0,SUMIFS(Q:Q,A:A,A171),"."))/VLOOKUP("USD",'Exchange Rates'!B:C,2,0),"Error with coding"))),"")</f>
        <v/>
      </c>
      <c r="U171" s="15" t="s">
        <v>261</v>
      </c>
      <c r="V171" s="547" t="s">
        <v>739</v>
      </c>
      <c r="W171" s="547" t="s">
        <v>740</v>
      </c>
      <c r="X171" s="547" t="s">
        <v>741</v>
      </c>
      <c r="Y171" s="188" t="s">
        <v>260</v>
      </c>
      <c r="Z171" s="15">
        <v>0</v>
      </c>
      <c r="AA171" s="180">
        <v>0</v>
      </c>
      <c r="AB171" s="549" t="s">
        <v>742</v>
      </c>
      <c r="AC171" s="544" t="str">
        <f>""</f>
        <v/>
      </c>
      <c r="AD171" s="181">
        <v>0</v>
      </c>
      <c r="AE171" s="181" t="s">
        <v>264</v>
      </c>
      <c r="AF171" s="181" t="s">
        <v>264</v>
      </c>
      <c r="AG171" s="181">
        <v>1</v>
      </c>
      <c r="AH171" s="181">
        <v>2</v>
      </c>
      <c r="AI171" s="181">
        <v>0</v>
      </c>
      <c r="AJ171" s="181">
        <f>VLOOKUP($I171,'Price List, Weapons &amp; Items'!B:F,5,0)</f>
        <v>0</v>
      </c>
      <c r="AK171" s="181">
        <f t="shared" si="33"/>
        <v>0</v>
      </c>
      <c r="AL171" s="181">
        <f t="shared" si="34"/>
        <v>0</v>
      </c>
      <c r="AM171" s="181">
        <f t="shared" si="35"/>
        <v>0</v>
      </c>
      <c r="AN171" s="180" t="str">
        <f>VLOOKUP($I171,'Price List, Weapons &amp; Items'!B:L,COLUMN('Price List, Weapons &amp; Items'!$J$11)-1,0)</f>
        <v>Online marketplaces and stores</v>
      </c>
      <c r="AO171" s="180" t="str">
        <f>IF(I171=".",".",VLOOKUP($I171,'Price List, Weapons &amp; Items'!B:J,3,0))</f>
        <v>Light Anti-armor Weapon (LAW) ammunition</v>
      </c>
      <c r="AP171" s="545" t="str">
        <f t="shared" ca="1" si="29"/>
        <v/>
      </c>
      <c r="AQ171" s="180">
        <f>VLOOKUP($I171,'Price List, Weapons &amp; Items'!B:L,COLUMN('Price List, Weapons &amp; Items'!$L$11)-1,0)</f>
        <v>1</v>
      </c>
      <c r="AR171" s="180">
        <f t="shared" si="36"/>
        <v>1</v>
      </c>
      <c r="AS171" s="180">
        <f t="shared" si="37"/>
        <v>1</v>
      </c>
      <c r="AT171" s="180">
        <f t="shared" si="30"/>
        <v>1</v>
      </c>
      <c r="AU171" s="180" t="str">
        <f t="shared" si="38"/>
        <v>.</v>
      </c>
      <c r="AV171" s="180" t="str">
        <f t="shared" si="39"/>
        <v>.</v>
      </c>
      <c r="AW171" s="180">
        <f>IFERROR(VLOOKUP(B171,'Share, Heavy Weapons to Ukraine'!B:J,COLUMN('Share, Heavy Weapons to Ukraine'!C178)-1,0),0)</f>
        <v>0</v>
      </c>
      <c r="AX171" s="180">
        <f>VLOOKUP('Bilateral Assistance, MAIN DATA'!B171,'Country Summary'!B:F,COLUMN('Country Summary'!C181)-1,FALSE)</f>
        <v>1</v>
      </c>
      <c r="AY171" s="180" t="str">
        <f>IF(AND(AD171=1,D171="Military",H171&lt;&gt;"Not given")=TRUE,IF(SUMIFS(P:P,A:A,A171)&gt;0,ABS((SUMIFS(P:P,A:A,A171)/VLOOKUP("USD",'Exchange Rates'!B:C,2,0)))/S171,"."),".")</f>
        <v>.</v>
      </c>
      <c r="AZ171" s="182" t="str">
        <f>IF(AND(AD171=1,D171="Military",H171&lt;&gt;"Not given")=TRUE,IF(SUMIFS(P:P,A:A,A171)&gt;0,IF((ABS((SUMIFS(P:P,A:A,A171)/VLOOKUP("USD",'Exchange Rates'!B:C,2,0)))/S171)&gt;1,(SUMIFS(P:P,A:A,A171)-S171)/S171,(S171-SUMIFS(P:P,A:A,A171))/SUMIFS(P:P,A:A,A171)),"."),".")</f>
        <v>.</v>
      </c>
      <c r="BA171" s="1024"/>
      <c r="BB171" s="1024"/>
      <c r="BC171" s="1024"/>
      <c r="BD171" s="1024"/>
      <c r="BE171" s="1024"/>
      <c r="BF171" s="1024"/>
      <c r="BG171" s="1024"/>
      <c r="BH171" s="1024"/>
      <c r="BI171" s="1024"/>
      <c r="BJ171" s="1024"/>
      <c r="BK171" s="1024"/>
      <c r="BL171" s="1024"/>
      <c r="BM171" s="1024"/>
      <c r="BN171" s="1024"/>
      <c r="BO171" s="1024"/>
      <c r="BP171" s="1024"/>
      <c r="BQ171" s="1024"/>
      <c r="BR171" s="1024"/>
      <c r="BS171" s="1024"/>
    </row>
    <row r="172" spans="1:71" s="520" customFormat="1" ht="15.9" customHeight="1" x14ac:dyDescent="0.3">
      <c r="A172" s="5" t="s">
        <v>736</v>
      </c>
      <c r="B172" s="5" t="s">
        <v>716</v>
      </c>
      <c r="C172" s="174">
        <v>44619</v>
      </c>
      <c r="D172" s="194" t="s">
        <v>285</v>
      </c>
      <c r="E172" s="5" t="s">
        <v>286</v>
      </c>
      <c r="F172" s="175" t="s">
        <v>737</v>
      </c>
      <c r="G172" s="15" t="s">
        <v>718</v>
      </c>
      <c r="H172" s="176">
        <v>400000000</v>
      </c>
      <c r="I172" s="184" t="s">
        <v>746</v>
      </c>
      <c r="J172" s="113" t="str">
        <f>VLOOKUP($I172,'Price List, Weapons &amp; Items'!B:C,2,0)</f>
        <v>Ammunition for light infantry</v>
      </c>
      <c r="K172" s="113" t="str">
        <f>IF(I172=".",I172,VLOOKUP($I172,'Price List, Weapons &amp; Items'!B:D,3,0))</f>
        <v>Small Arms and Light Weapons (SALW) ammunition</v>
      </c>
      <c r="L172" s="177">
        <f>VLOOKUP(I172,'Price List, Weapons &amp; Items'!B:E,4,0)</f>
        <v>0</v>
      </c>
      <c r="M172" s="542">
        <v>108000</v>
      </c>
      <c r="N172" s="542">
        <f>M172</f>
        <v>108000</v>
      </c>
      <c r="O172" s="543">
        <f>VLOOKUP($I172,'Price List, Weapons &amp; Items'!B:G,6,0)</f>
        <v>0.41799999999999998</v>
      </c>
      <c r="P172" s="176">
        <f t="shared" si="31"/>
        <v>45144</v>
      </c>
      <c r="Q172" s="176">
        <f t="shared" si="32"/>
        <v>45144</v>
      </c>
      <c r="R172" s="176" t="str">
        <f t="shared" si="28"/>
        <v/>
      </c>
      <c r="S172" s="176" t="str">
        <f>IF(AND(AD172=1,R172&lt;&gt;".")=TRUE,R172/VLOOKUP(G172,'Exchange Rates'!B:C,2,0),IF(R172=".",".",""))</f>
        <v/>
      </c>
      <c r="T172" s="176" t="str">
        <f>IF(AD172=1,IF(AF172="Value is not given at all",".",IF(AF172="Value is given by the source",S172,IF(AF172="Value is calculated with prices",(IF(SUMIFS(Q:Q,A:A,A172)&gt;0,SUMIFS(Q:Q,A:A,A172),"."))/VLOOKUP("USD",'Exchange Rates'!B:C,2,0),"Error with coding"))),"")</f>
        <v/>
      </c>
      <c r="U172" s="15" t="s">
        <v>261</v>
      </c>
      <c r="V172" s="547" t="s">
        <v>739</v>
      </c>
      <c r="W172" s="547" t="s">
        <v>740</v>
      </c>
      <c r="X172" s="547" t="s">
        <v>741</v>
      </c>
      <c r="Y172" s="188" t="s">
        <v>260</v>
      </c>
      <c r="Z172" s="15">
        <v>0</v>
      </c>
      <c r="AA172" s="180">
        <v>0</v>
      </c>
      <c r="AB172" s="549" t="s">
        <v>742</v>
      </c>
      <c r="AC172" s="544" t="str">
        <f>""</f>
        <v/>
      </c>
      <c r="AD172" s="181">
        <v>0</v>
      </c>
      <c r="AE172" s="181" t="s">
        <v>264</v>
      </c>
      <c r="AF172" s="181" t="s">
        <v>264</v>
      </c>
      <c r="AG172" s="181">
        <v>1</v>
      </c>
      <c r="AH172" s="181">
        <v>2</v>
      </c>
      <c r="AI172" s="181">
        <v>0</v>
      </c>
      <c r="AJ172" s="181">
        <f>VLOOKUP($I172,'Price List, Weapons &amp; Items'!B:F,5,0)</f>
        <v>0</v>
      </c>
      <c r="AK172" s="181">
        <f t="shared" si="33"/>
        <v>0</v>
      </c>
      <c r="AL172" s="181">
        <f t="shared" si="34"/>
        <v>0</v>
      </c>
      <c r="AM172" s="181">
        <f t="shared" si="35"/>
        <v>0</v>
      </c>
      <c r="AN172" s="180" t="str">
        <f>VLOOKUP($I172,'Price List, Weapons &amp; Items'!B:L,COLUMN('Price List, Weapons &amp; Items'!$J$11)-1,0)</f>
        <v>Online marketplaces and stores</v>
      </c>
      <c r="AO172" s="180" t="str">
        <f>IF(I172=".",".",VLOOKUP($I172,'Price List, Weapons &amp; Items'!B:J,3,0))</f>
        <v>Small Arms and Light Weapons (SALW) ammunition</v>
      </c>
      <c r="AP172" s="545" t="str">
        <f t="shared" ca="1" si="29"/>
        <v/>
      </c>
      <c r="AQ172" s="180">
        <f>VLOOKUP($I172,'Price List, Weapons &amp; Items'!B:L,COLUMN('Price List, Weapons &amp; Items'!$L$11)-1,0)</f>
        <v>1</v>
      </c>
      <c r="AR172" s="180">
        <f t="shared" si="36"/>
        <v>1</v>
      </c>
      <c r="AS172" s="180">
        <f t="shared" si="37"/>
        <v>1</v>
      </c>
      <c r="AT172" s="180">
        <f t="shared" si="30"/>
        <v>1</v>
      </c>
      <c r="AU172" s="180" t="str">
        <f t="shared" si="38"/>
        <v>.</v>
      </c>
      <c r="AV172" s="180" t="str">
        <f t="shared" si="39"/>
        <v>.</v>
      </c>
      <c r="AW172" s="180">
        <f>IFERROR(VLOOKUP(B172,'Share, Heavy Weapons to Ukraine'!B:J,COLUMN('Share, Heavy Weapons to Ukraine'!C179)-1,0),0)</f>
        <v>0</v>
      </c>
      <c r="AX172" s="180">
        <f>VLOOKUP('Bilateral Assistance, MAIN DATA'!B172,'Country Summary'!B:F,COLUMN('Country Summary'!C182)-1,FALSE)</f>
        <v>1</v>
      </c>
      <c r="AY172" s="180" t="str">
        <f>IF(AND(AD172=1,D172="Military",H172&lt;&gt;"Not given")=TRUE,IF(SUMIFS(P:P,A:A,A172)&gt;0,ABS((SUMIFS(P:P,A:A,A172)/VLOOKUP("USD",'Exchange Rates'!B:C,2,0)))/S172,"."),".")</f>
        <v>.</v>
      </c>
      <c r="AZ172" s="182" t="str">
        <f>IF(AND(AD172=1,D172="Military",H172&lt;&gt;"Not given")=TRUE,IF(SUMIFS(P:P,A:A,A172)&gt;0,IF((ABS((SUMIFS(P:P,A:A,A172)/VLOOKUP("USD",'Exchange Rates'!B:C,2,0)))/S172)&gt;1,(SUMIFS(P:P,A:A,A172)-S172)/S172,(S172-SUMIFS(P:P,A:A,A172))/SUMIFS(P:P,A:A,A172)),"."),".")</f>
        <v>.</v>
      </c>
      <c r="BA172" s="1024"/>
      <c r="BB172" s="1024"/>
      <c r="BC172" s="1024"/>
      <c r="BD172" s="1024"/>
      <c r="BE172" s="1024"/>
      <c r="BF172" s="1024"/>
      <c r="BG172" s="1024"/>
      <c r="BH172" s="1024"/>
      <c r="BI172" s="1024"/>
      <c r="BJ172" s="1024"/>
      <c r="BK172" s="1024"/>
      <c r="BL172" s="1024"/>
      <c r="BM172" s="1024"/>
      <c r="BN172" s="1024"/>
      <c r="BO172" s="1024"/>
      <c r="BP172" s="1024"/>
      <c r="BQ172" s="1024"/>
      <c r="BR172" s="1024"/>
      <c r="BS172" s="1024"/>
    </row>
    <row r="173" spans="1:71" s="520" customFormat="1" ht="15.9" customHeight="1" x14ac:dyDescent="0.3">
      <c r="A173" s="5" t="s">
        <v>736</v>
      </c>
      <c r="B173" s="5" t="s">
        <v>716</v>
      </c>
      <c r="C173" s="174">
        <v>44619</v>
      </c>
      <c r="D173" s="194" t="s">
        <v>285</v>
      </c>
      <c r="E173" s="5" t="s">
        <v>286</v>
      </c>
      <c r="F173" s="175" t="s">
        <v>737</v>
      </c>
      <c r="G173" s="15" t="s">
        <v>718</v>
      </c>
      <c r="H173" s="176">
        <v>400000000</v>
      </c>
      <c r="I173" s="184" t="s">
        <v>747</v>
      </c>
      <c r="J173" s="113" t="str">
        <f>VLOOKUP($I173,'Price List, Weapons &amp; Items'!B:C,2,0)</f>
        <v>Military equipment</v>
      </c>
      <c r="K173" s="113" t="str">
        <f>IF(I173=".",I173,VLOOKUP($I173,'Price List, Weapons &amp; Items'!B:D,3,0))</f>
        <v>Military equipment</v>
      </c>
      <c r="L173" s="177">
        <f>VLOOKUP(I173,'Price List, Weapons &amp; Items'!B:E,4,0)</f>
        <v>0</v>
      </c>
      <c r="M173" s="542">
        <v>1000</v>
      </c>
      <c r="N173" s="542">
        <f>M173</f>
        <v>1000</v>
      </c>
      <c r="O173" s="543">
        <f>VLOOKUP($I173,'Price List, Weapons &amp; Items'!B:G,6,0)</f>
        <v>60</v>
      </c>
      <c r="P173" s="176">
        <f t="shared" si="31"/>
        <v>60000</v>
      </c>
      <c r="Q173" s="176">
        <f t="shared" si="32"/>
        <v>60000</v>
      </c>
      <c r="R173" s="176" t="str">
        <f t="shared" si="28"/>
        <v/>
      </c>
      <c r="S173" s="176" t="str">
        <f>IF(AND(AD173=1,R173&lt;&gt;".")=TRUE,R173/VLOOKUP(G173,'Exchange Rates'!B:C,2,0),IF(R173=".",".",""))</f>
        <v/>
      </c>
      <c r="T173" s="176" t="str">
        <f>IF(AD173=1,IF(AF173="Value is not given at all",".",IF(AF173="Value is given by the source",S173,IF(AF173="Value is calculated with prices",(IF(SUMIFS(Q:Q,A:A,A173)&gt;0,SUMIFS(Q:Q,A:A,A173),"."))/VLOOKUP("USD",'Exchange Rates'!B:C,2,0),"Error with coding"))),"")</f>
        <v/>
      </c>
      <c r="U173" s="15" t="s">
        <v>261</v>
      </c>
      <c r="V173" s="547" t="s">
        <v>739</v>
      </c>
      <c r="W173" s="547" t="s">
        <v>740</v>
      </c>
      <c r="X173" s="547" t="s">
        <v>741</v>
      </c>
      <c r="Y173" s="188" t="s">
        <v>260</v>
      </c>
      <c r="Z173" s="15">
        <v>0</v>
      </c>
      <c r="AA173" s="180">
        <v>0</v>
      </c>
      <c r="AB173" s="549" t="s">
        <v>742</v>
      </c>
      <c r="AC173" s="544" t="str">
        <f>""</f>
        <v/>
      </c>
      <c r="AD173" s="181">
        <v>0</v>
      </c>
      <c r="AE173" s="181" t="s">
        <v>264</v>
      </c>
      <c r="AF173" s="181" t="s">
        <v>264</v>
      </c>
      <c r="AG173" s="181">
        <v>1</v>
      </c>
      <c r="AH173" s="181">
        <v>2</v>
      </c>
      <c r="AI173" s="181">
        <v>0</v>
      </c>
      <c r="AJ173" s="181">
        <f>VLOOKUP($I173,'Price List, Weapons &amp; Items'!B:F,5,0)</f>
        <v>0</v>
      </c>
      <c r="AK173" s="181">
        <f t="shared" si="33"/>
        <v>0</v>
      </c>
      <c r="AL173" s="181">
        <f t="shared" si="34"/>
        <v>0</v>
      </c>
      <c r="AM173" s="181">
        <f t="shared" si="35"/>
        <v>0</v>
      </c>
      <c r="AN173" s="180" t="str">
        <f>VLOOKUP($I173,'Price List, Weapons &amp; Items'!B:L,COLUMN('Price List, Weapons &amp; Items'!$J$11)-1,0)</f>
        <v>Miscellaneous</v>
      </c>
      <c r="AO173" s="180" t="str">
        <f>IF(I173=".",".",VLOOKUP($I173,'Price List, Weapons &amp; Items'!B:J,3,0))</f>
        <v>Military equipment</v>
      </c>
      <c r="AP173" s="545" t="str">
        <f t="shared" ca="1" si="29"/>
        <v/>
      </c>
      <c r="AQ173" s="180">
        <f>VLOOKUP($I173,'Price List, Weapons &amp; Items'!B:L,COLUMN('Price List, Weapons &amp; Items'!$L$11)-1,0)</f>
        <v>1</v>
      </c>
      <c r="AR173" s="180">
        <f t="shared" si="36"/>
        <v>1</v>
      </c>
      <c r="AS173" s="180">
        <f t="shared" si="37"/>
        <v>1</v>
      </c>
      <c r="AT173" s="180">
        <f t="shared" si="30"/>
        <v>1</v>
      </c>
      <c r="AU173" s="180" t="str">
        <f t="shared" si="38"/>
        <v>.</v>
      </c>
      <c r="AV173" s="180" t="str">
        <f t="shared" si="39"/>
        <v>.</v>
      </c>
      <c r="AW173" s="180">
        <f>IFERROR(VLOOKUP(B173,'Share, Heavy Weapons to Ukraine'!B:J,COLUMN('Share, Heavy Weapons to Ukraine'!C180)-1,0),0)</f>
        <v>0</v>
      </c>
      <c r="AX173" s="180">
        <f>VLOOKUP('Bilateral Assistance, MAIN DATA'!B173,'Country Summary'!B:F,COLUMN('Country Summary'!C183)-1,FALSE)</f>
        <v>1</v>
      </c>
      <c r="AY173" s="180" t="str">
        <f>IF(AND(AD173=1,D173="Military",H173&lt;&gt;"Not given")=TRUE,IF(SUMIFS(P:P,A:A,A173)&gt;0,ABS((SUMIFS(P:P,A:A,A173)/VLOOKUP("USD",'Exchange Rates'!B:C,2,0)))/S173,"."),".")</f>
        <v>.</v>
      </c>
      <c r="AZ173" s="182" t="str">
        <f>IF(AND(AD173=1,D173="Military",H173&lt;&gt;"Not given")=TRUE,IF(SUMIFS(P:P,A:A,A173)&gt;0,IF((ABS((SUMIFS(P:P,A:A,A173)/VLOOKUP("USD",'Exchange Rates'!B:C,2,0)))/S173)&gt;1,(SUMIFS(P:P,A:A,A173)-S173)/S173,(S173-SUMIFS(P:P,A:A,A173))/SUMIFS(P:P,A:A,A173)),"."),".")</f>
        <v>.</v>
      </c>
      <c r="BA173" s="1024"/>
      <c r="BB173" s="1024"/>
      <c r="BC173" s="1024"/>
      <c r="BD173" s="1024"/>
      <c r="BE173" s="1024"/>
      <c r="BF173" s="1024"/>
      <c r="BG173" s="1024"/>
      <c r="BH173" s="1024"/>
      <c r="BI173" s="1024"/>
      <c r="BJ173" s="1024"/>
      <c r="BK173" s="1024"/>
      <c r="BL173" s="1024"/>
      <c r="BM173" s="1024"/>
      <c r="BN173" s="1024"/>
      <c r="BO173" s="1024"/>
      <c r="BP173" s="1024"/>
      <c r="BQ173" s="1024"/>
      <c r="BR173" s="1024"/>
      <c r="BS173" s="1024"/>
    </row>
    <row r="174" spans="1:71" ht="15.9" customHeight="1" x14ac:dyDescent="0.3">
      <c r="A174" s="17" t="s">
        <v>748</v>
      </c>
      <c r="B174" s="17" t="s">
        <v>716</v>
      </c>
      <c r="C174" s="174">
        <v>44623</v>
      </c>
      <c r="D174" s="5" t="s">
        <v>285</v>
      </c>
      <c r="E174" s="5" t="s">
        <v>286</v>
      </c>
      <c r="F174" s="175" t="s">
        <v>749</v>
      </c>
      <c r="G174" s="15" t="s">
        <v>718</v>
      </c>
      <c r="H174" s="176">
        <v>17000000</v>
      </c>
      <c r="I174" s="184" t="s">
        <v>260</v>
      </c>
      <c r="J174" s="113" t="str">
        <f>VLOOKUP($I174,'Price List, Weapons &amp; Items'!B:C,2,0)</f>
        <v>.</v>
      </c>
      <c r="K174" s="113" t="str">
        <f>IF(I174=".",I174,VLOOKUP($I174,'Price List, Weapons &amp; Items'!B:D,3,0))</f>
        <v>.</v>
      </c>
      <c r="L174" s="177">
        <f>VLOOKUP(I174,'Price List, Weapons &amp; Items'!B:E,4,0)</f>
        <v>0</v>
      </c>
      <c r="M174" s="542" t="s">
        <v>260</v>
      </c>
      <c r="N174" s="542" t="s">
        <v>260</v>
      </c>
      <c r="O174" s="543" t="str">
        <f>VLOOKUP($I174,'Price List, Weapons &amp; Items'!B:G,6,0)</f>
        <v>.</v>
      </c>
      <c r="P174" s="176" t="str">
        <f t="shared" si="31"/>
        <v>.</v>
      </c>
      <c r="Q174" s="176" t="str">
        <f t="shared" si="32"/>
        <v>.</v>
      </c>
      <c r="R174" s="176">
        <f t="shared" si="28"/>
        <v>17000000</v>
      </c>
      <c r="S174" s="176">
        <f>IF(AND(AD174=1,R174&lt;&gt;".")=TRUE,R174/VLOOKUP(G174,'Exchange Rates'!B:C,2,0),IF(R174=".",".",""))</f>
        <v>708805.87058038684</v>
      </c>
      <c r="T174" s="176">
        <f>IF(AD174=1,IF(AF174="Value is not given at all",".",IF(AF174="Value is given by the source",S174,IF(AF174="Value is calculated with prices",(IF(SUMIFS(Q:Q,A:A,A174)&gt;0,SUMIFS(Q:Q,A:A,A174),"."))/VLOOKUP("USD",'Exchange Rates'!B:C,2,0),"Error with coding"))),"")</f>
        <v>708805.87058038684</v>
      </c>
      <c r="U174" s="15" t="s">
        <v>261</v>
      </c>
      <c r="V174" s="300" t="s">
        <v>750</v>
      </c>
      <c r="W174" s="300" t="s">
        <v>751</v>
      </c>
      <c r="X174" s="175" t="s">
        <v>260</v>
      </c>
      <c r="Y174" s="175" t="s">
        <v>260</v>
      </c>
      <c r="Z174" s="15">
        <v>0</v>
      </c>
      <c r="AA174" s="180">
        <v>0</v>
      </c>
      <c r="AB174" s="550" t="s">
        <v>742</v>
      </c>
      <c r="AC174" s="544" t="str">
        <f>""</f>
        <v/>
      </c>
      <c r="AD174" s="181">
        <v>1</v>
      </c>
      <c r="AE174" s="181" t="s">
        <v>264</v>
      </c>
      <c r="AF174" s="181" t="s">
        <v>264</v>
      </c>
      <c r="AG174" s="181">
        <v>1</v>
      </c>
      <c r="AH174" s="181">
        <v>3</v>
      </c>
      <c r="AI174" s="181">
        <v>0</v>
      </c>
      <c r="AJ174" s="181">
        <f>VLOOKUP($I174,'Price List, Weapons &amp; Items'!B:F,5,0)</f>
        <v>0</v>
      </c>
      <c r="AK174" s="181">
        <f t="shared" si="33"/>
        <v>0</v>
      </c>
      <c r="AL174" s="181">
        <f t="shared" si="34"/>
        <v>0</v>
      </c>
      <c r="AM174" s="181">
        <f t="shared" si="35"/>
        <v>0</v>
      </c>
      <c r="AN174" s="180" t="str">
        <f>VLOOKUP($I174,'Price List, Weapons &amp; Items'!B:L,COLUMN('Price List, Weapons &amp; Items'!$J$11)-1,0)</f>
        <v>.</v>
      </c>
      <c r="AO174" s="180" t="str">
        <f>IF(I174=".",".",VLOOKUP($I174,'Price List, Weapons &amp; Items'!B:J,3,0))</f>
        <v>.</v>
      </c>
      <c r="AP174" s="545" t="e">
        <f t="shared" ca="1" si="29"/>
        <v>#NAME?</v>
      </c>
      <c r="AQ174" s="180" t="str">
        <f>VLOOKUP($I174,'Price List, Weapons &amp; Items'!B:L,COLUMN('Price List, Weapons &amp; Items'!$L$11)-1,0)</f>
        <v>no price, 0 count</v>
      </c>
      <c r="AR174" s="180">
        <f t="shared" si="36"/>
        <v>1</v>
      </c>
      <c r="AS174" s="180">
        <f t="shared" si="37"/>
        <v>1</v>
      </c>
      <c r="AT174" s="180">
        <f t="shared" si="30"/>
        <v>1</v>
      </c>
      <c r="AU174" s="180" t="str">
        <f t="shared" si="38"/>
        <v>.</v>
      </c>
      <c r="AV174" s="180" t="str">
        <f t="shared" si="39"/>
        <v>.</v>
      </c>
      <c r="AW174" s="180">
        <f>IFERROR(VLOOKUP(B174,'Share, Heavy Weapons to Ukraine'!B:J,COLUMN('Share, Heavy Weapons to Ukraine'!C181)-1,0),0)</f>
        <v>0</v>
      </c>
      <c r="AX174" s="180">
        <f>VLOOKUP('Bilateral Assistance, MAIN DATA'!B174,'Country Summary'!B:F,COLUMN('Country Summary'!C184)-1,FALSE)</f>
        <v>1</v>
      </c>
      <c r="AY174" s="180" t="str">
        <f>IF(AND(AD174=1,D174="Military",H174&lt;&gt;"Not given")=TRUE,IF(SUMIFS(P:P,A:A,A174)&gt;0,ABS((SUMIFS(P:P,A:A,A174)/VLOOKUP("USD",'Exchange Rates'!B:C,2,0)))/S174,"."),".")</f>
        <v>.</v>
      </c>
      <c r="AZ174" s="182" t="str">
        <f>IF(AND(AD174=1,D174="Military",H174&lt;&gt;"Not given")=TRUE,IF(SUMIFS(P:P,A:A,A174)&gt;0,IF((ABS((SUMIFS(P:P,A:A,A174)/VLOOKUP("USD",'Exchange Rates'!B:C,2,0)))/S174)&gt;1,(SUMIFS(P:P,A:A,A174)-S174)/S174,(S174-SUMIFS(P:P,A:A,A174))/SUMIFS(P:P,A:A,A174)),"."),".")</f>
        <v>.</v>
      </c>
      <c r="BA174" s="182"/>
      <c r="BB174" s="182"/>
      <c r="BC174" s="182"/>
      <c r="BD174" s="182"/>
      <c r="BE174" s="182"/>
      <c r="BF174" s="182"/>
      <c r="BG174" s="182"/>
      <c r="BH174" s="182"/>
      <c r="BI174" s="182"/>
      <c r="BJ174" s="182"/>
      <c r="BK174" s="182"/>
      <c r="BL174" s="182"/>
      <c r="BM174" s="182"/>
      <c r="BN174" s="182"/>
      <c r="BO174" s="182"/>
      <c r="BP174" s="182"/>
      <c r="BQ174" s="182"/>
      <c r="BR174" s="182"/>
      <c r="BS174" s="182"/>
    </row>
    <row r="175" spans="1:71" ht="15.9" customHeight="1" x14ac:dyDescent="0.3">
      <c r="A175" s="17" t="s">
        <v>752</v>
      </c>
      <c r="B175" s="17" t="s">
        <v>716</v>
      </c>
      <c r="C175" s="174">
        <v>44629</v>
      </c>
      <c r="D175" s="5" t="s">
        <v>285</v>
      </c>
      <c r="E175" s="5" t="s">
        <v>286</v>
      </c>
      <c r="F175" s="175" t="s">
        <v>753</v>
      </c>
      <c r="G175" s="15" t="s">
        <v>346</v>
      </c>
      <c r="H175" s="176">
        <v>31500000</v>
      </c>
      <c r="I175" s="184" t="s">
        <v>260</v>
      </c>
      <c r="J175" s="113" t="str">
        <f>VLOOKUP($I175,'Price List, Weapons &amp; Items'!B:C,2,0)</f>
        <v>.</v>
      </c>
      <c r="K175" s="113" t="str">
        <f>IF(I175=".",I175,VLOOKUP($I175,'Price List, Weapons &amp; Items'!B:D,3,0))</f>
        <v>.</v>
      </c>
      <c r="L175" s="177">
        <f>VLOOKUP(I175,'Price List, Weapons &amp; Items'!B:E,4,0)</f>
        <v>0</v>
      </c>
      <c r="M175" s="542" t="s">
        <v>260</v>
      </c>
      <c r="N175" s="542" t="s">
        <v>260</v>
      </c>
      <c r="O175" s="543" t="str">
        <f>VLOOKUP($I175,'Price List, Weapons &amp; Items'!B:G,6,0)</f>
        <v>.</v>
      </c>
      <c r="P175" s="176" t="str">
        <f t="shared" si="31"/>
        <v>.</v>
      </c>
      <c r="Q175" s="176" t="str">
        <f t="shared" si="32"/>
        <v>.</v>
      </c>
      <c r="R175" s="176">
        <f t="shared" si="28"/>
        <v>31500000</v>
      </c>
      <c r="S175" s="176">
        <f>IF(AND(AD175=1,R175&lt;&gt;".")=TRUE,R175/VLOOKUP(G175,'Exchange Rates'!B:C,2,0),IF(R175=".",".",""))</f>
        <v>30000000</v>
      </c>
      <c r="T175" s="176">
        <f>IF(AD175=1,IF(AF175="Value is not given at all",".",IF(AF175="Value is given by the source",S175,IF(AF175="Value is calculated with prices",(IF(SUMIFS(Q:Q,A:A,A175)&gt;0,SUMIFS(Q:Q,A:A,A175),"."))/VLOOKUP("USD",'Exchange Rates'!B:C,2,0),"Error with coding"))),"")</f>
        <v>30000000</v>
      </c>
      <c r="U175" s="15" t="s">
        <v>415</v>
      </c>
      <c r="V175" s="300" t="s">
        <v>754</v>
      </c>
      <c r="W175" s="300" t="s">
        <v>755</v>
      </c>
      <c r="X175" s="300" t="s">
        <v>756</v>
      </c>
      <c r="Y175" s="175" t="s">
        <v>260</v>
      </c>
      <c r="Z175" s="15">
        <v>0</v>
      </c>
      <c r="AA175" s="180">
        <v>0</v>
      </c>
      <c r="AB175" s="550" t="s">
        <v>742</v>
      </c>
      <c r="AC175" s="544" t="str">
        <f>""</f>
        <v/>
      </c>
      <c r="AD175" s="181">
        <v>1</v>
      </c>
      <c r="AE175" s="181" t="s">
        <v>264</v>
      </c>
      <c r="AF175" s="181" t="s">
        <v>264</v>
      </c>
      <c r="AG175" s="181">
        <v>1</v>
      </c>
      <c r="AH175" s="181">
        <v>3</v>
      </c>
      <c r="AI175" s="181">
        <v>0</v>
      </c>
      <c r="AJ175" s="181">
        <f>VLOOKUP($I175,'Price List, Weapons &amp; Items'!B:F,5,0)</f>
        <v>0</v>
      </c>
      <c r="AK175" s="181">
        <f t="shared" si="33"/>
        <v>0</v>
      </c>
      <c r="AL175" s="181">
        <f t="shared" si="34"/>
        <v>0</v>
      </c>
      <c r="AM175" s="181">
        <f t="shared" si="35"/>
        <v>0</v>
      </c>
      <c r="AN175" s="180" t="str">
        <f>VLOOKUP($I175,'Price List, Weapons &amp; Items'!B:L,COLUMN('Price List, Weapons &amp; Items'!$J$11)-1,0)</f>
        <v>.</v>
      </c>
      <c r="AO175" s="180" t="str">
        <f>IF(I175=".",".",VLOOKUP($I175,'Price List, Weapons &amp; Items'!B:J,3,0))</f>
        <v>.</v>
      </c>
      <c r="AP175" s="545" t="e">
        <f t="shared" ca="1" si="29"/>
        <v>#NAME?</v>
      </c>
      <c r="AQ175" s="180" t="str">
        <f>VLOOKUP($I175,'Price List, Weapons &amp; Items'!B:L,COLUMN('Price List, Weapons &amp; Items'!$L$11)-1,0)</f>
        <v>no price, 0 count</v>
      </c>
      <c r="AR175" s="180">
        <f t="shared" si="36"/>
        <v>0</v>
      </c>
      <c r="AS175" s="180">
        <f t="shared" si="37"/>
        <v>1</v>
      </c>
      <c r="AT175" s="180">
        <f t="shared" si="30"/>
        <v>1</v>
      </c>
      <c r="AU175" s="180" t="str">
        <f t="shared" si="38"/>
        <v>.</v>
      </c>
      <c r="AV175" s="180" t="str">
        <f t="shared" si="39"/>
        <v>.</v>
      </c>
      <c r="AW175" s="180">
        <f>IFERROR(VLOOKUP(B175,'Share, Heavy Weapons to Ukraine'!B:J,COLUMN('Share, Heavy Weapons to Ukraine'!C182)-1,0),0)</f>
        <v>0</v>
      </c>
      <c r="AX175" s="180">
        <f>VLOOKUP('Bilateral Assistance, MAIN DATA'!B175,'Country Summary'!B:F,COLUMN('Country Summary'!C185)-1,FALSE)</f>
        <v>1</v>
      </c>
      <c r="AY175" s="180" t="str">
        <f>IF(AND(AD175=1,D175="Military",H175&lt;&gt;"Not given")=TRUE,IF(SUMIFS(P:P,A:A,A175)&gt;0,ABS((SUMIFS(P:P,A:A,A175)/VLOOKUP("USD",'Exchange Rates'!B:C,2,0)))/S175,"."),".")</f>
        <v>.</v>
      </c>
      <c r="AZ175" s="182" t="str">
        <f>IF(AND(AD175=1,D175="Military",H175&lt;&gt;"Not given")=TRUE,IF(SUMIFS(P:P,A:A,A175)&gt;0,IF((ABS((SUMIFS(P:P,A:A,A175)/VLOOKUP("USD",'Exchange Rates'!B:C,2,0)))/S175)&gt;1,(SUMIFS(P:P,A:A,A175)-S175)/S175,(S175-SUMIFS(P:P,A:A,A175))/SUMIFS(P:P,A:A,A175)),"."),".")</f>
        <v>.</v>
      </c>
      <c r="BA175" s="182"/>
      <c r="BB175" s="182"/>
      <c r="BC175" s="182"/>
      <c r="BD175" s="182"/>
      <c r="BE175" s="182"/>
      <c r="BF175" s="182"/>
      <c r="BG175" s="182"/>
      <c r="BH175" s="182"/>
      <c r="BI175" s="182"/>
      <c r="BJ175" s="182"/>
      <c r="BK175" s="182"/>
      <c r="BL175" s="182"/>
      <c r="BM175" s="182"/>
      <c r="BN175" s="182"/>
      <c r="BO175" s="182"/>
      <c r="BP175" s="182"/>
      <c r="BQ175" s="182"/>
      <c r="BR175" s="182"/>
      <c r="BS175" s="182"/>
    </row>
    <row r="176" spans="1:71" ht="15.9" customHeight="1" x14ac:dyDescent="0.3">
      <c r="A176" s="17" t="s">
        <v>757</v>
      </c>
      <c r="B176" s="17" t="s">
        <v>716</v>
      </c>
      <c r="C176" s="174">
        <v>44629</v>
      </c>
      <c r="D176" s="5" t="s">
        <v>285</v>
      </c>
      <c r="E176" s="5" t="s">
        <v>294</v>
      </c>
      <c r="F176" s="175" t="s">
        <v>758</v>
      </c>
      <c r="G176" s="15" t="s">
        <v>718</v>
      </c>
      <c r="H176" s="176">
        <v>24000000</v>
      </c>
      <c r="I176" s="184" t="s">
        <v>260</v>
      </c>
      <c r="J176" s="113" t="str">
        <f>VLOOKUP($I176,'Price List, Weapons &amp; Items'!B:C,2,0)</f>
        <v>.</v>
      </c>
      <c r="K176" s="113" t="str">
        <f>IF(I176=".",I176,VLOOKUP($I176,'Price List, Weapons &amp; Items'!B:D,3,0))</f>
        <v>.</v>
      </c>
      <c r="L176" s="177">
        <f>VLOOKUP(I176,'Price List, Weapons &amp; Items'!B:E,4,0)</f>
        <v>0</v>
      </c>
      <c r="M176" s="542" t="s">
        <v>260</v>
      </c>
      <c r="N176" s="542" t="s">
        <v>260</v>
      </c>
      <c r="O176" s="543" t="str">
        <f>VLOOKUP($I176,'Price List, Weapons &amp; Items'!B:G,6,0)</f>
        <v>.</v>
      </c>
      <c r="P176" s="176" t="str">
        <f t="shared" si="31"/>
        <v>.</v>
      </c>
      <c r="Q176" s="176" t="str">
        <f t="shared" si="32"/>
        <v>.</v>
      </c>
      <c r="R176" s="176">
        <f t="shared" si="28"/>
        <v>24000000</v>
      </c>
      <c r="S176" s="176">
        <f>IF(AND(AD176=1,R176&lt;&gt;".")=TRUE,R176/VLOOKUP(G176,'Exchange Rates'!B:C,2,0),IF(R176=".",".",""))</f>
        <v>1000667.111407605</v>
      </c>
      <c r="T176" s="176">
        <f>IF(AD176=1,IF(AF176="Value is not given at all",".",IF(AF176="Value is given by the source",S176,IF(AF176="Value is calculated with prices",(IF(SUMIFS(Q:Q,A:A,A176)&gt;0,SUMIFS(Q:Q,A:A,A176),"."))/VLOOKUP("USD",'Exchange Rates'!B:C,2,0),"Error with coding"))),"")</f>
        <v>1000667.111407605</v>
      </c>
      <c r="U176" s="15" t="s">
        <v>261</v>
      </c>
      <c r="V176" s="300" t="s">
        <v>759</v>
      </c>
      <c r="W176" s="144" t="s">
        <v>260</v>
      </c>
      <c r="X176" s="144" t="s">
        <v>260</v>
      </c>
      <c r="Y176" s="175" t="s">
        <v>260</v>
      </c>
      <c r="Z176" s="15">
        <v>0</v>
      </c>
      <c r="AA176" s="180">
        <v>0</v>
      </c>
      <c r="AB176" s="550" t="s">
        <v>742</v>
      </c>
      <c r="AC176" s="544" t="str">
        <f>""</f>
        <v/>
      </c>
      <c r="AD176" s="181">
        <v>1</v>
      </c>
      <c r="AE176" s="181" t="s">
        <v>264</v>
      </c>
      <c r="AF176" s="181" t="s">
        <v>264</v>
      </c>
      <c r="AG176" s="181">
        <v>1</v>
      </c>
      <c r="AH176" s="181">
        <v>3</v>
      </c>
      <c r="AI176" s="181">
        <v>0</v>
      </c>
      <c r="AJ176" s="181">
        <f>VLOOKUP($I176,'Price List, Weapons &amp; Items'!B:F,5,0)</f>
        <v>0</v>
      </c>
      <c r="AK176" s="181">
        <f t="shared" si="33"/>
        <v>0</v>
      </c>
      <c r="AL176" s="181">
        <f t="shared" si="34"/>
        <v>0</v>
      </c>
      <c r="AM176" s="181">
        <f t="shared" si="35"/>
        <v>0</v>
      </c>
      <c r="AN176" s="180" t="str">
        <f>VLOOKUP($I176,'Price List, Weapons &amp; Items'!B:L,COLUMN('Price List, Weapons &amp; Items'!$J$11)-1,0)</f>
        <v>.</v>
      </c>
      <c r="AO176" s="180" t="str">
        <f>IF(I176=".",".",VLOOKUP($I176,'Price List, Weapons &amp; Items'!B:J,3,0))</f>
        <v>.</v>
      </c>
      <c r="AP176" s="545" t="e">
        <f t="shared" ca="1" si="29"/>
        <v>#NAME?</v>
      </c>
      <c r="AQ176" s="180" t="str">
        <f>VLOOKUP($I176,'Price List, Weapons &amp; Items'!B:L,COLUMN('Price List, Weapons &amp; Items'!$L$11)-1,0)</f>
        <v>no price, 0 count</v>
      </c>
      <c r="AR176" s="180">
        <f t="shared" si="36"/>
        <v>1</v>
      </c>
      <c r="AS176" s="180">
        <f t="shared" si="37"/>
        <v>1</v>
      </c>
      <c r="AT176" s="180">
        <f t="shared" si="30"/>
        <v>1</v>
      </c>
      <c r="AU176" s="180" t="str">
        <f t="shared" si="38"/>
        <v>.</v>
      </c>
      <c r="AV176" s="180" t="str">
        <f t="shared" si="39"/>
        <v>.</v>
      </c>
      <c r="AW176" s="180">
        <f>IFERROR(VLOOKUP(B176,'Share, Heavy Weapons to Ukraine'!B:J,COLUMN('Share, Heavy Weapons to Ukraine'!C183)-1,0),0)</f>
        <v>0</v>
      </c>
      <c r="AX176" s="180">
        <f>VLOOKUP('Bilateral Assistance, MAIN DATA'!B176,'Country Summary'!B:F,COLUMN('Country Summary'!C186)-1,FALSE)</f>
        <v>1</v>
      </c>
      <c r="AY176" s="180" t="str">
        <f>IF(AND(AD176=1,D176="Military",H176&lt;&gt;"Not given")=TRUE,IF(SUMIFS(P:P,A:A,A176)&gt;0,ABS((SUMIFS(P:P,A:A,A176)/VLOOKUP("USD",'Exchange Rates'!B:C,2,0)))/S176,"."),".")</f>
        <v>.</v>
      </c>
      <c r="AZ176" s="182" t="str">
        <f>IF(AND(AD176=1,D176="Military",H176&lt;&gt;"Not given")=TRUE,IF(SUMIFS(P:P,A:A,A176)&gt;0,IF((ABS((SUMIFS(P:P,A:A,A176)/VLOOKUP("USD",'Exchange Rates'!B:C,2,0)))/S176)&gt;1,(SUMIFS(P:P,A:A,A176)-S176)/S176,(S176-SUMIFS(P:P,A:A,A176))/SUMIFS(P:P,A:A,A176)),"."),".")</f>
        <v>.</v>
      </c>
      <c r="BA176" s="182"/>
      <c r="BB176" s="182"/>
      <c r="BC176" s="182"/>
      <c r="BD176" s="182"/>
      <c r="BE176" s="182"/>
      <c r="BF176" s="182"/>
      <c r="BG176" s="182"/>
      <c r="BH176" s="182"/>
      <c r="BI176" s="182"/>
      <c r="BJ176" s="182"/>
      <c r="BK176" s="182"/>
      <c r="BL176" s="182"/>
      <c r="BM176" s="182"/>
      <c r="BN176" s="182"/>
      <c r="BO176" s="182"/>
      <c r="BP176" s="182"/>
      <c r="BQ176" s="182"/>
      <c r="BR176" s="182"/>
      <c r="BS176" s="182"/>
    </row>
    <row r="177" spans="1:71" ht="15.9" customHeight="1" x14ac:dyDescent="0.3">
      <c r="A177" s="17" t="s">
        <v>760</v>
      </c>
      <c r="B177" s="17" t="s">
        <v>716</v>
      </c>
      <c r="C177" s="174">
        <v>44630</v>
      </c>
      <c r="D177" s="5" t="s">
        <v>285</v>
      </c>
      <c r="E177" s="5" t="s">
        <v>294</v>
      </c>
      <c r="F177" s="175" t="s">
        <v>761</v>
      </c>
      <c r="G177" s="15" t="s">
        <v>346</v>
      </c>
      <c r="H177" s="176" t="s">
        <v>341</v>
      </c>
      <c r="I177" s="184" t="s">
        <v>499</v>
      </c>
      <c r="J177" s="113" t="str">
        <f>VLOOKUP($I177,'Price List, Weapons &amp; Items'!B:C,2,0)</f>
        <v>Military equipment</v>
      </c>
      <c r="K177" s="113" t="str">
        <f>IF(I177=".",I177,VLOOKUP($I177,'Price List, Weapons &amp; Items'!B:D,3,0))</f>
        <v>Military equipment</v>
      </c>
      <c r="L177" s="177">
        <f>VLOOKUP(I177,'Price List, Weapons &amp; Items'!B:E,4,0)</f>
        <v>0</v>
      </c>
      <c r="M177" s="542">
        <v>22</v>
      </c>
      <c r="N177" s="542">
        <v>22</v>
      </c>
      <c r="O177" s="543">
        <f>VLOOKUP($I177,'Price List, Weapons &amp; Items'!B:G,6,0)</f>
        <v>500</v>
      </c>
      <c r="P177" s="176">
        <f t="shared" si="31"/>
        <v>11000</v>
      </c>
      <c r="Q177" s="176">
        <f t="shared" si="32"/>
        <v>11000</v>
      </c>
      <c r="R177" s="176">
        <f t="shared" si="28"/>
        <v>11000</v>
      </c>
      <c r="S177" s="176">
        <f>IF(AND(AD177=1,R177&lt;&gt;".")=TRUE,R177/VLOOKUP(G177,'Exchange Rates'!B:C,2,0),IF(R177=".",".",""))</f>
        <v>10476.190476190475</v>
      </c>
      <c r="T177" s="176">
        <f>IF(AD177=1,IF(AF177="Value is not given at all",".",IF(AF177="Value is given by the source",S177,IF(AF177="Value is calculated with prices",(IF(SUMIFS(Q:Q,A:A,A177)&gt;0,SUMIFS(Q:Q,A:A,A177),"."))/VLOOKUP("USD",'Exchange Rates'!B:C,2,0),"Error with coding"))),"")</f>
        <v>10476.190476190475</v>
      </c>
      <c r="U177" s="15" t="s">
        <v>261</v>
      </c>
      <c r="V177" s="300" t="s">
        <v>759</v>
      </c>
      <c r="W177" s="144" t="s">
        <v>260</v>
      </c>
      <c r="X177" s="144" t="s">
        <v>260</v>
      </c>
      <c r="Y177" s="175" t="s">
        <v>260</v>
      </c>
      <c r="Z177" s="15">
        <v>0</v>
      </c>
      <c r="AA177" s="180">
        <v>0</v>
      </c>
      <c r="AB177" s="549" t="s">
        <v>742</v>
      </c>
      <c r="AC177" s="544" t="str">
        <f>""</f>
        <v/>
      </c>
      <c r="AD177" s="181">
        <v>1</v>
      </c>
      <c r="AE177" s="181" t="s">
        <v>332</v>
      </c>
      <c r="AF177" s="181" t="s">
        <v>332</v>
      </c>
      <c r="AG177" s="181">
        <v>1</v>
      </c>
      <c r="AH177" s="181">
        <v>3</v>
      </c>
      <c r="AI177" s="181">
        <v>0</v>
      </c>
      <c r="AJ177" s="181">
        <f>VLOOKUP($I177,'Price List, Weapons &amp; Items'!B:F,5,0)</f>
        <v>0</v>
      </c>
      <c r="AK177" s="181">
        <f t="shared" si="33"/>
        <v>0</v>
      </c>
      <c r="AL177" s="181">
        <f t="shared" si="34"/>
        <v>0</v>
      </c>
      <c r="AM177" s="181">
        <f t="shared" si="35"/>
        <v>0</v>
      </c>
      <c r="AN177" s="180" t="str">
        <f>VLOOKUP($I177,'Price List, Weapons &amp; Items'!B:L,COLUMN('Price List, Weapons &amp; Items'!$J$11)-1,0)</f>
        <v>Military media (incl. websites)</v>
      </c>
      <c r="AO177" s="180" t="str">
        <f>IF(I177=".",".",VLOOKUP($I177,'Price List, Weapons &amp; Items'!B:J,3,0))</f>
        <v>Military equipment</v>
      </c>
      <c r="AP177" s="545" t="e">
        <f t="shared" ca="1" si="29"/>
        <v>#NAME?</v>
      </c>
      <c r="AQ177" s="180">
        <f>VLOOKUP($I177,'Price List, Weapons &amp; Items'!B:L,COLUMN('Price List, Weapons &amp; Items'!$L$11)-1,0)</f>
        <v>2</v>
      </c>
      <c r="AR177" s="180">
        <f t="shared" si="36"/>
        <v>1</v>
      </c>
      <c r="AS177" s="180">
        <f t="shared" si="37"/>
        <v>1</v>
      </c>
      <c r="AT177" s="180">
        <f t="shared" si="30"/>
        <v>1</v>
      </c>
      <c r="AU177" s="180" t="str">
        <f t="shared" si="38"/>
        <v>.</v>
      </c>
      <c r="AV177" s="180" t="str">
        <f t="shared" si="39"/>
        <v>.</v>
      </c>
      <c r="AW177" s="180">
        <f>IFERROR(VLOOKUP(B177,'Share, Heavy Weapons to Ukraine'!B:J,COLUMN('Share, Heavy Weapons to Ukraine'!C184)-1,0),0)</f>
        <v>0</v>
      </c>
      <c r="AX177" s="180">
        <f>VLOOKUP('Bilateral Assistance, MAIN DATA'!B177,'Country Summary'!B:F,COLUMN('Country Summary'!C187)-1,FALSE)</f>
        <v>1</v>
      </c>
      <c r="AY177" s="180" t="str">
        <f>IF(AND(AD177=1,D177="Military",H177&lt;&gt;"Not given")=TRUE,IF(SUMIFS(P:P,A:A,A177)&gt;0,ABS((SUMIFS(P:P,A:A,A177)/VLOOKUP("USD",'Exchange Rates'!B:C,2,0)))/S177,"."),".")</f>
        <v>.</v>
      </c>
      <c r="AZ177" s="182" t="str">
        <f>IF(AND(AD177=1,D177="Military",H177&lt;&gt;"Not given")=TRUE,IF(SUMIFS(P:P,A:A,A177)&gt;0,IF((ABS((SUMIFS(P:P,A:A,A177)/VLOOKUP("USD",'Exchange Rates'!B:C,2,0)))/S177)&gt;1,(SUMIFS(P:P,A:A,A177)-S177)/S177,(S177-SUMIFS(P:P,A:A,A177))/SUMIFS(P:P,A:A,A177)),"."),".")</f>
        <v>.</v>
      </c>
      <c r="BA177" s="182"/>
      <c r="BB177" s="182"/>
      <c r="BC177" s="182"/>
      <c r="BD177" s="182"/>
      <c r="BE177" s="182"/>
      <c r="BF177" s="182"/>
      <c r="BG177" s="182"/>
      <c r="BH177" s="182"/>
      <c r="BI177" s="182"/>
      <c r="BJ177" s="182"/>
      <c r="BK177" s="182"/>
      <c r="BL177" s="182"/>
      <c r="BM177" s="182"/>
      <c r="BN177" s="182"/>
      <c r="BO177" s="182"/>
      <c r="BP177" s="182"/>
      <c r="BQ177" s="182"/>
      <c r="BR177" s="182"/>
      <c r="BS177" s="182"/>
    </row>
    <row r="178" spans="1:71" ht="15.9" customHeight="1" x14ac:dyDescent="0.3">
      <c r="A178" s="17" t="s">
        <v>762</v>
      </c>
      <c r="B178" s="17" t="s">
        <v>716</v>
      </c>
      <c r="C178" s="174" t="s">
        <v>763</v>
      </c>
      <c r="D178" s="5" t="s">
        <v>285</v>
      </c>
      <c r="E178" s="5" t="s">
        <v>294</v>
      </c>
      <c r="F178" s="175" t="s">
        <v>764</v>
      </c>
      <c r="G178" s="15" t="s">
        <v>718</v>
      </c>
      <c r="H178" s="176">
        <v>53260000</v>
      </c>
      <c r="I178" s="184" t="s">
        <v>260</v>
      </c>
      <c r="J178" s="113" t="str">
        <f>VLOOKUP($I178,'Price List, Weapons &amp; Items'!B:C,2,0)</f>
        <v>.</v>
      </c>
      <c r="K178" s="113" t="str">
        <f>IF(I178=".",I178,VLOOKUP($I178,'Price List, Weapons &amp; Items'!B:D,3,0))</f>
        <v>.</v>
      </c>
      <c r="L178" s="177">
        <f>VLOOKUP(I178,'Price List, Weapons &amp; Items'!B:E,4,0)</f>
        <v>0</v>
      </c>
      <c r="M178" s="542" t="s">
        <v>260</v>
      </c>
      <c r="N178" s="542" t="s">
        <v>260</v>
      </c>
      <c r="O178" s="543" t="str">
        <f>VLOOKUP($I178,'Price List, Weapons &amp; Items'!B:G,6,0)</f>
        <v>.</v>
      </c>
      <c r="P178" s="176" t="str">
        <f t="shared" si="31"/>
        <v>.</v>
      </c>
      <c r="Q178" s="176" t="str">
        <f t="shared" si="32"/>
        <v>.</v>
      </c>
      <c r="R178" s="176">
        <f t="shared" si="28"/>
        <v>53260000</v>
      </c>
      <c r="S178" s="176">
        <f>IF(AND(AD178=1,R178&lt;&gt;".")=TRUE,R178/VLOOKUP(G178,'Exchange Rates'!B:C,2,0),IF(R178=".",".",""))</f>
        <v>2220647.0980653767</v>
      </c>
      <c r="T178" s="176">
        <f>IF(AD178=1,IF(AF178="Value is not given at all",".",IF(AF178="Value is given by the source",S178,IF(AF178="Value is calculated with prices",(IF(SUMIFS(Q:Q,A:A,A178)&gt;0,SUMIFS(Q:Q,A:A,A178),"."))/VLOOKUP("USD",'Exchange Rates'!B:C,2,0),"Error with coding"))),"")</f>
        <v>2220647.0980653767</v>
      </c>
      <c r="U178" s="15" t="s">
        <v>261</v>
      </c>
      <c r="V178" s="300" t="s">
        <v>759</v>
      </c>
      <c r="W178" s="144" t="s">
        <v>260</v>
      </c>
      <c r="X178" s="144" t="s">
        <v>260</v>
      </c>
      <c r="Y178" s="175" t="s">
        <v>260</v>
      </c>
      <c r="Z178" s="15">
        <v>0</v>
      </c>
      <c r="AA178" s="180">
        <v>0</v>
      </c>
      <c r="AB178" s="549" t="s">
        <v>742</v>
      </c>
      <c r="AC178" s="544" t="str">
        <f>""</f>
        <v/>
      </c>
      <c r="AD178" s="181">
        <v>1</v>
      </c>
      <c r="AE178" s="181" t="s">
        <v>264</v>
      </c>
      <c r="AF178" s="181" t="s">
        <v>264</v>
      </c>
      <c r="AG178" s="181">
        <v>1</v>
      </c>
      <c r="AH178" s="181">
        <v>3</v>
      </c>
      <c r="AI178" s="181">
        <v>0</v>
      </c>
      <c r="AJ178" s="181">
        <f>VLOOKUP($I178,'Price List, Weapons &amp; Items'!B:F,5,0)</f>
        <v>0</v>
      </c>
      <c r="AK178" s="181">
        <f t="shared" si="33"/>
        <v>0</v>
      </c>
      <c r="AL178" s="181">
        <f t="shared" si="34"/>
        <v>0</v>
      </c>
      <c r="AM178" s="181">
        <f t="shared" si="35"/>
        <v>0</v>
      </c>
      <c r="AN178" s="180" t="str">
        <f>VLOOKUP($I178,'Price List, Weapons &amp; Items'!B:L,COLUMN('Price List, Weapons &amp; Items'!$J$11)-1,0)</f>
        <v>.</v>
      </c>
      <c r="AO178" s="180" t="str">
        <f>IF(I178=".",".",VLOOKUP($I178,'Price List, Weapons &amp; Items'!B:J,3,0))</f>
        <v>.</v>
      </c>
      <c r="AP178" s="545" t="e">
        <f t="shared" ca="1" si="29"/>
        <v>#NAME?</v>
      </c>
      <c r="AQ178" s="180" t="str">
        <f>VLOOKUP($I178,'Price List, Weapons &amp; Items'!B:L,COLUMN('Price List, Weapons &amp; Items'!$L$11)-1,0)</f>
        <v>no price, 0 count</v>
      </c>
      <c r="AR178" s="180">
        <f t="shared" si="36"/>
        <v>1</v>
      </c>
      <c r="AS178" s="180">
        <f t="shared" si="37"/>
        <v>1</v>
      </c>
      <c r="AT178" s="180" t="str">
        <f t="shared" si="30"/>
        <v>Value is not in date format</v>
      </c>
      <c r="AU178" s="180" t="str">
        <f t="shared" si="38"/>
        <v>.</v>
      </c>
      <c r="AV178" s="180" t="str">
        <f t="shared" si="39"/>
        <v>.</v>
      </c>
      <c r="AW178" s="180">
        <f>IFERROR(VLOOKUP(B178,'Share, Heavy Weapons to Ukraine'!B:J,COLUMN('Share, Heavy Weapons to Ukraine'!C185)-1,0),0)</f>
        <v>0</v>
      </c>
      <c r="AX178" s="180">
        <f>VLOOKUP('Bilateral Assistance, MAIN DATA'!B178,'Country Summary'!B:F,COLUMN('Country Summary'!C188)-1,FALSE)</f>
        <v>1</v>
      </c>
      <c r="AY178" s="180" t="str">
        <f>IF(AND(AD178=1,D178="Military",H178&lt;&gt;"Not given")=TRUE,IF(SUMIFS(P:P,A:A,A178)&gt;0,ABS((SUMIFS(P:P,A:A,A178)/VLOOKUP("USD",'Exchange Rates'!B:C,2,0)))/S178,"."),".")</f>
        <v>.</v>
      </c>
      <c r="AZ178" s="182" t="str">
        <f>IF(AND(AD178=1,D178="Military",H178&lt;&gt;"Not given")=TRUE,IF(SUMIFS(P:P,A:A,A178)&gt;0,IF((ABS((SUMIFS(P:P,A:A,A178)/VLOOKUP("USD",'Exchange Rates'!B:C,2,0)))/S178)&gt;1,(SUMIFS(P:P,A:A,A178)-S178)/S178,(S178-SUMIFS(P:P,A:A,A178))/SUMIFS(P:P,A:A,A178)),"."),".")</f>
        <v>.</v>
      </c>
      <c r="BA178" s="182"/>
      <c r="BB178" s="182"/>
      <c r="BC178" s="182"/>
      <c r="BD178" s="182"/>
      <c r="BE178" s="182"/>
      <c r="BF178" s="182"/>
      <c r="BG178" s="182"/>
      <c r="BH178" s="182"/>
      <c r="BI178" s="182"/>
      <c r="BJ178" s="182"/>
      <c r="BK178" s="182"/>
      <c r="BL178" s="182"/>
      <c r="BM178" s="182"/>
      <c r="BN178" s="182"/>
      <c r="BO178" s="182"/>
      <c r="BP178" s="182"/>
      <c r="BQ178" s="182"/>
      <c r="BR178" s="182"/>
      <c r="BS178" s="182"/>
    </row>
    <row r="179" spans="1:71" ht="15.9" customHeight="1" x14ac:dyDescent="0.3">
      <c r="A179" s="17" t="s">
        <v>765</v>
      </c>
      <c r="B179" s="17" t="s">
        <v>716</v>
      </c>
      <c r="C179" s="174" t="s">
        <v>766</v>
      </c>
      <c r="D179" s="5" t="s">
        <v>285</v>
      </c>
      <c r="E179" s="5" t="s">
        <v>294</v>
      </c>
      <c r="F179" s="175" t="s">
        <v>767</v>
      </c>
      <c r="G179" s="15" t="s">
        <v>718</v>
      </c>
      <c r="H179" s="176">
        <v>30000000</v>
      </c>
      <c r="I179" s="184" t="s">
        <v>260</v>
      </c>
      <c r="J179" s="113" t="str">
        <f>VLOOKUP($I179,'Price List, Weapons &amp; Items'!B:C,2,0)</f>
        <v>.</v>
      </c>
      <c r="K179" s="113" t="str">
        <f>IF(I179=".",I179,VLOOKUP($I179,'Price List, Weapons &amp; Items'!B:D,3,0))</f>
        <v>.</v>
      </c>
      <c r="L179" s="177">
        <f>VLOOKUP(I179,'Price List, Weapons &amp; Items'!B:E,4,0)</f>
        <v>0</v>
      </c>
      <c r="M179" s="542" t="s">
        <v>260</v>
      </c>
      <c r="N179" s="542" t="s">
        <v>260</v>
      </c>
      <c r="O179" s="543" t="str">
        <f>VLOOKUP($I179,'Price List, Weapons &amp; Items'!B:G,6,0)</f>
        <v>.</v>
      </c>
      <c r="P179" s="176" t="str">
        <f t="shared" si="31"/>
        <v>.</v>
      </c>
      <c r="Q179" s="176" t="str">
        <f t="shared" si="32"/>
        <v>.</v>
      </c>
      <c r="R179" s="176">
        <f t="shared" si="28"/>
        <v>30000000</v>
      </c>
      <c r="S179" s="176">
        <f>IF(AND(AD179=1,R179&lt;&gt;".")=TRUE,R179/VLOOKUP(G179,'Exchange Rates'!B:C,2,0),IF(R179=".",".",""))</f>
        <v>1250833.8892595062</v>
      </c>
      <c r="T179" s="176">
        <f>IF(AD179=1,IF(AF179="Value is not given at all",".",IF(AF179="Value is given by the source",S179,IF(AF179="Value is calculated with prices",(IF(SUMIFS(Q:Q,A:A,A179)&gt;0,SUMIFS(Q:Q,A:A,A179),"."))/VLOOKUP("USD",'Exchange Rates'!B:C,2,0),"Error with coding"))),"")</f>
        <v>1250833.8892595062</v>
      </c>
      <c r="U179" s="15" t="s">
        <v>261</v>
      </c>
      <c r="V179" s="300" t="s">
        <v>768</v>
      </c>
      <c r="W179" s="300" t="s">
        <v>759</v>
      </c>
      <c r="X179" s="144" t="s">
        <v>260</v>
      </c>
      <c r="Y179" s="529" t="s">
        <v>260</v>
      </c>
      <c r="Z179" s="15">
        <v>0</v>
      </c>
      <c r="AA179" s="180">
        <v>0</v>
      </c>
      <c r="AB179" s="549" t="s">
        <v>742</v>
      </c>
      <c r="AC179" s="544" t="str">
        <f>""</f>
        <v/>
      </c>
      <c r="AD179" s="181">
        <v>1</v>
      </c>
      <c r="AE179" s="181" t="s">
        <v>264</v>
      </c>
      <c r="AF179" s="181" t="s">
        <v>264</v>
      </c>
      <c r="AG179" s="181">
        <v>1</v>
      </c>
      <c r="AH179" s="181">
        <v>3</v>
      </c>
      <c r="AI179" s="181">
        <v>0</v>
      </c>
      <c r="AJ179" s="181">
        <f>VLOOKUP($I179,'Price List, Weapons &amp; Items'!B:F,5,0)</f>
        <v>0</v>
      </c>
      <c r="AK179" s="181">
        <f t="shared" si="33"/>
        <v>0</v>
      </c>
      <c r="AL179" s="181">
        <f t="shared" si="34"/>
        <v>0</v>
      </c>
      <c r="AM179" s="181">
        <f t="shared" si="35"/>
        <v>0</v>
      </c>
      <c r="AN179" s="180" t="str">
        <f>VLOOKUP($I179,'Price List, Weapons &amp; Items'!B:L,COLUMN('Price List, Weapons &amp; Items'!$J$11)-1,0)</f>
        <v>.</v>
      </c>
      <c r="AO179" s="180" t="str">
        <f>IF(I179=".",".",VLOOKUP($I179,'Price List, Weapons &amp; Items'!B:J,3,0))</f>
        <v>.</v>
      </c>
      <c r="AP179" s="545" t="e">
        <f t="shared" ca="1" si="29"/>
        <v>#NAME?</v>
      </c>
      <c r="AQ179" s="180" t="str">
        <f>VLOOKUP($I179,'Price List, Weapons &amp; Items'!B:L,COLUMN('Price List, Weapons &amp; Items'!$L$11)-1,0)</f>
        <v>no price, 0 count</v>
      </c>
      <c r="AR179" s="180">
        <f t="shared" si="36"/>
        <v>1</v>
      </c>
      <c r="AS179" s="180">
        <f t="shared" si="37"/>
        <v>1</v>
      </c>
      <c r="AT179" s="180" t="str">
        <f t="shared" si="30"/>
        <v>Value is not in date format</v>
      </c>
      <c r="AU179" s="180" t="str">
        <f t="shared" si="38"/>
        <v>.</v>
      </c>
      <c r="AV179" s="180" t="str">
        <f t="shared" si="39"/>
        <v>.</v>
      </c>
      <c r="AW179" s="180">
        <f>IFERROR(VLOOKUP(B179,'Share, Heavy Weapons to Ukraine'!B:J,COLUMN('Share, Heavy Weapons to Ukraine'!C186)-1,0),0)</f>
        <v>0</v>
      </c>
      <c r="AX179" s="180">
        <f>VLOOKUP('Bilateral Assistance, MAIN DATA'!B179,'Country Summary'!B:F,COLUMN('Country Summary'!C189)-1,FALSE)</f>
        <v>1</v>
      </c>
      <c r="AY179" s="180" t="str">
        <f>IF(AND(AD179=1,D179="Military",H179&lt;&gt;"Not given")=TRUE,IF(SUMIFS(P:P,A:A,A179)&gt;0,ABS((SUMIFS(P:P,A:A,A179)/VLOOKUP("USD",'Exchange Rates'!B:C,2,0)))/S179,"."),".")</f>
        <v>.</v>
      </c>
      <c r="AZ179" s="182" t="str">
        <f>IF(AND(AD179=1,D179="Military",H179&lt;&gt;"Not given")=TRUE,IF(SUMIFS(P:P,A:A,A179)&gt;0,IF((ABS((SUMIFS(P:P,A:A,A179)/VLOOKUP("USD",'Exchange Rates'!B:C,2,0)))/S179)&gt;1,(SUMIFS(P:P,A:A,A179)-S179)/S179,(S179-SUMIFS(P:P,A:A,A179))/SUMIFS(P:P,A:A,A179)),"."),".")</f>
        <v>.</v>
      </c>
      <c r="BA179" s="182"/>
      <c r="BB179" s="182"/>
      <c r="BC179" s="182"/>
      <c r="BD179" s="182"/>
      <c r="BE179" s="182"/>
      <c r="BF179" s="182"/>
      <c r="BG179" s="182"/>
      <c r="BH179" s="182"/>
      <c r="BI179" s="182"/>
      <c r="BJ179" s="182"/>
      <c r="BK179" s="182"/>
      <c r="BL179" s="182"/>
      <c r="BM179" s="182"/>
      <c r="BN179" s="182"/>
      <c r="BO179" s="182"/>
      <c r="BP179" s="182"/>
      <c r="BQ179" s="182"/>
      <c r="BR179" s="182"/>
      <c r="BS179" s="182"/>
    </row>
    <row r="180" spans="1:71" ht="15.9" customHeight="1" x14ac:dyDescent="0.3">
      <c r="A180" s="17" t="s">
        <v>769</v>
      </c>
      <c r="B180" s="17" t="s">
        <v>716</v>
      </c>
      <c r="C180" s="174" t="s">
        <v>766</v>
      </c>
      <c r="D180" s="5" t="s">
        <v>285</v>
      </c>
      <c r="E180" s="5" t="s">
        <v>294</v>
      </c>
      <c r="F180" s="175" t="s">
        <v>770</v>
      </c>
      <c r="G180" s="15" t="s">
        <v>718</v>
      </c>
      <c r="H180" s="176">
        <v>4500000</v>
      </c>
      <c r="I180" s="184" t="s">
        <v>771</v>
      </c>
      <c r="J180" s="113" t="str">
        <f>VLOOKUP($I180,'Price List, Weapons &amp; Items'!B:C,2,0)</f>
        <v>Humanitarian</v>
      </c>
      <c r="K180" s="113" t="str">
        <f>IF(I180=".",I180,VLOOKUP($I180,'Price List, Weapons &amp; Items'!B:D,3,0))</f>
        <v>Humanitarian</v>
      </c>
      <c r="L180" s="177">
        <f>VLOOKUP(I180,'Price List, Weapons &amp; Items'!B:E,4,0)</f>
        <v>0</v>
      </c>
      <c r="M180" s="542">
        <v>6</v>
      </c>
      <c r="N180" s="542">
        <v>6</v>
      </c>
      <c r="O180" s="543">
        <f>VLOOKUP($I180,'Price List, Weapons &amp; Items'!B:G,6,0)</f>
        <v>400000</v>
      </c>
      <c r="P180" s="176">
        <f t="shared" si="31"/>
        <v>2400000</v>
      </c>
      <c r="Q180" s="176">
        <f t="shared" si="32"/>
        <v>2400000</v>
      </c>
      <c r="R180" s="176">
        <f t="shared" si="28"/>
        <v>4500000</v>
      </c>
      <c r="S180" s="176">
        <f>IF(AND(AD180=1,R180&lt;&gt;".")=TRUE,R180/VLOOKUP(G180,'Exchange Rates'!B:C,2,0),IF(R180=".",".",""))</f>
        <v>187625.08338892594</v>
      </c>
      <c r="T180" s="176">
        <f>IF(AD180=1,IF(AF180="Value is not given at all",".",IF(AF180="Value is given by the source",S180,IF(AF180="Value is calculated with prices",(IF(SUMIFS(Q:Q,A:A,A180)&gt;0,SUMIFS(Q:Q,A:A,A180),"."))/VLOOKUP("USD",'Exchange Rates'!B:C,2,0),"Error with coding"))),"")</f>
        <v>187625.08338892594</v>
      </c>
      <c r="U180" s="15" t="s">
        <v>261</v>
      </c>
      <c r="V180" s="300" t="s">
        <v>759</v>
      </c>
      <c r="W180" s="144" t="s">
        <v>260</v>
      </c>
      <c r="X180" s="144" t="s">
        <v>260</v>
      </c>
      <c r="Y180" s="529" t="s">
        <v>260</v>
      </c>
      <c r="Z180" s="15">
        <v>0</v>
      </c>
      <c r="AA180" s="180">
        <v>0</v>
      </c>
      <c r="AB180" s="549" t="s">
        <v>742</v>
      </c>
      <c r="AC180" s="544" t="str">
        <f>""</f>
        <v/>
      </c>
      <c r="AD180" s="181">
        <v>1</v>
      </c>
      <c r="AE180" s="181" t="s">
        <v>264</v>
      </c>
      <c r="AF180" s="181" t="s">
        <v>264</v>
      </c>
      <c r="AG180" s="181">
        <v>1</v>
      </c>
      <c r="AH180" s="181">
        <v>3</v>
      </c>
      <c r="AI180" s="181">
        <v>0</v>
      </c>
      <c r="AJ180" s="181">
        <f>VLOOKUP($I180,'Price List, Weapons &amp; Items'!B:F,5,0)</f>
        <v>0</v>
      </c>
      <c r="AK180" s="181">
        <f t="shared" si="33"/>
        <v>0</v>
      </c>
      <c r="AL180" s="181">
        <f t="shared" si="34"/>
        <v>0</v>
      </c>
      <c r="AM180" s="181">
        <f t="shared" si="35"/>
        <v>0</v>
      </c>
      <c r="AN180" s="180" t="str">
        <f>VLOOKUP($I180,'Price List, Weapons &amp; Items'!B:L,COLUMN('Price List, Weapons &amp; Items'!$J$11)-1,0)</f>
        <v>Media reports (incl. social media)</v>
      </c>
      <c r="AO180" s="180" t="str">
        <f>IF(I180=".",".",VLOOKUP($I180,'Price List, Weapons &amp; Items'!B:J,3,0))</f>
        <v>Humanitarian</v>
      </c>
      <c r="AP180" s="545" t="e">
        <f t="shared" ca="1" si="29"/>
        <v>#NAME?</v>
      </c>
      <c r="AQ180" s="180">
        <f>VLOOKUP($I180,'Price List, Weapons &amp; Items'!B:L,COLUMN('Price List, Weapons &amp; Items'!$L$11)-1,0)</f>
        <v>0</v>
      </c>
      <c r="AR180" s="180">
        <f t="shared" si="36"/>
        <v>1</v>
      </c>
      <c r="AS180" s="180">
        <f t="shared" si="37"/>
        <v>1</v>
      </c>
      <c r="AT180" s="180" t="str">
        <f t="shared" si="30"/>
        <v>Value is not in date format</v>
      </c>
      <c r="AU180" s="180" t="str">
        <f t="shared" si="38"/>
        <v>.</v>
      </c>
      <c r="AV180" s="180" t="str">
        <f t="shared" si="39"/>
        <v>.</v>
      </c>
      <c r="AW180" s="180">
        <f>IFERROR(VLOOKUP(B180,'Share, Heavy Weapons to Ukraine'!B:J,COLUMN('Share, Heavy Weapons to Ukraine'!C187)-1,0),0)</f>
        <v>0</v>
      </c>
      <c r="AX180" s="180">
        <f>VLOOKUP('Bilateral Assistance, MAIN DATA'!B180,'Country Summary'!B:F,COLUMN('Country Summary'!C190)-1,FALSE)</f>
        <v>1</v>
      </c>
      <c r="AY180" s="180">
        <f>IF(AND(AD180=1,D180="Military",H180&lt;&gt;"Not given")=TRUE,IF(SUMIFS(P:P,A:A,A180)&gt;0,ABS((SUMIFS(P:P,A:A,A180)/VLOOKUP("USD",'Exchange Rates'!B:C,2,0)))/S180,"."),".")</f>
        <v>12.182349206349206</v>
      </c>
      <c r="AZ180" s="182">
        <f>IF(AND(AD180=1,D180="Military",H180&lt;&gt;"Not given")=TRUE,IF(SUMIFS(P:P,A:A,A180)&gt;0,IF((ABS((SUMIFS(P:P,A:A,A180)/VLOOKUP("USD",'Exchange Rates'!B:C,2,0)))/S180)&gt;1,(SUMIFS(P:P,A:A,A180)-S180)/S180,(S180-SUMIFS(P:P,A:A,A180))/SUMIFS(P:P,A:A,A180)),"."),".")</f>
        <v>11.791466666666667</v>
      </c>
      <c r="BA180" s="182"/>
      <c r="BB180" s="182"/>
      <c r="BC180" s="182"/>
      <c r="BD180" s="182"/>
      <c r="BE180" s="182"/>
      <c r="BF180" s="182"/>
      <c r="BG180" s="182"/>
      <c r="BH180" s="182"/>
      <c r="BI180" s="182"/>
      <c r="BJ180" s="182"/>
      <c r="BK180" s="182"/>
      <c r="BL180" s="182"/>
      <c r="BM180" s="182"/>
      <c r="BN180" s="182"/>
      <c r="BO180" s="182"/>
      <c r="BP180" s="182"/>
      <c r="BQ180" s="182"/>
      <c r="BR180" s="182"/>
      <c r="BS180" s="182"/>
    </row>
    <row r="181" spans="1:71" ht="15.9" customHeight="1" x14ac:dyDescent="0.3">
      <c r="A181" s="17" t="s">
        <v>772</v>
      </c>
      <c r="B181" s="17" t="s">
        <v>716</v>
      </c>
      <c r="C181" s="174">
        <v>44643</v>
      </c>
      <c r="D181" s="5" t="s">
        <v>285</v>
      </c>
      <c r="E181" s="5" t="s">
        <v>286</v>
      </c>
      <c r="F181" s="175" t="s">
        <v>773</v>
      </c>
      <c r="G181" s="15" t="s">
        <v>260</v>
      </c>
      <c r="H181" s="176" t="s">
        <v>341</v>
      </c>
      <c r="I181" s="184" t="s">
        <v>260</v>
      </c>
      <c r="J181" s="113" t="str">
        <f>VLOOKUP($I181,'Price List, Weapons &amp; Items'!B:C,2,0)</f>
        <v>.</v>
      </c>
      <c r="K181" s="113" t="str">
        <f>IF(I181=".",I181,VLOOKUP($I181,'Price List, Weapons &amp; Items'!B:D,3,0))</f>
        <v>.</v>
      </c>
      <c r="L181" s="177">
        <f>VLOOKUP(I181,'Price List, Weapons &amp; Items'!B:E,4,0)</f>
        <v>0</v>
      </c>
      <c r="M181" s="542" t="s">
        <v>260</v>
      </c>
      <c r="N181" s="542" t="s">
        <v>260</v>
      </c>
      <c r="O181" s="543" t="str">
        <f>VLOOKUP($I181,'Price List, Weapons &amp; Items'!B:G,6,0)</f>
        <v>.</v>
      </c>
      <c r="P181" s="176" t="str">
        <f t="shared" si="31"/>
        <v>.</v>
      </c>
      <c r="Q181" s="176" t="str">
        <f t="shared" si="32"/>
        <v>.</v>
      </c>
      <c r="R181" s="176" t="str">
        <f t="shared" si="28"/>
        <v>.</v>
      </c>
      <c r="S181" s="176" t="str">
        <f>IF(AND(AD181=1,R181&lt;&gt;".")=TRUE,R181/VLOOKUP(G181,'Exchange Rates'!B:C,2,0),IF(R181=".",".",""))</f>
        <v>.</v>
      </c>
      <c r="T181" s="176" t="str">
        <f>IF(AD181=1,IF(AF181="Value is not given at all",".",IF(AF181="Value is given by the source",S181,IF(AF181="Value is calculated with prices",(IF(SUMIFS(Q:Q,A:A,A181)&gt;0,SUMIFS(Q:Q,A:A,A181),"."))/VLOOKUP("USD",'Exchange Rates'!B:C,2,0),"Error with coding"))),"")</f>
        <v>.</v>
      </c>
      <c r="U181" s="15" t="s">
        <v>415</v>
      </c>
      <c r="V181" s="300" t="s">
        <v>754</v>
      </c>
      <c r="W181" s="300" t="s">
        <v>759</v>
      </c>
      <c r="X181" s="144" t="s">
        <v>260</v>
      </c>
      <c r="Y181" s="529" t="s">
        <v>260</v>
      </c>
      <c r="Z181" s="15">
        <v>0</v>
      </c>
      <c r="AA181" s="180">
        <v>0</v>
      </c>
      <c r="AB181" s="534" t="s">
        <v>260</v>
      </c>
      <c r="AC181" s="544" t="str">
        <f>""</f>
        <v/>
      </c>
      <c r="AD181" s="181">
        <v>1</v>
      </c>
      <c r="AE181" s="181" t="s">
        <v>265</v>
      </c>
      <c r="AF181" s="181" t="s">
        <v>265</v>
      </c>
      <c r="AG181" s="181">
        <v>1</v>
      </c>
      <c r="AH181" s="181">
        <v>3</v>
      </c>
      <c r="AI181" s="181">
        <v>0</v>
      </c>
      <c r="AJ181" s="181">
        <f>VLOOKUP($I181,'Price List, Weapons &amp; Items'!B:F,5,0)</f>
        <v>0</v>
      </c>
      <c r="AK181" s="181">
        <f t="shared" si="33"/>
        <v>0</v>
      </c>
      <c r="AL181" s="181">
        <f t="shared" si="34"/>
        <v>0</v>
      </c>
      <c r="AM181" s="181">
        <f t="shared" si="35"/>
        <v>0</v>
      </c>
      <c r="AN181" s="180" t="str">
        <f>VLOOKUP($I181,'Price List, Weapons &amp; Items'!B:L,COLUMN('Price List, Weapons &amp; Items'!$J$11)-1,0)</f>
        <v>.</v>
      </c>
      <c r="AO181" s="180" t="str">
        <f>IF(I181=".",".",VLOOKUP($I181,'Price List, Weapons &amp; Items'!B:J,3,0))</f>
        <v>.</v>
      </c>
      <c r="AP181" s="545" t="e">
        <f t="shared" ca="1" si="29"/>
        <v>#NAME?</v>
      </c>
      <c r="AQ181" s="180" t="str">
        <f>VLOOKUP($I181,'Price List, Weapons &amp; Items'!B:L,COLUMN('Price List, Weapons &amp; Items'!$L$11)-1,0)</f>
        <v>no price, 0 count</v>
      </c>
      <c r="AR181" s="180">
        <f t="shared" si="36"/>
        <v>0</v>
      </c>
      <c r="AS181" s="180">
        <f t="shared" si="37"/>
        <v>1</v>
      </c>
      <c r="AT181" s="180">
        <f t="shared" si="30"/>
        <v>1</v>
      </c>
      <c r="AU181" s="180" t="str">
        <f t="shared" si="38"/>
        <v>.</v>
      </c>
      <c r="AV181" s="180" t="str">
        <f t="shared" si="39"/>
        <v>.</v>
      </c>
      <c r="AW181" s="180">
        <f>IFERROR(VLOOKUP(B181,'Share, Heavy Weapons to Ukraine'!B:J,COLUMN('Share, Heavy Weapons to Ukraine'!C188)-1,0),0)</f>
        <v>0</v>
      </c>
      <c r="AX181" s="180">
        <f>VLOOKUP('Bilateral Assistance, MAIN DATA'!B181,'Country Summary'!B:F,COLUMN('Country Summary'!C191)-1,FALSE)</f>
        <v>1</v>
      </c>
      <c r="AY181" s="180" t="str">
        <f>IF(AND(AD181=1,D181="Military",H181&lt;&gt;"Not given")=TRUE,IF(SUMIFS(P:P,A:A,A181)&gt;0,ABS((SUMIFS(P:P,A:A,A181)/VLOOKUP("USD",'Exchange Rates'!B:C,2,0)))/S181,"."),".")</f>
        <v>.</v>
      </c>
      <c r="AZ181" s="182" t="str">
        <f>IF(AND(AD181=1,D181="Military",H181&lt;&gt;"Not given")=TRUE,IF(SUMIFS(P:P,A:A,A181)&gt;0,IF((ABS((SUMIFS(P:P,A:A,A181)/VLOOKUP("USD",'Exchange Rates'!B:C,2,0)))/S181)&gt;1,(SUMIFS(P:P,A:A,A181)-S181)/S181,(S181-SUMIFS(P:P,A:A,A181))/SUMIFS(P:P,A:A,A181)),"."),".")</f>
        <v>.</v>
      </c>
      <c r="BA181" s="182"/>
      <c r="BB181" s="182"/>
      <c r="BC181" s="182"/>
      <c r="BD181" s="182"/>
      <c r="BE181" s="182"/>
      <c r="BF181" s="182"/>
      <c r="BG181" s="182"/>
      <c r="BH181" s="182"/>
      <c r="BI181" s="182"/>
      <c r="BJ181" s="182"/>
      <c r="BK181" s="182"/>
      <c r="BL181" s="182"/>
      <c r="BM181" s="182"/>
      <c r="BN181" s="182"/>
      <c r="BO181" s="182"/>
      <c r="BP181" s="182"/>
      <c r="BQ181" s="182"/>
      <c r="BR181" s="182"/>
      <c r="BS181" s="182"/>
    </row>
    <row r="182" spans="1:71" ht="15.9" customHeight="1" x14ac:dyDescent="0.3">
      <c r="A182" s="17" t="s">
        <v>774</v>
      </c>
      <c r="B182" s="17" t="s">
        <v>716</v>
      </c>
      <c r="C182" s="174">
        <v>44650</v>
      </c>
      <c r="D182" s="5" t="s">
        <v>285</v>
      </c>
      <c r="E182" s="5" t="s">
        <v>294</v>
      </c>
      <c r="F182" s="175" t="s">
        <v>775</v>
      </c>
      <c r="G182" s="15" t="s">
        <v>718</v>
      </c>
      <c r="H182" s="176">
        <v>857000</v>
      </c>
      <c r="I182" s="184" t="s">
        <v>499</v>
      </c>
      <c r="J182" s="113" t="str">
        <f>VLOOKUP($I182,'Price List, Weapons &amp; Items'!B:C,2,0)</f>
        <v>Military equipment</v>
      </c>
      <c r="K182" s="113" t="str">
        <f>IF(I182=".",I182,VLOOKUP($I182,'Price List, Weapons &amp; Items'!B:D,3,0))</f>
        <v>Military equipment</v>
      </c>
      <c r="L182" s="177">
        <f>VLOOKUP(I182,'Price List, Weapons &amp; Items'!B:E,4,0)</f>
        <v>0</v>
      </c>
      <c r="M182" s="542">
        <v>52</v>
      </c>
      <c r="N182" s="542">
        <v>52</v>
      </c>
      <c r="O182" s="543">
        <f>VLOOKUP($I182,'Price List, Weapons &amp; Items'!B:G,6,0)</f>
        <v>500</v>
      </c>
      <c r="P182" s="176">
        <f t="shared" si="31"/>
        <v>26000</v>
      </c>
      <c r="Q182" s="176">
        <f t="shared" si="32"/>
        <v>26000</v>
      </c>
      <c r="R182" s="176">
        <f t="shared" si="28"/>
        <v>857000</v>
      </c>
      <c r="S182" s="176">
        <f>IF(AND(AD182=1,R182&lt;&gt;".")=TRUE,R182/VLOOKUP(G182,'Exchange Rates'!B:C,2,0),IF(R182=".",".",""))</f>
        <v>35732.154769846558</v>
      </c>
      <c r="T182" s="176">
        <f>IF(AD182=1,IF(AF182="Value is not given at all",".",IF(AF182="Value is given by the source",S182,IF(AF182="Value is calculated with prices",(IF(SUMIFS(Q:Q,A:A,A182)&gt;0,SUMIFS(Q:Q,A:A,A182),"."))/VLOOKUP("USD",'Exchange Rates'!B:C,2,0),"Error with coding"))),"")</f>
        <v>35732.154769846558</v>
      </c>
      <c r="U182" s="15" t="s">
        <v>261</v>
      </c>
      <c r="V182" s="300" t="s">
        <v>759</v>
      </c>
      <c r="W182" s="144" t="s">
        <v>260</v>
      </c>
      <c r="X182" s="144" t="s">
        <v>260</v>
      </c>
      <c r="Y182" s="529" t="s">
        <v>260</v>
      </c>
      <c r="Z182" s="15">
        <v>0</v>
      </c>
      <c r="AA182" s="180">
        <v>0</v>
      </c>
      <c r="AB182" s="549" t="s">
        <v>742</v>
      </c>
      <c r="AC182" s="544" t="str">
        <f>""</f>
        <v/>
      </c>
      <c r="AD182" s="181">
        <v>1</v>
      </c>
      <c r="AE182" s="181" t="s">
        <v>264</v>
      </c>
      <c r="AF182" s="181" t="s">
        <v>264</v>
      </c>
      <c r="AG182" s="181">
        <v>1</v>
      </c>
      <c r="AH182" s="181">
        <v>3</v>
      </c>
      <c r="AI182" s="181">
        <v>0</v>
      </c>
      <c r="AJ182" s="181">
        <f>VLOOKUP($I182,'Price List, Weapons &amp; Items'!B:F,5,0)</f>
        <v>0</v>
      </c>
      <c r="AK182" s="181">
        <f t="shared" si="33"/>
        <v>0</v>
      </c>
      <c r="AL182" s="181">
        <f t="shared" si="34"/>
        <v>0</v>
      </c>
      <c r="AM182" s="181">
        <f t="shared" si="35"/>
        <v>0</v>
      </c>
      <c r="AN182" s="180" t="str">
        <f>VLOOKUP($I182,'Price List, Weapons &amp; Items'!B:L,COLUMN('Price List, Weapons &amp; Items'!$J$11)-1,0)</f>
        <v>Military media (incl. websites)</v>
      </c>
      <c r="AO182" s="180" t="str">
        <f>IF(I182=".",".",VLOOKUP($I182,'Price List, Weapons &amp; Items'!B:J,3,0))</f>
        <v>Military equipment</v>
      </c>
      <c r="AP182" s="545" t="e">
        <f t="shared" ca="1" si="29"/>
        <v>#NAME?</v>
      </c>
      <c r="AQ182" s="180">
        <f>VLOOKUP($I182,'Price List, Weapons &amp; Items'!B:L,COLUMN('Price List, Weapons &amp; Items'!$L$11)-1,0)</f>
        <v>2</v>
      </c>
      <c r="AR182" s="180">
        <f t="shared" si="36"/>
        <v>1</v>
      </c>
      <c r="AS182" s="180">
        <f t="shared" si="37"/>
        <v>1</v>
      </c>
      <c r="AT182" s="180">
        <f t="shared" si="30"/>
        <v>1</v>
      </c>
      <c r="AU182" s="180" t="str">
        <f t="shared" si="38"/>
        <v>.</v>
      </c>
      <c r="AV182" s="180" t="str">
        <f t="shared" si="39"/>
        <v>.</v>
      </c>
      <c r="AW182" s="180">
        <f>IFERROR(VLOOKUP(B182,'Share, Heavy Weapons to Ukraine'!B:J,COLUMN('Share, Heavy Weapons to Ukraine'!C189)-1,0),0)</f>
        <v>0</v>
      </c>
      <c r="AX182" s="180">
        <f>VLOOKUP('Bilateral Assistance, MAIN DATA'!B182,'Country Summary'!B:F,COLUMN('Country Summary'!C192)-1,FALSE)</f>
        <v>1</v>
      </c>
      <c r="AY182" s="180">
        <f>IF(AND(AD182=1,D182="Military",H182&lt;&gt;"Not given")=TRUE,IF(SUMIFS(P:P,A:A,A182)&gt;0,ABS((SUMIFS(P:P,A:A,A182)/VLOOKUP("USD",'Exchange Rates'!B:C,2,0)))/S182,"."),".")</f>
        <v>0.69298660887925767</v>
      </c>
      <c r="AZ182" s="182">
        <f>IF(AND(AD182=1,D182="Military",H182&lt;&gt;"Not given")=TRUE,IF(SUMIFS(P:P,A:A,A182)&gt;0,IF((ABS((SUMIFS(P:P,A:A,A182)/VLOOKUP("USD",'Exchange Rates'!B:C,2,0)))/S182)&gt;1,(SUMIFS(P:P,A:A,A182)-S182)/S182,(S182-SUMIFS(P:P,A:A,A182))/SUMIFS(P:P,A:A,A182)),"."),".")</f>
        <v>0.37431364499409842</v>
      </c>
      <c r="BA182" s="182"/>
      <c r="BB182" s="182"/>
      <c r="BC182" s="182"/>
      <c r="BD182" s="182"/>
      <c r="BE182" s="182"/>
      <c r="BF182" s="182"/>
      <c r="BG182" s="182"/>
      <c r="BH182" s="182"/>
      <c r="BI182" s="182"/>
      <c r="BJ182" s="182"/>
      <c r="BK182" s="182"/>
      <c r="BL182" s="182"/>
      <c r="BM182" s="182"/>
      <c r="BN182" s="182"/>
      <c r="BO182" s="182"/>
      <c r="BP182" s="182"/>
      <c r="BQ182" s="182"/>
      <c r="BR182" s="182"/>
      <c r="BS182" s="182"/>
    </row>
    <row r="183" spans="1:71" ht="15.9" customHeight="1" x14ac:dyDescent="0.3">
      <c r="A183" s="17" t="s">
        <v>776</v>
      </c>
      <c r="B183" s="17" t="s">
        <v>716</v>
      </c>
      <c r="C183" s="174">
        <v>44652</v>
      </c>
      <c r="D183" s="5" t="s">
        <v>285</v>
      </c>
      <c r="E183" s="5" t="s">
        <v>257</v>
      </c>
      <c r="F183" s="175" t="s">
        <v>777</v>
      </c>
      <c r="G183" s="15" t="s">
        <v>260</v>
      </c>
      <c r="H183" s="176" t="s">
        <v>341</v>
      </c>
      <c r="I183" s="17" t="s">
        <v>260</v>
      </c>
      <c r="J183" s="113" t="str">
        <f>VLOOKUP($I183,'Price List, Weapons &amp; Items'!B:C,2,0)</f>
        <v>.</v>
      </c>
      <c r="K183" s="113" t="str">
        <f>IF(I183=".",I183,VLOOKUP($I183,'Price List, Weapons &amp; Items'!B:D,3,0))</f>
        <v>.</v>
      </c>
      <c r="L183" s="177">
        <f>VLOOKUP(I183,'Price List, Weapons &amp; Items'!B:E,4,0)</f>
        <v>0</v>
      </c>
      <c r="M183" s="542" t="s">
        <v>260</v>
      </c>
      <c r="N183" s="542" t="s">
        <v>260</v>
      </c>
      <c r="O183" s="543" t="str">
        <f>VLOOKUP($I183,'Price List, Weapons &amp; Items'!B:G,6,0)</f>
        <v>.</v>
      </c>
      <c r="P183" s="176" t="str">
        <f t="shared" si="31"/>
        <v>.</v>
      </c>
      <c r="Q183" s="176" t="str">
        <f t="shared" si="32"/>
        <v>.</v>
      </c>
      <c r="R183" s="176" t="str">
        <f t="shared" si="28"/>
        <v>.</v>
      </c>
      <c r="S183" s="176" t="str">
        <f>IF(AND(AD183=1,R183&lt;&gt;".")=TRUE,R183/VLOOKUP(G183,'Exchange Rates'!B:C,2,0),IF(R183=".",".",""))</f>
        <v>.</v>
      </c>
      <c r="T183" s="176" t="str">
        <f>IF(AD183=1,IF(AF183="Value is not given at all",".",IF(AF183="Value is given by the source",S183,IF(AF183="Value is calculated with prices",(IF(SUMIFS(Q:Q,A:A,A183)&gt;0,SUMIFS(Q:Q,A:A,A183),"."))/VLOOKUP("USD",'Exchange Rates'!B:C,2,0),"Error with coding"))),"")</f>
        <v>.</v>
      </c>
      <c r="U183" s="15" t="s">
        <v>415</v>
      </c>
      <c r="V183" s="300" t="s">
        <v>778</v>
      </c>
      <c r="W183" s="175" t="s">
        <v>260</v>
      </c>
      <c r="X183" s="175" t="s">
        <v>260</v>
      </c>
      <c r="Y183" s="529" t="s">
        <v>260</v>
      </c>
      <c r="Z183" s="15">
        <v>0</v>
      </c>
      <c r="AA183" s="180">
        <v>0</v>
      </c>
      <c r="AB183" s="532" t="s">
        <v>260</v>
      </c>
      <c r="AC183" s="544" t="str">
        <f>""</f>
        <v/>
      </c>
      <c r="AD183" s="183">
        <v>1</v>
      </c>
      <c r="AE183" s="183" t="s">
        <v>265</v>
      </c>
      <c r="AF183" s="183" t="s">
        <v>265</v>
      </c>
      <c r="AG183" s="183">
        <v>1</v>
      </c>
      <c r="AH183" s="181">
        <v>4</v>
      </c>
      <c r="AI183" s="181">
        <v>0</v>
      </c>
      <c r="AJ183" s="181">
        <f>VLOOKUP($I183,'Price List, Weapons &amp; Items'!B:F,5,0)</f>
        <v>0</v>
      </c>
      <c r="AK183" s="181">
        <f t="shared" si="33"/>
        <v>0</v>
      </c>
      <c r="AL183" s="181">
        <f t="shared" si="34"/>
        <v>0</v>
      </c>
      <c r="AM183" s="181">
        <f t="shared" si="35"/>
        <v>0</v>
      </c>
      <c r="AN183" s="180" t="str">
        <f>VLOOKUP($I183,'Price List, Weapons &amp; Items'!B:L,COLUMN('Price List, Weapons &amp; Items'!$J$11)-1,0)</f>
        <v>.</v>
      </c>
      <c r="AO183" s="180" t="str">
        <f>IF(I183=".",".",VLOOKUP($I183,'Price List, Weapons &amp; Items'!B:J,3,0))</f>
        <v>.</v>
      </c>
      <c r="AP183" s="545" t="e">
        <f t="shared" ca="1" si="29"/>
        <v>#NAME?</v>
      </c>
      <c r="AQ183" s="180" t="str">
        <f>VLOOKUP($I183,'Price List, Weapons &amp; Items'!B:L,COLUMN('Price List, Weapons &amp; Items'!$L$11)-1,0)</f>
        <v>no price, 0 count</v>
      </c>
      <c r="AR183" s="180">
        <f t="shared" si="36"/>
        <v>0</v>
      </c>
      <c r="AS183" s="180">
        <f t="shared" si="37"/>
        <v>0</v>
      </c>
      <c r="AT183" s="180">
        <f t="shared" si="30"/>
        <v>1</v>
      </c>
      <c r="AU183" s="180" t="str">
        <f t="shared" si="38"/>
        <v>.</v>
      </c>
      <c r="AV183" s="180" t="str">
        <f t="shared" si="39"/>
        <v>.</v>
      </c>
      <c r="AW183" s="180">
        <f>IFERROR(VLOOKUP(B183,'Share, Heavy Weapons to Ukraine'!B:J,COLUMN('Share, Heavy Weapons to Ukraine'!C190)-1,0),0)</f>
        <v>0</v>
      </c>
      <c r="AX183" s="180">
        <f>VLOOKUP('Bilateral Assistance, MAIN DATA'!B183,'Country Summary'!B:F,COLUMN('Country Summary'!C193)-1,FALSE)</f>
        <v>1</v>
      </c>
      <c r="AY183" s="180" t="str">
        <f>IF(AND(AD183=1,D183="Military",H183&lt;&gt;"Not given")=TRUE,IF(SUMIFS(P:P,A:A,A183)&gt;0,ABS((SUMIFS(P:P,A:A,A183)/VLOOKUP("USD",'Exchange Rates'!B:C,2,0)))/S183,"."),".")</f>
        <v>.</v>
      </c>
      <c r="AZ183" s="182" t="str">
        <f>IF(AND(AD183=1,D183="Military",H183&lt;&gt;"Not given")=TRUE,IF(SUMIFS(P:P,A:A,A183)&gt;0,IF((ABS((SUMIFS(P:P,A:A,A183)/VLOOKUP("USD",'Exchange Rates'!B:C,2,0)))/S183)&gt;1,(SUMIFS(P:P,A:A,A183)-S183)/S183,(S183-SUMIFS(P:P,A:A,A183))/SUMIFS(P:P,A:A,A183)),"."),".")</f>
        <v>.</v>
      </c>
      <c r="BA183" s="182"/>
      <c r="BB183" s="182"/>
      <c r="BC183" s="182"/>
      <c r="BD183" s="182"/>
      <c r="BE183" s="182"/>
      <c r="BF183" s="182"/>
      <c r="BG183" s="182"/>
      <c r="BH183" s="182"/>
      <c r="BI183" s="182"/>
      <c r="BJ183" s="182"/>
      <c r="BK183" s="182"/>
      <c r="BL183" s="182"/>
      <c r="BM183" s="182"/>
      <c r="BN183" s="182"/>
      <c r="BO183" s="182"/>
      <c r="BP183" s="182"/>
      <c r="BQ183" s="182"/>
      <c r="BR183" s="182"/>
      <c r="BS183" s="182"/>
    </row>
    <row r="184" spans="1:71" s="520" customFormat="1" ht="15.9" customHeight="1" x14ac:dyDescent="0.3">
      <c r="A184" s="5" t="s">
        <v>779</v>
      </c>
      <c r="B184" s="5" t="s">
        <v>716</v>
      </c>
      <c r="C184" s="174">
        <v>44656</v>
      </c>
      <c r="D184" s="5" t="s">
        <v>285</v>
      </c>
      <c r="E184" s="5" t="s">
        <v>339</v>
      </c>
      <c r="F184" s="175" t="s">
        <v>780</v>
      </c>
      <c r="G184" s="15" t="s">
        <v>346</v>
      </c>
      <c r="H184" s="176" t="s">
        <v>341</v>
      </c>
      <c r="I184" s="17" t="s">
        <v>781</v>
      </c>
      <c r="J184" s="113" t="str">
        <f>VLOOKUP($I184,'Price List, Weapons &amp; Items'!B:C,2,0)</f>
        <v>Heavy weapon</v>
      </c>
      <c r="K184" s="113" t="str">
        <f>IF(I184=".",I184,VLOOKUP($I184,'Price List, Weapons &amp; Items'!B:D,3,0))</f>
        <v>Main Battle Tank (MBT)</v>
      </c>
      <c r="L184" s="177">
        <f>VLOOKUP(I184,'Price List, Weapons &amp; Items'!B:E,4,0)</f>
        <v>1</v>
      </c>
      <c r="M184" s="542">
        <v>40</v>
      </c>
      <c r="N184" s="542">
        <v>40</v>
      </c>
      <c r="O184" s="543">
        <f>VLOOKUP($I184,'Price List, Weapons &amp; Items'!B:G,6,0)</f>
        <v>1616065.9562782401</v>
      </c>
      <c r="P184" s="176">
        <f t="shared" si="31"/>
        <v>64642638.251129605</v>
      </c>
      <c r="Q184" s="176">
        <f t="shared" si="32"/>
        <v>64642638.251129605</v>
      </c>
      <c r="R184" s="176">
        <f t="shared" si="28"/>
        <v>65892638.251129605</v>
      </c>
      <c r="S184" s="176">
        <f>IF(AND(AD184=1,R184&lt;&gt;".")=TRUE,R184/VLOOKUP(G184,'Exchange Rates'!B:C,2,0),IF(R184=".",".",""))</f>
        <v>62754893.572504386</v>
      </c>
      <c r="T184" s="176">
        <f>IF(AD184=1,IF(AF184="Value is not given at all",".",IF(AF184="Value is given by the source",S184,IF(AF184="Value is calculated with prices",(IF(SUMIFS(Q:Q,A:A,A184)&gt;0,SUMIFS(Q:Q,A:A,A184),"."))/VLOOKUP("USD",'Exchange Rates'!B:C,2,0),"Error with coding"))),"")</f>
        <v>62754893.572504386</v>
      </c>
      <c r="U184" s="15" t="s">
        <v>415</v>
      </c>
      <c r="V184" s="547" t="s">
        <v>782</v>
      </c>
      <c r="W184" s="547" t="s">
        <v>783</v>
      </c>
      <c r="X184" s="547" t="s">
        <v>784</v>
      </c>
      <c r="Y184" s="547" t="s">
        <v>785</v>
      </c>
      <c r="Z184" s="15">
        <v>0</v>
      </c>
      <c r="AA184" s="180">
        <v>0</v>
      </c>
      <c r="AB184" s="535" t="s">
        <v>785</v>
      </c>
      <c r="AC184" s="544" t="str">
        <f>""</f>
        <v/>
      </c>
      <c r="AD184" s="183">
        <v>1</v>
      </c>
      <c r="AE184" s="183" t="s">
        <v>332</v>
      </c>
      <c r="AF184" s="183" t="s">
        <v>332</v>
      </c>
      <c r="AG184" s="183">
        <v>1</v>
      </c>
      <c r="AH184" s="183">
        <v>4</v>
      </c>
      <c r="AI184" s="183">
        <v>0</v>
      </c>
      <c r="AJ184" s="181">
        <f>VLOOKUP($I184,'Price List, Weapons &amp; Items'!B:F,5,0)</f>
        <v>1</v>
      </c>
      <c r="AK184" s="181">
        <f t="shared" si="33"/>
        <v>0</v>
      </c>
      <c r="AL184" s="181">
        <f t="shared" si="34"/>
        <v>0</v>
      </c>
      <c r="AM184" s="181">
        <f t="shared" si="35"/>
        <v>0</v>
      </c>
      <c r="AN184" s="180" t="str">
        <f>VLOOKUP($I184,'Price List, Weapons &amp; Items'!B:L,COLUMN('Price List, Weapons &amp; Items'!$J$11)-1,0)</f>
        <v>Contracts</v>
      </c>
      <c r="AO184" s="180" t="str">
        <f>IF(I184=".",".",VLOOKUP($I184,'Price List, Weapons &amp; Items'!B:J,3,0))</f>
        <v>Main Battle Tank (MBT)</v>
      </c>
      <c r="AP184" s="545" t="e">
        <f t="shared" ca="1" si="29"/>
        <v>#NAME?</v>
      </c>
      <c r="AQ184" s="180">
        <f>VLOOKUP($I184,'Price List, Weapons &amp; Items'!B:L,COLUMN('Price List, Weapons &amp; Items'!$L$11)-1,0)</f>
        <v>2</v>
      </c>
      <c r="AR184" s="180">
        <f t="shared" si="36"/>
        <v>0</v>
      </c>
      <c r="AS184" s="180">
        <f t="shared" si="37"/>
        <v>1</v>
      </c>
      <c r="AT184" s="180">
        <f t="shared" si="30"/>
        <v>1</v>
      </c>
      <c r="AU184" s="180" t="str">
        <f t="shared" si="38"/>
        <v>.</v>
      </c>
      <c r="AV184" s="180" t="str">
        <f t="shared" si="39"/>
        <v>.</v>
      </c>
      <c r="AW184" s="180">
        <f>IFERROR(VLOOKUP(B184,'Share, Heavy Weapons to Ukraine'!B:J,COLUMN('Share, Heavy Weapons to Ukraine'!C191)-1,0),0)</f>
        <v>0</v>
      </c>
      <c r="AX184" s="180">
        <f>VLOOKUP('Bilateral Assistance, MAIN DATA'!B184,'Country Summary'!B:F,COLUMN('Country Summary'!C194)-1,FALSE)</f>
        <v>1</v>
      </c>
      <c r="AY184" s="180" t="str">
        <f>IF(AND(AD184=1,D184="Military",H184&lt;&gt;"Not given")=TRUE,IF(SUMIFS(P:P,A:A,A184)&gt;0,ABS((SUMIFS(P:P,A:A,A184)/VLOOKUP("USD",'Exchange Rates'!B:C,2,0)))/S184,"."),".")</f>
        <v>.</v>
      </c>
      <c r="AZ184" s="182" t="str">
        <f>IF(AND(AD184=1,D184="Military",H184&lt;&gt;"Not given")=TRUE,IF(SUMIFS(P:P,A:A,A184)&gt;0,IF((ABS((SUMIFS(P:P,A:A,A184)/VLOOKUP("USD",'Exchange Rates'!B:C,2,0)))/S184)&gt;1,(SUMIFS(P:P,A:A,A184)-S184)/S184,(S184-SUMIFS(P:P,A:A,A184))/SUMIFS(P:P,A:A,A184)),"."),".")</f>
        <v>.</v>
      </c>
      <c r="BA184" s="1024"/>
      <c r="BB184" s="1024"/>
      <c r="BC184" s="1024"/>
      <c r="BD184" s="1024"/>
      <c r="BE184" s="1024"/>
      <c r="BF184" s="1024"/>
      <c r="BG184" s="1024"/>
      <c r="BH184" s="1024"/>
      <c r="BI184" s="1024"/>
      <c r="BJ184" s="1024"/>
      <c r="BK184" s="1024"/>
      <c r="BL184" s="1024"/>
      <c r="BM184" s="1024"/>
      <c r="BN184" s="1024"/>
      <c r="BO184" s="1024"/>
      <c r="BP184" s="1024"/>
      <c r="BQ184" s="1024"/>
      <c r="BR184" s="1024"/>
      <c r="BS184" s="1024"/>
    </row>
    <row r="185" spans="1:71" s="520" customFormat="1" ht="15.9" customHeight="1" x14ac:dyDescent="0.3">
      <c r="A185" s="5" t="s">
        <v>779</v>
      </c>
      <c r="B185" s="5" t="s">
        <v>716</v>
      </c>
      <c r="C185" s="174">
        <v>44656</v>
      </c>
      <c r="D185" s="5" t="s">
        <v>285</v>
      </c>
      <c r="E185" s="5" t="s">
        <v>339</v>
      </c>
      <c r="F185" s="175" t="s">
        <v>780</v>
      </c>
      <c r="G185" s="15" t="s">
        <v>346</v>
      </c>
      <c r="H185" s="176" t="s">
        <v>341</v>
      </c>
      <c r="I185" s="17" t="s">
        <v>786</v>
      </c>
      <c r="J185" s="113" t="str">
        <f>VLOOKUP($I185,'Price List, Weapons &amp; Items'!B:C,2,0)</f>
        <v>Heavy weapon</v>
      </c>
      <c r="K185" s="113" t="str">
        <f>IF(I185=".",I185,VLOOKUP($I185,'Price List, Weapons &amp; Items'!B:D,3,0))</f>
        <v>Infantry fighting vehicle (IFV)</v>
      </c>
      <c r="L185" s="177">
        <f>VLOOKUP(I185,'Price List, Weapons &amp; Items'!B:E,4,0)</f>
        <v>1</v>
      </c>
      <c r="M185" s="542">
        <v>5</v>
      </c>
      <c r="N185" s="542">
        <v>5</v>
      </c>
      <c r="O185" s="543">
        <f>VLOOKUP($I185,'Price List, Weapons &amp; Items'!B:G,6,0)</f>
        <v>250000</v>
      </c>
      <c r="P185" s="176">
        <f t="shared" si="31"/>
        <v>1250000</v>
      </c>
      <c r="Q185" s="176">
        <f t="shared" si="32"/>
        <v>1250000</v>
      </c>
      <c r="R185" s="176" t="str">
        <f t="shared" si="28"/>
        <v/>
      </c>
      <c r="S185" s="176" t="str">
        <f>IF(AND(AD185=1,R185&lt;&gt;".")=TRUE,R185/VLOOKUP(G185,'Exchange Rates'!B:C,2,0),IF(R185=".",".",""))</f>
        <v/>
      </c>
      <c r="T185" s="176" t="str">
        <f>IF(AD185=1,IF(AF185="Value is not given at all",".",IF(AF185="Value is given by the source",S185,IF(AF185="Value is calculated with prices",(IF(SUMIFS(Q:Q,A:A,A185)&gt;0,SUMIFS(Q:Q,A:A,A185),"."))/VLOOKUP("USD",'Exchange Rates'!B:C,2,0),"Error with coding"))),"")</f>
        <v/>
      </c>
      <c r="U185" s="15" t="s">
        <v>415</v>
      </c>
      <c r="V185" s="1027" t="s">
        <v>782</v>
      </c>
      <c r="W185" s="547" t="s">
        <v>783</v>
      </c>
      <c r="X185" s="1027" t="s">
        <v>784</v>
      </c>
      <c r="Y185" s="547" t="s">
        <v>785</v>
      </c>
      <c r="Z185" s="15">
        <v>0</v>
      </c>
      <c r="AA185" s="180">
        <v>0</v>
      </c>
      <c r="AB185" s="550" t="s">
        <v>783</v>
      </c>
      <c r="AC185" s="544" t="str">
        <f>""</f>
        <v/>
      </c>
      <c r="AD185" s="183">
        <v>0</v>
      </c>
      <c r="AE185" s="183" t="s">
        <v>332</v>
      </c>
      <c r="AF185" s="183" t="s">
        <v>332</v>
      </c>
      <c r="AG185" s="183">
        <v>1</v>
      </c>
      <c r="AH185" s="183">
        <v>4</v>
      </c>
      <c r="AI185" s="183">
        <v>0</v>
      </c>
      <c r="AJ185" s="181">
        <f>VLOOKUP($I185,'Price List, Weapons &amp; Items'!B:F,5,0)</f>
        <v>1</v>
      </c>
      <c r="AK185" s="181">
        <f t="shared" si="33"/>
        <v>0</v>
      </c>
      <c r="AL185" s="181">
        <f t="shared" si="34"/>
        <v>0</v>
      </c>
      <c r="AM185" s="181">
        <f t="shared" si="35"/>
        <v>0</v>
      </c>
      <c r="AN185" s="180" t="str">
        <f>VLOOKUP($I185,'Price List, Weapons &amp; Items'!B:L,COLUMN('Price List, Weapons &amp; Items'!$J$11)-1,0)</f>
        <v>Military media (incl. websites)</v>
      </c>
      <c r="AO185" s="180" t="str">
        <f>IF(I185=".",".",VLOOKUP($I185,'Price List, Weapons &amp; Items'!B:J,3,0))</f>
        <v>Infantry fighting vehicle (IFV)</v>
      </c>
      <c r="AP185" s="545" t="str">
        <f t="shared" ca="1" si="29"/>
        <v/>
      </c>
      <c r="AQ185" s="180">
        <f>VLOOKUP($I185,'Price List, Weapons &amp; Items'!B:L,COLUMN('Price List, Weapons &amp; Items'!$L$11)-1,0)</f>
        <v>1</v>
      </c>
      <c r="AR185" s="180">
        <f t="shared" si="36"/>
        <v>0</v>
      </c>
      <c r="AS185" s="180">
        <f t="shared" si="37"/>
        <v>1</v>
      </c>
      <c r="AT185" s="180">
        <f t="shared" si="30"/>
        <v>1</v>
      </c>
      <c r="AU185" s="180" t="str">
        <f t="shared" si="38"/>
        <v>.</v>
      </c>
      <c r="AV185" s="180" t="str">
        <f t="shared" si="39"/>
        <v>.</v>
      </c>
      <c r="AW185" s="180">
        <f>IFERROR(VLOOKUP(B185,'Share, Heavy Weapons to Ukraine'!B:J,COLUMN('Share, Heavy Weapons to Ukraine'!C192)-1,0),0)</f>
        <v>0</v>
      </c>
      <c r="AX185" s="180">
        <f>VLOOKUP('Bilateral Assistance, MAIN DATA'!B185,'Country Summary'!B:F,COLUMN('Country Summary'!C195)-1,FALSE)</f>
        <v>1</v>
      </c>
      <c r="AY185" s="180" t="str">
        <f>IF(AND(AD185=1,D185="Military",H185&lt;&gt;"Not given")=TRUE,IF(SUMIFS(P:P,A:A,A185)&gt;0,ABS((SUMIFS(P:P,A:A,A185)/VLOOKUP("USD",'Exchange Rates'!B:C,2,0)))/S185,"."),".")</f>
        <v>.</v>
      </c>
      <c r="AZ185" s="182" t="str">
        <f>IF(AND(AD185=1,D185="Military",H185&lt;&gt;"Not given")=TRUE,IF(SUMIFS(P:P,A:A,A185)&gt;0,IF((ABS((SUMIFS(P:P,A:A,A185)/VLOOKUP("USD",'Exchange Rates'!B:C,2,0)))/S185)&gt;1,(SUMIFS(P:P,A:A,A185)-S185)/S185,(S185-SUMIFS(P:P,A:A,A185))/SUMIFS(P:P,A:A,A185)),"."),".")</f>
        <v>.</v>
      </c>
      <c r="BA185" s="1024"/>
      <c r="BB185" s="1024"/>
      <c r="BC185" s="1024"/>
      <c r="BD185" s="1024"/>
      <c r="BE185" s="1024"/>
      <c r="BF185" s="1024"/>
      <c r="BG185" s="1024"/>
      <c r="BH185" s="1024"/>
      <c r="BI185" s="1024"/>
      <c r="BJ185" s="1024"/>
      <c r="BK185" s="1024"/>
      <c r="BL185" s="1024"/>
      <c r="BM185" s="1024"/>
      <c r="BN185" s="1024"/>
      <c r="BO185" s="1024"/>
      <c r="BP185" s="1024"/>
      <c r="BQ185" s="1024"/>
      <c r="BR185" s="1024"/>
      <c r="BS185" s="1024"/>
    </row>
    <row r="186" spans="1:71" s="520" customFormat="1" ht="15.9" customHeight="1" x14ac:dyDescent="0.3">
      <c r="A186" s="17" t="s">
        <v>787</v>
      </c>
      <c r="B186" s="17" t="s">
        <v>716</v>
      </c>
      <c r="C186" s="174">
        <v>44657</v>
      </c>
      <c r="D186" s="5" t="s">
        <v>285</v>
      </c>
      <c r="E186" s="5" t="s">
        <v>286</v>
      </c>
      <c r="F186" s="175" t="s">
        <v>788</v>
      </c>
      <c r="G186" s="15" t="s">
        <v>718</v>
      </c>
      <c r="H186" s="176">
        <v>133000000</v>
      </c>
      <c r="I186" s="17" t="s">
        <v>260</v>
      </c>
      <c r="J186" s="113" t="str">
        <f>VLOOKUP($I186,'Price List, Weapons &amp; Items'!B:C,2,0)</f>
        <v>.</v>
      </c>
      <c r="K186" s="113" t="str">
        <f>IF(I186=".",I186,VLOOKUP($I186,'Price List, Weapons &amp; Items'!B:D,3,0))</f>
        <v>.</v>
      </c>
      <c r="L186" s="177">
        <f>VLOOKUP(I186,'Price List, Weapons &amp; Items'!B:E,4,0)</f>
        <v>0</v>
      </c>
      <c r="M186" s="542" t="s">
        <v>260</v>
      </c>
      <c r="N186" s="542" t="s">
        <v>260</v>
      </c>
      <c r="O186" s="543" t="str">
        <f>VLOOKUP($I186,'Price List, Weapons &amp; Items'!B:G,6,0)</f>
        <v>.</v>
      </c>
      <c r="P186" s="176" t="str">
        <f t="shared" si="31"/>
        <v>.</v>
      </c>
      <c r="Q186" s="176" t="str">
        <f t="shared" si="32"/>
        <v>.</v>
      </c>
      <c r="R186" s="176">
        <f t="shared" si="28"/>
        <v>133000000</v>
      </c>
      <c r="S186" s="176">
        <f>IF(AND(AD186=1,R186&lt;&gt;".")=TRUE,R186/VLOOKUP(G186,'Exchange Rates'!B:C,2,0),IF(R186=".",".",""))</f>
        <v>5545363.5757171446</v>
      </c>
      <c r="T186" s="176">
        <f>IF(AD186=1,IF(AF186="Value is not given at all",".",IF(AF186="Value is given by the source",S186,IF(AF186="Value is calculated with prices",(IF(SUMIFS(Q:Q,A:A,A186)&gt;0,SUMIFS(Q:Q,A:A,A186),"."))/VLOOKUP("USD",'Exchange Rates'!B:C,2,0),"Error with coding"))),"")</f>
        <v>5545363.5757171446</v>
      </c>
      <c r="U186" s="15" t="s">
        <v>261</v>
      </c>
      <c r="V186" s="300" t="s">
        <v>759</v>
      </c>
      <c r="W186" s="175" t="s">
        <v>260</v>
      </c>
      <c r="X186" s="175" t="s">
        <v>260</v>
      </c>
      <c r="Y186" s="529" t="s">
        <v>260</v>
      </c>
      <c r="Z186" s="15">
        <v>0</v>
      </c>
      <c r="AA186" s="180">
        <v>0</v>
      </c>
      <c r="AB186" s="550" t="s">
        <v>742</v>
      </c>
      <c r="AC186" s="544" t="str">
        <f>""</f>
        <v/>
      </c>
      <c r="AD186" s="183">
        <v>1</v>
      </c>
      <c r="AE186" s="183" t="s">
        <v>264</v>
      </c>
      <c r="AF186" s="183" t="s">
        <v>264</v>
      </c>
      <c r="AG186" s="183">
        <v>1</v>
      </c>
      <c r="AH186" s="181">
        <v>4</v>
      </c>
      <c r="AI186" s="181">
        <v>0</v>
      </c>
      <c r="AJ186" s="181">
        <f>VLOOKUP($I186,'Price List, Weapons &amp; Items'!B:F,5,0)</f>
        <v>0</v>
      </c>
      <c r="AK186" s="181">
        <f t="shared" si="33"/>
        <v>0</v>
      </c>
      <c r="AL186" s="181">
        <f t="shared" si="34"/>
        <v>0</v>
      </c>
      <c r="AM186" s="181">
        <f t="shared" si="35"/>
        <v>0</v>
      </c>
      <c r="AN186" s="180" t="str">
        <f>VLOOKUP($I186,'Price List, Weapons &amp; Items'!B:L,COLUMN('Price List, Weapons &amp; Items'!$J$11)-1,0)</f>
        <v>.</v>
      </c>
      <c r="AO186" s="180" t="str">
        <f>IF(I186=".",".",VLOOKUP($I186,'Price List, Weapons &amp; Items'!B:J,3,0))</f>
        <v>.</v>
      </c>
      <c r="AP186" s="545" t="e">
        <f t="shared" ca="1" si="29"/>
        <v>#NAME?</v>
      </c>
      <c r="AQ186" s="180" t="str">
        <f>VLOOKUP($I186,'Price List, Weapons &amp; Items'!B:L,COLUMN('Price List, Weapons &amp; Items'!$L$11)-1,0)</f>
        <v>no price, 0 count</v>
      </c>
      <c r="AR186" s="180">
        <f t="shared" si="36"/>
        <v>1</v>
      </c>
      <c r="AS186" s="180">
        <f t="shared" si="37"/>
        <v>1</v>
      </c>
      <c r="AT186" s="180">
        <f t="shared" si="30"/>
        <v>1</v>
      </c>
      <c r="AU186" s="180" t="str">
        <f t="shared" si="38"/>
        <v>.</v>
      </c>
      <c r="AV186" s="180" t="str">
        <f t="shared" si="39"/>
        <v>.</v>
      </c>
      <c r="AW186" s="180">
        <f>IFERROR(VLOOKUP(B186,'Share, Heavy Weapons to Ukraine'!B:J,COLUMN('Share, Heavy Weapons to Ukraine'!C193)-1,0),0)</f>
        <v>0</v>
      </c>
      <c r="AX186" s="180">
        <f>VLOOKUP('Bilateral Assistance, MAIN DATA'!B186,'Country Summary'!B:F,COLUMN('Country Summary'!C196)-1,FALSE)</f>
        <v>1</v>
      </c>
      <c r="AY186" s="180" t="str">
        <f>IF(AND(AD186=1,D186="Military",H186&lt;&gt;"Not given")=TRUE,IF(SUMIFS(P:P,A:A,A186)&gt;0,ABS((SUMIFS(P:P,A:A,A186)/VLOOKUP("USD",'Exchange Rates'!B:C,2,0)))/S186,"."),".")</f>
        <v>.</v>
      </c>
      <c r="AZ186" s="182" t="str">
        <f>IF(AND(AD186=1,D186="Military",H186&lt;&gt;"Not given")=TRUE,IF(SUMIFS(P:P,A:A,A186)&gt;0,IF((ABS((SUMIFS(P:P,A:A,A186)/VLOOKUP("USD",'Exchange Rates'!B:C,2,0)))/S186)&gt;1,(SUMIFS(P:P,A:A,A186)-S186)/S186,(S186-SUMIFS(P:P,A:A,A186))/SUMIFS(P:P,A:A,A186)),"."),".")</f>
        <v>.</v>
      </c>
      <c r="BA186" s="1024"/>
      <c r="BB186" s="1024"/>
      <c r="BC186" s="1024"/>
      <c r="BD186" s="1024"/>
      <c r="BE186" s="1024"/>
      <c r="BF186" s="1024"/>
      <c r="BG186" s="1024"/>
      <c r="BH186" s="1024"/>
      <c r="BI186" s="1024"/>
      <c r="BJ186" s="1024"/>
      <c r="BK186" s="1024"/>
      <c r="BL186" s="1024"/>
      <c r="BM186" s="1024"/>
      <c r="BN186" s="1024"/>
      <c r="BO186" s="1024"/>
      <c r="BP186" s="1024"/>
      <c r="BQ186" s="1024"/>
      <c r="BR186" s="1024"/>
      <c r="BS186" s="1024"/>
    </row>
    <row r="187" spans="1:71" s="520" customFormat="1" ht="15.9" customHeight="1" x14ac:dyDescent="0.3">
      <c r="A187" s="5" t="s">
        <v>789</v>
      </c>
      <c r="B187" s="5" t="s">
        <v>716</v>
      </c>
      <c r="C187" s="174" t="s">
        <v>790</v>
      </c>
      <c r="D187" s="5" t="s">
        <v>285</v>
      </c>
      <c r="E187" s="5" t="s">
        <v>339</v>
      </c>
      <c r="F187" s="175" t="s">
        <v>791</v>
      </c>
      <c r="G187" s="15" t="s">
        <v>346</v>
      </c>
      <c r="H187" s="176" t="s">
        <v>341</v>
      </c>
      <c r="I187" s="17" t="s">
        <v>792</v>
      </c>
      <c r="J187" s="113" t="str">
        <f>VLOOKUP($I187,'Price List, Weapons &amp; Items'!B:C,2,0)</f>
        <v>Heavy weapon</v>
      </c>
      <c r="K187" s="113" t="str">
        <f>IF(I187=".",I187,VLOOKUP($I187,'Price List, Weapons &amp; Items'!B:D,3,0))</f>
        <v>122mm MLRS</v>
      </c>
      <c r="L187" s="177">
        <f>VLOOKUP(I187,'Price List, Weapons &amp; Items'!B:E,4,0)</f>
        <v>1</v>
      </c>
      <c r="M187" s="542">
        <v>20</v>
      </c>
      <c r="N187" s="542">
        <v>20</v>
      </c>
      <c r="O187" s="543">
        <f>VLOOKUP($I187,'Price List, Weapons &amp; Items'!B:G,6,0)</f>
        <v>1637933.8716107793</v>
      </c>
      <c r="P187" s="176">
        <f t="shared" si="31"/>
        <v>32758677.432215586</v>
      </c>
      <c r="Q187" s="176">
        <f t="shared" si="32"/>
        <v>32758677.432215586</v>
      </c>
      <c r="R187" s="176">
        <f t="shared" si="28"/>
        <v>63758677.432215586</v>
      </c>
      <c r="S187" s="176">
        <f>IF(AND(AD187=1,R187&lt;&gt;".")=TRUE,R187/VLOOKUP(G187,'Exchange Rates'!B:C,2,0),IF(R187=".",".",""))</f>
        <v>60722549.935443416</v>
      </c>
      <c r="T187" s="176">
        <f>IF(AD187=1,IF(AF187="Value is not given at all",".",IF(AF187="Value is given by the source",S187,IF(AF187="Value is calculated with prices",(IF(SUMIFS(Q:Q,A:A,A187)&gt;0,SUMIFS(Q:Q,A:A,A187),"."))/VLOOKUP("USD",'Exchange Rates'!B:C,2,0),"Error with coding"))),"")</f>
        <v>60722549.935443416</v>
      </c>
      <c r="U187" s="15" t="s">
        <v>415</v>
      </c>
      <c r="V187" s="547" t="s">
        <v>793</v>
      </c>
      <c r="W187" s="188" t="s">
        <v>260</v>
      </c>
      <c r="X187" s="188" t="s">
        <v>260</v>
      </c>
      <c r="Y187" s="530" t="s">
        <v>260</v>
      </c>
      <c r="Z187" s="15">
        <v>0</v>
      </c>
      <c r="AA187" s="180">
        <v>0</v>
      </c>
      <c r="AB187" s="550" t="s">
        <v>794</v>
      </c>
      <c r="AC187" s="544" t="str">
        <f>""</f>
        <v/>
      </c>
      <c r="AD187" s="183">
        <v>1</v>
      </c>
      <c r="AE187" s="183" t="s">
        <v>332</v>
      </c>
      <c r="AF187" s="183" t="s">
        <v>332</v>
      </c>
      <c r="AG187" s="183">
        <v>1</v>
      </c>
      <c r="AH187" s="183">
        <v>4</v>
      </c>
      <c r="AI187" s="183">
        <v>0</v>
      </c>
      <c r="AJ187" s="181">
        <f>VLOOKUP($I187,'Price List, Weapons &amp; Items'!B:F,5,0)</f>
        <v>1</v>
      </c>
      <c r="AK187" s="181">
        <f t="shared" si="33"/>
        <v>0</v>
      </c>
      <c r="AL187" s="181">
        <f t="shared" si="34"/>
        <v>0</v>
      </c>
      <c r="AM187" s="181">
        <f t="shared" si="35"/>
        <v>0</v>
      </c>
      <c r="AN187" s="180" t="str">
        <f>VLOOKUP($I187,'Price List, Weapons &amp; Items'!B:L,COLUMN('Price List, Weapons &amp; Items'!$J$11)-1,0)</f>
        <v>Contracts</v>
      </c>
      <c r="AO187" s="180" t="str">
        <f>IF(I187=".",".",VLOOKUP($I187,'Price List, Weapons &amp; Items'!B:J,3,0))</f>
        <v>122mm MLRS</v>
      </c>
      <c r="AP187" s="545" t="e">
        <f t="shared" ca="1" si="29"/>
        <v>#NAME?</v>
      </c>
      <c r="AQ187" s="180">
        <f>VLOOKUP($I187,'Price List, Weapons &amp; Items'!B:L,COLUMN('Price List, Weapons &amp; Items'!$L$11)-1,0)</f>
        <v>2</v>
      </c>
      <c r="AR187" s="180">
        <f t="shared" si="36"/>
        <v>0</v>
      </c>
      <c r="AS187" s="180">
        <f t="shared" si="37"/>
        <v>1</v>
      </c>
      <c r="AT187" s="180" t="str">
        <f t="shared" si="30"/>
        <v>Value is not in date format</v>
      </c>
      <c r="AU187" s="180" t="str">
        <f t="shared" si="38"/>
        <v>.</v>
      </c>
      <c r="AV187" s="180" t="str">
        <f t="shared" si="39"/>
        <v>.</v>
      </c>
      <c r="AW187" s="180">
        <f>IFERROR(VLOOKUP(B187,'Share, Heavy Weapons to Ukraine'!B:J,COLUMN('Share, Heavy Weapons to Ukraine'!C194)-1,0),0)</f>
        <v>0</v>
      </c>
      <c r="AX187" s="180">
        <f>VLOOKUP('Bilateral Assistance, MAIN DATA'!B187,'Country Summary'!B:F,COLUMN('Country Summary'!C197)-1,FALSE)</f>
        <v>1</v>
      </c>
      <c r="AY187" s="180" t="str">
        <f>IF(AND(AD187=1,D187="Military",H187&lt;&gt;"Not given")=TRUE,IF(SUMIFS(P:P,A:A,A187)&gt;0,ABS((SUMIFS(P:P,A:A,A187)/VLOOKUP("USD",'Exchange Rates'!B:C,2,0)))/S187,"."),".")</f>
        <v>.</v>
      </c>
      <c r="AZ187" s="182" t="str">
        <f>IF(AND(AD187=1,D187="Military",H187&lt;&gt;"Not given")=TRUE,IF(SUMIFS(P:P,A:A,A187)&gt;0,IF((ABS((SUMIFS(P:P,A:A,A187)/VLOOKUP("USD",'Exchange Rates'!B:C,2,0)))/S187)&gt;1,(SUMIFS(P:P,A:A,A187)-S187)/S187,(S187-SUMIFS(P:P,A:A,A187))/SUMIFS(P:P,A:A,A187)),"."),".")</f>
        <v>.</v>
      </c>
      <c r="BA187" s="1024"/>
      <c r="BB187" s="1024"/>
      <c r="BC187" s="1024"/>
      <c r="BD187" s="1024"/>
      <c r="BE187" s="1024"/>
      <c r="BF187" s="1024"/>
      <c r="BG187" s="1024"/>
      <c r="BH187" s="1024"/>
      <c r="BI187" s="1024"/>
      <c r="BJ187" s="1024"/>
      <c r="BK187" s="1024"/>
      <c r="BL187" s="1024"/>
      <c r="BM187" s="1024"/>
      <c r="BN187" s="1024"/>
      <c r="BO187" s="1024"/>
      <c r="BP187" s="1024"/>
      <c r="BQ187" s="1024"/>
      <c r="BR187" s="1024"/>
      <c r="BS187" s="1024"/>
    </row>
    <row r="188" spans="1:71" s="520" customFormat="1" ht="15.9" customHeight="1" x14ac:dyDescent="0.3">
      <c r="A188" s="5" t="s">
        <v>789</v>
      </c>
      <c r="B188" s="5" t="s">
        <v>716</v>
      </c>
      <c r="C188" s="174" t="s">
        <v>790</v>
      </c>
      <c r="D188" s="5" t="s">
        <v>285</v>
      </c>
      <c r="E188" s="5" t="s">
        <v>339</v>
      </c>
      <c r="F188" s="175" t="s">
        <v>791</v>
      </c>
      <c r="G188" s="15" t="s">
        <v>346</v>
      </c>
      <c r="H188" s="176" t="s">
        <v>341</v>
      </c>
      <c r="I188" s="17" t="s">
        <v>795</v>
      </c>
      <c r="J188" s="113" t="str">
        <f>VLOOKUP($I188,'Price List, Weapons &amp; Items'!B:C,2,0)</f>
        <v>Heavy weapon</v>
      </c>
      <c r="K188" s="113" t="str">
        <f>IF(I188=".",I188,VLOOKUP($I188,'Price List, Weapons &amp; Items'!B:D,3,0))</f>
        <v>152mm howitzer</v>
      </c>
      <c r="L188" s="177">
        <f>VLOOKUP(I188,'Price List, Weapons &amp; Items'!B:E,4,0)</f>
        <v>1</v>
      </c>
      <c r="M188" s="542">
        <v>20</v>
      </c>
      <c r="N188" s="542">
        <v>20</v>
      </c>
      <c r="O188" s="543">
        <f>VLOOKUP($I188,'Price List, Weapons &amp; Items'!B:G,6,0)</f>
        <v>1550000</v>
      </c>
      <c r="P188" s="176">
        <f t="shared" si="31"/>
        <v>31000000</v>
      </c>
      <c r="Q188" s="176">
        <f t="shared" si="32"/>
        <v>31000000</v>
      </c>
      <c r="R188" s="176" t="str">
        <f t="shared" si="28"/>
        <v/>
      </c>
      <c r="S188" s="176" t="str">
        <f>IF(AND(AD188=1,R188&lt;&gt;".")=TRUE,R188/VLOOKUP(G188,'Exchange Rates'!B:C,2,0),IF(R188=".",".",""))</f>
        <v/>
      </c>
      <c r="T188" s="176" t="str">
        <f>IF(AD188=1,IF(AF188="Value is not given at all",".",IF(AF188="Value is given by the source",S188,IF(AF188="Value is calculated with prices",(IF(SUMIFS(Q:Q,A:A,A188)&gt;0,SUMIFS(Q:Q,A:A,A188),"."))/VLOOKUP("USD",'Exchange Rates'!B:C,2,0),"Error with coding"))),"")</f>
        <v/>
      </c>
      <c r="U188" s="15" t="s">
        <v>415</v>
      </c>
      <c r="V188" s="547" t="s">
        <v>793</v>
      </c>
      <c r="W188" s="188" t="s">
        <v>260</v>
      </c>
      <c r="X188" s="188" t="s">
        <v>260</v>
      </c>
      <c r="Y188" s="530" t="s">
        <v>260</v>
      </c>
      <c r="Z188" s="15">
        <v>0</v>
      </c>
      <c r="AA188" s="180">
        <v>0</v>
      </c>
      <c r="AB188" s="550" t="s">
        <v>793</v>
      </c>
      <c r="AC188" s="544" t="str">
        <f>""</f>
        <v/>
      </c>
      <c r="AD188" s="183">
        <v>0</v>
      </c>
      <c r="AE188" s="183" t="s">
        <v>332</v>
      </c>
      <c r="AF188" s="183" t="s">
        <v>332</v>
      </c>
      <c r="AG188" s="183">
        <v>1</v>
      </c>
      <c r="AH188" s="183">
        <v>4</v>
      </c>
      <c r="AI188" s="183">
        <v>0</v>
      </c>
      <c r="AJ188" s="181">
        <f>VLOOKUP($I188,'Price List, Weapons &amp; Items'!B:F,5,0)</f>
        <v>1</v>
      </c>
      <c r="AK188" s="181">
        <f t="shared" si="33"/>
        <v>0</v>
      </c>
      <c r="AL188" s="181">
        <f t="shared" si="34"/>
        <v>0</v>
      </c>
      <c r="AM188" s="181">
        <f t="shared" si="35"/>
        <v>0</v>
      </c>
      <c r="AN188" s="180" t="str">
        <f>VLOOKUP($I188,'Price List, Weapons &amp; Items'!B:L,COLUMN('Price List, Weapons &amp; Items'!$J$11)-1,0)</f>
        <v>Military media (incl. websites)</v>
      </c>
      <c r="AO188" s="180" t="str">
        <f>IF(I188=".",".",VLOOKUP($I188,'Price List, Weapons &amp; Items'!B:J,3,0))</f>
        <v>152mm howitzer</v>
      </c>
      <c r="AP188" s="545" t="str">
        <f t="shared" ca="1" si="29"/>
        <v/>
      </c>
      <c r="AQ188" s="180">
        <f>VLOOKUP($I188,'Price List, Weapons &amp; Items'!B:L,COLUMN('Price List, Weapons &amp; Items'!$L$11)-1,0)</f>
        <v>2</v>
      </c>
      <c r="AR188" s="180">
        <f t="shared" si="36"/>
        <v>0</v>
      </c>
      <c r="AS188" s="180">
        <f t="shared" si="37"/>
        <v>1</v>
      </c>
      <c r="AT188" s="180" t="str">
        <f t="shared" si="30"/>
        <v>Value is not in date format</v>
      </c>
      <c r="AU188" s="180" t="str">
        <f t="shared" si="38"/>
        <v>.</v>
      </c>
      <c r="AV188" s="180" t="str">
        <f t="shared" si="39"/>
        <v>.</v>
      </c>
      <c r="AW188" s="180">
        <f>IFERROR(VLOOKUP(B188,'Share, Heavy Weapons to Ukraine'!B:J,COLUMN('Share, Heavy Weapons to Ukraine'!C195)-1,0),0)</f>
        <v>0</v>
      </c>
      <c r="AX188" s="180">
        <f>VLOOKUP('Bilateral Assistance, MAIN DATA'!B188,'Country Summary'!B:F,COLUMN('Country Summary'!C198)-1,FALSE)</f>
        <v>1</v>
      </c>
      <c r="AY188" s="180" t="str">
        <f>IF(AND(AD188=1,D188="Military",H188&lt;&gt;"Not given")=TRUE,IF(SUMIFS(P:P,A:A,A188)&gt;0,ABS((SUMIFS(P:P,A:A,A188)/VLOOKUP("USD",'Exchange Rates'!B:C,2,0)))/S188,"."),".")</f>
        <v>.</v>
      </c>
      <c r="AZ188" s="182" t="str">
        <f>IF(AND(AD188=1,D188="Military",H188&lt;&gt;"Not given")=TRUE,IF(SUMIFS(P:P,A:A,A188)&gt;0,IF((ABS((SUMIFS(P:P,A:A,A188)/VLOOKUP("USD",'Exchange Rates'!B:C,2,0)))/S188)&gt;1,(SUMIFS(P:P,A:A,A188)-S188)/S188,(S188-SUMIFS(P:P,A:A,A188))/SUMIFS(P:P,A:A,A188)),"."),".")</f>
        <v>.</v>
      </c>
      <c r="BA188" s="1024"/>
      <c r="BB188" s="1024"/>
      <c r="BC188" s="1024"/>
      <c r="BD188" s="1024"/>
      <c r="BE188" s="1024"/>
      <c r="BF188" s="1024"/>
      <c r="BG188" s="1024"/>
      <c r="BH188" s="1024"/>
      <c r="BI188" s="1024"/>
      <c r="BJ188" s="1024"/>
      <c r="BK188" s="1024"/>
      <c r="BL188" s="1024"/>
      <c r="BM188" s="1024"/>
      <c r="BN188" s="1024"/>
      <c r="BO188" s="1024"/>
      <c r="BP188" s="1024"/>
      <c r="BQ188" s="1024"/>
      <c r="BR188" s="1024"/>
      <c r="BS188" s="1024"/>
    </row>
    <row r="189" spans="1:71" s="520" customFormat="1" ht="15.9" customHeight="1" x14ac:dyDescent="0.3">
      <c r="A189" s="17" t="s">
        <v>796</v>
      </c>
      <c r="B189" s="17" t="s">
        <v>716</v>
      </c>
      <c r="C189" s="174">
        <v>44704</v>
      </c>
      <c r="D189" s="5" t="s">
        <v>285</v>
      </c>
      <c r="E189" s="5" t="s">
        <v>339</v>
      </c>
      <c r="F189" s="175" t="s">
        <v>797</v>
      </c>
      <c r="G189" s="15" t="s">
        <v>346</v>
      </c>
      <c r="H189" s="176" t="s">
        <v>341</v>
      </c>
      <c r="I189" s="17" t="s">
        <v>798</v>
      </c>
      <c r="J189" s="113" t="str">
        <f>VLOOKUP($I189,'Price List, Weapons &amp; Items'!B:C,2,0)</f>
        <v>Aviation and drones</v>
      </c>
      <c r="K189" s="113" t="str">
        <f>IF(I189=".",I189,VLOOKUP($I189,'Price List, Weapons &amp; Items'!B:D,3,0))</f>
        <v>Combat aircraft</v>
      </c>
      <c r="L189" s="177">
        <f>VLOOKUP(I189,'Price List, Weapons &amp; Items'!B:E,4,0)</f>
        <v>1</v>
      </c>
      <c r="M189" s="542">
        <v>7</v>
      </c>
      <c r="N189" s="542">
        <v>7</v>
      </c>
      <c r="O189" s="543">
        <f>VLOOKUP($I189,'Price List, Weapons &amp; Items'!B:G,6,0)</f>
        <v>12000000</v>
      </c>
      <c r="P189" s="176">
        <f t="shared" si="31"/>
        <v>84000000</v>
      </c>
      <c r="Q189" s="176">
        <f t="shared" si="32"/>
        <v>84000000</v>
      </c>
      <c r="R189" s="176">
        <f t="shared" si="28"/>
        <v>84000000</v>
      </c>
      <c r="S189" s="176">
        <f>IF(AND(AD189=1,R189&lt;&gt;".")=TRUE,R189/VLOOKUP(G189,'Exchange Rates'!B:C,2,0),IF(R189=".",".",""))</f>
        <v>80000000</v>
      </c>
      <c r="T189" s="176">
        <f>IF(AD189=1,IF(AF189="Value is not given at all",".",IF(AF189="Value is given by the source",S189,IF(AF189="Value is calculated with prices",(IF(SUMIFS(Q:Q,A:A,A189)&gt;0,SUMIFS(Q:Q,A:A,A189),"."))/VLOOKUP("USD",'Exchange Rates'!B:C,2,0),"Error with coding"))),"")</f>
        <v>80000000</v>
      </c>
      <c r="U189" s="15" t="s">
        <v>415</v>
      </c>
      <c r="V189" s="300" t="s">
        <v>799</v>
      </c>
      <c r="W189" s="300" t="s">
        <v>800</v>
      </c>
      <c r="X189" s="175" t="s">
        <v>260</v>
      </c>
      <c r="Y189" s="529" t="s">
        <v>260</v>
      </c>
      <c r="Z189" s="15">
        <v>0</v>
      </c>
      <c r="AA189" s="180">
        <v>0</v>
      </c>
      <c r="AB189" s="550" t="s">
        <v>801</v>
      </c>
      <c r="AC189" s="544" t="str">
        <f>""</f>
        <v/>
      </c>
      <c r="AD189" s="183">
        <v>1</v>
      </c>
      <c r="AE189" s="183" t="s">
        <v>332</v>
      </c>
      <c r="AF189" s="183" t="s">
        <v>332</v>
      </c>
      <c r="AG189" s="183">
        <v>1</v>
      </c>
      <c r="AH189" s="181">
        <v>5</v>
      </c>
      <c r="AI189" s="181">
        <v>0</v>
      </c>
      <c r="AJ189" s="181">
        <f>VLOOKUP($I189,'Price List, Weapons &amp; Items'!B:F,5,0)</f>
        <v>0</v>
      </c>
      <c r="AK189" s="181">
        <f t="shared" si="33"/>
        <v>0</v>
      </c>
      <c r="AL189" s="181">
        <f t="shared" si="34"/>
        <v>0</v>
      </c>
      <c r="AM189" s="181">
        <f t="shared" si="35"/>
        <v>0</v>
      </c>
      <c r="AN189" s="180" t="str">
        <f>VLOOKUP($I189,'Price List, Weapons &amp; Items'!B:L,COLUMN('Price List, Weapons &amp; Items'!$J$11)-1,0)</f>
        <v>Military media (incl. websites)</v>
      </c>
      <c r="AO189" s="180" t="str">
        <f>IF(I189=".",".",VLOOKUP($I189,'Price List, Weapons &amp; Items'!B:J,3,0))</f>
        <v>Combat aircraft</v>
      </c>
      <c r="AP189" s="545" t="e">
        <f t="shared" ca="1" si="29"/>
        <v>#NAME?</v>
      </c>
      <c r="AQ189" s="180">
        <f>VLOOKUP($I189,'Price List, Weapons &amp; Items'!B:L,COLUMN('Price List, Weapons &amp; Items'!$L$11)-1,0)</f>
        <v>2</v>
      </c>
      <c r="AR189" s="180">
        <f t="shared" si="36"/>
        <v>0</v>
      </c>
      <c r="AS189" s="180">
        <f t="shared" si="37"/>
        <v>1</v>
      </c>
      <c r="AT189" s="180">
        <f t="shared" si="30"/>
        <v>1</v>
      </c>
      <c r="AU189" s="180" t="str">
        <f t="shared" si="38"/>
        <v>.</v>
      </c>
      <c r="AV189" s="180" t="str">
        <f t="shared" si="39"/>
        <v>.</v>
      </c>
      <c r="AW189" s="180">
        <f>IFERROR(VLOOKUP(B189,'Share, Heavy Weapons to Ukraine'!B:J,COLUMN('Share, Heavy Weapons to Ukraine'!C196)-1,0),0)</f>
        <v>0</v>
      </c>
      <c r="AX189" s="180">
        <f>VLOOKUP('Bilateral Assistance, MAIN DATA'!B189,'Country Summary'!B:F,COLUMN('Country Summary'!C199)-1,FALSE)</f>
        <v>1</v>
      </c>
      <c r="AY189" s="180" t="str">
        <f>IF(AND(AD189=1,D189="Military",H189&lt;&gt;"Not given")=TRUE,IF(SUMIFS(P:P,A:A,A189)&gt;0,ABS((SUMIFS(P:P,A:A,A189)/VLOOKUP("USD",'Exchange Rates'!B:C,2,0)))/S189,"."),".")</f>
        <v>.</v>
      </c>
      <c r="AZ189" s="182" t="str">
        <f>IF(AND(AD189=1,D189="Military",H189&lt;&gt;"Not given")=TRUE,IF(SUMIFS(P:P,A:A,A189)&gt;0,IF((ABS((SUMIFS(P:P,A:A,A189)/VLOOKUP("USD",'Exchange Rates'!B:C,2,0)))/S189)&gt;1,(SUMIFS(P:P,A:A,A189)-S189)/S189,(S189-SUMIFS(P:P,A:A,A189))/SUMIFS(P:P,A:A,A189)),"."),".")</f>
        <v>.</v>
      </c>
      <c r="BA189" s="1024"/>
      <c r="BB189" s="1024"/>
      <c r="BC189" s="1024"/>
      <c r="BD189" s="1024"/>
      <c r="BE189" s="1024"/>
      <c r="BF189" s="1024"/>
      <c r="BG189" s="1024"/>
      <c r="BH189" s="1024"/>
      <c r="BI189" s="1024"/>
      <c r="BJ189" s="1024"/>
      <c r="BK189" s="1024"/>
      <c r="BL189" s="1024"/>
      <c r="BM189" s="1024"/>
      <c r="BN189" s="1024"/>
      <c r="BO189" s="1024"/>
      <c r="BP189" s="1024"/>
      <c r="BQ189" s="1024"/>
      <c r="BR189" s="1024"/>
      <c r="BS189" s="1024"/>
    </row>
    <row r="190" spans="1:71" s="520" customFormat="1" ht="15.9" customHeight="1" x14ac:dyDescent="0.3">
      <c r="A190" s="17" t="s">
        <v>802</v>
      </c>
      <c r="B190" s="17" t="s">
        <v>716</v>
      </c>
      <c r="C190" s="174">
        <v>44710</v>
      </c>
      <c r="D190" s="5" t="s">
        <v>285</v>
      </c>
      <c r="E190" s="5" t="s">
        <v>339</v>
      </c>
      <c r="F190" s="175" t="s">
        <v>803</v>
      </c>
      <c r="G190" s="15" t="s">
        <v>346</v>
      </c>
      <c r="H190" s="176">
        <v>30000000</v>
      </c>
      <c r="I190" s="17" t="s">
        <v>260</v>
      </c>
      <c r="J190" s="113" t="str">
        <f>VLOOKUP($I190,'Price List, Weapons &amp; Items'!B:C,2,0)</f>
        <v>.</v>
      </c>
      <c r="K190" s="113" t="str">
        <f>IF(I190=".",I190,VLOOKUP($I190,'Price List, Weapons &amp; Items'!B:D,3,0))</f>
        <v>.</v>
      </c>
      <c r="L190" s="177">
        <f>VLOOKUP(I190,'Price List, Weapons &amp; Items'!B:E,4,0)</f>
        <v>0</v>
      </c>
      <c r="M190" s="542" t="s">
        <v>260</v>
      </c>
      <c r="N190" s="542" t="s">
        <v>260</v>
      </c>
      <c r="O190" s="543" t="str">
        <f>VLOOKUP($I190,'Price List, Weapons &amp; Items'!B:G,6,0)</f>
        <v>.</v>
      </c>
      <c r="P190" s="176" t="str">
        <f t="shared" si="31"/>
        <v>.</v>
      </c>
      <c r="Q190" s="176" t="str">
        <f t="shared" si="32"/>
        <v>.</v>
      </c>
      <c r="R190" s="176">
        <f t="shared" si="28"/>
        <v>30000000</v>
      </c>
      <c r="S190" s="176">
        <f>IF(AND(AD190=1,R190&lt;&gt;".")=TRUE,R190/VLOOKUP(G190,'Exchange Rates'!B:C,2,0),IF(R190=".",".",""))</f>
        <v>28571428.571428571</v>
      </c>
      <c r="T190" s="176">
        <f>IF(AD190=1,IF(AF190="Value is not given at all",".",IF(AF190="Value is given by the source",S190,IF(AF190="Value is calculated with prices",(IF(SUMIFS(Q:Q,A:A,A190)&gt;0,SUMIFS(Q:Q,A:A,A190),"."))/VLOOKUP("USD",'Exchange Rates'!B:C,2,0),"Error with coding"))),"")</f>
        <v>28571428.571428571</v>
      </c>
      <c r="U190" s="15" t="s">
        <v>415</v>
      </c>
      <c r="V190" s="300" t="s">
        <v>742</v>
      </c>
      <c r="W190" s="175" t="s">
        <v>260</v>
      </c>
      <c r="X190" s="175" t="s">
        <v>260</v>
      </c>
      <c r="Y190" s="529" t="s">
        <v>260</v>
      </c>
      <c r="Z190" s="15">
        <v>0</v>
      </c>
      <c r="AA190" s="180">
        <v>0</v>
      </c>
      <c r="AB190" s="561" t="s">
        <v>804</v>
      </c>
      <c r="AC190" s="544" t="str">
        <f>""</f>
        <v/>
      </c>
      <c r="AD190" s="183">
        <v>1</v>
      </c>
      <c r="AE190" s="183" t="s">
        <v>264</v>
      </c>
      <c r="AF190" s="183" t="s">
        <v>264</v>
      </c>
      <c r="AG190" s="183">
        <v>1</v>
      </c>
      <c r="AH190" s="181">
        <v>5</v>
      </c>
      <c r="AI190" s="181">
        <v>0</v>
      </c>
      <c r="AJ190" s="181">
        <f>VLOOKUP($I190,'Price List, Weapons &amp; Items'!B:F,5,0)</f>
        <v>0</v>
      </c>
      <c r="AK190" s="181">
        <f t="shared" si="33"/>
        <v>0</v>
      </c>
      <c r="AL190" s="181">
        <f t="shared" si="34"/>
        <v>0</v>
      </c>
      <c r="AM190" s="181">
        <f t="shared" si="35"/>
        <v>0</v>
      </c>
      <c r="AN190" s="180" t="str">
        <f>VLOOKUP($I190,'Price List, Weapons &amp; Items'!B:L,COLUMN('Price List, Weapons &amp; Items'!$J$11)-1,0)</f>
        <v>.</v>
      </c>
      <c r="AO190" s="180" t="str">
        <f>IF(I190=".",".",VLOOKUP($I190,'Price List, Weapons &amp; Items'!B:J,3,0))</f>
        <v>.</v>
      </c>
      <c r="AP190" s="545" t="e">
        <f t="shared" ca="1" si="29"/>
        <v>#NAME?</v>
      </c>
      <c r="AQ190" s="180" t="str">
        <f>VLOOKUP($I190,'Price List, Weapons &amp; Items'!B:L,COLUMN('Price List, Weapons &amp; Items'!$L$11)-1,0)</f>
        <v>no price, 0 count</v>
      </c>
      <c r="AR190" s="180">
        <f t="shared" si="36"/>
        <v>0</v>
      </c>
      <c r="AS190" s="180">
        <f t="shared" si="37"/>
        <v>1</v>
      </c>
      <c r="AT190" s="180">
        <f t="shared" si="30"/>
        <v>1</v>
      </c>
      <c r="AU190" s="180" t="str">
        <f t="shared" si="38"/>
        <v>.</v>
      </c>
      <c r="AV190" s="180" t="str">
        <f t="shared" si="39"/>
        <v>.</v>
      </c>
      <c r="AW190" s="180">
        <f>IFERROR(VLOOKUP(B190,'Share, Heavy Weapons to Ukraine'!B:J,COLUMN('Share, Heavy Weapons to Ukraine'!C197)-1,0),0)</f>
        <v>0</v>
      </c>
      <c r="AX190" s="180">
        <f>VLOOKUP('Bilateral Assistance, MAIN DATA'!B190,'Country Summary'!B:F,COLUMN('Country Summary'!C200)-1,FALSE)</f>
        <v>1</v>
      </c>
      <c r="AY190" s="180" t="str">
        <f>IF(AND(AD190=1,D190="Military",H190&lt;&gt;"Not given")=TRUE,IF(SUMIFS(P:P,A:A,A190)&gt;0,ABS((SUMIFS(P:P,A:A,A190)/VLOOKUP("USD",'Exchange Rates'!B:C,2,0)))/S190,"."),".")</f>
        <v>.</v>
      </c>
      <c r="AZ190" s="182" t="str">
        <f>IF(AND(AD190=1,D190="Military",H190&lt;&gt;"Not given")=TRUE,IF(SUMIFS(P:P,A:A,A190)&gt;0,IF((ABS((SUMIFS(P:P,A:A,A190)/VLOOKUP("USD",'Exchange Rates'!B:C,2,0)))/S190)&gt;1,(SUMIFS(P:P,A:A,A190)-S190)/S190,(S190-SUMIFS(P:P,A:A,A190))/SUMIFS(P:P,A:A,A190)),"."),".")</f>
        <v>.</v>
      </c>
      <c r="BA190" s="1024"/>
      <c r="BB190" s="1024"/>
      <c r="BC190" s="1024"/>
      <c r="BD190" s="1024"/>
      <c r="BE190" s="1024"/>
      <c r="BF190" s="1024"/>
      <c r="BG190" s="1024"/>
      <c r="BH190" s="1024"/>
      <c r="BI190" s="1024"/>
      <c r="BJ190" s="1024"/>
      <c r="BK190" s="1024"/>
      <c r="BL190" s="1024"/>
      <c r="BM190" s="1024"/>
      <c r="BN190" s="1024"/>
      <c r="BO190" s="1024"/>
      <c r="BP190" s="1024"/>
      <c r="BQ190" s="1024"/>
      <c r="BR190" s="1024"/>
      <c r="BS190" s="1024"/>
    </row>
    <row r="191" spans="1:71" s="520" customFormat="1" ht="15.9" customHeight="1" x14ac:dyDescent="0.3">
      <c r="A191" s="17" t="s">
        <v>805</v>
      </c>
      <c r="B191" s="17" t="s">
        <v>716</v>
      </c>
      <c r="C191" s="174">
        <v>44839</v>
      </c>
      <c r="D191" s="5" t="s">
        <v>285</v>
      </c>
      <c r="E191" s="5" t="s">
        <v>286</v>
      </c>
      <c r="F191" s="175" t="s">
        <v>806</v>
      </c>
      <c r="G191" s="15" t="s">
        <v>718</v>
      </c>
      <c r="H191" s="176">
        <v>1801621450</v>
      </c>
      <c r="I191" s="17" t="s">
        <v>260</v>
      </c>
      <c r="J191" s="113" t="str">
        <f>VLOOKUP($I191,'Price List, Weapons &amp; Items'!B:C,2,0)</f>
        <v>.</v>
      </c>
      <c r="K191" s="113" t="str">
        <f>IF(I191=".",I191,VLOOKUP($I191,'Price List, Weapons &amp; Items'!B:D,3,0))</f>
        <v>.</v>
      </c>
      <c r="L191" s="177">
        <f>VLOOKUP(I191,'Price List, Weapons &amp; Items'!B:E,4,0)</f>
        <v>0</v>
      </c>
      <c r="M191" s="542" t="s">
        <v>260</v>
      </c>
      <c r="N191" s="542" t="s">
        <v>260</v>
      </c>
      <c r="O191" s="543" t="str">
        <f>VLOOKUP($I191,'Price List, Weapons &amp; Items'!B:G,6,0)</f>
        <v>.</v>
      </c>
      <c r="P191" s="176" t="str">
        <f t="shared" si="31"/>
        <v>.</v>
      </c>
      <c r="Q191" s="176" t="str">
        <f t="shared" si="32"/>
        <v>.</v>
      </c>
      <c r="R191" s="176">
        <f t="shared" si="28"/>
        <v>1801621450</v>
      </c>
      <c r="S191" s="176">
        <f>IF(AND(AD191=1,R191&lt;&gt;".")=TRUE,R191/VLOOKUP(G191,'Exchange Rates'!B:C,2,0),IF(R191=".",".",""))</f>
        <v>75117638.842561707</v>
      </c>
      <c r="T191" s="176">
        <f>IF(AD191=1,IF(AF191="Value is not given at all",".",IF(AF191="Value is given by the source",S191,IF(AF191="Value is calculated with prices",(IF(SUMIFS(Q:Q,A:A,A191)&gt;0,SUMIFS(Q:Q,A:A,A191),"."))/VLOOKUP("USD",'Exchange Rates'!B:C,2,0),"Error with coding"))),"")</f>
        <v>75117638.842561707</v>
      </c>
      <c r="U191" s="15" t="s">
        <v>261</v>
      </c>
      <c r="V191" s="303" t="s">
        <v>804</v>
      </c>
      <c r="W191" s="144" t="s">
        <v>260</v>
      </c>
      <c r="X191" s="144" t="s">
        <v>260</v>
      </c>
      <c r="Y191" s="668" t="s">
        <v>260</v>
      </c>
      <c r="Z191" s="15">
        <v>0</v>
      </c>
      <c r="AA191" s="180">
        <v>0</v>
      </c>
      <c r="AB191" s="561" t="s">
        <v>804</v>
      </c>
      <c r="AC191" s="544" t="str">
        <f>""</f>
        <v/>
      </c>
      <c r="AD191" s="183">
        <v>1</v>
      </c>
      <c r="AE191" s="183" t="s">
        <v>264</v>
      </c>
      <c r="AF191" s="183" t="s">
        <v>264</v>
      </c>
      <c r="AG191" s="183">
        <v>1</v>
      </c>
      <c r="AH191" s="181">
        <v>10</v>
      </c>
      <c r="AI191" s="181">
        <v>0</v>
      </c>
      <c r="AJ191" s="181">
        <f>VLOOKUP($I191,'Price List, Weapons &amp; Items'!B:F,5,0)</f>
        <v>0</v>
      </c>
      <c r="AK191" s="181">
        <f t="shared" si="33"/>
        <v>0</v>
      </c>
      <c r="AL191" s="181">
        <f t="shared" si="34"/>
        <v>0</v>
      </c>
      <c r="AM191" s="181">
        <f t="shared" si="35"/>
        <v>0</v>
      </c>
      <c r="AN191" s="180" t="str">
        <f>VLOOKUP($I191,'Price List, Weapons &amp; Items'!B:L,COLUMN('Price List, Weapons &amp; Items'!$J$11)-1,0)</f>
        <v>.</v>
      </c>
      <c r="AO191" s="180" t="str">
        <f>IF(I191=".",".",VLOOKUP($I191,'Price List, Weapons &amp; Items'!B:J,3,0))</f>
        <v>.</v>
      </c>
      <c r="AP191" s="545" t="e">
        <f t="shared" ca="1" si="29"/>
        <v>#NAME?</v>
      </c>
      <c r="AQ191" s="180" t="str">
        <f>VLOOKUP($I191,'Price List, Weapons &amp; Items'!B:L,COLUMN('Price List, Weapons &amp; Items'!$L$11)-1,0)</f>
        <v>no price, 0 count</v>
      </c>
      <c r="AR191" s="180">
        <f t="shared" si="36"/>
        <v>1</v>
      </c>
      <c r="AS191" s="180">
        <f t="shared" si="37"/>
        <v>1</v>
      </c>
      <c r="AT191" s="180">
        <f t="shared" si="30"/>
        <v>1</v>
      </c>
      <c r="AU191" s="180" t="str">
        <f t="shared" si="38"/>
        <v>.</v>
      </c>
      <c r="AV191" s="180" t="str">
        <f t="shared" si="39"/>
        <v>.</v>
      </c>
      <c r="AW191" s="180">
        <f>IFERROR(VLOOKUP(B191,'Share, Heavy Weapons to Ukraine'!B:J,COLUMN('Share, Heavy Weapons to Ukraine'!C198)-1,0),0)</f>
        <v>0</v>
      </c>
      <c r="AX191" s="180">
        <f>VLOOKUP('Bilateral Assistance, MAIN DATA'!B191,'Country Summary'!B:F,COLUMN('Country Summary'!C201)-1,FALSE)</f>
        <v>1</v>
      </c>
      <c r="AY191" s="180" t="str">
        <f>IF(AND(AD191=1,D191="Military",H191&lt;&gt;"Not given")=TRUE,IF(SUMIFS(P:P,A:A,A191)&gt;0,ABS((SUMIFS(P:P,A:A,A191)/VLOOKUP("USD",'Exchange Rates'!B:C,2,0)))/S191,"."),".")</f>
        <v>.</v>
      </c>
      <c r="AZ191" s="182" t="str">
        <f>IF(AND(AD191=1,D191="Military",H191&lt;&gt;"Not given")=TRUE,IF(SUMIFS(P:P,A:A,A191)&gt;0,IF((ABS((SUMIFS(P:P,A:A,A191)/VLOOKUP("USD",'Exchange Rates'!B:C,2,0)))/S191)&gt;1,(SUMIFS(P:P,A:A,A191)-S191)/S191,(S191-SUMIFS(P:P,A:A,A191))/SUMIFS(P:P,A:A,A191)),"."),".")</f>
        <v>.</v>
      </c>
      <c r="BA191" s="1024"/>
      <c r="BB191" s="1024"/>
      <c r="BC191" s="1024"/>
      <c r="BD191" s="1024"/>
      <c r="BE191" s="1024"/>
      <c r="BF191" s="1024"/>
      <c r="BG191" s="1024"/>
      <c r="BH191" s="1024"/>
      <c r="BI191" s="1024"/>
      <c r="BJ191" s="1024"/>
      <c r="BK191" s="1024"/>
      <c r="BL191" s="1024"/>
      <c r="BM191" s="1024"/>
      <c r="BN191" s="1024"/>
      <c r="BO191" s="1024"/>
      <c r="BP191" s="1024"/>
      <c r="BQ191" s="1024"/>
      <c r="BR191" s="1024"/>
      <c r="BS191" s="1024"/>
    </row>
    <row r="192" spans="1:71" s="520" customFormat="1" ht="15.9" customHeight="1" x14ac:dyDescent="0.3">
      <c r="A192" s="17" t="s">
        <v>807</v>
      </c>
      <c r="B192" s="17" t="s">
        <v>716</v>
      </c>
      <c r="C192" s="174">
        <v>44839</v>
      </c>
      <c r="D192" s="5" t="s">
        <v>285</v>
      </c>
      <c r="E192" s="5" t="s">
        <v>286</v>
      </c>
      <c r="F192" s="175" t="s">
        <v>808</v>
      </c>
      <c r="G192" s="15" t="s">
        <v>346</v>
      </c>
      <c r="H192" s="176">
        <v>7500000</v>
      </c>
      <c r="I192" s="17" t="s">
        <v>260</v>
      </c>
      <c r="J192" s="113" t="str">
        <f>VLOOKUP($I192,'Price List, Weapons &amp; Items'!B:C,2,0)</f>
        <v>.</v>
      </c>
      <c r="K192" s="113" t="str">
        <f>IF(I192=".",I192,VLOOKUP($I192,'Price List, Weapons &amp; Items'!B:D,3,0))</f>
        <v>.</v>
      </c>
      <c r="L192" s="177">
        <f>VLOOKUP(I192,'Price List, Weapons &amp; Items'!B:E,4,0)</f>
        <v>0</v>
      </c>
      <c r="M192" s="542" t="s">
        <v>260</v>
      </c>
      <c r="N192" s="542" t="s">
        <v>260</v>
      </c>
      <c r="O192" s="543" t="str">
        <f>VLOOKUP($I192,'Price List, Weapons &amp; Items'!B:G,6,0)</f>
        <v>.</v>
      </c>
      <c r="P192" s="176" t="str">
        <f t="shared" si="31"/>
        <v>.</v>
      </c>
      <c r="Q192" s="176" t="str">
        <f t="shared" si="32"/>
        <v>.</v>
      </c>
      <c r="R192" s="176">
        <f t="shared" si="28"/>
        <v>7500000</v>
      </c>
      <c r="S192" s="176">
        <f>IF(AND(AD192=1,R192&lt;&gt;".")=TRUE,R192/VLOOKUP(G192,'Exchange Rates'!B:C,2,0),IF(R192=".",".",""))</f>
        <v>7142857.1428571427</v>
      </c>
      <c r="T192" s="176" t="str">
        <f>IF(AD192=1,IF(AF192="Value is not given at all",".",IF(AF192="Value is given by the source",S192,IF(AF192="Value is calculated with prices",(IF(SUMIFS(Q:Q,A:A,A192)&gt;0,SUMIFS(Q:Q,A:A,A192),"."))/VLOOKUP("USD",'Exchange Rates'!B:C,2,0),"Error with coding"))),"")</f>
        <v>.</v>
      </c>
      <c r="U192" s="15" t="s">
        <v>415</v>
      </c>
      <c r="V192" s="303" t="s">
        <v>809</v>
      </c>
      <c r="W192" s="560" t="s">
        <v>810</v>
      </c>
      <c r="X192" s="531" t="s">
        <v>260</v>
      </c>
      <c r="Y192" s="668" t="s">
        <v>260</v>
      </c>
      <c r="Z192" s="15">
        <v>0</v>
      </c>
      <c r="AA192" s="180">
        <v>0</v>
      </c>
      <c r="AB192" s="17" t="s">
        <v>260</v>
      </c>
      <c r="AC192" s="544" t="str">
        <f>""</f>
        <v/>
      </c>
      <c r="AD192" s="183">
        <v>1</v>
      </c>
      <c r="AE192" s="183" t="s">
        <v>264</v>
      </c>
      <c r="AF192" s="183" t="s">
        <v>265</v>
      </c>
      <c r="AG192" s="183">
        <v>1</v>
      </c>
      <c r="AH192" s="181">
        <v>10</v>
      </c>
      <c r="AI192" s="181">
        <v>0</v>
      </c>
      <c r="AJ192" s="181">
        <f>VLOOKUP($I192,'Price List, Weapons &amp; Items'!B:F,5,0)</f>
        <v>0</v>
      </c>
      <c r="AK192" s="181">
        <f t="shared" si="33"/>
        <v>0</v>
      </c>
      <c r="AL192" s="181">
        <f t="shared" si="34"/>
        <v>0</v>
      </c>
      <c r="AM192" s="181">
        <f t="shared" si="35"/>
        <v>0</v>
      </c>
      <c r="AN192" s="180" t="str">
        <f>VLOOKUP($I192,'Price List, Weapons &amp; Items'!B:L,COLUMN('Price List, Weapons &amp; Items'!$J$11)-1,0)</f>
        <v>.</v>
      </c>
      <c r="AO192" s="180" t="str">
        <f>IF(I192=".",".",VLOOKUP($I192,'Price List, Weapons &amp; Items'!B:J,3,0))</f>
        <v>.</v>
      </c>
      <c r="AP192" s="545" t="e">
        <f t="shared" ca="1" si="29"/>
        <v>#NAME?</v>
      </c>
      <c r="AQ192" s="180" t="str">
        <f>VLOOKUP($I192,'Price List, Weapons &amp; Items'!B:L,COLUMN('Price List, Weapons &amp; Items'!$L$11)-1,0)</f>
        <v>no price, 0 count</v>
      </c>
      <c r="AR192" s="180">
        <f t="shared" si="36"/>
        <v>0</v>
      </c>
      <c r="AS192" s="180">
        <f t="shared" si="37"/>
        <v>1</v>
      </c>
      <c r="AT192" s="180">
        <f t="shared" si="30"/>
        <v>1</v>
      </c>
      <c r="AU192" s="180" t="str">
        <f t="shared" si="38"/>
        <v>.</v>
      </c>
      <c r="AV192" s="180" t="str">
        <f t="shared" si="39"/>
        <v>.</v>
      </c>
      <c r="AW192" s="180">
        <f>IFERROR(VLOOKUP(B192,'Share, Heavy Weapons to Ukraine'!B:J,COLUMN('Share, Heavy Weapons to Ukraine'!C199)-1,0),0)</f>
        <v>0</v>
      </c>
      <c r="AX192" s="180">
        <f>VLOOKUP('Bilateral Assistance, MAIN DATA'!B192,'Country Summary'!B:F,COLUMN('Country Summary'!C202)-1,FALSE)</f>
        <v>1</v>
      </c>
      <c r="AY192" s="180" t="str">
        <f>IF(AND(AD192=1,D192="Military",H192&lt;&gt;"Not given")=TRUE,IF(SUMIFS(P:P,A:A,A192)&gt;0,ABS((SUMIFS(P:P,A:A,A192)/VLOOKUP("USD",'Exchange Rates'!B:C,2,0)))/S192,"."),".")</f>
        <v>.</v>
      </c>
      <c r="AZ192" s="182" t="str">
        <f>IF(AND(AD192=1,D192="Military",H192&lt;&gt;"Not given")=TRUE,IF(SUMIFS(P:P,A:A,A192)&gt;0,IF((ABS((SUMIFS(P:P,A:A,A192)/VLOOKUP("USD",'Exchange Rates'!B:C,2,0)))/S192)&gt;1,(SUMIFS(P:P,A:A,A192)-S192)/S192,(S192-SUMIFS(P:P,A:A,A192))/SUMIFS(P:P,A:A,A192)),"."),".")</f>
        <v>.</v>
      </c>
      <c r="BA192" s="1024"/>
      <c r="BB192" s="1024"/>
      <c r="BC192" s="1024"/>
      <c r="BD192" s="1024"/>
      <c r="BE192" s="1024"/>
      <c r="BF192" s="1024"/>
      <c r="BG192" s="1024"/>
      <c r="BH192" s="1024"/>
      <c r="BI192" s="1024"/>
      <c r="BJ192" s="1024"/>
      <c r="BK192" s="1024"/>
      <c r="BL192" s="1024"/>
      <c r="BM192" s="1024"/>
      <c r="BN192" s="1024"/>
      <c r="BO192" s="1024"/>
      <c r="BP192" s="1024"/>
      <c r="BQ192" s="1024"/>
      <c r="BR192" s="1024"/>
      <c r="BS192" s="1024"/>
    </row>
    <row r="193" spans="1:71" s="520" customFormat="1" ht="15.9" customHeight="1" x14ac:dyDescent="0.3">
      <c r="A193" s="17" t="s">
        <v>811</v>
      </c>
      <c r="B193" s="17" t="s">
        <v>716</v>
      </c>
      <c r="C193" s="174">
        <v>44854</v>
      </c>
      <c r="D193" s="5" t="s">
        <v>285</v>
      </c>
      <c r="E193" s="5" t="s">
        <v>812</v>
      </c>
      <c r="F193" s="175" t="s">
        <v>813</v>
      </c>
      <c r="G193" s="15" t="s">
        <v>346</v>
      </c>
      <c r="H193" s="176">
        <v>413193</v>
      </c>
      <c r="I193" s="17" t="s">
        <v>260</v>
      </c>
      <c r="J193" s="113" t="str">
        <f>VLOOKUP($I193,'Price List, Weapons &amp; Items'!B:C,2,0)</f>
        <v>.</v>
      </c>
      <c r="K193" s="113" t="str">
        <f>IF(I193=".",I193,VLOOKUP($I193,'Price List, Weapons &amp; Items'!B:D,3,0))</f>
        <v>.</v>
      </c>
      <c r="L193" s="177">
        <f>VLOOKUP(I193,'Price List, Weapons &amp; Items'!B:E,4,0)</f>
        <v>0</v>
      </c>
      <c r="M193" s="542" t="s">
        <v>260</v>
      </c>
      <c r="N193" s="542" t="s">
        <v>260</v>
      </c>
      <c r="O193" s="543" t="str">
        <f>VLOOKUP($I193,'Price List, Weapons &amp; Items'!B:G,6,0)</f>
        <v>.</v>
      </c>
      <c r="P193" s="176" t="str">
        <f t="shared" si="31"/>
        <v>.</v>
      </c>
      <c r="Q193" s="176" t="str">
        <f t="shared" si="32"/>
        <v>.</v>
      </c>
      <c r="R193" s="176">
        <f t="shared" si="28"/>
        <v>413193</v>
      </c>
      <c r="S193" s="176">
        <f>IF(AND(AD193=1,R193&lt;&gt;".")=TRUE,R193/VLOOKUP(G193,'Exchange Rates'!B:C,2,0),IF(R193=".",".",""))</f>
        <v>393517.14285714284</v>
      </c>
      <c r="T193" s="176" t="str">
        <f>IF(AD193=1,IF(AF193="Value is not given at all",".",IF(AF193="Value is given by the source",S193,IF(AF193="Value is calculated with prices",(IF(SUMIFS(Q:Q,A:A,A193)&gt;0,SUMIFS(Q:Q,A:A,A193),"."))/VLOOKUP("USD",'Exchange Rates'!B:C,2,0),"Error with coding"))),"")</f>
        <v>.</v>
      </c>
      <c r="U193" s="15" t="s">
        <v>415</v>
      </c>
      <c r="V193" s="303" t="s">
        <v>810</v>
      </c>
      <c r="W193" s="144" t="s">
        <v>260</v>
      </c>
      <c r="X193" s="144" t="s">
        <v>260</v>
      </c>
      <c r="Y193" s="668" t="s">
        <v>260</v>
      </c>
      <c r="Z193" s="15">
        <v>0</v>
      </c>
      <c r="AA193" s="180">
        <v>0</v>
      </c>
      <c r="AB193" s="17" t="s">
        <v>260</v>
      </c>
      <c r="AC193" s="544" t="str">
        <f>""</f>
        <v/>
      </c>
      <c r="AD193" s="183">
        <v>1</v>
      </c>
      <c r="AE193" s="183" t="s">
        <v>264</v>
      </c>
      <c r="AF193" s="183" t="s">
        <v>265</v>
      </c>
      <c r="AG193" s="183">
        <v>1</v>
      </c>
      <c r="AH193" s="181">
        <v>10</v>
      </c>
      <c r="AI193" s="181">
        <v>0</v>
      </c>
      <c r="AJ193" s="181">
        <f>VLOOKUP($I193,'Price List, Weapons &amp; Items'!B:F,5,0)</f>
        <v>0</v>
      </c>
      <c r="AK193" s="181">
        <f t="shared" si="33"/>
        <v>0</v>
      </c>
      <c r="AL193" s="181">
        <f t="shared" si="34"/>
        <v>0</v>
      </c>
      <c r="AM193" s="181">
        <f t="shared" si="35"/>
        <v>0</v>
      </c>
      <c r="AN193" s="180" t="str">
        <f>VLOOKUP($I193,'Price List, Weapons &amp; Items'!B:L,COLUMN('Price List, Weapons &amp; Items'!$J$11)-1,0)</f>
        <v>.</v>
      </c>
      <c r="AO193" s="180" t="str">
        <f>IF(I193=".",".",VLOOKUP($I193,'Price List, Weapons &amp; Items'!B:J,3,0))</f>
        <v>.</v>
      </c>
      <c r="AP193" s="545" t="e">
        <f t="shared" ca="1" si="29"/>
        <v>#NAME?</v>
      </c>
      <c r="AQ193" s="180" t="str">
        <f>VLOOKUP($I193,'Price List, Weapons &amp; Items'!B:L,COLUMN('Price List, Weapons &amp; Items'!$L$11)-1,0)</f>
        <v>no price, 0 count</v>
      </c>
      <c r="AR193" s="180">
        <f t="shared" si="36"/>
        <v>0</v>
      </c>
      <c r="AS193" s="180">
        <f t="shared" si="37"/>
        <v>1</v>
      </c>
      <c r="AT193" s="180">
        <f t="shared" si="30"/>
        <v>1</v>
      </c>
      <c r="AU193" s="180" t="str">
        <f t="shared" si="38"/>
        <v>.</v>
      </c>
      <c r="AV193" s="180" t="str">
        <f t="shared" si="39"/>
        <v>.</v>
      </c>
      <c r="AW193" s="180">
        <f>IFERROR(VLOOKUP(B193,'Share, Heavy Weapons to Ukraine'!B:J,COLUMN('Share, Heavy Weapons to Ukraine'!C200)-1,0),0)</f>
        <v>0</v>
      </c>
      <c r="AX193" s="180">
        <f>VLOOKUP('Bilateral Assistance, MAIN DATA'!B193,'Country Summary'!B:F,COLUMN('Country Summary'!C203)-1,FALSE)</f>
        <v>1</v>
      </c>
      <c r="AY193" s="180" t="str">
        <f>IF(AND(AD193=1,D193="Military",H193&lt;&gt;"Not given")=TRUE,IF(SUMIFS(P:P,A:A,A193)&gt;0,ABS((SUMIFS(P:P,A:A,A193)/VLOOKUP("USD",'Exchange Rates'!B:C,2,0)))/S193,"."),".")</f>
        <v>.</v>
      </c>
      <c r="AZ193" s="182" t="str">
        <f>IF(AND(AD193=1,D193="Military",H193&lt;&gt;"Not given")=TRUE,IF(SUMIFS(P:P,A:A,A193)&gt;0,IF((ABS((SUMIFS(P:P,A:A,A193)/VLOOKUP("USD",'Exchange Rates'!B:C,2,0)))/S193)&gt;1,(SUMIFS(P:P,A:A,A193)-S193)/S193,(S193-SUMIFS(P:P,A:A,A193))/SUMIFS(P:P,A:A,A193)),"."),".")</f>
        <v>.</v>
      </c>
      <c r="BA193" s="1024"/>
      <c r="BB193" s="1024"/>
      <c r="BC193" s="1024"/>
      <c r="BD193" s="1024"/>
      <c r="BE193" s="1024"/>
      <c r="BF193" s="1024"/>
      <c r="BG193" s="1024"/>
      <c r="BH193" s="1024"/>
      <c r="BI193" s="1024"/>
      <c r="BJ193" s="1024"/>
      <c r="BK193" s="1024"/>
      <c r="BL193" s="1024"/>
      <c r="BM193" s="1024"/>
      <c r="BN193" s="1024"/>
      <c r="BO193" s="1024"/>
      <c r="BP193" s="1024"/>
      <c r="BQ193" s="1024"/>
      <c r="BR193" s="1024"/>
      <c r="BS193" s="1024"/>
    </row>
    <row r="194" spans="1:71" s="520" customFormat="1" ht="15.9" customHeight="1" x14ac:dyDescent="0.3">
      <c r="A194" s="17" t="s">
        <v>814</v>
      </c>
      <c r="B194" s="17" t="s">
        <v>716</v>
      </c>
      <c r="C194" s="174">
        <v>44869</v>
      </c>
      <c r="D194" s="5" t="s">
        <v>285</v>
      </c>
      <c r="E194" s="5" t="s">
        <v>339</v>
      </c>
      <c r="F194" s="175" t="s">
        <v>815</v>
      </c>
      <c r="G194" s="15" t="s">
        <v>346</v>
      </c>
      <c r="H194" s="176">
        <v>45000000</v>
      </c>
      <c r="I194" s="17" t="s">
        <v>816</v>
      </c>
      <c r="J194" s="113" t="str">
        <f>VLOOKUP($I194,'Price List, Weapons &amp; Items'!B:C,2,0)</f>
        <v>Heavy weapon</v>
      </c>
      <c r="K194" s="113" t="str">
        <f>IF(I194=".",I194,VLOOKUP($I194,'Price List, Weapons &amp; Items'!B:D,3,0))</f>
        <v>Main Battle Tank (MBT)</v>
      </c>
      <c r="L194" s="177">
        <f>VLOOKUP(I194,'Price List, Weapons &amp; Items'!B:E,4,0)</f>
        <v>1</v>
      </c>
      <c r="M194" s="542">
        <v>90</v>
      </c>
      <c r="N194" s="542" t="s">
        <v>270</v>
      </c>
      <c r="O194" s="543">
        <f>VLOOKUP($I194,'Price List, Weapons &amp; Items'!B:G,6,0)</f>
        <v>500000</v>
      </c>
      <c r="P194" s="176">
        <f t="shared" si="31"/>
        <v>45000000</v>
      </c>
      <c r="Q194" s="176" t="str">
        <f t="shared" si="32"/>
        <v>.</v>
      </c>
      <c r="R194" s="176">
        <f t="shared" ref="R194:R257" si="41">IF(AD194=1,IF(H194&lt;&gt;"Not given",H194,IF(TYPE(H194)=2,IF(SUMIFS(P:P,A:A,A194)&gt;0,SUMIFS(P:P,A:A,A194),"."),"Format error")),"")</f>
        <v>45000000</v>
      </c>
      <c r="S194" s="176">
        <f>IF(AND(AD194=1,R194&lt;&gt;".")=TRUE,R194/VLOOKUP(G194,'Exchange Rates'!B:C,2,0),IF(R194=".",".",""))</f>
        <v>42857142.857142858</v>
      </c>
      <c r="T194" s="176" t="str">
        <f>IF(AD194=1,IF(AF194="Value is not given at all",".",IF(AF194="Value is given by the source",S194,IF(AF194="Value is calculated with prices",(IF(SUMIFS(Q:Q,A:A,A194)&gt;0,SUMIFS(Q:Q,A:A,A194),"."))/VLOOKUP("USD",'Exchange Rates'!B:C,2,0),"Error with coding"))),"")</f>
        <v>.</v>
      </c>
      <c r="U194" s="15" t="s">
        <v>261</v>
      </c>
      <c r="V194" s="561" t="s">
        <v>817</v>
      </c>
      <c r="W194" s="303" t="s">
        <v>818</v>
      </c>
      <c r="X194" s="560" t="s">
        <v>819</v>
      </c>
      <c r="Y194" s="668" t="s">
        <v>260</v>
      </c>
      <c r="Z194" s="15">
        <v>0</v>
      </c>
      <c r="AA194" s="180">
        <v>0</v>
      </c>
      <c r="AB194" s="17" t="s">
        <v>260</v>
      </c>
      <c r="AC194" s="544" t="str">
        <f>""</f>
        <v/>
      </c>
      <c r="AD194" s="183">
        <v>1</v>
      </c>
      <c r="AE194" s="183" t="s">
        <v>332</v>
      </c>
      <c r="AF194" s="183" t="s">
        <v>265</v>
      </c>
      <c r="AG194" s="183">
        <v>1</v>
      </c>
      <c r="AH194" s="181">
        <v>11</v>
      </c>
      <c r="AI194" s="181">
        <v>0</v>
      </c>
      <c r="AJ194" s="181">
        <f>VLOOKUP($I194,'Price List, Weapons &amp; Items'!B:F,5,0)</f>
        <v>1</v>
      </c>
      <c r="AK194" s="181">
        <f t="shared" si="33"/>
        <v>0</v>
      </c>
      <c r="AL194" s="181">
        <f t="shared" si="34"/>
        <v>1</v>
      </c>
      <c r="AM194" s="181">
        <f t="shared" si="35"/>
        <v>0</v>
      </c>
      <c r="AN194" s="180" t="str">
        <f>VLOOKUP($I194,'Price List, Weapons &amp; Items'!B:L,COLUMN('Price List, Weapons &amp; Items'!$J$11)-1,0)</f>
        <v>.</v>
      </c>
      <c r="AO194" s="180" t="str">
        <f>IF(I194=".",".",VLOOKUP($I194,'Price List, Weapons &amp; Items'!B:J,3,0))</f>
        <v>Main Battle Tank (MBT)</v>
      </c>
      <c r="AP194" s="545" t="e">
        <f t="shared" ca="1" si="29"/>
        <v>#NAME?</v>
      </c>
      <c r="AQ194" s="180">
        <f>VLOOKUP($I194,'Price List, Weapons &amp; Items'!B:L,COLUMN('Price List, Weapons &amp; Items'!$L$11)-1,0)</f>
        <v>2</v>
      </c>
      <c r="AR194" s="180">
        <f t="shared" si="36"/>
        <v>1</v>
      </c>
      <c r="AS194" s="180">
        <f t="shared" si="37"/>
        <v>1</v>
      </c>
      <c r="AT194" s="180">
        <f t="shared" si="30"/>
        <v>1</v>
      </c>
      <c r="AU194" s="180" t="str">
        <f t="shared" si="38"/>
        <v>.</v>
      </c>
      <c r="AV194" s="180" t="str">
        <f t="shared" si="39"/>
        <v>.</v>
      </c>
      <c r="AW194" s="180">
        <f>IFERROR(VLOOKUP(B194,'Share, Heavy Weapons to Ukraine'!B:J,COLUMN('Share, Heavy Weapons to Ukraine'!C201)-1,0),0)</f>
        <v>0</v>
      </c>
      <c r="AX194" s="180">
        <f>VLOOKUP('Bilateral Assistance, MAIN DATA'!B194,'Country Summary'!B:F,COLUMN('Country Summary'!C204)-1,FALSE)</f>
        <v>1</v>
      </c>
      <c r="AY194" s="180">
        <f>IF(AND(AD194=1,D194="Military",H194&lt;&gt;"Not given")=TRUE,IF(SUMIFS(P:P,A:A,A194)&gt;0,ABS((SUMIFS(P:P,A:A,A194)/VLOOKUP("USD",'Exchange Rates'!B:C,2,0)))/S194,"."),".")</f>
        <v>1</v>
      </c>
      <c r="AZ194" s="182">
        <f>IF(AND(AD194=1,D194="Military",H194&lt;&gt;"Not given")=TRUE,IF(SUMIFS(P:P,A:A,A194)&gt;0,IF((ABS((SUMIFS(P:P,A:A,A194)/VLOOKUP("USD",'Exchange Rates'!B:C,2,0)))/S194)&gt;1,(SUMIFS(P:P,A:A,A194)-S194)/S194,(S194-SUMIFS(P:P,A:A,A194))/SUMIFS(P:P,A:A,A194)),"."),".")</f>
        <v>-4.7619047619047596E-2</v>
      </c>
      <c r="BA194" s="1024"/>
      <c r="BB194" s="1024"/>
      <c r="BC194" s="1024"/>
      <c r="BD194" s="1024"/>
      <c r="BE194" s="1024"/>
      <c r="BF194" s="1024"/>
      <c r="BG194" s="1024"/>
      <c r="BH194" s="1024"/>
      <c r="BI194" s="1024"/>
      <c r="BJ194" s="1024"/>
      <c r="BK194" s="1024"/>
      <c r="BL194" s="1024"/>
      <c r="BM194" s="1024"/>
      <c r="BN194" s="1024"/>
      <c r="BO194" s="1024"/>
      <c r="BP194" s="1024"/>
      <c r="BQ194" s="1024"/>
      <c r="BR194" s="1024"/>
      <c r="BS194" s="1024"/>
    </row>
    <row r="195" spans="1:71" s="520" customFormat="1" ht="15.9" customHeight="1" x14ac:dyDescent="0.3">
      <c r="A195" s="17" t="s">
        <v>820</v>
      </c>
      <c r="B195" s="17" t="s">
        <v>716</v>
      </c>
      <c r="C195" s="174">
        <v>44881</v>
      </c>
      <c r="D195" s="5" t="s">
        <v>285</v>
      </c>
      <c r="E195" s="5" t="s">
        <v>821</v>
      </c>
      <c r="F195" s="175" t="s">
        <v>822</v>
      </c>
      <c r="G195" s="15" t="s">
        <v>346</v>
      </c>
      <c r="H195" s="176">
        <v>41600000</v>
      </c>
      <c r="I195" s="17" t="s">
        <v>260</v>
      </c>
      <c r="J195" s="113" t="str">
        <f>VLOOKUP($I195,'Price List, Weapons &amp; Items'!B:C,2,0)</f>
        <v>.</v>
      </c>
      <c r="K195" s="113" t="str">
        <f>IF(I195=".",I195,VLOOKUP($I195,'Price List, Weapons &amp; Items'!B:D,3,0))</f>
        <v>.</v>
      </c>
      <c r="L195" s="177">
        <f>VLOOKUP(I195,'Price List, Weapons &amp; Items'!B:E,4,0)</f>
        <v>0</v>
      </c>
      <c r="M195" s="542" t="s">
        <v>260</v>
      </c>
      <c r="N195" s="542" t="s">
        <v>260</v>
      </c>
      <c r="O195" s="543" t="str">
        <f>VLOOKUP($I195,'Price List, Weapons &amp; Items'!B:G,6,0)</f>
        <v>.</v>
      </c>
      <c r="P195" s="176" t="str">
        <f t="shared" si="31"/>
        <v>.</v>
      </c>
      <c r="Q195" s="176" t="str">
        <f t="shared" si="32"/>
        <v>.</v>
      </c>
      <c r="R195" s="176">
        <f t="shared" si="41"/>
        <v>41600000</v>
      </c>
      <c r="S195" s="176">
        <f>IF(AND(AD195=1,R195&lt;&gt;".")=TRUE,R195/VLOOKUP(G195,'Exchange Rates'!B:C,2,0),IF(R195=".",".",""))</f>
        <v>39619047.619047619</v>
      </c>
      <c r="T195" s="176" t="str">
        <f>IF(AD195=1,IF(AF195="Value is not given at all",".",IF(AF195="Value is given by the source",S195,IF(AF195="Value is calculated with prices",(IF(SUMIFS(Q:Q,A:A,A195)&gt;0,SUMIFS(Q:Q,A:A,A195),"."))/VLOOKUP("USD",'Exchange Rates'!B:C,2,0),"Error with coding"))),"")</f>
        <v>.</v>
      </c>
      <c r="U195" s="15" t="s">
        <v>261</v>
      </c>
      <c r="V195" s="303" t="s">
        <v>823</v>
      </c>
      <c r="W195" s="144" t="s">
        <v>260</v>
      </c>
      <c r="X195" s="144" t="s">
        <v>260</v>
      </c>
      <c r="Y195" s="668" t="s">
        <v>260</v>
      </c>
      <c r="Z195" s="15">
        <v>0</v>
      </c>
      <c r="AA195" s="180">
        <v>0</v>
      </c>
      <c r="AB195" s="17" t="s">
        <v>260</v>
      </c>
      <c r="AC195" s="544" t="str">
        <f>""</f>
        <v/>
      </c>
      <c r="AD195" s="183">
        <v>1</v>
      </c>
      <c r="AE195" s="183" t="s">
        <v>264</v>
      </c>
      <c r="AF195" s="183" t="s">
        <v>265</v>
      </c>
      <c r="AG195" s="183">
        <v>1</v>
      </c>
      <c r="AH195" s="181">
        <v>11</v>
      </c>
      <c r="AI195" s="181">
        <v>0</v>
      </c>
      <c r="AJ195" s="181">
        <f>VLOOKUP($I195,'Price List, Weapons &amp; Items'!B:F,5,0)</f>
        <v>0</v>
      </c>
      <c r="AK195" s="181">
        <f t="shared" si="33"/>
        <v>0</v>
      </c>
      <c r="AL195" s="181">
        <f t="shared" si="34"/>
        <v>0</v>
      </c>
      <c r="AM195" s="181">
        <f t="shared" si="35"/>
        <v>0</v>
      </c>
      <c r="AN195" s="180" t="str">
        <f>VLOOKUP($I195,'Price List, Weapons &amp; Items'!B:L,COLUMN('Price List, Weapons &amp; Items'!$J$11)-1,0)</f>
        <v>.</v>
      </c>
      <c r="AO195" s="180" t="str">
        <f>IF(I195=".",".",VLOOKUP($I195,'Price List, Weapons &amp; Items'!B:J,3,0))</f>
        <v>.</v>
      </c>
      <c r="AP195" s="545" t="e">
        <f t="shared" ref="AP195:AP258" ca="1" si="42">IF(AD195=1,_xlfn.ARRAYTOTEXT(OFFSET(I195,0,0,COUNTIF(A:A,A195),1)),"")</f>
        <v>#NAME?</v>
      </c>
      <c r="AQ195" s="180" t="str">
        <f>VLOOKUP($I195,'Price List, Weapons &amp; Items'!B:L,COLUMN('Price List, Weapons &amp; Items'!$L$11)-1,0)</f>
        <v>no price, 0 count</v>
      </c>
      <c r="AR195" s="180">
        <f t="shared" si="36"/>
        <v>1</v>
      </c>
      <c r="AS195" s="180">
        <f t="shared" si="37"/>
        <v>0</v>
      </c>
      <c r="AT195" s="180">
        <f t="shared" ref="AT195:AT258" si="43">IFERROR(IF(VALUE(TEXT(C195,"mm"))=AH195,".",IF(TEXT(C195,"mm")="01",".",1)),"Value is not in date format")</f>
        <v>1</v>
      </c>
      <c r="AU195" s="180" t="str">
        <f t="shared" si="38"/>
        <v>.</v>
      </c>
      <c r="AV195" s="180" t="str">
        <f t="shared" si="39"/>
        <v>.</v>
      </c>
      <c r="AW195" s="180">
        <f>IFERROR(VLOOKUP(B195,'Share, Heavy Weapons to Ukraine'!B:J,COLUMN('Share, Heavy Weapons to Ukraine'!C202)-1,0),0)</f>
        <v>0</v>
      </c>
      <c r="AX195" s="180">
        <f>VLOOKUP('Bilateral Assistance, MAIN DATA'!B195,'Country Summary'!B:F,COLUMN('Country Summary'!C205)-1,FALSE)</f>
        <v>1</v>
      </c>
      <c r="AY195" s="180" t="str">
        <f>IF(AND(AD195=1,D195="Military",H195&lt;&gt;"Not given")=TRUE,IF(SUMIFS(P:P,A:A,A195)&gt;0,ABS((SUMIFS(P:P,A:A,A195)/VLOOKUP("USD",'Exchange Rates'!B:C,2,0)))/S195,"."),".")</f>
        <v>.</v>
      </c>
      <c r="AZ195" s="182" t="str">
        <f>IF(AND(AD195=1,D195="Military",H195&lt;&gt;"Not given")=TRUE,IF(SUMIFS(P:P,A:A,A195)&gt;0,IF((ABS((SUMIFS(P:P,A:A,A195)/VLOOKUP("USD",'Exchange Rates'!B:C,2,0)))/S195)&gt;1,(SUMIFS(P:P,A:A,A195)-S195)/S195,(S195-SUMIFS(P:P,A:A,A195))/SUMIFS(P:P,A:A,A195)),"."),".")</f>
        <v>.</v>
      </c>
      <c r="BA195" s="1024"/>
      <c r="BB195" s="1024"/>
      <c r="BC195" s="1024"/>
      <c r="BD195" s="1024"/>
      <c r="BE195" s="1024"/>
      <c r="BF195" s="1024"/>
      <c r="BG195" s="1024"/>
      <c r="BH195" s="1024"/>
      <c r="BI195" s="1024"/>
      <c r="BJ195" s="1024"/>
      <c r="BK195" s="1024"/>
      <c r="BL195" s="1024"/>
      <c r="BM195" s="1024"/>
      <c r="BN195" s="1024"/>
      <c r="BO195" s="1024"/>
      <c r="BP195" s="1024"/>
      <c r="BQ195" s="1024"/>
      <c r="BR195" s="1024"/>
      <c r="BS195" s="1024"/>
    </row>
    <row r="196" spans="1:71" s="520" customFormat="1" ht="15.9" customHeight="1" x14ac:dyDescent="0.3">
      <c r="A196" s="17" t="s">
        <v>824</v>
      </c>
      <c r="B196" s="17" t="s">
        <v>716</v>
      </c>
      <c r="C196" s="174">
        <v>44935</v>
      </c>
      <c r="D196" s="5" t="s">
        <v>285</v>
      </c>
      <c r="E196" s="5" t="s">
        <v>294</v>
      </c>
      <c r="F196" s="175" t="s">
        <v>825</v>
      </c>
      <c r="G196" s="15" t="s">
        <v>260</v>
      </c>
      <c r="H196" s="176" t="s">
        <v>341</v>
      </c>
      <c r="I196" s="17" t="s">
        <v>826</v>
      </c>
      <c r="J196" s="113" t="str">
        <f>VLOOKUP($I196,'Price List, Weapons &amp; Items'!B:C,2,0)</f>
        <v xml:space="preserve">Military equipment </v>
      </c>
      <c r="K196" s="113" t="str">
        <f>IF(I196=".",I196,VLOOKUP($I196,'Price List, Weapons &amp; Items'!B:D,3,0))</f>
        <v>Armoured Utility Vehicle (AUV)</v>
      </c>
      <c r="L196" s="177">
        <f>VLOOKUP(I196,'Price List, Weapons &amp; Items'!B:E,4,0)</f>
        <v>0</v>
      </c>
      <c r="M196" s="542" t="s">
        <v>270</v>
      </c>
      <c r="N196" s="542" t="s">
        <v>270</v>
      </c>
      <c r="O196" s="543" t="str">
        <f>VLOOKUP($I196,'Price List, Weapons &amp; Items'!B:G,6,0)</f>
        <v>.</v>
      </c>
      <c r="P196" s="176" t="str">
        <f t="shared" ref="P196:P259" si="44">IF(TYPE(M196)=1,IF(TYPE(O196)=1,M196*O196,"No price"),".")</f>
        <v>.</v>
      </c>
      <c r="Q196" s="176" t="str">
        <f t="shared" ref="Q196:Q259" si="45">IF(TYPE(N196)=1,IF(TYPE(O196)=1,N196*O196,"No price"),".")</f>
        <v>.</v>
      </c>
      <c r="R196" s="176" t="str">
        <f t="shared" si="41"/>
        <v>.</v>
      </c>
      <c r="S196" s="176" t="str">
        <f>IF(AND(AD196=1,R196&lt;&gt;".")=TRUE,R196/VLOOKUP(G196,'Exchange Rates'!B:C,2,0),IF(R196=".",".",""))</f>
        <v>.</v>
      </c>
      <c r="T196" s="176" t="str">
        <f>IF(AD196=1,IF(AF196="Value is not given at all",".",IF(AF196="Value is given by the source",S196,IF(AF196="Value is calculated with prices",(IF(SUMIFS(Q:Q,A:A,A196)&gt;0,SUMIFS(Q:Q,A:A,A196),"."))/VLOOKUP("USD",'Exchange Rates'!B:C,2,0),"Error with coding"))),"")</f>
        <v>.</v>
      </c>
      <c r="U196" s="15" t="s">
        <v>261</v>
      </c>
      <c r="V196" s="300" t="s">
        <v>827</v>
      </c>
      <c r="W196" s="300" t="s">
        <v>828</v>
      </c>
      <c r="X196" s="305" t="s">
        <v>829</v>
      </c>
      <c r="Y196" s="674" t="s">
        <v>260</v>
      </c>
      <c r="Z196" s="15">
        <v>0</v>
      </c>
      <c r="AA196" s="180">
        <v>0</v>
      </c>
      <c r="AB196" s="17" t="s">
        <v>260</v>
      </c>
      <c r="AC196" s="544" t="str">
        <f>""</f>
        <v/>
      </c>
      <c r="AD196" s="183">
        <v>1</v>
      </c>
      <c r="AE196" s="183" t="s">
        <v>265</v>
      </c>
      <c r="AF196" s="183" t="s">
        <v>265</v>
      </c>
      <c r="AG196" s="183">
        <v>1</v>
      </c>
      <c r="AH196" s="181">
        <v>13</v>
      </c>
      <c r="AI196" s="181">
        <v>0</v>
      </c>
      <c r="AJ196" s="181">
        <f>VLOOKUP($I196,'Price List, Weapons &amp; Items'!B:F,5,0)</f>
        <v>0</v>
      </c>
      <c r="AK196" s="181">
        <f t="shared" ref="AK196:AK259" si="46">IF(AND(AJ196=1,M196="undisclosed")=TRUE,1,0)</f>
        <v>0</v>
      </c>
      <c r="AL196" s="181">
        <f t="shared" ref="AL196:AL259" si="47">IF(AND(AJ196=1,N196="undisclosed")=TRUE,1,0)</f>
        <v>0</v>
      </c>
      <c r="AM196" s="181">
        <f t="shared" ref="AM196:AM259" si="48">IFERROR(IF(SEARCH("ammuni",I196,1)&gt;0,1,0),0)</f>
        <v>0</v>
      </c>
      <c r="AN196" s="180" t="str">
        <f>VLOOKUP($I196,'Price List, Weapons &amp; Items'!B:L,COLUMN('Price List, Weapons &amp; Items'!$J$11)-1,0)</f>
        <v>.</v>
      </c>
      <c r="AO196" s="180" t="str">
        <f>IF(I196=".",".",VLOOKUP($I196,'Price List, Weapons &amp; Items'!B:J,3,0))</f>
        <v>Armoured Utility Vehicle (AUV)</v>
      </c>
      <c r="AP196" s="545" t="e">
        <f t="shared" ca="1" si="42"/>
        <v>#NAME?</v>
      </c>
      <c r="AQ196" s="180" t="str">
        <f>VLOOKUP($I196,'Price List, Weapons &amp; Items'!B:L,COLUMN('Price List, Weapons &amp; Items'!$L$11)-1,0)</f>
        <v>no price, 0 count</v>
      </c>
      <c r="AR196" s="180">
        <f t="shared" ref="AR196:AR259" si="49">IF(U196="Yes",1,0)</f>
        <v>1</v>
      </c>
      <c r="AS196" s="180">
        <f t="shared" ref="AS196:AS259" si="50">IF(D196="Military",IF(OR(IFERROR(SEARCH("equipment",E196,1),0)&gt;0,IFERROR(SEARCH("weapons",E196,1),0)&gt;0),1,0),0)</f>
        <v>1</v>
      </c>
      <c r="AT196" s="180">
        <f t="shared" si="43"/>
        <v>1</v>
      </c>
      <c r="AU196" s="180" t="str">
        <f t="shared" ref="AU196:AU259" si="51">IF(AND(A196=A195,C196=C195)=TRUE,IF(F196=F195,".","1"),".")</f>
        <v>.</v>
      </c>
      <c r="AV196" s="180" t="str">
        <f t="shared" ref="AV196:AV259" si="52">IF(T196&lt;&gt;".",IF(T196&gt;S196,1,"."),".")</f>
        <v>.</v>
      </c>
      <c r="AW196" s="180">
        <f>IFERROR(VLOOKUP(B196,'Share, Heavy Weapons to Ukraine'!B:J,COLUMN('Share, Heavy Weapons to Ukraine'!C203)-1,0),0)</f>
        <v>0</v>
      </c>
      <c r="AX196" s="180">
        <f>VLOOKUP('Bilateral Assistance, MAIN DATA'!B196,'Country Summary'!B:F,COLUMN('Country Summary'!C206)-1,FALSE)</f>
        <v>1</v>
      </c>
      <c r="AY196" s="180" t="str">
        <f>IF(AND(AD196=1,D196="Military",H196&lt;&gt;"Not given")=TRUE,IF(SUMIFS(P:P,A:A,A196)&gt;0,ABS((SUMIFS(P:P,A:A,A196)/VLOOKUP("USD",'Exchange Rates'!B:C,2,0)))/S196,"."),".")</f>
        <v>.</v>
      </c>
      <c r="AZ196" s="182" t="str">
        <f>IF(AND(AD196=1,D196="Military",H196&lt;&gt;"Not given")=TRUE,IF(SUMIFS(P:P,A:A,A196)&gt;0,IF((ABS((SUMIFS(P:P,A:A,A196)/VLOOKUP("USD",'Exchange Rates'!B:C,2,0)))/S196)&gt;1,(SUMIFS(P:P,A:A,A196)-S196)/S196,(S196-SUMIFS(P:P,A:A,A196))/SUMIFS(P:P,A:A,A196)),"."),".")</f>
        <v>.</v>
      </c>
      <c r="BA196" s="1024"/>
      <c r="BB196" s="1024"/>
      <c r="BC196" s="1024"/>
      <c r="BD196" s="1024"/>
      <c r="BE196" s="1024"/>
      <c r="BF196" s="1024"/>
      <c r="BG196" s="1024"/>
      <c r="BH196" s="1024"/>
      <c r="BI196" s="1024"/>
      <c r="BJ196" s="1024"/>
      <c r="BK196" s="1024"/>
      <c r="BL196" s="1024"/>
      <c r="BM196" s="1024"/>
      <c r="BN196" s="1024"/>
      <c r="BO196" s="1024"/>
      <c r="BP196" s="1024"/>
      <c r="BQ196" s="1024"/>
      <c r="BR196" s="1024"/>
      <c r="BS196" s="1024"/>
    </row>
    <row r="197" spans="1:71" ht="15.9" customHeight="1" x14ac:dyDescent="0.3">
      <c r="A197" s="17" t="s">
        <v>830</v>
      </c>
      <c r="B197" s="17" t="s">
        <v>716</v>
      </c>
      <c r="C197" s="174">
        <v>44616</v>
      </c>
      <c r="D197" s="5" t="s">
        <v>256</v>
      </c>
      <c r="E197" s="5" t="s">
        <v>257</v>
      </c>
      <c r="F197" s="175" t="s">
        <v>831</v>
      </c>
      <c r="G197" s="15" t="s">
        <v>718</v>
      </c>
      <c r="H197" s="176">
        <v>300000000</v>
      </c>
      <c r="I197" s="17" t="s">
        <v>260</v>
      </c>
      <c r="J197" s="113" t="str">
        <f>VLOOKUP($I197,'Price List, Weapons &amp; Items'!B:C,2,0)</f>
        <v>.</v>
      </c>
      <c r="K197" s="113" t="str">
        <f>IF(I197=".",I197,VLOOKUP($I197,'Price List, Weapons &amp; Items'!B:D,3,0))</f>
        <v>.</v>
      </c>
      <c r="L197" s="177">
        <f>VLOOKUP(I197,'Price List, Weapons &amp; Items'!B:E,4,0)</f>
        <v>0</v>
      </c>
      <c r="M197" s="542" t="s">
        <v>260</v>
      </c>
      <c r="N197" s="542" t="s">
        <v>260</v>
      </c>
      <c r="O197" s="543" t="str">
        <f>VLOOKUP($I197,'Price List, Weapons &amp; Items'!B:G,6,0)</f>
        <v>.</v>
      </c>
      <c r="P197" s="176" t="str">
        <f t="shared" si="44"/>
        <v>.</v>
      </c>
      <c r="Q197" s="176" t="str">
        <f t="shared" si="45"/>
        <v>.</v>
      </c>
      <c r="R197" s="176">
        <f t="shared" si="41"/>
        <v>300000000</v>
      </c>
      <c r="S197" s="176">
        <f>IF(AND(AD197=1,R197&lt;&gt;".")=TRUE,R197/VLOOKUP(G197,'Exchange Rates'!B:C,2,0),IF(R197=".",".",""))</f>
        <v>12508338.892595062</v>
      </c>
      <c r="T197" s="176" t="str">
        <f>IF(AD197=1,IF(AF197="Value is not given at all",".",IF(AF197="Value is given by the source",S197,IF(AF197="Value is calculated with prices",(IF(SUMIFS(Q:Q,A:A,A197)&gt;0,SUMIFS(Q:Q,A:A,A197),"."))/VLOOKUP("USD",'Exchange Rates'!B:C,2,0),"Error with coding"))),"")</f>
        <v>.</v>
      </c>
      <c r="U197" s="15" t="s">
        <v>261</v>
      </c>
      <c r="V197" s="300" t="s">
        <v>759</v>
      </c>
      <c r="W197" s="300" t="s">
        <v>832</v>
      </c>
      <c r="X197" s="300" t="s">
        <v>833</v>
      </c>
      <c r="Y197" s="175" t="s">
        <v>260</v>
      </c>
      <c r="Z197" s="551">
        <v>0</v>
      </c>
      <c r="AA197" s="180">
        <v>0</v>
      </c>
      <c r="AB197" s="184" t="s">
        <v>260</v>
      </c>
      <c r="AC197" s="544" t="str">
        <f>""</f>
        <v/>
      </c>
      <c r="AD197" s="181">
        <v>1</v>
      </c>
      <c r="AE197" s="181" t="s">
        <v>264</v>
      </c>
      <c r="AF197" s="181" t="s">
        <v>265</v>
      </c>
      <c r="AG197" s="181">
        <v>1</v>
      </c>
      <c r="AH197" s="181">
        <v>2</v>
      </c>
      <c r="AI197" s="181">
        <v>0</v>
      </c>
      <c r="AJ197" s="181">
        <f>VLOOKUP($I197,'Price List, Weapons &amp; Items'!B:F,5,0)</f>
        <v>0</v>
      </c>
      <c r="AK197" s="181">
        <f t="shared" si="46"/>
        <v>0</v>
      </c>
      <c r="AL197" s="181">
        <f t="shared" si="47"/>
        <v>0</v>
      </c>
      <c r="AM197" s="181">
        <f t="shared" si="48"/>
        <v>0</v>
      </c>
      <c r="AN197" s="180" t="str">
        <f>VLOOKUP($I197,'Price List, Weapons &amp; Items'!B:L,COLUMN('Price List, Weapons &amp; Items'!$J$11)-1,0)</f>
        <v>.</v>
      </c>
      <c r="AO197" s="180" t="str">
        <f>IF(I197=".",".",VLOOKUP($I197,'Price List, Weapons &amp; Items'!B:J,3,0))</f>
        <v>.</v>
      </c>
      <c r="AP197" s="545" t="e">
        <f t="shared" ca="1" si="42"/>
        <v>#NAME?</v>
      </c>
      <c r="AQ197" s="180" t="str">
        <f>VLOOKUP($I197,'Price List, Weapons &amp; Items'!B:L,COLUMN('Price List, Weapons &amp; Items'!$L$11)-1,0)</f>
        <v>no price, 0 count</v>
      </c>
      <c r="AR197" s="180">
        <f t="shared" si="49"/>
        <v>1</v>
      </c>
      <c r="AS197" s="180">
        <f t="shared" si="50"/>
        <v>0</v>
      </c>
      <c r="AT197" s="180">
        <f t="shared" si="43"/>
        <v>1</v>
      </c>
      <c r="AU197" s="180" t="str">
        <f t="shared" si="51"/>
        <v>.</v>
      </c>
      <c r="AV197" s="180" t="str">
        <f t="shared" si="52"/>
        <v>.</v>
      </c>
      <c r="AW197" s="180">
        <f>IFERROR(VLOOKUP(B197,'Share, Heavy Weapons to Ukraine'!B:J,COLUMN('Share, Heavy Weapons to Ukraine'!C204)-1,0),0)</f>
        <v>0</v>
      </c>
      <c r="AX197" s="180">
        <f>VLOOKUP('Bilateral Assistance, MAIN DATA'!B197,'Country Summary'!B:F,COLUMN('Country Summary'!C207)-1,FALSE)</f>
        <v>1</v>
      </c>
      <c r="AY197" s="180" t="str">
        <f>IF(AND(AD197=1,D197="Military",H197&lt;&gt;"Not given")=TRUE,IF(SUMIFS(P:P,A:A,A197)&gt;0,ABS((SUMIFS(P:P,A:A,A197)/VLOOKUP("USD",'Exchange Rates'!B:C,2,0)))/S197,"."),".")</f>
        <v>.</v>
      </c>
      <c r="AZ197" s="182" t="str">
        <f>IF(AND(AD197=1,D197="Military",H197&lt;&gt;"Not given")=TRUE,IF(SUMIFS(P:P,A:A,A197)&gt;0,IF((ABS((SUMIFS(P:P,A:A,A197)/VLOOKUP("USD",'Exchange Rates'!B:C,2,0)))/S197)&gt;1,(SUMIFS(P:P,A:A,A197)-S197)/S197,(S197-SUMIFS(P:P,A:A,A197))/SUMIFS(P:P,A:A,A197)),"."),".")</f>
        <v>.</v>
      </c>
      <c r="BA197" s="182"/>
      <c r="BB197" s="182"/>
      <c r="BC197" s="182"/>
      <c r="BD197" s="182"/>
      <c r="BE197" s="182"/>
      <c r="BF197" s="182"/>
      <c r="BG197" s="182"/>
      <c r="BH197" s="182"/>
      <c r="BI197" s="182"/>
      <c r="BJ197" s="182"/>
      <c r="BK197" s="182"/>
      <c r="BL197" s="182"/>
      <c r="BM197" s="182"/>
      <c r="BN197" s="182"/>
      <c r="BO197" s="182"/>
      <c r="BP197" s="182"/>
      <c r="BQ197" s="182"/>
      <c r="BR197" s="182"/>
      <c r="BS197" s="182"/>
    </row>
    <row r="198" spans="1:71" ht="15.9" customHeight="1" x14ac:dyDescent="0.3">
      <c r="A198" s="17" t="s">
        <v>834</v>
      </c>
      <c r="B198" s="17" t="s">
        <v>716</v>
      </c>
      <c r="C198" s="174">
        <v>44624</v>
      </c>
      <c r="D198" s="5" t="s">
        <v>256</v>
      </c>
      <c r="E198" s="5" t="s">
        <v>267</v>
      </c>
      <c r="F198" s="175" t="s">
        <v>835</v>
      </c>
      <c r="G198" s="15" t="s">
        <v>718</v>
      </c>
      <c r="H198" s="176">
        <v>108000000</v>
      </c>
      <c r="I198" s="184" t="s">
        <v>260</v>
      </c>
      <c r="J198" s="113" t="str">
        <f>VLOOKUP($I198,'Price List, Weapons &amp; Items'!B:C,2,0)</f>
        <v>.</v>
      </c>
      <c r="K198" s="113" t="str">
        <f>IF(I198=".",I198,VLOOKUP($I198,'Price List, Weapons &amp; Items'!B:D,3,0))</f>
        <v>.</v>
      </c>
      <c r="L198" s="177">
        <f>VLOOKUP(I198,'Price List, Weapons &amp; Items'!B:E,4,0)</f>
        <v>0</v>
      </c>
      <c r="M198" s="542" t="s">
        <v>260</v>
      </c>
      <c r="N198" s="542" t="s">
        <v>260</v>
      </c>
      <c r="O198" s="543" t="str">
        <f>VLOOKUP($I198,'Price List, Weapons &amp; Items'!B:G,6,0)</f>
        <v>.</v>
      </c>
      <c r="P198" s="176" t="str">
        <f t="shared" si="44"/>
        <v>.</v>
      </c>
      <c r="Q198" s="176" t="str">
        <f t="shared" si="45"/>
        <v>.</v>
      </c>
      <c r="R198" s="176">
        <f t="shared" si="41"/>
        <v>108000000</v>
      </c>
      <c r="S198" s="176">
        <f>IF(AND(AD198=1,R198&lt;&gt;".")=TRUE,R198/VLOOKUP(G198,'Exchange Rates'!B:C,2,0),IF(R198=".",".",""))</f>
        <v>4503002.001334222</v>
      </c>
      <c r="T198" s="176" t="str">
        <f>IF(AD198=1,IF(AF198="Value is not given at all",".",IF(AF198="Value is given by the source",S198,IF(AF198="Value is calculated with prices",(IF(SUMIFS(Q:Q,A:A,A198)&gt;0,SUMIFS(Q:Q,A:A,A198),"."))/VLOOKUP("USD",'Exchange Rates'!B:C,2,0),"Error with coding"))),"")</f>
        <v>.</v>
      </c>
      <c r="U198" s="15" t="s">
        <v>415</v>
      </c>
      <c r="V198" s="300" t="s">
        <v>768</v>
      </c>
      <c r="W198" s="300" t="s">
        <v>836</v>
      </c>
      <c r="X198" s="300" t="s">
        <v>768</v>
      </c>
      <c r="Y198" s="175" t="s">
        <v>260</v>
      </c>
      <c r="Z198" s="15">
        <v>0</v>
      </c>
      <c r="AA198" s="180">
        <v>0</v>
      </c>
      <c r="AB198" s="184" t="s">
        <v>260</v>
      </c>
      <c r="AC198" s="544" t="str">
        <f>""</f>
        <v/>
      </c>
      <c r="AD198" s="181">
        <v>1</v>
      </c>
      <c r="AE198" s="181" t="s">
        <v>264</v>
      </c>
      <c r="AF198" s="181" t="s">
        <v>265</v>
      </c>
      <c r="AG198" s="181">
        <v>1</v>
      </c>
      <c r="AH198" s="181">
        <v>3</v>
      </c>
      <c r="AI198" s="181">
        <v>0</v>
      </c>
      <c r="AJ198" s="181">
        <f>VLOOKUP($I198,'Price List, Weapons &amp; Items'!B:F,5,0)</f>
        <v>0</v>
      </c>
      <c r="AK198" s="181">
        <f t="shared" si="46"/>
        <v>0</v>
      </c>
      <c r="AL198" s="181">
        <f t="shared" si="47"/>
        <v>0</v>
      </c>
      <c r="AM198" s="181">
        <f t="shared" si="48"/>
        <v>0</v>
      </c>
      <c r="AN198" s="180" t="str">
        <f>VLOOKUP($I198,'Price List, Weapons &amp; Items'!B:L,COLUMN('Price List, Weapons &amp; Items'!$J$11)-1,0)</f>
        <v>.</v>
      </c>
      <c r="AO198" s="180" t="str">
        <f>IF(I198=".",".",VLOOKUP($I198,'Price List, Weapons &amp; Items'!B:J,3,0))</f>
        <v>.</v>
      </c>
      <c r="AP198" s="545" t="e">
        <f t="shared" ca="1" si="42"/>
        <v>#NAME?</v>
      </c>
      <c r="AQ198" s="180" t="str">
        <f>VLOOKUP($I198,'Price List, Weapons &amp; Items'!B:L,COLUMN('Price List, Weapons &amp; Items'!$L$11)-1,0)</f>
        <v>no price, 0 count</v>
      </c>
      <c r="AR198" s="180">
        <f t="shared" si="49"/>
        <v>0</v>
      </c>
      <c r="AS198" s="180">
        <f t="shared" si="50"/>
        <v>0</v>
      </c>
      <c r="AT198" s="180">
        <f t="shared" si="43"/>
        <v>1</v>
      </c>
      <c r="AU198" s="180" t="str">
        <f t="shared" si="51"/>
        <v>.</v>
      </c>
      <c r="AV198" s="180" t="str">
        <f t="shared" si="52"/>
        <v>.</v>
      </c>
      <c r="AW198" s="180">
        <f>IFERROR(VLOOKUP(B198,'Share, Heavy Weapons to Ukraine'!B:J,COLUMN('Share, Heavy Weapons to Ukraine'!C205)-1,0),0)</f>
        <v>0</v>
      </c>
      <c r="AX198" s="180">
        <f>VLOOKUP('Bilateral Assistance, MAIN DATA'!B198,'Country Summary'!B:F,COLUMN('Country Summary'!C208)-1,FALSE)</f>
        <v>1</v>
      </c>
      <c r="AY198" s="180" t="str">
        <f>IF(AND(AD198=1,D198="Military",H198&lt;&gt;"Not given")=TRUE,IF(SUMIFS(P:P,A:A,A198)&gt;0,ABS((SUMIFS(P:P,A:A,A198)/VLOOKUP("USD",'Exchange Rates'!B:C,2,0)))/S198,"."),".")</f>
        <v>.</v>
      </c>
      <c r="AZ198" s="182" t="str">
        <f>IF(AND(AD198=1,D198="Military",H198&lt;&gt;"Not given")=TRUE,IF(SUMIFS(P:P,A:A,A198)&gt;0,IF((ABS((SUMIFS(P:P,A:A,A198)/VLOOKUP("USD",'Exchange Rates'!B:C,2,0)))/S198)&gt;1,(SUMIFS(P:P,A:A,A198)-S198)/S198,(S198-SUMIFS(P:P,A:A,A198))/SUMIFS(P:P,A:A,A198)),"."),".")</f>
        <v>.</v>
      </c>
      <c r="BA198" s="182"/>
      <c r="BB198" s="182"/>
      <c r="BC198" s="182"/>
      <c r="BD198" s="182"/>
      <c r="BE198" s="182"/>
      <c r="BF198" s="182"/>
      <c r="BG198" s="182"/>
      <c r="BH198" s="182"/>
      <c r="BI198" s="182"/>
      <c r="BJ198" s="182"/>
      <c r="BK198" s="182"/>
      <c r="BL198" s="182"/>
      <c r="BM198" s="182"/>
      <c r="BN198" s="182"/>
      <c r="BO198" s="182"/>
      <c r="BP198" s="182"/>
      <c r="BQ198" s="182"/>
      <c r="BR198" s="182"/>
      <c r="BS198" s="182"/>
    </row>
    <row r="199" spans="1:71" ht="15.9" customHeight="1" x14ac:dyDescent="0.3">
      <c r="A199" s="17" t="s">
        <v>837</v>
      </c>
      <c r="B199" s="17" t="s">
        <v>716</v>
      </c>
      <c r="C199" s="174">
        <v>44625</v>
      </c>
      <c r="D199" s="5" t="s">
        <v>256</v>
      </c>
      <c r="E199" s="5" t="s">
        <v>362</v>
      </c>
      <c r="F199" s="175" t="s">
        <v>838</v>
      </c>
      <c r="G199" s="15" t="s">
        <v>718</v>
      </c>
      <c r="H199" s="176">
        <v>10000000</v>
      </c>
      <c r="I199" s="184" t="s">
        <v>260</v>
      </c>
      <c r="J199" s="113" t="str">
        <f>VLOOKUP($I199,'Price List, Weapons &amp; Items'!B:C,2,0)</f>
        <v>.</v>
      </c>
      <c r="K199" s="113" t="str">
        <f>IF(I199=".",I199,VLOOKUP($I199,'Price List, Weapons &amp; Items'!B:D,3,0))</f>
        <v>.</v>
      </c>
      <c r="L199" s="177">
        <f>VLOOKUP(I199,'Price List, Weapons &amp; Items'!B:E,4,0)</f>
        <v>0</v>
      </c>
      <c r="M199" s="542" t="s">
        <v>260</v>
      </c>
      <c r="N199" s="542" t="s">
        <v>260</v>
      </c>
      <c r="O199" s="543" t="str">
        <f>VLOOKUP($I199,'Price List, Weapons &amp; Items'!B:G,6,0)</f>
        <v>.</v>
      </c>
      <c r="P199" s="176" t="str">
        <f t="shared" si="44"/>
        <v>.</v>
      </c>
      <c r="Q199" s="176" t="str">
        <f t="shared" si="45"/>
        <v>.</v>
      </c>
      <c r="R199" s="176">
        <f t="shared" si="41"/>
        <v>10000000</v>
      </c>
      <c r="S199" s="176">
        <f>IF(AND(AD199=1,R199&lt;&gt;".")=TRUE,R199/VLOOKUP(G199,'Exchange Rates'!B:C,2,0),IF(R199=".",".",""))</f>
        <v>416944.62975316873</v>
      </c>
      <c r="T199" s="176" t="str">
        <f>IF(AD199=1,IF(AF199="Value is not given at all",".",IF(AF199="Value is given by the source",S199,IF(AF199="Value is calculated with prices",(IF(SUMIFS(Q:Q,A:A,A199)&gt;0,SUMIFS(Q:Q,A:A,A199),"."))/VLOOKUP("USD",'Exchange Rates'!B:C,2,0),"Error with coding"))),"")</f>
        <v>.</v>
      </c>
      <c r="U199" s="15" t="s">
        <v>261</v>
      </c>
      <c r="V199" s="300" t="s">
        <v>768</v>
      </c>
      <c r="W199" s="175" t="s">
        <v>260</v>
      </c>
      <c r="X199" s="175" t="s">
        <v>260</v>
      </c>
      <c r="Y199" s="175" t="s">
        <v>260</v>
      </c>
      <c r="Z199" s="15">
        <v>0</v>
      </c>
      <c r="AA199" s="180">
        <v>0</v>
      </c>
      <c r="AB199" s="184" t="s">
        <v>260</v>
      </c>
      <c r="AC199" s="544" t="str">
        <f>""</f>
        <v/>
      </c>
      <c r="AD199" s="181">
        <v>1</v>
      </c>
      <c r="AE199" s="181" t="s">
        <v>264</v>
      </c>
      <c r="AF199" s="181" t="s">
        <v>265</v>
      </c>
      <c r="AG199" s="181">
        <v>1</v>
      </c>
      <c r="AH199" s="181">
        <v>3</v>
      </c>
      <c r="AI199" s="181">
        <v>0</v>
      </c>
      <c r="AJ199" s="181">
        <f>VLOOKUP($I199,'Price List, Weapons &amp; Items'!B:F,5,0)</f>
        <v>0</v>
      </c>
      <c r="AK199" s="181">
        <f t="shared" si="46"/>
        <v>0</v>
      </c>
      <c r="AL199" s="181">
        <f t="shared" si="47"/>
        <v>0</v>
      </c>
      <c r="AM199" s="181">
        <f t="shared" si="48"/>
        <v>0</v>
      </c>
      <c r="AN199" s="180" t="str">
        <f>VLOOKUP($I199,'Price List, Weapons &amp; Items'!B:L,COLUMN('Price List, Weapons &amp; Items'!$J$11)-1,0)</f>
        <v>.</v>
      </c>
      <c r="AO199" s="180" t="str">
        <f>IF(I199=".",".",VLOOKUP($I199,'Price List, Weapons &amp; Items'!B:J,3,0))</f>
        <v>.</v>
      </c>
      <c r="AP199" s="545" t="e">
        <f t="shared" ca="1" si="42"/>
        <v>#NAME?</v>
      </c>
      <c r="AQ199" s="180" t="str">
        <f>VLOOKUP($I199,'Price List, Weapons &amp; Items'!B:L,COLUMN('Price List, Weapons &amp; Items'!$L$11)-1,0)</f>
        <v>no price, 0 count</v>
      </c>
      <c r="AR199" s="180">
        <f t="shared" si="49"/>
        <v>1</v>
      </c>
      <c r="AS199" s="180">
        <f t="shared" si="50"/>
        <v>0</v>
      </c>
      <c r="AT199" s="180">
        <f t="shared" si="43"/>
        <v>1</v>
      </c>
      <c r="AU199" s="180" t="str">
        <f t="shared" si="51"/>
        <v>.</v>
      </c>
      <c r="AV199" s="180" t="str">
        <f t="shared" si="52"/>
        <v>.</v>
      </c>
      <c r="AW199" s="180">
        <f>IFERROR(VLOOKUP(B199,'Share, Heavy Weapons to Ukraine'!B:J,COLUMN('Share, Heavy Weapons to Ukraine'!C206)-1,0),0)</f>
        <v>0</v>
      </c>
      <c r="AX199" s="180">
        <f>VLOOKUP('Bilateral Assistance, MAIN DATA'!B199,'Country Summary'!B:F,COLUMN('Country Summary'!C209)-1,FALSE)</f>
        <v>1</v>
      </c>
      <c r="AY199" s="180" t="str">
        <f>IF(AND(AD199=1,D199="Military",H199&lt;&gt;"Not given")=TRUE,IF(SUMIFS(P:P,A:A,A199)&gt;0,ABS((SUMIFS(P:P,A:A,A199)/VLOOKUP("USD",'Exchange Rates'!B:C,2,0)))/S199,"."),".")</f>
        <v>.</v>
      </c>
      <c r="AZ199" s="182" t="str">
        <f>IF(AND(AD199=1,D199="Military",H199&lt;&gt;"Not given")=TRUE,IF(SUMIFS(P:P,A:A,A199)&gt;0,IF((ABS((SUMIFS(P:P,A:A,A199)/VLOOKUP("USD",'Exchange Rates'!B:C,2,0)))/S199)&gt;1,(SUMIFS(P:P,A:A,A199)-S199)/S199,(S199-SUMIFS(P:P,A:A,A199))/SUMIFS(P:P,A:A,A199)),"."),".")</f>
        <v>.</v>
      </c>
      <c r="BA199" s="182"/>
      <c r="BB199" s="182"/>
      <c r="BC199" s="182"/>
      <c r="BD199" s="182"/>
      <c r="BE199" s="182"/>
      <c r="BF199" s="182"/>
      <c r="BG199" s="182"/>
      <c r="BH199" s="182"/>
      <c r="BI199" s="182"/>
      <c r="BJ199" s="182"/>
      <c r="BK199" s="182"/>
      <c r="BL199" s="182"/>
      <c r="BM199" s="182"/>
      <c r="BN199" s="182"/>
      <c r="BO199" s="182"/>
      <c r="BP199" s="182"/>
      <c r="BQ199" s="182"/>
      <c r="BR199" s="182"/>
      <c r="BS199" s="182"/>
    </row>
    <row r="200" spans="1:71" ht="15.9" customHeight="1" x14ac:dyDescent="0.3">
      <c r="A200" s="17" t="s">
        <v>839</v>
      </c>
      <c r="B200" s="17" t="s">
        <v>716</v>
      </c>
      <c r="C200" s="174" t="s">
        <v>766</v>
      </c>
      <c r="D200" s="5" t="s">
        <v>256</v>
      </c>
      <c r="E200" s="5" t="s">
        <v>840</v>
      </c>
      <c r="F200" s="175" t="s">
        <v>841</v>
      </c>
      <c r="G200" s="15" t="s">
        <v>718</v>
      </c>
      <c r="H200" s="176">
        <v>25000000</v>
      </c>
      <c r="I200" s="17" t="s">
        <v>260</v>
      </c>
      <c r="J200" s="113" t="str">
        <f>VLOOKUP($I200,'Price List, Weapons &amp; Items'!B:C,2,0)</f>
        <v>.</v>
      </c>
      <c r="K200" s="113" t="str">
        <f>IF(I200=".",I200,VLOOKUP($I200,'Price List, Weapons &amp; Items'!B:D,3,0))</f>
        <v>.</v>
      </c>
      <c r="L200" s="177">
        <f>VLOOKUP(I200,'Price List, Weapons &amp; Items'!B:E,4,0)</f>
        <v>0</v>
      </c>
      <c r="M200" s="542" t="s">
        <v>260</v>
      </c>
      <c r="N200" s="542" t="s">
        <v>260</v>
      </c>
      <c r="O200" s="543" t="str">
        <f>VLOOKUP($I200,'Price List, Weapons &amp; Items'!B:G,6,0)</f>
        <v>.</v>
      </c>
      <c r="P200" s="176" t="str">
        <f t="shared" si="44"/>
        <v>.</v>
      </c>
      <c r="Q200" s="176" t="str">
        <f t="shared" si="45"/>
        <v>.</v>
      </c>
      <c r="R200" s="176">
        <f t="shared" si="41"/>
        <v>25000000</v>
      </c>
      <c r="S200" s="176">
        <f>IF(AND(AD200=1,R200&lt;&gt;".")=TRUE,R200/VLOOKUP(G200,'Exchange Rates'!B:C,2,0),IF(R200=".",".",""))</f>
        <v>1042361.5743829219</v>
      </c>
      <c r="T200" s="176" t="str">
        <f>IF(AD200=1,IF(AF200="Value is not given at all",".",IF(AF200="Value is given by the source",S200,IF(AF200="Value is calculated with prices",(IF(SUMIFS(Q:Q,A:A,A200)&gt;0,SUMIFS(Q:Q,A:A,A200),"."))/VLOOKUP("USD",'Exchange Rates'!B:C,2,0),"Error with coding"))),"")</f>
        <v>.</v>
      </c>
      <c r="U200" s="15" t="s">
        <v>261</v>
      </c>
      <c r="V200" s="300" t="s">
        <v>759</v>
      </c>
      <c r="W200" s="175" t="s">
        <v>260</v>
      </c>
      <c r="X200" s="175" t="s">
        <v>260</v>
      </c>
      <c r="Y200" s="175" t="s">
        <v>260</v>
      </c>
      <c r="Z200" s="551">
        <v>0</v>
      </c>
      <c r="AA200" s="180">
        <v>0</v>
      </c>
      <c r="AB200" s="184" t="s">
        <v>260</v>
      </c>
      <c r="AC200" s="544" t="str">
        <f>""</f>
        <v/>
      </c>
      <c r="AD200" s="181">
        <v>1</v>
      </c>
      <c r="AE200" s="181" t="s">
        <v>264</v>
      </c>
      <c r="AF200" s="181" t="s">
        <v>265</v>
      </c>
      <c r="AG200" s="181">
        <v>1</v>
      </c>
      <c r="AH200" s="181">
        <v>3</v>
      </c>
      <c r="AI200" s="181">
        <v>0</v>
      </c>
      <c r="AJ200" s="181">
        <f>VLOOKUP($I200,'Price List, Weapons &amp; Items'!B:F,5,0)</f>
        <v>0</v>
      </c>
      <c r="AK200" s="181">
        <f t="shared" si="46"/>
        <v>0</v>
      </c>
      <c r="AL200" s="181">
        <f t="shared" si="47"/>
        <v>0</v>
      </c>
      <c r="AM200" s="181">
        <f t="shared" si="48"/>
        <v>0</v>
      </c>
      <c r="AN200" s="180" t="str">
        <f>VLOOKUP($I200,'Price List, Weapons &amp; Items'!B:L,COLUMN('Price List, Weapons &amp; Items'!$J$11)-1,0)</f>
        <v>.</v>
      </c>
      <c r="AO200" s="180" t="str">
        <f>IF(I200=".",".",VLOOKUP($I200,'Price List, Weapons &amp; Items'!B:J,3,0))</f>
        <v>.</v>
      </c>
      <c r="AP200" s="545" t="e">
        <f t="shared" ca="1" si="42"/>
        <v>#NAME?</v>
      </c>
      <c r="AQ200" s="180" t="str">
        <f>VLOOKUP($I200,'Price List, Weapons &amp; Items'!B:L,COLUMN('Price List, Weapons &amp; Items'!$L$11)-1,0)</f>
        <v>no price, 0 count</v>
      </c>
      <c r="AR200" s="180">
        <f t="shared" si="49"/>
        <v>1</v>
      </c>
      <c r="AS200" s="180">
        <f t="shared" si="50"/>
        <v>0</v>
      </c>
      <c r="AT200" s="180" t="str">
        <f t="shared" si="43"/>
        <v>Value is not in date format</v>
      </c>
      <c r="AU200" s="180" t="str">
        <f t="shared" si="51"/>
        <v>.</v>
      </c>
      <c r="AV200" s="180" t="str">
        <f t="shared" si="52"/>
        <v>.</v>
      </c>
      <c r="AW200" s="180">
        <f>IFERROR(VLOOKUP(B200,'Share, Heavy Weapons to Ukraine'!B:J,COLUMN('Share, Heavy Weapons to Ukraine'!C207)-1,0),0)</f>
        <v>0</v>
      </c>
      <c r="AX200" s="180">
        <f>VLOOKUP('Bilateral Assistance, MAIN DATA'!B200,'Country Summary'!B:F,COLUMN('Country Summary'!C210)-1,FALSE)</f>
        <v>1</v>
      </c>
      <c r="AY200" s="180" t="str">
        <f>IF(AND(AD200=1,D200="Military",H200&lt;&gt;"Not given")=TRUE,IF(SUMIFS(P:P,A:A,A200)&gt;0,ABS((SUMIFS(P:P,A:A,A200)/VLOOKUP("USD",'Exchange Rates'!B:C,2,0)))/S200,"."),".")</f>
        <v>.</v>
      </c>
      <c r="AZ200" s="182" t="str">
        <f>IF(AND(AD200=1,D200="Military",H200&lt;&gt;"Not given")=TRUE,IF(SUMIFS(P:P,A:A,A200)&gt;0,IF((ABS((SUMIFS(P:P,A:A,A200)/VLOOKUP("USD",'Exchange Rates'!B:C,2,0)))/S200)&gt;1,(SUMIFS(P:P,A:A,A200)-S200)/S200,(S200-SUMIFS(P:P,A:A,A200))/SUMIFS(P:P,A:A,A200)),"."),".")</f>
        <v>.</v>
      </c>
      <c r="BA200" s="182"/>
      <c r="BB200" s="182"/>
      <c r="BC200" s="182"/>
      <c r="BD200" s="182"/>
      <c r="BE200" s="182"/>
      <c r="BF200" s="182"/>
      <c r="BG200" s="182"/>
      <c r="BH200" s="182"/>
      <c r="BI200" s="182"/>
      <c r="BJ200" s="182"/>
      <c r="BK200" s="182"/>
      <c r="BL200" s="182"/>
      <c r="BM200" s="182"/>
      <c r="BN200" s="182"/>
      <c r="BO200" s="182"/>
      <c r="BP200" s="182"/>
      <c r="BQ200" s="182"/>
      <c r="BR200" s="182"/>
      <c r="BS200" s="182"/>
    </row>
    <row r="201" spans="1:71" ht="15.9" customHeight="1" x14ac:dyDescent="0.3">
      <c r="A201" s="17" t="s">
        <v>842</v>
      </c>
      <c r="B201" s="17" t="s">
        <v>716</v>
      </c>
      <c r="C201" s="174">
        <v>44657</v>
      </c>
      <c r="D201" s="5" t="s">
        <v>256</v>
      </c>
      <c r="E201" s="5" t="s">
        <v>840</v>
      </c>
      <c r="F201" s="175" t="s">
        <v>843</v>
      </c>
      <c r="G201" s="15" t="s">
        <v>718</v>
      </c>
      <c r="H201" s="176">
        <v>14000000</v>
      </c>
      <c r="I201" s="17" t="s">
        <v>260</v>
      </c>
      <c r="J201" s="113" t="str">
        <f>VLOOKUP($I201,'Price List, Weapons &amp; Items'!B:C,2,0)</f>
        <v>.</v>
      </c>
      <c r="K201" s="113" t="str">
        <f>IF(I201=".",I201,VLOOKUP($I201,'Price List, Weapons &amp; Items'!B:D,3,0))</f>
        <v>.</v>
      </c>
      <c r="L201" s="177">
        <f>VLOOKUP(I201,'Price List, Weapons &amp; Items'!B:E,4,0)</f>
        <v>0</v>
      </c>
      <c r="M201" s="542" t="s">
        <v>260</v>
      </c>
      <c r="N201" s="542" t="s">
        <v>260</v>
      </c>
      <c r="O201" s="543" t="str">
        <f>VLOOKUP($I201,'Price List, Weapons &amp; Items'!B:G,6,0)</f>
        <v>.</v>
      </c>
      <c r="P201" s="176" t="str">
        <f t="shared" si="44"/>
        <v>.</v>
      </c>
      <c r="Q201" s="176" t="str">
        <f t="shared" si="45"/>
        <v>.</v>
      </c>
      <c r="R201" s="176">
        <f t="shared" si="41"/>
        <v>14000000</v>
      </c>
      <c r="S201" s="176">
        <f>IF(AND(AD201=1,R201&lt;&gt;".")=TRUE,R201/VLOOKUP(G201,'Exchange Rates'!B:C,2,0),IF(R201=".",".",""))</f>
        <v>583722.48165443621</v>
      </c>
      <c r="T201" s="176" t="str">
        <f>IF(AD201=1,IF(AF201="Value is not given at all",".",IF(AF201="Value is given by the source",S201,IF(AF201="Value is calculated with prices",(IF(SUMIFS(Q:Q,A:A,A201)&gt;0,SUMIFS(Q:Q,A:A,A201),"."))/VLOOKUP("USD",'Exchange Rates'!B:C,2,0),"Error with coding"))),"")</f>
        <v>.</v>
      </c>
      <c r="U201" s="15" t="s">
        <v>261</v>
      </c>
      <c r="V201" s="300" t="s">
        <v>759</v>
      </c>
      <c r="W201" s="175" t="s">
        <v>260</v>
      </c>
      <c r="X201" s="175" t="s">
        <v>260</v>
      </c>
      <c r="Y201" s="175" t="s">
        <v>260</v>
      </c>
      <c r="Z201" s="551">
        <v>0</v>
      </c>
      <c r="AA201" s="180">
        <v>0</v>
      </c>
      <c r="AB201" s="184" t="s">
        <v>260</v>
      </c>
      <c r="AC201" s="544" t="str">
        <f>""</f>
        <v/>
      </c>
      <c r="AD201" s="181">
        <v>1</v>
      </c>
      <c r="AE201" s="181" t="s">
        <v>264</v>
      </c>
      <c r="AF201" s="181" t="s">
        <v>265</v>
      </c>
      <c r="AG201" s="181">
        <v>1</v>
      </c>
      <c r="AH201" s="181">
        <v>4</v>
      </c>
      <c r="AI201" s="181">
        <v>0</v>
      </c>
      <c r="AJ201" s="181">
        <f>VLOOKUP($I201,'Price List, Weapons &amp; Items'!B:F,5,0)</f>
        <v>0</v>
      </c>
      <c r="AK201" s="181">
        <f t="shared" si="46"/>
        <v>0</v>
      </c>
      <c r="AL201" s="181">
        <f t="shared" si="47"/>
        <v>0</v>
      </c>
      <c r="AM201" s="181">
        <f t="shared" si="48"/>
        <v>0</v>
      </c>
      <c r="AN201" s="180" t="str">
        <f>VLOOKUP($I201,'Price List, Weapons &amp; Items'!B:L,COLUMN('Price List, Weapons &amp; Items'!$J$11)-1,0)</f>
        <v>.</v>
      </c>
      <c r="AO201" s="180" t="str">
        <f>IF(I201=".",".",VLOOKUP($I201,'Price List, Weapons &amp; Items'!B:J,3,0))</f>
        <v>.</v>
      </c>
      <c r="AP201" s="545" t="e">
        <f t="shared" ca="1" si="42"/>
        <v>#NAME?</v>
      </c>
      <c r="AQ201" s="180" t="str">
        <f>VLOOKUP($I201,'Price List, Weapons &amp; Items'!B:L,COLUMN('Price List, Weapons &amp; Items'!$L$11)-1,0)</f>
        <v>no price, 0 count</v>
      </c>
      <c r="AR201" s="180">
        <f t="shared" si="49"/>
        <v>1</v>
      </c>
      <c r="AS201" s="180">
        <f t="shared" si="50"/>
        <v>0</v>
      </c>
      <c r="AT201" s="180">
        <f t="shared" si="43"/>
        <v>1</v>
      </c>
      <c r="AU201" s="180" t="str">
        <f t="shared" si="51"/>
        <v>.</v>
      </c>
      <c r="AV201" s="180" t="str">
        <f t="shared" si="52"/>
        <v>.</v>
      </c>
      <c r="AW201" s="180">
        <f>IFERROR(VLOOKUP(B201,'Share, Heavy Weapons to Ukraine'!B:J,COLUMN('Share, Heavy Weapons to Ukraine'!C208)-1,0),0)</f>
        <v>0</v>
      </c>
      <c r="AX201" s="180">
        <f>VLOOKUP('Bilateral Assistance, MAIN DATA'!B201,'Country Summary'!B:F,COLUMN('Country Summary'!C211)-1,FALSE)</f>
        <v>1</v>
      </c>
      <c r="AY201" s="180" t="str">
        <f>IF(AND(AD201=1,D201="Military",H201&lt;&gt;"Not given")=TRUE,IF(SUMIFS(P:P,A:A,A201)&gt;0,ABS((SUMIFS(P:P,A:A,A201)/VLOOKUP("USD",'Exchange Rates'!B:C,2,0)))/S201,"."),".")</f>
        <v>.</v>
      </c>
      <c r="AZ201" s="182" t="str">
        <f>IF(AND(AD201=1,D201="Military",H201&lt;&gt;"Not given")=TRUE,IF(SUMIFS(P:P,A:A,A201)&gt;0,IF((ABS((SUMIFS(P:P,A:A,A201)/VLOOKUP("USD",'Exchange Rates'!B:C,2,0)))/S201)&gt;1,(SUMIFS(P:P,A:A,A201)-S201)/S201,(S201-SUMIFS(P:P,A:A,A201))/SUMIFS(P:P,A:A,A201)),"."),".")</f>
        <v>.</v>
      </c>
      <c r="BA201" s="182"/>
      <c r="BB201" s="182"/>
      <c r="BC201" s="182"/>
      <c r="BD201" s="182"/>
      <c r="BE201" s="182"/>
      <c r="BF201" s="182"/>
      <c r="BG201" s="182"/>
      <c r="BH201" s="182"/>
      <c r="BI201" s="182"/>
      <c r="BJ201" s="182"/>
      <c r="BK201" s="182"/>
      <c r="BL201" s="182"/>
      <c r="BM201" s="182"/>
      <c r="BN201" s="182"/>
      <c r="BO201" s="182"/>
      <c r="BP201" s="182"/>
      <c r="BQ201" s="182"/>
      <c r="BR201" s="182"/>
      <c r="BS201" s="182"/>
    </row>
    <row r="202" spans="1:71" ht="15.9" customHeight="1" x14ac:dyDescent="0.3">
      <c r="A202" s="17" t="s">
        <v>844</v>
      </c>
      <c r="B202" s="17" t="s">
        <v>716</v>
      </c>
      <c r="C202" s="174">
        <v>44686</v>
      </c>
      <c r="D202" s="5" t="s">
        <v>256</v>
      </c>
      <c r="E202" s="5" t="s">
        <v>840</v>
      </c>
      <c r="F202" s="175" t="s">
        <v>845</v>
      </c>
      <c r="G202" s="15" t="s">
        <v>718</v>
      </c>
      <c r="H202" s="176">
        <v>433000000</v>
      </c>
      <c r="I202" s="17" t="s">
        <v>260</v>
      </c>
      <c r="J202" s="113" t="str">
        <f>VLOOKUP($I202,'Price List, Weapons &amp; Items'!B:C,2,0)</f>
        <v>.</v>
      </c>
      <c r="K202" s="113" t="str">
        <f>IF(I202=".",I202,VLOOKUP($I202,'Price List, Weapons &amp; Items'!B:D,3,0))</f>
        <v>.</v>
      </c>
      <c r="L202" s="177">
        <f>VLOOKUP(I202,'Price List, Weapons &amp; Items'!B:E,4,0)</f>
        <v>0</v>
      </c>
      <c r="M202" s="542" t="s">
        <v>260</v>
      </c>
      <c r="N202" s="542" t="s">
        <v>260</v>
      </c>
      <c r="O202" s="543" t="str">
        <f>VLOOKUP($I202,'Price List, Weapons &amp; Items'!B:G,6,0)</f>
        <v>.</v>
      </c>
      <c r="P202" s="176" t="str">
        <f t="shared" si="44"/>
        <v>.</v>
      </c>
      <c r="Q202" s="176" t="str">
        <f t="shared" si="45"/>
        <v>.</v>
      </c>
      <c r="R202" s="176">
        <f t="shared" si="41"/>
        <v>433000000</v>
      </c>
      <c r="S202" s="176">
        <f>IF(AND(AD202=1,R202&lt;&gt;".")=TRUE,R202/VLOOKUP(G202,'Exchange Rates'!B:C,2,0),IF(R202=".",".",""))</f>
        <v>18053702.468312208</v>
      </c>
      <c r="T202" s="176" t="str">
        <f>IF(AD202=1,IF(AF202="Value is not given at all",".",IF(AF202="Value is given by the source",S202,IF(AF202="Value is calculated with prices",(IF(SUMIFS(Q:Q,A:A,A202)&gt;0,SUMIFS(Q:Q,A:A,A202),"."))/VLOOKUP("USD",'Exchange Rates'!B:C,2,0),"Error with coding"))),"")</f>
        <v>.</v>
      </c>
      <c r="U202" s="15" t="s">
        <v>261</v>
      </c>
      <c r="V202" s="300" t="s">
        <v>429</v>
      </c>
      <c r="W202" s="175" t="s">
        <v>260</v>
      </c>
      <c r="X202" s="175" t="s">
        <v>260</v>
      </c>
      <c r="Y202" s="175" t="s">
        <v>260</v>
      </c>
      <c r="Z202" s="551">
        <v>0</v>
      </c>
      <c r="AA202" s="180">
        <v>0</v>
      </c>
      <c r="AB202" s="184" t="s">
        <v>260</v>
      </c>
      <c r="AC202" s="544" t="str">
        <f>""</f>
        <v/>
      </c>
      <c r="AD202" s="181">
        <v>1</v>
      </c>
      <c r="AE202" s="181" t="s">
        <v>264</v>
      </c>
      <c r="AF202" s="181" t="s">
        <v>265</v>
      </c>
      <c r="AG202" s="181">
        <v>1</v>
      </c>
      <c r="AH202" s="181">
        <v>5</v>
      </c>
      <c r="AI202" s="181">
        <v>0</v>
      </c>
      <c r="AJ202" s="181">
        <f>VLOOKUP($I202,'Price List, Weapons &amp; Items'!B:F,5,0)</f>
        <v>0</v>
      </c>
      <c r="AK202" s="181">
        <f t="shared" si="46"/>
        <v>0</v>
      </c>
      <c r="AL202" s="181">
        <f t="shared" si="47"/>
        <v>0</v>
      </c>
      <c r="AM202" s="181">
        <f t="shared" si="48"/>
        <v>0</v>
      </c>
      <c r="AN202" s="180" t="str">
        <f>VLOOKUP($I202,'Price List, Weapons &amp; Items'!B:L,COLUMN('Price List, Weapons &amp; Items'!$J$11)-1,0)</f>
        <v>.</v>
      </c>
      <c r="AO202" s="180" t="str">
        <f>IF(I202=".",".",VLOOKUP($I202,'Price List, Weapons &amp; Items'!B:J,3,0))</f>
        <v>.</v>
      </c>
      <c r="AP202" s="545" t="e">
        <f t="shared" ca="1" si="42"/>
        <v>#NAME?</v>
      </c>
      <c r="AQ202" s="180" t="str">
        <f>VLOOKUP($I202,'Price List, Weapons &amp; Items'!B:L,COLUMN('Price List, Weapons &amp; Items'!$L$11)-1,0)</f>
        <v>no price, 0 count</v>
      </c>
      <c r="AR202" s="180">
        <f t="shared" si="49"/>
        <v>1</v>
      </c>
      <c r="AS202" s="180">
        <f t="shared" si="50"/>
        <v>0</v>
      </c>
      <c r="AT202" s="180">
        <f t="shared" si="43"/>
        <v>1</v>
      </c>
      <c r="AU202" s="180" t="str">
        <f t="shared" si="51"/>
        <v>.</v>
      </c>
      <c r="AV202" s="180" t="str">
        <f t="shared" si="52"/>
        <v>.</v>
      </c>
      <c r="AW202" s="180">
        <f>IFERROR(VLOOKUP(B202,'Share, Heavy Weapons to Ukraine'!B:J,COLUMN('Share, Heavy Weapons to Ukraine'!C209)-1,0),0)</f>
        <v>0</v>
      </c>
      <c r="AX202" s="180">
        <f>VLOOKUP('Bilateral Assistance, MAIN DATA'!B202,'Country Summary'!B:F,COLUMN('Country Summary'!C212)-1,FALSE)</f>
        <v>1</v>
      </c>
      <c r="AY202" s="180" t="str">
        <f>IF(AND(AD202=1,D202="Military",H202&lt;&gt;"Not given")=TRUE,IF(SUMIFS(P:P,A:A,A202)&gt;0,ABS((SUMIFS(P:P,A:A,A202)/VLOOKUP("USD",'Exchange Rates'!B:C,2,0)))/S202,"."),".")</f>
        <v>.</v>
      </c>
      <c r="AZ202" s="182" t="str">
        <f>IF(AND(AD202=1,D202="Military",H202&lt;&gt;"Not given")=TRUE,IF(SUMIFS(P:P,A:A,A202)&gt;0,IF((ABS((SUMIFS(P:P,A:A,A202)/VLOOKUP("USD",'Exchange Rates'!B:C,2,0)))/S202)&gt;1,(SUMIFS(P:P,A:A,A202)-S202)/S202,(S202-SUMIFS(P:P,A:A,A202))/SUMIFS(P:P,A:A,A202)),"."),".")</f>
        <v>.</v>
      </c>
      <c r="BA202" s="182"/>
      <c r="BB202" s="182"/>
      <c r="BC202" s="182"/>
      <c r="BD202" s="182"/>
      <c r="BE202" s="182"/>
      <c r="BF202" s="182"/>
      <c r="BG202" s="182"/>
      <c r="BH202" s="182"/>
      <c r="BI202" s="182"/>
      <c r="BJ202" s="182"/>
      <c r="BK202" s="182"/>
      <c r="BL202" s="182"/>
      <c r="BM202" s="182"/>
      <c r="BN202" s="182"/>
      <c r="BO202" s="182"/>
      <c r="BP202" s="182"/>
      <c r="BQ202" s="182"/>
      <c r="BR202" s="182"/>
      <c r="BS202" s="182"/>
    </row>
    <row r="203" spans="1:71" ht="15.9" customHeight="1" x14ac:dyDescent="0.3">
      <c r="A203" s="17" t="s">
        <v>846</v>
      </c>
      <c r="B203" s="17" t="s">
        <v>716</v>
      </c>
      <c r="C203" s="174">
        <v>44713</v>
      </c>
      <c r="D203" s="5" t="s">
        <v>256</v>
      </c>
      <c r="E203" s="5" t="s">
        <v>267</v>
      </c>
      <c r="F203" s="175" t="s">
        <v>847</v>
      </c>
      <c r="G203" s="15" t="s">
        <v>346</v>
      </c>
      <c r="H203" s="176" t="s">
        <v>341</v>
      </c>
      <c r="I203" s="17" t="s">
        <v>848</v>
      </c>
      <c r="J203" s="113" t="str">
        <f>VLOOKUP($I203,'Price List, Weapons &amp; Items'!B:C,2,0)</f>
        <v>Humanitarian</v>
      </c>
      <c r="K203" s="113" t="str">
        <f>IF(I203=".",I203,VLOOKUP($I203,'Price List, Weapons &amp; Items'!B:D,3,0))</f>
        <v>Humanitarian</v>
      </c>
      <c r="L203" s="177">
        <f>VLOOKUP(I203,'Price List, Weapons &amp; Items'!B:E,4,0)</f>
        <v>0</v>
      </c>
      <c r="M203" s="542">
        <v>2</v>
      </c>
      <c r="N203" s="542" t="s">
        <v>270</v>
      </c>
      <c r="O203" s="543">
        <f>VLOOKUP($I203,'Price List, Weapons &amp; Items'!B:G,6,0)</f>
        <v>33960000</v>
      </c>
      <c r="P203" s="176">
        <f t="shared" si="44"/>
        <v>67920000</v>
      </c>
      <c r="Q203" s="176" t="str">
        <f t="shared" si="45"/>
        <v>.</v>
      </c>
      <c r="R203" s="176">
        <f t="shared" si="41"/>
        <v>67920000</v>
      </c>
      <c r="S203" s="176">
        <f>IF(AND(AD203=1,R203&lt;&gt;".")=TRUE,R203/VLOOKUP(G203,'Exchange Rates'!B:C,2,0),IF(R203=".",".",""))</f>
        <v>64685714.285714284</v>
      </c>
      <c r="T203" s="176" t="str">
        <f>IF(AD203=1,IF(AF203="Value is not given at all",".",IF(AF203="Value is given by the source",S203,IF(AF203="Value is calculated with prices",(IF(SUMIFS(Q:Q,A:A,A203)&gt;0,SUMIFS(Q:Q,A:A,A203),"."))/VLOOKUP("USD",'Exchange Rates'!B:C,2,0),"Error with coding"))),"")</f>
        <v>.</v>
      </c>
      <c r="U203" s="15" t="s">
        <v>415</v>
      </c>
      <c r="V203" s="300" t="s">
        <v>849</v>
      </c>
      <c r="W203" s="175" t="s">
        <v>260</v>
      </c>
      <c r="X203" s="175" t="s">
        <v>260</v>
      </c>
      <c r="Y203" s="175" t="s">
        <v>260</v>
      </c>
      <c r="Z203" s="551">
        <v>0</v>
      </c>
      <c r="AA203" s="180">
        <v>0</v>
      </c>
      <c r="AB203" s="184" t="s">
        <v>260</v>
      </c>
      <c r="AC203" s="544" t="str">
        <f>""</f>
        <v/>
      </c>
      <c r="AD203" s="183">
        <v>1</v>
      </c>
      <c r="AE203" s="183" t="s">
        <v>332</v>
      </c>
      <c r="AF203" s="183" t="s">
        <v>265</v>
      </c>
      <c r="AG203" s="183">
        <v>1</v>
      </c>
      <c r="AH203" s="181">
        <v>6</v>
      </c>
      <c r="AI203" s="181">
        <v>0</v>
      </c>
      <c r="AJ203" s="181">
        <f>VLOOKUP($I203,'Price List, Weapons &amp; Items'!B:F,5,0)</f>
        <v>0</v>
      </c>
      <c r="AK203" s="181">
        <f t="shared" si="46"/>
        <v>0</v>
      </c>
      <c r="AL203" s="181">
        <f t="shared" si="47"/>
        <v>0</v>
      </c>
      <c r="AM203" s="181">
        <f t="shared" si="48"/>
        <v>0</v>
      </c>
      <c r="AN203" s="180" t="str">
        <f>VLOOKUP($I203,'Price List, Weapons &amp; Items'!B:L,COLUMN('Price List, Weapons &amp; Items'!$J$11)-1,0)</f>
        <v>Media reports (incl. social media)</v>
      </c>
      <c r="AO203" s="180" t="str">
        <f>IF(I203=".",".",VLOOKUP($I203,'Price List, Weapons &amp; Items'!B:J,3,0))</f>
        <v>Humanitarian</v>
      </c>
      <c r="AP203" s="545" t="e">
        <f t="shared" ca="1" si="42"/>
        <v>#NAME?</v>
      </c>
      <c r="AQ203" s="180">
        <f>VLOOKUP($I203,'Price List, Weapons &amp; Items'!B:L,COLUMN('Price List, Weapons &amp; Items'!$L$11)-1,0)</f>
        <v>0</v>
      </c>
      <c r="AR203" s="180">
        <f t="shared" si="49"/>
        <v>0</v>
      </c>
      <c r="AS203" s="180">
        <f t="shared" si="50"/>
        <v>0</v>
      </c>
      <c r="AT203" s="180">
        <f t="shared" si="43"/>
        <v>1</v>
      </c>
      <c r="AU203" s="180" t="str">
        <f t="shared" si="51"/>
        <v>.</v>
      </c>
      <c r="AV203" s="180" t="str">
        <f t="shared" si="52"/>
        <v>.</v>
      </c>
      <c r="AW203" s="180">
        <f>IFERROR(VLOOKUP(B203,'Share, Heavy Weapons to Ukraine'!B:J,COLUMN('Share, Heavy Weapons to Ukraine'!C210)-1,0),0)</f>
        <v>0</v>
      </c>
      <c r="AX203" s="180">
        <f>VLOOKUP('Bilateral Assistance, MAIN DATA'!B203,'Country Summary'!B:F,COLUMN('Country Summary'!C213)-1,FALSE)</f>
        <v>1</v>
      </c>
      <c r="AY203" s="180" t="str">
        <f>IF(AND(AD203=1,D203="Military",H203&lt;&gt;"Not given")=TRUE,IF(SUMIFS(P:P,A:A,A203)&gt;0,ABS((SUMIFS(P:P,A:A,A203)/VLOOKUP("USD",'Exchange Rates'!B:C,2,0)))/S203,"."),".")</f>
        <v>.</v>
      </c>
      <c r="AZ203" s="182" t="str">
        <f>IF(AND(AD203=1,D203="Military",H203&lt;&gt;"Not given")=TRUE,IF(SUMIFS(P:P,A:A,A203)&gt;0,IF((ABS((SUMIFS(P:P,A:A,A203)/VLOOKUP("USD",'Exchange Rates'!B:C,2,0)))/S203)&gt;1,(SUMIFS(P:P,A:A,A203)-S203)/S203,(S203-SUMIFS(P:P,A:A,A203))/SUMIFS(P:P,A:A,A203)),"."),".")</f>
        <v>.</v>
      </c>
      <c r="BA203" s="182"/>
      <c r="BB203" s="182"/>
      <c r="BC203" s="182"/>
      <c r="BD203" s="182"/>
      <c r="BE203" s="182"/>
      <c r="BF203" s="182"/>
      <c r="BG203" s="182"/>
      <c r="BH203" s="182"/>
      <c r="BI203" s="182"/>
      <c r="BJ203" s="182"/>
      <c r="BK203" s="182"/>
      <c r="BL203" s="182"/>
      <c r="BM203" s="182"/>
      <c r="BN203" s="182"/>
      <c r="BO203" s="182"/>
      <c r="BP203" s="182"/>
      <c r="BQ203" s="182"/>
      <c r="BR203" s="182"/>
      <c r="BS203" s="182"/>
    </row>
    <row r="204" spans="1:71" ht="15.9" customHeight="1" x14ac:dyDescent="0.3">
      <c r="A204" s="5" t="s">
        <v>850</v>
      </c>
      <c r="B204" s="5" t="s">
        <v>716</v>
      </c>
      <c r="C204" s="174">
        <v>44719</v>
      </c>
      <c r="D204" s="5" t="s">
        <v>256</v>
      </c>
      <c r="E204" s="5" t="s">
        <v>267</v>
      </c>
      <c r="F204" s="175" t="s">
        <v>851</v>
      </c>
      <c r="G204" s="15" t="s">
        <v>718</v>
      </c>
      <c r="H204" s="176">
        <v>100000000</v>
      </c>
      <c r="I204" s="17" t="s">
        <v>852</v>
      </c>
      <c r="J204" s="113" t="str">
        <f>VLOOKUP($I204,'Price List, Weapons &amp; Items'!B:C,2,0)</f>
        <v>Humanitarian</v>
      </c>
      <c r="K204" s="113" t="str">
        <f>IF(I204=".",I204,VLOOKUP($I204,'Price List, Weapons &amp; Items'!B:D,3,0))</f>
        <v>Humanitarian</v>
      </c>
      <c r="L204" s="177">
        <f>VLOOKUP(I204,'Price List, Weapons &amp; Items'!B:E,4,0)</f>
        <v>0</v>
      </c>
      <c r="M204" s="542">
        <v>3640000</v>
      </c>
      <c r="N204" s="542">
        <v>3640000</v>
      </c>
      <c r="O204" s="543">
        <f>VLOOKUP($I204,'Price List, Weapons &amp; Items'!B:G,6,0)</f>
        <v>0.13</v>
      </c>
      <c r="P204" s="176">
        <f t="shared" si="44"/>
        <v>473200</v>
      </c>
      <c r="Q204" s="176">
        <f t="shared" si="45"/>
        <v>473200</v>
      </c>
      <c r="R204" s="176">
        <f t="shared" si="41"/>
        <v>100000000</v>
      </c>
      <c r="S204" s="176">
        <f>IF(AND(AD204=1,R204&lt;&gt;".")=TRUE,R204/VLOOKUP(G204,'Exchange Rates'!B:C,2,0),IF(R204=".",".",""))</f>
        <v>4169446.2975316877</v>
      </c>
      <c r="T204" s="176">
        <f>IF(AD204=1,IF(AF204="Value is not given at all",".",IF(AF204="Value is given by the source",S204,IF(AF204="Value is calculated with prices",(IF(SUMIFS(Q:Q,A:A,A204)&gt;0,SUMIFS(Q:Q,A:A,A204),"."))/VLOOKUP("USD",'Exchange Rates'!B:C,2,0),"Error with coding"))),"")</f>
        <v>4169446.2975316877</v>
      </c>
      <c r="U204" s="15" t="s">
        <v>415</v>
      </c>
      <c r="V204" s="547" t="s">
        <v>853</v>
      </c>
      <c r="W204" s="188" t="s">
        <v>260</v>
      </c>
      <c r="X204" s="188" t="s">
        <v>260</v>
      </c>
      <c r="Y204" s="188" t="s">
        <v>260</v>
      </c>
      <c r="Z204" s="551">
        <v>0</v>
      </c>
      <c r="AA204" s="180">
        <v>0</v>
      </c>
      <c r="AB204" s="549" t="s">
        <v>853</v>
      </c>
      <c r="AC204" s="544" t="str">
        <f>""</f>
        <v/>
      </c>
      <c r="AD204" s="181">
        <v>1</v>
      </c>
      <c r="AE204" s="181" t="s">
        <v>264</v>
      </c>
      <c r="AF204" s="181" t="s">
        <v>264</v>
      </c>
      <c r="AG204" s="181">
        <v>1</v>
      </c>
      <c r="AH204" s="181">
        <v>6</v>
      </c>
      <c r="AI204" s="181">
        <v>0</v>
      </c>
      <c r="AJ204" s="181">
        <f>VLOOKUP($I204,'Price List, Weapons &amp; Items'!B:F,5,0)</f>
        <v>0</v>
      </c>
      <c r="AK204" s="181">
        <f t="shared" si="46"/>
        <v>0</v>
      </c>
      <c r="AL204" s="181">
        <f t="shared" si="47"/>
        <v>0</v>
      </c>
      <c r="AM204" s="181">
        <f t="shared" si="48"/>
        <v>0</v>
      </c>
      <c r="AN204" s="180" t="str">
        <f>VLOOKUP($I204,'Price List, Weapons &amp; Items'!B:L,COLUMN('Price List, Weapons &amp; Items'!$J$11)-1,0)</f>
        <v>Online marketplaces and stores</v>
      </c>
      <c r="AO204" s="180" t="str">
        <f>IF(I204=".",".",VLOOKUP($I204,'Price List, Weapons &amp; Items'!B:J,3,0))</f>
        <v>Humanitarian</v>
      </c>
      <c r="AP204" s="545" t="e">
        <f t="shared" ca="1" si="42"/>
        <v>#NAME?</v>
      </c>
      <c r="AQ204" s="180">
        <f>VLOOKUP($I204,'Price List, Weapons &amp; Items'!B:L,COLUMN('Price List, Weapons &amp; Items'!$L$11)-1,0)</f>
        <v>0</v>
      </c>
      <c r="AR204" s="180">
        <f t="shared" si="49"/>
        <v>0</v>
      </c>
      <c r="AS204" s="180">
        <f t="shared" si="50"/>
        <v>0</v>
      </c>
      <c r="AT204" s="180">
        <f t="shared" si="43"/>
        <v>1</v>
      </c>
      <c r="AU204" s="180" t="str">
        <f t="shared" si="51"/>
        <v>.</v>
      </c>
      <c r="AV204" s="180" t="str">
        <f t="shared" si="52"/>
        <v>.</v>
      </c>
      <c r="AW204" s="180">
        <f>IFERROR(VLOOKUP(B204,'Share, Heavy Weapons to Ukraine'!B:J,COLUMN('Share, Heavy Weapons to Ukraine'!C211)-1,0),0)</f>
        <v>0</v>
      </c>
      <c r="AX204" s="180">
        <f>VLOOKUP('Bilateral Assistance, MAIN DATA'!B204,'Country Summary'!B:F,COLUMN('Country Summary'!C214)-1,FALSE)</f>
        <v>1</v>
      </c>
      <c r="AY204" s="180" t="str">
        <f>IF(AND(AD204=1,D204="Military",H204&lt;&gt;"Not given")=TRUE,IF(SUMIFS(P:P,A:A,A204)&gt;0,ABS((SUMIFS(P:P,A:A,A204)/VLOOKUP("USD",'Exchange Rates'!B:C,2,0)))/S204,"."),".")</f>
        <v>.</v>
      </c>
      <c r="AZ204" s="182" t="str">
        <f>IF(AND(AD204=1,D204="Military",H204&lt;&gt;"Not given")=TRUE,IF(SUMIFS(P:P,A:A,A204)&gt;0,IF((ABS((SUMIFS(P:P,A:A,A204)/VLOOKUP("USD",'Exchange Rates'!B:C,2,0)))/S204)&gt;1,(SUMIFS(P:P,A:A,A204)-S204)/S204,(S204-SUMIFS(P:P,A:A,A204))/SUMIFS(P:P,A:A,A204)),"."),".")</f>
        <v>.</v>
      </c>
      <c r="BA204" s="182"/>
      <c r="BB204" s="182"/>
      <c r="BC204" s="182"/>
      <c r="BD204" s="182"/>
      <c r="BE204" s="182"/>
      <c r="BF204" s="182"/>
      <c r="BG204" s="182"/>
      <c r="BH204" s="182"/>
      <c r="BI204" s="182"/>
      <c r="BJ204" s="182"/>
      <c r="BK204" s="182"/>
      <c r="BL204" s="182"/>
      <c r="BM204" s="182"/>
      <c r="BN204" s="182"/>
      <c r="BO204" s="182"/>
      <c r="BP204" s="182"/>
      <c r="BQ204" s="182"/>
      <c r="BR204" s="182"/>
      <c r="BS204" s="182"/>
    </row>
    <row r="205" spans="1:71" ht="15.9" customHeight="1" x14ac:dyDescent="0.3">
      <c r="A205" s="5" t="s">
        <v>850</v>
      </c>
      <c r="B205" s="5" t="s">
        <v>716</v>
      </c>
      <c r="C205" s="174">
        <v>44719</v>
      </c>
      <c r="D205" s="5" t="s">
        <v>256</v>
      </c>
      <c r="E205" s="5" t="s">
        <v>267</v>
      </c>
      <c r="F205" s="175" t="s">
        <v>851</v>
      </c>
      <c r="G205" s="15" t="s">
        <v>718</v>
      </c>
      <c r="H205" s="176">
        <v>100000000</v>
      </c>
      <c r="I205" s="17" t="s">
        <v>854</v>
      </c>
      <c r="J205" s="113" t="str">
        <f>VLOOKUP($I205,'Price List, Weapons &amp; Items'!B:C,2,0)</f>
        <v>Humanitarian</v>
      </c>
      <c r="K205" s="113" t="str">
        <f>IF(I205=".",I205,VLOOKUP($I205,'Price List, Weapons &amp; Items'!B:D,3,0))</f>
        <v>Humanitarian</v>
      </c>
      <c r="L205" s="177">
        <f>VLOOKUP(I205,'Price List, Weapons &amp; Items'!B:E,4,0)</f>
        <v>0</v>
      </c>
      <c r="M205" s="542">
        <v>500000</v>
      </c>
      <c r="N205" s="542">
        <v>500000</v>
      </c>
      <c r="O205" s="543">
        <f>VLOOKUP($I205,'Price List, Weapons &amp; Items'!B:G,6,0)</f>
        <v>13.5</v>
      </c>
      <c r="P205" s="176">
        <f t="shared" si="44"/>
        <v>6750000</v>
      </c>
      <c r="Q205" s="176">
        <f t="shared" si="45"/>
        <v>6750000</v>
      </c>
      <c r="R205" s="176" t="str">
        <f t="shared" si="41"/>
        <v/>
      </c>
      <c r="S205" s="176" t="str">
        <f>IF(AND(AD205=1,R205&lt;&gt;".")=TRUE,R205/VLOOKUP(G205,'Exchange Rates'!B:C,2,0),IF(R205=".",".",""))</f>
        <v/>
      </c>
      <c r="T205" s="176" t="str">
        <f>IF(AD205=1,IF(AF205="Value is not given at all",".",IF(AF205="Value is given by the source",S205,IF(AF205="Value is calculated with prices",(IF(SUMIFS(Q:Q,A:A,A205)&gt;0,SUMIFS(Q:Q,A:A,A205),"."))/VLOOKUP("USD",'Exchange Rates'!B:C,2,0),"Error with coding"))),"")</f>
        <v/>
      </c>
      <c r="U205" s="15" t="s">
        <v>415</v>
      </c>
      <c r="V205" s="547" t="s">
        <v>853</v>
      </c>
      <c r="W205" s="188" t="s">
        <v>260</v>
      </c>
      <c r="X205" s="188" t="s">
        <v>260</v>
      </c>
      <c r="Y205" s="188" t="s">
        <v>260</v>
      </c>
      <c r="Z205" s="551">
        <v>0</v>
      </c>
      <c r="AA205" s="180">
        <v>0</v>
      </c>
      <c r="AB205" s="549" t="s">
        <v>853</v>
      </c>
      <c r="AC205" s="544" t="str">
        <f>""</f>
        <v/>
      </c>
      <c r="AD205" s="181">
        <v>0</v>
      </c>
      <c r="AE205" s="181" t="s">
        <v>264</v>
      </c>
      <c r="AF205" s="181" t="s">
        <v>264</v>
      </c>
      <c r="AG205" s="181">
        <v>1</v>
      </c>
      <c r="AH205" s="181">
        <v>6</v>
      </c>
      <c r="AI205" s="181">
        <v>0</v>
      </c>
      <c r="AJ205" s="181">
        <f>VLOOKUP($I205,'Price List, Weapons &amp; Items'!B:F,5,0)</f>
        <v>0</v>
      </c>
      <c r="AK205" s="181">
        <f t="shared" si="46"/>
        <v>0</v>
      </c>
      <c r="AL205" s="181">
        <f t="shared" si="47"/>
        <v>0</v>
      </c>
      <c r="AM205" s="181">
        <f t="shared" si="48"/>
        <v>0</v>
      </c>
      <c r="AN205" s="180" t="str">
        <f>VLOOKUP($I205,'Price List, Weapons &amp; Items'!B:L,COLUMN('Price List, Weapons &amp; Items'!$J$11)-1,0)</f>
        <v>Online marketplaces and stores</v>
      </c>
      <c r="AO205" s="180" t="str">
        <f>IF(I205=".",".",VLOOKUP($I205,'Price List, Weapons &amp; Items'!B:J,3,0))</f>
        <v>Humanitarian</v>
      </c>
      <c r="AP205" s="545" t="str">
        <f t="shared" ca="1" si="42"/>
        <v/>
      </c>
      <c r="AQ205" s="180">
        <f>VLOOKUP($I205,'Price List, Weapons &amp; Items'!B:L,COLUMN('Price List, Weapons &amp; Items'!$L$11)-1,0)</f>
        <v>0</v>
      </c>
      <c r="AR205" s="180">
        <f t="shared" si="49"/>
        <v>0</v>
      </c>
      <c r="AS205" s="180">
        <f t="shared" si="50"/>
        <v>0</v>
      </c>
      <c r="AT205" s="180">
        <f t="shared" si="43"/>
        <v>1</v>
      </c>
      <c r="AU205" s="180" t="str">
        <f t="shared" si="51"/>
        <v>.</v>
      </c>
      <c r="AV205" s="180" t="str">
        <f t="shared" si="52"/>
        <v>.</v>
      </c>
      <c r="AW205" s="180">
        <f>IFERROR(VLOOKUP(B205,'Share, Heavy Weapons to Ukraine'!B:J,COLUMN('Share, Heavy Weapons to Ukraine'!C212)-1,0),0)</f>
        <v>0</v>
      </c>
      <c r="AX205" s="180">
        <f>VLOOKUP('Bilateral Assistance, MAIN DATA'!B205,'Country Summary'!B:F,COLUMN('Country Summary'!C215)-1,FALSE)</f>
        <v>1</v>
      </c>
      <c r="AY205" s="180" t="str">
        <f>IF(AND(AD205=1,D205="Military",H205&lt;&gt;"Not given")=TRUE,IF(SUMIFS(P:P,A:A,A205)&gt;0,ABS((SUMIFS(P:P,A:A,A205)/VLOOKUP("USD",'Exchange Rates'!B:C,2,0)))/S205,"."),".")</f>
        <v>.</v>
      </c>
      <c r="AZ205" s="182" t="str">
        <f>IF(AND(AD205=1,D205="Military",H205&lt;&gt;"Not given")=TRUE,IF(SUMIFS(P:P,A:A,A205)&gt;0,IF((ABS((SUMIFS(P:P,A:A,A205)/VLOOKUP("USD",'Exchange Rates'!B:C,2,0)))/S205)&gt;1,(SUMIFS(P:P,A:A,A205)-S205)/S205,(S205-SUMIFS(P:P,A:A,A205))/SUMIFS(P:P,A:A,A205)),"."),".")</f>
        <v>.</v>
      </c>
      <c r="BA205" s="182"/>
      <c r="BB205" s="182"/>
      <c r="BC205" s="182"/>
      <c r="BD205" s="182"/>
      <c r="BE205" s="182"/>
      <c r="BF205" s="182"/>
      <c r="BG205" s="182"/>
      <c r="BH205" s="182"/>
      <c r="BI205" s="182"/>
      <c r="BJ205" s="182"/>
      <c r="BK205" s="182"/>
      <c r="BL205" s="182"/>
      <c r="BM205" s="182"/>
      <c r="BN205" s="182"/>
      <c r="BO205" s="182"/>
      <c r="BP205" s="182"/>
      <c r="BQ205" s="182"/>
      <c r="BR205" s="182"/>
      <c r="BS205" s="182"/>
    </row>
    <row r="206" spans="1:71" ht="15.9" customHeight="1" x14ac:dyDescent="0.3">
      <c r="A206" s="17" t="s">
        <v>855</v>
      </c>
      <c r="B206" s="17" t="s">
        <v>856</v>
      </c>
      <c r="C206" s="174" t="s">
        <v>857</v>
      </c>
      <c r="D206" s="5" t="s">
        <v>256</v>
      </c>
      <c r="E206" s="5" t="s">
        <v>267</v>
      </c>
      <c r="F206" s="175" t="s">
        <v>858</v>
      </c>
      <c r="G206" s="15" t="s">
        <v>859</v>
      </c>
      <c r="H206" s="176">
        <v>8000000</v>
      </c>
      <c r="I206" s="17" t="s">
        <v>260</v>
      </c>
      <c r="J206" s="113" t="str">
        <f>VLOOKUP($I206,'Price List, Weapons &amp; Items'!B:C,2,0)</f>
        <v>.</v>
      </c>
      <c r="K206" s="113" t="str">
        <f>IF(I206=".",I206,VLOOKUP($I206,'Price List, Weapons &amp; Items'!B:D,3,0))</f>
        <v>.</v>
      </c>
      <c r="L206" s="177">
        <f>VLOOKUP(I206,'Price List, Weapons &amp; Items'!B:E,4,0)</f>
        <v>0</v>
      </c>
      <c r="M206" s="542" t="s">
        <v>260</v>
      </c>
      <c r="N206" s="542" t="s">
        <v>260</v>
      </c>
      <c r="O206" s="543" t="str">
        <f>VLOOKUP($I206,'Price List, Weapons &amp; Items'!B:G,6,0)</f>
        <v>.</v>
      </c>
      <c r="P206" s="176" t="str">
        <f t="shared" si="44"/>
        <v>.</v>
      </c>
      <c r="Q206" s="176" t="str">
        <f t="shared" si="45"/>
        <v>.</v>
      </c>
      <c r="R206" s="176">
        <f t="shared" si="41"/>
        <v>8000000</v>
      </c>
      <c r="S206" s="176">
        <f>IF(AND(AD206=1,R206&lt;&gt;".")=TRUE,R206/VLOOKUP(G206,'Exchange Rates'!B:C,2,0),IF(R206=".",".",""))</f>
        <v>1075789.3604432251</v>
      </c>
      <c r="T206" s="176" t="str">
        <f>IF(AD206=1,IF(AF206="Value is not given at all",".",IF(AF206="Value is given by the source",S206,IF(AF206="Value is calculated with prices",(IF(SUMIFS(Q:Q,A:A,A206)&gt;0,SUMIFS(Q:Q,A:A,A206),"."))/VLOOKUP("USD",'Exchange Rates'!B:C,2,0),"Error with coding"))),"")</f>
        <v>.</v>
      </c>
      <c r="U206" s="15" t="s">
        <v>261</v>
      </c>
      <c r="V206" s="300" t="s">
        <v>860</v>
      </c>
      <c r="W206" s="175" t="s">
        <v>260</v>
      </c>
      <c r="X206" s="175" t="s">
        <v>260</v>
      </c>
      <c r="Y206" s="175" t="s">
        <v>260</v>
      </c>
      <c r="Z206" s="15">
        <v>0</v>
      </c>
      <c r="AA206" s="180">
        <v>0</v>
      </c>
      <c r="AB206" s="184" t="s">
        <v>260</v>
      </c>
      <c r="AC206" s="544" t="str">
        <f>""</f>
        <v/>
      </c>
      <c r="AD206" s="181">
        <v>1</v>
      </c>
      <c r="AE206" s="181" t="s">
        <v>264</v>
      </c>
      <c r="AF206" s="181" t="s">
        <v>265</v>
      </c>
      <c r="AG206" s="181">
        <v>1</v>
      </c>
      <c r="AH206" s="181">
        <v>3</v>
      </c>
      <c r="AI206" s="181">
        <v>0</v>
      </c>
      <c r="AJ206" s="181">
        <f>VLOOKUP($I206,'Price List, Weapons &amp; Items'!B:F,5,0)</f>
        <v>0</v>
      </c>
      <c r="AK206" s="181">
        <f t="shared" si="46"/>
        <v>0</v>
      </c>
      <c r="AL206" s="181">
        <f t="shared" si="47"/>
        <v>0</v>
      </c>
      <c r="AM206" s="181">
        <f t="shared" si="48"/>
        <v>0</v>
      </c>
      <c r="AN206" s="180" t="str">
        <f>VLOOKUP($I206,'Price List, Weapons &amp; Items'!B:L,COLUMN('Price List, Weapons &amp; Items'!$J$11)-1,0)</f>
        <v>.</v>
      </c>
      <c r="AO206" s="180" t="str">
        <f>IF(I206=".",".",VLOOKUP($I206,'Price List, Weapons &amp; Items'!B:J,3,0))</f>
        <v>.</v>
      </c>
      <c r="AP206" s="545" t="e">
        <f t="shared" ca="1" si="42"/>
        <v>#NAME?</v>
      </c>
      <c r="AQ206" s="180" t="str">
        <f>VLOOKUP($I206,'Price List, Weapons &amp; Items'!B:L,COLUMN('Price List, Weapons &amp; Items'!$L$11)-1,0)</f>
        <v>no price, 0 count</v>
      </c>
      <c r="AR206" s="180">
        <f t="shared" si="49"/>
        <v>1</v>
      </c>
      <c r="AS206" s="180">
        <f t="shared" si="50"/>
        <v>0</v>
      </c>
      <c r="AT206" s="180" t="str">
        <f t="shared" si="43"/>
        <v>Value is not in date format</v>
      </c>
      <c r="AU206" s="180" t="str">
        <f t="shared" si="51"/>
        <v>.</v>
      </c>
      <c r="AV206" s="180" t="str">
        <f t="shared" si="52"/>
        <v>.</v>
      </c>
      <c r="AW206" s="180">
        <f>IFERROR(VLOOKUP(B206,'Share, Heavy Weapons to Ukraine'!B:J,COLUMN('Share, Heavy Weapons to Ukraine'!C213)-1,0),0)</f>
        <v>0</v>
      </c>
      <c r="AX206" s="180">
        <f>VLOOKUP('Bilateral Assistance, MAIN DATA'!B206,'Country Summary'!B:F,COLUMN('Country Summary'!C216)-1,FALSE)</f>
        <v>1</v>
      </c>
      <c r="AY206" s="180" t="str">
        <f>IF(AND(AD206=1,D206="Military",H206&lt;&gt;"Not given")=TRUE,IF(SUMIFS(P:P,A:A,A206)&gt;0,ABS((SUMIFS(P:P,A:A,A206)/VLOOKUP("USD",'Exchange Rates'!B:C,2,0)))/S206,"."),".")</f>
        <v>.</v>
      </c>
      <c r="AZ206" s="182" t="str">
        <f>IF(AND(AD206=1,D206="Military",H206&lt;&gt;"Not given")=TRUE,IF(SUMIFS(P:P,A:A,A206)&gt;0,IF((ABS((SUMIFS(P:P,A:A,A206)/VLOOKUP("USD",'Exchange Rates'!B:C,2,0)))/S206)&gt;1,(SUMIFS(P:P,A:A,A206)-S206)/S206,(S206-SUMIFS(P:P,A:A,A206))/SUMIFS(P:P,A:A,A206)),"."),".")</f>
        <v>.</v>
      </c>
      <c r="BA206" s="182"/>
      <c r="BB206" s="182"/>
      <c r="BC206" s="182"/>
      <c r="BD206" s="182"/>
      <c r="BE206" s="182"/>
      <c r="BF206" s="182"/>
      <c r="BG206" s="182"/>
      <c r="BH206" s="182"/>
      <c r="BI206" s="182"/>
      <c r="BJ206" s="182"/>
      <c r="BK206" s="182"/>
      <c r="BL206" s="182"/>
      <c r="BM206" s="182"/>
      <c r="BN206" s="182"/>
      <c r="BO206" s="182"/>
      <c r="BP206" s="182"/>
      <c r="BQ206" s="182"/>
      <c r="BR206" s="182"/>
      <c r="BS206" s="182"/>
    </row>
    <row r="207" spans="1:71" ht="15.9" customHeight="1" x14ac:dyDescent="0.3">
      <c r="A207" s="17" t="s">
        <v>861</v>
      </c>
      <c r="B207" s="17" t="s">
        <v>856</v>
      </c>
      <c r="C207" s="174" t="s">
        <v>857</v>
      </c>
      <c r="D207" s="5" t="s">
        <v>256</v>
      </c>
      <c r="E207" s="5" t="s">
        <v>862</v>
      </c>
      <c r="F207" s="175" t="s">
        <v>863</v>
      </c>
      <c r="G207" s="15" t="s">
        <v>859</v>
      </c>
      <c r="H207" s="176">
        <v>20000000</v>
      </c>
      <c r="I207" s="17" t="s">
        <v>260</v>
      </c>
      <c r="J207" s="113" t="str">
        <f>VLOOKUP($I207,'Price List, Weapons &amp; Items'!B:C,2,0)</f>
        <v>.</v>
      </c>
      <c r="K207" s="113" t="str">
        <f>IF(I207=".",I207,VLOOKUP($I207,'Price List, Weapons &amp; Items'!B:D,3,0))</f>
        <v>.</v>
      </c>
      <c r="L207" s="177">
        <f>VLOOKUP(I207,'Price List, Weapons &amp; Items'!B:E,4,0)</f>
        <v>0</v>
      </c>
      <c r="M207" s="542" t="s">
        <v>260</v>
      </c>
      <c r="N207" s="542" t="s">
        <v>260</v>
      </c>
      <c r="O207" s="543" t="str">
        <f>VLOOKUP($I207,'Price List, Weapons &amp; Items'!B:G,6,0)</f>
        <v>.</v>
      </c>
      <c r="P207" s="176" t="str">
        <f t="shared" si="44"/>
        <v>.</v>
      </c>
      <c r="Q207" s="176" t="str">
        <f t="shared" si="45"/>
        <v>.</v>
      </c>
      <c r="R207" s="176">
        <f t="shared" si="41"/>
        <v>20000000</v>
      </c>
      <c r="S207" s="176">
        <f>IF(AND(AD207=1,R207&lt;&gt;".")=TRUE,R207/VLOOKUP(G207,'Exchange Rates'!B:C,2,0),IF(R207=".",".",""))</f>
        <v>2689473.4011080633</v>
      </c>
      <c r="T207" s="176" t="str">
        <f>IF(AD207=1,IF(AF207="Value is not given at all",".",IF(AF207="Value is given by the source",S207,IF(AF207="Value is calculated with prices",(IF(SUMIFS(Q:Q,A:A,A207)&gt;0,SUMIFS(Q:Q,A:A,A207),"."))/VLOOKUP("USD",'Exchange Rates'!B:C,2,0),"Error with coding"))),"")</f>
        <v>.</v>
      </c>
      <c r="U207" s="15" t="s">
        <v>261</v>
      </c>
      <c r="V207" s="300" t="s">
        <v>860</v>
      </c>
      <c r="W207" s="175" t="s">
        <v>260</v>
      </c>
      <c r="X207" s="175" t="s">
        <v>260</v>
      </c>
      <c r="Y207" s="175" t="s">
        <v>260</v>
      </c>
      <c r="Z207" s="15">
        <v>0</v>
      </c>
      <c r="AA207" s="180">
        <v>0</v>
      </c>
      <c r="AB207" s="184" t="s">
        <v>260</v>
      </c>
      <c r="AC207" s="544" t="str">
        <f>""</f>
        <v/>
      </c>
      <c r="AD207" s="181">
        <v>1</v>
      </c>
      <c r="AE207" s="181" t="s">
        <v>264</v>
      </c>
      <c r="AF207" s="181" t="s">
        <v>265</v>
      </c>
      <c r="AG207" s="181">
        <v>1</v>
      </c>
      <c r="AH207" s="181">
        <v>3</v>
      </c>
      <c r="AI207" s="181">
        <v>0</v>
      </c>
      <c r="AJ207" s="181">
        <f>VLOOKUP($I207,'Price List, Weapons &amp; Items'!B:F,5,0)</f>
        <v>0</v>
      </c>
      <c r="AK207" s="181">
        <f t="shared" si="46"/>
        <v>0</v>
      </c>
      <c r="AL207" s="181">
        <f t="shared" si="47"/>
        <v>0</v>
      </c>
      <c r="AM207" s="181">
        <f t="shared" si="48"/>
        <v>0</v>
      </c>
      <c r="AN207" s="180" t="str">
        <f>VLOOKUP($I207,'Price List, Weapons &amp; Items'!B:L,COLUMN('Price List, Weapons &amp; Items'!$J$11)-1,0)</f>
        <v>.</v>
      </c>
      <c r="AO207" s="180" t="str">
        <f>IF(I207=".",".",VLOOKUP($I207,'Price List, Weapons &amp; Items'!B:J,3,0))</f>
        <v>.</v>
      </c>
      <c r="AP207" s="545" t="e">
        <f t="shared" ca="1" si="42"/>
        <v>#NAME?</v>
      </c>
      <c r="AQ207" s="180" t="str">
        <f>VLOOKUP($I207,'Price List, Weapons &amp; Items'!B:L,COLUMN('Price List, Weapons &amp; Items'!$L$11)-1,0)</f>
        <v>no price, 0 count</v>
      </c>
      <c r="AR207" s="180">
        <f t="shared" si="49"/>
        <v>1</v>
      </c>
      <c r="AS207" s="180">
        <f t="shared" si="50"/>
        <v>0</v>
      </c>
      <c r="AT207" s="180" t="str">
        <f t="shared" si="43"/>
        <v>Value is not in date format</v>
      </c>
      <c r="AU207" s="180" t="str">
        <f t="shared" si="51"/>
        <v>.</v>
      </c>
      <c r="AV207" s="180" t="str">
        <f t="shared" si="52"/>
        <v>.</v>
      </c>
      <c r="AW207" s="180">
        <f>IFERROR(VLOOKUP(B207,'Share, Heavy Weapons to Ukraine'!B:J,COLUMN('Share, Heavy Weapons to Ukraine'!C214)-1,0),0)</f>
        <v>0</v>
      </c>
      <c r="AX207" s="180">
        <f>VLOOKUP('Bilateral Assistance, MAIN DATA'!B207,'Country Summary'!B:F,COLUMN('Country Summary'!C217)-1,FALSE)</f>
        <v>1</v>
      </c>
      <c r="AY207" s="180" t="str">
        <f>IF(AND(AD207=1,D207="Military",H207&lt;&gt;"Not given")=TRUE,IF(SUMIFS(P:P,A:A,A207)&gt;0,ABS((SUMIFS(P:P,A:A,A207)/VLOOKUP("USD",'Exchange Rates'!B:C,2,0)))/S207,"."),".")</f>
        <v>.</v>
      </c>
      <c r="AZ207" s="182" t="str">
        <f>IF(AND(AD207=1,D207="Military",H207&lt;&gt;"Not given")=TRUE,IF(SUMIFS(P:P,A:A,A207)&gt;0,IF((ABS((SUMIFS(P:P,A:A,A207)/VLOOKUP("USD",'Exchange Rates'!B:C,2,0)))/S207)&gt;1,(SUMIFS(P:P,A:A,A207)-S207)/S207,(S207-SUMIFS(P:P,A:A,A207))/SUMIFS(P:P,A:A,A207)),"."),".")</f>
        <v>.</v>
      </c>
      <c r="BA207" s="182"/>
      <c r="BB207" s="182"/>
      <c r="BC207" s="182"/>
      <c r="BD207" s="182"/>
      <c r="BE207" s="182"/>
      <c r="BF207" s="182"/>
      <c r="BG207" s="182"/>
      <c r="BH207" s="182"/>
      <c r="BI207" s="182"/>
      <c r="BJ207" s="182"/>
      <c r="BK207" s="182"/>
      <c r="BL207" s="182"/>
      <c r="BM207" s="182"/>
      <c r="BN207" s="182"/>
      <c r="BO207" s="182"/>
      <c r="BP207" s="182"/>
      <c r="BQ207" s="182"/>
      <c r="BR207" s="182"/>
      <c r="BS207" s="182"/>
    </row>
    <row r="208" spans="1:71" ht="15.9" customHeight="1" x14ac:dyDescent="0.3">
      <c r="A208" s="17" t="s">
        <v>864</v>
      </c>
      <c r="B208" s="17" t="s">
        <v>856</v>
      </c>
      <c r="C208" s="174" t="s">
        <v>857</v>
      </c>
      <c r="D208" s="5" t="s">
        <v>256</v>
      </c>
      <c r="E208" s="5" t="s">
        <v>257</v>
      </c>
      <c r="F208" s="175" t="s">
        <v>865</v>
      </c>
      <c r="G208" s="15" t="s">
        <v>859</v>
      </c>
      <c r="H208" s="176">
        <v>10000000</v>
      </c>
      <c r="I208" s="17" t="s">
        <v>260</v>
      </c>
      <c r="J208" s="113" t="str">
        <f>VLOOKUP($I208,'Price List, Weapons &amp; Items'!B:C,2,0)</f>
        <v>.</v>
      </c>
      <c r="K208" s="113" t="str">
        <f>IF(I208=".",I208,VLOOKUP($I208,'Price List, Weapons &amp; Items'!B:D,3,0))</f>
        <v>.</v>
      </c>
      <c r="L208" s="177">
        <f>VLOOKUP(I208,'Price List, Weapons &amp; Items'!B:E,4,0)</f>
        <v>0</v>
      </c>
      <c r="M208" s="542" t="s">
        <v>260</v>
      </c>
      <c r="N208" s="542" t="s">
        <v>260</v>
      </c>
      <c r="O208" s="543" t="str">
        <f>VLOOKUP($I208,'Price List, Weapons &amp; Items'!B:G,6,0)</f>
        <v>.</v>
      </c>
      <c r="P208" s="176" t="str">
        <f t="shared" si="44"/>
        <v>.</v>
      </c>
      <c r="Q208" s="176" t="str">
        <f t="shared" si="45"/>
        <v>.</v>
      </c>
      <c r="R208" s="176">
        <f t="shared" si="41"/>
        <v>10000000</v>
      </c>
      <c r="S208" s="176">
        <f>IF(AND(AD208=1,R208&lt;&gt;".")=TRUE,R208/VLOOKUP(G208,'Exchange Rates'!B:C,2,0),IF(R208=".",".",""))</f>
        <v>1344736.7005540316</v>
      </c>
      <c r="T208" s="176" t="str">
        <f>IF(AD208=1,IF(AF208="Value is not given at all",".",IF(AF208="Value is given by the source",S208,IF(AF208="Value is calculated with prices",(IF(SUMIFS(Q:Q,A:A,A208)&gt;0,SUMIFS(Q:Q,A:A,A208),"."))/VLOOKUP("USD",'Exchange Rates'!B:C,2,0),"Error with coding"))),"")</f>
        <v>.</v>
      </c>
      <c r="U208" s="15" t="s">
        <v>261</v>
      </c>
      <c r="V208" s="300" t="s">
        <v>860</v>
      </c>
      <c r="W208" s="175" t="s">
        <v>260</v>
      </c>
      <c r="X208" s="175" t="s">
        <v>260</v>
      </c>
      <c r="Y208" s="175" t="s">
        <v>260</v>
      </c>
      <c r="Z208" s="15">
        <v>0</v>
      </c>
      <c r="AA208" s="180">
        <v>0</v>
      </c>
      <c r="AB208" s="184" t="s">
        <v>260</v>
      </c>
      <c r="AC208" s="544" t="str">
        <f>""</f>
        <v/>
      </c>
      <c r="AD208" s="181">
        <v>1</v>
      </c>
      <c r="AE208" s="181" t="s">
        <v>264</v>
      </c>
      <c r="AF208" s="181" t="s">
        <v>265</v>
      </c>
      <c r="AG208" s="181">
        <v>1</v>
      </c>
      <c r="AH208" s="181">
        <v>3</v>
      </c>
      <c r="AI208" s="181">
        <v>0</v>
      </c>
      <c r="AJ208" s="181">
        <f>VLOOKUP($I208,'Price List, Weapons &amp; Items'!B:F,5,0)</f>
        <v>0</v>
      </c>
      <c r="AK208" s="181">
        <f t="shared" si="46"/>
        <v>0</v>
      </c>
      <c r="AL208" s="181">
        <f t="shared" si="47"/>
        <v>0</v>
      </c>
      <c r="AM208" s="181">
        <f t="shared" si="48"/>
        <v>0</v>
      </c>
      <c r="AN208" s="180" t="str">
        <f>VLOOKUP($I208,'Price List, Weapons &amp; Items'!B:L,COLUMN('Price List, Weapons &amp; Items'!$J$11)-1,0)</f>
        <v>.</v>
      </c>
      <c r="AO208" s="180" t="str">
        <f>IF(I208=".",".",VLOOKUP($I208,'Price List, Weapons &amp; Items'!B:J,3,0))</f>
        <v>.</v>
      </c>
      <c r="AP208" s="545" t="e">
        <f t="shared" ca="1" si="42"/>
        <v>#NAME?</v>
      </c>
      <c r="AQ208" s="180" t="str">
        <f>VLOOKUP($I208,'Price List, Weapons &amp; Items'!B:L,COLUMN('Price List, Weapons &amp; Items'!$L$11)-1,0)</f>
        <v>no price, 0 count</v>
      </c>
      <c r="AR208" s="180">
        <f t="shared" si="49"/>
        <v>1</v>
      </c>
      <c r="AS208" s="180">
        <f t="shared" si="50"/>
        <v>0</v>
      </c>
      <c r="AT208" s="180" t="str">
        <f t="shared" si="43"/>
        <v>Value is not in date format</v>
      </c>
      <c r="AU208" s="180" t="str">
        <f t="shared" si="51"/>
        <v>.</v>
      </c>
      <c r="AV208" s="180" t="str">
        <f t="shared" si="52"/>
        <v>.</v>
      </c>
      <c r="AW208" s="180">
        <f>IFERROR(VLOOKUP(B208,'Share, Heavy Weapons to Ukraine'!B:J,COLUMN('Share, Heavy Weapons to Ukraine'!C215)-1,0),0)</f>
        <v>0</v>
      </c>
      <c r="AX208" s="180">
        <f>VLOOKUP('Bilateral Assistance, MAIN DATA'!B208,'Country Summary'!B:F,COLUMN('Country Summary'!C218)-1,FALSE)</f>
        <v>1</v>
      </c>
      <c r="AY208" s="180" t="str">
        <f>IF(AND(AD208=1,D208="Military",H208&lt;&gt;"Not given")=TRUE,IF(SUMIFS(P:P,A:A,A208)&gt;0,ABS((SUMIFS(P:P,A:A,A208)/VLOOKUP("USD",'Exchange Rates'!B:C,2,0)))/S208,"."),".")</f>
        <v>.</v>
      </c>
      <c r="AZ208" s="182" t="str">
        <f>IF(AND(AD208=1,D208="Military",H208&lt;&gt;"Not given")=TRUE,IF(SUMIFS(P:P,A:A,A208)&gt;0,IF((ABS((SUMIFS(P:P,A:A,A208)/VLOOKUP("USD",'Exchange Rates'!B:C,2,0)))/S208)&gt;1,(SUMIFS(P:P,A:A,A208)-S208)/S208,(S208-SUMIFS(P:P,A:A,A208))/SUMIFS(P:P,A:A,A208)),"."),".")</f>
        <v>.</v>
      </c>
      <c r="BA208" s="182"/>
      <c r="BB208" s="182"/>
      <c r="BC208" s="182"/>
      <c r="BD208" s="182"/>
      <c r="BE208" s="182"/>
      <c r="BF208" s="182"/>
      <c r="BG208" s="182"/>
      <c r="BH208" s="182"/>
      <c r="BI208" s="182"/>
      <c r="BJ208" s="182"/>
      <c r="BK208" s="182"/>
      <c r="BL208" s="182"/>
      <c r="BM208" s="182"/>
      <c r="BN208" s="182"/>
      <c r="BO208" s="182"/>
      <c r="BP208" s="182"/>
      <c r="BQ208" s="182"/>
      <c r="BR208" s="182"/>
      <c r="BS208" s="182"/>
    </row>
    <row r="209" spans="1:71" ht="15.9" customHeight="1" x14ac:dyDescent="0.3">
      <c r="A209" s="17" t="s">
        <v>866</v>
      </c>
      <c r="B209" s="17" t="s">
        <v>856</v>
      </c>
      <c r="C209" s="174" t="s">
        <v>857</v>
      </c>
      <c r="D209" s="5" t="s">
        <v>256</v>
      </c>
      <c r="E209" s="5" t="s">
        <v>267</v>
      </c>
      <c r="F209" s="175" t="s">
        <v>867</v>
      </c>
      <c r="G209" s="15" t="s">
        <v>859</v>
      </c>
      <c r="H209" s="176">
        <v>50000000</v>
      </c>
      <c r="I209" s="17" t="s">
        <v>260</v>
      </c>
      <c r="J209" s="113" t="str">
        <f>VLOOKUP($I209,'Price List, Weapons &amp; Items'!B:C,2,0)</f>
        <v>.</v>
      </c>
      <c r="K209" s="113" t="str">
        <f>IF(I209=".",I209,VLOOKUP($I209,'Price List, Weapons &amp; Items'!B:D,3,0))</f>
        <v>.</v>
      </c>
      <c r="L209" s="177">
        <f>VLOOKUP(I209,'Price List, Weapons &amp; Items'!B:E,4,0)</f>
        <v>0</v>
      </c>
      <c r="M209" s="542" t="s">
        <v>260</v>
      </c>
      <c r="N209" s="542" t="s">
        <v>260</v>
      </c>
      <c r="O209" s="543" t="str">
        <f>VLOOKUP($I209,'Price List, Weapons &amp; Items'!B:G,6,0)</f>
        <v>.</v>
      </c>
      <c r="P209" s="176" t="str">
        <f t="shared" si="44"/>
        <v>.</v>
      </c>
      <c r="Q209" s="176" t="str">
        <f t="shared" si="45"/>
        <v>.</v>
      </c>
      <c r="R209" s="176">
        <f t="shared" si="41"/>
        <v>50000000</v>
      </c>
      <c r="S209" s="176">
        <f>IF(AND(AD209=1,R209&lt;&gt;".")=TRUE,R209/VLOOKUP(G209,'Exchange Rates'!B:C,2,0),IF(R209=".",".",""))</f>
        <v>6723683.5027701575</v>
      </c>
      <c r="T209" s="176" t="str">
        <f>IF(AD209=1,IF(AF209="Value is not given at all",".",IF(AF209="Value is given by the source",S209,IF(AF209="Value is calculated with prices",(IF(SUMIFS(Q:Q,A:A,A209)&gt;0,SUMIFS(Q:Q,A:A,A209),"."))/VLOOKUP("USD",'Exchange Rates'!B:C,2,0),"Error with coding"))),"")</f>
        <v>.</v>
      </c>
      <c r="U209" s="15" t="s">
        <v>261</v>
      </c>
      <c r="V209" s="300" t="s">
        <v>860</v>
      </c>
      <c r="W209" s="546" t="s">
        <v>868</v>
      </c>
      <c r="X209" s="175" t="s">
        <v>260</v>
      </c>
      <c r="Y209" s="175" t="s">
        <v>260</v>
      </c>
      <c r="Z209" s="15">
        <v>0</v>
      </c>
      <c r="AA209" s="180">
        <v>0</v>
      </c>
      <c r="AB209" s="184" t="s">
        <v>260</v>
      </c>
      <c r="AC209" s="544" t="str">
        <f>""</f>
        <v/>
      </c>
      <c r="AD209" s="183">
        <v>1</v>
      </c>
      <c r="AE209" s="183" t="s">
        <v>264</v>
      </c>
      <c r="AF209" s="183" t="s">
        <v>265</v>
      </c>
      <c r="AG209" s="183">
        <v>1</v>
      </c>
      <c r="AH209" s="181">
        <v>3</v>
      </c>
      <c r="AI209" s="181">
        <v>0</v>
      </c>
      <c r="AJ209" s="181">
        <f>VLOOKUP($I209,'Price List, Weapons &amp; Items'!B:F,5,0)</f>
        <v>0</v>
      </c>
      <c r="AK209" s="181">
        <f t="shared" si="46"/>
        <v>0</v>
      </c>
      <c r="AL209" s="181">
        <f t="shared" si="47"/>
        <v>0</v>
      </c>
      <c r="AM209" s="181">
        <f t="shared" si="48"/>
        <v>0</v>
      </c>
      <c r="AN209" s="180" t="str">
        <f>VLOOKUP($I209,'Price List, Weapons &amp; Items'!B:L,COLUMN('Price List, Weapons &amp; Items'!$J$11)-1,0)</f>
        <v>.</v>
      </c>
      <c r="AO209" s="180" t="str">
        <f>IF(I209=".",".",VLOOKUP($I209,'Price List, Weapons &amp; Items'!B:J,3,0))</f>
        <v>.</v>
      </c>
      <c r="AP209" s="545" t="e">
        <f t="shared" ca="1" si="42"/>
        <v>#NAME?</v>
      </c>
      <c r="AQ209" s="180" t="str">
        <f>VLOOKUP($I209,'Price List, Weapons &amp; Items'!B:L,COLUMN('Price List, Weapons &amp; Items'!$L$11)-1,0)</f>
        <v>no price, 0 count</v>
      </c>
      <c r="AR209" s="180">
        <f t="shared" si="49"/>
        <v>1</v>
      </c>
      <c r="AS209" s="180">
        <f t="shared" si="50"/>
        <v>0</v>
      </c>
      <c r="AT209" s="180" t="str">
        <f t="shared" si="43"/>
        <v>Value is not in date format</v>
      </c>
      <c r="AU209" s="180" t="str">
        <f t="shared" si="51"/>
        <v>.</v>
      </c>
      <c r="AV209" s="180" t="str">
        <f t="shared" si="52"/>
        <v>.</v>
      </c>
      <c r="AW209" s="180">
        <f>IFERROR(VLOOKUP(B209,'Share, Heavy Weapons to Ukraine'!B:J,COLUMN('Share, Heavy Weapons to Ukraine'!C216)-1,0),0)</f>
        <v>0</v>
      </c>
      <c r="AX209" s="180">
        <f>VLOOKUP('Bilateral Assistance, MAIN DATA'!B209,'Country Summary'!B:F,COLUMN('Country Summary'!C219)-1,FALSE)</f>
        <v>1</v>
      </c>
      <c r="AY209" s="180" t="str">
        <f>IF(AND(AD209=1,D209="Military",H209&lt;&gt;"Not given")=TRUE,IF(SUMIFS(P:P,A:A,A209)&gt;0,ABS((SUMIFS(P:P,A:A,A209)/VLOOKUP("USD",'Exchange Rates'!B:C,2,0)))/S209,"."),".")</f>
        <v>.</v>
      </c>
      <c r="AZ209" s="182" t="str">
        <f>IF(AND(AD209=1,D209="Military",H209&lt;&gt;"Not given")=TRUE,IF(SUMIFS(P:P,A:A,A209)&gt;0,IF((ABS((SUMIFS(P:P,A:A,A209)/VLOOKUP("USD",'Exchange Rates'!B:C,2,0)))/S209)&gt;1,(SUMIFS(P:P,A:A,A209)-S209)/S209,(S209-SUMIFS(P:P,A:A,A209))/SUMIFS(P:P,A:A,A209)),"."),".")</f>
        <v>.</v>
      </c>
      <c r="BA209" s="182"/>
      <c r="BB209" s="182"/>
      <c r="BC209" s="182"/>
      <c r="BD209" s="182"/>
      <c r="BE209" s="182"/>
      <c r="BF209" s="182"/>
      <c r="BG209" s="182"/>
      <c r="BH209" s="182"/>
      <c r="BI209" s="182"/>
      <c r="BJ209" s="182"/>
      <c r="BK209" s="182"/>
      <c r="BL209" s="182"/>
      <c r="BM209" s="182"/>
      <c r="BN209" s="182"/>
      <c r="BO209" s="182"/>
      <c r="BP209" s="182"/>
      <c r="BQ209" s="182"/>
      <c r="BR209" s="182"/>
      <c r="BS209" s="182"/>
    </row>
    <row r="210" spans="1:71" ht="15.9" customHeight="1" x14ac:dyDescent="0.3">
      <c r="A210" s="17" t="s">
        <v>869</v>
      </c>
      <c r="B210" s="17" t="s">
        <v>856</v>
      </c>
      <c r="C210" s="174">
        <v>44621</v>
      </c>
      <c r="D210" s="5" t="s">
        <v>256</v>
      </c>
      <c r="E210" s="5" t="s">
        <v>267</v>
      </c>
      <c r="F210" s="175" t="s">
        <v>870</v>
      </c>
      <c r="G210" s="15" t="s">
        <v>859</v>
      </c>
      <c r="H210" s="176">
        <v>50000000</v>
      </c>
      <c r="I210" s="17" t="s">
        <v>260</v>
      </c>
      <c r="J210" s="113" t="str">
        <f>VLOOKUP($I210,'Price List, Weapons &amp; Items'!B:C,2,0)</f>
        <v>.</v>
      </c>
      <c r="K210" s="113" t="str">
        <f>IF(I210=".",I210,VLOOKUP($I210,'Price List, Weapons &amp; Items'!B:D,3,0))</f>
        <v>.</v>
      </c>
      <c r="L210" s="177">
        <f>VLOOKUP(I210,'Price List, Weapons &amp; Items'!B:E,4,0)</f>
        <v>0</v>
      </c>
      <c r="M210" s="542" t="s">
        <v>260</v>
      </c>
      <c r="N210" s="542" t="s">
        <v>260</v>
      </c>
      <c r="O210" s="543" t="str">
        <f>VLOOKUP($I210,'Price List, Weapons &amp; Items'!B:G,6,0)</f>
        <v>.</v>
      </c>
      <c r="P210" s="176" t="str">
        <f t="shared" si="44"/>
        <v>.</v>
      </c>
      <c r="Q210" s="176" t="str">
        <f t="shared" si="45"/>
        <v>.</v>
      </c>
      <c r="R210" s="176">
        <f t="shared" si="41"/>
        <v>50000000</v>
      </c>
      <c r="S210" s="176">
        <f>IF(AND(AD210=1,R210&lt;&gt;".")=TRUE,R210/VLOOKUP(G210,'Exchange Rates'!B:C,2,0),IF(R210=".",".",""))</f>
        <v>6723683.5027701575</v>
      </c>
      <c r="T210" s="176" t="str">
        <f>IF(AD210=1,IF(AF210="Value is not given at all",".",IF(AF210="Value is given by the source",S210,IF(AF210="Value is calculated with prices",(IF(SUMIFS(Q:Q,A:A,A210)&gt;0,SUMIFS(Q:Q,A:A,A210),"."))/VLOOKUP("USD",'Exchange Rates'!B:C,2,0),"Error with coding"))),"")</f>
        <v>.</v>
      </c>
      <c r="U210" s="15" t="s">
        <v>261</v>
      </c>
      <c r="V210" s="300" t="s">
        <v>871</v>
      </c>
      <c r="W210" s="546" t="s">
        <v>868</v>
      </c>
      <c r="X210" s="175" t="s">
        <v>260</v>
      </c>
      <c r="Y210" s="175" t="s">
        <v>260</v>
      </c>
      <c r="Z210" s="15">
        <v>0</v>
      </c>
      <c r="AA210" s="180">
        <v>0</v>
      </c>
      <c r="AB210" s="184" t="s">
        <v>260</v>
      </c>
      <c r="AC210" s="544" t="str">
        <f>""</f>
        <v/>
      </c>
      <c r="AD210" s="183">
        <v>1</v>
      </c>
      <c r="AE210" s="183" t="s">
        <v>264</v>
      </c>
      <c r="AF210" s="183" t="s">
        <v>265</v>
      </c>
      <c r="AG210" s="183">
        <v>1</v>
      </c>
      <c r="AH210" s="181">
        <v>3</v>
      </c>
      <c r="AI210" s="181">
        <v>0</v>
      </c>
      <c r="AJ210" s="181">
        <f>VLOOKUP($I210,'Price List, Weapons &amp; Items'!B:F,5,0)</f>
        <v>0</v>
      </c>
      <c r="AK210" s="181">
        <f t="shared" si="46"/>
        <v>0</v>
      </c>
      <c r="AL210" s="181">
        <f t="shared" si="47"/>
        <v>0</v>
      </c>
      <c r="AM210" s="181">
        <f t="shared" si="48"/>
        <v>0</v>
      </c>
      <c r="AN210" s="180" t="str">
        <f>VLOOKUP($I210,'Price List, Weapons &amp; Items'!B:L,COLUMN('Price List, Weapons &amp; Items'!$J$11)-1,0)</f>
        <v>.</v>
      </c>
      <c r="AO210" s="180" t="str">
        <f>IF(I210=".",".",VLOOKUP($I210,'Price List, Weapons &amp; Items'!B:J,3,0))</f>
        <v>.</v>
      </c>
      <c r="AP210" s="545" t="e">
        <f t="shared" ca="1" si="42"/>
        <v>#NAME?</v>
      </c>
      <c r="AQ210" s="180" t="str">
        <f>VLOOKUP($I210,'Price List, Weapons &amp; Items'!B:L,COLUMN('Price List, Weapons &amp; Items'!$L$11)-1,0)</f>
        <v>no price, 0 count</v>
      </c>
      <c r="AR210" s="180">
        <f t="shared" si="49"/>
        <v>1</v>
      </c>
      <c r="AS210" s="180">
        <f t="shared" si="50"/>
        <v>0</v>
      </c>
      <c r="AT210" s="180">
        <f t="shared" si="43"/>
        <v>1</v>
      </c>
      <c r="AU210" s="180" t="str">
        <f t="shared" si="51"/>
        <v>.</v>
      </c>
      <c r="AV210" s="180" t="str">
        <f t="shared" si="52"/>
        <v>.</v>
      </c>
      <c r="AW210" s="180">
        <f>IFERROR(VLOOKUP(B210,'Share, Heavy Weapons to Ukraine'!B:J,COLUMN('Share, Heavy Weapons to Ukraine'!C217)-1,0),0)</f>
        <v>0</v>
      </c>
      <c r="AX210" s="180">
        <f>VLOOKUP('Bilateral Assistance, MAIN DATA'!B210,'Country Summary'!B:F,COLUMN('Country Summary'!C220)-1,FALSE)</f>
        <v>1</v>
      </c>
      <c r="AY210" s="180" t="str">
        <f>IF(AND(AD210=1,D210="Military",H210&lt;&gt;"Not given")=TRUE,IF(SUMIFS(P:P,A:A,A210)&gt;0,ABS((SUMIFS(P:P,A:A,A210)/VLOOKUP("USD",'Exchange Rates'!B:C,2,0)))/S210,"."),".")</f>
        <v>.</v>
      </c>
      <c r="AZ210" s="182" t="str">
        <f>IF(AND(AD210=1,D210="Military",H210&lt;&gt;"Not given")=TRUE,IF(SUMIFS(P:P,A:A,A210)&gt;0,IF((ABS((SUMIFS(P:P,A:A,A210)/VLOOKUP("USD",'Exchange Rates'!B:C,2,0)))/S210)&gt;1,(SUMIFS(P:P,A:A,A210)-S210)/S210,(S210-SUMIFS(P:P,A:A,A210))/SUMIFS(P:P,A:A,A210)),"."),".")</f>
        <v>.</v>
      </c>
      <c r="BA210" s="182"/>
      <c r="BB210" s="182"/>
      <c r="BC210" s="182"/>
      <c r="BD210" s="182"/>
      <c r="BE210" s="182"/>
      <c r="BF210" s="182"/>
      <c r="BG210" s="182"/>
      <c r="BH210" s="182"/>
      <c r="BI210" s="182"/>
      <c r="BJ210" s="182"/>
      <c r="BK210" s="182"/>
      <c r="BL210" s="182"/>
      <c r="BM210" s="182"/>
      <c r="BN210" s="182"/>
      <c r="BO210" s="182"/>
      <c r="BP210" s="182"/>
      <c r="BQ210" s="182"/>
      <c r="BR210" s="182"/>
      <c r="BS210" s="182"/>
    </row>
    <row r="211" spans="1:71" ht="15.9" customHeight="1" x14ac:dyDescent="0.3">
      <c r="A211" s="17" t="s">
        <v>872</v>
      </c>
      <c r="B211" s="17" t="s">
        <v>856</v>
      </c>
      <c r="C211" s="174" t="s">
        <v>873</v>
      </c>
      <c r="D211" s="5" t="s">
        <v>256</v>
      </c>
      <c r="E211" s="5" t="s">
        <v>257</v>
      </c>
      <c r="F211" s="175" t="s">
        <v>874</v>
      </c>
      <c r="G211" s="15" t="s">
        <v>859</v>
      </c>
      <c r="H211" s="176">
        <v>155000000</v>
      </c>
      <c r="I211" s="17" t="s">
        <v>260</v>
      </c>
      <c r="J211" s="113" t="str">
        <f>VLOOKUP($I211,'Price List, Weapons &amp; Items'!B:C,2,0)</f>
        <v>.</v>
      </c>
      <c r="K211" s="113" t="str">
        <f>IF(I211=".",I211,VLOOKUP($I211,'Price List, Weapons &amp; Items'!B:D,3,0))</f>
        <v>.</v>
      </c>
      <c r="L211" s="177">
        <f>VLOOKUP(I211,'Price List, Weapons &amp; Items'!B:E,4,0)</f>
        <v>0</v>
      </c>
      <c r="M211" s="542" t="s">
        <v>260</v>
      </c>
      <c r="N211" s="542" t="s">
        <v>260</v>
      </c>
      <c r="O211" s="543" t="str">
        <f>VLOOKUP($I211,'Price List, Weapons &amp; Items'!B:G,6,0)</f>
        <v>.</v>
      </c>
      <c r="P211" s="176" t="str">
        <f t="shared" si="44"/>
        <v>.</v>
      </c>
      <c r="Q211" s="176" t="str">
        <f t="shared" si="45"/>
        <v>.</v>
      </c>
      <c r="R211" s="176">
        <f t="shared" si="41"/>
        <v>155000000</v>
      </c>
      <c r="S211" s="176">
        <f>IF(AND(AD211=1,R211&lt;&gt;".")=TRUE,R211/VLOOKUP(G211,'Exchange Rates'!B:C,2,0),IF(R211=".",".",""))</f>
        <v>20843418.858587489</v>
      </c>
      <c r="T211" s="176" t="str">
        <f>IF(AD211=1,IF(AF211="Value is not given at all",".",IF(AF211="Value is given by the source",S211,IF(AF211="Value is calculated with prices",(IF(SUMIFS(Q:Q,A:A,A211)&gt;0,SUMIFS(Q:Q,A:A,A211),"."))/VLOOKUP("USD",'Exchange Rates'!B:C,2,0),"Error with coding"))),"")</f>
        <v>.</v>
      </c>
      <c r="U211" s="15" t="s">
        <v>261</v>
      </c>
      <c r="V211" s="300" t="s">
        <v>875</v>
      </c>
      <c r="W211" s="562" t="s">
        <v>868</v>
      </c>
      <c r="X211" s="218" t="s">
        <v>260</v>
      </c>
      <c r="Y211" s="218" t="s">
        <v>260</v>
      </c>
      <c r="Z211" s="15">
        <v>0</v>
      </c>
      <c r="AA211" s="180">
        <v>0</v>
      </c>
      <c r="AB211" s="184" t="s">
        <v>260</v>
      </c>
      <c r="AC211" s="544" t="str">
        <f>""</f>
        <v/>
      </c>
      <c r="AD211" s="183">
        <v>1</v>
      </c>
      <c r="AE211" s="183" t="s">
        <v>264</v>
      </c>
      <c r="AF211" s="183" t="s">
        <v>265</v>
      </c>
      <c r="AG211" s="183">
        <v>1</v>
      </c>
      <c r="AH211" s="181">
        <v>5</v>
      </c>
      <c r="AI211" s="181">
        <v>0</v>
      </c>
      <c r="AJ211" s="181">
        <f>VLOOKUP($I211,'Price List, Weapons &amp; Items'!B:F,5,0)</f>
        <v>0</v>
      </c>
      <c r="AK211" s="181">
        <f t="shared" si="46"/>
        <v>0</v>
      </c>
      <c r="AL211" s="181">
        <f t="shared" si="47"/>
        <v>0</v>
      </c>
      <c r="AM211" s="181">
        <f t="shared" si="48"/>
        <v>0</v>
      </c>
      <c r="AN211" s="180" t="str">
        <f>VLOOKUP($I211,'Price List, Weapons &amp; Items'!B:L,COLUMN('Price List, Weapons &amp; Items'!$J$11)-1,0)</f>
        <v>.</v>
      </c>
      <c r="AO211" s="180" t="str">
        <f>IF(I211=".",".",VLOOKUP($I211,'Price List, Weapons &amp; Items'!B:J,3,0))</f>
        <v>.</v>
      </c>
      <c r="AP211" s="545" t="e">
        <f t="shared" ca="1" si="42"/>
        <v>#NAME?</v>
      </c>
      <c r="AQ211" s="180" t="str">
        <f>VLOOKUP($I211,'Price List, Weapons &amp; Items'!B:L,COLUMN('Price List, Weapons &amp; Items'!$L$11)-1,0)</f>
        <v>no price, 0 count</v>
      </c>
      <c r="AR211" s="180">
        <f t="shared" si="49"/>
        <v>1</v>
      </c>
      <c r="AS211" s="180">
        <f t="shared" si="50"/>
        <v>0</v>
      </c>
      <c r="AT211" s="180" t="str">
        <f t="shared" si="43"/>
        <v>Value is not in date format</v>
      </c>
      <c r="AU211" s="180" t="str">
        <f t="shared" si="51"/>
        <v>.</v>
      </c>
      <c r="AV211" s="180" t="str">
        <f t="shared" si="52"/>
        <v>.</v>
      </c>
      <c r="AW211" s="180">
        <f>IFERROR(VLOOKUP(B211,'Share, Heavy Weapons to Ukraine'!B:J,COLUMN('Share, Heavy Weapons to Ukraine'!C218)-1,0),0)</f>
        <v>0</v>
      </c>
      <c r="AX211" s="180">
        <f>VLOOKUP('Bilateral Assistance, MAIN DATA'!B211,'Country Summary'!B:F,COLUMN('Country Summary'!C221)-1,FALSE)</f>
        <v>1</v>
      </c>
      <c r="AY211" s="180" t="str">
        <f>IF(AND(AD211=1,D211="Military",H211&lt;&gt;"Not given")=TRUE,IF(SUMIFS(P:P,A:A,A211)&gt;0,ABS((SUMIFS(P:P,A:A,A211)/VLOOKUP("USD",'Exchange Rates'!B:C,2,0)))/S211,"."),".")</f>
        <v>.</v>
      </c>
      <c r="AZ211" s="182" t="str">
        <f>IF(AND(AD211=1,D211="Military",H211&lt;&gt;"Not given")=TRUE,IF(SUMIFS(P:P,A:A,A211)&gt;0,IF((ABS((SUMIFS(P:P,A:A,A211)/VLOOKUP("USD",'Exchange Rates'!B:C,2,0)))/S211)&gt;1,(SUMIFS(P:P,A:A,A211)-S211)/S211,(S211-SUMIFS(P:P,A:A,A211))/SUMIFS(P:P,A:A,A211)),"."),".")</f>
        <v>.</v>
      </c>
      <c r="BA211" s="182"/>
      <c r="BB211" s="182"/>
      <c r="BC211" s="182"/>
      <c r="BD211" s="182"/>
      <c r="BE211" s="182"/>
      <c r="BF211" s="182"/>
      <c r="BG211" s="182"/>
      <c r="BH211" s="182"/>
      <c r="BI211" s="182"/>
      <c r="BJ211" s="182"/>
      <c r="BK211" s="182"/>
      <c r="BL211" s="182"/>
      <c r="BM211" s="182"/>
      <c r="BN211" s="182"/>
      <c r="BO211" s="182"/>
      <c r="BP211" s="182"/>
      <c r="BQ211" s="182"/>
      <c r="BR211" s="182"/>
      <c r="BS211" s="182"/>
    </row>
    <row r="212" spans="1:71" ht="15.9" customHeight="1" x14ac:dyDescent="0.3">
      <c r="A212" s="17" t="s">
        <v>876</v>
      </c>
      <c r="B212" s="17" t="s">
        <v>856</v>
      </c>
      <c r="C212" s="174" t="s">
        <v>877</v>
      </c>
      <c r="D212" s="5" t="s">
        <v>256</v>
      </c>
      <c r="E212" s="5" t="s">
        <v>878</v>
      </c>
      <c r="F212" s="175" t="s">
        <v>879</v>
      </c>
      <c r="G212" s="15" t="s">
        <v>364</v>
      </c>
      <c r="H212" s="176">
        <v>16000000</v>
      </c>
      <c r="I212" s="17" t="s">
        <v>260</v>
      </c>
      <c r="J212" s="113" t="str">
        <f>VLOOKUP($I212,'Price List, Weapons &amp; Items'!B:C,2,0)</f>
        <v>.</v>
      </c>
      <c r="K212" s="113" t="str">
        <f>IF(I212=".",I212,VLOOKUP($I212,'Price List, Weapons &amp; Items'!B:D,3,0))</f>
        <v>.</v>
      </c>
      <c r="L212" s="177">
        <f>VLOOKUP(I212,'Price List, Weapons &amp; Items'!B:E,4,0)</f>
        <v>0</v>
      </c>
      <c r="M212" s="542" t="s">
        <v>260</v>
      </c>
      <c r="N212" s="542" t="s">
        <v>260</v>
      </c>
      <c r="O212" s="543" t="str">
        <f>VLOOKUP($I212,'Price List, Weapons &amp; Items'!B:G,6,0)</f>
        <v>.</v>
      </c>
      <c r="P212" s="176" t="str">
        <f t="shared" si="44"/>
        <v>.</v>
      </c>
      <c r="Q212" s="176" t="str">
        <f t="shared" si="45"/>
        <v>.</v>
      </c>
      <c r="R212" s="176">
        <f t="shared" si="41"/>
        <v>16000000</v>
      </c>
      <c r="S212" s="176">
        <f>IF(AND(AD212=1,R212&lt;&gt;".")=TRUE,R212/VLOOKUP(G212,'Exchange Rates'!B:C,2,0),IF(R212=".",".",""))</f>
        <v>16000000</v>
      </c>
      <c r="T212" s="176" t="str">
        <f>IF(AD212=1,IF(AF212="Value is not given at all",".",IF(AF212="Value is given by the source",S212,IF(AF212="Value is calculated with prices",(IF(SUMIFS(Q:Q,A:A,A212)&gt;0,SUMIFS(Q:Q,A:A,A212),"."))/VLOOKUP("USD",'Exchange Rates'!B:C,2,0),"Error with coding"))),"")</f>
        <v>.</v>
      </c>
      <c r="U212" s="15" t="s">
        <v>261</v>
      </c>
      <c r="V212" s="305" t="s">
        <v>880</v>
      </c>
      <c r="W212" s="305" t="s">
        <v>881</v>
      </c>
      <c r="X212" s="144" t="s">
        <v>260</v>
      </c>
      <c r="Y212" s="668" t="s">
        <v>260</v>
      </c>
      <c r="Z212" s="15">
        <v>0</v>
      </c>
      <c r="AA212" s="180">
        <v>0</v>
      </c>
      <c r="AB212" s="669" t="s">
        <v>260</v>
      </c>
      <c r="AC212" s="544" t="str">
        <f>""</f>
        <v/>
      </c>
      <c r="AD212" s="183">
        <v>1</v>
      </c>
      <c r="AE212" s="183" t="s">
        <v>264</v>
      </c>
      <c r="AF212" s="183" t="s">
        <v>265</v>
      </c>
      <c r="AG212" s="183">
        <v>1</v>
      </c>
      <c r="AH212" s="181">
        <v>8</v>
      </c>
      <c r="AI212" s="181">
        <v>0</v>
      </c>
      <c r="AJ212" s="181">
        <f>VLOOKUP($I212,'Price List, Weapons &amp; Items'!B:F,5,0)</f>
        <v>0</v>
      </c>
      <c r="AK212" s="181">
        <f t="shared" si="46"/>
        <v>0</v>
      </c>
      <c r="AL212" s="181">
        <f t="shared" si="47"/>
        <v>0</v>
      </c>
      <c r="AM212" s="181">
        <f t="shared" si="48"/>
        <v>0</v>
      </c>
      <c r="AN212" s="180" t="str">
        <f>VLOOKUP($I212,'Price List, Weapons &amp; Items'!B:L,COLUMN('Price List, Weapons &amp; Items'!$J$11)-1,0)</f>
        <v>.</v>
      </c>
      <c r="AO212" s="180" t="str">
        <f>IF(I212=".",".",VLOOKUP($I212,'Price List, Weapons &amp; Items'!B:J,3,0))</f>
        <v>.</v>
      </c>
      <c r="AP212" s="545" t="e">
        <f t="shared" ca="1" si="42"/>
        <v>#NAME?</v>
      </c>
      <c r="AQ212" s="180" t="str">
        <f>VLOOKUP($I212,'Price List, Weapons &amp; Items'!B:L,COLUMN('Price List, Weapons &amp; Items'!$L$11)-1,0)</f>
        <v>no price, 0 count</v>
      </c>
      <c r="AR212" s="180">
        <f t="shared" si="49"/>
        <v>1</v>
      </c>
      <c r="AS212" s="180">
        <f t="shared" si="50"/>
        <v>0</v>
      </c>
      <c r="AT212" s="180" t="str">
        <f t="shared" si="43"/>
        <v>Value is not in date format</v>
      </c>
      <c r="AU212" s="180" t="str">
        <f t="shared" si="51"/>
        <v>.</v>
      </c>
      <c r="AV212" s="180" t="str">
        <f t="shared" si="52"/>
        <v>.</v>
      </c>
      <c r="AW212" s="180">
        <f>IFERROR(VLOOKUP(B212,'Share, Heavy Weapons to Ukraine'!B:J,COLUMN('Share, Heavy Weapons to Ukraine'!C219)-1,0),0)</f>
        <v>0</v>
      </c>
      <c r="AX212" s="180">
        <f>VLOOKUP('Bilateral Assistance, MAIN DATA'!B212,'Country Summary'!B:F,COLUMN('Country Summary'!C222)-1,FALSE)</f>
        <v>1</v>
      </c>
      <c r="AY212" s="180" t="str">
        <f>IF(AND(AD212=1,D212="Military",H212&lt;&gt;"Not given")=TRUE,IF(SUMIFS(P:P,A:A,A212)&gt;0,ABS((SUMIFS(P:P,A:A,A212)/VLOOKUP("USD",'Exchange Rates'!B:C,2,0)))/S212,"."),".")</f>
        <v>.</v>
      </c>
      <c r="AZ212" s="182" t="str">
        <f>IF(AND(AD212=1,D212="Military",H212&lt;&gt;"Not given")=TRUE,IF(SUMIFS(P:P,A:A,A212)&gt;0,IF((ABS((SUMIFS(P:P,A:A,A212)/VLOOKUP("USD",'Exchange Rates'!B:C,2,0)))/S212)&gt;1,(SUMIFS(P:P,A:A,A212)-S212)/S212,(S212-SUMIFS(P:P,A:A,A212))/SUMIFS(P:P,A:A,A212)),"."),".")</f>
        <v>.</v>
      </c>
      <c r="BA212" s="182"/>
      <c r="BB212" s="182"/>
      <c r="BC212" s="182"/>
      <c r="BD212" s="182"/>
      <c r="BE212" s="182"/>
      <c r="BF212" s="182"/>
      <c r="BG212" s="182"/>
      <c r="BH212" s="182"/>
      <c r="BI212" s="182"/>
      <c r="BJ212" s="182"/>
      <c r="BK212" s="182"/>
      <c r="BL212" s="182"/>
      <c r="BM212" s="182"/>
      <c r="BN212" s="182"/>
      <c r="BO212" s="182"/>
      <c r="BP212" s="182"/>
      <c r="BQ212" s="182"/>
      <c r="BR212" s="182"/>
      <c r="BS212" s="182"/>
    </row>
    <row r="213" spans="1:71" ht="15.9" customHeight="1" x14ac:dyDescent="0.3">
      <c r="A213" s="17" t="s">
        <v>882</v>
      </c>
      <c r="B213" s="17" t="s">
        <v>856</v>
      </c>
      <c r="C213" s="174" t="s">
        <v>883</v>
      </c>
      <c r="D213" s="5" t="s">
        <v>256</v>
      </c>
      <c r="E213" s="5" t="s">
        <v>257</v>
      </c>
      <c r="F213" s="175" t="s">
        <v>884</v>
      </c>
      <c r="G213" s="15" t="s">
        <v>364</v>
      </c>
      <c r="H213" s="176">
        <v>18200000</v>
      </c>
      <c r="I213" s="17" t="s">
        <v>260</v>
      </c>
      <c r="J213" s="113" t="str">
        <f>VLOOKUP($I213,'Price List, Weapons &amp; Items'!B:C,2,0)</f>
        <v>.</v>
      </c>
      <c r="K213" s="113" t="str">
        <f>IF(I213=".",I213,VLOOKUP($I213,'Price List, Weapons &amp; Items'!B:D,3,0))</f>
        <v>.</v>
      </c>
      <c r="L213" s="177">
        <f>VLOOKUP(I213,'Price List, Weapons &amp; Items'!B:E,4,0)</f>
        <v>0</v>
      </c>
      <c r="M213" s="542" t="s">
        <v>260</v>
      </c>
      <c r="N213" s="542" t="s">
        <v>260</v>
      </c>
      <c r="O213" s="543" t="str">
        <f>VLOOKUP($I213,'Price List, Weapons &amp; Items'!B:G,6,0)</f>
        <v>.</v>
      </c>
      <c r="P213" s="176" t="str">
        <f t="shared" si="44"/>
        <v>.</v>
      </c>
      <c r="Q213" s="176" t="str">
        <f t="shared" si="45"/>
        <v>.</v>
      </c>
      <c r="R213" s="176">
        <f t="shared" si="41"/>
        <v>18200000</v>
      </c>
      <c r="S213" s="176">
        <f>IF(AND(AD213=1,R213&lt;&gt;".")=TRUE,R213/VLOOKUP(G213,'Exchange Rates'!B:C,2,0),IF(R213=".",".",""))</f>
        <v>18200000</v>
      </c>
      <c r="T213" s="176" t="str">
        <f>IF(AD213=1,IF(AF213="Value is not given at all",".",IF(AF213="Value is given by the source",S213,IF(AF213="Value is calculated with prices",(IF(SUMIFS(Q:Q,A:A,A213)&gt;0,SUMIFS(Q:Q,A:A,A213),"."))/VLOOKUP("USD",'Exchange Rates'!B:C,2,0),"Error with coding"))),"")</f>
        <v>.</v>
      </c>
      <c r="U213" s="15" t="s">
        <v>261</v>
      </c>
      <c r="V213" s="305" t="s">
        <v>881</v>
      </c>
      <c r="W213" s="144" t="s">
        <v>260</v>
      </c>
      <c r="X213" s="144" t="s">
        <v>260</v>
      </c>
      <c r="Y213" s="668" t="s">
        <v>260</v>
      </c>
      <c r="Z213" s="15">
        <v>0</v>
      </c>
      <c r="AA213" s="180">
        <v>0</v>
      </c>
      <c r="AB213" s="669" t="s">
        <v>260</v>
      </c>
      <c r="AC213" s="544" t="str">
        <f>""</f>
        <v/>
      </c>
      <c r="AD213" s="183">
        <v>1</v>
      </c>
      <c r="AE213" s="183" t="s">
        <v>264</v>
      </c>
      <c r="AF213" s="183" t="s">
        <v>265</v>
      </c>
      <c r="AG213" s="183">
        <v>1</v>
      </c>
      <c r="AH213" s="181">
        <v>10</v>
      </c>
      <c r="AI213" s="181">
        <v>0</v>
      </c>
      <c r="AJ213" s="181">
        <f>VLOOKUP($I213,'Price List, Weapons &amp; Items'!B:F,5,0)</f>
        <v>0</v>
      </c>
      <c r="AK213" s="181">
        <f t="shared" si="46"/>
        <v>0</v>
      </c>
      <c r="AL213" s="181">
        <f t="shared" si="47"/>
        <v>0</v>
      </c>
      <c r="AM213" s="181">
        <f t="shared" si="48"/>
        <v>0</v>
      </c>
      <c r="AN213" s="180" t="str">
        <f>VLOOKUP($I213,'Price List, Weapons &amp; Items'!B:L,COLUMN('Price List, Weapons &amp; Items'!$J$11)-1,0)</f>
        <v>.</v>
      </c>
      <c r="AO213" s="180" t="str">
        <f>IF(I213=".",".",VLOOKUP($I213,'Price List, Weapons &amp; Items'!B:J,3,0))</f>
        <v>.</v>
      </c>
      <c r="AP213" s="545" t="e">
        <f t="shared" ca="1" si="42"/>
        <v>#NAME?</v>
      </c>
      <c r="AQ213" s="180" t="str">
        <f>VLOOKUP($I213,'Price List, Weapons &amp; Items'!B:L,COLUMN('Price List, Weapons &amp; Items'!$L$11)-1,0)</f>
        <v>no price, 0 count</v>
      </c>
      <c r="AR213" s="180">
        <f t="shared" si="49"/>
        <v>1</v>
      </c>
      <c r="AS213" s="180">
        <f t="shared" si="50"/>
        <v>0</v>
      </c>
      <c r="AT213" s="180" t="str">
        <f t="shared" si="43"/>
        <v>Value is not in date format</v>
      </c>
      <c r="AU213" s="180" t="str">
        <f t="shared" si="51"/>
        <v>.</v>
      </c>
      <c r="AV213" s="180" t="str">
        <f t="shared" si="52"/>
        <v>.</v>
      </c>
      <c r="AW213" s="180">
        <f>IFERROR(VLOOKUP(B213,'Share, Heavy Weapons to Ukraine'!B:J,COLUMN('Share, Heavy Weapons to Ukraine'!C220)-1,0),0)</f>
        <v>0</v>
      </c>
      <c r="AX213" s="180">
        <f>VLOOKUP('Bilateral Assistance, MAIN DATA'!B213,'Country Summary'!B:F,COLUMN('Country Summary'!C223)-1,FALSE)</f>
        <v>1</v>
      </c>
      <c r="AY213" s="180" t="str">
        <f>IF(AND(AD213=1,D213="Military",H213&lt;&gt;"Not given")=TRUE,IF(SUMIFS(P:P,A:A,A213)&gt;0,ABS((SUMIFS(P:P,A:A,A213)/VLOOKUP("USD",'Exchange Rates'!B:C,2,0)))/S213,"."),".")</f>
        <v>.</v>
      </c>
      <c r="AZ213" s="182" t="str">
        <f>IF(AND(AD213=1,D213="Military",H213&lt;&gt;"Not given")=TRUE,IF(SUMIFS(P:P,A:A,A213)&gt;0,IF((ABS((SUMIFS(P:P,A:A,A213)/VLOOKUP("USD",'Exchange Rates'!B:C,2,0)))/S213)&gt;1,(SUMIFS(P:P,A:A,A213)-S213)/S213,(S213-SUMIFS(P:P,A:A,A213))/SUMIFS(P:P,A:A,A213)),"."),".")</f>
        <v>.</v>
      </c>
      <c r="BA213" s="182"/>
      <c r="BB213" s="182"/>
      <c r="BC213" s="182"/>
      <c r="BD213" s="182"/>
      <c r="BE213" s="182"/>
      <c r="BF213" s="182"/>
      <c r="BG213" s="182"/>
      <c r="BH213" s="182"/>
      <c r="BI213" s="182"/>
      <c r="BJ213" s="182"/>
      <c r="BK213" s="182"/>
      <c r="BL213" s="182"/>
      <c r="BM213" s="182"/>
      <c r="BN213" s="182"/>
      <c r="BO213" s="182"/>
      <c r="BP213" s="182"/>
      <c r="BQ213" s="182"/>
      <c r="BR213" s="182"/>
      <c r="BS213" s="182"/>
    </row>
    <row r="214" spans="1:71" ht="15.9" customHeight="1" x14ac:dyDescent="0.3">
      <c r="A214" s="19" t="s">
        <v>885</v>
      </c>
      <c r="B214" s="19" t="s">
        <v>856</v>
      </c>
      <c r="C214" s="247" t="s">
        <v>886</v>
      </c>
      <c r="D214" s="19" t="s">
        <v>256</v>
      </c>
      <c r="E214" s="19" t="s">
        <v>878</v>
      </c>
      <c r="F214" s="19" t="s">
        <v>887</v>
      </c>
      <c r="G214" s="15" t="s">
        <v>364</v>
      </c>
      <c r="H214" s="70">
        <v>25600000</v>
      </c>
      <c r="I214" s="19" t="s">
        <v>260</v>
      </c>
      <c r="J214" s="113" t="str">
        <f>VLOOKUP($I214,'Price List, Weapons &amp; Items'!B:C,2,0)</f>
        <v>.</v>
      </c>
      <c r="K214" s="113" t="str">
        <f>IF(I214=".",I214,VLOOKUP($I214,'Price List, Weapons &amp; Items'!B:D,3,0))</f>
        <v>.</v>
      </c>
      <c r="L214" s="177">
        <f>VLOOKUP(I214,'Price List, Weapons &amp; Items'!B:E,4,0)</f>
        <v>0</v>
      </c>
      <c r="M214" s="247" t="s">
        <v>260</v>
      </c>
      <c r="N214" s="247" t="s">
        <v>260</v>
      </c>
      <c r="O214" s="543" t="str">
        <f>VLOOKUP($I214,'Price List, Weapons &amp; Items'!B:G,6,0)</f>
        <v>.</v>
      </c>
      <c r="P214" s="176" t="str">
        <f t="shared" si="44"/>
        <v>.</v>
      </c>
      <c r="Q214" s="176" t="str">
        <f t="shared" si="45"/>
        <v>.</v>
      </c>
      <c r="R214" s="176">
        <f t="shared" si="41"/>
        <v>25600000</v>
      </c>
      <c r="S214" s="176">
        <f>IF(AND(AD214=1,R214&lt;&gt;".")=TRUE,R214/VLOOKUP(G214,'Exchange Rates'!B:C,2,0),IF(R214=".",".",""))</f>
        <v>25600000</v>
      </c>
      <c r="T214" s="176" t="str">
        <f>IF(AD214=1,IF(AF214="Value is not given at all",".",IF(AF214="Value is given by the source",S214,IF(AF214="Value is calculated with prices",(IF(SUMIFS(Q:Q,A:A,A214)&gt;0,SUMIFS(Q:Q,A:A,A214),"."))/VLOOKUP("USD",'Exchange Rates'!B:C,2,0),"Error with coding"))),"")</f>
        <v>.</v>
      </c>
      <c r="U214" s="199" t="s">
        <v>261</v>
      </c>
      <c r="V214" s="304" t="s">
        <v>868</v>
      </c>
      <c r="W214" s="19" t="s">
        <v>260</v>
      </c>
      <c r="X214" s="19" t="s">
        <v>260</v>
      </c>
      <c r="Y214" s="19" t="s">
        <v>27</v>
      </c>
      <c r="Z214" s="199">
        <v>0</v>
      </c>
      <c r="AA214" s="199">
        <v>1</v>
      </c>
      <c r="AB214" s="19" t="s">
        <v>260</v>
      </c>
      <c r="AC214" s="544" t="str">
        <f>""</f>
        <v/>
      </c>
      <c r="AD214" s="199">
        <v>1</v>
      </c>
      <c r="AE214" s="199" t="s">
        <v>264</v>
      </c>
      <c r="AF214" s="199" t="s">
        <v>265</v>
      </c>
      <c r="AG214" s="199">
        <v>1</v>
      </c>
      <c r="AH214" s="199">
        <v>12</v>
      </c>
      <c r="AI214" s="199">
        <v>0</v>
      </c>
      <c r="AJ214" s="181">
        <f>VLOOKUP($I214,'Price List, Weapons &amp; Items'!B:F,5,0)</f>
        <v>0</v>
      </c>
      <c r="AK214" s="181">
        <f t="shared" si="46"/>
        <v>0</v>
      </c>
      <c r="AL214" s="181">
        <f t="shared" si="47"/>
        <v>0</v>
      </c>
      <c r="AM214" s="181">
        <f t="shared" si="48"/>
        <v>0</v>
      </c>
      <c r="AN214" s="180" t="str">
        <f>VLOOKUP($I214,'Price List, Weapons &amp; Items'!B:L,COLUMN('Price List, Weapons &amp; Items'!$J$11)-1,0)</f>
        <v>.</v>
      </c>
      <c r="AO214" s="180" t="str">
        <f>IF(I214=".",".",VLOOKUP($I214,'Price List, Weapons &amp; Items'!B:J,3,0))</f>
        <v>.</v>
      </c>
      <c r="AP214" s="545" t="e">
        <f t="shared" ca="1" si="42"/>
        <v>#NAME?</v>
      </c>
      <c r="AQ214" s="180" t="str">
        <f>VLOOKUP($I214,'Price List, Weapons &amp; Items'!B:L,COLUMN('Price List, Weapons &amp; Items'!$L$11)-1,0)</f>
        <v>no price, 0 count</v>
      </c>
      <c r="AR214" s="180">
        <f t="shared" si="49"/>
        <v>1</v>
      </c>
      <c r="AS214" s="180">
        <f t="shared" si="50"/>
        <v>0</v>
      </c>
      <c r="AT214" s="180" t="str">
        <f t="shared" si="43"/>
        <v>Value is not in date format</v>
      </c>
      <c r="AU214" s="180" t="str">
        <f t="shared" si="51"/>
        <v>.</v>
      </c>
      <c r="AV214" s="180" t="str">
        <f t="shared" si="52"/>
        <v>.</v>
      </c>
      <c r="AW214" s="180">
        <f>IFERROR(VLOOKUP(B214,'Share, Heavy Weapons to Ukraine'!B:J,COLUMN('Share, Heavy Weapons to Ukraine'!C221)-1,0),0)</f>
        <v>0</v>
      </c>
      <c r="AX214" s="180">
        <f>VLOOKUP('Bilateral Assistance, MAIN DATA'!B214,'Country Summary'!B:F,COLUMN('Country Summary'!C224)-1,FALSE)</f>
        <v>1</v>
      </c>
      <c r="AY214" s="180" t="str">
        <f>IF(AND(AD214=1,D214="Military",H214&lt;&gt;"Not given")=TRUE,IF(SUMIFS(P:P,A:A,A214)&gt;0,ABS((SUMIFS(P:P,A:A,A214)/VLOOKUP("USD",'Exchange Rates'!B:C,2,0)))/S214,"."),".")</f>
        <v>.</v>
      </c>
      <c r="AZ214" s="182" t="str">
        <f>IF(AND(AD214=1,D214="Military",H214&lt;&gt;"Not given")=TRUE,IF(SUMIFS(P:P,A:A,A214)&gt;0,IF((ABS((SUMIFS(P:P,A:A,A214)/VLOOKUP("USD",'Exchange Rates'!B:C,2,0)))/S214)&gt;1,(SUMIFS(P:P,A:A,A214)-S214)/S214,(S214-SUMIFS(P:P,A:A,A214))/SUMIFS(P:P,A:A,A214)),"."),".")</f>
        <v>.</v>
      </c>
      <c r="BA214" s="182"/>
      <c r="BB214" s="182"/>
      <c r="BC214" s="182"/>
      <c r="BD214" s="182"/>
      <c r="BE214" s="182"/>
      <c r="BF214" s="182"/>
      <c r="BG214" s="182"/>
      <c r="BH214" s="182"/>
      <c r="BI214" s="182"/>
      <c r="BJ214" s="182"/>
      <c r="BK214" s="182"/>
      <c r="BL214" s="182"/>
      <c r="BM214" s="182"/>
      <c r="BN214" s="182"/>
      <c r="BO214" s="182"/>
      <c r="BP214" s="182"/>
      <c r="BQ214" s="182"/>
      <c r="BR214" s="182"/>
      <c r="BS214" s="182"/>
    </row>
    <row r="215" spans="1:71" ht="15.9" customHeight="1" x14ac:dyDescent="0.3">
      <c r="A215" s="5" t="s">
        <v>888</v>
      </c>
      <c r="B215" s="5" t="s">
        <v>856</v>
      </c>
      <c r="C215" s="174">
        <v>44672</v>
      </c>
      <c r="D215" s="5" t="s">
        <v>285</v>
      </c>
      <c r="E215" s="5" t="s">
        <v>286</v>
      </c>
      <c r="F215" s="175" t="s">
        <v>889</v>
      </c>
      <c r="G215" s="15" t="s">
        <v>859</v>
      </c>
      <c r="H215" s="176">
        <v>1000000000</v>
      </c>
      <c r="I215" s="17" t="s">
        <v>441</v>
      </c>
      <c r="J215" s="113" t="str">
        <f>VLOOKUP($I215,'Price List, Weapons &amp; Items'!B:C,2,0)</f>
        <v>Portable defence system</v>
      </c>
      <c r="K215" s="113" t="str">
        <f>IF(I215=".",I215,VLOOKUP($I215,'Price List, Weapons &amp; Items'!B:D,3,0))</f>
        <v>Light Anti-armor Weapon (LAW)</v>
      </c>
      <c r="L215" s="177">
        <f>VLOOKUP(I215,'Price List, Weapons &amp; Items'!B:E,4,0)</f>
        <v>0</v>
      </c>
      <c r="M215" s="542">
        <v>2700</v>
      </c>
      <c r="N215" s="542">
        <v>2700</v>
      </c>
      <c r="O215" s="543">
        <f>VLOOKUP($I215,'Price List, Weapons &amp; Items'!B:G,6,0)</f>
        <v>1475</v>
      </c>
      <c r="P215" s="176">
        <f t="shared" si="44"/>
        <v>3982500</v>
      </c>
      <c r="Q215" s="176">
        <f t="shared" si="45"/>
        <v>3982500</v>
      </c>
      <c r="R215" s="176">
        <f t="shared" si="41"/>
        <v>1000000000</v>
      </c>
      <c r="S215" s="176">
        <f>IF(AND(AD215=1,R215&lt;&gt;".")=TRUE,R215/VLOOKUP(G215,'Exchange Rates'!B:C,2,0),IF(R215=".",".",""))</f>
        <v>134473670.05540314</v>
      </c>
      <c r="T215" s="176">
        <f>IF(AD215=1,IF(AF215="Value is not given at all",".",IF(AF215="Value is given by the source",S215,IF(AF215="Value is calculated with prices",(IF(SUMIFS(Q:Q,A:A,A215)&gt;0,SUMIFS(Q:Q,A:A,A215),"."))/VLOOKUP("USD",'Exchange Rates'!B:C,2,0),"Error with coding"))),"")</f>
        <v>134473670.05540314</v>
      </c>
      <c r="U215" s="15" t="s">
        <v>261</v>
      </c>
      <c r="V215" s="547" t="s">
        <v>890</v>
      </c>
      <c r="W215" s="547" t="s">
        <v>891</v>
      </c>
      <c r="X215" s="547" t="s">
        <v>892</v>
      </c>
      <c r="Y215" s="547" t="s">
        <v>893</v>
      </c>
      <c r="Z215" s="180">
        <v>0</v>
      </c>
      <c r="AA215" s="180">
        <v>0</v>
      </c>
      <c r="AB215" s="550" t="s">
        <v>894</v>
      </c>
      <c r="AC215" s="544" t="str">
        <f>""</f>
        <v/>
      </c>
      <c r="AD215" s="183">
        <v>1</v>
      </c>
      <c r="AE215" s="183" t="s">
        <v>264</v>
      </c>
      <c r="AF215" s="183" t="s">
        <v>264</v>
      </c>
      <c r="AG215" s="183">
        <v>1</v>
      </c>
      <c r="AH215" s="183">
        <v>4</v>
      </c>
      <c r="AI215" s="183">
        <v>0</v>
      </c>
      <c r="AJ215" s="181">
        <f>VLOOKUP($I215,'Price List, Weapons &amp; Items'!B:F,5,0)</f>
        <v>0</v>
      </c>
      <c r="AK215" s="181">
        <f t="shared" si="46"/>
        <v>0</v>
      </c>
      <c r="AL215" s="181">
        <f t="shared" si="47"/>
        <v>0</v>
      </c>
      <c r="AM215" s="181">
        <f t="shared" si="48"/>
        <v>0</v>
      </c>
      <c r="AN215" s="180" t="str">
        <f>VLOOKUP($I215,'Price List, Weapons &amp; Items'!B:L,COLUMN('Price List, Weapons &amp; Items'!$J$11)-1,0)</f>
        <v>Military media (incl. websites)</v>
      </c>
      <c r="AO215" s="180" t="str">
        <f>IF(I215=".",".",VLOOKUP($I215,'Price List, Weapons &amp; Items'!B:J,3,0))</f>
        <v>Light Anti-armor Weapon (LAW)</v>
      </c>
      <c r="AP215" s="545" t="e">
        <f t="shared" ca="1" si="42"/>
        <v>#NAME?</v>
      </c>
      <c r="AQ215" s="180">
        <f>VLOOKUP($I215,'Price List, Weapons &amp; Items'!B:L,COLUMN('Price List, Weapons &amp; Items'!$L$11)-1,0)</f>
        <v>2</v>
      </c>
      <c r="AR215" s="180">
        <f t="shared" si="49"/>
        <v>1</v>
      </c>
      <c r="AS215" s="180">
        <f t="shared" si="50"/>
        <v>1</v>
      </c>
      <c r="AT215" s="180">
        <f t="shared" si="43"/>
        <v>1</v>
      </c>
      <c r="AU215" s="180" t="str">
        <f t="shared" si="51"/>
        <v>.</v>
      </c>
      <c r="AV215" s="180" t="str">
        <f t="shared" si="52"/>
        <v>.</v>
      </c>
      <c r="AW215" s="180">
        <f>IFERROR(VLOOKUP(B215,'Share, Heavy Weapons to Ukraine'!B:J,COLUMN('Share, Heavy Weapons to Ukraine'!C222)-1,0),0)</f>
        <v>0</v>
      </c>
      <c r="AX215" s="180">
        <f>VLOOKUP('Bilateral Assistance, MAIN DATA'!B215,'Country Summary'!B:F,COLUMN('Country Summary'!C225)-1,FALSE)</f>
        <v>1</v>
      </c>
      <c r="AY215" s="180">
        <f>IF(AND(AD215=1,D215="Military",H215&lt;&gt;"Not given")=TRUE,IF(SUMIFS(P:P,A:A,A215)&gt;0,ABS((SUMIFS(P:P,A:A,A215)/VLOOKUP("USD",'Exchange Rates'!B:C,2,0)))/S215,"."),".")</f>
        <v>0.54487033971428578</v>
      </c>
      <c r="AZ215" s="182">
        <f>IF(AND(AD215=1,D215="Military",H215&lt;&gt;"Not given")=TRUE,IF(SUMIFS(P:P,A:A,A215)&gt;0,IF((ABS((SUMIFS(P:P,A:A,A215)/VLOOKUP("USD",'Exchange Rates'!B:C,2,0)))/S215)&gt;1,(SUMIFS(P:P,A:A,A215)-S215)/S215,(S215-SUMIFS(P:P,A:A,A215))/SUMIFS(P:P,A:A,A215)),"."),".")</f>
        <v>0.747903827689269</v>
      </c>
      <c r="BA215" s="182"/>
      <c r="BB215" s="182"/>
      <c r="BC215" s="182"/>
      <c r="BD215" s="182"/>
      <c r="BE215" s="182"/>
      <c r="BF215" s="182"/>
      <c r="BG215" s="182"/>
      <c r="BH215" s="182"/>
      <c r="BI215" s="182"/>
      <c r="BJ215" s="182"/>
      <c r="BK215" s="182"/>
      <c r="BL215" s="182"/>
      <c r="BM215" s="182"/>
      <c r="BN215" s="182"/>
      <c r="BO215" s="182"/>
      <c r="BP215" s="182"/>
      <c r="BQ215" s="182"/>
      <c r="BR215" s="182"/>
      <c r="BS215" s="182"/>
    </row>
    <row r="216" spans="1:71" ht="15.9" customHeight="1" x14ac:dyDescent="0.3">
      <c r="A216" s="5" t="s">
        <v>888</v>
      </c>
      <c r="B216" s="5" t="s">
        <v>856</v>
      </c>
      <c r="C216" s="174">
        <v>44672</v>
      </c>
      <c r="D216" s="5" t="s">
        <v>285</v>
      </c>
      <c r="E216" s="5" t="s">
        <v>286</v>
      </c>
      <c r="F216" s="175" t="s">
        <v>889</v>
      </c>
      <c r="G216" s="15" t="s">
        <v>859</v>
      </c>
      <c r="H216" s="176">
        <v>1000000000</v>
      </c>
      <c r="I216" s="17" t="s">
        <v>895</v>
      </c>
      <c r="J216" s="113" t="str">
        <f>VLOOKUP($I216,'Price List, Weapons &amp; Items'!B:C,2,0)</f>
        <v>Portable defence system</v>
      </c>
      <c r="K216" s="113" t="str">
        <f>IF(I216=".",I216,VLOOKUP($I216,'Price List, Weapons &amp; Items'!B:D,3,0))</f>
        <v>MANPADS</v>
      </c>
      <c r="L216" s="177">
        <f>VLOOKUP(I216,'Price List, Weapons &amp; Items'!B:E,4,0)</f>
        <v>0</v>
      </c>
      <c r="M216" s="542">
        <v>300</v>
      </c>
      <c r="N216" s="542">
        <v>300</v>
      </c>
      <c r="O216" s="543">
        <f>VLOOKUP($I216,'Price List, Weapons &amp; Items'!B:G,6,0)</f>
        <v>119000</v>
      </c>
      <c r="P216" s="176">
        <f t="shared" si="44"/>
        <v>35700000</v>
      </c>
      <c r="Q216" s="176">
        <f t="shared" si="45"/>
        <v>35700000</v>
      </c>
      <c r="R216" s="176" t="str">
        <f t="shared" si="41"/>
        <v/>
      </c>
      <c r="S216" s="176" t="str">
        <f>IF(AND(AD216=1,R216&lt;&gt;".")=TRUE,R216/VLOOKUP(G216,'Exchange Rates'!B:C,2,0),IF(R216=".",".",""))</f>
        <v/>
      </c>
      <c r="T216" s="176" t="str">
        <f>IF(AD216=1,IF(AF216="Value is not given at all",".",IF(AF216="Value is given by the source",S216,IF(AF216="Value is calculated with prices",(IF(SUMIFS(Q:Q,A:A,A216)&gt;0,SUMIFS(Q:Q,A:A,A216),"."))/VLOOKUP("USD",'Exchange Rates'!B:C,2,0),"Error with coding"))),"")</f>
        <v/>
      </c>
      <c r="U216" s="15" t="s">
        <v>261</v>
      </c>
      <c r="V216" s="547" t="s">
        <v>890</v>
      </c>
      <c r="W216" s="547" t="s">
        <v>891</v>
      </c>
      <c r="X216" s="547" t="s">
        <v>892</v>
      </c>
      <c r="Y216" s="547" t="s">
        <v>893</v>
      </c>
      <c r="Z216" s="180">
        <v>0</v>
      </c>
      <c r="AA216" s="180">
        <v>0</v>
      </c>
      <c r="AB216" s="550" t="s">
        <v>896</v>
      </c>
      <c r="AC216" s="544" t="str">
        <f>""</f>
        <v/>
      </c>
      <c r="AD216" s="183">
        <v>0</v>
      </c>
      <c r="AE216" s="183" t="s">
        <v>264</v>
      </c>
      <c r="AF216" s="183" t="s">
        <v>264</v>
      </c>
      <c r="AG216" s="183">
        <v>1</v>
      </c>
      <c r="AH216" s="183">
        <v>4</v>
      </c>
      <c r="AI216" s="183">
        <v>0</v>
      </c>
      <c r="AJ216" s="181">
        <f>VLOOKUP($I216,'Price List, Weapons &amp; Items'!B:F,5,0)</f>
        <v>0</v>
      </c>
      <c r="AK216" s="181">
        <f t="shared" si="46"/>
        <v>0</v>
      </c>
      <c r="AL216" s="181">
        <f t="shared" si="47"/>
        <v>0</v>
      </c>
      <c r="AM216" s="181">
        <f t="shared" si="48"/>
        <v>0</v>
      </c>
      <c r="AN216" s="180" t="str">
        <f>VLOOKUP($I216,'Price List, Weapons &amp; Items'!B:L,COLUMN('Price List, Weapons &amp; Items'!$J$11)-1,0)</f>
        <v>Miscellaneous</v>
      </c>
      <c r="AO216" s="180" t="str">
        <f>IF(I216=".",".",VLOOKUP($I216,'Price List, Weapons &amp; Items'!B:J,3,0))</f>
        <v>MANPADS</v>
      </c>
      <c r="AP216" s="545" t="str">
        <f t="shared" ca="1" si="42"/>
        <v/>
      </c>
      <c r="AQ216" s="180">
        <f>VLOOKUP($I216,'Price List, Weapons &amp; Items'!B:L,COLUMN('Price List, Weapons &amp; Items'!$L$11)-1,0)</f>
        <v>2</v>
      </c>
      <c r="AR216" s="180">
        <f t="shared" si="49"/>
        <v>1</v>
      </c>
      <c r="AS216" s="180">
        <f t="shared" si="50"/>
        <v>1</v>
      </c>
      <c r="AT216" s="180">
        <f t="shared" si="43"/>
        <v>1</v>
      </c>
      <c r="AU216" s="180" t="str">
        <f t="shared" si="51"/>
        <v>.</v>
      </c>
      <c r="AV216" s="180" t="str">
        <f t="shared" si="52"/>
        <v>.</v>
      </c>
      <c r="AW216" s="180">
        <f>IFERROR(VLOOKUP(B216,'Share, Heavy Weapons to Ukraine'!B:J,COLUMN('Share, Heavy Weapons to Ukraine'!C223)-1,0),0)</f>
        <v>0</v>
      </c>
      <c r="AX216" s="180">
        <f>VLOOKUP('Bilateral Assistance, MAIN DATA'!B216,'Country Summary'!B:F,COLUMN('Country Summary'!C226)-1,FALSE)</f>
        <v>1</v>
      </c>
      <c r="AY216" s="180" t="str">
        <f>IF(AND(AD216=1,D216="Military",H216&lt;&gt;"Not given")=TRUE,IF(SUMIFS(P:P,A:A,A216)&gt;0,ABS((SUMIFS(P:P,A:A,A216)/VLOOKUP("USD",'Exchange Rates'!B:C,2,0)))/S216,"."),".")</f>
        <v>.</v>
      </c>
      <c r="AZ216" s="182" t="str">
        <f>IF(AND(AD216=1,D216="Military",H216&lt;&gt;"Not given")=TRUE,IF(SUMIFS(P:P,A:A,A216)&gt;0,IF((ABS((SUMIFS(P:P,A:A,A216)/VLOOKUP("USD",'Exchange Rates'!B:C,2,0)))/S216)&gt;1,(SUMIFS(P:P,A:A,A216)-S216)/S216,(S216-SUMIFS(P:P,A:A,A216))/SUMIFS(P:P,A:A,A216)),"."),".")</f>
        <v>.</v>
      </c>
      <c r="BA216" s="182"/>
      <c r="BB216" s="182"/>
      <c r="BC216" s="182"/>
      <c r="BD216" s="182"/>
      <c r="BE216" s="182"/>
      <c r="BF216" s="182"/>
      <c r="BG216" s="182"/>
      <c r="BH216" s="182"/>
      <c r="BI216" s="182"/>
      <c r="BJ216" s="182"/>
      <c r="BK216" s="182"/>
      <c r="BL216" s="182"/>
      <c r="BM216" s="182"/>
      <c r="BN216" s="182"/>
      <c r="BO216" s="182"/>
      <c r="BP216" s="182"/>
      <c r="BQ216" s="182"/>
      <c r="BR216" s="182"/>
      <c r="BS216" s="182"/>
    </row>
    <row r="217" spans="1:71" ht="15.9" customHeight="1" x14ac:dyDescent="0.3">
      <c r="A217" s="5" t="s">
        <v>888</v>
      </c>
      <c r="B217" s="5" t="s">
        <v>856</v>
      </c>
      <c r="C217" s="174">
        <v>44672</v>
      </c>
      <c r="D217" s="5" t="s">
        <v>285</v>
      </c>
      <c r="E217" s="5" t="s">
        <v>286</v>
      </c>
      <c r="F217" s="175" t="s">
        <v>889</v>
      </c>
      <c r="G217" s="15" t="s">
        <v>859</v>
      </c>
      <c r="H217" s="176">
        <v>1000000000</v>
      </c>
      <c r="I217" s="17" t="s">
        <v>897</v>
      </c>
      <c r="J217" s="113" t="str">
        <f>VLOOKUP($I217,'Price List, Weapons &amp; Items'!B:C,2,0)</f>
        <v>Aviation and drones</v>
      </c>
      <c r="K217" s="113" t="str">
        <f>IF(I217=".",I217,VLOOKUP($I217,'Price List, Weapons &amp; Items'!B:D,3,0))</f>
        <v>drone</v>
      </c>
      <c r="L217" s="177">
        <f>VLOOKUP(I217,'Price List, Weapons &amp; Items'!B:E,4,0)</f>
        <v>0</v>
      </c>
      <c r="M217" s="542">
        <v>25</v>
      </c>
      <c r="N217" s="542">
        <v>25</v>
      </c>
      <c r="O217" s="543">
        <f>VLOOKUP($I217,'Price List, Weapons &amp; Items'!B:G,6,0)</f>
        <v>850000</v>
      </c>
      <c r="P217" s="176">
        <f t="shared" si="44"/>
        <v>21250000</v>
      </c>
      <c r="Q217" s="176">
        <f t="shared" si="45"/>
        <v>21250000</v>
      </c>
      <c r="R217" s="176" t="str">
        <f t="shared" si="41"/>
        <v/>
      </c>
      <c r="S217" s="176" t="str">
        <f>IF(AND(AD217=1,R217&lt;&gt;".")=TRUE,R217/VLOOKUP(G217,'Exchange Rates'!B:C,2,0),IF(R217=".",".",""))</f>
        <v/>
      </c>
      <c r="T217" s="176" t="str">
        <f>IF(AD217=1,IF(AF217="Value is not given at all",".",IF(AF217="Value is given by the source",S217,IF(AF217="Value is calculated with prices",(IF(SUMIFS(Q:Q,A:A,A217)&gt;0,SUMIFS(Q:Q,A:A,A217),"."))/VLOOKUP("USD",'Exchange Rates'!B:C,2,0),"Error with coding"))),"")</f>
        <v/>
      </c>
      <c r="U217" s="15" t="s">
        <v>261</v>
      </c>
      <c r="V217" s="547" t="s">
        <v>890</v>
      </c>
      <c r="W217" s="547" t="s">
        <v>891</v>
      </c>
      <c r="X217" s="547" t="s">
        <v>892</v>
      </c>
      <c r="Y217" s="547" t="s">
        <v>893</v>
      </c>
      <c r="Z217" s="180">
        <v>0</v>
      </c>
      <c r="AA217" s="180">
        <v>0</v>
      </c>
      <c r="AB217" s="550" t="s">
        <v>898</v>
      </c>
      <c r="AC217" s="544" t="str">
        <f>""</f>
        <v/>
      </c>
      <c r="AD217" s="183">
        <v>0</v>
      </c>
      <c r="AE217" s="183" t="s">
        <v>264</v>
      </c>
      <c r="AF217" s="183" t="s">
        <v>264</v>
      </c>
      <c r="AG217" s="183">
        <v>1</v>
      </c>
      <c r="AH217" s="183">
        <v>4</v>
      </c>
      <c r="AI217" s="183">
        <v>0</v>
      </c>
      <c r="AJ217" s="181">
        <f>VLOOKUP($I217,'Price List, Weapons &amp; Items'!B:F,5,0)</f>
        <v>0</v>
      </c>
      <c r="AK217" s="181">
        <f t="shared" si="46"/>
        <v>0</v>
      </c>
      <c r="AL217" s="181">
        <f t="shared" si="47"/>
        <v>0</v>
      </c>
      <c r="AM217" s="181">
        <f t="shared" si="48"/>
        <v>0</v>
      </c>
      <c r="AN217" s="180" t="str">
        <f>VLOOKUP($I217,'Price List, Weapons &amp; Items'!B:L,COLUMN('Price List, Weapons &amp; Items'!$J$11)-1,0)</f>
        <v>Military media (incl. websites)</v>
      </c>
      <c r="AO217" s="180" t="str">
        <f>IF(I217=".",".",VLOOKUP($I217,'Price List, Weapons &amp; Items'!B:J,3,0))</f>
        <v>drone</v>
      </c>
      <c r="AP217" s="545" t="str">
        <f t="shared" ca="1" si="42"/>
        <v/>
      </c>
      <c r="AQ217" s="180">
        <f>VLOOKUP($I217,'Price List, Weapons &amp; Items'!B:L,COLUMN('Price List, Weapons &amp; Items'!$L$11)-1,0)</f>
        <v>2</v>
      </c>
      <c r="AR217" s="180">
        <f t="shared" si="49"/>
        <v>1</v>
      </c>
      <c r="AS217" s="180">
        <f t="shared" si="50"/>
        <v>1</v>
      </c>
      <c r="AT217" s="180">
        <f t="shared" si="43"/>
        <v>1</v>
      </c>
      <c r="AU217" s="180" t="str">
        <f t="shared" si="51"/>
        <v>.</v>
      </c>
      <c r="AV217" s="180" t="str">
        <f t="shared" si="52"/>
        <v>.</v>
      </c>
      <c r="AW217" s="180">
        <f>IFERROR(VLOOKUP(B217,'Share, Heavy Weapons to Ukraine'!B:J,COLUMN('Share, Heavy Weapons to Ukraine'!C224)-1,0),0)</f>
        <v>0</v>
      </c>
      <c r="AX217" s="180">
        <f>VLOOKUP('Bilateral Assistance, MAIN DATA'!B217,'Country Summary'!B:F,COLUMN('Country Summary'!C227)-1,FALSE)</f>
        <v>1</v>
      </c>
      <c r="AY217" s="180" t="str">
        <f>IF(AND(AD217=1,D217="Military",H217&lt;&gt;"Not given")=TRUE,IF(SUMIFS(P:P,A:A,A217)&gt;0,ABS((SUMIFS(P:P,A:A,A217)/VLOOKUP("USD",'Exchange Rates'!B:C,2,0)))/S217,"."),".")</f>
        <v>.</v>
      </c>
      <c r="AZ217" s="182" t="str">
        <f>IF(AND(AD217=1,D217="Military",H217&lt;&gt;"Not given")=TRUE,IF(SUMIFS(P:P,A:A,A217)&gt;0,IF((ABS((SUMIFS(P:P,A:A,A217)/VLOOKUP("USD",'Exchange Rates'!B:C,2,0)))/S217)&gt;1,(SUMIFS(P:P,A:A,A217)-S217)/S217,(S217-SUMIFS(P:P,A:A,A217))/SUMIFS(P:P,A:A,A217)),"."),".")</f>
        <v>.</v>
      </c>
      <c r="BA217" s="182"/>
      <c r="BB217" s="182"/>
      <c r="BC217" s="182"/>
      <c r="BD217" s="182"/>
      <c r="BE217" s="182"/>
      <c r="BF217" s="182"/>
      <c r="BG217" s="182"/>
      <c r="BH217" s="182"/>
      <c r="BI217" s="182"/>
      <c r="BJ217" s="182"/>
      <c r="BK217" s="182"/>
      <c r="BL217" s="182"/>
      <c r="BM217" s="182"/>
      <c r="BN217" s="182"/>
      <c r="BO217" s="182"/>
      <c r="BP217" s="182"/>
      <c r="BQ217" s="182"/>
      <c r="BR217" s="182"/>
      <c r="BS217" s="182"/>
    </row>
    <row r="218" spans="1:71" ht="15.9" customHeight="1" x14ac:dyDescent="0.3">
      <c r="A218" s="5" t="s">
        <v>888</v>
      </c>
      <c r="B218" s="5" t="s">
        <v>856</v>
      </c>
      <c r="C218" s="174">
        <v>44672</v>
      </c>
      <c r="D218" s="5" t="s">
        <v>285</v>
      </c>
      <c r="E218" s="5" t="s">
        <v>286</v>
      </c>
      <c r="F218" s="175" t="s">
        <v>889</v>
      </c>
      <c r="G218" s="15" t="s">
        <v>859</v>
      </c>
      <c r="H218" s="176">
        <v>1000000000</v>
      </c>
      <c r="I218" s="17" t="s">
        <v>499</v>
      </c>
      <c r="J218" s="113" t="str">
        <f>VLOOKUP($I218,'Price List, Weapons &amp; Items'!B:C,2,0)</f>
        <v>Military equipment</v>
      </c>
      <c r="K218" s="113" t="str">
        <f>IF(I218=".",I218,VLOOKUP($I218,'Price List, Weapons &amp; Items'!B:D,3,0))</f>
        <v>Military equipment</v>
      </c>
      <c r="L218" s="177">
        <f>VLOOKUP(I218,'Price List, Weapons &amp; Items'!B:E,4,0)</f>
        <v>0</v>
      </c>
      <c r="M218" s="542">
        <v>2000</v>
      </c>
      <c r="N218" s="542">
        <v>2000</v>
      </c>
      <c r="O218" s="543">
        <f>VLOOKUP($I218,'Price List, Weapons &amp; Items'!B:G,6,0)</f>
        <v>500</v>
      </c>
      <c r="P218" s="176">
        <f t="shared" si="44"/>
        <v>1000000</v>
      </c>
      <c r="Q218" s="176">
        <f t="shared" si="45"/>
        <v>1000000</v>
      </c>
      <c r="R218" s="176" t="str">
        <f t="shared" si="41"/>
        <v/>
      </c>
      <c r="S218" s="176" t="str">
        <f>IF(AND(AD218=1,R218&lt;&gt;".")=TRUE,R218/VLOOKUP(G218,'Exchange Rates'!B:C,2,0),IF(R218=".",".",""))</f>
        <v/>
      </c>
      <c r="T218" s="176" t="str">
        <f>IF(AD218=1,IF(AF218="Value is not given at all",".",IF(AF218="Value is given by the source",S218,IF(AF218="Value is calculated with prices",(IF(SUMIFS(Q:Q,A:A,A218)&gt;0,SUMIFS(Q:Q,A:A,A218),"."))/VLOOKUP("USD",'Exchange Rates'!B:C,2,0),"Error with coding"))),"")</f>
        <v/>
      </c>
      <c r="U218" s="15" t="s">
        <v>261</v>
      </c>
      <c r="V218" s="547" t="s">
        <v>890</v>
      </c>
      <c r="W218" s="547" t="s">
        <v>891</v>
      </c>
      <c r="X218" s="547" t="s">
        <v>892</v>
      </c>
      <c r="Y218" s="547" t="s">
        <v>893</v>
      </c>
      <c r="Z218" s="180">
        <v>0</v>
      </c>
      <c r="AA218" s="180">
        <v>0</v>
      </c>
      <c r="AB218" s="550" t="s">
        <v>892</v>
      </c>
      <c r="AC218" s="544" t="str">
        <f>""</f>
        <v/>
      </c>
      <c r="AD218" s="183">
        <v>0</v>
      </c>
      <c r="AE218" s="183" t="s">
        <v>264</v>
      </c>
      <c r="AF218" s="183" t="s">
        <v>264</v>
      </c>
      <c r="AG218" s="183">
        <v>1</v>
      </c>
      <c r="AH218" s="183">
        <v>4</v>
      </c>
      <c r="AI218" s="183">
        <v>0</v>
      </c>
      <c r="AJ218" s="181">
        <f>VLOOKUP($I218,'Price List, Weapons &amp; Items'!B:F,5,0)</f>
        <v>0</v>
      </c>
      <c r="AK218" s="181">
        <f t="shared" si="46"/>
        <v>0</v>
      </c>
      <c r="AL218" s="181">
        <f t="shared" si="47"/>
        <v>0</v>
      </c>
      <c r="AM218" s="181">
        <f t="shared" si="48"/>
        <v>0</v>
      </c>
      <c r="AN218" s="180" t="str">
        <f>VLOOKUP($I218,'Price List, Weapons &amp; Items'!B:L,COLUMN('Price List, Weapons &amp; Items'!$J$11)-1,0)</f>
        <v>Military media (incl. websites)</v>
      </c>
      <c r="AO218" s="180" t="str">
        <f>IF(I218=".",".",VLOOKUP($I218,'Price List, Weapons &amp; Items'!B:J,3,0))</f>
        <v>Military equipment</v>
      </c>
      <c r="AP218" s="545" t="str">
        <f t="shared" ca="1" si="42"/>
        <v/>
      </c>
      <c r="AQ218" s="180">
        <f>VLOOKUP($I218,'Price List, Weapons &amp; Items'!B:L,COLUMN('Price List, Weapons &amp; Items'!$L$11)-1,0)</f>
        <v>2</v>
      </c>
      <c r="AR218" s="180">
        <f t="shared" si="49"/>
        <v>1</v>
      </c>
      <c r="AS218" s="180">
        <f t="shared" si="50"/>
        <v>1</v>
      </c>
      <c r="AT218" s="180">
        <f t="shared" si="43"/>
        <v>1</v>
      </c>
      <c r="AU218" s="180" t="str">
        <f t="shared" si="51"/>
        <v>.</v>
      </c>
      <c r="AV218" s="180" t="str">
        <f t="shared" si="52"/>
        <v>.</v>
      </c>
      <c r="AW218" s="180">
        <f>IFERROR(VLOOKUP(B218,'Share, Heavy Weapons to Ukraine'!B:J,COLUMN('Share, Heavy Weapons to Ukraine'!C225)-1,0),0)</f>
        <v>0</v>
      </c>
      <c r="AX218" s="180">
        <f>VLOOKUP('Bilateral Assistance, MAIN DATA'!B218,'Country Summary'!B:F,COLUMN('Country Summary'!C228)-1,FALSE)</f>
        <v>1</v>
      </c>
      <c r="AY218" s="180" t="str">
        <f>IF(AND(AD218=1,D218="Military",H218&lt;&gt;"Not given")=TRUE,IF(SUMIFS(P:P,A:A,A218)&gt;0,ABS((SUMIFS(P:P,A:A,A218)/VLOOKUP("USD",'Exchange Rates'!B:C,2,0)))/S218,"."),".")</f>
        <v>.</v>
      </c>
      <c r="AZ218" s="182" t="str">
        <f>IF(AND(AD218=1,D218="Military",H218&lt;&gt;"Not given")=TRUE,IF(SUMIFS(P:P,A:A,A218)&gt;0,IF((ABS((SUMIFS(P:P,A:A,A218)/VLOOKUP("USD",'Exchange Rates'!B:C,2,0)))/S218)&gt;1,(SUMIFS(P:P,A:A,A218)-S218)/S218,(S218-SUMIFS(P:P,A:A,A218))/SUMIFS(P:P,A:A,A218)),"."),".")</f>
        <v>.</v>
      </c>
      <c r="BA218" s="182"/>
      <c r="BB218" s="182"/>
      <c r="BC218" s="182"/>
      <c r="BD218" s="182"/>
      <c r="BE218" s="182"/>
      <c r="BF218" s="182"/>
      <c r="BG218" s="182"/>
      <c r="BH218" s="182"/>
      <c r="BI218" s="182"/>
      <c r="BJ218" s="182"/>
      <c r="BK218" s="182"/>
      <c r="BL218" s="182"/>
      <c r="BM218" s="182"/>
      <c r="BN218" s="182"/>
      <c r="BO218" s="182"/>
      <c r="BP218" s="182"/>
      <c r="BQ218" s="182"/>
      <c r="BR218" s="182"/>
      <c r="BS218" s="182"/>
    </row>
    <row r="219" spans="1:71" ht="15.9" customHeight="1" x14ac:dyDescent="0.3">
      <c r="A219" s="5" t="s">
        <v>888</v>
      </c>
      <c r="B219" s="5" t="s">
        <v>856</v>
      </c>
      <c r="C219" s="174">
        <v>44672</v>
      </c>
      <c r="D219" s="5" t="s">
        <v>285</v>
      </c>
      <c r="E219" s="5" t="s">
        <v>286</v>
      </c>
      <c r="F219" s="175" t="s">
        <v>889</v>
      </c>
      <c r="G219" s="15" t="s">
        <v>859</v>
      </c>
      <c r="H219" s="176">
        <v>1000000000</v>
      </c>
      <c r="I219" s="17" t="s">
        <v>899</v>
      </c>
      <c r="J219" s="113" t="str">
        <f>VLOOKUP($I219,'Price List, Weapons &amp; Items'!B:C,2,0)</f>
        <v>Military equipment</v>
      </c>
      <c r="K219" s="113" t="str">
        <f>IF(I219=".",I219,VLOOKUP($I219,'Price List, Weapons &amp; Items'!B:D,3,0))</f>
        <v>Military equipment</v>
      </c>
      <c r="L219" s="177">
        <f>VLOOKUP(I219,'Price List, Weapons &amp; Items'!B:E,4,0)</f>
        <v>0</v>
      </c>
      <c r="M219" s="542">
        <v>700</v>
      </c>
      <c r="N219" s="542">
        <v>700</v>
      </c>
      <c r="O219" s="543">
        <f>VLOOKUP($I219,'Price List, Weapons &amp; Items'!B:G,6,0)</f>
        <v>2.5</v>
      </c>
      <c r="P219" s="176">
        <f t="shared" si="44"/>
        <v>1750</v>
      </c>
      <c r="Q219" s="176">
        <f t="shared" si="45"/>
        <v>1750</v>
      </c>
      <c r="R219" s="176" t="str">
        <f t="shared" si="41"/>
        <v/>
      </c>
      <c r="S219" s="176" t="str">
        <f>IF(AND(AD219=1,R219&lt;&gt;".")=TRUE,R219/VLOOKUP(G219,'Exchange Rates'!B:C,2,0),IF(R219=".",".",""))</f>
        <v/>
      </c>
      <c r="T219" s="176" t="str">
        <f>IF(AD219=1,IF(AF219="Value is not given at all",".",IF(AF219="Value is given by the source",S219,IF(AF219="Value is calculated with prices",(IF(SUMIFS(Q:Q,A:A,A219)&gt;0,SUMIFS(Q:Q,A:A,A219),"."))/VLOOKUP("USD",'Exchange Rates'!B:C,2,0),"Error with coding"))),"")</f>
        <v/>
      </c>
      <c r="U219" s="15" t="s">
        <v>261</v>
      </c>
      <c r="V219" s="547" t="s">
        <v>890</v>
      </c>
      <c r="W219" s="547" t="s">
        <v>891</v>
      </c>
      <c r="X219" s="547" t="s">
        <v>892</v>
      </c>
      <c r="Y219" s="547" t="s">
        <v>893</v>
      </c>
      <c r="Z219" s="180">
        <v>0</v>
      </c>
      <c r="AA219" s="180">
        <v>0</v>
      </c>
      <c r="AB219" s="550" t="s">
        <v>892</v>
      </c>
      <c r="AC219" s="544" t="str">
        <f>""</f>
        <v/>
      </c>
      <c r="AD219" s="183">
        <v>0</v>
      </c>
      <c r="AE219" s="183" t="s">
        <v>264</v>
      </c>
      <c r="AF219" s="183" t="s">
        <v>264</v>
      </c>
      <c r="AG219" s="183">
        <v>1</v>
      </c>
      <c r="AH219" s="183">
        <v>4</v>
      </c>
      <c r="AI219" s="183">
        <v>0</v>
      </c>
      <c r="AJ219" s="181">
        <f>VLOOKUP($I219,'Price List, Weapons &amp; Items'!B:F,5,0)</f>
        <v>0</v>
      </c>
      <c r="AK219" s="181">
        <f t="shared" si="46"/>
        <v>0</v>
      </c>
      <c r="AL219" s="181">
        <f t="shared" si="47"/>
        <v>0</v>
      </c>
      <c r="AM219" s="181">
        <f t="shared" si="48"/>
        <v>0</v>
      </c>
      <c r="AN219" s="180" t="str">
        <f>VLOOKUP($I219,'Price List, Weapons &amp; Items'!B:L,COLUMN('Price List, Weapons &amp; Items'!$J$11)-1,0)</f>
        <v>Online marketplaces and stores</v>
      </c>
      <c r="AO219" s="180" t="str">
        <f>IF(I219=".",".",VLOOKUP($I219,'Price List, Weapons &amp; Items'!B:J,3,0))</f>
        <v>Military equipment</v>
      </c>
      <c r="AP219" s="545" t="str">
        <f t="shared" ca="1" si="42"/>
        <v/>
      </c>
      <c r="AQ219" s="180">
        <f>VLOOKUP($I219,'Price List, Weapons &amp; Items'!B:L,COLUMN('Price List, Weapons &amp; Items'!$L$11)-1,0)</f>
        <v>1</v>
      </c>
      <c r="AR219" s="180">
        <f t="shared" si="49"/>
        <v>1</v>
      </c>
      <c r="AS219" s="180">
        <f t="shared" si="50"/>
        <v>1</v>
      </c>
      <c r="AT219" s="180">
        <f t="shared" si="43"/>
        <v>1</v>
      </c>
      <c r="AU219" s="180" t="str">
        <f t="shared" si="51"/>
        <v>.</v>
      </c>
      <c r="AV219" s="180" t="str">
        <f t="shared" si="52"/>
        <v>.</v>
      </c>
      <c r="AW219" s="180">
        <f>IFERROR(VLOOKUP(B219,'Share, Heavy Weapons to Ukraine'!B:J,COLUMN('Share, Heavy Weapons to Ukraine'!C226)-1,0),0)</f>
        <v>0</v>
      </c>
      <c r="AX219" s="180">
        <f>VLOOKUP('Bilateral Assistance, MAIN DATA'!B219,'Country Summary'!B:F,COLUMN('Country Summary'!C229)-1,FALSE)</f>
        <v>1</v>
      </c>
      <c r="AY219" s="180" t="str">
        <f>IF(AND(AD219=1,D219="Military",H219&lt;&gt;"Not given")=TRUE,IF(SUMIFS(P:P,A:A,A219)&gt;0,ABS((SUMIFS(P:P,A:A,A219)/VLOOKUP("USD",'Exchange Rates'!B:C,2,0)))/S219,"."),".")</f>
        <v>.</v>
      </c>
      <c r="AZ219" s="182" t="str">
        <f>IF(AND(AD219=1,D219="Military",H219&lt;&gt;"Not given")=TRUE,IF(SUMIFS(P:P,A:A,A219)&gt;0,IF((ABS((SUMIFS(P:P,A:A,A219)/VLOOKUP("USD",'Exchange Rates'!B:C,2,0)))/S219)&gt;1,(SUMIFS(P:P,A:A,A219)-S219)/S219,(S219-SUMIFS(P:P,A:A,A219))/SUMIFS(P:P,A:A,A219)),"."),".")</f>
        <v>.</v>
      </c>
      <c r="BA219" s="182"/>
      <c r="BB219" s="182"/>
      <c r="BC219" s="182"/>
      <c r="BD219" s="182"/>
      <c r="BE219" s="182"/>
      <c r="BF219" s="182"/>
      <c r="BG219" s="182"/>
      <c r="BH219" s="182"/>
      <c r="BI219" s="182"/>
      <c r="BJ219" s="182"/>
      <c r="BK219" s="182"/>
      <c r="BL219" s="182"/>
      <c r="BM219" s="182"/>
      <c r="BN219" s="182"/>
      <c r="BO219" s="182"/>
      <c r="BP219" s="182"/>
      <c r="BQ219" s="182"/>
      <c r="BR219" s="182"/>
      <c r="BS219" s="182"/>
    </row>
    <row r="220" spans="1:71" ht="15.9" customHeight="1" x14ac:dyDescent="0.3">
      <c r="A220" s="5" t="s">
        <v>888</v>
      </c>
      <c r="B220" s="5" t="s">
        <v>856</v>
      </c>
      <c r="C220" s="174">
        <v>44672</v>
      </c>
      <c r="D220" s="5" t="s">
        <v>285</v>
      </c>
      <c r="E220" s="5" t="s">
        <v>286</v>
      </c>
      <c r="F220" s="175" t="s">
        <v>889</v>
      </c>
      <c r="G220" s="15" t="s">
        <v>859</v>
      </c>
      <c r="H220" s="176">
        <v>1000000000</v>
      </c>
      <c r="I220" s="17" t="s">
        <v>324</v>
      </c>
      <c r="J220" s="113" t="str">
        <f>VLOOKUP($I220,'Price List, Weapons &amp; Items'!B:C,2,0)</f>
        <v>Heavy weapon</v>
      </c>
      <c r="K220" s="113" t="str">
        <f>IF(I220=".",I220,VLOOKUP($I220,'Price List, Weapons &amp; Items'!B:D,3,0))</f>
        <v>Armoured Personnel Carrier (APC)</v>
      </c>
      <c r="L220" s="177">
        <f>VLOOKUP(I220,'Price List, Weapons &amp; Items'!B:E,4,0)</f>
        <v>0</v>
      </c>
      <c r="M220" s="542">
        <v>50</v>
      </c>
      <c r="N220" s="542" t="s">
        <v>270</v>
      </c>
      <c r="O220" s="543">
        <f>VLOOKUP($I220,'Price List, Weapons &amp; Items'!B:G,6,0)</f>
        <v>300000</v>
      </c>
      <c r="P220" s="176">
        <f t="shared" si="44"/>
        <v>15000000</v>
      </c>
      <c r="Q220" s="176" t="str">
        <f t="shared" si="45"/>
        <v>.</v>
      </c>
      <c r="R220" s="176" t="str">
        <f t="shared" si="41"/>
        <v/>
      </c>
      <c r="S220" s="176" t="str">
        <f>IF(AND(AD220=1,R220&lt;&gt;".")=TRUE,R220/VLOOKUP(G220,'Exchange Rates'!B:C,2,0),IF(R220=".",".",""))</f>
        <v/>
      </c>
      <c r="T220" s="176" t="str">
        <f>IF(AD220=1,IF(AF220="Value is not given at all",".",IF(AF220="Value is given by the source",S220,IF(AF220="Value is calculated with prices",(IF(SUMIFS(Q:Q,A:A,A220)&gt;0,SUMIFS(Q:Q,A:A,A220),"."))/VLOOKUP("USD",'Exchange Rates'!B:C,2,0),"Error with coding"))),"")</f>
        <v/>
      </c>
      <c r="U220" s="15" t="s">
        <v>261</v>
      </c>
      <c r="V220" s="547" t="s">
        <v>890</v>
      </c>
      <c r="W220" s="547" t="s">
        <v>891</v>
      </c>
      <c r="X220" s="547" t="s">
        <v>892</v>
      </c>
      <c r="Y220" s="547" t="s">
        <v>893</v>
      </c>
      <c r="Z220" s="180">
        <v>0</v>
      </c>
      <c r="AA220" s="180">
        <v>0</v>
      </c>
      <c r="AB220" s="563" t="s">
        <v>891</v>
      </c>
      <c r="AC220" s="544" t="str">
        <f>""</f>
        <v/>
      </c>
      <c r="AD220" s="183">
        <v>0</v>
      </c>
      <c r="AE220" s="183" t="s">
        <v>264</v>
      </c>
      <c r="AF220" s="183" t="s">
        <v>264</v>
      </c>
      <c r="AG220" s="183">
        <v>1</v>
      </c>
      <c r="AH220" s="183">
        <v>4</v>
      </c>
      <c r="AI220" s="183">
        <v>0</v>
      </c>
      <c r="AJ220" s="181">
        <f>VLOOKUP($I220,'Price List, Weapons &amp; Items'!B:F,5,0)</f>
        <v>1</v>
      </c>
      <c r="AK220" s="181">
        <f t="shared" si="46"/>
        <v>0</v>
      </c>
      <c r="AL220" s="181">
        <f t="shared" si="47"/>
        <v>1</v>
      </c>
      <c r="AM220" s="181">
        <f t="shared" si="48"/>
        <v>0</v>
      </c>
      <c r="AN220" s="180" t="str">
        <f>VLOOKUP($I220,'Price List, Weapons &amp; Items'!B:L,COLUMN('Price List, Weapons &amp; Items'!$J$11)-1,0)</f>
        <v>Military media (incl. websites)</v>
      </c>
      <c r="AO220" s="180" t="str">
        <f>IF(I220=".",".",VLOOKUP($I220,'Price List, Weapons &amp; Items'!B:J,3,0))</f>
        <v>Armoured Personnel Carrier (APC)</v>
      </c>
      <c r="AP220" s="545" t="str">
        <f t="shared" ca="1" si="42"/>
        <v/>
      </c>
      <c r="AQ220" s="180">
        <f>VLOOKUP($I220,'Price List, Weapons &amp; Items'!B:L,COLUMN('Price List, Weapons &amp; Items'!$L$11)-1,0)</f>
        <v>2</v>
      </c>
      <c r="AR220" s="180">
        <f t="shared" si="49"/>
        <v>1</v>
      </c>
      <c r="AS220" s="180">
        <f t="shared" si="50"/>
        <v>1</v>
      </c>
      <c r="AT220" s="180">
        <f t="shared" si="43"/>
        <v>1</v>
      </c>
      <c r="AU220" s="180" t="str">
        <f t="shared" si="51"/>
        <v>.</v>
      </c>
      <c r="AV220" s="180" t="str">
        <f t="shared" si="52"/>
        <v>.</v>
      </c>
      <c r="AW220" s="180">
        <f>IFERROR(VLOOKUP(B220,'Share, Heavy Weapons to Ukraine'!B:J,COLUMN('Share, Heavy Weapons to Ukraine'!C227)-1,0),0)</f>
        <v>0</v>
      </c>
      <c r="AX220" s="180">
        <f>VLOOKUP('Bilateral Assistance, MAIN DATA'!B220,'Country Summary'!B:F,COLUMN('Country Summary'!C230)-1,FALSE)</f>
        <v>1</v>
      </c>
      <c r="AY220" s="180" t="str">
        <f>IF(AND(AD220=1,D220="Military",H220&lt;&gt;"Not given")=TRUE,IF(SUMIFS(P:P,A:A,A220)&gt;0,ABS((SUMIFS(P:P,A:A,A220)/VLOOKUP("USD",'Exchange Rates'!B:C,2,0)))/S220,"."),".")</f>
        <v>.</v>
      </c>
      <c r="AZ220" s="182" t="str">
        <f>IF(AND(AD220=1,D220="Military",H220&lt;&gt;"Not given")=TRUE,IF(SUMIFS(P:P,A:A,A220)&gt;0,IF((ABS((SUMIFS(P:P,A:A,A220)/VLOOKUP("USD",'Exchange Rates'!B:C,2,0)))/S220)&gt;1,(SUMIFS(P:P,A:A,A220)-S220)/S220,(S220-SUMIFS(P:P,A:A,A220))/SUMIFS(P:P,A:A,A220)),"."),".")</f>
        <v>.</v>
      </c>
      <c r="BA220" s="182"/>
      <c r="BB220" s="182"/>
      <c r="BC220" s="182"/>
      <c r="BD220" s="182"/>
      <c r="BE220" s="182"/>
      <c r="BF220" s="182"/>
      <c r="BG220" s="182"/>
      <c r="BH220" s="182"/>
      <c r="BI220" s="182"/>
      <c r="BJ220" s="182"/>
      <c r="BK220" s="182"/>
      <c r="BL220" s="182"/>
      <c r="BM220" s="182"/>
      <c r="BN220" s="182"/>
      <c r="BO220" s="182"/>
      <c r="BP220" s="182"/>
      <c r="BQ220" s="182"/>
      <c r="BR220" s="182"/>
      <c r="BS220" s="182"/>
    </row>
    <row r="221" spans="1:71" ht="15.9" customHeight="1" x14ac:dyDescent="0.3">
      <c r="A221" s="5" t="s">
        <v>888</v>
      </c>
      <c r="B221" s="5" t="s">
        <v>856</v>
      </c>
      <c r="C221" s="174">
        <v>44672</v>
      </c>
      <c r="D221" s="5" t="s">
        <v>285</v>
      </c>
      <c r="E221" s="5" t="s">
        <v>286</v>
      </c>
      <c r="F221" s="175" t="s">
        <v>889</v>
      </c>
      <c r="G221" s="15" t="s">
        <v>859</v>
      </c>
      <c r="H221" s="176">
        <v>1000000000</v>
      </c>
      <c r="I221" s="17" t="s">
        <v>900</v>
      </c>
      <c r="J221" s="113" t="str">
        <f>VLOOKUP($I221,'Price List, Weapons &amp; Items'!B:C,2,0)</f>
        <v>Ammunition for light infantry</v>
      </c>
      <c r="K221" s="113" t="str">
        <f>IF(I221=".",I221,VLOOKUP($I221,'Price List, Weapons &amp; Items'!B:D,3,0))</f>
        <v>mine</v>
      </c>
      <c r="L221" s="177">
        <f>VLOOKUP(I221,'Price List, Weapons &amp; Items'!B:E,4,0)</f>
        <v>0</v>
      </c>
      <c r="M221" s="542" t="s">
        <v>270</v>
      </c>
      <c r="N221" s="542" t="s">
        <v>270</v>
      </c>
      <c r="O221" s="543">
        <f>VLOOKUP($I221,'Price List, Weapons &amp; Items'!B:G,6,0)</f>
        <v>16.5</v>
      </c>
      <c r="P221" s="176" t="str">
        <f t="shared" si="44"/>
        <v>.</v>
      </c>
      <c r="Q221" s="176" t="str">
        <f t="shared" si="45"/>
        <v>.</v>
      </c>
      <c r="R221" s="176" t="str">
        <f t="shared" si="41"/>
        <v/>
      </c>
      <c r="S221" s="176" t="str">
        <f>IF(AND(AD221=1,R221&lt;&gt;".")=TRUE,R221/VLOOKUP(G221,'Exchange Rates'!B:C,2,0),IF(R221=".",".",""))</f>
        <v/>
      </c>
      <c r="T221" s="176" t="str">
        <f>IF(AD221=1,IF(AF221="Value is not given at all",".",IF(AF221="Value is given by the source",S221,IF(AF221="Value is calculated with prices",(IF(SUMIFS(Q:Q,A:A,A221)&gt;0,SUMIFS(Q:Q,A:A,A221),"."))/VLOOKUP("USD",'Exchange Rates'!B:C,2,0),"Error with coding"))),"")</f>
        <v/>
      </c>
      <c r="U221" s="15" t="s">
        <v>261</v>
      </c>
      <c r="V221" s="547" t="s">
        <v>890</v>
      </c>
      <c r="W221" s="547" t="s">
        <v>891</v>
      </c>
      <c r="X221" s="547" t="s">
        <v>892</v>
      </c>
      <c r="Y221" s="547" t="s">
        <v>893</v>
      </c>
      <c r="Z221" s="180">
        <v>0</v>
      </c>
      <c r="AA221" s="180">
        <v>0</v>
      </c>
      <c r="AB221" s="563" t="s">
        <v>891</v>
      </c>
      <c r="AC221" s="544" t="str">
        <f>""</f>
        <v/>
      </c>
      <c r="AD221" s="183">
        <v>0</v>
      </c>
      <c r="AE221" s="183" t="s">
        <v>264</v>
      </c>
      <c r="AF221" s="183" t="s">
        <v>264</v>
      </c>
      <c r="AG221" s="183">
        <v>1</v>
      </c>
      <c r="AH221" s="183">
        <v>4</v>
      </c>
      <c r="AI221" s="183">
        <v>0</v>
      </c>
      <c r="AJ221" s="181">
        <f>VLOOKUP($I221,'Price List, Weapons &amp; Items'!B:F,5,0)</f>
        <v>0</v>
      </c>
      <c r="AK221" s="181">
        <f t="shared" si="46"/>
        <v>0</v>
      </c>
      <c r="AL221" s="181">
        <f t="shared" si="47"/>
        <v>0</v>
      </c>
      <c r="AM221" s="181">
        <f t="shared" si="48"/>
        <v>0</v>
      </c>
      <c r="AN221" s="180" t="str">
        <f>VLOOKUP($I221,'Price List, Weapons &amp; Items'!B:L,COLUMN('Price List, Weapons &amp; Items'!$J$11)-1,0)</f>
        <v>Miscellaneous</v>
      </c>
      <c r="AO221" s="180" t="str">
        <f>IF(I221=".",".",VLOOKUP($I221,'Price List, Weapons &amp; Items'!B:J,3,0))</f>
        <v>mine</v>
      </c>
      <c r="AP221" s="545" t="str">
        <f t="shared" ca="1" si="42"/>
        <v/>
      </c>
      <c r="AQ221" s="180" t="str">
        <f>VLOOKUP($I221,'Price List, Weapons &amp; Items'!B:L,COLUMN('Price List, Weapons &amp; Items'!$L$11)-1,0)</f>
        <v>no price, 0 count</v>
      </c>
      <c r="AR221" s="180">
        <f t="shared" si="49"/>
        <v>1</v>
      </c>
      <c r="AS221" s="180">
        <f t="shared" si="50"/>
        <v>1</v>
      </c>
      <c r="AT221" s="180">
        <f t="shared" si="43"/>
        <v>1</v>
      </c>
      <c r="AU221" s="180" t="str">
        <f t="shared" si="51"/>
        <v>.</v>
      </c>
      <c r="AV221" s="180" t="str">
        <f t="shared" si="52"/>
        <v>.</v>
      </c>
      <c r="AW221" s="180">
        <f>IFERROR(VLOOKUP(B221,'Share, Heavy Weapons to Ukraine'!B:J,COLUMN('Share, Heavy Weapons to Ukraine'!C228)-1,0),0)</f>
        <v>0</v>
      </c>
      <c r="AX221" s="180">
        <f>VLOOKUP('Bilateral Assistance, MAIN DATA'!B221,'Country Summary'!B:F,COLUMN('Country Summary'!C231)-1,FALSE)</f>
        <v>1</v>
      </c>
      <c r="AY221" s="180" t="str">
        <f>IF(AND(AD221=1,D221="Military",H221&lt;&gt;"Not given")=TRUE,IF(SUMIFS(P:P,A:A,A221)&gt;0,ABS((SUMIFS(P:P,A:A,A221)/VLOOKUP("USD",'Exchange Rates'!B:C,2,0)))/S221,"."),".")</f>
        <v>.</v>
      </c>
      <c r="AZ221" s="182" t="str">
        <f>IF(AND(AD221=1,D221="Military",H221&lt;&gt;"Not given")=TRUE,IF(SUMIFS(P:P,A:A,A221)&gt;0,IF((ABS((SUMIFS(P:P,A:A,A221)/VLOOKUP("USD",'Exchange Rates'!B:C,2,0)))/S221)&gt;1,(SUMIFS(P:P,A:A,A221)-S221)/S221,(S221-SUMIFS(P:P,A:A,A221))/SUMIFS(P:P,A:A,A221)),"."),".")</f>
        <v>.</v>
      </c>
      <c r="BA221" s="182"/>
      <c r="BB221" s="182"/>
      <c r="BC221" s="182"/>
      <c r="BD221" s="182"/>
      <c r="BE221" s="182"/>
      <c r="BF221" s="182"/>
      <c r="BG221" s="182"/>
      <c r="BH221" s="182"/>
      <c r="BI221" s="182"/>
      <c r="BJ221" s="182"/>
      <c r="BK221" s="182"/>
      <c r="BL221" s="182"/>
      <c r="BM221" s="182"/>
      <c r="BN221" s="182"/>
      <c r="BO221" s="182"/>
      <c r="BP221" s="182"/>
      <c r="BQ221" s="182"/>
      <c r="BR221" s="182"/>
      <c r="BS221" s="182"/>
    </row>
    <row r="222" spans="1:71" ht="15.9" customHeight="1" x14ac:dyDescent="0.3">
      <c r="A222" s="5" t="s">
        <v>888</v>
      </c>
      <c r="B222" s="5" t="s">
        <v>856</v>
      </c>
      <c r="C222" s="174">
        <v>44672</v>
      </c>
      <c r="D222" s="5" t="s">
        <v>285</v>
      </c>
      <c r="E222" s="5" t="s">
        <v>286</v>
      </c>
      <c r="F222" s="175" t="s">
        <v>889</v>
      </c>
      <c r="G222" s="15" t="s">
        <v>859</v>
      </c>
      <c r="H222" s="176">
        <v>1000000000</v>
      </c>
      <c r="I222" s="17" t="s">
        <v>901</v>
      </c>
      <c r="J222" s="113" t="str">
        <f>VLOOKUP($I222,'Price List, Weapons &amp; Items'!B:C,2,0)</f>
        <v>Light armaments &amp; infantry</v>
      </c>
      <c r="K222" s="113" t="str">
        <f>IF(I222=".",I222,VLOOKUP($I222,'Price List, Weapons &amp; Items'!B:D,3,0))</f>
        <v>Mortar</v>
      </c>
      <c r="L222" s="177">
        <f>VLOOKUP(I222,'Price List, Weapons &amp; Items'!B:E,4,0)</f>
        <v>0</v>
      </c>
      <c r="M222" s="542" t="s">
        <v>270</v>
      </c>
      <c r="N222" s="542" t="s">
        <v>270</v>
      </c>
      <c r="O222" s="543">
        <f>VLOOKUP($I222,'Price List, Weapons &amp; Items'!B:G,6,0)</f>
        <v>10658</v>
      </c>
      <c r="P222" s="176" t="str">
        <f t="shared" si="44"/>
        <v>.</v>
      </c>
      <c r="Q222" s="176" t="str">
        <f t="shared" si="45"/>
        <v>.</v>
      </c>
      <c r="R222" s="176" t="str">
        <f t="shared" si="41"/>
        <v/>
      </c>
      <c r="S222" s="176" t="str">
        <f>IF(AND(AD222=1,R222&lt;&gt;".")=TRUE,R222/VLOOKUP(G222,'Exchange Rates'!B:C,2,0),IF(R222=".",".",""))</f>
        <v/>
      </c>
      <c r="T222" s="176" t="str">
        <f>IF(AD222=1,IF(AF222="Value is not given at all",".",IF(AF222="Value is given by the source",S222,IF(AF222="Value is calculated with prices",(IF(SUMIFS(Q:Q,A:A,A222)&gt;0,SUMIFS(Q:Q,A:A,A222),"."))/VLOOKUP("USD",'Exchange Rates'!B:C,2,0),"Error with coding"))),"")</f>
        <v/>
      </c>
      <c r="U222" s="15" t="s">
        <v>261</v>
      </c>
      <c r="V222" s="547" t="s">
        <v>890</v>
      </c>
      <c r="W222" s="547" t="s">
        <v>891</v>
      </c>
      <c r="X222" s="547" t="s">
        <v>892</v>
      </c>
      <c r="Y222" s="547" t="s">
        <v>893</v>
      </c>
      <c r="Z222" s="180">
        <v>0</v>
      </c>
      <c r="AA222" s="180">
        <v>0</v>
      </c>
      <c r="AB222" s="563" t="s">
        <v>891</v>
      </c>
      <c r="AC222" s="544" t="str">
        <f>""</f>
        <v/>
      </c>
      <c r="AD222" s="183">
        <v>0</v>
      </c>
      <c r="AE222" s="183" t="s">
        <v>264</v>
      </c>
      <c r="AF222" s="183" t="s">
        <v>264</v>
      </c>
      <c r="AG222" s="183">
        <v>1</v>
      </c>
      <c r="AH222" s="183">
        <v>4</v>
      </c>
      <c r="AI222" s="183">
        <v>0</v>
      </c>
      <c r="AJ222" s="181">
        <f>VLOOKUP($I222,'Price List, Weapons &amp; Items'!B:F,5,0)</f>
        <v>0</v>
      </c>
      <c r="AK222" s="181">
        <f t="shared" si="46"/>
        <v>0</v>
      </c>
      <c r="AL222" s="181">
        <f t="shared" si="47"/>
        <v>0</v>
      </c>
      <c r="AM222" s="181">
        <f t="shared" si="48"/>
        <v>0</v>
      </c>
      <c r="AN222" s="180" t="str">
        <f>VLOOKUP($I222,'Price List, Weapons &amp; Items'!B:L,COLUMN('Price List, Weapons &amp; Items'!$J$11)-1,0)</f>
        <v>Military media (incl. websites)</v>
      </c>
      <c r="AO222" s="180" t="str">
        <f>IF(I222=".",".",VLOOKUP($I222,'Price List, Weapons &amp; Items'!B:J,3,0))</f>
        <v>Mortar</v>
      </c>
      <c r="AP222" s="545" t="str">
        <f t="shared" ca="1" si="42"/>
        <v/>
      </c>
      <c r="AQ222" s="180" t="str">
        <f>VLOOKUP($I222,'Price List, Weapons &amp; Items'!B:L,COLUMN('Price List, Weapons &amp; Items'!$L$11)-1,0)</f>
        <v>no price, 0 count</v>
      </c>
      <c r="AR222" s="180">
        <f t="shared" si="49"/>
        <v>1</v>
      </c>
      <c r="AS222" s="180">
        <f t="shared" si="50"/>
        <v>1</v>
      </c>
      <c r="AT222" s="180">
        <f t="shared" si="43"/>
        <v>1</v>
      </c>
      <c r="AU222" s="180" t="str">
        <f t="shared" si="51"/>
        <v>.</v>
      </c>
      <c r="AV222" s="180" t="str">
        <f t="shared" si="52"/>
        <v>.</v>
      </c>
      <c r="AW222" s="180">
        <f>IFERROR(VLOOKUP(B222,'Share, Heavy Weapons to Ukraine'!B:J,COLUMN('Share, Heavy Weapons to Ukraine'!C229)-1,0),0)</f>
        <v>0</v>
      </c>
      <c r="AX222" s="180">
        <f>VLOOKUP('Bilateral Assistance, MAIN DATA'!B222,'Country Summary'!B:F,COLUMN('Country Summary'!C232)-1,FALSE)</f>
        <v>1</v>
      </c>
      <c r="AY222" s="180" t="str">
        <f>IF(AND(AD222=1,D222="Military",H222&lt;&gt;"Not given")=TRUE,IF(SUMIFS(P:P,A:A,A222)&gt;0,ABS((SUMIFS(P:P,A:A,A222)/VLOOKUP("USD",'Exchange Rates'!B:C,2,0)))/S222,"."),".")</f>
        <v>.</v>
      </c>
      <c r="AZ222" s="182" t="str">
        <f>IF(AND(AD222=1,D222="Military",H222&lt;&gt;"Not given")=TRUE,IF(SUMIFS(P:P,A:A,A222)&gt;0,IF((ABS((SUMIFS(P:P,A:A,A222)/VLOOKUP("USD",'Exchange Rates'!B:C,2,0)))/S222)&gt;1,(SUMIFS(P:P,A:A,A222)-S222)/S222,(S222-SUMIFS(P:P,A:A,A222))/SUMIFS(P:P,A:A,A222)),"."),".")</f>
        <v>.</v>
      </c>
      <c r="BA222" s="182"/>
      <c r="BB222" s="182"/>
      <c r="BC222" s="182"/>
      <c r="BD222" s="182"/>
      <c r="BE222" s="182"/>
      <c r="BF222" s="182"/>
      <c r="BG222" s="182"/>
      <c r="BH222" s="182"/>
      <c r="BI222" s="182"/>
      <c r="BJ222" s="182"/>
      <c r="BK222" s="182"/>
      <c r="BL222" s="182"/>
      <c r="BM222" s="182"/>
      <c r="BN222" s="182"/>
      <c r="BO222" s="182"/>
      <c r="BP222" s="182"/>
      <c r="BQ222" s="182"/>
      <c r="BR222" s="182"/>
      <c r="BS222" s="182"/>
    </row>
    <row r="223" spans="1:71" ht="15.9" customHeight="1" x14ac:dyDescent="0.3">
      <c r="A223" s="5" t="s">
        <v>888</v>
      </c>
      <c r="B223" s="5" t="s">
        <v>856</v>
      </c>
      <c r="C223" s="174">
        <v>44672</v>
      </c>
      <c r="D223" s="5" t="s">
        <v>285</v>
      </c>
      <c r="E223" s="5" t="s">
        <v>286</v>
      </c>
      <c r="F223" s="175" t="s">
        <v>889</v>
      </c>
      <c r="G223" s="15" t="s">
        <v>859</v>
      </c>
      <c r="H223" s="176">
        <v>1000000000</v>
      </c>
      <c r="I223" s="17" t="s">
        <v>902</v>
      </c>
      <c r="J223" s="113" t="str">
        <f>VLOOKUP($I223,'Price List, Weapons &amp; Items'!B:C,2,0)</f>
        <v>Ammunition for light infantry</v>
      </c>
      <c r="K223" s="113" t="str">
        <f>IF(I223=".",I223,VLOOKUP($I223,'Price List, Weapons &amp; Items'!B:D,3,0))</f>
        <v>Mortar ammunition</v>
      </c>
      <c r="L223" s="177">
        <f>VLOOKUP(I223,'Price List, Weapons &amp; Items'!B:E,4,0)</f>
        <v>0</v>
      </c>
      <c r="M223" s="542" t="s">
        <v>270</v>
      </c>
      <c r="N223" s="542" t="s">
        <v>270</v>
      </c>
      <c r="O223" s="543">
        <f>VLOOKUP($I223,'Price List, Weapons &amp; Items'!B:G,6,0)</f>
        <v>33000</v>
      </c>
      <c r="P223" s="176" t="str">
        <f t="shared" si="44"/>
        <v>.</v>
      </c>
      <c r="Q223" s="176" t="str">
        <f t="shared" si="45"/>
        <v>.</v>
      </c>
      <c r="R223" s="176" t="str">
        <f t="shared" si="41"/>
        <v/>
      </c>
      <c r="S223" s="176" t="str">
        <f>IF(AND(AD223=1,R223&lt;&gt;".")=TRUE,R223/VLOOKUP(G223,'Exchange Rates'!B:C,2,0),IF(R223=".",".",""))</f>
        <v/>
      </c>
      <c r="T223" s="176" t="str">
        <f>IF(AD223=1,IF(AF223="Value is not given at all",".",IF(AF223="Value is given by the source",S223,IF(AF223="Value is calculated with prices",(IF(SUMIFS(Q:Q,A:A,A223)&gt;0,SUMIFS(Q:Q,A:A,A223),"."))/VLOOKUP("USD",'Exchange Rates'!B:C,2,0),"Error with coding"))),"")</f>
        <v/>
      </c>
      <c r="U223" s="15" t="s">
        <v>261</v>
      </c>
      <c r="V223" s="547" t="s">
        <v>890</v>
      </c>
      <c r="W223" s="547" t="s">
        <v>891</v>
      </c>
      <c r="X223" s="547" t="s">
        <v>892</v>
      </c>
      <c r="Y223" s="547" t="s">
        <v>893</v>
      </c>
      <c r="Z223" s="180">
        <v>0</v>
      </c>
      <c r="AA223" s="180">
        <v>0</v>
      </c>
      <c r="AB223" s="563" t="s">
        <v>891</v>
      </c>
      <c r="AC223" s="544" t="str">
        <f>""</f>
        <v/>
      </c>
      <c r="AD223" s="183">
        <v>0</v>
      </c>
      <c r="AE223" s="183" t="s">
        <v>264</v>
      </c>
      <c r="AF223" s="183" t="s">
        <v>264</v>
      </c>
      <c r="AG223" s="183">
        <v>1</v>
      </c>
      <c r="AH223" s="183">
        <v>4</v>
      </c>
      <c r="AI223" s="183">
        <v>0</v>
      </c>
      <c r="AJ223" s="181">
        <f>VLOOKUP($I223,'Price List, Weapons &amp; Items'!B:F,5,0)</f>
        <v>0</v>
      </c>
      <c r="AK223" s="181">
        <f t="shared" si="46"/>
        <v>0</v>
      </c>
      <c r="AL223" s="181">
        <f t="shared" si="47"/>
        <v>0</v>
      </c>
      <c r="AM223" s="181">
        <f t="shared" si="48"/>
        <v>0</v>
      </c>
      <c r="AN223" s="180" t="str">
        <f>VLOOKUP($I223,'Price List, Weapons &amp; Items'!B:L,COLUMN('Price List, Weapons &amp; Items'!$J$11)-1,0)</f>
        <v>Media reports (incl. social media)</v>
      </c>
      <c r="AO223" s="180" t="str">
        <f>IF(I223=".",".",VLOOKUP($I223,'Price List, Weapons &amp; Items'!B:J,3,0))</f>
        <v>Mortar ammunition</v>
      </c>
      <c r="AP223" s="545" t="str">
        <f t="shared" ca="1" si="42"/>
        <v/>
      </c>
      <c r="AQ223" s="180" t="str">
        <f>VLOOKUP($I223,'Price List, Weapons &amp; Items'!B:L,COLUMN('Price List, Weapons &amp; Items'!$L$11)-1,0)</f>
        <v>no price, 0 count</v>
      </c>
      <c r="AR223" s="180">
        <f t="shared" si="49"/>
        <v>1</v>
      </c>
      <c r="AS223" s="180">
        <f t="shared" si="50"/>
        <v>1</v>
      </c>
      <c r="AT223" s="180">
        <f t="shared" si="43"/>
        <v>1</v>
      </c>
      <c r="AU223" s="180" t="str">
        <f t="shared" si="51"/>
        <v>.</v>
      </c>
      <c r="AV223" s="180" t="str">
        <f t="shared" si="52"/>
        <v>.</v>
      </c>
      <c r="AW223" s="180">
        <f>IFERROR(VLOOKUP(B223,'Share, Heavy Weapons to Ukraine'!B:J,COLUMN('Share, Heavy Weapons to Ukraine'!C230)-1,0),0)</f>
        <v>0</v>
      </c>
      <c r="AX223" s="180">
        <f>VLOOKUP('Bilateral Assistance, MAIN DATA'!B223,'Country Summary'!B:F,COLUMN('Country Summary'!C233)-1,FALSE)</f>
        <v>1</v>
      </c>
      <c r="AY223" s="180" t="str">
        <f>IF(AND(AD223=1,D223="Military",H223&lt;&gt;"Not given")=TRUE,IF(SUMIFS(P:P,A:A,A223)&gt;0,ABS((SUMIFS(P:P,A:A,A223)/VLOOKUP("USD",'Exchange Rates'!B:C,2,0)))/S223,"."),".")</f>
        <v>.</v>
      </c>
      <c r="AZ223" s="182" t="str">
        <f>IF(AND(AD223=1,D223="Military",H223&lt;&gt;"Not given")=TRUE,IF(SUMIFS(P:P,A:A,A223)&gt;0,IF((ABS((SUMIFS(P:P,A:A,A223)/VLOOKUP("USD",'Exchange Rates'!B:C,2,0)))/S223)&gt;1,(SUMIFS(P:P,A:A,A223)-S223)/S223,(S223-SUMIFS(P:P,A:A,A223))/SUMIFS(P:P,A:A,A223)),"."),".")</f>
        <v>.</v>
      </c>
      <c r="BA223" s="182"/>
      <c r="BB223" s="182"/>
      <c r="BC223" s="182"/>
      <c r="BD223" s="182"/>
      <c r="BE223" s="182"/>
      <c r="BF223" s="182"/>
      <c r="BG223" s="182"/>
      <c r="BH223" s="182"/>
      <c r="BI223" s="182"/>
      <c r="BJ223" s="182"/>
      <c r="BK223" s="182"/>
      <c r="BL223" s="182"/>
      <c r="BM223" s="182"/>
      <c r="BN223" s="182"/>
      <c r="BO223" s="182"/>
      <c r="BP223" s="182"/>
      <c r="BQ223" s="182"/>
      <c r="BR223" s="182"/>
      <c r="BS223" s="182"/>
    </row>
    <row r="224" spans="1:71" ht="15.9" customHeight="1" x14ac:dyDescent="0.3">
      <c r="A224" s="5" t="s">
        <v>903</v>
      </c>
      <c r="B224" s="5" t="s">
        <v>856</v>
      </c>
      <c r="C224" s="174" t="s">
        <v>904</v>
      </c>
      <c r="D224" s="5" t="s">
        <v>285</v>
      </c>
      <c r="E224" s="5" t="s">
        <v>339</v>
      </c>
      <c r="F224" s="175" t="s">
        <v>905</v>
      </c>
      <c r="G224" s="15" t="s">
        <v>859</v>
      </c>
      <c r="H224" s="176">
        <v>1000000000</v>
      </c>
      <c r="I224" s="17" t="s">
        <v>906</v>
      </c>
      <c r="J224" s="113" t="str">
        <f>VLOOKUP($I224,'Price List, Weapons &amp; Items'!B:C,2,0)</f>
        <v>Heavy weapon</v>
      </c>
      <c r="K224" s="113" t="str">
        <f>IF(I224=".",I224,VLOOKUP($I224,'Price List, Weapons &amp; Items'!B:D,3,0))</f>
        <v>Anti-ship missle system</v>
      </c>
      <c r="L224" s="177">
        <f>VLOOKUP(I224,'Price List, Weapons &amp; Items'!B:E,4,0)</f>
        <v>0</v>
      </c>
      <c r="M224" s="542">
        <v>1</v>
      </c>
      <c r="N224" s="542">
        <v>1</v>
      </c>
      <c r="O224" s="543">
        <f>VLOOKUP($I224,'Price List, Weapons &amp; Items'!B:G,6,0)</f>
        <v>35411360.630000003</v>
      </c>
      <c r="P224" s="176">
        <f t="shared" si="44"/>
        <v>35411360.630000003</v>
      </c>
      <c r="Q224" s="176">
        <f t="shared" si="45"/>
        <v>35411360.630000003</v>
      </c>
      <c r="R224" s="176">
        <f t="shared" si="41"/>
        <v>1000000000</v>
      </c>
      <c r="S224" s="176">
        <f>IF(AND(AD224=1,R224&lt;&gt;".")=TRUE,R224/VLOOKUP(G224,'Exchange Rates'!B:C,2,0),IF(R224=".",".",""))</f>
        <v>134473670.05540314</v>
      </c>
      <c r="T224" s="176">
        <f>IF(AD224=1,IF(AF224="Value is not given at all",".",IF(AF224="Value is given by the source",S224,IF(AF224="Value is calculated with prices",(IF(SUMIFS(Q:Q,A:A,A224)&gt;0,SUMIFS(Q:Q,A:A,A224),"."))/VLOOKUP("USD",'Exchange Rates'!B:C,2,0),"Error with coding"))),"")</f>
        <v>134473670.05540314</v>
      </c>
      <c r="U224" s="15" t="s">
        <v>261</v>
      </c>
      <c r="V224" s="547" t="s">
        <v>907</v>
      </c>
      <c r="W224" s="547" t="s">
        <v>908</v>
      </c>
      <c r="X224" s="547" t="s">
        <v>909</v>
      </c>
      <c r="Y224" s="557" t="s">
        <v>910</v>
      </c>
      <c r="Z224" s="15">
        <v>0</v>
      </c>
      <c r="AA224" s="180">
        <v>0</v>
      </c>
      <c r="AB224" s="550" t="s">
        <v>911</v>
      </c>
      <c r="AC224" s="544" t="str">
        <f>""</f>
        <v/>
      </c>
      <c r="AD224" s="183">
        <v>1</v>
      </c>
      <c r="AE224" s="183" t="s">
        <v>264</v>
      </c>
      <c r="AF224" s="183" t="s">
        <v>264</v>
      </c>
      <c r="AG224" s="183">
        <v>1</v>
      </c>
      <c r="AH224" s="183">
        <v>5</v>
      </c>
      <c r="AI224" s="183">
        <v>0</v>
      </c>
      <c r="AJ224" s="181">
        <f>VLOOKUP($I224,'Price List, Weapons &amp; Items'!B:F,5,0)</f>
        <v>0</v>
      </c>
      <c r="AK224" s="181">
        <f t="shared" si="46"/>
        <v>0</v>
      </c>
      <c r="AL224" s="181">
        <f t="shared" si="47"/>
        <v>0</v>
      </c>
      <c r="AM224" s="181">
        <f t="shared" si="48"/>
        <v>0</v>
      </c>
      <c r="AN224" s="180" t="str">
        <f>VLOOKUP($I224,'Price List, Weapons &amp; Items'!B:L,COLUMN('Price List, Weapons &amp; Items'!$J$11)-1,0)</f>
        <v>Government information</v>
      </c>
      <c r="AO224" s="180" t="str">
        <f>IF(I224=".",".",VLOOKUP($I224,'Price List, Weapons &amp; Items'!B:J,3,0))</f>
        <v>Anti-ship missle system</v>
      </c>
      <c r="AP224" s="545" t="e">
        <f t="shared" ca="1" si="42"/>
        <v>#NAME?</v>
      </c>
      <c r="AQ224" s="180">
        <f>VLOOKUP($I224,'Price List, Weapons &amp; Items'!B:L,COLUMN('Price List, Weapons &amp; Items'!$L$11)-1,0)</f>
        <v>2</v>
      </c>
      <c r="AR224" s="180">
        <f t="shared" si="49"/>
        <v>1</v>
      </c>
      <c r="AS224" s="180">
        <f t="shared" si="50"/>
        <v>1</v>
      </c>
      <c r="AT224" s="180" t="str">
        <f t="shared" si="43"/>
        <v>Value is not in date format</v>
      </c>
      <c r="AU224" s="180" t="str">
        <f t="shared" si="51"/>
        <v>.</v>
      </c>
      <c r="AV224" s="180" t="str">
        <f t="shared" si="52"/>
        <v>.</v>
      </c>
      <c r="AW224" s="180">
        <f>IFERROR(VLOOKUP(B224,'Share, Heavy Weapons to Ukraine'!B:J,COLUMN('Share, Heavy Weapons to Ukraine'!C231)-1,0),0)</f>
        <v>0</v>
      </c>
      <c r="AX224" s="180">
        <f>VLOOKUP('Bilateral Assistance, MAIN DATA'!B224,'Country Summary'!B:F,COLUMN('Country Summary'!C234)-1,FALSE)</f>
        <v>1</v>
      </c>
      <c r="AY224" s="180">
        <f>IF(AND(AD224=1,D224="Military",H224&lt;&gt;"Not given")=TRUE,IF(SUMIFS(P:P,A:A,A224)&gt;0,ABS((SUMIFS(P:P,A:A,A224)/VLOOKUP("USD",'Exchange Rates'!B:C,2,0)))/S224,"."),".")</f>
        <v>0.25079337351326858</v>
      </c>
      <c r="AZ224" s="182">
        <f>IF(AND(AD224=1,D224="Military",H224&lt;&gt;"Not given")=TRUE,IF(SUMIFS(P:P,A:A,A224)&gt;0,IF((ABS((SUMIFS(P:P,A:A,A224)/VLOOKUP("USD",'Exchange Rates'!B:C,2,0)))/S224)&gt;1,(SUMIFS(P:P,A:A,A224)-S224)/S224,(S224-SUMIFS(P:P,A:A,A224))/SUMIFS(P:P,A:A,A224)),"."),".")</f>
        <v>2.7974725529602771</v>
      </c>
      <c r="BA224" s="182"/>
      <c r="BB224" s="182"/>
      <c r="BC224" s="182"/>
      <c r="BD224" s="182"/>
      <c r="BE224" s="182"/>
      <c r="BF224" s="182"/>
      <c r="BG224" s="182"/>
      <c r="BH224" s="182"/>
      <c r="BI224" s="182"/>
      <c r="BJ224" s="182"/>
      <c r="BK224" s="182"/>
      <c r="BL224" s="182"/>
      <c r="BM224" s="182"/>
      <c r="BN224" s="182"/>
      <c r="BO224" s="182"/>
      <c r="BP224" s="182"/>
      <c r="BQ224" s="182"/>
      <c r="BR224" s="182"/>
      <c r="BS224" s="182"/>
    </row>
    <row r="225" spans="1:71" ht="15.9" customHeight="1" x14ac:dyDescent="0.3">
      <c r="A225" s="5" t="s">
        <v>903</v>
      </c>
      <c r="B225" s="5" t="s">
        <v>856</v>
      </c>
      <c r="C225" s="174" t="s">
        <v>904</v>
      </c>
      <c r="D225" s="5" t="s">
        <v>285</v>
      </c>
      <c r="E225" s="5" t="s">
        <v>339</v>
      </c>
      <c r="F225" s="175" t="s">
        <v>905</v>
      </c>
      <c r="G225" s="15" t="s">
        <v>859</v>
      </c>
      <c r="H225" s="176">
        <v>1000000000</v>
      </c>
      <c r="I225" s="17" t="s">
        <v>912</v>
      </c>
      <c r="J225" s="113" t="str">
        <f>VLOOKUP($I225,'Price List, Weapons &amp; Items'!B:C,2,0)</f>
        <v>Ammunition for heavy weapon</v>
      </c>
      <c r="K225" s="113" t="str">
        <f>IF(I225=".",I225,VLOOKUP($I225,'Price List, Weapons &amp; Items'!B:D,3,0))</f>
        <v>missile</v>
      </c>
      <c r="L225" s="177">
        <f>VLOOKUP(I225,'Price List, Weapons &amp; Items'!B:E,4,0)</f>
        <v>0</v>
      </c>
      <c r="M225" s="542" t="s">
        <v>270</v>
      </c>
      <c r="N225" s="542" t="s">
        <v>270</v>
      </c>
      <c r="O225" s="543">
        <f>VLOOKUP($I225,'Price List, Weapons &amp; Items'!B:G,6,0)</f>
        <v>1406812</v>
      </c>
      <c r="P225" s="176" t="str">
        <f t="shared" si="44"/>
        <v>.</v>
      </c>
      <c r="Q225" s="176" t="str">
        <f t="shared" si="45"/>
        <v>.</v>
      </c>
      <c r="R225" s="176" t="str">
        <f t="shared" si="41"/>
        <v/>
      </c>
      <c r="S225" s="176" t="str">
        <f>IF(AND(AD225=1,R225&lt;&gt;".")=TRUE,R225/VLOOKUP(G225,'Exchange Rates'!B:C,2,0),IF(R225=".",".",""))</f>
        <v/>
      </c>
      <c r="T225" s="176" t="str">
        <f>IF(AD225=1,IF(AF225="Value is not given at all",".",IF(AF225="Value is given by the source",S225,IF(AF225="Value is calculated with prices",(IF(SUMIFS(Q:Q,A:A,A225)&gt;0,SUMIFS(Q:Q,A:A,A225),"."))/VLOOKUP("USD",'Exchange Rates'!B:C,2,0),"Error with coding"))),"")</f>
        <v/>
      </c>
      <c r="U225" s="15" t="s">
        <v>261</v>
      </c>
      <c r="V225" s="547" t="s">
        <v>907</v>
      </c>
      <c r="W225" s="547" t="s">
        <v>908</v>
      </c>
      <c r="X225" s="547" t="s">
        <v>909</v>
      </c>
      <c r="Y225" s="557" t="s">
        <v>910</v>
      </c>
      <c r="Z225" s="15">
        <v>0</v>
      </c>
      <c r="AA225" s="180">
        <v>0</v>
      </c>
      <c r="AB225" s="550" t="s">
        <v>911</v>
      </c>
      <c r="AC225" s="544" t="str">
        <f>""</f>
        <v/>
      </c>
      <c r="AD225" s="183">
        <v>0</v>
      </c>
      <c r="AE225" s="183" t="s">
        <v>264</v>
      </c>
      <c r="AF225" s="183" t="s">
        <v>264</v>
      </c>
      <c r="AG225" s="183">
        <v>1</v>
      </c>
      <c r="AH225" s="183">
        <v>5</v>
      </c>
      <c r="AI225" s="183">
        <v>0</v>
      </c>
      <c r="AJ225" s="181">
        <f>VLOOKUP($I225,'Price List, Weapons &amp; Items'!B:F,5,0)</f>
        <v>0</v>
      </c>
      <c r="AK225" s="181">
        <f t="shared" si="46"/>
        <v>0</v>
      </c>
      <c r="AL225" s="181">
        <f t="shared" si="47"/>
        <v>0</v>
      </c>
      <c r="AM225" s="181">
        <f t="shared" si="48"/>
        <v>0</v>
      </c>
      <c r="AN225" s="180" t="str">
        <f>VLOOKUP($I225,'Price List, Weapons &amp; Items'!B:L,COLUMN('Price List, Weapons &amp; Items'!$J$11)-1,0)</f>
        <v>Miscellaneous</v>
      </c>
      <c r="AO225" s="180" t="str">
        <f>IF(I225=".",".",VLOOKUP($I225,'Price List, Weapons &amp; Items'!B:J,3,0))</f>
        <v>missile</v>
      </c>
      <c r="AP225" s="545" t="str">
        <f t="shared" ca="1" si="42"/>
        <v/>
      </c>
      <c r="AQ225" s="180" t="str">
        <f>VLOOKUP($I225,'Price List, Weapons &amp; Items'!B:L,COLUMN('Price List, Weapons &amp; Items'!$L$11)-1,0)</f>
        <v>no price, 0 count</v>
      </c>
      <c r="AR225" s="180">
        <f t="shared" si="49"/>
        <v>1</v>
      </c>
      <c r="AS225" s="180">
        <f t="shared" si="50"/>
        <v>1</v>
      </c>
      <c r="AT225" s="180" t="str">
        <f t="shared" si="43"/>
        <v>Value is not in date format</v>
      </c>
      <c r="AU225" s="180" t="str">
        <f t="shared" si="51"/>
        <v>.</v>
      </c>
      <c r="AV225" s="180" t="str">
        <f t="shared" si="52"/>
        <v>.</v>
      </c>
      <c r="AW225" s="180">
        <f>IFERROR(VLOOKUP(B225,'Share, Heavy Weapons to Ukraine'!B:J,COLUMN('Share, Heavy Weapons to Ukraine'!C232)-1,0),0)</f>
        <v>0</v>
      </c>
      <c r="AX225" s="180">
        <f>VLOOKUP('Bilateral Assistance, MAIN DATA'!B225,'Country Summary'!B:F,COLUMN('Country Summary'!C235)-1,FALSE)</f>
        <v>1</v>
      </c>
      <c r="AY225" s="180" t="str">
        <f>IF(AND(AD225=1,D225="Military",H225&lt;&gt;"Not given")=TRUE,IF(SUMIFS(P:P,A:A,A225)&gt;0,ABS((SUMIFS(P:P,A:A,A225)/VLOOKUP("USD",'Exchange Rates'!B:C,2,0)))/S225,"."),".")</f>
        <v>.</v>
      </c>
      <c r="AZ225" s="182" t="str">
        <f>IF(AND(AD225=1,D225="Military",H225&lt;&gt;"Not given")=TRUE,IF(SUMIFS(P:P,A:A,A225)&gt;0,IF((ABS((SUMIFS(P:P,A:A,A225)/VLOOKUP("USD",'Exchange Rates'!B:C,2,0)))/S225)&gt;1,(SUMIFS(P:P,A:A,A225)-S225)/S225,(S225-SUMIFS(P:P,A:A,A225))/SUMIFS(P:P,A:A,A225)),"."),".")</f>
        <v>.</v>
      </c>
      <c r="BA225" s="182"/>
      <c r="BB225" s="182"/>
      <c r="BC225" s="182"/>
      <c r="BD225" s="182"/>
      <c r="BE225" s="182"/>
      <c r="BF225" s="182"/>
      <c r="BG225" s="182"/>
      <c r="BH225" s="182"/>
      <c r="BI225" s="182"/>
      <c r="BJ225" s="182"/>
      <c r="BK225" s="182"/>
      <c r="BL225" s="182"/>
      <c r="BM225" s="182"/>
      <c r="BN225" s="182"/>
      <c r="BO225" s="182"/>
      <c r="BP225" s="182"/>
      <c r="BQ225" s="182"/>
      <c r="BR225" s="182"/>
      <c r="BS225" s="182"/>
    </row>
    <row r="226" spans="1:71" ht="15.9" customHeight="1" x14ac:dyDescent="0.3">
      <c r="A226" s="5" t="s">
        <v>903</v>
      </c>
      <c r="B226" s="5" t="s">
        <v>856</v>
      </c>
      <c r="C226" s="174" t="s">
        <v>904</v>
      </c>
      <c r="D226" s="5" t="s">
        <v>285</v>
      </c>
      <c r="E226" s="5" t="s">
        <v>339</v>
      </c>
      <c r="F226" s="175" t="s">
        <v>905</v>
      </c>
      <c r="G226" s="15" t="s">
        <v>859</v>
      </c>
      <c r="H226" s="176">
        <v>1000000000</v>
      </c>
      <c r="I226" s="17" t="s">
        <v>499</v>
      </c>
      <c r="J226" s="113" t="str">
        <f>VLOOKUP($I226,'Price List, Weapons &amp; Items'!B:C,2,0)</f>
        <v>Military equipment</v>
      </c>
      <c r="K226" s="113" t="str">
        <f>IF(I226=".",I226,VLOOKUP($I226,'Price List, Weapons &amp; Items'!B:D,3,0))</f>
        <v>Military equipment</v>
      </c>
      <c r="L226" s="177">
        <f>VLOOKUP(I226,'Price List, Weapons &amp; Items'!B:E,4,0)</f>
        <v>0</v>
      </c>
      <c r="M226" s="542" t="s">
        <v>270</v>
      </c>
      <c r="N226" s="542" t="s">
        <v>270</v>
      </c>
      <c r="O226" s="543">
        <f>VLOOKUP($I226,'Price List, Weapons &amp; Items'!B:G,6,0)</f>
        <v>500</v>
      </c>
      <c r="P226" s="176" t="str">
        <f t="shared" si="44"/>
        <v>.</v>
      </c>
      <c r="Q226" s="176" t="str">
        <f t="shared" si="45"/>
        <v>.</v>
      </c>
      <c r="R226" s="176" t="str">
        <f t="shared" si="41"/>
        <v/>
      </c>
      <c r="S226" s="176" t="str">
        <f>IF(AND(AD226=1,R226&lt;&gt;".")=TRUE,R226/VLOOKUP(G226,'Exchange Rates'!B:C,2,0),IF(R226=".",".",""))</f>
        <v/>
      </c>
      <c r="T226" s="176" t="str">
        <f>IF(AD226=1,IF(AF226="Value is not given at all",".",IF(AF226="Value is given by the source",S226,IF(AF226="Value is calculated with prices",(IF(SUMIFS(Q:Q,A:A,A226)&gt;0,SUMIFS(Q:Q,A:A,A226),"."))/VLOOKUP("USD",'Exchange Rates'!B:C,2,0),"Error with coding"))),"")</f>
        <v/>
      </c>
      <c r="U226" s="15" t="s">
        <v>261</v>
      </c>
      <c r="V226" s="547" t="s">
        <v>907</v>
      </c>
      <c r="W226" s="547" t="s">
        <v>908</v>
      </c>
      <c r="X226" s="547" t="s">
        <v>909</v>
      </c>
      <c r="Y226" s="557" t="s">
        <v>910</v>
      </c>
      <c r="Z226" s="15">
        <v>0</v>
      </c>
      <c r="AA226" s="180">
        <v>0</v>
      </c>
      <c r="AB226" s="669" t="s">
        <v>260</v>
      </c>
      <c r="AC226" s="544" t="str">
        <f>""</f>
        <v/>
      </c>
      <c r="AD226" s="183">
        <v>0</v>
      </c>
      <c r="AE226" s="183" t="s">
        <v>264</v>
      </c>
      <c r="AF226" s="183" t="s">
        <v>264</v>
      </c>
      <c r="AG226" s="183">
        <v>1</v>
      </c>
      <c r="AH226" s="183">
        <v>5</v>
      </c>
      <c r="AI226" s="183">
        <v>0</v>
      </c>
      <c r="AJ226" s="181">
        <f>VLOOKUP($I226,'Price List, Weapons &amp; Items'!B:F,5,0)</f>
        <v>0</v>
      </c>
      <c r="AK226" s="181">
        <f t="shared" si="46"/>
        <v>0</v>
      </c>
      <c r="AL226" s="181">
        <f t="shared" si="47"/>
        <v>0</v>
      </c>
      <c r="AM226" s="181">
        <f t="shared" si="48"/>
        <v>0</v>
      </c>
      <c r="AN226" s="180" t="str">
        <f>VLOOKUP($I226,'Price List, Weapons &amp; Items'!B:L,COLUMN('Price List, Weapons &amp; Items'!$J$11)-1,0)</f>
        <v>Military media (incl. websites)</v>
      </c>
      <c r="AO226" s="180" t="str">
        <f>IF(I226=".",".",VLOOKUP($I226,'Price List, Weapons &amp; Items'!B:J,3,0))</f>
        <v>Military equipment</v>
      </c>
      <c r="AP226" s="545" t="str">
        <f t="shared" ca="1" si="42"/>
        <v/>
      </c>
      <c r="AQ226" s="180">
        <f>VLOOKUP($I226,'Price List, Weapons &amp; Items'!B:L,COLUMN('Price List, Weapons &amp; Items'!$L$11)-1,0)</f>
        <v>2</v>
      </c>
      <c r="AR226" s="180">
        <f t="shared" si="49"/>
        <v>1</v>
      </c>
      <c r="AS226" s="180">
        <f t="shared" si="50"/>
        <v>1</v>
      </c>
      <c r="AT226" s="180" t="str">
        <f t="shared" si="43"/>
        <v>Value is not in date format</v>
      </c>
      <c r="AU226" s="180" t="str">
        <f t="shared" si="51"/>
        <v>.</v>
      </c>
      <c r="AV226" s="180" t="str">
        <f t="shared" si="52"/>
        <v>.</v>
      </c>
      <c r="AW226" s="180">
        <f>IFERROR(VLOOKUP(B226,'Share, Heavy Weapons to Ukraine'!B:J,COLUMN('Share, Heavy Weapons to Ukraine'!C233)-1,0),0)</f>
        <v>0</v>
      </c>
      <c r="AX226" s="180">
        <f>VLOOKUP('Bilateral Assistance, MAIN DATA'!B226,'Country Summary'!B:F,COLUMN('Country Summary'!C236)-1,FALSE)</f>
        <v>1</v>
      </c>
      <c r="AY226" s="180" t="str">
        <f>IF(AND(AD226=1,D226="Military",H226&lt;&gt;"Not given")=TRUE,IF(SUMIFS(P:P,A:A,A226)&gt;0,ABS((SUMIFS(P:P,A:A,A226)/VLOOKUP("USD",'Exchange Rates'!B:C,2,0)))/S226,"."),".")</f>
        <v>.</v>
      </c>
      <c r="AZ226" s="182" t="str">
        <f>IF(AND(AD226=1,D226="Military",H226&lt;&gt;"Not given")=TRUE,IF(SUMIFS(P:P,A:A,A226)&gt;0,IF((ABS((SUMIFS(P:P,A:A,A226)/VLOOKUP("USD",'Exchange Rates'!B:C,2,0)))/S226)&gt;1,(SUMIFS(P:P,A:A,A226)-S226)/S226,(S226-SUMIFS(P:P,A:A,A226))/SUMIFS(P:P,A:A,A226)),"."),".")</f>
        <v>.</v>
      </c>
      <c r="BA226" s="182"/>
      <c r="BB226" s="182"/>
      <c r="BC226" s="182"/>
      <c r="BD226" s="182"/>
      <c r="BE226" s="182"/>
      <c r="BF226" s="182"/>
      <c r="BG226" s="182"/>
      <c r="BH226" s="182"/>
      <c r="BI226" s="182"/>
      <c r="BJ226" s="182"/>
      <c r="BK226" s="182"/>
      <c r="BL226" s="182"/>
      <c r="BM226" s="182"/>
      <c r="BN226" s="182"/>
      <c r="BO226" s="182"/>
      <c r="BP226" s="182"/>
      <c r="BQ226" s="182"/>
      <c r="BR226" s="182"/>
      <c r="BS226" s="182"/>
    </row>
    <row r="227" spans="1:71" ht="15.9" customHeight="1" x14ac:dyDescent="0.3">
      <c r="A227" s="5" t="s">
        <v>913</v>
      </c>
      <c r="B227" s="5" t="s">
        <v>856</v>
      </c>
      <c r="C227" s="174">
        <v>44784</v>
      </c>
      <c r="D227" s="5" t="s">
        <v>285</v>
      </c>
      <c r="E227" s="5" t="s">
        <v>914</v>
      </c>
      <c r="F227" s="175" t="s">
        <v>915</v>
      </c>
      <c r="G227" s="15" t="s">
        <v>859</v>
      </c>
      <c r="H227" s="176">
        <v>820000000</v>
      </c>
      <c r="I227" s="17" t="s">
        <v>916</v>
      </c>
      <c r="J227" s="113" t="str">
        <f>VLOOKUP($I227,'Price List, Weapons &amp; Items'!B:C,2,0)</f>
        <v>Heavy weapon</v>
      </c>
      <c r="K227" s="113" t="str">
        <f>IF(I227=".",I227,VLOOKUP($I227,'Price List, Weapons &amp; Items'!B:D,3,0))</f>
        <v>155mm howitzer</v>
      </c>
      <c r="L227" s="177">
        <f>VLOOKUP(I227,'Price List, Weapons &amp; Items'!B:E,4,0)</f>
        <v>1</v>
      </c>
      <c r="M227" s="542">
        <v>5</v>
      </c>
      <c r="N227" s="542" t="s">
        <v>270</v>
      </c>
      <c r="O227" s="543">
        <f>VLOOKUP($I227,'Price List, Weapons &amp; Items'!B:G,6,0)</f>
        <v>8661378.4511823338</v>
      </c>
      <c r="P227" s="176">
        <f t="shared" si="44"/>
        <v>43306892.255911671</v>
      </c>
      <c r="Q227" s="176" t="str">
        <f t="shared" si="45"/>
        <v>.</v>
      </c>
      <c r="R227" s="176">
        <f t="shared" si="41"/>
        <v>820000000</v>
      </c>
      <c r="S227" s="176">
        <f>IF(AND(AD227=1,R227&lt;&gt;".")=TRUE,R227/VLOOKUP(G227,'Exchange Rates'!B:C,2,0),IF(R227=".",".",""))</f>
        <v>110268409.44543059</v>
      </c>
      <c r="T227" s="176" t="str">
        <f>IF(AD227=1,IF(AF227="Value is not given at all",".",IF(AF227="Value is given by the source",S227,IF(AF227="Value is calculated with prices",(IF(SUMIFS(Q:Q,A:A,A227)&gt;0,SUMIFS(Q:Q,A:A,A227),"."))/VLOOKUP("USD",'Exchange Rates'!B:C,2,0),"Error with coding"))),"")</f>
        <v>.</v>
      </c>
      <c r="U227" s="15" t="s">
        <v>261</v>
      </c>
      <c r="V227" s="547" t="s">
        <v>917</v>
      </c>
      <c r="W227" s="547" t="s">
        <v>918</v>
      </c>
      <c r="X227" s="547" t="s">
        <v>919</v>
      </c>
      <c r="Y227" s="557" t="s">
        <v>892</v>
      </c>
      <c r="Z227" s="15">
        <v>0</v>
      </c>
      <c r="AA227" s="180">
        <v>0</v>
      </c>
      <c r="AB227" s="669" t="s">
        <v>260</v>
      </c>
      <c r="AC227" s="544" t="str">
        <f>""</f>
        <v/>
      </c>
      <c r="AD227" s="183">
        <v>1</v>
      </c>
      <c r="AE227" s="183" t="s">
        <v>264</v>
      </c>
      <c r="AF227" s="183" t="s">
        <v>265</v>
      </c>
      <c r="AG227" s="183">
        <v>1</v>
      </c>
      <c r="AH227" s="183">
        <v>8</v>
      </c>
      <c r="AI227" s="183">
        <v>0</v>
      </c>
      <c r="AJ227" s="181">
        <f>VLOOKUP($I227,'Price List, Weapons &amp; Items'!B:F,5,0)</f>
        <v>1</v>
      </c>
      <c r="AK227" s="181">
        <f t="shared" si="46"/>
        <v>0</v>
      </c>
      <c r="AL227" s="181">
        <f t="shared" si="47"/>
        <v>1</v>
      </c>
      <c r="AM227" s="181">
        <f t="shared" si="48"/>
        <v>0</v>
      </c>
      <c r="AN227" s="180" t="str">
        <f>VLOOKUP($I227,'Price List, Weapons &amp; Items'!B:L,COLUMN('Price List, Weapons &amp; Items'!$J$11)-1,0)</f>
        <v>Government information</v>
      </c>
      <c r="AO227" s="180" t="str">
        <f>IF(I227=".",".",VLOOKUP($I227,'Price List, Weapons &amp; Items'!B:J,3,0))</f>
        <v>155mm howitzer</v>
      </c>
      <c r="AP227" s="545" t="e">
        <f t="shared" ca="1" si="42"/>
        <v>#NAME?</v>
      </c>
      <c r="AQ227" s="180">
        <f>VLOOKUP($I227,'Price List, Weapons &amp; Items'!B:L,COLUMN('Price List, Weapons &amp; Items'!$L$11)-1,0)</f>
        <v>2</v>
      </c>
      <c r="AR227" s="180">
        <f t="shared" si="49"/>
        <v>1</v>
      </c>
      <c r="AS227" s="180">
        <f t="shared" si="50"/>
        <v>1</v>
      </c>
      <c r="AT227" s="180">
        <f t="shared" si="43"/>
        <v>1</v>
      </c>
      <c r="AU227" s="180" t="str">
        <f t="shared" si="51"/>
        <v>.</v>
      </c>
      <c r="AV227" s="180" t="str">
        <f t="shared" si="52"/>
        <v>.</v>
      </c>
      <c r="AW227" s="180">
        <f>IFERROR(VLOOKUP(B227,'Share, Heavy Weapons to Ukraine'!B:J,COLUMN('Share, Heavy Weapons to Ukraine'!C234)-1,0),0)</f>
        <v>0</v>
      </c>
      <c r="AX227" s="180">
        <f>VLOOKUP('Bilateral Assistance, MAIN DATA'!B227,'Country Summary'!B:F,COLUMN('Country Summary'!C237)-1,FALSE)</f>
        <v>1</v>
      </c>
      <c r="AY227" s="180">
        <f>IF(AND(AD227=1,D227="Military",H227&lt;&gt;"Not given")=TRUE,IF(SUMIFS(P:P,A:A,A227)&gt;0,ABS((SUMIFS(P:P,A:A,A227)/VLOOKUP("USD",'Exchange Rates'!B:C,2,0)))/S227,"."),".")</f>
        <v>0.37403876140750469</v>
      </c>
      <c r="AZ227" s="182">
        <f>IF(AND(AD227=1,D227="Military",H227&lt;&gt;"Not given")=TRUE,IF(SUMIFS(P:P,A:A,A227)&gt;0,IF((ABS((SUMIFS(P:P,A:A,A227)/VLOOKUP("USD",'Exchange Rates'!B:C,2,0)))/S227)&gt;1,(SUMIFS(P:P,A:A,A227)-S227)/S227,(S227-SUMIFS(P:P,A:A,A227))/SUMIFS(P:P,A:A,A227)),"."),".")</f>
        <v>1.5462092452588361</v>
      </c>
      <c r="BA227" s="182"/>
      <c r="BB227" s="182"/>
      <c r="BC227" s="182"/>
      <c r="BD227" s="182"/>
      <c r="BE227" s="182"/>
      <c r="BF227" s="182"/>
      <c r="BG227" s="182"/>
      <c r="BH227" s="182"/>
      <c r="BI227" s="182"/>
      <c r="BJ227" s="182"/>
      <c r="BK227" s="182"/>
      <c r="BL227" s="182"/>
      <c r="BM227" s="182"/>
      <c r="BN227" s="182"/>
      <c r="BO227" s="182"/>
      <c r="BP227" s="182"/>
      <c r="BQ227" s="182"/>
      <c r="BR227" s="182"/>
      <c r="BS227" s="182"/>
    </row>
    <row r="228" spans="1:71" ht="15.9" customHeight="1" x14ac:dyDescent="0.3">
      <c r="A228" s="5" t="s">
        <v>920</v>
      </c>
      <c r="B228" s="5" t="s">
        <v>856</v>
      </c>
      <c r="C228" s="174" t="s">
        <v>921</v>
      </c>
      <c r="D228" s="5" t="s">
        <v>285</v>
      </c>
      <c r="E228" s="5" t="s">
        <v>914</v>
      </c>
      <c r="F228" s="175" t="s">
        <v>922</v>
      </c>
      <c r="G228" s="15" t="s">
        <v>859</v>
      </c>
      <c r="H228" s="176">
        <v>974000000</v>
      </c>
      <c r="I228" s="17" t="s">
        <v>260</v>
      </c>
      <c r="J228" s="113" t="str">
        <f>VLOOKUP($I228,'Price List, Weapons &amp; Items'!B:C,2,0)</f>
        <v>.</v>
      </c>
      <c r="K228" s="113" t="str">
        <f>IF(I228=".",I228,VLOOKUP($I228,'Price List, Weapons &amp; Items'!B:D,3,0))</f>
        <v>.</v>
      </c>
      <c r="L228" s="177">
        <f>VLOOKUP(I228,'Price List, Weapons &amp; Items'!B:E,4,0)</f>
        <v>0</v>
      </c>
      <c r="M228" s="542" t="s">
        <v>260</v>
      </c>
      <c r="N228" s="542" t="s">
        <v>260</v>
      </c>
      <c r="O228" s="543" t="str">
        <f>VLOOKUP($I228,'Price List, Weapons &amp; Items'!B:G,6,0)</f>
        <v>.</v>
      </c>
      <c r="P228" s="176" t="str">
        <f t="shared" si="44"/>
        <v>.</v>
      </c>
      <c r="Q228" s="176" t="str">
        <f t="shared" si="45"/>
        <v>.</v>
      </c>
      <c r="R228" s="176">
        <f t="shared" si="41"/>
        <v>974000000</v>
      </c>
      <c r="S228" s="176">
        <f>IF(AND(AD228=1,R228&lt;&gt;".")=TRUE,R228/VLOOKUP(G228,'Exchange Rates'!B:C,2,0),IF(R228=".",".",""))</f>
        <v>130977354.63396268</v>
      </c>
      <c r="T228" s="176" t="str">
        <f>IF(AD228=1,IF(AF228="Value is not given at all",".",IF(AF228="Value is given by the source",S228,IF(AF228="Value is calculated with prices",(IF(SUMIFS(Q:Q,A:A,A228)&gt;0,SUMIFS(Q:Q,A:A,A228),"."))/VLOOKUP("USD",'Exchange Rates'!B:C,2,0),"Error with coding"))),"")</f>
        <v>.</v>
      </c>
      <c r="U228" s="15" t="s">
        <v>261</v>
      </c>
      <c r="V228" s="305" t="s">
        <v>868</v>
      </c>
      <c r="W228" s="144" t="s">
        <v>260</v>
      </c>
      <c r="X228" s="144" t="s">
        <v>260</v>
      </c>
      <c r="Y228" s="668" t="s">
        <v>260</v>
      </c>
      <c r="Z228" s="15">
        <v>0</v>
      </c>
      <c r="AA228" s="180">
        <v>0</v>
      </c>
      <c r="AB228" s="669" t="s">
        <v>260</v>
      </c>
      <c r="AC228" s="544" t="str">
        <f>""</f>
        <v/>
      </c>
      <c r="AD228" s="183">
        <v>1</v>
      </c>
      <c r="AE228" s="183" t="s">
        <v>264</v>
      </c>
      <c r="AF228" s="183" t="s">
        <v>265</v>
      </c>
      <c r="AG228" s="183">
        <v>1</v>
      </c>
      <c r="AH228" s="183">
        <v>9</v>
      </c>
      <c r="AI228" s="183">
        <v>0</v>
      </c>
      <c r="AJ228" s="181">
        <f>VLOOKUP($I228,'Price List, Weapons &amp; Items'!B:F,5,0)</f>
        <v>0</v>
      </c>
      <c r="AK228" s="181">
        <f t="shared" si="46"/>
        <v>0</v>
      </c>
      <c r="AL228" s="181">
        <f t="shared" si="47"/>
        <v>0</v>
      </c>
      <c r="AM228" s="181">
        <f t="shared" si="48"/>
        <v>0</v>
      </c>
      <c r="AN228" s="180" t="str">
        <f>VLOOKUP($I228,'Price List, Weapons &amp; Items'!B:L,COLUMN('Price List, Weapons &amp; Items'!$J$11)-1,0)</f>
        <v>.</v>
      </c>
      <c r="AO228" s="180" t="str">
        <f>IF(I228=".",".",VLOOKUP($I228,'Price List, Weapons &amp; Items'!B:J,3,0))</f>
        <v>.</v>
      </c>
      <c r="AP228" s="545" t="e">
        <f t="shared" ca="1" si="42"/>
        <v>#NAME?</v>
      </c>
      <c r="AQ228" s="180" t="str">
        <f>VLOOKUP($I228,'Price List, Weapons &amp; Items'!B:L,COLUMN('Price List, Weapons &amp; Items'!$L$11)-1,0)</f>
        <v>no price, 0 count</v>
      </c>
      <c r="AR228" s="180">
        <f t="shared" si="49"/>
        <v>1</v>
      </c>
      <c r="AS228" s="180">
        <f t="shared" si="50"/>
        <v>1</v>
      </c>
      <c r="AT228" s="180" t="str">
        <f t="shared" si="43"/>
        <v>Value is not in date format</v>
      </c>
      <c r="AU228" s="180" t="str">
        <f t="shared" si="51"/>
        <v>.</v>
      </c>
      <c r="AV228" s="180" t="str">
        <f t="shared" si="52"/>
        <v>.</v>
      </c>
      <c r="AW228" s="180">
        <f>IFERROR(VLOOKUP(B228,'Share, Heavy Weapons to Ukraine'!B:J,COLUMN('Share, Heavy Weapons to Ukraine'!C235)-1,0),0)</f>
        <v>0</v>
      </c>
      <c r="AX228" s="180">
        <f>VLOOKUP('Bilateral Assistance, MAIN DATA'!B228,'Country Summary'!B:F,COLUMN('Country Summary'!C238)-1,FALSE)</f>
        <v>1</v>
      </c>
      <c r="AY228" s="180" t="str">
        <f>IF(AND(AD228=1,D228="Military",H228&lt;&gt;"Not given")=TRUE,IF(SUMIFS(P:P,A:A,A228)&gt;0,ABS((SUMIFS(P:P,A:A,A228)/VLOOKUP("USD",'Exchange Rates'!B:C,2,0)))/S228,"."),".")</f>
        <v>.</v>
      </c>
      <c r="AZ228" s="182" t="str">
        <f>IF(AND(AD228=1,D228="Military",H228&lt;&gt;"Not given")=TRUE,IF(SUMIFS(P:P,A:A,A228)&gt;0,IF((ABS((SUMIFS(P:P,A:A,A228)/VLOOKUP("USD",'Exchange Rates'!B:C,2,0)))/S228)&gt;1,(SUMIFS(P:P,A:A,A228)-S228)/S228,(S228-SUMIFS(P:P,A:A,A228))/SUMIFS(P:P,A:A,A228)),"."),".")</f>
        <v>.</v>
      </c>
      <c r="BA228" s="182"/>
      <c r="BB228" s="182"/>
      <c r="BC228" s="182"/>
      <c r="BD228" s="182"/>
      <c r="BE228" s="182"/>
      <c r="BF228" s="182"/>
      <c r="BG228" s="182"/>
      <c r="BH228" s="182"/>
      <c r="BI228" s="182"/>
      <c r="BJ228" s="182"/>
      <c r="BK228" s="182"/>
      <c r="BL228" s="182"/>
      <c r="BM228" s="182"/>
      <c r="BN228" s="182"/>
      <c r="BO228" s="182"/>
      <c r="BP228" s="182"/>
      <c r="BQ228" s="182"/>
      <c r="BR228" s="182"/>
      <c r="BS228" s="182"/>
    </row>
    <row r="229" spans="1:71" ht="15.9" customHeight="1" x14ac:dyDescent="0.3">
      <c r="A229" s="19" t="s">
        <v>923</v>
      </c>
      <c r="B229" s="19" t="s">
        <v>856</v>
      </c>
      <c r="C229" s="198">
        <v>44916</v>
      </c>
      <c r="D229" s="19" t="s">
        <v>285</v>
      </c>
      <c r="E229" s="19" t="s">
        <v>914</v>
      </c>
      <c r="F229" s="19" t="s">
        <v>924</v>
      </c>
      <c r="G229" s="199" t="s">
        <v>364</v>
      </c>
      <c r="H229" s="19">
        <v>42800000</v>
      </c>
      <c r="I229" s="19" t="s">
        <v>260</v>
      </c>
      <c r="J229" s="113" t="str">
        <f>VLOOKUP($I229,'Price List, Weapons &amp; Items'!B:C,2,0)</f>
        <v>.</v>
      </c>
      <c r="K229" s="113" t="str">
        <f>IF(I229=".",I229,VLOOKUP($I229,'Price List, Weapons &amp; Items'!B:D,3,0))</f>
        <v>.</v>
      </c>
      <c r="L229" s="177">
        <f>VLOOKUP(I229,'Price List, Weapons &amp; Items'!B:E,4,0)</f>
        <v>0</v>
      </c>
      <c r="M229" s="247" t="s">
        <v>260</v>
      </c>
      <c r="N229" s="247" t="s">
        <v>260</v>
      </c>
      <c r="O229" s="543" t="str">
        <f>VLOOKUP($I229,'Price List, Weapons &amp; Items'!B:G,6,0)</f>
        <v>.</v>
      </c>
      <c r="P229" s="176" t="str">
        <f t="shared" si="44"/>
        <v>.</v>
      </c>
      <c r="Q229" s="176" t="str">
        <f t="shared" si="45"/>
        <v>.</v>
      </c>
      <c r="R229" s="176">
        <f t="shared" si="41"/>
        <v>42800000</v>
      </c>
      <c r="S229" s="176">
        <f>IF(AND(AD229=1,R229&lt;&gt;".")=TRUE,R229/VLOOKUP(G229,'Exchange Rates'!B:C,2,0),IF(R229=".",".",""))</f>
        <v>42800000</v>
      </c>
      <c r="T229" s="176" t="str">
        <f>IF(AD229=1,IF(AF229="Value is not given at all",".",IF(AF229="Value is given by the source",S229,IF(AF229="Value is calculated with prices",(IF(SUMIFS(Q:Q,A:A,A229)&gt;0,SUMIFS(Q:Q,A:A,A229),"."))/VLOOKUP("USD",'Exchange Rates'!B:C,2,0),"Error with coding"))),"")</f>
        <v>.</v>
      </c>
      <c r="U229" s="15" t="s">
        <v>261</v>
      </c>
      <c r="V229" s="304" t="s">
        <v>925</v>
      </c>
      <c r="W229" s="304" t="s">
        <v>868</v>
      </c>
      <c r="X229" s="19" t="s">
        <v>260</v>
      </c>
      <c r="Y229" s="19" t="s">
        <v>260</v>
      </c>
      <c r="Z229" s="15">
        <v>0</v>
      </c>
      <c r="AA229" s="180">
        <v>1</v>
      </c>
      <c r="AB229" s="19" t="s">
        <v>260</v>
      </c>
      <c r="AC229" s="664" t="s">
        <v>27</v>
      </c>
      <c r="AD229" s="183">
        <v>1</v>
      </c>
      <c r="AE229" s="19" t="s">
        <v>264</v>
      </c>
      <c r="AF229" s="19" t="s">
        <v>265</v>
      </c>
      <c r="AG229" s="183">
        <v>1</v>
      </c>
      <c r="AH229" s="199">
        <v>12</v>
      </c>
      <c r="AI229" s="183">
        <v>0</v>
      </c>
      <c r="AJ229" s="181">
        <f>VLOOKUP($I229,'Price List, Weapons &amp; Items'!B:F,5,0)</f>
        <v>0</v>
      </c>
      <c r="AK229" s="181">
        <f t="shared" si="46"/>
        <v>0</v>
      </c>
      <c r="AL229" s="181">
        <f t="shared" si="47"/>
        <v>0</v>
      </c>
      <c r="AM229" s="181">
        <f t="shared" si="48"/>
        <v>0</v>
      </c>
      <c r="AN229" s="180" t="str">
        <f>VLOOKUP($I229,'Price List, Weapons &amp; Items'!B:L,COLUMN('Price List, Weapons &amp; Items'!$J$11)-1,0)</f>
        <v>.</v>
      </c>
      <c r="AO229" s="180" t="str">
        <f>IF(I229=".",".",VLOOKUP($I229,'Price List, Weapons &amp; Items'!B:J,3,0))</f>
        <v>.</v>
      </c>
      <c r="AP229" s="545" t="e">
        <f t="shared" ca="1" si="42"/>
        <v>#NAME?</v>
      </c>
      <c r="AQ229" s="180" t="str">
        <f>VLOOKUP($I229,'Price List, Weapons &amp; Items'!B:L,COLUMN('Price List, Weapons &amp; Items'!$L$11)-1,0)</f>
        <v>no price, 0 count</v>
      </c>
      <c r="AR229" s="180">
        <f t="shared" si="49"/>
        <v>1</v>
      </c>
      <c r="AS229" s="180">
        <f t="shared" si="50"/>
        <v>1</v>
      </c>
      <c r="AT229" s="180">
        <f t="shared" si="43"/>
        <v>1</v>
      </c>
      <c r="AU229" s="180" t="str">
        <f t="shared" si="51"/>
        <v>.</v>
      </c>
      <c r="AV229" s="180" t="str">
        <f t="shared" si="52"/>
        <v>.</v>
      </c>
      <c r="AW229" s="180">
        <f>IFERROR(VLOOKUP(B229,'Share, Heavy Weapons to Ukraine'!B:J,COLUMN('Share, Heavy Weapons to Ukraine'!C236)-1,0),0)</f>
        <v>0</v>
      </c>
      <c r="AX229" s="180">
        <f>VLOOKUP('Bilateral Assistance, MAIN DATA'!B229,'Country Summary'!B:F,COLUMN('Country Summary'!C239)-1,FALSE)</f>
        <v>1</v>
      </c>
      <c r="AY229" s="180" t="str">
        <f>IF(AND(AD229=1,D229="Military",H229&lt;&gt;"Not given")=TRUE,IF(SUMIFS(P:P,A:A,A229)&gt;0,ABS((SUMIFS(P:P,A:A,A229)/VLOOKUP("USD",'Exchange Rates'!B:C,2,0)))/S229,"."),".")</f>
        <v>.</v>
      </c>
      <c r="AZ229" s="182" t="str">
        <f>IF(AND(AD229=1,D229="Military",H229&lt;&gt;"Not given")=TRUE,IF(SUMIFS(P:P,A:A,A229)&gt;0,IF((ABS((SUMIFS(P:P,A:A,A229)/VLOOKUP("USD",'Exchange Rates'!B:C,2,0)))/S229)&gt;1,(SUMIFS(P:P,A:A,A229)-S229)/S229,(S229-SUMIFS(P:P,A:A,A229))/SUMIFS(P:P,A:A,A229)),"."),".")</f>
        <v>.</v>
      </c>
      <c r="BA229" s="182"/>
      <c r="BB229" s="182"/>
      <c r="BC229" s="182"/>
      <c r="BD229" s="182"/>
      <c r="BE229" s="182"/>
      <c r="BF229" s="182"/>
      <c r="BG229" s="182"/>
      <c r="BH229" s="182"/>
      <c r="BI229" s="182"/>
      <c r="BJ229" s="182"/>
      <c r="BK229" s="182"/>
      <c r="BL229" s="182"/>
      <c r="BM229" s="182"/>
      <c r="BN229" s="182"/>
      <c r="BO229" s="182"/>
      <c r="BP229" s="182"/>
      <c r="BQ229" s="182"/>
      <c r="BR229" s="182"/>
      <c r="BS229" s="182"/>
    </row>
    <row r="230" spans="1:71" ht="15.9" customHeight="1" x14ac:dyDescent="0.3">
      <c r="A230" s="19" t="s">
        <v>926</v>
      </c>
      <c r="B230" s="19" t="s">
        <v>856</v>
      </c>
      <c r="C230" s="198">
        <v>44916</v>
      </c>
      <c r="D230" s="19" t="s">
        <v>285</v>
      </c>
      <c r="E230" s="19" t="s">
        <v>914</v>
      </c>
      <c r="F230" s="19" t="s">
        <v>927</v>
      </c>
      <c r="G230" s="199" t="s">
        <v>364</v>
      </c>
      <c r="H230" s="19">
        <v>10000000</v>
      </c>
      <c r="I230" s="19" t="s">
        <v>260</v>
      </c>
      <c r="J230" s="113" t="str">
        <f>VLOOKUP($I230,'Price List, Weapons &amp; Items'!B:C,2,0)</f>
        <v>.</v>
      </c>
      <c r="K230" s="113" t="str">
        <f>IF(I230=".",I230,VLOOKUP($I230,'Price List, Weapons &amp; Items'!B:D,3,0))</f>
        <v>.</v>
      </c>
      <c r="L230" s="177">
        <f>VLOOKUP(I230,'Price List, Weapons &amp; Items'!B:E,4,0)</f>
        <v>0</v>
      </c>
      <c r="M230" s="247" t="s">
        <v>260</v>
      </c>
      <c r="N230" s="247" t="s">
        <v>260</v>
      </c>
      <c r="O230" s="543" t="str">
        <f>VLOOKUP($I230,'Price List, Weapons &amp; Items'!B:G,6,0)</f>
        <v>.</v>
      </c>
      <c r="P230" s="176" t="str">
        <f t="shared" si="44"/>
        <v>.</v>
      </c>
      <c r="Q230" s="176" t="str">
        <f t="shared" si="45"/>
        <v>.</v>
      </c>
      <c r="R230" s="176">
        <f t="shared" si="41"/>
        <v>10000000</v>
      </c>
      <c r="S230" s="176">
        <f>IF(AND(AD230=1,R230&lt;&gt;".")=TRUE,R230/VLOOKUP(G230,'Exchange Rates'!B:C,2,0),IF(R230=".",".",""))</f>
        <v>10000000</v>
      </c>
      <c r="T230" s="176" t="str">
        <f>IF(AD230=1,IF(AF230="Value is not given at all",".",IF(AF230="Value is given by the source",S230,IF(AF230="Value is calculated with prices",(IF(SUMIFS(Q:Q,A:A,A230)&gt;0,SUMIFS(Q:Q,A:A,A230),"."))/VLOOKUP("USD",'Exchange Rates'!B:C,2,0),"Error with coding"))),"")</f>
        <v>.</v>
      </c>
      <c r="U230" s="15" t="s">
        <v>261</v>
      </c>
      <c r="V230" s="304" t="s">
        <v>925</v>
      </c>
      <c r="W230" s="304" t="s">
        <v>868</v>
      </c>
      <c r="X230" s="19" t="s">
        <v>260</v>
      </c>
      <c r="Y230" s="19" t="s">
        <v>260</v>
      </c>
      <c r="Z230" s="15">
        <v>0</v>
      </c>
      <c r="AA230" s="180">
        <v>1</v>
      </c>
      <c r="AB230" s="19" t="s">
        <v>260</v>
      </c>
      <c r="AC230" s="664" t="s">
        <v>27</v>
      </c>
      <c r="AD230" s="183">
        <v>1</v>
      </c>
      <c r="AE230" s="19" t="s">
        <v>264</v>
      </c>
      <c r="AF230" s="19" t="s">
        <v>265</v>
      </c>
      <c r="AG230" s="183">
        <v>1</v>
      </c>
      <c r="AH230" s="199">
        <v>12</v>
      </c>
      <c r="AI230" s="183">
        <v>0</v>
      </c>
      <c r="AJ230" s="181">
        <f>VLOOKUP($I230,'Price List, Weapons &amp; Items'!B:F,5,0)</f>
        <v>0</v>
      </c>
      <c r="AK230" s="181">
        <f t="shared" si="46"/>
        <v>0</v>
      </c>
      <c r="AL230" s="181">
        <f t="shared" si="47"/>
        <v>0</v>
      </c>
      <c r="AM230" s="181">
        <f t="shared" si="48"/>
        <v>0</v>
      </c>
      <c r="AN230" s="180" t="str">
        <f>VLOOKUP($I230,'Price List, Weapons &amp; Items'!B:L,COLUMN('Price List, Weapons &amp; Items'!$J$11)-1,0)</f>
        <v>.</v>
      </c>
      <c r="AO230" s="180" t="str">
        <f>IF(I230=".",".",VLOOKUP($I230,'Price List, Weapons &amp; Items'!B:J,3,0))</f>
        <v>.</v>
      </c>
      <c r="AP230" s="545" t="e">
        <f t="shared" ca="1" si="42"/>
        <v>#NAME?</v>
      </c>
      <c r="AQ230" s="180" t="str">
        <f>VLOOKUP($I230,'Price List, Weapons &amp; Items'!B:L,COLUMN('Price List, Weapons &amp; Items'!$L$11)-1,0)</f>
        <v>no price, 0 count</v>
      </c>
      <c r="AR230" s="180">
        <f t="shared" si="49"/>
        <v>1</v>
      </c>
      <c r="AS230" s="180">
        <f t="shared" si="50"/>
        <v>1</v>
      </c>
      <c r="AT230" s="180">
        <f t="shared" si="43"/>
        <v>1</v>
      </c>
      <c r="AU230" s="180" t="str">
        <f t="shared" si="51"/>
        <v>.</v>
      </c>
      <c r="AV230" s="180" t="str">
        <f t="shared" si="52"/>
        <v>.</v>
      </c>
      <c r="AW230" s="180">
        <f>IFERROR(VLOOKUP(B230,'Share, Heavy Weapons to Ukraine'!B:J,COLUMN('Share, Heavy Weapons to Ukraine'!C237)-1,0),0)</f>
        <v>0</v>
      </c>
      <c r="AX230" s="180">
        <f>VLOOKUP('Bilateral Assistance, MAIN DATA'!B230,'Country Summary'!B:F,COLUMN('Country Summary'!C240)-1,FALSE)</f>
        <v>1</v>
      </c>
      <c r="AY230" s="180" t="str">
        <f>IF(AND(AD230=1,D230="Military",H230&lt;&gt;"Not given")=TRUE,IF(SUMIFS(P:P,A:A,A230)&gt;0,ABS((SUMIFS(P:P,A:A,A230)/VLOOKUP("USD",'Exchange Rates'!B:C,2,0)))/S230,"."),".")</f>
        <v>.</v>
      </c>
      <c r="AZ230" s="182" t="str">
        <f>IF(AND(AD230=1,D230="Military",H230&lt;&gt;"Not given")=TRUE,IF(SUMIFS(P:P,A:A,A230)&gt;0,IF((ABS((SUMIFS(P:P,A:A,A230)/VLOOKUP("USD",'Exchange Rates'!B:C,2,0)))/S230)&gt;1,(SUMIFS(P:P,A:A,A230)-S230)/S230,(S230-SUMIFS(P:P,A:A,A230))/SUMIFS(P:P,A:A,A230)),"."),".")</f>
        <v>.</v>
      </c>
      <c r="BA230" s="182"/>
      <c r="BB230" s="182"/>
      <c r="BC230" s="182"/>
      <c r="BD230" s="182"/>
      <c r="BE230" s="182"/>
      <c r="BF230" s="182"/>
      <c r="BG230" s="182"/>
      <c r="BH230" s="182"/>
      <c r="BI230" s="182"/>
      <c r="BJ230" s="182"/>
      <c r="BK230" s="182"/>
      <c r="BL230" s="182"/>
      <c r="BM230" s="182"/>
      <c r="BN230" s="182"/>
      <c r="BO230" s="182"/>
      <c r="BP230" s="182"/>
      <c r="BQ230" s="182"/>
      <c r="BR230" s="182"/>
      <c r="BS230" s="182"/>
    </row>
    <row r="231" spans="1:71" ht="15.9" customHeight="1" x14ac:dyDescent="0.3">
      <c r="A231" s="17" t="s">
        <v>928</v>
      </c>
      <c r="B231" s="17" t="s">
        <v>856</v>
      </c>
      <c r="C231" s="174">
        <v>44627</v>
      </c>
      <c r="D231" s="5" t="s">
        <v>405</v>
      </c>
      <c r="E231" s="5" t="s">
        <v>362</v>
      </c>
      <c r="F231" s="175" t="s">
        <v>929</v>
      </c>
      <c r="G231" s="15" t="s">
        <v>364</v>
      </c>
      <c r="H231" s="176">
        <v>20000000</v>
      </c>
      <c r="I231" s="17" t="s">
        <v>260</v>
      </c>
      <c r="J231" s="113" t="str">
        <f>VLOOKUP($I231,'Price List, Weapons &amp; Items'!B:C,2,0)</f>
        <v>.</v>
      </c>
      <c r="K231" s="113" t="str">
        <f>IF(I231=".",I231,VLOOKUP($I231,'Price List, Weapons &amp; Items'!B:D,3,0))</f>
        <v>.</v>
      </c>
      <c r="L231" s="177">
        <f>VLOOKUP(I231,'Price List, Weapons &amp; Items'!B:E,4,0)</f>
        <v>0</v>
      </c>
      <c r="M231" s="542" t="s">
        <v>260</v>
      </c>
      <c r="N231" s="542" t="s">
        <v>260</v>
      </c>
      <c r="O231" s="543" t="str">
        <f>VLOOKUP($I231,'Price List, Weapons &amp; Items'!B:G,6,0)</f>
        <v>.</v>
      </c>
      <c r="P231" s="176" t="str">
        <f t="shared" si="44"/>
        <v>.</v>
      </c>
      <c r="Q231" s="176" t="str">
        <f t="shared" si="45"/>
        <v>.</v>
      </c>
      <c r="R231" s="176">
        <f t="shared" si="41"/>
        <v>20000000</v>
      </c>
      <c r="S231" s="176">
        <f>IF(AND(AD231=1,R231&lt;&gt;".")=TRUE,R231/VLOOKUP(G231,'Exchange Rates'!B:C,2,0),IF(R231=".",".",""))</f>
        <v>20000000</v>
      </c>
      <c r="T231" s="176" t="str">
        <f>IF(AD231=1,IF(AF231="Value is not given at all",".",IF(AF231="Value is given by the source",S231,IF(AF231="Value is calculated with prices",(IF(SUMIFS(Q:Q,A:A,A231)&gt;0,SUMIFS(Q:Q,A:A,A231),"."))/VLOOKUP("USD",'Exchange Rates'!B:C,2,0),"Error with coding"))),"")</f>
        <v>.</v>
      </c>
      <c r="U231" s="15" t="s">
        <v>261</v>
      </c>
      <c r="V231" s="300" t="s">
        <v>930</v>
      </c>
      <c r="W231" s="300" t="s">
        <v>931</v>
      </c>
      <c r="X231" s="175" t="s">
        <v>260</v>
      </c>
      <c r="Y231" s="175" t="s">
        <v>260</v>
      </c>
      <c r="Z231" s="15">
        <v>1</v>
      </c>
      <c r="AA231" s="180">
        <v>0</v>
      </c>
      <c r="AB231" s="184" t="s">
        <v>260</v>
      </c>
      <c r="AC231" s="544" t="str">
        <f>""</f>
        <v/>
      </c>
      <c r="AD231" s="181">
        <v>1</v>
      </c>
      <c r="AE231" s="181" t="s">
        <v>264</v>
      </c>
      <c r="AF231" s="181" t="s">
        <v>265</v>
      </c>
      <c r="AG231" s="181">
        <v>1</v>
      </c>
      <c r="AH231" s="181">
        <v>3</v>
      </c>
      <c r="AI231" s="181">
        <v>0</v>
      </c>
      <c r="AJ231" s="181">
        <f>VLOOKUP($I231,'Price List, Weapons &amp; Items'!B:F,5,0)</f>
        <v>0</v>
      </c>
      <c r="AK231" s="181">
        <f t="shared" si="46"/>
        <v>0</v>
      </c>
      <c r="AL231" s="181">
        <f t="shared" si="47"/>
        <v>0</v>
      </c>
      <c r="AM231" s="181">
        <f t="shared" si="48"/>
        <v>0</v>
      </c>
      <c r="AN231" s="180" t="str">
        <f>VLOOKUP($I231,'Price List, Weapons &amp; Items'!B:L,COLUMN('Price List, Weapons &amp; Items'!$J$11)-1,0)</f>
        <v>.</v>
      </c>
      <c r="AO231" s="180" t="str">
        <f>IF(I231=".",".",VLOOKUP($I231,'Price List, Weapons &amp; Items'!B:J,3,0))</f>
        <v>.</v>
      </c>
      <c r="AP231" s="545" t="e">
        <f t="shared" ca="1" si="42"/>
        <v>#NAME?</v>
      </c>
      <c r="AQ231" s="180" t="str">
        <f>VLOOKUP($I231,'Price List, Weapons &amp; Items'!B:L,COLUMN('Price List, Weapons &amp; Items'!$L$11)-1,0)</f>
        <v>no price, 0 count</v>
      </c>
      <c r="AR231" s="180">
        <f t="shared" si="49"/>
        <v>1</v>
      </c>
      <c r="AS231" s="180">
        <f t="shared" si="50"/>
        <v>0</v>
      </c>
      <c r="AT231" s="180">
        <f t="shared" si="43"/>
        <v>1</v>
      </c>
      <c r="AU231" s="180" t="str">
        <f t="shared" si="51"/>
        <v>.</v>
      </c>
      <c r="AV231" s="180" t="str">
        <f t="shared" si="52"/>
        <v>.</v>
      </c>
      <c r="AW231" s="180">
        <f>IFERROR(VLOOKUP(B231,'Share, Heavy Weapons to Ukraine'!B:J,COLUMN('Share, Heavy Weapons to Ukraine'!C238)-1,0),0)</f>
        <v>0</v>
      </c>
      <c r="AX231" s="180">
        <f>VLOOKUP('Bilateral Assistance, MAIN DATA'!B231,'Country Summary'!B:F,COLUMN('Country Summary'!C241)-1,FALSE)</f>
        <v>1</v>
      </c>
      <c r="AY231" s="180" t="str">
        <f>IF(AND(AD231=1,D231="Military",H231&lt;&gt;"Not given")=TRUE,IF(SUMIFS(P:P,A:A,A231)&gt;0,ABS((SUMIFS(P:P,A:A,A231)/VLOOKUP("USD",'Exchange Rates'!B:C,2,0)))/S231,"."),".")</f>
        <v>.</v>
      </c>
      <c r="AZ231" s="182" t="str">
        <f>IF(AND(AD231=1,D231="Military",H231&lt;&gt;"Not given")=TRUE,IF(SUMIFS(P:P,A:A,A231)&gt;0,IF((ABS((SUMIFS(P:P,A:A,A231)/VLOOKUP("USD",'Exchange Rates'!B:C,2,0)))/S231)&gt;1,(SUMIFS(P:P,A:A,A231)-S231)/S231,(S231-SUMIFS(P:P,A:A,A231))/SUMIFS(P:P,A:A,A231)),"."),".")</f>
        <v>.</v>
      </c>
      <c r="BA231" s="182"/>
      <c r="BB231" s="182"/>
      <c r="BC231" s="182"/>
      <c r="BD231" s="182"/>
      <c r="BE231" s="182"/>
      <c r="BF231" s="182"/>
      <c r="BG231" s="182"/>
      <c r="BH231" s="182"/>
      <c r="BI231" s="182"/>
      <c r="BJ231" s="182"/>
      <c r="BK231" s="182"/>
      <c r="BL231" s="182"/>
      <c r="BM231" s="182"/>
      <c r="BN231" s="182"/>
      <c r="BO231" s="182"/>
      <c r="BP231" s="182"/>
      <c r="BQ231" s="182"/>
      <c r="BR231" s="182"/>
      <c r="BS231" s="182"/>
    </row>
    <row r="232" spans="1:71" ht="15.9" customHeight="1" x14ac:dyDescent="0.3">
      <c r="A232" s="17" t="s">
        <v>932</v>
      </c>
      <c r="B232" s="17" t="s">
        <v>856</v>
      </c>
      <c r="C232" s="174">
        <v>44834</v>
      </c>
      <c r="D232" s="5" t="s">
        <v>405</v>
      </c>
      <c r="E232" s="5" t="s">
        <v>362</v>
      </c>
      <c r="F232" s="175" t="s">
        <v>933</v>
      </c>
      <c r="G232" s="15" t="s">
        <v>364</v>
      </c>
      <c r="H232" s="176">
        <v>37500000</v>
      </c>
      <c r="I232" s="17" t="s">
        <v>260</v>
      </c>
      <c r="J232" s="113" t="str">
        <f>VLOOKUP($I232,'Price List, Weapons &amp; Items'!B:C,2,0)</f>
        <v>.</v>
      </c>
      <c r="K232" s="113" t="str">
        <f>IF(I232=".",I232,VLOOKUP($I232,'Price List, Weapons &amp; Items'!B:D,3,0))</f>
        <v>.</v>
      </c>
      <c r="L232" s="177">
        <f>VLOOKUP(I232,'Price List, Weapons &amp; Items'!B:E,4,0)</f>
        <v>0</v>
      </c>
      <c r="M232" s="542" t="s">
        <v>260</v>
      </c>
      <c r="N232" s="542" t="s">
        <v>260</v>
      </c>
      <c r="O232" s="543" t="str">
        <f>VLOOKUP($I232,'Price List, Weapons &amp; Items'!B:G,6,0)</f>
        <v>.</v>
      </c>
      <c r="P232" s="176" t="str">
        <f t="shared" si="44"/>
        <v>.</v>
      </c>
      <c r="Q232" s="176" t="str">
        <f t="shared" si="45"/>
        <v>.</v>
      </c>
      <c r="R232" s="176">
        <f t="shared" si="41"/>
        <v>37500000</v>
      </c>
      <c r="S232" s="176">
        <f>IF(AND(AD232=1,R232&lt;&gt;".")=TRUE,R232/VLOOKUP(G232,'Exchange Rates'!B:C,2,0),IF(R232=".",".",""))</f>
        <v>37500000</v>
      </c>
      <c r="T232" s="176" t="str">
        <f>IF(AD232=1,IF(AF232="Value is not given at all",".",IF(AF232="Value is given by the source",S232,IF(AF232="Value is calculated with prices",(IF(SUMIFS(Q:Q,A:A,A232)&gt;0,SUMIFS(Q:Q,A:A,A232),"."))/VLOOKUP("USD",'Exchange Rates'!B:C,2,0),"Error with coding"))),"")</f>
        <v>.</v>
      </c>
      <c r="U232" s="15" t="s">
        <v>261</v>
      </c>
      <c r="V232" s="300" t="s">
        <v>868</v>
      </c>
      <c r="W232" s="300" t="s">
        <v>934</v>
      </c>
      <c r="X232" s="305" t="s">
        <v>935</v>
      </c>
      <c r="Y232" s="305" t="s">
        <v>868</v>
      </c>
      <c r="Z232" s="15">
        <v>1</v>
      </c>
      <c r="AA232" s="180">
        <v>0</v>
      </c>
      <c r="AB232" s="184" t="s">
        <v>260</v>
      </c>
      <c r="AC232" s="544" t="str">
        <f>""</f>
        <v/>
      </c>
      <c r="AD232" s="181">
        <v>1</v>
      </c>
      <c r="AE232" s="181" t="s">
        <v>264</v>
      </c>
      <c r="AF232" s="181" t="s">
        <v>265</v>
      </c>
      <c r="AG232" s="181">
        <v>1</v>
      </c>
      <c r="AH232" s="181">
        <v>9</v>
      </c>
      <c r="AI232" s="181">
        <v>0</v>
      </c>
      <c r="AJ232" s="181">
        <f>VLOOKUP($I232,'Price List, Weapons &amp; Items'!B:F,5,0)</f>
        <v>0</v>
      </c>
      <c r="AK232" s="181">
        <f t="shared" si="46"/>
        <v>0</v>
      </c>
      <c r="AL232" s="181">
        <f t="shared" si="47"/>
        <v>0</v>
      </c>
      <c r="AM232" s="181">
        <f t="shared" si="48"/>
        <v>0</v>
      </c>
      <c r="AN232" s="180" t="str">
        <f>VLOOKUP($I232,'Price List, Weapons &amp; Items'!B:L,COLUMN('Price List, Weapons &amp; Items'!$J$11)-1,0)</f>
        <v>.</v>
      </c>
      <c r="AO232" s="180" t="str">
        <f>IF(I232=".",".",VLOOKUP($I232,'Price List, Weapons &amp; Items'!B:J,3,0))</f>
        <v>.</v>
      </c>
      <c r="AP232" s="545" t="e">
        <f t="shared" ca="1" si="42"/>
        <v>#NAME?</v>
      </c>
      <c r="AQ232" s="180" t="str">
        <f>VLOOKUP($I232,'Price List, Weapons &amp; Items'!B:L,COLUMN('Price List, Weapons &amp; Items'!$L$11)-1,0)</f>
        <v>no price, 0 count</v>
      </c>
      <c r="AR232" s="180">
        <f t="shared" si="49"/>
        <v>1</v>
      </c>
      <c r="AS232" s="180">
        <f t="shared" si="50"/>
        <v>0</v>
      </c>
      <c r="AT232" s="180">
        <f t="shared" si="43"/>
        <v>1</v>
      </c>
      <c r="AU232" s="180" t="str">
        <f t="shared" si="51"/>
        <v>.</v>
      </c>
      <c r="AV232" s="180" t="str">
        <f t="shared" si="52"/>
        <v>.</v>
      </c>
      <c r="AW232" s="180">
        <f>IFERROR(VLOOKUP(B232,'Share, Heavy Weapons to Ukraine'!B:J,COLUMN('Share, Heavy Weapons to Ukraine'!C239)-1,0),0)</f>
        <v>0</v>
      </c>
      <c r="AX232" s="180">
        <f>VLOOKUP('Bilateral Assistance, MAIN DATA'!B232,'Country Summary'!B:F,COLUMN('Country Summary'!C242)-1,FALSE)</f>
        <v>1</v>
      </c>
      <c r="AY232" s="180" t="str">
        <f>IF(AND(AD232=1,D232="Military",H232&lt;&gt;"Not given")=TRUE,IF(SUMIFS(P:P,A:A,A232)&gt;0,ABS((SUMIFS(P:P,A:A,A232)/VLOOKUP("USD",'Exchange Rates'!B:C,2,0)))/S232,"."),".")</f>
        <v>.</v>
      </c>
      <c r="AZ232" s="182" t="str">
        <f>IF(AND(AD232=1,D232="Military",H232&lt;&gt;"Not given")=TRUE,IF(SUMIFS(P:P,A:A,A232)&gt;0,IF((ABS((SUMIFS(P:P,A:A,A232)/VLOOKUP("USD",'Exchange Rates'!B:C,2,0)))/S232)&gt;1,(SUMIFS(P:P,A:A,A232)-S232)/S232,(S232-SUMIFS(P:P,A:A,A232))/SUMIFS(P:P,A:A,A232)),"."),".")</f>
        <v>.</v>
      </c>
      <c r="BA232" s="182"/>
      <c r="BB232" s="182"/>
      <c r="BC232" s="182"/>
      <c r="BD232" s="182"/>
      <c r="BE232" s="182"/>
      <c r="BF232" s="182"/>
      <c r="BG232" s="182"/>
      <c r="BH232" s="182"/>
      <c r="BI232" s="182"/>
      <c r="BJ232" s="182"/>
      <c r="BK232" s="182"/>
      <c r="BL232" s="182"/>
      <c r="BM232" s="182"/>
      <c r="BN232" s="182"/>
      <c r="BO232" s="182"/>
      <c r="BP232" s="182"/>
      <c r="BQ232" s="182"/>
      <c r="BR232" s="182"/>
      <c r="BS232" s="182"/>
    </row>
    <row r="233" spans="1:71" ht="15.9" customHeight="1" x14ac:dyDescent="0.3">
      <c r="A233" s="5" t="s">
        <v>936</v>
      </c>
      <c r="B233" s="5" t="s">
        <v>937</v>
      </c>
      <c r="C233" s="174" t="s">
        <v>938</v>
      </c>
      <c r="D233" s="5" t="s">
        <v>285</v>
      </c>
      <c r="E233" s="5" t="s">
        <v>286</v>
      </c>
      <c r="F233" s="175" t="s">
        <v>939</v>
      </c>
      <c r="G233" s="15" t="s">
        <v>364</v>
      </c>
      <c r="H233" s="176">
        <v>240000000</v>
      </c>
      <c r="I233" s="17" t="s">
        <v>940</v>
      </c>
      <c r="J233" s="113" t="str">
        <f>VLOOKUP($I233,'Price List, Weapons &amp; Items'!B:C,2,0)</f>
        <v>Military equipment</v>
      </c>
      <c r="K233" s="113" t="str">
        <f>IF(I233=".",I233,VLOOKUP($I233,'Price List, Weapons &amp; Items'!B:D,3,0))</f>
        <v>Military equipment</v>
      </c>
      <c r="L233" s="177">
        <f>VLOOKUP(I233,'Price List, Weapons &amp; Items'!B:E,4,0)</f>
        <v>0</v>
      </c>
      <c r="M233" s="542">
        <v>25000</v>
      </c>
      <c r="N233" s="542">
        <f t="shared" ref="N233:N251" si="53">M233</f>
        <v>25000</v>
      </c>
      <c r="O233" s="543">
        <f>VLOOKUP($I233,'Price List, Weapons &amp; Items'!B:G,6,0)</f>
        <v>22</v>
      </c>
      <c r="P233" s="176">
        <f t="shared" si="44"/>
        <v>550000</v>
      </c>
      <c r="Q233" s="176">
        <f t="shared" si="45"/>
        <v>550000</v>
      </c>
      <c r="R233" s="176">
        <f t="shared" si="41"/>
        <v>240000000</v>
      </c>
      <c r="S233" s="176">
        <f>IF(AND(AD233=1,R233&lt;&gt;".")=TRUE,R233/VLOOKUP(G233,'Exchange Rates'!B:C,2,0),IF(R233=".",".",""))</f>
        <v>240000000</v>
      </c>
      <c r="T233" s="176">
        <f>IF(AD233=1,IF(AF233="Value is not given at all",".",IF(AF233="Value is given by the source",S233,IF(AF233="Value is calculated with prices",(IF(SUMIFS(Q:Q,A:A,A233)&gt;0,SUMIFS(Q:Q,A:A,A233),"."))/VLOOKUP("USD",'Exchange Rates'!B:C,2,0),"Error with coding"))),"")</f>
        <v>240000000</v>
      </c>
      <c r="U233" s="15" t="s">
        <v>261</v>
      </c>
      <c r="V233" s="547" t="s">
        <v>941</v>
      </c>
      <c r="W233" s="547" t="s">
        <v>942</v>
      </c>
      <c r="X233" s="547" t="s">
        <v>943</v>
      </c>
      <c r="Y233" s="547" t="s">
        <v>944</v>
      </c>
      <c r="Z233" s="15">
        <v>0</v>
      </c>
      <c r="AA233" s="180">
        <v>0</v>
      </c>
      <c r="AB233" s="550" t="s">
        <v>945</v>
      </c>
      <c r="AC233" s="544" t="str">
        <f>""</f>
        <v/>
      </c>
      <c r="AD233" s="181">
        <v>1</v>
      </c>
      <c r="AE233" s="181" t="s">
        <v>264</v>
      </c>
      <c r="AF233" s="181" t="s">
        <v>264</v>
      </c>
      <c r="AG233" s="181">
        <v>1</v>
      </c>
      <c r="AH233" s="181">
        <v>5</v>
      </c>
      <c r="AI233" s="181">
        <v>0</v>
      </c>
      <c r="AJ233" s="181">
        <f>VLOOKUP($I233,'Price List, Weapons &amp; Items'!B:F,5,0)</f>
        <v>0</v>
      </c>
      <c r="AK233" s="181">
        <f t="shared" si="46"/>
        <v>0</v>
      </c>
      <c r="AL233" s="181">
        <f t="shared" si="47"/>
        <v>0</v>
      </c>
      <c r="AM233" s="181">
        <f t="shared" si="48"/>
        <v>0</v>
      </c>
      <c r="AN233" s="180" t="str">
        <f>VLOOKUP($I233,'Price List, Weapons &amp; Items'!B:L,COLUMN('Price List, Weapons &amp; Items'!$J$11)-1,0)</f>
        <v>Online marketplaces and stores</v>
      </c>
      <c r="AO233" s="180" t="str">
        <f>IF(I233=".",".",VLOOKUP($I233,'Price List, Weapons &amp; Items'!B:J,3,0))</f>
        <v>Military equipment</v>
      </c>
      <c r="AP233" s="545" t="e">
        <f t="shared" ca="1" si="42"/>
        <v>#NAME?</v>
      </c>
      <c r="AQ233" s="180">
        <f>VLOOKUP($I233,'Price List, Weapons &amp; Items'!B:L,COLUMN('Price List, Weapons &amp; Items'!$L$11)-1,0)</f>
        <v>2</v>
      </c>
      <c r="AR233" s="180">
        <f t="shared" si="49"/>
        <v>1</v>
      </c>
      <c r="AS233" s="180">
        <f t="shared" si="50"/>
        <v>1</v>
      </c>
      <c r="AT233" s="180" t="str">
        <f t="shared" si="43"/>
        <v>Value is not in date format</v>
      </c>
      <c r="AU233" s="180" t="str">
        <f t="shared" si="51"/>
        <v>.</v>
      </c>
      <c r="AV233" s="180" t="str">
        <f t="shared" si="52"/>
        <v>.</v>
      </c>
      <c r="AW233" s="180">
        <f>IFERROR(VLOOKUP(B233,'Share, Heavy Weapons to Ukraine'!B:J,COLUMN('Share, Heavy Weapons to Ukraine'!C240)-1,0),0)</f>
        <v>0</v>
      </c>
      <c r="AX233" s="180">
        <f>VLOOKUP('Bilateral Assistance, MAIN DATA'!B233,'Country Summary'!B:F,COLUMN('Country Summary'!C243)-1,FALSE)</f>
        <v>1</v>
      </c>
      <c r="AY233" s="180">
        <f>IF(AND(AD233=1,D233="Military",H233&lt;&gt;"Not given")=TRUE,IF(SUMIFS(P:P,A:A,A233)&gt;0,ABS((SUMIFS(P:P,A:A,A233)/VLOOKUP("USD",'Exchange Rates'!B:C,2,0)))/S233,"."),".")</f>
        <v>4.806484126984127E-3</v>
      </c>
      <c r="AZ233" s="182">
        <f>IF(AND(AD233=1,D233="Military",H233&lt;&gt;"Not given")=TRUE,IF(SUMIFS(P:P,A:A,A233)&gt;0,IF((ABS((SUMIFS(P:P,A:A,A233)/VLOOKUP("USD",'Exchange Rates'!B:C,2,0)))/S233)&gt;1,(SUMIFS(P:P,A:A,A233)-S233)/S233,(S233-SUMIFS(P:P,A:A,A233))/SUMIFS(P:P,A:A,A233)),"."),".")</f>
        <v>197.14503225636005</v>
      </c>
      <c r="BA233" s="182"/>
      <c r="BB233" s="182"/>
      <c r="BC233" s="182"/>
      <c r="BD233" s="182"/>
      <c r="BE233" s="182"/>
      <c r="BF233" s="182"/>
      <c r="BG233" s="182"/>
      <c r="BH233" s="182"/>
      <c r="BI233" s="182"/>
      <c r="BJ233" s="182"/>
      <c r="BK233" s="182"/>
      <c r="BL233" s="182"/>
      <c r="BM233" s="182"/>
      <c r="BN233" s="182"/>
      <c r="BO233" s="182"/>
      <c r="BP233" s="182"/>
      <c r="BQ233" s="182"/>
      <c r="BR233" s="182"/>
      <c r="BS233" s="182"/>
    </row>
    <row r="234" spans="1:71" ht="15.9" customHeight="1" x14ac:dyDescent="0.3">
      <c r="A234" s="5" t="s">
        <v>936</v>
      </c>
      <c r="B234" s="5" t="s">
        <v>937</v>
      </c>
      <c r="C234" s="174" t="s">
        <v>938</v>
      </c>
      <c r="D234" s="5" t="s">
        <v>285</v>
      </c>
      <c r="E234" s="5" t="s">
        <v>286</v>
      </c>
      <c r="F234" s="175" t="s">
        <v>939</v>
      </c>
      <c r="G234" s="15" t="s">
        <v>364</v>
      </c>
      <c r="H234" s="176">
        <v>240000000</v>
      </c>
      <c r="I234" s="17" t="s">
        <v>946</v>
      </c>
      <c r="J234" s="113" t="str">
        <f>VLOOKUP($I234,'Price List, Weapons &amp; Items'!B:C,2,0)</f>
        <v>Ammunition for portable defence system</v>
      </c>
      <c r="K234" s="113" t="str">
        <f>IF(I234=".",I234,VLOOKUP($I234,'Price List, Weapons &amp; Items'!B:D,3,0))</f>
        <v>Light Anti-armor Weapon (LAW) ammunition</v>
      </c>
      <c r="L234" s="177">
        <f>VLOOKUP(I234,'Price List, Weapons &amp; Items'!B:E,4,0)</f>
        <v>0</v>
      </c>
      <c r="M234" s="542" t="s">
        <v>270</v>
      </c>
      <c r="N234" s="542" t="str">
        <f t="shared" si="53"/>
        <v>undisclosed</v>
      </c>
      <c r="O234" s="543">
        <f>VLOOKUP($I234,'Price List, Weapons &amp; Items'!B:G,6,0)</f>
        <v>78000</v>
      </c>
      <c r="P234" s="176" t="str">
        <f t="shared" si="44"/>
        <v>.</v>
      </c>
      <c r="Q234" s="176" t="str">
        <f t="shared" si="45"/>
        <v>.</v>
      </c>
      <c r="R234" s="176" t="str">
        <f t="shared" si="41"/>
        <v/>
      </c>
      <c r="S234" s="176" t="str">
        <f>IF(AND(AD234=1,R234&lt;&gt;".")=TRUE,R234/VLOOKUP(G234,'Exchange Rates'!B:C,2,0),IF(R234=".",".",""))</f>
        <v/>
      </c>
      <c r="T234" s="176" t="str">
        <f>IF(AD234=1,IF(AF234="Value is not given at all",".",IF(AF234="Value is given by the source",S234,IF(AF234="Value is calculated with prices",(IF(SUMIFS(Q:Q,A:A,A234)&gt;0,SUMIFS(Q:Q,A:A,A234),"."))/VLOOKUP("USD",'Exchange Rates'!B:C,2,0),"Error with coding"))),"")</f>
        <v/>
      </c>
      <c r="U234" s="15" t="s">
        <v>261</v>
      </c>
      <c r="V234" s="547" t="s">
        <v>941</v>
      </c>
      <c r="W234" s="547" t="s">
        <v>942</v>
      </c>
      <c r="X234" s="547" t="s">
        <v>943</v>
      </c>
      <c r="Y234" s="547" t="s">
        <v>944</v>
      </c>
      <c r="Z234" s="15">
        <v>0</v>
      </c>
      <c r="AA234" s="180">
        <v>0</v>
      </c>
      <c r="AB234" s="550" t="s">
        <v>945</v>
      </c>
      <c r="AC234" s="544" t="str">
        <f>""</f>
        <v/>
      </c>
      <c r="AD234" s="181">
        <v>0</v>
      </c>
      <c r="AE234" s="181" t="s">
        <v>264</v>
      </c>
      <c r="AF234" s="181" t="s">
        <v>264</v>
      </c>
      <c r="AG234" s="181">
        <v>1</v>
      </c>
      <c r="AH234" s="181">
        <v>5</v>
      </c>
      <c r="AI234" s="181">
        <v>0</v>
      </c>
      <c r="AJ234" s="181">
        <f>VLOOKUP($I234,'Price List, Weapons &amp; Items'!B:F,5,0)</f>
        <v>0</v>
      </c>
      <c r="AK234" s="181">
        <f t="shared" si="46"/>
        <v>0</v>
      </c>
      <c r="AL234" s="181">
        <f t="shared" si="47"/>
        <v>0</v>
      </c>
      <c r="AM234" s="181">
        <f t="shared" si="48"/>
        <v>0</v>
      </c>
      <c r="AN234" s="180" t="str">
        <f>VLOOKUP($I234,'Price List, Weapons &amp; Items'!B:L,COLUMN('Price List, Weapons &amp; Items'!$J$11)-1,0)</f>
        <v>Military media (incl. websites)</v>
      </c>
      <c r="AO234" s="180" t="str">
        <f>IF(I234=".",".",VLOOKUP($I234,'Price List, Weapons &amp; Items'!B:J,3,0))</f>
        <v>Light Anti-armor Weapon (LAW) ammunition</v>
      </c>
      <c r="AP234" s="545" t="str">
        <f t="shared" ca="1" si="42"/>
        <v/>
      </c>
      <c r="AQ234" s="180">
        <f>VLOOKUP($I234,'Price List, Weapons &amp; Items'!B:L,COLUMN('Price List, Weapons &amp; Items'!$L$11)-1,0)</f>
        <v>2</v>
      </c>
      <c r="AR234" s="180">
        <f t="shared" si="49"/>
        <v>1</v>
      </c>
      <c r="AS234" s="180">
        <f t="shared" si="50"/>
        <v>1</v>
      </c>
      <c r="AT234" s="180" t="str">
        <f t="shared" si="43"/>
        <v>Value is not in date format</v>
      </c>
      <c r="AU234" s="180" t="str">
        <f t="shared" si="51"/>
        <v>.</v>
      </c>
      <c r="AV234" s="180" t="str">
        <f t="shared" si="52"/>
        <v>.</v>
      </c>
      <c r="AW234" s="180">
        <f>IFERROR(VLOOKUP(B234,'Share, Heavy Weapons to Ukraine'!B:J,COLUMN('Share, Heavy Weapons to Ukraine'!C241)-1,0),0)</f>
        <v>0</v>
      </c>
      <c r="AX234" s="180">
        <f>VLOOKUP('Bilateral Assistance, MAIN DATA'!B234,'Country Summary'!B:F,COLUMN('Country Summary'!C244)-1,FALSE)</f>
        <v>1</v>
      </c>
      <c r="AY234" s="180" t="str">
        <f>IF(AND(AD234=1,D234="Military",H234&lt;&gt;"Not given")=TRUE,IF(SUMIFS(P:P,A:A,A234)&gt;0,ABS((SUMIFS(P:P,A:A,A234)/VLOOKUP("USD",'Exchange Rates'!B:C,2,0)))/S234,"."),".")</f>
        <v>.</v>
      </c>
      <c r="AZ234" s="182" t="str">
        <f>IF(AND(AD234=1,D234="Military",H234&lt;&gt;"Not given")=TRUE,IF(SUMIFS(P:P,A:A,A234)&gt;0,IF((ABS((SUMIFS(P:P,A:A,A234)/VLOOKUP("USD",'Exchange Rates'!B:C,2,0)))/S234)&gt;1,(SUMIFS(P:P,A:A,A234)-S234)/S234,(S234-SUMIFS(P:P,A:A,A234))/SUMIFS(P:P,A:A,A234)),"."),".")</f>
        <v>.</v>
      </c>
      <c r="BA234" s="182"/>
      <c r="BB234" s="182"/>
      <c r="BC234" s="182"/>
      <c r="BD234" s="182"/>
      <c r="BE234" s="182"/>
      <c r="BF234" s="182"/>
      <c r="BG234" s="182"/>
      <c r="BH234" s="182"/>
      <c r="BI234" s="182"/>
      <c r="BJ234" s="182"/>
      <c r="BK234" s="182"/>
      <c r="BL234" s="182"/>
      <c r="BM234" s="182"/>
      <c r="BN234" s="182"/>
      <c r="BO234" s="182"/>
      <c r="BP234" s="182"/>
      <c r="BQ234" s="182"/>
      <c r="BR234" s="182"/>
      <c r="BS234" s="182"/>
    </row>
    <row r="235" spans="1:71" ht="15.9" customHeight="1" x14ac:dyDescent="0.3">
      <c r="A235" s="5" t="s">
        <v>936</v>
      </c>
      <c r="B235" s="5" t="s">
        <v>937</v>
      </c>
      <c r="C235" s="174" t="s">
        <v>938</v>
      </c>
      <c r="D235" s="5" t="s">
        <v>285</v>
      </c>
      <c r="E235" s="5" t="s">
        <v>286</v>
      </c>
      <c r="F235" s="175" t="s">
        <v>939</v>
      </c>
      <c r="G235" s="15" t="s">
        <v>364</v>
      </c>
      <c r="H235" s="176">
        <v>240000000</v>
      </c>
      <c r="I235" s="17" t="s">
        <v>947</v>
      </c>
      <c r="J235" s="113" t="str">
        <f>VLOOKUP($I235,'Price List, Weapons &amp; Items'!B:C,2,0)</f>
        <v>Heavy weapon</v>
      </c>
      <c r="K235" s="113" t="str">
        <f>IF(I235=".",I235,VLOOKUP($I235,'Price List, Weapons &amp; Items'!B:D,3,0))</f>
        <v>122mm howitzer</v>
      </c>
      <c r="L235" s="177">
        <f>VLOOKUP(I235,'Price List, Weapons &amp; Items'!B:E,4,0)</f>
        <v>1</v>
      </c>
      <c r="M235" s="542" t="s">
        <v>270</v>
      </c>
      <c r="N235" s="542" t="str">
        <f t="shared" si="53"/>
        <v>undisclosed</v>
      </c>
      <c r="O235" s="543">
        <f>VLOOKUP($I235,'Price List, Weapons &amp; Items'!B:G,6,0)</f>
        <v>80503.62</v>
      </c>
      <c r="P235" s="176" t="str">
        <f t="shared" si="44"/>
        <v>.</v>
      </c>
      <c r="Q235" s="176" t="str">
        <f t="shared" si="45"/>
        <v>.</v>
      </c>
      <c r="R235" s="176" t="str">
        <f t="shared" si="41"/>
        <v/>
      </c>
      <c r="S235" s="176" t="str">
        <f>IF(AND(AD235=1,R235&lt;&gt;".")=TRUE,R235/VLOOKUP(G235,'Exchange Rates'!B:C,2,0),IF(R235=".",".",""))</f>
        <v/>
      </c>
      <c r="T235" s="176" t="str">
        <f>IF(AD235=1,IF(AF235="Value is not given at all",".",IF(AF235="Value is given by the source",S235,IF(AF235="Value is calculated with prices",(IF(SUMIFS(Q:Q,A:A,A235)&gt;0,SUMIFS(Q:Q,A:A,A235),"."))/VLOOKUP("USD",'Exchange Rates'!B:C,2,0),"Error with coding"))),"")</f>
        <v/>
      </c>
      <c r="U235" s="15" t="s">
        <v>261</v>
      </c>
      <c r="V235" s="547" t="s">
        <v>941</v>
      </c>
      <c r="W235" s="547" t="s">
        <v>942</v>
      </c>
      <c r="X235" s="547" t="s">
        <v>943</v>
      </c>
      <c r="Y235" s="547" t="s">
        <v>944</v>
      </c>
      <c r="Z235" s="15">
        <v>0</v>
      </c>
      <c r="AA235" s="180">
        <v>0</v>
      </c>
      <c r="AB235" s="550" t="s">
        <v>945</v>
      </c>
      <c r="AC235" s="544" t="str">
        <f>""</f>
        <v/>
      </c>
      <c r="AD235" s="181">
        <v>0</v>
      </c>
      <c r="AE235" s="181" t="s">
        <v>264</v>
      </c>
      <c r="AF235" s="181" t="s">
        <v>264</v>
      </c>
      <c r="AG235" s="181">
        <v>1</v>
      </c>
      <c r="AH235" s="181">
        <v>3</v>
      </c>
      <c r="AI235" s="181">
        <v>0</v>
      </c>
      <c r="AJ235" s="181">
        <f>VLOOKUP($I235,'Price List, Weapons &amp; Items'!B:F,5,0)</f>
        <v>0</v>
      </c>
      <c r="AK235" s="181">
        <f t="shared" si="46"/>
        <v>0</v>
      </c>
      <c r="AL235" s="181">
        <f t="shared" si="47"/>
        <v>0</v>
      </c>
      <c r="AM235" s="181">
        <f t="shared" si="48"/>
        <v>0</v>
      </c>
      <c r="AN235" s="180" t="str">
        <f>VLOOKUP($I235,'Price List, Weapons &amp; Items'!B:L,COLUMN('Price List, Weapons &amp; Items'!$J$11)-1,0)</f>
        <v>Contracts</v>
      </c>
      <c r="AO235" s="180" t="str">
        <f>IF(I235=".",".",VLOOKUP($I235,'Price List, Weapons &amp; Items'!B:J,3,0))</f>
        <v>122mm howitzer</v>
      </c>
      <c r="AP235" s="545" t="str">
        <f t="shared" ca="1" si="42"/>
        <v/>
      </c>
      <c r="AQ235" s="180" t="str">
        <f>VLOOKUP($I235,'Price List, Weapons &amp; Items'!B:L,COLUMN('Price List, Weapons &amp; Items'!$L$11)-1,0)</f>
        <v>no price, 0 count</v>
      </c>
      <c r="AR235" s="180">
        <f t="shared" si="49"/>
        <v>1</v>
      </c>
      <c r="AS235" s="180">
        <f t="shared" si="50"/>
        <v>1</v>
      </c>
      <c r="AT235" s="180" t="str">
        <f t="shared" si="43"/>
        <v>Value is not in date format</v>
      </c>
      <c r="AU235" s="180" t="str">
        <f t="shared" si="51"/>
        <v>.</v>
      </c>
      <c r="AV235" s="180" t="str">
        <f t="shared" si="52"/>
        <v>.</v>
      </c>
      <c r="AW235" s="180">
        <f>IFERROR(VLOOKUP(B235,'Share, Heavy Weapons to Ukraine'!B:J,COLUMN('Share, Heavy Weapons to Ukraine'!C242)-1,0),0)</f>
        <v>0</v>
      </c>
      <c r="AX235" s="180">
        <f>VLOOKUP('Bilateral Assistance, MAIN DATA'!B235,'Country Summary'!B:F,COLUMN('Country Summary'!C245)-1,FALSE)</f>
        <v>1</v>
      </c>
      <c r="AY235" s="180" t="str">
        <f>IF(AND(AD235=1,D235="Military",H235&lt;&gt;"Not given")=TRUE,IF(SUMIFS(P:P,A:A,A235)&gt;0,ABS((SUMIFS(P:P,A:A,A235)/VLOOKUP("USD",'Exchange Rates'!B:C,2,0)))/S235,"."),".")</f>
        <v>.</v>
      </c>
      <c r="AZ235" s="182" t="str">
        <f>IF(AND(AD235=1,D235="Military",H235&lt;&gt;"Not given")=TRUE,IF(SUMIFS(P:P,A:A,A235)&gt;0,IF((ABS((SUMIFS(P:P,A:A,A235)/VLOOKUP("USD",'Exchange Rates'!B:C,2,0)))/S235)&gt;1,(SUMIFS(P:P,A:A,A235)-S235)/S235,(S235-SUMIFS(P:P,A:A,A235))/SUMIFS(P:P,A:A,A235)),"."),".")</f>
        <v>.</v>
      </c>
      <c r="BA235" s="182"/>
      <c r="BB235" s="182"/>
      <c r="BC235" s="182"/>
      <c r="BD235" s="182"/>
      <c r="BE235" s="182"/>
      <c r="BF235" s="182"/>
      <c r="BG235" s="182"/>
      <c r="BH235" s="182"/>
      <c r="BI235" s="182"/>
      <c r="BJ235" s="182"/>
      <c r="BK235" s="182"/>
      <c r="BL235" s="182"/>
      <c r="BM235" s="182"/>
      <c r="BN235" s="182"/>
      <c r="BO235" s="182"/>
      <c r="BP235" s="182"/>
      <c r="BQ235" s="182"/>
      <c r="BR235" s="182"/>
      <c r="BS235" s="182"/>
    </row>
    <row r="236" spans="1:71" ht="15.9" customHeight="1" x14ac:dyDescent="0.3">
      <c r="A236" s="5" t="s">
        <v>936</v>
      </c>
      <c r="B236" s="5" t="s">
        <v>937</v>
      </c>
      <c r="C236" s="174" t="s">
        <v>938</v>
      </c>
      <c r="D236" s="5" t="s">
        <v>285</v>
      </c>
      <c r="E236" s="5" t="s">
        <v>286</v>
      </c>
      <c r="F236" s="175" t="s">
        <v>939</v>
      </c>
      <c r="G236" s="15" t="s">
        <v>364</v>
      </c>
      <c r="H236" s="176">
        <v>240000000</v>
      </c>
      <c r="I236" s="17" t="s">
        <v>948</v>
      </c>
      <c r="J236" s="113" t="str">
        <f>VLOOKUP($I236,'Price List, Weapons &amp; Items'!B:C,2,0)</f>
        <v>Military equipment</v>
      </c>
      <c r="K236" s="113" t="str">
        <f>IF(I236=".",I236,VLOOKUP($I236,'Price List, Weapons &amp; Items'!B:D,3,0))</f>
        <v>Mine Vessels</v>
      </c>
      <c r="L236" s="177">
        <f>VLOOKUP(I236,'Price List, Weapons &amp; Items'!B:E,4,0)</f>
        <v>0</v>
      </c>
      <c r="M236" s="542" t="s">
        <v>270</v>
      </c>
      <c r="N236" s="542" t="str">
        <f t="shared" si="53"/>
        <v>undisclosed</v>
      </c>
      <c r="O236" s="543">
        <f>VLOOKUP($I236,'Price List, Weapons &amp; Items'!B:G,6,0)</f>
        <v>86940000</v>
      </c>
      <c r="P236" s="176" t="str">
        <f t="shared" si="44"/>
        <v>.</v>
      </c>
      <c r="Q236" s="176" t="str">
        <f t="shared" si="45"/>
        <v>.</v>
      </c>
      <c r="R236" s="176" t="str">
        <f t="shared" si="41"/>
        <v/>
      </c>
      <c r="S236" s="176" t="str">
        <f>IF(AND(AD236=1,R236&lt;&gt;".")=TRUE,R236/VLOOKUP(G236,'Exchange Rates'!B:C,2,0),IF(R236=".",".",""))</f>
        <v/>
      </c>
      <c r="T236" s="176" t="str">
        <f>IF(AD236=1,IF(AF236="Value is not given at all",".",IF(AF236="Value is given by the source",S236,IF(AF236="Value is calculated with prices",(IF(SUMIFS(Q:Q,A:A,A236)&gt;0,SUMIFS(Q:Q,A:A,A236),"."))/VLOOKUP("USD",'Exchange Rates'!B:C,2,0),"Error with coding"))),"")</f>
        <v/>
      </c>
      <c r="U236" s="15" t="s">
        <v>261</v>
      </c>
      <c r="V236" s="547" t="s">
        <v>941</v>
      </c>
      <c r="W236" s="547" t="s">
        <v>942</v>
      </c>
      <c r="X236" s="547" t="s">
        <v>943</v>
      </c>
      <c r="Y236" s="547" t="s">
        <v>944</v>
      </c>
      <c r="Z236" s="15">
        <v>0</v>
      </c>
      <c r="AA236" s="180">
        <v>0</v>
      </c>
      <c r="AB236" s="550" t="s">
        <v>945</v>
      </c>
      <c r="AC236" s="544" t="str">
        <f>""</f>
        <v/>
      </c>
      <c r="AD236" s="181">
        <v>0</v>
      </c>
      <c r="AE236" s="181" t="s">
        <v>264</v>
      </c>
      <c r="AF236" s="181" t="s">
        <v>264</v>
      </c>
      <c r="AG236" s="181">
        <v>1</v>
      </c>
      <c r="AH236" s="181">
        <v>5</v>
      </c>
      <c r="AI236" s="181">
        <v>0</v>
      </c>
      <c r="AJ236" s="181">
        <f>VLOOKUP($I236,'Price List, Weapons &amp; Items'!B:F,5,0)</f>
        <v>0</v>
      </c>
      <c r="AK236" s="181">
        <f t="shared" si="46"/>
        <v>0</v>
      </c>
      <c r="AL236" s="181">
        <f t="shared" si="47"/>
        <v>0</v>
      </c>
      <c r="AM236" s="181">
        <f t="shared" si="48"/>
        <v>0</v>
      </c>
      <c r="AN236" s="180" t="str">
        <f>VLOOKUP($I236,'Price List, Weapons &amp; Items'!B:L,COLUMN('Price List, Weapons &amp; Items'!$J$11)-1,0)</f>
        <v>Miscellaneous</v>
      </c>
      <c r="AO236" s="180" t="str">
        <f>IF(I236=".",".",VLOOKUP($I236,'Price List, Weapons &amp; Items'!B:J,3,0))</f>
        <v>Mine Vessels</v>
      </c>
      <c r="AP236" s="545" t="str">
        <f t="shared" ca="1" si="42"/>
        <v/>
      </c>
      <c r="AQ236" s="180" t="str">
        <f>VLOOKUP($I236,'Price List, Weapons &amp; Items'!B:L,COLUMN('Price List, Weapons &amp; Items'!$L$11)-1,0)</f>
        <v>no price, 0 count</v>
      </c>
      <c r="AR236" s="180">
        <f t="shared" si="49"/>
        <v>1</v>
      </c>
      <c r="AS236" s="180">
        <f t="shared" si="50"/>
        <v>1</v>
      </c>
      <c r="AT236" s="180" t="str">
        <f t="shared" si="43"/>
        <v>Value is not in date format</v>
      </c>
      <c r="AU236" s="180" t="str">
        <f t="shared" si="51"/>
        <v>.</v>
      </c>
      <c r="AV236" s="180" t="str">
        <f t="shared" si="52"/>
        <v>.</v>
      </c>
      <c r="AW236" s="180">
        <f>IFERROR(VLOOKUP(B236,'Share, Heavy Weapons to Ukraine'!B:J,COLUMN('Share, Heavy Weapons to Ukraine'!C243)-1,0),0)</f>
        <v>0</v>
      </c>
      <c r="AX236" s="180">
        <f>VLOOKUP('Bilateral Assistance, MAIN DATA'!B236,'Country Summary'!B:F,COLUMN('Country Summary'!C246)-1,FALSE)</f>
        <v>1</v>
      </c>
      <c r="AY236" s="180" t="str">
        <f>IF(AND(AD236=1,D236="Military",H236&lt;&gt;"Not given")=TRUE,IF(SUMIFS(P:P,A:A,A236)&gt;0,ABS((SUMIFS(P:P,A:A,A236)/VLOOKUP("USD",'Exchange Rates'!B:C,2,0)))/S236,"."),".")</f>
        <v>.</v>
      </c>
      <c r="AZ236" s="182" t="str">
        <f>IF(AND(AD236=1,D236="Military",H236&lt;&gt;"Not given")=TRUE,IF(SUMIFS(P:P,A:A,A236)&gt;0,IF((ABS((SUMIFS(P:P,A:A,A236)/VLOOKUP("USD",'Exchange Rates'!B:C,2,0)))/S236)&gt;1,(SUMIFS(P:P,A:A,A236)-S236)/S236,(S236-SUMIFS(P:P,A:A,A236))/SUMIFS(P:P,A:A,A236)),"."),".")</f>
        <v>.</v>
      </c>
      <c r="BA236" s="182"/>
      <c r="BB236" s="182"/>
      <c r="BC236" s="182"/>
      <c r="BD236" s="182"/>
      <c r="BE236" s="182"/>
      <c r="BF236" s="182"/>
      <c r="BG236" s="182"/>
      <c r="BH236" s="182"/>
      <c r="BI236" s="182"/>
      <c r="BJ236" s="182"/>
      <c r="BK236" s="182"/>
      <c r="BL236" s="182"/>
      <c r="BM236" s="182"/>
      <c r="BN236" s="182"/>
      <c r="BO236" s="182"/>
      <c r="BP236" s="182"/>
      <c r="BQ236" s="182"/>
      <c r="BR236" s="182"/>
      <c r="BS236" s="182"/>
    </row>
    <row r="237" spans="1:71" ht="15.9" customHeight="1" x14ac:dyDescent="0.3">
      <c r="A237" s="5" t="s">
        <v>936</v>
      </c>
      <c r="B237" s="5" t="s">
        <v>937</v>
      </c>
      <c r="C237" s="174" t="s">
        <v>938</v>
      </c>
      <c r="D237" s="5" t="s">
        <v>285</v>
      </c>
      <c r="E237" s="5" t="s">
        <v>286</v>
      </c>
      <c r="F237" s="175" t="s">
        <v>939</v>
      </c>
      <c r="G237" s="15" t="s">
        <v>364</v>
      </c>
      <c r="H237" s="176">
        <v>240000000</v>
      </c>
      <c r="I237" s="17" t="s">
        <v>602</v>
      </c>
      <c r="J237" s="113" t="str">
        <f>VLOOKUP($I237,'Price List, Weapons &amp; Items'!B:C,2,0)</f>
        <v>Light armaments &amp; infantry</v>
      </c>
      <c r="K237" s="113" t="str">
        <f>IF(I237=".",I237,VLOOKUP($I237,'Price List, Weapons &amp; Items'!B:D,3,0))</f>
        <v>Explosive</v>
      </c>
      <c r="L237" s="177">
        <f>VLOOKUP(I237,'Price List, Weapons &amp; Items'!B:E,4,0)</f>
        <v>0</v>
      </c>
      <c r="M237" s="542" t="s">
        <v>270</v>
      </c>
      <c r="N237" s="542" t="str">
        <f t="shared" si="53"/>
        <v>undisclosed</v>
      </c>
      <c r="O237" s="543">
        <f>VLOOKUP($I237,'Price List, Weapons &amp; Items'!B:G,6,0)</f>
        <v>45</v>
      </c>
      <c r="P237" s="176" t="str">
        <f t="shared" si="44"/>
        <v>.</v>
      </c>
      <c r="Q237" s="176" t="str">
        <f t="shared" si="45"/>
        <v>.</v>
      </c>
      <c r="R237" s="176" t="str">
        <f t="shared" si="41"/>
        <v/>
      </c>
      <c r="S237" s="176" t="str">
        <f>IF(AND(AD237=1,R237&lt;&gt;".")=TRUE,R237/VLOOKUP(G237,'Exchange Rates'!B:C,2,0),IF(R237=".",".",""))</f>
        <v/>
      </c>
      <c r="T237" s="176" t="str">
        <f>IF(AD237=1,IF(AF237="Value is not given at all",".",IF(AF237="Value is given by the source",S237,IF(AF237="Value is calculated with prices",(IF(SUMIFS(Q:Q,A:A,A237)&gt;0,SUMIFS(Q:Q,A:A,A237),"."))/VLOOKUP("USD",'Exchange Rates'!B:C,2,0),"Error with coding"))),"")</f>
        <v/>
      </c>
      <c r="U237" s="15" t="s">
        <v>261</v>
      </c>
      <c r="V237" s="547" t="s">
        <v>941</v>
      </c>
      <c r="W237" s="547" t="s">
        <v>942</v>
      </c>
      <c r="X237" s="547" t="s">
        <v>943</v>
      </c>
      <c r="Y237" s="547" t="s">
        <v>944</v>
      </c>
      <c r="Z237" s="15">
        <v>0</v>
      </c>
      <c r="AA237" s="180">
        <v>0</v>
      </c>
      <c r="AB237" s="550" t="s">
        <v>945</v>
      </c>
      <c r="AC237" s="544" t="str">
        <f>""</f>
        <v/>
      </c>
      <c r="AD237" s="181">
        <v>0</v>
      </c>
      <c r="AE237" s="181" t="s">
        <v>264</v>
      </c>
      <c r="AF237" s="181" t="s">
        <v>264</v>
      </c>
      <c r="AG237" s="181">
        <v>1</v>
      </c>
      <c r="AH237" s="181">
        <v>5</v>
      </c>
      <c r="AI237" s="181">
        <v>0</v>
      </c>
      <c r="AJ237" s="181">
        <f>VLOOKUP($I237,'Price List, Weapons &amp; Items'!B:F,5,0)</f>
        <v>0</v>
      </c>
      <c r="AK237" s="181">
        <f t="shared" si="46"/>
        <v>0</v>
      </c>
      <c r="AL237" s="181">
        <f t="shared" si="47"/>
        <v>0</v>
      </c>
      <c r="AM237" s="181">
        <f t="shared" si="48"/>
        <v>0</v>
      </c>
      <c r="AN237" s="180" t="str">
        <f>VLOOKUP($I237,'Price List, Weapons &amp; Items'!B:L,COLUMN('Price List, Weapons &amp; Items'!$J$11)-1,0)</f>
        <v>Miscellaneous</v>
      </c>
      <c r="AO237" s="180" t="str">
        <f>IF(I237=".",".",VLOOKUP($I237,'Price List, Weapons &amp; Items'!B:J,3,0))</f>
        <v>Explosive</v>
      </c>
      <c r="AP237" s="545" t="str">
        <f t="shared" ca="1" si="42"/>
        <v/>
      </c>
      <c r="AQ237" s="180">
        <f>VLOOKUP($I237,'Price List, Weapons &amp; Items'!B:L,COLUMN('Price List, Weapons &amp; Items'!$L$11)-1,0)</f>
        <v>2</v>
      </c>
      <c r="AR237" s="180">
        <f t="shared" si="49"/>
        <v>1</v>
      </c>
      <c r="AS237" s="180">
        <f t="shared" si="50"/>
        <v>1</v>
      </c>
      <c r="AT237" s="180" t="str">
        <f t="shared" si="43"/>
        <v>Value is not in date format</v>
      </c>
      <c r="AU237" s="180" t="str">
        <f t="shared" si="51"/>
        <v>.</v>
      </c>
      <c r="AV237" s="180" t="str">
        <f t="shared" si="52"/>
        <v>.</v>
      </c>
      <c r="AW237" s="180">
        <f>IFERROR(VLOOKUP(B237,'Share, Heavy Weapons to Ukraine'!B:J,COLUMN('Share, Heavy Weapons to Ukraine'!C244)-1,0),0)</f>
        <v>0</v>
      </c>
      <c r="AX237" s="180">
        <f>VLOOKUP('Bilateral Assistance, MAIN DATA'!B237,'Country Summary'!B:F,COLUMN('Country Summary'!C247)-1,FALSE)</f>
        <v>1</v>
      </c>
      <c r="AY237" s="180" t="str">
        <f>IF(AND(AD237=1,D237="Military",H237&lt;&gt;"Not given")=TRUE,IF(SUMIFS(P:P,A:A,A237)&gt;0,ABS((SUMIFS(P:P,A:A,A237)/VLOOKUP("USD",'Exchange Rates'!B:C,2,0)))/S237,"."),".")</f>
        <v>.</v>
      </c>
      <c r="AZ237" s="182" t="str">
        <f>IF(AND(AD237=1,D237="Military",H237&lt;&gt;"Not given")=TRUE,IF(SUMIFS(P:P,A:A,A237)&gt;0,IF((ABS((SUMIFS(P:P,A:A,A237)/VLOOKUP("USD",'Exchange Rates'!B:C,2,0)))/S237)&gt;1,(SUMIFS(P:P,A:A,A237)-S237)/S237,(S237-SUMIFS(P:P,A:A,A237))/SUMIFS(P:P,A:A,A237)),"."),".")</f>
        <v>.</v>
      </c>
      <c r="BA237" s="182"/>
      <c r="BB237" s="182"/>
      <c r="BC237" s="182"/>
      <c r="BD237" s="182"/>
      <c r="BE237" s="182"/>
      <c r="BF237" s="182"/>
      <c r="BG237" s="182"/>
      <c r="BH237" s="182"/>
      <c r="BI237" s="182"/>
      <c r="BJ237" s="182"/>
      <c r="BK237" s="182"/>
      <c r="BL237" s="182"/>
      <c r="BM237" s="182"/>
      <c r="BN237" s="182"/>
      <c r="BO237" s="182"/>
      <c r="BP237" s="182"/>
      <c r="BQ237" s="182"/>
      <c r="BR237" s="182"/>
      <c r="BS237" s="182"/>
    </row>
    <row r="238" spans="1:71" ht="15.9" customHeight="1" x14ac:dyDescent="0.3">
      <c r="A238" s="5" t="s">
        <v>936</v>
      </c>
      <c r="B238" s="5" t="s">
        <v>937</v>
      </c>
      <c r="C238" s="174" t="s">
        <v>938</v>
      </c>
      <c r="D238" s="5" t="s">
        <v>285</v>
      </c>
      <c r="E238" s="5" t="s">
        <v>286</v>
      </c>
      <c r="F238" s="175" t="s">
        <v>939</v>
      </c>
      <c r="G238" s="15" t="s">
        <v>364</v>
      </c>
      <c r="H238" s="176">
        <v>240000000</v>
      </c>
      <c r="I238" s="17" t="s">
        <v>949</v>
      </c>
      <c r="J238" s="113" t="str">
        <f>VLOOKUP($I238,'Price List, Weapons &amp; Items'!B:C,2,0)</f>
        <v>Portable defence system</v>
      </c>
      <c r="K238" s="113" t="str">
        <f>IF(I238=".",I238,VLOOKUP($I238,'Price List, Weapons &amp; Items'!B:D,3,0))</f>
        <v>Light Anti-armor Weapon (LAW)</v>
      </c>
      <c r="L238" s="177">
        <f>VLOOKUP(I238,'Price List, Weapons &amp; Items'!B:E,4,0)</f>
        <v>0</v>
      </c>
      <c r="M238" s="542" t="s">
        <v>270</v>
      </c>
      <c r="N238" s="542" t="str">
        <f t="shared" si="53"/>
        <v>undisclosed</v>
      </c>
      <c r="O238" s="543">
        <f>VLOOKUP($I238,'Price List, Weapons &amp; Items'!B:G,6,0)</f>
        <v>1475</v>
      </c>
      <c r="P238" s="176" t="str">
        <f t="shared" si="44"/>
        <v>.</v>
      </c>
      <c r="Q238" s="176" t="str">
        <f t="shared" si="45"/>
        <v>.</v>
      </c>
      <c r="R238" s="176" t="str">
        <f t="shared" si="41"/>
        <v/>
      </c>
      <c r="S238" s="176" t="str">
        <f>IF(AND(AD238=1,R238&lt;&gt;".")=TRUE,R238/VLOOKUP(G238,'Exchange Rates'!B:C,2,0),IF(R238=".",".",""))</f>
        <v/>
      </c>
      <c r="T238" s="176" t="str">
        <f>IF(AD238=1,IF(AF238="Value is not given at all",".",IF(AF238="Value is given by the source",S238,IF(AF238="Value is calculated with prices",(IF(SUMIFS(Q:Q,A:A,A238)&gt;0,SUMIFS(Q:Q,A:A,A238),"."))/VLOOKUP("USD",'Exchange Rates'!B:C,2,0),"Error with coding"))),"")</f>
        <v/>
      </c>
      <c r="U238" s="15" t="s">
        <v>261</v>
      </c>
      <c r="V238" s="547" t="s">
        <v>941</v>
      </c>
      <c r="W238" s="547" t="s">
        <v>942</v>
      </c>
      <c r="X238" s="547" t="s">
        <v>943</v>
      </c>
      <c r="Y238" s="547" t="s">
        <v>944</v>
      </c>
      <c r="Z238" s="15">
        <v>0</v>
      </c>
      <c r="AA238" s="180">
        <v>0</v>
      </c>
      <c r="AB238" s="550" t="s">
        <v>945</v>
      </c>
      <c r="AC238" s="544" t="str">
        <f>""</f>
        <v/>
      </c>
      <c r="AD238" s="181">
        <v>0</v>
      </c>
      <c r="AE238" s="181" t="s">
        <v>264</v>
      </c>
      <c r="AF238" s="181" t="s">
        <v>264</v>
      </c>
      <c r="AG238" s="181">
        <v>1</v>
      </c>
      <c r="AH238" s="181">
        <v>5</v>
      </c>
      <c r="AI238" s="181">
        <v>0</v>
      </c>
      <c r="AJ238" s="181">
        <f>VLOOKUP($I238,'Price List, Weapons &amp; Items'!B:F,5,0)</f>
        <v>0</v>
      </c>
      <c r="AK238" s="181">
        <f t="shared" si="46"/>
        <v>0</v>
      </c>
      <c r="AL238" s="181">
        <f t="shared" si="47"/>
        <v>0</v>
      </c>
      <c r="AM238" s="181">
        <f t="shared" si="48"/>
        <v>0</v>
      </c>
      <c r="AN238" s="180" t="str">
        <f>VLOOKUP($I238,'Price List, Weapons &amp; Items'!B:L,COLUMN('Price List, Weapons &amp; Items'!$J$11)-1,0)</f>
        <v>Military media (incl. websites)</v>
      </c>
      <c r="AO238" s="180" t="str">
        <f>IF(I238=".",".",VLOOKUP($I238,'Price List, Weapons &amp; Items'!B:J,3,0))</f>
        <v>Light Anti-armor Weapon (LAW)</v>
      </c>
      <c r="AP238" s="545" t="str">
        <f t="shared" ca="1" si="42"/>
        <v/>
      </c>
      <c r="AQ238" s="180" t="str">
        <f>VLOOKUP($I238,'Price List, Weapons &amp; Items'!B:L,COLUMN('Price List, Weapons &amp; Items'!$L$11)-1,0)</f>
        <v>no price, 0 count</v>
      </c>
      <c r="AR238" s="180">
        <f t="shared" si="49"/>
        <v>1</v>
      </c>
      <c r="AS238" s="180">
        <f t="shared" si="50"/>
        <v>1</v>
      </c>
      <c r="AT238" s="180" t="str">
        <f t="shared" si="43"/>
        <v>Value is not in date format</v>
      </c>
      <c r="AU238" s="180" t="str">
        <f t="shared" si="51"/>
        <v>.</v>
      </c>
      <c r="AV238" s="180" t="str">
        <f t="shared" si="52"/>
        <v>.</v>
      </c>
      <c r="AW238" s="180">
        <f>IFERROR(VLOOKUP(B238,'Share, Heavy Weapons to Ukraine'!B:J,COLUMN('Share, Heavy Weapons to Ukraine'!C245)-1,0),0)</f>
        <v>0</v>
      </c>
      <c r="AX238" s="180">
        <f>VLOOKUP('Bilateral Assistance, MAIN DATA'!B238,'Country Summary'!B:F,COLUMN('Country Summary'!C248)-1,FALSE)</f>
        <v>1</v>
      </c>
      <c r="AY238" s="180" t="str">
        <f>IF(AND(AD238=1,D238="Military",H238&lt;&gt;"Not given")=TRUE,IF(SUMIFS(P:P,A:A,A238)&gt;0,ABS((SUMIFS(P:P,A:A,A238)/VLOOKUP("USD",'Exchange Rates'!B:C,2,0)))/S238,"."),".")</f>
        <v>.</v>
      </c>
      <c r="AZ238" s="182" t="str">
        <f>IF(AND(AD238=1,D238="Military",H238&lt;&gt;"Not given")=TRUE,IF(SUMIFS(P:P,A:A,A238)&gt;0,IF((ABS((SUMIFS(P:P,A:A,A238)/VLOOKUP("USD",'Exchange Rates'!B:C,2,0)))/S238)&gt;1,(SUMIFS(P:P,A:A,A238)-S238)/S238,(S238-SUMIFS(P:P,A:A,A238))/SUMIFS(P:P,A:A,A238)),"."),".")</f>
        <v>.</v>
      </c>
      <c r="BA238" s="182"/>
      <c r="BB238" s="182"/>
      <c r="BC238" s="182"/>
      <c r="BD238" s="182"/>
      <c r="BE238" s="182"/>
      <c r="BF238" s="182"/>
      <c r="BG238" s="182"/>
      <c r="BH238" s="182"/>
      <c r="BI238" s="182"/>
      <c r="BJ238" s="182"/>
      <c r="BK238" s="182"/>
      <c r="BL238" s="182"/>
      <c r="BM238" s="182"/>
      <c r="BN238" s="182"/>
      <c r="BO238" s="182"/>
      <c r="BP238" s="182"/>
      <c r="BQ238" s="182"/>
      <c r="BR238" s="182"/>
      <c r="BS238" s="182"/>
    </row>
    <row r="239" spans="1:71" ht="15.9" customHeight="1" x14ac:dyDescent="0.3">
      <c r="A239" s="5" t="s">
        <v>936</v>
      </c>
      <c r="B239" s="5" t="s">
        <v>937</v>
      </c>
      <c r="C239" s="174" t="s">
        <v>938</v>
      </c>
      <c r="D239" s="5" t="s">
        <v>285</v>
      </c>
      <c r="E239" s="5" t="s">
        <v>286</v>
      </c>
      <c r="F239" s="175" t="s">
        <v>939</v>
      </c>
      <c r="G239" s="15" t="s">
        <v>364</v>
      </c>
      <c r="H239" s="176">
        <v>240000000</v>
      </c>
      <c r="I239" s="17" t="s">
        <v>900</v>
      </c>
      <c r="J239" s="113" t="str">
        <f>VLOOKUP($I239,'Price List, Weapons &amp; Items'!B:C,2,0)</f>
        <v>Ammunition for light infantry</v>
      </c>
      <c r="K239" s="113" t="str">
        <f>IF(I239=".",I239,VLOOKUP($I239,'Price List, Weapons &amp; Items'!B:D,3,0))</f>
        <v>mine</v>
      </c>
      <c r="L239" s="177">
        <f>VLOOKUP(I239,'Price List, Weapons &amp; Items'!B:E,4,0)</f>
        <v>0</v>
      </c>
      <c r="M239" s="542" t="s">
        <v>270</v>
      </c>
      <c r="N239" s="542" t="str">
        <f t="shared" si="53"/>
        <v>undisclosed</v>
      </c>
      <c r="O239" s="543">
        <f>VLOOKUP($I239,'Price List, Weapons &amp; Items'!B:G,6,0)</f>
        <v>16.5</v>
      </c>
      <c r="P239" s="176" t="str">
        <f t="shared" si="44"/>
        <v>.</v>
      </c>
      <c r="Q239" s="176" t="str">
        <f t="shared" si="45"/>
        <v>.</v>
      </c>
      <c r="R239" s="176" t="str">
        <f t="shared" si="41"/>
        <v/>
      </c>
      <c r="S239" s="176" t="str">
        <f>IF(AND(AD239=1,R239&lt;&gt;".")=TRUE,R239/VLOOKUP(G239,'Exchange Rates'!B:C,2,0),IF(R239=".",".",""))</f>
        <v/>
      </c>
      <c r="T239" s="176" t="str">
        <f>IF(AD239=1,IF(AF239="Value is not given at all",".",IF(AF239="Value is given by the source",S239,IF(AF239="Value is calculated with prices",(IF(SUMIFS(Q:Q,A:A,A239)&gt;0,SUMIFS(Q:Q,A:A,A239),"."))/VLOOKUP("USD",'Exchange Rates'!B:C,2,0),"Error with coding"))),"")</f>
        <v/>
      </c>
      <c r="U239" s="15" t="s">
        <v>261</v>
      </c>
      <c r="V239" s="547" t="s">
        <v>941</v>
      </c>
      <c r="W239" s="547" t="s">
        <v>942</v>
      </c>
      <c r="X239" s="547" t="s">
        <v>943</v>
      </c>
      <c r="Y239" s="547" t="s">
        <v>944</v>
      </c>
      <c r="Z239" s="15">
        <v>0</v>
      </c>
      <c r="AA239" s="180">
        <v>0</v>
      </c>
      <c r="AB239" s="550" t="s">
        <v>945</v>
      </c>
      <c r="AC239" s="544" t="str">
        <f>""</f>
        <v/>
      </c>
      <c r="AD239" s="181">
        <v>0</v>
      </c>
      <c r="AE239" s="181" t="s">
        <v>264</v>
      </c>
      <c r="AF239" s="181" t="s">
        <v>264</v>
      </c>
      <c r="AG239" s="181">
        <v>1</v>
      </c>
      <c r="AH239" s="181">
        <v>5</v>
      </c>
      <c r="AI239" s="181">
        <v>0</v>
      </c>
      <c r="AJ239" s="181">
        <f>VLOOKUP($I239,'Price List, Weapons &amp; Items'!B:F,5,0)</f>
        <v>0</v>
      </c>
      <c r="AK239" s="181">
        <f t="shared" si="46"/>
        <v>0</v>
      </c>
      <c r="AL239" s="181">
        <f t="shared" si="47"/>
        <v>0</v>
      </c>
      <c r="AM239" s="181">
        <f t="shared" si="48"/>
        <v>0</v>
      </c>
      <c r="AN239" s="180" t="str">
        <f>VLOOKUP($I239,'Price List, Weapons &amp; Items'!B:L,COLUMN('Price List, Weapons &amp; Items'!$J$11)-1,0)</f>
        <v>Miscellaneous</v>
      </c>
      <c r="AO239" s="180" t="str">
        <f>IF(I239=".",".",VLOOKUP($I239,'Price List, Weapons &amp; Items'!B:J,3,0))</f>
        <v>mine</v>
      </c>
      <c r="AP239" s="545" t="str">
        <f t="shared" ca="1" si="42"/>
        <v/>
      </c>
      <c r="AQ239" s="180" t="str">
        <f>VLOOKUP($I239,'Price List, Weapons &amp; Items'!B:L,COLUMN('Price List, Weapons &amp; Items'!$L$11)-1,0)</f>
        <v>no price, 0 count</v>
      </c>
      <c r="AR239" s="180">
        <f t="shared" si="49"/>
        <v>1</v>
      </c>
      <c r="AS239" s="180">
        <f t="shared" si="50"/>
        <v>1</v>
      </c>
      <c r="AT239" s="180" t="str">
        <f t="shared" si="43"/>
        <v>Value is not in date format</v>
      </c>
      <c r="AU239" s="180" t="str">
        <f t="shared" si="51"/>
        <v>.</v>
      </c>
      <c r="AV239" s="180" t="str">
        <f t="shared" si="52"/>
        <v>.</v>
      </c>
      <c r="AW239" s="180">
        <f>IFERROR(VLOOKUP(B239,'Share, Heavy Weapons to Ukraine'!B:J,COLUMN('Share, Heavy Weapons to Ukraine'!C246)-1,0),0)</f>
        <v>0</v>
      </c>
      <c r="AX239" s="180">
        <f>VLOOKUP('Bilateral Assistance, MAIN DATA'!B239,'Country Summary'!B:F,COLUMN('Country Summary'!C249)-1,FALSE)</f>
        <v>1</v>
      </c>
      <c r="AY239" s="180" t="str">
        <f>IF(AND(AD239=1,D239="Military",H239&lt;&gt;"Not given")=TRUE,IF(SUMIFS(P:P,A:A,A239)&gt;0,ABS((SUMIFS(P:P,A:A,A239)/VLOOKUP("USD",'Exchange Rates'!B:C,2,0)))/S239,"."),".")</f>
        <v>.</v>
      </c>
      <c r="AZ239" s="182" t="str">
        <f>IF(AND(AD239=1,D239="Military",H239&lt;&gt;"Not given")=TRUE,IF(SUMIFS(P:P,A:A,A239)&gt;0,IF((ABS((SUMIFS(P:P,A:A,A239)/VLOOKUP("USD",'Exchange Rates'!B:C,2,0)))/S239)&gt;1,(SUMIFS(P:P,A:A,A239)-S239)/S239,(S239-SUMIFS(P:P,A:A,A239))/SUMIFS(P:P,A:A,A239)),"."),".")</f>
        <v>.</v>
      </c>
      <c r="BA239" s="182"/>
      <c r="BB239" s="182"/>
      <c r="BC239" s="182"/>
      <c r="BD239" s="182"/>
      <c r="BE239" s="182"/>
      <c r="BF239" s="182"/>
      <c r="BG239" s="182"/>
      <c r="BH239" s="182"/>
      <c r="BI239" s="182"/>
      <c r="BJ239" s="182"/>
      <c r="BK239" s="182"/>
      <c r="BL239" s="182"/>
      <c r="BM239" s="182"/>
      <c r="BN239" s="182"/>
      <c r="BO239" s="182"/>
      <c r="BP239" s="182"/>
      <c r="BQ239" s="182"/>
      <c r="BR239" s="182"/>
      <c r="BS239" s="182"/>
    </row>
    <row r="240" spans="1:71" ht="15.9" customHeight="1" x14ac:dyDescent="0.3">
      <c r="A240" s="5" t="s">
        <v>936</v>
      </c>
      <c r="B240" s="5" t="s">
        <v>937</v>
      </c>
      <c r="C240" s="174" t="s">
        <v>938</v>
      </c>
      <c r="D240" s="5" t="s">
        <v>285</v>
      </c>
      <c r="E240" s="5" t="s">
        <v>286</v>
      </c>
      <c r="F240" s="175" t="s">
        <v>939</v>
      </c>
      <c r="G240" s="15" t="s">
        <v>364</v>
      </c>
      <c r="H240" s="176">
        <v>240000000</v>
      </c>
      <c r="I240" s="17" t="s">
        <v>950</v>
      </c>
      <c r="J240" s="113" t="str">
        <f>VLOOKUP($I240,'Price List, Weapons &amp; Items'!B:C,2,0)</f>
        <v>Light armaments &amp; infantry</v>
      </c>
      <c r="K240" s="113" t="str">
        <f>IF(I240=".",I240,VLOOKUP($I240,'Price List, Weapons &amp; Items'!B:D,3,0))</f>
        <v>Recoilless rifle (RR/RCL)</v>
      </c>
      <c r="L240" s="177">
        <f>VLOOKUP(I240,'Price List, Weapons &amp; Items'!B:E,4,0)</f>
        <v>0</v>
      </c>
      <c r="M240" s="542" t="s">
        <v>270</v>
      </c>
      <c r="N240" s="542" t="str">
        <f t="shared" si="53"/>
        <v>undisclosed</v>
      </c>
      <c r="O240" s="543">
        <f>VLOOKUP($I240,'Price List, Weapons &amp; Items'!B:G,6,0)</f>
        <v>20000</v>
      </c>
      <c r="P240" s="176" t="str">
        <f t="shared" si="44"/>
        <v>.</v>
      </c>
      <c r="Q240" s="176" t="str">
        <f t="shared" si="45"/>
        <v>.</v>
      </c>
      <c r="R240" s="176" t="str">
        <f t="shared" si="41"/>
        <v/>
      </c>
      <c r="S240" s="176" t="str">
        <f>IF(AND(AD240=1,R240&lt;&gt;".")=TRUE,R240/VLOOKUP(G240,'Exchange Rates'!B:C,2,0),IF(R240=".",".",""))</f>
        <v/>
      </c>
      <c r="T240" s="176" t="str">
        <f>IF(AD240=1,IF(AF240="Value is not given at all",".",IF(AF240="Value is given by the source",S240,IF(AF240="Value is calculated with prices",(IF(SUMIFS(Q:Q,A:A,A240)&gt;0,SUMIFS(Q:Q,A:A,A240),"."))/VLOOKUP("USD",'Exchange Rates'!B:C,2,0),"Error with coding"))),"")</f>
        <v/>
      </c>
      <c r="U240" s="15" t="s">
        <v>261</v>
      </c>
      <c r="V240" s="547" t="s">
        <v>941</v>
      </c>
      <c r="W240" s="547" t="s">
        <v>942</v>
      </c>
      <c r="X240" s="547" t="s">
        <v>943</v>
      </c>
      <c r="Y240" s="547" t="s">
        <v>944</v>
      </c>
      <c r="Z240" s="15">
        <v>0</v>
      </c>
      <c r="AA240" s="180">
        <v>0</v>
      </c>
      <c r="AB240" s="550" t="s">
        <v>945</v>
      </c>
      <c r="AC240" s="544" t="str">
        <f>""</f>
        <v/>
      </c>
      <c r="AD240" s="181">
        <v>0</v>
      </c>
      <c r="AE240" s="181" t="s">
        <v>264</v>
      </c>
      <c r="AF240" s="181" t="s">
        <v>264</v>
      </c>
      <c r="AG240" s="181">
        <v>1</v>
      </c>
      <c r="AH240" s="181">
        <v>5</v>
      </c>
      <c r="AI240" s="181">
        <v>0</v>
      </c>
      <c r="AJ240" s="181">
        <f>VLOOKUP($I240,'Price List, Weapons &amp; Items'!B:F,5,0)</f>
        <v>0</v>
      </c>
      <c r="AK240" s="181">
        <f t="shared" si="46"/>
        <v>0</v>
      </c>
      <c r="AL240" s="181">
        <f t="shared" si="47"/>
        <v>0</v>
      </c>
      <c r="AM240" s="181">
        <f t="shared" si="48"/>
        <v>0</v>
      </c>
      <c r="AN240" s="180" t="str">
        <f>VLOOKUP($I240,'Price List, Weapons &amp; Items'!B:L,COLUMN('Price List, Weapons &amp; Items'!$J$11)-1,0)</f>
        <v>Miscellaneous</v>
      </c>
      <c r="AO240" s="180" t="str">
        <f>IF(I240=".",".",VLOOKUP($I240,'Price List, Weapons &amp; Items'!B:J,3,0))</f>
        <v>Recoilless rifle (RR/RCL)</v>
      </c>
      <c r="AP240" s="545" t="str">
        <f t="shared" ca="1" si="42"/>
        <v/>
      </c>
      <c r="AQ240" s="180" t="str">
        <f>VLOOKUP($I240,'Price List, Weapons &amp; Items'!B:L,COLUMN('Price List, Weapons &amp; Items'!$L$11)-1,0)</f>
        <v>no price, 0 count</v>
      </c>
      <c r="AR240" s="180">
        <f t="shared" si="49"/>
        <v>1</v>
      </c>
      <c r="AS240" s="180">
        <f t="shared" si="50"/>
        <v>1</v>
      </c>
      <c r="AT240" s="180" t="str">
        <f t="shared" si="43"/>
        <v>Value is not in date format</v>
      </c>
      <c r="AU240" s="180" t="str">
        <f t="shared" si="51"/>
        <v>.</v>
      </c>
      <c r="AV240" s="180" t="str">
        <f t="shared" si="52"/>
        <v>.</v>
      </c>
      <c r="AW240" s="180">
        <f>IFERROR(VLOOKUP(B240,'Share, Heavy Weapons to Ukraine'!B:J,COLUMN('Share, Heavy Weapons to Ukraine'!C247)-1,0),0)</f>
        <v>0</v>
      </c>
      <c r="AX240" s="180">
        <f>VLOOKUP('Bilateral Assistance, MAIN DATA'!B240,'Country Summary'!B:F,COLUMN('Country Summary'!C250)-1,FALSE)</f>
        <v>1</v>
      </c>
      <c r="AY240" s="180" t="str">
        <f>IF(AND(AD240=1,D240="Military",H240&lt;&gt;"Not given")=TRUE,IF(SUMIFS(P:P,A:A,A240)&gt;0,ABS((SUMIFS(P:P,A:A,A240)/VLOOKUP("USD",'Exchange Rates'!B:C,2,0)))/S240,"."),".")</f>
        <v>.</v>
      </c>
      <c r="AZ240" s="182" t="str">
        <f>IF(AND(AD240=1,D240="Military",H240&lt;&gt;"Not given")=TRUE,IF(SUMIFS(P:P,A:A,A240)&gt;0,IF((ABS((SUMIFS(P:P,A:A,A240)/VLOOKUP("USD",'Exchange Rates'!B:C,2,0)))/S240)&gt;1,(SUMIFS(P:P,A:A,A240)-S240)/S240,(S240-SUMIFS(P:P,A:A,A240))/SUMIFS(P:P,A:A,A240)),"."),".")</f>
        <v>.</v>
      </c>
      <c r="BA240" s="182"/>
      <c r="BB240" s="182"/>
      <c r="BC240" s="182"/>
      <c r="BD240" s="182"/>
      <c r="BE240" s="182"/>
      <c r="BF240" s="182"/>
      <c r="BG240" s="182"/>
      <c r="BH240" s="182"/>
      <c r="BI240" s="182"/>
      <c r="BJ240" s="182"/>
      <c r="BK240" s="182"/>
      <c r="BL240" s="182"/>
      <c r="BM240" s="182"/>
      <c r="BN240" s="182"/>
      <c r="BO240" s="182"/>
      <c r="BP240" s="182"/>
      <c r="BQ240" s="182"/>
      <c r="BR240" s="182"/>
      <c r="BS240" s="182"/>
    </row>
    <row r="241" spans="1:71" ht="15.9" customHeight="1" x14ac:dyDescent="0.3">
      <c r="A241" s="5" t="s">
        <v>936</v>
      </c>
      <c r="B241" s="5" t="s">
        <v>937</v>
      </c>
      <c r="C241" s="174" t="s">
        <v>938</v>
      </c>
      <c r="D241" s="5" t="s">
        <v>285</v>
      </c>
      <c r="E241" s="5" t="s">
        <v>286</v>
      </c>
      <c r="F241" s="175" t="s">
        <v>939</v>
      </c>
      <c r="G241" s="15" t="s">
        <v>364</v>
      </c>
      <c r="H241" s="176">
        <v>240000000</v>
      </c>
      <c r="I241" s="17" t="s">
        <v>951</v>
      </c>
      <c r="J241" s="113" t="str">
        <f>VLOOKUP($I241,'Price List, Weapons &amp; Items'!B:C,2,0)</f>
        <v>Light armaments &amp; infantry</v>
      </c>
      <c r="K241" s="113" t="str">
        <f>IF(I241=".",I241,VLOOKUP($I241,'Price List, Weapons &amp; Items'!B:D,3,0))</f>
        <v>Small Arms and Light Weapons (SALW)</v>
      </c>
      <c r="L241" s="177">
        <f>VLOOKUP(I241,'Price List, Weapons &amp; Items'!B:E,4,0)</f>
        <v>0</v>
      </c>
      <c r="M241" s="542" t="s">
        <v>270</v>
      </c>
      <c r="N241" s="542" t="str">
        <f t="shared" si="53"/>
        <v>undisclosed</v>
      </c>
      <c r="O241" s="543">
        <f>VLOOKUP($I241,'Price List, Weapons &amp; Items'!B:G,6,0)</f>
        <v>5300</v>
      </c>
      <c r="P241" s="176" t="str">
        <f t="shared" si="44"/>
        <v>.</v>
      </c>
      <c r="Q241" s="176" t="str">
        <f t="shared" si="45"/>
        <v>.</v>
      </c>
      <c r="R241" s="176" t="str">
        <f t="shared" si="41"/>
        <v/>
      </c>
      <c r="S241" s="176" t="str">
        <f>IF(AND(AD241=1,R241&lt;&gt;".")=TRUE,R241/VLOOKUP(G241,'Exchange Rates'!B:C,2,0),IF(R241=".",".",""))</f>
        <v/>
      </c>
      <c r="T241" s="176" t="str">
        <f>IF(AD241=1,IF(AF241="Value is not given at all",".",IF(AF241="Value is given by the source",S241,IF(AF241="Value is calculated with prices",(IF(SUMIFS(Q:Q,A:A,A241)&gt;0,SUMIFS(Q:Q,A:A,A241),"."))/VLOOKUP("USD",'Exchange Rates'!B:C,2,0),"Error with coding"))),"")</f>
        <v/>
      </c>
      <c r="U241" s="15" t="s">
        <v>261</v>
      </c>
      <c r="V241" s="547" t="s">
        <v>941</v>
      </c>
      <c r="W241" s="547" t="s">
        <v>942</v>
      </c>
      <c r="X241" s="547" t="s">
        <v>943</v>
      </c>
      <c r="Y241" s="547" t="s">
        <v>944</v>
      </c>
      <c r="Z241" s="15">
        <v>0</v>
      </c>
      <c r="AA241" s="180">
        <v>0</v>
      </c>
      <c r="AB241" s="550" t="s">
        <v>945</v>
      </c>
      <c r="AC241" s="544" t="str">
        <f>""</f>
        <v/>
      </c>
      <c r="AD241" s="181">
        <v>0</v>
      </c>
      <c r="AE241" s="181" t="s">
        <v>264</v>
      </c>
      <c r="AF241" s="181" t="s">
        <v>264</v>
      </c>
      <c r="AG241" s="181">
        <v>1</v>
      </c>
      <c r="AH241" s="181">
        <v>5</v>
      </c>
      <c r="AI241" s="181">
        <v>0</v>
      </c>
      <c r="AJ241" s="181">
        <f>VLOOKUP($I241,'Price List, Weapons &amp; Items'!B:F,5,0)</f>
        <v>0</v>
      </c>
      <c r="AK241" s="181">
        <f t="shared" si="46"/>
        <v>0</v>
      </c>
      <c r="AL241" s="181">
        <f t="shared" si="47"/>
        <v>0</v>
      </c>
      <c r="AM241" s="181">
        <f t="shared" si="48"/>
        <v>0</v>
      </c>
      <c r="AN241" s="180" t="str">
        <f>VLOOKUP($I241,'Price List, Weapons &amp; Items'!B:L,COLUMN('Price List, Weapons &amp; Items'!$J$11)-1,0)</f>
        <v>Miscellaneous</v>
      </c>
      <c r="AO241" s="180" t="str">
        <f>IF(I241=".",".",VLOOKUP($I241,'Price List, Weapons &amp; Items'!B:J,3,0))</f>
        <v>Small Arms and Light Weapons (SALW)</v>
      </c>
      <c r="AP241" s="545" t="str">
        <f t="shared" ca="1" si="42"/>
        <v/>
      </c>
      <c r="AQ241" s="180" t="str">
        <f>VLOOKUP($I241,'Price List, Weapons &amp; Items'!B:L,COLUMN('Price List, Weapons &amp; Items'!$L$11)-1,0)</f>
        <v>no price, 0 count</v>
      </c>
      <c r="AR241" s="180">
        <f t="shared" si="49"/>
        <v>1</v>
      </c>
      <c r="AS241" s="180">
        <f t="shared" si="50"/>
        <v>1</v>
      </c>
      <c r="AT241" s="180" t="str">
        <f t="shared" si="43"/>
        <v>Value is not in date format</v>
      </c>
      <c r="AU241" s="180" t="str">
        <f t="shared" si="51"/>
        <v>.</v>
      </c>
      <c r="AV241" s="180" t="str">
        <f t="shared" si="52"/>
        <v>.</v>
      </c>
      <c r="AW241" s="180">
        <f>IFERROR(VLOOKUP(B241,'Share, Heavy Weapons to Ukraine'!B:J,COLUMN('Share, Heavy Weapons to Ukraine'!C248)-1,0),0)</f>
        <v>0</v>
      </c>
      <c r="AX241" s="180">
        <f>VLOOKUP('Bilateral Assistance, MAIN DATA'!B241,'Country Summary'!B:F,COLUMN('Country Summary'!C251)-1,FALSE)</f>
        <v>1</v>
      </c>
      <c r="AY241" s="180" t="str">
        <f>IF(AND(AD241=1,D241="Military",H241&lt;&gt;"Not given")=TRUE,IF(SUMIFS(P:P,A:A,A241)&gt;0,ABS((SUMIFS(P:P,A:A,A241)/VLOOKUP("USD",'Exchange Rates'!B:C,2,0)))/S241,"."),".")</f>
        <v>.</v>
      </c>
      <c r="AZ241" s="182" t="str">
        <f>IF(AND(AD241=1,D241="Military",H241&lt;&gt;"Not given")=TRUE,IF(SUMIFS(P:P,A:A,A241)&gt;0,IF((ABS((SUMIFS(P:P,A:A,A241)/VLOOKUP("USD",'Exchange Rates'!B:C,2,0)))/S241)&gt;1,(SUMIFS(P:P,A:A,A241)-S241)/S241,(S241-SUMIFS(P:P,A:A,A241))/SUMIFS(P:P,A:A,A241)),"."),".")</f>
        <v>.</v>
      </c>
      <c r="BA241" s="182"/>
      <c r="BB241" s="182"/>
      <c r="BC241" s="182"/>
      <c r="BD241" s="182"/>
      <c r="BE241" s="182"/>
      <c r="BF241" s="182"/>
      <c r="BG241" s="182"/>
      <c r="BH241" s="182"/>
      <c r="BI241" s="182"/>
      <c r="BJ241" s="182"/>
      <c r="BK241" s="182"/>
      <c r="BL241" s="182"/>
      <c r="BM241" s="182"/>
      <c r="BN241" s="182"/>
      <c r="BO241" s="182"/>
      <c r="BP241" s="182"/>
      <c r="BQ241" s="182"/>
      <c r="BR241" s="182"/>
      <c r="BS241" s="182"/>
    </row>
    <row r="242" spans="1:71" ht="15.9" customHeight="1" x14ac:dyDescent="0.3">
      <c r="A242" s="5" t="s">
        <v>936</v>
      </c>
      <c r="B242" s="5" t="s">
        <v>937</v>
      </c>
      <c r="C242" s="174" t="s">
        <v>938</v>
      </c>
      <c r="D242" s="5" t="s">
        <v>285</v>
      </c>
      <c r="E242" s="5" t="s">
        <v>286</v>
      </c>
      <c r="F242" s="175" t="s">
        <v>939</v>
      </c>
      <c r="G242" s="15" t="s">
        <v>364</v>
      </c>
      <c r="H242" s="176">
        <v>240000000</v>
      </c>
      <c r="I242" s="17" t="s">
        <v>952</v>
      </c>
      <c r="J242" s="113" t="str">
        <f>VLOOKUP($I242,'Price List, Weapons &amp; Items'!B:C,2,0)</f>
        <v>Ammunition for light infantry</v>
      </c>
      <c r="K242" s="113" t="str">
        <f>IF(I242=".",I242,VLOOKUP($I242,'Price List, Weapons &amp; Items'!B:D,3,0))</f>
        <v>Small Arms and Light Weapons (SALW) ammunition</v>
      </c>
      <c r="L242" s="177">
        <f>VLOOKUP(I242,'Price List, Weapons &amp; Items'!B:E,4,0)</f>
        <v>0</v>
      </c>
      <c r="M242" s="542" t="s">
        <v>270</v>
      </c>
      <c r="N242" s="542" t="str">
        <f t="shared" si="53"/>
        <v>undisclosed</v>
      </c>
      <c r="O242" s="543">
        <f>VLOOKUP($I242,'Price List, Weapons &amp; Items'!B:G,6,0)</f>
        <v>0.41799999999999998</v>
      </c>
      <c r="P242" s="176" t="str">
        <f t="shared" si="44"/>
        <v>.</v>
      </c>
      <c r="Q242" s="176" t="str">
        <f t="shared" si="45"/>
        <v>.</v>
      </c>
      <c r="R242" s="176" t="str">
        <f t="shared" si="41"/>
        <v/>
      </c>
      <c r="S242" s="176" t="str">
        <f>IF(AND(AD242=1,R242&lt;&gt;".")=TRUE,R242/VLOOKUP(G242,'Exchange Rates'!B:C,2,0),IF(R242=".",".",""))</f>
        <v/>
      </c>
      <c r="T242" s="176" t="str">
        <f>IF(AD242=1,IF(AF242="Value is not given at all",".",IF(AF242="Value is given by the source",S242,IF(AF242="Value is calculated with prices",(IF(SUMIFS(Q:Q,A:A,A242)&gt;0,SUMIFS(Q:Q,A:A,A242),"."))/VLOOKUP("USD",'Exchange Rates'!B:C,2,0),"Error with coding"))),"")</f>
        <v/>
      </c>
      <c r="U242" s="15" t="s">
        <v>261</v>
      </c>
      <c r="V242" s="547" t="s">
        <v>941</v>
      </c>
      <c r="W242" s="547" t="s">
        <v>942</v>
      </c>
      <c r="X242" s="547" t="s">
        <v>943</v>
      </c>
      <c r="Y242" s="547" t="s">
        <v>944</v>
      </c>
      <c r="Z242" s="15">
        <v>0</v>
      </c>
      <c r="AA242" s="180">
        <v>0</v>
      </c>
      <c r="AB242" s="550" t="s">
        <v>945</v>
      </c>
      <c r="AC242" s="544" t="str">
        <f>""</f>
        <v/>
      </c>
      <c r="AD242" s="181">
        <v>0</v>
      </c>
      <c r="AE242" s="181" t="s">
        <v>264</v>
      </c>
      <c r="AF242" s="181" t="s">
        <v>264</v>
      </c>
      <c r="AG242" s="181">
        <v>1</v>
      </c>
      <c r="AH242" s="181">
        <v>5</v>
      </c>
      <c r="AI242" s="181">
        <v>0</v>
      </c>
      <c r="AJ242" s="181">
        <f>VLOOKUP($I242,'Price List, Weapons &amp; Items'!B:F,5,0)</f>
        <v>0</v>
      </c>
      <c r="AK242" s="181">
        <f t="shared" si="46"/>
        <v>0</v>
      </c>
      <c r="AL242" s="181">
        <f t="shared" si="47"/>
        <v>0</v>
      </c>
      <c r="AM242" s="181">
        <f t="shared" si="48"/>
        <v>1</v>
      </c>
      <c r="AN242" s="180" t="str">
        <f>VLOOKUP($I242,'Price List, Weapons &amp; Items'!B:L,COLUMN('Price List, Weapons &amp; Items'!$J$11)-1,0)</f>
        <v>Online marketplaces and stores</v>
      </c>
      <c r="AO242" s="180" t="str">
        <f>IF(I242=".",".",VLOOKUP($I242,'Price List, Weapons &amp; Items'!B:J,3,0))</f>
        <v>Small Arms and Light Weapons (SALW) ammunition</v>
      </c>
      <c r="AP242" s="545" t="str">
        <f t="shared" ca="1" si="42"/>
        <v/>
      </c>
      <c r="AQ242" s="180" t="str">
        <f>VLOOKUP($I242,'Price List, Weapons &amp; Items'!B:L,COLUMN('Price List, Weapons &amp; Items'!$L$11)-1,0)</f>
        <v>no price, 0 count</v>
      </c>
      <c r="AR242" s="180">
        <f t="shared" si="49"/>
        <v>1</v>
      </c>
      <c r="AS242" s="180">
        <f t="shared" si="50"/>
        <v>1</v>
      </c>
      <c r="AT242" s="180" t="str">
        <f t="shared" si="43"/>
        <v>Value is not in date format</v>
      </c>
      <c r="AU242" s="180" t="str">
        <f t="shared" si="51"/>
        <v>.</v>
      </c>
      <c r="AV242" s="180" t="str">
        <f t="shared" si="52"/>
        <v>.</v>
      </c>
      <c r="AW242" s="180">
        <f>IFERROR(VLOOKUP(B242,'Share, Heavy Weapons to Ukraine'!B:J,COLUMN('Share, Heavy Weapons to Ukraine'!C249)-1,0),0)</f>
        <v>0</v>
      </c>
      <c r="AX242" s="180">
        <f>VLOOKUP('Bilateral Assistance, MAIN DATA'!B242,'Country Summary'!B:F,COLUMN('Country Summary'!C252)-1,FALSE)</f>
        <v>1</v>
      </c>
      <c r="AY242" s="180" t="str">
        <f>IF(AND(AD242=1,D242="Military",H242&lt;&gt;"Not given")=TRUE,IF(SUMIFS(P:P,A:A,A242)&gt;0,ABS((SUMIFS(P:P,A:A,A242)/VLOOKUP("USD",'Exchange Rates'!B:C,2,0)))/S242,"."),".")</f>
        <v>.</v>
      </c>
      <c r="AZ242" s="182" t="str">
        <f>IF(AND(AD242=1,D242="Military",H242&lt;&gt;"Not given")=TRUE,IF(SUMIFS(P:P,A:A,A242)&gt;0,IF((ABS((SUMIFS(P:P,A:A,A242)/VLOOKUP("USD",'Exchange Rates'!B:C,2,0)))/S242)&gt;1,(SUMIFS(P:P,A:A,A242)-S242)/S242,(S242-SUMIFS(P:P,A:A,A242))/SUMIFS(P:P,A:A,A242)),"."),".")</f>
        <v>.</v>
      </c>
      <c r="BA242" s="182"/>
      <c r="BB242" s="182"/>
      <c r="BC242" s="182"/>
      <c r="BD242" s="182"/>
      <c r="BE242" s="182"/>
      <c r="BF242" s="182"/>
      <c r="BG242" s="182"/>
      <c r="BH242" s="182"/>
      <c r="BI242" s="182"/>
      <c r="BJ242" s="182"/>
      <c r="BK242" s="182"/>
      <c r="BL242" s="182"/>
      <c r="BM242" s="182"/>
      <c r="BN242" s="182"/>
      <c r="BO242" s="182"/>
      <c r="BP242" s="182"/>
      <c r="BQ242" s="182"/>
      <c r="BR242" s="182"/>
      <c r="BS242" s="182"/>
    </row>
    <row r="243" spans="1:71" ht="15.9" customHeight="1" x14ac:dyDescent="0.3">
      <c r="A243" s="5" t="s">
        <v>936</v>
      </c>
      <c r="B243" s="5" t="s">
        <v>937</v>
      </c>
      <c r="C243" s="174" t="s">
        <v>938</v>
      </c>
      <c r="D243" s="5" t="s">
        <v>285</v>
      </c>
      <c r="E243" s="5" t="s">
        <v>286</v>
      </c>
      <c r="F243" s="175" t="s">
        <v>939</v>
      </c>
      <c r="G243" s="15" t="s">
        <v>364</v>
      </c>
      <c r="H243" s="176">
        <v>240000000</v>
      </c>
      <c r="I243" s="17" t="s">
        <v>953</v>
      </c>
      <c r="J243" s="113" t="str">
        <f>VLOOKUP($I243,'Price List, Weapons &amp; Items'!B:C,2,0)</f>
        <v>Ammunition for heavy weapon</v>
      </c>
      <c r="K243" s="113" t="str">
        <f>IF(I243=".",I243,VLOOKUP($I243,'Price List, Weapons &amp; Items'!B:D,3,0))</f>
        <v>Military equipment</v>
      </c>
      <c r="L243" s="177">
        <f>VLOOKUP(I243,'Price List, Weapons &amp; Items'!B:E,4,0)</f>
        <v>0</v>
      </c>
      <c r="M243" s="542" t="s">
        <v>270</v>
      </c>
      <c r="N243" s="542" t="str">
        <f t="shared" si="53"/>
        <v>undisclosed</v>
      </c>
      <c r="O243" s="543" t="str">
        <f>VLOOKUP($I243,'Price List, Weapons &amp; Items'!B:G,6,0)</f>
        <v>.</v>
      </c>
      <c r="P243" s="176" t="str">
        <f t="shared" si="44"/>
        <v>.</v>
      </c>
      <c r="Q243" s="176" t="str">
        <f t="shared" si="45"/>
        <v>.</v>
      </c>
      <c r="R243" s="176" t="str">
        <f t="shared" si="41"/>
        <v/>
      </c>
      <c r="S243" s="176" t="str">
        <f>IF(AND(AD243=1,R243&lt;&gt;".")=TRUE,R243/VLOOKUP(G243,'Exchange Rates'!B:C,2,0),IF(R243=".",".",""))</f>
        <v/>
      </c>
      <c r="T243" s="176" t="str">
        <f>IF(AD243=1,IF(AF243="Value is not given at all",".",IF(AF243="Value is given by the source",S243,IF(AF243="Value is calculated with prices",(IF(SUMIFS(Q:Q,A:A,A243)&gt;0,SUMIFS(Q:Q,A:A,A243),"."))/VLOOKUP("USD",'Exchange Rates'!B:C,2,0),"Error with coding"))),"")</f>
        <v/>
      </c>
      <c r="U243" s="15" t="s">
        <v>261</v>
      </c>
      <c r="V243" s="547" t="s">
        <v>941</v>
      </c>
      <c r="W243" s="547" t="s">
        <v>942</v>
      </c>
      <c r="X243" s="547" t="s">
        <v>943</v>
      </c>
      <c r="Y243" s="547" t="s">
        <v>944</v>
      </c>
      <c r="Z243" s="15">
        <v>0</v>
      </c>
      <c r="AA243" s="180">
        <v>0</v>
      </c>
      <c r="AB243" s="550" t="s">
        <v>945</v>
      </c>
      <c r="AC243" s="544" t="str">
        <f>""</f>
        <v/>
      </c>
      <c r="AD243" s="181">
        <v>0</v>
      </c>
      <c r="AE243" s="181" t="s">
        <v>264</v>
      </c>
      <c r="AF243" s="181" t="s">
        <v>264</v>
      </c>
      <c r="AG243" s="181">
        <v>1</v>
      </c>
      <c r="AH243" s="181">
        <v>5</v>
      </c>
      <c r="AI243" s="181">
        <v>0</v>
      </c>
      <c r="AJ243" s="181">
        <f>VLOOKUP($I243,'Price List, Weapons &amp; Items'!B:F,5,0)</f>
        <v>0</v>
      </c>
      <c r="AK243" s="181">
        <f t="shared" si="46"/>
        <v>0</v>
      </c>
      <c r="AL243" s="181">
        <f t="shared" si="47"/>
        <v>0</v>
      </c>
      <c r="AM243" s="181">
        <f t="shared" si="48"/>
        <v>0</v>
      </c>
      <c r="AN243" s="180" t="str">
        <f>VLOOKUP($I243,'Price List, Weapons &amp; Items'!B:L,COLUMN('Price List, Weapons &amp; Items'!$J$11)-1,0)</f>
        <v>.</v>
      </c>
      <c r="AO243" s="180" t="str">
        <f>IF(I243=".",".",VLOOKUP($I243,'Price List, Weapons &amp; Items'!B:J,3,0))</f>
        <v>Military equipment</v>
      </c>
      <c r="AP243" s="545" t="str">
        <f t="shared" ca="1" si="42"/>
        <v/>
      </c>
      <c r="AQ243" s="180" t="str">
        <f>VLOOKUP($I243,'Price List, Weapons &amp; Items'!B:L,COLUMN('Price List, Weapons &amp; Items'!$L$11)-1,0)</f>
        <v>no price, 0 count</v>
      </c>
      <c r="AR243" s="180">
        <f t="shared" si="49"/>
        <v>1</v>
      </c>
      <c r="AS243" s="180">
        <f t="shared" si="50"/>
        <v>1</v>
      </c>
      <c r="AT243" s="180" t="str">
        <f t="shared" si="43"/>
        <v>Value is not in date format</v>
      </c>
      <c r="AU243" s="180" t="str">
        <f t="shared" si="51"/>
        <v>.</v>
      </c>
      <c r="AV243" s="180" t="str">
        <f t="shared" si="52"/>
        <v>.</v>
      </c>
      <c r="AW243" s="180">
        <f>IFERROR(VLOOKUP(B243,'Share, Heavy Weapons to Ukraine'!B:J,COLUMN('Share, Heavy Weapons to Ukraine'!C250)-1,0),0)</f>
        <v>0</v>
      </c>
      <c r="AX243" s="180">
        <f>VLOOKUP('Bilateral Assistance, MAIN DATA'!B243,'Country Summary'!B:F,COLUMN('Country Summary'!C253)-1,FALSE)</f>
        <v>1</v>
      </c>
      <c r="AY243" s="180" t="str">
        <f>IF(AND(AD243=1,D243="Military",H243&lt;&gt;"Not given")=TRUE,IF(SUMIFS(P:P,A:A,A243)&gt;0,ABS((SUMIFS(P:P,A:A,A243)/VLOOKUP("USD",'Exchange Rates'!B:C,2,0)))/S243,"."),".")</f>
        <v>.</v>
      </c>
      <c r="AZ243" s="182" t="str">
        <f>IF(AND(AD243=1,D243="Military",H243&lt;&gt;"Not given")=TRUE,IF(SUMIFS(P:P,A:A,A243)&gt;0,IF((ABS((SUMIFS(P:P,A:A,A243)/VLOOKUP("USD",'Exchange Rates'!B:C,2,0)))/S243)&gt;1,(SUMIFS(P:P,A:A,A243)-S243)/S243,(S243-SUMIFS(P:P,A:A,A243))/SUMIFS(P:P,A:A,A243)),"."),".")</f>
        <v>.</v>
      </c>
      <c r="BA243" s="182"/>
      <c r="BB243" s="182"/>
      <c r="BC243" s="182"/>
      <c r="BD243" s="182"/>
      <c r="BE243" s="182"/>
      <c r="BF243" s="182"/>
      <c r="BG243" s="182"/>
      <c r="BH243" s="182"/>
      <c r="BI243" s="182"/>
      <c r="BJ243" s="182"/>
      <c r="BK243" s="182"/>
      <c r="BL243" s="182"/>
      <c r="BM243" s="182"/>
      <c r="BN243" s="182"/>
      <c r="BO243" s="182"/>
      <c r="BP243" s="182"/>
      <c r="BQ243" s="182"/>
      <c r="BR243" s="182"/>
      <c r="BS243" s="182"/>
    </row>
    <row r="244" spans="1:71" ht="15.9" customHeight="1" x14ac:dyDescent="0.3">
      <c r="A244" s="5" t="s">
        <v>936</v>
      </c>
      <c r="B244" s="5" t="s">
        <v>937</v>
      </c>
      <c r="C244" s="174" t="s">
        <v>938</v>
      </c>
      <c r="D244" s="5" t="s">
        <v>285</v>
      </c>
      <c r="E244" s="5" t="s">
        <v>286</v>
      </c>
      <c r="F244" s="175" t="s">
        <v>939</v>
      </c>
      <c r="G244" s="15" t="s">
        <v>364</v>
      </c>
      <c r="H244" s="176">
        <v>240000000</v>
      </c>
      <c r="I244" s="17" t="s">
        <v>463</v>
      </c>
      <c r="J244" s="113" t="str">
        <f>VLOOKUP($I244,'Price List, Weapons &amp; Items'!B:C,2,0)</f>
        <v>Military equipment</v>
      </c>
      <c r="K244" s="113" t="str">
        <f>IF(I244=".",I244,VLOOKUP($I244,'Price List, Weapons &amp; Items'!B:D,3,0))</f>
        <v>Military equipment</v>
      </c>
      <c r="L244" s="177">
        <f>VLOOKUP(I244,'Price List, Weapons &amp; Items'!B:E,4,0)</f>
        <v>0</v>
      </c>
      <c r="M244" s="542" t="s">
        <v>270</v>
      </c>
      <c r="N244" s="542" t="str">
        <f t="shared" si="53"/>
        <v>undisclosed</v>
      </c>
      <c r="O244" s="543">
        <f>VLOOKUP($I244,'Price List, Weapons &amp; Items'!B:G,6,0)</f>
        <v>1400</v>
      </c>
      <c r="P244" s="176" t="str">
        <f t="shared" si="44"/>
        <v>.</v>
      </c>
      <c r="Q244" s="176" t="str">
        <f t="shared" si="45"/>
        <v>.</v>
      </c>
      <c r="R244" s="176" t="str">
        <f t="shared" si="41"/>
        <v/>
      </c>
      <c r="S244" s="176" t="str">
        <f>IF(AND(AD244=1,R244&lt;&gt;".")=TRUE,R244/VLOOKUP(G244,'Exchange Rates'!B:C,2,0),IF(R244=".",".",""))</f>
        <v/>
      </c>
      <c r="T244" s="176" t="str">
        <f>IF(AD244=1,IF(AF244="Value is not given at all",".",IF(AF244="Value is given by the source",S244,IF(AF244="Value is calculated with prices",(IF(SUMIFS(Q:Q,A:A,A244)&gt;0,SUMIFS(Q:Q,A:A,A244),"."))/VLOOKUP("USD",'Exchange Rates'!B:C,2,0),"Error with coding"))),"")</f>
        <v/>
      </c>
      <c r="U244" s="15" t="s">
        <v>261</v>
      </c>
      <c r="V244" s="547" t="s">
        <v>941</v>
      </c>
      <c r="W244" s="547" t="s">
        <v>942</v>
      </c>
      <c r="X244" s="547" t="s">
        <v>943</v>
      </c>
      <c r="Y244" s="547" t="s">
        <v>944</v>
      </c>
      <c r="Z244" s="15">
        <v>0</v>
      </c>
      <c r="AA244" s="180">
        <v>0</v>
      </c>
      <c r="AB244" s="550" t="s">
        <v>945</v>
      </c>
      <c r="AC244" s="544" t="str">
        <f>""</f>
        <v/>
      </c>
      <c r="AD244" s="181">
        <v>0</v>
      </c>
      <c r="AE244" s="181" t="s">
        <v>264</v>
      </c>
      <c r="AF244" s="181" t="s">
        <v>264</v>
      </c>
      <c r="AG244" s="181">
        <v>1</v>
      </c>
      <c r="AH244" s="181">
        <v>5</v>
      </c>
      <c r="AI244" s="181">
        <v>0</v>
      </c>
      <c r="AJ244" s="181">
        <f>VLOOKUP($I244,'Price List, Weapons &amp; Items'!B:F,5,0)</f>
        <v>0</v>
      </c>
      <c r="AK244" s="181">
        <f t="shared" si="46"/>
        <v>0</v>
      </c>
      <c r="AL244" s="181">
        <f t="shared" si="47"/>
        <v>0</v>
      </c>
      <c r="AM244" s="181">
        <f t="shared" si="48"/>
        <v>0</v>
      </c>
      <c r="AN244" s="180" t="str">
        <f>VLOOKUP($I244,'Price List, Weapons &amp; Items'!B:L,COLUMN('Price List, Weapons &amp; Items'!$J$11)-1,0)</f>
        <v>Military media (incl. websites)</v>
      </c>
      <c r="AO244" s="180" t="str">
        <f>IF(I244=".",".",VLOOKUP($I244,'Price List, Weapons &amp; Items'!B:J,3,0))</f>
        <v>Military equipment</v>
      </c>
      <c r="AP244" s="545" t="str">
        <f t="shared" ca="1" si="42"/>
        <v/>
      </c>
      <c r="AQ244" s="180">
        <f>VLOOKUP($I244,'Price List, Weapons &amp; Items'!B:L,COLUMN('Price List, Weapons &amp; Items'!$L$11)-1,0)</f>
        <v>2</v>
      </c>
      <c r="AR244" s="180">
        <f t="shared" si="49"/>
        <v>1</v>
      </c>
      <c r="AS244" s="180">
        <f t="shared" si="50"/>
        <v>1</v>
      </c>
      <c r="AT244" s="180" t="str">
        <f t="shared" si="43"/>
        <v>Value is not in date format</v>
      </c>
      <c r="AU244" s="180" t="str">
        <f t="shared" si="51"/>
        <v>.</v>
      </c>
      <c r="AV244" s="180" t="str">
        <f t="shared" si="52"/>
        <v>.</v>
      </c>
      <c r="AW244" s="180">
        <f>IFERROR(VLOOKUP(B244,'Share, Heavy Weapons to Ukraine'!B:J,COLUMN('Share, Heavy Weapons to Ukraine'!C251)-1,0),0)</f>
        <v>0</v>
      </c>
      <c r="AX244" s="180">
        <f>VLOOKUP('Bilateral Assistance, MAIN DATA'!B244,'Country Summary'!B:F,COLUMN('Country Summary'!C254)-1,FALSE)</f>
        <v>1</v>
      </c>
      <c r="AY244" s="180" t="str">
        <f>IF(AND(AD244=1,D244="Military",H244&lt;&gt;"Not given")=TRUE,IF(SUMIFS(P:P,A:A,A244)&gt;0,ABS((SUMIFS(P:P,A:A,A244)/VLOOKUP("USD",'Exchange Rates'!B:C,2,0)))/S244,"."),".")</f>
        <v>.</v>
      </c>
      <c r="AZ244" s="182" t="str">
        <f>IF(AND(AD244=1,D244="Military",H244&lt;&gt;"Not given")=TRUE,IF(SUMIFS(P:P,A:A,A244)&gt;0,IF((ABS((SUMIFS(P:P,A:A,A244)/VLOOKUP("USD",'Exchange Rates'!B:C,2,0)))/S244)&gt;1,(SUMIFS(P:P,A:A,A244)-S244)/S244,(S244-SUMIFS(P:P,A:A,A244))/SUMIFS(P:P,A:A,A244)),"."),".")</f>
        <v>.</v>
      </c>
      <c r="BA244" s="182"/>
      <c r="BB244" s="182"/>
      <c r="BC244" s="182"/>
      <c r="BD244" s="182"/>
      <c r="BE244" s="182"/>
      <c r="BF244" s="182"/>
      <c r="BG244" s="182"/>
      <c r="BH244" s="182"/>
      <c r="BI244" s="182"/>
      <c r="BJ244" s="182"/>
      <c r="BK244" s="182"/>
      <c r="BL244" s="182"/>
      <c r="BM244" s="182"/>
      <c r="BN244" s="182"/>
      <c r="BO244" s="182"/>
      <c r="BP244" s="182"/>
      <c r="BQ244" s="182"/>
      <c r="BR244" s="182"/>
      <c r="BS244" s="182"/>
    </row>
    <row r="245" spans="1:71" ht="15.9" customHeight="1" x14ac:dyDescent="0.3">
      <c r="A245" s="5" t="s">
        <v>936</v>
      </c>
      <c r="B245" s="5" t="s">
        <v>937</v>
      </c>
      <c r="C245" s="174" t="s">
        <v>938</v>
      </c>
      <c r="D245" s="5" t="s">
        <v>285</v>
      </c>
      <c r="E245" s="5" t="s">
        <v>286</v>
      </c>
      <c r="F245" s="175" t="s">
        <v>939</v>
      </c>
      <c r="G245" s="15" t="s">
        <v>364</v>
      </c>
      <c r="H245" s="176">
        <v>240000000</v>
      </c>
      <c r="I245" s="17" t="s">
        <v>954</v>
      </c>
      <c r="J245" s="113" t="str">
        <f>VLOOKUP($I245,'Price List, Weapons &amp; Items'!B:C,2,0)</f>
        <v>Military equipment</v>
      </c>
      <c r="K245" s="113" t="str">
        <f>IF(I245=".",I245,VLOOKUP($I245,'Price List, Weapons &amp; Items'!B:D,3,0))</f>
        <v>Military equipment</v>
      </c>
      <c r="L245" s="177">
        <f>VLOOKUP(I245,'Price List, Weapons &amp; Items'!B:E,4,0)</f>
        <v>0</v>
      </c>
      <c r="M245" s="542" t="s">
        <v>270</v>
      </c>
      <c r="N245" s="542" t="str">
        <f t="shared" si="53"/>
        <v>undisclosed</v>
      </c>
      <c r="O245" s="543">
        <f>VLOOKUP($I245,'Price List, Weapons &amp; Items'!B:G,6,0)</f>
        <v>35</v>
      </c>
      <c r="P245" s="176" t="str">
        <f t="shared" si="44"/>
        <v>.</v>
      </c>
      <c r="Q245" s="176" t="str">
        <f t="shared" si="45"/>
        <v>.</v>
      </c>
      <c r="R245" s="176" t="str">
        <f t="shared" si="41"/>
        <v/>
      </c>
      <c r="S245" s="176" t="str">
        <f>IF(AND(AD245=1,R245&lt;&gt;".")=TRUE,R245/VLOOKUP(G245,'Exchange Rates'!B:C,2,0),IF(R245=".",".",""))</f>
        <v/>
      </c>
      <c r="T245" s="176" t="str">
        <f>IF(AD245=1,IF(AF245="Value is not given at all",".",IF(AF245="Value is given by the source",S245,IF(AF245="Value is calculated with prices",(IF(SUMIFS(Q:Q,A:A,A245)&gt;0,SUMIFS(Q:Q,A:A,A245),"."))/VLOOKUP("USD",'Exchange Rates'!B:C,2,0),"Error with coding"))),"")</f>
        <v/>
      </c>
      <c r="U245" s="15" t="s">
        <v>261</v>
      </c>
      <c r="V245" s="547" t="s">
        <v>941</v>
      </c>
      <c r="W245" s="547" t="s">
        <v>942</v>
      </c>
      <c r="X245" s="547" t="s">
        <v>943</v>
      </c>
      <c r="Y245" s="547" t="s">
        <v>944</v>
      </c>
      <c r="Z245" s="15">
        <v>0</v>
      </c>
      <c r="AA245" s="180">
        <v>0</v>
      </c>
      <c r="AB245" s="550" t="s">
        <v>945</v>
      </c>
      <c r="AC245" s="544" t="str">
        <f>""</f>
        <v/>
      </c>
      <c r="AD245" s="181">
        <v>0</v>
      </c>
      <c r="AE245" s="181" t="s">
        <v>264</v>
      </c>
      <c r="AF245" s="181" t="s">
        <v>264</v>
      </c>
      <c r="AG245" s="181">
        <v>1</v>
      </c>
      <c r="AH245" s="181">
        <v>5</v>
      </c>
      <c r="AI245" s="181">
        <v>0</v>
      </c>
      <c r="AJ245" s="181">
        <f>VLOOKUP($I245,'Price List, Weapons &amp; Items'!B:F,5,0)</f>
        <v>0</v>
      </c>
      <c r="AK245" s="181">
        <f t="shared" si="46"/>
        <v>0</v>
      </c>
      <c r="AL245" s="181">
        <f t="shared" si="47"/>
        <v>0</v>
      </c>
      <c r="AM245" s="181">
        <f t="shared" si="48"/>
        <v>0</v>
      </c>
      <c r="AN245" s="180" t="str">
        <f>VLOOKUP($I245,'Price List, Weapons &amp; Items'!B:L,COLUMN('Price List, Weapons &amp; Items'!$J$11)-1,0)</f>
        <v>Online marketplaces and stores</v>
      </c>
      <c r="AO245" s="180" t="str">
        <f>IF(I245=".",".",VLOOKUP($I245,'Price List, Weapons &amp; Items'!B:J,3,0))</f>
        <v>Military equipment</v>
      </c>
      <c r="AP245" s="545" t="str">
        <f t="shared" ca="1" si="42"/>
        <v/>
      </c>
      <c r="AQ245" s="180" t="str">
        <f>VLOOKUP($I245,'Price List, Weapons &amp; Items'!B:L,COLUMN('Price List, Weapons &amp; Items'!$L$11)-1,0)</f>
        <v>no price, 0 count</v>
      </c>
      <c r="AR245" s="180">
        <f t="shared" si="49"/>
        <v>1</v>
      </c>
      <c r="AS245" s="180">
        <f t="shared" si="50"/>
        <v>1</v>
      </c>
      <c r="AT245" s="180" t="str">
        <f t="shared" si="43"/>
        <v>Value is not in date format</v>
      </c>
      <c r="AU245" s="180" t="str">
        <f t="shared" si="51"/>
        <v>.</v>
      </c>
      <c r="AV245" s="180" t="str">
        <f t="shared" si="52"/>
        <v>.</v>
      </c>
      <c r="AW245" s="180">
        <f>IFERROR(VLOOKUP(B245,'Share, Heavy Weapons to Ukraine'!B:J,COLUMN('Share, Heavy Weapons to Ukraine'!C252)-1,0),0)</f>
        <v>0</v>
      </c>
      <c r="AX245" s="180">
        <f>VLOOKUP('Bilateral Assistance, MAIN DATA'!B245,'Country Summary'!B:F,COLUMN('Country Summary'!C255)-1,FALSE)</f>
        <v>1</v>
      </c>
      <c r="AY245" s="180" t="str">
        <f>IF(AND(AD245=1,D245="Military",H245&lt;&gt;"Not given")=TRUE,IF(SUMIFS(P:P,A:A,A245)&gt;0,ABS((SUMIFS(P:P,A:A,A245)/VLOOKUP("USD",'Exchange Rates'!B:C,2,0)))/S245,"."),".")</f>
        <v>.</v>
      </c>
      <c r="AZ245" s="182" t="str">
        <f>IF(AND(AD245=1,D245="Military",H245&lt;&gt;"Not given")=TRUE,IF(SUMIFS(P:P,A:A,A245)&gt;0,IF((ABS((SUMIFS(P:P,A:A,A245)/VLOOKUP("USD",'Exchange Rates'!B:C,2,0)))/S245)&gt;1,(SUMIFS(P:P,A:A,A245)-S245)/S245,(S245-SUMIFS(P:P,A:A,A245))/SUMIFS(P:P,A:A,A245)),"."),".")</f>
        <v>.</v>
      </c>
      <c r="BA245" s="182"/>
      <c r="BB245" s="182"/>
      <c r="BC245" s="182"/>
      <c r="BD245" s="182"/>
      <c r="BE245" s="182"/>
      <c r="BF245" s="182"/>
      <c r="BG245" s="182"/>
      <c r="BH245" s="182"/>
      <c r="BI245" s="182"/>
      <c r="BJ245" s="182"/>
      <c r="BK245" s="182"/>
      <c r="BL245" s="182"/>
      <c r="BM245" s="182"/>
      <c r="BN245" s="182"/>
      <c r="BO245" s="182"/>
      <c r="BP245" s="182"/>
      <c r="BQ245" s="182"/>
      <c r="BR245" s="182"/>
      <c r="BS245" s="182"/>
    </row>
    <row r="246" spans="1:71" ht="15.9" customHeight="1" x14ac:dyDescent="0.3">
      <c r="A246" s="5" t="s">
        <v>936</v>
      </c>
      <c r="B246" s="5" t="s">
        <v>937</v>
      </c>
      <c r="C246" s="174" t="s">
        <v>938</v>
      </c>
      <c r="D246" s="5" t="s">
        <v>285</v>
      </c>
      <c r="E246" s="5" t="s">
        <v>286</v>
      </c>
      <c r="F246" s="175" t="s">
        <v>939</v>
      </c>
      <c r="G246" s="15" t="s">
        <v>364</v>
      </c>
      <c r="H246" s="176">
        <v>240000000</v>
      </c>
      <c r="I246" s="17" t="s">
        <v>499</v>
      </c>
      <c r="J246" s="113" t="str">
        <f>VLOOKUP($I246,'Price List, Weapons &amp; Items'!B:C,2,0)</f>
        <v>Military equipment</v>
      </c>
      <c r="K246" s="113" t="str">
        <f>IF(I246=".",I246,VLOOKUP($I246,'Price List, Weapons &amp; Items'!B:D,3,0))</f>
        <v>Military equipment</v>
      </c>
      <c r="L246" s="177">
        <f>VLOOKUP(I246,'Price List, Weapons &amp; Items'!B:E,4,0)</f>
        <v>0</v>
      </c>
      <c r="M246" s="542" t="s">
        <v>270</v>
      </c>
      <c r="N246" s="542" t="str">
        <f t="shared" si="53"/>
        <v>undisclosed</v>
      </c>
      <c r="O246" s="543">
        <f>VLOOKUP($I246,'Price List, Weapons &amp; Items'!B:G,6,0)</f>
        <v>500</v>
      </c>
      <c r="P246" s="176" t="str">
        <f t="shared" si="44"/>
        <v>.</v>
      </c>
      <c r="Q246" s="176" t="str">
        <f t="shared" si="45"/>
        <v>.</v>
      </c>
      <c r="R246" s="176" t="str">
        <f t="shared" si="41"/>
        <v/>
      </c>
      <c r="S246" s="176" t="str">
        <f>IF(AND(AD246=1,R246&lt;&gt;".")=TRUE,R246/VLOOKUP(G246,'Exchange Rates'!B:C,2,0),IF(R246=".",".",""))</f>
        <v/>
      </c>
      <c r="T246" s="176" t="str">
        <f>IF(AD246=1,IF(AF246="Value is not given at all",".",IF(AF246="Value is given by the source",S246,IF(AF246="Value is calculated with prices",(IF(SUMIFS(Q:Q,A:A,A246)&gt;0,SUMIFS(Q:Q,A:A,A246),"."))/VLOOKUP("USD",'Exchange Rates'!B:C,2,0),"Error with coding"))),"")</f>
        <v/>
      </c>
      <c r="U246" s="15" t="s">
        <v>261</v>
      </c>
      <c r="V246" s="547" t="s">
        <v>941</v>
      </c>
      <c r="W246" s="547" t="s">
        <v>942</v>
      </c>
      <c r="X246" s="547" t="s">
        <v>943</v>
      </c>
      <c r="Y246" s="547" t="s">
        <v>944</v>
      </c>
      <c r="Z246" s="15">
        <v>0</v>
      </c>
      <c r="AA246" s="180">
        <v>0</v>
      </c>
      <c r="AB246" s="550" t="s">
        <v>945</v>
      </c>
      <c r="AC246" s="544" t="str">
        <f>""</f>
        <v/>
      </c>
      <c r="AD246" s="181">
        <v>0</v>
      </c>
      <c r="AE246" s="181" t="s">
        <v>264</v>
      </c>
      <c r="AF246" s="181" t="s">
        <v>264</v>
      </c>
      <c r="AG246" s="181">
        <v>1</v>
      </c>
      <c r="AH246" s="181">
        <v>5</v>
      </c>
      <c r="AI246" s="181">
        <v>0</v>
      </c>
      <c r="AJ246" s="181">
        <f>VLOOKUP($I246,'Price List, Weapons &amp; Items'!B:F,5,0)</f>
        <v>0</v>
      </c>
      <c r="AK246" s="181">
        <f t="shared" si="46"/>
        <v>0</v>
      </c>
      <c r="AL246" s="181">
        <f t="shared" si="47"/>
        <v>0</v>
      </c>
      <c r="AM246" s="181">
        <f t="shared" si="48"/>
        <v>0</v>
      </c>
      <c r="AN246" s="180" t="str">
        <f>VLOOKUP($I246,'Price List, Weapons &amp; Items'!B:L,COLUMN('Price List, Weapons &amp; Items'!$J$11)-1,0)</f>
        <v>Military media (incl. websites)</v>
      </c>
      <c r="AO246" s="180" t="str">
        <f>IF(I246=".",".",VLOOKUP($I246,'Price List, Weapons &amp; Items'!B:J,3,0))</f>
        <v>Military equipment</v>
      </c>
      <c r="AP246" s="545" t="str">
        <f t="shared" ca="1" si="42"/>
        <v/>
      </c>
      <c r="AQ246" s="180">
        <f>VLOOKUP($I246,'Price List, Weapons &amp; Items'!B:L,COLUMN('Price List, Weapons &amp; Items'!$L$11)-1,0)</f>
        <v>2</v>
      </c>
      <c r="AR246" s="180">
        <f t="shared" si="49"/>
        <v>1</v>
      </c>
      <c r="AS246" s="180">
        <f t="shared" si="50"/>
        <v>1</v>
      </c>
      <c r="AT246" s="180" t="str">
        <f t="shared" si="43"/>
        <v>Value is not in date format</v>
      </c>
      <c r="AU246" s="180" t="str">
        <f t="shared" si="51"/>
        <v>.</v>
      </c>
      <c r="AV246" s="180" t="str">
        <f t="shared" si="52"/>
        <v>.</v>
      </c>
      <c r="AW246" s="180">
        <f>IFERROR(VLOOKUP(B246,'Share, Heavy Weapons to Ukraine'!B:J,COLUMN('Share, Heavy Weapons to Ukraine'!C253)-1,0),0)</f>
        <v>0</v>
      </c>
      <c r="AX246" s="180">
        <f>VLOOKUP('Bilateral Assistance, MAIN DATA'!B246,'Country Summary'!B:F,COLUMN('Country Summary'!C256)-1,FALSE)</f>
        <v>1</v>
      </c>
      <c r="AY246" s="180" t="str">
        <f>IF(AND(AD246=1,D246="Military",H246&lt;&gt;"Not given")=TRUE,IF(SUMIFS(P:P,A:A,A246)&gt;0,ABS((SUMIFS(P:P,A:A,A246)/VLOOKUP("USD",'Exchange Rates'!B:C,2,0)))/S246,"."),".")</f>
        <v>.</v>
      </c>
      <c r="AZ246" s="182" t="str">
        <f>IF(AND(AD246=1,D246="Military",H246&lt;&gt;"Not given")=TRUE,IF(SUMIFS(P:P,A:A,A246)&gt;0,IF((ABS((SUMIFS(P:P,A:A,A246)/VLOOKUP("USD",'Exchange Rates'!B:C,2,0)))/S246)&gt;1,(SUMIFS(P:P,A:A,A246)-S246)/S246,(S246-SUMIFS(P:P,A:A,A246))/SUMIFS(P:P,A:A,A246)),"."),".")</f>
        <v>.</v>
      </c>
      <c r="BA246" s="182"/>
      <c r="BB246" s="182"/>
      <c r="BC246" s="182"/>
      <c r="BD246" s="182"/>
      <c r="BE246" s="182"/>
      <c r="BF246" s="182"/>
      <c r="BG246" s="182"/>
      <c r="BH246" s="182"/>
      <c r="BI246" s="182"/>
      <c r="BJ246" s="182"/>
      <c r="BK246" s="182"/>
      <c r="BL246" s="182"/>
      <c r="BM246" s="182"/>
      <c r="BN246" s="182"/>
      <c r="BO246" s="182"/>
      <c r="BP246" s="182"/>
      <c r="BQ246" s="182"/>
      <c r="BR246" s="182"/>
      <c r="BS246" s="182"/>
    </row>
    <row r="247" spans="1:71" ht="15.9" customHeight="1" x14ac:dyDescent="0.3">
      <c r="A247" s="5" t="s">
        <v>936</v>
      </c>
      <c r="B247" s="5" t="s">
        <v>937</v>
      </c>
      <c r="C247" s="174" t="s">
        <v>938</v>
      </c>
      <c r="D247" s="5" t="s">
        <v>285</v>
      </c>
      <c r="E247" s="5" t="s">
        <v>286</v>
      </c>
      <c r="F247" s="175" t="s">
        <v>939</v>
      </c>
      <c r="G247" s="15" t="s">
        <v>364</v>
      </c>
      <c r="H247" s="176">
        <v>240000000</v>
      </c>
      <c r="I247" s="17" t="s">
        <v>955</v>
      </c>
      <c r="J247" s="113" t="str">
        <f>VLOOKUP($I247,'Price List, Weapons &amp; Items'!B:C,2,0)</f>
        <v>Military equipment</v>
      </c>
      <c r="K247" s="113" t="str">
        <f>IF(I247=".",I247,VLOOKUP($I247,'Price List, Weapons &amp; Items'!B:D,3,0))</f>
        <v>Military equipment</v>
      </c>
      <c r="L247" s="177">
        <f>VLOOKUP(I247,'Price List, Weapons &amp; Items'!B:E,4,0)</f>
        <v>0</v>
      </c>
      <c r="M247" s="542" t="s">
        <v>270</v>
      </c>
      <c r="N247" s="542" t="str">
        <f t="shared" si="53"/>
        <v>undisclosed</v>
      </c>
      <c r="O247" s="543" t="str">
        <f>VLOOKUP($I247,'Price List, Weapons &amp; Items'!B:G,6,0)</f>
        <v>.</v>
      </c>
      <c r="P247" s="176" t="str">
        <f t="shared" si="44"/>
        <v>.</v>
      </c>
      <c r="Q247" s="176" t="str">
        <f t="shared" si="45"/>
        <v>.</v>
      </c>
      <c r="R247" s="176" t="str">
        <f t="shared" si="41"/>
        <v/>
      </c>
      <c r="S247" s="176" t="str">
        <f>IF(AND(AD247=1,R247&lt;&gt;".")=TRUE,R247/VLOOKUP(G247,'Exchange Rates'!B:C,2,0),IF(R247=".",".",""))</f>
        <v/>
      </c>
      <c r="T247" s="176" t="str">
        <f>IF(AD247=1,IF(AF247="Value is not given at all",".",IF(AF247="Value is given by the source",S247,IF(AF247="Value is calculated with prices",(IF(SUMIFS(Q:Q,A:A,A247)&gt;0,SUMIFS(Q:Q,A:A,A247),"."))/VLOOKUP("USD",'Exchange Rates'!B:C,2,0),"Error with coding"))),"")</f>
        <v/>
      </c>
      <c r="U247" s="15" t="s">
        <v>261</v>
      </c>
      <c r="V247" s="547" t="s">
        <v>941</v>
      </c>
      <c r="W247" s="547" t="s">
        <v>942</v>
      </c>
      <c r="X247" s="547" t="s">
        <v>943</v>
      </c>
      <c r="Y247" s="547" t="s">
        <v>944</v>
      </c>
      <c r="Z247" s="15">
        <v>0</v>
      </c>
      <c r="AA247" s="180">
        <v>0</v>
      </c>
      <c r="AB247" s="550" t="s">
        <v>945</v>
      </c>
      <c r="AC247" s="544" t="str">
        <f>""</f>
        <v/>
      </c>
      <c r="AD247" s="181">
        <v>0</v>
      </c>
      <c r="AE247" s="181" t="s">
        <v>264</v>
      </c>
      <c r="AF247" s="181" t="s">
        <v>264</v>
      </c>
      <c r="AG247" s="181">
        <v>1</v>
      </c>
      <c r="AH247" s="181">
        <v>5</v>
      </c>
      <c r="AI247" s="181">
        <v>0</v>
      </c>
      <c r="AJ247" s="181">
        <f>VLOOKUP($I247,'Price List, Weapons &amp; Items'!B:F,5,0)</f>
        <v>0</v>
      </c>
      <c r="AK247" s="181">
        <f t="shared" si="46"/>
        <v>0</v>
      </c>
      <c r="AL247" s="181">
        <f t="shared" si="47"/>
        <v>0</v>
      </c>
      <c r="AM247" s="181">
        <f t="shared" si="48"/>
        <v>0</v>
      </c>
      <c r="AN247" s="180" t="str">
        <f>VLOOKUP($I247,'Price List, Weapons &amp; Items'!B:L,COLUMN('Price List, Weapons &amp; Items'!$J$11)-1,0)</f>
        <v>Contracts</v>
      </c>
      <c r="AO247" s="180" t="str">
        <f>IF(I247=".",".",VLOOKUP($I247,'Price List, Weapons &amp; Items'!B:J,3,0))</f>
        <v>Military equipment</v>
      </c>
      <c r="AP247" s="545" t="str">
        <f t="shared" ca="1" si="42"/>
        <v/>
      </c>
      <c r="AQ247" s="180">
        <f>VLOOKUP($I247,'Price List, Weapons &amp; Items'!B:L,COLUMN('Price List, Weapons &amp; Items'!$L$11)-1,0)</f>
        <v>0</v>
      </c>
      <c r="AR247" s="180">
        <f t="shared" si="49"/>
        <v>1</v>
      </c>
      <c r="AS247" s="180">
        <f t="shared" si="50"/>
        <v>1</v>
      </c>
      <c r="AT247" s="180" t="str">
        <f t="shared" si="43"/>
        <v>Value is not in date format</v>
      </c>
      <c r="AU247" s="180" t="str">
        <f t="shared" si="51"/>
        <v>.</v>
      </c>
      <c r="AV247" s="180" t="str">
        <f t="shared" si="52"/>
        <v>.</v>
      </c>
      <c r="AW247" s="180">
        <f>IFERROR(VLOOKUP(B247,'Share, Heavy Weapons to Ukraine'!B:J,COLUMN('Share, Heavy Weapons to Ukraine'!C254)-1,0),0)</f>
        <v>0</v>
      </c>
      <c r="AX247" s="180">
        <f>VLOOKUP('Bilateral Assistance, MAIN DATA'!B247,'Country Summary'!B:F,COLUMN('Country Summary'!C257)-1,FALSE)</f>
        <v>1</v>
      </c>
      <c r="AY247" s="180" t="str">
        <f>IF(AND(AD247=1,D247="Military",H247&lt;&gt;"Not given")=TRUE,IF(SUMIFS(P:P,A:A,A247)&gt;0,ABS((SUMIFS(P:P,A:A,A247)/VLOOKUP("USD",'Exchange Rates'!B:C,2,0)))/S247,"."),".")</f>
        <v>.</v>
      </c>
      <c r="AZ247" s="182" t="str">
        <f>IF(AND(AD247=1,D247="Military",H247&lt;&gt;"Not given")=TRUE,IF(SUMIFS(P:P,A:A,A247)&gt;0,IF((ABS((SUMIFS(P:P,A:A,A247)/VLOOKUP("USD",'Exchange Rates'!B:C,2,0)))/S247)&gt;1,(SUMIFS(P:P,A:A,A247)-S247)/S247,(S247-SUMIFS(P:P,A:A,A247))/SUMIFS(P:P,A:A,A247)),"."),".")</f>
        <v>.</v>
      </c>
      <c r="BA247" s="182"/>
      <c r="BB247" s="182"/>
      <c r="BC247" s="182"/>
      <c r="BD247" s="182"/>
      <c r="BE247" s="182"/>
      <c r="BF247" s="182"/>
      <c r="BG247" s="182"/>
      <c r="BH247" s="182"/>
      <c r="BI247" s="182"/>
      <c r="BJ247" s="182"/>
      <c r="BK247" s="182"/>
      <c r="BL247" s="182"/>
      <c r="BM247" s="182"/>
      <c r="BN247" s="182"/>
      <c r="BO247" s="182"/>
      <c r="BP247" s="182"/>
      <c r="BQ247" s="182"/>
      <c r="BR247" s="182"/>
      <c r="BS247" s="182"/>
    </row>
    <row r="248" spans="1:71" ht="15.9" customHeight="1" x14ac:dyDescent="0.3">
      <c r="A248" s="5" t="s">
        <v>936</v>
      </c>
      <c r="B248" s="5" t="s">
        <v>937</v>
      </c>
      <c r="C248" s="174" t="s">
        <v>938</v>
      </c>
      <c r="D248" s="5" t="s">
        <v>285</v>
      </c>
      <c r="E248" s="5" t="s">
        <v>286</v>
      </c>
      <c r="F248" s="175" t="s">
        <v>939</v>
      </c>
      <c r="G248" s="15" t="s">
        <v>364</v>
      </c>
      <c r="H248" s="176">
        <v>240000000</v>
      </c>
      <c r="I248" s="17" t="s">
        <v>956</v>
      </c>
      <c r="J248" s="113" t="str">
        <f>VLOOKUP($I248,'Price List, Weapons &amp; Items'!B:C,2,0)</f>
        <v>Aviation and drones</v>
      </c>
      <c r="K248" s="113" t="str">
        <f>IF(I248=".",I248,VLOOKUP($I248,'Price List, Weapons &amp; Items'!B:D,3,0))</f>
        <v>drone</v>
      </c>
      <c r="L248" s="177">
        <f>VLOOKUP(I248,'Price List, Weapons &amp; Items'!B:E,4,0)</f>
        <v>0</v>
      </c>
      <c r="M248" s="542" t="s">
        <v>270</v>
      </c>
      <c r="N248" s="542" t="str">
        <f t="shared" si="53"/>
        <v>undisclosed</v>
      </c>
      <c r="O248" s="543">
        <f>VLOOKUP($I248,'Price List, Weapons &amp; Items'!B:G,6,0)</f>
        <v>6000</v>
      </c>
      <c r="P248" s="176" t="str">
        <f t="shared" si="44"/>
        <v>.</v>
      </c>
      <c r="Q248" s="176" t="str">
        <f t="shared" si="45"/>
        <v>.</v>
      </c>
      <c r="R248" s="176" t="str">
        <f t="shared" si="41"/>
        <v/>
      </c>
      <c r="S248" s="176" t="str">
        <f>IF(AND(AD248=1,R248&lt;&gt;".")=TRUE,R248/VLOOKUP(G248,'Exchange Rates'!B:C,2,0),IF(R248=".",".",""))</f>
        <v/>
      </c>
      <c r="T248" s="176" t="str">
        <f>IF(AD248=1,IF(AF248="Value is not given at all",".",IF(AF248="Value is given by the source",S248,IF(AF248="Value is calculated with prices",(IF(SUMIFS(Q:Q,A:A,A248)&gt;0,SUMIFS(Q:Q,A:A,A248),"."))/VLOOKUP("USD",'Exchange Rates'!B:C,2,0),"Error with coding"))),"")</f>
        <v/>
      </c>
      <c r="U248" s="15" t="s">
        <v>261</v>
      </c>
      <c r="V248" s="547" t="s">
        <v>941</v>
      </c>
      <c r="W248" s="547" t="s">
        <v>942</v>
      </c>
      <c r="X248" s="547" t="s">
        <v>943</v>
      </c>
      <c r="Y248" s="547" t="s">
        <v>944</v>
      </c>
      <c r="Z248" s="15">
        <v>0</v>
      </c>
      <c r="AA248" s="180">
        <v>0</v>
      </c>
      <c r="AB248" s="550" t="s">
        <v>945</v>
      </c>
      <c r="AC248" s="544" t="str">
        <f>""</f>
        <v/>
      </c>
      <c r="AD248" s="181">
        <v>0</v>
      </c>
      <c r="AE248" s="181" t="s">
        <v>264</v>
      </c>
      <c r="AF248" s="181" t="s">
        <v>264</v>
      </c>
      <c r="AG248" s="181">
        <v>1</v>
      </c>
      <c r="AH248" s="181">
        <v>5</v>
      </c>
      <c r="AI248" s="181">
        <v>0</v>
      </c>
      <c r="AJ248" s="181">
        <f>VLOOKUP($I248,'Price List, Weapons &amp; Items'!B:F,5,0)</f>
        <v>0</v>
      </c>
      <c r="AK248" s="181">
        <f t="shared" si="46"/>
        <v>0</v>
      </c>
      <c r="AL248" s="181">
        <f t="shared" si="47"/>
        <v>0</v>
      </c>
      <c r="AM248" s="181">
        <f t="shared" si="48"/>
        <v>0</v>
      </c>
      <c r="AN248" s="180" t="str">
        <f>VLOOKUP($I248,'Price List, Weapons &amp; Items'!B:L,COLUMN('Price List, Weapons &amp; Items'!$J$11)-1,0)</f>
        <v>Miscellaneous</v>
      </c>
      <c r="AO248" s="180" t="str">
        <f>IF(I248=".",".",VLOOKUP($I248,'Price List, Weapons &amp; Items'!B:J,3,0))</f>
        <v>drone</v>
      </c>
      <c r="AP248" s="545" t="str">
        <f t="shared" ca="1" si="42"/>
        <v/>
      </c>
      <c r="AQ248" s="180">
        <f>VLOOKUP($I248,'Price List, Weapons &amp; Items'!B:L,COLUMN('Price List, Weapons &amp; Items'!$L$11)-1,0)</f>
        <v>1</v>
      </c>
      <c r="AR248" s="180">
        <f t="shared" si="49"/>
        <v>1</v>
      </c>
      <c r="AS248" s="180">
        <f t="shared" si="50"/>
        <v>1</v>
      </c>
      <c r="AT248" s="180" t="str">
        <f t="shared" si="43"/>
        <v>Value is not in date format</v>
      </c>
      <c r="AU248" s="180" t="str">
        <f t="shared" si="51"/>
        <v>.</v>
      </c>
      <c r="AV248" s="180" t="str">
        <f t="shared" si="52"/>
        <v>.</v>
      </c>
      <c r="AW248" s="180">
        <f>IFERROR(VLOOKUP(B248,'Share, Heavy Weapons to Ukraine'!B:J,COLUMN('Share, Heavy Weapons to Ukraine'!C255)-1,0),0)</f>
        <v>0</v>
      </c>
      <c r="AX248" s="180">
        <f>VLOOKUP('Bilateral Assistance, MAIN DATA'!B248,'Country Summary'!B:F,COLUMN('Country Summary'!C258)-1,FALSE)</f>
        <v>1</v>
      </c>
      <c r="AY248" s="180" t="str">
        <f>IF(AND(AD248=1,D248="Military",H248&lt;&gt;"Not given")=TRUE,IF(SUMIFS(P:P,A:A,A248)&gt;0,ABS((SUMIFS(P:P,A:A,A248)/VLOOKUP("USD",'Exchange Rates'!B:C,2,0)))/S248,"."),".")</f>
        <v>.</v>
      </c>
      <c r="AZ248" s="182" t="str">
        <f>IF(AND(AD248=1,D248="Military",H248&lt;&gt;"Not given")=TRUE,IF(SUMIFS(P:P,A:A,A248)&gt;0,IF((ABS((SUMIFS(P:P,A:A,A248)/VLOOKUP("USD",'Exchange Rates'!B:C,2,0)))/S248)&gt;1,(SUMIFS(P:P,A:A,A248)-S248)/S248,(S248-SUMIFS(P:P,A:A,A248))/SUMIFS(P:P,A:A,A248)),"."),".")</f>
        <v>.</v>
      </c>
      <c r="BA248" s="182"/>
      <c r="BB248" s="182"/>
      <c r="BC248" s="182"/>
      <c r="BD248" s="182"/>
      <c r="BE248" s="182"/>
      <c r="BF248" s="182"/>
      <c r="BG248" s="182"/>
      <c r="BH248" s="182"/>
      <c r="BI248" s="182"/>
      <c r="BJ248" s="182"/>
      <c r="BK248" s="182"/>
      <c r="BL248" s="182"/>
      <c r="BM248" s="182"/>
      <c r="BN248" s="182"/>
      <c r="BO248" s="182"/>
      <c r="BP248" s="182"/>
      <c r="BQ248" s="182"/>
      <c r="BR248" s="182"/>
      <c r="BS248" s="182"/>
    </row>
    <row r="249" spans="1:71" ht="15.9" customHeight="1" x14ac:dyDescent="0.3">
      <c r="A249" s="5" t="s">
        <v>936</v>
      </c>
      <c r="B249" s="5" t="s">
        <v>937</v>
      </c>
      <c r="C249" s="174" t="s">
        <v>938</v>
      </c>
      <c r="D249" s="5" t="s">
        <v>285</v>
      </c>
      <c r="E249" s="5" t="s">
        <v>286</v>
      </c>
      <c r="F249" s="175" t="s">
        <v>939</v>
      </c>
      <c r="G249" s="15" t="s">
        <v>364</v>
      </c>
      <c r="H249" s="176">
        <v>240000000</v>
      </c>
      <c r="I249" s="17" t="s">
        <v>598</v>
      </c>
      <c r="J249" s="113" t="str">
        <f>VLOOKUP($I249,'Price List, Weapons &amp; Items'!B:C,2,0)</f>
        <v>Military equipment</v>
      </c>
      <c r="K249" s="113" t="str">
        <f>IF(I249=".",I249,VLOOKUP($I249,'Price List, Weapons &amp; Items'!B:D,3,0))</f>
        <v>Military equipment</v>
      </c>
      <c r="L249" s="177">
        <f>VLOOKUP(I249,'Price List, Weapons &amp; Items'!B:E,4,0)</f>
        <v>0</v>
      </c>
      <c r="M249" s="542" t="s">
        <v>270</v>
      </c>
      <c r="N249" s="542" t="str">
        <f t="shared" si="53"/>
        <v>undisclosed</v>
      </c>
      <c r="O249" s="543">
        <f>VLOOKUP($I249,'Price List, Weapons &amp; Items'!B:G,6,0)</f>
        <v>2320</v>
      </c>
      <c r="P249" s="176" t="str">
        <f t="shared" si="44"/>
        <v>.</v>
      </c>
      <c r="Q249" s="176" t="str">
        <f t="shared" si="45"/>
        <v>.</v>
      </c>
      <c r="R249" s="176" t="str">
        <f t="shared" si="41"/>
        <v/>
      </c>
      <c r="S249" s="176" t="str">
        <f>IF(AND(AD249=1,R249&lt;&gt;".")=TRUE,R249/VLOOKUP(G249,'Exchange Rates'!B:C,2,0),IF(R249=".",".",""))</f>
        <v/>
      </c>
      <c r="T249" s="176" t="str">
        <f>IF(AD249=1,IF(AF249="Value is not given at all",".",IF(AF249="Value is given by the source",S249,IF(AF249="Value is calculated with prices",(IF(SUMIFS(Q:Q,A:A,A249)&gt;0,SUMIFS(Q:Q,A:A,A249),"."))/VLOOKUP("USD",'Exchange Rates'!B:C,2,0),"Error with coding"))),"")</f>
        <v/>
      </c>
      <c r="U249" s="15" t="s">
        <v>261</v>
      </c>
      <c r="V249" s="547" t="s">
        <v>941</v>
      </c>
      <c r="W249" s="547" t="s">
        <v>942</v>
      </c>
      <c r="X249" s="547" t="s">
        <v>943</v>
      </c>
      <c r="Y249" s="547" t="s">
        <v>944</v>
      </c>
      <c r="Z249" s="15">
        <v>0</v>
      </c>
      <c r="AA249" s="180">
        <v>0</v>
      </c>
      <c r="AB249" s="550" t="s">
        <v>945</v>
      </c>
      <c r="AC249" s="544" t="str">
        <f>""</f>
        <v/>
      </c>
      <c r="AD249" s="181">
        <v>0</v>
      </c>
      <c r="AE249" s="181" t="s">
        <v>264</v>
      </c>
      <c r="AF249" s="181" t="s">
        <v>264</v>
      </c>
      <c r="AG249" s="181">
        <v>1</v>
      </c>
      <c r="AH249" s="181">
        <v>5</v>
      </c>
      <c r="AI249" s="181">
        <v>0</v>
      </c>
      <c r="AJ249" s="181">
        <f>VLOOKUP($I249,'Price List, Weapons &amp; Items'!B:F,5,0)</f>
        <v>0</v>
      </c>
      <c r="AK249" s="181">
        <f t="shared" si="46"/>
        <v>0</v>
      </c>
      <c r="AL249" s="181">
        <f t="shared" si="47"/>
        <v>0</v>
      </c>
      <c r="AM249" s="181">
        <f t="shared" si="48"/>
        <v>0</v>
      </c>
      <c r="AN249" s="180" t="str">
        <f>VLOOKUP($I249,'Price List, Weapons &amp; Items'!B:L,COLUMN('Price List, Weapons &amp; Items'!$J$11)-1,0)</f>
        <v>Media reports (incl. social media)</v>
      </c>
      <c r="AO249" s="180" t="str">
        <f>IF(I249=".",".",VLOOKUP($I249,'Price List, Weapons &amp; Items'!B:J,3,0))</f>
        <v>Military equipment</v>
      </c>
      <c r="AP249" s="545" t="str">
        <f t="shared" ca="1" si="42"/>
        <v/>
      </c>
      <c r="AQ249" s="180">
        <f>VLOOKUP($I249,'Price List, Weapons &amp; Items'!B:L,COLUMN('Price List, Weapons &amp; Items'!$L$11)-1,0)</f>
        <v>2</v>
      </c>
      <c r="AR249" s="180">
        <f t="shared" si="49"/>
        <v>1</v>
      </c>
      <c r="AS249" s="180">
        <f t="shared" si="50"/>
        <v>1</v>
      </c>
      <c r="AT249" s="180" t="str">
        <f t="shared" si="43"/>
        <v>Value is not in date format</v>
      </c>
      <c r="AU249" s="180" t="str">
        <f t="shared" si="51"/>
        <v>.</v>
      </c>
      <c r="AV249" s="180" t="str">
        <f t="shared" si="52"/>
        <v>.</v>
      </c>
      <c r="AW249" s="180">
        <f>IFERROR(VLOOKUP(B249,'Share, Heavy Weapons to Ukraine'!B:J,COLUMN('Share, Heavy Weapons to Ukraine'!C256)-1,0),0)</f>
        <v>0</v>
      </c>
      <c r="AX249" s="180">
        <f>VLOOKUP('Bilateral Assistance, MAIN DATA'!B249,'Country Summary'!B:F,COLUMN('Country Summary'!C259)-1,FALSE)</f>
        <v>1</v>
      </c>
      <c r="AY249" s="180" t="str">
        <f>IF(AND(AD249=1,D249="Military",H249&lt;&gt;"Not given")=TRUE,IF(SUMIFS(P:P,A:A,A249)&gt;0,ABS((SUMIFS(P:P,A:A,A249)/VLOOKUP("USD",'Exchange Rates'!B:C,2,0)))/S249,"."),".")</f>
        <v>.</v>
      </c>
      <c r="AZ249" s="182" t="str">
        <f>IF(AND(AD249=1,D249="Military",H249&lt;&gt;"Not given")=TRUE,IF(SUMIFS(P:P,A:A,A249)&gt;0,IF((ABS((SUMIFS(P:P,A:A,A249)/VLOOKUP("USD",'Exchange Rates'!B:C,2,0)))/S249)&gt;1,(SUMIFS(P:P,A:A,A249)-S249)/S249,(S249-SUMIFS(P:P,A:A,A249))/SUMIFS(P:P,A:A,A249)),"."),".")</f>
        <v>.</v>
      </c>
      <c r="BA249" s="182"/>
      <c r="BB249" s="182"/>
      <c r="BC249" s="182"/>
      <c r="BD249" s="182"/>
      <c r="BE249" s="182"/>
      <c r="BF249" s="182"/>
      <c r="BG249" s="182"/>
      <c r="BH249" s="182"/>
      <c r="BI249" s="182"/>
      <c r="BJ249" s="182"/>
      <c r="BK249" s="182"/>
      <c r="BL249" s="182"/>
      <c r="BM249" s="182"/>
      <c r="BN249" s="182"/>
      <c r="BO249" s="182"/>
      <c r="BP249" s="182"/>
      <c r="BQ249" s="182"/>
      <c r="BR249" s="182"/>
      <c r="BS249" s="182"/>
    </row>
    <row r="250" spans="1:71" ht="15.9" customHeight="1" x14ac:dyDescent="0.3">
      <c r="A250" s="5" t="s">
        <v>936</v>
      </c>
      <c r="B250" s="5" t="s">
        <v>937</v>
      </c>
      <c r="C250" s="174" t="s">
        <v>938</v>
      </c>
      <c r="D250" s="5" t="s">
        <v>285</v>
      </c>
      <c r="E250" s="5" t="s">
        <v>286</v>
      </c>
      <c r="F250" s="175" t="s">
        <v>939</v>
      </c>
      <c r="G250" s="15" t="s">
        <v>364</v>
      </c>
      <c r="H250" s="176">
        <v>240000000</v>
      </c>
      <c r="I250" s="17" t="s">
        <v>957</v>
      </c>
      <c r="J250" s="113" t="str">
        <f>VLOOKUP($I250,'Price List, Weapons &amp; Items'!B:C,2,0)</f>
        <v>Military equipment</v>
      </c>
      <c r="K250" s="113" t="str">
        <f>IF(I250=".",I250,VLOOKUP($I250,'Price List, Weapons &amp; Items'!B:D,3,0))</f>
        <v>Military equipment</v>
      </c>
      <c r="L250" s="177">
        <f>VLOOKUP(I250,'Price List, Weapons &amp; Items'!B:E,4,0)</f>
        <v>0</v>
      </c>
      <c r="M250" s="542" t="s">
        <v>270</v>
      </c>
      <c r="N250" s="542" t="str">
        <f t="shared" si="53"/>
        <v>undisclosed</v>
      </c>
      <c r="O250" s="543">
        <f>VLOOKUP($I250,'Price List, Weapons &amp; Items'!B:G,6,0)</f>
        <v>5000</v>
      </c>
      <c r="P250" s="176" t="str">
        <f t="shared" si="44"/>
        <v>.</v>
      </c>
      <c r="Q250" s="176" t="str">
        <f t="shared" si="45"/>
        <v>.</v>
      </c>
      <c r="R250" s="176" t="str">
        <f t="shared" si="41"/>
        <v/>
      </c>
      <c r="S250" s="176" t="str">
        <f>IF(AND(AD250=1,R250&lt;&gt;".")=TRUE,R250/VLOOKUP(G250,'Exchange Rates'!B:C,2,0),IF(R250=".",".",""))</f>
        <v/>
      </c>
      <c r="T250" s="176" t="str">
        <f>IF(AD250=1,IF(AF250="Value is not given at all",".",IF(AF250="Value is given by the source",S250,IF(AF250="Value is calculated with prices",(IF(SUMIFS(Q:Q,A:A,A250)&gt;0,SUMIFS(Q:Q,A:A,A250),"."))/VLOOKUP("USD",'Exchange Rates'!B:C,2,0),"Error with coding"))),"")</f>
        <v/>
      </c>
      <c r="U250" s="15" t="s">
        <v>261</v>
      </c>
      <c r="V250" s="547" t="s">
        <v>941</v>
      </c>
      <c r="W250" s="547" t="s">
        <v>942</v>
      </c>
      <c r="X250" s="547" t="s">
        <v>943</v>
      </c>
      <c r="Y250" s="547" t="s">
        <v>944</v>
      </c>
      <c r="Z250" s="15">
        <v>0</v>
      </c>
      <c r="AA250" s="180">
        <v>0</v>
      </c>
      <c r="AB250" s="550" t="s">
        <v>945</v>
      </c>
      <c r="AC250" s="544" t="str">
        <f>""</f>
        <v/>
      </c>
      <c r="AD250" s="181">
        <v>0</v>
      </c>
      <c r="AE250" s="181" t="s">
        <v>264</v>
      </c>
      <c r="AF250" s="181" t="s">
        <v>264</v>
      </c>
      <c r="AG250" s="181">
        <v>1</v>
      </c>
      <c r="AH250" s="181">
        <v>5</v>
      </c>
      <c r="AI250" s="181">
        <v>0</v>
      </c>
      <c r="AJ250" s="181">
        <f>VLOOKUP($I250,'Price List, Weapons &amp; Items'!B:F,5,0)</f>
        <v>0</v>
      </c>
      <c r="AK250" s="181">
        <f t="shared" si="46"/>
        <v>0</v>
      </c>
      <c r="AL250" s="181">
        <f t="shared" si="47"/>
        <v>0</v>
      </c>
      <c r="AM250" s="181">
        <f t="shared" si="48"/>
        <v>0</v>
      </c>
      <c r="AN250" s="180" t="str">
        <f>VLOOKUP($I250,'Price List, Weapons &amp; Items'!B:L,COLUMN('Price List, Weapons &amp; Items'!$J$11)-1,0)</f>
        <v>Miscellaneous</v>
      </c>
      <c r="AO250" s="180" t="str">
        <f>IF(I250=".",".",VLOOKUP($I250,'Price List, Weapons &amp; Items'!B:J,3,0))</f>
        <v>Military equipment</v>
      </c>
      <c r="AP250" s="545" t="str">
        <f t="shared" ca="1" si="42"/>
        <v/>
      </c>
      <c r="AQ250" s="180" t="str">
        <f>VLOOKUP($I250,'Price List, Weapons &amp; Items'!B:L,COLUMN('Price List, Weapons &amp; Items'!$L$11)-1,0)</f>
        <v>no price, 0 count</v>
      </c>
      <c r="AR250" s="180">
        <f t="shared" si="49"/>
        <v>1</v>
      </c>
      <c r="AS250" s="180">
        <f t="shared" si="50"/>
        <v>1</v>
      </c>
      <c r="AT250" s="180" t="str">
        <f t="shared" si="43"/>
        <v>Value is not in date format</v>
      </c>
      <c r="AU250" s="180" t="str">
        <f t="shared" si="51"/>
        <v>.</v>
      </c>
      <c r="AV250" s="180" t="str">
        <f t="shared" si="52"/>
        <v>.</v>
      </c>
      <c r="AW250" s="180">
        <f>IFERROR(VLOOKUP(B250,'Share, Heavy Weapons to Ukraine'!B:J,COLUMN('Share, Heavy Weapons to Ukraine'!C257)-1,0),0)</f>
        <v>0</v>
      </c>
      <c r="AX250" s="180">
        <f>VLOOKUP('Bilateral Assistance, MAIN DATA'!B250,'Country Summary'!B:F,COLUMN('Country Summary'!C260)-1,FALSE)</f>
        <v>1</v>
      </c>
      <c r="AY250" s="180" t="str">
        <f>IF(AND(AD250=1,D250="Military",H250&lt;&gt;"Not given")=TRUE,IF(SUMIFS(P:P,A:A,A250)&gt;0,ABS((SUMIFS(P:P,A:A,A250)/VLOOKUP("USD",'Exchange Rates'!B:C,2,0)))/S250,"."),".")</f>
        <v>.</v>
      </c>
      <c r="AZ250" s="182" t="str">
        <f>IF(AND(AD250=1,D250="Military",H250&lt;&gt;"Not given")=TRUE,IF(SUMIFS(P:P,A:A,A250)&gt;0,IF((ABS((SUMIFS(P:P,A:A,A250)/VLOOKUP("USD",'Exchange Rates'!B:C,2,0)))/S250)&gt;1,(SUMIFS(P:P,A:A,A250)-S250)/S250,(S250-SUMIFS(P:P,A:A,A250))/SUMIFS(P:P,A:A,A250)),"."),".")</f>
        <v>.</v>
      </c>
      <c r="BA250" s="182"/>
      <c r="BB250" s="182"/>
      <c r="BC250" s="182"/>
      <c r="BD250" s="182"/>
      <c r="BE250" s="182"/>
      <c r="BF250" s="182"/>
      <c r="BG250" s="182"/>
      <c r="BH250" s="182"/>
      <c r="BI250" s="182"/>
      <c r="BJ250" s="182"/>
      <c r="BK250" s="182"/>
      <c r="BL250" s="182"/>
      <c r="BM250" s="182"/>
      <c r="BN250" s="182"/>
      <c r="BO250" s="182"/>
      <c r="BP250" s="182"/>
      <c r="BQ250" s="182"/>
      <c r="BR250" s="182"/>
      <c r="BS250" s="182"/>
    </row>
    <row r="251" spans="1:71" ht="15.9" customHeight="1" x14ac:dyDescent="0.3">
      <c r="A251" s="5" t="s">
        <v>936</v>
      </c>
      <c r="B251" s="5" t="s">
        <v>937</v>
      </c>
      <c r="C251" s="174" t="s">
        <v>938</v>
      </c>
      <c r="D251" s="5" t="s">
        <v>285</v>
      </c>
      <c r="E251" s="5" t="s">
        <v>286</v>
      </c>
      <c r="F251" s="175" t="s">
        <v>939</v>
      </c>
      <c r="G251" s="15" t="s">
        <v>364</v>
      </c>
      <c r="H251" s="176">
        <v>240000000</v>
      </c>
      <c r="I251" s="17" t="s">
        <v>958</v>
      </c>
      <c r="J251" s="113" t="str">
        <f>VLOOKUP($I251,'Price List, Weapons &amp; Items'!B:C,2,0)</f>
        <v>Military equipment</v>
      </c>
      <c r="K251" s="113" t="str">
        <f>IF(I251=".",I251,VLOOKUP($I251,'Price List, Weapons &amp; Items'!B:D,3,0))</f>
        <v>Military equipment</v>
      </c>
      <c r="L251" s="177">
        <f>VLOOKUP(I251,'Price List, Weapons &amp; Items'!B:E,4,0)</f>
        <v>0</v>
      </c>
      <c r="M251" s="542" t="s">
        <v>270</v>
      </c>
      <c r="N251" s="542" t="str">
        <f t="shared" si="53"/>
        <v>undisclosed</v>
      </c>
      <c r="O251" s="543">
        <f>VLOOKUP($I251,'Price List, Weapons &amp; Items'!B:G,6,0)</f>
        <v>51404</v>
      </c>
      <c r="P251" s="176" t="str">
        <f t="shared" si="44"/>
        <v>.</v>
      </c>
      <c r="Q251" s="176" t="str">
        <f t="shared" si="45"/>
        <v>.</v>
      </c>
      <c r="R251" s="176" t="str">
        <f t="shared" si="41"/>
        <v/>
      </c>
      <c r="S251" s="176" t="str">
        <f>IF(AND(AD251=1,R251&lt;&gt;".")=TRUE,R251/VLOOKUP(G251,'Exchange Rates'!B:C,2,0),IF(R251=".",".",""))</f>
        <v/>
      </c>
      <c r="T251" s="176" t="str">
        <f>IF(AD251=1,IF(AF251="Value is not given at all",".",IF(AF251="Value is given by the source",S251,IF(AF251="Value is calculated with prices",(IF(SUMIFS(Q:Q,A:A,A251)&gt;0,SUMIFS(Q:Q,A:A,A251),"."))/VLOOKUP("USD",'Exchange Rates'!B:C,2,0),"Error with coding"))),"")</f>
        <v/>
      </c>
      <c r="U251" s="15" t="s">
        <v>261</v>
      </c>
      <c r="V251" s="547" t="s">
        <v>941</v>
      </c>
      <c r="W251" s="547" t="s">
        <v>942</v>
      </c>
      <c r="X251" s="547" t="s">
        <v>943</v>
      </c>
      <c r="Y251" s="547" t="s">
        <v>944</v>
      </c>
      <c r="Z251" s="15">
        <v>0</v>
      </c>
      <c r="AA251" s="180">
        <v>0</v>
      </c>
      <c r="AB251" s="550" t="s">
        <v>945</v>
      </c>
      <c r="AC251" s="544" t="str">
        <f>""</f>
        <v/>
      </c>
      <c r="AD251" s="181">
        <v>0</v>
      </c>
      <c r="AE251" s="181" t="s">
        <v>264</v>
      </c>
      <c r="AF251" s="181" t="s">
        <v>264</v>
      </c>
      <c r="AG251" s="181">
        <v>1</v>
      </c>
      <c r="AH251" s="181">
        <v>5</v>
      </c>
      <c r="AI251" s="181">
        <v>0</v>
      </c>
      <c r="AJ251" s="181">
        <f>VLOOKUP($I251,'Price List, Weapons &amp; Items'!B:F,5,0)</f>
        <v>0</v>
      </c>
      <c r="AK251" s="181">
        <f t="shared" si="46"/>
        <v>0</v>
      </c>
      <c r="AL251" s="181">
        <f t="shared" si="47"/>
        <v>0</v>
      </c>
      <c r="AM251" s="181">
        <f t="shared" si="48"/>
        <v>0</v>
      </c>
      <c r="AN251" s="180" t="str">
        <f>VLOOKUP($I251,'Price List, Weapons &amp; Items'!B:L,COLUMN('Price List, Weapons &amp; Items'!$J$11)-1,0)</f>
        <v>Contracts</v>
      </c>
      <c r="AO251" s="180" t="str">
        <f>IF(I251=".",".",VLOOKUP($I251,'Price List, Weapons &amp; Items'!B:J,3,0))</f>
        <v>Military equipment</v>
      </c>
      <c r="AP251" s="545" t="str">
        <f t="shared" ca="1" si="42"/>
        <v/>
      </c>
      <c r="AQ251" s="180">
        <f>VLOOKUP($I251,'Price List, Weapons &amp; Items'!B:L,COLUMN('Price List, Weapons &amp; Items'!$L$11)-1,0)</f>
        <v>2</v>
      </c>
      <c r="AR251" s="180">
        <f t="shared" si="49"/>
        <v>1</v>
      </c>
      <c r="AS251" s="180">
        <f t="shared" si="50"/>
        <v>1</v>
      </c>
      <c r="AT251" s="180" t="str">
        <f t="shared" si="43"/>
        <v>Value is not in date format</v>
      </c>
      <c r="AU251" s="180" t="str">
        <f t="shared" si="51"/>
        <v>.</v>
      </c>
      <c r="AV251" s="180" t="str">
        <f t="shared" si="52"/>
        <v>.</v>
      </c>
      <c r="AW251" s="180">
        <f>IFERROR(VLOOKUP(B251,'Share, Heavy Weapons to Ukraine'!B:J,COLUMN('Share, Heavy Weapons to Ukraine'!C258)-1,0),0)</f>
        <v>0</v>
      </c>
      <c r="AX251" s="180">
        <f>VLOOKUP('Bilateral Assistance, MAIN DATA'!B251,'Country Summary'!B:F,COLUMN('Country Summary'!C261)-1,FALSE)</f>
        <v>1</v>
      </c>
      <c r="AY251" s="180" t="str">
        <f>IF(AND(AD251=1,D251="Military",H251&lt;&gt;"Not given")=TRUE,IF(SUMIFS(P:P,A:A,A251)&gt;0,ABS((SUMIFS(P:P,A:A,A251)/VLOOKUP("USD",'Exchange Rates'!B:C,2,0)))/S251,"."),".")</f>
        <v>.</v>
      </c>
      <c r="AZ251" s="182" t="str">
        <f>IF(AND(AD251=1,D251="Military",H251&lt;&gt;"Not given")=TRUE,IF(SUMIFS(P:P,A:A,A251)&gt;0,IF((ABS((SUMIFS(P:P,A:A,A251)/VLOOKUP("USD",'Exchange Rates'!B:C,2,0)))/S251)&gt;1,(SUMIFS(P:P,A:A,A251)-S251)/S251,(S251-SUMIFS(P:P,A:A,A251))/SUMIFS(P:P,A:A,A251)),"."),".")</f>
        <v>.</v>
      </c>
      <c r="BA251" s="182"/>
      <c r="BB251" s="182"/>
      <c r="BC251" s="182"/>
      <c r="BD251" s="182"/>
      <c r="BE251" s="182"/>
      <c r="BF251" s="182"/>
      <c r="BG251" s="182"/>
      <c r="BH251" s="182"/>
      <c r="BI251" s="182"/>
      <c r="BJ251" s="182"/>
      <c r="BK251" s="182"/>
      <c r="BL251" s="182"/>
      <c r="BM251" s="182"/>
      <c r="BN251" s="182"/>
      <c r="BO251" s="182"/>
      <c r="BP251" s="182"/>
      <c r="BQ251" s="182"/>
      <c r="BR251" s="182"/>
      <c r="BS251" s="182"/>
    </row>
    <row r="252" spans="1:71" ht="15.9" customHeight="1" x14ac:dyDescent="0.3">
      <c r="A252" s="5" t="s">
        <v>936</v>
      </c>
      <c r="B252" s="5" t="s">
        <v>937</v>
      </c>
      <c r="C252" s="174" t="s">
        <v>938</v>
      </c>
      <c r="D252" s="5" t="s">
        <v>285</v>
      </c>
      <c r="E252" s="5" t="s">
        <v>286</v>
      </c>
      <c r="F252" s="175" t="s">
        <v>939</v>
      </c>
      <c r="G252" s="15" t="s">
        <v>364</v>
      </c>
      <c r="H252" s="176">
        <v>240000000</v>
      </c>
      <c r="I252" s="17" t="s">
        <v>959</v>
      </c>
      <c r="J252" s="113" t="str">
        <f>VLOOKUP($I252,'Price List, Weapons &amp; Items'!B:C,2,0)</f>
        <v>Military equipment</v>
      </c>
      <c r="K252" s="113" t="str">
        <f>IF(I252=".",I252,VLOOKUP($I252,'Price List, Weapons &amp; Items'!B:D,3,0))</f>
        <v>Protected Patrol Vehicle (PPV)</v>
      </c>
      <c r="L252" s="177">
        <f>VLOOKUP(I252,'Price List, Weapons &amp; Items'!B:E,4,0)</f>
        <v>0</v>
      </c>
      <c r="M252" s="542">
        <v>7</v>
      </c>
      <c r="N252" s="542">
        <v>7</v>
      </c>
      <c r="O252" s="543">
        <f>VLOOKUP($I252,'Price List, Weapons &amp; Items'!B:G,6,0)</f>
        <v>94462</v>
      </c>
      <c r="P252" s="176">
        <f t="shared" si="44"/>
        <v>661234</v>
      </c>
      <c r="Q252" s="176">
        <f t="shared" si="45"/>
        <v>661234</v>
      </c>
      <c r="R252" s="176" t="str">
        <f t="shared" si="41"/>
        <v/>
      </c>
      <c r="S252" s="176" t="str">
        <f>IF(AND(AD252=1,R252&lt;&gt;".")=TRUE,R252/VLOOKUP(G252,'Exchange Rates'!B:C,2,0),IF(R252=".",".",""))</f>
        <v/>
      </c>
      <c r="T252" s="176" t="str">
        <f>IF(AD252=1,IF(AF252="Value is not given at all",".",IF(AF252="Value is given by the source",S252,IF(AF252="Value is calculated with prices",(IF(SUMIFS(Q:Q,A:A,A252)&gt;0,SUMIFS(Q:Q,A:A,A252),"."))/VLOOKUP("USD",'Exchange Rates'!B:C,2,0),"Error with coding"))),"")</f>
        <v/>
      </c>
      <c r="U252" s="15" t="s">
        <v>261</v>
      </c>
      <c r="V252" s="300" t="s">
        <v>960</v>
      </c>
      <c r="W252" s="547" t="s">
        <v>942</v>
      </c>
      <c r="X252" s="547" t="s">
        <v>943</v>
      </c>
      <c r="Y252" s="300" t="s">
        <v>961</v>
      </c>
      <c r="Z252" s="15">
        <v>0</v>
      </c>
      <c r="AA252" s="180">
        <v>0</v>
      </c>
      <c r="AB252" s="550" t="s">
        <v>945</v>
      </c>
      <c r="AC252" s="544" t="str">
        <f>""</f>
        <v/>
      </c>
      <c r="AD252" s="181">
        <v>0</v>
      </c>
      <c r="AE252" s="181" t="s">
        <v>264</v>
      </c>
      <c r="AF252" s="181" t="s">
        <v>264</v>
      </c>
      <c r="AG252" s="181">
        <v>1</v>
      </c>
      <c r="AH252" s="181">
        <v>5</v>
      </c>
      <c r="AI252" s="181">
        <v>0</v>
      </c>
      <c r="AJ252" s="181">
        <f>VLOOKUP($I252,'Price List, Weapons &amp; Items'!B:F,5,0)</f>
        <v>1</v>
      </c>
      <c r="AK252" s="181">
        <f t="shared" si="46"/>
        <v>0</v>
      </c>
      <c r="AL252" s="181">
        <f t="shared" si="47"/>
        <v>0</v>
      </c>
      <c r="AM252" s="181">
        <f t="shared" si="48"/>
        <v>0</v>
      </c>
      <c r="AN252" s="180" t="str">
        <f>VLOOKUP($I252,'Price List, Weapons &amp; Items'!B:L,COLUMN('Price List, Weapons &amp; Items'!$J$11)-1,0)</f>
        <v>Military media (incl. websites)</v>
      </c>
      <c r="AO252" s="180" t="str">
        <f>IF(I252=".",".",VLOOKUP($I252,'Price List, Weapons &amp; Items'!B:J,3,0))</f>
        <v>Protected Patrol Vehicle (PPV)</v>
      </c>
      <c r="AP252" s="545" t="str">
        <f t="shared" ca="1" si="42"/>
        <v/>
      </c>
      <c r="AQ252" s="180">
        <f>VLOOKUP($I252,'Price List, Weapons &amp; Items'!B:L,COLUMN('Price List, Weapons &amp; Items'!$L$11)-1,0)</f>
        <v>1</v>
      </c>
      <c r="AR252" s="180">
        <f t="shared" si="49"/>
        <v>1</v>
      </c>
      <c r="AS252" s="180">
        <f t="shared" si="50"/>
        <v>1</v>
      </c>
      <c r="AT252" s="180" t="str">
        <f t="shared" si="43"/>
        <v>Value is not in date format</v>
      </c>
      <c r="AU252" s="180" t="str">
        <f t="shared" si="51"/>
        <v>.</v>
      </c>
      <c r="AV252" s="180" t="str">
        <f t="shared" si="52"/>
        <v>.</v>
      </c>
      <c r="AW252" s="180">
        <f>IFERROR(VLOOKUP(B252,'Share, Heavy Weapons to Ukraine'!B:J,COLUMN('Share, Heavy Weapons to Ukraine'!C259)-1,0),0)</f>
        <v>0</v>
      </c>
      <c r="AX252" s="180">
        <f>VLOOKUP('Bilateral Assistance, MAIN DATA'!B252,'Country Summary'!B:F,COLUMN('Country Summary'!C262)-1,FALSE)</f>
        <v>1</v>
      </c>
      <c r="AY252" s="180" t="str">
        <f>IF(AND(AD252=1,D252="Military",H252&lt;&gt;"Not given")=TRUE,IF(SUMIFS(P:P,A:A,A252)&gt;0,ABS((SUMIFS(P:P,A:A,A252)/VLOOKUP("USD",'Exchange Rates'!B:C,2,0)))/S252,"."),".")</f>
        <v>.</v>
      </c>
      <c r="AZ252" s="182" t="str">
        <f>IF(AND(AD252=1,D252="Military",H252&lt;&gt;"Not given")=TRUE,IF(SUMIFS(P:P,A:A,A252)&gt;0,IF((ABS((SUMIFS(P:P,A:A,A252)/VLOOKUP("USD",'Exchange Rates'!B:C,2,0)))/S252)&gt;1,(SUMIFS(P:P,A:A,A252)-S252)/S252,(S252-SUMIFS(P:P,A:A,A252))/SUMIFS(P:P,A:A,A252)),"."),".")</f>
        <v>.</v>
      </c>
      <c r="BA252" s="182"/>
      <c r="BB252" s="182"/>
      <c r="BC252" s="182"/>
      <c r="BD252" s="182"/>
      <c r="BE252" s="182"/>
      <c r="BF252" s="182"/>
      <c r="BG252" s="182"/>
      <c r="BH252" s="182"/>
      <c r="BI252" s="182"/>
      <c r="BJ252" s="182"/>
      <c r="BK252" s="182"/>
      <c r="BL252" s="182"/>
      <c r="BM252" s="182"/>
      <c r="BN252" s="182"/>
      <c r="BO252" s="182"/>
      <c r="BP252" s="182"/>
      <c r="BQ252" s="182"/>
      <c r="BR252" s="182"/>
      <c r="BS252" s="182"/>
    </row>
    <row r="253" spans="1:71" ht="15.9" customHeight="1" x14ac:dyDescent="0.3">
      <c r="A253" s="17" t="s">
        <v>962</v>
      </c>
      <c r="B253" s="17" t="s">
        <v>937</v>
      </c>
      <c r="C253" s="174">
        <v>44657</v>
      </c>
      <c r="D253" s="5" t="s">
        <v>285</v>
      </c>
      <c r="E253" s="5" t="s">
        <v>294</v>
      </c>
      <c r="F253" s="175" t="s">
        <v>963</v>
      </c>
      <c r="G253" s="15" t="s">
        <v>364</v>
      </c>
      <c r="H253" s="176">
        <v>5000000</v>
      </c>
      <c r="I253" s="17" t="s">
        <v>964</v>
      </c>
      <c r="J253" s="113" t="str">
        <f>VLOOKUP($I253,'Price List, Weapons &amp; Items'!B:C,2,0)</f>
        <v>Military equipment</v>
      </c>
      <c r="K253" s="113" t="str">
        <f>IF(I253=".",I253,VLOOKUP($I253,'Price List, Weapons &amp; Items'!B:D,3,0))</f>
        <v>Military equipment</v>
      </c>
      <c r="L253" s="177">
        <f>VLOOKUP(I253,'Price List, Weapons &amp; Items'!B:E,4,0)</f>
        <v>0</v>
      </c>
      <c r="M253" s="542" t="s">
        <v>270</v>
      </c>
      <c r="N253" s="542" t="str">
        <f>M253</f>
        <v>undisclosed</v>
      </c>
      <c r="O253" s="543">
        <f>VLOOKUP($I253,'Price List, Weapons &amp; Items'!B:G,6,0)</f>
        <v>1.29</v>
      </c>
      <c r="P253" s="176" t="str">
        <f t="shared" si="44"/>
        <v>.</v>
      </c>
      <c r="Q253" s="176" t="str">
        <f t="shared" si="45"/>
        <v>.</v>
      </c>
      <c r="R253" s="176">
        <f t="shared" si="41"/>
        <v>5000000</v>
      </c>
      <c r="S253" s="176">
        <f>IF(AND(AD253=1,R253&lt;&gt;".")=TRUE,R253/VLOOKUP(G253,'Exchange Rates'!B:C,2,0),IF(R253=".",".",""))</f>
        <v>5000000</v>
      </c>
      <c r="T253" s="176">
        <f>IF(AD253=1,IF(AF253="Value is not given at all",".",IF(AF253="Value is given by the source",S253,IF(AF253="Value is calculated with prices",(IF(SUMIFS(Q:Q,A:A,A253)&gt;0,SUMIFS(Q:Q,A:A,A253),"."))/VLOOKUP("USD",'Exchange Rates'!B:C,2,0),"Error with coding"))),"")</f>
        <v>5000000</v>
      </c>
      <c r="U253" s="15" t="s">
        <v>415</v>
      </c>
      <c r="V253" s="300" t="s">
        <v>944</v>
      </c>
      <c r="W253" s="546" t="s">
        <v>965</v>
      </c>
      <c r="X253" s="175" t="s">
        <v>260</v>
      </c>
      <c r="Y253" s="175" t="s">
        <v>260</v>
      </c>
      <c r="Z253" s="15">
        <v>0</v>
      </c>
      <c r="AA253" s="180">
        <v>0</v>
      </c>
      <c r="AB253" s="564" t="s">
        <v>966</v>
      </c>
      <c r="AC253" s="544" t="str">
        <f>""</f>
        <v/>
      </c>
      <c r="AD253" s="181">
        <v>1</v>
      </c>
      <c r="AE253" s="181" t="s">
        <v>264</v>
      </c>
      <c r="AF253" s="181" t="s">
        <v>264</v>
      </c>
      <c r="AG253" s="181">
        <v>1</v>
      </c>
      <c r="AH253" s="181">
        <v>4</v>
      </c>
      <c r="AI253" s="181">
        <v>0</v>
      </c>
      <c r="AJ253" s="181">
        <f>VLOOKUP($I253,'Price List, Weapons &amp; Items'!B:F,5,0)</f>
        <v>0</v>
      </c>
      <c r="AK253" s="181">
        <f t="shared" si="46"/>
        <v>0</v>
      </c>
      <c r="AL253" s="181">
        <f t="shared" si="47"/>
        <v>0</v>
      </c>
      <c r="AM253" s="181">
        <f t="shared" si="48"/>
        <v>0</v>
      </c>
      <c r="AN253" s="180" t="str">
        <f>VLOOKUP($I253,'Price List, Weapons &amp; Items'!B:L,COLUMN('Price List, Weapons &amp; Items'!$J$11)-1,0)</f>
        <v>Miscellaneous</v>
      </c>
      <c r="AO253" s="180" t="str">
        <f>IF(I253=".",".",VLOOKUP($I253,'Price List, Weapons &amp; Items'!B:J,3,0))</f>
        <v>Military equipment</v>
      </c>
      <c r="AP253" s="545" t="e">
        <f t="shared" ca="1" si="42"/>
        <v>#NAME?</v>
      </c>
      <c r="AQ253" s="180" t="str">
        <f>VLOOKUP($I253,'Price List, Weapons &amp; Items'!B:L,COLUMN('Price List, Weapons &amp; Items'!$L$11)-1,0)</f>
        <v>no price, 0 count</v>
      </c>
      <c r="AR253" s="180">
        <f t="shared" si="49"/>
        <v>0</v>
      </c>
      <c r="AS253" s="180">
        <f t="shared" si="50"/>
        <v>1</v>
      </c>
      <c r="AT253" s="180">
        <f t="shared" si="43"/>
        <v>1</v>
      </c>
      <c r="AU253" s="180" t="str">
        <f t="shared" si="51"/>
        <v>.</v>
      </c>
      <c r="AV253" s="180" t="str">
        <f t="shared" si="52"/>
        <v>.</v>
      </c>
      <c r="AW253" s="180">
        <f>IFERROR(VLOOKUP(B253,'Share, Heavy Weapons to Ukraine'!B:J,COLUMN('Share, Heavy Weapons to Ukraine'!C260)-1,0),0)</f>
        <v>0</v>
      </c>
      <c r="AX253" s="180">
        <f>VLOOKUP('Bilateral Assistance, MAIN DATA'!B253,'Country Summary'!B:F,COLUMN('Country Summary'!C263)-1,FALSE)</f>
        <v>1</v>
      </c>
      <c r="AY253" s="180" t="str">
        <f>IF(AND(AD253=1,D253="Military",H253&lt;&gt;"Not given")=TRUE,IF(SUMIFS(P:P,A:A,A253)&gt;0,ABS((SUMIFS(P:P,A:A,A253)/VLOOKUP("USD",'Exchange Rates'!B:C,2,0)))/S253,"."),".")</f>
        <v>.</v>
      </c>
      <c r="AZ253" s="182" t="str">
        <f>IF(AND(AD253=1,D253="Military",H253&lt;&gt;"Not given")=TRUE,IF(SUMIFS(P:P,A:A,A253)&gt;0,IF((ABS((SUMIFS(P:P,A:A,A253)/VLOOKUP("USD",'Exchange Rates'!B:C,2,0)))/S253)&gt;1,(SUMIFS(P:P,A:A,A253)-S253)/S253,(S253-SUMIFS(P:P,A:A,A253))/SUMIFS(P:P,A:A,A253)),"."),".")</f>
        <v>.</v>
      </c>
      <c r="BA253" s="182"/>
      <c r="BB253" s="182"/>
      <c r="BC253" s="182"/>
      <c r="BD253" s="182"/>
      <c r="BE253" s="182"/>
      <c r="BF253" s="182"/>
      <c r="BG253" s="182"/>
      <c r="BH253" s="182"/>
      <c r="BI253" s="182"/>
      <c r="BJ253" s="182"/>
      <c r="BK253" s="182"/>
      <c r="BL253" s="182"/>
      <c r="BM253" s="182"/>
      <c r="BN253" s="182"/>
      <c r="BO253" s="182"/>
      <c r="BP253" s="182"/>
      <c r="BQ253" s="182"/>
      <c r="BR253" s="182"/>
      <c r="BS253" s="182"/>
    </row>
    <row r="254" spans="1:71" ht="15.9" customHeight="1" x14ac:dyDescent="0.3">
      <c r="A254" s="17" t="s">
        <v>967</v>
      </c>
      <c r="B254" s="17" t="s">
        <v>937</v>
      </c>
      <c r="C254" s="174">
        <v>44601</v>
      </c>
      <c r="D254" s="5" t="s">
        <v>285</v>
      </c>
      <c r="E254" s="5" t="s">
        <v>294</v>
      </c>
      <c r="F254" s="175" t="s">
        <v>968</v>
      </c>
      <c r="G254" s="15" t="s">
        <v>364</v>
      </c>
      <c r="H254" s="176">
        <v>5300000</v>
      </c>
      <c r="I254" s="19" t="s">
        <v>969</v>
      </c>
      <c r="J254" s="113" t="str">
        <f>VLOOKUP($I254,'Price List, Weapons &amp; Items'!B:C,2,0)</f>
        <v>Military equipment</v>
      </c>
      <c r="K254" s="113" t="str">
        <f>IF(I254=".",I254,VLOOKUP($I254,'Price List, Weapons &amp; Items'!B:D,3,0))</f>
        <v>Military equipment</v>
      </c>
      <c r="L254" s="177">
        <f>VLOOKUP(I254,'Price List, Weapons &amp; Items'!B:E,4,0)</f>
        <v>0</v>
      </c>
      <c r="M254" s="542">
        <v>1</v>
      </c>
      <c r="N254" s="542">
        <v>1</v>
      </c>
      <c r="O254" s="543">
        <f>VLOOKUP($I254,'Price List, Weapons &amp; Items'!B:G,6,0)</f>
        <v>6060550</v>
      </c>
      <c r="P254" s="176">
        <f t="shared" si="44"/>
        <v>6060550</v>
      </c>
      <c r="Q254" s="176">
        <f t="shared" si="45"/>
        <v>6060550</v>
      </c>
      <c r="R254" s="176">
        <f t="shared" si="41"/>
        <v>5300000</v>
      </c>
      <c r="S254" s="176">
        <f>IF(AND(AD254=1,R254&lt;&gt;".")=TRUE,R254/VLOOKUP(G254,'Exchange Rates'!B:C,2,0),IF(R254=".",".",""))</f>
        <v>5300000</v>
      </c>
      <c r="T254" s="176">
        <f>IF(AD254=1,IF(AF254="Value is not given at all",".",IF(AF254="Value is given by the source",S254,IF(AF254="Value is calculated with prices",(IF(SUMIFS(Q:Q,A:A,A254)&gt;0,SUMIFS(Q:Q,A:A,A254),"."))/VLOOKUP("USD",'Exchange Rates'!B:C,2,0),"Error with coding"))),"")</f>
        <v>5300000</v>
      </c>
      <c r="U254" s="15" t="s">
        <v>261</v>
      </c>
      <c r="V254" s="300" t="s">
        <v>970</v>
      </c>
      <c r="W254" s="546" t="s">
        <v>971</v>
      </c>
      <c r="X254" s="175" t="s">
        <v>260</v>
      </c>
      <c r="Y254" s="175" t="s">
        <v>260</v>
      </c>
      <c r="Z254" s="15">
        <v>0</v>
      </c>
      <c r="AA254" s="180">
        <v>0</v>
      </c>
      <c r="AB254" s="563" t="s">
        <v>971</v>
      </c>
      <c r="AC254" s="544" t="str">
        <f>""</f>
        <v/>
      </c>
      <c r="AD254" s="181">
        <v>1</v>
      </c>
      <c r="AE254" s="181" t="s">
        <v>264</v>
      </c>
      <c r="AF254" s="181" t="s">
        <v>264</v>
      </c>
      <c r="AG254" s="181">
        <v>1</v>
      </c>
      <c r="AH254" s="181">
        <v>2</v>
      </c>
      <c r="AI254" s="181">
        <v>1</v>
      </c>
      <c r="AJ254" s="181">
        <f>VLOOKUP($I254,'Price List, Weapons &amp; Items'!B:F,5,0)</f>
        <v>0</v>
      </c>
      <c r="AK254" s="181">
        <f t="shared" si="46"/>
        <v>0</v>
      </c>
      <c r="AL254" s="181">
        <f t="shared" si="47"/>
        <v>0</v>
      </c>
      <c r="AM254" s="181">
        <f t="shared" si="48"/>
        <v>0</v>
      </c>
      <c r="AN254" s="180" t="str">
        <f>VLOOKUP($I254,'Price List, Weapons &amp; Items'!B:L,COLUMN('Price List, Weapons &amp; Items'!$J$11)-1,0)</f>
        <v>Media reports (incl. social media)</v>
      </c>
      <c r="AO254" s="180" t="str">
        <f>IF(I254=".",".",VLOOKUP($I254,'Price List, Weapons &amp; Items'!B:J,3,0))</f>
        <v>Military equipment</v>
      </c>
      <c r="AP254" s="545" t="e">
        <f t="shared" ca="1" si="42"/>
        <v>#NAME?</v>
      </c>
      <c r="AQ254" s="180">
        <f>VLOOKUP($I254,'Price List, Weapons &amp; Items'!B:L,COLUMN('Price List, Weapons &amp; Items'!$L$11)-1,0)</f>
        <v>2</v>
      </c>
      <c r="AR254" s="180">
        <f t="shared" si="49"/>
        <v>1</v>
      </c>
      <c r="AS254" s="180">
        <f t="shared" si="50"/>
        <v>1</v>
      </c>
      <c r="AT254" s="180">
        <f t="shared" si="43"/>
        <v>1</v>
      </c>
      <c r="AU254" s="180" t="str">
        <f t="shared" si="51"/>
        <v>.</v>
      </c>
      <c r="AV254" s="180" t="str">
        <f t="shared" si="52"/>
        <v>.</v>
      </c>
      <c r="AW254" s="180">
        <f>IFERROR(VLOOKUP(B254,'Share, Heavy Weapons to Ukraine'!B:J,COLUMN('Share, Heavy Weapons to Ukraine'!C261)-1,0),0)</f>
        <v>0</v>
      </c>
      <c r="AX254" s="180">
        <f>VLOOKUP('Bilateral Assistance, MAIN DATA'!B254,'Country Summary'!B:F,COLUMN('Country Summary'!C264)-1,FALSE)</f>
        <v>1</v>
      </c>
      <c r="AY254" s="180">
        <f>IF(AND(AD254=1,D254="Military",H254&lt;&gt;"Not given")=TRUE,IF(SUMIFS(P:P,A:A,A254)&gt;0,ABS((SUMIFS(P:P,A:A,A254)/VLOOKUP("USD",'Exchange Rates'!B:C,2,0)))/S254,"."),".")</f>
        <v>1.089047619047619</v>
      </c>
      <c r="AZ254" s="182">
        <f>IF(AND(AD254=1,D254="Military",H254&lt;&gt;"Not given")=TRUE,IF(SUMIFS(P:P,A:A,A254)&gt;0,IF((ABS((SUMIFS(P:P,A:A,A254)/VLOOKUP("USD",'Exchange Rates'!B:C,2,0)))/S254)&gt;1,(SUMIFS(P:P,A:A,A254)-S254)/S254,(S254-SUMIFS(P:P,A:A,A254))/SUMIFS(P:P,A:A,A254)),"."),".")</f>
        <v>0.14349999999999999</v>
      </c>
      <c r="BA254" s="182"/>
      <c r="BB254" s="182"/>
      <c r="BC254" s="182"/>
      <c r="BD254" s="182"/>
      <c r="BE254" s="182"/>
      <c r="BF254" s="182"/>
      <c r="BG254" s="182"/>
      <c r="BH254" s="182"/>
      <c r="BI254" s="182"/>
      <c r="BJ254" s="182"/>
      <c r="BK254" s="182"/>
      <c r="BL254" s="182"/>
      <c r="BM254" s="182"/>
      <c r="BN254" s="182"/>
      <c r="BO254" s="182"/>
      <c r="BP254" s="182"/>
      <c r="BQ254" s="182"/>
      <c r="BR254" s="182"/>
      <c r="BS254" s="182"/>
    </row>
    <row r="255" spans="1:71" ht="15.9" customHeight="1" x14ac:dyDescent="0.3">
      <c r="A255" s="17" t="s">
        <v>972</v>
      </c>
      <c r="B255" s="17" t="s">
        <v>937</v>
      </c>
      <c r="C255" s="174">
        <v>44791</v>
      </c>
      <c r="D255" s="5" t="s">
        <v>285</v>
      </c>
      <c r="E255" s="5" t="s">
        <v>294</v>
      </c>
      <c r="F255" s="175" t="s">
        <v>973</v>
      </c>
      <c r="G255" s="15" t="s">
        <v>364</v>
      </c>
      <c r="H255" s="176">
        <v>7820000</v>
      </c>
      <c r="I255" s="19" t="s">
        <v>969</v>
      </c>
      <c r="J255" s="113" t="str">
        <f>VLOOKUP($I255,'Price List, Weapons &amp; Items'!B:C,2,0)</f>
        <v>Military equipment</v>
      </c>
      <c r="K255" s="113" t="str">
        <f>IF(I255=".",I255,VLOOKUP($I255,'Price List, Weapons &amp; Items'!B:D,3,0))</f>
        <v>Military equipment</v>
      </c>
      <c r="L255" s="177">
        <f>VLOOKUP(I255,'Price List, Weapons &amp; Items'!B:E,4,0)</f>
        <v>0</v>
      </c>
      <c r="M255" s="542">
        <v>1</v>
      </c>
      <c r="N255" s="542">
        <v>1</v>
      </c>
      <c r="O255" s="543">
        <f>VLOOKUP($I255,'Price List, Weapons &amp; Items'!B:G,6,0)</f>
        <v>6060550</v>
      </c>
      <c r="P255" s="176">
        <f t="shared" si="44"/>
        <v>6060550</v>
      </c>
      <c r="Q255" s="176">
        <f t="shared" si="45"/>
        <v>6060550</v>
      </c>
      <c r="R255" s="176">
        <f t="shared" si="41"/>
        <v>7820000</v>
      </c>
      <c r="S255" s="176">
        <f>IF(AND(AD255=1,R255&lt;&gt;".")=TRUE,R255/VLOOKUP(G255,'Exchange Rates'!B:C,2,0),IF(R255=".",".",""))</f>
        <v>7820000</v>
      </c>
      <c r="T255" s="176">
        <f>IF(AD255=1,IF(AF255="Value is not given at all",".",IF(AF255="Value is given by the source",S255,IF(AF255="Value is calculated with prices",(IF(SUMIFS(Q:Q,A:A,A255)&gt;0,SUMIFS(Q:Q,A:A,A255),"."))/VLOOKUP("USD",'Exchange Rates'!B:C,2,0),"Error with coding"))),"")</f>
        <v>7820000</v>
      </c>
      <c r="U255" s="15" t="s">
        <v>261</v>
      </c>
      <c r="V255" s="546" t="s">
        <v>974</v>
      </c>
      <c r="W255" s="300" t="s">
        <v>975</v>
      </c>
      <c r="X255" s="546" t="s">
        <v>976</v>
      </c>
      <c r="Y255" s="561" t="s">
        <v>977</v>
      </c>
      <c r="Z255" s="15">
        <v>0</v>
      </c>
      <c r="AA255" s="180">
        <v>0</v>
      </c>
      <c r="AB255" s="563" t="s">
        <v>976</v>
      </c>
      <c r="AC255" s="544" t="str">
        <f>""</f>
        <v/>
      </c>
      <c r="AD255" s="181">
        <v>1</v>
      </c>
      <c r="AE255" s="181" t="s">
        <v>264</v>
      </c>
      <c r="AF255" s="181" t="s">
        <v>264</v>
      </c>
      <c r="AG255" s="181">
        <v>1</v>
      </c>
      <c r="AH255" s="181">
        <v>8</v>
      </c>
      <c r="AI255" s="181">
        <v>0</v>
      </c>
      <c r="AJ255" s="181">
        <f>VLOOKUP($I255,'Price List, Weapons &amp; Items'!B:F,5,0)</f>
        <v>0</v>
      </c>
      <c r="AK255" s="181">
        <f t="shared" si="46"/>
        <v>0</v>
      </c>
      <c r="AL255" s="181">
        <f t="shared" si="47"/>
        <v>0</v>
      </c>
      <c r="AM255" s="181">
        <f t="shared" si="48"/>
        <v>0</v>
      </c>
      <c r="AN255" s="180" t="str">
        <f>VLOOKUP($I255,'Price List, Weapons &amp; Items'!B:L,COLUMN('Price List, Weapons &amp; Items'!$J$11)-1,0)</f>
        <v>Media reports (incl. social media)</v>
      </c>
      <c r="AO255" s="180" t="str">
        <f>IF(I255=".",".",VLOOKUP($I255,'Price List, Weapons &amp; Items'!B:J,3,0))</f>
        <v>Military equipment</v>
      </c>
      <c r="AP255" s="545" t="e">
        <f t="shared" ca="1" si="42"/>
        <v>#NAME?</v>
      </c>
      <c r="AQ255" s="180">
        <f>VLOOKUP($I255,'Price List, Weapons &amp; Items'!B:L,COLUMN('Price List, Weapons &amp; Items'!$L$11)-1,0)</f>
        <v>2</v>
      </c>
      <c r="AR255" s="180">
        <f t="shared" si="49"/>
        <v>1</v>
      </c>
      <c r="AS255" s="180">
        <f t="shared" si="50"/>
        <v>1</v>
      </c>
      <c r="AT255" s="180">
        <f t="shared" si="43"/>
        <v>1</v>
      </c>
      <c r="AU255" s="180" t="str">
        <f t="shared" si="51"/>
        <v>.</v>
      </c>
      <c r="AV255" s="180" t="str">
        <f t="shared" si="52"/>
        <v>.</v>
      </c>
      <c r="AW255" s="180">
        <f>IFERROR(VLOOKUP(B255,'Share, Heavy Weapons to Ukraine'!B:J,COLUMN('Share, Heavy Weapons to Ukraine'!C262)-1,0),0)</f>
        <v>0</v>
      </c>
      <c r="AX255" s="180">
        <f>VLOOKUP('Bilateral Assistance, MAIN DATA'!B255,'Country Summary'!B:F,COLUMN('Country Summary'!C265)-1,FALSE)</f>
        <v>1</v>
      </c>
      <c r="AY255" s="180">
        <f>IF(AND(AD255=1,D255="Military",H255&lt;&gt;"Not given")=TRUE,IF(SUMIFS(P:P,A:A,A255)&gt;0,ABS((SUMIFS(P:P,A:A,A255)/VLOOKUP("USD",'Exchange Rates'!B:C,2,0)))/S255,"."),".")</f>
        <v>0.73810132748751667</v>
      </c>
      <c r="AZ255" s="182">
        <f>IF(AND(AD255=1,D255="Military",H255&lt;&gt;"Not given")=TRUE,IF(SUMIFS(P:P,A:A,A255)&gt;0,IF((ABS((SUMIFS(P:P,A:A,A255)/VLOOKUP("USD",'Exchange Rates'!B:C,2,0)))/S255)&gt;1,(SUMIFS(P:P,A:A,A255)-S255)/S255,(S255-SUMIFS(P:P,A:A,A255))/SUMIFS(P:P,A:A,A255)),"."),".")</f>
        <v>0.29031193538540234</v>
      </c>
      <c r="BA255" s="182"/>
      <c r="BB255" s="182"/>
      <c r="BC255" s="182"/>
      <c r="BD255" s="182"/>
      <c r="BE255" s="182"/>
      <c r="BF255" s="182"/>
      <c r="BG255" s="182"/>
      <c r="BH255" s="182"/>
      <c r="BI255" s="182"/>
      <c r="BJ255" s="182"/>
      <c r="BK255" s="182"/>
      <c r="BL255" s="182"/>
      <c r="BM255" s="182"/>
      <c r="BN255" s="182"/>
      <c r="BO255" s="182"/>
      <c r="BP255" s="182"/>
      <c r="BQ255" s="182"/>
      <c r="BR255" s="182"/>
      <c r="BS255" s="182"/>
    </row>
    <row r="256" spans="1:71" ht="15.9" customHeight="1" x14ac:dyDescent="0.3">
      <c r="A256" s="17" t="s">
        <v>972</v>
      </c>
      <c r="B256" s="17" t="s">
        <v>937</v>
      </c>
      <c r="C256" s="174">
        <v>44791</v>
      </c>
      <c r="D256" s="5" t="s">
        <v>285</v>
      </c>
      <c r="E256" s="5" t="s">
        <v>294</v>
      </c>
      <c r="F256" s="175" t="s">
        <v>973</v>
      </c>
      <c r="G256" s="15" t="s">
        <v>364</v>
      </c>
      <c r="H256" s="176">
        <v>7820000</v>
      </c>
      <c r="I256" s="19" t="s">
        <v>303</v>
      </c>
      <c r="J256" s="113" t="str">
        <f>VLOOKUP($I256,'Price List, Weapons &amp; Items'!B:C,2,0)</f>
        <v>Humanitarian</v>
      </c>
      <c r="K256" s="113" t="str">
        <f>IF(I256=".",I256,VLOOKUP($I256,'Price List, Weapons &amp; Items'!B:D,3,0))</f>
        <v>Humanitarian</v>
      </c>
      <c r="L256" s="177">
        <f>VLOOKUP(I256,'Price List, Weapons &amp; Items'!B:E,4,0)</f>
        <v>0</v>
      </c>
      <c r="M256" s="542" t="s">
        <v>270</v>
      </c>
      <c r="N256" s="542" t="s">
        <v>270</v>
      </c>
      <c r="O256" s="543" t="str">
        <f>VLOOKUP($I256,'Price List, Weapons &amp; Items'!B:G,6,0)</f>
        <v>.</v>
      </c>
      <c r="P256" s="176" t="str">
        <f t="shared" si="44"/>
        <v>.</v>
      </c>
      <c r="Q256" s="176" t="str">
        <f t="shared" si="45"/>
        <v>.</v>
      </c>
      <c r="R256" s="176" t="str">
        <f t="shared" si="41"/>
        <v/>
      </c>
      <c r="S256" s="176" t="str">
        <f>IF(AND(AD256=1,R256&lt;&gt;".")=TRUE,R256/VLOOKUP(G256,'Exchange Rates'!B:C,2,0),IF(R256=".",".",""))</f>
        <v/>
      </c>
      <c r="T256" s="176" t="str">
        <f>IF(AD256=1,IF(AF256="Value is not given at all",".",IF(AF256="Value is given by the source",S256,IF(AF256="Value is calculated with prices",(IF(SUMIFS(Q:Q,A:A,A256)&gt;0,SUMIFS(Q:Q,A:A,A256),"."))/VLOOKUP("USD",'Exchange Rates'!B:C,2,0),"Error with coding"))),"")</f>
        <v/>
      </c>
      <c r="U256" s="15" t="s">
        <v>261</v>
      </c>
      <c r="V256" s="546" t="s">
        <v>974</v>
      </c>
      <c r="W256" s="300" t="s">
        <v>975</v>
      </c>
      <c r="X256" s="546" t="s">
        <v>976</v>
      </c>
      <c r="Y256" s="561" t="s">
        <v>977</v>
      </c>
      <c r="Z256" s="15">
        <v>0</v>
      </c>
      <c r="AA256" s="180">
        <v>0</v>
      </c>
      <c r="AB256" s="563" t="s">
        <v>976</v>
      </c>
      <c r="AC256" s="544" t="str">
        <f>""</f>
        <v/>
      </c>
      <c r="AD256" s="181">
        <v>0</v>
      </c>
      <c r="AE256" s="181" t="s">
        <v>264</v>
      </c>
      <c r="AF256" s="181" t="s">
        <v>264</v>
      </c>
      <c r="AG256" s="181">
        <v>1</v>
      </c>
      <c r="AH256" s="181">
        <v>8</v>
      </c>
      <c r="AI256" s="181">
        <v>0</v>
      </c>
      <c r="AJ256" s="181">
        <f>VLOOKUP($I256,'Price List, Weapons &amp; Items'!B:F,5,0)</f>
        <v>0</v>
      </c>
      <c r="AK256" s="181">
        <f t="shared" si="46"/>
        <v>0</v>
      </c>
      <c r="AL256" s="181">
        <f t="shared" si="47"/>
        <v>0</v>
      </c>
      <c r="AM256" s="181">
        <f t="shared" si="48"/>
        <v>0</v>
      </c>
      <c r="AN256" s="180" t="str">
        <f>VLOOKUP($I256,'Price List, Weapons &amp; Items'!B:L,COLUMN('Price List, Weapons &amp; Items'!$J$11)-1,0)</f>
        <v>.</v>
      </c>
      <c r="AO256" s="180" t="str">
        <f>IF(I256=".",".",VLOOKUP($I256,'Price List, Weapons &amp; Items'!B:J,3,0))</f>
        <v>Humanitarian</v>
      </c>
      <c r="AP256" s="545" t="str">
        <f t="shared" ca="1" si="42"/>
        <v/>
      </c>
      <c r="AQ256" s="180">
        <f>VLOOKUP($I256,'Price List, Weapons &amp; Items'!B:L,COLUMN('Price List, Weapons &amp; Items'!$L$11)-1,0)</f>
        <v>0</v>
      </c>
      <c r="AR256" s="180">
        <f t="shared" si="49"/>
        <v>1</v>
      </c>
      <c r="AS256" s="180">
        <f t="shared" si="50"/>
        <v>1</v>
      </c>
      <c r="AT256" s="180">
        <f t="shared" si="43"/>
        <v>1</v>
      </c>
      <c r="AU256" s="180" t="str">
        <f t="shared" si="51"/>
        <v>.</v>
      </c>
      <c r="AV256" s="180" t="str">
        <f t="shared" si="52"/>
        <v>.</v>
      </c>
      <c r="AW256" s="180">
        <f>IFERROR(VLOOKUP(B256,'Share, Heavy Weapons to Ukraine'!B:J,COLUMN('Share, Heavy Weapons to Ukraine'!C263)-1,0),0)</f>
        <v>0</v>
      </c>
      <c r="AX256" s="180">
        <f>VLOOKUP('Bilateral Assistance, MAIN DATA'!B256,'Country Summary'!B:F,COLUMN('Country Summary'!C266)-1,FALSE)</f>
        <v>1</v>
      </c>
      <c r="AY256" s="180" t="str">
        <f>IF(AND(AD256=1,D256="Military",H256&lt;&gt;"Not given")=TRUE,IF(SUMIFS(P:P,A:A,A256)&gt;0,ABS((SUMIFS(P:P,A:A,A256)/VLOOKUP("USD",'Exchange Rates'!B:C,2,0)))/S256,"."),".")</f>
        <v>.</v>
      </c>
      <c r="AZ256" s="182" t="str">
        <f>IF(AND(AD256=1,D256="Military",H256&lt;&gt;"Not given")=TRUE,IF(SUMIFS(P:P,A:A,A256)&gt;0,IF((ABS((SUMIFS(P:P,A:A,A256)/VLOOKUP("USD",'Exchange Rates'!B:C,2,0)))/S256)&gt;1,(SUMIFS(P:P,A:A,A256)-S256)/S256,(S256-SUMIFS(P:P,A:A,A256))/SUMIFS(P:P,A:A,A256)),"."),".")</f>
        <v>.</v>
      </c>
      <c r="BA256" s="182"/>
      <c r="BB256" s="182"/>
      <c r="BC256" s="182"/>
      <c r="BD256" s="182"/>
      <c r="BE256" s="182"/>
      <c r="BF256" s="182"/>
      <c r="BG256" s="182"/>
      <c r="BH256" s="182"/>
      <c r="BI256" s="182"/>
      <c r="BJ256" s="182"/>
      <c r="BK256" s="182"/>
      <c r="BL256" s="182"/>
      <c r="BM256" s="182"/>
      <c r="BN256" s="182"/>
      <c r="BO256" s="182"/>
      <c r="BP256" s="182"/>
      <c r="BQ256" s="182"/>
      <c r="BR256" s="182"/>
      <c r="BS256" s="182"/>
    </row>
    <row r="257" spans="1:71" ht="15.9" customHeight="1" x14ac:dyDescent="0.3">
      <c r="A257" s="17" t="s">
        <v>978</v>
      </c>
      <c r="B257" s="17" t="s">
        <v>937</v>
      </c>
      <c r="C257" s="174">
        <v>44791</v>
      </c>
      <c r="D257" s="5" t="s">
        <v>285</v>
      </c>
      <c r="E257" s="5" t="s">
        <v>286</v>
      </c>
      <c r="F257" s="175" t="s">
        <v>979</v>
      </c>
      <c r="G257" s="15" t="s">
        <v>364</v>
      </c>
      <c r="H257" s="176">
        <v>10000000</v>
      </c>
      <c r="I257" s="19" t="s">
        <v>980</v>
      </c>
      <c r="J257" s="113" t="str">
        <f>VLOOKUP($I257,'Price List, Weapons &amp; Items'!B:C,2,0)</f>
        <v>Heavy weapon</v>
      </c>
      <c r="K257" s="113" t="str">
        <f>IF(I257=".",I257,VLOOKUP($I257,'Price List, Weapons &amp; Items'!B:D,3,0))</f>
        <v>Mortar</v>
      </c>
      <c r="L257" s="177">
        <f>VLOOKUP(I257,'Price List, Weapons &amp; Items'!B:E,4,0)</f>
        <v>0</v>
      </c>
      <c r="M257" s="542" t="s">
        <v>270</v>
      </c>
      <c r="N257" s="542" t="s">
        <v>270</v>
      </c>
      <c r="O257" s="543" t="str">
        <f>VLOOKUP($I257,'Price List, Weapons &amp; Items'!B:G,6,0)</f>
        <v>.</v>
      </c>
      <c r="P257" s="176" t="str">
        <f t="shared" si="44"/>
        <v>.</v>
      </c>
      <c r="Q257" s="176" t="str">
        <f t="shared" si="45"/>
        <v>.</v>
      </c>
      <c r="R257" s="176">
        <f t="shared" si="41"/>
        <v>10000000</v>
      </c>
      <c r="S257" s="176">
        <f>IF(AND(AD257=1,R257&lt;&gt;".")=TRUE,R257/VLOOKUP(G257,'Exchange Rates'!B:C,2,0),IF(R257=".",".",""))</f>
        <v>10000000</v>
      </c>
      <c r="T257" s="176">
        <f>IF(AD257=1,IF(AF257="Value is not given at all",".",IF(AF257="Value is given by the source",S257,IF(AF257="Value is calculated with prices",(IF(SUMIFS(Q:Q,A:A,A257)&gt;0,SUMIFS(Q:Q,A:A,A257),"."))/VLOOKUP("USD",'Exchange Rates'!B:C,2,0),"Error with coding"))),"")</f>
        <v>10000000</v>
      </c>
      <c r="U257" s="15" t="s">
        <v>261</v>
      </c>
      <c r="V257" s="565" t="s">
        <v>974</v>
      </c>
      <c r="W257" s="303" t="s">
        <v>981</v>
      </c>
      <c r="X257" s="565" t="s">
        <v>982</v>
      </c>
      <c r="Y257" s="175" t="s">
        <v>260</v>
      </c>
      <c r="Z257" s="15">
        <v>0</v>
      </c>
      <c r="AA257" s="180">
        <v>0</v>
      </c>
      <c r="AB257" s="563" t="s">
        <v>966</v>
      </c>
      <c r="AC257" s="544" t="str">
        <f>""</f>
        <v/>
      </c>
      <c r="AD257" s="181">
        <v>1</v>
      </c>
      <c r="AE257" s="181" t="s">
        <v>264</v>
      </c>
      <c r="AF257" s="181" t="s">
        <v>264</v>
      </c>
      <c r="AG257" s="181">
        <v>1</v>
      </c>
      <c r="AH257" s="181">
        <v>8</v>
      </c>
      <c r="AI257" s="181">
        <v>0</v>
      </c>
      <c r="AJ257" s="181">
        <f>VLOOKUP($I257,'Price List, Weapons &amp; Items'!B:F,5,0)</f>
        <v>0</v>
      </c>
      <c r="AK257" s="181">
        <f t="shared" si="46"/>
        <v>0</v>
      </c>
      <c r="AL257" s="181">
        <f t="shared" si="47"/>
        <v>0</v>
      </c>
      <c r="AM257" s="181">
        <f t="shared" si="48"/>
        <v>0</v>
      </c>
      <c r="AN257" s="180" t="str">
        <f>VLOOKUP($I257,'Price List, Weapons &amp; Items'!B:L,COLUMN('Price List, Weapons &amp; Items'!$J$11)-1,0)</f>
        <v>.</v>
      </c>
      <c r="AO257" s="180" t="str">
        <f>IF(I257=".",".",VLOOKUP($I257,'Price List, Weapons &amp; Items'!B:J,3,0))</f>
        <v>Mortar</v>
      </c>
      <c r="AP257" s="545" t="e">
        <f t="shared" ca="1" si="42"/>
        <v>#NAME?</v>
      </c>
      <c r="AQ257" s="180" t="str">
        <f>VLOOKUP($I257,'Price List, Weapons &amp; Items'!B:L,COLUMN('Price List, Weapons &amp; Items'!$L$11)-1,0)</f>
        <v>no price, 0 count</v>
      </c>
      <c r="AR257" s="180">
        <f t="shared" si="49"/>
        <v>1</v>
      </c>
      <c r="AS257" s="180">
        <f t="shared" si="50"/>
        <v>1</v>
      </c>
      <c r="AT257" s="180">
        <f t="shared" si="43"/>
        <v>1</v>
      </c>
      <c r="AU257" s="180" t="str">
        <f t="shared" si="51"/>
        <v>.</v>
      </c>
      <c r="AV257" s="180" t="str">
        <f t="shared" si="52"/>
        <v>.</v>
      </c>
      <c r="AW257" s="180">
        <f>IFERROR(VLOOKUP(B257,'Share, Heavy Weapons to Ukraine'!B:J,COLUMN('Share, Heavy Weapons to Ukraine'!C264)-1,0),0)</f>
        <v>0</v>
      </c>
      <c r="AX257" s="180">
        <f>VLOOKUP('Bilateral Assistance, MAIN DATA'!B257,'Country Summary'!B:F,COLUMN('Country Summary'!C267)-1,FALSE)</f>
        <v>1</v>
      </c>
      <c r="AY257" s="180" t="str">
        <f>IF(AND(AD257=1,D257="Military",H257&lt;&gt;"Not given")=TRUE,IF(SUMIFS(P:P,A:A,A257)&gt;0,ABS((SUMIFS(P:P,A:A,A257)/VLOOKUP("USD",'Exchange Rates'!B:C,2,0)))/S257,"."),".")</f>
        <v>.</v>
      </c>
      <c r="AZ257" s="182" t="str">
        <f>IF(AND(AD257=1,D257="Military",H257&lt;&gt;"Not given")=TRUE,IF(SUMIFS(P:P,A:A,A257)&gt;0,IF((ABS((SUMIFS(P:P,A:A,A257)/VLOOKUP("USD",'Exchange Rates'!B:C,2,0)))/S257)&gt;1,(SUMIFS(P:P,A:A,A257)-S257)/S257,(S257-SUMIFS(P:P,A:A,A257))/SUMIFS(P:P,A:A,A257)),"."),".")</f>
        <v>.</v>
      </c>
      <c r="BA257" s="182"/>
      <c r="BB257" s="182"/>
      <c r="BC257" s="182"/>
      <c r="BD257" s="182"/>
      <c r="BE257" s="182"/>
      <c r="BF257" s="182"/>
      <c r="BG257" s="182"/>
      <c r="BH257" s="182"/>
      <c r="BI257" s="182"/>
      <c r="BJ257" s="182"/>
      <c r="BK257" s="182"/>
      <c r="BL257" s="182"/>
      <c r="BM257" s="182"/>
      <c r="BN257" s="182"/>
      <c r="BO257" s="182"/>
      <c r="BP257" s="182"/>
      <c r="BQ257" s="182"/>
      <c r="BR257" s="182"/>
      <c r="BS257" s="182"/>
    </row>
    <row r="258" spans="1:71" ht="15.9" customHeight="1" x14ac:dyDescent="0.3">
      <c r="A258" s="17" t="s">
        <v>978</v>
      </c>
      <c r="B258" s="17" t="s">
        <v>937</v>
      </c>
      <c r="C258" s="174">
        <v>44791</v>
      </c>
      <c r="D258" s="5" t="s">
        <v>285</v>
      </c>
      <c r="E258" s="5" t="s">
        <v>286</v>
      </c>
      <c r="F258" s="175" t="s">
        <v>979</v>
      </c>
      <c r="G258" s="15" t="s">
        <v>364</v>
      </c>
      <c r="H258" s="176">
        <v>10000000</v>
      </c>
      <c r="I258" s="19" t="s">
        <v>983</v>
      </c>
      <c r="J258" s="113" t="str">
        <f>VLOOKUP($I258,'Price List, Weapons &amp; Items'!B:C,2,0)</f>
        <v>Portable defence system</v>
      </c>
      <c r="K258" s="113" t="str">
        <f>IF(I258=".",I258,VLOOKUP($I258,'Price List, Weapons &amp; Items'!B:D,3,0))</f>
        <v>Light Anti-armor Weapon (LAW)</v>
      </c>
      <c r="L258" s="177">
        <f>VLOOKUP(I258,'Price List, Weapons &amp; Items'!B:E,4,0)</f>
        <v>0</v>
      </c>
      <c r="M258" s="542" t="s">
        <v>270</v>
      </c>
      <c r="N258" s="542" t="s">
        <v>270</v>
      </c>
      <c r="O258" s="543">
        <f>VLOOKUP($I258,'Price List, Weapons &amp; Items'!B:G,6,0)</f>
        <v>40000</v>
      </c>
      <c r="P258" s="176" t="str">
        <f t="shared" si="44"/>
        <v>.</v>
      </c>
      <c r="Q258" s="176" t="str">
        <f t="shared" si="45"/>
        <v>.</v>
      </c>
      <c r="R258" s="176" t="str">
        <f t="shared" ref="R258:R321" si="54">IF(AD258=1,IF(H258&lt;&gt;"Not given",H258,IF(TYPE(H258)=2,IF(SUMIFS(P:P,A:A,A258)&gt;0,SUMIFS(P:P,A:A,A258),"."),"Format error")),"")</f>
        <v/>
      </c>
      <c r="S258" s="176" t="str">
        <f>IF(AND(AD258=1,R258&lt;&gt;".")=TRUE,R258/VLOOKUP(G258,'Exchange Rates'!B:C,2,0),IF(R258=".",".",""))</f>
        <v/>
      </c>
      <c r="T258" s="176" t="str">
        <f>IF(AD258=1,IF(AF258="Value is not given at all",".",IF(AF258="Value is given by the source",S258,IF(AF258="Value is calculated with prices",(IF(SUMIFS(Q:Q,A:A,A258)&gt;0,SUMIFS(Q:Q,A:A,A258),"."))/VLOOKUP("USD",'Exchange Rates'!B:C,2,0),"Error with coding"))),"")</f>
        <v/>
      </c>
      <c r="U258" s="15" t="s">
        <v>261</v>
      </c>
      <c r="V258" s="565" t="s">
        <v>974</v>
      </c>
      <c r="W258" s="303" t="s">
        <v>981</v>
      </c>
      <c r="X258" s="565" t="s">
        <v>982</v>
      </c>
      <c r="Y258" s="175" t="s">
        <v>260</v>
      </c>
      <c r="Z258" s="15">
        <v>0</v>
      </c>
      <c r="AA258" s="180">
        <v>0</v>
      </c>
      <c r="AB258" s="563" t="s">
        <v>966</v>
      </c>
      <c r="AC258" s="544" t="str">
        <f>""</f>
        <v/>
      </c>
      <c r="AD258" s="181">
        <v>0</v>
      </c>
      <c r="AE258" s="181" t="s">
        <v>264</v>
      </c>
      <c r="AF258" s="181" t="s">
        <v>264</v>
      </c>
      <c r="AG258" s="181">
        <v>1</v>
      </c>
      <c r="AH258" s="181">
        <v>8</v>
      </c>
      <c r="AI258" s="181">
        <v>0</v>
      </c>
      <c r="AJ258" s="181">
        <f>VLOOKUP($I258,'Price List, Weapons &amp; Items'!B:F,5,0)</f>
        <v>0</v>
      </c>
      <c r="AK258" s="181">
        <f t="shared" si="46"/>
        <v>0</v>
      </c>
      <c r="AL258" s="181">
        <f t="shared" si="47"/>
        <v>0</v>
      </c>
      <c r="AM258" s="181">
        <f t="shared" si="48"/>
        <v>0</v>
      </c>
      <c r="AN258" s="180" t="str">
        <f>VLOOKUP($I258,'Price List, Weapons &amp; Items'!B:L,COLUMN('Price List, Weapons &amp; Items'!$J$11)-1,0)</f>
        <v>Media reports (incl. social media)</v>
      </c>
      <c r="AO258" s="180" t="str">
        <f>IF(I258=".",".",VLOOKUP($I258,'Price List, Weapons &amp; Items'!B:J,3,0))</f>
        <v>Light Anti-armor Weapon (LAW)</v>
      </c>
      <c r="AP258" s="545" t="str">
        <f t="shared" ca="1" si="42"/>
        <v/>
      </c>
      <c r="AQ258" s="180">
        <f>VLOOKUP($I258,'Price List, Weapons &amp; Items'!B:L,COLUMN('Price List, Weapons &amp; Items'!$L$11)-1,0)</f>
        <v>2</v>
      </c>
      <c r="AR258" s="180">
        <f t="shared" si="49"/>
        <v>1</v>
      </c>
      <c r="AS258" s="180">
        <f t="shared" si="50"/>
        <v>1</v>
      </c>
      <c r="AT258" s="180">
        <f t="shared" si="43"/>
        <v>1</v>
      </c>
      <c r="AU258" s="180" t="str">
        <f t="shared" si="51"/>
        <v>.</v>
      </c>
      <c r="AV258" s="180" t="str">
        <f t="shared" si="52"/>
        <v>.</v>
      </c>
      <c r="AW258" s="180">
        <f>IFERROR(VLOOKUP(B258,'Share, Heavy Weapons to Ukraine'!B:J,COLUMN('Share, Heavy Weapons to Ukraine'!C265)-1,0),0)</f>
        <v>0</v>
      </c>
      <c r="AX258" s="180">
        <f>VLOOKUP('Bilateral Assistance, MAIN DATA'!B258,'Country Summary'!B:F,COLUMN('Country Summary'!C268)-1,FALSE)</f>
        <v>1</v>
      </c>
      <c r="AY258" s="180" t="str">
        <f>IF(AND(AD258=1,D258="Military",H258&lt;&gt;"Not given")=TRUE,IF(SUMIFS(P:P,A:A,A258)&gt;0,ABS((SUMIFS(P:P,A:A,A258)/VLOOKUP("USD",'Exchange Rates'!B:C,2,0)))/S258,"."),".")</f>
        <v>.</v>
      </c>
      <c r="AZ258" s="182" t="str">
        <f>IF(AND(AD258=1,D258="Military",H258&lt;&gt;"Not given")=TRUE,IF(SUMIFS(P:P,A:A,A258)&gt;0,IF((ABS((SUMIFS(P:P,A:A,A258)/VLOOKUP("USD",'Exchange Rates'!B:C,2,0)))/S258)&gt;1,(SUMIFS(P:P,A:A,A258)-S258)/S258,(S258-SUMIFS(P:P,A:A,A258))/SUMIFS(P:P,A:A,A258)),"."),".")</f>
        <v>.</v>
      </c>
      <c r="BA258" s="182"/>
      <c r="BB258" s="182"/>
      <c r="BC258" s="182"/>
      <c r="BD258" s="182"/>
      <c r="BE258" s="182"/>
      <c r="BF258" s="182"/>
      <c r="BG258" s="182"/>
      <c r="BH258" s="182"/>
      <c r="BI258" s="182"/>
      <c r="BJ258" s="182"/>
      <c r="BK258" s="182"/>
      <c r="BL258" s="182"/>
      <c r="BM258" s="182"/>
      <c r="BN258" s="182"/>
      <c r="BO258" s="182"/>
      <c r="BP258" s="182"/>
      <c r="BQ258" s="182"/>
      <c r="BR258" s="182"/>
      <c r="BS258" s="182"/>
    </row>
    <row r="259" spans="1:71" ht="15.9" customHeight="1" x14ac:dyDescent="0.3">
      <c r="A259" s="17" t="s">
        <v>984</v>
      </c>
      <c r="B259" s="17" t="s">
        <v>937</v>
      </c>
      <c r="C259" s="174">
        <v>44841</v>
      </c>
      <c r="D259" s="5" t="s">
        <v>285</v>
      </c>
      <c r="E259" s="5" t="s">
        <v>286</v>
      </c>
      <c r="F259" s="175" t="s">
        <v>985</v>
      </c>
      <c r="G259" s="15" t="s">
        <v>364</v>
      </c>
      <c r="H259" s="176">
        <v>31880000</v>
      </c>
      <c r="I259" s="19" t="s">
        <v>986</v>
      </c>
      <c r="J259" s="113" t="str">
        <f>VLOOKUP($I259,'Price List, Weapons &amp; Items'!B:C,2,0)</f>
        <v>Ammunition for heavy weapon</v>
      </c>
      <c r="K259" s="113" t="str">
        <f>IF(I259=".",I259,VLOOKUP($I259,'Price List, Weapons &amp; Items'!B:D,3,0))</f>
        <v>howitzer ammunition</v>
      </c>
      <c r="L259" s="177">
        <f>VLOOKUP(I259,'Price List, Weapons &amp; Items'!B:E,4,0)</f>
        <v>0</v>
      </c>
      <c r="M259" s="542" t="s">
        <v>270</v>
      </c>
      <c r="N259" s="542" t="s">
        <v>270</v>
      </c>
      <c r="O259" s="543">
        <f>VLOOKUP($I259,'Price List, Weapons &amp; Items'!B:G,6,0)</f>
        <v>2000</v>
      </c>
      <c r="P259" s="176" t="str">
        <f t="shared" si="44"/>
        <v>.</v>
      </c>
      <c r="Q259" s="176" t="str">
        <f t="shared" si="45"/>
        <v>.</v>
      </c>
      <c r="R259" s="176">
        <f t="shared" si="54"/>
        <v>31880000</v>
      </c>
      <c r="S259" s="176">
        <f>IF(AND(AD259=1,R259&lt;&gt;".")=TRUE,R259/VLOOKUP(G259,'Exchange Rates'!B:C,2,0),IF(R259=".",".",""))</f>
        <v>31880000</v>
      </c>
      <c r="T259" s="176">
        <f>IF(AD259=1,IF(AF259="Value is not given at all",".",IF(AF259="Value is given by the source",S259,IF(AF259="Value is calculated with prices",(IF(SUMIFS(Q:Q,A:A,A259)&gt;0,SUMIFS(Q:Q,A:A,A259),"."))/VLOOKUP("USD",'Exchange Rates'!B:C,2,0),"Error with coding"))),"")</f>
        <v>31880000</v>
      </c>
      <c r="U259" s="15" t="s">
        <v>261</v>
      </c>
      <c r="V259" s="565" t="s">
        <v>982</v>
      </c>
      <c r="W259" s="560" t="s">
        <v>966</v>
      </c>
      <c r="X259" s="560" t="s">
        <v>987</v>
      </c>
      <c r="Y259" s="560" t="s">
        <v>988</v>
      </c>
      <c r="Z259" s="15">
        <v>0</v>
      </c>
      <c r="AA259" s="180">
        <v>0</v>
      </c>
      <c r="AB259" s="563" t="s">
        <v>966</v>
      </c>
      <c r="AC259" s="544" t="str">
        <f>""</f>
        <v/>
      </c>
      <c r="AD259" s="181">
        <v>1</v>
      </c>
      <c r="AE259" s="181" t="s">
        <v>264</v>
      </c>
      <c r="AF259" s="181" t="s">
        <v>264</v>
      </c>
      <c r="AG259" s="181">
        <v>1</v>
      </c>
      <c r="AH259" s="181">
        <v>10</v>
      </c>
      <c r="AI259" s="181">
        <v>0</v>
      </c>
      <c r="AJ259" s="181">
        <f>VLOOKUP($I259,'Price List, Weapons &amp; Items'!B:F,5,0)</f>
        <v>0</v>
      </c>
      <c r="AK259" s="181">
        <f t="shared" si="46"/>
        <v>0</v>
      </c>
      <c r="AL259" s="181">
        <f t="shared" si="47"/>
        <v>0</v>
      </c>
      <c r="AM259" s="181">
        <f t="shared" si="48"/>
        <v>1</v>
      </c>
      <c r="AN259" s="180" t="str">
        <f>VLOOKUP($I259,'Price List, Weapons &amp; Items'!B:L,COLUMN('Price List, Weapons &amp; Items'!$J$11)-1,0)</f>
        <v>Media reports (incl. social media)</v>
      </c>
      <c r="AO259" s="180" t="str">
        <f>IF(I259=".",".",VLOOKUP($I259,'Price List, Weapons &amp; Items'!B:J,3,0))</f>
        <v>howitzer ammunition</v>
      </c>
      <c r="AP259" s="545" t="e">
        <f t="shared" ref="AP259:AP322" ca="1" si="55">IF(AD259=1,_xlfn.ARRAYTOTEXT(OFFSET(I259,0,0,COUNTIF(A:A,A259),1)),"")</f>
        <v>#NAME?</v>
      </c>
      <c r="AQ259" s="180">
        <f>VLOOKUP($I259,'Price List, Weapons &amp; Items'!B:L,COLUMN('Price List, Weapons &amp; Items'!$L$11)-1,0)</f>
        <v>2</v>
      </c>
      <c r="AR259" s="180">
        <f t="shared" si="49"/>
        <v>1</v>
      </c>
      <c r="AS259" s="180">
        <f t="shared" si="50"/>
        <v>1</v>
      </c>
      <c r="AT259" s="180">
        <f t="shared" ref="AT259:AT322" si="56">IFERROR(IF(VALUE(TEXT(C259,"mm"))=AH259,".",IF(TEXT(C259,"mm")="01",".",1)),"Value is not in date format")</f>
        <v>1</v>
      </c>
      <c r="AU259" s="180" t="str">
        <f t="shared" si="51"/>
        <v>.</v>
      </c>
      <c r="AV259" s="180" t="str">
        <f t="shared" si="52"/>
        <v>.</v>
      </c>
      <c r="AW259" s="180">
        <f>IFERROR(VLOOKUP(B259,'Share, Heavy Weapons to Ukraine'!B:J,COLUMN('Share, Heavy Weapons to Ukraine'!C266)-1,0),0)</f>
        <v>0</v>
      </c>
      <c r="AX259" s="180">
        <f>VLOOKUP('Bilateral Assistance, MAIN DATA'!B259,'Country Summary'!B:F,COLUMN('Country Summary'!C269)-1,FALSE)</f>
        <v>1</v>
      </c>
      <c r="AY259" s="180" t="str">
        <f>IF(AND(AD259=1,D259="Military",H259&lt;&gt;"Not given")=TRUE,IF(SUMIFS(P:P,A:A,A259)&gt;0,ABS((SUMIFS(P:P,A:A,A259)/VLOOKUP("USD",'Exchange Rates'!B:C,2,0)))/S259,"."),".")</f>
        <v>.</v>
      </c>
      <c r="AZ259" s="182" t="str">
        <f>IF(AND(AD259=1,D259="Military",H259&lt;&gt;"Not given")=TRUE,IF(SUMIFS(P:P,A:A,A259)&gt;0,IF((ABS((SUMIFS(P:P,A:A,A259)/VLOOKUP("USD",'Exchange Rates'!B:C,2,0)))/S259)&gt;1,(SUMIFS(P:P,A:A,A259)-S259)/S259,(S259-SUMIFS(P:P,A:A,A259))/SUMIFS(P:P,A:A,A259)),"."),".")</f>
        <v>.</v>
      </c>
      <c r="BA259" s="182"/>
      <c r="BB259" s="182"/>
      <c r="BC259" s="182"/>
      <c r="BD259" s="182"/>
      <c r="BE259" s="182"/>
      <c r="BF259" s="182"/>
      <c r="BG259" s="182"/>
      <c r="BH259" s="182"/>
      <c r="BI259" s="182"/>
      <c r="BJ259" s="182"/>
      <c r="BK259" s="182"/>
      <c r="BL259" s="182"/>
      <c r="BM259" s="182"/>
      <c r="BN259" s="182"/>
      <c r="BO259" s="182"/>
      <c r="BP259" s="182"/>
      <c r="BQ259" s="182"/>
      <c r="BR259" s="182"/>
      <c r="BS259" s="182"/>
    </row>
    <row r="260" spans="1:71" ht="15.9" customHeight="1" x14ac:dyDescent="0.3">
      <c r="A260" s="17" t="s">
        <v>984</v>
      </c>
      <c r="B260" s="17" t="s">
        <v>937</v>
      </c>
      <c r="C260" s="174">
        <v>44841</v>
      </c>
      <c r="D260" s="5" t="s">
        <v>285</v>
      </c>
      <c r="E260" s="5" t="s">
        <v>286</v>
      </c>
      <c r="F260" s="175" t="s">
        <v>985</v>
      </c>
      <c r="G260" s="15" t="s">
        <v>364</v>
      </c>
      <c r="H260" s="176">
        <v>31880000</v>
      </c>
      <c r="I260" s="158" t="s">
        <v>989</v>
      </c>
      <c r="J260" s="113" t="str">
        <f>VLOOKUP($I260,'Price List, Weapons &amp; Items'!B:C,2,0)</f>
        <v>Portable defence system</v>
      </c>
      <c r="K260" s="113" t="str">
        <f>IF(I260=".",I260,VLOOKUP($I260,'Price List, Weapons &amp; Items'!B:D,3,0))</f>
        <v>Light Anti-armor Weapon (LAW)</v>
      </c>
      <c r="L260" s="177">
        <f>VLOOKUP(I260,'Price List, Weapons &amp; Items'!B:E,4,0)</f>
        <v>0</v>
      </c>
      <c r="M260" s="542" t="s">
        <v>270</v>
      </c>
      <c r="N260" s="542" t="s">
        <v>270</v>
      </c>
      <c r="O260" s="543">
        <f>VLOOKUP($I260,'Price List, Weapons &amp; Items'!B:G,6,0)</f>
        <v>78000</v>
      </c>
      <c r="P260" s="176" t="str">
        <f t="shared" ref="P260:P323" si="57">IF(TYPE(M260)=1,IF(TYPE(O260)=1,M260*O260,"No price"),".")</f>
        <v>.</v>
      </c>
      <c r="Q260" s="176" t="str">
        <f t="shared" ref="Q260:Q323" si="58">IF(TYPE(N260)=1,IF(TYPE(O260)=1,N260*O260,"No price"),".")</f>
        <v>.</v>
      </c>
      <c r="R260" s="176" t="str">
        <f t="shared" si="54"/>
        <v/>
      </c>
      <c r="S260" s="176" t="str">
        <f>IF(AND(AD260=1,R260&lt;&gt;".")=TRUE,R260/VLOOKUP(G260,'Exchange Rates'!B:C,2,0),IF(R260=".",".",""))</f>
        <v/>
      </c>
      <c r="T260" s="176" t="str">
        <f>IF(AD260=1,IF(AF260="Value is not given at all",".",IF(AF260="Value is given by the source",S260,IF(AF260="Value is calculated with prices",(IF(SUMIFS(Q:Q,A:A,A260)&gt;0,SUMIFS(Q:Q,A:A,A260),"."))/VLOOKUP("USD",'Exchange Rates'!B:C,2,0),"Error with coding"))),"")</f>
        <v/>
      </c>
      <c r="U260" s="15" t="s">
        <v>261</v>
      </c>
      <c r="V260" s="565" t="s">
        <v>982</v>
      </c>
      <c r="W260" s="560" t="s">
        <v>966</v>
      </c>
      <c r="X260" s="560" t="s">
        <v>987</v>
      </c>
      <c r="Y260" s="560" t="s">
        <v>988</v>
      </c>
      <c r="Z260" s="15">
        <v>0</v>
      </c>
      <c r="AA260" s="180">
        <v>0</v>
      </c>
      <c r="AB260" s="563" t="s">
        <v>966</v>
      </c>
      <c r="AC260" s="544" t="str">
        <f>""</f>
        <v/>
      </c>
      <c r="AD260" s="181">
        <v>0</v>
      </c>
      <c r="AE260" s="181" t="s">
        <v>264</v>
      </c>
      <c r="AF260" s="181" t="s">
        <v>264</v>
      </c>
      <c r="AG260" s="181">
        <v>1</v>
      </c>
      <c r="AH260" s="181">
        <v>10</v>
      </c>
      <c r="AI260" s="181">
        <v>0</v>
      </c>
      <c r="AJ260" s="181">
        <f>VLOOKUP($I260,'Price List, Weapons &amp; Items'!B:F,5,0)</f>
        <v>0</v>
      </c>
      <c r="AK260" s="181">
        <f t="shared" ref="AK260:AK323" si="59">IF(AND(AJ260=1,M260="undisclosed")=TRUE,1,0)</f>
        <v>0</v>
      </c>
      <c r="AL260" s="181">
        <f t="shared" ref="AL260:AL323" si="60">IF(AND(AJ260=1,N260="undisclosed")=TRUE,1,0)</f>
        <v>0</v>
      </c>
      <c r="AM260" s="181">
        <f t="shared" ref="AM260:AM323" si="61">IFERROR(IF(SEARCH("ammuni",I260,1)&gt;0,1,0),0)</f>
        <v>0</v>
      </c>
      <c r="AN260" s="180" t="str">
        <f>VLOOKUP($I260,'Price List, Weapons &amp; Items'!B:L,COLUMN('Price List, Weapons &amp; Items'!$J$11)-1,0)</f>
        <v>Military media (incl. websites)</v>
      </c>
      <c r="AO260" s="180" t="str">
        <f>IF(I260=".",".",VLOOKUP($I260,'Price List, Weapons &amp; Items'!B:J,3,0))</f>
        <v>Light Anti-armor Weapon (LAW)</v>
      </c>
      <c r="AP260" s="545" t="str">
        <f t="shared" ca="1" si="55"/>
        <v/>
      </c>
      <c r="AQ260" s="180">
        <f>VLOOKUP($I260,'Price List, Weapons &amp; Items'!B:L,COLUMN('Price List, Weapons &amp; Items'!$L$11)-1,0)</f>
        <v>2</v>
      </c>
      <c r="AR260" s="180">
        <f t="shared" ref="AR260:AR323" si="62">IF(U260="Yes",1,0)</f>
        <v>1</v>
      </c>
      <c r="AS260" s="180">
        <f t="shared" ref="AS260:AS323" si="63">IF(D260="Military",IF(OR(IFERROR(SEARCH("equipment",E260,1),0)&gt;0,IFERROR(SEARCH("weapons",E260,1),0)&gt;0),1,0),0)</f>
        <v>1</v>
      </c>
      <c r="AT260" s="180">
        <f t="shared" si="56"/>
        <v>1</v>
      </c>
      <c r="AU260" s="180" t="str">
        <f t="shared" ref="AU260:AU323" si="64">IF(AND(A260=A259,C260=C259)=TRUE,IF(F260=F259,".","1"),".")</f>
        <v>.</v>
      </c>
      <c r="AV260" s="180" t="str">
        <f t="shared" ref="AV260:AV323" si="65">IF(T260&lt;&gt;".",IF(T260&gt;S260,1,"."),".")</f>
        <v>.</v>
      </c>
      <c r="AW260" s="180">
        <f>IFERROR(VLOOKUP(B260,'Share, Heavy Weapons to Ukraine'!B:J,COLUMN('Share, Heavy Weapons to Ukraine'!C267)-1,0),0)</f>
        <v>0</v>
      </c>
      <c r="AX260" s="180">
        <f>VLOOKUP('Bilateral Assistance, MAIN DATA'!B260,'Country Summary'!B:F,COLUMN('Country Summary'!C270)-1,FALSE)</f>
        <v>1</v>
      </c>
      <c r="AY260" s="180" t="str">
        <f>IF(AND(AD260=1,D260="Military",H260&lt;&gt;"Not given")=TRUE,IF(SUMIFS(P:P,A:A,A260)&gt;0,ABS((SUMIFS(P:P,A:A,A260)/VLOOKUP("USD",'Exchange Rates'!B:C,2,0)))/S260,"."),".")</f>
        <v>.</v>
      </c>
      <c r="AZ260" s="182" t="str">
        <f>IF(AND(AD260=1,D260="Military",H260&lt;&gt;"Not given")=TRUE,IF(SUMIFS(P:P,A:A,A260)&gt;0,IF((ABS((SUMIFS(P:P,A:A,A260)/VLOOKUP("USD",'Exchange Rates'!B:C,2,0)))/S260)&gt;1,(SUMIFS(P:P,A:A,A260)-S260)/S260,(S260-SUMIFS(P:P,A:A,A260))/SUMIFS(P:P,A:A,A260)),"."),".")</f>
        <v>.</v>
      </c>
      <c r="BA260" s="182"/>
      <c r="BB260" s="182"/>
      <c r="BC260" s="182"/>
      <c r="BD260" s="182"/>
      <c r="BE260" s="182"/>
      <c r="BF260" s="182"/>
      <c r="BG260" s="182"/>
      <c r="BH260" s="182"/>
      <c r="BI260" s="182"/>
      <c r="BJ260" s="182"/>
      <c r="BK260" s="182"/>
      <c r="BL260" s="182"/>
      <c r="BM260" s="182"/>
      <c r="BN260" s="182"/>
      <c r="BO260" s="182"/>
      <c r="BP260" s="182"/>
      <c r="BQ260" s="182"/>
      <c r="BR260" s="182"/>
      <c r="BS260" s="182"/>
    </row>
    <row r="261" spans="1:71" ht="15.9" customHeight="1" x14ac:dyDescent="0.3">
      <c r="A261" s="17" t="s">
        <v>984</v>
      </c>
      <c r="B261" s="17" t="s">
        <v>937</v>
      </c>
      <c r="C261" s="174">
        <v>44841</v>
      </c>
      <c r="D261" s="5" t="s">
        <v>285</v>
      </c>
      <c r="E261" s="5" t="s">
        <v>286</v>
      </c>
      <c r="F261" s="175" t="s">
        <v>985</v>
      </c>
      <c r="G261" s="15" t="s">
        <v>364</v>
      </c>
      <c r="H261" s="176">
        <v>31880000</v>
      </c>
      <c r="I261" s="19" t="s">
        <v>453</v>
      </c>
      <c r="J261" s="113" t="str">
        <f>VLOOKUP($I261,'Price List, Weapons &amp; Items'!B:C,2,0)</f>
        <v>Military equipment</v>
      </c>
      <c r="K261" s="113" t="str">
        <f>IF(I261=".",I261,VLOOKUP($I261,'Price List, Weapons &amp; Items'!B:D,3,0))</f>
        <v>Military equipment</v>
      </c>
      <c r="L261" s="177">
        <f>VLOOKUP(I261,'Price List, Weapons &amp; Items'!B:E,4,0)</f>
        <v>0</v>
      </c>
      <c r="M261" s="542" t="s">
        <v>270</v>
      </c>
      <c r="N261" s="542" t="s">
        <v>270</v>
      </c>
      <c r="O261" s="543">
        <f>VLOOKUP($I261,'Price List, Weapons &amp; Items'!B:G,6,0)</f>
        <v>59.234999999999999</v>
      </c>
      <c r="P261" s="176" t="str">
        <f t="shared" si="57"/>
        <v>.</v>
      </c>
      <c r="Q261" s="176" t="str">
        <f t="shared" si="58"/>
        <v>.</v>
      </c>
      <c r="R261" s="176" t="str">
        <f t="shared" si="54"/>
        <v/>
      </c>
      <c r="S261" s="176" t="str">
        <f>IF(AND(AD261=1,R261&lt;&gt;".")=TRUE,R261/VLOOKUP(G261,'Exchange Rates'!B:C,2,0),IF(R261=".",".",""))</f>
        <v/>
      </c>
      <c r="T261" s="176" t="str">
        <f>IF(AD261=1,IF(AF261="Value is not given at all",".",IF(AF261="Value is given by the source",S261,IF(AF261="Value is calculated with prices",(IF(SUMIFS(Q:Q,A:A,A261)&gt;0,SUMIFS(Q:Q,A:A,A261),"."))/VLOOKUP("USD",'Exchange Rates'!B:C,2,0),"Error with coding"))),"")</f>
        <v/>
      </c>
      <c r="U261" s="15" t="s">
        <v>261</v>
      </c>
      <c r="V261" s="565" t="s">
        <v>982</v>
      </c>
      <c r="W261" s="560" t="s">
        <v>966</v>
      </c>
      <c r="X261" s="560" t="s">
        <v>987</v>
      </c>
      <c r="Y261" s="560" t="s">
        <v>988</v>
      </c>
      <c r="Z261" s="15">
        <v>0</v>
      </c>
      <c r="AA261" s="180">
        <v>0</v>
      </c>
      <c r="AB261" s="563" t="s">
        <v>966</v>
      </c>
      <c r="AC261" s="544" t="str">
        <f>""</f>
        <v/>
      </c>
      <c r="AD261" s="181">
        <v>0</v>
      </c>
      <c r="AE261" s="181" t="s">
        <v>264</v>
      </c>
      <c r="AF261" s="181" t="s">
        <v>264</v>
      </c>
      <c r="AG261" s="181">
        <v>1</v>
      </c>
      <c r="AH261" s="181">
        <v>10</v>
      </c>
      <c r="AI261" s="181">
        <v>0</v>
      </c>
      <c r="AJ261" s="181">
        <f>VLOOKUP($I261,'Price List, Weapons &amp; Items'!B:F,5,0)</f>
        <v>0</v>
      </c>
      <c r="AK261" s="181">
        <f t="shared" si="59"/>
        <v>0</v>
      </c>
      <c r="AL261" s="181">
        <f t="shared" si="60"/>
        <v>0</v>
      </c>
      <c r="AM261" s="181">
        <f t="shared" si="61"/>
        <v>0</v>
      </c>
      <c r="AN261" s="180" t="str">
        <f>VLOOKUP($I261,'Price List, Weapons &amp; Items'!B:L,COLUMN('Price List, Weapons &amp; Items'!$J$11)-1,0)</f>
        <v>Government information</v>
      </c>
      <c r="AO261" s="180" t="str">
        <f>IF(I261=".",".",VLOOKUP($I261,'Price List, Weapons &amp; Items'!B:J,3,0))</f>
        <v>Military equipment</v>
      </c>
      <c r="AP261" s="545" t="str">
        <f t="shared" ca="1" si="55"/>
        <v/>
      </c>
      <c r="AQ261" s="180">
        <f>VLOOKUP($I261,'Price List, Weapons &amp; Items'!B:L,COLUMN('Price List, Weapons &amp; Items'!$L$11)-1,0)</f>
        <v>2</v>
      </c>
      <c r="AR261" s="180">
        <f t="shared" si="62"/>
        <v>1</v>
      </c>
      <c r="AS261" s="180">
        <f t="shared" si="63"/>
        <v>1</v>
      </c>
      <c r="AT261" s="180">
        <f t="shared" si="56"/>
        <v>1</v>
      </c>
      <c r="AU261" s="180" t="str">
        <f t="shared" si="64"/>
        <v>.</v>
      </c>
      <c r="AV261" s="180" t="str">
        <f t="shared" si="65"/>
        <v>.</v>
      </c>
      <c r="AW261" s="180">
        <f>IFERROR(VLOOKUP(B261,'Share, Heavy Weapons to Ukraine'!B:J,COLUMN('Share, Heavy Weapons to Ukraine'!C268)-1,0),0)</f>
        <v>0</v>
      </c>
      <c r="AX261" s="180">
        <f>VLOOKUP('Bilateral Assistance, MAIN DATA'!B261,'Country Summary'!B:F,COLUMN('Country Summary'!C271)-1,FALSE)</f>
        <v>1</v>
      </c>
      <c r="AY261" s="180" t="str">
        <f>IF(AND(AD261=1,D261="Military",H261&lt;&gt;"Not given")=TRUE,IF(SUMIFS(P:P,A:A,A261)&gt;0,ABS((SUMIFS(P:P,A:A,A261)/VLOOKUP("USD",'Exchange Rates'!B:C,2,0)))/S261,"."),".")</f>
        <v>.</v>
      </c>
      <c r="AZ261" s="182" t="str">
        <f>IF(AND(AD261=1,D261="Military",H261&lt;&gt;"Not given")=TRUE,IF(SUMIFS(P:P,A:A,A261)&gt;0,IF((ABS((SUMIFS(P:P,A:A,A261)/VLOOKUP("USD",'Exchange Rates'!B:C,2,0)))/S261)&gt;1,(SUMIFS(P:P,A:A,A261)-S261)/S261,(S261-SUMIFS(P:P,A:A,A261))/SUMIFS(P:P,A:A,A261)),"."),".")</f>
        <v>.</v>
      </c>
      <c r="BA261" s="182"/>
      <c r="BB261" s="182"/>
      <c r="BC261" s="182"/>
      <c r="BD261" s="182"/>
      <c r="BE261" s="182"/>
      <c r="BF261" s="182"/>
      <c r="BG261" s="182"/>
      <c r="BH261" s="182"/>
      <c r="BI261" s="182"/>
      <c r="BJ261" s="182"/>
      <c r="BK261" s="182"/>
      <c r="BL261" s="182"/>
      <c r="BM261" s="182"/>
      <c r="BN261" s="182"/>
      <c r="BO261" s="182"/>
      <c r="BP261" s="182"/>
      <c r="BQ261" s="182"/>
      <c r="BR261" s="182"/>
      <c r="BS261" s="182"/>
    </row>
    <row r="262" spans="1:71" ht="15.9" customHeight="1" x14ac:dyDescent="0.3">
      <c r="A262" s="17" t="s">
        <v>984</v>
      </c>
      <c r="B262" s="17" t="s">
        <v>937</v>
      </c>
      <c r="C262" s="174">
        <v>44841</v>
      </c>
      <c r="D262" s="5" t="s">
        <v>285</v>
      </c>
      <c r="E262" s="5" t="s">
        <v>286</v>
      </c>
      <c r="F262" s="175" t="s">
        <v>985</v>
      </c>
      <c r="G262" s="15" t="s">
        <v>364</v>
      </c>
      <c r="H262" s="176">
        <v>31880000</v>
      </c>
      <c r="I262" s="19" t="s">
        <v>990</v>
      </c>
      <c r="J262" s="113" t="str">
        <f>VLOOKUP($I262,'Price List, Weapons &amp; Items'!B:C,2,0)</f>
        <v>Military equipment</v>
      </c>
      <c r="K262" s="113" t="str">
        <f>IF(I262=".",I262,VLOOKUP($I262,'Price List, Weapons &amp; Items'!B:D,3,0))</f>
        <v>Military equipment</v>
      </c>
      <c r="L262" s="177">
        <f>VLOOKUP(I262,'Price List, Weapons &amp; Items'!B:E,4,0)</f>
        <v>0</v>
      </c>
      <c r="M262" s="542" t="s">
        <v>270</v>
      </c>
      <c r="N262" s="542" t="s">
        <v>270</v>
      </c>
      <c r="O262" s="543">
        <f>VLOOKUP($I262,'Price List, Weapons &amp; Items'!B:G,6,0)</f>
        <v>500</v>
      </c>
      <c r="P262" s="176" t="str">
        <f t="shared" si="57"/>
        <v>.</v>
      </c>
      <c r="Q262" s="176" t="str">
        <f t="shared" si="58"/>
        <v>.</v>
      </c>
      <c r="R262" s="176" t="str">
        <f t="shared" si="54"/>
        <v/>
      </c>
      <c r="S262" s="176" t="str">
        <f>IF(AND(AD262=1,R262&lt;&gt;".")=TRUE,R262/VLOOKUP(G262,'Exchange Rates'!B:C,2,0),IF(R262=".",".",""))</f>
        <v/>
      </c>
      <c r="T262" s="176" t="str">
        <f>IF(AD262=1,IF(AF262="Value is not given at all",".",IF(AF262="Value is given by the source",S262,IF(AF262="Value is calculated with prices",(IF(SUMIFS(Q:Q,A:A,A262)&gt;0,SUMIFS(Q:Q,A:A,A262),"."))/VLOOKUP("USD",'Exchange Rates'!B:C,2,0),"Error with coding"))),"")</f>
        <v/>
      </c>
      <c r="U262" s="15" t="s">
        <v>261</v>
      </c>
      <c r="V262" s="565" t="s">
        <v>982</v>
      </c>
      <c r="W262" s="560" t="s">
        <v>966</v>
      </c>
      <c r="X262" s="560" t="s">
        <v>987</v>
      </c>
      <c r="Y262" s="560" t="s">
        <v>988</v>
      </c>
      <c r="Z262" s="15">
        <v>0</v>
      </c>
      <c r="AA262" s="180">
        <v>0</v>
      </c>
      <c r="AB262" s="563" t="s">
        <v>966</v>
      </c>
      <c r="AC262" s="544" t="str">
        <f>""</f>
        <v/>
      </c>
      <c r="AD262" s="181">
        <v>0</v>
      </c>
      <c r="AE262" s="181" t="s">
        <v>264</v>
      </c>
      <c r="AF262" s="181" t="s">
        <v>264</v>
      </c>
      <c r="AG262" s="181">
        <v>1</v>
      </c>
      <c r="AH262" s="181">
        <v>10</v>
      </c>
      <c r="AI262" s="181">
        <v>0</v>
      </c>
      <c r="AJ262" s="181">
        <f>VLOOKUP($I262,'Price List, Weapons &amp; Items'!B:F,5,0)</f>
        <v>0</v>
      </c>
      <c r="AK262" s="181">
        <f t="shared" si="59"/>
        <v>0</v>
      </c>
      <c r="AL262" s="181">
        <f t="shared" si="60"/>
        <v>0</v>
      </c>
      <c r="AM262" s="181">
        <f t="shared" si="61"/>
        <v>0</v>
      </c>
      <c r="AN262" s="180" t="str">
        <f>VLOOKUP($I262,'Price List, Weapons &amp; Items'!B:L,COLUMN('Price List, Weapons &amp; Items'!$J$11)-1,0)</f>
        <v>Military media (incl. websites)</v>
      </c>
      <c r="AO262" s="180" t="str">
        <f>IF(I262=".",".",VLOOKUP($I262,'Price List, Weapons &amp; Items'!B:J,3,0))</f>
        <v>Military equipment</v>
      </c>
      <c r="AP262" s="545" t="str">
        <f t="shared" ca="1" si="55"/>
        <v/>
      </c>
      <c r="AQ262" s="180">
        <f>VLOOKUP($I262,'Price List, Weapons &amp; Items'!B:L,COLUMN('Price List, Weapons &amp; Items'!$L$11)-1,0)</f>
        <v>2</v>
      </c>
      <c r="AR262" s="180">
        <f t="shared" si="62"/>
        <v>1</v>
      </c>
      <c r="AS262" s="180">
        <f t="shared" si="63"/>
        <v>1</v>
      </c>
      <c r="AT262" s="180">
        <f t="shared" si="56"/>
        <v>1</v>
      </c>
      <c r="AU262" s="180" t="str">
        <f t="shared" si="64"/>
        <v>.</v>
      </c>
      <c r="AV262" s="180" t="str">
        <f t="shared" si="65"/>
        <v>.</v>
      </c>
      <c r="AW262" s="180">
        <f>IFERROR(VLOOKUP(B262,'Share, Heavy Weapons to Ukraine'!B:J,COLUMN('Share, Heavy Weapons to Ukraine'!C269)-1,0),0)</f>
        <v>0</v>
      </c>
      <c r="AX262" s="180">
        <f>VLOOKUP('Bilateral Assistance, MAIN DATA'!B262,'Country Summary'!B:F,COLUMN('Country Summary'!C272)-1,FALSE)</f>
        <v>1</v>
      </c>
      <c r="AY262" s="180" t="str">
        <f>IF(AND(AD262=1,D262="Military",H262&lt;&gt;"Not given")=TRUE,IF(SUMIFS(P:P,A:A,A262)&gt;0,ABS((SUMIFS(P:P,A:A,A262)/VLOOKUP("USD",'Exchange Rates'!B:C,2,0)))/S262,"."),".")</f>
        <v>.</v>
      </c>
      <c r="AZ262" s="182" t="str">
        <f>IF(AND(AD262=1,D262="Military",H262&lt;&gt;"Not given")=TRUE,IF(SUMIFS(P:P,A:A,A262)&gt;0,IF((ABS((SUMIFS(P:P,A:A,A262)/VLOOKUP("USD",'Exchange Rates'!B:C,2,0)))/S262)&gt;1,(SUMIFS(P:P,A:A,A262)-S262)/S262,(S262-SUMIFS(P:P,A:A,A262))/SUMIFS(P:P,A:A,A262)),"."),".")</f>
        <v>.</v>
      </c>
      <c r="BA262" s="182"/>
      <c r="BB262" s="182"/>
      <c r="BC262" s="182"/>
      <c r="BD262" s="182"/>
      <c r="BE262" s="182"/>
      <c r="BF262" s="182"/>
      <c r="BG262" s="182"/>
      <c r="BH262" s="182"/>
      <c r="BI262" s="182"/>
      <c r="BJ262" s="182"/>
      <c r="BK262" s="182"/>
      <c r="BL262" s="182"/>
      <c r="BM262" s="182"/>
      <c r="BN262" s="182"/>
      <c r="BO262" s="182"/>
      <c r="BP262" s="182"/>
      <c r="BQ262" s="182"/>
      <c r="BR262" s="182"/>
      <c r="BS262" s="182"/>
    </row>
    <row r="263" spans="1:71" ht="15.9" customHeight="1" x14ac:dyDescent="0.3">
      <c r="A263" s="17" t="s">
        <v>991</v>
      </c>
      <c r="B263" s="17" t="s">
        <v>937</v>
      </c>
      <c r="C263" s="174">
        <v>44896</v>
      </c>
      <c r="D263" s="5" t="s">
        <v>285</v>
      </c>
      <c r="E263" s="5" t="s">
        <v>294</v>
      </c>
      <c r="F263" s="175" t="s">
        <v>992</v>
      </c>
      <c r="G263" s="15" t="s">
        <v>364</v>
      </c>
      <c r="H263" s="176">
        <v>7800000</v>
      </c>
      <c r="I263" s="19" t="s">
        <v>969</v>
      </c>
      <c r="J263" s="113" t="str">
        <f>VLOOKUP($I263,'Price List, Weapons &amp; Items'!B:C,2,0)</f>
        <v>Military equipment</v>
      </c>
      <c r="K263" s="113" t="str">
        <f>IF(I263=".",I263,VLOOKUP($I263,'Price List, Weapons &amp; Items'!B:D,3,0))</f>
        <v>Military equipment</v>
      </c>
      <c r="L263" s="177">
        <f>VLOOKUP(I263,'Price List, Weapons &amp; Items'!B:E,4,0)</f>
        <v>0</v>
      </c>
      <c r="M263" s="542">
        <v>1</v>
      </c>
      <c r="N263" s="542">
        <v>1</v>
      </c>
      <c r="O263" s="543">
        <f>VLOOKUP($I263,'Price List, Weapons &amp; Items'!B:G,6,0)</f>
        <v>6060550</v>
      </c>
      <c r="P263" s="176">
        <f t="shared" si="57"/>
        <v>6060550</v>
      </c>
      <c r="Q263" s="176">
        <f t="shared" si="58"/>
        <v>6060550</v>
      </c>
      <c r="R263" s="176">
        <f t="shared" si="54"/>
        <v>7800000</v>
      </c>
      <c r="S263" s="176">
        <f>IF(AND(AD263=1,R263&lt;&gt;".")=TRUE,R263/VLOOKUP(G263,'Exchange Rates'!B:C,2,0),IF(R263=".",".",""))</f>
        <v>7800000</v>
      </c>
      <c r="T263" s="176">
        <f>IF(AD263=1,IF(AF263="Value is not given at all",".",IF(AF263="Value is given by the source",S263,IF(AF263="Value is calculated with prices",(IF(SUMIFS(Q:Q,A:A,A263)&gt;0,SUMIFS(Q:Q,A:A,A263),"."))/VLOOKUP("USD",'Exchange Rates'!B:C,2,0),"Error with coding"))),"")</f>
        <v>7800000</v>
      </c>
      <c r="U263" s="15" t="s">
        <v>261</v>
      </c>
      <c r="V263" s="546" t="s">
        <v>993</v>
      </c>
      <c r="W263" s="305" t="s">
        <v>994</v>
      </c>
      <c r="X263" s="305" t="s">
        <v>995</v>
      </c>
      <c r="Y263" s="686" t="s">
        <v>260</v>
      </c>
      <c r="Z263" s="15">
        <v>0</v>
      </c>
      <c r="AA263" s="180">
        <v>0</v>
      </c>
      <c r="AB263" s="563" t="s">
        <v>966</v>
      </c>
      <c r="AC263" s="544" t="str">
        <f>""</f>
        <v/>
      </c>
      <c r="AD263" s="181">
        <v>1</v>
      </c>
      <c r="AE263" s="181" t="s">
        <v>264</v>
      </c>
      <c r="AF263" s="181" t="s">
        <v>264</v>
      </c>
      <c r="AG263" s="181">
        <v>1</v>
      </c>
      <c r="AH263" s="181">
        <v>12</v>
      </c>
      <c r="AI263" s="181">
        <v>0</v>
      </c>
      <c r="AJ263" s="181">
        <f>VLOOKUP($I263,'Price List, Weapons &amp; Items'!B:F,5,0)</f>
        <v>0</v>
      </c>
      <c r="AK263" s="181">
        <f t="shared" si="59"/>
        <v>0</v>
      </c>
      <c r="AL263" s="181">
        <f t="shared" si="60"/>
        <v>0</v>
      </c>
      <c r="AM263" s="181">
        <f t="shared" si="61"/>
        <v>0</v>
      </c>
      <c r="AN263" s="180" t="str">
        <f>VLOOKUP($I263,'Price List, Weapons &amp; Items'!B:L,COLUMN('Price List, Weapons &amp; Items'!$J$11)-1,0)</f>
        <v>Media reports (incl. social media)</v>
      </c>
      <c r="AO263" s="180" t="str">
        <f>IF(I263=".",".",VLOOKUP($I263,'Price List, Weapons &amp; Items'!B:J,3,0))</f>
        <v>Military equipment</v>
      </c>
      <c r="AP263" s="545" t="e">
        <f t="shared" ca="1" si="55"/>
        <v>#NAME?</v>
      </c>
      <c r="AQ263" s="180">
        <f>VLOOKUP($I263,'Price List, Weapons &amp; Items'!B:L,COLUMN('Price List, Weapons &amp; Items'!$L$11)-1,0)</f>
        <v>2</v>
      </c>
      <c r="AR263" s="180">
        <f t="shared" si="62"/>
        <v>1</v>
      </c>
      <c r="AS263" s="180">
        <f t="shared" si="63"/>
        <v>1</v>
      </c>
      <c r="AT263" s="180">
        <f t="shared" si="56"/>
        <v>1</v>
      </c>
      <c r="AU263" s="180" t="str">
        <f t="shared" si="64"/>
        <v>.</v>
      </c>
      <c r="AV263" s="180" t="str">
        <f t="shared" si="65"/>
        <v>.</v>
      </c>
      <c r="AW263" s="180">
        <f>IFERROR(VLOOKUP(B263,'Share, Heavy Weapons to Ukraine'!B:J,COLUMN('Share, Heavy Weapons to Ukraine'!C270)-1,0),0)</f>
        <v>0</v>
      </c>
      <c r="AX263" s="180">
        <f>VLOOKUP('Bilateral Assistance, MAIN DATA'!B263,'Country Summary'!B:F,COLUMN('Country Summary'!C273)-1,FALSE)</f>
        <v>1</v>
      </c>
      <c r="AY263" s="180">
        <f>IF(AND(AD263=1,D263="Military",H263&lt;&gt;"Not given")=TRUE,IF(SUMIFS(P:P,A:A,A263)&gt;0,ABS((SUMIFS(P:P,A:A,A263)/VLOOKUP("USD",'Exchange Rates'!B:C,2,0)))/S263,"."),".")</f>
        <v>0.7399938949938949</v>
      </c>
      <c r="AZ263" s="182">
        <f>IF(AND(AD263=1,D263="Military",H263&lt;&gt;"Not given")=TRUE,IF(SUMIFS(P:P,A:A,A263)&gt;0,IF((ABS((SUMIFS(P:P,A:A,A263)/VLOOKUP("USD",'Exchange Rates'!B:C,2,0)))/S263)&gt;1,(SUMIFS(P:P,A:A,A263)-S263)/S263,(S263-SUMIFS(P:P,A:A,A263))/SUMIFS(P:P,A:A,A263)),"."),".")</f>
        <v>0.28701190486011996</v>
      </c>
      <c r="BA263" s="182"/>
      <c r="BB263" s="182"/>
      <c r="BC263" s="182"/>
      <c r="BD263" s="182"/>
      <c r="BE263" s="182"/>
      <c r="BF263" s="182"/>
      <c r="BG263" s="182"/>
      <c r="BH263" s="182"/>
      <c r="BI263" s="182"/>
      <c r="BJ263" s="182"/>
      <c r="BK263" s="182"/>
      <c r="BL263" s="182"/>
      <c r="BM263" s="182"/>
      <c r="BN263" s="182"/>
      <c r="BO263" s="182"/>
      <c r="BP263" s="182"/>
      <c r="BQ263" s="182"/>
      <c r="BR263" s="182"/>
      <c r="BS263" s="182"/>
    </row>
    <row r="264" spans="1:71" ht="15.9" customHeight="1" x14ac:dyDescent="0.3">
      <c r="A264" s="17" t="s">
        <v>996</v>
      </c>
      <c r="B264" s="17" t="s">
        <v>937</v>
      </c>
      <c r="C264" s="174">
        <v>44917</v>
      </c>
      <c r="D264" s="5" t="s">
        <v>285</v>
      </c>
      <c r="E264" s="5" t="s">
        <v>294</v>
      </c>
      <c r="F264" s="175" t="s">
        <v>997</v>
      </c>
      <c r="G264" s="15" t="s">
        <v>364</v>
      </c>
      <c r="H264" s="176" t="s">
        <v>341</v>
      </c>
      <c r="I264" s="19" t="s">
        <v>499</v>
      </c>
      <c r="J264" s="113" t="str">
        <f>VLOOKUP($I264,'Price List, Weapons &amp; Items'!B:C,2,0)</f>
        <v>Military equipment</v>
      </c>
      <c r="K264" s="113" t="str">
        <f>IF(I264=".",I264,VLOOKUP($I264,'Price List, Weapons &amp; Items'!B:D,3,0))</f>
        <v>Military equipment</v>
      </c>
      <c r="L264" s="177">
        <f>VLOOKUP(I264,'Price List, Weapons &amp; Items'!B:E,4,0)</f>
        <v>0</v>
      </c>
      <c r="M264" s="542" t="s">
        <v>270</v>
      </c>
      <c r="N264" s="542" t="s">
        <v>270</v>
      </c>
      <c r="O264" s="543">
        <f>VLOOKUP($I264,'Price List, Weapons &amp; Items'!B:G,6,0)</f>
        <v>500</v>
      </c>
      <c r="P264" s="176" t="str">
        <f t="shared" si="57"/>
        <v>.</v>
      </c>
      <c r="Q264" s="176" t="str">
        <f t="shared" si="58"/>
        <v>.</v>
      </c>
      <c r="R264" s="176" t="str">
        <f t="shared" si="54"/>
        <v>.</v>
      </c>
      <c r="S264" s="176" t="str">
        <f>IF(AND(AD264=1,R264&lt;&gt;".")=TRUE,R264/VLOOKUP(G264,'Exchange Rates'!B:C,2,0),IF(R264=".",".",""))</f>
        <v>.</v>
      </c>
      <c r="T264" s="176" t="str">
        <f>IF(AD264=1,IF(AF264="Value is not given at all",".",IF(AF264="Value is given by the source",S264,IF(AF264="Value is calculated with prices",(IF(SUMIFS(Q:Q,A:A,A264)&gt;0,SUMIFS(Q:Q,A:A,A264),"."))/VLOOKUP("USD",'Exchange Rates'!B:C,2,0),"Error with coding"))),"")</f>
        <v>.</v>
      </c>
      <c r="U264" s="15" t="s">
        <v>261</v>
      </c>
      <c r="V264" s="546" t="s">
        <v>995</v>
      </c>
      <c r="W264" s="305" t="s">
        <v>998</v>
      </c>
      <c r="X264" s="305" t="s">
        <v>999</v>
      </c>
      <c r="Y264" s="305" t="s">
        <v>1000</v>
      </c>
      <c r="Z264" s="15">
        <v>0</v>
      </c>
      <c r="AA264" s="180">
        <v>0</v>
      </c>
      <c r="AB264" s="17" t="s">
        <v>260</v>
      </c>
      <c r="AC264" s="544" t="str">
        <f>""</f>
        <v/>
      </c>
      <c r="AD264" s="181">
        <v>1</v>
      </c>
      <c r="AE264" s="181" t="s">
        <v>265</v>
      </c>
      <c r="AF264" s="181" t="s">
        <v>265</v>
      </c>
      <c r="AG264" s="181">
        <v>1</v>
      </c>
      <c r="AH264" s="181">
        <v>12</v>
      </c>
      <c r="AI264" s="181">
        <v>0</v>
      </c>
      <c r="AJ264" s="181">
        <f>VLOOKUP($I264,'Price List, Weapons &amp; Items'!B:F,5,0)</f>
        <v>0</v>
      </c>
      <c r="AK264" s="181">
        <f t="shared" si="59"/>
        <v>0</v>
      </c>
      <c r="AL264" s="181">
        <f t="shared" si="60"/>
        <v>0</v>
      </c>
      <c r="AM264" s="181">
        <f t="shared" si="61"/>
        <v>0</v>
      </c>
      <c r="AN264" s="180" t="str">
        <f>VLOOKUP($I264,'Price List, Weapons &amp; Items'!B:L,COLUMN('Price List, Weapons &amp; Items'!$J$11)-1,0)</f>
        <v>Military media (incl. websites)</v>
      </c>
      <c r="AO264" s="180" t="str">
        <f>IF(I264=".",".",VLOOKUP($I264,'Price List, Weapons &amp; Items'!B:J,3,0))</f>
        <v>Military equipment</v>
      </c>
      <c r="AP264" s="545" t="e">
        <f t="shared" ca="1" si="55"/>
        <v>#NAME?</v>
      </c>
      <c r="AQ264" s="180">
        <f>VLOOKUP($I264,'Price List, Weapons &amp; Items'!B:L,COLUMN('Price List, Weapons &amp; Items'!$L$11)-1,0)</f>
        <v>2</v>
      </c>
      <c r="AR264" s="180">
        <f t="shared" si="62"/>
        <v>1</v>
      </c>
      <c r="AS264" s="180">
        <f t="shared" si="63"/>
        <v>1</v>
      </c>
      <c r="AT264" s="180">
        <f t="shared" si="56"/>
        <v>1</v>
      </c>
      <c r="AU264" s="180" t="str">
        <f t="shared" si="64"/>
        <v>.</v>
      </c>
      <c r="AV264" s="180" t="str">
        <f t="shared" si="65"/>
        <v>.</v>
      </c>
      <c r="AW264" s="180">
        <f>IFERROR(VLOOKUP(B264,'Share, Heavy Weapons to Ukraine'!B:J,COLUMN('Share, Heavy Weapons to Ukraine'!C271)-1,0),0)</f>
        <v>0</v>
      </c>
      <c r="AX264" s="180">
        <f>VLOOKUP('Bilateral Assistance, MAIN DATA'!B264,'Country Summary'!B:F,COLUMN('Country Summary'!C274)-1,FALSE)</f>
        <v>1</v>
      </c>
      <c r="AY264" s="180" t="str">
        <f>IF(AND(AD264=1,D264="Military",H264&lt;&gt;"Not given")=TRUE,IF(SUMIFS(P:P,A:A,A264)&gt;0,ABS((SUMIFS(P:P,A:A,A264)/VLOOKUP("USD",'Exchange Rates'!B:C,2,0)))/S264,"."),".")</f>
        <v>.</v>
      </c>
      <c r="AZ264" s="182" t="str">
        <f>IF(AND(AD264=1,D264="Military",H264&lt;&gt;"Not given")=TRUE,IF(SUMIFS(P:P,A:A,A264)&gt;0,IF((ABS((SUMIFS(P:P,A:A,A264)/VLOOKUP("USD",'Exchange Rates'!B:C,2,0)))/S264)&gt;1,(SUMIFS(P:P,A:A,A264)-S264)/S264,(S264-SUMIFS(P:P,A:A,A264))/SUMIFS(P:P,A:A,A264)),"."),".")</f>
        <v>.</v>
      </c>
      <c r="BA264" s="182"/>
      <c r="BB264" s="182"/>
      <c r="BC264" s="182"/>
      <c r="BD264" s="182"/>
      <c r="BE264" s="182"/>
      <c r="BF264" s="182"/>
      <c r="BG264" s="182"/>
      <c r="BH264" s="182"/>
      <c r="BI264" s="182"/>
      <c r="BJ264" s="182"/>
      <c r="BK264" s="182"/>
      <c r="BL264" s="182"/>
      <c r="BM264" s="182"/>
      <c r="BN264" s="182"/>
      <c r="BO264" s="182"/>
      <c r="BP264" s="182"/>
      <c r="BQ264" s="182"/>
      <c r="BR264" s="182"/>
      <c r="BS264" s="182"/>
    </row>
    <row r="265" spans="1:71" ht="15.9" customHeight="1" x14ac:dyDescent="0.3">
      <c r="A265" s="17" t="s">
        <v>996</v>
      </c>
      <c r="B265" s="17" t="s">
        <v>937</v>
      </c>
      <c r="C265" s="174">
        <v>44917</v>
      </c>
      <c r="D265" s="5" t="s">
        <v>285</v>
      </c>
      <c r="E265" s="5" t="s">
        <v>294</v>
      </c>
      <c r="F265" s="175" t="s">
        <v>997</v>
      </c>
      <c r="G265" s="15" t="s">
        <v>364</v>
      </c>
      <c r="H265" s="176" t="s">
        <v>341</v>
      </c>
      <c r="I265" s="19" t="s">
        <v>453</v>
      </c>
      <c r="J265" s="113" t="str">
        <f>VLOOKUP($I265,'Price List, Weapons &amp; Items'!B:C,2,0)</f>
        <v>Military equipment</v>
      </c>
      <c r="K265" s="113" t="str">
        <f>IF(I265=".",I265,VLOOKUP($I265,'Price List, Weapons &amp; Items'!B:D,3,0))</f>
        <v>Military equipment</v>
      </c>
      <c r="L265" s="177">
        <f>VLOOKUP(I265,'Price List, Weapons &amp; Items'!B:E,4,0)</f>
        <v>0</v>
      </c>
      <c r="M265" s="542" t="s">
        <v>270</v>
      </c>
      <c r="N265" s="542" t="s">
        <v>270</v>
      </c>
      <c r="O265" s="543">
        <f>VLOOKUP($I265,'Price List, Weapons &amp; Items'!B:G,6,0)</f>
        <v>59.234999999999999</v>
      </c>
      <c r="P265" s="176" t="str">
        <f t="shared" si="57"/>
        <v>.</v>
      </c>
      <c r="Q265" s="176" t="str">
        <f t="shared" si="58"/>
        <v>.</v>
      </c>
      <c r="R265" s="176" t="str">
        <f t="shared" si="54"/>
        <v/>
      </c>
      <c r="S265" s="176" t="str">
        <f>IF(AND(AD265=1,R265&lt;&gt;".")=TRUE,R265/VLOOKUP(G265,'Exchange Rates'!B:C,2,0),IF(R265=".",".",""))</f>
        <v/>
      </c>
      <c r="T265" s="176" t="str">
        <f>IF(AD265=1,IF(AF265="Value is not given at all",".",IF(AF265="Value is given by the source",S265,IF(AF265="Value is calculated with prices",(IF(SUMIFS(Q:Q,A:A,A265)&gt;0,SUMIFS(Q:Q,A:A,A265),"."))/VLOOKUP("USD",'Exchange Rates'!B:C,2,0),"Error with coding"))),"")</f>
        <v/>
      </c>
      <c r="U265" s="15" t="s">
        <v>261</v>
      </c>
      <c r="V265" s="546" t="s">
        <v>995</v>
      </c>
      <c r="W265" s="305" t="s">
        <v>998</v>
      </c>
      <c r="X265" s="305" t="s">
        <v>999</v>
      </c>
      <c r="Y265" s="305" t="s">
        <v>1000</v>
      </c>
      <c r="Z265" s="15">
        <v>0</v>
      </c>
      <c r="AA265" s="180">
        <v>0</v>
      </c>
      <c r="AB265" s="17" t="s">
        <v>260</v>
      </c>
      <c r="AC265" s="544" t="str">
        <f>""</f>
        <v/>
      </c>
      <c r="AD265" s="181">
        <v>0</v>
      </c>
      <c r="AE265" s="181" t="s">
        <v>265</v>
      </c>
      <c r="AF265" s="181" t="s">
        <v>265</v>
      </c>
      <c r="AG265" s="181">
        <v>1</v>
      </c>
      <c r="AH265" s="181">
        <v>12</v>
      </c>
      <c r="AI265" s="181">
        <v>0</v>
      </c>
      <c r="AJ265" s="181">
        <f>VLOOKUP($I265,'Price List, Weapons &amp; Items'!B:F,5,0)</f>
        <v>0</v>
      </c>
      <c r="AK265" s="181">
        <f t="shared" si="59"/>
        <v>0</v>
      </c>
      <c r="AL265" s="181">
        <f t="shared" si="60"/>
        <v>0</v>
      </c>
      <c r="AM265" s="181">
        <f t="shared" si="61"/>
        <v>0</v>
      </c>
      <c r="AN265" s="180" t="str">
        <f>VLOOKUP($I265,'Price List, Weapons &amp; Items'!B:L,COLUMN('Price List, Weapons &amp; Items'!$J$11)-1,0)</f>
        <v>Government information</v>
      </c>
      <c r="AO265" s="180" t="str">
        <f>IF(I265=".",".",VLOOKUP($I265,'Price List, Weapons &amp; Items'!B:J,3,0))</f>
        <v>Military equipment</v>
      </c>
      <c r="AP265" s="545" t="str">
        <f t="shared" ca="1" si="55"/>
        <v/>
      </c>
      <c r="AQ265" s="180">
        <f>VLOOKUP($I265,'Price List, Weapons &amp; Items'!B:L,COLUMN('Price List, Weapons &amp; Items'!$L$11)-1,0)</f>
        <v>2</v>
      </c>
      <c r="AR265" s="180">
        <f t="shared" si="62"/>
        <v>1</v>
      </c>
      <c r="AS265" s="180">
        <f t="shared" si="63"/>
        <v>1</v>
      </c>
      <c r="AT265" s="180">
        <f t="shared" si="56"/>
        <v>1</v>
      </c>
      <c r="AU265" s="180" t="str">
        <f t="shared" si="64"/>
        <v>.</v>
      </c>
      <c r="AV265" s="180" t="str">
        <f t="shared" si="65"/>
        <v>.</v>
      </c>
      <c r="AW265" s="180">
        <f>IFERROR(VLOOKUP(B265,'Share, Heavy Weapons to Ukraine'!B:J,COLUMN('Share, Heavy Weapons to Ukraine'!C272)-1,0),0)</f>
        <v>0</v>
      </c>
      <c r="AX265" s="180">
        <f>VLOOKUP('Bilateral Assistance, MAIN DATA'!B265,'Country Summary'!B:F,COLUMN('Country Summary'!C275)-1,FALSE)</f>
        <v>1</v>
      </c>
      <c r="AY265" s="180" t="str">
        <f>IF(AND(AD265=1,D265="Military",H265&lt;&gt;"Not given")=TRUE,IF(SUMIFS(P:P,A:A,A265)&gt;0,ABS((SUMIFS(P:P,A:A,A265)/VLOOKUP("USD",'Exchange Rates'!B:C,2,0)))/S265,"."),".")</f>
        <v>.</v>
      </c>
      <c r="AZ265" s="182" t="str">
        <f>IF(AND(AD265=1,D265="Military",H265&lt;&gt;"Not given")=TRUE,IF(SUMIFS(P:P,A:A,A265)&gt;0,IF((ABS((SUMIFS(P:P,A:A,A265)/VLOOKUP("USD",'Exchange Rates'!B:C,2,0)))/S265)&gt;1,(SUMIFS(P:P,A:A,A265)-S265)/S265,(S265-SUMIFS(P:P,A:A,A265))/SUMIFS(P:P,A:A,A265)),"."),".")</f>
        <v>.</v>
      </c>
      <c r="BA265" s="182"/>
      <c r="BB265" s="182"/>
      <c r="BC265" s="182"/>
      <c r="BD265" s="182"/>
      <c r="BE265" s="182"/>
      <c r="BF265" s="182"/>
      <c r="BG265" s="182"/>
      <c r="BH265" s="182"/>
      <c r="BI265" s="182"/>
      <c r="BJ265" s="182"/>
      <c r="BK265" s="182"/>
      <c r="BL265" s="182"/>
      <c r="BM265" s="182"/>
      <c r="BN265" s="182"/>
      <c r="BO265" s="182"/>
      <c r="BP265" s="182"/>
      <c r="BQ265" s="182"/>
      <c r="BR265" s="182"/>
      <c r="BS265" s="182"/>
    </row>
    <row r="266" spans="1:71" ht="15.9" customHeight="1" x14ac:dyDescent="0.3">
      <c r="A266" s="17" t="s">
        <v>996</v>
      </c>
      <c r="B266" s="17" t="s">
        <v>937</v>
      </c>
      <c r="C266" s="174">
        <v>44917</v>
      </c>
      <c r="D266" s="5" t="s">
        <v>285</v>
      </c>
      <c r="E266" s="5" t="s">
        <v>294</v>
      </c>
      <c r="F266" s="175" t="s">
        <v>997</v>
      </c>
      <c r="G266" s="15" t="s">
        <v>364</v>
      </c>
      <c r="H266" s="176" t="s">
        <v>341</v>
      </c>
      <c r="I266" s="19" t="s">
        <v>956</v>
      </c>
      <c r="J266" s="113" t="str">
        <f>VLOOKUP($I266,'Price List, Weapons &amp; Items'!B:C,2,0)</f>
        <v>Aviation and drones</v>
      </c>
      <c r="K266" s="113" t="str">
        <f>IF(I266=".",I266,VLOOKUP($I266,'Price List, Weapons &amp; Items'!B:D,3,0))</f>
        <v>drone</v>
      </c>
      <c r="L266" s="177">
        <f>VLOOKUP(I266,'Price List, Weapons &amp; Items'!B:E,4,0)</f>
        <v>0</v>
      </c>
      <c r="M266" s="542" t="s">
        <v>270</v>
      </c>
      <c r="N266" s="542" t="s">
        <v>270</v>
      </c>
      <c r="O266" s="543">
        <f>VLOOKUP($I266,'Price List, Weapons &amp; Items'!B:G,6,0)</f>
        <v>6000</v>
      </c>
      <c r="P266" s="176" t="str">
        <f t="shared" si="57"/>
        <v>.</v>
      </c>
      <c r="Q266" s="176" t="str">
        <f t="shared" si="58"/>
        <v>.</v>
      </c>
      <c r="R266" s="176" t="str">
        <f t="shared" si="54"/>
        <v/>
      </c>
      <c r="S266" s="176" t="str">
        <f>IF(AND(AD266=1,R266&lt;&gt;".")=TRUE,R266/VLOOKUP(G266,'Exchange Rates'!B:C,2,0),IF(R266=".",".",""))</f>
        <v/>
      </c>
      <c r="T266" s="176" t="str">
        <f>IF(AD266=1,IF(AF266="Value is not given at all",".",IF(AF266="Value is given by the source",S266,IF(AF266="Value is calculated with prices",(IF(SUMIFS(Q:Q,A:A,A266)&gt;0,SUMIFS(Q:Q,A:A,A266),"."))/VLOOKUP("USD",'Exchange Rates'!B:C,2,0),"Error with coding"))),"")</f>
        <v/>
      </c>
      <c r="U266" s="15" t="s">
        <v>261</v>
      </c>
      <c r="V266" s="546" t="s">
        <v>995</v>
      </c>
      <c r="W266" s="305" t="s">
        <v>998</v>
      </c>
      <c r="X266" s="305" t="s">
        <v>999</v>
      </c>
      <c r="Y266" s="305" t="s">
        <v>1000</v>
      </c>
      <c r="Z266" s="15">
        <v>0</v>
      </c>
      <c r="AA266" s="180">
        <v>0</v>
      </c>
      <c r="AB266" s="17" t="s">
        <v>260</v>
      </c>
      <c r="AC266" s="544" t="str">
        <f>""</f>
        <v/>
      </c>
      <c r="AD266" s="181">
        <v>0</v>
      </c>
      <c r="AE266" s="181" t="s">
        <v>265</v>
      </c>
      <c r="AF266" s="181" t="s">
        <v>265</v>
      </c>
      <c r="AG266" s="181">
        <v>1</v>
      </c>
      <c r="AH266" s="181">
        <v>12</v>
      </c>
      <c r="AI266" s="181">
        <v>0</v>
      </c>
      <c r="AJ266" s="181">
        <f>VLOOKUP($I266,'Price List, Weapons &amp; Items'!B:F,5,0)</f>
        <v>0</v>
      </c>
      <c r="AK266" s="181">
        <f t="shared" si="59"/>
        <v>0</v>
      </c>
      <c r="AL266" s="181">
        <f t="shared" si="60"/>
        <v>0</v>
      </c>
      <c r="AM266" s="181">
        <f t="shared" si="61"/>
        <v>0</v>
      </c>
      <c r="AN266" s="180" t="str">
        <f>VLOOKUP($I266,'Price List, Weapons &amp; Items'!B:L,COLUMN('Price List, Weapons &amp; Items'!$J$11)-1,0)</f>
        <v>Miscellaneous</v>
      </c>
      <c r="AO266" s="180" t="str">
        <f>IF(I266=".",".",VLOOKUP($I266,'Price List, Weapons &amp; Items'!B:J,3,0))</f>
        <v>drone</v>
      </c>
      <c r="AP266" s="545" t="str">
        <f t="shared" ca="1" si="55"/>
        <v/>
      </c>
      <c r="AQ266" s="180">
        <f>VLOOKUP($I266,'Price List, Weapons &amp; Items'!B:L,COLUMN('Price List, Weapons &amp; Items'!$L$11)-1,0)</f>
        <v>1</v>
      </c>
      <c r="AR266" s="180">
        <f t="shared" si="62"/>
        <v>1</v>
      </c>
      <c r="AS266" s="180">
        <f t="shared" si="63"/>
        <v>1</v>
      </c>
      <c r="AT266" s="180">
        <f t="shared" si="56"/>
        <v>1</v>
      </c>
      <c r="AU266" s="180" t="str">
        <f t="shared" si="64"/>
        <v>.</v>
      </c>
      <c r="AV266" s="180" t="str">
        <f t="shared" si="65"/>
        <v>.</v>
      </c>
      <c r="AW266" s="180">
        <f>IFERROR(VLOOKUP(B266,'Share, Heavy Weapons to Ukraine'!B:J,COLUMN('Share, Heavy Weapons to Ukraine'!C273)-1,0),0)</f>
        <v>0</v>
      </c>
      <c r="AX266" s="180">
        <f>VLOOKUP('Bilateral Assistance, MAIN DATA'!B266,'Country Summary'!B:F,COLUMN('Country Summary'!C276)-1,FALSE)</f>
        <v>1</v>
      </c>
      <c r="AY266" s="180" t="str">
        <f>IF(AND(AD266=1,D266="Military",H266&lt;&gt;"Not given")=TRUE,IF(SUMIFS(P:P,A:A,A266)&gt;0,ABS((SUMIFS(P:P,A:A,A266)/VLOOKUP("USD",'Exchange Rates'!B:C,2,0)))/S266,"."),".")</f>
        <v>.</v>
      </c>
      <c r="AZ266" s="182" t="str">
        <f>IF(AND(AD266=1,D266="Military",H266&lt;&gt;"Not given")=TRUE,IF(SUMIFS(P:P,A:A,A266)&gt;0,IF((ABS((SUMIFS(P:P,A:A,A266)/VLOOKUP("USD",'Exchange Rates'!B:C,2,0)))/S266)&gt;1,(SUMIFS(P:P,A:A,A266)-S266)/S266,(S266-SUMIFS(P:P,A:A,A266))/SUMIFS(P:P,A:A,A266)),"."),".")</f>
        <v>.</v>
      </c>
      <c r="BA266" s="182"/>
      <c r="BB266" s="182"/>
      <c r="BC266" s="182"/>
      <c r="BD266" s="182"/>
      <c r="BE266" s="182"/>
      <c r="BF266" s="182"/>
      <c r="BG266" s="182"/>
      <c r="BH266" s="182"/>
      <c r="BI266" s="182"/>
      <c r="BJ266" s="182"/>
      <c r="BK266" s="182"/>
      <c r="BL266" s="182"/>
      <c r="BM266" s="182"/>
      <c r="BN266" s="182"/>
      <c r="BO266" s="182"/>
      <c r="BP266" s="182"/>
      <c r="BQ266" s="182"/>
      <c r="BR266" s="182"/>
      <c r="BS266" s="182"/>
    </row>
    <row r="267" spans="1:71" ht="15.9" customHeight="1" x14ac:dyDescent="0.3">
      <c r="A267" s="17" t="s">
        <v>996</v>
      </c>
      <c r="B267" s="17" t="s">
        <v>937</v>
      </c>
      <c r="C267" s="174">
        <v>44917</v>
      </c>
      <c r="D267" s="5" t="s">
        <v>285</v>
      </c>
      <c r="E267" s="5" t="s">
        <v>294</v>
      </c>
      <c r="F267" s="175" t="s">
        <v>997</v>
      </c>
      <c r="G267" s="15" t="s">
        <v>364</v>
      </c>
      <c r="H267" s="176" t="s">
        <v>341</v>
      </c>
      <c r="I267" s="19" t="s">
        <v>1001</v>
      </c>
      <c r="J267" s="113" t="str">
        <f>VLOOKUP($I267,'Price List, Weapons &amp; Items'!B:C,2,0)</f>
        <v>Military equipment</v>
      </c>
      <c r="K267" s="113" t="str">
        <f>IF(I267=".",I267,VLOOKUP($I267,'Price List, Weapons &amp; Items'!B:D,3,0))</f>
        <v>Military equipment</v>
      </c>
      <c r="L267" s="177">
        <f>VLOOKUP(I267,'Price List, Weapons &amp; Items'!B:E,4,0)</f>
        <v>0</v>
      </c>
      <c r="M267" s="542" t="s">
        <v>270</v>
      </c>
      <c r="N267" s="542" t="s">
        <v>270</v>
      </c>
      <c r="O267" s="543" t="str">
        <f>VLOOKUP($I267,'Price List, Weapons &amp; Items'!B:G,6,0)</f>
        <v>.</v>
      </c>
      <c r="P267" s="176" t="str">
        <f t="shared" si="57"/>
        <v>.</v>
      </c>
      <c r="Q267" s="176" t="str">
        <f t="shared" si="58"/>
        <v>.</v>
      </c>
      <c r="R267" s="176" t="str">
        <f t="shared" si="54"/>
        <v/>
      </c>
      <c r="S267" s="176" t="str">
        <f>IF(AND(AD267=1,R267&lt;&gt;".")=TRUE,R267/VLOOKUP(G267,'Exchange Rates'!B:C,2,0),IF(R267=".",".",""))</f>
        <v/>
      </c>
      <c r="T267" s="176" t="str">
        <f>IF(AD267=1,IF(AF267="Value is not given at all",".",IF(AF267="Value is given by the source",S267,IF(AF267="Value is calculated with prices",(IF(SUMIFS(Q:Q,A:A,A267)&gt;0,SUMIFS(Q:Q,A:A,A267),"."))/VLOOKUP("USD",'Exchange Rates'!B:C,2,0),"Error with coding"))),"")</f>
        <v/>
      </c>
      <c r="U267" s="15" t="s">
        <v>261</v>
      </c>
      <c r="V267" s="546" t="s">
        <v>995</v>
      </c>
      <c r="W267" s="305" t="s">
        <v>998</v>
      </c>
      <c r="X267" s="305" t="s">
        <v>999</v>
      </c>
      <c r="Y267" s="305" t="s">
        <v>1000</v>
      </c>
      <c r="Z267" s="15">
        <v>0</v>
      </c>
      <c r="AA267" s="180">
        <v>0</v>
      </c>
      <c r="AB267" s="17" t="s">
        <v>260</v>
      </c>
      <c r="AC267" s="544" t="str">
        <f>""</f>
        <v/>
      </c>
      <c r="AD267" s="181">
        <v>0</v>
      </c>
      <c r="AE267" s="181" t="s">
        <v>265</v>
      </c>
      <c r="AF267" s="181" t="s">
        <v>265</v>
      </c>
      <c r="AG267" s="181">
        <v>1</v>
      </c>
      <c r="AH267" s="181">
        <v>12</v>
      </c>
      <c r="AI267" s="181">
        <v>0</v>
      </c>
      <c r="AJ267" s="181">
        <f>VLOOKUP($I267,'Price List, Weapons &amp; Items'!B:F,5,0)</f>
        <v>0</v>
      </c>
      <c r="AK267" s="181">
        <f t="shared" si="59"/>
        <v>0</v>
      </c>
      <c r="AL267" s="181">
        <f t="shared" si="60"/>
        <v>0</v>
      </c>
      <c r="AM267" s="181">
        <f t="shared" si="61"/>
        <v>0</v>
      </c>
      <c r="AN267" s="180" t="str">
        <f>VLOOKUP($I267,'Price List, Weapons &amp; Items'!B:L,COLUMN('Price List, Weapons &amp; Items'!$J$11)-1,0)</f>
        <v>.</v>
      </c>
      <c r="AO267" s="180" t="str">
        <f>IF(I267=".",".",VLOOKUP($I267,'Price List, Weapons &amp; Items'!B:J,3,0))</f>
        <v>Military equipment</v>
      </c>
      <c r="AP267" s="545" t="str">
        <f t="shared" ca="1" si="55"/>
        <v/>
      </c>
      <c r="AQ267" s="180" t="str">
        <f>VLOOKUP($I267,'Price List, Weapons &amp; Items'!B:L,COLUMN('Price List, Weapons &amp; Items'!$L$11)-1,0)</f>
        <v>no price, 0 count</v>
      </c>
      <c r="AR267" s="180">
        <f t="shared" si="62"/>
        <v>1</v>
      </c>
      <c r="AS267" s="180">
        <f t="shared" si="63"/>
        <v>1</v>
      </c>
      <c r="AT267" s="180">
        <f t="shared" si="56"/>
        <v>1</v>
      </c>
      <c r="AU267" s="180" t="str">
        <f t="shared" si="64"/>
        <v>.</v>
      </c>
      <c r="AV267" s="180" t="str">
        <f t="shared" si="65"/>
        <v>.</v>
      </c>
      <c r="AW267" s="180">
        <f>IFERROR(VLOOKUP(B267,'Share, Heavy Weapons to Ukraine'!B:J,COLUMN('Share, Heavy Weapons to Ukraine'!C274)-1,0),0)</f>
        <v>0</v>
      </c>
      <c r="AX267" s="180">
        <f>VLOOKUP('Bilateral Assistance, MAIN DATA'!B267,'Country Summary'!B:F,COLUMN('Country Summary'!C277)-1,FALSE)</f>
        <v>1</v>
      </c>
      <c r="AY267" s="180" t="str">
        <f>IF(AND(AD267=1,D267="Military",H267&lt;&gt;"Not given")=TRUE,IF(SUMIFS(P:P,A:A,A267)&gt;0,ABS((SUMIFS(P:P,A:A,A267)/VLOOKUP("USD",'Exchange Rates'!B:C,2,0)))/S267,"."),".")</f>
        <v>.</v>
      </c>
      <c r="AZ267" s="182" t="str">
        <f>IF(AND(AD267=1,D267="Military",H267&lt;&gt;"Not given")=TRUE,IF(SUMIFS(P:P,A:A,A267)&gt;0,IF((ABS((SUMIFS(P:P,A:A,A267)/VLOOKUP("USD",'Exchange Rates'!B:C,2,0)))/S267)&gt;1,(SUMIFS(P:P,A:A,A267)-S267)/S267,(S267-SUMIFS(P:P,A:A,A267))/SUMIFS(P:P,A:A,A267)),"."),".")</f>
        <v>.</v>
      </c>
      <c r="BA267" s="182"/>
      <c r="BB267" s="182"/>
      <c r="BC267" s="182"/>
      <c r="BD267" s="182"/>
      <c r="BE267" s="182"/>
      <c r="BF267" s="182"/>
      <c r="BG267" s="182"/>
      <c r="BH267" s="182"/>
      <c r="BI267" s="182"/>
      <c r="BJ267" s="182"/>
      <c r="BK267" s="182"/>
      <c r="BL267" s="182"/>
      <c r="BM267" s="182"/>
      <c r="BN267" s="182"/>
      <c r="BO267" s="182"/>
      <c r="BP267" s="182"/>
      <c r="BQ267" s="182"/>
      <c r="BR267" s="182"/>
      <c r="BS267" s="182"/>
    </row>
    <row r="268" spans="1:71" ht="15.9" customHeight="1" x14ac:dyDescent="0.3">
      <c r="A268" s="17" t="s">
        <v>996</v>
      </c>
      <c r="B268" s="17" t="s">
        <v>937</v>
      </c>
      <c r="C268" s="174">
        <v>44917</v>
      </c>
      <c r="D268" s="5" t="s">
        <v>285</v>
      </c>
      <c r="E268" s="5" t="s">
        <v>294</v>
      </c>
      <c r="F268" s="175" t="s">
        <v>997</v>
      </c>
      <c r="G268" s="15" t="s">
        <v>364</v>
      </c>
      <c r="H268" s="176" t="s">
        <v>341</v>
      </c>
      <c r="I268" s="19" t="s">
        <v>1002</v>
      </c>
      <c r="J268" s="113" t="str">
        <f>VLOOKUP($I268,'Price List, Weapons &amp; Items'!B:C,2,0)</f>
        <v>Humanitarian</v>
      </c>
      <c r="K268" s="113" t="str">
        <f>IF(I268=".",I268,VLOOKUP($I268,'Price List, Weapons &amp; Items'!B:D,3,0))</f>
        <v>Humanitarian</v>
      </c>
      <c r="L268" s="177">
        <f>VLOOKUP(I268,'Price List, Weapons &amp; Items'!B:E,4,0)</f>
        <v>0</v>
      </c>
      <c r="M268" s="542" t="s">
        <v>270</v>
      </c>
      <c r="N268" s="542" t="s">
        <v>270</v>
      </c>
      <c r="O268" s="543">
        <f>VLOOKUP($I268,'Price List, Weapons &amp; Items'!B:G,6,0)</f>
        <v>27500</v>
      </c>
      <c r="P268" s="176" t="str">
        <f t="shared" si="57"/>
        <v>.</v>
      </c>
      <c r="Q268" s="176" t="str">
        <f t="shared" si="58"/>
        <v>.</v>
      </c>
      <c r="R268" s="176" t="str">
        <f t="shared" si="54"/>
        <v/>
      </c>
      <c r="S268" s="176" t="str">
        <f>IF(AND(AD268=1,R268&lt;&gt;".")=TRUE,R268/VLOOKUP(G268,'Exchange Rates'!B:C,2,0),IF(R268=".",".",""))</f>
        <v/>
      </c>
      <c r="T268" s="176" t="str">
        <f>IF(AD268=1,IF(AF268="Value is not given at all",".",IF(AF268="Value is given by the source",S268,IF(AF268="Value is calculated with prices",(IF(SUMIFS(Q:Q,A:A,A268)&gt;0,SUMIFS(Q:Q,A:A,A268),"."))/VLOOKUP("USD",'Exchange Rates'!B:C,2,0),"Error with coding"))),"")</f>
        <v/>
      </c>
      <c r="U268" s="15" t="s">
        <v>261</v>
      </c>
      <c r="V268" s="546" t="s">
        <v>995</v>
      </c>
      <c r="W268" s="305" t="s">
        <v>998</v>
      </c>
      <c r="X268" s="305" t="s">
        <v>999</v>
      </c>
      <c r="Y268" s="305" t="s">
        <v>1000</v>
      </c>
      <c r="Z268" s="15">
        <v>0</v>
      </c>
      <c r="AA268" s="180">
        <v>0</v>
      </c>
      <c r="AB268" s="17" t="s">
        <v>260</v>
      </c>
      <c r="AC268" s="544" t="str">
        <f>""</f>
        <v/>
      </c>
      <c r="AD268" s="181">
        <v>0</v>
      </c>
      <c r="AE268" s="181" t="s">
        <v>265</v>
      </c>
      <c r="AF268" s="181" t="s">
        <v>265</v>
      </c>
      <c r="AG268" s="181">
        <v>1</v>
      </c>
      <c r="AH268" s="181">
        <v>12</v>
      </c>
      <c r="AI268" s="181">
        <v>0</v>
      </c>
      <c r="AJ268" s="181">
        <f>VLOOKUP($I268,'Price List, Weapons &amp; Items'!B:F,5,0)</f>
        <v>0</v>
      </c>
      <c r="AK268" s="181">
        <f t="shared" si="59"/>
        <v>0</v>
      </c>
      <c r="AL268" s="181">
        <f t="shared" si="60"/>
        <v>0</v>
      </c>
      <c r="AM268" s="181">
        <f t="shared" si="61"/>
        <v>0</v>
      </c>
      <c r="AN268" s="180" t="str">
        <f>VLOOKUP($I268,'Price List, Weapons &amp; Items'!B:L,COLUMN('Price List, Weapons &amp; Items'!$J$11)-1,0)</f>
        <v>Miscellaneous</v>
      </c>
      <c r="AO268" s="180" t="str">
        <f>IF(I268=".",".",VLOOKUP($I268,'Price List, Weapons &amp; Items'!B:J,3,0))</f>
        <v>Humanitarian</v>
      </c>
      <c r="AP268" s="545" t="str">
        <f t="shared" ca="1" si="55"/>
        <v/>
      </c>
      <c r="AQ268" s="180">
        <f>VLOOKUP($I268,'Price List, Weapons &amp; Items'!B:L,COLUMN('Price List, Weapons &amp; Items'!$L$11)-1,0)</f>
        <v>0</v>
      </c>
      <c r="AR268" s="180">
        <f t="shared" si="62"/>
        <v>1</v>
      </c>
      <c r="AS268" s="180">
        <f t="shared" si="63"/>
        <v>1</v>
      </c>
      <c r="AT268" s="180">
        <f t="shared" si="56"/>
        <v>1</v>
      </c>
      <c r="AU268" s="180" t="str">
        <f t="shared" si="64"/>
        <v>.</v>
      </c>
      <c r="AV268" s="180" t="str">
        <f t="shared" si="65"/>
        <v>.</v>
      </c>
      <c r="AW268" s="180">
        <f>IFERROR(VLOOKUP(B268,'Share, Heavy Weapons to Ukraine'!B:J,COLUMN('Share, Heavy Weapons to Ukraine'!C275)-1,0),0)</f>
        <v>0</v>
      </c>
      <c r="AX268" s="180">
        <f>VLOOKUP('Bilateral Assistance, MAIN DATA'!B268,'Country Summary'!B:F,COLUMN('Country Summary'!C278)-1,FALSE)</f>
        <v>1</v>
      </c>
      <c r="AY268" s="180" t="str">
        <f>IF(AND(AD268=1,D268="Military",H268&lt;&gt;"Not given")=TRUE,IF(SUMIFS(P:P,A:A,A268)&gt;0,ABS((SUMIFS(P:P,A:A,A268)/VLOOKUP("USD",'Exchange Rates'!B:C,2,0)))/S268,"."),".")</f>
        <v>.</v>
      </c>
      <c r="AZ268" s="182" t="str">
        <f>IF(AND(AD268=1,D268="Military",H268&lt;&gt;"Not given")=TRUE,IF(SUMIFS(P:P,A:A,A268)&gt;0,IF((ABS((SUMIFS(P:P,A:A,A268)/VLOOKUP("USD",'Exchange Rates'!B:C,2,0)))/S268)&gt;1,(SUMIFS(P:P,A:A,A268)-S268)/S268,(S268-SUMIFS(P:P,A:A,A268))/SUMIFS(P:P,A:A,A268)),"."),".")</f>
        <v>.</v>
      </c>
      <c r="BA268" s="182"/>
      <c r="BB268" s="182"/>
      <c r="BC268" s="182"/>
      <c r="BD268" s="182"/>
      <c r="BE268" s="182"/>
      <c r="BF268" s="182"/>
      <c r="BG268" s="182"/>
      <c r="BH268" s="182"/>
      <c r="BI268" s="182"/>
      <c r="BJ268" s="182"/>
      <c r="BK268" s="182"/>
      <c r="BL268" s="182"/>
      <c r="BM268" s="182"/>
      <c r="BN268" s="182"/>
      <c r="BO268" s="182"/>
      <c r="BP268" s="182"/>
      <c r="BQ268" s="182"/>
      <c r="BR268" s="182"/>
      <c r="BS268" s="182"/>
    </row>
    <row r="269" spans="1:71" s="520" customFormat="1" ht="15.9" customHeight="1" x14ac:dyDescent="0.3">
      <c r="A269" s="17" t="s">
        <v>1003</v>
      </c>
      <c r="B269" s="17" t="s">
        <v>937</v>
      </c>
      <c r="C269" s="174" t="s">
        <v>1004</v>
      </c>
      <c r="D269" s="5" t="s">
        <v>256</v>
      </c>
      <c r="E269" s="5" t="s">
        <v>267</v>
      </c>
      <c r="F269" s="175" t="s">
        <v>1005</v>
      </c>
      <c r="G269" s="15" t="s">
        <v>364</v>
      </c>
      <c r="H269" s="176">
        <v>2070228</v>
      </c>
      <c r="I269" s="185" t="s">
        <v>260</v>
      </c>
      <c r="J269" s="113" t="str">
        <f>VLOOKUP($I269,'Price List, Weapons &amp; Items'!B:C,2,0)</f>
        <v>.</v>
      </c>
      <c r="K269" s="113" t="str">
        <f>IF(I269=".",I269,VLOOKUP($I269,'Price List, Weapons &amp; Items'!B:D,3,0))</f>
        <v>.</v>
      </c>
      <c r="L269" s="177">
        <f>VLOOKUP(I269,'Price List, Weapons &amp; Items'!B:E,4,0)</f>
        <v>0</v>
      </c>
      <c r="M269" s="542" t="s">
        <v>260</v>
      </c>
      <c r="N269" s="542" t="s">
        <v>260</v>
      </c>
      <c r="O269" s="543" t="str">
        <f>VLOOKUP($I269,'Price List, Weapons &amp; Items'!B:G,6,0)</f>
        <v>.</v>
      </c>
      <c r="P269" s="176" t="str">
        <f t="shared" si="57"/>
        <v>.</v>
      </c>
      <c r="Q269" s="176" t="str">
        <f t="shared" si="58"/>
        <v>.</v>
      </c>
      <c r="R269" s="176">
        <f t="shared" si="54"/>
        <v>2070228</v>
      </c>
      <c r="S269" s="176">
        <f>IF(AND(AD269=1,R269&lt;&gt;".")=TRUE,R269/VLOOKUP(G269,'Exchange Rates'!B:C,2,0),IF(R269=".",".",""))</f>
        <v>2070228</v>
      </c>
      <c r="T269" s="176" t="str">
        <f>IF(AD269=1,IF(AF269="Value is not given at all",".",IF(AF269="Value is given by the source",S269,IF(AF269="Value is calculated with prices",(IF(SUMIFS(Q:Q,A:A,A269)&gt;0,SUMIFS(Q:Q,A:A,A269),"."))/VLOOKUP("USD",'Exchange Rates'!B:C,2,0),"Error with coding"))),"")</f>
        <v>.</v>
      </c>
      <c r="U269" s="15" t="s">
        <v>261</v>
      </c>
      <c r="V269" s="300" t="s">
        <v>941</v>
      </c>
      <c r="W269" s="175" t="s">
        <v>260</v>
      </c>
      <c r="X269" s="175" t="s">
        <v>260</v>
      </c>
      <c r="Y269" s="175" t="s">
        <v>260</v>
      </c>
      <c r="Z269" s="15">
        <v>0</v>
      </c>
      <c r="AA269" s="180">
        <v>0</v>
      </c>
      <c r="AB269" s="17" t="s">
        <v>260</v>
      </c>
      <c r="AC269" s="544" t="str">
        <f>""</f>
        <v/>
      </c>
      <c r="AD269" s="183">
        <v>1</v>
      </c>
      <c r="AE269" s="183" t="s">
        <v>264</v>
      </c>
      <c r="AF269" s="183" t="s">
        <v>265</v>
      </c>
      <c r="AG269" s="183">
        <v>0</v>
      </c>
      <c r="AH269" s="181">
        <v>0</v>
      </c>
      <c r="AI269" s="181">
        <v>0</v>
      </c>
      <c r="AJ269" s="181">
        <f>VLOOKUP($I269,'Price List, Weapons &amp; Items'!B:F,5,0)</f>
        <v>0</v>
      </c>
      <c r="AK269" s="181">
        <f t="shared" si="59"/>
        <v>0</v>
      </c>
      <c r="AL269" s="181">
        <f t="shared" si="60"/>
        <v>0</v>
      </c>
      <c r="AM269" s="181">
        <f t="shared" si="61"/>
        <v>0</v>
      </c>
      <c r="AN269" s="180" t="str">
        <f>VLOOKUP($I269,'Price List, Weapons &amp; Items'!B:L,COLUMN('Price List, Weapons &amp; Items'!$J$11)-1,0)</f>
        <v>.</v>
      </c>
      <c r="AO269" s="180" t="str">
        <f>IF(I269=".",".",VLOOKUP($I269,'Price List, Weapons &amp; Items'!B:J,3,0))</f>
        <v>.</v>
      </c>
      <c r="AP269" s="545" t="e">
        <f t="shared" ca="1" si="55"/>
        <v>#NAME?</v>
      </c>
      <c r="AQ269" s="180" t="str">
        <f>VLOOKUP($I269,'Price List, Weapons &amp; Items'!B:L,COLUMN('Price List, Weapons &amp; Items'!$L$11)-1,0)</f>
        <v>no price, 0 count</v>
      </c>
      <c r="AR269" s="180">
        <f t="shared" si="62"/>
        <v>1</v>
      </c>
      <c r="AS269" s="180">
        <f t="shared" si="63"/>
        <v>0</v>
      </c>
      <c r="AT269" s="180" t="str">
        <f t="shared" si="56"/>
        <v>Value is not in date format</v>
      </c>
      <c r="AU269" s="180" t="str">
        <f t="shared" si="64"/>
        <v>.</v>
      </c>
      <c r="AV269" s="180" t="str">
        <f t="shared" si="65"/>
        <v>.</v>
      </c>
      <c r="AW269" s="180">
        <f>IFERROR(VLOOKUP(B269,'Share, Heavy Weapons to Ukraine'!B:J,COLUMN('Share, Heavy Weapons to Ukraine'!C276)-1,0),0)</f>
        <v>0</v>
      </c>
      <c r="AX269" s="180">
        <f>VLOOKUP('Bilateral Assistance, MAIN DATA'!B269,'Country Summary'!B:F,COLUMN('Country Summary'!C279)-1,FALSE)</f>
        <v>1</v>
      </c>
      <c r="AY269" s="180" t="str">
        <f>IF(AND(AD269=1,D269="Military",H269&lt;&gt;"Not given")=TRUE,IF(SUMIFS(P:P,A:A,A269)&gt;0,ABS((SUMIFS(P:P,A:A,A269)/VLOOKUP("USD",'Exchange Rates'!B:C,2,0)))/S269,"."),".")</f>
        <v>.</v>
      </c>
      <c r="AZ269" s="182" t="str">
        <f>IF(AND(AD269=1,D269="Military",H269&lt;&gt;"Not given")=TRUE,IF(SUMIFS(P:P,A:A,A269)&gt;0,IF((ABS((SUMIFS(P:P,A:A,A269)/VLOOKUP("USD",'Exchange Rates'!B:C,2,0)))/S269)&gt;1,(SUMIFS(P:P,A:A,A269)-S269)/S269,(S269-SUMIFS(P:P,A:A,A269))/SUMIFS(P:P,A:A,A269)),"."),".")</f>
        <v>.</v>
      </c>
      <c r="BA269" s="1024"/>
      <c r="BB269" s="1024"/>
      <c r="BC269" s="1024"/>
      <c r="BD269" s="1024"/>
      <c r="BE269" s="1024"/>
      <c r="BF269" s="1024"/>
      <c r="BG269" s="1024"/>
      <c r="BH269" s="1024"/>
      <c r="BI269" s="1024"/>
      <c r="BJ269" s="1024"/>
      <c r="BK269" s="1024"/>
      <c r="BL269" s="1024"/>
      <c r="BM269" s="1024"/>
      <c r="BN269" s="1024"/>
      <c r="BO269" s="1024"/>
      <c r="BP269" s="1024"/>
      <c r="BQ269" s="1024"/>
      <c r="BR269" s="1024"/>
      <c r="BS269" s="1024"/>
    </row>
    <row r="270" spans="1:71" s="520" customFormat="1" ht="15.9" customHeight="1" x14ac:dyDescent="0.3">
      <c r="A270" s="17" t="s">
        <v>1006</v>
      </c>
      <c r="B270" s="17" t="s">
        <v>937</v>
      </c>
      <c r="C270" s="174">
        <v>44686</v>
      </c>
      <c r="D270" s="5" t="s">
        <v>256</v>
      </c>
      <c r="E270" s="5" t="s">
        <v>878</v>
      </c>
      <c r="F270" s="175" t="s">
        <v>1007</v>
      </c>
      <c r="G270" s="15" t="s">
        <v>364</v>
      </c>
      <c r="H270" s="176">
        <v>2900000</v>
      </c>
      <c r="I270" s="17" t="s">
        <v>260</v>
      </c>
      <c r="J270" s="113" t="str">
        <f>VLOOKUP($I270,'Price List, Weapons &amp; Items'!B:C,2,0)</f>
        <v>.</v>
      </c>
      <c r="K270" s="113" t="str">
        <f>IF(I270=".",I270,VLOOKUP($I270,'Price List, Weapons &amp; Items'!B:D,3,0))</f>
        <v>.</v>
      </c>
      <c r="L270" s="177">
        <f>VLOOKUP(I270,'Price List, Weapons &amp; Items'!B:E,4,0)</f>
        <v>0</v>
      </c>
      <c r="M270" s="542" t="s">
        <v>260</v>
      </c>
      <c r="N270" s="542" t="s">
        <v>260</v>
      </c>
      <c r="O270" s="543" t="str">
        <f>VLOOKUP($I270,'Price List, Weapons &amp; Items'!B:G,6,0)</f>
        <v>.</v>
      </c>
      <c r="P270" s="176" t="str">
        <f t="shared" si="57"/>
        <v>.</v>
      </c>
      <c r="Q270" s="176" t="str">
        <f t="shared" si="58"/>
        <v>.</v>
      </c>
      <c r="R270" s="176">
        <f t="shared" si="54"/>
        <v>2900000</v>
      </c>
      <c r="S270" s="176">
        <f>IF(AND(AD270=1,R270&lt;&gt;".")=TRUE,R270/VLOOKUP(G270,'Exchange Rates'!B:C,2,0),IF(R270=".",".",""))</f>
        <v>2900000</v>
      </c>
      <c r="T270" s="176" t="str">
        <f>IF(AD270=1,IF(AF270="Value is not given at all",".",IF(AF270="Value is given by the source",S270,IF(AF270="Value is calculated with prices",(IF(SUMIFS(Q:Q,A:A,A270)&gt;0,SUMIFS(Q:Q,A:A,A270),"."))/VLOOKUP("USD",'Exchange Rates'!B:C,2,0),"Error with coding"))),"")</f>
        <v>.</v>
      </c>
      <c r="U270" s="15" t="s">
        <v>261</v>
      </c>
      <c r="V270" s="300" t="s">
        <v>1008</v>
      </c>
      <c r="W270" s="175" t="s">
        <v>260</v>
      </c>
      <c r="X270" s="175" t="s">
        <v>260</v>
      </c>
      <c r="Y270" s="175" t="s">
        <v>260</v>
      </c>
      <c r="Z270" s="15">
        <v>0</v>
      </c>
      <c r="AA270" s="180">
        <v>0</v>
      </c>
      <c r="AB270" s="184" t="s">
        <v>260</v>
      </c>
      <c r="AC270" s="544" t="str">
        <f>""</f>
        <v/>
      </c>
      <c r="AD270" s="181">
        <v>1</v>
      </c>
      <c r="AE270" s="181" t="s">
        <v>264</v>
      </c>
      <c r="AF270" s="181" t="s">
        <v>265</v>
      </c>
      <c r="AG270" s="181">
        <v>1</v>
      </c>
      <c r="AH270" s="181">
        <v>5</v>
      </c>
      <c r="AI270" s="181">
        <v>0</v>
      </c>
      <c r="AJ270" s="181">
        <f>VLOOKUP($I270,'Price List, Weapons &amp; Items'!B:F,5,0)</f>
        <v>0</v>
      </c>
      <c r="AK270" s="181">
        <f t="shared" si="59"/>
        <v>0</v>
      </c>
      <c r="AL270" s="181">
        <f t="shared" si="60"/>
        <v>0</v>
      </c>
      <c r="AM270" s="181">
        <f t="shared" si="61"/>
        <v>0</v>
      </c>
      <c r="AN270" s="180" t="str">
        <f>VLOOKUP($I270,'Price List, Weapons &amp; Items'!B:L,COLUMN('Price List, Weapons &amp; Items'!$J$11)-1,0)</f>
        <v>.</v>
      </c>
      <c r="AO270" s="180" t="str">
        <f>IF(I270=".",".",VLOOKUP($I270,'Price List, Weapons &amp; Items'!B:J,3,0))</f>
        <v>.</v>
      </c>
      <c r="AP270" s="545" t="e">
        <f t="shared" ca="1" si="55"/>
        <v>#NAME?</v>
      </c>
      <c r="AQ270" s="180" t="str">
        <f>VLOOKUP($I270,'Price List, Weapons &amp; Items'!B:L,COLUMN('Price List, Weapons &amp; Items'!$L$11)-1,0)</f>
        <v>no price, 0 count</v>
      </c>
      <c r="AR270" s="180">
        <f t="shared" si="62"/>
        <v>1</v>
      </c>
      <c r="AS270" s="180">
        <f t="shared" si="63"/>
        <v>0</v>
      </c>
      <c r="AT270" s="180">
        <f t="shared" si="56"/>
        <v>1</v>
      </c>
      <c r="AU270" s="180" t="str">
        <f t="shared" si="64"/>
        <v>.</v>
      </c>
      <c r="AV270" s="180" t="str">
        <f t="shared" si="65"/>
        <v>.</v>
      </c>
      <c r="AW270" s="180">
        <f>IFERROR(VLOOKUP(B270,'Share, Heavy Weapons to Ukraine'!B:J,COLUMN('Share, Heavy Weapons to Ukraine'!C277)-1,0),0)</f>
        <v>0</v>
      </c>
      <c r="AX270" s="180">
        <f>VLOOKUP('Bilateral Assistance, MAIN DATA'!B270,'Country Summary'!B:F,COLUMN('Country Summary'!C280)-1,FALSE)</f>
        <v>1</v>
      </c>
      <c r="AY270" s="180" t="str">
        <f>IF(AND(AD270=1,D270="Military",H270&lt;&gt;"Not given")=TRUE,IF(SUMIFS(P:P,A:A,A270)&gt;0,ABS((SUMIFS(P:P,A:A,A270)/VLOOKUP("USD",'Exchange Rates'!B:C,2,0)))/S270,"."),".")</f>
        <v>.</v>
      </c>
      <c r="AZ270" s="182" t="str">
        <f>IF(AND(AD270=1,D270="Military",H270&lt;&gt;"Not given")=TRUE,IF(SUMIFS(P:P,A:A,A270)&gt;0,IF((ABS((SUMIFS(P:P,A:A,A270)/VLOOKUP("USD",'Exchange Rates'!B:C,2,0)))/S270)&gt;1,(SUMIFS(P:P,A:A,A270)-S270)/S270,(S270-SUMIFS(P:P,A:A,A270))/SUMIFS(P:P,A:A,A270)),"."),".")</f>
        <v>.</v>
      </c>
      <c r="BA270" s="1024"/>
      <c r="BB270" s="1024"/>
      <c r="BC270" s="1024"/>
      <c r="BD270" s="1024"/>
      <c r="BE270" s="1024"/>
      <c r="BF270" s="1024"/>
      <c r="BG270" s="1024"/>
      <c r="BH270" s="1024"/>
      <c r="BI270" s="1024"/>
      <c r="BJ270" s="1024"/>
      <c r="BK270" s="1024"/>
      <c r="BL270" s="1024"/>
      <c r="BM270" s="1024"/>
      <c r="BN270" s="1024"/>
      <c r="BO270" s="1024"/>
      <c r="BP270" s="1024"/>
      <c r="BQ270" s="1024"/>
      <c r="BR270" s="1024"/>
      <c r="BS270" s="1024"/>
    </row>
    <row r="271" spans="1:71" s="520" customFormat="1" ht="15.9" customHeight="1" x14ac:dyDescent="0.3">
      <c r="A271" s="17" t="s">
        <v>1006</v>
      </c>
      <c r="B271" s="17" t="s">
        <v>937</v>
      </c>
      <c r="C271" s="174">
        <v>44728</v>
      </c>
      <c r="D271" s="5" t="s">
        <v>256</v>
      </c>
      <c r="E271" s="5" t="s">
        <v>878</v>
      </c>
      <c r="F271" s="175" t="s">
        <v>1009</v>
      </c>
      <c r="G271" s="15" t="s">
        <v>364</v>
      </c>
      <c r="H271" s="176">
        <v>2900000</v>
      </c>
      <c r="I271" s="17" t="s">
        <v>1010</v>
      </c>
      <c r="J271" s="113" t="str">
        <f>VLOOKUP($I271,'Price List, Weapons &amp; Items'!B:C,2,0)</f>
        <v>Humanitarian</v>
      </c>
      <c r="K271" s="113" t="str">
        <f>IF(I271=".",I271,VLOOKUP($I271,'Price List, Weapons &amp; Items'!B:D,3,0))</f>
        <v>Humanitarian</v>
      </c>
      <c r="L271" s="177">
        <f>VLOOKUP(I271,'Price List, Weapons &amp; Items'!B:E,4,0)</f>
        <v>0</v>
      </c>
      <c r="M271" s="542">
        <v>5</v>
      </c>
      <c r="N271" s="542">
        <v>5</v>
      </c>
      <c r="O271" s="543">
        <f>VLOOKUP($I271,'Price List, Weapons &amp; Items'!B:G,6,0)</f>
        <v>83142</v>
      </c>
      <c r="P271" s="176">
        <f t="shared" si="57"/>
        <v>415710</v>
      </c>
      <c r="Q271" s="176">
        <f t="shared" si="58"/>
        <v>415710</v>
      </c>
      <c r="R271" s="176" t="str">
        <f t="shared" si="54"/>
        <v/>
      </c>
      <c r="S271" s="176" t="str">
        <f>IF(AND(AD271=1,R271&lt;&gt;".")=TRUE,R271/VLOOKUP(G271,'Exchange Rates'!B:C,2,0),IF(R271=".",".",""))</f>
        <v/>
      </c>
      <c r="T271" s="176" t="str">
        <f>IF(AD271=1,IF(AF271="Value is not given at all",".",IF(AF271="Value is given by the source",S271,IF(AF271="Value is calculated with prices",(IF(SUMIFS(Q:Q,A:A,A271)&gt;0,SUMIFS(Q:Q,A:A,A271),"."))/VLOOKUP("USD",'Exchange Rates'!B:C,2,0),"Error with coding"))),"")</f>
        <v/>
      </c>
      <c r="U271" s="15" t="s">
        <v>261</v>
      </c>
      <c r="V271" s="300" t="s">
        <v>1011</v>
      </c>
      <c r="W271" s="546" t="s">
        <v>1012</v>
      </c>
      <c r="X271" s="175" t="s">
        <v>260</v>
      </c>
      <c r="Y271" s="175" t="s">
        <v>260</v>
      </c>
      <c r="Z271" s="15">
        <v>0</v>
      </c>
      <c r="AA271" s="180">
        <v>0</v>
      </c>
      <c r="AB271" s="184" t="s">
        <v>260</v>
      </c>
      <c r="AC271" s="544" t="str">
        <f>""</f>
        <v/>
      </c>
      <c r="AD271" s="181">
        <v>0</v>
      </c>
      <c r="AE271" s="181" t="s">
        <v>332</v>
      </c>
      <c r="AF271" s="181" t="s">
        <v>332</v>
      </c>
      <c r="AG271" s="181">
        <v>1</v>
      </c>
      <c r="AH271" s="181">
        <v>6</v>
      </c>
      <c r="AI271" s="181">
        <v>0</v>
      </c>
      <c r="AJ271" s="181">
        <f>VLOOKUP($I271,'Price List, Weapons &amp; Items'!B:F,5,0)</f>
        <v>0</v>
      </c>
      <c r="AK271" s="181">
        <f t="shared" si="59"/>
        <v>0</v>
      </c>
      <c r="AL271" s="181">
        <f t="shared" si="60"/>
        <v>0</v>
      </c>
      <c r="AM271" s="181">
        <f t="shared" si="61"/>
        <v>0</v>
      </c>
      <c r="AN271" s="180" t="str">
        <f>VLOOKUP($I271,'Price List, Weapons &amp; Items'!B:L,COLUMN('Price List, Weapons &amp; Items'!$J$11)-1,0)</f>
        <v>Online marketplace and stores</v>
      </c>
      <c r="AO271" s="180" t="str">
        <f>IF(I271=".",".",VLOOKUP($I271,'Price List, Weapons &amp; Items'!B:J,3,0))</f>
        <v>Humanitarian</v>
      </c>
      <c r="AP271" s="545" t="str">
        <f t="shared" ca="1" si="55"/>
        <v/>
      </c>
      <c r="AQ271" s="180">
        <f>VLOOKUP($I271,'Price List, Weapons &amp; Items'!B:L,COLUMN('Price List, Weapons &amp; Items'!$L$11)-1,0)</f>
        <v>0</v>
      </c>
      <c r="AR271" s="180">
        <f t="shared" si="62"/>
        <v>1</v>
      </c>
      <c r="AS271" s="180">
        <f t="shared" si="63"/>
        <v>0</v>
      </c>
      <c r="AT271" s="180">
        <f t="shared" si="56"/>
        <v>1</v>
      </c>
      <c r="AU271" s="180" t="str">
        <f t="shared" si="64"/>
        <v>.</v>
      </c>
      <c r="AV271" s="180" t="str">
        <f t="shared" si="65"/>
        <v>.</v>
      </c>
      <c r="AW271" s="180">
        <f>IFERROR(VLOOKUP(B271,'Share, Heavy Weapons to Ukraine'!B:J,COLUMN('Share, Heavy Weapons to Ukraine'!C278)-1,0),0)</f>
        <v>0</v>
      </c>
      <c r="AX271" s="180">
        <f>VLOOKUP('Bilateral Assistance, MAIN DATA'!B271,'Country Summary'!B:F,COLUMN('Country Summary'!C281)-1,FALSE)</f>
        <v>1</v>
      </c>
      <c r="AY271" s="180" t="str">
        <f>IF(AND(AD271=1,D271="Military",H271&lt;&gt;"Not given")=TRUE,IF(SUMIFS(P:P,A:A,A271)&gt;0,ABS((SUMIFS(P:P,A:A,A271)/VLOOKUP("USD",'Exchange Rates'!B:C,2,0)))/S271,"."),".")</f>
        <v>.</v>
      </c>
      <c r="AZ271" s="182" t="str">
        <f>IF(AND(AD271=1,D271="Military",H271&lt;&gt;"Not given")=TRUE,IF(SUMIFS(P:P,A:A,A271)&gt;0,IF((ABS((SUMIFS(P:P,A:A,A271)/VLOOKUP("USD",'Exchange Rates'!B:C,2,0)))/S271)&gt;1,(SUMIFS(P:P,A:A,A271)-S271)/S271,(S271-SUMIFS(P:P,A:A,A271))/SUMIFS(P:P,A:A,A271)),"."),".")</f>
        <v>.</v>
      </c>
      <c r="BA271" s="1024"/>
      <c r="BB271" s="1024"/>
      <c r="BC271" s="1024"/>
      <c r="BD271" s="1024"/>
      <c r="BE271" s="1024"/>
      <c r="BF271" s="1024"/>
      <c r="BG271" s="1024"/>
      <c r="BH271" s="1024"/>
      <c r="BI271" s="1024"/>
      <c r="BJ271" s="1024"/>
      <c r="BK271" s="1024"/>
      <c r="BL271" s="1024"/>
      <c r="BM271" s="1024"/>
      <c r="BN271" s="1024"/>
      <c r="BO271" s="1024"/>
      <c r="BP271" s="1024"/>
      <c r="BQ271" s="1024"/>
      <c r="BR271" s="1024"/>
      <c r="BS271" s="1024"/>
    </row>
    <row r="272" spans="1:71" s="520" customFormat="1" ht="15.9" customHeight="1" x14ac:dyDescent="0.3">
      <c r="A272" s="17" t="s">
        <v>1006</v>
      </c>
      <c r="B272" s="17" t="s">
        <v>937</v>
      </c>
      <c r="C272" s="174">
        <v>44775</v>
      </c>
      <c r="D272" s="5" t="s">
        <v>256</v>
      </c>
      <c r="E272" s="5" t="s">
        <v>878</v>
      </c>
      <c r="F272" s="175" t="s">
        <v>1013</v>
      </c>
      <c r="G272" s="15" t="s">
        <v>364</v>
      </c>
      <c r="H272" s="176">
        <v>2900000</v>
      </c>
      <c r="I272" s="17" t="s">
        <v>1014</v>
      </c>
      <c r="J272" s="113" t="str">
        <f>VLOOKUP($I272,'Price List, Weapons &amp; Items'!B:C,2,0)</f>
        <v>Humanitarian</v>
      </c>
      <c r="K272" s="113" t="str">
        <f>IF(I272=".",I272,VLOOKUP($I272,'Price List, Weapons &amp; Items'!B:D,3,0))</f>
        <v>Humanitarian</v>
      </c>
      <c r="L272" s="177">
        <f>VLOOKUP(I272,'Price List, Weapons &amp; Items'!B:E,4,0)</f>
        <v>0</v>
      </c>
      <c r="M272" s="542">
        <v>1</v>
      </c>
      <c r="N272" s="542" t="s">
        <v>270</v>
      </c>
      <c r="O272" s="543" t="str">
        <f>VLOOKUP($I272,'Price List, Weapons &amp; Items'!B:G,6,0)</f>
        <v>.</v>
      </c>
      <c r="P272" s="176" t="str">
        <f t="shared" si="57"/>
        <v>No price</v>
      </c>
      <c r="Q272" s="176" t="str">
        <f t="shared" si="58"/>
        <v>.</v>
      </c>
      <c r="R272" s="176" t="str">
        <f t="shared" si="54"/>
        <v/>
      </c>
      <c r="S272" s="176" t="str">
        <f>IF(AND(AD272=1,R272&lt;&gt;".")=TRUE,R272/VLOOKUP(G272,'Exchange Rates'!B:C,2,0),IF(R272=".",".",""))</f>
        <v/>
      </c>
      <c r="T272" s="176" t="str">
        <f>IF(AD272=1,IF(AF272="Value is not given at all",".",IF(AF272="Value is given by the source",S272,IF(AF272="Value is calculated with prices",(IF(SUMIFS(Q:Q,A:A,A272)&gt;0,SUMIFS(Q:Q,A:A,A272),"."))/VLOOKUP("USD",'Exchange Rates'!B:C,2,0),"Error with coding"))),"")</f>
        <v/>
      </c>
      <c r="U272" s="15" t="s">
        <v>261</v>
      </c>
      <c r="V272" s="300" t="s">
        <v>1015</v>
      </c>
      <c r="W272" s="546" t="s">
        <v>1016</v>
      </c>
      <c r="X272" s="175" t="s">
        <v>260</v>
      </c>
      <c r="Y272" s="175" t="s">
        <v>260</v>
      </c>
      <c r="Z272" s="15">
        <v>0</v>
      </c>
      <c r="AA272" s="180">
        <v>0</v>
      </c>
      <c r="AB272" s="184" t="s">
        <v>260</v>
      </c>
      <c r="AC272" s="544" t="str">
        <f>""</f>
        <v/>
      </c>
      <c r="AD272" s="181">
        <v>0</v>
      </c>
      <c r="AE272" s="181" t="s">
        <v>265</v>
      </c>
      <c r="AF272" s="181" t="s">
        <v>265</v>
      </c>
      <c r="AG272" s="181">
        <v>1</v>
      </c>
      <c r="AH272" s="181">
        <v>8</v>
      </c>
      <c r="AI272" s="181">
        <v>0</v>
      </c>
      <c r="AJ272" s="181">
        <f>VLOOKUP($I272,'Price List, Weapons &amp; Items'!B:F,5,0)</f>
        <v>0</v>
      </c>
      <c r="AK272" s="181">
        <f t="shared" si="59"/>
        <v>0</v>
      </c>
      <c r="AL272" s="181">
        <f t="shared" si="60"/>
        <v>0</v>
      </c>
      <c r="AM272" s="181">
        <f t="shared" si="61"/>
        <v>0</v>
      </c>
      <c r="AN272" s="180" t="str">
        <f>VLOOKUP($I272,'Price List, Weapons &amp; Items'!B:L,COLUMN('Price List, Weapons &amp; Items'!$J$11)-1,0)</f>
        <v>.</v>
      </c>
      <c r="AO272" s="180" t="str">
        <f>IF(I272=".",".",VLOOKUP($I272,'Price List, Weapons &amp; Items'!B:J,3,0))</f>
        <v>Humanitarian</v>
      </c>
      <c r="AP272" s="545" t="str">
        <f t="shared" ca="1" si="55"/>
        <v/>
      </c>
      <c r="AQ272" s="180">
        <f>VLOOKUP($I272,'Price List, Weapons &amp; Items'!B:L,COLUMN('Price List, Weapons &amp; Items'!$L$11)-1,0)</f>
        <v>0</v>
      </c>
      <c r="AR272" s="180">
        <f t="shared" si="62"/>
        <v>1</v>
      </c>
      <c r="AS272" s="180">
        <f t="shared" si="63"/>
        <v>0</v>
      </c>
      <c r="AT272" s="180">
        <f t="shared" si="56"/>
        <v>1</v>
      </c>
      <c r="AU272" s="180" t="str">
        <f t="shared" si="64"/>
        <v>.</v>
      </c>
      <c r="AV272" s="180" t="str">
        <f t="shared" si="65"/>
        <v>.</v>
      </c>
      <c r="AW272" s="180">
        <f>IFERROR(VLOOKUP(B272,'Share, Heavy Weapons to Ukraine'!B:J,COLUMN('Share, Heavy Weapons to Ukraine'!C279)-1,0),0)</f>
        <v>0</v>
      </c>
      <c r="AX272" s="180">
        <f>VLOOKUP('Bilateral Assistance, MAIN DATA'!B272,'Country Summary'!B:F,COLUMN('Country Summary'!C282)-1,FALSE)</f>
        <v>1</v>
      </c>
      <c r="AY272" s="180" t="str">
        <f>IF(AND(AD272=1,D272="Military",H272&lt;&gt;"Not given")=TRUE,IF(SUMIFS(P:P,A:A,A272)&gt;0,ABS((SUMIFS(P:P,A:A,A272)/VLOOKUP("USD",'Exchange Rates'!B:C,2,0)))/S272,"."),".")</f>
        <v>.</v>
      </c>
      <c r="AZ272" s="182" t="str">
        <f>IF(AND(AD272=1,D272="Military",H272&lt;&gt;"Not given")=TRUE,IF(SUMIFS(P:P,A:A,A272)&gt;0,IF((ABS((SUMIFS(P:P,A:A,A272)/VLOOKUP("USD",'Exchange Rates'!B:C,2,0)))/S272)&gt;1,(SUMIFS(P:P,A:A,A272)-S272)/S272,(S272-SUMIFS(P:P,A:A,A272))/SUMIFS(P:P,A:A,A272)),"."),".")</f>
        <v>.</v>
      </c>
      <c r="BA272" s="1024"/>
      <c r="BB272" s="1024"/>
      <c r="BC272" s="1024"/>
      <c r="BD272" s="1024"/>
      <c r="BE272" s="1024"/>
      <c r="BF272" s="1024"/>
      <c r="BG272" s="1024"/>
      <c r="BH272" s="1024"/>
      <c r="BI272" s="1024"/>
      <c r="BJ272" s="1024"/>
      <c r="BK272" s="1024"/>
      <c r="BL272" s="1024"/>
      <c r="BM272" s="1024"/>
      <c r="BN272" s="1024"/>
      <c r="BO272" s="1024"/>
      <c r="BP272" s="1024"/>
      <c r="BQ272" s="1024"/>
      <c r="BR272" s="1024"/>
      <c r="BS272" s="1024"/>
    </row>
    <row r="273" spans="1:71" s="520" customFormat="1" ht="15.9" customHeight="1" x14ac:dyDescent="0.3">
      <c r="A273" s="17" t="s">
        <v>1006</v>
      </c>
      <c r="B273" s="17" t="s">
        <v>937</v>
      </c>
      <c r="C273" s="174">
        <v>44828</v>
      </c>
      <c r="D273" s="5" t="s">
        <v>256</v>
      </c>
      <c r="E273" s="5" t="s">
        <v>878</v>
      </c>
      <c r="F273" s="175" t="s">
        <v>1017</v>
      </c>
      <c r="G273" s="15" t="s">
        <v>364</v>
      </c>
      <c r="H273" s="176">
        <v>2900000</v>
      </c>
      <c r="I273" s="17" t="s">
        <v>1010</v>
      </c>
      <c r="J273" s="113" t="str">
        <f>VLOOKUP($I273,'Price List, Weapons &amp; Items'!B:C,2,0)</f>
        <v>Humanitarian</v>
      </c>
      <c r="K273" s="113" t="str">
        <f>IF(I273=".",I273,VLOOKUP($I273,'Price List, Weapons &amp; Items'!B:D,3,0))</f>
        <v>Humanitarian</v>
      </c>
      <c r="L273" s="177">
        <f>VLOOKUP(I273,'Price List, Weapons &amp; Items'!B:E,4,0)</f>
        <v>0</v>
      </c>
      <c r="M273" s="542">
        <v>12</v>
      </c>
      <c r="N273" s="542">
        <v>12</v>
      </c>
      <c r="O273" s="543">
        <f>VLOOKUP($I273,'Price List, Weapons &amp; Items'!B:G,6,0)</f>
        <v>83142</v>
      </c>
      <c r="P273" s="176">
        <f t="shared" si="57"/>
        <v>997704</v>
      </c>
      <c r="Q273" s="176">
        <f t="shared" si="58"/>
        <v>997704</v>
      </c>
      <c r="R273" s="176" t="str">
        <f t="shared" si="54"/>
        <v/>
      </c>
      <c r="S273" s="176" t="str">
        <f>IF(AND(AD273=1,R273&lt;&gt;".")=TRUE,R273/VLOOKUP(G273,'Exchange Rates'!B:C,2,0),IF(R273=".",".",""))</f>
        <v/>
      </c>
      <c r="T273" s="176" t="str">
        <f>IF(AD273=1,IF(AF273="Value is not given at all",".",IF(AF273="Value is given by the source",S273,IF(AF273="Value is calculated with prices",(IF(SUMIFS(Q:Q,A:A,A273)&gt;0,SUMIFS(Q:Q,A:A,A273),"."))/VLOOKUP("USD",'Exchange Rates'!B:C,2,0),"Error with coding"))),"")</f>
        <v/>
      </c>
      <c r="U273" s="15" t="s">
        <v>261</v>
      </c>
      <c r="V273" s="300" t="s">
        <v>1012</v>
      </c>
      <c r="W273" s="546" t="s">
        <v>1018</v>
      </c>
      <c r="X273" s="546" t="s">
        <v>1019</v>
      </c>
      <c r="Y273" s="175" t="s">
        <v>260</v>
      </c>
      <c r="Z273" s="15">
        <v>0</v>
      </c>
      <c r="AA273" s="180">
        <v>0</v>
      </c>
      <c r="AB273" s="184" t="s">
        <v>260</v>
      </c>
      <c r="AC273" s="544" t="str">
        <f>""</f>
        <v/>
      </c>
      <c r="AD273" s="181">
        <v>0</v>
      </c>
      <c r="AE273" s="181" t="s">
        <v>332</v>
      </c>
      <c r="AF273" s="181" t="s">
        <v>332</v>
      </c>
      <c r="AG273" s="181">
        <v>1</v>
      </c>
      <c r="AH273" s="181">
        <v>9</v>
      </c>
      <c r="AI273" s="181">
        <v>0</v>
      </c>
      <c r="AJ273" s="181">
        <f>VLOOKUP($I273,'Price List, Weapons &amp; Items'!B:F,5,0)</f>
        <v>0</v>
      </c>
      <c r="AK273" s="181">
        <f t="shared" si="59"/>
        <v>0</v>
      </c>
      <c r="AL273" s="181">
        <f t="shared" si="60"/>
        <v>0</v>
      </c>
      <c r="AM273" s="181">
        <f t="shared" si="61"/>
        <v>0</v>
      </c>
      <c r="AN273" s="180" t="str">
        <f>VLOOKUP($I273,'Price List, Weapons &amp; Items'!B:L,COLUMN('Price List, Weapons &amp; Items'!$J$11)-1,0)</f>
        <v>Online marketplace and stores</v>
      </c>
      <c r="AO273" s="180" t="str">
        <f>IF(I273=".",".",VLOOKUP($I273,'Price List, Weapons &amp; Items'!B:J,3,0))</f>
        <v>Humanitarian</v>
      </c>
      <c r="AP273" s="545" t="str">
        <f t="shared" ca="1" si="55"/>
        <v/>
      </c>
      <c r="AQ273" s="180">
        <f>VLOOKUP($I273,'Price List, Weapons &amp; Items'!B:L,COLUMN('Price List, Weapons &amp; Items'!$L$11)-1,0)</f>
        <v>0</v>
      </c>
      <c r="AR273" s="180">
        <f t="shared" si="62"/>
        <v>1</v>
      </c>
      <c r="AS273" s="180">
        <f t="shared" si="63"/>
        <v>0</v>
      </c>
      <c r="AT273" s="180">
        <f t="shared" si="56"/>
        <v>1</v>
      </c>
      <c r="AU273" s="180" t="str">
        <f t="shared" si="64"/>
        <v>.</v>
      </c>
      <c r="AV273" s="180" t="str">
        <f t="shared" si="65"/>
        <v>.</v>
      </c>
      <c r="AW273" s="180">
        <f>IFERROR(VLOOKUP(B273,'Share, Heavy Weapons to Ukraine'!B:J,COLUMN('Share, Heavy Weapons to Ukraine'!C280)-1,0),0)</f>
        <v>0</v>
      </c>
      <c r="AX273" s="180">
        <f>VLOOKUP('Bilateral Assistance, MAIN DATA'!B273,'Country Summary'!B:F,COLUMN('Country Summary'!C283)-1,FALSE)</f>
        <v>1</v>
      </c>
      <c r="AY273" s="180" t="str">
        <f>IF(AND(AD273=1,D273="Military",H273&lt;&gt;"Not given")=TRUE,IF(SUMIFS(P:P,A:A,A273)&gt;0,ABS((SUMIFS(P:P,A:A,A273)/VLOOKUP("USD",'Exchange Rates'!B:C,2,0)))/S273,"."),".")</f>
        <v>.</v>
      </c>
      <c r="AZ273" s="182" t="str">
        <f>IF(AND(AD273=1,D273="Military",H273&lt;&gt;"Not given")=TRUE,IF(SUMIFS(P:P,A:A,A273)&gt;0,IF((ABS((SUMIFS(P:P,A:A,A273)/VLOOKUP("USD",'Exchange Rates'!B:C,2,0)))/S273)&gt;1,(SUMIFS(P:P,A:A,A273)-S273)/S273,(S273-SUMIFS(P:P,A:A,A273))/SUMIFS(P:P,A:A,A273)),"."),".")</f>
        <v>.</v>
      </c>
      <c r="BA273" s="1024"/>
      <c r="BB273" s="1024"/>
      <c r="BC273" s="1024"/>
      <c r="BD273" s="1024"/>
      <c r="BE273" s="1024"/>
      <c r="BF273" s="1024"/>
      <c r="BG273" s="1024"/>
      <c r="BH273" s="1024"/>
      <c r="BI273" s="1024"/>
      <c r="BJ273" s="1024"/>
      <c r="BK273" s="1024"/>
      <c r="BL273" s="1024"/>
      <c r="BM273" s="1024"/>
      <c r="BN273" s="1024"/>
      <c r="BO273" s="1024"/>
      <c r="BP273" s="1024"/>
      <c r="BQ273" s="1024"/>
      <c r="BR273" s="1024"/>
      <c r="BS273" s="1024"/>
    </row>
    <row r="274" spans="1:71" s="520" customFormat="1" ht="15.9" customHeight="1" x14ac:dyDescent="0.3">
      <c r="A274" s="17" t="s">
        <v>1006</v>
      </c>
      <c r="B274" s="17" t="s">
        <v>937</v>
      </c>
      <c r="C274" s="174">
        <v>44833</v>
      </c>
      <c r="D274" s="5" t="s">
        <v>256</v>
      </c>
      <c r="E274" s="5" t="s">
        <v>878</v>
      </c>
      <c r="F274" s="175" t="s">
        <v>1020</v>
      </c>
      <c r="G274" s="15" t="s">
        <v>364</v>
      </c>
      <c r="H274" s="176">
        <v>2900000</v>
      </c>
      <c r="I274" s="155" t="s">
        <v>1021</v>
      </c>
      <c r="J274" s="113" t="str">
        <f>VLOOKUP($I274,'Price List, Weapons &amp; Items'!B:C,2,0)</f>
        <v>Humanitarian</v>
      </c>
      <c r="K274" s="113" t="str">
        <f>IF(I274=".",I274,VLOOKUP($I274,'Price List, Weapons &amp; Items'!B:D,3,0))</f>
        <v>Humanitarian</v>
      </c>
      <c r="L274" s="177">
        <f>VLOOKUP(I274,'Price List, Weapons &amp; Items'!B:E,4,0)</f>
        <v>0</v>
      </c>
      <c r="M274" s="542" t="s">
        <v>270</v>
      </c>
      <c r="N274" s="542" t="s">
        <v>270</v>
      </c>
      <c r="O274" s="543" t="str">
        <f>VLOOKUP($I274,'Price List, Weapons &amp; Items'!B:G,6,0)</f>
        <v>.</v>
      </c>
      <c r="P274" s="176" t="str">
        <f t="shared" si="57"/>
        <v>.</v>
      </c>
      <c r="Q274" s="176" t="str">
        <f t="shared" si="58"/>
        <v>.</v>
      </c>
      <c r="R274" s="176" t="str">
        <f t="shared" si="54"/>
        <v/>
      </c>
      <c r="S274" s="176" t="str">
        <f>IF(AND(AD274=1,R274&lt;&gt;".")=TRUE,R274/VLOOKUP(G274,'Exchange Rates'!B:C,2,0),IF(R274=".",".",""))</f>
        <v/>
      </c>
      <c r="T274" s="176" t="str">
        <f>IF(AD274=1,IF(AF274="Value is not given at all",".",IF(AF274="Value is given by the source",S274,IF(AF274="Value is calculated with prices",(IF(SUMIFS(Q:Q,A:A,A274)&gt;0,SUMIFS(Q:Q,A:A,A274),"."))/VLOOKUP("USD",'Exchange Rates'!B:C,2,0),"Error with coding"))),"")</f>
        <v/>
      </c>
      <c r="U274" s="15" t="s">
        <v>261</v>
      </c>
      <c r="V274" s="300" t="s">
        <v>1022</v>
      </c>
      <c r="W274" s="546" t="s">
        <v>1023</v>
      </c>
      <c r="X274" s="668" t="s">
        <v>260</v>
      </c>
      <c r="Y274" s="175" t="s">
        <v>260</v>
      </c>
      <c r="Z274" s="15">
        <v>0</v>
      </c>
      <c r="AA274" s="180">
        <v>0</v>
      </c>
      <c r="AB274" s="184" t="s">
        <v>260</v>
      </c>
      <c r="AC274" s="544" t="str">
        <f>""</f>
        <v/>
      </c>
      <c r="AD274" s="181">
        <v>0</v>
      </c>
      <c r="AE274" s="181" t="s">
        <v>265</v>
      </c>
      <c r="AF274" s="181" t="s">
        <v>265</v>
      </c>
      <c r="AG274" s="181">
        <v>1</v>
      </c>
      <c r="AH274" s="181">
        <v>9</v>
      </c>
      <c r="AI274" s="181">
        <v>0</v>
      </c>
      <c r="AJ274" s="181">
        <f>VLOOKUP($I274,'Price List, Weapons &amp; Items'!B:F,5,0)</f>
        <v>0</v>
      </c>
      <c r="AK274" s="181">
        <f t="shared" si="59"/>
        <v>0</v>
      </c>
      <c r="AL274" s="181">
        <f t="shared" si="60"/>
        <v>0</v>
      </c>
      <c r="AM274" s="181">
        <f t="shared" si="61"/>
        <v>0</v>
      </c>
      <c r="AN274" s="180" t="str">
        <f>VLOOKUP($I274,'Price List, Weapons &amp; Items'!B:L,COLUMN('Price List, Weapons &amp; Items'!$J$11)-1,0)</f>
        <v>.</v>
      </c>
      <c r="AO274" s="180" t="str">
        <f>IF(I274=".",".",VLOOKUP($I274,'Price List, Weapons &amp; Items'!B:J,3,0))</f>
        <v>Humanitarian</v>
      </c>
      <c r="AP274" s="545" t="str">
        <f t="shared" ca="1" si="55"/>
        <v/>
      </c>
      <c r="AQ274" s="180">
        <f>VLOOKUP($I274,'Price List, Weapons &amp; Items'!B:L,COLUMN('Price List, Weapons &amp; Items'!$L$11)-1,0)</f>
        <v>0</v>
      </c>
      <c r="AR274" s="180">
        <f t="shared" si="62"/>
        <v>1</v>
      </c>
      <c r="AS274" s="180">
        <f t="shared" si="63"/>
        <v>0</v>
      </c>
      <c r="AT274" s="180">
        <f t="shared" si="56"/>
        <v>1</v>
      </c>
      <c r="AU274" s="180" t="str">
        <f t="shared" si="64"/>
        <v>.</v>
      </c>
      <c r="AV274" s="180" t="str">
        <f t="shared" si="65"/>
        <v>.</v>
      </c>
      <c r="AW274" s="180">
        <f>IFERROR(VLOOKUP(B274,'Share, Heavy Weapons to Ukraine'!B:J,COLUMN('Share, Heavy Weapons to Ukraine'!C281)-1,0),0)</f>
        <v>0</v>
      </c>
      <c r="AX274" s="180">
        <f>VLOOKUP('Bilateral Assistance, MAIN DATA'!B274,'Country Summary'!B:F,COLUMN('Country Summary'!C284)-1,FALSE)</f>
        <v>1</v>
      </c>
      <c r="AY274" s="180" t="str">
        <f>IF(AND(AD274=1,D274="Military",H274&lt;&gt;"Not given")=TRUE,IF(SUMIFS(P:P,A:A,A274)&gt;0,ABS((SUMIFS(P:P,A:A,A274)/VLOOKUP("USD",'Exchange Rates'!B:C,2,0)))/S274,"."),".")</f>
        <v>.</v>
      </c>
      <c r="AZ274" s="182" t="str">
        <f>IF(AND(AD274=1,D274="Military",H274&lt;&gt;"Not given")=TRUE,IF(SUMIFS(P:P,A:A,A274)&gt;0,IF((ABS((SUMIFS(P:P,A:A,A274)/VLOOKUP("USD",'Exchange Rates'!B:C,2,0)))/S274)&gt;1,(SUMIFS(P:P,A:A,A274)-S274)/S274,(S274-SUMIFS(P:P,A:A,A274))/SUMIFS(P:P,A:A,A274)),"."),".")</f>
        <v>.</v>
      </c>
      <c r="BA274" s="1024"/>
      <c r="BB274" s="1024"/>
      <c r="BC274" s="1024"/>
      <c r="BD274" s="1024"/>
      <c r="BE274" s="1024"/>
      <c r="BF274" s="1024"/>
      <c r="BG274" s="1024"/>
      <c r="BH274" s="1024"/>
      <c r="BI274" s="1024"/>
      <c r="BJ274" s="1024"/>
      <c r="BK274" s="1024"/>
      <c r="BL274" s="1024"/>
      <c r="BM274" s="1024"/>
      <c r="BN274" s="1024"/>
      <c r="BO274" s="1024"/>
      <c r="BP274" s="1024"/>
      <c r="BQ274" s="1024"/>
      <c r="BR274" s="1024"/>
      <c r="BS274" s="1024"/>
    </row>
    <row r="275" spans="1:71" ht="15.9" customHeight="1" x14ac:dyDescent="0.3">
      <c r="A275" s="17" t="s">
        <v>1024</v>
      </c>
      <c r="B275" s="17" t="s">
        <v>1025</v>
      </c>
      <c r="C275" s="174">
        <v>44609</v>
      </c>
      <c r="D275" s="5" t="s">
        <v>256</v>
      </c>
      <c r="E275" s="5" t="s">
        <v>257</v>
      </c>
      <c r="F275" s="175" t="s">
        <v>1026</v>
      </c>
      <c r="G275" s="15" t="s">
        <v>364</v>
      </c>
      <c r="H275" s="176">
        <v>2000000</v>
      </c>
      <c r="I275" s="17" t="s">
        <v>260</v>
      </c>
      <c r="J275" s="113" t="str">
        <f>VLOOKUP($I275,'Price List, Weapons &amp; Items'!B:C,2,0)</f>
        <v>.</v>
      </c>
      <c r="K275" s="113" t="str">
        <f>IF(I275=".",I275,VLOOKUP($I275,'Price List, Weapons &amp; Items'!B:D,3,0))</f>
        <v>.</v>
      </c>
      <c r="L275" s="177">
        <f>VLOOKUP(I275,'Price List, Weapons &amp; Items'!B:E,4,0)</f>
        <v>0</v>
      </c>
      <c r="M275" s="542" t="s">
        <v>260</v>
      </c>
      <c r="N275" s="542" t="s">
        <v>260</v>
      </c>
      <c r="O275" s="543" t="str">
        <f>VLOOKUP($I275,'Price List, Weapons &amp; Items'!B:G,6,0)</f>
        <v>.</v>
      </c>
      <c r="P275" s="176" t="str">
        <f t="shared" si="57"/>
        <v>.</v>
      </c>
      <c r="Q275" s="176" t="str">
        <f t="shared" si="58"/>
        <v>.</v>
      </c>
      <c r="R275" s="176">
        <f t="shared" si="54"/>
        <v>2000000</v>
      </c>
      <c r="S275" s="176">
        <f>IF(AND(AD275=1,R275&lt;&gt;".")=TRUE,R275/VLOOKUP(G275,'Exchange Rates'!B:C,2,0),IF(R275=".",".",""))</f>
        <v>2000000</v>
      </c>
      <c r="T275" s="176" t="str">
        <f>IF(AD275=1,IF(AF275="Value is not given at all",".",IF(AF275="Value is given by the source",S275,IF(AF275="Value is calculated with prices",(IF(SUMIFS(Q:Q,A:A,A275)&gt;0,SUMIFS(Q:Q,A:A,A275),"."))/VLOOKUP("USD",'Exchange Rates'!B:C,2,0),"Error with coding"))),"")</f>
        <v>.</v>
      </c>
      <c r="U275" s="15" t="s">
        <v>261</v>
      </c>
      <c r="V275" s="300" t="s">
        <v>1027</v>
      </c>
      <c r="W275" s="175" t="s">
        <v>260</v>
      </c>
      <c r="X275" s="175" t="s">
        <v>260</v>
      </c>
      <c r="Y275" s="175" t="s">
        <v>260</v>
      </c>
      <c r="Z275" s="15">
        <v>0</v>
      </c>
      <c r="AA275" s="180">
        <v>0</v>
      </c>
      <c r="AB275" s="17" t="s">
        <v>260</v>
      </c>
      <c r="AC275" s="544" t="str">
        <f>""</f>
        <v/>
      </c>
      <c r="AD275" s="181">
        <v>1</v>
      </c>
      <c r="AE275" s="181" t="s">
        <v>264</v>
      </c>
      <c r="AF275" s="181" t="s">
        <v>265</v>
      </c>
      <c r="AG275" s="181">
        <v>1</v>
      </c>
      <c r="AH275" s="181">
        <v>2</v>
      </c>
      <c r="AI275" s="181">
        <v>1</v>
      </c>
      <c r="AJ275" s="181">
        <f>VLOOKUP($I275,'Price List, Weapons &amp; Items'!B:F,5,0)</f>
        <v>0</v>
      </c>
      <c r="AK275" s="181">
        <f t="shared" si="59"/>
        <v>0</v>
      </c>
      <c r="AL275" s="181">
        <f t="shared" si="60"/>
        <v>0</v>
      </c>
      <c r="AM275" s="181">
        <f t="shared" si="61"/>
        <v>0</v>
      </c>
      <c r="AN275" s="180" t="str">
        <f>VLOOKUP($I275,'Price List, Weapons &amp; Items'!B:L,COLUMN('Price List, Weapons &amp; Items'!$J$11)-1,0)</f>
        <v>.</v>
      </c>
      <c r="AO275" s="180" t="str">
        <f>IF(I275=".",".",VLOOKUP($I275,'Price List, Weapons &amp; Items'!B:J,3,0))</f>
        <v>.</v>
      </c>
      <c r="AP275" s="545" t="e">
        <f t="shared" ca="1" si="55"/>
        <v>#NAME?</v>
      </c>
      <c r="AQ275" s="180" t="str">
        <f>VLOOKUP($I275,'Price List, Weapons &amp; Items'!B:L,COLUMN('Price List, Weapons &amp; Items'!$L$11)-1,0)</f>
        <v>no price, 0 count</v>
      </c>
      <c r="AR275" s="180">
        <f t="shared" si="62"/>
        <v>1</v>
      </c>
      <c r="AS275" s="180">
        <f t="shared" si="63"/>
        <v>0</v>
      </c>
      <c r="AT275" s="180">
        <f t="shared" si="56"/>
        <v>1</v>
      </c>
      <c r="AU275" s="180" t="str">
        <f t="shared" si="64"/>
        <v>.</v>
      </c>
      <c r="AV275" s="180" t="str">
        <f t="shared" si="65"/>
        <v>.</v>
      </c>
      <c r="AW275" s="180">
        <f>IFERROR(VLOOKUP(B275,'Share, Heavy Weapons to Ukraine'!B:J,COLUMN('Share, Heavy Weapons to Ukraine'!C282)-1,0),0)</f>
        <v>0</v>
      </c>
      <c r="AX275" s="180">
        <f>VLOOKUP('Bilateral Assistance, MAIN DATA'!B275,'Country Summary'!B:F,COLUMN('Country Summary'!C285)-1,FALSE)</f>
        <v>1</v>
      </c>
      <c r="AY275" s="180" t="str">
        <f>IF(AND(AD275=1,D275="Military",H275&lt;&gt;"Not given")=TRUE,IF(SUMIFS(P:P,A:A,A275)&gt;0,ABS((SUMIFS(P:P,A:A,A275)/VLOOKUP("USD",'Exchange Rates'!B:C,2,0)))/S275,"."),".")</f>
        <v>.</v>
      </c>
      <c r="AZ275" s="182" t="str">
        <f>IF(AND(AD275=1,D275="Military",H275&lt;&gt;"Not given")=TRUE,IF(SUMIFS(P:P,A:A,A275)&gt;0,IF((ABS((SUMIFS(P:P,A:A,A275)/VLOOKUP("USD",'Exchange Rates'!B:C,2,0)))/S275)&gt;1,(SUMIFS(P:P,A:A,A275)-S275)/S275,(S275-SUMIFS(P:P,A:A,A275))/SUMIFS(P:P,A:A,A275)),"."),".")</f>
        <v>.</v>
      </c>
      <c r="BA275" s="182"/>
      <c r="BB275" s="182"/>
      <c r="BC275" s="182"/>
      <c r="BD275" s="182"/>
      <c r="BE275" s="182"/>
      <c r="BF275" s="182"/>
      <c r="BG275" s="182"/>
      <c r="BH275" s="182"/>
      <c r="BI275" s="182"/>
      <c r="BJ275" s="182"/>
      <c r="BK275" s="182"/>
      <c r="BL275" s="182"/>
      <c r="BM275" s="182"/>
      <c r="BN275" s="182"/>
      <c r="BO275" s="182"/>
      <c r="BP275" s="182"/>
      <c r="BQ275" s="182"/>
      <c r="BR275" s="182"/>
      <c r="BS275" s="182"/>
    </row>
    <row r="276" spans="1:71" ht="15.9" customHeight="1" x14ac:dyDescent="0.3">
      <c r="A276" s="17" t="s">
        <v>1028</v>
      </c>
      <c r="B276" s="17" t="s">
        <v>1025</v>
      </c>
      <c r="C276" s="174">
        <v>44623</v>
      </c>
      <c r="D276" s="5" t="s">
        <v>256</v>
      </c>
      <c r="E276" s="5" t="s">
        <v>267</v>
      </c>
      <c r="F276" s="175" t="s">
        <v>1029</v>
      </c>
      <c r="G276" s="15" t="s">
        <v>364</v>
      </c>
      <c r="H276" s="176">
        <f>(9200000+2000000-SUM(S275,S277,S281,S282,S283,S284,S287,S288,S289))/6</f>
        <v>747986.50793650793</v>
      </c>
      <c r="I276" s="17" t="s">
        <v>260</v>
      </c>
      <c r="J276" s="113" t="str">
        <f>VLOOKUP($I276,'Price List, Weapons &amp; Items'!B:C,2,0)</f>
        <v>.</v>
      </c>
      <c r="K276" s="113" t="str">
        <f>IF(I276=".",I276,VLOOKUP($I276,'Price List, Weapons &amp; Items'!B:D,3,0))</f>
        <v>.</v>
      </c>
      <c r="L276" s="177">
        <f>VLOOKUP(I276,'Price List, Weapons &amp; Items'!B:E,4,0)</f>
        <v>0</v>
      </c>
      <c r="M276" s="542" t="s">
        <v>260</v>
      </c>
      <c r="N276" s="542" t="s">
        <v>260</v>
      </c>
      <c r="O276" s="543" t="str">
        <f>VLOOKUP($I276,'Price List, Weapons &amp; Items'!B:G,6,0)</f>
        <v>.</v>
      </c>
      <c r="P276" s="176" t="str">
        <f t="shared" si="57"/>
        <v>.</v>
      </c>
      <c r="Q276" s="176" t="str">
        <f t="shared" si="58"/>
        <v>.</v>
      </c>
      <c r="R276" s="176">
        <f t="shared" si="54"/>
        <v>747986.50793650793</v>
      </c>
      <c r="S276" s="176">
        <f>IF(AND(AD276=1,R276&lt;&gt;".")=TRUE,R276/VLOOKUP(G276,'Exchange Rates'!B:C,2,0),IF(R276=".",".",""))</f>
        <v>747986.50793650793</v>
      </c>
      <c r="T276" s="176" t="str">
        <f>IF(AD276=1,IF(AF276="Value is not given at all",".",IF(AF276="Value is given by the source",S276,IF(AF276="Value is calculated with prices",(IF(SUMIFS(Q:Q,A:A,A276)&gt;0,SUMIFS(Q:Q,A:A,A276),"."))/VLOOKUP("USD",'Exchange Rates'!B:C,2,0),"Error with coding"))),"")</f>
        <v>.</v>
      </c>
      <c r="U276" s="15" t="s">
        <v>261</v>
      </c>
      <c r="V276" s="300" t="s">
        <v>1030</v>
      </c>
      <c r="W276" s="175" t="s">
        <v>260</v>
      </c>
      <c r="X276" s="175" t="s">
        <v>260</v>
      </c>
      <c r="Y276" s="175" t="s">
        <v>260</v>
      </c>
      <c r="Z276" s="15">
        <v>0</v>
      </c>
      <c r="AA276" s="180">
        <v>0</v>
      </c>
      <c r="AB276" s="17" t="s">
        <v>260</v>
      </c>
      <c r="AC276" s="544" t="str">
        <f>""</f>
        <v/>
      </c>
      <c r="AD276" s="181">
        <v>1</v>
      </c>
      <c r="AE276" s="181" t="s">
        <v>265</v>
      </c>
      <c r="AF276" s="181" t="s">
        <v>265</v>
      </c>
      <c r="AG276" s="181">
        <v>1</v>
      </c>
      <c r="AH276" s="181">
        <v>3</v>
      </c>
      <c r="AI276" s="181">
        <v>0</v>
      </c>
      <c r="AJ276" s="181">
        <f>VLOOKUP($I276,'Price List, Weapons &amp; Items'!B:F,5,0)</f>
        <v>0</v>
      </c>
      <c r="AK276" s="181">
        <f t="shared" si="59"/>
        <v>0</v>
      </c>
      <c r="AL276" s="181">
        <f t="shared" si="60"/>
        <v>0</v>
      </c>
      <c r="AM276" s="181">
        <f t="shared" si="61"/>
        <v>0</v>
      </c>
      <c r="AN276" s="180" t="str">
        <f>VLOOKUP($I276,'Price List, Weapons &amp; Items'!B:L,COLUMN('Price List, Weapons &amp; Items'!$J$11)-1,0)</f>
        <v>.</v>
      </c>
      <c r="AO276" s="180" t="str">
        <f>IF(I276=".",".",VLOOKUP($I276,'Price List, Weapons &amp; Items'!B:J,3,0))</f>
        <v>.</v>
      </c>
      <c r="AP276" s="545" t="e">
        <f t="shared" ca="1" si="55"/>
        <v>#NAME?</v>
      </c>
      <c r="AQ276" s="180" t="str">
        <f>VLOOKUP($I276,'Price List, Weapons &amp; Items'!B:L,COLUMN('Price List, Weapons &amp; Items'!$L$11)-1,0)</f>
        <v>no price, 0 count</v>
      </c>
      <c r="AR276" s="180">
        <f t="shared" si="62"/>
        <v>1</v>
      </c>
      <c r="AS276" s="180">
        <f t="shared" si="63"/>
        <v>0</v>
      </c>
      <c r="AT276" s="180">
        <f t="shared" si="56"/>
        <v>1</v>
      </c>
      <c r="AU276" s="180" t="str">
        <f t="shared" si="64"/>
        <v>.</v>
      </c>
      <c r="AV276" s="180" t="str">
        <f t="shared" si="65"/>
        <v>.</v>
      </c>
      <c r="AW276" s="180">
        <f>IFERROR(VLOOKUP(B276,'Share, Heavy Weapons to Ukraine'!B:J,COLUMN('Share, Heavy Weapons to Ukraine'!C283)-1,0),0)</f>
        <v>0</v>
      </c>
      <c r="AX276" s="180">
        <f>VLOOKUP('Bilateral Assistance, MAIN DATA'!B276,'Country Summary'!B:F,COLUMN('Country Summary'!C286)-1,FALSE)</f>
        <v>1</v>
      </c>
      <c r="AY276" s="180" t="str">
        <f>IF(AND(AD276=1,D276="Military",H276&lt;&gt;"Not given")=TRUE,IF(SUMIFS(P:P,A:A,A276)&gt;0,ABS((SUMIFS(P:P,A:A,A276)/VLOOKUP("USD",'Exchange Rates'!B:C,2,0)))/S276,"."),".")</f>
        <v>.</v>
      </c>
      <c r="AZ276" s="182" t="str">
        <f>IF(AND(AD276=1,D276="Military",H276&lt;&gt;"Not given")=TRUE,IF(SUMIFS(P:P,A:A,A276)&gt;0,IF((ABS((SUMIFS(P:P,A:A,A276)/VLOOKUP("USD",'Exchange Rates'!B:C,2,0)))/S276)&gt;1,(SUMIFS(P:P,A:A,A276)-S276)/S276,(S276-SUMIFS(P:P,A:A,A276))/SUMIFS(P:P,A:A,A276)),"."),".")</f>
        <v>.</v>
      </c>
      <c r="BA276" s="182"/>
      <c r="BB276" s="182"/>
      <c r="BC276" s="182"/>
      <c r="BD276" s="182"/>
      <c r="BE276" s="182"/>
      <c r="BF276" s="182"/>
      <c r="BG276" s="182"/>
      <c r="BH276" s="182"/>
      <c r="BI276" s="182"/>
      <c r="BJ276" s="182"/>
      <c r="BK276" s="182"/>
      <c r="BL276" s="182"/>
      <c r="BM276" s="182"/>
      <c r="BN276" s="182"/>
      <c r="BO276" s="182"/>
      <c r="BP276" s="182"/>
      <c r="BQ276" s="182"/>
      <c r="BR276" s="182"/>
      <c r="BS276" s="182"/>
    </row>
    <row r="277" spans="1:71" ht="15.9" customHeight="1" x14ac:dyDescent="0.3">
      <c r="A277" s="5" t="s">
        <v>1031</v>
      </c>
      <c r="B277" s="5" t="s">
        <v>1025</v>
      </c>
      <c r="C277" s="174">
        <v>44623</v>
      </c>
      <c r="D277" s="5" t="s">
        <v>256</v>
      </c>
      <c r="E277" s="5" t="s">
        <v>267</v>
      </c>
      <c r="F277" s="175" t="s">
        <v>1032</v>
      </c>
      <c r="G277" s="15" t="s">
        <v>346</v>
      </c>
      <c r="H277" s="176" t="s">
        <v>341</v>
      </c>
      <c r="I277" s="17" t="s">
        <v>1033</v>
      </c>
      <c r="J277" s="113" t="str">
        <f>VLOOKUP($I277,'Price List, Weapons &amp; Items'!B:C,2,0)</f>
        <v>Humanitarian</v>
      </c>
      <c r="K277" s="113" t="str">
        <f>IF(I277=".",I277,VLOOKUP($I277,'Price List, Weapons &amp; Items'!B:D,3,0))</f>
        <v>Humanitarian</v>
      </c>
      <c r="L277" s="177">
        <f>VLOOKUP(I277,'Price List, Weapons &amp; Items'!B:E,4,0)</f>
        <v>0</v>
      </c>
      <c r="M277" s="542">
        <v>1</v>
      </c>
      <c r="N277" s="542" t="s">
        <v>270</v>
      </c>
      <c r="O277" s="543">
        <f>VLOOKUP($I277,'Price List, Weapons &amp; Items'!B:G,6,0)</f>
        <v>4995</v>
      </c>
      <c r="P277" s="176">
        <f t="shared" si="57"/>
        <v>4995</v>
      </c>
      <c r="Q277" s="176" t="str">
        <f t="shared" si="58"/>
        <v>.</v>
      </c>
      <c r="R277" s="176">
        <f t="shared" si="54"/>
        <v>20185</v>
      </c>
      <c r="S277" s="176">
        <f>IF(AND(AD277=1,R277&lt;&gt;".")=TRUE,R277/VLOOKUP(G277,'Exchange Rates'!B:C,2,0),IF(R277=".",".",""))</f>
        <v>19223.809523809523</v>
      </c>
      <c r="T277" s="176" t="str">
        <f>IF(AD277=1,IF(AF277="Value is not given at all",".",IF(AF277="Value is given by the source",S277,IF(AF277="Value is calculated with prices",(IF(SUMIFS(Q:Q,A:A,A277)&gt;0,SUMIFS(Q:Q,A:A,A277),"."))/VLOOKUP("USD",'Exchange Rates'!B:C,2,0),"Error with coding"))),"")</f>
        <v>.</v>
      </c>
      <c r="U277" s="15" t="s">
        <v>261</v>
      </c>
      <c r="V277" s="547" t="s">
        <v>1030</v>
      </c>
      <c r="W277" s="188" t="s">
        <v>260</v>
      </c>
      <c r="X277" s="188" t="s">
        <v>260</v>
      </c>
      <c r="Y277" s="188" t="s">
        <v>260</v>
      </c>
      <c r="Z277" s="15">
        <v>0</v>
      </c>
      <c r="AA277" s="180">
        <v>0</v>
      </c>
      <c r="AB277" s="17" t="s">
        <v>260</v>
      </c>
      <c r="AC277" s="544" t="str">
        <f>""</f>
        <v/>
      </c>
      <c r="AD277" s="181">
        <v>1</v>
      </c>
      <c r="AE277" s="181" t="s">
        <v>332</v>
      </c>
      <c r="AF277" s="181" t="s">
        <v>265</v>
      </c>
      <c r="AG277" s="181">
        <v>1</v>
      </c>
      <c r="AH277" s="181">
        <v>3</v>
      </c>
      <c r="AI277" s="181">
        <v>0</v>
      </c>
      <c r="AJ277" s="181">
        <f>VLOOKUP($I277,'Price List, Weapons &amp; Items'!B:F,5,0)</f>
        <v>0</v>
      </c>
      <c r="AK277" s="181">
        <f t="shared" si="59"/>
        <v>0</v>
      </c>
      <c r="AL277" s="181">
        <f t="shared" si="60"/>
        <v>0</v>
      </c>
      <c r="AM277" s="181">
        <f t="shared" si="61"/>
        <v>0</v>
      </c>
      <c r="AN277" s="180" t="str">
        <f>VLOOKUP($I277,'Price List, Weapons &amp; Items'!B:L,COLUMN('Price List, Weapons &amp; Items'!$J$11)-1,0)</f>
        <v>Online marketplaces and stores</v>
      </c>
      <c r="AO277" s="180" t="str">
        <f>IF(I277=".",".",VLOOKUP($I277,'Price List, Weapons &amp; Items'!B:J,3,0))</f>
        <v>Humanitarian</v>
      </c>
      <c r="AP277" s="545" t="e">
        <f t="shared" ca="1" si="55"/>
        <v>#NAME?</v>
      </c>
      <c r="AQ277" s="180">
        <f>VLOOKUP($I277,'Price List, Weapons &amp; Items'!B:L,COLUMN('Price List, Weapons &amp; Items'!$L$11)-1,0)</f>
        <v>0</v>
      </c>
      <c r="AR277" s="180">
        <f t="shared" si="62"/>
        <v>1</v>
      </c>
      <c r="AS277" s="180">
        <f t="shared" si="63"/>
        <v>0</v>
      </c>
      <c r="AT277" s="180">
        <f t="shared" si="56"/>
        <v>1</v>
      </c>
      <c r="AU277" s="180" t="str">
        <f t="shared" si="64"/>
        <v>.</v>
      </c>
      <c r="AV277" s="180" t="str">
        <f t="shared" si="65"/>
        <v>.</v>
      </c>
      <c r="AW277" s="180">
        <f>IFERROR(VLOOKUP(B277,'Share, Heavy Weapons to Ukraine'!B:J,COLUMN('Share, Heavy Weapons to Ukraine'!C284)-1,0),0)</f>
        <v>0</v>
      </c>
      <c r="AX277" s="180">
        <f>VLOOKUP('Bilateral Assistance, MAIN DATA'!B277,'Country Summary'!B:F,COLUMN('Country Summary'!C287)-1,FALSE)</f>
        <v>1</v>
      </c>
      <c r="AY277" s="180" t="str">
        <f>IF(AND(AD277=1,D277="Military",H277&lt;&gt;"Not given")=TRUE,IF(SUMIFS(P:P,A:A,A277)&gt;0,ABS((SUMIFS(P:P,A:A,A277)/VLOOKUP("USD",'Exchange Rates'!B:C,2,0)))/S277,"."),".")</f>
        <v>.</v>
      </c>
      <c r="AZ277" s="182" t="str">
        <f>IF(AND(AD277=1,D277="Military",H277&lt;&gt;"Not given")=TRUE,IF(SUMIFS(P:P,A:A,A277)&gt;0,IF((ABS((SUMIFS(P:P,A:A,A277)/VLOOKUP("USD",'Exchange Rates'!B:C,2,0)))/S277)&gt;1,(SUMIFS(P:P,A:A,A277)-S277)/S277,(S277-SUMIFS(P:P,A:A,A277))/SUMIFS(P:P,A:A,A277)),"."),".")</f>
        <v>.</v>
      </c>
      <c r="BA277" s="182"/>
      <c r="BB277" s="182"/>
      <c r="BC277" s="182"/>
      <c r="BD277" s="182"/>
      <c r="BE277" s="182"/>
      <c r="BF277" s="182"/>
      <c r="BG277" s="182"/>
      <c r="BH277" s="182"/>
      <c r="BI277" s="182"/>
      <c r="BJ277" s="182"/>
      <c r="BK277" s="182"/>
      <c r="BL277" s="182"/>
      <c r="BM277" s="182"/>
      <c r="BN277" s="182"/>
      <c r="BO277" s="182"/>
      <c r="BP277" s="182"/>
      <c r="BQ277" s="182"/>
      <c r="BR277" s="182"/>
      <c r="BS277" s="182"/>
    </row>
    <row r="278" spans="1:71" ht="15.9" customHeight="1" x14ac:dyDescent="0.3">
      <c r="A278" s="5" t="s">
        <v>1031</v>
      </c>
      <c r="B278" s="5" t="s">
        <v>1025</v>
      </c>
      <c r="C278" s="174">
        <v>44623</v>
      </c>
      <c r="D278" s="5" t="s">
        <v>256</v>
      </c>
      <c r="E278" s="5" t="s">
        <v>267</v>
      </c>
      <c r="F278" s="175" t="s">
        <v>1032</v>
      </c>
      <c r="G278" s="15" t="s">
        <v>346</v>
      </c>
      <c r="H278" s="176" t="s">
        <v>341</v>
      </c>
      <c r="I278" s="17" t="s">
        <v>1034</v>
      </c>
      <c r="J278" s="113" t="str">
        <f>VLOOKUP($I278,'Price List, Weapons &amp; Items'!B:C,2,0)</f>
        <v>Humanitarian</v>
      </c>
      <c r="K278" s="113" t="str">
        <f>IF(I278=".",I278,VLOOKUP($I278,'Price List, Weapons &amp; Items'!B:D,3,0))</f>
        <v>Humanitarian</v>
      </c>
      <c r="L278" s="177">
        <f>VLOOKUP(I278,'Price List, Weapons &amp; Items'!B:E,4,0)</f>
        <v>0</v>
      </c>
      <c r="M278" s="542">
        <v>2</v>
      </c>
      <c r="N278" s="542" t="s">
        <v>270</v>
      </c>
      <c r="O278" s="543">
        <f>VLOOKUP($I278,'Price List, Weapons &amp; Items'!B:G,6,0)</f>
        <v>95</v>
      </c>
      <c r="P278" s="176">
        <f t="shared" si="57"/>
        <v>190</v>
      </c>
      <c r="Q278" s="176" t="str">
        <f t="shared" si="58"/>
        <v>.</v>
      </c>
      <c r="R278" s="176" t="str">
        <f t="shared" si="54"/>
        <v/>
      </c>
      <c r="S278" s="176" t="str">
        <f>IF(AND(AD278=1,R278&lt;&gt;".")=TRUE,R278/VLOOKUP(G278,'Exchange Rates'!B:C,2,0),IF(R278=".",".",""))</f>
        <v/>
      </c>
      <c r="T278" s="176" t="str">
        <f>IF(AD278=1,IF(AF278="Value is not given at all",".",IF(AF278="Value is given by the source",S278,IF(AF278="Value is calculated with prices",(IF(SUMIFS(Q:Q,A:A,A278)&gt;0,SUMIFS(Q:Q,A:A,A278),"."))/VLOOKUP("USD",'Exchange Rates'!B:C,2,0),"Error with coding"))),"")</f>
        <v/>
      </c>
      <c r="U278" s="15" t="s">
        <v>261</v>
      </c>
      <c r="V278" s="547" t="s">
        <v>1030</v>
      </c>
      <c r="W278" s="188" t="s">
        <v>260</v>
      </c>
      <c r="X278" s="188" t="s">
        <v>260</v>
      </c>
      <c r="Y278" s="188" t="s">
        <v>260</v>
      </c>
      <c r="Z278" s="15">
        <v>0</v>
      </c>
      <c r="AA278" s="180">
        <v>0</v>
      </c>
      <c r="AB278" s="17" t="s">
        <v>260</v>
      </c>
      <c r="AC278" s="544" t="str">
        <f>""</f>
        <v/>
      </c>
      <c r="AD278" s="181">
        <v>0</v>
      </c>
      <c r="AE278" s="181" t="s">
        <v>332</v>
      </c>
      <c r="AF278" s="181" t="s">
        <v>265</v>
      </c>
      <c r="AG278" s="181">
        <v>1</v>
      </c>
      <c r="AH278" s="181">
        <v>3</v>
      </c>
      <c r="AI278" s="181">
        <v>0</v>
      </c>
      <c r="AJ278" s="181">
        <f>VLOOKUP($I278,'Price List, Weapons &amp; Items'!B:F,5,0)</f>
        <v>0</v>
      </c>
      <c r="AK278" s="181">
        <f t="shared" si="59"/>
        <v>0</v>
      </c>
      <c r="AL278" s="181">
        <f t="shared" si="60"/>
        <v>0</v>
      </c>
      <c r="AM278" s="181">
        <f t="shared" si="61"/>
        <v>0</v>
      </c>
      <c r="AN278" s="180" t="str">
        <f>VLOOKUP($I278,'Price List, Weapons &amp; Items'!B:L,COLUMN('Price List, Weapons &amp; Items'!$J$11)-1,0)</f>
        <v>Online marketplaces and stores</v>
      </c>
      <c r="AO278" s="180" t="str">
        <f>IF(I278=".",".",VLOOKUP($I278,'Price List, Weapons &amp; Items'!B:J,3,0))</f>
        <v>Humanitarian</v>
      </c>
      <c r="AP278" s="545" t="str">
        <f t="shared" ca="1" si="55"/>
        <v/>
      </c>
      <c r="AQ278" s="180">
        <f>VLOOKUP($I278,'Price List, Weapons &amp; Items'!B:L,COLUMN('Price List, Weapons &amp; Items'!$L$11)-1,0)</f>
        <v>0</v>
      </c>
      <c r="AR278" s="180">
        <f t="shared" si="62"/>
        <v>1</v>
      </c>
      <c r="AS278" s="180">
        <f t="shared" si="63"/>
        <v>0</v>
      </c>
      <c r="AT278" s="180">
        <f t="shared" si="56"/>
        <v>1</v>
      </c>
      <c r="AU278" s="180" t="str">
        <f t="shared" si="64"/>
        <v>.</v>
      </c>
      <c r="AV278" s="180" t="str">
        <f t="shared" si="65"/>
        <v>.</v>
      </c>
      <c r="AW278" s="180">
        <f>IFERROR(VLOOKUP(B278,'Share, Heavy Weapons to Ukraine'!B:J,COLUMN('Share, Heavy Weapons to Ukraine'!C285)-1,0),0)</f>
        <v>0</v>
      </c>
      <c r="AX278" s="180">
        <f>VLOOKUP('Bilateral Assistance, MAIN DATA'!B278,'Country Summary'!B:F,COLUMN('Country Summary'!C288)-1,FALSE)</f>
        <v>1</v>
      </c>
      <c r="AY278" s="180" t="str">
        <f>IF(AND(AD278=1,D278="Military",H278&lt;&gt;"Not given")=TRUE,IF(SUMIFS(P:P,A:A,A278)&gt;0,ABS((SUMIFS(P:P,A:A,A278)/VLOOKUP("USD",'Exchange Rates'!B:C,2,0)))/S278,"."),".")</f>
        <v>.</v>
      </c>
      <c r="AZ278" s="182" t="str">
        <f>IF(AND(AD278=1,D278="Military",H278&lt;&gt;"Not given")=TRUE,IF(SUMIFS(P:P,A:A,A278)&gt;0,IF((ABS((SUMIFS(P:P,A:A,A278)/VLOOKUP("USD",'Exchange Rates'!B:C,2,0)))/S278)&gt;1,(SUMIFS(P:P,A:A,A278)-S278)/S278,(S278-SUMIFS(P:P,A:A,A278))/SUMIFS(P:P,A:A,A278)),"."),".")</f>
        <v>.</v>
      </c>
      <c r="BA278" s="182"/>
      <c r="BB278" s="182"/>
      <c r="BC278" s="182"/>
      <c r="BD278" s="182"/>
      <c r="BE278" s="182"/>
      <c r="BF278" s="182"/>
      <c r="BG278" s="182"/>
      <c r="BH278" s="182"/>
      <c r="BI278" s="182"/>
      <c r="BJ278" s="182"/>
      <c r="BK278" s="182"/>
      <c r="BL278" s="182"/>
      <c r="BM278" s="182"/>
      <c r="BN278" s="182"/>
      <c r="BO278" s="182"/>
      <c r="BP278" s="182"/>
      <c r="BQ278" s="182"/>
      <c r="BR278" s="182"/>
      <c r="BS278" s="182"/>
    </row>
    <row r="279" spans="1:71" ht="15.9" customHeight="1" x14ac:dyDescent="0.3">
      <c r="A279" s="5" t="s">
        <v>1031</v>
      </c>
      <c r="B279" s="5" t="s">
        <v>1025</v>
      </c>
      <c r="C279" s="174">
        <v>44623</v>
      </c>
      <c r="D279" s="5" t="s">
        <v>256</v>
      </c>
      <c r="E279" s="5" t="s">
        <v>267</v>
      </c>
      <c r="F279" s="175" t="s">
        <v>1032</v>
      </c>
      <c r="G279" s="15" t="s">
        <v>346</v>
      </c>
      <c r="H279" s="176" t="s">
        <v>341</v>
      </c>
      <c r="I279" s="17" t="s">
        <v>1035</v>
      </c>
      <c r="J279" s="113" t="str">
        <f>VLOOKUP($I279,'Price List, Weapons &amp; Items'!B:C,2,0)</f>
        <v>Humanitarian</v>
      </c>
      <c r="K279" s="113" t="str">
        <f>IF(I279=".",I279,VLOOKUP($I279,'Price List, Weapons &amp; Items'!B:D,3,0))</f>
        <v>Humanitarian</v>
      </c>
      <c r="L279" s="177">
        <f>VLOOKUP(I279,'Price List, Weapons &amp; Items'!B:E,4,0)</f>
        <v>0</v>
      </c>
      <c r="M279" s="542">
        <v>5</v>
      </c>
      <c r="N279" s="542" t="s">
        <v>270</v>
      </c>
      <c r="O279" s="543">
        <f>VLOOKUP($I279,'Price List, Weapons &amp; Items'!B:G,6,0)</f>
        <v>3000</v>
      </c>
      <c r="P279" s="176">
        <f t="shared" si="57"/>
        <v>15000</v>
      </c>
      <c r="Q279" s="176" t="str">
        <f t="shared" si="58"/>
        <v>.</v>
      </c>
      <c r="R279" s="176" t="str">
        <f t="shared" si="54"/>
        <v/>
      </c>
      <c r="S279" s="176" t="str">
        <f>IF(AND(AD279=1,R279&lt;&gt;".")=TRUE,R279/VLOOKUP(G279,'Exchange Rates'!B:C,2,0),IF(R279=".",".",""))</f>
        <v/>
      </c>
      <c r="T279" s="176" t="str">
        <f>IF(AD279=1,IF(AF279="Value is not given at all",".",IF(AF279="Value is given by the source",S279,IF(AF279="Value is calculated with prices",(IF(SUMIFS(Q:Q,A:A,A279)&gt;0,SUMIFS(Q:Q,A:A,A279),"."))/VLOOKUP("USD",'Exchange Rates'!B:C,2,0),"Error with coding"))),"")</f>
        <v/>
      </c>
      <c r="U279" s="15" t="s">
        <v>261</v>
      </c>
      <c r="V279" s="547" t="s">
        <v>1030</v>
      </c>
      <c r="W279" s="188" t="s">
        <v>260</v>
      </c>
      <c r="X279" s="188" t="s">
        <v>260</v>
      </c>
      <c r="Y279" s="188" t="s">
        <v>260</v>
      </c>
      <c r="Z279" s="15">
        <v>0</v>
      </c>
      <c r="AA279" s="180">
        <v>0</v>
      </c>
      <c r="AB279" s="17" t="s">
        <v>260</v>
      </c>
      <c r="AC279" s="544" t="str">
        <f>""</f>
        <v/>
      </c>
      <c r="AD279" s="181">
        <v>0</v>
      </c>
      <c r="AE279" s="181" t="s">
        <v>332</v>
      </c>
      <c r="AF279" s="181" t="s">
        <v>265</v>
      </c>
      <c r="AG279" s="181">
        <v>1</v>
      </c>
      <c r="AH279" s="181">
        <v>3</v>
      </c>
      <c r="AI279" s="181">
        <v>0</v>
      </c>
      <c r="AJ279" s="181">
        <f>VLOOKUP($I279,'Price List, Weapons &amp; Items'!B:F,5,0)</f>
        <v>0</v>
      </c>
      <c r="AK279" s="181">
        <f t="shared" si="59"/>
        <v>0</v>
      </c>
      <c r="AL279" s="181">
        <f t="shared" si="60"/>
        <v>0</v>
      </c>
      <c r="AM279" s="181">
        <f t="shared" si="61"/>
        <v>0</v>
      </c>
      <c r="AN279" s="180" t="str">
        <f>VLOOKUP($I279,'Price List, Weapons &amp; Items'!B:L,COLUMN('Price List, Weapons &amp; Items'!$J$11)-1,0)</f>
        <v>Online marketplaces and stores</v>
      </c>
      <c r="AO279" s="180" t="str">
        <f>IF(I279=".",".",VLOOKUP($I279,'Price List, Weapons &amp; Items'!B:J,3,0))</f>
        <v>Humanitarian</v>
      </c>
      <c r="AP279" s="545" t="str">
        <f t="shared" ca="1" si="55"/>
        <v/>
      </c>
      <c r="AQ279" s="180">
        <f>VLOOKUP($I279,'Price List, Weapons &amp; Items'!B:L,COLUMN('Price List, Weapons &amp; Items'!$L$11)-1,0)</f>
        <v>0</v>
      </c>
      <c r="AR279" s="180">
        <f t="shared" si="62"/>
        <v>1</v>
      </c>
      <c r="AS279" s="180">
        <f t="shared" si="63"/>
        <v>0</v>
      </c>
      <c r="AT279" s="180">
        <f t="shared" si="56"/>
        <v>1</v>
      </c>
      <c r="AU279" s="180" t="str">
        <f t="shared" si="64"/>
        <v>.</v>
      </c>
      <c r="AV279" s="180" t="str">
        <f t="shared" si="65"/>
        <v>.</v>
      </c>
      <c r="AW279" s="180">
        <f>IFERROR(VLOOKUP(B279,'Share, Heavy Weapons to Ukraine'!B:J,COLUMN('Share, Heavy Weapons to Ukraine'!C286)-1,0),0)</f>
        <v>0</v>
      </c>
      <c r="AX279" s="180">
        <f>VLOOKUP('Bilateral Assistance, MAIN DATA'!B279,'Country Summary'!B:F,COLUMN('Country Summary'!C289)-1,FALSE)</f>
        <v>1</v>
      </c>
      <c r="AY279" s="180" t="str">
        <f>IF(AND(AD279=1,D279="Military",H279&lt;&gt;"Not given")=TRUE,IF(SUMIFS(P:P,A:A,A279)&gt;0,ABS((SUMIFS(P:P,A:A,A279)/VLOOKUP("USD",'Exchange Rates'!B:C,2,0)))/S279,"."),".")</f>
        <v>.</v>
      </c>
      <c r="AZ279" s="182" t="str">
        <f>IF(AND(AD279=1,D279="Military",H279&lt;&gt;"Not given")=TRUE,IF(SUMIFS(P:P,A:A,A279)&gt;0,IF((ABS((SUMIFS(P:P,A:A,A279)/VLOOKUP("USD",'Exchange Rates'!B:C,2,0)))/S279)&gt;1,(SUMIFS(P:P,A:A,A279)-S279)/S279,(S279-SUMIFS(P:P,A:A,A279))/SUMIFS(P:P,A:A,A279)),"."),".")</f>
        <v>.</v>
      </c>
      <c r="BA279" s="182"/>
      <c r="BB279" s="182"/>
      <c r="BC279" s="182"/>
      <c r="BD279" s="182"/>
      <c r="BE279" s="182"/>
      <c r="BF279" s="182"/>
      <c r="BG279" s="182"/>
      <c r="BH279" s="182"/>
      <c r="BI279" s="182"/>
      <c r="BJ279" s="182"/>
      <c r="BK279" s="182"/>
      <c r="BL279" s="182"/>
      <c r="BM279" s="182"/>
      <c r="BN279" s="182"/>
      <c r="BO279" s="182"/>
      <c r="BP279" s="182"/>
      <c r="BQ279" s="182"/>
      <c r="BR279" s="182"/>
      <c r="BS279" s="182"/>
    </row>
    <row r="280" spans="1:71" ht="15.9" customHeight="1" x14ac:dyDescent="0.3">
      <c r="A280" s="17" t="s">
        <v>1036</v>
      </c>
      <c r="B280" s="17" t="s">
        <v>1025</v>
      </c>
      <c r="C280" s="174" t="s">
        <v>1037</v>
      </c>
      <c r="D280" s="5" t="s">
        <v>256</v>
      </c>
      <c r="E280" s="5" t="s">
        <v>267</v>
      </c>
      <c r="F280" s="175" t="s">
        <v>1038</v>
      </c>
      <c r="G280" s="15" t="s">
        <v>364</v>
      </c>
      <c r="H280" s="176">
        <f>(9200000+2000000-SUM(S275,S277,S281,S282,S283,S284,S287,S288,S289))/6</f>
        <v>747986.50793650793</v>
      </c>
      <c r="I280" s="17" t="s">
        <v>260</v>
      </c>
      <c r="J280" s="113" t="str">
        <f>VLOOKUP($I280,'Price List, Weapons &amp; Items'!B:C,2,0)</f>
        <v>.</v>
      </c>
      <c r="K280" s="113" t="str">
        <f>IF(I280=".",I280,VLOOKUP($I280,'Price List, Weapons &amp; Items'!B:D,3,0))</f>
        <v>.</v>
      </c>
      <c r="L280" s="177">
        <f>VLOOKUP(I280,'Price List, Weapons &amp; Items'!B:E,4,0)</f>
        <v>0</v>
      </c>
      <c r="M280" s="542" t="s">
        <v>260</v>
      </c>
      <c r="N280" s="542" t="s">
        <v>260</v>
      </c>
      <c r="O280" s="543" t="str">
        <f>VLOOKUP($I280,'Price List, Weapons &amp; Items'!B:G,6,0)</f>
        <v>.</v>
      </c>
      <c r="P280" s="176" t="str">
        <f t="shared" si="57"/>
        <v>.</v>
      </c>
      <c r="Q280" s="176" t="str">
        <f t="shared" si="58"/>
        <v>.</v>
      </c>
      <c r="R280" s="176">
        <f t="shared" si="54"/>
        <v>747986.50793650793</v>
      </c>
      <c r="S280" s="176">
        <f>IF(AND(AD280=1,R280&lt;&gt;".")=TRUE,R280/VLOOKUP(G280,'Exchange Rates'!B:C,2,0),IF(R280=".",".",""))</f>
        <v>747986.50793650793</v>
      </c>
      <c r="T280" s="176" t="str">
        <f>IF(AD280=1,IF(AF280="Value is not given at all",".",IF(AF280="Value is given by the source",S280,IF(AF280="Value is calculated with prices",(IF(SUMIFS(Q:Q,A:A,A280)&gt;0,SUMIFS(Q:Q,A:A,A280),"."))/VLOOKUP("USD",'Exchange Rates'!B:C,2,0),"Error with coding"))),"")</f>
        <v>.</v>
      </c>
      <c r="U280" s="15" t="s">
        <v>261</v>
      </c>
      <c r="V280" s="300" t="s">
        <v>1030</v>
      </c>
      <c r="W280" s="175" t="s">
        <v>260</v>
      </c>
      <c r="X280" s="175" t="s">
        <v>260</v>
      </c>
      <c r="Y280" s="175" t="s">
        <v>260</v>
      </c>
      <c r="Z280" s="15">
        <v>0</v>
      </c>
      <c r="AA280" s="180">
        <v>0</v>
      </c>
      <c r="AB280" s="17" t="s">
        <v>260</v>
      </c>
      <c r="AC280" s="544" t="str">
        <f>""</f>
        <v/>
      </c>
      <c r="AD280" s="181">
        <v>1</v>
      </c>
      <c r="AE280" s="181" t="s">
        <v>265</v>
      </c>
      <c r="AF280" s="181" t="s">
        <v>265</v>
      </c>
      <c r="AG280" s="181">
        <v>1</v>
      </c>
      <c r="AH280" s="181">
        <v>3</v>
      </c>
      <c r="AI280" s="181">
        <v>0</v>
      </c>
      <c r="AJ280" s="181">
        <f>VLOOKUP($I280,'Price List, Weapons &amp; Items'!B:F,5,0)</f>
        <v>0</v>
      </c>
      <c r="AK280" s="181">
        <f t="shared" si="59"/>
        <v>0</v>
      </c>
      <c r="AL280" s="181">
        <f t="shared" si="60"/>
        <v>0</v>
      </c>
      <c r="AM280" s="181">
        <f t="shared" si="61"/>
        <v>0</v>
      </c>
      <c r="AN280" s="180" t="str">
        <f>VLOOKUP($I280,'Price List, Weapons &amp; Items'!B:L,COLUMN('Price List, Weapons &amp; Items'!$J$11)-1,0)</f>
        <v>.</v>
      </c>
      <c r="AO280" s="180" t="str">
        <f>IF(I280=".",".",VLOOKUP($I280,'Price List, Weapons &amp; Items'!B:J,3,0))</f>
        <v>.</v>
      </c>
      <c r="AP280" s="545" t="e">
        <f t="shared" ca="1" si="55"/>
        <v>#NAME?</v>
      </c>
      <c r="AQ280" s="180" t="str">
        <f>VLOOKUP($I280,'Price List, Weapons &amp; Items'!B:L,COLUMN('Price List, Weapons &amp; Items'!$L$11)-1,0)</f>
        <v>no price, 0 count</v>
      </c>
      <c r="AR280" s="180">
        <f t="shared" si="62"/>
        <v>1</v>
      </c>
      <c r="AS280" s="180">
        <f t="shared" si="63"/>
        <v>0</v>
      </c>
      <c r="AT280" s="180" t="str">
        <f t="shared" si="56"/>
        <v>Value is not in date format</v>
      </c>
      <c r="AU280" s="180" t="str">
        <f t="shared" si="64"/>
        <v>.</v>
      </c>
      <c r="AV280" s="180" t="str">
        <f t="shared" si="65"/>
        <v>.</v>
      </c>
      <c r="AW280" s="180">
        <f>IFERROR(VLOOKUP(B280,'Share, Heavy Weapons to Ukraine'!B:J,COLUMN('Share, Heavy Weapons to Ukraine'!C287)-1,0),0)</f>
        <v>0</v>
      </c>
      <c r="AX280" s="180">
        <f>VLOOKUP('Bilateral Assistance, MAIN DATA'!B280,'Country Summary'!B:F,COLUMN('Country Summary'!C290)-1,FALSE)</f>
        <v>1</v>
      </c>
      <c r="AY280" s="180" t="str">
        <f>IF(AND(AD280=1,D280="Military",H280&lt;&gt;"Not given")=TRUE,IF(SUMIFS(P:P,A:A,A280)&gt;0,ABS((SUMIFS(P:P,A:A,A280)/VLOOKUP("USD",'Exchange Rates'!B:C,2,0)))/S280,"."),".")</f>
        <v>.</v>
      </c>
      <c r="AZ280" s="182" t="str">
        <f>IF(AND(AD280=1,D280="Military",H280&lt;&gt;"Not given")=TRUE,IF(SUMIFS(P:P,A:A,A280)&gt;0,IF((ABS((SUMIFS(P:P,A:A,A280)/VLOOKUP("USD",'Exchange Rates'!B:C,2,0)))/S280)&gt;1,(SUMIFS(P:P,A:A,A280)-S280)/S280,(S280-SUMIFS(P:P,A:A,A280))/SUMIFS(P:P,A:A,A280)),"."),".")</f>
        <v>.</v>
      </c>
      <c r="BA280" s="182"/>
      <c r="BB280" s="182"/>
      <c r="BC280" s="182"/>
      <c r="BD280" s="182"/>
      <c r="BE280" s="182"/>
      <c r="BF280" s="182"/>
      <c r="BG280" s="182"/>
      <c r="BH280" s="182"/>
      <c r="BI280" s="182"/>
      <c r="BJ280" s="182"/>
      <c r="BK280" s="182"/>
      <c r="BL280" s="182"/>
      <c r="BM280" s="182"/>
      <c r="BN280" s="182"/>
      <c r="BO280" s="182"/>
      <c r="BP280" s="182"/>
      <c r="BQ280" s="182"/>
      <c r="BR280" s="182"/>
      <c r="BS280" s="182"/>
    </row>
    <row r="281" spans="1:71" ht="15.9" customHeight="1" x14ac:dyDescent="0.3">
      <c r="A281" s="17" t="s">
        <v>1039</v>
      </c>
      <c r="B281" s="17" t="s">
        <v>1025</v>
      </c>
      <c r="C281" s="174">
        <v>44635</v>
      </c>
      <c r="D281" s="5" t="s">
        <v>256</v>
      </c>
      <c r="E281" s="5" t="s">
        <v>267</v>
      </c>
      <c r="F281" s="175" t="s">
        <v>1040</v>
      </c>
      <c r="G281" s="15" t="s">
        <v>346</v>
      </c>
      <c r="H281" s="176" t="s">
        <v>341</v>
      </c>
      <c r="I281" s="17" t="s">
        <v>771</v>
      </c>
      <c r="J281" s="113" t="str">
        <f>VLOOKUP($I281,'Price List, Weapons &amp; Items'!B:C,2,0)</f>
        <v>Humanitarian</v>
      </c>
      <c r="K281" s="113" t="str">
        <f>IF(I281=".",I281,VLOOKUP($I281,'Price List, Weapons &amp; Items'!B:D,3,0))</f>
        <v>Humanitarian</v>
      </c>
      <c r="L281" s="177">
        <f>VLOOKUP(I281,'Price List, Weapons &amp; Items'!B:E,4,0)</f>
        <v>0</v>
      </c>
      <c r="M281" s="542">
        <v>2</v>
      </c>
      <c r="N281" s="542" t="s">
        <v>270</v>
      </c>
      <c r="O281" s="543">
        <f>VLOOKUP($I281,'Price List, Weapons &amp; Items'!B:G,6,0)</f>
        <v>400000</v>
      </c>
      <c r="P281" s="176">
        <f t="shared" si="57"/>
        <v>800000</v>
      </c>
      <c r="Q281" s="176" t="str">
        <f t="shared" si="58"/>
        <v>.</v>
      </c>
      <c r="R281" s="176">
        <f t="shared" si="54"/>
        <v>800000</v>
      </c>
      <c r="S281" s="176">
        <f>IF(AND(AD281=1,R281&lt;&gt;".")=TRUE,R281/VLOOKUP(G281,'Exchange Rates'!B:C,2,0),IF(R281=".",".",""))</f>
        <v>761904.76190476189</v>
      </c>
      <c r="T281" s="176" t="str">
        <f>IF(AD281=1,IF(AF281="Value is not given at all",".",IF(AF281="Value is given by the source",S281,IF(AF281="Value is calculated with prices",(IF(SUMIFS(Q:Q,A:A,A281)&gt;0,SUMIFS(Q:Q,A:A,A281),"."))/VLOOKUP("USD",'Exchange Rates'!B:C,2,0),"Error with coding"))),"")</f>
        <v>.</v>
      </c>
      <c r="U281" s="15" t="s">
        <v>261</v>
      </c>
      <c r="V281" s="300" t="s">
        <v>1030</v>
      </c>
      <c r="W281" s="175" t="s">
        <v>260</v>
      </c>
      <c r="X281" s="175" t="s">
        <v>260</v>
      </c>
      <c r="Y281" s="175" t="s">
        <v>260</v>
      </c>
      <c r="Z281" s="15">
        <v>0</v>
      </c>
      <c r="AA281" s="180">
        <v>0</v>
      </c>
      <c r="AB281" s="17" t="s">
        <v>260</v>
      </c>
      <c r="AC281" s="544" t="str">
        <f>""</f>
        <v/>
      </c>
      <c r="AD281" s="181">
        <v>1</v>
      </c>
      <c r="AE281" s="181" t="s">
        <v>332</v>
      </c>
      <c r="AF281" s="181" t="s">
        <v>265</v>
      </c>
      <c r="AG281" s="181">
        <v>1</v>
      </c>
      <c r="AH281" s="181">
        <v>3</v>
      </c>
      <c r="AI281" s="181">
        <v>0</v>
      </c>
      <c r="AJ281" s="181">
        <f>VLOOKUP($I281,'Price List, Weapons &amp; Items'!B:F,5,0)</f>
        <v>0</v>
      </c>
      <c r="AK281" s="181">
        <f t="shared" si="59"/>
        <v>0</v>
      </c>
      <c r="AL281" s="181">
        <f t="shared" si="60"/>
        <v>0</v>
      </c>
      <c r="AM281" s="181">
        <f t="shared" si="61"/>
        <v>0</v>
      </c>
      <c r="AN281" s="180" t="str">
        <f>VLOOKUP($I281,'Price List, Weapons &amp; Items'!B:L,COLUMN('Price List, Weapons &amp; Items'!$J$11)-1,0)</f>
        <v>Media reports (incl. social media)</v>
      </c>
      <c r="AO281" s="180" t="str">
        <f>IF(I281=".",".",VLOOKUP($I281,'Price List, Weapons &amp; Items'!B:J,3,0))</f>
        <v>Humanitarian</v>
      </c>
      <c r="AP281" s="545" t="e">
        <f t="shared" ca="1" si="55"/>
        <v>#NAME?</v>
      </c>
      <c r="AQ281" s="180">
        <f>VLOOKUP($I281,'Price List, Weapons &amp; Items'!B:L,COLUMN('Price List, Weapons &amp; Items'!$L$11)-1,0)</f>
        <v>0</v>
      </c>
      <c r="AR281" s="180">
        <f t="shared" si="62"/>
        <v>1</v>
      </c>
      <c r="AS281" s="180">
        <f t="shared" si="63"/>
        <v>0</v>
      </c>
      <c r="AT281" s="180">
        <f t="shared" si="56"/>
        <v>1</v>
      </c>
      <c r="AU281" s="180" t="str">
        <f t="shared" si="64"/>
        <v>.</v>
      </c>
      <c r="AV281" s="180" t="str">
        <f t="shared" si="65"/>
        <v>.</v>
      </c>
      <c r="AW281" s="180">
        <f>IFERROR(VLOOKUP(B281,'Share, Heavy Weapons to Ukraine'!B:J,COLUMN('Share, Heavy Weapons to Ukraine'!C288)-1,0),0)</f>
        <v>0</v>
      </c>
      <c r="AX281" s="180">
        <f>VLOOKUP('Bilateral Assistance, MAIN DATA'!B281,'Country Summary'!B:F,COLUMN('Country Summary'!C291)-1,FALSE)</f>
        <v>1</v>
      </c>
      <c r="AY281" s="180" t="str">
        <f>IF(AND(AD281=1,D281="Military",H281&lt;&gt;"Not given")=TRUE,IF(SUMIFS(P:P,A:A,A281)&gt;0,ABS((SUMIFS(P:P,A:A,A281)/VLOOKUP("USD",'Exchange Rates'!B:C,2,0)))/S281,"."),".")</f>
        <v>.</v>
      </c>
      <c r="AZ281" s="182" t="str">
        <f>IF(AND(AD281=1,D281="Military",H281&lt;&gt;"Not given")=TRUE,IF(SUMIFS(P:P,A:A,A281)&gt;0,IF((ABS((SUMIFS(P:P,A:A,A281)/VLOOKUP("USD",'Exchange Rates'!B:C,2,0)))/S281)&gt;1,(SUMIFS(P:P,A:A,A281)-S281)/S281,(S281-SUMIFS(P:P,A:A,A281))/SUMIFS(P:P,A:A,A281)),"."),".")</f>
        <v>.</v>
      </c>
      <c r="BA281" s="182"/>
      <c r="BB281" s="182"/>
      <c r="BC281" s="182"/>
      <c r="BD281" s="182"/>
      <c r="BE281" s="182"/>
      <c r="BF281" s="182"/>
      <c r="BG281" s="182"/>
      <c r="BH281" s="182"/>
      <c r="BI281" s="182"/>
      <c r="BJ281" s="182"/>
      <c r="BK281" s="182"/>
      <c r="BL281" s="182"/>
      <c r="BM281" s="182"/>
      <c r="BN281" s="182"/>
      <c r="BO281" s="182"/>
      <c r="BP281" s="182"/>
      <c r="BQ281" s="182"/>
      <c r="BR281" s="182"/>
      <c r="BS281" s="182"/>
    </row>
    <row r="282" spans="1:71" ht="15.9" customHeight="1" x14ac:dyDescent="0.3">
      <c r="A282" s="17" t="s">
        <v>1041</v>
      </c>
      <c r="B282" s="17" t="s">
        <v>1025</v>
      </c>
      <c r="C282" s="174">
        <v>44638</v>
      </c>
      <c r="D282" s="5" t="s">
        <v>256</v>
      </c>
      <c r="E282" s="5" t="s">
        <v>267</v>
      </c>
      <c r="F282" s="175" t="s">
        <v>1042</v>
      </c>
      <c r="G282" s="15" t="s">
        <v>346</v>
      </c>
      <c r="H282" s="176" t="s">
        <v>341</v>
      </c>
      <c r="I282" s="17" t="s">
        <v>358</v>
      </c>
      <c r="J282" s="113" t="str">
        <f>VLOOKUP($I282,'Price List, Weapons &amp; Items'!B:C,2,0)</f>
        <v>Humanitarian</v>
      </c>
      <c r="K282" s="113" t="str">
        <f>IF(I282=".",I282,VLOOKUP($I282,'Price List, Weapons &amp; Items'!B:D,3,0))</f>
        <v>Humanitarian</v>
      </c>
      <c r="L282" s="177">
        <f>VLOOKUP(I282,'Price List, Weapons &amp; Items'!B:E,4,0)</f>
        <v>0</v>
      </c>
      <c r="M282" s="542">
        <v>4</v>
      </c>
      <c r="N282" s="542" t="s">
        <v>270</v>
      </c>
      <c r="O282" s="543">
        <f>VLOOKUP($I282,'Price List, Weapons &amp; Items'!B:G,6,0)</f>
        <v>317500</v>
      </c>
      <c r="P282" s="176">
        <f t="shared" si="57"/>
        <v>1270000</v>
      </c>
      <c r="Q282" s="176" t="str">
        <f t="shared" si="58"/>
        <v>.</v>
      </c>
      <c r="R282" s="176">
        <f t="shared" si="54"/>
        <v>1270000</v>
      </c>
      <c r="S282" s="176">
        <f>IF(AND(AD282=1,R282&lt;&gt;".")=TRUE,R282/VLOOKUP(G282,'Exchange Rates'!B:C,2,0),IF(R282=".",".",""))</f>
        <v>1209523.8095238095</v>
      </c>
      <c r="T282" s="176" t="str">
        <f>IF(AD282=1,IF(AF282="Value is not given at all",".",IF(AF282="Value is given by the source",S282,IF(AF282="Value is calculated with prices",(IF(SUMIFS(Q:Q,A:A,A282)&gt;0,SUMIFS(Q:Q,A:A,A282),"."))/VLOOKUP("USD",'Exchange Rates'!B:C,2,0),"Error with coding"))),"")</f>
        <v>.</v>
      </c>
      <c r="U282" s="15" t="s">
        <v>261</v>
      </c>
      <c r="V282" s="300" t="s">
        <v>1030</v>
      </c>
      <c r="W282" s="175" t="s">
        <v>260</v>
      </c>
      <c r="X282" s="175" t="s">
        <v>260</v>
      </c>
      <c r="Y282" s="175" t="s">
        <v>260</v>
      </c>
      <c r="Z282" s="15">
        <v>0</v>
      </c>
      <c r="AA282" s="180">
        <v>0</v>
      </c>
      <c r="AB282" s="17" t="s">
        <v>260</v>
      </c>
      <c r="AC282" s="544" t="str">
        <f>""</f>
        <v/>
      </c>
      <c r="AD282" s="181">
        <v>1</v>
      </c>
      <c r="AE282" s="181" t="s">
        <v>332</v>
      </c>
      <c r="AF282" s="181" t="s">
        <v>265</v>
      </c>
      <c r="AG282" s="181">
        <v>1</v>
      </c>
      <c r="AH282" s="181">
        <v>3</v>
      </c>
      <c r="AI282" s="181">
        <v>0</v>
      </c>
      <c r="AJ282" s="181">
        <f>VLOOKUP($I282,'Price List, Weapons &amp; Items'!B:F,5,0)</f>
        <v>0</v>
      </c>
      <c r="AK282" s="181">
        <f t="shared" si="59"/>
        <v>0</v>
      </c>
      <c r="AL282" s="181">
        <f t="shared" si="60"/>
        <v>0</v>
      </c>
      <c r="AM282" s="181">
        <f t="shared" si="61"/>
        <v>0</v>
      </c>
      <c r="AN282" s="180" t="str">
        <f>VLOOKUP($I282,'Price List, Weapons &amp; Items'!B:L,COLUMN('Price List, Weapons &amp; Items'!$J$11)-1,0)</f>
        <v>Media reports (incl. social media)</v>
      </c>
      <c r="AO282" s="180" t="str">
        <f>IF(I282=".",".",VLOOKUP($I282,'Price List, Weapons &amp; Items'!B:J,3,0))</f>
        <v>Humanitarian</v>
      </c>
      <c r="AP282" s="545" t="e">
        <f t="shared" ca="1" si="55"/>
        <v>#NAME?</v>
      </c>
      <c r="AQ282" s="180">
        <f>VLOOKUP($I282,'Price List, Weapons &amp; Items'!B:L,COLUMN('Price List, Weapons &amp; Items'!$L$11)-1,0)</f>
        <v>0</v>
      </c>
      <c r="AR282" s="180">
        <f t="shared" si="62"/>
        <v>1</v>
      </c>
      <c r="AS282" s="180">
        <f t="shared" si="63"/>
        <v>0</v>
      </c>
      <c r="AT282" s="180">
        <f t="shared" si="56"/>
        <v>1</v>
      </c>
      <c r="AU282" s="180" t="str">
        <f t="shared" si="64"/>
        <v>.</v>
      </c>
      <c r="AV282" s="180" t="str">
        <f t="shared" si="65"/>
        <v>.</v>
      </c>
      <c r="AW282" s="180">
        <f>IFERROR(VLOOKUP(B282,'Share, Heavy Weapons to Ukraine'!B:J,COLUMN('Share, Heavy Weapons to Ukraine'!C289)-1,0),0)</f>
        <v>0</v>
      </c>
      <c r="AX282" s="180">
        <f>VLOOKUP('Bilateral Assistance, MAIN DATA'!B282,'Country Summary'!B:F,COLUMN('Country Summary'!C292)-1,FALSE)</f>
        <v>1</v>
      </c>
      <c r="AY282" s="180" t="str">
        <f>IF(AND(AD282=1,D282="Military",H282&lt;&gt;"Not given")=TRUE,IF(SUMIFS(P:P,A:A,A282)&gt;0,ABS((SUMIFS(P:P,A:A,A282)/VLOOKUP("USD",'Exchange Rates'!B:C,2,0)))/S282,"."),".")</f>
        <v>.</v>
      </c>
      <c r="AZ282" s="182" t="str">
        <f>IF(AND(AD282=1,D282="Military",H282&lt;&gt;"Not given")=TRUE,IF(SUMIFS(P:P,A:A,A282)&gt;0,IF((ABS((SUMIFS(P:P,A:A,A282)/VLOOKUP("USD",'Exchange Rates'!B:C,2,0)))/S282)&gt;1,(SUMIFS(P:P,A:A,A282)-S282)/S282,(S282-SUMIFS(P:P,A:A,A282))/SUMIFS(P:P,A:A,A282)),"."),".")</f>
        <v>.</v>
      </c>
      <c r="BA282" s="182"/>
      <c r="BB282" s="182"/>
      <c r="BC282" s="182"/>
      <c r="BD282" s="182"/>
      <c r="BE282" s="182"/>
      <c r="BF282" s="182"/>
      <c r="BG282" s="182"/>
      <c r="BH282" s="182"/>
      <c r="BI282" s="182"/>
      <c r="BJ282" s="182"/>
      <c r="BK282" s="182"/>
      <c r="BL282" s="182"/>
      <c r="BM282" s="182"/>
      <c r="BN282" s="182"/>
      <c r="BO282" s="182"/>
      <c r="BP282" s="182"/>
      <c r="BQ282" s="182"/>
      <c r="BR282" s="182"/>
      <c r="BS282" s="182"/>
    </row>
    <row r="283" spans="1:71" ht="15.9" customHeight="1" x14ac:dyDescent="0.3">
      <c r="A283" s="17" t="s">
        <v>1043</v>
      </c>
      <c r="B283" s="17" t="s">
        <v>1025</v>
      </c>
      <c r="C283" s="174">
        <v>44639</v>
      </c>
      <c r="D283" s="5" t="s">
        <v>256</v>
      </c>
      <c r="E283" s="5" t="s">
        <v>267</v>
      </c>
      <c r="F283" s="175" t="s">
        <v>1044</v>
      </c>
      <c r="G283" s="15" t="s">
        <v>346</v>
      </c>
      <c r="H283" s="176" t="s">
        <v>341</v>
      </c>
      <c r="I283" s="17" t="s">
        <v>358</v>
      </c>
      <c r="J283" s="113" t="str">
        <f>VLOOKUP($I283,'Price List, Weapons &amp; Items'!B:C,2,0)</f>
        <v>Humanitarian</v>
      </c>
      <c r="K283" s="113" t="str">
        <f>IF(I283=".",I283,VLOOKUP($I283,'Price List, Weapons &amp; Items'!B:D,3,0))</f>
        <v>Humanitarian</v>
      </c>
      <c r="L283" s="177">
        <f>VLOOKUP(I283,'Price List, Weapons &amp; Items'!B:E,4,0)</f>
        <v>0</v>
      </c>
      <c r="M283" s="542">
        <v>2</v>
      </c>
      <c r="N283" s="542" t="s">
        <v>270</v>
      </c>
      <c r="O283" s="543">
        <f>VLOOKUP($I283,'Price List, Weapons &amp; Items'!B:G,6,0)</f>
        <v>317500</v>
      </c>
      <c r="P283" s="176">
        <f t="shared" si="57"/>
        <v>635000</v>
      </c>
      <c r="Q283" s="176" t="str">
        <f t="shared" si="58"/>
        <v>.</v>
      </c>
      <c r="R283" s="176">
        <f t="shared" si="54"/>
        <v>635000</v>
      </c>
      <c r="S283" s="176">
        <f>IF(AND(AD283=1,R283&lt;&gt;".")=TRUE,R283/VLOOKUP(G283,'Exchange Rates'!B:C,2,0),IF(R283=".",".",""))</f>
        <v>604761.90476190473</v>
      </c>
      <c r="T283" s="176" t="str">
        <f>IF(AD283=1,IF(AF283="Value is not given at all",".",IF(AF283="Value is given by the source",S283,IF(AF283="Value is calculated with prices",(IF(SUMIFS(Q:Q,A:A,A283)&gt;0,SUMIFS(Q:Q,A:A,A283),"."))/VLOOKUP("USD",'Exchange Rates'!B:C,2,0),"Error with coding"))),"")</f>
        <v>.</v>
      </c>
      <c r="U283" s="15" t="s">
        <v>261</v>
      </c>
      <c r="V283" s="300" t="s">
        <v>1030</v>
      </c>
      <c r="W283" s="175" t="s">
        <v>260</v>
      </c>
      <c r="X283" s="175" t="s">
        <v>260</v>
      </c>
      <c r="Y283" s="175" t="s">
        <v>260</v>
      </c>
      <c r="Z283" s="15">
        <v>0</v>
      </c>
      <c r="AA283" s="180">
        <v>0</v>
      </c>
      <c r="AB283" s="17" t="s">
        <v>260</v>
      </c>
      <c r="AC283" s="544" t="str">
        <f>""</f>
        <v/>
      </c>
      <c r="AD283" s="181">
        <v>1</v>
      </c>
      <c r="AE283" s="181" t="s">
        <v>332</v>
      </c>
      <c r="AF283" s="181" t="s">
        <v>265</v>
      </c>
      <c r="AG283" s="181">
        <v>1</v>
      </c>
      <c r="AH283" s="181">
        <v>3</v>
      </c>
      <c r="AI283" s="181">
        <v>0</v>
      </c>
      <c r="AJ283" s="181">
        <f>VLOOKUP($I283,'Price List, Weapons &amp; Items'!B:F,5,0)</f>
        <v>0</v>
      </c>
      <c r="AK283" s="181">
        <f t="shared" si="59"/>
        <v>0</v>
      </c>
      <c r="AL283" s="181">
        <f t="shared" si="60"/>
        <v>0</v>
      </c>
      <c r="AM283" s="181">
        <f t="shared" si="61"/>
        <v>0</v>
      </c>
      <c r="AN283" s="180" t="str">
        <f>VLOOKUP($I283,'Price List, Weapons &amp; Items'!B:L,COLUMN('Price List, Weapons &amp; Items'!$J$11)-1,0)</f>
        <v>Media reports (incl. social media)</v>
      </c>
      <c r="AO283" s="180" t="str">
        <f>IF(I283=".",".",VLOOKUP($I283,'Price List, Weapons &amp; Items'!B:J,3,0))</f>
        <v>Humanitarian</v>
      </c>
      <c r="AP283" s="545" t="e">
        <f t="shared" ca="1" si="55"/>
        <v>#NAME?</v>
      </c>
      <c r="AQ283" s="180">
        <f>VLOOKUP($I283,'Price List, Weapons &amp; Items'!B:L,COLUMN('Price List, Weapons &amp; Items'!$L$11)-1,0)</f>
        <v>0</v>
      </c>
      <c r="AR283" s="180">
        <f t="shared" si="62"/>
        <v>1</v>
      </c>
      <c r="AS283" s="180">
        <f t="shared" si="63"/>
        <v>0</v>
      </c>
      <c r="AT283" s="180">
        <f t="shared" si="56"/>
        <v>1</v>
      </c>
      <c r="AU283" s="180" t="str">
        <f t="shared" si="64"/>
        <v>.</v>
      </c>
      <c r="AV283" s="180" t="str">
        <f t="shared" si="65"/>
        <v>.</v>
      </c>
      <c r="AW283" s="180">
        <f>IFERROR(VLOOKUP(B283,'Share, Heavy Weapons to Ukraine'!B:J,COLUMN('Share, Heavy Weapons to Ukraine'!C290)-1,0),0)</f>
        <v>0</v>
      </c>
      <c r="AX283" s="180">
        <f>VLOOKUP('Bilateral Assistance, MAIN DATA'!B283,'Country Summary'!B:F,COLUMN('Country Summary'!C293)-1,FALSE)</f>
        <v>1</v>
      </c>
      <c r="AY283" s="180" t="str">
        <f>IF(AND(AD283=1,D283="Military",H283&lt;&gt;"Not given")=TRUE,IF(SUMIFS(P:P,A:A,A283)&gt;0,ABS((SUMIFS(P:P,A:A,A283)/VLOOKUP("USD",'Exchange Rates'!B:C,2,0)))/S283,"."),".")</f>
        <v>.</v>
      </c>
      <c r="AZ283" s="182" t="str">
        <f>IF(AND(AD283=1,D283="Military",H283&lt;&gt;"Not given")=TRUE,IF(SUMIFS(P:P,A:A,A283)&gt;0,IF((ABS((SUMIFS(P:P,A:A,A283)/VLOOKUP("USD",'Exchange Rates'!B:C,2,0)))/S283)&gt;1,(SUMIFS(P:P,A:A,A283)-S283)/S283,(S283-SUMIFS(P:P,A:A,A283))/SUMIFS(P:P,A:A,A283)),"."),".")</f>
        <v>.</v>
      </c>
      <c r="BA283" s="182"/>
      <c r="BB283" s="182"/>
      <c r="BC283" s="182"/>
      <c r="BD283" s="182"/>
      <c r="BE283" s="182"/>
      <c r="BF283" s="182"/>
      <c r="BG283" s="182"/>
      <c r="BH283" s="182"/>
      <c r="BI283" s="182"/>
      <c r="BJ283" s="182"/>
      <c r="BK283" s="182"/>
      <c r="BL283" s="182"/>
      <c r="BM283" s="182"/>
      <c r="BN283" s="182"/>
      <c r="BO283" s="182"/>
      <c r="BP283" s="182"/>
      <c r="BQ283" s="182"/>
      <c r="BR283" s="182"/>
      <c r="BS283" s="182"/>
    </row>
    <row r="284" spans="1:71" ht="15.9" customHeight="1" x14ac:dyDescent="0.3">
      <c r="A284" s="17" t="s">
        <v>1045</v>
      </c>
      <c r="B284" s="17" t="s">
        <v>1025</v>
      </c>
      <c r="C284" s="174">
        <v>44643</v>
      </c>
      <c r="D284" s="5" t="s">
        <v>256</v>
      </c>
      <c r="E284" s="5" t="s">
        <v>267</v>
      </c>
      <c r="F284" s="175" t="s">
        <v>1044</v>
      </c>
      <c r="G284" s="15" t="s">
        <v>346</v>
      </c>
      <c r="H284" s="176" t="s">
        <v>341</v>
      </c>
      <c r="I284" s="17" t="s">
        <v>358</v>
      </c>
      <c r="J284" s="113" t="str">
        <f>VLOOKUP($I284,'Price List, Weapons &amp; Items'!B:C,2,0)</f>
        <v>Humanitarian</v>
      </c>
      <c r="K284" s="113" t="str">
        <f>IF(I284=".",I284,VLOOKUP($I284,'Price List, Weapons &amp; Items'!B:D,3,0))</f>
        <v>Humanitarian</v>
      </c>
      <c r="L284" s="177">
        <f>VLOOKUP(I284,'Price List, Weapons &amp; Items'!B:E,4,0)</f>
        <v>0</v>
      </c>
      <c r="M284" s="542">
        <v>2</v>
      </c>
      <c r="N284" s="542" t="s">
        <v>270</v>
      </c>
      <c r="O284" s="543">
        <f>VLOOKUP($I284,'Price List, Weapons &amp; Items'!B:G,6,0)</f>
        <v>317500</v>
      </c>
      <c r="P284" s="176">
        <f t="shared" si="57"/>
        <v>635000</v>
      </c>
      <c r="Q284" s="176" t="str">
        <f t="shared" si="58"/>
        <v>.</v>
      </c>
      <c r="R284" s="176">
        <f t="shared" si="54"/>
        <v>635000</v>
      </c>
      <c r="S284" s="176">
        <f>IF(AND(AD284=1,R284&lt;&gt;".")=TRUE,R284/VLOOKUP(G284,'Exchange Rates'!B:C,2,0),IF(R284=".",".",""))</f>
        <v>604761.90476190473</v>
      </c>
      <c r="T284" s="176" t="str">
        <f>IF(AD284=1,IF(AF284="Value is not given at all",".",IF(AF284="Value is given by the source",S284,IF(AF284="Value is calculated with prices",(IF(SUMIFS(Q:Q,A:A,A284)&gt;0,SUMIFS(Q:Q,A:A,A284),"."))/VLOOKUP("USD",'Exchange Rates'!B:C,2,0),"Error with coding"))),"")</f>
        <v>.</v>
      </c>
      <c r="U284" s="15" t="s">
        <v>261</v>
      </c>
      <c r="V284" s="300" t="s">
        <v>1030</v>
      </c>
      <c r="W284" s="175" t="s">
        <v>260</v>
      </c>
      <c r="X284" s="175" t="s">
        <v>260</v>
      </c>
      <c r="Y284" s="175" t="s">
        <v>260</v>
      </c>
      <c r="Z284" s="15">
        <v>0</v>
      </c>
      <c r="AA284" s="180">
        <v>0</v>
      </c>
      <c r="AB284" s="532" t="s">
        <v>260</v>
      </c>
      <c r="AC284" s="544" t="str">
        <f>""</f>
        <v/>
      </c>
      <c r="AD284" s="181">
        <v>1</v>
      </c>
      <c r="AE284" s="181" t="s">
        <v>332</v>
      </c>
      <c r="AF284" s="181" t="s">
        <v>265</v>
      </c>
      <c r="AG284" s="181">
        <v>1</v>
      </c>
      <c r="AH284" s="181">
        <v>3</v>
      </c>
      <c r="AI284" s="181">
        <v>0</v>
      </c>
      <c r="AJ284" s="181">
        <f>VLOOKUP($I284,'Price List, Weapons &amp; Items'!B:F,5,0)</f>
        <v>0</v>
      </c>
      <c r="AK284" s="181">
        <f t="shared" si="59"/>
        <v>0</v>
      </c>
      <c r="AL284" s="181">
        <f t="shared" si="60"/>
        <v>0</v>
      </c>
      <c r="AM284" s="181">
        <f t="shared" si="61"/>
        <v>0</v>
      </c>
      <c r="AN284" s="180" t="str">
        <f>VLOOKUP($I284,'Price List, Weapons &amp; Items'!B:L,COLUMN('Price List, Weapons &amp; Items'!$J$11)-1,0)</f>
        <v>Media reports (incl. social media)</v>
      </c>
      <c r="AO284" s="180" t="str">
        <f>IF(I284=".",".",VLOOKUP($I284,'Price List, Weapons &amp; Items'!B:J,3,0))</f>
        <v>Humanitarian</v>
      </c>
      <c r="AP284" s="545" t="e">
        <f t="shared" ca="1" si="55"/>
        <v>#NAME?</v>
      </c>
      <c r="AQ284" s="180">
        <f>VLOOKUP($I284,'Price List, Weapons &amp; Items'!B:L,COLUMN('Price List, Weapons &amp; Items'!$L$11)-1,0)</f>
        <v>0</v>
      </c>
      <c r="AR284" s="180">
        <f t="shared" si="62"/>
        <v>1</v>
      </c>
      <c r="AS284" s="180">
        <f t="shared" si="63"/>
        <v>0</v>
      </c>
      <c r="AT284" s="180">
        <f t="shared" si="56"/>
        <v>1</v>
      </c>
      <c r="AU284" s="180" t="str">
        <f t="shared" si="64"/>
        <v>.</v>
      </c>
      <c r="AV284" s="180" t="str">
        <f t="shared" si="65"/>
        <v>.</v>
      </c>
      <c r="AW284" s="180">
        <f>IFERROR(VLOOKUP(B284,'Share, Heavy Weapons to Ukraine'!B:J,COLUMN('Share, Heavy Weapons to Ukraine'!C291)-1,0),0)</f>
        <v>0</v>
      </c>
      <c r="AX284" s="180">
        <f>VLOOKUP('Bilateral Assistance, MAIN DATA'!B284,'Country Summary'!B:F,COLUMN('Country Summary'!C294)-1,FALSE)</f>
        <v>1</v>
      </c>
      <c r="AY284" s="180" t="str">
        <f>IF(AND(AD284=1,D284="Military",H284&lt;&gt;"Not given")=TRUE,IF(SUMIFS(P:P,A:A,A284)&gt;0,ABS((SUMIFS(P:P,A:A,A284)/VLOOKUP("USD",'Exchange Rates'!B:C,2,0)))/S284,"."),".")</f>
        <v>.</v>
      </c>
      <c r="AZ284" s="182" t="str">
        <f>IF(AND(AD284=1,D284="Military",H284&lt;&gt;"Not given")=TRUE,IF(SUMIFS(P:P,A:A,A284)&gt;0,IF((ABS((SUMIFS(P:P,A:A,A284)/VLOOKUP("USD",'Exchange Rates'!B:C,2,0)))/S284)&gt;1,(SUMIFS(P:P,A:A,A284)-S284)/S284,(S284-SUMIFS(P:P,A:A,A284))/SUMIFS(P:P,A:A,A284)),"."),".")</f>
        <v>.</v>
      </c>
      <c r="BA284" s="182"/>
      <c r="BB284" s="182"/>
      <c r="BC284" s="182"/>
      <c r="BD284" s="182"/>
      <c r="BE284" s="182"/>
      <c r="BF284" s="182"/>
      <c r="BG284" s="182"/>
      <c r="BH284" s="182"/>
      <c r="BI284" s="182"/>
      <c r="BJ284" s="182"/>
      <c r="BK284" s="182"/>
      <c r="BL284" s="182"/>
      <c r="BM284" s="182"/>
      <c r="BN284" s="182"/>
      <c r="BO284" s="182"/>
      <c r="BP284" s="182"/>
      <c r="BQ284" s="182"/>
      <c r="BR284" s="182"/>
      <c r="BS284" s="182"/>
    </row>
    <row r="285" spans="1:71" ht="15.9" customHeight="1" x14ac:dyDescent="0.3">
      <c r="A285" s="17" t="s">
        <v>1046</v>
      </c>
      <c r="B285" s="17" t="s">
        <v>1025</v>
      </c>
      <c r="C285" s="174">
        <v>44644</v>
      </c>
      <c r="D285" s="5" t="s">
        <v>256</v>
      </c>
      <c r="E285" s="5" t="s">
        <v>267</v>
      </c>
      <c r="F285" s="175" t="s">
        <v>1047</v>
      </c>
      <c r="G285" s="15" t="s">
        <v>364</v>
      </c>
      <c r="H285" s="176">
        <f>(9200000+2000000-SUM(S275,S277,S281,S282,S283,S284,S287,S288,S289))/6</f>
        <v>747986.50793650793</v>
      </c>
      <c r="I285" s="17" t="s">
        <v>260</v>
      </c>
      <c r="J285" s="113" t="str">
        <f>VLOOKUP($I285,'Price List, Weapons &amp; Items'!B:C,2,0)</f>
        <v>.</v>
      </c>
      <c r="K285" s="113" t="str">
        <f>IF(I285=".",I285,VLOOKUP($I285,'Price List, Weapons &amp; Items'!B:D,3,0))</f>
        <v>.</v>
      </c>
      <c r="L285" s="177">
        <f>VLOOKUP(I285,'Price List, Weapons &amp; Items'!B:E,4,0)</f>
        <v>0</v>
      </c>
      <c r="M285" s="542" t="s">
        <v>260</v>
      </c>
      <c r="N285" s="542" t="s">
        <v>260</v>
      </c>
      <c r="O285" s="543" t="str">
        <f>VLOOKUP($I285,'Price List, Weapons &amp; Items'!B:G,6,0)</f>
        <v>.</v>
      </c>
      <c r="P285" s="176" t="str">
        <f t="shared" si="57"/>
        <v>.</v>
      </c>
      <c r="Q285" s="176" t="str">
        <f t="shared" si="58"/>
        <v>.</v>
      </c>
      <c r="R285" s="176">
        <f t="shared" si="54"/>
        <v>747986.50793650793</v>
      </c>
      <c r="S285" s="176">
        <f>IF(AND(AD285=1,R285&lt;&gt;".")=TRUE,R285/VLOOKUP(G285,'Exchange Rates'!B:C,2,0),IF(R285=".",".",""))</f>
        <v>747986.50793650793</v>
      </c>
      <c r="T285" s="176" t="str">
        <f>IF(AD285=1,IF(AF285="Value is not given at all",".",IF(AF285="Value is given by the source",S285,IF(AF285="Value is calculated with prices",(IF(SUMIFS(Q:Q,A:A,A285)&gt;0,SUMIFS(Q:Q,A:A,A285),"."))/VLOOKUP("USD",'Exchange Rates'!B:C,2,0),"Error with coding"))),"")</f>
        <v>.</v>
      </c>
      <c r="U285" s="15" t="s">
        <v>261</v>
      </c>
      <c r="V285" s="300" t="s">
        <v>1030</v>
      </c>
      <c r="W285" s="175" t="s">
        <v>260</v>
      </c>
      <c r="X285" s="175" t="s">
        <v>260</v>
      </c>
      <c r="Y285" s="175" t="s">
        <v>260</v>
      </c>
      <c r="Z285" s="15">
        <v>0</v>
      </c>
      <c r="AA285" s="180">
        <v>0</v>
      </c>
      <c r="AB285" s="17" t="s">
        <v>260</v>
      </c>
      <c r="AC285" s="544" t="str">
        <f>""</f>
        <v/>
      </c>
      <c r="AD285" s="181">
        <v>1</v>
      </c>
      <c r="AE285" s="181" t="s">
        <v>265</v>
      </c>
      <c r="AF285" s="181" t="s">
        <v>265</v>
      </c>
      <c r="AG285" s="181">
        <v>1</v>
      </c>
      <c r="AH285" s="181">
        <v>3</v>
      </c>
      <c r="AI285" s="181">
        <v>0</v>
      </c>
      <c r="AJ285" s="181">
        <f>VLOOKUP($I285,'Price List, Weapons &amp; Items'!B:F,5,0)</f>
        <v>0</v>
      </c>
      <c r="AK285" s="181">
        <f t="shared" si="59"/>
        <v>0</v>
      </c>
      <c r="AL285" s="181">
        <f t="shared" si="60"/>
        <v>0</v>
      </c>
      <c r="AM285" s="181">
        <f t="shared" si="61"/>
        <v>0</v>
      </c>
      <c r="AN285" s="180" t="str">
        <f>VLOOKUP($I285,'Price List, Weapons &amp; Items'!B:L,COLUMN('Price List, Weapons &amp; Items'!$J$11)-1,0)</f>
        <v>.</v>
      </c>
      <c r="AO285" s="180" t="str">
        <f>IF(I285=".",".",VLOOKUP($I285,'Price List, Weapons &amp; Items'!B:J,3,0))</f>
        <v>.</v>
      </c>
      <c r="AP285" s="545" t="e">
        <f t="shared" ca="1" si="55"/>
        <v>#NAME?</v>
      </c>
      <c r="AQ285" s="180" t="str">
        <f>VLOOKUP($I285,'Price List, Weapons &amp; Items'!B:L,COLUMN('Price List, Weapons &amp; Items'!$L$11)-1,0)</f>
        <v>no price, 0 count</v>
      </c>
      <c r="AR285" s="180">
        <f t="shared" si="62"/>
        <v>1</v>
      </c>
      <c r="AS285" s="180">
        <f t="shared" si="63"/>
        <v>0</v>
      </c>
      <c r="AT285" s="180">
        <f t="shared" si="56"/>
        <v>1</v>
      </c>
      <c r="AU285" s="180" t="str">
        <f t="shared" si="64"/>
        <v>.</v>
      </c>
      <c r="AV285" s="180" t="str">
        <f t="shared" si="65"/>
        <v>.</v>
      </c>
      <c r="AW285" s="180">
        <f>IFERROR(VLOOKUP(B285,'Share, Heavy Weapons to Ukraine'!B:J,COLUMN('Share, Heavy Weapons to Ukraine'!C292)-1,0),0)</f>
        <v>0</v>
      </c>
      <c r="AX285" s="180">
        <f>VLOOKUP('Bilateral Assistance, MAIN DATA'!B285,'Country Summary'!B:F,COLUMN('Country Summary'!C295)-1,FALSE)</f>
        <v>1</v>
      </c>
      <c r="AY285" s="180" t="str">
        <f>IF(AND(AD285=1,D285="Military",H285&lt;&gt;"Not given")=TRUE,IF(SUMIFS(P:P,A:A,A285)&gt;0,ABS((SUMIFS(P:P,A:A,A285)/VLOOKUP("USD",'Exchange Rates'!B:C,2,0)))/S285,"."),".")</f>
        <v>.</v>
      </c>
      <c r="AZ285" s="182" t="str">
        <f>IF(AND(AD285=1,D285="Military",H285&lt;&gt;"Not given")=TRUE,IF(SUMIFS(P:P,A:A,A285)&gt;0,IF((ABS((SUMIFS(P:P,A:A,A285)/VLOOKUP("USD",'Exchange Rates'!B:C,2,0)))/S285)&gt;1,(SUMIFS(P:P,A:A,A285)-S285)/S285,(S285-SUMIFS(P:P,A:A,A285))/SUMIFS(P:P,A:A,A285)),"."),".")</f>
        <v>.</v>
      </c>
      <c r="BA285" s="182"/>
      <c r="BB285" s="182"/>
      <c r="BC285" s="182"/>
      <c r="BD285" s="182"/>
      <c r="BE285" s="182"/>
      <c r="BF285" s="182"/>
      <c r="BG285" s="182"/>
      <c r="BH285" s="182"/>
      <c r="BI285" s="182"/>
      <c r="BJ285" s="182"/>
      <c r="BK285" s="182"/>
      <c r="BL285" s="182"/>
      <c r="BM285" s="182"/>
      <c r="BN285" s="182"/>
      <c r="BO285" s="182"/>
      <c r="BP285" s="182"/>
      <c r="BQ285" s="182"/>
      <c r="BR285" s="182"/>
      <c r="BS285" s="182"/>
    </row>
    <row r="286" spans="1:71" ht="15.9" customHeight="1" x14ac:dyDescent="0.3">
      <c r="A286" s="17" t="s">
        <v>1048</v>
      </c>
      <c r="B286" s="17" t="s">
        <v>1025</v>
      </c>
      <c r="C286" s="174">
        <v>44645</v>
      </c>
      <c r="D286" s="5" t="s">
        <v>256</v>
      </c>
      <c r="E286" s="5" t="s">
        <v>267</v>
      </c>
      <c r="F286" s="175" t="s">
        <v>1049</v>
      </c>
      <c r="G286" s="15" t="s">
        <v>364</v>
      </c>
      <c r="H286" s="176">
        <f>(9200000+2000000-SUM(S275,S277,S281,S282,S283,S284,S287,S288,S289))/6</f>
        <v>747986.50793650793</v>
      </c>
      <c r="I286" s="17" t="s">
        <v>260</v>
      </c>
      <c r="J286" s="113" t="str">
        <f>VLOOKUP($I286,'Price List, Weapons &amp; Items'!B:C,2,0)</f>
        <v>.</v>
      </c>
      <c r="K286" s="113" t="str">
        <f>IF(I286=".",I286,VLOOKUP($I286,'Price List, Weapons &amp; Items'!B:D,3,0))</f>
        <v>.</v>
      </c>
      <c r="L286" s="177">
        <f>VLOOKUP(I286,'Price List, Weapons &amp; Items'!B:E,4,0)</f>
        <v>0</v>
      </c>
      <c r="M286" s="542" t="s">
        <v>260</v>
      </c>
      <c r="N286" s="542" t="s">
        <v>260</v>
      </c>
      <c r="O286" s="543" t="str">
        <f>VLOOKUP($I286,'Price List, Weapons &amp; Items'!B:G,6,0)</f>
        <v>.</v>
      </c>
      <c r="P286" s="176" t="str">
        <f t="shared" si="57"/>
        <v>.</v>
      </c>
      <c r="Q286" s="176" t="str">
        <f t="shared" si="58"/>
        <v>.</v>
      </c>
      <c r="R286" s="176">
        <f t="shared" si="54"/>
        <v>747986.50793650793</v>
      </c>
      <c r="S286" s="176">
        <f>IF(AND(AD286=1,R286&lt;&gt;".")=TRUE,R286/VLOOKUP(G286,'Exchange Rates'!B:C,2,0),IF(R286=".",".",""))</f>
        <v>747986.50793650793</v>
      </c>
      <c r="T286" s="176" t="str">
        <f>IF(AD286=1,IF(AF286="Value is not given at all",".",IF(AF286="Value is given by the source",S286,IF(AF286="Value is calculated with prices",(IF(SUMIFS(Q:Q,A:A,A286)&gt;0,SUMIFS(Q:Q,A:A,A286),"."))/VLOOKUP("USD",'Exchange Rates'!B:C,2,0),"Error with coding"))),"")</f>
        <v>.</v>
      </c>
      <c r="U286" s="15" t="s">
        <v>261</v>
      </c>
      <c r="V286" s="300" t="s">
        <v>1030</v>
      </c>
      <c r="W286" s="175" t="s">
        <v>260</v>
      </c>
      <c r="X286" s="175" t="s">
        <v>260</v>
      </c>
      <c r="Y286" s="175" t="s">
        <v>260</v>
      </c>
      <c r="Z286" s="15">
        <v>0</v>
      </c>
      <c r="AA286" s="180">
        <v>0</v>
      </c>
      <c r="AB286" s="17" t="s">
        <v>260</v>
      </c>
      <c r="AC286" s="544" t="str">
        <f>""</f>
        <v/>
      </c>
      <c r="AD286" s="181">
        <v>1</v>
      </c>
      <c r="AE286" s="181" t="s">
        <v>265</v>
      </c>
      <c r="AF286" s="181" t="s">
        <v>265</v>
      </c>
      <c r="AG286" s="181">
        <v>1</v>
      </c>
      <c r="AH286" s="181">
        <v>3</v>
      </c>
      <c r="AI286" s="181">
        <v>0</v>
      </c>
      <c r="AJ286" s="181">
        <f>VLOOKUP($I286,'Price List, Weapons &amp; Items'!B:F,5,0)</f>
        <v>0</v>
      </c>
      <c r="AK286" s="181">
        <f t="shared" si="59"/>
        <v>0</v>
      </c>
      <c r="AL286" s="181">
        <f t="shared" si="60"/>
        <v>0</v>
      </c>
      <c r="AM286" s="181">
        <f t="shared" si="61"/>
        <v>0</v>
      </c>
      <c r="AN286" s="180" t="str">
        <f>VLOOKUP($I286,'Price List, Weapons &amp; Items'!B:L,COLUMN('Price List, Weapons &amp; Items'!$J$11)-1,0)</f>
        <v>.</v>
      </c>
      <c r="AO286" s="180" t="str">
        <f>IF(I286=".",".",VLOOKUP($I286,'Price List, Weapons &amp; Items'!B:J,3,0))</f>
        <v>.</v>
      </c>
      <c r="AP286" s="545" t="e">
        <f t="shared" ca="1" si="55"/>
        <v>#NAME?</v>
      </c>
      <c r="AQ286" s="180" t="str">
        <f>VLOOKUP($I286,'Price List, Weapons &amp; Items'!B:L,COLUMN('Price List, Weapons &amp; Items'!$L$11)-1,0)</f>
        <v>no price, 0 count</v>
      </c>
      <c r="AR286" s="180">
        <f t="shared" si="62"/>
        <v>1</v>
      </c>
      <c r="AS286" s="180">
        <f t="shared" si="63"/>
        <v>0</v>
      </c>
      <c r="AT286" s="180">
        <f t="shared" si="56"/>
        <v>1</v>
      </c>
      <c r="AU286" s="180" t="str">
        <f t="shared" si="64"/>
        <v>.</v>
      </c>
      <c r="AV286" s="180" t="str">
        <f t="shared" si="65"/>
        <v>.</v>
      </c>
      <c r="AW286" s="180">
        <f>IFERROR(VLOOKUP(B286,'Share, Heavy Weapons to Ukraine'!B:J,COLUMN('Share, Heavy Weapons to Ukraine'!C293)-1,0),0)</f>
        <v>0</v>
      </c>
      <c r="AX286" s="180">
        <f>VLOOKUP('Bilateral Assistance, MAIN DATA'!B286,'Country Summary'!B:F,COLUMN('Country Summary'!C296)-1,FALSE)</f>
        <v>1</v>
      </c>
      <c r="AY286" s="180" t="str">
        <f>IF(AND(AD286=1,D286="Military",H286&lt;&gt;"Not given")=TRUE,IF(SUMIFS(P:P,A:A,A286)&gt;0,ABS((SUMIFS(P:P,A:A,A286)/VLOOKUP("USD",'Exchange Rates'!B:C,2,0)))/S286,"."),".")</f>
        <v>.</v>
      </c>
      <c r="AZ286" s="182" t="str">
        <f>IF(AND(AD286=1,D286="Military",H286&lt;&gt;"Not given")=TRUE,IF(SUMIFS(P:P,A:A,A286)&gt;0,IF((ABS((SUMIFS(P:P,A:A,A286)/VLOOKUP("USD",'Exchange Rates'!B:C,2,0)))/S286)&gt;1,(SUMIFS(P:P,A:A,A286)-S286)/S286,(S286-SUMIFS(P:P,A:A,A286))/SUMIFS(P:P,A:A,A286)),"."),".")</f>
        <v>.</v>
      </c>
      <c r="BA286" s="182"/>
      <c r="BB286" s="182"/>
      <c r="BC286" s="182"/>
      <c r="BD286" s="182"/>
      <c r="BE286" s="182"/>
      <c r="BF286" s="182"/>
      <c r="BG286" s="182"/>
      <c r="BH286" s="182"/>
      <c r="BI286" s="182"/>
      <c r="BJ286" s="182"/>
      <c r="BK286" s="182"/>
      <c r="BL286" s="182"/>
      <c r="BM286" s="182"/>
      <c r="BN286" s="182"/>
      <c r="BO286" s="182"/>
      <c r="BP286" s="182"/>
      <c r="BQ286" s="182"/>
      <c r="BR286" s="182"/>
      <c r="BS286" s="182"/>
    </row>
    <row r="287" spans="1:71" ht="15.9" customHeight="1" x14ac:dyDescent="0.3">
      <c r="A287" s="17" t="s">
        <v>1050</v>
      </c>
      <c r="B287" s="17" t="s">
        <v>1025</v>
      </c>
      <c r="C287" s="174">
        <v>44646</v>
      </c>
      <c r="D287" s="5" t="s">
        <v>256</v>
      </c>
      <c r="E287" s="5" t="s">
        <v>267</v>
      </c>
      <c r="F287" s="175" t="s">
        <v>1051</v>
      </c>
      <c r="G287" s="15" t="s">
        <v>346</v>
      </c>
      <c r="H287" s="176" t="s">
        <v>341</v>
      </c>
      <c r="I287" s="17" t="s">
        <v>358</v>
      </c>
      <c r="J287" s="113" t="str">
        <f>VLOOKUP($I287,'Price List, Weapons &amp; Items'!B:C,2,0)</f>
        <v>Humanitarian</v>
      </c>
      <c r="K287" s="113" t="str">
        <f>IF(I287=".",I287,VLOOKUP($I287,'Price List, Weapons &amp; Items'!B:D,3,0))</f>
        <v>Humanitarian</v>
      </c>
      <c r="L287" s="177">
        <f>VLOOKUP(I287,'Price List, Weapons &amp; Items'!B:E,4,0)</f>
        <v>0</v>
      </c>
      <c r="M287" s="542">
        <v>1</v>
      </c>
      <c r="N287" s="542" t="s">
        <v>270</v>
      </c>
      <c r="O287" s="543">
        <f>VLOOKUP($I287,'Price List, Weapons &amp; Items'!B:G,6,0)</f>
        <v>317500</v>
      </c>
      <c r="P287" s="176">
        <f t="shared" si="57"/>
        <v>317500</v>
      </c>
      <c r="Q287" s="176" t="str">
        <f t="shared" si="58"/>
        <v>.</v>
      </c>
      <c r="R287" s="176">
        <f t="shared" si="54"/>
        <v>317500</v>
      </c>
      <c r="S287" s="176">
        <f>IF(AND(AD287=1,R287&lt;&gt;".")=TRUE,R287/VLOOKUP(G287,'Exchange Rates'!B:C,2,0),IF(R287=".",".",""))</f>
        <v>302380.95238095237</v>
      </c>
      <c r="T287" s="176" t="str">
        <f>IF(AD287=1,IF(AF287="Value is not given at all",".",IF(AF287="Value is given by the source",S287,IF(AF287="Value is calculated with prices",(IF(SUMIFS(Q:Q,A:A,A287)&gt;0,SUMIFS(Q:Q,A:A,A287),"."))/VLOOKUP("USD",'Exchange Rates'!B:C,2,0),"Error with coding"))),"")</f>
        <v>.</v>
      </c>
      <c r="U287" s="15" t="s">
        <v>261</v>
      </c>
      <c r="V287" s="300" t="s">
        <v>1030</v>
      </c>
      <c r="W287" s="175" t="s">
        <v>260</v>
      </c>
      <c r="X287" s="175" t="s">
        <v>260</v>
      </c>
      <c r="Y287" s="175" t="s">
        <v>260</v>
      </c>
      <c r="Z287" s="15">
        <v>0</v>
      </c>
      <c r="AA287" s="180">
        <v>0</v>
      </c>
      <c r="AB287" s="17" t="s">
        <v>260</v>
      </c>
      <c r="AC287" s="544" t="str">
        <f>""</f>
        <v/>
      </c>
      <c r="AD287" s="181">
        <v>1</v>
      </c>
      <c r="AE287" s="181" t="s">
        <v>332</v>
      </c>
      <c r="AF287" s="181" t="s">
        <v>265</v>
      </c>
      <c r="AG287" s="181">
        <v>1</v>
      </c>
      <c r="AH287" s="181">
        <v>3</v>
      </c>
      <c r="AI287" s="181">
        <v>0</v>
      </c>
      <c r="AJ287" s="181">
        <f>VLOOKUP($I287,'Price List, Weapons &amp; Items'!B:F,5,0)</f>
        <v>0</v>
      </c>
      <c r="AK287" s="181">
        <f t="shared" si="59"/>
        <v>0</v>
      </c>
      <c r="AL287" s="181">
        <f t="shared" si="60"/>
        <v>0</v>
      </c>
      <c r="AM287" s="181">
        <f t="shared" si="61"/>
        <v>0</v>
      </c>
      <c r="AN287" s="180" t="str">
        <f>VLOOKUP($I287,'Price List, Weapons &amp; Items'!B:L,COLUMN('Price List, Weapons &amp; Items'!$J$11)-1,0)</f>
        <v>Media reports (incl. social media)</v>
      </c>
      <c r="AO287" s="180" t="str">
        <f>IF(I287=".",".",VLOOKUP($I287,'Price List, Weapons &amp; Items'!B:J,3,0))</f>
        <v>Humanitarian</v>
      </c>
      <c r="AP287" s="545" t="e">
        <f t="shared" ca="1" si="55"/>
        <v>#NAME?</v>
      </c>
      <c r="AQ287" s="180">
        <f>VLOOKUP($I287,'Price List, Weapons &amp; Items'!B:L,COLUMN('Price List, Weapons &amp; Items'!$L$11)-1,0)</f>
        <v>0</v>
      </c>
      <c r="AR287" s="180">
        <f t="shared" si="62"/>
        <v>1</v>
      </c>
      <c r="AS287" s="180">
        <f t="shared" si="63"/>
        <v>0</v>
      </c>
      <c r="AT287" s="180">
        <f t="shared" si="56"/>
        <v>1</v>
      </c>
      <c r="AU287" s="180" t="str">
        <f t="shared" si="64"/>
        <v>.</v>
      </c>
      <c r="AV287" s="180" t="str">
        <f t="shared" si="65"/>
        <v>.</v>
      </c>
      <c r="AW287" s="180">
        <f>IFERROR(VLOOKUP(B287,'Share, Heavy Weapons to Ukraine'!B:J,COLUMN('Share, Heavy Weapons to Ukraine'!C294)-1,0),0)</f>
        <v>0</v>
      </c>
      <c r="AX287" s="180">
        <f>VLOOKUP('Bilateral Assistance, MAIN DATA'!B287,'Country Summary'!B:F,COLUMN('Country Summary'!C297)-1,FALSE)</f>
        <v>1</v>
      </c>
      <c r="AY287" s="180" t="str">
        <f>IF(AND(AD287=1,D287="Military",H287&lt;&gt;"Not given")=TRUE,IF(SUMIFS(P:P,A:A,A287)&gt;0,ABS((SUMIFS(P:P,A:A,A287)/VLOOKUP("USD",'Exchange Rates'!B:C,2,0)))/S287,"."),".")</f>
        <v>.</v>
      </c>
      <c r="AZ287" s="182" t="str">
        <f>IF(AND(AD287=1,D287="Military",H287&lt;&gt;"Not given")=TRUE,IF(SUMIFS(P:P,A:A,A287)&gt;0,IF((ABS((SUMIFS(P:P,A:A,A287)/VLOOKUP("USD",'Exchange Rates'!B:C,2,0)))/S287)&gt;1,(SUMIFS(P:P,A:A,A287)-S287)/S287,(S287-SUMIFS(P:P,A:A,A287))/SUMIFS(P:P,A:A,A287)),"."),".")</f>
        <v>.</v>
      </c>
      <c r="BA287" s="182"/>
      <c r="BB287" s="182"/>
      <c r="BC287" s="182"/>
      <c r="BD287" s="182"/>
      <c r="BE287" s="182"/>
      <c r="BF287" s="182"/>
      <c r="BG287" s="182"/>
      <c r="BH287" s="182"/>
      <c r="BI287" s="182"/>
      <c r="BJ287" s="182"/>
      <c r="BK287" s="182"/>
      <c r="BL287" s="182"/>
      <c r="BM287" s="182"/>
      <c r="BN287" s="182"/>
      <c r="BO287" s="182"/>
      <c r="BP287" s="182"/>
      <c r="BQ287" s="182"/>
      <c r="BR287" s="182"/>
      <c r="BS287" s="182"/>
    </row>
    <row r="288" spans="1:71" ht="15.9" customHeight="1" x14ac:dyDescent="0.3">
      <c r="A288" s="17" t="s">
        <v>1052</v>
      </c>
      <c r="B288" s="17" t="s">
        <v>1025</v>
      </c>
      <c r="C288" s="174">
        <v>44656</v>
      </c>
      <c r="D288" s="5" t="s">
        <v>256</v>
      </c>
      <c r="E288" s="5" t="s">
        <v>267</v>
      </c>
      <c r="F288" s="175" t="s">
        <v>1053</v>
      </c>
      <c r="G288" s="15" t="s">
        <v>346</v>
      </c>
      <c r="H288" s="176" t="s">
        <v>341</v>
      </c>
      <c r="I288" s="17" t="s">
        <v>358</v>
      </c>
      <c r="J288" s="113" t="str">
        <f>VLOOKUP($I288,'Price List, Weapons &amp; Items'!B:C,2,0)</f>
        <v>Humanitarian</v>
      </c>
      <c r="K288" s="113" t="str">
        <f>IF(I288=".",I288,VLOOKUP($I288,'Price List, Weapons &amp; Items'!B:D,3,0))</f>
        <v>Humanitarian</v>
      </c>
      <c r="L288" s="177">
        <f>VLOOKUP(I288,'Price List, Weapons &amp; Items'!B:E,4,0)</f>
        <v>0</v>
      </c>
      <c r="M288" s="542">
        <v>2</v>
      </c>
      <c r="N288" s="542" t="s">
        <v>270</v>
      </c>
      <c r="O288" s="543">
        <f>VLOOKUP($I288,'Price List, Weapons &amp; Items'!B:G,6,0)</f>
        <v>317500</v>
      </c>
      <c r="P288" s="176">
        <f t="shared" si="57"/>
        <v>635000</v>
      </c>
      <c r="Q288" s="176" t="str">
        <f t="shared" si="58"/>
        <v>.</v>
      </c>
      <c r="R288" s="176">
        <f t="shared" si="54"/>
        <v>635000</v>
      </c>
      <c r="S288" s="176">
        <f>IF(AND(AD288=1,R288&lt;&gt;".")=TRUE,R288/VLOOKUP(G288,'Exchange Rates'!B:C,2,0),IF(R288=".",".",""))</f>
        <v>604761.90476190473</v>
      </c>
      <c r="T288" s="176" t="str">
        <f>IF(AD288=1,IF(AF288="Value is not given at all",".",IF(AF288="Value is given by the source",S288,IF(AF288="Value is calculated with prices",(IF(SUMIFS(Q:Q,A:A,A288)&gt;0,SUMIFS(Q:Q,A:A,A288),"."))/VLOOKUP("USD",'Exchange Rates'!B:C,2,0),"Error with coding"))),"")</f>
        <v>.</v>
      </c>
      <c r="U288" s="15" t="s">
        <v>261</v>
      </c>
      <c r="V288" s="300" t="s">
        <v>1030</v>
      </c>
      <c r="W288" s="175" t="s">
        <v>260</v>
      </c>
      <c r="X288" s="175" t="s">
        <v>260</v>
      </c>
      <c r="Y288" s="175" t="s">
        <v>260</v>
      </c>
      <c r="Z288" s="15">
        <v>0</v>
      </c>
      <c r="AA288" s="180">
        <v>0</v>
      </c>
      <c r="AB288" s="17" t="s">
        <v>260</v>
      </c>
      <c r="AC288" s="544" t="str">
        <f>""</f>
        <v/>
      </c>
      <c r="AD288" s="181">
        <v>1</v>
      </c>
      <c r="AE288" s="181" t="s">
        <v>332</v>
      </c>
      <c r="AF288" s="181" t="s">
        <v>265</v>
      </c>
      <c r="AG288" s="181">
        <v>1</v>
      </c>
      <c r="AH288" s="181">
        <v>4</v>
      </c>
      <c r="AI288" s="181">
        <v>0</v>
      </c>
      <c r="AJ288" s="181">
        <f>VLOOKUP($I288,'Price List, Weapons &amp; Items'!B:F,5,0)</f>
        <v>0</v>
      </c>
      <c r="AK288" s="181">
        <f t="shared" si="59"/>
        <v>0</v>
      </c>
      <c r="AL288" s="181">
        <f t="shared" si="60"/>
        <v>0</v>
      </c>
      <c r="AM288" s="181">
        <f t="shared" si="61"/>
        <v>0</v>
      </c>
      <c r="AN288" s="180" t="str">
        <f>VLOOKUP($I288,'Price List, Weapons &amp; Items'!B:L,COLUMN('Price List, Weapons &amp; Items'!$J$11)-1,0)</f>
        <v>Media reports (incl. social media)</v>
      </c>
      <c r="AO288" s="180" t="str">
        <f>IF(I288=".",".",VLOOKUP($I288,'Price List, Weapons &amp; Items'!B:J,3,0))</f>
        <v>Humanitarian</v>
      </c>
      <c r="AP288" s="545" t="e">
        <f t="shared" ca="1" si="55"/>
        <v>#NAME?</v>
      </c>
      <c r="AQ288" s="180">
        <f>VLOOKUP($I288,'Price List, Weapons &amp; Items'!B:L,COLUMN('Price List, Weapons &amp; Items'!$L$11)-1,0)</f>
        <v>0</v>
      </c>
      <c r="AR288" s="180">
        <f t="shared" si="62"/>
        <v>1</v>
      </c>
      <c r="AS288" s="180">
        <f t="shared" si="63"/>
        <v>0</v>
      </c>
      <c r="AT288" s="180">
        <f t="shared" si="56"/>
        <v>1</v>
      </c>
      <c r="AU288" s="180" t="str">
        <f t="shared" si="64"/>
        <v>.</v>
      </c>
      <c r="AV288" s="180" t="str">
        <f t="shared" si="65"/>
        <v>.</v>
      </c>
      <c r="AW288" s="180">
        <f>IFERROR(VLOOKUP(B288,'Share, Heavy Weapons to Ukraine'!B:J,COLUMN('Share, Heavy Weapons to Ukraine'!C295)-1,0),0)</f>
        <v>0</v>
      </c>
      <c r="AX288" s="180">
        <f>VLOOKUP('Bilateral Assistance, MAIN DATA'!B288,'Country Summary'!B:F,COLUMN('Country Summary'!C298)-1,FALSE)</f>
        <v>1</v>
      </c>
      <c r="AY288" s="180" t="str">
        <f>IF(AND(AD288=1,D288="Military",H288&lt;&gt;"Not given")=TRUE,IF(SUMIFS(P:P,A:A,A288)&gt;0,ABS((SUMIFS(P:P,A:A,A288)/VLOOKUP("USD",'Exchange Rates'!B:C,2,0)))/S288,"."),".")</f>
        <v>.</v>
      </c>
      <c r="AZ288" s="182" t="str">
        <f>IF(AND(AD288=1,D288="Military",H288&lt;&gt;"Not given")=TRUE,IF(SUMIFS(P:P,A:A,A288)&gt;0,IF((ABS((SUMIFS(P:P,A:A,A288)/VLOOKUP("USD",'Exchange Rates'!B:C,2,0)))/S288)&gt;1,(SUMIFS(P:P,A:A,A288)-S288)/S288,(S288-SUMIFS(P:P,A:A,A288))/SUMIFS(P:P,A:A,A288)),"."),".")</f>
        <v>.</v>
      </c>
      <c r="BA288" s="182"/>
      <c r="BB288" s="182"/>
      <c r="BC288" s="182"/>
      <c r="BD288" s="182"/>
      <c r="BE288" s="182"/>
      <c r="BF288" s="182"/>
      <c r="BG288" s="182"/>
      <c r="BH288" s="182"/>
      <c r="BI288" s="182"/>
      <c r="BJ288" s="182"/>
      <c r="BK288" s="182"/>
      <c r="BL288" s="182"/>
      <c r="BM288" s="182"/>
      <c r="BN288" s="182"/>
      <c r="BO288" s="182"/>
      <c r="BP288" s="182"/>
      <c r="BQ288" s="182"/>
      <c r="BR288" s="182"/>
      <c r="BS288" s="182"/>
    </row>
    <row r="289" spans="1:71" ht="15.9" customHeight="1" x14ac:dyDescent="0.3">
      <c r="A289" s="17" t="s">
        <v>1054</v>
      </c>
      <c r="B289" s="17" t="s">
        <v>1025</v>
      </c>
      <c r="C289" s="174">
        <v>44665</v>
      </c>
      <c r="D289" s="5" t="s">
        <v>256</v>
      </c>
      <c r="E289" s="5" t="s">
        <v>267</v>
      </c>
      <c r="F289" s="175" t="s">
        <v>1055</v>
      </c>
      <c r="G289" s="15" t="s">
        <v>346</v>
      </c>
      <c r="H289" s="176" t="s">
        <v>341</v>
      </c>
      <c r="I289" s="17" t="s">
        <v>358</v>
      </c>
      <c r="J289" s="113" t="str">
        <f>VLOOKUP($I289,'Price List, Weapons &amp; Items'!B:C,2,0)</f>
        <v>Humanitarian</v>
      </c>
      <c r="K289" s="113" t="str">
        <f>IF(I289=".",I289,VLOOKUP($I289,'Price List, Weapons &amp; Items'!B:D,3,0))</f>
        <v>Humanitarian</v>
      </c>
      <c r="L289" s="177">
        <f>VLOOKUP(I289,'Price List, Weapons &amp; Items'!B:E,4,0)</f>
        <v>0</v>
      </c>
      <c r="M289" s="542">
        <v>2</v>
      </c>
      <c r="N289" s="542" t="s">
        <v>270</v>
      </c>
      <c r="O289" s="543">
        <f>VLOOKUP($I289,'Price List, Weapons &amp; Items'!B:G,6,0)</f>
        <v>317500</v>
      </c>
      <c r="P289" s="176">
        <f t="shared" si="57"/>
        <v>635000</v>
      </c>
      <c r="Q289" s="176" t="str">
        <f t="shared" si="58"/>
        <v>.</v>
      </c>
      <c r="R289" s="176">
        <f t="shared" si="54"/>
        <v>635000</v>
      </c>
      <c r="S289" s="176">
        <f>IF(AND(AD289=1,R289&lt;&gt;".")=TRUE,R289/VLOOKUP(G289,'Exchange Rates'!B:C,2,0),IF(R289=".",".",""))</f>
        <v>604761.90476190473</v>
      </c>
      <c r="T289" s="176" t="str">
        <f>IF(AD289=1,IF(AF289="Value is not given at all",".",IF(AF289="Value is given by the source",S289,IF(AF289="Value is calculated with prices",(IF(SUMIFS(Q:Q,A:A,A289)&gt;0,SUMIFS(Q:Q,A:A,A289),"."))/VLOOKUP("USD",'Exchange Rates'!B:C,2,0),"Error with coding"))),"")</f>
        <v>.</v>
      </c>
      <c r="U289" s="15" t="s">
        <v>261</v>
      </c>
      <c r="V289" s="300" t="s">
        <v>1056</v>
      </c>
      <c r="W289" s="175" t="s">
        <v>260</v>
      </c>
      <c r="X289" s="175" t="s">
        <v>260</v>
      </c>
      <c r="Y289" s="175" t="s">
        <v>260</v>
      </c>
      <c r="Z289" s="15">
        <v>0</v>
      </c>
      <c r="AA289" s="180">
        <v>0</v>
      </c>
      <c r="AB289" s="184" t="s">
        <v>260</v>
      </c>
      <c r="AC289" s="544" t="str">
        <f>""</f>
        <v/>
      </c>
      <c r="AD289" s="181">
        <v>1</v>
      </c>
      <c r="AE289" s="181" t="s">
        <v>332</v>
      </c>
      <c r="AF289" s="181" t="s">
        <v>265</v>
      </c>
      <c r="AG289" s="181">
        <v>1</v>
      </c>
      <c r="AH289" s="181">
        <v>4</v>
      </c>
      <c r="AI289" s="181">
        <v>0</v>
      </c>
      <c r="AJ289" s="181">
        <f>VLOOKUP($I289,'Price List, Weapons &amp; Items'!B:F,5,0)</f>
        <v>0</v>
      </c>
      <c r="AK289" s="181">
        <f t="shared" si="59"/>
        <v>0</v>
      </c>
      <c r="AL289" s="181">
        <f t="shared" si="60"/>
        <v>0</v>
      </c>
      <c r="AM289" s="181">
        <f t="shared" si="61"/>
        <v>0</v>
      </c>
      <c r="AN289" s="180" t="str">
        <f>VLOOKUP($I289,'Price List, Weapons &amp; Items'!B:L,COLUMN('Price List, Weapons &amp; Items'!$J$11)-1,0)</f>
        <v>Media reports (incl. social media)</v>
      </c>
      <c r="AO289" s="180" t="str">
        <f>IF(I289=".",".",VLOOKUP($I289,'Price List, Weapons &amp; Items'!B:J,3,0))</f>
        <v>Humanitarian</v>
      </c>
      <c r="AP289" s="545" t="e">
        <f t="shared" ca="1" si="55"/>
        <v>#NAME?</v>
      </c>
      <c r="AQ289" s="180">
        <f>VLOOKUP($I289,'Price List, Weapons &amp; Items'!B:L,COLUMN('Price List, Weapons &amp; Items'!$L$11)-1,0)</f>
        <v>0</v>
      </c>
      <c r="AR289" s="180">
        <f t="shared" si="62"/>
        <v>1</v>
      </c>
      <c r="AS289" s="180">
        <f t="shared" si="63"/>
        <v>0</v>
      </c>
      <c r="AT289" s="180">
        <f t="shared" si="56"/>
        <v>1</v>
      </c>
      <c r="AU289" s="180" t="str">
        <f t="shared" si="64"/>
        <v>.</v>
      </c>
      <c r="AV289" s="180" t="str">
        <f t="shared" si="65"/>
        <v>.</v>
      </c>
      <c r="AW289" s="180">
        <f>IFERROR(VLOOKUP(B289,'Share, Heavy Weapons to Ukraine'!B:J,COLUMN('Share, Heavy Weapons to Ukraine'!C296)-1,0),0)</f>
        <v>0</v>
      </c>
      <c r="AX289" s="180">
        <f>VLOOKUP('Bilateral Assistance, MAIN DATA'!B289,'Country Summary'!B:F,COLUMN('Country Summary'!C299)-1,FALSE)</f>
        <v>1</v>
      </c>
      <c r="AY289" s="180" t="str">
        <f>IF(AND(AD289=1,D289="Military",H289&lt;&gt;"Not given")=TRUE,IF(SUMIFS(P:P,A:A,A289)&gt;0,ABS((SUMIFS(P:P,A:A,A289)/VLOOKUP("USD",'Exchange Rates'!B:C,2,0)))/S289,"."),".")</f>
        <v>.</v>
      </c>
      <c r="AZ289" s="182" t="str">
        <f>IF(AND(AD289=1,D289="Military",H289&lt;&gt;"Not given")=TRUE,IF(SUMIFS(P:P,A:A,A289)&gt;0,IF((ABS((SUMIFS(P:P,A:A,A289)/VLOOKUP("USD",'Exchange Rates'!B:C,2,0)))/S289)&gt;1,(SUMIFS(P:P,A:A,A289)-S289)/S289,(S289-SUMIFS(P:P,A:A,A289))/SUMIFS(P:P,A:A,A289)),"."),".")</f>
        <v>.</v>
      </c>
      <c r="BA289" s="182"/>
      <c r="BB289" s="182"/>
      <c r="BC289" s="182"/>
      <c r="BD289" s="182"/>
      <c r="BE289" s="182"/>
      <c r="BF289" s="182"/>
      <c r="BG289" s="182"/>
      <c r="BH289" s="182"/>
      <c r="BI289" s="182"/>
      <c r="BJ289" s="182"/>
      <c r="BK289" s="182"/>
      <c r="BL289" s="182"/>
      <c r="BM289" s="182"/>
      <c r="BN289" s="182"/>
      <c r="BO289" s="182"/>
      <c r="BP289" s="182"/>
      <c r="BQ289" s="182"/>
      <c r="BR289" s="182"/>
      <c r="BS289" s="182"/>
    </row>
    <row r="290" spans="1:71" ht="15.9" customHeight="1" x14ac:dyDescent="0.3">
      <c r="A290" s="17" t="s">
        <v>1057</v>
      </c>
      <c r="B290" s="17" t="s">
        <v>1025</v>
      </c>
      <c r="C290" s="174">
        <v>44750</v>
      </c>
      <c r="D290" s="5" t="s">
        <v>256</v>
      </c>
      <c r="E290" s="5" t="s">
        <v>267</v>
      </c>
      <c r="F290" s="175" t="s">
        <v>1058</v>
      </c>
      <c r="G290" s="15" t="s">
        <v>364</v>
      </c>
      <c r="H290" s="176">
        <f>(9200000+2000000-SUM(S275,S277,S281,S282,S283,S284,S287,S288,S289))/6</f>
        <v>747986.50793650793</v>
      </c>
      <c r="I290" s="17" t="s">
        <v>260</v>
      </c>
      <c r="J290" s="113" t="str">
        <f>VLOOKUP($I290,'Price List, Weapons &amp; Items'!B:C,2,0)</f>
        <v>.</v>
      </c>
      <c r="K290" s="113" t="str">
        <f>IF(I290=".",I290,VLOOKUP($I290,'Price List, Weapons &amp; Items'!B:D,3,0))</f>
        <v>.</v>
      </c>
      <c r="L290" s="177">
        <f>VLOOKUP(I290,'Price List, Weapons &amp; Items'!B:E,4,0)</f>
        <v>0</v>
      </c>
      <c r="M290" s="542" t="s">
        <v>260</v>
      </c>
      <c r="N290" s="542" t="s">
        <v>260</v>
      </c>
      <c r="O290" s="543" t="str">
        <f>VLOOKUP($I290,'Price List, Weapons &amp; Items'!B:G,6,0)</f>
        <v>.</v>
      </c>
      <c r="P290" s="176" t="str">
        <f t="shared" si="57"/>
        <v>.</v>
      </c>
      <c r="Q290" s="176" t="str">
        <f t="shared" si="58"/>
        <v>.</v>
      </c>
      <c r="R290" s="176">
        <f t="shared" si="54"/>
        <v>747986.50793650793</v>
      </c>
      <c r="S290" s="176">
        <f>IF(AND(AD290=1,R290&lt;&gt;".")=TRUE,R290/VLOOKUP(G290,'Exchange Rates'!B:C,2,0),IF(R290=".",".",""))</f>
        <v>747986.50793650793</v>
      </c>
      <c r="T290" s="176" t="str">
        <f>IF(AD290=1,IF(AF290="Value is not given at all",".",IF(AF290="Value is given by the source",S290,IF(AF290="Value is calculated with prices",(IF(SUMIFS(Q:Q,A:A,A290)&gt;0,SUMIFS(Q:Q,A:A,A290),"."))/VLOOKUP("USD",'Exchange Rates'!B:C,2,0),"Error with coding"))),"")</f>
        <v>.</v>
      </c>
      <c r="U290" s="15" t="s">
        <v>261</v>
      </c>
      <c r="V290" s="300" t="s">
        <v>1059</v>
      </c>
      <c r="W290" s="175" t="s">
        <v>260</v>
      </c>
      <c r="X290" s="175" t="s">
        <v>260</v>
      </c>
      <c r="Y290" s="175" t="s">
        <v>260</v>
      </c>
      <c r="Z290" s="15">
        <v>0</v>
      </c>
      <c r="AA290" s="180">
        <v>0</v>
      </c>
      <c r="AB290" s="184" t="s">
        <v>260</v>
      </c>
      <c r="AC290" s="544" t="str">
        <f>""</f>
        <v/>
      </c>
      <c r="AD290" s="181">
        <v>1</v>
      </c>
      <c r="AE290" s="181" t="s">
        <v>264</v>
      </c>
      <c r="AF290" s="181" t="s">
        <v>265</v>
      </c>
      <c r="AG290" s="181">
        <v>1</v>
      </c>
      <c r="AH290" s="181">
        <v>7</v>
      </c>
      <c r="AI290" s="181">
        <v>0</v>
      </c>
      <c r="AJ290" s="181">
        <f>VLOOKUP($I290,'Price List, Weapons &amp; Items'!B:F,5,0)</f>
        <v>0</v>
      </c>
      <c r="AK290" s="181">
        <f t="shared" si="59"/>
        <v>0</v>
      </c>
      <c r="AL290" s="181">
        <f t="shared" si="60"/>
        <v>0</v>
      </c>
      <c r="AM290" s="181">
        <f t="shared" si="61"/>
        <v>0</v>
      </c>
      <c r="AN290" s="180" t="str">
        <f>VLOOKUP($I290,'Price List, Weapons &amp; Items'!B:L,COLUMN('Price List, Weapons &amp; Items'!$J$11)-1,0)</f>
        <v>.</v>
      </c>
      <c r="AO290" s="180" t="str">
        <f>IF(I290=".",".",VLOOKUP($I290,'Price List, Weapons &amp; Items'!B:J,3,0))</f>
        <v>.</v>
      </c>
      <c r="AP290" s="545" t="e">
        <f t="shared" ca="1" si="55"/>
        <v>#NAME?</v>
      </c>
      <c r="AQ290" s="180" t="str">
        <f>VLOOKUP($I290,'Price List, Weapons &amp; Items'!B:L,COLUMN('Price List, Weapons &amp; Items'!$L$11)-1,0)</f>
        <v>no price, 0 count</v>
      </c>
      <c r="AR290" s="180">
        <f t="shared" si="62"/>
        <v>1</v>
      </c>
      <c r="AS290" s="180">
        <f t="shared" si="63"/>
        <v>0</v>
      </c>
      <c r="AT290" s="180">
        <f t="shared" si="56"/>
        <v>1</v>
      </c>
      <c r="AU290" s="180" t="str">
        <f t="shared" si="64"/>
        <v>.</v>
      </c>
      <c r="AV290" s="180" t="str">
        <f t="shared" si="65"/>
        <v>.</v>
      </c>
      <c r="AW290" s="180">
        <f>IFERROR(VLOOKUP(B290,'Share, Heavy Weapons to Ukraine'!B:J,COLUMN('Share, Heavy Weapons to Ukraine'!C297)-1,0),0)</f>
        <v>0</v>
      </c>
      <c r="AX290" s="180">
        <f>VLOOKUP('Bilateral Assistance, MAIN DATA'!B290,'Country Summary'!B:F,COLUMN('Country Summary'!C300)-1,FALSE)</f>
        <v>1</v>
      </c>
      <c r="AY290" s="180" t="str">
        <f>IF(AND(AD290=1,D290="Military",H290&lt;&gt;"Not given")=TRUE,IF(SUMIFS(P:P,A:A,A290)&gt;0,ABS((SUMIFS(P:P,A:A,A290)/VLOOKUP("USD",'Exchange Rates'!B:C,2,0)))/S290,"."),".")</f>
        <v>.</v>
      </c>
      <c r="AZ290" s="182" t="str">
        <f>IF(AND(AD290=1,D290="Military",H290&lt;&gt;"Not given")=TRUE,IF(SUMIFS(P:P,A:A,A290)&gt;0,IF((ABS((SUMIFS(P:P,A:A,A290)/VLOOKUP("USD",'Exchange Rates'!B:C,2,0)))/S290)&gt;1,(SUMIFS(P:P,A:A,A290)-S290)/S290,(S290-SUMIFS(P:P,A:A,A290))/SUMIFS(P:P,A:A,A290)),"."),".")</f>
        <v>.</v>
      </c>
      <c r="BA290" s="182"/>
      <c r="BB290" s="182"/>
      <c r="BC290" s="182"/>
      <c r="BD290" s="182"/>
      <c r="BE290" s="182"/>
      <c r="BF290" s="182"/>
      <c r="BG290" s="182"/>
      <c r="BH290" s="182"/>
      <c r="BI290" s="182"/>
      <c r="BJ290" s="182"/>
      <c r="BK290" s="182"/>
      <c r="BL290" s="182"/>
      <c r="BM290" s="182"/>
      <c r="BN290" s="182"/>
      <c r="BO290" s="182"/>
      <c r="BP290" s="182"/>
      <c r="BQ290" s="182"/>
      <c r="BR290" s="182"/>
      <c r="BS290" s="182"/>
    </row>
    <row r="291" spans="1:71" ht="15.9" customHeight="1" x14ac:dyDescent="0.3">
      <c r="A291" s="17" t="s">
        <v>1060</v>
      </c>
      <c r="B291" s="17" t="s">
        <v>1025</v>
      </c>
      <c r="C291" s="174">
        <v>44775</v>
      </c>
      <c r="D291" s="5" t="s">
        <v>256</v>
      </c>
      <c r="E291" s="5" t="s">
        <v>267</v>
      </c>
      <c r="F291" s="175" t="s">
        <v>1058</v>
      </c>
      <c r="G291" s="15" t="s">
        <v>364</v>
      </c>
      <c r="H291" s="176">
        <f>(9200000+2000000-SUM(S275,S277,S281,S282,S283,S284,S287,S288,S289))/6</f>
        <v>747986.50793650793</v>
      </c>
      <c r="I291" s="17" t="s">
        <v>260</v>
      </c>
      <c r="J291" s="113" t="str">
        <f>VLOOKUP($I291,'Price List, Weapons &amp; Items'!B:C,2,0)</f>
        <v>.</v>
      </c>
      <c r="K291" s="113" t="str">
        <f>IF(I291=".",I291,VLOOKUP($I291,'Price List, Weapons &amp; Items'!B:D,3,0))</f>
        <v>.</v>
      </c>
      <c r="L291" s="177">
        <f>VLOOKUP(I291,'Price List, Weapons &amp; Items'!B:E,4,0)</f>
        <v>0</v>
      </c>
      <c r="M291" s="542" t="s">
        <v>260</v>
      </c>
      <c r="N291" s="542" t="s">
        <v>260</v>
      </c>
      <c r="O291" s="543" t="str">
        <f>VLOOKUP($I291,'Price List, Weapons &amp; Items'!B:G,6,0)</f>
        <v>.</v>
      </c>
      <c r="P291" s="176" t="str">
        <f t="shared" si="57"/>
        <v>.</v>
      </c>
      <c r="Q291" s="176" t="str">
        <f t="shared" si="58"/>
        <v>.</v>
      </c>
      <c r="R291" s="176">
        <f t="shared" si="54"/>
        <v>747986.50793650793</v>
      </c>
      <c r="S291" s="176">
        <f>IF(AND(AD291=1,R291&lt;&gt;".")=TRUE,R291/VLOOKUP(G291,'Exchange Rates'!B:C,2,0),IF(R291=".",".",""))</f>
        <v>747986.50793650793</v>
      </c>
      <c r="T291" s="176" t="str">
        <f>IF(AD291=1,IF(AF291="Value is not given at all",".",IF(AF291="Value is given by the source",S291,IF(AF291="Value is calculated with prices",(IF(SUMIFS(Q:Q,A:A,A291)&gt;0,SUMIFS(Q:Q,A:A,A291),"."))/VLOOKUP("USD",'Exchange Rates'!B:C,2,0),"Error with coding"))),"")</f>
        <v>.</v>
      </c>
      <c r="U291" s="15" t="s">
        <v>261</v>
      </c>
      <c r="V291" s="300" t="s">
        <v>1059</v>
      </c>
      <c r="W291" s="175" t="s">
        <v>260</v>
      </c>
      <c r="X291" s="175" t="s">
        <v>260</v>
      </c>
      <c r="Y291" s="175" t="s">
        <v>260</v>
      </c>
      <c r="Z291" s="15">
        <v>0</v>
      </c>
      <c r="AA291" s="180">
        <v>0</v>
      </c>
      <c r="AB291" s="184" t="s">
        <v>260</v>
      </c>
      <c r="AC291" s="544" t="str">
        <f>""</f>
        <v/>
      </c>
      <c r="AD291" s="181">
        <v>1</v>
      </c>
      <c r="AE291" s="181" t="s">
        <v>264</v>
      </c>
      <c r="AF291" s="181" t="s">
        <v>265</v>
      </c>
      <c r="AG291" s="181">
        <v>1</v>
      </c>
      <c r="AH291" s="181">
        <v>8</v>
      </c>
      <c r="AI291" s="181">
        <v>0</v>
      </c>
      <c r="AJ291" s="181">
        <f>VLOOKUP($I291,'Price List, Weapons &amp; Items'!B:F,5,0)</f>
        <v>0</v>
      </c>
      <c r="AK291" s="181">
        <f t="shared" si="59"/>
        <v>0</v>
      </c>
      <c r="AL291" s="181">
        <f t="shared" si="60"/>
        <v>0</v>
      </c>
      <c r="AM291" s="181">
        <f t="shared" si="61"/>
        <v>0</v>
      </c>
      <c r="AN291" s="180" t="str">
        <f>VLOOKUP($I291,'Price List, Weapons &amp; Items'!B:L,COLUMN('Price List, Weapons &amp; Items'!$J$11)-1,0)</f>
        <v>.</v>
      </c>
      <c r="AO291" s="180" t="str">
        <f>IF(I291=".",".",VLOOKUP($I291,'Price List, Weapons &amp; Items'!B:J,3,0))</f>
        <v>.</v>
      </c>
      <c r="AP291" s="545" t="e">
        <f t="shared" ca="1" si="55"/>
        <v>#NAME?</v>
      </c>
      <c r="AQ291" s="180" t="str">
        <f>VLOOKUP($I291,'Price List, Weapons &amp; Items'!B:L,COLUMN('Price List, Weapons &amp; Items'!$L$11)-1,0)</f>
        <v>no price, 0 count</v>
      </c>
      <c r="AR291" s="180">
        <f t="shared" si="62"/>
        <v>1</v>
      </c>
      <c r="AS291" s="180">
        <f t="shared" si="63"/>
        <v>0</v>
      </c>
      <c r="AT291" s="180">
        <f t="shared" si="56"/>
        <v>1</v>
      </c>
      <c r="AU291" s="180" t="str">
        <f t="shared" si="64"/>
        <v>.</v>
      </c>
      <c r="AV291" s="180" t="str">
        <f t="shared" si="65"/>
        <v>.</v>
      </c>
      <c r="AW291" s="180">
        <f>IFERROR(VLOOKUP(B291,'Share, Heavy Weapons to Ukraine'!B:J,COLUMN('Share, Heavy Weapons to Ukraine'!C298)-1,0),0)</f>
        <v>0</v>
      </c>
      <c r="AX291" s="180">
        <f>VLOOKUP('Bilateral Assistance, MAIN DATA'!B291,'Country Summary'!B:F,COLUMN('Country Summary'!C301)-1,FALSE)</f>
        <v>1</v>
      </c>
      <c r="AY291" s="180" t="str">
        <f>IF(AND(AD291=1,D291="Military",H291&lt;&gt;"Not given")=TRUE,IF(SUMIFS(P:P,A:A,A291)&gt;0,ABS((SUMIFS(P:P,A:A,A291)/VLOOKUP("USD",'Exchange Rates'!B:C,2,0)))/S291,"."),".")</f>
        <v>.</v>
      </c>
      <c r="AZ291" s="182" t="str">
        <f>IF(AND(AD291=1,D291="Military",H291&lt;&gt;"Not given")=TRUE,IF(SUMIFS(P:P,A:A,A291)&gt;0,IF((ABS((SUMIFS(P:P,A:A,A291)/VLOOKUP("USD",'Exchange Rates'!B:C,2,0)))/S291)&gt;1,(SUMIFS(P:P,A:A,A291)-S291)/S291,(S291-SUMIFS(P:P,A:A,A291))/SUMIFS(P:P,A:A,A291)),"."),".")</f>
        <v>.</v>
      </c>
      <c r="BA291" s="182"/>
      <c r="BB291" s="182"/>
      <c r="BC291" s="182"/>
      <c r="BD291" s="182"/>
      <c r="BE291" s="182"/>
      <c r="BF291" s="182"/>
      <c r="BG291" s="182"/>
      <c r="BH291" s="182"/>
      <c r="BI291" s="182"/>
      <c r="BJ291" s="182"/>
      <c r="BK291" s="182"/>
      <c r="BL291" s="182"/>
      <c r="BM291" s="182"/>
      <c r="BN291" s="182"/>
      <c r="BO291" s="182"/>
      <c r="BP291" s="182"/>
      <c r="BQ291" s="182"/>
      <c r="BR291" s="182"/>
      <c r="BS291" s="182"/>
    </row>
    <row r="292" spans="1:71" ht="15.9" customHeight="1" x14ac:dyDescent="0.3">
      <c r="A292" s="17" t="s">
        <v>1061</v>
      </c>
      <c r="B292" s="17" t="s">
        <v>1025</v>
      </c>
      <c r="C292" s="174">
        <v>44806</v>
      </c>
      <c r="D292" s="5" t="s">
        <v>256</v>
      </c>
      <c r="E292" s="5" t="s">
        <v>257</v>
      </c>
      <c r="F292" s="175" t="s">
        <v>1062</v>
      </c>
      <c r="G292" s="15" t="s">
        <v>364</v>
      </c>
      <c r="H292" s="176">
        <v>35000000</v>
      </c>
      <c r="I292" s="17" t="s">
        <v>260</v>
      </c>
      <c r="J292" s="113" t="str">
        <f>VLOOKUP($I292,'Price List, Weapons &amp; Items'!B:C,2,0)</f>
        <v>.</v>
      </c>
      <c r="K292" s="113" t="str">
        <f>IF(I292=".",I292,VLOOKUP($I292,'Price List, Weapons &amp; Items'!B:D,3,0))</f>
        <v>.</v>
      </c>
      <c r="L292" s="177">
        <f>VLOOKUP(I292,'Price List, Weapons &amp; Items'!B:E,4,0)</f>
        <v>0</v>
      </c>
      <c r="M292" s="542" t="s">
        <v>260</v>
      </c>
      <c r="N292" s="542" t="s">
        <v>260</v>
      </c>
      <c r="O292" s="543" t="str">
        <f>VLOOKUP($I292,'Price List, Weapons &amp; Items'!B:G,6,0)</f>
        <v>.</v>
      </c>
      <c r="P292" s="176" t="str">
        <f t="shared" si="57"/>
        <v>.</v>
      </c>
      <c r="Q292" s="176" t="str">
        <f t="shared" si="58"/>
        <v>.</v>
      </c>
      <c r="R292" s="176">
        <f t="shared" si="54"/>
        <v>35000000</v>
      </c>
      <c r="S292" s="176">
        <f>IF(AND(AD292=1,R292&lt;&gt;".")=TRUE,R292/VLOOKUP(G292,'Exchange Rates'!B:C,2,0),IF(R292=".",".",""))</f>
        <v>35000000</v>
      </c>
      <c r="T292" s="176" t="str">
        <f>IF(AD292=1,IF(AF292="Value is not given at all",".",IF(AF292="Value is given by the source",S292,IF(AF292="Value is calculated with prices",(IF(SUMIFS(Q:Q,A:A,A292)&gt;0,SUMIFS(Q:Q,A:A,A292),"."))/VLOOKUP("USD",'Exchange Rates'!B:C,2,0),"Error with coding"))),"")</f>
        <v>.</v>
      </c>
      <c r="U292" s="15" t="s">
        <v>261</v>
      </c>
      <c r="V292" s="300" t="s">
        <v>1063</v>
      </c>
      <c r="W292" s="175" t="s">
        <v>260</v>
      </c>
      <c r="X292" s="175" t="s">
        <v>260</v>
      </c>
      <c r="Y292" s="175" t="s">
        <v>260</v>
      </c>
      <c r="Z292" s="15">
        <v>0</v>
      </c>
      <c r="AA292" s="180">
        <v>0</v>
      </c>
      <c r="AB292" s="184" t="s">
        <v>260</v>
      </c>
      <c r="AC292" s="544" t="str">
        <f>""</f>
        <v/>
      </c>
      <c r="AD292" s="181">
        <v>1</v>
      </c>
      <c r="AE292" s="181" t="s">
        <v>264</v>
      </c>
      <c r="AF292" s="181" t="s">
        <v>265</v>
      </c>
      <c r="AG292" s="181">
        <v>1</v>
      </c>
      <c r="AH292" s="181">
        <v>9</v>
      </c>
      <c r="AI292" s="181">
        <v>0</v>
      </c>
      <c r="AJ292" s="181">
        <f>VLOOKUP($I292,'Price List, Weapons &amp; Items'!B:F,5,0)</f>
        <v>0</v>
      </c>
      <c r="AK292" s="181">
        <f t="shared" si="59"/>
        <v>0</v>
      </c>
      <c r="AL292" s="181">
        <f t="shared" si="60"/>
        <v>0</v>
      </c>
      <c r="AM292" s="181">
        <f t="shared" si="61"/>
        <v>0</v>
      </c>
      <c r="AN292" s="180" t="str">
        <f>VLOOKUP($I292,'Price List, Weapons &amp; Items'!B:L,COLUMN('Price List, Weapons &amp; Items'!$J$11)-1,0)</f>
        <v>.</v>
      </c>
      <c r="AO292" s="180" t="str">
        <f>IF(I292=".",".",VLOOKUP($I292,'Price List, Weapons &amp; Items'!B:J,3,0))</f>
        <v>.</v>
      </c>
      <c r="AP292" s="545" t="e">
        <f t="shared" ca="1" si="55"/>
        <v>#NAME?</v>
      </c>
      <c r="AQ292" s="180" t="str">
        <f>VLOOKUP($I292,'Price List, Weapons &amp; Items'!B:L,COLUMN('Price List, Weapons &amp; Items'!$L$11)-1,0)</f>
        <v>no price, 0 count</v>
      </c>
      <c r="AR292" s="180">
        <f t="shared" si="62"/>
        <v>1</v>
      </c>
      <c r="AS292" s="180">
        <f t="shared" si="63"/>
        <v>0</v>
      </c>
      <c r="AT292" s="180">
        <f t="shared" si="56"/>
        <v>1</v>
      </c>
      <c r="AU292" s="180" t="str">
        <f t="shared" si="64"/>
        <v>.</v>
      </c>
      <c r="AV292" s="180" t="str">
        <f t="shared" si="65"/>
        <v>.</v>
      </c>
      <c r="AW292" s="180">
        <f>IFERROR(VLOOKUP(B292,'Share, Heavy Weapons to Ukraine'!B:J,COLUMN('Share, Heavy Weapons to Ukraine'!C299)-1,0),0)</f>
        <v>0</v>
      </c>
      <c r="AX292" s="180">
        <f>VLOOKUP('Bilateral Assistance, MAIN DATA'!B292,'Country Summary'!B:F,COLUMN('Country Summary'!C302)-1,FALSE)</f>
        <v>1</v>
      </c>
      <c r="AY292" s="180" t="str">
        <f>IF(AND(AD292=1,D292="Military",H292&lt;&gt;"Not given")=TRUE,IF(SUMIFS(P:P,A:A,A292)&gt;0,ABS((SUMIFS(P:P,A:A,A292)/VLOOKUP("USD",'Exchange Rates'!B:C,2,0)))/S292,"."),".")</f>
        <v>.</v>
      </c>
      <c r="AZ292" s="182" t="str">
        <f>IF(AND(AD292=1,D292="Military",H292&lt;&gt;"Not given")=TRUE,IF(SUMIFS(P:P,A:A,A292)&gt;0,IF((ABS((SUMIFS(P:P,A:A,A292)/VLOOKUP("USD",'Exchange Rates'!B:C,2,0)))/S292)&gt;1,(SUMIFS(P:P,A:A,A292)-S292)/S292,(S292-SUMIFS(P:P,A:A,A292))/SUMIFS(P:P,A:A,A292)),"."),".")</f>
        <v>.</v>
      </c>
      <c r="BA292" s="182"/>
      <c r="BB292" s="182"/>
      <c r="BC292" s="182"/>
      <c r="BD292" s="182"/>
      <c r="BE292" s="182"/>
      <c r="BF292" s="182"/>
      <c r="BG292" s="182"/>
      <c r="BH292" s="182"/>
      <c r="BI292" s="182"/>
      <c r="BJ292" s="182"/>
      <c r="BK292" s="182"/>
      <c r="BL292" s="182"/>
      <c r="BM292" s="182"/>
      <c r="BN292" s="182"/>
      <c r="BO292" s="182"/>
      <c r="BP292" s="182"/>
      <c r="BQ292" s="182"/>
      <c r="BR292" s="182"/>
      <c r="BS292" s="182"/>
    </row>
    <row r="293" spans="1:71" ht="15.9" customHeight="1" x14ac:dyDescent="0.3">
      <c r="A293" s="17" t="s">
        <v>1064</v>
      </c>
      <c r="B293" s="17" t="s">
        <v>1025</v>
      </c>
      <c r="C293" s="174" t="s">
        <v>1065</v>
      </c>
      <c r="D293" s="5" t="s">
        <v>256</v>
      </c>
      <c r="E293" s="5" t="s">
        <v>267</v>
      </c>
      <c r="F293" s="175" t="s">
        <v>1066</v>
      </c>
      <c r="G293" s="15" t="s">
        <v>364</v>
      </c>
      <c r="H293" s="176" t="s">
        <v>341</v>
      </c>
      <c r="I293" s="17" t="s">
        <v>704</v>
      </c>
      <c r="J293" s="113" t="str">
        <f>VLOOKUP($I293,'Price List, Weapons &amp; Items'!B:C,2,0)</f>
        <v>Humanitarian</v>
      </c>
      <c r="K293" s="113" t="str">
        <f>IF(I293=".",I293,VLOOKUP($I293,'Price List, Weapons &amp; Items'!B:D,3,0))</f>
        <v>Humanitarian</v>
      </c>
      <c r="L293" s="177">
        <f>VLOOKUP(I293,'Price List, Weapons &amp; Items'!B:E,4,0)</f>
        <v>0</v>
      </c>
      <c r="M293" s="542" t="s">
        <v>270</v>
      </c>
      <c r="N293" s="542" t="s">
        <v>270</v>
      </c>
      <c r="O293" s="543" t="str">
        <f>VLOOKUP($I293,'Price List, Weapons &amp; Items'!B:G,6,0)</f>
        <v>.</v>
      </c>
      <c r="P293" s="176" t="str">
        <f t="shared" si="57"/>
        <v>.</v>
      </c>
      <c r="Q293" s="176" t="str">
        <f t="shared" si="58"/>
        <v>.</v>
      </c>
      <c r="R293" s="176" t="str">
        <f t="shared" si="54"/>
        <v>.</v>
      </c>
      <c r="S293" s="176" t="str">
        <f>IF(AND(AD293=1,R293&lt;&gt;".")=TRUE,R293/VLOOKUP(G293,'Exchange Rates'!B:C,2,0),IF(R293=".",".",""))</f>
        <v>.</v>
      </c>
      <c r="T293" s="176" t="str">
        <f>IF(AD293=1,IF(AF293="Value is not given at all",".",IF(AF293="Value is given by the source",S293,IF(AF293="Value is calculated with prices",(IF(SUMIFS(Q:Q,A:A,A293)&gt;0,SUMIFS(Q:Q,A:A,A293),"."))/VLOOKUP("USD",'Exchange Rates'!B:C,2,0),"Error with coding"))),"")</f>
        <v>.</v>
      </c>
      <c r="U293" s="15" t="s">
        <v>261</v>
      </c>
      <c r="V293" s="305" t="s">
        <v>1067</v>
      </c>
      <c r="W293" s="144" t="s">
        <v>260</v>
      </c>
      <c r="X293" s="144" t="s">
        <v>260</v>
      </c>
      <c r="Y293" s="175" t="s">
        <v>260</v>
      </c>
      <c r="Z293" s="15">
        <v>0</v>
      </c>
      <c r="AA293" s="180">
        <v>0</v>
      </c>
      <c r="AB293" s="669" t="s">
        <v>260</v>
      </c>
      <c r="AC293" s="544" t="str">
        <f>""</f>
        <v/>
      </c>
      <c r="AD293" s="181">
        <v>1</v>
      </c>
      <c r="AE293" s="181" t="s">
        <v>265</v>
      </c>
      <c r="AF293" s="181" t="s">
        <v>265</v>
      </c>
      <c r="AG293" s="181">
        <v>1</v>
      </c>
      <c r="AH293" s="181">
        <v>10</v>
      </c>
      <c r="AI293" s="181">
        <v>0</v>
      </c>
      <c r="AJ293" s="181">
        <f>VLOOKUP($I293,'Price List, Weapons &amp; Items'!B:F,5,0)</f>
        <v>0</v>
      </c>
      <c r="AK293" s="181">
        <f t="shared" si="59"/>
        <v>0</v>
      </c>
      <c r="AL293" s="181">
        <f t="shared" si="60"/>
        <v>0</v>
      </c>
      <c r="AM293" s="181">
        <f t="shared" si="61"/>
        <v>0</v>
      </c>
      <c r="AN293" s="180" t="str">
        <f>VLOOKUP($I293,'Price List, Weapons &amp; Items'!B:L,COLUMN('Price List, Weapons &amp; Items'!$J$11)-1,0)</f>
        <v>Media reports (incl. social media)</v>
      </c>
      <c r="AO293" s="180" t="str">
        <f>IF(I293=".",".",VLOOKUP($I293,'Price List, Weapons &amp; Items'!B:J,3,0))</f>
        <v>Humanitarian</v>
      </c>
      <c r="AP293" s="545" t="e">
        <f t="shared" ca="1" si="55"/>
        <v>#NAME?</v>
      </c>
      <c r="AQ293" s="180">
        <f>VLOOKUP($I293,'Price List, Weapons &amp; Items'!B:L,COLUMN('Price List, Weapons &amp; Items'!$L$11)-1,0)</f>
        <v>0</v>
      </c>
      <c r="AR293" s="180">
        <f t="shared" si="62"/>
        <v>1</v>
      </c>
      <c r="AS293" s="180">
        <f t="shared" si="63"/>
        <v>0</v>
      </c>
      <c r="AT293" s="180" t="str">
        <f t="shared" si="56"/>
        <v>Value is not in date format</v>
      </c>
      <c r="AU293" s="180" t="str">
        <f t="shared" si="64"/>
        <v>.</v>
      </c>
      <c r="AV293" s="180" t="str">
        <f t="shared" si="65"/>
        <v>.</v>
      </c>
      <c r="AW293" s="180">
        <f>IFERROR(VLOOKUP(B293,'Share, Heavy Weapons to Ukraine'!B:J,COLUMN('Share, Heavy Weapons to Ukraine'!C300)-1,0),0)</f>
        <v>0</v>
      </c>
      <c r="AX293" s="180">
        <f>VLOOKUP('Bilateral Assistance, MAIN DATA'!B293,'Country Summary'!B:F,COLUMN('Country Summary'!C303)-1,FALSE)</f>
        <v>1</v>
      </c>
      <c r="AY293" s="180" t="str">
        <f>IF(AND(AD293=1,D293="Military",H293&lt;&gt;"Not given")=TRUE,IF(SUMIFS(P:P,A:A,A293)&gt;0,ABS((SUMIFS(P:P,A:A,A293)/VLOOKUP("USD",'Exchange Rates'!B:C,2,0)))/S293,"."),".")</f>
        <v>.</v>
      </c>
      <c r="AZ293" s="182" t="str">
        <f>IF(AND(AD293=1,D293="Military",H293&lt;&gt;"Not given")=TRUE,IF(SUMIFS(P:P,A:A,A293)&gt;0,IF((ABS((SUMIFS(P:P,A:A,A293)/VLOOKUP("USD",'Exchange Rates'!B:C,2,0)))/S293)&gt;1,(SUMIFS(P:P,A:A,A293)-S293)/S293,(S293-SUMIFS(P:P,A:A,A293))/SUMIFS(P:P,A:A,A293)),"."),".")</f>
        <v>.</v>
      </c>
      <c r="BA293" s="182"/>
      <c r="BB293" s="182"/>
      <c r="BC293" s="182"/>
      <c r="BD293" s="182"/>
      <c r="BE293" s="182"/>
      <c r="BF293" s="182"/>
      <c r="BG293" s="182"/>
      <c r="BH293" s="182"/>
      <c r="BI293" s="182"/>
      <c r="BJ293" s="182"/>
      <c r="BK293" s="182"/>
      <c r="BL293" s="182"/>
      <c r="BM293" s="182"/>
      <c r="BN293" s="182"/>
      <c r="BO293" s="182"/>
      <c r="BP293" s="182"/>
      <c r="BQ293" s="182"/>
      <c r="BR293" s="182"/>
      <c r="BS293" s="182"/>
    </row>
    <row r="294" spans="1:71" ht="15.9" customHeight="1" x14ac:dyDescent="0.3">
      <c r="A294" s="17" t="s">
        <v>1064</v>
      </c>
      <c r="B294" s="17" t="s">
        <v>1025</v>
      </c>
      <c r="C294" s="174" t="s">
        <v>1065</v>
      </c>
      <c r="D294" s="5" t="s">
        <v>256</v>
      </c>
      <c r="E294" s="5" t="s">
        <v>267</v>
      </c>
      <c r="F294" s="175" t="s">
        <v>1066</v>
      </c>
      <c r="G294" s="15" t="s">
        <v>364</v>
      </c>
      <c r="H294" s="176" t="s">
        <v>341</v>
      </c>
      <c r="I294" s="17" t="s">
        <v>1068</v>
      </c>
      <c r="J294" s="113" t="str">
        <f>VLOOKUP($I294,'Price List, Weapons &amp; Items'!B:C,2,0)</f>
        <v>Military equipment</v>
      </c>
      <c r="K294" s="113" t="str">
        <f>IF(I294=".",I294,VLOOKUP($I294,'Price List, Weapons &amp; Items'!B:D,3,0))</f>
        <v>Military equipment</v>
      </c>
      <c r="L294" s="177">
        <f>VLOOKUP(I294,'Price List, Weapons &amp; Items'!B:E,4,0)</f>
        <v>0</v>
      </c>
      <c r="M294" s="542" t="s">
        <v>270</v>
      </c>
      <c r="N294" s="542" t="s">
        <v>270</v>
      </c>
      <c r="O294" s="543" t="str">
        <f>VLOOKUP($I294,'Price List, Weapons &amp; Items'!B:G,6,0)</f>
        <v>.</v>
      </c>
      <c r="P294" s="176" t="str">
        <f t="shared" si="57"/>
        <v>.</v>
      </c>
      <c r="Q294" s="176" t="str">
        <f t="shared" si="58"/>
        <v>.</v>
      </c>
      <c r="R294" s="176" t="str">
        <f t="shared" si="54"/>
        <v/>
      </c>
      <c r="S294" s="176" t="str">
        <f>IF(AND(AD294=1,R294&lt;&gt;".")=TRUE,R294/VLOOKUP(G294,'Exchange Rates'!B:C,2,0),IF(R294=".",".",""))</f>
        <v/>
      </c>
      <c r="T294" s="176" t="str">
        <f>IF(AD294=1,IF(AF294="Value is not given at all",".",IF(AF294="Value is given by the source",S294,IF(AF294="Value is calculated with prices",(IF(SUMIFS(Q:Q,A:A,A294)&gt;0,SUMIFS(Q:Q,A:A,A294),"."))/VLOOKUP("USD",'Exchange Rates'!B:C,2,0),"Error with coding"))),"")</f>
        <v/>
      </c>
      <c r="U294" s="15" t="s">
        <v>261</v>
      </c>
      <c r="V294" s="305" t="s">
        <v>1067</v>
      </c>
      <c r="W294" s="144" t="s">
        <v>260</v>
      </c>
      <c r="X294" s="144" t="s">
        <v>260</v>
      </c>
      <c r="Y294" s="175" t="s">
        <v>260</v>
      </c>
      <c r="Z294" s="15">
        <v>0</v>
      </c>
      <c r="AA294" s="180">
        <v>0</v>
      </c>
      <c r="AB294" s="669" t="s">
        <v>260</v>
      </c>
      <c r="AC294" s="544" t="str">
        <f>""</f>
        <v/>
      </c>
      <c r="AD294" s="181">
        <v>0</v>
      </c>
      <c r="AE294" s="181" t="s">
        <v>265</v>
      </c>
      <c r="AF294" s="181" t="s">
        <v>265</v>
      </c>
      <c r="AG294" s="181">
        <v>1</v>
      </c>
      <c r="AH294" s="181">
        <v>10</v>
      </c>
      <c r="AI294" s="181">
        <v>0</v>
      </c>
      <c r="AJ294" s="181">
        <f>VLOOKUP($I294,'Price List, Weapons &amp; Items'!B:F,5,0)</f>
        <v>0</v>
      </c>
      <c r="AK294" s="181">
        <f t="shared" si="59"/>
        <v>0</v>
      </c>
      <c r="AL294" s="181">
        <f t="shared" si="60"/>
        <v>0</v>
      </c>
      <c r="AM294" s="181">
        <f t="shared" si="61"/>
        <v>0</v>
      </c>
      <c r="AN294" s="180" t="str">
        <f>VLOOKUP($I294,'Price List, Weapons &amp; Items'!B:L,COLUMN('Price List, Weapons &amp; Items'!$J$11)-1,0)</f>
        <v>.</v>
      </c>
      <c r="AO294" s="180" t="str">
        <f>IF(I294=".",".",VLOOKUP($I294,'Price List, Weapons &amp; Items'!B:J,3,0))</f>
        <v>Military equipment</v>
      </c>
      <c r="AP294" s="545" t="str">
        <f t="shared" ca="1" si="55"/>
        <v/>
      </c>
      <c r="AQ294" s="180" t="str">
        <f>VLOOKUP($I294,'Price List, Weapons &amp; Items'!B:L,COLUMN('Price List, Weapons &amp; Items'!$L$11)-1,0)</f>
        <v>no price, 0 count</v>
      </c>
      <c r="AR294" s="180">
        <f t="shared" si="62"/>
        <v>1</v>
      </c>
      <c r="AS294" s="180">
        <f t="shared" si="63"/>
        <v>0</v>
      </c>
      <c r="AT294" s="180" t="str">
        <f t="shared" si="56"/>
        <v>Value is not in date format</v>
      </c>
      <c r="AU294" s="180" t="str">
        <f t="shared" si="64"/>
        <v>.</v>
      </c>
      <c r="AV294" s="180" t="str">
        <f t="shared" si="65"/>
        <v>.</v>
      </c>
      <c r="AW294" s="180">
        <f>IFERROR(VLOOKUP(B294,'Share, Heavy Weapons to Ukraine'!B:J,COLUMN('Share, Heavy Weapons to Ukraine'!C301)-1,0),0)</f>
        <v>0</v>
      </c>
      <c r="AX294" s="180">
        <f>VLOOKUP('Bilateral Assistance, MAIN DATA'!B294,'Country Summary'!B:F,COLUMN('Country Summary'!C304)-1,FALSE)</f>
        <v>1</v>
      </c>
      <c r="AY294" s="180" t="str">
        <f>IF(AND(AD294=1,D294="Military",H294&lt;&gt;"Not given")=TRUE,IF(SUMIFS(P:P,A:A,A294)&gt;0,ABS((SUMIFS(P:P,A:A,A294)/VLOOKUP("USD",'Exchange Rates'!B:C,2,0)))/S294,"."),".")</f>
        <v>.</v>
      </c>
      <c r="AZ294" s="182" t="str">
        <f>IF(AND(AD294=1,D294="Military",H294&lt;&gt;"Not given")=TRUE,IF(SUMIFS(P:P,A:A,A294)&gt;0,IF((ABS((SUMIFS(P:P,A:A,A294)/VLOOKUP("USD",'Exchange Rates'!B:C,2,0)))/S294)&gt;1,(SUMIFS(P:P,A:A,A294)-S294)/S294,(S294-SUMIFS(P:P,A:A,A294))/SUMIFS(P:P,A:A,A294)),"."),".")</f>
        <v>.</v>
      </c>
      <c r="BA294" s="182"/>
      <c r="BB294" s="182"/>
      <c r="BC294" s="182"/>
      <c r="BD294" s="182"/>
      <c r="BE294" s="182"/>
      <c r="BF294" s="182"/>
      <c r="BG294" s="182"/>
      <c r="BH294" s="182"/>
      <c r="BI294" s="182"/>
      <c r="BJ294" s="182"/>
      <c r="BK294" s="182"/>
      <c r="BL294" s="182"/>
      <c r="BM294" s="182"/>
      <c r="BN294" s="182"/>
      <c r="BO294" s="182"/>
      <c r="BP294" s="182"/>
      <c r="BQ294" s="182"/>
      <c r="BR294" s="182"/>
      <c r="BS294" s="182"/>
    </row>
    <row r="295" spans="1:71" ht="15.9" customHeight="1" x14ac:dyDescent="0.3">
      <c r="A295" s="19" t="s">
        <v>1069</v>
      </c>
      <c r="B295" s="19" t="s">
        <v>1025</v>
      </c>
      <c r="C295" s="555">
        <v>44918</v>
      </c>
      <c r="D295" s="19" t="s">
        <v>256</v>
      </c>
      <c r="E295" s="19" t="s">
        <v>878</v>
      </c>
      <c r="F295" s="19" t="s">
        <v>1070</v>
      </c>
      <c r="G295" s="199" t="s">
        <v>364</v>
      </c>
      <c r="H295" s="70">
        <v>5000000</v>
      </c>
      <c r="I295" s="19" t="s">
        <v>260</v>
      </c>
      <c r="J295" s="113" t="str">
        <f>VLOOKUP($I295,'Price List, Weapons &amp; Items'!B:C,2,0)</f>
        <v>.</v>
      </c>
      <c r="K295" s="113" t="str">
        <f>IF(I295=".",I295,VLOOKUP($I295,'Price List, Weapons &amp; Items'!B:D,3,0))</f>
        <v>.</v>
      </c>
      <c r="L295" s="177">
        <f>VLOOKUP(I295,'Price List, Weapons &amp; Items'!B:E,4,0)</f>
        <v>0</v>
      </c>
      <c r="M295" s="247" t="s">
        <v>260</v>
      </c>
      <c r="N295" s="247" t="s">
        <v>260</v>
      </c>
      <c r="O295" s="543" t="str">
        <f>VLOOKUP($I295,'Price List, Weapons &amp; Items'!B:G,6,0)</f>
        <v>.</v>
      </c>
      <c r="P295" s="176" t="str">
        <f t="shared" si="57"/>
        <v>.</v>
      </c>
      <c r="Q295" s="176" t="str">
        <f t="shared" si="58"/>
        <v>.</v>
      </c>
      <c r="R295" s="176">
        <f t="shared" si="54"/>
        <v>5000000</v>
      </c>
      <c r="S295" s="176">
        <f>IF(AND(AD295=1,R295&lt;&gt;".")=TRUE,R295/VLOOKUP(G295,'Exchange Rates'!B:C,2,0),IF(R295=".",".",""))</f>
        <v>5000000</v>
      </c>
      <c r="T295" s="176" t="str">
        <f>IF(AD295=1,IF(AF295="Value is not given at all",".",IF(AF295="Value is given by the source",S295,IF(AF295="Value is calculated with prices",(IF(SUMIFS(Q:Q,A:A,A295)&gt;0,SUMIFS(Q:Q,A:A,A295),"."))/VLOOKUP("USD",'Exchange Rates'!B:C,2,0),"Error with coding"))),"")</f>
        <v>.</v>
      </c>
      <c r="U295" s="199" t="s">
        <v>261</v>
      </c>
      <c r="V295" s="304" t="s">
        <v>1071</v>
      </c>
      <c r="W295" s="19" t="s">
        <v>260</v>
      </c>
      <c r="X295" s="19" t="s">
        <v>260</v>
      </c>
      <c r="Y295" s="175" t="s">
        <v>260</v>
      </c>
      <c r="Z295" s="199">
        <v>0</v>
      </c>
      <c r="AA295" s="199">
        <v>1</v>
      </c>
      <c r="AB295" s="19" t="s">
        <v>260</v>
      </c>
      <c r="AC295" s="544" t="str">
        <f>""</f>
        <v/>
      </c>
      <c r="AD295" s="199">
        <v>1</v>
      </c>
      <c r="AE295" s="199" t="s">
        <v>1072</v>
      </c>
      <c r="AF295" s="199" t="s">
        <v>265</v>
      </c>
      <c r="AG295" s="199">
        <v>1</v>
      </c>
      <c r="AH295" s="199">
        <v>12</v>
      </c>
      <c r="AI295" s="199">
        <v>0</v>
      </c>
      <c r="AJ295" s="181">
        <f>VLOOKUP($I295,'Price List, Weapons &amp; Items'!B:F,5,0)</f>
        <v>0</v>
      </c>
      <c r="AK295" s="181">
        <f t="shared" si="59"/>
        <v>0</v>
      </c>
      <c r="AL295" s="181">
        <f t="shared" si="60"/>
        <v>0</v>
      </c>
      <c r="AM295" s="181">
        <f t="shared" si="61"/>
        <v>0</v>
      </c>
      <c r="AN295" s="180" t="str">
        <f>VLOOKUP($I295,'Price List, Weapons &amp; Items'!B:L,COLUMN('Price List, Weapons &amp; Items'!$J$11)-1,0)</f>
        <v>.</v>
      </c>
      <c r="AO295" s="180" t="str">
        <f>IF(I295=".",".",VLOOKUP($I295,'Price List, Weapons &amp; Items'!B:J,3,0))</f>
        <v>.</v>
      </c>
      <c r="AP295" s="545" t="e">
        <f t="shared" ca="1" si="55"/>
        <v>#NAME?</v>
      </c>
      <c r="AQ295" s="180" t="str">
        <f>VLOOKUP($I295,'Price List, Weapons &amp; Items'!B:L,COLUMN('Price List, Weapons &amp; Items'!$L$11)-1,0)</f>
        <v>no price, 0 count</v>
      </c>
      <c r="AR295" s="180">
        <f t="shared" si="62"/>
        <v>1</v>
      </c>
      <c r="AS295" s="180">
        <f t="shared" si="63"/>
        <v>0</v>
      </c>
      <c r="AT295" s="180">
        <f t="shared" si="56"/>
        <v>1</v>
      </c>
      <c r="AU295" s="180" t="str">
        <f t="shared" si="64"/>
        <v>.</v>
      </c>
      <c r="AV295" s="180" t="str">
        <f t="shared" si="65"/>
        <v>.</v>
      </c>
      <c r="AW295" s="180">
        <f>IFERROR(VLOOKUP(B295,'Share, Heavy Weapons to Ukraine'!B:J,COLUMN('Share, Heavy Weapons to Ukraine'!C302)-1,0),0)</f>
        <v>0</v>
      </c>
      <c r="AX295" s="180">
        <f>VLOOKUP('Bilateral Assistance, MAIN DATA'!B295,'Country Summary'!B:F,COLUMN('Country Summary'!C305)-1,FALSE)</f>
        <v>1</v>
      </c>
      <c r="AY295" s="180" t="str">
        <f>IF(AND(AD295=1,D295="Military",H295&lt;&gt;"Not given")=TRUE,IF(SUMIFS(P:P,A:A,A295)&gt;0,ABS((SUMIFS(P:P,A:A,A295)/VLOOKUP("USD",'Exchange Rates'!B:C,2,0)))/S295,"."),".")</f>
        <v>.</v>
      </c>
      <c r="AZ295" s="182" t="str">
        <f>IF(AND(AD295=1,D295="Military",H295&lt;&gt;"Not given")=TRUE,IF(SUMIFS(P:P,A:A,A295)&gt;0,IF((ABS((SUMIFS(P:P,A:A,A295)/VLOOKUP("USD",'Exchange Rates'!B:C,2,0)))/S295)&gt;1,(SUMIFS(P:P,A:A,A295)-S295)/S295,(S295-SUMIFS(P:P,A:A,A295))/SUMIFS(P:P,A:A,A295)),"."),".")</f>
        <v>.</v>
      </c>
      <c r="BA295" s="182"/>
      <c r="BB295" s="182"/>
      <c r="BC295" s="182"/>
      <c r="BD295" s="182"/>
      <c r="BE295" s="182"/>
      <c r="BF295" s="182"/>
      <c r="BG295" s="182"/>
      <c r="BH295" s="182"/>
      <c r="BI295" s="182"/>
      <c r="BJ295" s="182"/>
      <c r="BK295" s="182"/>
      <c r="BL295" s="182"/>
      <c r="BM295" s="182"/>
      <c r="BN295" s="182"/>
      <c r="BO295" s="182"/>
      <c r="BP295" s="182"/>
      <c r="BQ295" s="182"/>
      <c r="BR295" s="182"/>
      <c r="BS295" s="182"/>
    </row>
    <row r="296" spans="1:71" ht="15.9" customHeight="1" x14ac:dyDescent="0.3">
      <c r="A296" s="5" t="s">
        <v>1073</v>
      </c>
      <c r="B296" s="5" t="s">
        <v>1025</v>
      </c>
      <c r="C296" s="174">
        <v>44619</v>
      </c>
      <c r="D296" s="5" t="s">
        <v>285</v>
      </c>
      <c r="E296" s="5" t="s">
        <v>286</v>
      </c>
      <c r="F296" s="175" t="s">
        <v>1074</v>
      </c>
      <c r="G296" s="15" t="s">
        <v>364</v>
      </c>
      <c r="H296" s="176">
        <v>29300000</v>
      </c>
      <c r="I296" s="17" t="s">
        <v>499</v>
      </c>
      <c r="J296" s="113" t="str">
        <f>VLOOKUP($I296,'Price List, Weapons &amp; Items'!B:C,2,0)</f>
        <v>Military equipment</v>
      </c>
      <c r="K296" s="113" t="str">
        <f>IF(I296=".",I296,VLOOKUP($I296,'Price List, Weapons &amp; Items'!B:D,3,0))</f>
        <v>Military equipment</v>
      </c>
      <c r="L296" s="177">
        <f>VLOOKUP(I296,'Price List, Weapons &amp; Items'!B:E,4,0)</f>
        <v>0</v>
      </c>
      <c r="M296" s="542">
        <v>2000</v>
      </c>
      <c r="N296" s="542">
        <v>2000</v>
      </c>
      <c r="O296" s="543">
        <f>VLOOKUP($I296,'Price List, Weapons &amp; Items'!B:G,6,0)</f>
        <v>500</v>
      </c>
      <c r="P296" s="176">
        <f t="shared" si="57"/>
        <v>1000000</v>
      </c>
      <c r="Q296" s="176">
        <f t="shared" si="58"/>
        <v>1000000</v>
      </c>
      <c r="R296" s="176">
        <f t="shared" si="54"/>
        <v>29300000</v>
      </c>
      <c r="S296" s="176">
        <f>IF(AND(AD296=1,R296&lt;&gt;".")=TRUE,R296/VLOOKUP(G296,'Exchange Rates'!B:C,2,0),IF(R296=".",".",""))</f>
        <v>29300000</v>
      </c>
      <c r="T296" s="176">
        <f>IF(AD296=1,IF(AF296="Value is not given at all",".",IF(AF296="Value is given by the source",S296,IF(AF296="Value is calculated with prices",(IF(SUMIFS(Q:Q,A:A,A296)&gt;0,SUMIFS(Q:Q,A:A,A296),"."))/VLOOKUP("USD",'Exchange Rates'!B:C,2,0),"Error with coding"))),"")</f>
        <v>29300000</v>
      </c>
      <c r="U296" s="15" t="s">
        <v>261</v>
      </c>
      <c r="V296" s="547" t="s">
        <v>1075</v>
      </c>
      <c r="W296" s="547" t="s">
        <v>1076</v>
      </c>
      <c r="X296" s="547" t="s">
        <v>1077</v>
      </c>
      <c r="Y296" s="175" t="s">
        <v>260</v>
      </c>
      <c r="Z296" s="15">
        <v>0</v>
      </c>
      <c r="AA296" s="180">
        <v>0</v>
      </c>
      <c r="AB296" s="549" t="s">
        <v>1078</v>
      </c>
      <c r="AC296" s="544" t="str">
        <f>""</f>
        <v/>
      </c>
      <c r="AD296" s="181">
        <v>1</v>
      </c>
      <c r="AE296" s="181" t="s">
        <v>264</v>
      </c>
      <c r="AF296" s="181" t="s">
        <v>264</v>
      </c>
      <c r="AG296" s="181">
        <v>1</v>
      </c>
      <c r="AH296" s="181">
        <v>2</v>
      </c>
      <c r="AI296" s="181">
        <v>0</v>
      </c>
      <c r="AJ296" s="181">
        <f>VLOOKUP($I296,'Price List, Weapons &amp; Items'!B:F,5,0)</f>
        <v>0</v>
      </c>
      <c r="AK296" s="181">
        <f t="shared" si="59"/>
        <v>0</v>
      </c>
      <c r="AL296" s="181">
        <f t="shared" si="60"/>
        <v>0</v>
      </c>
      <c r="AM296" s="181">
        <f t="shared" si="61"/>
        <v>0</v>
      </c>
      <c r="AN296" s="180" t="str">
        <f>VLOOKUP($I296,'Price List, Weapons &amp; Items'!B:L,COLUMN('Price List, Weapons &amp; Items'!$J$11)-1,0)</f>
        <v>Military media (incl. websites)</v>
      </c>
      <c r="AO296" s="180" t="str">
        <f>IF(I296=".",".",VLOOKUP($I296,'Price List, Weapons &amp; Items'!B:J,3,0))</f>
        <v>Military equipment</v>
      </c>
      <c r="AP296" s="545" t="e">
        <f t="shared" ca="1" si="55"/>
        <v>#NAME?</v>
      </c>
      <c r="AQ296" s="180">
        <f>VLOOKUP($I296,'Price List, Weapons &amp; Items'!B:L,COLUMN('Price List, Weapons &amp; Items'!$L$11)-1,0)</f>
        <v>2</v>
      </c>
      <c r="AR296" s="180">
        <f t="shared" si="62"/>
        <v>1</v>
      </c>
      <c r="AS296" s="180">
        <f t="shared" si="63"/>
        <v>1</v>
      </c>
      <c r="AT296" s="180">
        <f t="shared" si="56"/>
        <v>1</v>
      </c>
      <c r="AU296" s="180" t="str">
        <f t="shared" si="64"/>
        <v>.</v>
      </c>
      <c r="AV296" s="180" t="str">
        <f t="shared" si="65"/>
        <v>.</v>
      </c>
      <c r="AW296" s="180">
        <f>IFERROR(VLOOKUP(B296,'Share, Heavy Weapons to Ukraine'!B:J,COLUMN('Share, Heavy Weapons to Ukraine'!C303)-1,0),0)</f>
        <v>0</v>
      </c>
      <c r="AX296" s="180">
        <f>VLOOKUP('Bilateral Assistance, MAIN DATA'!B296,'Country Summary'!B:F,COLUMN('Country Summary'!C306)-1,FALSE)</f>
        <v>1</v>
      </c>
      <c r="AY296" s="180">
        <f>IF(AND(AD296=1,D296="Military",H296&lt;&gt;"Not given")=TRUE,IF(SUMIFS(P:P,A:A,A296)&gt;0,ABS((SUMIFS(P:P,A:A,A296)/VLOOKUP("USD",'Exchange Rates'!B:C,2,0)))/S296,"."),".")</f>
        <v>0.36949455550138144</v>
      </c>
      <c r="AZ296" s="182">
        <f>IF(AND(AD296=1,D296="Military",H296&lt;&gt;"Not given")=TRUE,IF(SUMIFS(P:P,A:A,A296)&gt;0,IF((ABS((SUMIFS(P:P,A:A,A296)/VLOOKUP("USD",'Exchange Rates'!B:C,2,0)))/S296)&gt;1,(SUMIFS(P:P,A:A,A296)-S296)/S296,(S296-SUMIFS(P:P,A:A,A296))/SUMIFS(P:P,A:A,A296)),"."),".")</f>
        <v>1.5775236419617331</v>
      </c>
      <c r="BA296" s="182"/>
      <c r="BB296" s="182"/>
      <c r="BC296" s="182"/>
      <c r="BD296" s="182"/>
      <c r="BE296" s="182"/>
      <c r="BF296" s="182"/>
      <c r="BG296" s="182"/>
      <c r="BH296" s="182"/>
      <c r="BI296" s="182"/>
      <c r="BJ296" s="182"/>
      <c r="BK296" s="182"/>
      <c r="BL296" s="182"/>
      <c r="BM296" s="182"/>
      <c r="BN296" s="182"/>
      <c r="BO296" s="182"/>
      <c r="BP296" s="182"/>
      <c r="BQ296" s="182"/>
      <c r="BR296" s="182"/>
      <c r="BS296" s="182"/>
    </row>
    <row r="297" spans="1:71" ht="15.9" customHeight="1" x14ac:dyDescent="0.3">
      <c r="A297" s="5" t="s">
        <v>1073</v>
      </c>
      <c r="B297" s="5" t="s">
        <v>1025</v>
      </c>
      <c r="C297" s="174">
        <v>44619</v>
      </c>
      <c r="D297" s="5" t="s">
        <v>285</v>
      </c>
      <c r="E297" s="5" t="s">
        <v>286</v>
      </c>
      <c r="F297" s="175" t="s">
        <v>1074</v>
      </c>
      <c r="G297" s="15" t="s">
        <v>364</v>
      </c>
      <c r="H297" s="176">
        <v>29300000</v>
      </c>
      <c r="I297" s="17" t="s">
        <v>463</v>
      </c>
      <c r="J297" s="113" t="str">
        <f>VLOOKUP($I297,'Price List, Weapons &amp; Items'!B:C,2,0)</f>
        <v>Military equipment</v>
      </c>
      <c r="K297" s="113" t="str">
        <f>IF(I297=".",I297,VLOOKUP($I297,'Price List, Weapons &amp; Items'!B:D,3,0))</f>
        <v>Military equipment</v>
      </c>
      <c r="L297" s="177">
        <f>VLOOKUP(I297,'Price List, Weapons &amp; Items'!B:E,4,0)</f>
        <v>0</v>
      </c>
      <c r="M297" s="542">
        <v>2000</v>
      </c>
      <c r="N297" s="542">
        <v>2000</v>
      </c>
      <c r="O297" s="543">
        <f>VLOOKUP($I297,'Price List, Weapons &amp; Items'!B:G,6,0)</f>
        <v>1400</v>
      </c>
      <c r="P297" s="176">
        <f t="shared" si="57"/>
        <v>2800000</v>
      </c>
      <c r="Q297" s="176">
        <f t="shared" si="58"/>
        <v>2800000</v>
      </c>
      <c r="R297" s="176" t="str">
        <f t="shared" si="54"/>
        <v/>
      </c>
      <c r="S297" s="176" t="str">
        <f>IF(AND(AD297=1,R297&lt;&gt;".")=TRUE,R297/VLOOKUP(G297,'Exchange Rates'!B:C,2,0),IF(R297=".",".",""))</f>
        <v/>
      </c>
      <c r="T297" s="176" t="str">
        <f>IF(AD297=1,IF(AF297="Value is not given at all",".",IF(AF297="Value is given by the source",S297,IF(AF297="Value is calculated with prices",(IF(SUMIFS(Q:Q,A:A,A297)&gt;0,SUMIFS(Q:Q,A:A,A297),"."))/VLOOKUP("USD",'Exchange Rates'!B:C,2,0),"Error with coding"))),"")</f>
        <v/>
      </c>
      <c r="U297" s="15" t="s">
        <v>261</v>
      </c>
      <c r="V297" s="547" t="s">
        <v>1075</v>
      </c>
      <c r="W297" s="547" t="s">
        <v>1076</v>
      </c>
      <c r="X297" s="547" t="s">
        <v>1077</v>
      </c>
      <c r="Y297" s="175" t="s">
        <v>260</v>
      </c>
      <c r="Z297" s="15">
        <v>0</v>
      </c>
      <c r="AA297" s="180">
        <v>0</v>
      </c>
      <c r="AB297" s="549" t="s">
        <v>1078</v>
      </c>
      <c r="AC297" s="544" t="str">
        <f>""</f>
        <v/>
      </c>
      <c r="AD297" s="181">
        <v>0</v>
      </c>
      <c r="AE297" s="181" t="s">
        <v>264</v>
      </c>
      <c r="AF297" s="181" t="s">
        <v>264</v>
      </c>
      <c r="AG297" s="181">
        <v>1</v>
      </c>
      <c r="AH297" s="181">
        <v>2</v>
      </c>
      <c r="AI297" s="181">
        <v>0</v>
      </c>
      <c r="AJ297" s="181">
        <f>VLOOKUP($I297,'Price List, Weapons &amp; Items'!B:F,5,0)</f>
        <v>0</v>
      </c>
      <c r="AK297" s="181">
        <f t="shared" si="59"/>
        <v>0</v>
      </c>
      <c r="AL297" s="181">
        <f t="shared" si="60"/>
        <v>0</v>
      </c>
      <c r="AM297" s="181">
        <f t="shared" si="61"/>
        <v>0</v>
      </c>
      <c r="AN297" s="180" t="str">
        <f>VLOOKUP($I297,'Price List, Weapons &amp; Items'!B:L,COLUMN('Price List, Weapons &amp; Items'!$J$11)-1,0)</f>
        <v>Military media (incl. websites)</v>
      </c>
      <c r="AO297" s="180" t="str">
        <f>IF(I297=".",".",VLOOKUP($I297,'Price List, Weapons &amp; Items'!B:J,3,0))</f>
        <v>Military equipment</v>
      </c>
      <c r="AP297" s="545" t="str">
        <f t="shared" ca="1" si="55"/>
        <v/>
      </c>
      <c r="AQ297" s="180">
        <f>VLOOKUP($I297,'Price List, Weapons &amp; Items'!B:L,COLUMN('Price List, Weapons &amp; Items'!$L$11)-1,0)</f>
        <v>2</v>
      </c>
      <c r="AR297" s="180">
        <f t="shared" si="62"/>
        <v>1</v>
      </c>
      <c r="AS297" s="180">
        <f t="shared" si="63"/>
        <v>1</v>
      </c>
      <c r="AT297" s="180">
        <f t="shared" si="56"/>
        <v>1</v>
      </c>
      <c r="AU297" s="180" t="str">
        <f t="shared" si="64"/>
        <v>.</v>
      </c>
      <c r="AV297" s="180" t="str">
        <f t="shared" si="65"/>
        <v>.</v>
      </c>
      <c r="AW297" s="180">
        <f>IFERROR(VLOOKUP(B297,'Share, Heavy Weapons to Ukraine'!B:J,COLUMN('Share, Heavy Weapons to Ukraine'!C304)-1,0),0)</f>
        <v>0</v>
      </c>
      <c r="AX297" s="180">
        <f>VLOOKUP('Bilateral Assistance, MAIN DATA'!B297,'Country Summary'!B:F,COLUMN('Country Summary'!C307)-1,FALSE)</f>
        <v>1</v>
      </c>
      <c r="AY297" s="180" t="str">
        <f>IF(AND(AD297=1,D297="Military",H297&lt;&gt;"Not given")=TRUE,IF(SUMIFS(P:P,A:A,A297)&gt;0,ABS((SUMIFS(P:P,A:A,A297)/VLOOKUP("USD",'Exchange Rates'!B:C,2,0)))/S297,"."),".")</f>
        <v>.</v>
      </c>
      <c r="AZ297" s="182" t="str">
        <f>IF(AND(AD297=1,D297="Military",H297&lt;&gt;"Not given")=TRUE,IF(SUMIFS(P:P,A:A,A297)&gt;0,IF((ABS((SUMIFS(P:P,A:A,A297)/VLOOKUP("USD",'Exchange Rates'!B:C,2,0)))/S297)&gt;1,(SUMIFS(P:P,A:A,A297)-S297)/S297,(S297-SUMIFS(P:P,A:A,A297))/SUMIFS(P:P,A:A,A297)),"."),".")</f>
        <v>.</v>
      </c>
      <c r="BA297" s="182"/>
      <c r="BB297" s="182"/>
      <c r="BC297" s="182"/>
      <c r="BD297" s="182"/>
      <c r="BE297" s="182"/>
      <c r="BF297" s="182"/>
      <c r="BG297" s="182"/>
      <c r="BH297" s="182"/>
      <c r="BI297" s="182"/>
      <c r="BJ297" s="182"/>
      <c r="BK297" s="182"/>
      <c r="BL297" s="182"/>
      <c r="BM297" s="182"/>
      <c r="BN297" s="182"/>
      <c r="BO297" s="182"/>
      <c r="BP297" s="182"/>
      <c r="BQ297" s="182"/>
      <c r="BR297" s="182"/>
      <c r="BS297" s="182"/>
    </row>
    <row r="298" spans="1:71" ht="15.9" customHeight="1" x14ac:dyDescent="0.3">
      <c r="A298" s="5" t="s">
        <v>1073</v>
      </c>
      <c r="B298" s="5" t="s">
        <v>1025</v>
      </c>
      <c r="C298" s="174">
        <v>44619</v>
      </c>
      <c r="D298" s="5" t="s">
        <v>285</v>
      </c>
      <c r="E298" s="5" t="s">
        <v>286</v>
      </c>
      <c r="F298" s="175" t="s">
        <v>1074</v>
      </c>
      <c r="G298" s="15" t="s">
        <v>364</v>
      </c>
      <c r="H298" s="176">
        <v>29300000</v>
      </c>
      <c r="I298" s="17" t="s">
        <v>1079</v>
      </c>
      <c r="J298" s="113" t="str">
        <f>VLOOKUP($I298,'Price List, Weapons &amp; Items'!B:C,2,0)</f>
        <v>Military equipment</v>
      </c>
      <c r="K298" s="113" t="str">
        <f>IF(I298=".",I298,VLOOKUP($I298,'Price List, Weapons &amp; Items'!B:D,3,0))</f>
        <v>Military equipment</v>
      </c>
      <c r="L298" s="177">
        <f>VLOOKUP(I298,'Price List, Weapons &amp; Items'!B:E,4,0)</f>
        <v>0</v>
      </c>
      <c r="M298" s="542">
        <v>100</v>
      </c>
      <c r="N298" s="542">
        <v>100</v>
      </c>
      <c r="O298" s="543">
        <f>VLOOKUP($I298,'Price List, Weapons &amp; Items'!B:G,6,0)</f>
        <v>50</v>
      </c>
      <c r="P298" s="176">
        <f t="shared" si="57"/>
        <v>5000</v>
      </c>
      <c r="Q298" s="176">
        <f t="shared" si="58"/>
        <v>5000</v>
      </c>
      <c r="R298" s="176" t="str">
        <f t="shared" si="54"/>
        <v/>
      </c>
      <c r="S298" s="176" t="str">
        <f>IF(AND(AD298=1,R298&lt;&gt;".")=TRUE,R298/VLOOKUP(G298,'Exchange Rates'!B:C,2,0),IF(R298=".",".",""))</f>
        <v/>
      </c>
      <c r="T298" s="176" t="str">
        <f>IF(AD298=1,IF(AF298="Value is not given at all",".",IF(AF298="Value is given by the source",S298,IF(AF298="Value is calculated with prices",(IF(SUMIFS(Q:Q,A:A,A298)&gt;0,SUMIFS(Q:Q,A:A,A298),"."))/VLOOKUP("USD",'Exchange Rates'!B:C,2,0),"Error with coding"))),"")</f>
        <v/>
      </c>
      <c r="U298" s="15" t="s">
        <v>261</v>
      </c>
      <c r="V298" s="547" t="s">
        <v>1075</v>
      </c>
      <c r="W298" s="547" t="s">
        <v>1076</v>
      </c>
      <c r="X298" s="547" t="s">
        <v>1077</v>
      </c>
      <c r="Y298" s="175" t="s">
        <v>260</v>
      </c>
      <c r="Z298" s="15">
        <v>0</v>
      </c>
      <c r="AA298" s="180">
        <v>0</v>
      </c>
      <c r="AB298" s="549" t="s">
        <v>1078</v>
      </c>
      <c r="AC298" s="544" t="str">
        <f>""</f>
        <v/>
      </c>
      <c r="AD298" s="181">
        <v>0</v>
      </c>
      <c r="AE298" s="181" t="s">
        <v>264</v>
      </c>
      <c r="AF298" s="181" t="s">
        <v>264</v>
      </c>
      <c r="AG298" s="181">
        <v>1</v>
      </c>
      <c r="AH298" s="181">
        <v>2</v>
      </c>
      <c r="AI298" s="181">
        <v>0</v>
      </c>
      <c r="AJ298" s="181">
        <f>VLOOKUP($I298,'Price List, Weapons &amp; Items'!B:F,5,0)</f>
        <v>0</v>
      </c>
      <c r="AK298" s="181">
        <f t="shared" si="59"/>
        <v>0</v>
      </c>
      <c r="AL298" s="181">
        <f t="shared" si="60"/>
        <v>0</v>
      </c>
      <c r="AM298" s="181">
        <f t="shared" si="61"/>
        <v>0</v>
      </c>
      <c r="AN298" s="180" t="str">
        <f>VLOOKUP($I298,'Price List, Weapons &amp; Items'!B:L,COLUMN('Price List, Weapons &amp; Items'!$J$11)-1,0)</f>
        <v>Online marketplaces and stores</v>
      </c>
      <c r="AO298" s="180" t="str">
        <f>IF(I298=".",".",VLOOKUP($I298,'Price List, Weapons &amp; Items'!B:J,3,0))</f>
        <v>Military equipment</v>
      </c>
      <c r="AP298" s="545" t="str">
        <f t="shared" ca="1" si="55"/>
        <v/>
      </c>
      <c r="AQ298" s="180">
        <f>VLOOKUP($I298,'Price List, Weapons &amp; Items'!B:L,COLUMN('Price List, Weapons &amp; Items'!$L$11)-1,0)</f>
        <v>1</v>
      </c>
      <c r="AR298" s="180">
        <f t="shared" si="62"/>
        <v>1</v>
      </c>
      <c r="AS298" s="180">
        <f t="shared" si="63"/>
        <v>1</v>
      </c>
      <c r="AT298" s="180">
        <f t="shared" si="56"/>
        <v>1</v>
      </c>
      <c r="AU298" s="180" t="str">
        <f t="shared" si="64"/>
        <v>.</v>
      </c>
      <c r="AV298" s="180" t="str">
        <f t="shared" si="65"/>
        <v>.</v>
      </c>
      <c r="AW298" s="180">
        <f>IFERROR(VLOOKUP(B298,'Share, Heavy Weapons to Ukraine'!B:J,COLUMN('Share, Heavy Weapons to Ukraine'!C305)-1,0),0)</f>
        <v>0</v>
      </c>
      <c r="AX298" s="180">
        <f>VLOOKUP('Bilateral Assistance, MAIN DATA'!B298,'Country Summary'!B:F,COLUMN('Country Summary'!C308)-1,FALSE)</f>
        <v>1</v>
      </c>
      <c r="AY298" s="180" t="str">
        <f>IF(AND(AD298=1,D298="Military",H298&lt;&gt;"Not given")=TRUE,IF(SUMIFS(P:P,A:A,A298)&gt;0,ABS((SUMIFS(P:P,A:A,A298)/VLOOKUP("USD",'Exchange Rates'!B:C,2,0)))/S298,"."),".")</f>
        <v>.</v>
      </c>
      <c r="AZ298" s="182" t="str">
        <f>IF(AND(AD298=1,D298="Military",H298&lt;&gt;"Not given")=TRUE,IF(SUMIFS(P:P,A:A,A298)&gt;0,IF((ABS((SUMIFS(P:P,A:A,A298)/VLOOKUP("USD",'Exchange Rates'!B:C,2,0)))/S298)&gt;1,(SUMIFS(P:P,A:A,A298)-S298)/S298,(S298-SUMIFS(P:P,A:A,A298))/SUMIFS(P:P,A:A,A298)),"."),".")</f>
        <v>.</v>
      </c>
      <c r="BA298" s="182"/>
      <c r="BB298" s="182"/>
      <c r="BC298" s="182"/>
      <c r="BD298" s="182"/>
      <c r="BE298" s="182"/>
      <c r="BF298" s="182"/>
      <c r="BG298" s="182"/>
      <c r="BH298" s="182"/>
      <c r="BI298" s="182"/>
      <c r="BJ298" s="182"/>
      <c r="BK298" s="182"/>
      <c r="BL298" s="182"/>
      <c r="BM298" s="182"/>
      <c r="BN298" s="182"/>
      <c r="BO298" s="182"/>
      <c r="BP298" s="182"/>
      <c r="BQ298" s="182"/>
      <c r="BR298" s="182"/>
      <c r="BS298" s="182"/>
    </row>
    <row r="299" spans="1:71" ht="15.9" customHeight="1" x14ac:dyDescent="0.3">
      <c r="A299" s="5" t="s">
        <v>1073</v>
      </c>
      <c r="B299" s="5" t="s">
        <v>1025</v>
      </c>
      <c r="C299" s="174">
        <v>44620</v>
      </c>
      <c r="D299" s="5" t="s">
        <v>285</v>
      </c>
      <c r="E299" s="5" t="s">
        <v>286</v>
      </c>
      <c r="F299" s="175" t="s">
        <v>1074</v>
      </c>
      <c r="G299" s="15" t="s">
        <v>364</v>
      </c>
      <c r="H299" s="176">
        <v>29300000</v>
      </c>
      <c r="I299" s="17" t="s">
        <v>1080</v>
      </c>
      <c r="J299" s="113" t="str">
        <f>VLOOKUP($I299,'Price List, Weapons &amp; Items'!B:C,2,0)</f>
        <v>Light armaments &amp; infantry</v>
      </c>
      <c r="K299" s="113" t="str">
        <f>IF(I299=".",I299,VLOOKUP($I299,'Price List, Weapons &amp; Items'!B:D,3,0))</f>
        <v>Small Arms and Light Weapons (SALW)</v>
      </c>
      <c r="L299" s="177">
        <f>VLOOKUP(I299,'Price List, Weapons &amp; Items'!B:E,4,0)</f>
        <v>0</v>
      </c>
      <c r="M299" s="542">
        <v>2500</v>
      </c>
      <c r="N299" s="542">
        <v>2500</v>
      </c>
      <c r="O299" s="543">
        <f>VLOOKUP($I299,'Price List, Weapons &amp; Items'!B:G,6,0)</f>
        <v>1500</v>
      </c>
      <c r="P299" s="176">
        <f t="shared" si="57"/>
        <v>3750000</v>
      </c>
      <c r="Q299" s="176">
        <f t="shared" si="58"/>
        <v>3750000</v>
      </c>
      <c r="R299" s="176" t="str">
        <f t="shared" si="54"/>
        <v/>
      </c>
      <c r="S299" s="176" t="str">
        <f>IF(AND(AD299=1,R299&lt;&gt;".")=TRUE,R299/VLOOKUP(G299,'Exchange Rates'!B:C,2,0),IF(R299=".",".",""))</f>
        <v/>
      </c>
      <c r="T299" s="176" t="str">
        <f>IF(AD299=1,IF(AF299="Value is not given at all",".",IF(AF299="Value is given by the source",S299,IF(AF299="Value is calculated with prices",(IF(SUMIFS(Q:Q,A:A,A299)&gt;0,SUMIFS(Q:Q,A:A,A299),"."))/VLOOKUP("USD",'Exchange Rates'!B:C,2,0),"Error with coding"))),"")</f>
        <v/>
      </c>
      <c r="U299" s="15" t="s">
        <v>261</v>
      </c>
      <c r="V299" s="547" t="s">
        <v>1075</v>
      </c>
      <c r="W299" s="547" t="s">
        <v>1081</v>
      </c>
      <c r="X299" s="547" t="s">
        <v>1082</v>
      </c>
      <c r="Y299" s="175" t="s">
        <v>260</v>
      </c>
      <c r="Z299" s="15">
        <v>0</v>
      </c>
      <c r="AA299" s="180">
        <v>0</v>
      </c>
      <c r="AB299" s="549" t="s">
        <v>1083</v>
      </c>
      <c r="AC299" s="544" t="str">
        <f>""</f>
        <v/>
      </c>
      <c r="AD299" s="181">
        <v>0</v>
      </c>
      <c r="AE299" s="181" t="s">
        <v>264</v>
      </c>
      <c r="AF299" s="181" t="s">
        <v>264</v>
      </c>
      <c r="AG299" s="181">
        <v>1</v>
      </c>
      <c r="AH299" s="181">
        <v>2</v>
      </c>
      <c r="AI299" s="181">
        <v>0</v>
      </c>
      <c r="AJ299" s="181">
        <f>VLOOKUP($I299,'Price List, Weapons &amp; Items'!B:F,5,0)</f>
        <v>0</v>
      </c>
      <c r="AK299" s="181">
        <f t="shared" si="59"/>
        <v>0</v>
      </c>
      <c r="AL299" s="181">
        <f t="shared" si="60"/>
        <v>0</v>
      </c>
      <c r="AM299" s="181">
        <f t="shared" si="61"/>
        <v>0</v>
      </c>
      <c r="AN299" s="180" t="str">
        <f>VLOOKUP($I299,'Price List, Weapons &amp; Items'!B:L,COLUMN('Price List, Weapons &amp; Items'!$J$11)-1,0)</f>
        <v>Miscellaneous</v>
      </c>
      <c r="AO299" s="180" t="str">
        <f>IF(I299=".",".",VLOOKUP($I299,'Price List, Weapons &amp; Items'!B:J,3,0))</f>
        <v>Small Arms and Light Weapons (SALW)</v>
      </c>
      <c r="AP299" s="545" t="str">
        <f t="shared" ca="1" si="55"/>
        <v/>
      </c>
      <c r="AQ299" s="180">
        <f>VLOOKUP($I299,'Price List, Weapons &amp; Items'!B:L,COLUMN('Price List, Weapons &amp; Items'!$L$11)-1,0)</f>
        <v>2</v>
      </c>
      <c r="AR299" s="180">
        <f t="shared" si="62"/>
        <v>1</v>
      </c>
      <c r="AS299" s="180">
        <f t="shared" si="63"/>
        <v>1</v>
      </c>
      <c r="AT299" s="180">
        <f t="shared" si="56"/>
        <v>1</v>
      </c>
      <c r="AU299" s="180" t="str">
        <f t="shared" si="64"/>
        <v>.</v>
      </c>
      <c r="AV299" s="180" t="str">
        <f t="shared" si="65"/>
        <v>.</v>
      </c>
      <c r="AW299" s="180">
        <f>IFERROR(VLOOKUP(B299,'Share, Heavy Weapons to Ukraine'!B:J,COLUMN('Share, Heavy Weapons to Ukraine'!C306)-1,0),0)</f>
        <v>0</v>
      </c>
      <c r="AX299" s="180">
        <f>VLOOKUP('Bilateral Assistance, MAIN DATA'!B299,'Country Summary'!B:F,COLUMN('Country Summary'!C309)-1,FALSE)</f>
        <v>1</v>
      </c>
      <c r="AY299" s="180" t="str">
        <f>IF(AND(AD299=1,D299="Military",H299&lt;&gt;"Not given")=TRUE,IF(SUMIFS(P:P,A:A,A299)&gt;0,ABS((SUMIFS(P:P,A:A,A299)/VLOOKUP("USD",'Exchange Rates'!B:C,2,0)))/S299,"."),".")</f>
        <v>.</v>
      </c>
      <c r="AZ299" s="182" t="str">
        <f>IF(AND(AD299=1,D299="Military",H299&lt;&gt;"Not given")=TRUE,IF(SUMIFS(P:P,A:A,A299)&gt;0,IF((ABS((SUMIFS(P:P,A:A,A299)/VLOOKUP("USD",'Exchange Rates'!B:C,2,0)))/S299)&gt;1,(SUMIFS(P:P,A:A,A299)-S299)/S299,(S299-SUMIFS(P:P,A:A,A299))/SUMIFS(P:P,A:A,A299)),"."),".")</f>
        <v>.</v>
      </c>
      <c r="BA299" s="182"/>
      <c r="BB299" s="182"/>
      <c r="BC299" s="182"/>
      <c r="BD299" s="182"/>
      <c r="BE299" s="182"/>
      <c r="BF299" s="182"/>
      <c r="BG299" s="182"/>
      <c r="BH299" s="182"/>
      <c r="BI299" s="182"/>
      <c r="BJ299" s="182"/>
      <c r="BK299" s="182"/>
      <c r="BL299" s="182"/>
      <c r="BM299" s="182"/>
      <c r="BN299" s="182"/>
      <c r="BO299" s="182"/>
      <c r="BP299" s="182"/>
      <c r="BQ299" s="182"/>
      <c r="BR299" s="182"/>
      <c r="BS299" s="182"/>
    </row>
    <row r="300" spans="1:71" ht="15.9" customHeight="1" x14ac:dyDescent="0.3">
      <c r="A300" s="5" t="s">
        <v>1073</v>
      </c>
      <c r="B300" s="5" t="s">
        <v>1025</v>
      </c>
      <c r="C300" s="174">
        <v>44620</v>
      </c>
      <c r="D300" s="5" t="s">
        <v>285</v>
      </c>
      <c r="E300" s="5" t="s">
        <v>286</v>
      </c>
      <c r="F300" s="175" t="s">
        <v>1074</v>
      </c>
      <c r="G300" s="15" t="s">
        <v>364</v>
      </c>
      <c r="H300" s="176">
        <v>29300000</v>
      </c>
      <c r="I300" s="17" t="s">
        <v>1084</v>
      </c>
      <c r="J300" s="113" t="str">
        <f>VLOOKUP($I300,'Price List, Weapons &amp; Items'!B:C,2,0)</f>
        <v>Ammunition for light infantry</v>
      </c>
      <c r="K300" s="113" t="str">
        <f>IF(I300=".",I300,VLOOKUP($I300,'Price List, Weapons &amp; Items'!B:D,3,0))</f>
        <v>Light Anti-armor Weapon (LAW) ammunition</v>
      </c>
      <c r="L300" s="177">
        <f>VLOOKUP(I300,'Price List, Weapons &amp; Items'!B:E,4,0)</f>
        <v>0</v>
      </c>
      <c r="M300" s="542">
        <v>150000</v>
      </c>
      <c r="N300" s="542">
        <v>150000</v>
      </c>
      <c r="O300" s="543">
        <f>VLOOKUP($I300,'Price List, Weapons &amp; Items'!B:G,6,0)</f>
        <v>0.4</v>
      </c>
      <c r="P300" s="176">
        <f t="shared" si="57"/>
        <v>60000</v>
      </c>
      <c r="Q300" s="176">
        <f t="shared" si="58"/>
        <v>60000</v>
      </c>
      <c r="R300" s="176" t="str">
        <f t="shared" si="54"/>
        <v/>
      </c>
      <c r="S300" s="176" t="str">
        <f>IF(AND(AD300=1,R300&lt;&gt;".")=TRUE,R300/VLOOKUP(G300,'Exchange Rates'!B:C,2,0),IF(R300=".",".",""))</f>
        <v/>
      </c>
      <c r="T300" s="176" t="str">
        <f>IF(AD300=1,IF(AF300="Value is not given at all",".",IF(AF300="Value is given by the source",S300,IF(AF300="Value is calculated with prices",(IF(SUMIFS(Q:Q,A:A,A300)&gt;0,SUMIFS(Q:Q,A:A,A300),"."))/VLOOKUP("USD",'Exchange Rates'!B:C,2,0),"Error with coding"))),"")</f>
        <v/>
      </c>
      <c r="U300" s="15" t="s">
        <v>261</v>
      </c>
      <c r="V300" s="547" t="s">
        <v>1075</v>
      </c>
      <c r="W300" s="547" t="s">
        <v>1081</v>
      </c>
      <c r="X300" s="547" t="s">
        <v>1082</v>
      </c>
      <c r="Y300" s="175" t="s">
        <v>260</v>
      </c>
      <c r="Z300" s="15">
        <v>0</v>
      </c>
      <c r="AA300" s="180">
        <v>0</v>
      </c>
      <c r="AB300" s="549" t="s">
        <v>1083</v>
      </c>
      <c r="AC300" s="544" t="str">
        <f>""</f>
        <v/>
      </c>
      <c r="AD300" s="181">
        <v>0</v>
      </c>
      <c r="AE300" s="181" t="s">
        <v>264</v>
      </c>
      <c r="AF300" s="181" t="s">
        <v>264</v>
      </c>
      <c r="AG300" s="181">
        <v>1</v>
      </c>
      <c r="AH300" s="181">
        <v>2</v>
      </c>
      <c r="AI300" s="181">
        <v>0</v>
      </c>
      <c r="AJ300" s="181">
        <f>VLOOKUP($I300,'Price List, Weapons &amp; Items'!B:F,5,0)</f>
        <v>0</v>
      </c>
      <c r="AK300" s="181">
        <f t="shared" si="59"/>
        <v>0</v>
      </c>
      <c r="AL300" s="181">
        <f t="shared" si="60"/>
        <v>0</v>
      </c>
      <c r="AM300" s="181">
        <f t="shared" si="61"/>
        <v>0</v>
      </c>
      <c r="AN300" s="180" t="str">
        <f>VLOOKUP($I300,'Price List, Weapons &amp; Items'!B:L,COLUMN('Price List, Weapons &amp; Items'!$J$11)-1,0)</f>
        <v>Online marketplaces and stores</v>
      </c>
      <c r="AO300" s="180" t="str">
        <f>IF(I300=".",".",VLOOKUP($I300,'Price List, Weapons &amp; Items'!B:J,3,0))</f>
        <v>Light Anti-armor Weapon (LAW) ammunition</v>
      </c>
      <c r="AP300" s="545" t="str">
        <f t="shared" ca="1" si="55"/>
        <v/>
      </c>
      <c r="AQ300" s="180">
        <f>VLOOKUP($I300,'Price List, Weapons &amp; Items'!B:L,COLUMN('Price List, Weapons &amp; Items'!$L$11)-1,0)</f>
        <v>1</v>
      </c>
      <c r="AR300" s="180">
        <f t="shared" si="62"/>
        <v>1</v>
      </c>
      <c r="AS300" s="180">
        <f t="shared" si="63"/>
        <v>1</v>
      </c>
      <c r="AT300" s="180">
        <f t="shared" si="56"/>
        <v>1</v>
      </c>
      <c r="AU300" s="180" t="str">
        <f t="shared" si="64"/>
        <v>.</v>
      </c>
      <c r="AV300" s="180" t="str">
        <f t="shared" si="65"/>
        <v>.</v>
      </c>
      <c r="AW300" s="180">
        <f>IFERROR(VLOOKUP(B300,'Share, Heavy Weapons to Ukraine'!B:J,COLUMN('Share, Heavy Weapons to Ukraine'!C307)-1,0),0)</f>
        <v>0</v>
      </c>
      <c r="AX300" s="180">
        <f>VLOOKUP('Bilateral Assistance, MAIN DATA'!B300,'Country Summary'!B:F,COLUMN('Country Summary'!C310)-1,FALSE)</f>
        <v>1</v>
      </c>
      <c r="AY300" s="180" t="str">
        <f>IF(AND(AD300=1,D300="Military",H300&lt;&gt;"Not given")=TRUE,IF(SUMIFS(P:P,A:A,A300)&gt;0,ABS((SUMIFS(P:P,A:A,A300)/VLOOKUP("USD",'Exchange Rates'!B:C,2,0)))/S300,"."),".")</f>
        <v>.</v>
      </c>
      <c r="AZ300" s="182" t="str">
        <f>IF(AND(AD300=1,D300="Military",H300&lt;&gt;"Not given")=TRUE,IF(SUMIFS(P:P,A:A,A300)&gt;0,IF((ABS((SUMIFS(P:P,A:A,A300)/VLOOKUP("USD",'Exchange Rates'!B:C,2,0)))/S300)&gt;1,(SUMIFS(P:P,A:A,A300)-S300)/S300,(S300-SUMIFS(P:P,A:A,A300))/SUMIFS(P:P,A:A,A300)),"."),".")</f>
        <v>.</v>
      </c>
      <c r="BA300" s="182"/>
      <c r="BB300" s="182"/>
      <c r="BC300" s="182"/>
      <c r="BD300" s="182"/>
      <c r="BE300" s="182"/>
      <c r="BF300" s="182"/>
      <c r="BG300" s="182"/>
      <c r="BH300" s="182"/>
      <c r="BI300" s="182"/>
      <c r="BJ300" s="182"/>
      <c r="BK300" s="182"/>
      <c r="BL300" s="182"/>
      <c r="BM300" s="182"/>
      <c r="BN300" s="182"/>
      <c r="BO300" s="182"/>
      <c r="BP300" s="182"/>
      <c r="BQ300" s="182"/>
      <c r="BR300" s="182"/>
      <c r="BS300" s="182"/>
    </row>
    <row r="301" spans="1:71" ht="15.9" customHeight="1" x14ac:dyDescent="0.3">
      <c r="A301" s="5" t="s">
        <v>1073</v>
      </c>
      <c r="B301" s="5" t="s">
        <v>1025</v>
      </c>
      <c r="C301" s="174">
        <v>44620</v>
      </c>
      <c r="D301" s="5" t="s">
        <v>285</v>
      </c>
      <c r="E301" s="5" t="s">
        <v>286</v>
      </c>
      <c r="F301" s="175" t="s">
        <v>1074</v>
      </c>
      <c r="G301" s="15" t="s">
        <v>364</v>
      </c>
      <c r="H301" s="176">
        <v>29300000</v>
      </c>
      <c r="I301" s="17" t="s">
        <v>1085</v>
      </c>
      <c r="J301" s="113" t="str">
        <f>VLOOKUP($I301,'Price List, Weapons &amp; Items'!B:C,2,0)</f>
        <v>Portable defence system</v>
      </c>
      <c r="K301" s="113" t="str">
        <f>IF(I301=".",I301,VLOOKUP($I301,'Price List, Weapons &amp; Items'!B:D,3,0))</f>
        <v>Light Anti-armor Weapon (LAW)</v>
      </c>
      <c r="L301" s="177">
        <f>VLOOKUP(I301,'Price List, Weapons &amp; Items'!B:E,4,0)</f>
        <v>0</v>
      </c>
      <c r="M301" s="542">
        <v>1500</v>
      </c>
      <c r="N301" s="542">
        <v>1500</v>
      </c>
      <c r="O301" s="543">
        <f>VLOOKUP($I301,'Price List, Weapons &amp; Items'!B:G,6,0)</f>
        <v>1475</v>
      </c>
      <c r="P301" s="176">
        <f t="shared" si="57"/>
        <v>2212500</v>
      </c>
      <c r="Q301" s="176">
        <f t="shared" si="58"/>
        <v>2212500</v>
      </c>
      <c r="R301" s="176" t="str">
        <f t="shared" si="54"/>
        <v/>
      </c>
      <c r="S301" s="176" t="str">
        <f>IF(AND(AD301=1,R301&lt;&gt;".")=TRUE,R301/VLOOKUP(G301,'Exchange Rates'!B:C,2,0),IF(R301=".",".",""))</f>
        <v/>
      </c>
      <c r="T301" s="176" t="str">
        <f>IF(AD301=1,IF(AF301="Value is not given at all",".",IF(AF301="Value is given by the source",S301,IF(AF301="Value is calculated with prices",(IF(SUMIFS(Q:Q,A:A,A301)&gt;0,SUMIFS(Q:Q,A:A,A301),"."))/VLOOKUP("USD",'Exchange Rates'!B:C,2,0),"Error with coding"))),"")</f>
        <v/>
      </c>
      <c r="U301" s="15" t="s">
        <v>261</v>
      </c>
      <c r="V301" s="547" t="s">
        <v>1075</v>
      </c>
      <c r="W301" s="547" t="s">
        <v>1081</v>
      </c>
      <c r="X301" s="547" t="s">
        <v>1082</v>
      </c>
      <c r="Y301" s="175" t="s">
        <v>260</v>
      </c>
      <c r="Z301" s="15">
        <v>0</v>
      </c>
      <c r="AA301" s="180">
        <v>0</v>
      </c>
      <c r="AB301" s="549" t="s">
        <v>1083</v>
      </c>
      <c r="AC301" s="544" t="str">
        <f>""</f>
        <v/>
      </c>
      <c r="AD301" s="181">
        <v>0</v>
      </c>
      <c r="AE301" s="181" t="s">
        <v>264</v>
      </c>
      <c r="AF301" s="181" t="s">
        <v>264</v>
      </c>
      <c r="AG301" s="181">
        <v>1</v>
      </c>
      <c r="AH301" s="181">
        <v>2</v>
      </c>
      <c r="AI301" s="181">
        <v>0</v>
      </c>
      <c r="AJ301" s="181">
        <f>VLOOKUP($I301,'Price List, Weapons &amp; Items'!B:F,5,0)</f>
        <v>0</v>
      </c>
      <c r="AK301" s="181">
        <f t="shared" si="59"/>
        <v>0</v>
      </c>
      <c r="AL301" s="181">
        <f t="shared" si="60"/>
        <v>0</v>
      </c>
      <c r="AM301" s="181">
        <f t="shared" si="61"/>
        <v>0</v>
      </c>
      <c r="AN301" s="180" t="str">
        <f>VLOOKUP($I301,'Price List, Weapons &amp; Items'!B:L,COLUMN('Price List, Weapons &amp; Items'!$J$11)-1,0)</f>
        <v>Military media (incl. websites)</v>
      </c>
      <c r="AO301" s="180" t="str">
        <f>IF(I301=".",".",VLOOKUP($I301,'Price List, Weapons &amp; Items'!B:J,3,0))</f>
        <v>Light Anti-armor Weapon (LAW)</v>
      </c>
      <c r="AP301" s="545" t="str">
        <f t="shared" ca="1" si="55"/>
        <v/>
      </c>
      <c r="AQ301" s="180">
        <f>VLOOKUP($I301,'Price List, Weapons &amp; Items'!B:L,COLUMN('Price List, Weapons &amp; Items'!$L$11)-1,0)</f>
        <v>2</v>
      </c>
      <c r="AR301" s="180">
        <f t="shared" si="62"/>
        <v>1</v>
      </c>
      <c r="AS301" s="180">
        <f t="shared" si="63"/>
        <v>1</v>
      </c>
      <c r="AT301" s="180">
        <f t="shared" si="56"/>
        <v>1</v>
      </c>
      <c r="AU301" s="180" t="str">
        <f t="shared" si="64"/>
        <v>.</v>
      </c>
      <c r="AV301" s="180" t="str">
        <f t="shared" si="65"/>
        <v>.</v>
      </c>
      <c r="AW301" s="180">
        <f>IFERROR(VLOOKUP(B301,'Share, Heavy Weapons to Ukraine'!B:J,COLUMN('Share, Heavy Weapons to Ukraine'!C308)-1,0),0)</f>
        <v>0</v>
      </c>
      <c r="AX301" s="180">
        <f>VLOOKUP('Bilateral Assistance, MAIN DATA'!B301,'Country Summary'!B:F,COLUMN('Country Summary'!C311)-1,FALSE)</f>
        <v>1</v>
      </c>
      <c r="AY301" s="180" t="str">
        <f>IF(AND(AD301=1,D301="Military",H301&lt;&gt;"Not given")=TRUE,IF(SUMIFS(P:P,A:A,A301)&gt;0,ABS((SUMIFS(P:P,A:A,A301)/VLOOKUP("USD",'Exchange Rates'!B:C,2,0)))/S301,"."),".")</f>
        <v>.</v>
      </c>
      <c r="AZ301" s="182" t="str">
        <f>IF(AND(AD301=1,D301="Military",H301&lt;&gt;"Not given")=TRUE,IF(SUMIFS(P:P,A:A,A301)&gt;0,IF((ABS((SUMIFS(P:P,A:A,A301)/VLOOKUP("USD",'Exchange Rates'!B:C,2,0)))/S301)&gt;1,(SUMIFS(P:P,A:A,A301)-S301)/S301,(S301-SUMIFS(P:P,A:A,A301))/SUMIFS(P:P,A:A,A301)),"."),".")</f>
        <v>.</v>
      </c>
      <c r="BA301" s="182"/>
      <c r="BB301" s="182"/>
      <c r="BC301" s="182"/>
      <c r="BD301" s="182"/>
      <c r="BE301" s="182"/>
      <c r="BF301" s="182"/>
      <c r="BG301" s="182"/>
      <c r="BH301" s="182"/>
      <c r="BI301" s="182"/>
      <c r="BJ301" s="182"/>
      <c r="BK301" s="182"/>
      <c r="BL301" s="182"/>
      <c r="BM301" s="182"/>
      <c r="BN301" s="182"/>
      <c r="BO301" s="182"/>
      <c r="BP301" s="182"/>
      <c r="BQ301" s="182"/>
      <c r="BR301" s="182"/>
      <c r="BS301" s="182"/>
    </row>
    <row r="302" spans="1:71" ht="15.9" customHeight="1" x14ac:dyDescent="0.3">
      <c r="A302" s="5" t="s">
        <v>1073</v>
      </c>
      <c r="B302" s="5" t="s">
        <v>1025</v>
      </c>
      <c r="C302" s="174">
        <v>44620</v>
      </c>
      <c r="D302" s="5" t="s">
        <v>285</v>
      </c>
      <c r="E302" s="5" t="s">
        <v>286</v>
      </c>
      <c r="F302" s="175" t="s">
        <v>1074</v>
      </c>
      <c r="G302" s="15" t="s">
        <v>364</v>
      </c>
      <c r="H302" s="176">
        <v>29300000</v>
      </c>
      <c r="I302" s="17" t="s">
        <v>1086</v>
      </c>
      <c r="J302" s="113" t="str">
        <f>VLOOKUP($I302,'Price List, Weapons &amp; Items'!B:C,2,0)</f>
        <v>Military equipment</v>
      </c>
      <c r="K302" s="113" t="str">
        <f>IF(I302=".",I302,VLOOKUP($I302,'Price List, Weapons &amp; Items'!B:D,3,0))</f>
        <v>Military equipment</v>
      </c>
      <c r="L302" s="177">
        <f>VLOOKUP(I302,'Price List, Weapons &amp; Items'!B:E,4,0)</f>
        <v>0</v>
      </c>
      <c r="M302" s="542">
        <v>70000</v>
      </c>
      <c r="N302" s="542">
        <v>70000</v>
      </c>
      <c r="O302" s="543">
        <f>VLOOKUP($I302,'Price List, Weapons &amp; Items'!B:G,6,0)</f>
        <v>22</v>
      </c>
      <c r="P302" s="176">
        <f t="shared" si="57"/>
        <v>1540000</v>
      </c>
      <c r="Q302" s="176">
        <f t="shared" si="58"/>
        <v>1540000</v>
      </c>
      <c r="R302" s="176" t="str">
        <f t="shared" si="54"/>
        <v/>
      </c>
      <c r="S302" s="176" t="str">
        <f>IF(AND(AD302=1,R302&lt;&gt;".")=TRUE,R302/VLOOKUP(G302,'Exchange Rates'!B:C,2,0),IF(R302=".",".",""))</f>
        <v/>
      </c>
      <c r="T302" s="176" t="str">
        <f>IF(AD302=1,IF(AF302="Value is not given at all",".",IF(AF302="Value is given by the source",S302,IF(AF302="Value is calculated with prices",(IF(SUMIFS(Q:Q,A:A,A302)&gt;0,SUMIFS(Q:Q,A:A,A302),"."))/VLOOKUP("USD",'Exchange Rates'!B:C,2,0),"Error with coding"))),"")</f>
        <v/>
      </c>
      <c r="U302" s="15" t="s">
        <v>261</v>
      </c>
      <c r="V302" s="547" t="s">
        <v>1075</v>
      </c>
      <c r="W302" s="547" t="s">
        <v>1081</v>
      </c>
      <c r="X302" s="547" t="s">
        <v>1082</v>
      </c>
      <c r="Y302" s="175" t="s">
        <v>260</v>
      </c>
      <c r="Z302" s="15">
        <v>0</v>
      </c>
      <c r="AA302" s="180">
        <v>0</v>
      </c>
      <c r="AB302" s="549" t="s">
        <v>1083</v>
      </c>
      <c r="AC302" s="544" t="str">
        <f>""</f>
        <v/>
      </c>
      <c r="AD302" s="181">
        <v>0</v>
      </c>
      <c r="AE302" s="181" t="s">
        <v>264</v>
      </c>
      <c r="AF302" s="181" t="s">
        <v>264</v>
      </c>
      <c r="AG302" s="181">
        <v>1</v>
      </c>
      <c r="AH302" s="181">
        <v>2</v>
      </c>
      <c r="AI302" s="181">
        <v>0</v>
      </c>
      <c r="AJ302" s="181">
        <f>VLOOKUP($I302,'Price List, Weapons &amp; Items'!B:F,5,0)</f>
        <v>0</v>
      </c>
      <c r="AK302" s="181">
        <f t="shared" si="59"/>
        <v>0</v>
      </c>
      <c r="AL302" s="181">
        <f t="shared" si="60"/>
        <v>0</v>
      </c>
      <c r="AM302" s="181">
        <f t="shared" si="61"/>
        <v>0</v>
      </c>
      <c r="AN302" s="180" t="str">
        <f>VLOOKUP($I302,'Price List, Weapons &amp; Items'!B:L,COLUMN('Price List, Weapons &amp; Items'!$J$11)-1,0)</f>
        <v>Online marketplaces and stores</v>
      </c>
      <c r="AO302" s="180" t="str">
        <f>IF(I302=".",".",VLOOKUP($I302,'Price List, Weapons &amp; Items'!B:J,3,0))</f>
        <v>Military equipment</v>
      </c>
      <c r="AP302" s="545" t="str">
        <f t="shared" ca="1" si="55"/>
        <v/>
      </c>
      <c r="AQ302" s="180">
        <f>VLOOKUP($I302,'Price List, Weapons &amp; Items'!B:L,COLUMN('Price List, Weapons &amp; Items'!$L$11)-1,0)</f>
        <v>2</v>
      </c>
      <c r="AR302" s="180">
        <f t="shared" si="62"/>
        <v>1</v>
      </c>
      <c r="AS302" s="180">
        <f t="shared" si="63"/>
        <v>1</v>
      </c>
      <c r="AT302" s="180">
        <f t="shared" si="56"/>
        <v>1</v>
      </c>
      <c r="AU302" s="180" t="str">
        <f t="shared" si="64"/>
        <v>.</v>
      </c>
      <c r="AV302" s="180" t="str">
        <f t="shared" si="65"/>
        <v>.</v>
      </c>
      <c r="AW302" s="180">
        <f>IFERROR(VLOOKUP(B302,'Share, Heavy Weapons to Ukraine'!B:J,COLUMN('Share, Heavy Weapons to Ukraine'!C309)-1,0),0)</f>
        <v>0</v>
      </c>
      <c r="AX302" s="180">
        <f>VLOOKUP('Bilateral Assistance, MAIN DATA'!B302,'Country Summary'!B:F,COLUMN('Country Summary'!C312)-1,FALSE)</f>
        <v>1</v>
      </c>
      <c r="AY302" s="180" t="str">
        <f>IF(AND(AD302=1,D302="Military",H302&lt;&gt;"Not given")=TRUE,IF(SUMIFS(P:P,A:A,A302)&gt;0,ABS((SUMIFS(P:P,A:A,A302)/VLOOKUP("USD",'Exchange Rates'!B:C,2,0)))/S302,"."),".")</f>
        <v>.</v>
      </c>
      <c r="AZ302" s="182" t="str">
        <f>IF(AND(AD302=1,D302="Military",H302&lt;&gt;"Not given")=TRUE,IF(SUMIFS(P:P,A:A,A302)&gt;0,IF((ABS((SUMIFS(P:P,A:A,A302)/VLOOKUP("USD",'Exchange Rates'!B:C,2,0)))/S302)&gt;1,(SUMIFS(P:P,A:A,A302)-S302)/S302,(S302-SUMIFS(P:P,A:A,A302))/SUMIFS(P:P,A:A,A302)),"."),".")</f>
        <v>.</v>
      </c>
      <c r="BA302" s="182"/>
      <c r="BB302" s="182"/>
      <c r="BC302" s="182"/>
      <c r="BD302" s="182"/>
      <c r="BE302" s="182"/>
      <c r="BF302" s="182"/>
      <c r="BG302" s="182"/>
      <c r="BH302" s="182"/>
      <c r="BI302" s="182"/>
      <c r="BJ302" s="182"/>
      <c r="BK302" s="182"/>
      <c r="BL302" s="182"/>
      <c r="BM302" s="182"/>
      <c r="BN302" s="182"/>
      <c r="BO302" s="182"/>
      <c r="BP302" s="182"/>
      <c r="BQ302" s="182"/>
      <c r="BR302" s="182"/>
      <c r="BS302" s="182"/>
    </row>
    <row r="303" spans="1:71" s="520" customFormat="1" ht="15.9" customHeight="1" x14ac:dyDescent="0.3">
      <c r="A303" s="17" t="s">
        <v>1087</v>
      </c>
      <c r="B303" s="17" t="s">
        <v>1025</v>
      </c>
      <c r="C303" s="174">
        <v>44686</v>
      </c>
      <c r="D303" s="5" t="s">
        <v>285</v>
      </c>
      <c r="E303" s="5" t="s">
        <v>286</v>
      </c>
      <c r="F303" s="175" t="s">
        <v>1088</v>
      </c>
      <c r="G303" s="15" t="s">
        <v>260</v>
      </c>
      <c r="H303" s="176" t="s">
        <v>341</v>
      </c>
      <c r="I303" s="17" t="s">
        <v>260</v>
      </c>
      <c r="J303" s="113" t="str">
        <f>VLOOKUP($I303,'Price List, Weapons &amp; Items'!B:C,2,0)</f>
        <v>.</v>
      </c>
      <c r="K303" s="113" t="str">
        <f>IF(I303=".",I303,VLOOKUP($I303,'Price List, Weapons &amp; Items'!B:D,3,0))</f>
        <v>.</v>
      </c>
      <c r="L303" s="177">
        <f>VLOOKUP(I303,'Price List, Weapons &amp; Items'!B:E,4,0)</f>
        <v>0</v>
      </c>
      <c r="M303" s="542" t="s">
        <v>260</v>
      </c>
      <c r="N303" s="542" t="s">
        <v>260</v>
      </c>
      <c r="O303" s="543" t="str">
        <f>VLOOKUP($I303,'Price List, Weapons &amp; Items'!B:G,6,0)</f>
        <v>.</v>
      </c>
      <c r="P303" s="176" t="str">
        <f t="shared" si="57"/>
        <v>.</v>
      </c>
      <c r="Q303" s="176" t="str">
        <f t="shared" si="58"/>
        <v>.</v>
      </c>
      <c r="R303" s="176" t="str">
        <f t="shared" si="54"/>
        <v>.</v>
      </c>
      <c r="S303" s="176" t="str">
        <f>IF(AND(AD303=1,R303&lt;&gt;".")=TRUE,R303/VLOOKUP(G303,'Exchange Rates'!B:C,2,0),IF(R303=".",".",""))</f>
        <v>.</v>
      </c>
      <c r="T303" s="176" t="str">
        <f>IF(AD303=1,IF(AF303="Value is not given at all",".",IF(AF303="Value is given by the source",S303,IF(AF303="Value is calculated with prices",(IF(SUMIFS(Q:Q,A:A,A303)&gt;0,SUMIFS(Q:Q,A:A,A303),"."))/VLOOKUP("USD",'Exchange Rates'!B:C,2,0),"Error with coding"))),"")</f>
        <v>.</v>
      </c>
      <c r="U303" s="15" t="s">
        <v>261</v>
      </c>
      <c r="V303" s="300" t="s">
        <v>429</v>
      </c>
      <c r="W303" s="300" t="s">
        <v>1089</v>
      </c>
      <c r="X303" s="300" t="s">
        <v>1090</v>
      </c>
      <c r="Y303" s="175" t="s">
        <v>260</v>
      </c>
      <c r="Z303" s="15">
        <v>0</v>
      </c>
      <c r="AA303" s="180">
        <v>0</v>
      </c>
      <c r="AB303" s="184" t="s">
        <v>260</v>
      </c>
      <c r="AC303" s="544" t="str">
        <f>""</f>
        <v/>
      </c>
      <c r="AD303" s="181">
        <v>1</v>
      </c>
      <c r="AE303" s="181" t="s">
        <v>265</v>
      </c>
      <c r="AF303" s="181" t="s">
        <v>265</v>
      </c>
      <c r="AG303" s="181">
        <v>1</v>
      </c>
      <c r="AH303" s="181">
        <v>5</v>
      </c>
      <c r="AI303" s="181">
        <v>0</v>
      </c>
      <c r="AJ303" s="181">
        <f>VLOOKUP($I303,'Price List, Weapons &amp; Items'!B:F,5,0)</f>
        <v>0</v>
      </c>
      <c r="AK303" s="181">
        <f t="shared" si="59"/>
        <v>0</v>
      </c>
      <c r="AL303" s="181">
        <f t="shared" si="60"/>
        <v>0</v>
      </c>
      <c r="AM303" s="181">
        <f t="shared" si="61"/>
        <v>0</v>
      </c>
      <c r="AN303" s="180" t="str">
        <f>VLOOKUP($I303,'Price List, Weapons &amp; Items'!B:L,COLUMN('Price List, Weapons &amp; Items'!$J$11)-1,0)</f>
        <v>.</v>
      </c>
      <c r="AO303" s="180" t="str">
        <f>IF(I303=".",".",VLOOKUP($I303,'Price List, Weapons &amp; Items'!B:J,3,0))</f>
        <v>.</v>
      </c>
      <c r="AP303" s="545" t="e">
        <f t="shared" ca="1" si="55"/>
        <v>#NAME?</v>
      </c>
      <c r="AQ303" s="180" t="str">
        <f>VLOOKUP($I303,'Price List, Weapons &amp; Items'!B:L,COLUMN('Price List, Weapons &amp; Items'!$L$11)-1,0)</f>
        <v>no price, 0 count</v>
      </c>
      <c r="AR303" s="180">
        <f t="shared" si="62"/>
        <v>1</v>
      </c>
      <c r="AS303" s="180">
        <f t="shared" si="63"/>
        <v>1</v>
      </c>
      <c r="AT303" s="180">
        <f t="shared" si="56"/>
        <v>1</v>
      </c>
      <c r="AU303" s="180" t="str">
        <f t="shared" si="64"/>
        <v>.</v>
      </c>
      <c r="AV303" s="180" t="str">
        <f t="shared" si="65"/>
        <v>.</v>
      </c>
      <c r="AW303" s="180">
        <f>IFERROR(VLOOKUP(B303,'Share, Heavy Weapons to Ukraine'!B:J,COLUMN('Share, Heavy Weapons to Ukraine'!C310)-1,0),0)</f>
        <v>0</v>
      </c>
      <c r="AX303" s="180">
        <f>VLOOKUP('Bilateral Assistance, MAIN DATA'!B303,'Country Summary'!B:F,COLUMN('Country Summary'!C313)-1,FALSE)</f>
        <v>1</v>
      </c>
      <c r="AY303" s="180" t="str">
        <f>IF(AND(AD303=1,D303="Military",H303&lt;&gt;"Not given")=TRUE,IF(SUMIFS(P:P,A:A,A303)&gt;0,ABS((SUMIFS(P:P,A:A,A303)/VLOOKUP("USD",'Exchange Rates'!B:C,2,0)))/S303,"."),".")</f>
        <v>.</v>
      </c>
      <c r="AZ303" s="182" t="str">
        <f>IF(AND(AD303=1,D303="Military",H303&lt;&gt;"Not given")=TRUE,IF(SUMIFS(P:P,A:A,A303)&gt;0,IF((ABS((SUMIFS(P:P,A:A,A303)/VLOOKUP("USD",'Exchange Rates'!B:C,2,0)))/S303)&gt;1,(SUMIFS(P:P,A:A,A303)-S303)/S303,(S303-SUMIFS(P:P,A:A,A303))/SUMIFS(P:P,A:A,A303)),"."),".")</f>
        <v>.</v>
      </c>
      <c r="BA303" s="1024"/>
      <c r="BB303" s="1024"/>
      <c r="BC303" s="1024"/>
      <c r="BD303" s="1024"/>
      <c r="BE303" s="1024"/>
      <c r="BF303" s="1024"/>
      <c r="BG303" s="1024"/>
      <c r="BH303" s="1024"/>
      <c r="BI303" s="1024"/>
      <c r="BJ303" s="1024"/>
      <c r="BK303" s="1024"/>
      <c r="BL303" s="1024"/>
      <c r="BM303" s="1024"/>
      <c r="BN303" s="1024"/>
      <c r="BO303" s="1024"/>
      <c r="BP303" s="1024"/>
      <c r="BQ303" s="1024"/>
      <c r="BR303" s="1024"/>
      <c r="BS303" s="1024"/>
    </row>
    <row r="304" spans="1:71" s="520" customFormat="1" ht="15.9" customHeight="1" x14ac:dyDescent="0.3">
      <c r="A304" s="17" t="s">
        <v>1091</v>
      </c>
      <c r="B304" s="17" t="s">
        <v>1025</v>
      </c>
      <c r="C304" s="174">
        <v>44722</v>
      </c>
      <c r="D304" s="5" t="s">
        <v>285</v>
      </c>
      <c r="E304" s="5" t="s">
        <v>286</v>
      </c>
      <c r="F304" s="175" t="s">
        <v>1092</v>
      </c>
      <c r="G304" s="15" t="s">
        <v>364</v>
      </c>
      <c r="H304" s="176">
        <v>54750000</v>
      </c>
      <c r="I304" s="17" t="s">
        <v>260</v>
      </c>
      <c r="J304" s="113" t="str">
        <f>VLOOKUP($I304,'Price List, Weapons &amp; Items'!B:C,2,0)</f>
        <v>.</v>
      </c>
      <c r="K304" s="113" t="str">
        <f>IF(I304=".",I304,VLOOKUP($I304,'Price List, Weapons &amp; Items'!B:D,3,0))</f>
        <v>.</v>
      </c>
      <c r="L304" s="177">
        <f>VLOOKUP(I304,'Price List, Weapons &amp; Items'!B:E,4,0)</f>
        <v>0</v>
      </c>
      <c r="M304" s="542" t="s">
        <v>260</v>
      </c>
      <c r="N304" s="542" t="s">
        <v>260</v>
      </c>
      <c r="O304" s="543" t="str">
        <f>VLOOKUP($I304,'Price List, Weapons &amp; Items'!B:G,6,0)</f>
        <v>.</v>
      </c>
      <c r="P304" s="176" t="str">
        <f t="shared" si="57"/>
        <v>.</v>
      </c>
      <c r="Q304" s="176" t="str">
        <f t="shared" si="58"/>
        <v>.</v>
      </c>
      <c r="R304" s="176">
        <f t="shared" si="54"/>
        <v>54750000</v>
      </c>
      <c r="S304" s="176">
        <f>IF(AND(AD304=1,R304&lt;&gt;".")=TRUE,R304/VLOOKUP(G304,'Exchange Rates'!B:C,2,0),IF(R304=".",".",""))</f>
        <v>54750000</v>
      </c>
      <c r="T304" s="176">
        <f>IF(AD304=1,IF(AF304="Value is not given at all",".",IF(AF304="Value is given by the source",S304,IF(AF304="Value is calculated with prices",(IF(SUMIFS(Q:Q,A:A,A304)&gt;0,SUMIFS(Q:Q,A:A,A304),"."))/VLOOKUP("USD",'Exchange Rates'!B:C,2,0),"Error with coding"))),"")</f>
        <v>54750000</v>
      </c>
      <c r="U304" s="15" t="s">
        <v>261</v>
      </c>
      <c r="V304" s="300" t="s">
        <v>1093</v>
      </c>
      <c r="W304" s="300" t="s">
        <v>1094</v>
      </c>
      <c r="X304" s="300" t="s">
        <v>1095</v>
      </c>
      <c r="Y304" s="175" t="s">
        <v>260</v>
      </c>
      <c r="Z304" s="15">
        <v>0</v>
      </c>
      <c r="AA304" s="180">
        <v>0</v>
      </c>
      <c r="AB304" s="563" t="s">
        <v>1096</v>
      </c>
      <c r="AC304" s="544" t="str">
        <f>""</f>
        <v/>
      </c>
      <c r="AD304" s="181">
        <v>1</v>
      </c>
      <c r="AE304" s="181" t="s">
        <v>264</v>
      </c>
      <c r="AF304" s="181" t="s">
        <v>264</v>
      </c>
      <c r="AG304" s="181">
        <v>1</v>
      </c>
      <c r="AH304" s="181">
        <v>6</v>
      </c>
      <c r="AI304" s="181">
        <v>0</v>
      </c>
      <c r="AJ304" s="181">
        <f>VLOOKUP($I304,'Price List, Weapons &amp; Items'!B:F,5,0)</f>
        <v>0</v>
      </c>
      <c r="AK304" s="181">
        <f t="shared" si="59"/>
        <v>0</v>
      </c>
      <c r="AL304" s="181">
        <f t="shared" si="60"/>
        <v>0</v>
      </c>
      <c r="AM304" s="181">
        <f t="shared" si="61"/>
        <v>0</v>
      </c>
      <c r="AN304" s="180" t="str">
        <f>VLOOKUP($I304,'Price List, Weapons &amp; Items'!B:L,COLUMN('Price List, Weapons &amp; Items'!$J$11)-1,0)</f>
        <v>.</v>
      </c>
      <c r="AO304" s="180" t="str">
        <f>IF(I304=".",".",VLOOKUP($I304,'Price List, Weapons &amp; Items'!B:J,3,0))</f>
        <v>.</v>
      </c>
      <c r="AP304" s="545" t="e">
        <f t="shared" ca="1" si="55"/>
        <v>#NAME?</v>
      </c>
      <c r="AQ304" s="180" t="str">
        <f>VLOOKUP($I304,'Price List, Weapons &amp; Items'!B:L,COLUMN('Price List, Weapons &amp; Items'!$L$11)-1,0)</f>
        <v>no price, 0 count</v>
      </c>
      <c r="AR304" s="180">
        <f t="shared" si="62"/>
        <v>1</v>
      </c>
      <c r="AS304" s="180">
        <f t="shared" si="63"/>
        <v>1</v>
      </c>
      <c r="AT304" s="180">
        <f t="shared" si="56"/>
        <v>1</v>
      </c>
      <c r="AU304" s="180" t="str">
        <f t="shared" si="64"/>
        <v>.</v>
      </c>
      <c r="AV304" s="180" t="str">
        <f t="shared" si="65"/>
        <v>.</v>
      </c>
      <c r="AW304" s="180">
        <f>IFERROR(VLOOKUP(B304,'Share, Heavy Weapons to Ukraine'!B:J,COLUMN('Share, Heavy Weapons to Ukraine'!C311)-1,0),0)</f>
        <v>0</v>
      </c>
      <c r="AX304" s="180">
        <f>VLOOKUP('Bilateral Assistance, MAIN DATA'!B304,'Country Summary'!B:F,COLUMN('Country Summary'!C314)-1,FALSE)</f>
        <v>1</v>
      </c>
      <c r="AY304" s="180" t="str">
        <f>IF(AND(AD304=1,D304="Military",H304&lt;&gt;"Not given")=TRUE,IF(SUMIFS(P:P,A:A,A304)&gt;0,ABS((SUMIFS(P:P,A:A,A304)/VLOOKUP("USD",'Exchange Rates'!B:C,2,0)))/S304,"."),".")</f>
        <v>.</v>
      </c>
      <c r="AZ304" s="182" t="str">
        <f>IF(AND(AD304=1,D304="Military",H304&lt;&gt;"Not given")=TRUE,IF(SUMIFS(P:P,A:A,A304)&gt;0,IF((ABS((SUMIFS(P:P,A:A,A304)/VLOOKUP("USD",'Exchange Rates'!B:C,2,0)))/S304)&gt;1,(SUMIFS(P:P,A:A,A304)-S304)/S304,(S304-SUMIFS(P:P,A:A,A304))/SUMIFS(P:P,A:A,A304)),"."),".")</f>
        <v>.</v>
      </c>
      <c r="BA304" s="1024"/>
      <c r="BB304" s="1024"/>
      <c r="BC304" s="1024"/>
      <c r="BD304" s="1024"/>
      <c r="BE304" s="1024"/>
      <c r="BF304" s="1024"/>
      <c r="BG304" s="1024"/>
      <c r="BH304" s="1024"/>
      <c r="BI304" s="1024"/>
      <c r="BJ304" s="1024"/>
      <c r="BK304" s="1024"/>
      <c r="BL304" s="1024"/>
      <c r="BM304" s="1024"/>
      <c r="BN304" s="1024"/>
      <c r="BO304" s="1024"/>
      <c r="BP304" s="1024"/>
      <c r="BQ304" s="1024"/>
      <c r="BR304" s="1024"/>
      <c r="BS304" s="1024"/>
    </row>
    <row r="305" spans="1:71" s="520" customFormat="1" ht="15.9" customHeight="1" x14ac:dyDescent="0.3">
      <c r="A305" s="17" t="s">
        <v>1097</v>
      </c>
      <c r="B305" s="17" t="s">
        <v>1025</v>
      </c>
      <c r="C305" s="174">
        <v>44805</v>
      </c>
      <c r="D305" s="5" t="s">
        <v>285</v>
      </c>
      <c r="E305" s="5" t="s">
        <v>286</v>
      </c>
      <c r="F305" s="175" t="s">
        <v>1098</v>
      </c>
      <c r="G305" s="15" t="s">
        <v>364</v>
      </c>
      <c r="H305" s="176">
        <v>8250000</v>
      </c>
      <c r="I305" s="17" t="s">
        <v>260</v>
      </c>
      <c r="J305" s="113" t="str">
        <f>VLOOKUP($I305,'Price List, Weapons &amp; Items'!B:C,2,0)</f>
        <v>.</v>
      </c>
      <c r="K305" s="113" t="str">
        <f>IF(I305=".",I305,VLOOKUP($I305,'Price List, Weapons &amp; Items'!B:D,3,0))</f>
        <v>.</v>
      </c>
      <c r="L305" s="177">
        <f>VLOOKUP(I305,'Price List, Weapons &amp; Items'!B:E,4,0)</f>
        <v>0</v>
      </c>
      <c r="M305" s="542" t="s">
        <v>260</v>
      </c>
      <c r="N305" s="542" t="s">
        <v>260</v>
      </c>
      <c r="O305" s="543" t="str">
        <f>VLOOKUP($I305,'Price List, Weapons &amp; Items'!B:G,6,0)</f>
        <v>.</v>
      </c>
      <c r="P305" s="176" t="str">
        <f t="shared" si="57"/>
        <v>.</v>
      </c>
      <c r="Q305" s="176" t="str">
        <f t="shared" si="58"/>
        <v>.</v>
      </c>
      <c r="R305" s="176">
        <f t="shared" si="54"/>
        <v>8250000</v>
      </c>
      <c r="S305" s="176">
        <f>IF(AND(AD305=1,R305&lt;&gt;".")=TRUE,R305/VLOOKUP(G305,'Exchange Rates'!B:C,2,0),IF(R305=".",".",""))</f>
        <v>8250000</v>
      </c>
      <c r="T305" s="176">
        <f>IF(AD305=1,IF(AF305="Value is not given at all",".",IF(AF305="Value is given by the source",S305,IF(AF305="Value is calculated with prices",(IF(SUMIFS(Q:Q,A:A,A305)&gt;0,SUMIFS(Q:Q,A:A,A305),"."))/VLOOKUP("USD",'Exchange Rates'!B:C,2,0),"Error with coding"))),"")</f>
        <v>8250000</v>
      </c>
      <c r="U305" s="15" t="s">
        <v>261</v>
      </c>
      <c r="V305" s="300" t="s">
        <v>1099</v>
      </c>
      <c r="W305" s="300" t="s">
        <v>1100</v>
      </c>
      <c r="X305" s="300" t="s">
        <v>1101</v>
      </c>
      <c r="Y305" s="175" t="s">
        <v>260</v>
      </c>
      <c r="Z305" s="15">
        <v>0</v>
      </c>
      <c r="AA305" s="180">
        <v>0</v>
      </c>
      <c r="AB305" s="563" t="s">
        <v>1096</v>
      </c>
      <c r="AC305" s="544" t="str">
        <f>""</f>
        <v/>
      </c>
      <c r="AD305" s="181">
        <v>1</v>
      </c>
      <c r="AE305" s="181" t="s">
        <v>264</v>
      </c>
      <c r="AF305" s="181" t="s">
        <v>264</v>
      </c>
      <c r="AG305" s="181">
        <v>1</v>
      </c>
      <c r="AH305" s="181">
        <v>9</v>
      </c>
      <c r="AI305" s="181">
        <v>0</v>
      </c>
      <c r="AJ305" s="181">
        <f>VLOOKUP($I305,'Price List, Weapons &amp; Items'!B:F,5,0)</f>
        <v>0</v>
      </c>
      <c r="AK305" s="181">
        <f t="shared" si="59"/>
        <v>0</v>
      </c>
      <c r="AL305" s="181">
        <f t="shared" si="60"/>
        <v>0</v>
      </c>
      <c r="AM305" s="181">
        <f t="shared" si="61"/>
        <v>0</v>
      </c>
      <c r="AN305" s="180" t="str">
        <f>VLOOKUP($I305,'Price List, Weapons &amp; Items'!B:L,COLUMN('Price List, Weapons &amp; Items'!$J$11)-1,0)</f>
        <v>.</v>
      </c>
      <c r="AO305" s="180" t="str">
        <f>IF(I305=".",".",VLOOKUP($I305,'Price List, Weapons &amp; Items'!B:J,3,0))</f>
        <v>.</v>
      </c>
      <c r="AP305" s="545" t="e">
        <f t="shared" ca="1" si="55"/>
        <v>#NAME?</v>
      </c>
      <c r="AQ305" s="180" t="str">
        <f>VLOOKUP($I305,'Price List, Weapons &amp; Items'!B:L,COLUMN('Price List, Weapons &amp; Items'!$L$11)-1,0)</f>
        <v>no price, 0 count</v>
      </c>
      <c r="AR305" s="180">
        <f t="shared" si="62"/>
        <v>1</v>
      </c>
      <c r="AS305" s="180">
        <f t="shared" si="63"/>
        <v>1</v>
      </c>
      <c r="AT305" s="180">
        <f t="shared" si="56"/>
        <v>1</v>
      </c>
      <c r="AU305" s="180" t="str">
        <f t="shared" si="64"/>
        <v>.</v>
      </c>
      <c r="AV305" s="180" t="str">
        <f t="shared" si="65"/>
        <v>.</v>
      </c>
      <c r="AW305" s="180">
        <f>IFERROR(VLOOKUP(B305,'Share, Heavy Weapons to Ukraine'!B:J,COLUMN('Share, Heavy Weapons to Ukraine'!C312)-1,0),0)</f>
        <v>0</v>
      </c>
      <c r="AX305" s="180">
        <f>VLOOKUP('Bilateral Assistance, MAIN DATA'!B305,'Country Summary'!B:F,COLUMN('Country Summary'!C315)-1,FALSE)</f>
        <v>1</v>
      </c>
      <c r="AY305" s="180" t="str">
        <f>IF(AND(AD305=1,D305="Military",H305&lt;&gt;"Not given")=TRUE,IF(SUMIFS(P:P,A:A,A305)&gt;0,ABS((SUMIFS(P:P,A:A,A305)/VLOOKUP("USD",'Exchange Rates'!B:C,2,0)))/S305,"."),".")</f>
        <v>.</v>
      </c>
      <c r="AZ305" s="182" t="str">
        <f>IF(AND(AD305=1,D305="Military",H305&lt;&gt;"Not given")=TRUE,IF(SUMIFS(P:P,A:A,A305)&gt;0,IF((ABS((SUMIFS(P:P,A:A,A305)/VLOOKUP("USD",'Exchange Rates'!B:C,2,0)))/S305)&gt;1,(SUMIFS(P:P,A:A,A305)-S305)/S305,(S305-SUMIFS(P:P,A:A,A305))/SUMIFS(P:P,A:A,A305)),"."),".")</f>
        <v>.</v>
      </c>
      <c r="BA305" s="1024"/>
      <c r="BB305" s="1024"/>
      <c r="BC305" s="1024"/>
      <c r="BD305" s="1024"/>
      <c r="BE305" s="1024"/>
      <c r="BF305" s="1024"/>
      <c r="BG305" s="1024"/>
      <c r="BH305" s="1024"/>
      <c r="BI305" s="1024"/>
      <c r="BJ305" s="1024"/>
      <c r="BK305" s="1024"/>
      <c r="BL305" s="1024"/>
      <c r="BM305" s="1024"/>
      <c r="BN305" s="1024"/>
      <c r="BO305" s="1024"/>
      <c r="BP305" s="1024"/>
      <c r="BQ305" s="1024"/>
      <c r="BR305" s="1024"/>
      <c r="BS305" s="1024"/>
    </row>
    <row r="306" spans="1:71" s="520" customFormat="1" ht="15.9" customHeight="1" x14ac:dyDescent="0.3">
      <c r="A306" s="17" t="s">
        <v>1102</v>
      </c>
      <c r="B306" s="17" t="s">
        <v>1025</v>
      </c>
      <c r="C306" s="174">
        <v>44840</v>
      </c>
      <c r="D306" s="5" t="s">
        <v>285</v>
      </c>
      <c r="E306" s="5" t="s">
        <v>286</v>
      </c>
      <c r="F306" s="175" t="s">
        <v>1103</v>
      </c>
      <c r="G306" s="15" t="s">
        <v>260</v>
      </c>
      <c r="H306" s="176" t="s">
        <v>341</v>
      </c>
      <c r="I306" s="17" t="s">
        <v>260</v>
      </c>
      <c r="J306" s="113" t="str">
        <f>VLOOKUP($I306,'Price List, Weapons &amp; Items'!B:C,2,0)</f>
        <v>.</v>
      </c>
      <c r="K306" s="113" t="str">
        <f>IF(I306=".",I306,VLOOKUP($I306,'Price List, Weapons &amp; Items'!B:D,3,0))</f>
        <v>.</v>
      </c>
      <c r="L306" s="177">
        <f>VLOOKUP(I306,'Price List, Weapons &amp; Items'!B:E,4,0)</f>
        <v>0</v>
      </c>
      <c r="M306" s="542" t="s">
        <v>260</v>
      </c>
      <c r="N306" s="542" t="s">
        <v>260</v>
      </c>
      <c r="O306" s="543" t="str">
        <f>VLOOKUP($I306,'Price List, Weapons &amp; Items'!B:G,6,0)</f>
        <v>.</v>
      </c>
      <c r="P306" s="176" t="str">
        <f t="shared" si="57"/>
        <v>.</v>
      </c>
      <c r="Q306" s="176" t="str">
        <f t="shared" si="58"/>
        <v>.</v>
      </c>
      <c r="R306" s="176" t="str">
        <f t="shared" si="54"/>
        <v>.</v>
      </c>
      <c r="S306" s="176" t="str">
        <f>IF(AND(AD306=1,R306&lt;&gt;".")=TRUE,R306/VLOOKUP(G306,'Exchange Rates'!B:C,2,0),IF(R306=".",".",""))</f>
        <v>.</v>
      </c>
      <c r="T306" s="176" t="str">
        <f>IF(AD306=1,IF(AF306="Value is not given at all",".",IF(AF306="Value is given by the source",S306,IF(AF306="Value is calculated with prices",(IF(SUMIFS(Q:Q,A:A,A306)&gt;0,SUMIFS(Q:Q,A:A,A306),"."))/VLOOKUP("USD",'Exchange Rates'!B:C,2,0),"Error with coding"))),"")</f>
        <v>.</v>
      </c>
      <c r="U306" s="15" t="s">
        <v>415</v>
      </c>
      <c r="V306" s="305" t="s">
        <v>1104</v>
      </c>
      <c r="W306" s="300" t="s">
        <v>1105</v>
      </c>
      <c r="X306" s="144" t="s">
        <v>260</v>
      </c>
      <c r="Y306" s="668" t="s">
        <v>260</v>
      </c>
      <c r="Z306" s="15">
        <v>0</v>
      </c>
      <c r="AA306" s="180">
        <v>0</v>
      </c>
      <c r="AB306" s="669" t="s">
        <v>260</v>
      </c>
      <c r="AC306" s="544" t="str">
        <f>""</f>
        <v/>
      </c>
      <c r="AD306" s="181">
        <v>1</v>
      </c>
      <c r="AE306" s="181" t="s">
        <v>265</v>
      </c>
      <c r="AF306" s="181" t="s">
        <v>265</v>
      </c>
      <c r="AG306" s="181">
        <v>1</v>
      </c>
      <c r="AH306" s="181">
        <v>10</v>
      </c>
      <c r="AI306" s="181">
        <v>0</v>
      </c>
      <c r="AJ306" s="181">
        <f>VLOOKUP($I306,'Price List, Weapons &amp; Items'!B:F,5,0)</f>
        <v>0</v>
      </c>
      <c r="AK306" s="181">
        <f t="shared" si="59"/>
        <v>0</v>
      </c>
      <c r="AL306" s="181">
        <f t="shared" si="60"/>
        <v>0</v>
      </c>
      <c r="AM306" s="181">
        <f t="shared" si="61"/>
        <v>0</v>
      </c>
      <c r="AN306" s="180" t="str">
        <f>VLOOKUP($I306,'Price List, Weapons &amp; Items'!B:L,COLUMN('Price List, Weapons &amp; Items'!$J$11)-1,0)</f>
        <v>.</v>
      </c>
      <c r="AO306" s="180" t="str">
        <f>IF(I306=".",".",VLOOKUP($I306,'Price List, Weapons &amp; Items'!B:J,3,0))</f>
        <v>.</v>
      </c>
      <c r="AP306" s="545" t="e">
        <f t="shared" ca="1" si="55"/>
        <v>#NAME?</v>
      </c>
      <c r="AQ306" s="180" t="str">
        <f>VLOOKUP($I306,'Price List, Weapons &amp; Items'!B:L,COLUMN('Price List, Weapons &amp; Items'!$L$11)-1,0)</f>
        <v>no price, 0 count</v>
      </c>
      <c r="AR306" s="180">
        <f t="shared" si="62"/>
        <v>0</v>
      </c>
      <c r="AS306" s="180">
        <f t="shared" si="63"/>
        <v>1</v>
      </c>
      <c r="AT306" s="180">
        <f t="shared" si="56"/>
        <v>1</v>
      </c>
      <c r="AU306" s="180" t="str">
        <f t="shared" si="64"/>
        <v>.</v>
      </c>
      <c r="AV306" s="180" t="str">
        <f t="shared" si="65"/>
        <v>.</v>
      </c>
      <c r="AW306" s="180">
        <f>IFERROR(VLOOKUP(B306,'Share, Heavy Weapons to Ukraine'!B:J,COLUMN('Share, Heavy Weapons to Ukraine'!C313)-1,0),0)</f>
        <v>0</v>
      </c>
      <c r="AX306" s="180">
        <f>VLOOKUP('Bilateral Assistance, MAIN DATA'!B306,'Country Summary'!B:F,COLUMN('Country Summary'!C316)-1,FALSE)</f>
        <v>1</v>
      </c>
      <c r="AY306" s="180" t="str">
        <f>IF(AND(AD306=1,D306="Military",H306&lt;&gt;"Not given")=TRUE,IF(SUMIFS(P:P,A:A,A306)&gt;0,ABS((SUMIFS(P:P,A:A,A306)/VLOOKUP("USD",'Exchange Rates'!B:C,2,0)))/S306,"."),".")</f>
        <v>.</v>
      </c>
      <c r="AZ306" s="182" t="str">
        <f>IF(AND(AD306=1,D306="Military",H306&lt;&gt;"Not given")=TRUE,IF(SUMIFS(P:P,A:A,A306)&gt;0,IF((ABS((SUMIFS(P:P,A:A,A306)/VLOOKUP("USD",'Exchange Rates'!B:C,2,0)))/S306)&gt;1,(SUMIFS(P:P,A:A,A306)-S306)/S306,(S306-SUMIFS(P:P,A:A,A306))/SUMIFS(P:P,A:A,A306)),"."),".")</f>
        <v>.</v>
      </c>
      <c r="BA306" s="1024"/>
      <c r="BB306" s="1024"/>
      <c r="BC306" s="1024"/>
      <c r="BD306" s="1024"/>
      <c r="BE306" s="1024"/>
      <c r="BF306" s="1024"/>
      <c r="BG306" s="1024"/>
      <c r="BH306" s="1024"/>
      <c r="BI306" s="1024"/>
      <c r="BJ306" s="1024"/>
      <c r="BK306" s="1024"/>
      <c r="BL306" s="1024"/>
      <c r="BM306" s="1024"/>
      <c r="BN306" s="1024"/>
      <c r="BO306" s="1024"/>
      <c r="BP306" s="1024"/>
      <c r="BQ306" s="1024"/>
      <c r="BR306" s="1024"/>
      <c r="BS306" s="1024"/>
    </row>
    <row r="307" spans="1:71" s="520" customFormat="1" ht="15.9" customHeight="1" x14ac:dyDescent="0.3">
      <c r="A307" s="17" t="s">
        <v>1106</v>
      </c>
      <c r="B307" s="17" t="s">
        <v>1025</v>
      </c>
      <c r="C307" s="174">
        <v>44861</v>
      </c>
      <c r="D307" s="5" t="s">
        <v>285</v>
      </c>
      <c r="E307" s="5" t="s">
        <v>257</v>
      </c>
      <c r="F307" s="175" t="s">
        <v>1107</v>
      </c>
      <c r="G307" s="15" t="s">
        <v>364</v>
      </c>
      <c r="H307" s="176">
        <v>30000000</v>
      </c>
      <c r="I307" s="17" t="s">
        <v>260</v>
      </c>
      <c r="J307" s="113" t="str">
        <f>VLOOKUP($I307,'Price List, Weapons &amp; Items'!B:C,2,0)</f>
        <v>.</v>
      </c>
      <c r="K307" s="113" t="str">
        <f>IF(I307=".",I307,VLOOKUP($I307,'Price List, Weapons &amp; Items'!B:D,3,0))</f>
        <v>.</v>
      </c>
      <c r="L307" s="177">
        <f>VLOOKUP(I307,'Price List, Weapons &amp; Items'!B:E,4,0)</f>
        <v>0</v>
      </c>
      <c r="M307" s="542" t="s">
        <v>260</v>
      </c>
      <c r="N307" s="542" t="s">
        <v>260</v>
      </c>
      <c r="O307" s="543" t="str">
        <f>VLOOKUP($I307,'Price List, Weapons &amp; Items'!B:G,6,0)</f>
        <v>.</v>
      </c>
      <c r="P307" s="176" t="str">
        <f t="shared" si="57"/>
        <v>.</v>
      </c>
      <c r="Q307" s="176" t="str">
        <f t="shared" si="58"/>
        <v>.</v>
      </c>
      <c r="R307" s="176">
        <f t="shared" si="54"/>
        <v>30000000</v>
      </c>
      <c r="S307" s="176">
        <f>IF(AND(AD307=1,R307&lt;&gt;".")=TRUE,R307/VLOOKUP(G307,'Exchange Rates'!B:C,2,0),IF(R307=".",".",""))</f>
        <v>30000000</v>
      </c>
      <c r="T307" s="176" t="str">
        <f>IF(AD307=1,IF(AF307="Value is not given at all",".",IF(AF307="Value is given by the source",S307,IF(AF307="Value is calculated with prices",(IF(SUMIFS(Q:Q,A:A,A307)&gt;0,SUMIFS(Q:Q,A:A,A307),"."))/VLOOKUP("USD",'Exchange Rates'!B:C,2,0),"Error with coding"))),"")</f>
        <v>.</v>
      </c>
      <c r="U307" s="15" t="s">
        <v>261</v>
      </c>
      <c r="V307" s="305" t="s">
        <v>1108</v>
      </c>
      <c r="W307" s="300"/>
      <c r="X307" s="144" t="s">
        <v>260</v>
      </c>
      <c r="Y307" s="668" t="s">
        <v>260</v>
      </c>
      <c r="Z307" s="15">
        <v>0</v>
      </c>
      <c r="AA307" s="180">
        <v>0</v>
      </c>
      <c r="AB307" s="669" t="s">
        <v>260</v>
      </c>
      <c r="AC307" s="544" t="str">
        <f>""</f>
        <v/>
      </c>
      <c r="AD307" s="181">
        <v>1</v>
      </c>
      <c r="AE307" s="181" t="s">
        <v>264</v>
      </c>
      <c r="AF307" s="181" t="s">
        <v>265</v>
      </c>
      <c r="AG307" s="181">
        <v>1</v>
      </c>
      <c r="AH307" s="181">
        <v>10</v>
      </c>
      <c r="AI307" s="181">
        <v>0</v>
      </c>
      <c r="AJ307" s="181">
        <f>VLOOKUP($I307,'Price List, Weapons &amp; Items'!B:F,5,0)</f>
        <v>0</v>
      </c>
      <c r="AK307" s="181">
        <f t="shared" si="59"/>
        <v>0</v>
      </c>
      <c r="AL307" s="181">
        <f t="shared" si="60"/>
        <v>0</v>
      </c>
      <c r="AM307" s="181">
        <f t="shared" si="61"/>
        <v>0</v>
      </c>
      <c r="AN307" s="180" t="str">
        <f>VLOOKUP($I307,'Price List, Weapons &amp; Items'!B:L,COLUMN('Price List, Weapons &amp; Items'!$J$11)-1,0)</f>
        <v>.</v>
      </c>
      <c r="AO307" s="180" t="str">
        <f>IF(I307=".",".",VLOOKUP($I307,'Price List, Weapons &amp; Items'!B:J,3,0))</f>
        <v>.</v>
      </c>
      <c r="AP307" s="545" t="e">
        <f t="shared" ca="1" si="55"/>
        <v>#NAME?</v>
      </c>
      <c r="AQ307" s="180" t="str">
        <f>VLOOKUP($I307,'Price List, Weapons &amp; Items'!B:L,COLUMN('Price List, Weapons &amp; Items'!$L$11)-1,0)</f>
        <v>no price, 0 count</v>
      </c>
      <c r="AR307" s="180">
        <f t="shared" si="62"/>
        <v>1</v>
      </c>
      <c r="AS307" s="180">
        <f t="shared" si="63"/>
        <v>0</v>
      </c>
      <c r="AT307" s="180">
        <f t="shared" si="56"/>
        <v>1</v>
      </c>
      <c r="AU307" s="180" t="str">
        <f t="shared" si="64"/>
        <v>.</v>
      </c>
      <c r="AV307" s="180" t="str">
        <f t="shared" si="65"/>
        <v>.</v>
      </c>
      <c r="AW307" s="180">
        <f>IFERROR(VLOOKUP(B307,'Share, Heavy Weapons to Ukraine'!B:J,COLUMN('Share, Heavy Weapons to Ukraine'!C314)-1,0),0)</f>
        <v>0</v>
      </c>
      <c r="AX307" s="180">
        <f>VLOOKUP('Bilateral Assistance, MAIN DATA'!B307,'Country Summary'!B:F,COLUMN('Country Summary'!C317)-1,FALSE)</f>
        <v>1</v>
      </c>
      <c r="AY307" s="180" t="str">
        <f>IF(AND(AD307=1,D307="Military",H307&lt;&gt;"Not given")=TRUE,IF(SUMIFS(P:P,A:A,A307)&gt;0,ABS((SUMIFS(P:P,A:A,A307)/VLOOKUP("USD",'Exchange Rates'!B:C,2,0)))/S307,"."),".")</f>
        <v>.</v>
      </c>
      <c r="AZ307" s="182" t="str">
        <f>IF(AND(AD307=1,D307="Military",H307&lt;&gt;"Not given")=TRUE,IF(SUMIFS(P:P,A:A,A307)&gt;0,IF((ABS((SUMIFS(P:P,A:A,A307)/VLOOKUP("USD",'Exchange Rates'!B:C,2,0)))/S307)&gt;1,(SUMIFS(P:P,A:A,A307)-S307)/S307,(S307-SUMIFS(P:P,A:A,A307))/SUMIFS(P:P,A:A,A307)),"."),".")</f>
        <v>.</v>
      </c>
      <c r="BA307" s="1024"/>
      <c r="BB307" s="1024"/>
      <c r="BC307" s="1024"/>
      <c r="BD307" s="1024"/>
      <c r="BE307" s="1024"/>
      <c r="BF307" s="1024"/>
      <c r="BG307" s="1024"/>
      <c r="BH307" s="1024"/>
      <c r="BI307" s="1024"/>
      <c r="BJ307" s="1024"/>
      <c r="BK307" s="1024"/>
      <c r="BL307" s="1024"/>
      <c r="BM307" s="1024"/>
      <c r="BN307" s="1024"/>
      <c r="BO307" s="1024"/>
      <c r="BP307" s="1024"/>
      <c r="BQ307" s="1024"/>
      <c r="BR307" s="1024"/>
      <c r="BS307" s="1024"/>
    </row>
    <row r="308" spans="1:71" s="520" customFormat="1" ht="15.9" customHeight="1" x14ac:dyDescent="0.3">
      <c r="A308" s="17" t="s">
        <v>1109</v>
      </c>
      <c r="B308" s="17" t="s">
        <v>1025</v>
      </c>
      <c r="C308" s="174">
        <v>44882</v>
      </c>
      <c r="D308" s="5" t="s">
        <v>285</v>
      </c>
      <c r="E308" s="5" t="s">
        <v>286</v>
      </c>
      <c r="F308" s="175" t="s">
        <v>1110</v>
      </c>
      <c r="G308" s="15" t="s">
        <v>364</v>
      </c>
      <c r="H308" s="176">
        <v>55600000</v>
      </c>
      <c r="I308" s="17" t="s">
        <v>260</v>
      </c>
      <c r="J308" s="113" t="str">
        <f>VLOOKUP($I308,'Price List, Weapons &amp; Items'!B:C,2,0)</f>
        <v>.</v>
      </c>
      <c r="K308" s="113" t="str">
        <f>IF(I308=".",I308,VLOOKUP($I308,'Price List, Weapons &amp; Items'!B:D,3,0))</f>
        <v>.</v>
      </c>
      <c r="L308" s="177">
        <f>VLOOKUP(I308,'Price List, Weapons &amp; Items'!B:E,4,0)</f>
        <v>0</v>
      </c>
      <c r="M308" s="542" t="s">
        <v>260</v>
      </c>
      <c r="N308" s="542" t="s">
        <v>260</v>
      </c>
      <c r="O308" s="543" t="str">
        <f>VLOOKUP($I308,'Price List, Weapons &amp; Items'!B:G,6,0)</f>
        <v>.</v>
      </c>
      <c r="P308" s="176" t="str">
        <f t="shared" si="57"/>
        <v>.</v>
      </c>
      <c r="Q308" s="176" t="str">
        <f t="shared" si="58"/>
        <v>.</v>
      </c>
      <c r="R308" s="176">
        <f t="shared" si="54"/>
        <v>55600000</v>
      </c>
      <c r="S308" s="176">
        <f>IF(AND(AD308=1,R308&lt;&gt;".")=TRUE,R308/VLOOKUP(G308,'Exchange Rates'!B:C,2,0),IF(R308=".",".",""))</f>
        <v>55600000</v>
      </c>
      <c r="T308" s="176">
        <f>IF(AD308=1,IF(AF308="Value is not given at all",".",IF(AF308="Value is given by the source",S308,IF(AF308="Value is calculated with prices",(IF(SUMIFS(Q:Q,A:A,A308)&gt;0,SUMIFS(Q:Q,A:A,A308),"."))/VLOOKUP("USD",'Exchange Rates'!B:C,2,0),"Error with coding"))),"")</f>
        <v>55600000</v>
      </c>
      <c r="U308" s="15" t="s">
        <v>261</v>
      </c>
      <c r="V308" s="305" t="s">
        <v>1111</v>
      </c>
      <c r="W308" s="305" t="s">
        <v>1112</v>
      </c>
      <c r="X308" s="305" t="s">
        <v>1113</v>
      </c>
      <c r="Y308" s="668" t="s">
        <v>260</v>
      </c>
      <c r="Z308" s="15">
        <v>0</v>
      </c>
      <c r="AA308" s="180">
        <v>0</v>
      </c>
      <c r="AB308" s="550" t="s">
        <v>1096</v>
      </c>
      <c r="AC308" s="544" t="str">
        <f>""</f>
        <v/>
      </c>
      <c r="AD308" s="181">
        <v>1</v>
      </c>
      <c r="AE308" s="181" t="s">
        <v>264</v>
      </c>
      <c r="AF308" s="181" t="s">
        <v>264</v>
      </c>
      <c r="AG308" s="181">
        <v>1</v>
      </c>
      <c r="AH308" s="181">
        <v>11</v>
      </c>
      <c r="AI308" s="181">
        <v>0</v>
      </c>
      <c r="AJ308" s="181">
        <f>VLOOKUP($I308,'Price List, Weapons &amp; Items'!B:F,5,0)</f>
        <v>0</v>
      </c>
      <c r="AK308" s="181">
        <f t="shared" si="59"/>
        <v>0</v>
      </c>
      <c r="AL308" s="181">
        <f t="shared" si="60"/>
        <v>0</v>
      </c>
      <c r="AM308" s="181">
        <f t="shared" si="61"/>
        <v>0</v>
      </c>
      <c r="AN308" s="180" t="str">
        <f>VLOOKUP($I308,'Price List, Weapons &amp; Items'!B:L,COLUMN('Price List, Weapons &amp; Items'!$J$11)-1,0)</f>
        <v>.</v>
      </c>
      <c r="AO308" s="180" t="str">
        <f>IF(I308=".",".",VLOOKUP($I308,'Price List, Weapons &amp; Items'!B:J,3,0))</f>
        <v>.</v>
      </c>
      <c r="AP308" s="545" t="e">
        <f t="shared" ca="1" si="55"/>
        <v>#NAME?</v>
      </c>
      <c r="AQ308" s="180" t="str">
        <f>VLOOKUP($I308,'Price List, Weapons &amp; Items'!B:L,COLUMN('Price List, Weapons &amp; Items'!$L$11)-1,0)</f>
        <v>no price, 0 count</v>
      </c>
      <c r="AR308" s="180">
        <f t="shared" si="62"/>
        <v>1</v>
      </c>
      <c r="AS308" s="180">
        <f t="shared" si="63"/>
        <v>1</v>
      </c>
      <c r="AT308" s="180">
        <f t="shared" si="56"/>
        <v>1</v>
      </c>
      <c r="AU308" s="180" t="str">
        <f t="shared" si="64"/>
        <v>.</v>
      </c>
      <c r="AV308" s="180" t="str">
        <f t="shared" si="65"/>
        <v>.</v>
      </c>
      <c r="AW308" s="180">
        <f>IFERROR(VLOOKUP(B308,'Share, Heavy Weapons to Ukraine'!B:J,COLUMN('Share, Heavy Weapons to Ukraine'!C315)-1,0),0)</f>
        <v>0</v>
      </c>
      <c r="AX308" s="180">
        <f>VLOOKUP('Bilateral Assistance, MAIN DATA'!B308,'Country Summary'!B:F,COLUMN('Country Summary'!C318)-1,FALSE)</f>
        <v>1</v>
      </c>
      <c r="AY308" s="180" t="str">
        <f>IF(AND(AD308=1,D308="Military",H308&lt;&gt;"Not given")=TRUE,IF(SUMIFS(P:P,A:A,A308)&gt;0,ABS((SUMIFS(P:P,A:A,A308)/VLOOKUP("USD",'Exchange Rates'!B:C,2,0)))/S308,"."),".")</f>
        <v>.</v>
      </c>
      <c r="AZ308" s="182" t="str">
        <f>IF(AND(AD308=1,D308="Military",H308&lt;&gt;"Not given")=TRUE,IF(SUMIFS(P:P,A:A,A308)&gt;0,IF((ABS((SUMIFS(P:P,A:A,A308)/VLOOKUP("USD",'Exchange Rates'!B:C,2,0)))/S308)&gt;1,(SUMIFS(P:P,A:A,A308)-S308)/S308,(S308-SUMIFS(P:P,A:A,A308))/SUMIFS(P:P,A:A,A308)),"."),".")</f>
        <v>.</v>
      </c>
      <c r="BA308" s="1024"/>
      <c r="BB308" s="1024"/>
      <c r="BC308" s="1024"/>
      <c r="BD308" s="1024"/>
      <c r="BE308" s="1024"/>
      <c r="BF308" s="1024"/>
      <c r="BG308" s="1024"/>
      <c r="BH308" s="1024"/>
      <c r="BI308" s="1024"/>
      <c r="BJ308" s="1024"/>
      <c r="BK308" s="1024"/>
      <c r="BL308" s="1024"/>
      <c r="BM308" s="1024"/>
      <c r="BN308" s="1024"/>
      <c r="BO308" s="1024"/>
      <c r="BP308" s="1024"/>
      <c r="BQ308" s="1024"/>
      <c r="BR308" s="1024"/>
      <c r="BS308" s="1024"/>
    </row>
    <row r="309" spans="1:71" s="520" customFormat="1" ht="15.9" customHeight="1" x14ac:dyDescent="0.3">
      <c r="A309" s="19" t="s">
        <v>1114</v>
      </c>
      <c r="B309" s="19" t="s">
        <v>1025</v>
      </c>
      <c r="C309" s="555">
        <v>44917</v>
      </c>
      <c r="D309" s="19" t="s">
        <v>285</v>
      </c>
      <c r="E309" s="19" t="s">
        <v>286</v>
      </c>
      <c r="F309" s="19" t="s">
        <v>1115</v>
      </c>
      <c r="G309" s="199" t="s">
        <v>364</v>
      </c>
      <c r="H309" s="70">
        <v>28800000</v>
      </c>
      <c r="I309" s="19" t="s">
        <v>260</v>
      </c>
      <c r="J309" s="113" t="str">
        <f>VLOOKUP($I309,'Price List, Weapons &amp; Items'!B:C,2,0)</f>
        <v>.</v>
      </c>
      <c r="K309" s="113" t="str">
        <f>IF(I309=".",I309,VLOOKUP($I309,'Price List, Weapons &amp; Items'!B:D,3,0))</f>
        <v>.</v>
      </c>
      <c r="L309" s="177">
        <f>VLOOKUP(I309,'Price List, Weapons &amp; Items'!B:E,4,0)</f>
        <v>0</v>
      </c>
      <c r="M309" s="247" t="s">
        <v>260</v>
      </c>
      <c r="N309" s="247" t="s">
        <v>260</v>
      </c>
      <c r="O309" s="543" t="str">
        <f>VLOOKUP($I309,'Price List, Weapons &amp; Items'!B:G,6,0)</f>
        <v>.</v>
      </c>
      <c r="P309" s="176" t="str">
        <f t="shared" si="57"/>
        <v>.</v>
      </c>
      <c r="Q309" s="176" t="str">
        <f t="shared" si="58"/>
        <v>.</v>
      </c>
      <c r="R309" s="176">
        <f t="shared" si="54"/>
        <v>28800000</v>
      </c>
      <c r="S309" s="176">
        <f>IF(AND(AD309=1,R309&lt;&gt;".")=TRUE,R309/VLOOKUP(G309,'Exchange Rates'!B:C,2,0),IF(R309=".",".",""))</f>
        <v>28800000</v>
      </c>
      <c r="T309" s="176">
        <f>IF(AD309=1,IF(AF309="Value is not given at all",".",IF(AF309="Value is given by the source",S309,IF(AF309="Value is calculated with prices",(IF(SUMIFS(Q:Q,A:A,A309)&gt;0,SUMIFS(Q:Q,A:A,A309),"."))/VLOOKUP("USD",'Exchange Rates'!B:C,2,0),"Error with coding"))),"")</f>
        <v>28800000</v>
      </c>
      <c r="U309" s="199" t="s">
        <v>261</v>
      </c>
      <c r="V309" s="304" t="s">
        <v>1116</v>
      </c>
      <c r="W309" s="304" t="s">
        <v>1117</v>
      </c>
      <c r="X309" s="552"/>
      <c r="Y309" s="663" t="s">
        <v>260</v>
      </c>
      <c r="Z309" s="199">
        <v>0</v>
      </c>
      <c r="AA309" s="199">
        <v>1</v>
      </c>
      <c r="AB309" s="304" t="s">
        <v>1117</v>
      </c>
      <c r="AC309" s="544" t="str">
        <f>""</f>
        <v/>
      </c>
      <c r="AD309" s="199">
        <v>1</v>
      </c>
      <c r="AE309" s="199" t="s">
        <v>264</v>
      </c>
      <c r="AF309" s="199" t="s">
        <v>264</v>
      </c>
      <c r="AG309" s="199">
        <v>1</v>
      </c>
      <c r="AH309" s="199">
        <v>12</v>
      </c>
      <c r="AI309" s="199">
        <v>0</v>
      </c>
      <c r="AJ309" s="181">
        <f>VLOOKUP($I309,'Price List, Weapons &amp; Items'!B:F,5,0)</f>
        <v>0</v>
      </c>
      <c r="AK309" s="181">
        <f t="shared" si="59"/>
        <v>0</v>
      </c>
      <c r="AL309" s="181">
        <f t="shared" si="60"/>
        <v>0</v>
      </c>
      <c r="AM309" s="181">
        <f t="shared" si="61"/>
        <v>0</v>
      </c>
      <c r="AN309" s="180" t="str">
        <f>VLOOKUP($I309,'Price List, Weapons &amp; Items'!B:L,COLUMN('Price List, Weapons &amp; Items'!$J$11)-1,0)</f>
        <v>.</v>
      </c>
      <c r="AO309" s="180" t="str">
        <f>IF(I309=".",".",VLOOKUP($I309,'Price List, Weapons &amp; Items'!B:J,3,0))</f>
        <v>.</v>
      </c>
      <c r="AP309" s="545" t="e">
        <f t="shared" ca="1" si="55"/>
        <v>#NAME?</v>
      </c>
      <c r="AQ309" s="180" t="str">
        <f>VLOOKUP($I309,'Price List, Weapons &amp; Items'!B:L,COLUMN('Price List, Weapons &amp; Items'!$L$11)-1,0)</f>
        <v>no price, 0 count</v>
      </c>
      <c r="AR309" s="180">
        <f t="shared" si="62"/>
        <v>1</v>
      </c>
      <c r="AS309" s="180">
        <f t="shared" si="63"/>
        <v>1</v>
      </c>
      <c r="AT309" s="180">
        <f t="shared" si="56"/>
        <v>1</v>
      </c>
      <c r="AU309" s="180" t="str">
        <f t="shared" si="64"/>
        <v>.</v>
      </c>
      <c r="AV309" s="180" t="str">
        <f t="shared" si="65"/>
        <v>.</v>
      </c>
      <c r="AW309" s="180">
        <f>IFERROR(VLOOKUP(B309,'Share, Heavy Weapons to Ukraine'!B:J,COLUMN('Share, Heavy Weapons to Ukraine'!C316)-1,0),0)</f>
        <v>0</v>
      </c>
      <c r="AX309" s="180">
        <f>VLOOKUP('Bilateral Assistance, MAIN DATA'!B309,'Country Summary'!B:F,COLUMN('Country Summary'!C319)-1,FALSE)</f>
        <v>1</v>
      </c>
      <c r="AY309" s="180" t="str">
        <f>IF(AND(AD309=1,D309="Military",H309&lt;&gt;"Not given")=TRUE,IF(SUMIFS(P:P,A:A,A309)&gt;0,ABS((SUMIFS(P:P,A:A,A309)/VLOOKUP("USD",'Exchange Rates'!B:C,2,0)))/S309,"."),".")</f>
        <v>.</v>
      </c>
      <c r="AZ309" s="182" t="str">
        <f>IF(AND(AD309=1,D309="Military",H309&lt;&gt;"Not given")=TRUE,IF(SUMIFS(P:P,A:A,A309)&gt;0,IF((ABS((SUMIFS(P:P,A:A,A309)/VLOOKUP("USD",'Exchange Rates'!B:C,2,0)))/S309)&gt;1,(SUMIFS(P:P,A:A,A309)-S309)/S309,(S309-SUMIFS(P:P,A:A,A309))/SUMIFS(P:P,A:A,A309)),"."),".")</f>
        <v>.</v>
      </c>
      <c r="BA309" s="1024"/>
      <c r="BB309" s="1024"/>
      <c r="BC309" s="1024"/>
      <c r="BD309" s="1024"/>
      <c r="BE309" s="1024"/>
      <c r="BF309" s="1024"/>
      <c r="BG309" s="1024"/>
      <c r="BH309" s="1024"/>
      <c r="BI309" s="1024"/>
      <c r="BJ309" s="1024"/>
      <c r="BK309" s="1024"/>
      <c r="BL309" s="1024"/>
      <c r="BM309" s="1024"/>
      <c r="BN309" s="1024"/>
      <c r="BO309" s="1024"/>
      <c r="BP309" s="1024"/>
      <c r="BQ309" s="1024"/>
      <c r="BR309" s="1024"/>
      <c r="BS309" s="1024"/>
    </row>
    <row r="310" spans="1:71" s="520" customFormat="1" ht="15.9" customHeight="1" x14ac:dyDescent="0.3">
      <c r="A310" s="19" t="s">
        <v>1118</v>
      </c>
      <c r="B310" s="19" t="s">
        <v>1025</v>
      </c>
      <c r="C310" s="555">
        <v>44933</v>
      </c>
      <c r="D310" s="19" t="s">
        <v>285</v>
      </c>
      <c r="E310" s="19" t="s">
        <v>286</v>
      </c>
      <c r="F310" s="19" t="s">
        <v>1119</v>
      </c>
      <c r="G310" s="199" t="s">
        <v>364</v>
      </c>
      <c r="H310" s="200" t="s">
        <v>341</v>
      </c>
      <c r="I310" s="19" t="s">
        <v>260</v>
      </c>
      <c r="J310" s="113" t="str">
        <f>VLOOKUP($I310,'Price List, Weapons &amp; Items'!B:C,2,0)</f>
        <v>.</v>
      </c>
      <c r="K310" s="113" t="str">
        <f>IF(I310=".",I310,VLOOKUP($I310,'Price List, Weapons &amp; Items'!B:D,3,0))</f>
        <v>.</v>
      </c>
      <c r="L310" s="177">
        <f>VLOOKUP(I310,'Price List, Weapons &amp; Items'!B:E,4,0)</f>
        <v>0</v>
      </c>
      <c r="M310" s="247" t="s">
        <v>260</v>
      </c>
      <c r="N310" s="247" t="s">
        <v>260</v>
      </c>
      <c r="O310" s="543" t="str">
        <f>VLOOKUP($I310,'Price List, Weapons &amp; Items'!B:G,6,0)</f>
        <v>.</v>
      </c>
      <c r="P310" s="176" t="str">
        <f t="shared" si="57"/>
        <v>.</v>
      </c>
      <c r="Q310" s="176" t="str">
        <f t="shared" si="58"/>
        <v>.</v>
      </c>
      <c r="R310" s="176" t="str">
        <f t="shared" si="54"/>
        <v>.</v>
      </c>
      <c r="S310" s="176" t="str">
        <f>IF(AND(AD310=1,R310&lt;&gt;".")=TRUE,R310/VLOOKUP(G310,'Exchange Rates'!B:C,2,0),IF(R310=".",".",""))</f>
        <v>.</v>
      </c>
      <c r="T310" s="176" t="str">
        <f>IF(AD310=1,IF(AF310="Value is not given at all",".",IF(AF310="Value is given by the source",S310,IF(AF310="Value is calculated with prices",(IF(SUMIFS(Q:Q,A:A,A310)&gt;0,SUMIFS(Q:Q,A:A,A310),"."))/VLOOKUP("USD",'Exchange Rates'!B:C,2,0),"Error with coding"))),"")</f>
        <v>.</v>
      </c>
      <c r="U310" s="199" t="s">
        <v>415</v>
      </c>
      <c r="V310" s="304" t="s">
        <v>1120</v>
      </c>
      <c r="W310" s="304"/>
      <c r="X310" s="552"/>
      <c r="Y310" s="663" t="s">
        <v>260</v>
      </c>
      <c r="Z310" s="199">
        <v>0</v>
      </c>
      <c r="AA310" s="199">
        <v>1</v>
      </c>
      <c r="AB310" s="682" t="s">
        <v>260</v>
      </c>
      <c r="AC310" s="544"/>
      <c r="AD310" s="199">
        <v>1</v>
      </c>
      <c r="AE310" s="199" t="s">
        <v>265</v>
      </c>
      <c r="AF310" s="199" t="s">
        <v>265</v>
      </c>
      <c r="AG310" s="199">
        <v>1</v>
      </c>
      <c r="AH310" s="199">
        <v>13</v>
      </c>
      <c r="AI310" s="199">
        <v>0</v>
      </c>
      <c r="AJ310" s="181">
        <f>VLOOKUP($I310,'Price List, Weapons &amp; Items'!B:F,5,0)</f>
        <v>0</v>
      </c>
      <c r="AK310" s="181">
        <f t="shared" si="59"/>
        <v>0</v>
      </c>
      <c r="AL310" s="181">
        <f t="shared" si="60"/>
        <v>0</v>
      </c>
      <c r="AM310" s="181">
        <f t="shared" si="61"/>
        <v>0</v>
      </c>
      <c r="AN310" s="180" t="str">
        <f>VLOOKUP($I310,'Price List, Weapons &amp; Items'!B:L,COLUMN('Price List, Weapons &amp; Items'!$J$11)-1,0)</f>
        <v>.</v>
      </c>
      <c r="AO310" s="180" t="str">
        <f>IF(I310=".",".",VLOOKUP($I310,'Price List, Weapons &amp; Items'!B:J,3,0))</f>
        <v>.</v>
      </c>
      <c r="AP310" s="545" t="e">
        <f t="shared" ca="1" si="55"/>
        <v>#NAME?</v>
      </c>
      <c r="AQ310" s="180" t="str">
        <f>VLOOKUP($I310,'Price List, Weapons &amp; Items'!B:L,COLUMN('Price List, Weapons &amp; Items'!$L$11)-1,0)</f>
        <v>no price, 0 count</v>
      </c>
      <c r="AR310" s="180">
        <f t="shared" si="62"/>
        <v>0</v>
      </c>
      <c r="AS310" s="180">
        <f t="shared" si="63"/>
        <v>1</v>
      </c>
      <c r="AT310" s="180">
        <f t="shared" si="56"/>
        <v>1</v>
      </c>
      <c r="AU310" s="180" t="str">
        <f t="shared" si="64"/>
        <v>.</v>
      </c>
      <c r="AV310" s="180" t="str">
        <f t="shared" si="65"/>
        <v>.</v>
      </c>
      <c r="AW310" s="180">
        <f>IFERROR(VLOOKUP(B310,'Share, Heavy Weapons to Ukraine'!B:J,COLUMN('Share, Heavy Weapons to Ukraine'!C317)-1,0),0)</f>
        <v>0</v>
      </c>
      <c r="AX310" s="180">
        <f>VLOOKUP('Bilateral Assistance, MAIN DATA'!B310,'Country Summary'!B:F,COLUMN('Country Summary'!C320)-1,FALSE)</f>
        <v>1</v>
      </c>
      <c r="AY310" s="180" t="str">
        <f>IF(AND(AD310=1,D310="Military",H310&lt;&gt;"Not given")=TRUE,IF(SUMIFS(P:P,A:A,A310)&gt;0,ABS((SUMIFS(P:P,A:A,A310)/VLOOKUP("USD",'Exchange Rates'!B:C,2,0)))/S310,"."),".")</f>
        <v>.</v>
      </c>
      <c r="AZ310" s="182" t="str">
        <f>IF(AND(AD310=1,D310="Military",H310&lt;&gt;"Not given")=TRUE,IF(SUMIFS(P:P,A:A,A310)&gt;0,IF((ABS((SUMIFS(P:P,A:A,A310)/VLOOKUP("USD",'Exchange Rates'!B:C,2,0)))/S310)&gt;1,(SUMIFS(P:P,A:A,A310)-S310)/S310,(S310-SUMIFS(P:P,A:A,A310))/SUMIFS(P:P,A:A,A310)),"."),".")</f>
        <v>.</v>
      </c>
      <c r="BA310" s="1024"/>
      <c r="BB310" s="1024"/>
      <c r="BC310" s="1024"/>
      <c r="BD310" s="1024"/>
      <c r="BE310" s="1024"/>
      <c r="BF310" s="1024"/>
      <c r="BG310" s="1024"/>
      <c r="BH310" s="1024"/>
      <c r="BI310" s="1024"/>
      <c r="BJ310" s="1024"/>
      <c r="BK310" s="1024"/>
      <c r="BL310" s="1024"/>
      <c r="BM310" s="1024"/>
      <c r="BN310" s="1024"/>
      <c r="BO310" s="1024"/>
      <c r="BP310" s="1024"/>
      <c r="BQ310" s="1024"/>
      <c r="BR310" s="1024"/>
      <c r="BS310" s="1024"/>
    </row>
    <row r="311" spans="1:71" s="520" customFormat="1" ht="15.9" customHeight="1" x14ac:dyDescent="0.3">
      <c r="A311" s="17" t="s">
        <v>1121</v>
      </c>
      <c r="B311" s="17" t="s">
        <v>1025</v>
      </c>
      <c r="C311" s="174">
        <v>44679</v>
      </c>
      <c r="D311" s="5" t="s">
        <v>405</v>
      </c>
      <c r="E311" s="5" t="s">
        <v>362</v>
      </c>
      <c r="F311" s="175" t="s">
        <v>1122</v>
      </c>
      <c r="G311" s="15" t="s">
        <v>364</v>
      </c>
      <c r="H311" s="176">
        <v>46500000</v>
      </c>
      <c r="I311" s="17" t="s">
        <v>260</v>
      </c>
      <c r="J311" s="113" t="str">
        <f>VLOOKUP($I311,'Price List, Weapons &amp; Items'!B:C,2,0)</f>
        <v>.</v>
      </c>
      <c r="K311" s="113" t="str">
        <f>IF(I311=".",I311,VLOOKUP($I311,'Price List, Weapons &amp; Items'!B:D,3,0))</f>
        <v>.</v>
      </c>
      <c r="L311" s="177">
        <f>VLOOKUP(I311,'Price List, Weapons &amp; Items'!B:E,4,0)</f>
        <v>0</v>
      </c>
      <c r="M311" s="542" t="s">
        <v>260</v>
      </c>
      <c r="N311" s="542" t="s">
        <v>260</v>
      </c>
      <c r="O311" s="543" t="str">
        <f>VLOOKUP($I311,'Price List, Weapons &amp; Items'!B:G,6,0)</f>
        <v>.</v>
      </c>
      <c r="P311" s="176" t="str">
        <f t="shared" si="57"/>
        <v>.</v>
      </c>
      <c r="Q311" s="176" t="str">
        <f t="shared" si="58"/>
        <v>.</v>
      </c>
      <c r="R311" s="176">
        <f t="shared" si="54"/>
        <v>46500000</v>
      </c>
      <c r="S311" s="176">
        <f>IF(AND(AD311=1,R311&lt;&gt;".")=TRUE,R311/VLOOKUP(G311,'Exchange Rates'!B:C,2,0),IF(R311=".",".",""))</f>
        <v>46500000</v>
      </c>
      <c r="T311" s="176" t="str">
        <f>IF(AD311=1,IF(AF311="Value is not given at all",".",IF(AF311="Value is given by the source",S311,IF(AF311="Value is calculated with prices",(IF(SUMIFS(Q:Q,A:A,A311)&gt;0,SUMIFS(Q:Q,A:A,A311),"."))/VLOOKUP("USD",'Exchange Rates'!B:C,2,0),"Error with coding"))),"")</f>
        <v>.</v>
      </c>
      <c r="U311" s="15" t="s">
        <v>261</v>
      </c>
      <c r="V311" s="300" t="s">
        <v>1123</v>
      </c>
      <c r="W311" s="300" t="s">
        <v>1124</v>
      </c>
      <c r="X311" s="300" t="s">
        <v>1125</v>
      </c>
      <c r="Y311" s="529" t="s">
        <v>1126</v>
      </c>
      <c r="Z311" s="15">
        <v>0</v>
      </c>
      <c r="AA311" s="180">
        <v>0</v>
      </c>
      <c r="AB311" s="184" t="s">
        <v>260</v>
      </c>
      <c r="AC311" s="544" t="str">
        <f>""</f>
        <v/>
      </c>
      <c r="AD311" s="181">
        <v>1</v>
      </c>
      <c r="AE311" s="181" t="s">
        <v>264</v>
      </c>
      <c r="AF311" s="181" t="s">
        <v>265</v>
      </c>
      <c r="AG311" s="181">
        <v>1</v>
      </c>
      <c r="AH311" s="181">
        <v>4</v>
      </c>
      <c r="AI311" s="181">
        <v>0</v>
      </c>
      <c r="AJ311" s="181">
        <f>VLOOKUP($I311,'Price List, Weapons &amp; Items'!B:F,5,0)</f>
        <v>0</v>
      </c>
      <c r="AK311" s="181">
        <f t="shared" si="59"/>
        <v>0</v>
      </c>
      <c r="AL311" s="181">
        <f t="shared" si="60"/>
        <v>0</v>
      </c>
      <c r="AM311" s="181">
        <f t="shared" si="61"/>
        <v>0</v>
      </c>
      <c r="AN311" s="180" t="str">
        <f>VLOOKUP($I311,'Price List, Weapons &amp; Items'!B:L,COLUMN('Price List, Weapons &amp; Items'!$J$11)-1,0)</f>
        <v>.</v>
      </c>
      <c r="AO311" s="180" t="str">
        <f>IF(I311=".",".",VLOOKUP($I311,'Price List, Weapons &amp; Items'!B:J,3,0))</f>
        <v>.</v>
      </c>
      <c r="AP311" s="545" t="e">
        <f t="shared" ca="1" si="55"/>
        <v>#NAME?</v>
      </c>
      <c r="AQ311" s="180" t="str">
        <f>VLOOKUP($I311,'Price List, Weapons &amp; Items'!B:L,COLUMN('Price List, Weapons &amp; Items'!$L$11)-1,0)</f>
        <v>no price, 0 count</v>
      </c>
      <c r="AR311" s="180">
        <f t="shared" si="62"/>
        <v>1</v>
      </c>
      <c r="AS311" s="180">
        <f t="shared" si="63"/>
        <v>0</v>
      </c>
      <c r="AT311" s="180">
        <f t="shared" si="56"/>
        <v>1</v>
      </c>
      <c r="AU311" s="180" t="str">
        <f>IF(AND(A311=A310,C311=C310)=TRUE,IF(F311=F310,".","1"),".")</f>
        <v>.</v>
      </c>
      <c r="AV311" s="180" t="str">
        <f t="shared" si="65"/>
        <v>.</v>
      </c>
      <c r="AW311" s="180">
        <f>IFERROR(VLOOKUP(B311,'Share, Heavy Weapons to Ukraine'!B:J,COLUMN('Share, Heavy Weapons to Ukraine'!C318)-1,0),0)</f>
        <v>0</v>
      </c>
      <c r="AX311" s="180">
        <f>VLOOKUP('Bilateral Assistance, MAIN DATA'!B311,'Country Summary'!B:F,COLUMN('Country Summary'!C321)-1,FALSE)</f>
        <v>1</v>
      </c>
      <c r="AY311" s="180" t="str">
        <f>IF(AND(AD311=1,D311="Military",H311&lt;&gt;"Not given")=TRUE,IF(SUMIFS(P:P,A:A,A311)&gt;0,ABS((SUMIFS(P:P,A:A,A311)/VLOOKUP("USD",'Exchange Rates'!B:C,2,0)))/S311,"."),".")</f>
        <v>.</v>
      </c>
      <c r="AZ311" s="182" t="str">
        <f>IF(AND(AD311=1,D311="Military",H311&lt;&gt;"Not given")=TRUE,IF(SUMIFS(P:P,A:A,A311)&gt;0,IF((ABS((SUMIFS(P:P,A:A,A311)/VLOOKUP("USD",'Exchange Rates'!B:C,2,0)))/S311)&gt;1,(SUMIFS(P:P,A:A,A311)-S311)/S311,(S311-SUMIFS(P:P,A:A,A311))/SUMIFS(P:P,A:A,A311)),"."),".")</f>
        <v>.</v>
      </c>
      <c r="BA311" s="1024"/>
      <c r="BB311" s="1024"/>
      <c r="BC311" s="1024"/>
      <c r="BD311" s="1024"/>
      <c r="BE311" s="1024"/>
      <c r="BF311" s="1024"/>
      <c r="BG311" s="1024"/>
      <c r="BH311" s="1024"/>
      <c r="BI311" s="1024"/>
      <c r="BJ311" s="1024"/>
      <c r="BK311" s="1024"/>
      <c r="BL311" s="1024"/>
      <c r="BM311" s="1024"/>
      <c r="BN311" s="1024"/>
      <c r="BO311" s="1024"/>
      <c r="BP311" s="1024"/>
      <c r="BQ311" s="1024"/>
      <c r="BR311" s="1024"/>
      <c r="BS311" s="1024"/>
    </row>
    <row r="312" spans="1:71" s="520" customFormat="1" ht="15.9" customHeight="1" x14ac:dyDescent="0.3">
      <c r="A312" s="17" t="s">
        <v>1127</v>
      </c>
      <c r="B312" s="17" t="s">
        <v>1025</v>
      </c>
      <c r="C312" s="174">
        <v>44806</v>
      </c>
      <c r="D312" s="5" t="s">
        <v>405</v>
      </c>
      <c r="E312" s="5" t="s">
        <v>362</v>
      </c>
      <c r="F312" s="175" t="s">
        <v>1128</v>
      </c>
      <c r="G312" s="15" t="s">
        <v>364</v>
      </c>
      <c r="H312" s="176">
        <v>35000000</v>
      </c>
      <c r="I312" s="17" t="s">
        <v>260</v>
      </c>
      <c r="J312" s="113" t="str">
        <f>VLOOKUP($I312,'Price List, Weapons &amp; Items'!B:C,2,0)</f>
        <v>.</v>
      </c>
      <c r="K312" s="113" t="str">
        <f>IF(I312=".",I312,VLOOKUP($I312,'Price List, Weapons &amp; Items'!B:D,3,0))</f>
        <v>.</v>
      </c>
      <c r="L312" s="177">
        <f>VLOOKUP(I312,'Price List, Weapons &amp; Items'!B:E,4,0)</f>
        <v>0</v>
      </c>
      <c r="M312" s="542" t="s">
        <v>260</v>
      </c>
      <c r="N312" s="542" t="s">
        <v>260</v>
      </c>
      <c r="O312" s="543" t="str">
        <f>VLOOKUP($I312,'Price List, Weapons &amp; Items'!B:G,6,0)</f>
        <v>.</v>
      </c>
      <c r="P312" s="176" t="str">
        <f t="shared" si="57"/>
        <v>.</v>
      </c>
      <c r="Q312" s="176" t="str">
        <f t="shared" si="58"/>
        <v>.</v>
      </c>
      <c r="R312" s="176">
        <f t="shared" si="54"/>
        <v>35000000</v>
      </c>
      <c r="S312" s="176">
        <f>IF(AND(AD312=1,R312&lt;&gt;".")=TRUE,R312/VLOOKUP(G312,'Exchange Rates'!B:C,2,0),IF(R312=".",".",""))</f>
        <v>35000000</v>
      </c>
      <c r="T312" s="176" t="str">
        <f>IF(AD312=1,IF(AF312="Value is not given at all",".",IF(AF312="Value is given by the source",S312,IF(AF312="Value is calculated with prices",(IF(SUMIFS(Q:Q,A:A,A312)&gt;0,SUMIFS(Q:Q,A:A,A312),"."))/VLOOKUP("USD",'Exchange Rates'!B:C,2,0),"Error with coding"))),"")</f>
        <v>.</v>
      </c>
      <c r="U312" s="15" t="s">
        <v>261</v>
      </c>
      <c r="V312" s="300" t="s">
        <v>1129</v>
      </c>
      <c r="W312" s="144" t="s">
        <v>260</v>
      </c>
      <c r="X312" s="144" t="s">
        <v>260</v>
      </c>
      <c r="Y312" s="175" t="s">
        <v>260</v>
      </c>
      <c r="Z312" s="15">
        <v>0</v>
      </c>
      <c r="AA312" s="180">
        <v>0</v>
      </c>
      <c r="AB312" s="184" t="s">
        <v>260</v>
      </c>
      <c r="AC312" s="544" t="str">
        <f>""</f>
        <v/>
      </c>
      <c r="AD312" s="181">
        <v>1</v>
      </c>
      <c r="AE312" s="181" t="s">
        <v>264</v>
      </c>
      <c r="AF312" s="181" t="s">
        <v>265</v>
      </c>
      <c r="AG312" s="181">
        <v>1</v>
      </c>
      <c r="AH312" s="181">
        <v>9</v>
      </c>
      <c r="AI312" s="181">
        <v>0</v>
      </c>
      <c r="AJ312" s="181">
        <f>VLOOKUP($I312,'Price List, Weapons &amp; Items'!B:F,5,0)</f>
        <v>0</v>
      </c>
      <c r="AK312" s="181">
        <f t="shared" si="59"/>
        <v>0</v>
      </c>
      <c r="AL312" s="181">
        <f t="shared" si="60"/>
        <v>0</v>
      </c>
      <c r="AM312" s="181">
        <f t="shared" si="61"/>
        <v>0</v>
      </c>
      <c r="AN312" s="180" t="str">
        <f>VLOOKUP($I312,'Price List, Weapons &amp; Items'!B:L,COLUMN('Price List, Weapons &amp; Items'!$J$11)-1,0)</f>
        <v>.</v>
      </c>
      <c r="AO312" s="180" t="str">
        <f>IF(I312=".",".",VLOOKUP($I312,'Price List, Weapons &amp; Items'!B:J,3,0))</f>
        <v>.</v>
      </c>
      <c r="AP312" s="545" t="e">
        <f t="shared" ca="1" si="55"/>
        <v>#NAME?</v>
      </c>
      <c r="AQ312" s="180" t="str">
        <f>VLOOKUP($I312,'Price List, Weapons &amp; Items'!B:L,COLUMN('Price List, Weapons &amp; Items'!$L$11)-1,0)</f>
        <v>no price, 0 count</v>
      </c>
      <c r="AR312" s="180">
        <f t="shared" si="62"/>
        <v>1</v>
      </c>
      <c r="AS312" s="180">
        <f t="shared" si="63"/>
        <v>0</v>
      </c>
      <c r="AT312" s="180">
        <f t="shared" si="56"/>
        <v>1</v>
      </c>
      <c r="AU312" s="180" t="str">
        <f t="shared" si="64"/>
        <v>.</v>
      </c>
      <c r="AV312" s="180" t="str">
        <f t="shared" si="65"/>
        <v>.</v>
      </c>
      <c r="AW312" s="180">
        <f>IFERROR(VLOOKUP(B312,'Share, Heavy Weapons to Ukraine'!B:J,COLUMN('Share, Heavy Weapons to Ukraine'!C319)-1,0),0)</f>
        <v>0</v>
      </c>
      <c r="AX312" s="180">
        <f>VLOOKUP('Bilateral Assistance, MAIN DATA'!B312,'Country Summary'!B:F,COLUMN('Country Summary'!C322)-1,FALSE)</f>
        <v>1</v>
      </c>
      <c r="AY312" s="180" t="str">
        <f>IF(AND(AD312=1,D312="Military",H312&lt;&gt;"Not given")=TRUE,IF(SUMIFS(P:P,A:A,A312)&gt;0,ABS((SUMIFS(P:P,A:A,A312)/VLOOKUP("USD",'Exchange Rates'!B:C,2,0)))/S312,"."),".")</f>
        <v>.</v>
      </c>
      <c r="AZ312" s="182" t="str">
        <f>IF(AND(AD312=1,D312="Military",H312&lt;&gt;"Not given")=TRUE,IF(SUMIFS(P:P,A:A,A312)&gt;0,IF((ABS((SUMIFS(P:P,A:A,A312)/VLOOKUP("USD",'Exchange Rates'!B:C,2,0)))/S312)&gt;1,(SUMIFS(P:P,A:A,A312)-S312)/S312,(S312-SUMIFS(P:P,A:A,A312))/SUMIFS(P:P,A:A,A312)),"."),".")</f>
        <v>.</v>
      </c>
      <c r="BA312" s="1024"/>
      <c r="BB312" s="1024"/>
      <c r="BC312" s="1024"/>
      <c r="BD312" s="1024"/>
      <c r="BE312" s="1024"/>
      <c r="BF312" s="1024"/>
      <c r="BG312" s="1024"/>
      <c r="BH312" s="1024"/>
      <c r="BI312" s="1024"/>
      <c r="BJ312" s="1024"/>
      <c r="BK312" s="1024"/>
      <c r="BL312" s="1024"/>
      <c r="BM312" s="1024"/>
      <c r="BN312" s="1024"/>
      <c r="BO312" s="1024"/>
      <c r="BP312" s="1024"/>
      <c r="BQ312" s="1024"/>
      <c r="BR312" s="1024"/>
      <c r="BS312" s="1024"/>
    </row>
    <row r="313" spans="1:71" ht="15.9" customHeight="1" x14ac:dyDescent="0.3">
      <c r="A313" s="5" t="s">
        <v>1130</v>
      </c>
      <c r="B313" s="5" t="s">
        <v>1131</v>
      </c>
      <c r="C313" s="174">
        <v>44621</v>
      </c>
      <c r="D313" s="5" t="s">
        <v>256</v>
      </c>
      <c r="E313" s="5" t="s">
        <v>554</v>
      </c>
      <c r="F313" s="175" t="s">
        <v>1132</v>
      </c>
      <c r="G313" s="15" t="s">
        <v>364</v>
      </c>
      <c r="H313" s="176">
        <v>100000000</v>
      </c>
      <c r="I313" s="17" t="s">
        <v>1133</v>
      </c>
      <c r="J313" s="113" t="str">
        <f>VLOOKUP($I313,'Price List, Weapons &amp; Items'!B:C,2,0)</f>
        <v>Humanitarian</v>
      </c>
      <c r="K313" s="113" t="str">
        <f>IF(I313=".",I313,VLOOKUP($I313,'Price List, Weapons &amp; Items'!B:D,3,0))</f>
        <v>Humanitarian</v>
      </c>
      <c r="L313" s="177">
        <f>VLOOKUP(I313,'Price List, Weapons &amp; Items'!B:E,4,0)</f>
        <v>0</v>
      </c>
      <c r="M313" s="542">
        <v>500</v>
      </c>
      <c r="N313" s="542" t="s">
        <v>270</v>
      </c>
      <c r="O313" s="543">
        <f>VLOOKUP($I313,'Price List, Weapons &amp; Items'!B:G,6,0)</f>
        <v>200</v>
      </c>
      <c r="P313" s="176">
        <f t="shared" si="57"/>
        <v>100000</v>
      </c>
      <c r="Q313" s="176" t="str">
        <f t="shared" si="58"/>
        <v>.</v>
      </c>
      <c r="R313" s="176">
        <f t="shared" si="54"/>
        <v>100000000</v>
      </c>
      <c r="S313" s="176">
        <f>IF(AND(AD313=1,R313&lt;&gt;".")=TRUE,R313/VLOOKUP(G313,'Exchange Rates'!B:C,2,0),IF(R313=".",".",""))</f>
        <v>100000000</v>
      </c>
      <c r="T313" s="176" t="str">
        <f>IF(AD313=1,IF(AF313="Value is not given at all",".",IF(AF313="Value is given by the source",S313,IF(AF313="Value is calculated with prices",(IF(SUMIFS(Q:Q,A:A,A313)&gt;0,SUMIFS(Q:Q,A:A,A313),"."))/VLOOKUP("USD",'Exchange Rates'!B:C,2,0),"Error with coding"))),"")</f>
        <v>.</v>
      </c>
      <c r="U313" s="15" t="s">
        <v>261</v>
      </c>
      <c r="V313" s="547" t="s">
        <v>1134</v>
      </c>
      <c r="W313" s="547" t="s">
        <v>1135</v>
      </c>
      <c r="X313" s="547" t="s">
        <v>1136</v>
      </c>
      <c r="Y313" s="188" t="s">
        <v>260</v>
      </c>
      <c r="Z313" s="15">
        <v>0</v>
      </c>
      <c r="AA313" s="180">
        <v>0</v>
      </c>
      <c r="AB313" s="184" t="s">
        <v>260</v>
      </c>
      <c r="AC313" s="544" t="str">
        <f>""</f>
        <v/>
      </c>
      <c r="AD313" s="181">
        <v>1</v>
      </c>
      <c r="AE313" s="181" t="s">
        <v>264</v>
      </c>
      <c r="AF313" s="181" t="s">
        <v>265</v>
      </c>
      <c r="AG313" s="181">
        <v>1</v>
      </c>
      <c r="AH313" s="181">
        <v>3</v>
      </c>
      <c r="AI313" s="181">
        <v>0</v>
      </c>
      <c r="AJ313" s="181">
        <f>VLOOKUP($I313,'Price List, Weapons &amp; Items'!B:F,5,0)</f>
        <v>0</v>
      </c>
      <c r="AK313" s="181">
        <f t="shared" si="59"/>
        <v>0</v>
      </c>
      <c r="AL313" s="181">
        <f t="shared" si="60"/>
        <v>0</v>
      </c>
      <c r="AM313" s="181">
        <f t="shared" si="61"/>
        <v>0</v>
      </c>
      <c r="AN313" s="180" t="str">
        <f>VLOOKUP($I313,'Price List, Weapons &amp; Items'!B:L,COLUMN('Price List, Weapons &amp; Items'!$J$11)-1,0)</f>
        <v>Media reports (incl. social media)</v>
      </c>
      <c r="AO313" s="180" t="str">
        <f>IF(I313=".",".",VLOOKUP($I313,'Price List, Weapons &amp; Items'!B:J,3,0))</f>
        <v>Humanitarian</v>
      </c>
      <c r="AP313" s="545" t="e">
        <f t="shared" ca="1" si="55"/>
        <v>#NAME?</v>
      </c>
      <c r="AQ313" s="180">
        <f>VLOOKUP($I313,'Price List, Weapons &amp; Items'!B:L,COLUMN('Price List, Weapons &amp; Items'!$L$11)-1,0)</f>
        <v>0</v>
      </c>
      <c r="AR313" s="180">
        <f t="shared" si="62"/>
        <v>1</v>
      </c>
      <c r="AS313" s="180">
        <f t="shared" si="63"/>
        <v>0</v>
      </c>
      <c r="AT313" s="180">
        <f t="shared" si="56"/>
        <v>1</v>
      </c>
      <c r="AU313" s="180" t="str">
        <f t="shared" si="64"/>
        <v>.</v>
      </c>
      <c r="AV313" s="180" t="str">
        <f t="shared" si="65"/>
        <v>.</v>
      </c>
      <c r="AW313" s="180">
        <f>IFERROR(VLOOKUP(B313,'Share, Heavy Weapons to Ukraine'!B:J,COLUMN('Share, Heavy Weapons to Ukraine'!C320)-1,0),0)</f>
        <v>0</v>
      </c>
      <c r="AX313" s="180">
        <f>VLOOKUP('Bilateral Assistance, MAIN DATA'!B313,'Country Summary'!B:F,COLUMN('Country Summary'!C323)-1,FALSE)</f>
        <v>1</v>
      </c>
      <c r="AY313" s="180" t="str">
        <f>IF(AND(AD313=1,D313="Military",H313&lt;&gt;"Not given")=TRUE,IF(SUMIFS(P:P,A:A,A313)&gt;0,ABS((SUMIFS(P:P,A:A,A313)/VLOOKUP("USD",'Exchange Rates'!B:C,2,0)))/S313,"."),".")</f>
        <v>.</v>
      </c>
      <c r="AZ313" s="182" t="str">
        <f>IF(AND(AD313=1,D313="Military",H313&lt;&gt;"Not given")=TRUE,IF(SUMIFS(P:P,A:A,A313)&gt;0,IF((ABS((SUMIFS(P:P,A:A,A313)/VLOOKUP("USD",'Exchange Rates'!B:C,2,0)))/S313)&gt;1,(SUMIFS(P:P,A:A,A313)-S313)/S313,(S313-SUMIFS(P:P,A:A,A313))/SUMIFS(P:P,A:A,A313)),"."),".")</f>
        <v>.</v>
      </c>
      <c r="BA313" s="182"/>
      <c r="BB313" s="182"/>
      <c r="BC313" s="182"/>
      <c r="BD313" s="182"/>
      <c r="BE313" s="182"/>
      <c r="BF313" s="182"/>
      <c r="BG313" s="182"/>
      <c r="BH313" s="182"/>
      <c r="BI313" s="182"/>
      <c r="BJ313" s="182"/>
      <c r="BK313" s="182"/>
      <c r="BL313" s="182"/>
      <c r="BM313" s="182"/>
      <c r="BN313" s="182"/>
      <c r="BO313" s="182"/>
      <c r="BP313" s="182"/>
      <c r="BQ313" s="182"/>
      <c r="BR313" s="182"/>
      <c r="BS313" s="182"/>
    </row>
    <row r="314" spans="1:71" ht="15.9" customHeight="1" x14ac:dyDescent="0.3">
      <c r="A314" s="5" t="s">
        <v>1130</v>
      </c>
      <c r="B314" s="5" t="s">
        <v>1131</v>
      </c>
      <c r="C314" s="174">
        <v>44621</v>
      </c>
      <c r="D314" s="5" t="s">
        <v>256</v>
      </c>
      <c r="E314" s="5" t="s">
        <v>554</v>
      </c>
      <c r="F314" s="175" t="s">
        <v>1132</v>
      </c>
      <c r="G314" s="15" t="s">
        <v>364</v>
      </c>
      <c r="H314" s="176">
        <v>100000000</v>
      </c>
      <c r="I314" s="17" t="s">
        <v>1137</v>
      </c>
      <c r="J314" s="113" t="str">
        <f>VLOOKUP($I314,'Price List, Weapons &amp; Items'!B:C,2,0)</f>
        <v>Humanitarian</v>
      </c>
      <c r="K314" s="113" t="str">
        <f>IF(I314=".",I314,VLOOKUP($I314,'Price List, Weapons &amp; Items'!B:D,3,0))</f>
        <v>Humanitarian</v>
      </c>
      <c r="L314" s="177">
        <f>VLOOKUP(I314,'Price List, Weapons &amp; Items'!B:E,4,0)</f>
        <v>0</v>
      </c>
      <c r="M314" s="542">
        <v>2300</v>
      </c>
      <c r="N314" s="542" t="s">
        <v>270</v>
      </c>
      <c r="O314" s="543">
        <f>VLOOKUP($I314,'Price List, Weapons &amp; Items'!B:G,6,0)</f>
        <v>43</v>
      </c>
      <c r="P314" s="176">
        <f t="shared" si="57"/>
        <v>98900</v>
      </c>
      <c r="Q314" s="176" t="str">
        <f t="shared" si="58"/>
        <v>.</v>
      </c>
      <c r="R314" s="176" t="str">
        <f t="shared" si="54"/>
        <v/>
      </c>
      <c r="S314" s="176" t="str">
        <f>IF(AND(AD314=1,R314&lt;&gt;".")=TRUE,R314/VLOOKUP(G314,'Exchange Rates'!B:C,2,0),IF(R314=".",".",""))</f>
        <v/>
      </c>
      <c r="T314" s="176" t="str">
        <f>IF(AD314=1,IF(AF314="Value is not given at all",".",IF(AF314="Value is given by the source",S314,IF(AF314="Value is calculated with prices",(IF(SUMIFS(Q:Q,A:A,A314)&gt;0,SUMIFS(Q:Q,A:A,A314),"."))/VLOOKUP("USD",'Exchange Rates'!B:C,2,0),"Error with coding"))),"")</f>
        <v/>
      </c>
      <c r="U314" s="15" t="s">
        <v>261</v>
      </c>
      <c r="V314" s="547" t="s">
        <v>1134</v>
      </c>
      <c r="W314" s="547" t="s">
        <v>1135</v>
      </c>
      <c r="X314" s="547" t="s">
        <v>1136</v>
      </c>
      <c r="Y314" s="188" t="s">
        <v>260</v>
      </c>
      <c r="Z314" s="15">
        <v>0</v>
      </c>
      <c r="AA314" s="180">
        <v>0</v>
      </c>
      <c r="AB314" s="184" t="s">
        <v>260</v>
      </c>
      <c r="AC314" s="544" t="str">
        <f>""</f>
        <v/>
      </c>
      <c r="AD314" s="181">
        <v>0</v>
      </c>
      <c r="AE314" s="181" t="s">
        <v>264</v>
      </c>
      <c r="AF314" s="181" t="s">
        <v>265</v>
      </c>
      <c r="AG314" s="181">
        <v>1</v>
      </c>
      <c r="AH314" s="181">
        <v>3</v>
      </c>
      <c r="AI314" s="181">
        <v>0</v>
      </c>
      <c r="AJ314" s="181">
        <f>VLOOKUP($I314,'Price List, Weapons &amp; Items'!B:F,5,0)</f>
        <v>0</v>
      </c>
      <c r="AK314" s="181">
        <f t="shared" si="59"/>
        <v>0</v>
      </c>
      <c r="AL314" s="181">
        <f t="shared" si="60"/>
        <v>0</v>
      </c>
      <c r="AM314" s="181">
        <f t="shared" si="61"/>
        <v>0</v>
      </c>
      <c r="AN314" s="180" t="str">
        <f>VLOOKUP($I314,'Price List, Weapons &amp; Items'!B:L,COLUMN('Price List, Weapons &amp; Items'!$J$11)-1,0)</f>
        <v>Media reports (incl. social media)</v>
      </c>
      <c r="AO314" s="180" t="str">
        <f>IF(I314=".",".",VLOOKUP($I314,'Price List, Weapons &amp; Items'!B:J,3,0))</f>
        <v>Humanitarian</v>
      </c>
      <c r="AP314" s="545" t="str">
        <f t="shared" ca="1" si="55"/>
        <v/>
      </c>
      <c r="AQ314" s="180">
        <f>VLOOKUP($I314,'Price List, Weapons &amp; Items'!B:L,COLUMN('Price List, Weapons &amp; Items'!$L$11)-1,0)</f>
        <v>0</v>
      </c>
      <c r="AR314" s="180">
        <f t="shared" si="62"/>
        <v>1</v>
      </c>
      <c r="AS314" s="180">
        <f t="shared" si="63"/>
        <v>0</v>
      </c>
      <c r="AT314" s="180">
        <f t="shared" si="56"/>
        <v>1</v>
      </c>
      <c r="AU314" s="180" t="str">
        <f t="shared" si="64"/>
        <v>.</v>
      </c>
      <c r="AV314" s="180" t="str">
        <f t="shared" si="65"/>
        <v>.</v>
      </c>
      <c r="AW314" s="180">
        <f>IFERROR(VLOOKUP(B314,'Share, Heavy Weapons to Ukraine'!B:J,COLUMN('Share, Heavy Weapons to Ukraine'!C321)-1,0),0)</f>
        <v>0</v>
      </c>
      <c r="AX314" s="180">
        <f>VLOOKUP('Bilateral Assistance, MAIN DATA'!B314,'Country Summary'!B:F,COLUMN('Country Summary'!C324)-1,FALSE)</f>
        <v>1</v>
      </c>
      <c r="AY314" s="180" t="str">
        <f>IF(AND(AD314=1,D314="Military",H314&lt;&gt;"Not given")=TRUE,IF(SUMIFS(P:P,A:A,A314)&gt;0,ABS((SUMIFS(P:P,A:A,A314)/VLOOKUP("USD",'Exchange Rates'!B:C,2,0)))/S314,"."),".")</f>
        <v>.</v>
      </c>
      <c r="AZ314" s="182" t="str">
        <f>IF(AND(AD314=1,D314="Military",H314&lt;&gt;"Not given")=TRUE,IF(SUMIFS(P:P,A:A,A314)&gt;0,IF((ABS((SUMIFS(P:P,A:A,A314)/VLOOKUP("USD",'Exchange Rates'!B:C,2,0)))/S314)&gt;1,(SUMIFS(P:P,A:A,A314)-S314)/S314,(S314-SUMIFS(P:P,A:A,A314))/SUMIFS(P:P,A:A,A314)),"."),".")</f>
        <v>.</v>
      </c>
      <c r="BA314" s="182"/>
      <c r="BB314" s="182"/>
      <c r="BC314" s="182"/>
      <c r="BD314" s="182"/>
      <c r="BE314" s="182"/>
      <c r="BF314" s="182"/>
      <c r="BG314" s="182"/>
      <c r="BH314" s="182"/>
      <c r="BI314" s="182"/>
      <c r="BJ314" s="182"/>
      <c r="BK314" s="182"/>
      <c r="BL314" s="182"/>
      <c r="BM314" s="182"/>
      <c r="BN314" s="182"/>
      <c r="BO314" s="182"/>
      <c r="BP314" s="182"/>
      <c r="BQ314" s="182"/>
      <c r="BR314" s="182"/>
      <c r="BS314" s="182"/>
    </row>
    <row r="315" spans="1:71" ht="15.9" customHeight="1" x14ac:dyDescent="0.3">
      <c r="A315" s="5" t="s">
        <v>1130</v>
      </c>
      <c r="B315" s="5" t="s">
        <v>1131</v>
      </c>
      <c r="C315" s="174">
        <v>44621</v>
      </c>
      <c r="D315" s="5" t="s">
        <v>256</v>
      </c>
      <c r="E315" s="5" t="s">
        <v>554</v>
      </c>
      <c r="F315" s="175" t="s">
        <v>1132</v>
      </c>
      <c r="G315" s="15" t="s">
        <v>364</v>
      </c>
      <c r="H315" s="176">
        <v>100000000</v>
      </c>
      <c r="I315" s="17" t="s">
        <v>899</v>
      </c>
      <c r="J315" s="113" t="str">
        <f>VLOOKUP($I315,'Price List, Weapons &amp; Items'!B:C,2,0)</f>
        <v>Military equipment</v>
      </c>
      <c r="K315" s="113" t="str">
        <f>IF(I315=".",I315,VLOOKUP($I315,'Price List, Weapons &amp; Items'!B:D,3,0))</f>
        <v>Military equipment</v>
      </c>
      <c r="L315" s="177">
        <f>VLOOKUP(I315,'Price List, Weapons &amp; Items'!B:E,4,0)</f>
        <v>0</v>
      </c>
      <c r="M315" s="542">
        <v>1000</v>
      </c>
      <c r="N315" s="542" t="s">
        <v>270</v>
      </c>
      <c r="O315" s="543">
        <f>VLOOKUP($I315,'Price List, Weapons &amp; Items'!B:G,6,0)</f>
        <v>2.5</v>
      </c>
      <c r="P315" s="176">
        <f t="shared" si="57"/>
        <v>2500</v>
      </c>
      <c r="Q315" s="176" t="str">
        <f t="shared" si="58"/>
        <v>.</v>
      </c>
      <c r="R315" s="176" t="str">
        <f t="shared" si="54"/>
        <v/>
      </c>
      <c r="S315" s="176" t="str">
        <f>IF(AND(AD315=1,R315&lt;&gt;".")=TRUE,R315/VLOOKUP(G315,'Exchange Rates'!B:C,2,0),IF(R315=".",".",""))</f>
        <v/>
      </c>
      <c r="T315" s="176" t="str">
        <f>IF(AD315=1,IF(AF315="Value is not given at all",".",IF(AF315="Value is given by the source",S315,IF(AF315="Value is calculated with prices",(IF(SUMIFS(Q:Q,A:A,A315)&gt;0,SUMIFS(Q:Q,A:A,A315),"."))/VLOOKUP("USD",'Exchange Rates'!B:C,2,0),"Error with coding"))),"")</f>
        <v/>
      </c>
      <c r="U315" s="15" t="s">
        <v>261</v>
      </c>
      <c r="V315" s="547" t="s">
        <v>1134</v>
      </c>
      <c r="W315" s="547" t="s">
        <v>1135</v>
      </c>
      <c r="X315" s="547" t="s">
        <v>1136</v>
      </c>
      <c r="Y315" s="188" t="s">
        <v>260</v>
      </c>
      <c r="Z315" s="15">
        <v>0</v>
      </c>
      <c r="AA315" s="180">
        <v>0</v>
      </c>
      <c r="AB315" s="184" t="s">
        <v>260</v>
      </c>
      <c r="AC315" s="544" t="str">
        <f>""</f>
        <v/>
      </c>
      <c r="AD315" s="181">
        <v>0</v>
      </c>
      <c r="AE315" s="181" t="s">
        <v>264</v>
      </c>
      <c r="AF315" s="181" t="s">
        <v>265</v>
      </c>
      <c r="AG315" s="181">
        <v>1</v>
      </c>
      <c r="AH315" s="181">
        <v>3</v>
      </c>
      <c r="AI315" s="181">
        <v>0</v>
      </c>
      <c r="AJ315" s="181">
        <f>VLOOKUP($I315,'Price List, Weapons &amp; Items'!B:F,5,0)</f>
        <v>0</v>
      </c>
      <c r="AK315" s="181">
        <f t="shared" si="59"/>
        <v>0</v>
      </c>
      <c r="AL315" s="181">
        <f t="shared" si="60"/>
        <v>0</v>
      </c>
      <c r="AM315" s="181">
        <f t="shared" si="61"/>
        <v>0</v>
      </c>
      <c r="AN315" s="180" t="str">
        <f>VLOOKUP($I315,'Price List, Weapons &amp; Items'!B:L,COLUMN('Price List, Weapons &amp; Items'!$J$11)-1,0)</f>
        <v>Online marketplaces and stores</v>
      </c>
      <c r="AO315" s="180" t="str">
        <f>IF(I315=".",".",VLOOKUP($I315,'Price List, Weapons &amp; Items'!B:J,3,0))</f>
        <v>Military equipment</v>
      </c>
      <c r="AP315" s="545" t="str">
        <f t="shared" ca="1" si="55"/>
        <v/>
      </c>
      <c r="AQ315" s="180">
        <f>VLOOKUP($I315,'Price List, Weapons &amp; Items'!B:L,COLUMN('Price List, Weapons &amp; Items'!$L$11)-1,0)</f>
        <v>1</v>
      </c>
      <c r="AR315" s="180">
        <f t="shared" si="62"/>
        <v>1</v>
      </c>
      <c r="AS315" s="180">
        <f t="shared" si="63"/>
        <v>0</v>
      </c>
      <c r="AT315" s="180">
        <f t="shared" si="56"/>
        <v>1</v>
      </c>
      <c r="AU315" s="180" t="str">
        <f t="shared" si="64"/>
        <v>.</v>
      </c>
      <c r="AV315" s="180" t="str">
        <f t="shared" si="65"/>
        <v>.</v>
      </c>
      <c r="AW315" s="180">
        <f>IFERROR(VLOOKUP(B315,'Share, Heavy Weapons to Ukraine'!B:J,COLUMN('Share, Heavy Weapons to Ukraine'!C322)-1,0),0)</f>
        <v>0</v>
      </c>
      <c r="AX315" s="180">
        <f>VLOOKUP('Bilateral Assistance, MAIN DATA'!B315,'Country Summary'!B:F,COLUMN('Country Summary'!C325)-1,FALSE)</f>
        <v>1</v>
      </c>
      <c r="AY315" s="180" t="str">
        <f>IF(AND(AD315=1,D315="Military",H315&lt;&gt;"Not given")=TRUE,IF(SUMIFS(P:P,A:A,A315)&gt;0,ABS((SUMIFS(P:P,A:A,A315)/VLOOKUP("USD",'Exchange Rates'!B:C,2,0)))/S315,"."),".")</f>
        <v>.</v>
      </c>
      <c r="AZ315" s="182" t="str">
        <f>IF(AND(AD315=1,D315="Military",H315&lt;&gt;"Not given")=TRUE,IF(SUMIFS(P:P,A:A,A315)&gt;0,IF((ABS((SUMIFS(P:P,A:A,A315)/VLOOKUP("USD",'Exchange Rates'!B:C,2,0)))/S315)&gt;1,(SUMIFS(P:P,A:A,A315)-S315)/S315,(S315-SUMIFS(P:P,A:A,A315))/SUMIFS(P:P,A:A,A315)),"."),".")</f>
        <v>.</v>
      </c>
      <c r="BA315" s="182"/>
      <c r="BB315" s="182"/>
      <c r="BC315" s="182"/>
      <c r="BD315" s="182"/>
      <c r="BE315" s="182"/>
      <c r="BF315" s="182"/>
      <c r="BG315" s="182"/>
      <c r="BH315" s="182"/>
      <c r="BI315" s="182"/>
      <c r="BJ315" s="182"/>
      <c r="BK315" s="182"/>
      <c r="BL315" s="182"/>
      <c r="BM315" s="182"/>
      <c r="BN315" s="182"/>
      <c r="BO315" s="182"/>
      <c r="BP315" s="182"/>
      <c r="BQ315" s="182"/>
      <c r="BR315" s="182"/>
      <c r="BS315" s="182"/>
    </row>
    <row r="316" spans="1:71" ht="15.9" customHeight="1" x14ac:dyDescent="0.3">
      <c r="A316" s="5" t="s">
        <v>1130</v>
      </c>
      <c r="B316" s="5" t="s">
        <v>1131</v>
      </c>
      <c r="C316" s="174">
        <v>44621</v>
      </c>
      <c r="D316" s="5" t="s">
        <v>256</v>
      </c>
      <c r="E316" s="5" t="s">
        <v>554</v>
      </c>
      <c r="F316" s="175" t="s">
        <v>1132</v>
      </c>
      <c r="G316" s="15" t="s">
        <v>364</v>
      </c>
      <c r="H316" s="176">
        <v>100000000</v>
      </c>
      <c r="I316" s="17" t="s">
        <v>1138</v>
      </c>
      <c r="J316" s="113" t="str">
        <f>VLOOKUP($I316,'Price List, Weapons &amp; Items'!B:C,2,0)</f>
        <v>Humanitarian</v>
      </c>
      <c r="K316" s="113" t="str">
        <f>IF(I316=".",I316,VLOOKUP($I316,'Price List, Weapons &amp; Items'!B:D,3,0))</f>
        <v>Humanitarian</v>
      </c>
      <c r="L316" s="177">
        <f>VLOOKUP(I316,'Price List, Weapons &amp; Items'!B:E,4,0)</f>
        <v>0</v>
      </c>
      <c r="M316" s="542">
        <v>2000</v>
      </c>
      <c r="N316" s="542" t="s">
        <v>270</v>
      </c>
      <c r="O316" s="543">
        <f>VLOOKUP($I316,'Price List, Weapons &amp; Items'!B:G,6,0)</f>
        <v>183</v>
      </c>
      <c r="P316" s="176">
        <f t="shared" si="57"/>
        <v>366000</v>
      </c>
      <c r="Q316" s="176" t="str">
        <f t="shared" si="58"/>
        <v>.</v>
      </c>
      <c r="R316" s="176" t="str">
        <f t="shared" si="54"/>
        <v/>
      </c>
      <c r="S316" s="176" t="str">
        <f>IF(AND(AD316=1,R316&lt;&gt;".")=TRUE,R316/VLOOKUP(G316,'Exchange Rates'!B:C,2,0),IF(R316=".",".",""))</f>
        <v/>
      </c>
      <c r="T316" s="176" t="str">
        <f>IF(AD316=1,IF(AF316="Value is not given at all",".",IF(AF316="Value is given by the source",S316,IF(AF316="Value is calculated with prices",(IF(SUMIFS(Q:Q,A:A,A316)&gt;0,SUMIFS(Q:Q,A:A,A316),"."))/VLOOKUP("USD",'Exchange Rates'!B:C,2,0),"Error with coding"))),"")</f>
        <v/>
      </c>
      <c r="U316" s="15" t="s">
        <v>261</v>
      </c>
      <c r="V316" s="547" t="s">
        <v>1134</v>
      </c>
      <c r="W316" s="547" t="s">
        <v>1135</v>
      </c>
      <c r="X316" s="547" t="s">
        <v>1136</v>
      </c>
      <c r="Y316" s="188" t="s">
        <v>260</v>
      </c>
      <c r="Z316" s="15">
        <v>0</v>
      </c>
      <c r="AA316" s="180">
        <v>0</v>
      </c>
      <c r="AB316" s="184" t="s">
        <v>260</v>
      </c>
      <c r="AC316" s="544" t="str">
        <f>""</f>
        <v/>
      </c>
      <c r="AD316" s="181">
        <v>0</v>
      </c>
      <c r="AE316" s="181" t="s">
        <v>264</v>
      </c>
      <c r="AF316" s="181" t="s">
        <v>265</v>
      </c>
      <c r="AG316" s="181">
        <v>1</v>
      </c>
      <c r="AH316" s="181">
        <v>3</v>
      </c>
      <c r="AI316" s="181">
        <v>0</v>
      </c>
      <c r="AJ316" s="181">
        <f>VLOOKUP($I316,'Price List, Weapons &amp; Items'!B:F,5,0)</f>
        <v>0</v>
      </c>
      <c r="AK316" s="181">
        <f t="shared" si="59"/>
        <v>0</v>
      </c>
      <c r="AL316" s="181">
        <f t="shared" si="60"/>
        <v>0</v>
      </c>
      <c r="AM316" s="181">
        <f t="shared" si="61"/>
        <v>0</v>
      </c>
      <c r="AN316" s="180" t="str">
        <f>VLOOKUP($I316,'Price List, Weapons &amp; Items'!B:L,COLUMN('Price List, Weapons &amp; Items'!$J$11)-1,0)</f>
        <v>Miscellaneous</v>
      </c>
      <c r="AO316" s="180" t="str">
        <f>IF(I316=".",".",VLOOKUP($I316,'Price List, Weapons &amp; Items'!B:J,3,0))</f>
        <v>Humanitarian</v>
      </c>
      <c r="AP316" s="545" t="str">
        <f t="shared" ca="1" si="55"/>
        <v/>
      </c>
      <c r="AQ316" s="180">
        <f>VLOOKUP($I316,'Price List, Weapons &amp; Items'!B:L,COLUMN('Price List, Weapons &amp; Items'!$L$11)-1,0)</f>
        <v>0</v>
      </c>
      <c r="AR316" s="180">
        <f t="shared" si="62"/>
        <v>1</v>
      </c>
      <c r="AS316" s="180">
        <f t="shared" si="63"/>
        <v>0</v>
      </c>
      <c r="AT316" s="180">
        <f t="shared" si="56"/>
        <v>1</v>
      </c>
      <c r="AU316" s="180" t="str">
        <f t="shared" si="64"/>
        <v>.</v>
      </c>
      <c r="AV316" s="180" t="str">
        <f t="shared" si="65"/>
        <v>.</v>
      </c>
      <c r="AW316" s="180">
        <f>IFERROR(VLOOKUP(B316,'Share, Heavy Weapons to Ukraine'!B:J,COLUMN('Share, Heavy Weapons to Ukraine'!C323)-1,0),0)</f>
        <v>0</v>
      </c>
      <c r="AX316" s="180">
        <f>VLOOKUP('Bilateral Assistance, MAIN DATA'!B316,'Country Summary'!B:F,COLUMN('Country Summary'!C326)-1,FALSE)</f>
        <v>1</v>
      </c>
      <c r="AY316" s="180" t="str">
        <f>IF(AND(AD316=1,D316="Military",H316&lt;&gt;"Not given")=TRUE,IF(SUMIFS(P:P,A:A,A316)&gt;0,ABS((SUMIFS(P:P,A:A,A316)/VLOOKUP("USD",'Exchange Rates'!B:C,2,0)))/S316,"."),".")</f>
        <v>.</v>
      </c>
      <c r="AZ316" s="182" t="str">
        <f>IF(AND(AD316=1,D316="Military",H316&lt;&gt;"Not given")=TRUE,IF(SUMIFS(P:P,A:A,A316)&gt;0,IF((ABS((SUMIFS(P:P,A:A,A316)/VLOOKUP("USD",'Exchange Rates'!B:C,2,0)))/S316)&gt;1,(SUMIFS(P:P,A:A,A316)-S316)/S316,(S316-SUMIFS(P:P,A:A,A316))/SUMIFS(P:P,A:A,A316)),"."),".")</f>
        <v>.</v>
      </c>
      <c r="BA316" s="182"/>
      <c r="BB316" s="182"/>
      <c r="BC316" s="182"/>
      <c r="BD316" s="182"/>
      <c r="BE316" s="182"/>
      <c r="BF316" s="182"/>
      <c r="BG316" s="182"/>
      <c r="BH316" s="182"/>
      <c r="BI316" s="182"/>
      <c r="BJ316" s="182"/>
      <c r="BK316" s="182"/>
      <c r="BL316" s="182"/>
      <c r="BM316" s="182"/>
      <c r="BN316" s="182"/>
      <c r="BO316" s="182"/>
      <c r="BP316" s="182"/>
      <c r="BQ316" s="182"/>
      <c r="BR316" s="182"/>
      <c r="BS316" s="182"/>
    </row>
    <row r="317" spans="1:71" ht="15.9" customHeight="1" x14ac:dyDescent="0.3">
      <c r="A317" s="5" t="s">
        <v>1130</v>
      </c>
      <c r="B317" s="5" t="s">
        <v>1131</v>
      </c>
      <c r="C317" s="174">
        <v>44621</v>
      </c>
      <c r="D317" s="5" t="s">
        <v>256</v>
      </c>
      <c r="E317" s="5" t="s">
        <v>554</v>
      </c>
      <c r="F317" s="175" t="s">
        <v>1132</v>
      </c>
      <c r="G317" s="15" t="s">
        <v>364</v>
      </c>
      <c r="H317" s="176">
        <v>100000000</v>
      </c>
      <c r="I317" s="17" t="s">
        <v>354</v>
      </c>
      <c r="J317" s="113" t="str">
        <f>VLOOKUP($I317,'Price List, Weapons &amp; Items'!B:C,2,0)</f>
        <v>Humanitarian</v>
      </c>
      <c r="K317" s="113" t="str">
        <f>IF(I317=".",I317,VLOOKUP($I317,'Price List, Weapons &amp; Items'!B:D,3,0))</f>
        <v>Humanitarian</v>
      </c>
      <c r="L317" s="177">
        <f>VLOOKUP(I317,'Price List, Weapons &amp; Items'!B:E,4,0)</f>
        <v>0</v>
      </c>
      <c r="M317" s="542">
        <v>300</v>
      </c>
      <c r="N317" s="542" t="s">
        <v>270</v>
      </c>
      <c r="O317" s="543">
        <f>VLOOKUP($I317,'Price List, Weapons &amp; Items'!B:G,6,0)</f>
        <v>150</v>
      </c>
      <c r="P317" s="176">
        <f t="shared" si="57"/>
        <v>45000</v>
      </c>
      <c r="Q317" s="176" t="str">
        <f t="shared" si="58"/>
        <v>.</v>
      </c>
      <c r="R317" s="176" t="str">
        <f t="shared" si="54"/>
        <v/>
      </c>
      <c r="S317" s="176" t="str">
        <f>IF(AND(AD317=1,R317&lt;&gt;".")=TRUE,R317/VLOOKUP(G317,'Exchange Rates'!B:C,2,0),IF(R317=".",".",""))</f>
        <v/>
      </c>
      <c r="T317" s="176" t="str">
        <f>IF(AD317=1,IF(AF317="Value is not given at all",".",IF(AF317="Value is given by the source",S317,IF(AF317="Value is calculated with prices",(IF(SUMIFS(Q:Q,A:A,A317)&gt;0,SUMIFS(Q:Q,A:A,A317),"."))/VLOOKUP("USD",'Exchange Rates'!B:C,2,0),"Error with coding"))),"")</f>
        <v/>
      </c>
      <c r="U317" s="15" t="s">
        <v>261</v>
      </c>
      <c r="V317" s="547" t="s">
        <v>1134</v>
      </c>
      <c r="W317" s="547" t="s">
        <v>1135</v>
      </c>
      <c r="X317" s="547" t="s">
        <v>1136</v>
      </c>
      <c r="Y317" s="188" t="s">
        <v>260</v>
      </c>
      <c r="Z317" s="15">
        <v>0</v>
      </c>
      <c r="AA317" s="180">
        <v>0</v>
      </c>
      <c r="AB317" s="184" t="s">
        <v>260</v>
      </c>
      <c r="AC317" s="544" t="str">
        <f>""</f>
        <v/>
      </c>
      <c r="AD317" s="181">
        <v>0</v>
      </c>
      <c r="AE317" s="181" t="s">
        <v>264</v>
      </c>
      <c r="AF317" s="181" t="s">
        <v>265</v>
      </c>
      <c r="AG317" s="181">
        <v>1</v>
      </c>
      <c r="AH317" s="181">
        <v>3</v>
      </c>
      <c r="AI317" s="181">
        <v>0</v>
      </c>
      <c r="AJ317" s="181">
        <f>VLOOKUP($I317,'Price List, Weapons &amp; Items'!B:F,5,0)</f>
        <v>0</v>
      </c>
      <c r="AK317" s="181">
        <f t="shared" si="59"/>
        <v>0</v>
      </c>
      <c r="AL317" s="181">
        <f t="shared" si="60"/>
        <v>0</v>
      </c>
      <c r="AM317" s="181">
        <f t="shared" si="61"/>
        <v>0</v>
      </c>
      <c r="AN317" s="180" t="str">
        <f>VLOOKUP($I317,'Price List, Weapons &amp; Items'!B:L,COLUMN('Price List, Weapons &amp; Items'!$J$11)-1,0)</f>
        <v>Miscellaneous</v>
      </c>
      <c r="AO317" s="180" t="str">
        <f>IF(I317=".",".",VLOOKUP($I317,'Price List, Weapons &amp; Items'!B:J,3,0))</f>
        <v>Humanitarian</v>
      </c>
      <c r="AP317" s="545" t="str">
        <f t="shared" ca="1" si="55"/>
        <v/>
      </c>
      <c r="AQ317" s="180">
        <f>VLOOKUP($I317,'Price List, Weapons &amp; Items'!B:L,COLUMN('Price List, Weapons &amp; Items'!$L$11)-1,0)</f>
        <v>0</v>
      </c>
      <c r="AR317" s="180">
        <f t="shared" si="62"/>
        <v>1</v>
      </c>
      <c r="AS317" s="180">
        <f t="shared" si="63"/>
        <v>0</v>
      </c>
      <c r="AT317" s="180">
        <f t="shared" si="56"/>
        <v>1</v>
      </c>
      <c r="AU317" s="180" t="str">
        <f t="shared" si="64"/>
        <v>.</v>
      </c>
      <c r="AV317" s="180" t="str">
        <f t="shared" si="65"/>
        <v>.</v>
      </c>
      <c r="AW317" s="180">
        <f>IFERROR(VLOOKUP(B317,'Share, Heavy Weapons to Ukraine'!B:J,COLUMN('Share, Heavy Weapons to Ukraine'!C324)-1,0),0)</f>
        <v>0</v>
      </c>
      <c r="AX317" s="180">
        <f>VLOOKUP('Bilateral Assistance, MAIN DATA'!B317,'Country Summary'!B:F,COLUMN('Country Summary'!C327)-1,FALSE)</f>
        <v>1</v>
      </c>
      <c r="AY317" s="180" t="str">
        <f>IF(AND(AD317=1,D317="Military",H317&lt;&gt;"Not given")=TRUE,IF(SUMIFS(P:P,A:A,A317)&gt;0,ABS((SUMIFS(P:P,A:A,A317)/VLOOKUP("USD",'Exchange Rates'!B:C,2,0)))/S317,"."),".")</f>
        <v>.</v>
      </c>
      <c r="AZ317" s="182" t="str">
        <f>IF(AND(AD317=1,D317="Military",H317&lt;&gt;"Not given")=TRUE,IF(SUMIFS(P:P,A:A,A317)&gt;0,IF((ABS((SUMIFS(P:P,A:A,A317)/VLOOKUP("USD",'Exchange Rates'!B:C,2,0)))/S317)&gt;1,(SUMIFS(P:P,A:A,A317)-S317)/S317,(S317-SUMIFS(P:P,A:A,A317))/SUMIFS(P:P,A:A,A317)),"."),".")</f>
        <v>.</v>
      </c>
      <c r="BA317" s="182"/>
      <c r="BB317" s="182"/>
      <c r="BC317" s="182"/>
      <c r="BD317" s="182"/>
      <c r="BE317" s="182"/>
      <c r="BF317" s="182"/>
      <c r="BG317" s="182"/>
      <c r="BH317" s="182"/>
      <c r="BI317" s="182"/>
      <c r="BJ317" s="182"/>
      <c r="BK317" s="182"/>
      <c r="BL317" s="182"/>
      <c r="BM317" s="182"/>
      <c r="BN317" s="182"/>
      <c r="BO317" s="182"/>
      <c r="BP317" s="182"/>
      <c r="BQ317" s="182"/>
      <c r="BR317" s="182"/>
      <c r="BS317" s="182"/>
    </row>
    <row r="318" spans="1:71" ht="15.9" customHeight="1" x14ac:dyDescent="0.3">
      <c r="A318" s="5" t="s">
        <v>1130</v>
      </c>
      <c r="B318" s="5" t="s">
        <v>1131</v>
      </c>
      <c r="C318" s="174">
        <v>44621</v>
      </c>
      <c r="D318" s="5" t="s">
        <v>256</v>
      </c>
      <c r="E318" s="5" t="s">
        <v>554</v>
      </c>
      <c r="F318" s="175" t="s">
        <v>1132</v>
      </c>
      <c r="G318" s="15" t="s">
        <v>364</v>
      </c>
      <c r="H318" s="176">
        <v>100000000</v>
      </c>
      <c r="I318" s="17" t="s">
        <v>701</v>
      </c>
      <c r="J318" s="113" t="str">
        <f>VLOOKUP($I318,'Price List, Weapons &amp; Items'!B:C,2,0)</f>
        <v>Humanitarian</v>
      </c>
      <c r="K318" s="113" t="str">
        <f>IF(I318=".",I318,VLOOKUP($I318,'Price List, Weapons &amp; Items'!B:D,3,0))</f>
        <v>Humanitarian</v>
      </c>
      <c r="L318" s="177">
        <f>VLOOKUP(I318,'Price List, Weapons &amp; Items'!B:E,4,0)</f>
        <v>0</v>
      </c>
      <c r="M318" s="542">
        <v>8</v>
      </c>
      <c r="N318" s="542" t="s">
        <v>270</v>
      </c>
      <c r="O318" s="543">
        <f>VLOOKUP($I318,'Price List, Weapons &amp; Items'!B:G,6,0)</f>
        <v>10000</v>
      </c>
      <c r="P318" s="176">
        <f t="shared" si="57"/>
        <v>80000</v>
      </c>
      <c r="Q318" s="176" t="str">
        <f t="shared" si="58"/>
        <v>.</v>
      </c>
      <c r="R318" s="176" t="str">
        <f t="shared" si="54"/>
        <v/>
      </c>
      <c r="S318" s="176" t="str">
        <f>IF(AND(AD318=1,R318&lt;&gt;".")=TRUE,R318/VLOOKUP(G318,'Exchange Rates'!B:C,2,0),IF(R318=".",".",""))</f>
        <v/>
      </c>
      <c r="T318" s="176" t="str">
        <f>IF(AD318=1,IF(AF318="Value is not given at all",".",IF(AF318="Value is given by the source",S318,IF(AF318="Value is calculated with prices",(IF(SUMIFS(Q:Q,A:A,A318)&gt;0,SUMIFS(Q:Q,A:A,A318),"."))/VLOOKUP("USD",'Exchange Rates'!B:C,2,0),"Error with coding"))),"")</f>
        <v/>
      </c>
      <c r="U318" s="15" t="s">
        <v>261</v>
      </c>
      <c r="V318" s="547" t="s">
        <v>1134</v>
      </c>
      <c r="W318" s="547" t="s">
        <v>1135</v>
      </c>
      <c r="X318" s="547" t="s">
        <v>1136</v>
      </c>
      <c r="Y318" s="188" t="s">
        <v>260</v>
      </c>
      <c r="Z318" s="15">
        <v>0</v>
      </c>
      <c r="AA318" s="180">
        <v>0</v>
      </c>
      <c r="AB318" s="184" t="s">
        <v>260</v>
      </c>
      <c r="AC318" s="544" t="str">
        <f>""</f>
        <v/>
      </c>
      <c r="AD318" s="181">
        <v>0</v>
      </c>
      <c r="AE318" s="181" t="s">
        <v>264</v>
      </c>
      <c r="AF318" s="181" t="s">
        <v>265</v>
      </c>
      <c r="AG318" s="181">
        <v>1</v>
      </c>
      <c r="AH318" s="181">
        <v>3</v>
      </c>
      <c r="AI318" s="181">
        <v>0</v>
      </c>
      <c r="AJ318" s="181">
        <f>VLOOKUP($I318,'Price List, Weapons &amp; Items'!B:F,5,0)</f>
        <v>0</v>
      </c>
      <c r="AK318" s="181">
        <f t="shared" si="59"/>
        <v>0</v>
      </c>
      <c r="AL318" s="181">
        <f t="shared" si="60"/>
        <v>0</v>
      </c>
      <c r="AM318" s="181">
        <f t="shared" si="61"/>
        <v>0</v>
      </c>
      <c r="AN318" s="180" t="str">
        <f>VLOOKUP($I318,'Price List, Weapons &amp; Items'!B:L,COLUMN('Price List, Weapons &amp; Items'!$J$11)-1,0)</f>
        <v>Miscellaneous</v>
      </c>
      <c r="AO318" s="180" t="str">
        <f>IF(I318=".",".",VLOOKUP($I318,'Price List, Weapons &amp; Items'!B:J,3,0))</f>
        <v>Humanitarian</v>
      </c>
      <c r="AP318" s="545" t="str">
        <f t="shared" ca="1" si="55"/>
        <v/>
      </c>
      <c r="AQ318" s="180">
        <f>VLOOKUP($I318,'Price List, Weapons &amp; Items'!B:L,COLUMN('Price List, Weapons &amp; Items'!$L$11)-1,0)</f>
        <v>0</v>
      </c>
      <c r="AR318" s="180">
        <f t="shared" si="62"/>
        <v>1</v>
      </c>
      <c r="AS318" s="180">
        <f t="shared" si="63"/>
        <v>0</v>
      </c>
      <c r="AT318" s="180">
        <f t="shared" si="56"/>
        <v>1</v>
      </c>
      <c r="AU318" s="180" t="str">
        <f t="shared" si="64"/>
        <v>.</v>
      </c>
      <c r="AV318" s="180" t="str">
        <f t="shared" si="65"/>
        <v>.</v>
      </c>
      <c r="AW318" s="180">
        <f>IFERROR(VLOOKUP(B318,'Share, Heavy Weapons to Ukraine'!B:J,COLUMN('Share, Heavy Weapons to Ukraine'!C325)-1,0),0)</f>
        <v>0</v>
      </c>
      <c r="AX318" s="180">
        <f>VLOOKUP('Bilateral Assistance, MAIN DATA'!B318,'Country Summary'!B:F,COLUMN('Country Summary'!C328)-1,FALSE)</f>
        <v>1</v>
      </c>
      <c r="AY318" s="180" t="str">
        <f>IF(AND(AD318=1,D318="Military",H318&lt;&gt;"Not given")=TRUE,IF(SUMIFS(P:P,A:A,A318)&gt;0,ABS((SUMIFS(P:P,A:A,A318)/VLOOKUP("USD",'Exchange Rates'!B:C,2,0)))/S318,"."),".")</f>
        <v>.</v>
      </c>
      <c r="AZ318" s="182" t="str">
        <f>IF(AND(AD318=1,D318="Military",H318&lt;&gt;"Not given")=TRUE,IF(SUMIFS(P:P,A:A,A318)&gt;0,IF((ABS((SUMIFS(P:P,A:A,A318)/VLOOKUP("USD",'Exchange Rates'!B:C,2,0)))/S318)&gt;1,(SUMIFS(P:P,A:A,A318)-S318)/S318,(S318-SUMIFS(P:P,A:A,A318))/SUMIFS(P:P,A:A,A318)),"."),".")</f>
        <v>.</v>
      </c>
      <c r="BA318" s="182"/>
      <c r="BB318" s="182"/>
      <c r="BC318" s="182"/>
      <c r="BD318" s="182"/>
      <c r="BE318" s="182"/>
      <c r="BF318" s="182"/>
      <c r="BG318" s="182"/>
      <c r="BH318" s="182"/>
      <c r="BI318" s="182"/>
      <c r="BJ318" s="182"/>
      <c r="BK318" s="182"/>
      <c r="BL318" s="182"/>
      <c r="BM318" s="182"/>
      <c r="BN318" s="182"/>
      <c r="BO318" s="182"/>
      <c r="BP318" s="182"/>
      <c r="BQ318" s="182"/>
      <c r="BR318" s="182"/>
      <c r="BS318" s="182"/>
    </row>
    <row r="319" spans="1:71" ht="15.9" customHeight="1" x14ac:dyDescent="0.3">
      <c r="A319" s="17" t="s">
        <v>1139</v>
      </c>
      <c r="B319" s="17" t="s">
        <v>1131</v>
      </c>
      <c r="C319" s="174" t="s">
        <v>766</v>
      </c>
      <c r="D319" s="5" t="s">
        <v>256</v>
      </c>
      <c r="E319" s="5" t="s">
        <v>554</v>
      </c>
      <c r="F319" s="175" t="s">
        <v>1140</v>
      </c>
      <c r="G319" s="15" t="s">
        <v>364</v>
      </c>
      <c r="H319" s="176">
        <v>1600000</v>
      </c>
      <c r="I319" s="17" t="s">
        <v>260</v>
      </c>
      <c r="J319" s="113" t="str">
        <f>VLOOKUP($I319,'Price List, Weapons &amp; Items'!B:C,2,0)</f>
        <v>.</v>
      </c>
      <c r="K319" s="113" t="str">
        <f>IF(I319=".",I319,VLOOKUP($I319,'Price List, Weapons &amp; Items'!B:D,3,0))</f>
        <v>.</v>
      </c>
      <c r="L319" s="177">
        <f>VLOOKUP(I319,'Price List, Weapons &amp; Items'!B:E,4,0)</f>
        <v>0</v>
      </c>
      <c r="M319" s="542" t="s">
        <v>260</v>
      </c>
      <c r="N319" s="542" t="s">
        <v>260</v>
      </c>
      <c r="O319" s="543" t="str">
        <f>VLOOKUP($I319,'Price List, Weapons &amp; Items'!B:G,6,0)</f>
        <v>.</v>
      </c>
      <c r="P319" s="176" t="str">
        <f t="shared" si="57"/>
        <v>.</v>
      </c>
      <c r="Q319" s="176" t="str">
        <f t="shared" si="58"/>
        <v>.</v>
      </c>
      <c r="R319" s="176">
        <f t="shared" si="54"/>
        <v>1600000</v>
      </c>
      <c r="S319" s="176">
        <f>IF(AND(AD319=1,R319&lt;&gt;".")=TRUE,R319/VLOOKUP(G319,'Exchange Rates'!B:C,2,0),IF(R319=".",".",""))</f>
        <v>1600000</v>
      </c>
      <c r="T319" s="176" t="str">
        <f>IF(AD319=1,IF(AF319="Value is not given at all",".",IF(AF319="Value is given by the source",S319,IF(AF319="Value is calculated with prices",(IF(SUMIFS(Q:Q,A:A,A319)&gt;0,SUMIFS(Q:Q,A:A,A319),"."))/VLOOKUP("USD",'Exchange Rates'!B:C,2,0),"Error with coding"))),"")</f>
        <v>.</v>
      </c>
      <c r="U319" s="15" t="s">
        <v>261</v>
      </c>
      <c r="V319" s="300" t="s">
        <v>1141</v>
      </c>
      <c r="W319" s="175" t="s">
        <v>260</v>
      </c>
      <c r="X319" s="175" t="s">
        <v>260</v>
      </c>
      <c r="Y319" s="175" t="s">
        <v>260</v>
      </c>
      <c r="Z319" s="15">
        <v>0</v>
      </c>
      <c r="AA319" s="180">
        <v>0</v>
      </c>
      <c r="AB319" s="184" t="s">
        <v>260</v>
      </c>
      <c r="AC319" s="544" t="str">
        <f>""</f>
        <v/>
      </c>
      <c r="AD319" s="181">
        <v>1</v>
      </c>
      <c r="AE319" s="181" t="s">
        <v>264</v>
      </c>
      <c r="AF319" s="181" t="s">
        <v>265</v>
      </c>
      <c r="AG319" s="181">
        <v>1</v>
      </c>
      <c r="AH319" s="181">
        <v>3</v>
      </c>
      <c r="AI319" s="181">
        <v>0</v>
      </c>
      <c r="AJ319" s="181">
        <f>VLOOKUP($I319,'Price List, Weapons &amp; Items'!B:F,5,0)</f>
        <v>0</v>
      </c>
      <c r="AK319" s="181">
        <f t="shared" si="59"/>
        <v>0</v>
      </c>
      <c r="AL319" s="181">
        <f t="shared" si="60"/>
        <v>0</v>
      </c>
      <c r="AM319" s="181">
        <f t="shared" si="61"/>
        <v>0</v>
      </c>
      <c r="AN319" s="180" t="str">
        <f>VLOOKUP($I319,'Price List, Weapons &amp; Items'!B:L,COLUMN('Price List, Weapons &amp; Items'!$J$11)-1,0)</f>
        <v>.</v>
      </c>
      <c r="AO319" s="180" t="str">
        <f>IF(I319=".",".",VLOOKUP($I319,'Price List, Weapons &amp; Items'!B:J,3,0))</f>
        <v>.</v>
      </c>
      <c r="AP319" s="545" t="e">
        <f t="shared" ca="1" si="55"/>
        <v>#NAME?</v>
      </c>
      <c r="AQ319" s="180" t="str">
        <f>VLOOKUP($I319,'Price List, Weapons &amp; Items'!B:L,COLUMN('Price List, Weapons &amp; Items'!$L$11)-1,0)</f>
        <v>no price, 0 count</v>
      </c>
      <c r="AR319" s="180">
        <f t="shared" si="62"/>
        <v>1</v>
      </c>
      <c r="AS319" s="180">
        <f t="shared" si="63"/>
        <v>0</v>
      </c>
      <c r="AT319" s="180" t="str">
        <f t="shared" si="56"/>
        <v>Value is not in date format</v>
      </c>
      <c r="AU319" s="180" t="str">
        <f t="shared" si="64"/>
        <v>.</v>
      </c>
      <c r="AV319" s="180" t="str">
        <f t="shared" si="65"/>
        <v>.</v>
      </c>
      <c r="AW319" s="180">
        <f>IFERROR(VLOOKUP(B319,'Share, Heavy Weapons to Ukraine'!B:J,COLUMN('Share, Heavy Weapons to Ukraine'!C326)-1,0),0)</f>
        <v>0</v>
      </c>
      <c r="AX319" s="180">
        <f>VLOOKUP('Bilateral Assistance, MAIN DATA'!B319,'Country Summary'!B:F,COLUMN('Country Summary'!C329)-1,FALSE)</f>
        <v>1</v>
      </c>
      <c r="AY319" s="180" t="str">
        <f>IF(AND(AD319=1,D319="Military",H319&lt;&gt;"Not given")=TRUE,IF(SUMIFS(P:P,A:A,A319)&gt;0,ABS((SUMIFS(P:P,A:A,A319)/VLOOKUP("USD",'Exchange Rates'!B:C,2,0)))/S319,"."),".")</f>
        <v>.</v>
      </c>
      <c r="AZ319" s="182" t="str">
        <f>IF(AND(AD319=1,D319="Military",H319&lt;&gt;"Not given")=TRUE,IF(SUMIFS(P:P,A:A,A319)&gt;0,IF((ABS((SUMIFS(P:P,A:A,A319)/VLOOKUP("USD",'Exchange Rates'!B:C,2,0)))/S319)&gt;1,(SUMIFS(P:P,A:A,A319)-S319)/S319,(S319-SUMIFS(P:P,A:A,A319))/SUMIFS(P:P,A:A,A319)),"."),".")</f>
        <v>.</v>
      </c>
      <c r="BA319" s="182"/>
      <c r="BB319" s="182"/>
      <c r="BC319" s="182"/>
      <c r="BD319" s="182"/>
      <c r="BE319" s="182"/>
      <c r="BF319" s="182"/>
      <c r="BG319" s="182"/>
      <c r="BH319" s="182"/>
      <c r="BI319" s="182"/>
      <c r="BJ319" s="182"/>
      <c r="BK319" s="182"/>
      <c r="BL319" s="182"/>
      <c r="BM319" s="182"/>
      <c r="BN319" s="182"/>
      <c r="BO319" s="182"/>
      <c r="BP319" s="182"/>
      <c r="BQ319" s="182"/>
      <c r="BR319" s="182"/>
      <c r="BS319" s="182"/>
    </row>
    <row r="320" spans="1:71" ht="15.9" customHeight="1" x14ac:dyDescent="0.3">
      <c r="A320" s="5" t="s">
        <v>1142</v>
      </c>
      <c r="B320" s="5" t="s">
        <v>1131</v>
      </c>
      <c r="C320" s="174">
        <v>44645</v>
      </c>
      <c r="D320" s="5" t="s">
        <v>256</v>
      </c>
      <c r="E320" s="5" t="s">
        <v>267</v>
      </c>
      <c r="F320" s="175" t="s">
        <v>1143</v>
      </c>
      <c r="G320" s="15" t="s">
        <v>346</v>
      </c>
      <c r="H320" s="176" t="s">
        <v>341</v>
      </c>
      <c r="I320" s="17" t="s">
        <v>358</v>
      </c>
      <c r="J320" s="113" t="str">
        <f>VLOOKUP($I320,'Price List, Weapons &amp; Items'!B:C,2,0)</f>
        <v>Humanitarian</v>
      </c>
      <c r="K320" s="113" t="str">
        <f>IF(I320=".",I320,VLOOKUP($I320,'Price List, Weapons &amp; Items'!B:D,3,0))</f>
        <v>Humanitarian</v>
      </c>
      <c r="L320" s="177">
        <f>VLOOKUP(I320,'Price List, Weapons &amp; Items'!B:E,4,0)</f>
        <v>0</v>
      </c>
      <c r="M320" s="542">
        <v>21</v>
      </c>
      <c r="N320" s="542" t="s">
        <v>270</v>
      </c>
      <c r="O320" s="543">
        <f>VLOOKUP($I320,'Price List, Weapons &amp; Items'!B:G,6,0)</f>
        <v>317500</v>
      </c>
      <c r="P320" s="176">
        <f t="shared" si="57"/>
        <v>6667500</v>
      </c>
      <c r="Q320" s="176" t="str">
        <f t="shared" si="58"/>
        <v>.</v>
      </c>
      <c r="R320" s="176">
        <f t="shared" si="54"/>
        <v>17957500</v>
      </c>
      <c r="S320" s="176">
        <f>IF(AND(AD320=1,R320&lt;&gt;".")=TRUE,R320/VLOOKUP(G320,'Exchange Rates'!B:C,2,0),IF(R320=".",".",""))</f>
        <v>17102380.952380951</v>
      </c>
      <c r="T320" s="176" t="str">
        <f>IF(AD320=1,IF(AF320="Value is not given at all",".",IF(AF320="Value is given by the source",S320,IF(AF320="Value is calculated with prices",(IF(SUMIFS(Q:Q,A:A,A320)&gt;0,SUMIFS(Q:Q,A:A,A320),"."))/VLOOKUP("USD",'Exchange Rates'!B:C,2,0),"Error with coding"))),"")</f>
        <v>.</v>
      </c>
      <c r="U320" s="15" t="s">
        <v>261</v>
      </c>
      <c r="V320" s="547" t="s">
        <v>1144</v>
      </c>
      <c r="W320" s="547" t="s">
        <v>1145</v>
      </c>
      <c r="X320" s="188" t="s">
        <v>260</v>
      </c>
      <c r="Y320" s="188" t="s">
        <v>260</v>
      </c>
      <c r="Z320" s="15">
        <v>0</v>
      </c>
      <c r="AA320" s="180">
        <v>0</v>
      </c>
      <c r="AB320" s="184" t="s">
        <v>260</v>
      </c>
      <c r="AC320" s="544" t="str">
        <f>""</f>
        <v/>
      </c>
      <c r="AD320" s="181">
        <v>1</v>
      </c>
      <c r="AE320" s="181" t="s">
        <v>332</v>
      </c>
      <c r="AF320" s="181" t="s">
        <v>265</v>
      </c>
      <c r="AG320" s="181">
        <v>1</v>
      </c>
      <c r="AH320" s="181">
        <v>3</v>
      </c>
      <c r="AI320" s="181">
        <v>0</v>
      </c>
      <c r="AJ320" s="181">
        <f>VLOOKUP($I320,'Price List, Weapons &amp; Items'!B:F,5,0)</f>
        <v>0</v>
      </c>
      <c r="AK320" s="181">
        <f t="shared" si="59"/>
        <v>0</v>
      </c>
      <c r="AL320" s="181">
        <f t="shared" si="60"/>
        <v>0</v>
      </c>
      <c r="AM320" s="181">
        <f t="shared" si="61"/>
        <v>0</v>
      </c>
      <c r="AN320" s="180" t="str">
        <f>VLOOKUP($I320,'Price List, Weapons &amp; Items'!B:L,COLUMN('Price List, Weapons &amp; Items'!$J$11)-1,0)</f>
        <v>Media reports (incl. social media)</v>
      </c>
      <c r="AO320" s="180" t="str">
        <f>IF(I320=".",".",VLOOKUP($I320,'Price List, Weapons &amp; Items'!B:J,3,0))</f>
        <v>Humanitarian</v>
      </c>
      <c r="AP320" s="545" t="e">
        <f t="shared" ca="1" si="55"/>
        <v>#NAME?</v>
      </c>
      <c r="AQ320" s="180">
        <f>VLOOKUP($I320,'Price List, Weapons &amp; Items'!B:L,COLUMN('Price List, Weapons &amp; Items'!$L$11)-1,0)</f>
        <v>0</v>
      </c>
      <c r="AR320" s="180">
        <f t="shared" si="62"/>
        <v>1</v>
      </c>
      <c r="AS320" s="180">
        <f t="shared" si="63"/>
        <v>0</v>
      </c>
      <c r="AT320" s="180">
        <f t="shared" si="56"/>
        <v>1</v>
      </c>
      <c r="AU320" s="180" t="str">
        <f t="shared" si="64"/>
        <v>.</v>
      </c>
      <c r="AV320" s="180" t="str">
        <f t="shared" si="65"/>
        <v>.</v>
      </c>
      <c r="AW320" s="180">
        <f>IFERROR(VLOOKUP(B320,'Share, Heavy Weapons to Ukraine'!B:J,COLUMN('Share, Heavy Weapons to Ukraine'!C327)-1,0),0)</f>
        <v>0</v>
      </c>
      <c r="AX320" s="180">
        <f>VLOOKUP('Bilateral Assistance, MAIN DATA'!B320,'Country Summary'!B:F,COLUMN('Country Summary'!C330)-1,FALSE)</f>
        <v>1</v>
      </c>
      <c r="AY320" s="180" t="str">
        <f>IF(AND(AD320=1,D320="Military",H320&lt;&gt;"Not given")=TRUE,IF(SUMIFS(P:P,A:A,A320)&gt;0,ABS((SUMIFS(P:P,A:A,A320)/VLOOKUP("USD",'Exchange Rates'!B:C,2,0)))/S320,"."),".")</f>
        <v>.</v>
      </c>
      <c r="AZ320" s="182" t="str">
        <f>IF(AND(AD320=1,D320="Military",H320&lt;&gt;"Not given")=TRUE,IF(SUMIFS(P:P,A:A,A320)&gt;0,IF((ABS((SUMIFS(P:P,A:A,A320)/VLOOKUP("USD",'Exchange Rates'!B:C,2,0)))/S320)&gt;1,(SUMIFS(P:P,A:A,A320)-S320)/S320,(S320-SUMIFS(P:P,A:A,A320))/SUMIFS(P:P,A:A,A320)),"."),".")</f>
        <v>.</v>
      </c>
      <c r="BA320" s="182"/>
      <c r="BB320" s="182"/>
      <c r="BC320" s="182"/>
      <c r="BD320" s="182"/>
      <c r="BE320" s="182"/>
      <c r="BF320" s="182"/>
      <c r="BG320" s="182"/>
      <c r="BH320" s="182"/>
      <c r="BI320" s="182"/>
      <c r="BJ320" s="182"/>
      <c r="BK320" s="182"/>
      <c r="BL320" s="182"/>
      <c r="BM320" s="182"/>
      <c r="BN320" s="182"/>
      <c r="BO320" s="182"/>
      <c r="BP320" s="182"/>
      <c r="BQ320" s="182"/>
      <c r="BR320" s="182"/>
      <c r="BS320" s="182"/>
    </row>
    <row r="321" spans="1:71" ht="15.9" customHeight="1" x14ac:dyDescent="0.3">
      <c r="A321" s="5" t="s">
        <v>1142</v>
      </c>
      <c r="B321" s="5" t="s">
        <v>1131</v>
      </c>
      <c r="C321" s="174">
        <v>44645</v>
      </c>
      <c r="D321" s="5" t="s">
        <v>256</v>
      </c>
      <c r="E321" s="5" t="s">
        <v>267</v>
      </c>
      <c r="F321" s="175" t="s">
        <v>1143</v>
      </c>
      <c r="G321" s="15" t="s">
        <v>346</v>
      </c>
      <c r="H321" s="176" t="s">
        <v>341</v>
      </c>
      <c r="I321" s="17" t="s">
        <v>771</v>
      </c>
      <c r="J321" s="113" t="str">
        <f>VLOOKUP($I321,'Price List, Weapons &amp; Items'!B:C,2,0)</f>
        <v>Humanitarian</v>
      </c>
      <c r="K321" s="113" t="str">
        <f>IF(I321=".",I321,VLOOKUP($I321,'Price List, Weapons &amp; Items'!B:D,3,0))</f>
        <v>Humanitarian</v>
      </c>
      <c r="L321" s="177">
        <f>VLOOKUP(I321,'Price List, Weapons &amp; Items'!B:E,4,0)</f>
        <v>0</v>
      </c>
      <c r="M321" s="542">
        <v>11</v>
      </c>
      <c r="N321" s="542" t="s">
        <v>270</v>
      </c>
      <c r="O321" s="543">
        <f>VLOOKUP($I321,'Price List, Weapons &amp; Items'!B:G,6,0)</f>
        <v>400000</v>
      </c>
      <c r="P321" s="176">
        <f t="shared" si="57"/>
        <v>4400000</v>
      </c>
      <c r="Q321" s="176" t="str">
        <f t="shared" si="58"/>
        <v>.</v>
      </c>
      <c r="R321" s="176" t="str">
        <f t="shared" si="54"/>
        <v/>
      </c>
      <c r="S321" s="176" t="str">
        <f>IF(AND(AD321=1,R321&lt;&gt;".")=TRUE,R321/VLOOKUP(G321,'Exchange Rates'!B:C,2,0),IF(R321=".",".",""))</f>
        <v/>
      </c>
      <c r="T321" s="176" t="str">
        <f>IF(AD321=1,IF(AF321="Value is not given at all",".",IF(AF321="Value is given by the source",S321,IF(AF321="Value is calculated with prices",(IF(SUMIFS(Q:Q,A:A,A321)&gt;0,SUMIFS(Q:Q,A:A,A321),"."))/VLOOKUP("USD",'Exchange Rates'!B:C,2,0),"Error with coding"))),"")</f>
        <v/>
      </c>
      <c r="U321" s="15" t="s">
        <v>261</v>
      </c>
      <c r="V321" s="547" t="s">
        <v>1144</v>
      </c>
      <c r="W321" s="547" t="s">
        <v>1145</v>
      </c>
      <c r="X321" s="188" t="s">
        <v>260</v>
      </c>
      <c r="Y321" s="188" t="s">
        <v>260</v>
      </c>
      <c r="Z321" s="15">
        <v>0</v>
      </c>
      <c r="AA321" s="180">
        <v>0</v>
      </c>
      <c r="AB321" s="184" t="s">
        <v>260</v>
      </c>
      <c r="AC321" s="544" t="str">
        <f>""</f>
        <v/>
      </c>
      <c r="AD321" s="181">
        <v>0</v>
      </c>
      <c r="AE321" s="181" t="s">
        <v>332</v>
      </c>
      <c r="AF321" s="181" t="s">
        <v>265</v>
      </c>
      <c r="AG321" s="181">
        <v>1</v>
      </c>
      <c r="AH321" s="181">
        <v>3</v>
      </c>
      <c r="AI321" s="181">
        <v>0</v>
      </c>
      <c r="AJ321" s="181">
        <f>VLOOKUP($I321,'Price List, Weapons &amp; Items'!B:F,5,0)</f>
        <v>0</v>
      </c>
      <c r="AK321" s="181">
        <f t="shared" si="59"/>
        <v>0</v>
      </c>
      <c r="AL321" s="181">
        <f t="shared" si="60"/>
        <v>0</v>
      </c>
      <c r="AM321" s="181">
        <f t="shared" si="61"/>
        <v>0</v>
      </c>
      <c r="AN321" s="180" t="str">
        <f>VLOOKUP($I321,'Price List, Weapons &amp; Items'!B:L,COLUMN('Price List, Weapons &amp; Items'!$J$11)-1,0)</f>
        <v>Media reports (incl. social media)</v>
      </c>
      <c r="AO321" s="180" t="str">
        <f>IF(I321=".",".",VLOOKUP($I321,'Price List, Weapons &amp; Items'!B:J,3,0))</f>
        <v>Humanitarian</v>
      </c>
      <c r="AP321" s="545" t="str">
        <f t="shared" ca="1" si="55"/>
        <v/>
      </c>
      <c r="AQ321" s="180">
        <f>VLOOKUP($I321,'Price List, Weapons &amp; Items'!B:L,COLUMN('Price List, Weapons &amp; Items'!$L$11)-1,0)</f>
        <v>0</v>
      </c>
      <c r="AR321" s="180">
        <f t="shared" si="62"/>
        <v>1</v>
      </c>
      <c r="AS321" s="180">
        <f t="shared" si="63"/>
        <v>0</v>
      </c>
      <c r="AT321" s="180">
        <f t="shared" si="56"/>
        <v>1</v>
      </c>
      <c r="AU321" s="180" t="str">
        <f t="shared" si="64"/>
        <v>.</v>
      </c>
      <c r="AV321" s="180" t="str">
        <f t="shared" si="65"/>
        <v>.</v>
      </c>
      <c r="AW321" s="180">
        <f>IFERROR(VLOOKUP(B321,'Share, Heavy Weapons to Ukraine'!B:J,COLUMN('Share, Heavy Weapons to Ukraine'!C328)-1,0),0)</f>
        <v>0</v>
      </c>
      <c r="AX321" s="180">
        <f>VLOOKUP('Bilateral Assistance, MAIN DATA'!B321,'Country Summary'!B:F,COLUMN('Country Summary'!C331)-1,FALSE)</f>
        <v>1</v>
      </c>
      <c r="AY321" s="180" t="str">
        <f>IF(AND(AD321=1,D321="Military",H321&lt;&gt;"Not given")=TRUE,IF(SUMIFS(P:P,A:A,A321)&gt;0,ABS((SUMIFS(P:P,A:A,A321)/VLOOKUP("USD",'Exchange Rates'!B:C,2,0)))/S321,"."),".")</f>
        <v>.</v>
      </c>
      <c r="AZ321" s="182" t="str">
        <f>IF(AND(AD321=1,D321="Military",H321&lt;&gt;"Not given")=TRUE,IF(SUMIFS(P:P,A:A,A321)&gt;0,IF((ABS((SUMIFS(P:P,A:A,A321)/VLOOKUP("USD",'Exchange Rates'!B:C,2,0)))/S321)&gt;1,(SUMIFS(P:P,A:A,A321)-S321)/S321,(S321-SUMIFS(P:P,A:A,A321))/SUMIFS(P:P,A:A,A321)),"."),".")</f>
        <v>.</v>
      </c>
      <c r="BA321" s="182"/>
      <c r="BB321" s="182"/>
      <c r="BC321" s="182"/>
      <c r="BD321" s="182"/>
      <c r="BE321" s="182"/>
      <c r="BF321" s="182"/>
      <c r="BG321" s="182"/>
      <c r="BH321" s="182"/>
      <c r="BI321" s="182"/>
      <c r="BJ321" s="182"/>
      <c r="BK321" s="182"/>
      <c r="BL321" s="182"/>
      <c r="BM321" s="182"/>
      <c r="BN321" s="182"/>
      <c r="BO321" s="182"/>
      <c r="BP321" s="182"/>
      <c r="BQ321" s="182"/>
      <c r="BR321" s="182"/>
      <c r="BS321" s="182"/>
    </row>
    <row r="322" spans="1:71" ht="15.9" customHeight="1" x14ac:dyDescent="0.3">
      <c r="A322" s="5" t="s">
        <v>1142</v>
      </c>
      <c r="B322" s="5" t="s">
        <v>1131</v>
      </c>
      <c r="C322" s="174">
        <v>44645</v>
      </c>
      <c r="D322" s="5" t="s">
        <v>256</v>
      </c>
      <c r="E322" s="5" t="s">
        <v>267</v>
      </c>
      <c r="F322" s="175" t="s">
        <v>1143</v>
      </c>
      <c r="G322" s="15" t="s">
        <v>346</v>
      </c>
      <c r="H322" s="176" t="s">
        <v>341</v>
      </c>
      <c r="I322" s="17" t="s">
        <v>1146</v>
      </c>
      <c r="J322" s="113" t="str">
        <f>VLOOKUP($I322,'Price List, Weapons &amp; Items'!B:C,2,0)</f>
        <v>Humanitarian</v>
      </c>
      <c r="K322" s="113" t="str">
        <f>IF(I322=".",I322,VLOOKUP($I322,'Price List, Weapons &amp; Items'!B:D,3,0))</f>
        <v>Humanitarian</v>
      </c>
      <c r="L322" s="177">
        <f>VLOOKUP(I322,'Price List, Weapons &amp; Items'!B:E,4,0)</f>
        <v>0</v>
      </c>
      <c r="M322" s="542">
        <v>16</v>
      </c>
      <c r="N322" s="542" t="s">
        <v>270</v>
      </c>
      <c r="O322" s="543">
        <f>VLOOKUP($I322,'Price List, Weapons &amp; Items'!B:G,6,0)</f>
        <v>400000</v>
      </c>
      <c r="P322" s="176">
        <f t="shared" si="57"/>
        <v>6400000</v>
      </c>
      <c r="Q322" s="176" t="str">
        <f t="shared" si="58"/>
        <v>.</v>
      </c>
      <c r="R322" s="176" t="str">
        <f t="shared" ref="R322:R385" si="66">IF(AD322=1,IF(H322&lt;&gt;"Not given",H322,IF(TYPE(H322)=2,IF(SUMIFS(P:P,A:A,A322)&gt;0,SUMIFS(P:P,A:A,A322),"."),"Format error")),"")</f>
        <v/>
      </c>
      <c r="S322" s="176" t="str">
        <f>IF(AND(AD322=1,R322&lt;&gt;".")=TRUE,R322/VLOOKUP(G322,'Exchange Rates'!B:C,2,0),IF(R322=".",".",""))</f>
        <v/>
      </c>
      <c r="T322" s="176" t="str">
        <f>IF(AD322=1,IF(AF322="Value is not given at all",".",IF(AF322="Value is given by the source",S322,IF(AF322="Value is calculated with prices",(IF(SUMIFS(Q:Q,A:A,A322)&gt;0,SUMIFS(Q:Q,A:A,A322),"."))/VLOOKUP("USD",'Exchange Rates'!B:C,2,0),"Error with coding"))),"")</f>
        <v/>
      </c>
      <c r="U322" s="15" t="s">
        <v>261</v>
      </c>
      <c r="V322" s="547" t="s">
        <v>1144</v>
      </c>
      <c r="W322" s="547" t="s">
        <v>1145</v>
      </c>
      <c r="X322" s="188" t="s">
        <v>260</v>
      </c>
      <c r="Y322" s="188" t="s">
        <v>260</v>
      </c>
      <c r="Z322" s="15">
        <v>0</v>
      </c>
      <c r="AA322" s="180">
        <v>0</v>
      </c>
      <c r="AB322" s="184" t="s">
        <v>260</v>
      </c>
      <c r="AC322" s="544" t="str">
        <f>""</f>
        <v/>
      </c>
      <c r="AD322" s="181">
        <v>0</v>
      </c>
      <c r="AE322" s="181" t="s">
        <v>332</v>
      </c>
      <c r="AF322" s="181" t="s">
        <v>265</v>
      </c>
      <c r="AG322" s="181">
        <v>1</v>
      </c>
      <c r="AH322" s="181">
        <v>3</v>
      </c>
      <c r="AI322" s="181">
        <v>0</v>
      </c>
      <c r="AJ322" s="181">
        <f>VLOOKUP($I322,'Price List, Weapons &amp; Items'!B:F,5,0)</f>
        <v>0</v>
      </c>
      <c r="AK322" s="181">
        <f t="shared" si="59"/>
        <v>0</v>
      </c>
      <c r="AL322" s="181">
        <f t="shared" si="60"/>
        <v>0</v>
      </c>
      <c r="AM322" s="181">
        <f t="shared" si="61"/>
        <v>0</v>
      </c>
      <c r="AN322" s="180" t="str">
        <f>VLOOKUP($I322,'Price List, Weapons &amp; Items'!B:L,COLUMN('Price List, Weapons &amp; Items'!$J$11)-1,0)</f>
        <v>Miscellaneous</v>
      </c>
      <c r="AO322" s="180" t="str">
        <f>IF(I322=".",".",VLOOKUP($I322,'Price List, Weapons &amp; Items'!B:J,3,0))</f>
        <v>Humanitarian</v>
      </c>
      <c r="AP322" s="545" t="str">
        <f t="shared" ca="1" si="55"/>
        <v/>
      </c>
      <c r="AQ322" s="180">
        <f>VLOOKUP($I322,'Price List, Weapons &amp; Items'!B:L,COLUMN('Price List, Weapons &amp; Items'!$L$11)-1,0)</f>
        <v>0</v>
      </c>
      <c r="AR322" s="180">
        <f t="shared" si="62"/>
        <v>1</v>
      </c>
      <c r="AS322" s="180">
        <f t="shared" si="63"/>
        <v>0</v>
      </c>
      <c r="AT322" s="180">
        <f t="shared" si="56"/>
        <v>1</v>
      </c>
      <c r="AU322" s="180" t="str">
        <f t="shared" si="64"/>
        <v>.</v>
      </c>
      <c r="AV322" s="180" t="str">
        <f t="shared" si="65"/>
        <v>.</v>
      </c>
      <c r="AW322" s="180">
        <f>IFERROR(VLOOKUP(B322,'Share, Heavy Weapons to Ukraine'!B:J,COLUMN('Share, Heavy Weapons to Ukraine'!C329)-1,0),0)</f>
        <v>0</v>
      </c>
      <c r="AX322" s="180">
        <f>VLOOKUP('Bilateral Assistance, MAIN DATA'!B322,'Country Summary'!B:F,COLUMN('Country Summary'!C332)-1,FALSE)</f>
        <v>1</v>
      </c>
      <c r="AY322" s="180" t="str">
        <f>IF(AND(AD322=1,D322="Military",H322&lt;&gt;"Not given")=TRUE,IF(SUMIFS(P:P,A:A,A322)&gt;0,ABS((SUMIFS(P:P,A:A,A322)/VLOOKUP("USD",'Exchange Rates'!B:C,2,0)))/S322,"."),".")</f>
        <v>.</v>
      </c>
      <c r="AZ322" s="182" t="str">
        <f>IF(AND(AD322=1,D322="Military",H322&lt;&gt;"Not given")=TRUE,IF(SUMIFS(P:P,A:A,A322)&gt;0,IF((ABS((SUMIFS(P:P,A:A,A322)/VLOOKUP("USD",'Exchange Rates'!B:C,2,0)))/S322)&gt;1,(SUMIFS(P:P,A:A,A322)-S322)/S322,(S322-SUMIFS(P:P,A:A,A322))/SUMIFS(P:P,A:A,A322)),"."),".")</f>
        <v>.</v>
      </c>
      <c r="BA322" s="182"/>
      <c r="BB322" s="182"/>
      <c r="BC322" s="182"/>
      <c r="BD322" s="182"/>
      <c r="BE322" s="182"/>
      <c r="BF322" s="182"/>
      <c r="BG322" s="182"/>
      <c r="BH322" s="182"/>
      <c r="BI322" s="182"/>
      <c r="BJ322" s="182"/>
      <c r="BK322" s="182"/>
      <c r="BL322" s="182"/>
      <c r="BM322" s="182"/>
      <c r="BN322" s="182"/>
      <c r="BO322" s="182"/>
      <c r="BP322" s="182"/>
      <c r="BQ322" s="182"/>
      <c r="BR322" s="182"/>
      <c r="BS322" s="182"/>
    </row>
    <row r="323" spans="1:71" ht="15.9" customHeight="1" x14ac:dyDescent="0.3">
      <c r="A323" s="5" t="s">
        <v>1142</v>
      </c>
      <c r="B323" s="5" t="s">
        <v>1131</v>
      </c>
      <c r="C323" s="174">
        <v>44645</v>
      </c>
      <c r="D323" s="5" t="s">
        <v>256</v>
      </c>
      <c r="E323" s="5" t="s">
        <v>267</v>
      </c>
      <c r="F323" s="175" t="s">
        <v>1143</v>
      </c>
      <c r="G323" s="15" t="s">
        <v>346</v>
      </c>
      <c r="H323" s="176" t="s">
        <v>341</v>
      </c>
      <c r="I323" s="17" t="s">
        <v>1147</v>
      </c>
      <c r="J323" s="113" t="str">
        <f>VLOOKUP($I323,'Price List, Weapons &amp; Items'!B:C,2,0)</f>
        <v>Military equipment</v>
      </c>
      <c r="K323" s="113" t="str">
        <f>IF(I323=".",I323,VLOOKUP($I323,'Price List, Weapons &amp; Items'!B:D,3,0))</f>
        <v>non combat military vehicle</v>
      </c>
      <c r="L323" s="177">
        <f>VLOOKUP(I323,'Price List, Weapons &amp; Items'!B:E,4,0)</f>
        <v>0</v>
      </c>
      <c r="M323" s="542">
        <v>23</v>
      </c>
      <c r="N323" s="542" t="s">
        <v>270</v>
      </c>
      <c r="O323" s="543" t="str">
        <f>VLOOKUP($I323,'Price List, Weapons &amp; Items'!B:G,6,0)</f>
        <v>.</v>
      </c>
      <c r="P323" s="176" t="str">
        <f t="shared" si="57"/>
        <v>No price</v>
      </c>
      <c r="Q323" s="176" t="str">
        <f t="shared" si="58"/>
        <v>.</v>
      </c>
      <c r="R323" s="176" t="str">
        <f t="shared" si="66"/>
        <v/>
      </c>
      <c r="S323" s="176" t="str">
        <f>IF(AND(AD323=1,R323&lt;&gt;".")=TRUE,R323/VLOOKUP(G323,'Exchange Rates'!B:C,2,0),IF(R323=".",".",""))</f>
        <v/>
      </c>
      <c r="T323" s="176" t="str">
        <f>IF(AD323=1,IF(AF323="Value is not given at all",".",IF(AF323="Value is given by the source",S323,IF(AF323="Value is calculated with prices",(IF(SUMIFS(Q:Q,A:A,A323)&gt;0,SUMIFS(Q:Q,A:A,A323),"."))/VLOOKUP("USD",'Exchange Rates'!B:C,2,0),"Error with coding"))),"")</f>
        <v/>
      </c>
      <c r="U323" s="15" t="s">
        <v>261</v>
      </c>
      <c r="V323" s="547" t="s">
        <v>1144</v>
      </c>
      <c r="W323" s="547" t="s">
        <v>1145</v>
      </c>
      <c r="X323" s="188" t="s">
        <v>260</v>
      </c>
      <c r="Y323" s="188" t="s">
        <v>260</v>
      </c>
      <c r="Z323" s="15">
        <v>0</v>
      </c>
      <c r="AA323" s="180">
        <v>0</v>
      </c>
      <c r="AB323" s="184" t="s">
        <v>260</v>
      </c>
      <c r="AC323" s="544" t="str">
        <f>""</f>
        <v/>
      </c>
      <c r="AD323" s="181">
        <v>0</v>
      </c>
      <c r="AE323" s="181" t="s">
        <v>332</v>
      </c>
      <c r="AF323" s="181" t="s">
        <v>265</v>
      </c>
      <c r="AG323" s="181">
        <v>1</v>
      </c>
      <c r="AH323" s="181">
        <v>3</v>
      </c>
      <c r="AI323" s="181">
        <v>0</v>
      </c>
      <c r="AJ323" s="181">
        <f>VLOOKUP($I323,'Price List, Weapons &amp; Items'!B:F,5,0)</f>
        <v>0</v>
      </c>
      <c r="AK323" s="181">
        <f t="shared" si="59"/>
        <v>0</v>
      </c>
      <c r="AL323" s="181">
        <f t="shared" si="60"/>
        <v>0</v>
      </c>
      <c r="AM323" s="181">
        <f t="shared" si="61"/>
        <v>0</v>
      </c>
      <c r="AN323" s="180" t="str">
        <f>VLOOKUP($I323,'Price List, Weapons &amp; Items'!B:L,COLUMN('Price List, Weapons &amp; Items'!$J$11)-1,0)</f>
        <v>.</v>
      </c>
      <c r="AO323" s="180" t="str">
        <f>IF(I323=".",".",VLOOKUP($I323,'Price List, Weapons &amp; Items'!B:J,3,0))</f>
        <v>non combat military vehicle</v>
      </c>
      <c r="AP323" s="545" t="str">
        <f t="shared" ref="AP323:AP386" ca="1" si="67">IF(AD323=1,_xlfn.ARRAYTOTEXT(OFFSET(I323,0,0,COUNTIF(A:A,A323),1)),"")</f>
        <v/>
      </c>
      <c r="AQ323" s="180">
        <f>VLOOKUP($I323,'Price List, Weapons &amp; Items'!B:L,COLUMN('Price List, Weapons &amp; Items'!$L$11)-1,0)</f>
        <v>0</v>
      </c>
      <c r="AR323" s="180">
        <f t="shared" si="62"/>
        <v>1</v>
      </c>
      <c r="AS323" s="180">
        <f t="shared" si="63"/>
        <v>0</v>
      </c>
      <c r="AT323" s="180">
        <f t="shared" ref="AT323:AT387" si="68">IFERROR(IF(VALUE(TEXT(C323,"mm"))=AH323,".",IF(TEXT(C323,"mm")="01",".",1)),"Value is not in date format")</f>
        <v>1</v>
      </c>
      <c r="AU323" s="180" t="str">
        <f t="shared" si="64"/>
        <v>.</v>
      </c>
      <c r="AV323" s="180" t="str">
        <f t="shared" si="65"/>
        <v>.</v>
      </c>
      <c r="AW323" s="180">
        <f>IFERROR(VLOOKUP(B323,'Share, Heavy Weapons to Ukraine'!B:J,COLUMN('Share, Heavy Weapons to Ukraine'!C330)-1,0),0)</f>
        <v>0</v>
      </c>
      <c r="AX323" s="180">
        <f>VLOOKUP('Bilateral Assistance, MAIN DATA'!B323,'Country Summary'!B:F,COLUMN('Country Summary'!C333)-1,FALSE)</f>
        <v>1</v>
      </c>
      <c r="AY323" s="180" t="str">
        <f>IF(AND(AD323=1,D323="Military",H323&lt;&gt;"Not given")=TRUE,IF(SUMIFS(P:P,A:A,A323)&gt;0,ABS((SUMIFS(P:P,A:A,A323)/VLOOKUP("USD",'Exchange Rates'!B:C,2,0)))/S323,"."),".")</f>
        <v>.</v>
      </c>
      <c r="AZ323" s="182" t="str">
        <f>IF(AND(AD323=1,D323="Military",H323&lt;&gt;"Not given")=TRUE,IF(SUMIFS(P:P,A:A,A323)&gt;0,IF((ABS((SUMIFS(P:P,A:A,A323)/VLOOKUP("USD",'Exchange Rates'!B:C,2,0)))/S323)&gt;1,(SUMIFS(P:P,A:A,A323)-S323)/S323,(S323-SUMIFS(P:P,A:A,A323))/SUMIFS(P:P,A:A,A323)),"."),".")</f>
        <v>.</v>
      </c>
      <c r="BA323" s="182"/>
      <c r="BB323" s="182"/>
      <c r="BC323" s="182"/>
      <c r="BD323" s="182"/>
      <c r="BE323" s="182"/>
      <c r="BF323" s="182"/>
      <c r="BG323" s="182"/>
      <c r="BH323" s="182"/>
      <c r="BI323" s="182"/>
      <c r="BJ323" s="182"/>
      <c r="BK323" s="182"/>
      <c r="BL323" s="182"/>
      <c r="BM323" s="182"/>
      <c r="BN323" s="182"/>
      <c r="BO323" s="182"/>
      <c r="BP323" s="182"/>
      <c r="BQ323" s="182"/>
      <c r="BR323" s="182"/>
      <c r="BS323" s="182"/>
    </row>
    <row r="324" spans="1:71" ht="15.9" customHeight="1" x14ac:dyDescent="0.3">
      <c r="A324" s="5" t="s">
        <v>1142</v>
      </c>
      <c r="B324" s="5" t="s">
        <v>1131</v>
      </c>
      <c r="C324" s="174">
        <v>44645</v>
      </c>
      <c r="D324" s="5" t="s">
        <v>256</v>
      </c>
      <c r="E324" s="5" t="s">
        <v>267</v>
      </c>
      <c r="F324" s="175" t="s">
        <v>1143</v>
      </c>
      <c r="G324" s="15" t="s">
        <v>346</v>
      </c>
      <c r="H324" s="176" t="s">
        <v>341</v>
      </c>
      <c r="I324" s="17" t="s">
        <v>1148</v>
      </c>
      <c r="J324" s="113" t="str">
        <f>VLOOKUP($I324,'Price List, Weapons &amp; Items'!B:C,2,0)</f>
        <v>Humanitarian</v>
      </c>
      <c r="K324" s="113" t="str">
        <f>IF(I324=".",I324,VLOOKUP($I324,'Price List, Weapons &amp; Items'!B:D,3,0))</f>
        <v>Humanitarian</v>
      </c>
      <c r="L324" s="177">
        <f>VLOOKUP(I324,'Price List, Weapons &amp; Items'!B:E,4,0)</f>
        <v>0</v>
      </c>
      <c r="M324" s="542">
        <v>49</v>
      </c>
      <c r="N324" s="542" t="s">
        <v>270</v>
      </c>
      <c r="O324" s="543">
        <f>VLOOKUP($I324,'Price List, Weapons &amp; Items'!B:G,6,0)</f>
        <v>10000</v>
      </c>
      <c r="P324" s="176">
        <f t="shared" ref="P324:P387" si="69">IF(TYPE(M324)=1,IF(TYPE(O324)=1,M324*O324,"No price"),".")</f>
        <v>490000</v>
      </c>
      <c r="Q324" s="176" t="str">
        <f t="shared" ref="Q324:Q387" si="70">IF(TYPE(N324)=1,IF(TYPE(O324)=1,N324*O324,"No price"),".")</f>
        <v>.</v>
      </c>
      <c r="R324" s="176" t="str">
        <f t="shared" si="66"/>
        <v/>
      </c>
      <c r="S324" s="176" t="str">
        <f>IF(AND(AD324=1,R324&lt;&gt;".")=TRUE,R324/VLOOKUP(G324,'Exchange Rates'!B:C,2,0),IF(R324=".",".",""))</f>
        <v/>
      </c>
      <c r="T324" s="176" t="str">
        <f>IF(AD324=1,IF(AF324="Value is not given at all",".",IF(AF324="Value is given by the source",S324,IF(AF324="Value is calculated with prices",(IF(SUMIFS(Q:Q,A:A,A324)&gt;0,SUMIFS(Q:Q,A:A,A324),"."))/VLOOKUP("USD",'Exchange Rates'!B:C,2,0),"Error with coding"))),"")</f>
        <v/>
      </c>
      <c r="U324" s="15" t="s">
        <v>261</v>
      </c>
      <c r="V324" s="547" t="s">
        <v>1144</v>
      </c>
      <c r="W324" s="547" t="s">
        <v>1145</v>
      </c>
      <c r="X324" s="188" t="s">
        <v>260</v>
      </c>
      <c r="Y324" s="188" t="s">
        <v>260</v>
      </c>
      <c r="Z324" s="15">
        <v>0</v>
      </c>
      <c r="AA324" s="180">
        <v>0</v>
      </c>
      <c r="AB324" s="184" t="s">
        <v>260</v>
      </c>
      <c r="AC324" s="544" t="str">
        <f>""</f>
        <v/>
      </c>
      <c r="AD324" s="181">
        <v>0</v>
      </c>
      <c r="AE324" s="181" t="s">
        <v>332</v>
      </c>
      <c r="AF324" s="181" t="s">
        <v>265</v>
      </c>
      <c r="AG324" s="181">
        <v>1</v>
      </c>
      <c r="AH324" s="181">
        <v>3</v>
      </c>
      <c r="AI324" s="181">
        <v>0</v>
      </c>
      <c r="AJ324" s="181">
        <f>VLOOKUP($I324,'Price List, Weapons &amp; Items'!B:F,5,0)</f>
        <v>0</v>
      </c>
      <c r="AK324" s="181">
        <f t="shared" ref="AK324:AK387" si="71">IF(AND(AJ324=1,M324="undisclosed")=TRUE,1,0)</f>
        <v>0</v>
      </c>
      <c r="AL324" s="181">
        <f t="shared" ref="AL324:AL387" si="72">IF(AND(AJ324=1,N324="undisclosed")=TRUE,1,0)</f>
        <v>0</v>
      </c>
      <c r="AM324" s="181">
        <f t="shared" ref="AM324:AM387" si="73">IFERROR(IF(SEARCH("ammuni",I324,1)&gt;0,1,0),0)</f>
        <v>0</v>
      </c>
      <c r="AN324" s="180" t="str">
        <f>VLOOKUP($I324,'Price List, Weapons &amp; Items'!B:L,COLUMN('Price List, Weapons &amp; Items'!$J$11)-1,0)</f>
        <v>Miscellaneous</v>
      </c>
      <c r="AO324" s="180" t="str">
        <f>IF(I324=".",".",VLOOKUP($I324,'Price List, Weapons &amp; Items'!B:J,3,0))</f>
        <v>Humanitarian</v>
      </c>
      <c r="AP324" s="545" t="str">
        <f t="shared" ca="1" si="67"/>
        <v/>
      </c>
      <c r="AQ324" s="180">
        <f>VLOOKUP($I324,'Price List, Weapons &amp; Items'!B:L,COLUMN('Price List, Weapons &amp; Items'!$L$11)-1,0)</f>
        <v>0</v>
      </c>
      <c r="AR324" s="180">
        <f t="shared" ref="AR324:AR387" si="74">IF(U324="Yes",1,0)</f>
        <v>1</v>
      </c>
      <c r="AS324" s="180">
        <f t="shared" ref="AS324:AS387" si="75">IF(D324="Military",IF(OR(IFERROR(SEARCH("equipment",E324,1),0)&gt;0,IFERROR(SEARCH("weapons",E324,1),0)&gt;0),1,0),0)</f>
        <v>0</v>
      </c>
      <c r="AT324" s="180">
        <f t="shared" si="68"/>
        <v>1</v>
      </c>
      <c r="AU324" s="180" t="str">
        <f t="shared" ref="AU324:AU388" si="76">IF(AND(A324=A323,C324=C323)=TRUE,IF(F324=F323,".","1"),".")</f>
        <v>.</v>
      </c>
      <c r="AV324" s="180" t="str">
        <f t="shared" ref="AV324:AV388" si="77">IF(T324&lt;&gt;".",IF(T324&gt;S324,1,"."),".")</f>
        <v>.</v>
      </c>
      <c r="AW324" s="180">
        <f>IFERROR(VLOOKUP(B324,'Share, Heavy Weapons to Ukraine'!B:J,COLUMN('Share, Heavy Weapons to Ukraine'!C331)-1,0),0)</f>
        <v>0</v>
      </c>
      <c r="AX324" s="180">
        <f>VLOOKUP('Bilateral Assistance, MAIN DATA'!B324,'Country Summary'!B:F,COLUMN('Country Summary'!C334)-1,FALSE)</f>
        <v>1</v>
      </c>
      <c r="AY324" s="180" t="str">
        <f>IF(AND(AD324=1,D324="Military",H324&lt;&gt;"Not given")=TRUE,IF(SUMIFS(P:P,A:A,A324)&gt;0,ABS((SUMIFS(P:P,A:A,A324)/VLOOKUP("USD",'Exchange Rates'!B:C,2,0)))/S324,"."),".")</f>
        <v>.</v>
      </c>
      <c r="AZ324" s="182" t="str">
        <f>IF(AND(AD324=1,D324="Military",H324&lt;&gt;"Not given")=TRUE,IF(SUMIFS(P:P,A:A,A324)&gt;0,IF((ABS((SUMIFS(P:P,A:A,A324)/VLOOKUP("USD",'Exchange Rates'!B:C,2,0)))/S324)&gt;1,(SUMIFS(P:P,A:A,A324)-S324)/S324,(S324-SUMIFS(P:P,A:A,A324))/SUMIFS(P:P,A:A,A324)),"."),".")</f>
        <v>.</v>
      </c>
      <c r="BA324" s="182"/>
      <c r="BB324" s="182"/>
      <c r="BC324" s="182"/>
      <c r="BD324" s="182"/>
      <c r="BE324" s="182"/>
      <c r="BF324" s="182"/>
      <c r="BG324" s="182"/>
      <c r="BH324" s="182"/>
      <c r="BI324" s="182"/>
      <c r="BJ324" s="182"/>
      <c r="BK324" s="182"/>
      <c r="BL324" s="182"/>
      <c r="BM324" s="182"/>
      <c r="BN324" s="182"/>
      <c r="BO324" s="182"/>
      <c r="BP324" s="182"/>
      <c r="BQ324" s="182"/>
      <c r="BR324" s="182"/>
      <c r="BS324" s="182"/>
    </row>
    <row r="325" spans="1:71" ht="15.9" customHeight="1" x14ac:dyDescent="0.3">
      <c r="A325" s="5" t="s">
        <v>1149</v>
      </c>
      <c r="B325" s="5" t="s">
        <v>1131</v>
      </c>
      <c r="C325" s="174">
        <v>44665</v>
      </c>
      <c r="D325" s="5" t="s">
        <v>256</v>
      </c>
      <c r="E325" s="5" t="s">
        <v>1150</v>
      </c>
      <c r="F325" s="175" t="s">
        <v>1151</v>
      </c>
      <c r="G325" s="15" t="s">
        <v>346</v>
      </c>
      <c r="H325" s="176" t="s">
        <v>341</v>
      </c>
      <c r="I325" s="17" t="s">
        <v>771</v>
      </c>
      <c r="J325" s="113" t="str">
        <f>VLOOKUP($I325,'Price List, Weapons &amp; Items'!B:C,2,0)</f>
        <v>Humanitarian</v>
      </c>
      <c r="K325" s="113" t="str">
        <f>IF(I325=".",I325,VLOOKUP($I325,'Price List, Weapons &amp; Items'!B:D,3,0))</f>
        <v>Humanitarian</v>
      </c>
      <c r="L325" s="177">
        <f>VLOOKUP(I325,'Price List, Weapons &amp; Items'!B:E,4,0)</f>
        <v>0</v>
      </c>
      <c r="M325" s="542">
        <v>12</v>
      </c>
      <c r="N325" s="542">
        <v>12</v>
      </c>
      <c r="O325" s="543">
        <f>VLOOKUP($I325,'Price List, Weapons &amp; Items'!B:G,6,0)</f>
        <v>400000</v>
      </c>
      <c r="P325" s="176">
        <f t="shared" si="69"/>
        <v>4800000</v>
      </c>
      <c r="Q325" s="176">
        <f t="shared" si="70"/>
        <v>4800000</v>
      </c>
      <c r="R325" s="176">
        <f t="shared" si="66"/>
        <v>11000000</v>
      </c>
      <c r="S325" s="176">
        <f>IF(AND(AD325=1,R325&lt;&gt;".")=TRUE,R325/VLOOKUP(G325,'Exchange Rates'!B:C,2,0),IF(R325=".",".",""))</f>
        <v>10476190.476190476</v>
      </c>
      <c r="T325" s="176" t="str">
        <f>IF(AD325=1,IF(AF325="Value is not given at all",".",IF(AF325="Value is given by the source",S325,IF(AF325="Value is calculated with prices",(IF(SUMIFS(Q:Q,A:A,A325)&gt;0,SUMIFS(Q:Q,A:A,A325),"."))/VLOOKUP("USD",'Exchange Rates'!B:C,2,0),"Error with coding"))),"")</f>
        <v>.</v>
      </c>
      <c r="U325" s="15" t="s">
        <v>261</v>
      </c>
      <c r="V325" s="566" t="s">
        <v>1152</v>
      </c>
      <c r="W325" s="685" t="s">
        <v>260</v>
      </c>
      <c r="X325" s="188" t="s">
        <v>260</v>
      </c>
      <c r="Y325" s="188" t="s">
        <v>260</v>
      </c>
      <c r="Z325" s="15">
        <v>0</v>
      </c>
      <c r="AA325" s="180">
        <v>0</v>
      </c>
      <c r="AB325" s="184" t="s">
        <v>260</v>
      </c>
      <c r="AC325" s="544" t="str">
        <f>""</f>
        <v/>
      </c>
      <c r="AD325" s="181">
        <v>1</v>
      </c>
      <c r="AE325" s="181" t="s">
        <v>332</v>
      </c>
      <c r="AF325" s="181" t="s">
        <v>265</v>
      </c>
      <c r="AG325" s="181">
        <v>1</v>
      </c>
      <c r="AH325" s="181">
        <v>4</v>
      </c>
      <c r="AI325" s="181">
        <v>0</v>
      </c>
      <c r="AJ325" s="181">
        <f>VLOOKUP($I325,'Price List, Weapons &amp; Items'!B:F,5,0)</f>
        <v>0</v>
      </c>
      <c r="AK325" s="181">
        <f t="shared" si="71"/>
        <v>0</v>
      </c>
      <c r="AL325" s="181">
        <f t="shared" si="72"/>
        <v>0</v>
      </c>
      <c r="AM325" s="181">
        <f t="shared" si="73"/>
        <v>0</v>
      </c>
      <c r="AN325" s="180" t="str">
        <f>VLOOKUP($I325,'Price List, Weapons &amp; Items'!B:L,COLUMN('Price List, Weapons &amp; Items'!$J$11)-1,0)</f>
        <v>Media reports (incl. social media)</v>
      </c>
      <c r="AO325" s="180" t="str">
        <f>IF(I325=".",".",VLOOKUP($I325,'Price List, Weapons &amp; Items'!B:J,3,0))</f>
        <v>Humanitarian</v>
      </c>
      <c r="AP325" s="545" t="e">
        <f t="shared" ca="1" si="67"/>
        <v>#NAME?</v>
      </c>
      <c r="AQ325" s="180">
        <f>VLOOKUP($I325,'Price List, Weapons &amp; Items'!B:L,COLUMN('Price List, Weapons &amp; Items'!$L$11)-1,0)</f>
        <v>0</v>
      </c>
      <c r="AR325" s="180">
        <f t="shared" si="74"/>
        <v>1</v>
      </c>
      <c r="AS325" s="180">
        <f t="shared" si="75"/>
        <v>0</v>
      </c>
      <c r="AT325" s="180">
        <f t="shared" si="68"/>
        <v>1</v>
      </c>
      <c r="AU325" s="180" t="str">
        <f t="shared" si="76"/>
        <v>.</v>
      </c>
      <c r="AV325" s="180" t="str">
        <f t="shared" si="77"/>
        <v>.</v>
      </c>
      <c r="AW325" s="180">
        <f>IFERROR(VLOOKUP(B325,'Share, Heavy Weapons to Ukraine'!B:J,COLUMN('Share, Heavy Weapons to Ukraine'!C332)-1,0),0)</f>
        <v>0</v>
      </c>
      <c r="AX325" s="180">
        <f>VLOOKUP('Bilateral Assistance, MAIN DATA'!B325,'Country Summary'!B:F,COLUMN('Country Summary'!C335)-1,FALSE)</f>
        <v>1</v>
      </c>
      <c r="AY325" s="180" t="str">
        <f>IF(AND(AD325=1,D325="Military",H325&lt;&gt;"Not given")=TRUE,IF(SUMIFS(P:P,A:A,A325)&gt;0,ABS((SUMIFS(P:P,A:A,A325)/VLOOKUP("USD",'Exchange Rates'!B:C,2,0)))/S325,"."),".")</f>
        <v>.</v>
      </c>
      <c r="AZ325" s="182" t="str">
        <f>IF(AND(AD325=1,D325="Military",H325&lt;&gt;"Not given")=TRUE,IF(SUMIFS(P:P,A:A,A325)&gt;0,IF((ABS((SUMIFS(P:P,A:A,A325)/VLOOKUP("USD",'Exchange Rates'!B:C,2,0)))/S325)&gt;1,(SUMIFS(P:P,A:A,A325)-S325)/S325,(S325-SUMIFS(P:P,A:A,A325))/SUMIFS(P:P,A:A,A325)),"."),".")</f>
        <v>.</v>
      </c>
      <c r="BA325" s="182"/>
      <c r="BB325" s="182"/>
      <c r="BC325" s="182"/>
      <c r="BD325" s="182"/>
      <c r="BE325" s="182"/>
      <c r="BF325" s="182"/>
      <c r="BG325" s="182"/>
      <c r="BH325" s="182"/>
      <c r="BI325" s="182"/>
      <c r="BJ325" s="182"/>
      <c r="BK325" s="182"/>
      <c r="BL325" s="182"/>
      <c r="BM325" s="182"/>
      <c r="BN325" s="182"/>
      <c r="BO325" s="182"/>
      <c r="BP325" s="182"/>
      <c r="BQ325" s="182"/>
      <c r="BR325" s="182"/>
      <c r="BS325" s="182"/>
    </row>
    <row r="326" spans="1:71" ht="15.9" customHeight="1" x14ac:dyDescent="0.3">
      <c r="A326" s="5" t="s">
        <v>1149</v>
      </c>
      <c r="B326" s="5" t="s">
        <v>1131</v>
      </c>
      <c r="C326" s="174">
        <v>44665</v>
      </c>
      <c r="D326" s="5" t="s">
        <v>256</v>
      </c>
      <c r="E326" s="5" t="s">
        <v>267</v>
      </c>
      <c r="F326" s="175" t="s">
        <v>1151</v>
      </c>
      <c r="G326" s="15" t="s">
        <v>346</v>
      </c>
      <c r="H326" s="176" t="s">
        <v>341</v>
      </c>
      <c r="I326" s="17" t="s">
        <v>1153</v>
      </c>
      <c r="J326" s="113" t="str">
        <f>VLOOKUP($I326,'Price List, Weapons &amp; Items'!B:C,2,0)</f>
        <v>Humanitarian</v>
      </c>
      <c r="K326" s="113" t="str">
        <f>IF(I326=".",I326,VLOOKUP($I326,'Price List, Weapons &amp; Items'!B:D,3,0))</f>
        <v>Humanitarian</v>
      </c>
      <c r="L326" s="177">
        <f>VLOOKUP(I326,'Price List, Weapons &amp; Items'!B:E,4,0)</f>
        <v>0</v>
      </c>
      <c r="M326" s="542">
        <v>12</v>
      </c>
      <c r="N326" s="542">
        <v>12</v>
      </c>
      <c r="O326" s="543">
        <f>VLOOKUP($I326,'Price List, Weapons &amp; Items'!B:G,6,0)</f>
        <v>400000</v>
      </c>
      <c r="P326" s="176">
        <f t="shared" si="69"/>
        <v>4800000</v>
      </c>
      <c r="Q326" s="176">
        <f t="shared" si="70"/>
        <v>4800000</v>
      </c>
      <c r="R326" s="176" t="str">
        <f t="shared" si="66"/>
        <v/>
      </c>
      <c r="S326" s="176" t="str">
        <f>IF(AND(AD326=1,R326&lt;&gt;".")=TRUE,R326/VLOOKUP(G326,'Exchange Rates'!B:C,2,0),IF(R326=".",".",""))</f>
        <v/>
      </c>
      <c r="T326" s="176" t="str">
        <f>IF(AD326=1,IF(AF326="Value is not given at all",".",IF(AF326="Value is given by the source",S326,IF(AF326="Value is calculated with prices",(IF(SUMIFS(Q:Q,A:A,A326)&gt;0,SUMIFS(Q:Q,A:A,A326),"."))/VLOOKUP("USD",'Exchange Rates'!B:C,2,0),"Error with coding"))),"")</f>
        <v/>
      </c>
      <c r="U326" s="15" t="s">
        <v>261</v>
      </c>
      <c r="V326" s="566" t="s">
        <v>1152</v>
      </c>
      <c r="W326" s="685" t="s">
        <v>260</v>
      </c>
      <c r="X326" s="188" t="s">
        <v>260</v>
      </c>
      <c r="Y326" s="188" t="s">
        <v>260</v>
      </c>
      <c r="Z326" s="15">
        <v>0</v>
      </c>
      <c r="AA326" s="180">
        <v>0</v>
      </c>
      <c r="AB326" s="184" t="s">
        <v>260</v>
      </c>
      <c r="AC326" s="544" t="str">
        <f>""</f>
        <v/>
      </c>
      <c r="AD326" s="181">
        <v>0</v>
      </c>
      <c r="AE326" s="181" t="s">
        <v>332</v>
      </c>
      <c r="AF326" s="181" t="s">
        <v>332</v>
      </c>
      <c r="AG326" s="181">
        <v>1</v>
      </c>
      <c r="AH326" s="181">
        <v>4</v>
      </c>
      <c r="AI326" s="181">
        <v>0</v>
      </c>
      <c r="AJ326" s="181">
        <f>VLOOKUP($I326,'Price List, Weapons &amp; Items'!B:F,5,0)</f>
        <v>0</v>
      </c>
      <c r="AK326" s="181">
        <f t="shared" si="71"/>
        <v>0</v>
      </c>
      <c r="AL326" s="181">
        <f t="shared" si="72"/>
        <v>0</v>
      </c>
      <c r="AM326" s="181">
        <f t="shared" si="73"/>
        <v>0</v>
      </c>
      <c r="AN326" s="180" t="str">
        <f>VLOOKUP($I326,'Price List, Weapons &amp; Items'!B:L,COLUMN('Price List, Weapons &amp; Items'!$J$11)-1,0)</f>
        <v>Miscellaneous</v>
      </c>
      <c r="AO326" s="180" t="str">
        <f>IF(I326=".",".",VLOOKUP($I326,'Price List, Weapons &amp; Items'!B:J,3,0))</f>
        <v>Humanitarian</v>
      </c>
      <c r="AP326" s="545" t="str">
        <f t="shared" ca="1" si="67"/>
        <v/>
      </c>
      <c r="AQ326" s="180">
        <f>VLOOKUP($I326,'Price List, Weapons &amp; Items'!B:L,COLUMN('Price List, Weapons &amp; Items'!$L$11)-1,0)</f>
        <v>0</v>
      </c>
      <c r="AR326" s="180">
        <f t="shared" si="74"/>
        <v>1</v>
      </c>
      <c r="AS326" s="180">
        <f t="shared" si="75"/>
        <v>0</v>
      </c>
      <c r="AT326" s="180">
        <f t="shared" si="68"/>
        <v>1</v>
      </c>
      <c r="AU326" s="180" t="str">
        <f t="shared" si="76"/>
        <v>.</v>
      </c>
      <c r="AV326" s="180" t="str">
        <f t="shared" si="77"/>
        <v>.</v>
      </c>
      <c r="AW326" s="180">
        <f>IFERROR(VLOOKUP(B326,'Share, Heavy Weapons to Ukraine'!B:J,COLUMN('Share, Heavy Weapons to Ukraine'!C333)-1,0),0)</f>
        <v>0</v>
      </c>
      <c r="AX326" s="180">
        <f>VLOOKUP('Bilateral Assistance, MAIN DATA'!B326,'Country Summary'!B:F,COLUMN('Country Summary'!C336)-1,FALSE)</f>
        <v>1</v>
      </c>
      <c r="AY326" s="180" t="str">
        <f>IF(AND(AD326=1,D326="Military",H326&lt;&gt;"Not given")=TRUE,IF(SUMIFS(P:P,A:A,A326)&gt;0,ABS((SUMIFS(P:P,A:A,A326)/VLOOKUP("USD",'Exchange Rates'!B:C,2,0)))/S326,"."),".")</f>
        <v>.</v>
      </c>
      <c r="AZ326" s="182" t="str">
        <f>IF(AND(AD326=1,D326="Military",H326&lt;&gt;"Not given")=TRUE,IF(SUMIFS(P:P,A:A,A326)&gt;0,IF((ABS((SUMIFS(P:P,A:A,A326)/VLOOKUP("USD",'Exchange Rates'!B:C,2,0)))/S326)&gt;1,(SUMIFS(P:P,A:A,A326)-S326)/S326,(S326-SUMIFS(P:P,A:A,A326))/SUMIFS(P:P,A:A,A326)),"."),".")</f>
        <v>.</v>
      </c>
      <c r="BA326" s="182"/>
      <c r="BB326" s="182"/>
      <c r="BC326" s="182"/>
      <c r="BD326" s="182"/>
      <c r="BE326" s="182"/>
      <c r="BF326" s="182"/>
      <c r="BG326" s="182"/>
      <c r="BH326" s="182"/>
      <c r="BI326" s="182"/>
      <c r="BJ326" s="182"/>
      <c r="BK326" s="182"/>
      <c r="BL326" s="182"/>
      <c r="BM326" s="182"/>
      <c r="BN326" s="182"/>
      <c r="BO326" s="182"/>
      <c r="BP326" s="182"/>
      <c r="BQ326" s="182"/>
      <c r="BR326" s="182"/>
      <c r="BS326" s="182"/>
    </row>
    <row r="327" spans="1:71" ht="15.9" customHeight="1" x14ac:dyDescent="0.3">
      <c r="A327" s="5" t="s">
        <v>1149</v>
      </c>
      <c r="B327" s="5" t="s">
        <v>1131</v>
      </c>
      <c r="C327" s="174">
        <v>44665</v>
      </c>
      <c r="D327" s="5" t="s">
        <v>256</v>
      </c>
      <c r="E327" s="5" t="s">
        <v>267</v>
      </c>
      <c r="F327" s="175" t="s">
        <v>1151</v>
      </c>
      <c r="G327" s="15" t="s">
        <v>346</v>
      </c>
      <c r="H327" s="176" t="s">
        <v>341</v>
      </c>
      <c r="I327" s="17" t="s">
        <v>1154</v>
      </c>
      <c r="J327" s="113" t="str">
        <f>VLOOKUP($I327,'Price List, Weapons &amp; Items'!B:C,2,0)</f>
        <v>Military equipment</v>
      </c>
      <c r="K327" s="113" t="str">
        <f>IF(I327=".",I327,VLOOKUP($I327,'Price List, Weapons &amp; Items'!B:D,3,0))</f>
        <v>non combat military vehicle</v>
      </c>
      <c r="L327" s="177">
        <f>VLOOKUP(I327,'Price List, Weapons &amp; Items'!B:E,4,0)</f>
        <v>0</v>
      </c>
      <c r="M327" s="542">
        <v>4</v>
      </c>
      <c r="N327" s="542">
        <v>4</v>
      </c>
      <c r="O327" s="543">
        <f>VLOOKUP($I327,'Price List, Weapons &amp; Items'!B:G,6,0)</f>
        <v>350000</v>
      </c>
      <c r="P327" s="176">
        <f t="shared" si="69"/>
        <v>1400000</v>
      </c>
      <c r="Q327" s="176">
        <f t="shared" si="70"/>
        <v>1400000</v>
      </c>
      <c r="R327" s="176" t="str">
        <f t="shared" si="66"/>
        <v/>
      </c>
      <c r="S327" s="176" t="str">
        <f>IF(AND(AD327=1,R327&lt;&gt;".")=TRUE,R327/VLOOKUP(G327,'Exchange Rates'!B:C,2,0),IF(R327=".",".",""))</f>
        <v/>
      </c>
      <c r="T327" s="176" t="str">
        <f>IF(AD327=1,IF(AF327="Value is not given at all",".",IF(AF327="Value is given by the source",S327,IF(AF327="Value is calculated with prices",(IF(SUMIFS(Q:Q,A:A,A327)&gt;0,SUMIFS(Q:Q,A:A,A327),"."))/VLOOKUP("USD",'Exchange Rates'!B:C,2,0),"Error with coding"))),"")</f>
        <v/>
      </c>
      <c r="U327" s="15" t="s">
        <v>261</v>
      </c>
      <c r="V327" s="566" t="s">
        <v>1152</v>
      </c>
      <c r="W327" s="685" t="s">
        <v>260</v>
      </c>
      <c r="X327" s="188" t="s">
        <v>260</v>
      </c>
      <c r="Y327" s="188" t="s">
        <v>260</v>
      </c>
      <c r="Z327" s="15">
        <v>0</v>
      </c>
      <c r="AA327" s="180">
        <v>0</v>
      </c>
      <c r="AB327" s="184" t="s">
        <v>260</v>
      </c>
      <c r="AC327" s="544" t="str">
        <f>""</f>
        <v/>
      </c>
      <c r="AD327" s="181">
        <v>0</v>
      </c>
      <c r="AE327" s="181" t="s">
        <v>332</v>
      </c>
      <c r="AF327" s="181" t="s">
        <v>332</v>
      </c>
      <c r="AG327" s="181">
        <v>1</v>
      </c>
      <c r="AH327" s="181">
        <v>4</v>
      </c>
      <c r="AI327" s="181">
        <v>0</v>
      </c>
      <c r="AJ327" s="181">
        <f>VLOOKUP($I327,'Price List, Weapons &amp; Items'!B:F,5,0)</f>
        <v>0</v>
      </c>
      <c r="AK327" s="181">
        <f t="shared" si="71"/>
        <v>0</v>
      </c>
      <c r="AL327" s="181">
        <f t="shared" si="72"/>
        <v>0</v>
      </c>
      <c r="AM327" s="181">
        <f t="shared" si="73"/>
        <v>0</v>
      </c>
      <c r="AN327" s="180" t="str">
        <f>VLOOKUP($I327,'Price List, Weapons &amp; Items'!B:L,COLUMN('Price List, Weapons &amp; Items'!$J$11)-1,0)</f>
        <v>Media reports (incl. social media)</v>
      </c>
      <c r="AO327" s="180" t="str">
        <f>IF(I327=".",".",VLOOKUP($I327,'Price List, Weapons &amp; Items'!B:J,3,0))</f>
        <v>non combat military vehicle</v>
      </c>
      <c r="AP327" s="545" t="str">
        <f t="shared" ca="1" si="67"/>
        <v/>
      </c>
      <c r="AQ327" s="180">
        <f>VLOOKUP($I327,'Price List, Weapons &amp; Items'!B:L,COLUMN('Price List, Weapons &amp; Items'!$L$11)-1,0)</f>
        <v>2</v>
      </c>
      <c r="AR327" s="180">
        <f t="shared" si="74"/>
        <v>1</v>
      </c>
      <c r="AS327" s="180">
        <f t="shared" si="75"/>
        <v>0</v>
      </c>
      <c r="AT327" s="180">
        <f t="shared" si="68"/>
        <v>1</v>
      </c>
      <c r="AU327" s="180" t="str">
        <f t="shared" si="76"/>
        <v>.</v>
      </c>
      <c r="AV327" s="180" t="str">
        <f t="shared" si="77"/>
        <v>.</v>
      </c>
      <c r="AW327" s="180">
        <f>IFERROR(VLOOKUP(B327,'Share, Heavy Weapons to Ukraine'!B:J,COLUMN('Share, Heavy Weapons to Ukraine'!C334)-1,0),0)</f>
        <v>0</v>
      </c>
      <c r="AX327" s="180">
        <f>VLOOKUP('Bilateral Assistance, MAIN DATA'!B327,'Country Summary'!B:F,COLUMN('Country Summary'!C337)-1,FALSE)</f>
        <v>1</v>
      </c>
      <c r="AY327" s="180" t="str">
        <f>IF(AND(AD327=1,D327="Military",H327&lt;&gt;"Not given")=TRUE,IF(SUMIFS(P:P,A:A,A327)&gt;0,ABS((SUMIFS(P:P,A:A,A327)/VLOOKUP("USD",'Exchange Rates'!B:C,2,0)))/S327,"."),".")</f>
        <v>.</v>
      </c>
      <c r="AZ327" s="182" t="str">
        <f>IF(AND(AD327=1,D327="Military",H327&lt;&gt;"Not given")=TRUE,IF(SUMIFS(P:P,A:A,A327)&gt;0,IF((ABS((SUMIFS(P:P,A:A,A327)/VLOOKUP("USD",'Exchange Rates'!B:C,2,0)))/S327)&gt;1,(SUMIFS(P:P,A:A,A327)-S327)/S327,(S327-SUMIFS(P:P,A:A,A327))/SUMIFS(P:P,A:A,A327)),"."),".")</f>
        <v>.</v>
      </c>
      <c r="BA327" s="182"/>
      <c r="BB327" s="182"/>
      <c r="BC327" s="182"/>
      <c r="BD327" s="182"/>
      <c r="BE327" s="182"/>
      <c r="BF327" s="182"/>
      <c r="BG327" s="182"/>
      <c r="BH327" s="182"/>
      <c r="BI327" s="182"/>
      <c r="BJ327" s="182"/>
      <c r="BK327" s="182"/>
      <c r="BL327" s="182"/>
      <c r="BM327" s="182"/>
      <c r="BN327" s="182"/>
      <c r="BO327" s="182"/>
      <c r="BP327" s="182"/>
      <c r="BQ327" s="182"/>
      <c r="BR327" s="182"/>
      <c r="BS327" s="182"/>
    </row>
    <row r="328" spans="1:71" ht="15.9" customHeight="1" x14ac:dyDescent="0.3">
      <c r="A328" s="5" t="s">
        <v>1149</v>
      </c>
      <c r="B328" s="5" t="s">
        <v>1131</v>
      </c>
      <c r="C328" s="174">
        <v>44665</v>
      </c>
      <c r="D328" s="5" t="s">
        <v>256</v>
      </c>
      <c r="E328" s="5" t="s">
        <v>267</v>
      </c>
      <c r="F328" s="175" t="s">
        <v>1151</v>
      </c>
      <c r="G328" s="15" t="s">
        <v>346</v>
      </c>
      <c r="H328" s="176" t="s">
        <v>341</v>
      </c>
      <c r="I328" s="17" t="s">
        <v>1155</v>
      </c>
      <c r="J328" s="113" t="str">
        <f>VLOOKUP($I328,'Price List, Weapons &amp; Items'!B:C,2,0)</f>
        <v>Humanitarian</v>
      </c>
      <c r="K328" s="113" t="str">
        <f>IF(I328=".",I328,VLOOKUP($I328,'Price List, Weapons &amp; Items'!B:D,3,0))</f>
        <v>Humanitarian</v>
      </c>
      <c r="L328" s="177">
        <f>VLOOKUP(I328,'Price List, Weapons &amp; Items'!B:E,4,0)</f>
        <v>0</v>
      </c>
      <c r="M328" s="542" t="s">
        <v>270</v>
      </c>
      <c r="N328" s="542" t="s">
        <v>270</v>
      </c>
      <c r="O328" s="543" t="str">
        <f>VLOOKUP($I328,'Price List, Weapons &amp; Items'!B:G,6,0)</f>
        <v>.</v>
      </c>
      <c r="P328" s="176" t="str">
        <f t="shared" si="69"/>
        <v>.</v>
      </c>
      <c r="Q328" s="176" t="str">
        <f t="shared" si="70"/>
        <v>.</v>
      </c>
      <c r="R328" s="176" t="str">
        <f t="shared" si="66"/>
        <v/>
      </c>
      <c r="S328" s="176" t="str">
        <f>IF(AND(AD328=1,R328&lt;&gt;".")=TRUE,R328/VLOOKUP(G328,'Exchange Rates'!B:C,2,0),IF(R328=".",".",""))</f>
        <v/>
      </c>
      <c r="T328" s="176" t="str">
        <f>IF(AD328=1,IF(AF328="Value is not given at all",".",IF(AF328="Value is given by the source",S328,IF(AF328="Value is calculated with prices",(IF(SUMIFS(Q:Q,A:A,A328)&gt;0,SUMIFS(Q:Q,A:A,A328),"."))/VLOOKUP("USD",'Exchange Rates'!B:C,2,0),"Error with coding"))),"")</f>
        <v/>
      </c>
      <c r="U328" s="15" t="s">
        <v>261</v>
      </c>
      <c r="V328" s="566" t="s">
        <v>1152</v>
      </c>
      <c r="W328" s="685" t="s">
        <v>260</v>
      </c>
      <c r="X328" s="188" t="s">
        <v>260</v>
      </c>
      <c r="Y328" s="188" t="s">
        <v>260</v>
      </c>
      <c r="Z328" s="15">
        <v>0</v>
      </c>
      <c r="AA328" s="180">
        <v>0</v>
      </c>
      <c r="AB328" s="184" t="s">
        <v>260</v>
      </c>
      <c r="AC328" s="544" t="str">
        <f>""</f>
        <v/>
      </c>
      <c r="AD328" s="181">
        <v>0</v>
      </c>
      <c r="AE328" s="181" t="s">
        <v>332</v>
      </c>
      <c r="AF328" s="181" t="s">
        <v>332</v>
      </c>
      <c r="AG328" s="181">
        <v>1</v>
      </c>
      <c r="AH328" s="181">
        <v>4</v>
      </c>
      <c r="AI328" s="181">
        <v>0</v>
      </c>
      <c r="AJ328" s="181">
        <f>VLOOKUP($I328,'Price List, Weapons &amp; Items'!B:F,5,0)</f>
        <v>0</v>
      </c>
      <c r="AK328" s="181">
        <f t="shared" si="71"/>
        <v>0</v>
      </c>
      <c r="AL328" s="181">
        <f t="shared" si="72"/>
        <v>0</v>
      </c>
      <c r="AM328" s="181">
        <f t="shared" si="73"/>
        <v>0</v>
      </c>
      <c r="AN328" s="180" t="str">
        <f>VLOOKUP($I328,'Price List, Weapons &amp; Items'!B:L,COLUMN('Price List, Weapons &amp; Items'!$J$11)-1,0)</f>
        <v>.</v>
      </c>
      <c r="AO328" s="180" t="str">
        <f>IF(I328=".",".",VLOOKUP($I328,'Price List, Weapons &amp; Items'!B:J,3,0))</f>
        <v>Humanitarian</v>
      </c>
      <c r="AP328" s="545" t="str">
        <f t="shared" ca="1" si="67"/>
        <v/>
      </c>
      <c r="AQ328" s="180">
        <f>VLOOKUP($I328,'Price List, Weapons &amp; Items'!B:L,COLUMN('Price List, Weapons &amp; Items'!$L$11)-1,0)</f>
        <v>0</v>
      </c>
      <c r="AR328" s="180">
        <f t="shared" si="74"/>
        <v>1</v>
      </c>
      <c r="AS328" s="180">
        <f t="shared" si="75"/>
        <v>0</v>
      </c>
      <c r="AT328" s="180">
        <f t="shared" si="68"/>
        <v>1</v>
      </c>
      <c r="AU328" s="180" t="str">
        <f t="shared" si="76"/>
        <v>.</v>
      </c>
      <c r="AV328" s="180" t="str">
        <f t="shared" si="77"/>
        <v>.</v>
      </c>
      <c r="AW328" s="180">
        <f>IFERROR(VLOOKUP(B328,'Share, Heavy Weapons to Ukraine'!B:J,COLUMN('Share, Heavy Weapons to Ukraine'!C335)-1,0),0)</f>
        <v>0</v>
      </c>
      <c r="AX328" s="180">
        <f>VLOOKUP('Bilateral Assistance, MAIN DATA'!B328,'Country Summary'!B:F,COLUMN('Country Summary'!C338)-1,FALSE)</f>
        <v>1</v>
      </c>
      <c r="AY328" s="180" t="str">
        <f>IF(AND(AD328=1,D328="Military",H328&lt;&gt;"Not given")=TRUE,IF(SUMIFS(P:P,A:A,A328)&gt;0,ABS((SUMIFS(P:P,A:A,A328)/VLOOKUP("USD",'Exchange Rates'!B:C,2,0)))/S328,"."),".")</f>
        <v>.</v>
      </c>
      <c r="AZ328" s="182" t="str">
        <f>IF(AND(AD328=1,D328="Military",H328&lt;&gt;"Not given")=TRUE,IF(SUMIFS(P:P,A:A,A328)&gt;0,IF((ABS((SUMIFS(P:P,A:A,A328)/VLOOKUP("USD",'Exchange Rates'!B:C,2,0)))/S328)&gt;1,(SUMIFS(P:P,A:A,A328)-S328)/S328,(S328-SUMIFS(P:P,A:A,A328))/SUMIFS(P:P,A:A,A328)),"."),".")</f>
        <v>.</v>
      </c>
      <c r="BA328" s="182"/>
      <c r="BB328" s="182"/>
      <c r="BC328" s="182"/>
      <c r="BD328" s="182"/>
      <c r="BE328" s="182"/>
      <c r="BF328" s="182"/>
      <c r="BG328" s="182"/>
      <c r="BH328" s="182"/>
      <c r="BI328" s="182"/>
      <c r="BJ328" s="182"/>
      <c r="BK328" s="182"/>
      <c r="BL328" s="182"/>
      <c r="BM328" s="182"/>
      <c r="BN328" s="182"/>
      <c r="BO328" s="182"/>
      <c r="BP328" s="182"/>
      <c r="BQ328" s="182"/>
      <c r="BR328" s="182"/>
      <c r="BS328" s="182"/>
    </row>
    <row r="329" spans="1:71" ht="15.9" customHeight="1" x14ac:dyDescent="0.3">
      <c r="A329" s="5" t="s">
        <v>1149</v>
      </c>
      <c r="B329" s="5" t="s">
        <v>1131</v>
      </c>
      <c r="C329" s="174">
        <v>44665</v>
      </c>
      <c r="D329" s="5" t="s">
        <v>256</v>
      </c>
      <c r="E329" s="5" t="s">
        <v>267</v>
      </c>
      <c r="F329" s="175" t="s">
        <v>1151</v>
      </c>
      <c r="G329" s="15" t="s">
        <v>346</v>
      </c>
      <c r="H329" s="176" t="s">
        <v>341</v>
      </c>
      <c r="I329" s="156" t="s">
        <v>1156</v>
      </c>
      <c r="J329" s="113" t="str">
        <f>VLOOKUP($I329,'Price List, Weapons &amp; Items'!B:C,2,0)</f>
        <v>Humanitarian</v>
      </c>
      <c r="K329" s="113" t="str">
        <f>IF(I329=".",I329,VLOOKUP($I329,'Price List, Weapons &amp; Items'!B:D,3,0))</f>
        <v>Humanitarian</v>
      </c>
      <c r="L329" s="177">
        <f>VLOOKUP(I329,'Price List, Weapons &amp; Items'!B:E,4,0)</f>
        <v>0</v>
      </c>
      <c r="M329" s="542" t="s">
        <v>270</v>
      </c>
      <c r="N329" s="542" t="s">
        <v>270</v>
      </c>
      <c r="O329" s="543" t="str">
        <f>VLOOKUP($I329,'Price List, Weapons &amp; Items'!B:G,6,0)</f>
        <v>.</v>
      </c>
      <c r="P329" s="176" t="str">
        <f t="shared" si="69"/>
        <v>.</v>
      </c>
      <c r="Q329" s="176" t="str">
        <f t="shared" si="70"/>
        <v>.</v>
      </c>
      <c r="R329" s="176" t="str">
        <f t="shared" si="66"/>
        <v/>
      </c>
      <c r="S329" s="176" t="str">
        <f>IF(AND(AD329=1,R329&lt;&gt;".")=TRUE,R329/VLOOKUP(G329,'Exchange Rates'!B:C,2,0),IF(R329=".",".",""))</f>
        <v/>
      </c>
      <c r="T329" s="176" t="str">
        <f>IF(AD329=1,IF(AF329="Value is not given at all",".",IF(AF329="Value is given by the source",S329,IF(AF329="Value is calculated with prices",(IF(SUMIFS(Q:Q,A:A,A329)&gt;0,SUMIFS(Q:Q,A:A,A329),"."))/VLOOKUP("USD",'Exchange Rates'!B:C,2,0),"Error with coding"))),"")</f>
        <v/>
      </c>
      <c r="U329" s="15" t="s">
        <v>261</v>
      </c>
      <c r="V329" s="566" t="s">
        <v>1152</v>
      </c>
      <c r="W329" s="685" t="s">
        <v>260</v>
      </c>
      <c r="X329" s="188" t="s">
        <v>260</v>
      </c>
      <c r="Y329" s="188" t="s">
        <v>260</v>
      </c>
      <c r="Z329" s="15">
        <v>0</v>
      </c>
      <c r="AA329" s="180">
        <v>0</v>
      </c>
      <c r="AB329" s="184" t="s">
        <v>260</v>
      </c>
      <c r="AC329" s="544" t="str">
        <f>""</f>
        <v/>
      </c>
      <c r="AD329" s="181">
        <v>0</v>
      </c>
      <c r="AE329" s="181" t="s">
        <v>332</v>
      </c>
      <c r="AF329" s="181" t="s">
        <v>332</v>
      </c>
      <c r="AG329" s="181">
        <v>1</v>
      </c>
      <c r="AH329" s="181">
        <v>4</v>
      </c>
      <c r="AI329" s="181">
        <v>0</v>
      </c>
      <c r="AJ329" s="181">
        <f>VLOOKUP($I329,'Price List, Weapons &amp; Items'!B:F,5,0)</f>
        <v>0</v>
      </c>
      <c r="AK329" s="181">
        <f t="shared" si="71"/>
        <v>0</v>
      </c>
      <c r="AL329" s="181">
        <f t="shared" si="72"/>
        <v>0</v>
      </c>
      <c r="AM329" s="181">
        <f t="shared" si="73"/>
        <v>0</v>
      </c>
      <c r="AN329" s="180" t="str">
        <f>VLOOKUP($I329,'Price List, Weapons &amp; Items'!B:L,COLUMN('Price List, Weapons &amp; Items'!$J$11)-1,0)</f>
        <v>.</v>
      </c>
      <c r="AO329" s="180" t="str">
        <f>IF(I329=".",".",VLOOKUP($I329,'Price List, Weapons &amp; Items'!B:J,3,0))</f>
        <v>Humanitarian</v>
      </c>
      <c r="AP329" s="545" t="str">
        <f t="shared" ca="1" si="67"/>
        <v/>
      </c>
      <c r="AQ329" s="180">
        <f>VLOOKUP($I329,'Price List, Weapons &amp; Items'!B:L,COLUMN('Price List, Weapons &amp; Items'!$L$11)-1,0)</f>
        <v>0</v>
      </c>
      <c r="AR329" s="180">
        <f t="shared" si="74"/>
        <v>1</v>
      </c>
      <c r="AS329" s="180">
        <f t="shared" si="75"/>
        <v>0</v>
      </c>
      <c r="AT329" s="180">
        <f t="shared" si="68"/>
        <v>1</v>
      </c>
      <c r="AU329" s="180" t="str">
        <f t="shared" si="76"/>
        <v>.</v>
      </c>
      <c r="AV329" s="180" t="str">
        <f t="shared" si="77"/>
        <v>.</v>
      </c>
      <c r="AW329" s="180">
        <f>IFERROR(VLOOKUP(B329,'Share, Heavy Weapons to Ukraine'!B:J,COLUMN('Share, Heavy Weapons to Ukraine'!C336)-1,0),0)</f>
        <v>0</v>
      </c>
      <c r="AX329" s="180">
        <f>VLOOKUP('Bilateral Assistance, MAIN DATA'!B329,'Country Summary'!B:F,COLUMN('Country Summary'!C339)-1,FALSE)</f>
        <v>1</v>
      </c>
      <c r="AY329" s="180" t="str">
        <f>IF(AND(AD329=1,D329="Military",H329&lt;&gt;"Not given")=TRUE,IF(SUMIFS(P:P,A:A,A329)&gt;0,ABS((SUMIFS(P:P,A:A,A329)/VLOOKUP("USD",'Exchange Rates'!B:C,2,0)))/S329,"."),".")</f>
        <v>.</v>
      </c>
      <c r="AZ329" s="182" t="str">
        <f>IF(AND(AD329=1,D329="Military",H329&lt;&gt;"Not given")=TRUE,IF(SUMIFS(P:P,A:A,A329)&gt;0,IF((ABS((SUMIFS(P:P,A:A,A329)/VLOOKUP("USD",'Exchange Rates'!B:C,2,0)))/S329)&gt;1,(SUMIFS(P:P,A:A,A329)-S329)/S329,(S329-SUMIFS(P:P,A:A,A329))/SUMIFS(P:P,A:A,A329)),"."),".")</f>
        <v>.</v>
      </c>
      <c r="BA329" s="182"/>
      <c r="BB329" s="182"/>
      <c r="BC329" s="182"/>
      <c r="BD329" s="182"/>
      <c r="BE329" s="182"/>
      <c r="BF329" s="182"/>
      <c r="BG329" s="182"/>
      <c r="BH329" s="182"/>
      <c r="BI329" s="182"/>
      <c r="BJ329" s="182"/>
      <c r="BK329" s="182"/>
      <c r="BL329" s="182"/>
      <c r="BM329" s="182"/>
      <c r="BN329" s="182"/>
      <c r="BO329" s="182"/>
      <c r="BP329" s="182"/>
      <c r="BQ329" s="182"/>
      <c r="BR329" s="182"/>
      <c r="BS329" s="182"/>
    </row>
    <row r="330" spans="1:71" ht="15.9" customHeight="1" x14ac:dyDescent="0.3">
      <c r="A330" s="17" t="s">
        <v>1157</v>
      </c>
      <c r="B330" s="17" t="s">
        <v>1131</v>
      </c>
      <c r="C330" s="174">
        <v>44672</v>
      </c>
      <c r="D330" s="5" t="s">
        <v>256</v>
      </c>
      <c r="E330" s="5" t="s">
        <v>267</v>
      </c>
      <c r="F330" s="175" t="s">
        <v>1158</v>
      </c>
      <c r="G330" s="15" t="s">
        <v>346</v>
      </c>
      <c r="H330" s="176" t="s">
        <v>341</v>
      </c>
      <c r="I330" s="17" t="s">
        <v>701</v>
      </c>
      <c r="J330" s="113" t="str">
        <f>VLOOKUP($I330,'Price List, Weapons &amp; Items'!B:C,2,0)</f>
        <v>Humanitarian</v>
      </c>
      <c r="K330" s="113" t="str">
        <f>IF(I330=".",I330,VLOOKUP($I330,'Price List, Weapons &amp; Items'!B:D,3,0))</f>
        <v>Humanitarian</v>
      </c>
      <c r="L330" s="177">
        <f>VLOOKUP(I330,'Price List, Weapons &amp; Items'!B:E,4,0)</f>
        <v>0</v>
      </c>
      <c r="M330" s="542">
        <v>28</v>
      </c>
      <c r="N330" s="542" t="s">
        <v>270</v>
      </c>
      <c r="O330" s="543">
        <f>VLOOKUP($I330,'Price List, Weapons &amp; Items'!B:G,6,0)</f>
        <v>10000</v>
      </c>
      <c r="P330" s="176">
        <f t="shared" si="69"/>
        <v>280000</v>
      </c>
      <c r="Q330" s="176" t="str">
        <f t="shared" si="70"/>
        <v>.</v>
      </c>
      <c r="R330" s="176">
        <f t="shared" si="66"/>
        <v>280000</v>
      </c>
      <c r="S330" s="176">
        <f>IF(AND(AD330=1,R330&lt;&gt;".")=TRUE,R330/VLOOKUP(G330,'Exchange Rates'!B:C,2,0),IF(R330=".",".",""))</f>
        <v>266666.66666666663</v>
      </c>
      <c r="T330" s="176" t="str">
        <f>IF(AD330=1,IF(AF330="Value is not given at all",".",IF(AF330="Value is given by the source",S330,IF(AF330="Value is calculated with prices",(IF(SUMIFS(Q:Q,A:A,A330)&gt;0,SUMIFS(Q:Q,A:A,A330),"."))/VLOOKUP("USD",'Exchange Rates'!B:C,2,0),"Error with coding"))),"")</f>
        <v>.</v>
      </c>
      <c r="U330" s="15" t="s">
        <v>261</v>
      </c>
      <c r="V330" s="300" t="s">
        <v>1159</v>
      </c>
      <c r="W330" s="300" t="s">
        <v>1160</v>
      </c>
      <c r="X330" s="300" t="s">
        <v>1161</v>
      </c>
      <c r="Y330" s="175" t="s">
        <v>260</v>
      </c>
      <c r="Z330" s="15">
        <v>0</v>
      </c>
      <c r="AA330" s="180">
        <v>0</v>
      </c>
      <c r="AB330" s="184" t="s">
        <v>260</v>
      </c>
      <c r="AC330" s="544" t="str">
        <f>""</f>
        <v/>
      </c>
      <c r="AD330" s="181">
        <v>1</v>
      </c>
      <c r="AE330" s="181" t="s">
        <v>332</v>
      </c>
      <c r="AF330" s="181" t="s">
        <v>265</v>
      </c>
      <c r="AG330" s="181">
        <v>1</v>
      </c>
      <c r="AH330" s="181">
        <v>4</v>
      </c>
      <c r="AI330" s="181">
        <v>0</v>
      </c>
      <c r="AJ330" s="181">
        <f>VLOOKUP($I330,'Price List, Weapons &amp; Items'!B:F,5,0)</f>
        <v>0</v>
      </c>
      <c r="AK330" s="181">
        <f t="shared" si="71"/>
        <v>0</v>
      </c>
      <c r="AL330" s="181">
        <f t="shared" si="72"/>
        <v>0</v>
      </c>
      <c r="AM330" s="181">
        <f t="shared" si="73"/>
        <v>0</v>
      </c>
      <c r="AN330" s="180" t="str">
        <f>VLOOKUP($I330,'Price List, Weapons &amp; Items'!B:L,COLUMN('Price List, Weapons &amp; Items'!$J$11)-1,0)</f>
        <v>Miscellaneous</v>
      </c>
      <c r="AO330" s="180" t="str">
        <f>IF(I330=".",".",VLOOKUP($I330,'Price List, Weapons &amp; Items'!B:J,3,0))</f>
        <v>Humanitarian</v>
      </c>
      <c r="AP330" s="545" t="e">
        <f t="shared" ca="1" si="67"/>
        <v>#NAME?</v>
      </c>
      <c r="AQ330" s="180">
        <f>VLOOKUP($I330,'Price List, Weapons &amp; Items'!B:L,COLUMN('Price List, Weapons &amp; Items'!$L$11)-1,0)</f>
        <v>0</v>
      </c>
      <c r="AR330" s="180">
        <f t="shared" si="74"/>
        <v>1</v>
      </c>
      <c r="AS330" s="180">
        <f t="shared" si="75"/>
        <v>0</v>
      </c>
      <c r="AT330" s="180">
        <f t="shared" si="68"/>
        <v>1</v>
      </c>
      <c r="AU330" s="180" t="str">
        <f t="shared" si="76"/>
        <v>.</v>
      </c>
      <c r="AV330" s="180" t="str">
        <f t="shared" si="77"/>
        <v>.</v>
      </c>
      <c r="AW330" s="180">
        <f>IFERROR(VLOOKUP(B330,'Share, Heavy Weapons to Ukraine'!B:J,COLUMN('Share, Heavy Weapons to Ukraine'!C337)-1,0),0)</f>
        <v>0</v>
      </c>
      <c r="AX330" s="180">
        <f>VLOOKUP('Bilateral Assistance, MAIN DATA'!B330,'Country Summary'!B:F,COLUMN('Country Summary'!C340)-1,FALSE)</f>
        <v>1</v>
      </c>
      <c r="AY330" s="180" t="str">
        <f>IF(AND(AD330=1,D330="Military",H330&lt;&gt;"Not given")=TRUE,IF(SUMIFS(P:P,A:A,A330)&gt;0,ABS((SUMIFS(P:P,A:A,A330)/VLOOKUP("USD",'Exchange Rates'!B:C,2,0)))/S330,"."),".")</f>
        <v>.</v>
      </c>
      <c r="AZ330" s="182" t="str">
        <f>IF(AND(AD330=1,D330="Military",H330&lt;&gt;"Not given")=TRUE,IF(SUMIFS(P:P,A:A,A330)&gt;0,IF((ABS((SUMIFS(P:P,A:A,A330)/VLOOKUP("USD",'Exchange Rates'!B:C,2,0)))/S330)&gt;1,(SUMIFS(P:P,A:A,A330)-S330)/S330,(S330-SUMIFS(P:P,A:A,A330))/SUMIFS(P:P,A:A,A330)),"."),".")</f>
        <v>.</v>
      </c>
      <c r="BA330" s="182"/>
      <c r="BB330" s="182"/>
      <c r="BC330" s="182"/>
      <c r="BD330" s="182"/>
      <c r="BE330" s="182"/>
      <c r="BF330" s="182"/>
      <c r="BG330" s="182"/>
      <c r="BH330" s="182"/>
      <c r="BI330" s="182"/>
      <c r="BJ330" s="182"/>
      <c r="BK330" s="182"/>
      <c r="BL330" s="182"/>
      <c r="BM330" s="182"/>
      <c r="BN330" s="182"/>
      <c r="BO330" s="182"/>
      <c r="BP330" s="182"/>
      <c r="BQ330" s="182"/>
      <c r="BR330" s="182"/>
      <c r="BS330" s="182"/>
    </row>
    <row r="331" spans="1:71" ht="15.9" customHeight="1" x14ac:dyDescent="0.3">
      <c r="A331" s="17" t="s">
        <v>1162</v>
      </c>
      <c r="B331" s="17" t="s">
        <v>1131</v>
      </c>
      <c r="C331" s="174">
        <v>44697</v>
      </c>
      <c r="D331" s="5" t="s">
        <v>256</v>
      </c>
      <c r="E331" s="5" t="s">
        <v>554</v>
      </c>
      <c r="F331" s="175" t="s">
        <v>1163</v>
      </c>
      <c r="G331" s="15" t="s">
        <v>346</v>
      </c>
      <c r="H331" s="176" t="s">
        <v>341</v>
      </c>
      <c r="I331" s="17" t="s">
        <v>1164</v>
      </c>
      <c r="J331" s="113" t="str">
        <f>VLOOKUP($I331,'Price List, Weapons &amp; Items'!B:C,2,0)</f>
        <v>Humanitarian</v>
      </c>
      <c r="K331" s="113" t="str">
        <f>IF(I331=".",I331,VLOOKUP($I331,'Price List, Weapons &amp; Items'!B:D,3,0))</f>
        <v>Humanitarian</v>
      </c>
      <c r="L331" s="177">
        <f>VLOOKUP(I331,'Price List, Weapons &amp; Items'!B:E,4,0)</f>
        <v>0</v>
      </c>
      <c r="M331" s="542">
        <v>115</v>
      </c>
      <c r="N331" s="542">
        <v>115</v>
      </c>
      <c r="O331" s="543">
        <f>VLOOKUP($I331,'Price List, Weapons &amp; Items'!B:G,6,0)</f>
        <v>10000</v>
      </c>
      <c r="P331" s="176">
        <f t="shared" si="69"/>
        <v>1150000</v>
      </c>
      <c r="Q331" s="176">
        <f t="shared" si="70"/>
        <v>1150000</v>
      </c>
      <c r="R331" s="176">
        <f t="shared" si="66"/>
        <v>6830728.9000000004</v>
      </c>
      <c r="S331" s="176">
        <f>IF(AND(AD331=1,R331&lt;&gt;".")=TRUE,R331/VLOOKUP(G331,'Exchange Rates'!B:C,2,0),IF(R331=".",".",""))</f>
        <v>6505456.0952380951</v>
      </c>
      <c r="T331" s="176" t="str">
        <f>IF(AD331=1,IF(AF331="Value is not given at all",".",IF(AF331="Value is given by the source",S331,IF(AF331="Value is calculated with prices",(IF(SUMIFS(Q:Q,A:A,A331)&gt;0,SUMIFS(Q:Q,A:A,A331),"."))/VLOOKUP("USD",'Exchange Rates'!B:C,2,0),"Error with coding"))),"")</f>
        <v>.</v>
      </c>
      <c r="U331" s="15" t="s">
        <v>261</v>
      </c>
      <c r="V331" s="568" t="s">
        <v>1165</v>
      </c>
      <c r="W331" s="144" t="s">
        <v>260</v>
      </c>
      <c r="X331" s="144" t="s">
        <v>260</v>
      </c>
      <c r="Y331" s="668" t="s">
        <v>260</v>
      </c>
      <c r="Z331" s="15">
        <v>0</v>
      </c>
      <c r="AA331" s="180">
        <v>0</v>
      </c>
      <c r="AB331" s="871" t="s">
        <v>1165</v>
      </c>
      <c r="AC331" s="544" t="str">
        <f>""</f>
        <v/>
      </c>
      <c r="AD331" s="181">
        <v>1</v>
      </c>
      <c r="AE331" s="181" t="s">
        <v>332</v>
      </c>
      <c r="AF331" s="181" t="s">
        <v>265</v>
      </c>
      <c r="AG331" s="181">
        <v>1</v>
      </c>
      <c r="AH331" s="181">
        <v>5</v>
      </c>
      <c r="AI331" s="181">
        <v>0</v>
      </c>
      <c r="AJ331" s="181">
        <f>VLOOKUP($I331,'Price List, Weapons &amp; Items'!B:F,5,0)</f>
        <v>0</v>
      </c>
      <c r="AK331" s="181">
        <f t="shared" si="71"/>
        <v>0</v>
      </c>
      <c r="AL331" s="181">
        <f t="shared" si="72"/>
        <v>0</v>
      </c>
      <c r="AM331" s="181">
        <f t="shared" si="73"/>
        <v>0</v>
      </c>
      <c r="AN331" s="180" t="str">
        <f>VLOOKUP($I331,'Price List, Weapons &amp; Items'!B:L,COLUMN('Price List, Weapons &amp; Items'!$J$11)-1,0)</f>
        <v>Miscellaneous</v>
      </c>
      <c r="AO331" s="180" t="str">
        <f>IF(I331=".",".",VLOOKUP($I331,'Price List, Weapons &amp; Items'!B:J,3,0))</f>
        <v>Humanitarian</v>
      </c>
      <c r="AP331" s="545" t="e">
        <f t="shared" ca="1" si="67"/>
        <v>#NAME?</v>
      </c>
      <c r="AQ331" s="180">
        <f>VLOOKUP($I331,'Price List, Weapons &amp; Items'!B:L,COLUMN('Price List, Weapons &amp; Items'!$L$11)-1,0)</f>
        <v>0</v>
      </c>
      <c r="AR331" s="180">
        <f t="shared" si="74"/>
        <v>1</v>
      </c>
      <c r="AS331" s="180">
        <f t="shared" si="75"/>
        <v>0</v>
      </c>
      <c r="AT331" s="180">
        <f t="shared" si="68"/>
        <v>1</v>
      </c>
      <c r="AU331" s="180" t="str">
        <f t="shared" si="76"/>
        <v>.</v>
      </c>
      <c r="AV331" s="180" t="str">
        <f t="shared" si="77"/>
        <v>.</v>
      </c>
      <c r="AW331" s="180">
        <f>IFERROR(VLOOKUP(B331,'Share, Heavy Weapons to Ukraine'!B:J,COLUMN('Share, Heavy Weapons to Ukraine'!C338)-1,0),0)</f>
        <v>0</v>
      </c>
      <c r="AX331" s="180">
        <f>VLOOKUP('Bilateral Assistance, MAIN DATA'!B331,'Country Summary'!B:F,COLUMN('Country Summary'!C341)-1,FALSE)</f>
        <v>1</v>
      </c>
      <c r="AY331" s="180" t="str">
        <f>IF(AND(AD331=1,D331="Military",H331&lt;&gt;"Not given")=TRUE,IF(SUMIFS(P:P,A:A,A331)&gt;0,ABS((SUMIFS(P:P,A:A,A331)/VLOOKUP("USD",'Exchange Rates'!B:C,2,0)))/S331,"."),".")</f>
        <v>.</v>
      </c>
      <c r="AZ331" s="182" t="str">
        <f>IF(AND(AD331=1,D331="Military",H331&lt;&gt;"Not given")=TRUE,IF(SUMIFS(P:P,A:A,A331)&gt;0,IF((ABS((SUMIFS(P:P,A:A,A331)/VLOOKUP("USD",'Exchange Rates'!B:C,2,0)))/S331)&gt;1,(SUMIFS(P:P,A:A,A331)-S331)/S331,(S331-SUMIFS(P:P,A:A,A331))/SUMIFS(P:P,A:A,A331)),"."),".")</f>
        <v>.</v>
      </c>
      <c r="BA331" s="182"/>
      <c r="BB331" s="182"/>
      <c r="BC331" s="182"/>
      <c r="BD331" s="182"/>
      <c r="BE331" s="182"/>
      <c r="BF331" s="182"/>
      <c r="BG331" s="182"/>
      <c r="BH331" s="182"/>
      <c r="BI331" s="182"/>
      <c r="BJ331" s="182"/>
      <c r="BK331" s="182"/>
      <c r="BL331" s="182"/>
      <c r="BM331" s="182"/>
      <c r="BN331" s="182"/>
      <c r="BO331" s="182"/>
      <c r="BP331" s="182"/>
      <c r="BQ331" s="182"/>
      <c r="BR331" s="182"/>
      <c r="BS331" s="182"/>
    </row>
    <row r="332" spans="1:71" ht="15.9" customHeight="1" x14ac:dyDescent="0.3">
      <c r="A332" s="17" t="s">
        <v>1162</v>
      </c>
      <c r="B332" s="17" t="s">
        <v>1131</v>
      </c>
      <c r="C332" s="174">
        <v>44697</v>
      </c>
      <c r="D332" s="5" t="s">
        <v>256</v>
      </c>
      <c r="E332" s="5" t="s">
        <v>554</v>
      </c>
      <c r="F332" s="175" t="s">
        <v>1163</v>
      </c>
      <c r="G332" s="15" t="s">
        <v>346</v>
      </c>
      <c r="H332" s="176" t="s">
        <v>341</v>
      </c>
      <c r="I332" s="17" t="s">
        <v>771</v>
      </c>
      <c r="J332" s="113" t="str">
        <f>VLOOKUP($I332,'Price List, Weapons &amp; Items'!B:C,2,0)</f>
        <v>Humanitarian</v>
      </c>
      <c r="K332" s="113" t="str">
        <f>IF(I332=".",I332,VLOOKUP($I332,'Price List, Weapons &amp; Items'!B:D,3,0))</f>
        <v>Humanitarian</v>
      </c>
      <c r="L332" s="177">
        <f>VLOOKUP(I332,'Price List, Weapons &amp; Items'!B:E,4,0)</f>
        <v>0</v>
      </c>
      <c r="M332" s="542">
        <v>6</v>
      </c>
      <c r="N332" s="542">
        <v>6</v>
      </c>
      <c r="O332" s="543">
        <f>VLOOKUP($I332,'Price List, Weapons &amp; Items'!B:G,6,0)</f>
        <v>400000</v>
      </c>
      <c r="P332" s="176">
        <f t="shared" si="69"/>
        <v>2400000</v>
      </c>
      <c r="Q332" s="176">
        <f t="shared" si="70"/>
        <v>2400000</v>
      </c>
      <c r="R332" s="176" t="str">
        <f t="shared" si="66"/>
        <v/>
      </c>
      <c r="S332" s="176" t="str">
        <f>IF(AND(AD332=1,R332&lt;&gt;".")=TRUE,R332/VLOOKUP(G332,'Exchange Rates'!B:C,2,0),IF(R332=".",".",""))</f>
        <v/>
      </c>
      <c r="T332" s="176" t="str">
        <f>IF(AD332=1,IF(AF332="Value is not given at all",".",IF(AF332="Value is given by the source",S332,IF(AF332="Value is calculated with prices",(IF(SUMIFS(Q:Q,A:A,A332)&gt;0,SUMIFS(Q:Q,A:A,A332),"."))/VLOOKUP("USD",'Exchange Rates'!B:C,2,0),"Error with coding"))),"")</f>
        <v/>
      </c>
      <c r="U332" s="15" t="s">
        <v>261</v>
      </c>
      <c r="V332" s="568" t="s">
        <v>1165</v>
      </c>
      <c r="W332" s="144" t="s">
        <v>260</v>
      </c>
      <c r="X332" s="144" t="s">
        <v>260</v>
      </c>
      <c r="Y332" s="668" t="s">
        <v>260</v>
      </c>
      <c r="Z332" s="15">
        <v>0</v>
      </c>
      <c r="AA332" s="180">
        <v>0</v>
      </c>
      <c r="AB332" s="871" t="s">
        <v>1165</v>
      </c>
      <c r="AC332" s="544" t="str">
        <f>""</f>
        <v/>
      </c>
      <c r="AD332" s="181">
        <v>0</v>
      </c>
      <c r="AE332" s="181" t="s">
        <v>332</v>
      </c>
      <c r="AF332" s="181" t="s">
        <v>332</v>
      </c>
      <c r="AG332" s="181">
        <v>1</v>
      </c>
      <c r="AH332" s="181">
        <v>5</v>
      </c>
      <c r="AI332" s="181">
        <v>0</v>
      </c>
      <c r="AJ332" s="181">
        <f>VLOOKUP($I332,'Price List, Weapons &amp; Items'!B:F,5,0)</f>
        <v>0</v>
      </c>
      <c r="AK332" s="181">
        <f t="shared" si="71"/>
        <v>0</v>
      </c>
      <c r="AL332" s="181">
        <f t="shared" si="72"/>
        <v>0</v>
      </c>
      <c r="AM332" s="181">
        <f t="shared" si="73"/>
        <v>0</v>
      </c>
      <c r="AN332" s="180" t="str">
        <f>VLOOKUP($I332,'Price List, Weapons &amp; Items'!B:L,COLUMN('Price List, Weapons &amp; Items'!$J$11)-1,0)</f>
        <v>Media reports (incl. social media)</v>
      </c>
      <c r="AO332" s="180" t="str">
        <f>IF(I332=".",".",VLOOKUP($I332,'Price List, Weapons &amp; Items'!B:J,3,0))</f>
        <v>Humanitarian</v>
      </c>
      <c r="AP332" s="545" t="str">
        <f t="shared" ca="1" si="67"/>
        <v/>
      </c>
      <c r="AQ332" s="180">
        <f>VLOOKUP($I332,'Price List, Weapons &amp; Items'!B:L,COLUMN('Price List, Weapons &amp; Items'!$L$11)-1,0)</f>
        <v>0</v>
      </c>
      <c r="AR332" s="180">
        <f t="shared" si="74"/>
        <v>1</v>
      </c>
      <c r="AS332" s="180">
        <f t="shared" si="75"/>
        <v>0</v>
      </c>
      <c r="AT332" s="180">
        <f t="shared" si="68"/>
        <v>1</v>
      </c>
      <c r="AU332" s="180" t="str">
        <f t="shared" si="76"/>
        <v>.</v>
      </c>
      <c r="AV332" s="180" t="str">
        <f t="shared" si="77"/>
        <v>.</v>
      </c>
      <c r="AW332" s="180">
        <f>IFERROR(VLOOKUP(B332,'Share, Heavy Weapons to Ukraine'!B:J,COLUMN('Share, Heavy Weapons to Ukraine'!C339)-1,0),0)</f>
        <v>0</v>
      </c>
      <c r="AX332" s="180">
        <f>VLOOKUP('Bilateral Assistance, MAIN DATA'!B332,'Country Summary'!B:F,COLUMN('Country Summary'!C342)-1,FALSE)</f>
        <v>1</v>
      </c>
      <c r="AY332" s="180" t="str">
        <f>IF(AND(AD332=1,D332="Military",H332&lt;&gt;"Not given")=TRUE,IF(SUMIFS(P:P,A:A,A332)&gt;0,ABS((SUMIFS(P:P,A:A,A332)/VLOOKUP("USD",'Exchange Rates'!B:C,2,0)))/S332,"."),".")</f>
        <v>.</v>
      </c>
      <c r="AZ332" s="182" t="str">
        <f>IF(AND(AD332=1,D332="Military",H332&lt;&gt;"Not given")=TRUE,IF(SUMIFS(P:P,A:A,A332)&gt;0,IF((ABS((SUMIFS(P:P,A:A,A332)/VLOOKUP("USD",'Exchange Rates'!B:C,2,0)))/S332)&gt;1,(SUMIFS(P:P,A:A,A332)-S332)/S332,(S332-SUMIFS(P:P,A:A,A332))/SUMIFS(P:P,A:A,A332)),"."),".")</f>
        <v>.</v>
      </c>
      <c r="BA332" s="182"/>
      <c r="BB332" s="182"/>
      <c r="BC332" s="182"/>
      <c r="BD332" s="182"/>
      <c r="BE332" s="182"/>
      <c r="BF332" s="182"/>
      <c r="BG332" s="182"/>
      <c r="BH332" s="182"/>
      <c r="BI332" s="182"/>
      <c r="BJ332" s="182"/>
      <c r="BK332" s="182"/>
      <c r="BL332" s="182"/>
      <c r="BM332" s="182"/>
      <c r="BN332" s="182"/>
      <c r="BO332" s="182"/>
      <c r="BP332" s="182"/>
      <c r="BQ332" s="182"/>
      <c r="BR332" s="182"/>
      <c r="BS332" s="182"/>
    </row>
    <row r="333" spans="1:71" ht="15.9" customHeight="1" x14ac:dyDescent="0.3">
      <c r="A333" s="17" t="s">
        <v>1162</v>
      </c>
      <c r="B333" s="17" t="s">
        <v>1131</v>
      </c>
      <c r="C333" s="174">
        <v>44697</v>
      </c>
      <c r="D333" s="5" t="s">
        <v>256</v>
      </c>
      <c r="E333" s="5" t="s">
        <v>554</v>
      </c>
      <c r="F333" s="175" t="s">
        <v>1163</v>
      </c>
      <c r="G333" s="15" t="s">
        <v>346</v>
      </c>
      <c r="H333" s="176" t="s">
        <v>341</v>
      </c>
      <c r="I333" s="17" t="s">
        <v>358</v>
      </c>
      <c r="J333" s="113" t="str">
        <f>VLOOKUP($I333,'Price List, Weapons &amp; Items'!B:C,2,0)</f>
        <v>Humanitarian</v>
      </c>
      <c r="K333" s="113" t="str">
        <f>IF(I333=".",I333,VLOOKUP($I333,'Price List, Weapons &amp; Items'!B:D,3,0))</f>
        <v>Humanitarian</v>
      </c>
      <c r="L333" s="177">
        <f>VLOOKUP(I333,'Price List, Weapons &amp; Items'!B:E,4,0)</f>
        <v>0</v>
      </c>
      <c r="M333" s="542">
        <v>6</v>
      </c>
      <c r="N333" s="542">
        <v>6</v>
      </c>
      <c r="O333" s="543">
        <f>VLOOKUP($I333,'Price List, Weapons &amp; Items'!B:G,6,0)</f>
        <v>317500</v>
      </c>
      <c r="P333" s="176">
        <f t="shared" si="69"/>
        <v>1905000</v>
      </c>
      <c r="Q333" s="176">
        <f t="shared" si="70"/>
        <v>1905000</v>
      </c>
      <c r="R333" s="176" t="str">
        <f t="shared" si="66"/>
        <v/>
      </c>
      <c r="S333" s="176" t="str">
        <f>IF(AND(AD333=1,R333&lt;&gt;".")=TRUE,R333/VLOOKUP(G333,'Exchange Rates'!B:C,2,0),IF(R333=".",".",""))</f>
        <v/>
      </c>
      <c r="T333" s="176" t="str">
        <f>IF(AD333=1,IF(AF333="Value is not given at all",".",IF(AF333="Value is given by the source",S333,IF(AF333="Value is calculated with prices",(IF(SUMIFS(Q:Q,A:A,A333)&gt;0,SUMIFS(Q:Q,A:A,A333),"."))/VLOOKUP("USD",'Exchange Rates'!B:C,2,0),"Error with coding"))),"")</f>
        <v/>
      </c>
      <c r="U333" s="15" t="s">
        <v>261</v>
      </c>
      <c r="V333" s="568" t="s">
        <v>1165</v>
      </c>
      <c r="W333" s="144" t="s">
        <v>260</v>
      </c>
      <c r="X333" s="144" t="s">
        <v>260</v>
      </c>
      <c r="Y333" s="668" t="s">
        <v>260</v>
      </c>
      <c r="Z333" s="15">
        <v>0</v>
      </c>
      <c r="AA333" s="180">
        <v>0</v>
      </c>
      <c r="AB333" s="871" t="s">
        <v>1165</v>
      </c>
      <c r="AC333" s="544" t="str">
        <f>""</f>
        <v/>
      </c>
      <c r="AD333" s="181">
        <v>0</v>
      </c>
      <c r="AE333" s="181" t="s">
        <v>332</v>
      </c>
      <c r="AF333" s="181" t="s">
        <v>332</v>
      </c>
      <c r="AG333" s="181">
        <v>1</v>
      </c>
      <c r="AH333" s="181">
        <v>5</v>
      </c>
      <c r="AI333" s="181">
        <v>0</v>
      </c>
      <c r="AJ333" s="181">
        <f>VLOOKUP($I333,'Price List, Weapons &amp; Items'!B:F,5,0)</f>
        <v>0</v>
      </c>
      <c r="AK333" s="181">
        <f t="shared" si="71"/>
        <v>0</v>
      </c>
      <c r="AL333" s="181">
        <f t="shared" si="72"/>
        <v>0</v>
      </c>
      <c r="AM333" s="181">
        <f t="shared" si="73"/>
        <v>0</v>
      </c>
      <c r="AN333" s="180" t="str">
        <f>VLOOKUP($I333,'Price List, Weapons &amp; Items'!B:L,COLUMN('Price List, Weapons &amp; Items'!$J$11)-1,0)</f>
        <v>Media reports (incl. social media)</v>
      </c>
      <c r="AO333" s="180" t="str">
        <f>IF(I333=".",".",VLOOKUP($I333,'Price List, Weapons &amp; Items'!B:J,3,0))</f>
        <v>Humanitarian</v>
      </c>
      <c r="AP333" s="545" t="str">
        <f t="shared" ca="1" si="67"/>
        <v/>
      </c>
      <c r="AQ333" s="180">
        <f>VLOOKUP($I333,'Price List, Weapons &amp; Items'!B:L,COLUMN('Price List, Weapons &amp; Items'!$L$11)-1,0)</f>
        <v>0</v>
      </c>
      <c r="AR333" s="180">
        <f t="shared" si="74"/>
        <v>1</v>
      </c>
      <c r="AS333" s="180">
        <f t="shared" si="75"/>
        <v>0</v>
      </c>
      <c r="AT333" s="180">
        <f t="shared" si="68"/>
        <v>1</v>
      </c>
      <c r="AU333" s="180" t="str">
        <f t="shared" si="76"/>
        <v>.</v>
      </c>
      <c r="AV333" s="180" t="str">
        <f t="shared" si="77"/>
        <v>.</v>
      </c>
      <c r="AW333" s="180">
        <f>IFERROR(VLOOKUP(B333,'Share, Heavy Weapons to Ukraine'!B:J,COLUMN('Share, Heavy Weapons to Ukraine'!C340)-1,0),0)</f>
        <v>0</v>
      </c>
      <c r="AX333" s="180">
        <f>VLOOKUP('Bilateral Assistance, MAIN DATA'!B333,'Country Summary'!B:F,COLUMN('Country Summary'!C343)-1,FALSE)</f>
        <v>1</v>
      </c>
      <c r="AY333" s="180" t="str">
        <f>IF(AND(AD333=1,D333="Military",H333&lt;&gt;"Not given")=TRUE,IF(SUMIFS(P:P,A:A,A333)&gt;0,ABS((SUMIFS(P:P,A:A,A333)/VLOOKUP("USD",'Exchange Rates'!B:C,2,0)))/S333,"."),".")</f>
        <v>.</v>
      </c>
      <c r="AZ333" s="182" t="str">
        <f>IF(AND(AD333=1,D333="Military",H333&lt;&gt;"Not given")=TRUE,IF(SUMIFS(P:P,A:A,A333)&gt;0,IF((ABS((SUMIFS(P:P,A:A,A333)/VLOOKUP("USD",'Exchange Rates'!B:C,2,0)))/S333)&gt;1,(SUMIFS(P:P,A:A,A333)-S333)/S333,(S333-SUMIFS(P:P,A:A,A333))/SUMIFS(P:P,A:A,A333)),"."),".")</f>
        <v>.</v>
      </c>
      <c r="BA333" s="182"/>
      <c r="BB333" s="182"/>
      <c r="BC333" s="182"/>
      <c r="BD333" s="182"/>
      <c r="BE333" s="182"/>
      <c r="BF333" s="182"/>
      <c r="BG333" s="182"/>
      <c r="BH333" s="182"/>
      <c r="BI333" s="182"/>
      <c r="BJ333" s="182"/>
      <c r="BK333" s="182"/>
      <c r="BL333" s="182"/>
      <c r="BM333" s="182"/>
      <c r="BN333" s="182"/>
      <c r="BO333" s="182"/>
      <c r="BP333" s="182"/>
      <c r="BQ333" s="182"/>
      <c r="BR333" s="182"/>
      <c r="BS333" s="182"/>
    </row>
    <row r="334" spans="1:71" ht="15.9" customHeight="1" x14ac:dyDescent="0.3">
      <c r="A334" s="17" t="s">
        <v>1162</v>
      </c>
      <c r="B334" s="17" t="s">
        <v>1131</v>
      </c>
      <c r="C334" s="174">
        <v>44697</v>
      </c>
      <c r="D334" s="5" t="s">
        <v>256</v>
      </c>
      <c r="E334" s="5" t="s">
        <v>554</v>
      </c>
      <c r="F334" s="175" t="s">
        <v>1163</v>
      </c>
      <c r="G334" s="15" t="s">
        <v>346</v>
      </c>
      <c r="H334" s="176" t="s">
        <v>341</v>
      </c>
      <c r="I334" s="17" t="s">
        <v>1166</v>
      </c>
      <c r="J334" s="113" t="str">
        <f>VLOOKUP($I334,'Price List, Weapons &amp; Items'!B:C,2,0)</f>
        <v>Humanitarian</v>
      </c>
      <c r="K334" s="113" t="str">
        <f>IF(I334=".",I334,VLOOKUP($I334,'Price List, Weapons &amp; Items'!B:D,3,0))</f>
        <v>Humanitarian</v>
      </c>
      <c r="L334" s="177">
        <f>VLOOKUP(I334,'Price List, Weapons &amp; Items'!B:E,4,0)</f>
        <v>0</v>
      </c>
      <c r="M334" s="542">
        <v>1</v>
      </c>
      <c r="N334" s="542">
        <v>1</v>
      </c>
      <c r="O334" s="543">
        <f>VLOOKUP($I334,'Price List, Weapons &amp; Items'!B:G,6,0)</f>
        <v>317500</v>
      </c>
      <c r="P334" s="176">
        <f t="shared" si="69"/>
        <v>317500</v>
      </c>
      <c r="Q334" s="176">
        <f t="shared" si="70"/>
        <v>317500</v>
      </c>
      <c r="R334" s="176" t="str">
        <f t="shared" si="66"/>
        <v/>
      </c>
      <c r="S334" s="176" t="str">
        <f>IF(AND(AD334=1,R334&lt;&gt;".")=TRUE,R334/VLOOKUP(G334,'Exchange Rates'!B:C,2,0),IF(R334=".",".",""))</f>
        <v/>
      </c>
      <c r="T334" s="176" t="str">
        <f>IF(AD334=1,IF(AF334="Value is not given at all",".",IF(AF334="Value is given by the source",S334,IF(AF334="Value is calculated with prices",(IF(SUMIFS(Q:Q,A:A,A334)&gt;0,SUMIFS(Q:Q,A:A,A334),"."))/VLOOKUP("USD",'Exchange Rates'!B:C,2,0),"Error with coding"))),"")</f>
        <v/>
      </c>
      <c r="U334" s="15" t="s">
        <v>261</v>
      </c>
      <c r="V334" s="568" t="s">
        <v>1165</v>
      </c>
      <c r="W334" s="144" t="s">
        <v>260</v>
      </c>
      <c r="X334" s="144" t="s">
        <v>260</v>
      </c>
      <c r="Y334" s="668" t="s">
        <v>260</v>
      </c>
      <c r="Z334" s="15">
        <v>0</v>
      </c>
      <c r="AA334" s="180">
        <v>0</v>
      </c>
      <c r="AB334" s="871" t="s">
        <v>1165</v>
      </c>
      <c r="AC334" s="544" t="str">
        <f>""</f>
        <v/>
      </c>
      <c r="AD334" s="181">
        <v>0</v>
      </c>
      <c r="AE334" s="181" t="s">
        <v>332</v>
      </c>
      <c r="AF334" s="181" t="s">
        <v>332</v>
      </c>
      <c r="AG334" s="181">
        <v>1</v>
      </c>
      <c r="AH334" s="181">
        <v>5</v>
      </c>
      <c r="AI334" s="181">
        <v>0</v>
      </c>
      <c r="AJ334" s="181">
        <f>VLOOKUP($I334,'Price List, Weapons &amp; Items'!B:F,5,0)</f>
        <v>0</v>
      </c>
      <c r="AK334" s="181">
        <f t="shared" si="71"/>
        <v>0</v>
      </c>
      <c r="AL334" s="181">
        <f t="shared" si="72"/>
        <v>0</v>
      </c>
      <c r="AM334" s="181">
        <f t="shared" si="73"/>
        <v>0</v>
      </c>
      <c r="AN334" s="180" t="str">
        <f>VLOOKUP($I334,'Price List, Weapons &amp; Items'!B:L,COLUMN('Price List, Weapons &amp; Items'!$J$11)-1,0)</f>
        <v>Media reports (incl. social media)</v>
      </c>
      <c r="AO334" s="180" t="str">
        <f>IF(I334=".",".",VLOOKUP($I334,'Price List, Weapons &amp; Items'!B:J,3,0))</f>
        <v>Humanitarian</v>
      </c>
      <c r="AP334" s="545" t="str">
        <f t="shared" ca="1" si="67"/>
        <v/>
      </c>
      <c r="AQ334" s="180">
        <f>VLOOKUP($I334,'Price List, Weapons &amp; Items'!B:L,COLUMN('Price List, Weapons &amp; Items'!$L$11)-1,0)</f>
        <v>0</v>
      </c>
      <c r="AR334" s="180">
        <f t="shared" si="74"/>
        <v>1</v>
      </c>
      <c r="AS334" s="180">
        <f t="shared" si="75"/>
        <v>0</v>
      </c>
      <c r="AT334" s="180">
        <f t="shared" si="68"/>
        <v>1</v>
      </c>
      <c r="AU334" s="180" t="str">
        <f t="shared" si="76"/>
        <v>.</v>
      </c>
      <c r="AV334" s="180" t="str">
        <f t="shared" si="77"/>
        <v>.</v>
      </c>
      <c r="AW334" s="180">
        <f>IFERROR(VLOOKUP(B334,'Share, Heavy Weapons to Ukraine'!B:J,COLUMN('Share, Heavy Weapons to Ukraine'!C341)-1,0),0)</f>
        <v>0</v>
      </c>
      <c r="AX334" s="180">
        <f>VLOOKUP('Bilateral Assistance, MAIN DATA'!B334,'Country Summary'!B:F,COLUMN('Country Summary'!C344)-1,FALSE)</f>
        <v>1</v>
      </c>
      <c r="AY334" s="180" t="str">
        <f>IF(AND(AD334=1,D334="Military",H334&lt;&gt;"Not given")=TRUE,IF(SUMIFS(P:P,A:A,A334)&gt;0,ABS((SUMIFS(P:P,A:A,A334)/VLOOKUP("USD",'Exchange Rates'!B:C,2,0)))/S334,"."),".")</f>
        <v>.</v>
      </c>
      <c r="AZ334" s="182" t="str">
        <f>IF(AND(AD334=1,D334="Military",H334&lt;&gt;"Not given")=TRUE,IF(SUMIFS(P:P,A:A,A334)&gt;0,IF((ABS((SUMIFS(P:P,A:A,A334)/VLOOKUP("USD",'Exchange Rates'!B:C,2,0)))/S334)&gt;1,(SUMIFS(P:P,A:A,A334)-S334)/S334,(S334-SUMIFS(P:P,A:A,A334))/SUMIFS(P:P,A:A,A334)),"."),".")</f>
        <v>.</v>
      </c>
      <c r="BA334" s="182"/>
      <c r="BB334" s="182"/>
      <c r="BC334" s="182"/>
      <c r="BD334" s="182"/>
      <c r="BE334" s="182"/>
      <c r="BF334" s="182"/>
      <c r="BG334" s="182"/>
      <c r="BH334" s="182"/>
      <c r="BI334" s="182"/>
      <c r="BJ334" s="182"/>
      <c r="BK334" s="182"/>
      <c r="BL334" s="182"/>
      <c r="BM334" s="182"/>
      <c r="BN334" s="182"/>
      <c r="BO334" s="182"/>
      <c r="BP334" s="182"/>
      <c r="BQ334" s="182"/>
      <c r="BR334" s="182"/>
      <c r="BS334" s="182"/>
    </row>
    <row r="335" spans="1:71" ht="15.9" customHeight="1" x14ac:dyDescent="0.3">
      <c r="A335" s="17" t="s">
        <v>1162</v>
      </c>
      <c r="B335" s="17" t="s">
        <v>1131</v>
      </c>
      <c r="C335" s="174">
        <v>44697</v>
      </c>
      <c r="D335" s="5" t="s">
        <v>256</v>
      </c>
      <c r="E335" s="5" t="s">
        <v>554</v>
      </c>
      <c r="F335" s="175" t="s">
        <v>1163</v>
      </c>
      <c r="G335" s="15" t="s">
        <v>346</v>
      </c>
      <c r="H335" s="176" t="s">
        <v>341</v>
      </c>
      <c r="I335" s="17" t="s">
        <v>1167</v>
      </c>
      <c r="J335" s="113" t="str">
        <f>VLOOKUP($I335,'Price List, Weapons &amp; Items'!B:C,2,0)</f>
        <v>Humanitarian</v>
      </c>
      <c r="K335" s="113" t="str">
        <f>IF(I335=".",I335,VLOOKUP($I335,'Price List, Weapons &amp; Items'!B:D,3,0))</f>
        <v>Humanitarian</v>
      </c>
      <c r="L335" s="177">
        <f>VLOOKUP(I335,'Price List, Weapons &amp; Items'!B:E,4,0)</f>
        <v>0</v>
      </c>
      <c r="M335" s="542">
        <v>36</v>
      </c>
      <c r="N335" s="542">
        <v>36</v>
      </c>
      <c r="O335" s="543">
        <f>VLOOKUP($I335,'Price List, Weapons &amp; Items'!B:G,6,0)</f>
        <v>1407.6250000000002</v>
      </c>
      <c r="P335" s="176">
        <f t="shared" si="69"/>
        <v>50674.500000000007</v>
      </c>
      <c r="Q335" s="176">
        <f t="shared" si="70"/>
        <v>50674.500000000007</v>
      </c>
      <c r="R335" s="176" t="str">
        <f t="shared" si="66"/>
        <v/>
      </c>
      <c r="S335" s="176" t="str">
        <f>IF(AND(AD335=1,R335&lt;&gt;".")=TRUE,R335/VLOOKUP(G335,'Exchange Rates'!B:C,2,0),IF(R335=".",".",""))</f>
        <v/>
      </c>
      <c r="T335" s="176" t="str">
        <f>IF(AD335=1,IF(AF335="Value is not given at all",".",IF(AF335="Value is given by the source",S335,IF(AF335="Value is calculated with prices",(IF(SUMIFS(Q:Q,A:A,A335)&gt;0,SUMIFS(Q:Q,A:A,A335),"."))/VLOOKUP("USD",'Exchange Rates'!B:C,2,0),"Error with coding"))),"")</f>
        <v/>
      </c>
      <c r="U335" s="15" t="s">
        <v>261</v>
      </c>
      <c r="V335" s="568" t="s">
        <v>1165</v>
      </c>
      <c r="W335" s="144" t="s">
        <v>260</v>
      </c>
      <c r="X335" s="144" t="s">
        <v>260</v>
      </c>
      <c r="Y335" s="668" t="s">
        <v>260</v>
      </c>
      <c r="Z335" s="15">
        <v>0</v>
      </c>
      <c r="AA335" s="180">
        <v>0</v>
      </c>
      <c r="AB335" s="871" t="s">
        <v>1165</v>
      </c>
      <c r="AC335" s="544" t="str">
        <f>""</f>
        <v/>
      </c>
      <c r="AD335" s="181">
        <v>0</v>
      </c>
      <c r="AE335" s="181" t="s">
        <v>332</v>
      </c>
      <c r="AF335" s="181" t="s">
        <v>332</v>
      </c>
      <c r="AG335" s="181">
        <v>1</v>
      </c>
      <c r="AH335" s="181">
        <v>5</v>
      </c>
      <c r="AI335" s="181">
        <v>0</v>
      </c>
      <c r="AJ335" s="181">
        <f>VLOOKUP($I335,'Price List, Weapons &amp; Items'!B:F,5,0)</f>
        <v>0</v>
      </c>
      <c r="AK335" s="181">
        <f t="shared" si="71"/>
        <v>0</v>
      </c>
      <c r="AL335" s="181">
        <f t="shared" si="72"/>
        <v>0</v>
      </c>
      <c r="AM335" s="181">
        <f t="shared" si="73"/>
        <v>0</v>
      </c>
      <c r="AN335" s="180" t="str">
        <f>VLOOKUP($I335,'Price List, Weapons &amp; Items'!B:L,COLUMN('Price List, Weapons &amp; Items'!$J$11)-1,0)</f>
        <v>Online marketplaces and stores</v>
      </c>
      <c r="AO335" s="180" t="str">
        <f>IF(I335=".",".",VLOOKUP($I335,'Price List, Weapons &amp; Items'!B:J,3,0))</f>
        <v>Humanitarian</v>
      </c>
      <c r="AP335" s="545" t="str">
        <f t="shared" ca="1" si="67"/>
        <v/>
      </c>
      <c r="AQ335" s="180">
        <f>VLOOKUP($I335,'Price List, Weapons &amp; Items'!B:L,COLUMN('Price List, Weapons &amp; Items'!$L$11)-1,0)</f>
        <v>0</v>
      </c>
      <c r="AR335" s="180">
        <f t="shared" si="74"/>
        <v>1</v>
      </c>
      <c r="AS335" s="180">
        <f t="shared" si="75"/>
        <v>0</v>
      </c>
      <c r="AT335" s="180">
        <f t="shared" si="68"/>
        <v>1</v>
      </c>
      <c r="AU335" s="180" t="str">
        <f t="shared" si="76"/>
        <v>.</v>
      </c>
      <c r="AV335" s="180" t="str">
        <f t="shared" si="77"/>
        <v>.</v>
      </c>
      <c r="AW335" s="180">
        <f>IFERROR(VLOOKUP(B335,'Share, Heavy Weapons to Ukraine'!B:J,COLUMN('Share, Heavy Weapons to Ukraine'!C342)-1,0),0)</f>
        <v>0</v>
      </c>
      <c r="AX335" s="180">
        <f>VLOOKUP('Bilateral Assistance, MAIN DATA'!B335,'Country Summary'!B:F,COLUMN('Country Summary'!C345)-1,FALSE)</f>
        <v>1</v>
      </c>
      <c r="AY335" s="180" t="str">
        <f>IF(AND(AD335=1,D335="Military",H335&lt;&gt;"Not given")=TRUE,IF(SUMIFS(P:P,A:A,A335)&gt;0,ABS((SUMIFS(P:P,A:A,A335)/VLOOKUP("USD",'Exchange Rates'!B:C,2,0)))/S335,"."),".")</f>
        <v>.</v>
      </c>
      <c r="AZ335" s="182" t="str">
        <f>IF(AND(AD335=1,D335="Military",H335&lt;&gt;"Not given")=TRUE,IF(SUMIFS(P:P,A:A,A335)&gt;0,IF((ABS((SUMIFS(P:P,A:A,A335)/VLOOKUP("USD",'Exchange Rates'!B:C,2,0)))/S335)&gt;1,(SUMIFS(P:P,A:A,A335)-S335)/S335,(S335-SUMIFS(P:P,A:A,A335))/SUMIFS(P:P,A:A,A335)),"."),".")</f>
        <v>.</v>
      </c>
      <c r="BA335" s="182"/>
      <c r="BB335" s="182"/>
      <c r="BC335" s="182"/>
      <c r="BD335" s="182"/>
      <c r="BE335" s="182"/>
      <c r="BF335" s="182"/>
      <c r="BG335" s="182"/>
      <c r="BH335" s="182"/>
      <c r="BI335" s="182"/>
      <c r="BJ335" s="182"/>
      <c r="BK335" s="182"/>
      <c r="BL335" s="182"/>
      <c r="BM335" s="182"/>
      <c r="BN335" s="182"/>
      <c r="BO335" s="182"/>
      <c r="BP335" s="182"/>
      <c r="BQ335" s="182"/>
      <c r="BR335" s="182"/>
      <c r="BS335" s="182"/>
    </row>
    <row r="336" spans="1:71" ht="15.9" customHeight="1" x14ac:dyDescent="0.3">
      <c r="A336" s="17" t="s">
        <v>1162</v>
      </c>
      <c r="B336" s="17" t="s">
        <v>1131</v>
      </c>
      <c r="C336" s="174">
        <v>44697</v>
      </c>
      <c r="D336" s="5" t="s">
        <v>256</v>
      </c>
      <c r="E336" s="5" t="s">
        <v>554</v>
      </c>
      <c r="F336" s="175" t="s">
        <v>1163</v>
      </c>
      <c r="G336" s="15" t="s">
        <v>346</v>
      </c>
      <c r="H336" s="176" t="s">
        <v>341</v>
      </c>
      <c r="I336" s="17" t="s">
        <v>1168</v>
      </c>
      <c r="J336" s="113" t="str">
        <f>VLOOKUP($I336,'Price List, Weapons &amp; Items'!B:C,2,0)</f>
        <v>Humanitarian</v>
      </c>
      <c r="K336" s="113" t="str">
        <f>IF(I336=".",I336,VLOOKUP($I336,'Price List, Weapons &amp; Items'!B:D,3,0))</f>
        <v>Humanitarian</v>
      </c>
      <c r="L336" s="177">
        <f>VLOOKUP(I336,'Price List, Weapons &amp; Items'!B:E,4,0)</f>
        <v>0</v>
      </c>
      <c r="M336" s="542">
        <v>56000</v>
      </c>
      <c r="N336" s="542">
        <v>56000</v>
      </c>
      <c r="O336" s="543">
        <f>VLOOKUP($I336,'Price List, Weapons &amp; Items'!B:G,6,0)</f>
        <v>10.134900000000002</v>
      </c>
      <c r="P336" s="176">
        <f t="shared" si="69"/>
        <v>567554.40000000014</v>
      </c>
      <c r="Q336" s="176">
        <f t="shared" si="70"/>
        <v>567554.40000000014</v>
      </c>
      <c r="R336" s="176" t="str">
        <f t="shared" si="66"/>
        <v/>
      </c>
      <c r="S336" s="176" t="str">
        <f>IF(AND(AD336=1,R336&lt;&gt;".")=TRUE,R336/VLOOKUP(G336,'Exchange Rates'!B:C,2,0),IF(R336=".",".",""))</f>
        <v/>
      </c>
      <c r="T336" s="176" t="str">
        <f>IF(AD336=1,IF(AF336="Value is not given at all",".",IF(AF336="Value is given by the source",S336,IF(AF336="Value is calculated with prices",(IF(SUMIFS(Q:Q,A:A,A336)&gt;0,SUMIFS(Q:Q,A:A,A336),"."))/VLOOKUP("USD",'Exchange Rates'!B:C,2,0),"Error with coding"))),"")</f>
        <v/>
      </c>
      <c r="U336" s="15" t="s">
        <v>261</v>
      </c>
      <c r="V336" s="568" t="s">
        <v>1165</v>
      </c>
      <c r="W336" s="144" t="s">
        <v>260</v>
      </c>
      <c r="X336" s="144" t="s">
        <v>260</v>
      </c>
      <c r="Y336" s="668" t="s">
        <v>260</v>
      </c>
      <c r="Z336" s="15">
        <v>0</v>
      </c>
      <c r="AA336" s="180">
        <v>0</v>
      </c>
      <c r="AB336" s="871" t="s">
        <v>1165</v>
      </c>
      <c r="AC336" s="544" t="str">
        <f>""</f>
        <v/>
      </c>
      <c r="AD336" s="181">
        <v>0</v>
      </c>
      <c r="AE336" s="181" t="s">
        <v>332</v>
      </c>
      <c r="AF336" s="181" t="s">
        <v>332</v>
      </c>
      <c r="AG336" s="181">
        <v>1</v>
      </c>
      <c r="AH336" s="181">
        <v>5</v>
      </c>
      <c r="AI336" s="181">
        <v>0</v>
      </c>
      <c r="AJ336" s="181">
        <f>VLOOKUP($I336,'Price List, Weapons &amp; Items'!B:F,5,0)</f>
        <v>0</v>
      </c>
      <c r="AK336" s="181">
        <f t="shared" si="71"/>
        <v>0</v>
      </c>
      <c r="AL336" s="181">
        <f t="shared" si="72"/>
        <v>0</v>
      </c>
      <c r="AM336" s="181">
        <f t="shared" si="73"/>
        <v>0</v>
      </c>
      <c r="AN336" s="180" t="str">
        <f>VLOOKUP($I336,'Price List, Weapons &amp; Items'!B:L,COLUMN('Price List, Weapons &amp; Items'!$J$11)-1,0)</f>
        <v>Online marketplaces and stores</v>
      </c>
      <c r="AO336" s="180" t="str">
        <f>IF(I336=".",".",VLOOKUP($I336,'Price List, Weapons &amp; Items'!B:J,3,0))</f>
        <v>Humanitarian</v>
      </c>
      <c r="AP336" s="545" t="str">
        <f t="shared" ca="1" si="67"/>
        <v/>
      </c>
      <c r="AQ336" s="180">
        <f>VLOOKUP($I336,'Price List, Weapons &amp; Items'!B:L,COLUMN('Price List, Weapons &amp; Items'!$L$11)-1,0)</f>
        <v>0</v>
      </c>
      <c r="AR336" s="180">
        <f t="shared" si="74"/>
        <v>1</v>
      </c>
      <c r="AS336" s="180">
        <f t="shared" si="75"/>
        <v>0</v>
      </c>
      <c r="AT336" s="180">
        <f t="shared" si="68"/>
        <v>1</v>
      </c>
      <c r="AU336" s="180" t="str">
        <f t="shared" si="76"/>
        <v>.</v>
      </c>
      <c r="AV336" s="180" t="str">
        <f t="shared" si="77"/>
        <v>.</v>
      </c>
      <c r="AW336" s="180">
        <f>IFERROR(VLOOKUP(B336,'Share, Heavy Weapons to Ukraine'!B:J,COLUMN('Share, Heavy Weapons to Ukraine'!C343)-1,0),0)</f>
        <v>0</v>
      </c>
      <c r="AX336" s="180">
        <f>VLOOKUP('Bilateral Assistance, MAIN DATA'!B336,'Country Summary'!B:F,COLUMN('Country Summary'!C346)-1,FALSE)</f>
        <v>1</v>
      </c>
      <c r="AY336" s="180" t="str">
        <f>IF(AND(AD336=1,D336="Military",H336&lt;&gt;"Not given")=TRUE,IF(SUMIFS(P:P,A:A,A336)&gt;0,ABS((SUMIFS(P:P,A:A,A336)/VLOOKUP("USD",'Exchange Rates'!B:C,2,0)))/S336,"."),".")</f>
        <v>.</v>
      </c>
      <c r="AZ336" s="182" t="str">
        <f>IF(AND(AD336=1,D336="Military",H336&lt;&gt;"Not given")=TRUE,IF(SUMIFS(P:P,A:A,A336)&gt;0,IF((ABS((SUMIFS(P:P,A:A,A336)/VLOOKUP("USD",'Exchange Rates'!B:C,2,0)))/S336)&gt;1,(SUMIFS(P:P,A:A,A336)-S336)/S336,(S336-SUMIFS(P:P,A:A,A336))/SUMIFS(P:P,A:A,A336)),"."),".")</f>
        <v>.</v>
      </c>
      <c r="BA336" s="182"/>
      <c r="BB336" s="182"/>
      <c r="BC336" s="182"/>
      <c r="BD336" s="182"/>
      <c r="BE336" s="182"/>
      <c r="BF336" s="182"/>
      <c r="BG336" s="182"/>
      <c r="BH336" s="182"/>
      <c r="BI336" s="182"/>
      <c r="BJ336" s="182"/>
      <c r="BK336" s="182"/>
      <c r="BL336" s="182"/>
      <c r="BM336" s="182"/>
      <c r="BN336" s="182"/>
      <c r="BO336" s="182"/>
      <c r="BP336" s="182"/>
      <c r="BQ336" s="182"/>
      <c r="BR336" s="182"/>
      <c r="BS336" s="182"/>
    </row>
    <row r="337" spans="1:71" ht="15.9" customHeight="1" x14ac:dyDescent="0.3">
      <c r="A337" s="17" t="s">
        <v>1162</v>
      </c>
      <c r="B337" s="17" t="s">
        <v>1131</v>
      </c>
      <c r="C337" s="174">
        <v>44697</v>
      </c>
      <c r="D337" s="5" t="s">
        <v>256</v>
      </c>
      <c r="E337" s="5" t="s">
        <v>554</v>
      </c>
      <c r="F337" s="175" t="s">
        <v>1163</v>
      </c>
      <c r="G337" s="15" t="s">
        <v>346</v>
      </c>
      <c r="H337" s="176" t="s">
        <v>341</v>
      </c>
      <c r="I337" s="17" t="s">
        <v>1169</v>
      </c>
      <c r="J337" s="113" t="str">
        <f>VLOOKUP($I337,'Price List, Weapons &amp; Items'!B:C,2,0)</f>
        <v>Humanitarian</v>
      </c>
      <c r="K337" s="113" t="str">
        <f>IF(I337=".",I337,VLOOKUP($I337,'Price List, Weapons &amp; Items'!B:D,3,0))</f>
        <v>Humanitarian</v>
      </c>
      <c r="L337" s="177">
        <f>VLOOKUP(I337,'Price List, Weapons &amp; Items'!B:E,4,0)</f>
        <v>0</v>
      </c>
      <c r="M337" s="542">
        <v>20000</v>
      </c>
      <c r="N337" s="542">
        <v>20000</v>
      </c>
      <c r="O337" s="543">
        <f>VLOOKUP($I337,'Price List, Weapons &amp; Items'!B:G,6,0)</f>
        <v>22</v>
      </c>
      <c r="P337" s="176">
        <f t="shared" si="69"/>
        <v>440000</v>
      </c>
      <c r="Q337" s="176">
        <f t="shared" si="70"/>
        <v>440000</v>
      </c>
      <c r="R337" s="176" t="str">
        <f t="shared" si="66"/>
        <v/>
      </c>
      <c r="S337" s="176" t="str">
        <f>IF(AND(AD337=1,R337&lt;&gt;".")=TRUE,R337/VLOOKUP(G337,'Exchange Rates'!B:C,2,0),IF(R337=".",".",""))</f>
        <v/>
      </c>
      <c r="T337" s="176" t="str">
        <f>IF(AD337=1,IF(AF337="Value is not given at all",".",IF(AF337="Value is given by the source",S337,IF(AF337="Value is calculated with prices",(IF(SUMIFS(Q:Q,A:A,A337)&gt;0,SUMIFS(Q:Q,A:A,A337),"."))/VLOOKUP("USD",'Exchange Rates'!B:C,2,0),"Error with coding"))),"")</f>
        <v/>
      </c>
      <c r="U337" s="15" t="s">
        <v>261</v>
      </c>
      <c r="V337" s="568" t="s">
        <v>1165</v>
      </c>
      <c r="W337" s="144" t="s">
        <v>260</v>
      </c>
      <c r="X337" s="144" t="s">
        <v>260</v>
      </c>
      <c r="Y337" s="668" t="s">
        <v>260</v>
      </c>
      <c r="Z337" s="15">
        <v>0</v>
      </c>
      <c r="AA337" s="180">
        <v>0</v>
      </c>
      <c r="AB337" s="871" t="s">
        <v>1165</v>
      </c>
      <c r="AC337" s="544" t="str">
        <f>""</f>
        <v/>
      </c>
      <c r="AD337" s="181">
        <v>0</v>
      </c>
      <c r="AE337" s="181" t="s">
        <v>332</v>
      </c>
      <c r="AF337" s="181" t="s">
        <v>332</v>
      </c>
      <c r="AG337" s="181">
        <v>1</v>
      </c>
      <c r="AH337" s="181">
        <v>5</v>
      </c>
      <c r="AI337" s="181">
        <v>0</v>
      </c>
      <c r="AJ337" s="181">
        <f>VLOOKUP($I337,'Price List, Weapons &amp; Items'!B:F,5,0)</f>
        <v>0</v>
      </c>
      <c r="AK337" s="181">
        <f t="shared" si="71"/>
        <v>0</v>
      </c>
      <c r="AL337" s="181">
        <f t="shared" si="72"/>
        <v>0</v>
      </c>
      <c r="AM337" s="181">
        <f t="shared" si="73"/>
        <v>0</v>
      </c>
      <c r="AN337" s="180" t="str">
        <f>VLOOKUP($I337,'Price List, Weapons &amp; Items'!B:L,COLUMN('Price List, Weapons &amp; Items'!$J$11)-1,0)</f>
        <v>Online marketplaces and stores</v>
      </c>
      <c r="AO337" s="180" t="str">
        <f>IF(I337=".",".",VLOOKUP($I337,'Price List, Weapons &amp; Items'!B:J,3,0))</f>
        <v>Humanitarian</v>
      </c>
      <c r="AP337" s="545" t="str">
        <f t="shared" ca="1" si="67"/>
        <v/>
      </c>
      <c r="AQ337" s="180">
        <f>VLOOKUP($I337,'Price List, Weapons &amp; Items'!B:L,COLUMN('Price List, Weapons &amp; Items'!$L$11)-1,0)</f>
        <v>0</v>
      </c>
      <c r="AR337" s="180">
        <f t="shared" si="74"/>
        <v>1</v>
      </c>
      <c r="AS337" s="180">
        <f t="shared" si="75"/>
        <v>0</v>
      </c>
      <c r="AT337" s="180">
        <f t="shared" si="68"/>
        <v>1</v>
      </c>
      <c r="AU337" s="180" t="str">
        <f t="shared" si="76"/>
        <v>.</v>
      </c>
      <c r="AV337" s="180" t="str">
        <f t="shared" si="77"/>
        <v>.</v>
      </c>
      <c r="AW337" s="180">
        <f>IFERROR(VLOOKUP(B337,'Share, Heavy Weapons to Ukraine'!B:J,COLUMN('Share, Heavy Weapons to Ukraine'!C344)-1,0),0)</f>
        <v>0</v>
      </c>
      <c r="AX337" s="180">
        <f>VLOOKUP('Bilateral Assistance, MAIN DATA'!B337,'Country Summary'!B:F,COLUMN('Country Summary'!C347)-1,FALSE)</f>
        <v>1</v>
      </c>
      <c r="AY337" s="180" t="str">
        <f>IF(AND(AD337=1,D337="Military",H337&lt;&gt;"Not given")=TRUE,IF(SUMIFS(P:P,A:A,A337)&gt;0,ABS((SUMIFS(P:P,A:A,A337)/VLOOKUP("USD",'Exchange Rates'!B:C,2,0)))/S337,"."),".")</f>
        <v>.</v>
      </c>
      <c r="AZ337" s="182" t="str">
        <f>IF(AND(AD337=1,D337="Military",H337&lt;&gt;"Not given")=TRUE,IF(SUMIFS(P:P,A:A,A337)&gt;0,IF((ABS((SUMIFS(P:P,A:A,A337)/VLOOKUP("USD",'Exchange Rates'!B:C,2,0)))/S337)&gt;1,(SUMIFS(P:P,A:A,A337)-S337)/S337,(S337-SUMIFS(P:P,A:A,A337))/SUMIFS(P:P,A:A,A337)),"."),".")</f>
        <v>.</v>
      </c>
      <c r="BA337" s="182"/>
      <c r="BB337" s="182"/>
      <c r="BC337" s="182"/>
      <c r="BD337" s="182"/>
      <c r="BE337" s="182"/>
      <c r="BF337" s="182"/>
      <c r="BG337" s="182"/>
      <c r="BH337" s="182"/>
      <c r="BI337" s="182"/>
      <c r="BJ337" s="182"/>
      <c r="BK337" s="182"/>
      <c r="BL337" s="182"/>
      <c r="BM337" s="182"/>
      <c r="BN337" s="182"/>
      <c r="BO337" s="182"/>
      <c r="BP337" s="182"/>
      <c r="BQ337" s="182"/>
      <c r="BR337" s="182"/>
      <c r="BS337" s="182"/>
    </row>
    <row r="338" spans="1:71" ht="15.9" customHeight="1" x14ac:dyDescent="0.3">
      <c r="A338" s="17" t="s">
        <v>1170</v>
      </c>
      <c r="B338" s="17" t="s">
        <v>1131</v>
      </c>
      <c r="C338" s="174">
        <v>44701</v>
      </c>
      <c r="D338" s="5" t="s">
        <v>256</v>
      </c>
      <c r="E338" s="5" t="s">
        <v>257</v>
      </c>
      <c r="F338" s="175" t="s">
        <v>1171</v>
      </c>
      <c r="G338" s="15" t="s">
        <v>260</v>
      </c>
      <c r="H338" s="176" t="s">
        <v>341</v>
      </c>
      <c r="I338" s="17" t="s">
        <v>260</v>
      </c>
      <c r="J338" s="113" t="str">
        <f>VLOOKUP($I338,'Price List, Weapons &amp; Items'!B:C,2,0)</f>
        <v>.</v>
      </c>
      <c r="K338" s="113" t="str">
        <f>IF(I338=".",I338,VLOOKUP($I338,'Price List, Weapons &amp; Items'!B:D,3,0))</f>
        <v>.</v>
      </c>
      <c r="L338" s="177">
        <f>VLOOKUP(I338,'Price List, Weapons &amp; Items'!B:E,4,0)</f>
        <v>0</v>
      </c>
      <c r="M338" s="542" t="s">
        <v>260</v>
      </c>
      <c r="N338" s="542" t="s">
        <v>260</v>
      </c>
      <c r="O338" s="543" t="str">
        <f>VLOOKUP($I338,'Price List, Weapons &amp; Items'!B:G,6,0)</f>
        <v>.</v>
      </c>
      <c r="P338" s="176" t="str">
        <f t="shared" si="69"/>
        <v>.</v>
      </c>
      <c r="Q338" s="176" t="str">
        <f t="shared" si="70"/>
        <v>.</v>
      </c>
      <c r="R338" s="176" t="str">
        <f t="shared" si="66"/>
        <v>.</v>
      </c>
      <c r="S338" s="176" t="str">
        <f>IF(AND(AD338=1,R338&lt;&gt;".")=TRUE,R338/VLOOKUP(G338,'Exchange Rates'!B:C,2,0),IF(R338=".",".",""))</f>
        <v>.</v>
      </c>
      <c r="T338" s="176" t="str">
        <f>IF(AD338=1,IF(AF338="Value is not given at all",".",IF(AF338="Value is given by the source",S338,IF(AF338="Value is calculated with prices",(IF(SUMIFS(Q:Q,A:A,A338)&gt;0,SUMIFS(Q:Q,A:A,A338),"."))/VLOOKUP("USD",'Exchange Rates'!B:C,2,0),"Error with coding"))),"")</f>
        <v>.</v>
      </c>
      <c r="U338" s="15" t="s">
        <v>261</v>
      </c>
      <c r="V338" s="300" t="s">
        <v>1172</v>
      </c>
      <c r="W338" s="175" t="s">
        <v>260</v>
      </c>
      <c r="X338" s="175" t="s">
        <v>260</v>
      </c>
      <c r="Y338" s="175" t="s">
        <v>260</v>
      </c>
      <c r="Z338" s="15">
        <v>0</v>
      </c>
      <c r="AA338" s="180">
        <v>0</v>
      </c>
      <c r="AB338" s="17" t="s">
        <v>260</v>
      </c>
      <c r="AC338" s="544" t="str">
        <f>""</f>
        <v/>
      </c>
      <c r="AD338" s="183">
        <v>1</v>
      </c>
      <c r="AE338" s="183" t="s">
        <v>265</v>
      </c>
      <c r="AF338" s="183" t="s">
        <v>265</v>
      </c>
      <c r="AG338" s="183">
        <v>1</v>
      </c>
      <c r="AH338" s="181">
        <v>5</v>
      </c>
      <c r="AI338" s="181">
        <v>0</v>
      </c>
      <c r="AJ338" s="181">
        <f>VLOOKUP($I338,'Price List, Weapons &amp; Items'!B:F,5,0)</f>
        <v>0</v>
      </c>
      <c r="AK338" s="181">
        <f t="shared" si="71"/>
        <v>0</v>
      </c>
      <c r="AL338" s="181">
        <f t="shared" si="72"/>
        <v>0</v>
      </c>
      <c r="AM338" s="181">
        <f t="shared" si="73"/>
        <v>0</v>
      </c>
      <c r="AN338" s="180" t="str">
        <f>VLOOKUP($I338,'Price List, Weapons &amp; Items'!B:L,COLUMN('Price List, Weapons &amp; Items'!$J$11)-1,0)</f>
        <v>.</v>
      </c>
      <c r="AO338" s="180" t="str">
        <f>IF(I338=".",".",VLOOKUP($I338,'Price List, Weapons &amp; Items'!B:J,3,0))</f>
        <v>.</v>
      </c>
      <c r="AP338" s="545" t="e">
        <f t="shared" ca="1" si="67"/>
        <v>#NAME?</v>
      </c>
      <c r="AQ338" s="180" t="str">
        <f>VLOOKUP($I338,'Price List, Weapons &amp; Items'!B:L,COLUMN('Price List, Weapons &amp; Items'!$L$11)-1,0)</f>
        <v>no price, 0 count</v>
      </c>
      <c r="AR338" s="180">
        <f t="shared" si="74"/>
        <v>1</v>
      </c>
      <c r="AS338" s="180">
        <f t="shared" si="75"/>
        <v>0</v>
      </c>
      <c r="AT338" s="180">
        <f t="shared" si="68"/>
        <v>1</v>
      </c>
      <c r="AU338" s="180" t="str">
        <f t="shared" si="76"/>
        <v>.</v>
      </c>
      <c r="AV338" s="180" t="str">
        <f t="shared" si="77"/>
        <v>.</v>
      </c>
      <c r="AW338" s="180">
        <f>IFERROR(VLOOKUP(B338,'Share, Heavy Weapons to Ukraine'!B:J,COLUMN('Share, Heavy Weapons to Ukraine'!C345)-1,0),0)</f>
        <v>0</v>
      </c>
      <c r="AX338" s="180">
        <f>VLOOKUP('Bilateral Assistance, MAIN DATA'!B338,'Country Summary'!B:F,COLUMN('Country Summary'!C348)-1,FALSE)</f>
        <v>1</v>
      </c>
      <c r="AY338" s="180" t="str">
        <f>IF(AND(AD338=1,D338="Military",H338&lt;&gt;"Not given")=TRUE,IF(SUMIFS(P:P,A:A,A338)&gt;0,ABS((SUMIFS(P:P,A:A,A338)/VLOOKUP("USD",'Exchange Rates'!B:C,2,0)))/S338,"."),".")</f>
        <v>.</v>
      </c>
      <c r="AZ338" s="182" t="str">
        <f>IF(AND(AD338=1,D338="Military",H338&lt;&gt;"Not given")=TRUE,IF(SUMIFS(P:P,A:A,A338)&gt;0,IF((ABS((SUMIFS(P:P,A:A,A338)/VLOOKUP("USD",'Exchange Rates'!B:C,2,0)))/S338)&gt;1,(SUMIFS(P:P,A:A,A338)-S338)/S338,(S338-SUMIFS(P:P,A:A,A338))/SUMIFS(P:P,A:A,A338)),"."),".")</f>
        <v>.</v>
      </c>
      <c r="BA338" s="182"/>
      <c r="BB338" s="182"/>
      <c r="BC338" s="182"/>
      <c r="BD338" s="182"/>
      <c r="BE338" s="182"/>
      <c r="BF338" s="182"/>
      <c r="BG338" s="182"/>
      <c r="BH338" s="182"/>
      <c r="BI338" s="182"/>
      <c r="BJ338" s="182"/>
      <c r="BK338" s="182"/>
      <c r="BL338" s="182"/>
      <c r="BM338" s="182"/>
      <c r="BN338" s="182"/>
      <c r="BO338" s="182"/>
      <c r="BP338" s="182"/>
      <c r="BQ338" s="182"/>
      <c r="BR338" s="182"/>
      <c r="BS338" s="182"/>
    </row>
    <row r="339" spans="1:71" ht="15.9" customHeight="1" x14ac:dyDescent="0.3">
      <c r="A339" s="17" t="s">
        <v>1173</v>
      </c>
      <c r="B339" s="17" t="s">
        <v>1131</v>
      </c>
      <c r="C339" s="174">
        <v>44711</v>
      </c>
      <c r="D339" s="5" t="s">
        <v>256</v>
      </c>
      <c r="E339" s="5" t="s">
        <v>267</v>
      </c>
      <c r="F339" s="175" t="s">
        <v>1174</v>
      </c>
      <c r="G339" s="15" t="s">
        <v>346</v>
      </c>
      <c r="H339" s="176" t="s">
        <v>341</v>
      </c>
      <c r="I339" s="17" t="s">
        <v>358</v>
      </c>
      <c r="J339" s="113" t="str">
        <f>VLOOKUP($I339,'Price List, Weapons &amp; Items'!B:C,2,0)</f>
        <v>Humanitarian</v>
      </c>
      <c r="K339" s="113" t="str">
        <f>IF(I339=".",I339,VLOOKUP($I339,'Price List, Weapons &amp; Items'!B:D,3,0))</f>
        <v>Humanitarian</v>
      </c>
      <c r="L339" s="177">
        <f>VLOOKUP(I339,'Price List, Weapons &amp; Items'!B:E,4,0)</f>
        <v>0</v>
      </c>
      <c r="M339" s="542">
        <v>12</v>
      </c>
      <c r="N339" s="542" t="s">
        <v>270</v>
      </c>
      <c r="O339" s="543">
        <f>VLOOKUP($I339,'Price List, Weapons &amp; Items'!B:G,6,0)</f>
        <v>317500</v>
      </c>
      <c r="P339" s="176">
        <f t="shared" si="69"/>
        <v>3810000</v>
      </c>
      <c r="Q339" s="176" t="str">
        <f t="shared" si="70"/>
        <v>.</v>
      </c>
      <c r="R339" s="176">
        <f t="shared" si="66"/>
        <v>3810000</v>
      </c>
      <c r="S339" s="176">
        <f>IF(AND(AD339=1,R339&lt;&gt;".")=TRUE,R339/VLOOKUP(G339,'Exchange Rates'!B:C,2,0),IF(R339=".",".",""))</f>
        <v>3628571.4285714286</v>
      </c>
      <c r="T339" s="176" t="str">
        <f>IF(AD339=1,IF(AF339="Value is not given at all",".",IF(AF339="Value is given by the source",S339,IF(AF339="Value is calculated with prices",(IF(SUMIFS(Q:Q,A:A,A339)&gt;0,SUMIFS(Q:Q,A:A,A339),"."))/VLOOKUP("USD",'Exchange Rates'!B:C,2,0),"Error with coding"))),"")</f>
        <v>.</v>
      </c>
      <c r="U339" s="15" t="s">
        <v>261</v>
      </c>
      <c r="V339" s="300" t="s">
        <v>1175</v>
      </c>
      <c r="W339" s="175" t="s">
        <v>260</v>
      </c>
      <c r="X339" s="175" t="s">
        <v>260</v>
      </c>
      <c r="Y339" s="175" t="s">
        <v>260</v>
      </c>
      <c r="Z339" s="15">
        <v>0</v>
      </c>
      <c r="AA339" s="180">
        <v>0</v>
      </c>
      <c r="AB339" s="17" t="s">
        <v>260</v>
      </c>
      <c r="AC339" s="544" t="str">
        <f>""</f>
        <v/>
      </c>
      <c r="AD339" s="181">
        <v>1</v>
      </c>
      <c r="AE339" s="181" t="s">
        <v>332</v>
      </c>
      <c r="AF339" s="181" t="s">
        <v>265</v>
      </c>
      <c r="AG339" s="181">
        <v>1</v>
      </c>
      <c r="AH339" s="181">
        <v>5</v>
      </c>
      <c r="AI339" s="181">
        <v>0</v>
      </c>
      <c r="AJ339" s="181">
        <f>VLOOKUP($I339,'Price List, Weapons &amp; Items'!B:F,5,0)</f>
        <v>0</v>
      </c>
      <c r="AK339" s="181">
        <f t="shared" si="71"/>
        <v>0</v>
      </c>
      <c r="AL339" s="181">
        <f t="shared" si="72"/>
        <v>0</v>
      </c>
      <c r="AM339" s="181">
        <f t="shared" si="73"/>
        <v>0</v>
      </c>
      <c r="AN339" s="180" t="str">
        <f>VLOOKUP($I339,'Price List, Weapons &amp; Items'!B:L,COLUMN('Price List, Weapons &amp; Items'!$J$11)-1,0)</f>
        <v>Media reports (incl. social media)</v>
      </c>
      <c r="AO339" s="180" t="str">
        <f>IF(I339=".",".",VLOOKUP($I339,'Price List, Weapons &amp; Items'!B:J,3,0))</f>
        <v>Humanitarian</v>
      </c>
      <c r="AP339" s="545" t="e">
        <f t="shared" ca="1" si="67"/>
        <v>#NAME?</v>
      </c>
      <c r="AQ339" s="180">
        <f>VLOOKUP($I339,'Price List, Weapons &amp; Items'!B:L,COLUMN('Price List, Weapons &amp; Items'!$L$11)-1,0)</f>
        <v>0</v>
      </c>
      <c r="AR339" s="180">
        <f t="shared" si="74"/>
        <v>1</v>
      </c>
      <c r="AS339" s="180">
        <f t="shared" si="75"/>
        <v>0</v>
      </c>
      <c r="AT339" s="180">
        <f t="shared" si="68"/>
        <v>1</v>
      </c>
      <c r="AU339" s="180" t="str">
        <f t="shared" si="76"/>
        <v>.</v>
      </c>
      <c r="AV339" s="180" t="str">
        <f t="shared" si="77"/>
        <v>.</v>
      </c>
      <c r="AW339" s="180">
        <f>IFERROR(VLOOKUP(B339,'Share, Heavy Weapons to Ukraine'!B:J,COLUMN('Share, Heavy Weapons to Ukraine'!C346)-1,0),0)</f>
        <v>0</v>
      </c>
      <c r="AX339" s="180">
        <f>VLOOKUP('Bilateral Assistance, MAIN DATA'!B339,'Country Summary'!B:F,COLUMN('Country Summary'!C349)-1,FALSE)</f>
        <v>1</v>
      </c>
      <c r="AY339" s="180" t="str">
        <f>IF(AND(AD339=1,D339="Military",H339&lt;&gt;"Not given")=TRUE,IF(SUMIFS(P:P,A:A,A339)&gt;0,ABS((SUMIFS(P:P,A:A,A339)/VLOOKUP("USD",'Exchange Rates'!B:C,2,0)))/S339,"."),".")</f>
        <v>.</v>
      </c>
      <c r="AZ339" s="182" t="str">
        <f>IF(AND(AD339=1,D339="Military",H339&lt;&gt;"Not given")=TRUE,IF(SUMIFS(P:P,A:A,A339)&gt;0,IF((ABS((SUMIFS(P:P,A:A,A339)/VLOOKUP("USD",'Exchange Rates'!B:C,2,0)))/S339)&gt;1,(SUMIFS(P:P,A:A,A339)-S339)/S339,(S339-SUMIFS(P:P,A:A,A339))/SUMIFS(P:P,A:A,A339)),"."),".")</f>
        <v>.</v>
      </c>
      <c r="BA339" s="182"/>
      <c r="BB339" s="182"/>
      <c r="BC339" s="182"/>
      <c r="BD339" s="182"/>
      <c r="BE339" s="182"/>
      <c r="BF339" s="182"/>
      <c r="BG339" s="182"/>
      <c r="BH339" s="182"/>
      <c r="BI339" s="182"/>
      <c r="BJ339" s="182"/>
      <c r="BK339" s="182"/>
      <c r="BL339" s="182"/>
      <c r="BM339" s="182"/>
      <c r="BN339" s="182"/>
      <c r="BO339" s="182"/>
      <c r="BP339" s="182"/>
      <c r="BQ339" s="182"/>
      <c r="BR339" s="182"/>
      <c r="BS339" s="182"/>
    </row>
    <row r="340" spans="1:71" ht="15.9" customHeight="1" x14ac:dyDescent="0.3">
      <c r="A340" s="17" t="s">
        <v>1176</v>
      </c>
      <c r="B340" s="17" t="s">
        <v>1131</v>
      </c>
      <c r="C340" s="174">
        <v>44729</v>
      </c>
      <c r="D340" s="5" t="s">
        <v>256</v>
      </c>
      <c r="E340" s="5" t="s">
        <v>257</v>
      </c>
      <c r="F340" s="175" t="s">
        <v>1177</v>
      </c>
      <c r="G340" s="15" t="s">
        <v>346</v>
      </c>
      <c r="H340" s="176" t="s">
        <v>341</v>
      </c>
      <c r="I340" s="186" t="s">
        <v>1178</v>
      </c>
      <c r="J340" s="113" t="str">
        <f>VLOOKUP($I340,'Price List, Weapons &amp; Items'!B:C,2,0)</f>
        <v>Humanitarian</v>
      </c>
      <c r="K340" s="113" t="str">
        <f>IF(I340=".",I340,VLOOKUP($I340,'Price List, Weapons &amp; Items'!B:D,3,0))</f>
        <v>Humanitarian</v>
      </c>
      <c r="L340" s="177">
        <f>VLOOKUP(I340,'Price List, Weapons &amp; Items'!B:E,4,0)</f>
        <v>0</v>
      </c>
      <c r="M340" s="542">
        <v>31</v>
      </c>
      <c r="N340" s="542" t="s">
        <v>270</v>
      </c>
      <c r="O340" s="543">
        <f>VLOOKUP($I340,'Price List, Weapons &amp; Items'!B:G,6,0)</f>
        <v>37609.264000000003</v>
      </c>
      <c r="P340" s="176">
        <f t="shared" si="69"/>
        <v>1165887.1840000001</v>
      </c>
      <c r="Q340" s="176" t="str">
        <f t="shared" si="70"/>
        <v>.</v>
      </c>
      <c r="R340" s="176">
        <f t="shared" si="66"/>
        <v>1165887.1840000001</v>
      </c>
      <c r="S340" s="176">
        <f>IF(AND(AD340=1,R340&lt;&gt;".")=TRUE,R340/VLOOKUP(G340,'Exchange Rates'!B:C,2,0),IF(R340=".",".",""))</f>
        <v>1110368.7466666668</v>
      </c>
      <c r="T340" s="176" t="str">
        <f>IF(AD340=1,IF(AF340="Value is not given at all",".",IF(AF340="Value is given by the source",S340,IF(AF340="Value is calculated with prices",(IF(SUMIFS(Q:Q,A:A,A340)&gt;0,SUMIFS(Q:Q,A:A,A340),"."))/VLOOKUP("USD",'Exchange Rates'!B:C,2,0),"Error with coding"))),"")</f>
        <v>.</v>
      </c>
      <c r="U340" s="15" t="s">
        <v>261</v>
      </c>
      <c r="V340" s="300" t="s">
        <v>1179</v>
      </c>
      <c r="W340" s="175" t="s">
        <v>260</v>
      </c>
      <c r="X340" s="175" t="s">
        <v>260</v>
      </c>
      <c r="Y340" s="175" t="s">
        <v>260</v>
      </c>
      <c r="Z340" s="15">
        <v>0</v>
      </c>
      <c r="AA340" s="180">
        <v>0</v>
      </c>
      <c r="AB340" s="17" t="s">
        <v>260</v>
      </c>
      <c r="AC340" s="544" t="str">
        <f>""</f>
        <v/>
      </c>
      <c r="AD340" s="183">
        <v>1</v>
      </c>
      <c r="AE340" s="183" t="s">
        <v>265</v>
      </c>
      <c r="AF340" s="183" t="s">
        <v>265</v>
      </c>
      <c r="AG340" s="183">
        <v>1</v>
      </c>
      <c r="AH340" s="181">
        <v>6</v>
      </c>
      <c r="AI340" s="181">
        <v>0</v>
      </c>
      <c r="AJ340" s="181">
        <f>VLOOKUP($I340,'Price List, Weapons &amp; Items'!B:F,5,0)</f>
        <v>0</v>
      </c>
      <c r="AK340" s="181">
        <f t="shared" si="71"/>
        <v>0</v>
      </c>
      <c r="AL340" s="181">
        <f t="shared" si="72"/>
        <v>0</v>
      </c>
      <c r="AM340" s="181">
        <f t="shared" si="73"/>
        <v>0</v>
      </c>
      <c r="AN340" s="180" t="str">
        <f>VLOOKUP($I340,'Price List, Weapons &amp; Items'!B:L,COLUMN('Price List, Weapons &amp; Items'!$J$11)-1,0)</f>
        <v>Miscellaneous</v>
      </c>
      <c r="AO340" s="180" t="str">
        <f>IF(I340=".",".",VLOOKUP($I340,'Price List, Weapons &amp; Items'!B:J,3,0))</f>
        <v>Humanitarian</v>
      </c>
      <c r="AP340" s="545" t="e">
        <f t="shared" ca="1" si="67"/>
        <v>#NAME?</v>
      </c>
      <c r="AQ340" s="180">
        <f>VLOOKUP($I340,'Price List, Weapons &amp; Items'!B:L,COLUMN('Price List, Weapons &amp; Items'!$L$11)-1,0)</f>
        <v>0</v>
      </c>
      <c r="AR340" s="180">
        <f t="shared" si="74"/>
        <v>1</v>
      </c>
      <c r="AS340" s="180">
        <f t="shared" si="75"/>
        <v>0</v>
      </c>
      <c r="AT340" s="180">
        <f t="shared" si="68"/>
        <v>1</v>
      </c>
      <c r="AU340" s="180" t="str">
        <f t="shared" si="76"/>
        <v>.</v>
      </c>
      <c r="AV340" s="180" t="str">
        <f t="shared" si="77"/>
        <v>.</v>
      </c>
      <c r="AW340" s="180">
        <f>IFERROR(VLOOKUP(B340,'Share, Heavy Weapons to Ukraine'!B:J,COLUMN('Share, Heavy Weapons to Ukraine'!C347)-1,0),0)</f>
        <v>0</v>
      </c>
      <c r="AX340" s="180">
        <f>VLOOKUP('Bilateral Assistance, MAIN DATA'!B340,'Country Summary'!B:F,COLUMN('Country Summary'!C350)-1,FALSE)</f>
        <v>1</v>
      </c>
      <c r="AY340" s="180" t="str">
        <f>IF(AND(AD340=1,D340="Military",H340&lt;&gt;"Not given")=TRUE,IF(SUMIFS(P:P,A:A,A340)&gt;0,ABS((SUMIFS(P:P,A:A,A340)/VLOOKUP("USD",'Exchange Rates'!B:C,2,0)))/S340,"."),".")</f>
        <v>.</v>
      </c>
      <c r="AZ340" s="182" t="str">
        <f>IF(AND(AD340=1,D340="Military",H340&lt;&gt;"Not given")=TRUE,IF(SUMIFS(P:P,A:A,A340)&gt;0,IF((ABS((SUMIFS(P:P,A:A,A340)/VLOOKUP("USD",'Exchange Rates'!B:C,2,0)))/S340)&gt;1,(SUMIFS(P:P,A:A,A340)-S340)/S340,(S340-SUMIFS(P:P,A:A,A340))/SUMIFS(P:P,A:A,A340)),"."),".")</f>
        <v>.</v>
      </c>
      <c r="BA340" s="182"/>
      <c r="BB340" s="182"/>
      <c r="BC340" s="182"/>
      <c r="BD340" s="182"/>
      <c r="BE340" s="182"/>
      <c r="BF340" s="182"/>
      <c r="BG340" s="182"/>
      <c r="BH340" s="182"/>
      <c r="BI340" s="182"/>
      <c r="BJ340" s="182"/>
      <c r="BK340" s="182"/>
      <c r="BL340" s="182"/>
      <c r="BM340" s="182"/>
      <c r="BN340" s="182"/>
      <c r="BO340" s="182"/>
      <c r="BP340" s="182"/>
      <c r="BQ340" s="182"/>
      <c r="BR340" s="182"/>
      <c r="BS340" s="182"/>
    </row>
    <row r="341" spans="1:71" ht="15.9" customHeight="1" x14ac:dyDescent="0.3">
      <c r="A341" s="17" t="s">
        <v>1180</v>
      </c>
      <c r="B341" s="17" t="s">
        <v>1131</v>
      </c>
      <c r="C341" s="174">
        <v>44729</v>
      </c>
      <c r="D341" s="5" t="s">
        <v>256</v>
      </c>
      <c r="E341" s="5" t="s">
        <v>257</v>
      </c>
      <c r="F341" s="175" t="s">
        <v>1181</v>
      </c>
      <c r="G341" s="15" t="s">
        <v>260</v>
      </c>
      <c r="H341" s="176" t="s">
        <v>341</v>
      </c>
      <c r="I341" s="17" t="s">
        <v>260</v>
      </c>
      <c r="J341" s="113" t="str">
        <f>VLOOKUP($I341,'Price List, Weapons &amp; Items'!B:C,2,0)</f>
        <v>.</v>
      </c>
      <c r="K341" s="113" t="str">
        <f>IF(I341=".",I341,VLOOKUP($I341,'Price List, Weapons &amp; Items'!B:D,3,0))</f>
        <v>.</v>
      </c>
      <c r="L341" s="177">
        <f>VLOOKUP(I341,'Price List, Weapons &amp; Items'!B:E,4,0)</f>
        <v>0</v>
      </c>
      <c r="M341" s="542" t="s">
        <v>260</v>
      </c>
      <c r="N341" s="542" t="s">
        <v>260</v>
      </c>
      <c r="O341" s="543" t="str">
        <f>VLOOKUP($I341,'Price List, Weapons &amp; Items'!B:G,6,0)</f>
        <v>.</v>
      </c>
      <c r="P341" s="176" t="str">
        <f t="shared" si="69"/>
        <v>.</v>
      </c>
      <c r="Q341" s="176" t="str">
        <f t="shared" si="70"/>
        <v>.</v>
      </c>
      <c r="R341" s="176" t="str">
        <f t="shared" si="66"/>
        <v>.</v>
      </c>
      <c r="S341" s="176" t="str">
        <f>IF(AND(AD341=1,R341&lt;&gt;".")=TRUE,R341/VLOOKUP(G341,'Exchange Rates'!B:C,2,0),IF(R341=".",".",""))</f>
        <v>.</v>
      </c>
      <c r="T341" s="176" t="str">
        <f>IF(AD341=1,IF(AF341="Value is not given at all",".",IF(AF341="Value is given by the source",S341,IF(AF341="Value is calculated with prices",(IF(SUMIFS(Q:Q,A:A,A341)&gt;0,SUMIFS(Q:Q,A:A,A341),"."))/VLOOKUP("USD",'Exchange Rates'!B:C,2,0),"Error with coding"))),"")</f>
        <v>.</v>
      </c>
      <c r="U341" s="15" t="s">
        <v>261</v>
      </c>
      <c r="V341" s="300" t="s">
        <v>1172</v>
      </c>
      <c r="W341" s="175" t="s">
        <v>260</v>
      </c>
      <c r="X341" s="175" t="s">
        <v>260</v>
      </c>
      <c r="Y341" s="175" t="s">
        <v>260</v>
      </c>
      <c r="Z341" s="15">
        <v>0</v>
      </c>
      <c r="AA341" s="180">
        <v>0</v>
      </c>
      <c r="AB341" s="17" t="s">
        <v>260</v>
      </c>
      <c r="AC341" s="544" t="str">
        <f>""</f>
        <v/>
      </c>
      <c r="AD341" s="183">
        <v>1</v>
      </c>
      <c r="AE341" s="183" t="s">
        <v>265</v>
      </c>
      <c r="AF341" s="183" t="s">
        <v>265</v>
      </c>
      <c r="AG341" s="183">
        <v>1</v>
      </c>
      <c r="AH341" s="181">
        <v>6</v>
      </c>
      <c r="AI341" s="181">
        <v>0</v>
      </c>
      <c r="AJ341" s="181">
        <f>VLOOKUP($I341,'Price List, Weapons &amp; Items'!B:F,5,0)</f>
        <v>0</v>
      </c>
      <c r="AK341" s="181">
        <f t="shared" si="71"/>
        <v>0</v>
      </c>
      <c r="AL341" s="181">
        <f t="shared" si="72"/>
        <v>0</v>
      </c>
      <c r="AM341" s="181">
        <f t="shared" si="73"/>
        <v>0</v>
      </c>
      <c r="AN341" s="180" t="str">
        <f>VLOOKUP($I341,'Price List, Weapons &amp; Items'!B:L,COLUMN('Price List, Weapons &amp; Items'!$J$11)-1,0)</f>
        <v>.</v>
      </c>
      <c r="AO341" s="180" t="str">
        <f>IF(I341=".",".",VLOOKUP($I341,'Price List, Weapons &amp; Items'!B:J,3,0))</f>
        <v>.</v>
      </c>
      <c r="AP341" s="545" t="e">
        <f t="shared" ca="1" si="67"/>
        <v>#NAME?</v>
      </c>
      <c r="AQ341" s="180" t="str">
        <f>VLOOKUP($I341,'Price List, Weapons &amp; Items'!B:L,COLUMN('Price List, Weapons &amp; Items'!$L$11)-1,0)</f>
        <v>no price, 0 count</v>
      </c>
      <c r="AR341" s="180">
        <f t="shared" si="74"/>
        <v>1</v>
      </c>
      <c r="AS341" s="180">
        <f t="shared" si="75"/>
        <v>0</v>
      </c>
      <c r="AT341" s="180">
        <f t="shared" si="68"/>
        <v>1</v>
      </c>
      <c r="AU341" s="180" t="str">
        <f t="shared" si="76"/>
        <v>.</v>
      </c>
      <c r="AV341" s="180" t="str">
        <f t="shared" si="77"/>
        <v>.</v>
      </c>
      <c r="AW341" s="180">
        <f>IFERROR(VLOOKUP(B341,'Share, Heavy Weapons to Ukraine'!B:J,COLUMN('Share, Heavy Weapons to Ukraine'!C348)-1,0),0)</f>
        <v>0</v>
      </c>
      <c r="AX341" s="180">
        <f>VLOOKUP('Bilateral Assistance, MAIN DATA'!B341,'Country Summary'!B:F,COLUMN('Country Summary'!C351)-1,FALSE)</f>
        <v>1</v>
      </c>
      <c r="AY341" s="180" t="str">
        <f>IF(AND(AD341=1,D341="Military",H341&lt;&gt;"Not given")=TRUE,IF(SUMIFS(P:P,A:A,A341)&gt;0,ABS((SUMIFS(P:P,A:A,A341)/VLOOKUP("USD",'Exchange Rates'!B:C,2,0)))/S341,"."),".")</f>
        <v>.</v>
      </c>
      <c r="AZ341" s="182" t="str">
        <f>IF(AND(AD341=1,D341="Military",H341&lt;&gt;"Not given")=TRUE,IF(SUMIFS(P:P,A:A,A341)&gt;0,IF((ABS((SUMIFS(P:P,A:A,A341)/VLOOKUP("USD",'Exchange Rates'!B:C,2,0)))/S341)&gt;1,(SUMIFS(P:P,A:A,A341)-S341)/S341,(S341-SUMIFS(P:P,A:A,A341))/SUMIFS(P:P,A:A,A341)),"."),".")</f>
        <v>.</v>
      </c>
      <c r="BA341" s="182"/>
      <c r="BB341" s="182"/>
      <c r="BC341" s="182"/>
      <c r="BD341" s="182"/>
      <c r="BE341" s="182"/>
      <c r="BF341" s="182"/>
      <c r="BG341" s="182"/>
      <c r="BH341" s="182"/>
      <c r="BI341" s="182"/>
      <c r="BJ341" s="182"/>
      <c r="BK341" s="182"/>
      <c r="BL341" s="182"/>
      <c r="BM341" s="182"/>
      <c r="BN341" s="182"/>
      <c r="BO341" s="182"/>
      <c r="BP341" s="182"/>
      <c r="BQ341" s="182"/>
      <c r="BR341" s="182"/>
      <c r="BS341" s="182"/>
    </row>
    <row r="342" spans="1:71" ht="15.9" customHeight="1" x14ac:dyDescent="0.3">
      <c r="A342" s="17" t="s">
        <v>1182</v>
      </c>
      <c r="B342" s="17" t="s">
        <v>1131</v>
      </c>
      <c r="C342" s="174">
        <v>44740</v>
      </c>
      <c r="D342" s="5" t="s">
        <v>256</v>
      </c>
      <c r="E342" s="5" t="s">
        <v>267</v>
      </c>
      <c r="F342" s="175" t="s">
        <v>1183</v>
      </c>
      <c r="G342" s="15" t="s">
        <v>260</v>
      </c>
      <c r="H342" s="176" t="s">
        <v>341</v>
      </c>
      <c r="I342" s="17" t="s">
        <v>260</v>
      </c>
      <c r="J342" s="113" t="str">
        <f>VLOOKUP($I342,'Price List, Weapons &amp; Items'!B:C,2,0)</f>
        <v>.</v>
      </c>
      <c r="K342" s="113" t="str">
        <f>IF(I342=".",I342,VLOOKUP($I342,'Price List, Weapons &amp; Items'!B:D,3,0))</f>
        <v>.</v>
      </c>
      <c r="L342" s="177">
        <f>VLOOKUP(I342,'Price List, Weapons &amp; Items'!B:E,4,0)</f>
        <v>0</v>
      </c>
      <c r="M342" s="542" t="s">
        <v>260</v>
      </c>
      <c r="N342" s="542" t="s">
        <v>260</v>
      </c>
      <c r="O342" s="543" t="str">
        <f>VLOOKUP($I342,'Price List, Weapons &amp; Items'!B:G,6,0)</f>
        <v>.</v>
      </c>
      <c r="P342" s="176" t="str">
        <f t="shared" si="69"/>
        <v>.</v>
      </c>
      <c r="Q342" s="176" t="str">
        <f t="shared" si="70"/>
        <v>.</v>
      </c>
      <c r="R342" s="176" t="str">
        <f t="shared" si="66"/>
        <v>.</v>
      </c>
      <c r="S342" s="176" t="str">
        <f>IF(AND(AD342=1,R342&lt;&gt;".")=TRUE,R342/VLOOKUP(G342,'Exchange Rates'!B:C,2,0),IF(R342=".",".",""))</f>
        <v>.</v>
      </c>
      <c r="T342" s="176" t="str">
        <f>IF(AD342=1,IF(AF342="Value is not given at all",".",IF(AF342="Value is given by the source",S342,IF(AF342="Value is calculated with prices",(IF(SUMIFS(Q:Q,A:A,A342)&gt;0,SUMIFS(Q:Q,A:A,A342),"."))/VLOOKUP("USD",'Exchange Rates'!B:C,2,0),"Error with coding"))),"")</f>
        <v>.</v>
      </c>
      <c r="U342" s="15" t="s">
        <v>261</v>
      </c>
      <c r="V342" s="300" t="s">
        <v>1184</v>
      </c>
      <c r="W342" s="175" t="s">
        <v>260</v>
      </c>
      <c r="X342" s="175" t="s">
        <v>260</v>
      </c>
      <c r="Y342" s="175" t="s">
        <v>260</v>
      </c>
      <c r="Z342" s="15">
        <v>0</v>
      </c>
      <c r="AA342" s="180">
        <v>0</v>
      </c>
      <c r="AB342" s="184" t="s">
        <v>260</v>
      </c>
      <c r="AC342" s="544" t="str">
        <f>""</f>
        <v/>
      </c>
      <c r="AD342" s="183">
        <v>1</v>
      </c>
      <c r="AE342" s="183" t="s">
        <v>265</v>
      </c>
      <c r="AF342" s="183" t="s">
        <v>265</v>
      </c>
      <c r="AG342" s="183">
        <v>1</v>
      </c>
      <c r="AH342" s="181">
        <v>6</v>
      </c>
      <c r="AI342" s="181">
        <v>0</v>
      </c>
      <c r="AJ342" s="181">
        <f>VLOOKUP($I342,'Price List, Weapons &amp; Items'!B:F,5,0)</f>
        <v>0</v>
      </c>
      <c r="AK342" s="181">
        <f t="shared" si="71"/>
        <v>0</v>
      </c>
      <c r="AL342" s="181">
        <f t="shared" si="72"/>
        <v>0</v>
      </c>
      <c r="AM342" s="181">
        <f t="shared" si="73"/>
        <v>0</v>
      </c>
      <c r="AN342" s="180" t="str">
        <f>VLOOKUP($I342,'Price List, Weapons &amp; Items'!B:L,COLUMN('Price List, Weapons &amp; Items'!$J$11)-1,0)</f>
        <v>.</v>
      </c>
      <c r="AO342" s="180" t="str">
        <f>IF(I342=".",".",VLOOKUP($I342,'Price List, Weapons &amp; Items'!B:J,3,0))</f>
        <v>.</v>
      </c>
      <c r="AP342" s="545" t="e">
        <f t="shared" ca="1" si="67"/>
        <v>#NAME?</v>
      </c>
      <c r="AQ342" s="180" t="str">
        <f>VLOOKUP($I342,'Price List, Weapons &amp; Items'!B:L,COLUMN('Price List, Weapons &amp; Items'!$L$11)-1,0)</f>
        <v>no price, 0 count</v>
      </c>
      <c r="AR342" s="180">
        <f t="shared" si="74"/>
        <v>1</v>
      </c>
      <c r="AS342" s="180">
        <f t="shared" si="75"/>
        <v>0</v>
      </c>
      <c r="AT342" s="180">
        <f t="shared" si="68"/>
        <v>1</v>
      </c>
      <c r="AU342" s="180" t="str">
        <f t="shared" si="76"/>
        <v>.</v>
      </c>
      <c r="AV342" s="180" t="str">
        <f t="shared" si="77"/>
        <v>.</v>
      </c>
      <c r="AW342" s="180">
        <f>IFERROR(VLOOKUP(B342,'Share, Heavy Weapons to Ukraine'!B:J,COLUMN('Share, Heavy Weapons to Ukraine'!C349)-1,0),0)</f>
        <v>0</v>
      </c>
      <c r="AX342" s="180">
        <f>VLOOKUP('Bilateral Assistance, MAIN DATA'!B342,'Country Summary'!B:F,COLUMN('Country Summary'!C352)-1,FALSE)</f>
        <v>1</v>
      </c>
      <c r="AY342" s="180" t="str">
        <f>IF(AND(AD342=1,D342="Military",H342&lt;&gt;"Not given")=TRUE,IF(SUMIFS(P:P,A:A,A342)&gt;0,ABS((SUMIFS(P:P,A:A,A342)/VLOOKUP("USD",'Exchange Rates'!B:C,2,0)))/S342,"."),".")</f>
        <v>.</v>
      </c>
      <c r="AZ342" s="182" t="str">
        <f>IF(AND(AD342=1,D342="Military",H342&lt;&gt;"Not given")=TRUE,IF(SUMIFS(P:P,A:A,A342)&gt;0,IF((ABS((SUMIFS(P:P,A:A,A342)/VLOOKUP("USD",'Exchange Rates'!B:C,2,0)))/S342)&gt;1,(SUMIFS(P:P,A:A,A342)-S342)/S342,(S342-SUMIFS(P:P,A:A,A342))/SUMIFS(P:P,A:A,A342)),"."),".")</f>
        <v>.</v>
      </c>
      <c r="BA342" s="182"/>
      <c r="BB342" s="182"/>
      <c r="BC342" s="182"/>
      <c r="BD342" s="182"/>
      <c r="BE342" s="182"/>
      <c r="BF342" s="182"/>
      <c r="BG342" s="182"/>
      <c r="BH342" s="182"/>
      <c r="BI342" s="182"/>
      <c r="BJ342" s="182"/>
      <c r="BK342" s="182"/>
      <c r="BL342" s="182"/>
      <c r="BM342" s="182"/>
      <c r="BN342" s="182"/>
      <c r="BO342" s="182"/>
      <c r="BP342" s="182"/>
      <c r="BQ342" s="182"/>
      <c r="BR342" s="182"/>
      <c r="BS342" s="182"/>
    </row>
    <row r="343" spans="1:71" s="514" customFormat="1" ht="15.9" customHeight="1" x14ac:dyDescent="0.3">
      <c r="A343" s="17" t="s">
        <v>1185</v>
      </c>
      <c r="B343" s="17" t="s">
        <v>1131</v>
      </c>
      <c r="C343" s="174">
        <v>44757</v>
      </c>
      <c r="D343" s="5" t="s">
        <v>256</v>
      </c>
      <c r="E343" s="5" t="s">
        <v>1186</v>
      </c>
      <c r="F343" s="175" t="s">
        <v>1187</v>
      </c>
      <c r="G343" s="15" t="s">
        <v>364</v>
      </c>
      <c r="H343" s="176" t="s">
        <v>341</v>
      </c>
      <c r="I343" s="17" t="s">
        <v>1188</v>
      </c>
      <c r="J343" s="113" t="str">
        <f>VLOOKUP($I343,'Price List, Weapons &amp; Items'!B:C,2,0)</f>
        <v>Humanitarian</v>
      </c>
      <c r="K343" s="113" t="str">
        <f>IF(I343=".",I343,VLOOKUP($I343,'Price List, Weapons &amp; Items'!B:D,3,0))</f>
        <v>Humanitarian</v>
      </c>
      <c r="L343" s="177">
        <f>VLOOKUP(I343,'Price List, Weapons &amp; Items'!B:E,4,0)</f>
        <v>0</v>
      </c>
      <c r="M343" s="187">
        <v>1</v>
      </c>
      <c r="N343" s="187" t="s">
        <v>270</v>
      </c>
      <c r="O343" s="543" t="str">
        <f>VLOOKUP($I343,'Price List, Weapons &amp; Items'!B:G,6,0)</f>
        <v>.</v>
      </c>
      <c r="P343" s="176" t="str">
        <f t="shared" si="69"/>
        <v>No price</v>
      </c>
      <c r="Q343" s="176" t="str">
        <f t="shared" si="70"/>
        <v>.</v>
      </c>
      <c r="R343" s="176" t="str">
        <f t="shared" si="66"/>
        <v>.</v>
      </c>
      <c r="S343" s="176" t="str">
        <f>IF(AND(AD343=1,R343&lt;&gt;".")=TRUE,R343/VLOOKUP(G343,'Exchange Rates'!B:C,2,0),IF(R343=".",".",""))</f>
        <v>.</v>
      </c>
      <c r="T343" s="176" t="str">
        <f>IF(AD343=1,IF(AF343="Value is not given at all",".",IF(AF343="Value is given by the source",S343,IF(AF343="Value is calculated with prices",(IF(SUMIFS(Q:Q,A:A,A343)&gt;0,SUMIFS(Q:Q,A:A,A343),"."))/VLOOKUP("USD",'Exchange Rates'!B:C,2,0),"Error with coding"))),"")</f>
        <v>.</v>
      </c>
      <c r="U343" s="15" t="s">
        <v>261</v>
      </c>
      <c r="V343" s="300" t="s">
        <v>1189</v>
      </c>
      <c r="W343" s="175" t="s">
        <v>260</v>
      </c>
      <c r="X343" s="175" t="s">
        <v>260</v>
      </c>
      <c r="Y343" s="175" t="s">
        <v>260</v>
      </c>
      <c r="Z343" s="15">
        <v>0</v>
      </c>
      <c r="AA343" s="180">
        <v>0</v>
      </c>
      <c r="AB343" s="184" t="s">
        <v>260</v>
      </c>
      <c r="AC343" s="544" t="str">
        <f>""</f>
        <v/>
      </c>
      <c r="AD343" s="183">
        <v>1</v>
      </c>
      <c r="AE343" s="183" t="s">
        <v>265</v>
      </c>
      <c r="AF343" s="183" t="s">
        <v>265</v>
      </c>
      <c r="AG343" s="183">
        <v>1</v>
      </c>
      <c r="AH343" s="181">
        <v>7</v>
      </c>
      <c r="AI343" s="181">
        <v>0</v>
      </c>
      <c r="AJ343" s="181">
        <f>VLOOKUP($I343,'Price List, Weapons &amp; Items'!B:F,5,0)</f>
        <v>0</v>
      </c>
      <c r="AK343" s="181">
        <f t="shared" si="71"/>
        <v>0</v>
      </c>
      <c r="AL343" s="181">
        <f t="shared" si="72"/>
        <v>0</v>
      </c>
      <c r="AM343" s="181">
        <f t="shared" si="73"/>
        <v>0</v>
      </c>
      <c r="AN343" s="180" t="str">
        <f>VLOOKUP($I343,'Price List, Weapons &amp; Items'!B:L,COLUMN('Price List, Weapons &amp; Items'!$J$11)-1,0)</f>
        <v>.</v>
      </c>
      <c r="AO343" s="180" t="str">
        <f>IF(I343=".",".",VLOOKUP($I343,'Price List, Weapons &amp; Items'!B:J,3,0))</f>
        <v>Humanitarian</v>
      </c>
      <c r="AP343" s="545" t="e">
        <f t="shared" ca="1" si="67"/>
        <v>#NAME?</v>
      </c>
      <c r="AQ343" s="180">
        <f>VLOOKUP($I343,'Price List, Weapons &amp; Items'!B:L,COLUMN('Price List, Weapons &amp; Items'!$L$11)-1,0)</f>
        <v>0</v>
      </c>
      <c r="AR343" s="180">
        <f t="shared" si="74"/>
        <v>1</v>
      </c>
      <c r="AS343" s="180">
        <f t="shared" si="75"/>
        <v>0</v>
      </c>
      <c r="AT343" s="180">
        <f t="shared" si="68"/>
        <v>1</v>
      </c>
      <c r="AU343" s="180" t="str">
        <f t="shared" si="76"/>
        <v>.</v>
      </c>
      <c r="AV343" s="180" t="str">
        <f t="shared" si="77"/>
        <v>.</v>
      </c>
      <c r="AW343" s="180">
        <f>IFERROR(VLOOKUP(B343,'Share, Heavy Weapons to Ukraine'!B:J,COLUMN('Share, Heavy Weapons to Ukraine'!C350)-1,0),0)</f>
        <v>0</v>
      </c>
      <c r="AX343" s="180">
        <f>VLOOKUP('Bilateral Assistance, MAIN DATA'!B343,'Country Summary'!B:F,COLUMN('Country Summary'!C353)-1,FALSE)</f>
        <v>1</v>
      </c>
      <c r="AY343" s="180" t="str">
        <f>IF(AND(AD343=1,D343="Military",H343&lt;&gt;"Not given")=TRUE,IF(SUMIFS(P:P,A:A,A343)&gt;0,ABS((SUMIFS(P:P,A:A,A343)/VLOOKUP("USD",'Exchange Rates'!B:C,2,0)))/S343,"."),".")</f>
        <v>.</v>
      </c>
      <c r="AZ343" s="182" t="str">
        <f>IF(AND(AD343=1,D343="Military",H343&lt;&gt;"Not given")=TRUE,IF(SUMIFS(P:P,A:A,A343)&gt;0,IF((ABS((SUMIFS(P:P,A:A,A343)/VLOOKUP("USD",'Exchange Rates'!B:C,2,0)))/S343)&gt;1,(SUMIFS(P:P,A:A,A343)-S343)/S343,(S343-SUMIFS(P:P,A:A,A343))/SUMIFS(P:P,A:A,A343)),"."),".")</f>
        <v>.</v>
      </c>
      <c r="BA343" s="180"/>
      <c r="BB343" s="180"/>
      <c r="BC343" s="180"/>
      <c r="BD343" s="180"/>
      <c r="BE343" s="180"/>
      <c r="BF343" s="180"/>
      <c r="BG343" s="180"/>
      <c r="BH343" s="180"/>
      <c r="BI343" s="180"/>
      <c r="BJ343" s="180"/>
      <c r="BK343" s="180"/>
      <c r="BL343" s="180"/>
      <c r="BM343" s="180"/>
      <c r="BN343" s="180"/>
      <c r="BO343" s="180"/>
      <c r="BP343" s="180"/>
      <c r="BQ343" s="180"/>
      <c r="BR343" s="180"/>
      <c r="BS343" s="180"/>
    </row>
    <row r="344" spans="1:71" s="514" customFormat="1" ht="15.9" customHeight="1" x14ac:dyDescent="0.3">
      <c r="A344" s="17" t="s">
        <v>1190</v>
      </c>
      <c r="B344" s="17" t="s">
        <v>1131</v>
      </c>
      <c r="C344" s="174">
        <v>44832</v>
      </c>
      <c r="D344" s="5" t="s">
        <v>256</v>
      </c>
      <c r="E344" s="5" t="s">
        <v>554</v>
      </c>
      <c r="F344" s="175" t="s">
        <v>1191</v>
      </c>
      <c r="G344" s="15" t="s">
        <v>364</v>
      </c>
      <c r="H344" s="176">
        <v>9000000</v>
      </c>
      <c r="I344" s="175" t="s">
        <v>373</v>
      </c>
      <c r="J344" s="113" t="str">
        <f>VLOOKUP($I344,'Price List, Weapons &amp; Items'!B:C,2,0)</f>
        <v>Humanitarian</v>
      </c>
      <c r="K344" s="113" t="str">
        <f>IF(I344=".",I344,VLOOKUP($I344,'Price List, Weapons &amp; Items'!B:D,3,0))</f>
        <v>Humanitarian</v>
      </c>
      <c r="L344" s="177">
        <f>VLOOKUP(I344,'Price List, Weapons &amp; Items'!B:E,4,0)</f>
        <v>0</v>
      </c>
      <c r="M344" s="247">
        <v>15</v>
      </c>
      <c r="N344" s="187">
        <v>15</v>
      </c>
      <c r="O344" s="543">
        <f>VLOOKUP($I344,'Price List, Weapons &amp; Items'!B:G,6,0)</f>
        <v>400000</v>
      </c>
      <c r="P344" s="176">
        <f t="shared" si="69"/>
        <v>6000000</v>
      </c>
      <c r="Q344" s="176">
        <f t="shared" si="70"/>
        <v>6000000</v>
      </c>
      <c r="R344" s="176">
        <f t="shared" si="66"/>
        <v>9000000</v>
      </c>
      <c r="S344" s="176">
        <f>IF(AND(AD344=1,R344&lt;&gt;".")=TRUE,R344/VLOOKUP(G344,'Exchange Rates'!B:C,2,0),IF(R344=".",".",""))</f>
        <v>9000000</v>
      </c>
      <c r="T344" s="176" t="s">
        <v>260</v>
      </c>
      <c r="U344" s="15" t="s">
        <v>261</v>
      </c>
      <c r="V344" s="304" t="s">
        <v>1192</v>
      </c>
      <c r="W344" s="304" t="s">
        <v>1193</v>
      </c>
      <c r="X344" s="546" t="s">
        <v>1194</v>
      </c>
      <c r="Y344" s="665" t="s">
        <v>1195</v>
      </c>
      <c r="Z344" s="15">
        <v>0</v>
      </c>
      <c r="AA344" s="180">
        <v>1</v>
      </c>
      <c r="AB344" s="666" t="s">
        <v>1195</v>
      </c>
      <c r="AC344" s="544" t="str">
        <f>""</f>
        <v/>
      </c>
      <c r="AD344" s="183">
        <v>1</v>
      </c>
      <c r="AE344" s="183" t="s">
        <v>264</v>
      </c>
      <c r="AF344" s="183" t="s">
        <v>264</v>
      </c>
      <c r="AG344" s="183">
        <v>1</v>
      </c>
      <c r="AH344" s="181">
        <v>9</v>
      </c>
      <c r="AI344" s="181">
        <v>0</v>
      </c>
      <c r="AJ344" s="181">
        <f>VLOOKUP($I344,'Price List, Weapons &amp; Items'!B:F,5,0)</f>
        <v>0</v>
      </c>
      <c r="AK344" s="181">
        <f t="shared" si="71"/>
        <v>0</v>
      </c>
      <c r="AL344" s="181">
        <f t="shared" si="72"/>
        <v>0</v>
      </c>
      <c r="AM344" s="181">
        <f t="shared" si="73"/>
        <v>0</v>
      </c>
      <c r="AN344" s="180" t="str">
        <f>VLOOKUP($I344,'Price List, Weapons &amp; Items'!B:L,COLUMN('Price List, Weapons &amp; Items'!$J$11)-1,0)</f>
        <v>Media reports (incl. social media)</v>
      </c>
      <c r="AO344" s="180" t="str">
        <f>IF(I344=".",".",VLOOKUP($I344,'Price List, Weapons &amp; Items'!B:J,3,0))</f>
        <v>Humanitarian</v>
      </c>
      <c r="AP344" s="545" t="e">
        <f t="shared" ca="1" si="67"/>
        <v>#NAME?</v>
      </c>
      <c r="AQ344" s="180">
        <f>VLOOKUP($I344,'Price List, Weapons &amp; Items'!B:L,COLUMN('Price List, Weapons &amp; Items'!$L$11)-1,0)</f>
        <v>0</v>
      </c>
      <c r="AR344" s="180">
        <f t="shared" si="74"/>
        <v>1</v>
      </c>
      <c r="AS344" s="180">
        <f t="shared" si="75"/>
        <v>0</v>
      </c>
      <c r="AT344" s="180">
        <f t="shared" si="68"/>
        <v>1</v>
      </c>
      <c r="AU344" s="180" t="str">
        <f t="shared" si="76"/>
        <v>.</v>
      </c>
      <c r="AV344" s="180" t="str">
        <f t="shared" si="77"/>
        <v>.</v>
      </c>
      <c r="AW344" s="180">
        <f>IFERROR(VLOOKUP(B344,'Share, Heavy Weapons to Ukraine'!B:J,COLUMN('Share, Heavy Weapons to Ukraine'!C351)-1,0),0)</f>
        <v>0</v>
      </c>
      <c r="AX344" s="180">
        <f>VLOOKUP('Bilateral Assistance, MAIN DATA'!B344,'Country Summary'!B:F,COLUMN('Country Summary'!C354)-1,FALSE)</f>
        <v>1</v>
      </c>
      <c r="AY344" s="180" t="str">
        <f>IF(AND(AD344=1,D344="Military",H344&lt;&gt;"Not given")=TRUE,IF(SUMIFS(P:P,A:A,A344)&gt;0,ABS((SUMIFS(P:P,A:A,A344)/VLOOKUP("USD",'Exchange Rates'!B:C,2,0)))/S344,"."),".")</f>
        <v>.</v>
      </c>
      <c r="AZ344" s="182" t="str">
        <f>IF(AND(AD344=1,D344="Military",H344&lt;&gt;"Not given")=TRUE,IF(SUMIFS(P:P,A:A,A344)&gt;0,IF((ABS((SUMIFS(P:P,A:A,A344)/VLOOKUP("USD",'Exchange Rates'!B:C,2,0)))/S344)&gt;1,(SUMIFS(P:P,A:A,A344)-S344)/S344,(S344-SUMIFS(P:P,A:A,A344))/SUMIFS(P:P,A:A,A344)),"."),".")</f>
        <v>.</v>
      </c>
      <c r="BA344" s="180"/>
      <c r="BB344" s="180"/>
      <c r="BC344" s="180"/>
      <c r="BD344" s="180"/>
      <c r="BE344" s="180"/>
      <c r="BF344" s="180"/>
      <c r="BG344" s="180"/>
      <c r="BH344" s="180"/>
      <c r="BI344" s="180"/>
      <c r="BJ344" s="180"/>
      <c r="BK344" s="180"/>
      <c r="BL344" s="180"/>
      <c r="BM344" s="180"/>
      <c r="BN344" s="180"/>
      <c r="BO344" s="180"/>
      <c r="BP344" s="180"/>
      <c r="BQ344" s="180"/>
      <c r="BR344" s="180"/>
      <c r="BS344" s="180"/>
    </row>
    <row r="345" spans="1:71" s="514" customFormat="1" ht="15.9" customHeight="1" x14ac:dyDescent="0.3">
      <c r="A345" s="17" t="s">
        <v>1190</v>
      </c>
      <c r="B345" s="17" t="s">
        <v>1131</v>
      </c>
      <c r="C345" s="174">
        <v>44832</v>
      </c>
      <c r="D345" s="5" t="s">
        <v>256</v>
      </c>
      <c r="E345" s="5" t="s">
        <v>554</v>
      </c>
      <c r="F345" s="175" t="s">
        <v>1191</v>
      </c>
      <c r="G345" s="15" t="s">
        <v>364</v>
      </c>
      <c r="H345" s="176">
        <v>9000000</v>
      </c>
      <c r="I345" s="175" t="s">
        <v>1155</v>
      </c>
      <c r="J345" s="113" t="str">
        <f>VLOOKUP($I345,'Price List, Weapons &amp; Items'!B:C,2,0)</f>
        <v>Humanitarian</v>
      </c>
      <c r="K345" s="113" t="str">
        <f>IF(I345=".",I345,VLOOKUP($I345,'Price List, Weapons &amp; Items'!B:D,3,0))</f>
        <v>Humanitarian</v>
      </c>
      <c r="L345" s="177">
        <f>VLOOKUP(I345,'Price List, Weapons &amp; Items'!B:E,4,0)</f>
        <v>0</v>
      </c>
      <c r="M345" s="247" t="s">
        <v>270</v>
      </c>
      <c r="N345" s="187" t="s">
        <v>270</v>
      </c>
      <c r="O345" s="543" t="str">
        <f>VLOOKUP($I345,'Price List, Weapons &amp; Items'!B:G,6,0)</f>
        <v>.</v>
      </c>
      <c r="P345" s="176" t="str">
        <f t="shared" si="69"/>
        <v>.</v>
      </c>
      <c r="Q345" s="176" t="str">
        <f t="shared" si="70"/>
        <v>.</v>
      </c>
      <c r="R345" s="176" t="str">
        <f t="shared" si="66"/>
        <v/>
      </c>
      <c r="S345" s="176" t="str">
        <f>IF(AND(AD345=1,R345&lt;&gt;".")=TRUE,R345/VLOOKUP(G345,'Exchange Rates'!B:C,2,0),IF(R345=".",".",""))</f>
        <v/>
      </c>
      <c r="T345" s="176" t="str">
        <f>IF(AD345=1,IF(AF345="Value is not given at all",".",IF(AF345="Value is given by the source",S345,IF(AF345="Value is calculated with prices",(IF(SUMIFS(Q:Q,A:A,A345)&gt;0,SUMIFS(Q:Q,A:A,A345),"."))/VLOOKUP("USD",'Exchange Rates'!B:C,2,0),"Error with coding"))),"")</f>
        <v/>
      </c>
      <c r="U345" s="15" t="s">
        <v>261</v>
      </c>
      <c r="V345" s="304" t="s">
        <v>1192</v>
      </c>
      <c r="W345" s="304" t="s">
        <v>1193</v>
      </c>
      <c r="X345" s="546" t="s">
        <v>1194</v>
      </c>
      <c r="Y345" s="665" t="s">
        <v>1195</v>
      </c>
      <c r="Z345" s="15">
        <v>0</v>
      </c>
      <c r="AA345" s="180">
        <v>1</v>
      </c>
      <c r="AB345" s="666" t="s">
        <v>1195</v>
      </c>
      <c r="AC345" s="544"/>
      <c r="AD345" s="183">
        <v>0</v>
      </c>
      <c r="AE345" s="183" t="s">
        <v>264</v>
      </c>
      <c r="AF345" s="183" t="s">
        <v>264</v>
      </c>
      <c r="AG345" s="183">
        <v>1</v>
      </c>
      <c r="AH345" s="181">
        <v>9</v>
      </c>
      <c r="AI345" s="181">
        <v>0</v>
      </c>
      <c r="AJ345" s="181">
        <f>VLOOKUP($I345,'Price List, Weapons &amp; Items'!B:F,5,0)</f>
        <v>0</v>
      </c>
      <c r="AK345" s="181">
        <f t="shared" si="71"/>
        <v>0</v>
      </c>
      <c r="AL345" s="181">
        <f t="shared" si="72"/>
        <v>0</v>
      </c>
      <c r="AM345" s="181">
        <f t="shared" si="73"/>
        <v>0</v>
      </c>
      <c r="AN345" s="180" t="str">
        <f>VLOOKUP($I345,'Price List, Weapons &amp; Items'!B:L,COLUMN('Price List, Weapons &amp; Items'!$J$11)-1,0)</f>
        <v>.</v>
      </c>
      <c r="AO345" s="180" t="str">
        <f>IF(I345=".",".",VLOOKUP($I345,'Price List, Weapons &amp; Items'!B:J,3,0))</f>
        <v>Humanitarian</v>
      </c>
      <c r="AP345" s="545" t="str">
        <f t="shared" ca="1" si="67"/>
        <v/>
      </c>
      <c r="AQ345" s="180">
        <f>VLOOKUP($I345,'Price List, Weapons &amp; Items'!B:L,COLUMN('Price List, Weapons &amp; Items'!$L$11)-1,0)</f>
        <v>0</v>
      </c>
      <c r="AR345" s="180">
        <f t="shared" si="74"/>
        <v>1</v>
      </c>
      <c r="AS345" s="180">
        <f t="shared" si="75"/>
        <v>0</v>
      </c>
      <c r="AT345" s="180">
        <f t="shared" si="68"/>
        <v>1</v>
      </c>
      <c r="AU345" s="180" t="str">
        <f t="shared" si="76"/>
        <v>.</v>
      </c>
      <c r="AV345" s="180" t="str">
        <f t="shared" si="77"/>
        <v>.</v>
      </c>
      <c r="AW345" s="180">
        <f>IFERROR(VLOOKUP(B345,'Share, Heavy Weapons to Ukraine'!B:J,COLUMN('Share, Heavy Weapons to Ukraine'!C352)-1,0),0)</f>
        <v>0</v>
      </c>
      <c r="AX345" s="180">
        <f>VLOOKUP('Bilateral Assistance, MAIN DATA'!B345,'Country Summary'!B:F,COLUMN('Country Summary'!C355)-1,FALSE)</f>
        <v>1</v>
      </c>
      <c r="AY345" s="180" t="str">
        <f>IF(AND(AD345=1,D345="Military",H345&lt;&gt;"Not given")=TRUE,IF(SUMIFS(P:P,A:A,A345)&gt;0,ABS((SUMIFS(P:P,A:A,A345)/VLOOKUP("USD",'Exchange Rates'!B:C,2,0)))/S345,"."),".")</f>
        <v>.</v>
      </c>
      <c r="AZ345" s="182" t="str">
        <f>IF(AND(AD345=1,D345="Military",H345&lt;&gt;"Not given")=TRUE,IF(SUMIFS(P:P,A:A,A345)&gt;0,IF((ABS((SUMIFS(P:P,A:A,A345)/VLOOKUP("USD",'Exchange Rates'!B:C,2,0)))/S345)&gt;1,(SUMIFS(P:P,A:A,A345)-S345)/S345,(S345-SUMIFS(P:P,A:A,A345))/SUMIFS(P:P,A:A,A345)),"."),".")</f>
        <v>.</v>
      </c>
      <c r="BA345" s="180"/>
      <c r="BB345" s="180"/>
      <c r="BC345" s="180"/>
      <c r="BD345" s="180"/>
      <c r="BE345" s="180"/>
      <c r="BF345" s="180"/>
      <c r="BG345" s="180"/>
      <c r="BH345" s="180"/>
      <c r="BI345" s="180"/>
      <c r="BJ345" s="180"/>
      <c r="BK345" s="180"/>
      <c r="BL345" s="180"/>
      <c r="BM345" s="180"/>
      <c r="BN345" s="180"/>
      <c r="BO345" s="180"/>
      <c r="BP345" s="180"/>
      <c r="BQ345" s="180"/>
      <c r="BR345" s="180"/>
      <c r="BS345" s="180"/>
    </row>
    <row r="346" spans="1:71" s="514" customFormat="1" ht="15.9" customHeight="1" x14ac:dyDescent="0.3">
      <c r="A346" s="17" t="s">
        <v>1190</v>
      </c>
      <c r="B346" s="17" t="s">
        <v>1131</v>
      </c>
      <c r="C346" s="174">
        <v>44832</v>
      </c>
      <c r="D346" s="5" t="s">
        <v>256</v>
      </c>
      <c r="E346" s="5" t="s">
        <v>554</v>
      </c>
      <c r="F346" s="175" t="s">
        <v>1191</v>
      </c>
      <c r="G346" s="15" t="s">
        <v>364</v>
      </c>
      <c r="H346" s="176">
        <v>9000000</v>
      </c>
      <c r="I346" s="19" t="s">
        <v>1196</v>
      </c>
      <c r="J346" s="113" t="str">
        <f>VLOOKUP($I346,'Price List, Weapons &amp; Items'!B:C,2,0)</f>
        <v>Humanitarian</v>
      </c>
      <c r="K346" s="113" t="str">
        <f>IF(I346=".",I346,VLOOKUP($I346,'Price List, Weapons &amp; Items'!B:D,3,0))</f>
        <v>Humanitarian</v>
      </c>
      <c r="L346" s="177">
        <f>VLOOKUP(I346,'Price List, Weapons &amp; Items'!B:E,4,0)</f>
        <v>0</v>
      </c>
      <c r="M346" s="247">
        <v>200</v>
      </c>
      <c r="N346" s="187">
        <v>200</v>
      </c>
      <c r="O346" s="543" t="str">
        <f>VLOOKUP($I346,'Price List, Weapons &amp; Items'!B:G,6,0)</f>
        <v>.</v>
      </c>
      <c r="P346" s="176" t="str">
        <f t="shared" si="69"/>
        <v>No price</v>
      </c>
      <c r="Q346" s="176" t="str">
        <f t="shared" si="70"/>
        <v>No price</v>
      </c>
      <c r="R346" s="176" t="str">
        <f t="shared" si="66"/>
        <v/>
      </c>
      <c r="S346" s="176" t="str">
        <f>IF(AND(AD346=1,R346&lt;&gt;".")=TRUE,R346/VLOOKUP(G346,'Exchange Rates'!B:C,2,0),IF(R346=".",".",""))</f>
        <v/>
      </c>
      <c r="T346" s="176" t="str">
        <f>IF(AD346=1,IF(AF346="Value is not given at all",".",IF(AF346="Value is given by the source",S346,IF(AF346="Value is calculated with prices",(IF(SUMIFS(Q:Q,A:A,A346)&gt;0,SUMIFS(Q:Q,A:A,A346),"."))/VLOOKUP("USD",'Exchange Rates'!B:C,2,0),"Error with coding"))),"")</f>
        <v/>
      </c>
      <c r="U346" s="15" t="s">
        <v>261</v>
      </c>
      <c r="V346" s="304" t="s">
        <v>1192</v>
      </c>
      <c r="W346" s="304" t="s">
        <v>1193</v>
      </c>
      <c r="X346" s="546" t="s">
        <v>1194</v>
      </c>
      <c r="Y346" s="665" t="s">
        <v>1195</v>
      </c>
      <c r="Z346" s="15">
        <v>0</v>
      </c>
      <c r="AA346" s="180">
        <v>1</v>
      </c>
      <c r="AB346" s="666" t="s">
        <v>1195</v>
      </c>
      <c r="AC346" s="544" t="str">
        <f>""</f>
        <v/>
      </c>
      <c r="AD346" s="183">
        <v>0</v>
      </c>
      <c r="AE346" s="183" t="s">
        <v>264</v>
      </c>
      <c r="AF346" s="183" t="s">
        <v>264</v>
      </c>
      <c r="AG346" s="183">
        <v>1</v>
      </c>
      <c r="AH346" s="181">
        <v>9</v>
      </c>
      <c r="AI346" s="181">
        <v>0</v>
      </c>
      <c r="AJ346" s="181">
        <f>VLOOKUP($I346,'Price List, Weapons &amp; Items'!B:F,5,0)</f>
        <v>0</v>
      </c>
      <c r="AK346" s="181">
        <f t="shared" si="71"/>
        <v>0</v>
      </c>
      <c r="AL346" s="181">
        <f t="shared" si="72"/>
        <v>0</v>
      </c>
      <c r="AM346" s="181">
        <f t="shared" si="73"/>
        <v>0</v>
      </c>
      <c r="AN346" s="180" t="str">
        <f>VLOOKUP($I346,'Price List, Weapons &amp; Items'!B:L,COLUMN('Price List, Weapons &amp; Items'!$J$11)-1,0)</f>
        <v>.</v>
      </c>
      <c r="AO346" s="180" t="str">
        <f>IF(I346=".",".",VLOOKUP($I346,'Price List, Weapons &amp; Items'!B:J,3,0))</f>
        <v>Humanitarian</v>
      </c>
      <c r="AP346" s="545" t="str">
        <f t="shared" ca="1" si="67"/>
        <v/>
      </c>
      <c r="AQ346" s="180">
        <f>VLOOKUP($I346,'Price List, Weapons &amp; Items'!B:L,COLUMN('Price List, Weapons &amp; Items'!$L$11)-1,0)</f>
        <v>0</v>
      </c>
      <c r="AR346" s="180">
        <f t="shared" si="74"/>
        <v>1</v>
      </c>
      <c r="AS346" s="180">
        <f t="shared" si="75"/>
        <v>0</v>
      </c>
      <c r="AT346" s="180">
        <f t="shared" si="68"/>
        <v>1</v>
      </c>
      <c r="AU346" s="180" t="str">
        <f t="shared" si="76"/>
        <v>.</v>
      </c>
      <c r="AV346" s="180" t="str">
        <f t="shared" si="77"/>
        <v>.</v>
      </c>
      <c r="AW346" s="180">
        <f>IFERROR(VLOOKUP(B346,'Share, Heavy Weapons to Ukraine'!B:J,COLUMN('Share, Heavy Weapons to Ukraine'!C353)-1,0),0)</f>
        <v>0</v>
      </c>
      <c r="AX346" s="180">
        <f>VLOOKUP('Bilateral Assistance, MAIN DATA'!B346,'Country Summary'!B:F,COLUMN('Country Summary'!C356)-1,FALSE)</f>
        <v>1</v>
      </c>
      <c r="AY346" s="180" t="str">
        <f>IF(AND(AD346=1,D346="Military",H346&lt;&gt;"Not given")=TRUE,IF(SUMIFS(P:P,A:A,A346)&gt;0,ABS((SUMIFS(P:P,A:A,A346)/VLOOKUP("USD",'Exchange Rates'!B:C,2,0)))/S346,"."),".")</f>
        <v>.</v>
      </c>
      <c r="AZ346" s="182" t="str">
        <f>IF(AND(AD346=1,D346="Military",H346&lt;&gt;"Not given")=TRUE,IF(SUMIFS(P:P,A:A,A346)&gt;0,IF((ABS((SUMIFS(P:P,A:A,A346)/VLOOKUP("USD",'Exchange Rates'!B:C,2,0)))/S346)&gt;1,(SUMIFS(P:P,A:A,A346)-S346)/S346,(S346-SUMIFS(P:P,A:A,A346))/SUMIFS(P:P,A:A,A346)),"."),".")</f>
        <v>.</v>
      </c>
      <c r="BA346" s="180"/>
      <c r="BB346" s="180"/>
      <c r="BC346" s="180"/>
      <c r="BD346" s="180"/>
      <c r="BE346" s="180"/>
      <c r="BF346" s="180"/>
      <c r="BG346" s="180"/>
      <c r="BH346" s="180"/>
      <c r="BI346" s="180"/>
      <c r="BJ346" s="180"/>
      <c r="BK346" s="180"/>
      <c r="BL346" s="180"/>
      <c r="BM346" s="180"/>
      <c r="BN346" s="180"/>
      <c r="BO346" s="180"/>
      <c r="BP346" s="180"/>
      <c r="BQ346" s="180"/>
      <c r="BR346" s="180"/>
      <c r="BS346" s="180"/>
    </row>
    <row r="347" spans="1:71" s="514" customFormat="1" ht="15.9" customHeight="1" x14ac:dyDescent="0.3">
      <c r="A347" s="17" t="s">
        <v>1190</v>
      </c>
      <c r="B347" s="17" t="s">
        <v>1131</v>
      </c>
      <c r="C347" s="174">
        <v>44832</v>
      </c>
      <c r="D347" s="5" t="s">
        <v>256</v>
      </c>
      <c r="E347" s="5" t="s">
        <v>554</v>
      </c>
      <c r="F347" s="175" t="s">
        <v>1191</v>
      </c>
      <c r="G347" s="15" t="s">
        <v>364</v>
      </c>
      <c r="H347" s="176">
        <v>9000000</v>
      </c>
      <c r="I347" s="19" t="s">
        <v>1197</v>
      </c>
      <c r="J347" s="113" t="str">
        <f>VLOOKUP($I347,'Price List, Weapons &amp; Items'!B:C,2,0)</f>
        <v>Humanitarian</v>
      </c>
      <c r="K347" s="113" t="str">
        <f>IF(I347=".",I347,VLOOKUP($I347,'Price List, Weapons &amp; Items'!B:D,3,0))</f>
        <v>Humanitarian</v>
      </c>
      <c r="L347" s="177">
        <f>VLOOKUP(I347,'Price List, Weapons &amp; Items'!B:E,4,0)</f>
        <v>0</v>
      </c>
      <c r="M347" s="247">
        <v>6</v>
      </c>
      <c r="N347" s="187">
        <v>6</v>
      </c>
      <c r="O347" s="543" t="str">
        <f>VLOOKUP($I347,'Price List, Weapons &amp; Items'!B:G,6,0)</f>
        <v>.</v>
      </c>
      <c r="P347" s="176" t="str">
        <f t="shared" si="69"/>
        <v>No price</v>
      </c>
      <c r="Q347" s="176" t="str">
        <f t="shared" si="70"/>
        <v>No price</v>
      </c>
      <c r="R347" s="176" t="str">
        <f t="shared" si="66"/>
        <v/>
      </c>
      <c r="S347" s="176" t="str">
        <f>IF(AND(AD347=1,R347&lt;&gt;".")=TRUE,R347/VLOOKUP(G347,'Exchange Rates'!B:C,2,0),IF(R347=".",".",""))</f>
        <v/>
      </c>
      <c r="T347" s="176" t="str">
        <f>IF(AD347=1,IF(AF347="Value is not given at all",".",IF(AF347="Value is given by the source",S347,IF(AF347="Value is calculated with prices",(IF(SUMIFS(Q:Q,A:A,A347)&gt;0,SUMIFS(Q:Q,A:A,A347),"."))/VLOOKUP("USD",'Exchange Rates'!B:C,2,0),"Error with coding"))),"")</f>
        <v/>
      </c>
      <c r="U347" s="15" t="s">
        <v>261</v>
      </c>
      <c r="V347" s="304" t="s">
        <v>1192</v>
      </c>
      <c r="W347" s="304" t="s">
        <v>1193</v>
      </c>
      <c r="X347" s="546" t="s">
        <v>1194</v>
      </c>
      <c r="Y347" s="665" t="s">
        <v>1195</v>
      </c>
      <c r="Z347" s="15">
        <v>0</v>
      </c>
      <c r="AA347" s="180">
        <v>1</v>
      </c>
      <c r="AB347" s="666" t="s">
        <v>1195</v>
      </c>
      <c r="AC347" s="544" t="str">
        <f>""</f>
        <v/>
      </c>
      <c r="AD347" s="183">
        <v>0</v>
      </c>
      <c r="AE347" s="183" t="s">
        <v>264</v>
      </c>
      <c r="AF347" s="183" t="s">
        <v>264</v>
      </c>
      <c r="AG347" s="183">
        <v>1</v>
      </c>
      <c r="AH347" s="181">
        <v>9</v>
      </c>
      <c r="AI347" s="181">
        <v>0</v>
      </c>
      <c r="AJ347" s="181">
        <f>VLOOKUP($I347,'Price List, Weapons &amp; Items'!B:F,5,0)</f>
        <v>0</v>
      </c>
      <c r="AK347" s="181">
        <f t="shared" si="71"/>
        <v>0</v>
      </c>
      <c r="AL347" s="181">
        <f t="shared" si="72"/>
        <v>0</v>
      </c>
      <c r="AM347" s="181">
        <f t="shared" si="73"/>
        <v>0</v>
      </c>
      <c r="AN347" s="180" t="str">
        <f>VLOOKUP($I347,'Price List, Weapons &amp; Items'!B:L,COLUMN('Price List, Weapons &amp; Items'!$J$11)-1,0)</f>
        <v>.</v>
      </c>
      <c r="AO347" s="180" t="str">
        <f>IF(I347=".",".",VLOOKUP($I347,'Price List, Weapons &amp; Items'!B:J,3,0))</f>
        <v>Humanitarian</v>
      </c>
      <c r="AP347" s="545" t="str">
        <f t="shared" ca="1" si="67"/>
        <v/>
      </c>
      <c r="AQ347" s="180">
        <f>VLOOKUP($I347,'Price List, Weapons &amp; Items'!B:L,COLUMN('Price List, Weapons &amp; Items'!$L$11)-1,0)</f>
        <v>0</v>
      </c>
      <c r="AR347" s="180">
        <f t="shared" si="74"/>
        <v>1</v>
      </c>
      <c r="AS347" s="180">
        <f t="shared" si="75"/>
        <v>0</v>
      </c>
      <c r="AT347" s="180">
        <f t="shared" si="68"/>
        <v>1</v>
      </c>
      <c r="AU347" s="180" t="str">
        <f t="shared" si="76"/>
        <v>.</v>
      </c>
      <c r="AV347" s="180" t="str">
        <f t="shared" si="77"/>
        <v>.</v>
      </c>
      <c r="AW347" s="180">
        <f>IFERROR(VLOOKUP(B347,'Share, Heavy Weapons to Ukraine'!B:J,COLUMN('Share, Heavy Weapons to Ukraine'!C354)-1,0),0)</f>
        <v>0</v>
      </c>
      <c r="AX347" s="180">
        <f>VLOOKUP('Bilateral Assistance, MAIN DATA'!B347,'Country Summary'!B:F,COLUMN('Country Summary'!C357)-1,FALSE)</f>
        <v>1</v>
      </c>
      <c r="AY347" s="180" t="str">
        <f>IF(AND(AD347=1,D347="Military",H347&lt;&gt;"Not given")=TRUE,IF(SUMIFS(P:P,A:A,A347)&gt;0,ABS((SUMIFS(P:P,A:A,A347)/VLOOKUP("USD",'Exchange Rates'!B:C,2,0)))/S347,"."),".")</f>
        <v>.</v>
      </c>
      <c r="AZ347" s="182" t="str">
        <f>IF(AND(AD347=1,D347="Military",H347&lt;&gt;"Not given")=TRUE,IF(SUMIFS(P:P,A:A,A347)&gt;0,IF((ABS((SUMIFS(P:P,A:A,A347)/VLOOKUP("USD",'Exchange Rates'!B:C,2,0)))/S347)&gt;1,(SUMIFS(P:P,A:A,A347)-S347)/S347,(S347-SUMIFS(P:P,A:A,A347))/SUMIFS(P:P,A:A,A347)),"."),".")</f>
        <v>.</v>
      </c>
      <c r="BA347" s="180"/>
      <c r="BB347" s="180"/>
      <c r="BC347" s="180"/>
      <c r="BD347" s="180"/>
      <c r="BE347" s="180"/>
      <c r="BF347" s="180"/>
      <c r="BG347" s="180"/>
      <c r="BH347" s="180"/>
      <c r="BI347" s="180"/>
      <c r="BJ347" s="180"/>
      <c r="BK347" s="180"/>
      <c r="BL347" s="180"/>
      <c r="BM347" s="180"/>
      <c r="BN347" s="180"/>
      <c r="BO347" s="180"/>
      <c r="BP347" s="180"/>
      <c r="BQ347" s="180"/>
      <c r="BR347" s="180"/>
      <c r="BS347" s="180"/>
    </row>
    <row r="348" spans="1:71" s="514" customFormat="1" ht="15.9" customHeight="1" x14ac:dyDescent="0.3">
      <c r="A348" s="17" t="s">
        <v>1190</v>
      </c>
      <c r="B348" s="17" t="s">
        <v>1131</v>
      </c>
      <c r="C348" s="174">
        <v>44832</v>
      </c>
      <c r="D348" s="5" t="s">
        <v>256</v>
      </c>
      <c r="E348" s="5" t="s">
        <v>554</v>
      </c>
      <c r="F348" s="175" t="s">
        <v>1191</v>
      </c>
      <c r="G348" s="15" t="s">
        <v>364</v>
      </c>
      <c r="H348" s="176">
        <v>9000000</v>
      </c>
      <c r="I348" s="19" t="s">
        <v>333</v>
      </c>
      <c r="J348" s="113" t="str">
        <f>VLOOKUP($I348,'Price List, Weapons &amp; Items'!B:C,2,0)</f>
        <v>Military equipment</v>
      </c>
      <c r="K348" s="113" t="str">
        <f>IF(I348=".",I348,VLOOKUP($I348,'Price List, Weapons &amp; Items'!B:D,3,0))</f>
        <v>Military equipment</v>
      </c>
      <c r="L348" s="177">
        <f>VLOOKUP(I348,'Price List, Weapons &amp; Items'!B:E,4,0)</f>
        <v>0</v>
      </c>
      <c r="M348" s="247" t="s">
        <v>260</v>
      </c>
      <c r="N348" s="187" t="s">
        <v>260</v>
      </c>
      <c r="O348" s="543" t="str">
        <f>VLOOKUP($I348,'Price List, Weapons &amp; Items'!B:G,6,0)</f>
        <v>.</v>
      </c>
      <c r="P348" s="176" t="str">
        <f t="shared" si="69"/>
        <v>.</v>
      </c>
      <c r="Q348" s="176" t="str">
        <f t="shared" si="70"/>
        <v>.</v>
      </c>
      <c r="R348" s="176" t="str">
        <f t="shared" si="66"/>
        <v/>
      </c>
      <c r="S348" s="176" t="str">
        <f>IF(AND(AD348=1,R348&lt;&gt;".")=TRUE,R348/VLOOKUP(G348,'Exchange Rates'!B:C,2,0),IF(R348=".",".",""))</f>
        <v/>
      </c>
      <c r="T348" s="176" t="str">
        <f>IF(AD348=1,IF(AF348="Value is not given at all",".",IF(AF348="Value is given by the source",S348,IF(AF348="Value is calculated with prices",(IF(SUMIFS(Q:Q,A:A,A348)&gt;0,SUMIFS(Q:Q,A:A,A348),"."))/VLOOKUP("USD",'Exchange Rates'!B:C,2,0),"Error with coding"))),"")</f>
        <v/>
      </c>
      <c r="U348" s="15" t="s">
        <v>261</v>
      </c>
      <c r="V348" s="304" t="s">
        <v>1192</v>
      </c>
      <c r="W348" s="304" t="s">
        <v>1193</v>
      </c>
      <c r="X348" s="546" t="s">
        <v>1194</v>
      </c>
      <c r="Y348" s="665" t="s">
        <v>1195</v>
      </c>
      <c r="Z348" s="15">
        <v>0</v>
      </c>
      <c r="AA348" s="180">
        <v>1</v>
      </c>
      <c r="AB348" s="666" t="s">
        <v>1195</v>
      </c>
      <c r="AC348" s="544" t="str">
        <f>""</f>
        <v/>
      </c>
      <c r="AD348" s="183">
        <v>0</v>
      </c>
      <c r="AE348" s="183" t="s">
        <v>264</v>
      </c>
      <c r="AF348" s="183" t="s">
        <v>264</v>
      </c>
      <c r="AG348" s="183">
        <v>1</v>
      </c>
      <c r="AH348" s="181">
        <v>9</v>
      </c>
      <c r="AI348" s="181">
        <v>0</v>
      </c>
      <c r="AJ348" s="181">
        <f>VLOOKUP($I348,'Price List, Weapons &amp; Items'!B:F,5,0)</f>
        <v>0</v>
      </c>
      <c r="AK348" s="181">
        <f t="shared" si="71"/>
        <v>0</v>
      </c>
      <c r="AL348" s="181">
        <f t="shared" si="72"/>
        <v>0</v>
      </c>
      <c r="AM348" s="181">
        <f t="shared" si="73"/>
        <v>0</v>
      </c>
      <c r="AN348" s="180" t="str">
        <f>VLOOKUP($I348,'Price List, Weapons &amp; Items'!B:L,COLUMN('Price List, Weapons &amp; Items'!$J$11)-1,0)</f>
        <v>.</v>
      </c>
      <c r="AO348" s="180" t="str">
        <f>IF(I348=".",".",VLOOKUP($I348,'Price List, Weapons &amp; Items'!B:J,3,0))</f>
        <v>Military equipment</v>
      </c>
      <c r="AP348" s="545" t="str">
        <f t="shared" ca="1" si="67"/>
        <v/>
      </c>
      <c r="AQ348" s="180" t="str">
        <f>VLOOKUP($I348,'Price List, Weapons &amp; Items'!B:L,COLUMN('Price List, Weapons &amp; Items'!$L$11)-1,0)</f>
        <v>no price, 0 count</v>
      </c>
      <c r="AR348" s="180">
        <f t="shared" si="74"/>
        <v>1</v>
      </c>
      <c r="AS348" s="180">
        <f t="shared" si="75"/>
        <v>0</v>
      </c>
      <c r="AT348" s="180">
        <f t="shared" si="68"/>
        <v>1</v>
      </c>
      <c r="AU348" s="180" t="str">
        <f t="shared" si="76"/>
        <v>.</v>
      </c>
      <c r="AV348" s="180" t="str">
        <f t="shared" si="77"/>
        <v>.</v>
      </c>
      <c r="AW348" s="180">
        <f>IFERROR(VLOOKUP(B348,'Share, Heavy Weapons to Ukraine'!B:J,COLUMN('Share, Heavy Weapons to Ukraine'!C355)-1,0),0)</f>
        <v>0</v>
      </c>
      <c r="AX348" s="180">
        <f>VLOOKUP('Bilateral Assistance, MAIN DATA'!B348,'Country Summary'!B:F,COLUMN('Country Summary'!C358)-1,FALSE)</f>
        <v>1</v>
      </c>
      <c r="AY348" s="180" t="str">
        <f>IF(AND(AD348=1,D348="Military",H348&lt;&gt;"Not given")=TRUE,IF(SUMIFS(P:P,A:A,A348)&gt;0,ABS((SUMIFS(P:P,A:A,A348)/VLOOKUP("USD",'Exchange Rates'!B:C,2,0)))/S348,"."),".")</f>
        <v>.</v>
      </c>
      <c r="AZ348" s="182" t="str">
        <f>IF(AND(AD348=1,D348="Military",H348&lt;&gt;"Not given")=TRUE,IF(SUMIFS(P:P,A:A,A348)&gt;0,IF((ABS((SUMIFS(P:P,A:A,A348)/VLOOKUP("USD",'Exchange Rates'!B:C,2,0)))/S348)&gt;1,(SUMIFS(P:P,A:A,A348)-S348)/S348,(S348-SUMIFS(P:P,A:A,A348))/SUMIFS(P:P,A:A,A348)),"."),".")</f>
        <v>.</v>
      </c>
      <c r="BA348" s="180"/>
      <c r="BB348" s="180"/>
      <c r="BC348" s="180"/>
      <c r="BD348" s="180"/>
      <c r="BE348" s="180"/>
      <c r="BF348" s="180"/>
      <c r="BG348" s="180"/>
      <c r="BH348" s="180"/>
      <c r="BI348" s="180"/>
      <c r="BJ348" s="180"/>
      <c r="BK348" s="180"/>
      <c r="BL348" s="180"/>
      <c r="BM348" s="180"/>
      <c r="BN348" s="180"/>
      <c r="BO348" s="180"/>
      <c r="BP348" s="180"/>
      <c r="BQ348" s="180"/>
      <c r="BR348" s="180"/>
      <c r="BS348" s="180"/>
    </row>
    <row r="349" spans="1:71" s="514" customFormat="1" ht="15.9" customHeight="1" x14ac:dyDescent="0.3">
      <c r="A349" s="17" t="s">
        <v>1190</v>
      </c>
      <c r="B349" s="17" t="s">
        <v>1131</v>
      </c>
      <c r="C349" s="174">
        <v>44832</v>
      </c>
      <c r="D349" s="5" t="s">
        <v>256</v>
      </c>
      <c r="E349" s="5" t="s">
        <v>554</v>
      </c>
      <c r="F349" s="175" t="s">
        <v>1191</v>
      </c>
      <c r="G349" s="15" t="s">
        <v>364</v>
      </c>
      <c r="H349" s="176">
        <v>9000000</v>
      </c>
      <c r="I349" s="19" t="s">
        <v>704</v>
      </c>
      <c r="J349" s="113" t="str">
        <f>VLOOKUP($I349,'Price List, Weapons &amp; Items'!B:C,2,0)</f>
        <v>Humanitarian</v>
      </c>
      <c r="K349" s="113" t="str">
        <f>IF(I349=".",I349,VLOOKUP($I349,'Price List, Weapons &amp; Items'!B:D,3,0))</f>
        <v>Humanitarian</v>
      </c>
      <c r="L349" s="177">
        <f>VLOOKUP(I349,'Price List, Weapons &amp; Items'!B:E,4,0)</f>
        <v>0</v>
      </c>
      <c r="M349" s="247">
        <v>5</v>
      </c>
      <c r="N349" s="187">
        <v>5</v>
      </c>
      <c r="O349" s="543" t="str">
        <f>VLOOKUP($I349,'Price List, Weapons &amp; Items'!B:G,6,0)</f>
        <v>.</v>
      </c>
      <c r="P349" s="176" t="str">
        <f t="shared" si="69"/>
        <v>No price</v>
      </c>
      <c r="Q349" s="176" t="str">
        <f t="shared" si="70"/>
        <v>No price</v>
      </c>
      <c r="R349" s="176" t="str">
        <f t="shared" si="66"/>
        <v/>
      </c>
      <c r="S349" s="176" t="str">
        <f>IF(AND(AD349=1,R349&lt;&gt;".")=TRUE,R349/VLOOKUP(G349,'Exchange Rates'!B:C,2,0),IF(R349=".",".",""))</f>
        <v/>
      </c>
      <c r="T349" s="176" t="str">
        <f>IF(AD349=1,IF(AF349="Value is not given at all",".",IF(AF349="Value is given by the source",S349,IF(AF349="Value is calculated with prices",(IF(SUMIFS(Q:Q,A:A,A349)&gt;0,SUMIFS(Q:Q,A:A,A349),"."))/VLOOKUP("USD",'Exchange Rates'!B:C,2,0),"Error with coding"))),"")</f>
        <v/>
      </c>
      <c r="U349" s="15" t="s">
        <v>261</v>
      </c>
      <c r="V349" s="304" t="s">
        <v>1192</v>
      </c>
      <c r="W349" s="304" t="s">
        <v>1193</v>
      </c>
      <c r="X349" s="546" t="s">
        <v>1194</v>
      </c>
      <c r="Y349" s="665" t="s">
        <v>1195</v>
      </c>
      <c r="Z349" s="15">
        <v>0</v>
      </c>
      <c r="AA349" s="180">
        <v>1</v>
      </c>
      <c r="AB349" s="666" t="s">
        <v>1195</v>
      </c>
      <c r="AC349" s="544" t="str">
        <f>""</f>
        <v/>
      </c>
      <c r="AD349" s="183">
        <v>0</v>
      </c>
      <c r="AE349" s="183" t="s">
        <v>264</v>
      </c>
      <c r="AF349" s="183" t="s">
        <v>264</v>
      </c>
      <c r="AG349" s="183">
        <v>1</v>
      </c>
      <c r="AH349" s="181">
        <v>9</v>
      </c>
      <c r="AI349" s="181">
        <v>0</v>
      </c>
      <c r="AJ349" s="181">
        <f>VLOOKUP($I349,'Price List, Weapons &amp; Items'!B:F,5,0)</f>
        <v>0</v>
      </c>
      <c r="AK349" s="181">
        <f t="shared" si="71"/>
        <v>0</v>
      </c>
      <c r="AL349" s="181">
        <f t="shared" si="72"/>
        <v>0</v>
      </c>
      <c r="AM349" s="181">
        <f t="shared" si="73"/>
        <v>0</v>
      </c>
      <c r="AN349" s="180" t="str">
        <f>VLOOKUP($I349,'Price List, Weapons &amp; Items'!B:L,COLUMN('Price List, Weapons &amp; Items'!$J$11)-1,0)</f>
        <v>Media reports (incl. social media)</v>
      </c>
      <c r="AO349" s="180" t="str">
        <f>IF(I349=".",".",VLOOKUP($I349,'Price List, Weapons &amp; Items'!B:J,3,0))</f>
        <v>Humanitarian</v>
      </c>
      <c r="AP349" s="545" t="str">
        <f t="shared" ca="1" si="67"/>
        <v/>
      </c>
      <c r="AQ349" s="180">
        <f>VLOOKUP($I349,'Price List, Weapons &amp; Items'!B:L,COLUMN('Price List, Weapons &amp; Items'!$L$11)-1,0)</f>
        <v>0</v>
      </c>
      <c r="AR349" s="180">
        <f t="shared" si="74"/>
        <v>1</v>
      </c>
      <c r="AS349" s="180">
        <f t="shared" si="75"/>
        <v>0</v>
      </c>
      <c r="AT349" s="180">
        <f t="shared" si="68"/>
        <v>1</v>
      </c>
      <c r="AU349" s="180" t="str">
        <f t="shared" si="76"/>
        <v>.</v>
      </c>
      <c r="AV349" s="180" t="str">
        <f t="shared" si="77"/>
        <v>.</v>
      </c>
      <c r="AW349" s="180">
        <f>IFERROR(VLOOKUP(B349,'Share, Heavy Weapons to Ukraine'!B:J,COLUMN('Share, Heavy Weapons to Ukraine'!C356)-1,0),0)</f>
        <v>0</v>
      </c>
      <c r="AX349" s="180">
        <f>VLOOKUP('Bilateral Assistance, MAIN DATA'!B349,'Country Summary'!B:F,COLUMN('Country Summary'!C359)-1,FALSE)</f>
        <v>1</v>
      </c>
      <c r="AY349" s="180" t="str">
        <f>IF(AND(AD349=1,D349="Military",H349&lt;&gt;"Not given")=TRUE,IF(SUMIFS(P:P,A:A,A349)&gt;0,ABS((SUMIFS(P:P,A:A,A349)/VLOOKUP("USD",'Exchange Rates'!B:C,2,0)))/S349,"."),".")</f>
        <v>.</v>
      </c>
      <c r="AZ349" s="182" t="str">
        <f>IF(AND(AD349=1,D349="Military",H349&lt;&gt;"Not given")=TRUE,IF(SUMIFS(P:P,A:A,A349)&gt;0,IF((ABS((SUMIFS(P:P,A:A,A349)/VLOOKUP("USD",'Exchange Rates'!B:C,2,0)))/S349)&gt;1,(SUMIFS(P:P,A:A,A349)-S349)/S349,(S349-SUMIFS(P:P,A:A,A349))/SUMIFS(P:P,A:A,A349)),"."),".")</f>
        <v>.</v>
      </c>
      <c r="BA349" s="180"/>
      <c r="BB349" s="180"/>
      <c r="BC349" s="180"/>
      <c r="BD349" s="180"/>
      <c r="BE349" s="180"/>
      <c r="BF349" s="180"/>
      <c r="BG349" s="180"/>
      <c r="BH349" s="180"/>
      <c r="BI349" s="180"/>
      <c r="BJ349" s="180"/>
      <c r="BK349" s="180"/>
      <c r="BL349" s="180"/>
      <c r="BM349" s="180"/>
      <c r="BN349" s="180"/>
      <c r="BO349" s="180"/>
      <c r="BP349" s="180"/>
      <c r="BQ349" s="180"/>
      <c r="BR349" s="180"/>
      <c r="BS349" s="180"/>
    </row>
    <row r="350" spans="1:71" s="514" customFormat="1" ht="15.9" customHeight="1" x14ac:dyDescent="0.3">
      <c r="A350" s="17" t="s">
        <v>1190</v>
      </c>
      <c r="B350" s="17" t="s">
        <v>1131</v>
      </c>
      <c r="C350" s="174">
        <v>44832</v>
      </c>
      <c r="D350" s="5" t="s">
        <v>256</v>
      </c>
      <c r="E350" s="5" t="s">
        <v>554</v>
      </c>
      <c r="F350" s="175" t="s">
        <v>1191</v>
      </c>
      <c r="G350" s="15" t="s">
        <v>364</v>
      </c>
      <c r="H350" s="176">
        <v>9000000</v>
      </c>
      <c r="I350" s="19" t="s">
        <v>1198</v>
      </c>
      <c r="J350" s="113" t="str">
        <f>VLOOKUP($I350,'Price List, Weapons &amp; Items'!B:C,2,0)</f>
        <v>Humanitarian</v>
      </c>
      <c r="K350" s="113" t="str">
        <f>IF(I350=".",I350,VLOOKUP($I350,'Price List, Weapons &amp; Items'!B:D,3,0))</f>
        <v>Humanitarian</v>
      </c>
      <c r="L350" s="177">
        <f>VLOOKUP(I350,'Price List, Weapons &amp; Items'!B:E,4,0)</f>
        <v>0</v>
      </c>
      <c r="M350" s="247" t="s">
        <v>270</v>
      </c>
      <c r="N350" s="187" t="s">
        <v>270</v>
      </c>
      <c r="O350" s="543" t="str">
        <f>VLOOKUP($I350,'Price List, Weapons &amp; Items'!B:G,6,0)</f>
        <v>.</v>
      </c>
      <c r="P350" s="176" t="str">
        <f t="shared" si="69"/>
        <v>.</v>
      </c>
      <c r="Q350" s="176" t="str">
        <f t="shared" si="70"/>
        <v>.</v>
      </c>
      <c r="R350" s="176" t="str">
        <f t="shared" si="66"/>
        <v/>
      </c>
      <c r="S350" s="176" t="str">
        <f>IF(AND(AD350=1,R350&lt;&gt;".")=TRUE,R350/VLOOKUP(G350,'Exchange Rates'!B:C,2,0),IF(R350=".",".",""))</f>
        <v/>
      </c>
      <c r="T350" s="176" t="str">
        <f>IF(AD350=1,IF(AF350="Value is not given at all",".",IF(AF350="Value is given by the source",S350,IF(AF350="Value is calculated with prices",(IF(SUMIFS(Q:Q,A:A,A350)&gt;0,SUMIFS(Q:Q,A:A,A350),"."))/VLOOKUP("USD",'Exchange Rates'!B:C,2,0),"Error with coding"))),"")</f>
        <v/>
      </c>
      <c r="U350" s="15" t="s">
        <v>261</v>
      </c>
      <c r="V350" s="304" t="s">
        <v>1192</v>
      </c>
      <c r="W350" s="304" t="s">
        <v>1193</v>
      </c>
      <c r="X350" s="546" t="s">
        <v>1194</v>
      </c>
      <c r="Y350" s="665" t="s">
        <v>1195</v>
      </c>
      <c r="Z350" s="15">
        <v>0</v>
      </c>
      <c r="AA350" s="180">
        <v>1</v>
      </c>
      <c r="AB350" s="666" t="s">
        <v>1195</v>
      </c>
      <c r="AC350" s="544" t="str">
        <f>""</f>
        <v/>
      </c>
      <c r="AD350" s="183">
        <v>0</v>
      </c>
      <c r="AE350" s="183" t="s">
        <v>264</v>
      </c>
      <c r="AF350" s="183" t="s">
        <v>264</v>
      </c>
      <c r="AG350" s="183">
        <v>1</v>
      </c>
      <c r="AH350" s="181">
        <v>9</v>
      </c>
      <c r="AI350" s="181">
        <v>0</v>
      </c>
      <c r="AJ350" s="181">
        <f>VLOOKUP($I350,'Price List, Weapons &amp; Items'!B:F,5,0)</f>
        <v>0</v>
      </c>
      <c r="AK350" s="181">
        <f t="shared" si="71"/>
        <v>0</v>
      </c>
      <c r="AL350" s="181">
        <f t="shared" si="72"/>
        <v>0</v>
      </c>
      <c r="AM350" s="181">
        <f t="shared" si="73"/>
        <v>0</v>
      </c>
      <c r="AN350" s="180" t="str">
        <f>VLOOKUP($I350,'Price List, Weapons &amp; Items'!B:L,COLUMN('Price List, Weapons &amp; Items'!$J$11)-1,0)</f>
        <v>.</v>
      </c>
      <c r="AO350" s="180" t="str">
        <f>IF(I350=".",".",VLOOKUP($I350,'Price List, Weapons &amp; Items'!B:J,3,0))</f>
        <v>Humanitarian</v>
      </c>
      <c r="AP350" s="545" t="str">
        <f t="shared" ca="1" si="67"/>
        <v/>
      </c>
      <c r="AQ350" s="180">
        <f>VLOOKUP($I350,'Price List, Weapons &amp; Items'!B:L,COLUMN('Price List, Weapons &amp; Items'!$L$11)-1,0)</f>
        <v>0</v>
      </c>
      <c r="AR350" s="180">
        <f t="shared" si="74"/>
        <v>1</v>
      </c>
      <c r="AS350" s="180">
        <f t="shared" si="75"/>
        <v>0</v>
      </c>
      <c r="AT350" s="180">
        <f t="shared" si="68"/>
        <v>1</v>
      </c>
      <c r="AU350" s="180" t="str">
        <f t="shared" si="76"/>
        <v>.</v>
      </c>
      <c r="AV350" s="180" t="str">
        <f t="shared" si="77"/>
        <v>.</v>
      </c>
      <c r="AW350" s="180">
        <f>IFERROR(VLOOKUP(B350,'Share, Heavy Weapons to Ukraine'!B:J,COLUMN('Share, Heavy Weapons to Ukraine'!C357)-1,0),0)</f>
        <v>0</v>
      </c>
      <c r="AX350" s="180">
        <f>VLOOKUP('Bilateral Assistance, MAIN DATA'!B350,'Country Summary'!B:F,COLUMN('Country Summary'!C360)-1,FALSE)</f>
        <v>1</v>
      </c>
      <c r="AY350" s="180" t="str">
        <f>IF(AND(AD350=1,D350="Military",H350&lt;&gt;"Not given")=TRUE,IF(SUMIFS(P:P,A:A,A350)&gt;0,ABS((SUMIFS(P:P,A:A,A350)/VLOOKUP("USD",'Exchange Rates'!B:C,2,0)))/S350,"."),".")</f>
        <v>.</v>
      </c>
      <c r="AZ350" s="182" t="str">
        <f>IF(AND(AD350=1,D350="Military",H350&lt;&gt;"Not given")=TRUE,IF(SUMIFS(P:P,A:A,A350)&gt;0,IF((ABS((SUMIFS(P:P,A:A,A350)/VLOOKUP("USD",'Exchange Rates'!B:C,2,0)))/S350)&gt;1,(SUMIFS(P:P,A:A,A350)-S350)/S350,(S350-SUMIFS(P:P,A:A,A350))/SUMIFS(P:P,A:A,A350)),"."),".")</f>
        <v>.</v>
      </c>
      <c r="BA350" s="180"/>
      <c r="BB350" s="180"/>
      <c r="BC350" s="180"/>
      <c r="BD350" s="180"/>
      <c r="BE350" s="180"/>
      <c r="BF350" s="180"/>
      <c r="BG350" s="180"/>
      <c r="BH350" s="180"/>
      <c r="BI350" s="180"/>
      <c r="BJ350" s="180"/>
      <c r="BK350" s="180"/>
      <c r="BL350" s="180"/>
      <c r="BM350" s="180"/>
      <c r="BN350" s="180"/>
      <c r="BO350" s="180"/>
      <c r="BP350" s="180"/>
      <c r="BQ350" s="180"/>
      <c r="BR350" s="180"/>
      <c r="BS350" s="180"/>
    </row>
    <row r="351" spans="1:71" s="514" customFormat="1" ht="15.9" customHeight="1" x14ac:dyDescent="0.3">
      <c r="A351" s="17" t="s">
        <v>1190</v>
      </c>
      <c r="B351" s="17" t="s">
        <v>1131</v>
      </c>
      <c r="C351" s="174">
        <v>44832</v>
      </c>
      <c r="D351" s="5" t="s">
        <v>256</v>
      </c>
      <c r="E351" s="5" t="s">
        <v>554</v>
      </c>
      <c r="F351" s="175" t="s">
        <v>1191</v>
      </c>
      <c r="G351" s="15" t="s">
        <v>364</v>
      </c>
      <c r="H351" s="176">
        <v>9000000</v>
      </c>
      <c r="I351" s="19" t="s">
        <v>1199</v>
      </c>
      <c r="J351" s="113" t="str">
        <f>VLOOKUP($I351,'Price List, Weapons &amp; Items'!B:C,2,0)</f>
        <v>Humanitarian</v>
      </c>
      <c r="K351" s="113" t="str">
        <f>IF(I351=".",I351,VLOOKUP($I351,'Price List, Weapons &amp; Items'!B:D,3,0))</f>
        <v>Humanitarian</v>
      </c>
      <c r="L351" s="177">
        <f>VLOOKUP(I351,'Price List, Weapons &amp; Items'!B:E,4,0)</f>
        <v>0</v>
      </c>
      <c r="M351" s="247" t="s">
        <v>270</v>
      </c>
      <c r="N351" s="187" t="s">
        <v>270</v>
      </c>
      <c r="O351" s="543">
        <f>VLOOKUP($I351,'Price List, Weapons &amp; Items'!B:G,6,0)</f>
        <v>25</v>
      </c>
      <c r="P351" s="176" t="str">
        <f t="shared" si="69"/>
        <v>.</v>
      </c>
      <c r="Q351" s="176" t="str">
        <f t="shared" si="70"/>
        <v>.</v>
      </c>
      <c r="R351" s="176" t="str">
        <f t="shared" si="66"/>
        <v/>
      </c>
      <c r="S351" s="176" t="str">
        <f>IF(AND(AD351=1,R351&lt;&gt;".")=TRUE,R351/VLOOKUP(G351,'Exchange Rates'!B:C,2,0),IF(R351=".",".",""))</f>
        <v/>
      </c>
      <c r="T351" s="176" t="str">
        <f>IF(AD351=1,IF(AF351="Value is not given at all",".",IF(AF351="Value is given by the source",S351,IF(AF351="Value is calculated with prices",(IF(SUMIFS(Q:Q,A:A,A351)&gt;0,SUMIFS(Q:Q,A:A,A351),"."))/VLOOKUP("USD",'Exchange Rates'!B:C,2,0),"Error with coding"))),"")</f>
        <v/>
      </c>
      <c r="U351" s="15" t="s">
        <v>261</v>
      </c>
      <c r="V351" s="304" t="s">
        <v>1192</v>
      </c>
      <c r="W351" s="304" t="s">
        <v>1193</v>
      </c>
      <c r="X351" s="546" t="s">
        <v>1194</v>
      </c>
      <c r="Y351" s="665" t="s">
        <v>1195</v>
      </c>
      <c r="Z351" s="15">
        <v>0</v>
      </c>
      <c r="AA351" s="180">
        <v>1</v>
      </c>
      <c r="AB351" s="666" t="s">
        <v>1195</v>
      </c>
      <c r="AC351" s="544" t="str">
        <f>""</f>
        <v/>
      </c>
      <c r="AD351" s="183">
        <v>0</v>
      </c>
      <c r="AE351" s="183" t="s">
        <v>264</v>
      </c>
      <c r="AF351" s="183" t="s">
        <v>264</v>
      </c>
      <c r="AG351" s="183">
        <v>1</v>
      </c>
      <c r="AH351" s="181">
        <v>9</v>
      </c>
      <c r="AI351" s="181">
        <v>0</v>
      </c>
      <c r="AJ351" s="181">
        <f>VLOOKUP($I351,'Price List, Weapons &amp; Items'!B:F,5,0)</f>
        <v>0</v>
      </c>
      <c r="AK351" s="181">
        <f t="shared" si="71"/>
        <v>0</v>
      </c>
      <c r="AL351" s="181">
        <f t="shared" si="72"/>
        <v>0</v>
      </c>
      <c r="AM351" s="181">
        <f t="shared" si="73"/>
        <v>0</v>
      </c>
      <c r="AN351" s="180" t="str">
        <f>VLOOKUP($I351,'Price List, Weapons &amp; Items'!B:L,COLUMN('Price List, Weapons &amp; Items'!$J$11)-1,0)</f>
        <v>Online marketplace and stores</v>
      </c>
      <c r="AO351" s="180" t="str">
        <f>IF(I351=".",".",VLOOKUP($I351,'Price List, Weapons &amp; Items'!B:J,3,0))</f>
        <v>Humanitarian</v>
      </c>
      <c r="AP351" s="545" t="str">
        <f t="shared" ca="1" si="67"/>
        <v/>
      </c>
      <c r="AQ351" s="180">
        <f>VLOOKUP($I351,'Price List, Weapons &amp; Items'!B:L,COLUMN('Price List, Weapons &amp; Items'!$L$11)-1,0)</f>
        <v>0</v>
      </c>
      <c r="AR351" s="180">
        <f t="shared" si="74"/>
        <v>1</v>
      </c>
      <c r="AS351" s="180">
        <f t="shared" si="75"/>
        <v>0</v>
      </c>
      <c r="AT351" s="180">
        <f t="shared" si="68"/>
        <v>1</v>
      </c>
      <c r="AU351" s="180" t="str">
        <f t="shared" si="76"/>
        <v>.</v>
      </c>
      <c r="AV351" s="180" t="str">
        <f t="shared" si="77"/>
        <v>.</v>
      </c>
      <c r="AW351" s="180">
        <f>IFERROR(VLOOKUP(B351,'Share, Heavy Weapons to Ukraine'!B:J,COLUMN('Share, Heavy Weapons to Ukraine'!C358)-1,0),0)</f>
        <v>0</v>
      </c>
      <c r="AX351" s="180">
        <f>VLOOKUP('Bilateral Assistance, MAIN DATA'!B351,'Country Summary'!B:F,COLUMN('Country Summary'!C361)-1,FALSE)</f>
        <v>1</v>
      </c>
      <c r="AY351" s="180" t="str">
        <f>IF(AND(AD351=1,D351="Military",H351&lt;&gt;"Not given")=TRUE,IF(SUMIFS(P:P,A:A,A351)&gt;0,ABS((SUMIFS(P:P,A:A,A351)/VLOOKUP("USD",'Exchange Rates'!B:C,2,0)))/S351,"."),".")</f>
        <v>.</v>
      </c>
      <c r="AZ351" s="182" t="str">
        <f>IF(AND(AD351=1,D351="Military",H351&lt;&gt;"Not given")=TRUE,IF(SUMIFS(P:P,A:A,A351)&gt;0,IF((ABS((SUMIFS(P:P,A:A,A351)/VLOOKUP("USD",'Exchange Rates'!B:C,2,0)))/S351)&gt;1,(SUMIFS(P:P,A:A,A351)-S351)/S351,(S351-SUMIFS(P:P,A:A,A351))/SUMIFS(P:P,A:A,A351)),"."),".")</f>
        <v>.</v>
      </c>
      <c r="BA351" s="180"/>
      <c r="BB351" s="180"/>
      <c r="BC351" s="180"/>
      <c r="BD351" s="180"/>
      <c r="BE351" s="180"/>
      <c r="BF351" s="180"/>
      <c r="BG351" s="180"/>
      <c r="BH351" s="180"/>
      <c r="BI351" s="180"/>
      <c r="BJ351" s="180"/>
      <c r="BK351" s="180"/>
      <c r="BL351" s="180"/>
      <c r="BM351" s="180"/>
      <c r="BN351" s="180"/>
      <c r="BO351" s="180"/>
      <c r="BP351" s="180"/>
      <c r="BQ351" s="180"/>
      <c r="BR351" s="180"/>
      <c r="BS351" s="180"/>
    </row>
    <row r="352" spans="1:71" s="514" customFormat="1" ht="15.9" customHeight="1" x14ac:dyDescent="0.3">
      <c r="A352" s="17" t="s">
        <v>1190</v>
      </c>
      <c r="B352" s="17" t="s">
        <v>1131</v>
      </c>
      <c r="C352" s="174">
        <v>44832</v>
      </c>
      <c r="D352" s="5" t="s">
        <v>256</v>
      </c>
      <c r="E352" s="5" t="s">
        <v>554</v>
      </c>
      <c r="F352" s="175" t="s">
        <v>1191</v>
      </c>
      <c r="G352" s="15" t="s">
        <v>364</v>
      </c>
      <c r="H352" s="176">
        <v>9000000</v>
      </c>
      <c r="I352" s="19" t="s">
        <v>467</v>
      </c>
      <c r="J352" s="113" t="str">
        <f>VLOOKUP($I352,'Price List, Weapons &amp; Items'!B:C,2,0)</f>
        <v>Humanitarian</v>
      </c>
      <c r="K352" s="113" t="str">
        <f>IF(I352=".",I352,VLOOKUP($I352,'Price List, Weapons &amp; Items'!B:D,3,0))</f>
        <v>Humanitarian</v>
      </c>
      <c r="L352" s="177">
        <f>VLOOKUP(I352,'Price List, Weapons &amp; Items'!B:E,4,0)</f>
        <v>0</v>
      </c>
      <c r="M352" s="247">
        <v>1</v>
      </c>
      <c r="N352" s="187">
        <v>1</v>
      </c>
      <c r="O352" s="543" t="str">
        <f>VLOOKUP($I352,'Price List, Weapons &amp; Items'!B:G,6,0)</f>
        <v>.</v>
      </c>
      <c r="P352" s="176" t="str">
        <f t="shared" si="69"/>
        <v>No price</v>
      </c>
      <c r="Q352" s="176" t="str">
        <f t="shared" si="70"/>
        <v>No price</v>
      </c>
      <c r="R352" s="176" t="str">
        <f t="shared" si="66"/>
        <v/>
      </c>
      <c r="S352" s="176" t="str">
        <f>IF(AND(AD352=1,R352&lt;&gt;".")=TRUE,R352/VLOOKUP(G352,'Exchange Rates'!B:C,2,0),IF(R352=".",".",""))</f>
        <v/>
      </c>
      <c r="T352" s="176" t="str">
        <f>IF(AD352=1,IF(AF352="Value is not given at all",".",IF(AF352="Value is given by the source",S352,IF(AF352="Value is calculated with prices",(IF(SUMIFS(Q:Q,A:A,A352)&gt;0,SUMIFS(Q:Q,A:A,A352),"."))/VLOOKUP("USD",'Exchange Rates'!B:C,2,0),"Error with coding"))),"")</f>
        <v/>
      </c>
      <c r="U352" s="15" t="s">
        <v>261</v>
      </c>
      <c r="V352" s="304" t="s">
        <v>1192</v>
      </c>
      <c r="W352" s="304" t="s">
        <v>1193</v>
      </c>
      <c r="X352" s="546" t="s">
        <v>1194</v>
      </c>
      <c r="Y352" s="665" t="s">
        <v>1195</v>
      </c>
      <c r="Z352" s="15">
        <v>0</v>
      </c>
      <c r="AA352" s="180">
        <v>1</v>
      </c>
      <c r="AB352" s="666" t="s">
        <v>1195</v>
      </c>
      <c r="AC352" s="544" t="str">
        <f>""</f>
        <v/>
      </c>
      <c r="AD352" s="183">
        <v>0</v>
      </c>
      <c r="AE352" s="183" t="s">
        <v>264</v>
      </c>
      <c r="AF352" s="183" t="s">
        <v>264</v>
      </c>
      <c r="AG352" s="183">
        <v>1</v>
      </c>
      <c r="AH352" s="181">
        <v>9</v>
      </c>
      <c r="AI352" s="181">
        <v>0</v>
      </c>
      <c r="AJ352" s="181">
        <f>VLOOKUP($I352,'Price List, Weapons &amp; Items'!B:F,5,0)</f>
        <v>0</v>
      </c>
      <c r="AK352" s="181">
        <f t="shared" si="71"/>
        <v>0</v>
      </c>
      <c r="AL352" s="181">
        <f t="shared" si="72"/>
        <v>0</v>
      </c>
      <c r="AM352" s="181">
        <f t="shared" si="73"/>
        <v>0</v>
      </c>
      <c r="AN352" s="180" t="str">
        <f>VLOOKUP($I352,'Price List, Weapons &amp; Items'!B:L,COLUMN('Price List, Weapons &amp; Items'!$J$11)-1,0)</f>
        <v>.</v>
      </c>
      <c r="AO352" s="180" t="str">
        <f>IF(I352=".",".",VLOOKUP($I352,'Price List, Weapons &amp; Items'!B:J,3,0))</f>
        <v>Humanitarian</v>
      </c>
      <c r="AP352" s="545" t="str">
        <f t="shared" ca="1" si="67"/>
        <v/>
      </c>
      <c r="AQ352" s="180">
        <f>VLOOKUP($I352,'Price List, Weapons &amp; Items'!B:L,COLUMN('Price List, Weapons &amp; Items'!$L$11)-1,0)</f>
        <v>0</v>
      </c>
      <c r="AR352" s="180">
        <f t="shared" si="74"/>
        <v>1</v>
      </c>
      <c r="AS352" s="180">
        <f t="shared" si="75"/>
        <v>0</v>
      </c>
      <c r="AT352" s="180">
        <f t="shared" si="68"/>
        <v>1</v>
      </c>
      <c r="AU352" s="180" t="str">
        <f t="shared" si="76"/>
        <v>.</v>
      </c>
      <c r="AV352" s="180" t="str">
        <f t="shared" si="77"/>
        <v>.</v>
      </c>
      <c r="AW352" s="180">
        <f>IFERROR(VLOOKUP(B352,'Share, Heavy Weapons to Ukraine'!B:J,COLUMN('Share, Heavy Weapons to Ukraine'!C359)-1,0),0)</f>
        <v>0</v>
      </c>
      <c r="AX352" s="180">
        <f>VLOOKUP('Bilateral Assistance, MAIN DATA'!B352,'Country Summary'!B:F,COLUMN('Country Summary'!C362)-1,FALSE)</f>
        <v>1</v>
      </c>
      <c r="AY352" s="180" t="str">
        <f>IF(AND(AD352=1,D352="Military",H352&lt;&gt;"Not given")=TRUE,IF(SUMIFS(P:P,A:A,A352)&gt;0,ABS((SUMIFS(P:P,A:A,A352)/VLOOKUP("USD",'Exchange Rates'!B:C,2,0)))/S352,"."),".")</f>
        <v>.</v>
      </c>
      <c r="AZ352" s="182" t="str">
        <f>IF(AND(AD352=1,D352="Military",H352&lt;&gt;"Not given")=TRUE,IF(SUMIFS(P:P,A:A,A352)&gt;0,IF((ABS((SUMIFS(P:P,A:A,A352)/VLOOKUP("USD",'Exchange Rates'!B:C,2,0)))/S352)&gt;1,(SUMIFS(P:P,A:A,A352)-S352)/S352,(S352-SUMIFS(P:P,A:A,A352))/SUMIFS(P:P,A:A,A352)),"."),".")</f>
        <v>.</v>
      </c>
      <c r="BA352" s="180"/>
      <c r="BB352" s="180"/>
      <c r="BC352" s="180"/>
      <c r="BD352" s="180"/>
      <c r="BE352" s="180"/>
      <c r="BF352" s="180"/>
      <c r="BG352" s="180"/>
      <c r="BH352" s="180"/>
      <c r="BI352" s="180"/>
      <c r="BJ352" s="180"/>
      <c r="BK352" s="180"/>
      <c r="BL352" s="180"/>
      <c r="BM352" s="180"/>
      <c r="BN352" s="180"/>
      <c r="BO352" s="180"/>
      <c r="BP352" s="180"/>
      <c r="BQ352" s="180"/>
      <c r="BR352" s="180"/>
      <c r="BS352" s="180"/>
    </row>
    <row r="353" spans="1:71" s="514" customFormat="1" ht="15.9" customHeight="1" x14ac:dyDescent="0.3">
      <c r="A353" s="17" t="s">
        <v>1190</v>
      </c>
      <c r="B353" s="17" t="s">
        <v>1131</v>
      </c>
      <c r="C353" s="174">
        <v>44832</v>
      </c>
      <c r="D353" s="5" t="s">
        <v>256</v>
      </c>
      <c r="E353" s="5" t="s">
        <v>554</v>
      </c>
      <c r="F353" s="175" t="s">
        <v>1191</v>
      </c>
      <c r="G353" s="15" t="s">
        <v>364</v>
      </c>
      <c r="H353" s="176">
        <v>9000000</v>
      </c>
      <c r="I353" s="19" t="s">
        <v>1200</v>
      </c>
      <c r="J353" s="113" t="str">
        <f>VLOOKUP($I353,'Price List, Weapons &amp; Items'!B:C,2,0)</f>
        <v>Humanitarian</v>
      </c>
      <c r="K353" s="113" t="str">
        <f>IF(I353=".",I353,VLOOKUP($I353,'Price List, Weapons &amp; Items'!B:D,3,0))</f>
        <v>Humanitarian</v>
      </c>
      <c r="L353" s="177">
        <f>VLOOKUP(I353,'Price List, Weapons &amp; Items'!B:E,4,0)</f>
        <v>0</v>
      </c>
      <c r="M353" s="247">
        <v>25</v>
      </c>
      <c r="N353" s="187">
        <v>25</v>
      </c>
      <c r="O353" s="543" t="str">
        <f>VLOOKUP($I353,'Price List, Weapons &amp; Items'!B:G,6,0)</f>
        <v>.</v>
      </c>
      <c r="P353" s="176" t="str">
        <f t="shared" si="69"/>
        <v>No price</v>
      </c>
      <c r="Q353" s="176" t="str">
        <f t="shared" si="70"/>
        <v>No price</v>
      </c>
      <c r="R353" s="176" t="str">
        <f t="shared" si="66"/>
        <v/>
      </c>
      <c r="S353" s="176" t="str">
        <f>IF(AND(AD353=1,R353&lt;&gt;".")=TRUE,R353/VLOOKUP(G353,'Exchange Rates'!B:C,2,0),IF(R353=".",".",""))</f>
        <v/>
      </c>
      <c r="T353" s="176" t="str">
        <f>IF(AD353=1,IF(AF353="Value is not given at all",".",IF(AF353="Value is given by the source",S353,IF(AF353="Value is calculated with prices",(IF(SUMIFS(Q:Q,A:A,A353)&gt;0,SUMIFS(Q:Q,A:A,A353),"."))/VLOOKUP("USD",'Exchange Rates'!B:C,2,0),"Error with coding"))),"")</f>
        <v/>
      </c>
      <c r="U353" s="15" t="s">
        <v>261</v>
      </c>
      <c r="V353" s="304" t="s">
        <v>1192</v>
      </c>
      <c r="W353" s="304" t="s">
        <v>1193</v>
      </c>
      <c r="X353" s="546" t="s">
        <v>1194</v>
      </c>
      <c r="Y353" s="665" t="s">
        <v>1195</v>
      </c>
      <c r="Z353" s="15">
        <v>0</v>
      </c>
      <c r="AA353" s="180">
        <v>1</v>
      </c>
      <c r="AB353" s="666" t="s">
        <v>1195</v>
      </c>
      <c r="AC353" s="544" t="str">
        <f>""</f>
        <v/>
      </c>
      <c r="AD353" s="183">
        <v>0</v>
      </c>
      <c r="AE353" s="183" t="s">
        <v>264</v>
      </c>
      <c r="AF353" s="183" t="s">
        <v>264</v>
      </c>
      <c r="AG353" s="183">
        <v>1</v>
      </c>
      <c r="AH353" s="181">
        <v>9</v>
      </c>
      <c r="AI353" s="181">
        <v>0</v>
      </c>
      <c r="AJ353" s="181">
        <f>VLOOKUP($I353,'Price List, Weapons &amp; Items'!B:F,5,0)</f>
        <v>0</v>
      </c>
      <c r="AK353" s="181">
        <f t="shared" si="71"/>
        <v>0</v>
      </c>
      <c r="AL353" s="181">
        <f t="shared" si="72"/>
        <v>0</v>
      </c>
      <c r="AM353" s="181">
        <f t="shared" si="73"/>
        <v>0</v>
      </c>
      <c r="AN353" s="180" t="str">
        <f>VLOOKUP($I353,'Price List, Weapons &amp; Items'!B:L,COLUMN('Price List, Weapons &amp; Items'!$J$11)-1,0)</f>
        <v>.</v>
      </c>
      <c r="AO353" s="180" t="str">
        <f>IF(I353=".",".",VLOOKUP($I353,'Price List, Weapons &amp; Items'!B:J,3,0))</f>
        <v>Humanitarian</v>
      </c>
      <c r="AP353" s="545" t="str">
        <f t="shared" ca="1" si="67"/>
        <v/>
      </c>
      <c r="AQ353" s="180">
        <f>VLOOKUP($I353,'Price List, Weapons &amp; Items'!B:L,COLUMN('Price List, Weapons &amp; Items'!$L$11)-1,0)</f>
        <v>0</v>
      </c>
      <c r="AR353" s="180">
        <f t="shared" si="74"/>
        <v>1</v>
      </c>
      <c r="AS353" s="180">
        <f t="shared" si="75"/>
        <v>0</v>
      </c>
      <c r="AT353" s="180">
        <f t="shared" si="68"/>
        <v>1</v>
      </c>
      <c r="AU353" s="180" t="str">
        <f t="shared" si="76"/>
        <v>.</v>
      </c>
      <c r="AV353" s="180" t="str">
        <f t="shared" si="77"/>
        <v>.</v>
      </c>
      <c r="AW353" s="180">
        <f>IFERROR(VLOOKUP(B353,'Share, Heavy Weapons to Ukraine'!B:J,COLUMN('Share, Heavy Weapons to Ukraine'!C360)-1,0),0)</f>
        <v>0</v>
      </c>
      <c r="AX353" s="180">
        <f>VLOOKUP('Bilateral Assistance, MAIN DATA'!B353,'Country Summary'!B:F,COLUMN('Country Summary'!C363)-1,FALSE)</f>
        <v>1</v>
      </c>
      <c r="AY353" s="180" t="str">
        <f>IF(AND(AD353=1,D353="Military",H353&lt;&gt;"Not given")=TRUE,IF(SUMIFS(P:P,A:A,A353)&gt;0,ABS((SUMIFS(P:P,A:A,A353)/VLOOKUP("USD",'Exchange Rates'!B:C,2,0)))/S353,"."),".")</f>
        <v>.</v>
      </c>
      <c r="AZ353" s="182" t="str">
        <f>IF(AND(AD353=1,D353="Military",H353&lt;&gt;"Not given")=TRUE,IF(SUMIFS(P:P,A:A,A353)&gt;0,IF((ABS((SUMIFS(P:P,A:A,A353)/VLOOKUP("USD",'Exchange Rates'!B:C,2,0)))/S353)&gt;1,(SUMIFS(P:P,A:A,A353)-S353)/S353,(S353-SUMIFS(P:P,A:A,A353))/SUMIFS(P:P,A:A,A353)),"."),".")</f>
        <v>.</v>
      </c>
      <c r="BA353" s="180"/>
      <c r="BB353" s="180"/>
      <c r="BC353" s="180"/>
      <c r="BD353" s="180"/>
      <c r="BE353" s="180"/>
      <c r="BF353" s="180"/>
      <c r="BG353" s="180"/>
      <c r="BH353" s="180"/>
      <c r="BI353" s="180"/>
      <c r="BJ353" s="180"/>
      <c r="BK353" s="180"/>
      <c r="BL353" s="180"/>
      <c r="BM353" s="180"/>
      <c r="BN353" s="180"/>
      <c r="BO353" s="180"/>
      <c r="BP353" s="180"/>
      <c r="BQ353" s="180"/>
      <c r="BR353" s="180"/>
      <c r="BS353" s="180"/>
    </row>
    <row r="354" spans="1:71" s="514" customFormat="1" ht="15.9" customHeight="1" x14ac:dyDescent="0.3">
      <c r="A354" s="17" t="s">
        <v>1190</v>
      </c>
      <c r="B354" s="17" t="s">
        <v>1131</v>
      </c>
      <c r="C354" s="174">
        <v>44832</v>
      </c>
      <c r="D354" s="5" t="s">
        <v>256</v>
      </c>
      <c r="E354" s="5" t="s">
        <v>554</v>
      </c>
      <c r="F354" s="175" t="s">
        <v>1191</v>
      </c>
      <c r="G354" s="15" t="s">
        <v>364</v>
      </c>
      <c r="H354" s="176">
        <v>9000000</v>
      </c>
      <c r="I354" s="19" t="s">
        <v>1169</v>
      </c>
      <c r="J354" s="113" t="str">
        <f>VLOOKUP($I354,'Price List, Weapons &amp; Items'!B:C,2,0)</f>
        <v>Humanitarian</v>
      </c>
      <c r="K354" s="113" t="str">
        <f>IF(I354=".",I354,VLOOKUP($I354,'Price List, Weapons &amp; Items'!B:D,3,0))</f>
        <v>Humanitarian</v>
      </c>
      <c r="L354" s="177">
        <f>VLOOKUP(I354,'Price List, Weapons &amp; Items'!B:E,4,0)</f>
        <v>0</v>
      </c>
      <c r="M354" s="247">
        <v>60000</v>
      </c>
      <c r="N354" s="187">
        <v>60000</v>
      </c>
      <c r="O354" s="543">
        <f>VLOOKUP($I354,'Price List, Weapons &amp; Items'!B:G,6,0)</f>
        <v>22</v>
      </c>
      <c r="P354" s="176">
        <f t="shared" si="69"/>
        <v>1320000</v>
      </c>
      <c r="Q354" s="176">
        <f t="shared" si="70"/>
        <v>1320000</v>
      </c>
      <c r="R354" s="176" t="str">
        <f t="shared" si="66"/>
        <v/>
      </c>
      <c r="S354" s="176" t="str">
        <f>IF(AND(AD354=1,R354&lt;&gt;".")=TRUE,R354/VLOOKUP(G354,'Exchange Rates'!B:C,2,0),IF(R354=".",".",""))</f>
        <v/>
      </c>
      <c r="T354" s="176" t="str">
        <f>IF(AD354=1,IF(AF354="Value is not given at all",".",IF(AF354="Value is given by the source",S354,IF(AF354="Value is calculated with prices",(IF(SUMIFS(Q:Q,A:A,A354)&gt;0,SUMIFS(Q:Q,A:A,A354),"."))/VLOOKUP("USD",'Exchange Rates'!B:C,2,0),"Error with coding"))),"")</f>
        <v/>
      </c>
      <c r="U354" s="15" t="s">
        <v>261</v>
      </c>
      <c r="V354" s="304" t="s">
        <v>1192</v>
      </c>
      <c r="W354" s="304" t="s">
        <v>1193</v>
      </c>
      <c r="X354" s="546" t="s">
        <v>1194</v>
      </c>
      <c r="Y354" s="665" t="s">
        <v>1195</v>
      </c>
      <c r="Z354" s="15">
        <v>0</v>
      </c>
      <c r="AA354" s="180">
        <v>1</v>
      </c>
      <c r="AB354" s="666" t="s">
        <v>1195</v>
      </c>
      <c r="AC354" s="544" t="str">
        <f>""</f>
        <v/>
      </c>
      <c r="AD354" s="183">
        <v>0</v>
      </c>
      <c r="AE354" s="183" t="s">
        <v>264</v>
      </c>
      <c r="AF354" s="183" t="s">
        <v>264</v>
      </c>
      <c r="AG354" s="183">
        <v>1</v>
      </c>
      <c r="AH354" s="181">
        <v>9</v>
      </c>
      <c r="AI354" s="181">
        <v>0</v>
      </c>
      <c r="AJ354" s="181">
        <f>VLOOKUP($I354,'Price List, Weapons &amp; Items'!B:F,5,0)</f>
        <v>0</v>
      </c>
      <c r="AK354" s="181">
        <f t="shared" si="71"/>
        <v>0</v>
      </c>
      <c r="AL354" s="181">
        <f t="shared" si="72"/>
        <v>0</v>
      </c>
      <c r="AM354" s="181">
        <f t="shared" si="73"/>
        <v>0</v>
      </c>
      <c r="AN354" s="180" t="str">
        <f>VLOOKUP($I354,'Price List, Weapons &amp; Items'!B:L,COLUMN('Price List, Weapons &amp; Items'!$J$11)-1,0)</f>
        <v>Online marketplaces and stores</v>
      </c>
      <c r="AO354" s="180" t="str">
        <f>IF(I354=".",".",VLOOKUP($I354,'Price List, Weapons &amp; Items'!B:J,3,0))</f>
        <v>Humanitarian</v>
      </c>
      <c r="AP354" s="545" t="str">
        <f t="shared" ca="1" si="67"/>
        <v/>
      </c>
      <c r="AQ354" s="180">
        <f>VLOOKUP($I354,'Price List, Weapons &amp; Items'!B:L,COLUMN('Price List, Weapons &amp; Items'!$L$11)-1,0)</f>
        <v>0</v>
      </c>
      <c r="AR354" s="180">
        <f t="shared" si="74"/>
        <v>1</v>
      </c>
      <c r="AS354" s="180">
        <f t="shared" si="75"/>
        <v>0</v>
      </c>
      <c r="AT354" s="180">
        <f t="shared" si="68"/>
        <v>1</v>
      </c>
      <c r="AU354" s="180" t="str">
        <f t="shared" si="76"/>
        <v>.</v>
      </c>
      <c r="AV354" s="180" t="str">
        <f t="shared" si="77"/>
        <v>.</v>
      </c>
      <c r="AW354" s="180">
        <f>IFERROR(VLOOKUP(B354,'Share, Heavy Weapons to Ukraine'!B:J,COLUMN('Share, Heavy Weapons to Ukraine'!C361)-1,0),0)</f>
        <v>0</v>
      </c>
      <c r="AX354" s="180">
        <f>VLOOKUP('Bilateral Assistance, MAIN DATA'!B354,'Country Summary'!B:F,COLUMN('Country Summary'!C364)-1,FALSE)</f>
        <v>1</v>
      </c>
      <c r="AY354" s="180" t="str">
        <f>IF(AND(AD354=1,D354="Military",H354&lt;&gt;"Not given")=TRUE,IF(SUMIFS(P:P,A:A,A354)&gt;0,ABS((SUMIFS(P:P,A:A,A354)/VLOOKUP("USD",'Exchange Rates'!B:C,2,0)))/S354,"."),".")</f>
        <v>.</v>
      </c>
      <c r="AZ354" s="182" t="str">
        <f>IF(AND(AD354=1,D354="Military",H354&lt;&gt;"Not given")=TRUE,IF(SUMIFS(P:P,A:A,A354)&gt;0,IF((ABS((SUMIFS(P:P,A:A,A354)/VLOOKUP("USD",'Exchange Rates'!B:C,2,0)))/S354)&gt;1,(SUMIFS(P:P,A:A,A354)-S354)/S354,(S354-SUMIFS(P:P,A:A,A354))/SUMIFS(P:P,A:A,A354)),"."),".")</f>
        <v>.</v>
      </c>
      <c r="BA354" s="180"/>
      <c r="BB354" s="180"/>
      <c r="BC354" s="180"/>
      <c r="BD354" s="180"/>
      <c r="BE354" s="180"/>
      <c r="BF354" s="180"/>
      <c r="BG354" s="180"/>
      <c r="BH354" s="180"/>
      <c r="BI354" s="180"/>
      <c r="BJ354" s="180"/>
      <c r="BK354" s="180"/>
      <c r="BL354" s="180"/>
      <c r="BM354" s="180"/>
      <c r="BN354" s="180"/>
      <c r="BO354" s="180"/>
      <c r="BP354" s="180"/>
      <c r="BQ354" s="180"/>
      <c r="BR354" s="180"/>
      <c r="BS354" s="180"/>
    </row>
    <row r="355" spans="1:71" s="514" customFormat="1" ht="15.9" customHeight="1" x14ac:dyDescent="0.3">
      <c r="A355" s="19" t="s">
        <v>1190</v>
      </c>
      <c r="B355" s="19" t="s">
        <v>1131</v>
      </c>
      <c r="C355" s="174">
        <v>44833</v>
      </c>
      <c r="D355" s="19" t="s">
        <v>256</v>
      </c>
      <c r="E355" s="19" t="s">
        <v>554</v>
      </c>
      <c r="F355" s="175" t="s">
        <v>1191</v>
      </c>
      <c r="G355" s="15" t="s">
        <v>364</v>
      </c>
      <c r="H355" s="176">
        <v>9000000</v>
      </c>
      <c r="I355" s="19" t="s">
        <v>1201</v>
      </c>
      <c r="J355" s="113" t="str">
        <f>VLOOKUP($I355,'Price List, Weapons &amp; Items'!B:C,2,0)</f>
        <v>Humanitarian</v>
      </c>
      <c r="K355" s="113" t="str">
        <f>IF(I355=".",I355,VLOOKUP($I355,'Price List, Weapons &amp; Items'!B:D,3,0))</f>
        <v>Humanitarian</v>
      </c>
      <c r="L355" s="177">
        <f>VLOOKUP(I355,'Price List, Weapons &amp; Items'!B:E,4,0)</f>
        <v>0</v>
      </c>
      <c r="M355" s="247">
        <v>8</v>
      </c>
      <c r="N355" s="247">
        <v>8</v>
      </c>
      <c r="O355" s="543" t="str">
        <f>VLOOKUP($I355,'Price List, Weapons &amp; Items'!B:G,6,0)</f>
        <v>.</v>
      </c>
      <c r="P355" s="176" t="str">
        <f t="shared" si="69"/>
        <v>No price</v>
      </c>
      <c r="Q355" s="176" t="str">
        <f t="shared" si="70"/>
        <v>No price</v>
      </c>
      <c r="R355" s="176" t="str">
        <f t="shared" si="66"/>
        <v/>
      </c>
      <c r="S355" s="176" t="str">
        <f>IF(AND(AD355=1,R355&lt;&gt;".")=TRUE,R355/VLOOKUP(G355,'Exchange Rates'!B:C,2,0),IF(R355=".",".",""))</f>
        <v/>
      </c>
      <c r="T355" s="176" t="str">
        <f>IF(AD355=1,IF(AF355="Value is not given at all",".",IF(AF355="Value is given by the source",S355,IF(AF355="Value is calculated with prices",(IF(SUMIFS(Q:Q,A:A,A355)&gt;0,SUMIFS(Q:Q,A:A,A355),"."))/VLOOKUP("USD",'Exchange Rates'!B:C,2,0),"Error with coding"))),"")</f>
        <v/>
      </c>
      <c r="U355" s="15" t="s">
        <v>261</v>
      </c>
      <c r="V355" s="304" t="s">
        <v>1192</v>
      </c>
      <c r="W355" s="304" t="s">
        <v>1193</v>
      </c>
      <c r="X355" s="304" t="s">
        <v>1194</v>
      </c>
      <c r="Y355" s="665" t="s">
        <v>1195</v>
      </c>
      <c r="Z355" s="15">
        <v>0</v>
      </c>
      <c r="AA355" s="180">
        <v>1</v>
      </c>
      <c r="AB355" s="666" t="s">
        <v>1195</v>
      </c>
      <c r="AC355" s="544" t="str">
        <f>""</f>
        <v/>
      </c>
      <c r="AD355" s="183">
        <v>0</v>
      </c>
      <c r="AE355" s="183" t="s">
        <v>264</v>
      </c>
      <c r="AF355" s="183" t="s">
        <v>264</v>
      </c>
      <c r="AG355" s="183">
        <v>1</v>
      </c>
      <c r="AH355" s="181">
        <v>9</v>
      </c>
      <c r="AI355" s="181">
        <v>0</v>
      </c>
      <c r="AJ355" s="181">
        <f>VLOOKUP($I355,'Price List, Weapons &amp; Items'!B:F,5,0)</f>
        <v>0</v>
      </c>
      <c r="AK355" s="181">
        <f t="shared" si="71"/>
        <v>0</v>
      </c>
      <c r="AL355" s="181">
        <f t="shared" si="72"/>
        <v>0</v>
      </c>
      <c r="AM355" s="181">
        <f t="shared" si="73"/>
        <v>0</v>
      </c>
      <c r="AN355" s="180" t="str">
        <f>VLOOKUP($I355,'Price List, Weapons &amp; Items'!B:L,COLUMN('Price List, Weapons &amp; Items'!$J$11)-1,0)</f>
        <v>.</v>
      </c>
      <c r="AO355" s="180" t="str">
        <f>IF(I355=".",".",VLOOKUP($I355,'Price List, Weapons &amp; Items'!B:J,3,0))</f>
        <v>Humanitarian</v>
      </c>
      <c r="AP355" s="545" t="str">
        <f t="shared" ca="1" si="67"/>
        <v/>
      </c>
      <c r="AQ355" s="180">
        <f>VLOOKUP($I355,'Price List, Weapons &amp; Items'!B:L,COLUMN('Price List, Weapons &amp; Items'!$L$11)-1,0)</f>
        <v>0</v>
      </c>
      <c r="AR355" s="180">
        <f t="shared" si="74"/>
        <v>1</v>
      </c>
      <c r="AS355" s="180">
        <f t="shared" si="75"/>
        <v>0</v>
      </c>
      <c r="AT355" s="180">
        <f t="shared" si="68"/>
        <v>1</v>
      </c>
      <c r="AU355" s="180" t="str">
        <f t="shared" si="76"/>
        <v>.</v>
      </c>
      <c r="AV355" s="180" t="str">
        <f t="shared" si="77"/>
        <v>.</v>
      </c>
      <c r="AW355" s="180">
        <f>IFERROR(VLOOKUP(B355,'Share, Heavy Weapons to Ukraine'!B:J,COLUMN('Share, Heavy Weapons to Ukraine'!C362)-1,0),0)</f>
        <v>0</v>
      </c>
      <c r="AX355" s="180">
        <f>VLOOKUP('Bilateral Assistance, MAIN DATA'!B355,'Country Summary'!B:F,COLUMN('Country Summary'!C365)-1,FALSE)</f>
        <v>1</v>
      </c>
      <c r="AY355" s="180" t="str">
        <f>IF(AND(AD355=1,D355="Military",H355&lt;&gt;"Not given")=TRUE,IF(SUMIFS(P:P,A:A,A355)&gt;0,ABS((SUMIFS(P:P,A:A,A355)/VLOOKUP("USD",'Exchange Rates'!B:C,2,0)))/S355,"."),".")</f>
        <v>.</v>
      </c>
      <c r="AZ355" s="182" t="str">
        <f>IF(AND(AD355=1,D355="Military",H355&lt;&gt;"Not given")=TRUE,IF(SUMIFS(P:P,A:A,A355)&gt;0,IF((ABS((SUMIFS(P:P,A:A,A355)/VLOOKUP("USD",'Exchange Rates'!B:C,2,0)))/S355)&gt;1,(SUMIFS(P:P,A:A,A355)-S355)/S355,(S355-SUMIFS(P:P,A:A,A355))/SUMIFS(P:P,A:A,A355)),"."),".")</f>
        <v>.</v>
      </c>
      <c r="BA355" s="180"/>
      <c r="BB355" s="180"/>
      <c r="BC355" s="180"/>
      <c r="BD355" s="180"/>
      <c r="BE355" s="180"/>
      <c r="BF355" s="180"/>
      <c r="BG355" s="180"/>
      <c r="BH355" s="180"/>
      <c r="BI355" s="180"/>
      <c r="BJ355" s="180"/>
      <c r="BK355" s="180"/>
      <c r="BL355" s="180"/>
      <c r="BM355" s="180"/>
      <c r="BN355" s="180"/>
      <c r="BO355" s="180"/>
      <c r="BP355" s="180"/>
      <c r="BQ355" s="180"/>
      <c r="BR355" s="180"/>
      <c r="BS355" s="180"/>
    </row>
    <row r="356" spans="1:71" s="514" customFormat="1" ht="15.9" customHeight="1" x14ac:dyDescent="0.3">
      <c r="A356" s="19" t="s">
        <v>1202</v>
      </c>
      <c r="B356" s="19" t="s">
        <v>1131</v>
      </c>
      <c r="C356" s="174">
        <v>44867</v>
      </c>
      <c r="D356" s="19" t="s">
        <v>256</v>
      </c>
      <c r="E356" s="19" t="s">
        <v>840</v>
      </c>
      <c r="F356" s="175" t="s">
        <v>1203</v>
      </c>
      <c r="G356" s="15" t="s">
        <v>364</v>
      </c>
      <c r="H356" s="176" t="s">
        <v>341</v>
      </c>
      <c r="I356" s="19" t="s">
        <v>260</v>
      </c>
      <c r="J356" s="113" t="str">
        <f>VLOOKUP($I356,'Price List, Weapons &amp; Items'!B:C,2,0)</f>
        <v>.</v>
      </c>
      <c r="K356" s="113" t="str">
        <f>IF(I356=".",I356,VLOOKUP($I356,'Price List, Weapons &amp; Items'!B:D,3,0))</f>
        <v>.</v>
      </c>
      <c r="L356" s="177">
        <f>VLOOKUP(I356,'Price List, Weapons &amp; Items'!B:E,4,0)</f>
        <v>0</v>
      </c>
      <c r="M356" s="247" t="s">
        <v>260</v>
      </c>
      <c r="N356" s="247" t="s">
        <v>260</v>
      </c>
      <c r="O356" s="543" t="str">
        <f>VLOOKUP($I356,'Price List, Weapons &amp; Items'!B:G,6,0)</f>
        <v>.</v>
      </c>
      <c r="P356" s="176" t="str">
        <f t="shared" si="69"/>
        <v>.</v>
      </c>
      <c r="Q356" s="176" t="str">
        <f t="shared" si="70"/>
        <v>.</v>
      </c>
      <c r="R356" s="176" t="str">
        <f t="shared" si="66"/>
        <v>.</v>
      </c>
      <c r="S356" s="176" t="str">
        <f>IF(AND(AD356=1,R356&lt;&gt;".")=TRUE,R356/VLOOKUP(G356,'Exchange Rates'!B:C,2,0),IF(R356=".",".",""))</f>
        <v>.</v>
      </c>
      <c r="T356" s="176" t="str">
        <f>IF(AD356=1,IF(AF356="Value is not given at all",".",IF(AF356="Value is given by the source",S356,IF(AF356="Value is calculated with prices",(IF(SUMIFS(Q:Q,A:A,A356)&gt;0,SUMIFS(Q:Q,A:A,A356),"."))/VLOOKUP("USD",'Exchange Rates'!B:C,2,0),"Error with coding"))),"")</f>
        <v>.</v>
      </c>
      <c r="U356" s="15" t="s">
        <v>261</v>
      </c>
      <c r="V356" s="560" t="s">
        <v>1204</v>
      </c>
      <c r="W356" s="667" t="s">
        <v>1205</v>
      </c>
      <c r="X356" s="144" t="s">
        <v>260</v>
      </c>
      <c r="Y356" s="668" t="s">
        <v>260</v>
      </c>
      <c r="Z356" s="15">
        <v>0</v>
      </c>
      <c r="AA356" s="180">
        <v>1</v>
      </c>
      <c r="AB356" s="669" t="s">
        <v>260</v>
      </c>
      <c r="AC356" s="544" t="str">
        <f>""</f>
        <v/>
      </c>
      <c r="AD356" s="183">
        <v>1</v>
      </c>
      <c r="AE356" s="183" t="s">
        <v>265</v>
      </c>
      <c r="AF356" s="183" t="s">
        <v>265</v>
      </c>
      <c r="AG356" s="15">
        <v>1</v>
      </c>
      <c r="AH356" s="15">
        <v>11</v>
      </c>
      <c r="AI356" s="181">
        <v>0</v>
      </c>
      <c r="AJ356" s="181">
        <f>VLOOKUP($I356,'Price List, Weapons &amp; Items'!B:F,5,0)</f>
        <v>0</v>
      </c>
      <c r="AK356" s="181">
        <f t="shared" si="71"/>
        <v>0</v>
      </c>
      <c r="AL356" s="181">
        <f t="shared" si="72"/>
        <v>0</v>
      </c>
      <c r="AM356" s="181">
        <f t="shared" si="73"/>
        <v>0</v>
      </c>
      <c r="AN356" s="180" t="str">
        <f>VLOOKUP($I356,'Price List, Weapons &amp; Items'!B:L,COLUMN('Price List, Weapons &amp; Items'!$J$11)-1,0)</f>
        <v>.</v>
      </c>
      <c r="AO356" s="180" t="str">
        <f>IF(I356=".",".",VLOOKUP($I356,'Price List, Weapons &amp; Items'!B:J,3,0))</f>
        <v>.</v>
      </c>
      <c r="AP356" s="545" t="e">
        <f t="shared" ca="1" si="67"/>
        <v>#NAME?</v>
      </c>
      <c r="AQ356" s="180" t="str">
        <f>VLOOKUP($I356,'Price List, Weapons &amp; Items'!B:L,COLUMN('Price List, Weapons &amp; Items'!$L$11)-1,0)</f>
        <v>no price, 0 count</v>
      </c>
      <c r="AR356" s="180">
        <f t="shared" si="74"/>
        <v>1</v>
      </c>
      <c r="AS356" s="180">
        <f t="shared" si="75"/>
        <v>0</v>
      </c>
      <c r="AT356" s="180">
        <f t="shared" si="68"/>
        <v>1</v>
      </c>
      <c r="AU356" s="180" t="str">
        <f t="shared" si="76"/>
        <v>.</v>
      </c>
      <c r="AV356" s="180" t="str">
        <f t="shared" si="77"/>
        <v>.</v>
      </c>
      <c r="AW356" s="180">
        <f>IFERROR(VLOOKUP(B356,'Share, Heavy Weapons to Ukraine'!B:J,COLUMN('Share, Heavy Weapons to Ukraine'!C363)-1,0),0)</f>
        <v>0</v>
      </c>
      <c r="AX356" s="180">
        <f>VLOOKUP('Bilateral Assistance, MAIN DATA'!B356,'Country Summary'!B:F,COLUMN('Country Summary'!C366)-1,FALSE)</f>
        <v>1</v>
      </c>
      <c r="AY356" s="180" t="str">
        <f>IF(AND(AD356=1,D356="Military",H356&lt;&gt;"Not given")=TRUE,IF(SUMIFS(P:P,A:A,A356)&gt;0,ABS((SUMIFS(P:P,A:A,A356)/VLOOKUP("USD",'Exchange Rates'!B:C,2,0)))/S356,"."),".")</f>
        <v>.</v>
      </c>
      <c r="AZ356" s="182" t="str">
        <f>IF(AND(AD356=1,D356="Military",H356&lt;&gt;"Not given")=TRUE,IF(SUMIFS(P:P,A:A,A356)&gt;0,IF((ABS((SUMIFS(P:P,A:A,A356)/VLOOKUP("USD",'Exchange Rates'!B:C,2,0)))/S356)&gt;1,(SUMIFS(P:P,A:A,A356)-S356)/S356,(S356-SUMIFS(P:P,A:A,A356))/SUMIFS(P:P,A:A,A356)),"."),".")</f>
        <v>.</v>
      </c>
      <c r="BA356" s="180"/>
      <c r="BB356" s="180"/>
      <c r="BC356" s="180"/>
      <c r="BD356" s="180"/>
      <c r="BE356" s="180"/>
      <c r="BF356" s="180"/>
      <c r="BG356" s="180"/>
      <c r="BH356" s="180"/>
      <c r="BI356" s="180"/>
      <c r="BJ356" s="180"/>
      <c r="BK356" s="180"/>
      <c r="BL356" s="180"/>
      <c r="BM356" s="180"/>
      <c r="BN356" s="180"/>
      <c r="BO356" s="180"/>
      <c r="BP356" s="180"/>
      <c r="BQ356" s="180"/>
      <c r="BR356" s="180"/>
      <c r="BS356" s="180"/>
    </row>
    <row r="357" spans="1:71" s="514" customFormat="1" ht="15.9" customHeight="1" x14ac:dyDescent="0.3">
      <c r="A357" s="19" t="s">
        <v>1202</v>
      </c>
      <c r="B357" s="19" t="s">
        <v>1131</v>
      </c>
      <c r="C357" s="174">
        <v>44867</v>
      </c>
      <c r="D357" s="19" t="s">
        <v>256</v>
      </c>
      <c r="E357" s="19" t="s">
        <v>840</v>
      </c>
      <c r="F357" s="175" t="s">
        <v>1203</v>
      </c>
      <c r="G357" s="15" t="s">
        <v>364</v>
      </c>
      <c r="H357" s="176" t="s">
        <v>341</v>
      </c>
      <c r="I357" s="19" t="s">
        <v>704</v>
      </c>
      <c r="J357" s="113" t="str">
        <f>VLOOKUP($I357,'Price List, Weapons &amp; Items'!B:C,2,0)</f>
        <v>Humanitarian</v>
      </c>
      <c r="K357" s="113" t="str">
        <f>IF(I357=".",I357,VLOOKUP($I357,'Price List, Weapons &amp; Items'!B:D,3,0))</f>
        <v>Humanitarian</v>
      </c>
      <c r="L357" s="177">
        <f>VLOOKUP(I357,'Price List, Weapons &amp; Items'!B:E,4,0)</f>
        <v>0</v>
      </c>
      <c r="M357" s="247">
        <v>100</v>
      </c>
      <c r="N357" s="247">
        <v>100</v>
      </c>
      <c r="O357" s="543" t="str">
        <f>VLOOKUP($I357,'Price List, Weapons &amp; Items'!B:G,6,0)</f>
        <v>.</v>
      </c>
      <c r="P357" s="176" t="str">
        <f t="shared" si="69"/>
        <v>No price</v>
      </c>
      <c r="Q357" s="176" t="str">
        <f t="shared" si="70"/>
        <v>No price</v>
      </c>
      <c r="R357" s="176" t="str">
        <f t="shared" si="66"/>
        <v/>
      </c>
      <c r="S357" s="176" t="str">
        <f>IF(AND(AD357=1,R357&lt;&gt;".")=TRUE,R357/VLOOKUP(G357,'Exchange Rates'!B:C,2,0),IF(R357=".",".",""))</f>
        <v/>
      </c>
      <c r="T357" s="176" t="str">
        <f>IF(AD357=1,IF(AF357="Value is not given at all",".",IF(AF357="Value is given by the source",S357,IF(AF357="Value is calculated with prices",(IF(SUMIFS(Q:Q,A:A,A357)&gt;0,SUMIFS(Q:Q,A:A,A357),"."))/VLOOKUP("USD",'Exchange Rates'!B:C,2,0),"Error with coding"))),"")</f>
        <v/>
      </c>
      <c r="U357" s="15" t="s">
        <v>261</v>
      </c>
      <c r="V357" s="560" t="s">
        <v>1204</v>
      </c>
      <c r="W357" s="667" t="s">
        <v>1205</v>
      </c>
      <c r="X357" s="144" t="s">
        <v>260</v>
      </c>
      <c r="Y357" s="668" t="s">
        <v>260</v>
      </c>
      <c r="Z357" s="15">
        <v>0</v>
      </c>
      <c r="AA357" s="180">
        <v>1</v>
      </c>
      <c r="AB357" s="666" t="s">
        <v>1205</v>
      </c>
      <c r="AC357" s="544"/>
      <c r="AD357" s="183">
        <v>0</v>
      </c>
      <c r="AE357" s="183" t="s">
        <v>265</v>
      </c>
      <c r="AF357" s="183" t="s">
        <v>265</v>
      </c>
      <c r="AG357" s="15">
        <v>1</v>
      </c>
      <c r="AH357" s="15">
        <v>11</v>
      </c>
      <c r="AI357" s="181">
        <v>0</v>
      </c>
      <c r="AJ357" s="181">
        <f>VLOOKUP($I357,'Price List, Weapons &amp; Items'!B:F,5,0)</f>
        <v>0</v>
      </c>
      <c r="AK357" s="181">
        <f t="shared" si="71"/>
        <v>0</v>
      </c>
      <c r="AL357" s="181">
        <f t="shared" si="72"/>
        <v>0</v>
      </c>
      <c r="AM357" s="181">
        <f t="shared" si="73"/>
        <v>0</v>
      </c>
      <c r="AN357" s="180" t="str">
        <f>VLOOKUP($I357,'Price List, Weapons &amp; Items'!B:L,COLUMN('Price List, Weapons &amp; Items'!$J$11)-1,0)</f>
        <v>Media reports (incl. social media)</v>
      </c>
      <c r="AO357" s="180" t="str">
        <f>IF(I357=".",".",VLOOKUP($I357,'Price List, Weapons &amp; Items'!B:J,3,0))</f>
        <v>Humanitarian</v>
      </c>
      <c r="AP357" s="545" t="str">
        <f t="shared" ca="1" si="67"/>
        <v/>
      </c>
      <c r="AQ357" s="180">
        <f>VLOOKUP($I357,'Price List, Weapons &amp; Items'!B:L,COLUMN('Price List, Weapons &amp; Items'!$L$11)-1,0)</f>
        <v>0</v>
      </c>
      <c r="AR357" s="180">
        <f t="shared" si="74"/>
        <v>1</v>
      </c>
      <c r="AS357" s="180">
        <f t="shared" si="75"/>
        <v>0</v>
      </c>
      <c r="AT357" s="180">
        <f t="shared" si="68"/>
        <v>1</v>
      </c>
      <c r="AU357" s="180" t="str">
        <f t="shared" si="76"/>
        <v>.</v>
      </c>
      <c r="AV357" s="180" t="str">
        <f t="shared" si="77"/>
        <v>.</v>
      </c>
      <c r="AW357" s="180">
        <f>IFERROR(VLOOKUP(B357,'Share, Heavy Weapons to Ukraine'!B:J,COLUMN('Share, Heavy Weapons to Ukraine'!C364)-1,0),0)</f>
        <v>0</v>
      </c>
      <c r="AX357" s="180">
        <f>VLOOKUP('Bilateral Assistance, MAIN DATA'!B357,'Country Summary'!B:F,COLUMN('Country Summary'!C367)-1,FALSE)</f>
        <v>1</v>
      </c>
      <c r="AY357" s="180" t="str">
        <f>IF(AND(AD357=1,D357="Military",H357&lt;&gt;"Not given")=TRUE,IF(SUMIFS(P:P,A:A,A357)&gt;0,ABS((SUMIFS(P:P,A:A,A357)/VLOOKUP("USD",'Exchange Rates'!B:C,2,0)))/S357,"."),".")</f>
        <v>.</v>
      </c>
      <c r="AZ357" s="182" t="str">
        <f>IF(AND(AD357=1,D357="Military",H357&lt;&gt;"Not given")=TRUE,IF(SUMIFS(P:P,A:A,A357)&gt;0,IF((ABS((SUMIFS(P:P,A:A,A357)/VLOOKUP("USD",'Exchange Rates'!B:C,2,0)))/S357)&gt;1,(SUMIFS(P:P,A:A,A357)-S357)/S357,(S357-SUMIFS(P:P,A:A,A357))/SUMIFS(P:P,A:A,A357)),"."),".")</f>
        <v>.</v>
      </c>
      <c r="BA357" s="180"/>
      <c r="BB357" s="180"/>
      <c r="BC357" s="180"/>
      <c r="BD357" s="180"/>
      <c r="BE357" s="180"/>
      <c r="BF357" s="180"/>
      <c r="BG357" s="180"/>
      <c r="BH357" s="180"/>
      <c r="BI357" s="180"/>
      <c r="BJ357" s="180"/>
      <c r="BK357" s="180"/>
      <c r="BL357" s="180"/>
      <c r="BM357" s="180"/>
      <c r="BN357" s="180"/>
      <c r="BO357" s="180"/>
      <c r="BP357" s="180"/>
      <c r="BQ357" s="180"/>
      <c r="BR357" s="180"/>
      <c r="BS357" s="180"/>
    </row>
    <row r="358" spans="1:71" s="514" customFormat="1" ht="15.9" customHeight="1" x14ac:dyDescent="0.3">
      <c r="A358" s="19" t="s">
        <v>1206</v>
      </c>
      <c r="B358" s="19" t="s">
        <v>1131</v>
      </c>
      <c r="C358" s="174">
        <v>44908</v>
      </c>
      <c r="D358" s="19" t="s">
        <v>256</v>
      </c>
      <c r="E358" s="19" t="s">
        <v>840</v>
      </c>
      <c r="F358" s="175" t="s">
        <v>1207</v>
      </c>
      <c r="G358" s="15" t="s">
        <v>364</v>
      </c>
      <c r="H358" s="176">
        <v>48500000</v>
      </c>
      <c r="I358" s="19" t="s">
        <v>704</v>
      </c>
      <c r="J358" s="113" t="str">
        <f>VLOOKUP($I358,'Price List, Weapons &amp; Items'!B:C,2,0)</f>
        <v>Humanitarian</v>
      </c>
      <c r="K358" s="113" t="str">
        <f>IF(I358=".",I358,VLOOKUP($I358,'Price List, Weapons &amp; Items'!B:D,3,0))</f>
        <v>Humanitarian</v>
      </c>
      <c r="L358" s="177">
        <f>VLOOKUP(I358,'Price List, Weapons &amp; Items'!B:E,4,0)</f>
        <v>0</v>
      </c>
      <c r="M358" s="247">
        <v>63</v>
      </c>
      <c r="N358" s="247" t="s">
        <v>270</v>
      </c>
      <c r="O358" s="543" t="str">
        <f>VLOOKUP($I358,'Price List, Weapons &amp; Items'!B:G,6,0)</f>
        <v>.</v>
      </c>
      <c r="P358" s="176" t="str">
        <f t="shared" si="69"/>
        <v>No price</v>
      </c>
      <c r="Q358" s="176" t="str">
        <f t="shared" si="70"/>
        <v>.</v>
      </c>
      <c r="R358" s="176">
        <f t="shared" si="66"/>
        <v>48500000</v>
      </c>
      <c r="S358" s="176">
        <f>IF(AND(AD358=1,R358&lt;&gt;".")=TRUE,R358/VLOOKUP(G358,'Exchange Rates'!B:C,2,0),IF(R358=".",".",""))</f>
        <v>48500000</v>
      </c>
      <c r="T358" s="176" t="str">
        <f>IF(AD358=1,IF(AF358="Value is not given at all",".",IF(AF358="Value is given by the source",S358,IF(AF358="Value is calculated with prices",(IF(SUMIFS(Q:Q,A:A,A358)&gt;0,SUMIFS(Q:Q,A:A,A358),"."))/VLOOKUP("USD",'Exchange Rates'!B:C,2,0),"Error with coding"))),"")</f>
        <v>.</v>
      </c>
      <c r="U358" s="15" t="s">
        <v>261</v>
      </c>
      <c r="V358" s="305" t="s">
        <v>1208</v>
      </c>
      <c r="W358" s="670" t="s">
        <v>1209</v>
      </c>
      <c r="X358" s="671" t="s">
        <v>1205</v>
      </c>
      <c r="Y358" s="671" t="s">
        <v>1210</v>
      </c>
      <c r="Z358" s="15">
        <v>0</v>
      </c>
      <c r="AA358" s="180">
        <v>1</v>
      </c>
      <c r="AB358" s="672" t="s">
        <v>260</v>
      </c>
      <c r="AC358" s="544"/>
      <c r="AD358" s="183">
        <v>1</v>
      </c>
      <c r="AE358" s="183" t="s">
        <v>264</v>
      </c>
      <c r="AF358" s="183" t="s">
        <v>265</v>
      </c>
      <c r="AG358" s="15">
        <v>1</v>
      </c>
      <c r="AH358" s="15">
        <v>12</v>
      </c>
      <c r="AI358" s="181">
        <v>0</v>
      </c>
      <c r="AJ358" s="181">
        <f>VLOOKUP($I358,'Price List, Weapons &amp; Items'!B:F,5,0)</f>
        <v>0</v>
      </c>
      <c r="AK358" s="181">
        <f t="shared" si="71"/>
        <v>0</v>
      </c>
      <c r="AL358" s="181">
        <f t="shared" si="72"/>
        <v>0</v>
      </c>
      <c r="AM358" s="181">
        <f t="shared" si="73"/>
        <v>0</v>
      </c>
      <c r="AN358" s="180" t="str">
        <f>VLOOKUP($I358,'Price List, Weapons &amp; Items'!B:L,COLUMN('Price List, Weapons &amp; Items'!$J$11)-1,0)</f>
        <v>Media reports (incl. social media)</v>
      </c>
      <c r="AO358" s="180" t="str">
        <f>IF(I358=".",".",VLOOKUP($I358,'Price List, Weapons &amp; Items'!B:J,3,0))</f>
        <v>Humanitarian</v>
      </c>
      <c r="AP358" s="545" t="e">
        <f t="shared" ca="1" si="67"/>
        <v>#NAME?</v>
      </c>
      <c r="AQ358" s="180">
        <f>VLOOKUP($I358,'Price List, Weapons &amp; Items'!B:L,COLUMN('Price List, Weapons &amp; Items'!$L$11)-1,0)</f>
        <v>0</v>
      </c>
      <c r="AR358" s="180">
        <f t="shared" si="74"/>
        <v>1</v>
      </c>
      <c r="AS358" s="180">
        <f t="shared" si="75"/>
        <v>0</v>
      </c>
      <c r="AT358" s="180">
        <f t="shared" si="68"/>
        <v>1</v>
      </c>
      <c r="AU358" s="180" t="str">
        <f t="shared" si="76"/>
        <v>.</v>
      </c>
      <c r="AV358" s="180" t="str">
        <f t="shared" si="77"/>
        <v>.</v>
      </c>
      <c r="AW358" s="180">
        <f>IFERROR(VLOOKUP(B358,'Share, Heavy Weapons to Ukraine'!B:J,COLUMN('Share, Heavy Weapons to Ukraine'!C365)-1,0),0)</f>
        <v>0</v>
      </c>
      <c r="AX358" s="180">
        <f>VLOOKUP('Bilateral Assistance, MAIN DATA'!B358,'Country Summary'!B:F,COLUMN('Country Summary'!C368)-1,FALSE)</f>
        <v>1</v>
      </c>
      <c r="AY358" s="180" t="str">
        <f>IF(AND(AD358=1,D358="Military",H358&lt;&gt;"Not given")=TRUE,IF(SUMIFS(P:P,A:A,A358)&gt;0,ABS((SUMIFS(P:P,A:A,A358)/VLOOKUP("USD",'Exchange Rates'!B:C,2,0)))/S358,"."),".")</f>
        <v>.</v>
      </c>
      <c r="AZ358" s="182" t="str">
        <f>IF(AND(AD358=1,D358="Military",H358&lt;&gt;"Not given")=TRUE,IF(SUMIFS(P:P,A:A,A358)&gt;0,IF((ABS((SUMIFS(P:P,A:A,A358)/VLOOKUP("USD",'Exchange Rates'!B:C,2,0)))/S358)&gt;1,(SUMIFS(P:P,A:A,A358)-S358)/S358,(S358-SUMIFS(P:P,A:A,A358))/SUMIFS(P:P,A:A,A358)),"."),".")</f>
        <v>.</v>
      </c>
      <c r="BA358" s="180"/>
      <c r="BB358" s="180"/>
      <c r="BC358" s="180"/>
      <c r="BD358" s="180"/>
      <c r="BE358" s="180"/>
      <c r="BF358" s="180"/>
      <c r="BG358" s="180"/>
      <c r="BH358" s="180"/>
      <c r="BI358" s="180"/>
      <c r="BJ358" s="180"/>
      <c r="BK358" s="180"/>
      <c r="BL358" s="180"/>
      <c r="BM358" s="180"/>
      <c r="BN358" s="180"/>
      <c r="BO358" s="180"/>
      <c r="BP358" s="180"/>
      <c r="BQ358" s="180"/>
      <c r="BR358" s="180"/>
      <c r="BS358" s="180"/>
    </row>
    <row r="359" spans="1:71" s="514" customFormat="1" ht="15.9" customHeight="1" x14ac:dyDescent="0.3">
      <c r="A359" s="19" t="s">
        <v>1211</v>
      </c>
      <c r="B359" s="19" t="s">
        <v>1131</v>
      </c>
      <c r="C359" s="174">
        <v>44908</v>
      </c>
      <c r="D359" s="19" t="s">
        <v>256</v>
      </c>
      <c r="E359" s="19" t="s">
        <v>840</v>
      </c>
      <c r="F359" s="175" t="s">
        <v>1212</v>
      </c>
      <c r="G359" s="15" t="s">
        <v>364</v>
      </c>
      <c r="H359" s="176">
        <v>76500000</v>
      </c>
      <c r="I359" s="19" t="s">
        <v>260</v>
      </c>
      <c r="J359" s="113" t="str">
        <f>VLOOKUP($I359,'Price List, Weapons &amp; Items'!B:C,2,0)</f>
        <v>.</v>
      </c>
      <c r="K359" s="113" t="str">
        <f>IF(I359=".",I359,VLOOKUP($I359,'Price List, Weapons &amp; Items'!B:D,3,0))</f>
        <v>.</v>
      </c>
      <c r="L359" s="177">
        <f>VLOOKUP(I359,'Price List, Weapons &amp; Items'!B:E,4,0)</f>
        <v>0</v>
      </c>
      <c r="M359" s="247" t="s">
        <v>260</v>
      </c>
      <c r="N359" s="247" t="s">
        <v>260</v>
      </c>
      <c r="O359" s="543" t="str">
        <f>VLOOKUP($I359,'Price List, Weapons &amp; Items'!B:G,6,0)</f>
        <v>.</v>
      </c>
      <c r="P359" s="176" t="str">
        <f t="shared" si="69"/>
        <v>.</v>
      </c>
      <c r="Q359" s="176" t="str">
        <f t="shared" si="70"/>
        <v>.</v>
      </c>
      <c r="R359" s="176">
        <f t="shared" si="66"/>
        <v>76500000</v>
      </c>
      <c r="S359" s="176">
        <f>IF(AND(AD359=1,R359&lt;&gt;".")=TRUE,R359/VLOOKUP(G359,'Exchange Rates'!B:C,2,0),IF(R359=".",".",""))</f>
        <v>76500000</v>
      </c>
      <c r="T359" s="176" t="str">
        <f>IF(AD359=1,IF(AF359="Value is not given at all",".",IF(AF359="Value is given by the source",S359,IF(AF359="Value is calculated with prices",(IF(SUMIFS(Q:Q,A:A,A359)&gt;0,SUMIFS(Q:Q,A:A,A359),"."))/VLOOKUP("USD",'Exchange Rates'!B:C,2,0),"Error with coding"))),"")</f>
        <v>.</v>
      </c>
      <c r="U359" s="15" t="s">
        <v>261</v>
      </c>
      <c r="V359" s="305" t="s">
        <v>1208</v>
      </c>
      <c r="W359" s="670" t="s">
        <v>1209</v>
      </c>
      <c r="X359" s="671" t="s">
        <v>1205</v>
      </c>
      <c r="Y359" s="671" t="s">
        <v>1210</v>
      </c>
      <c r="Z359" s="15">
        <v>0</v>
      </c>
      <c r="AA359" s="180">
        <v>1</v>
      </c>
      <c r="AB359" s="672" t="s">
        <v>260</v>
      </c>
      <c r="AC359" s="544" t="str">
        <f>""</f>
        <v/>
      </c>
      <c r="AD359" s="183">
        <v>1</v>
      </c>
      <c r="AE359" s="183" t="s">
        <v>264</v>
      </c>
      <c r="AF359" s="183" t="s">
        <v>265</v>
      </c>
      <c r="AG359" s="15">
        <v>1</v>
      </c>
      <c r="AH359" s="15">
        <v>12</v>
      </c>
      <c r="AI359" s="181">
        <v>0</v>
      </c>
      <c r="AJ359" s="181">
        <f>VLOOKUP($I359,'Price List, Weapons &amp; Items'!B:F,5,0)</f>
        <v>0</v>
      </c>
      <c r="AK359" s="181">
        <f t="shared" si="71"/>
        <v>0</v>
      </c>
      <c r="AL359" s="181">
        <f t="shared" si="72"/>
        <v>0</v>
      </c>
      <c r="AM359" s="181">
        <f t="shared" si="73"/>
        <v>0</v>
      </c>
      <c r="AN359" s="180" t="str">
        <f>VLOOKUP($I359,'Price List, Weapons &amp; Items'!B:L,COLUMN('Price List, Weapons &amp; Items'!$J$11)-1,0)</f>
        <v>.</v>
      </c>
      <c r="AO359" s="180" t="str">
        <f>IF(I359=".",".",VLOOKUP($I359,'Price List, Weapons &amp; Items'!B:J,3,0))</f>
        <v>.</v>
      </c>
      <c r="AP359" s="545" t="e">
        <f t="shared" ca="1" si="67"/>
        <v>#NAME?</v>
      </c>
      <c r="AQ359" s="180" t="str">
        <f>VLOOKUP($I359,'Price List, Weapons &amp; Items'!B:L,COLUMN('Price List, Weapons &amp; Items'!$L$11)-1,0)</f>
        <v>no price, 0 count</v>
      </c>
      <c r="AR359" s="180">
        <f t="shared" si="74"/>
        <v>1</v>
      </c>
      <c r="AS359" s="180">
        <f t="shared" si="75"/>
        <v>0</v>
      </c>
      <c r="AT359" s="180">
        <f t="shared" si="68"/>
        <v>1</v>
      </c>
      <c r="AU359" s="180" t="str">
        <f t="shared" si="76"/>
        <v>.</v>
      </c>
      <c r="AV359" s="180" t="str">
        <f t="shared" si="77"/>
        <v>.</v>
      </c>
      <c r="AW359" s="180">
        <f>IFERROR(VLOOKUP(B359,'Share, Heavy Weapons to Ukraine'!B:J,COLUMN('Share, Heavy Weapons to Ukraine'!C366)-1,0),0)</f>
        <v>0</v>
      </c>
      <c r="AX359" s="180">
        <f>VLOOKUP('Bilateral Assistance, MAIN DATA'!B359,'Country Summary'!B:F,COLUMN('Country Summary'!C369)-1,FALSE)</f>
        <v>1</v>
      </c>
      <c r="AY359" s="180" t="str">
        <f>IF(AND(AD359=1,D359="Military",H359&lt;&gt;"Not given")=TRUE,IF(SUMIFS(P:P,A:A,A359)&gt;0,ABS((SUMIFS(P:P,A:A,A359)/VLOOKUP("USD",'Exchange Rates'!B:C,2,0)))/S359,"."),".")</f>
        <v>.</v>
      </c>
      <c r="AZ359" s="182" t="str">
        <f>IF(AND(AD359=1,D359="Military",H359&lt;&gt;"Not given")=TRUE,IF(SUMIFS(P:P,A:A,A359)&gt;0,IF((ABS((SUMIFS(P:P,A:A,A359)/VLOOKUP("USD",'Exchange Rates'!B:C,2,0)))/S359)&gt;1,(SUMIFS(P:P,A:A,A359)-S359)/S359,(S359-SUMIFS(P:P,A:A,A359))/SUMIFS(P:P,A:A,A359)),"."),".")</f>
        <v>.</v>
      </c>
      <c r="BA359" s="180"/>
      <c r="BB359" s="180"/>
      <c r="BC359" s="180"/>
      <c r="BD359" s="180"/>
      <c r="BE359" s="180"/>
      <c r="BF359" s="180"/>
      <c r="BG359" s="180"/>
      <c r="BH359" s="180"/>
      <c r="BI359" s="180"/>
      <c r="BJ359" s="180"/>
      <c r="BK359" s="180"/>
      <c r="BL359" s="180"/>
      <c r="BM359" s="180"/>
      <c r="BN359" s="180"/>
      <c r="BO359" s="180"/>
      <c r="BP359" s="180"/>
      <c r="BQ359" s="180"/>
      <c r="BR359" s="180"/>
      <c r="BS359" s="180"/>
    </row>
    <row r="360" spans="1:71" s="514" customFormat="1" ht="15.9" customHeight="1" x14ac:dyDescent="0.3">
      <c r="A360" s="19" t="s">
        <v>1213</v>
      </c>
      <c r="B360" s="19" t="s">
        <v>1131</v>
      </c>
      <c r="C360" s="174">
        <v>44908</v>
      </c>
      <c r="D360" s="19" t="s">
        <v>256</v>
      </c>
      <c r="E360" s="19" t="s">
        <v>257</v>
      </c>
      <c r="F360" s="175" t="s">
        <v>1214</v>
      </c>
      <c r="G360" s="15" t="s">
        <v>364</v>
      </c>
      <c r="H360" s="176">
        <f>200000000-H358-H355-H319-H318</f>
        <v>40900000</v>
      </c>
      <c r="I360" s="19" t="s">
        <v>260</v>
      </c>
      <c r="J360" s="113" t="str">
        <f>VLOOKUP($I360,'Price List, Weapons &amp; Items'!B:C,2,0)</f>
        <v>.</v>
      </c>
      <c r="K360" s="113" t="str">
        <f>IF(I360=".",I360,VLOOKUP($I360,'Price List, Weapons &amp; Items'!B:D,3,0))</f>
        <v>.</v>
      </c>
      <c r="L360" s="177">
        <f>VLOOKUP(I360,'Price List, Weapons &amp; Items'!B:E,4,0)</f>
        <v>0</v>
      </c>
      <c r="M360" s="247" t="s">
        <v>260</v>
      </c>
      <c r="N360" s="247" t="s">
        <v>260</v>
      </c>
      <c r="O360" s="543" t="str">
        <f>VLOOKUP($I360,'Price List, Weapons &amp; Items'!B:G,6,0)</f>
        <v>.</v>
      </c>
      <c r="P360" s="176" t="str">
        <f t="shared" si="69"/>
        <v>.</v>
      </c>
      <c r="Q360" s="176" t="str">
        <f t="shared" si="70"/>
        <v>.</v>
      </c>
      <c r="R360" s="176">
        <f t="shared" si="66"/>
        <v>40900000</v>
      </c>
      <c r="S360" s="176">
        <f>IF(AND(AD360=1,R360&lt;&gt;".")=TRUE,R360/VLOOKUP(G360,'Exchange Rates'!B:C,2,0),IF(R360=".",".",""))</f>
        <v>40900000</v>
      </c>
      <c r="T360" s="176" t="str">
        <f>IF(AD360=1,IF(AF360="Value is not given at all",".",IF(AF360="Value is given by the source",S360,IF(AF360="Value is calculated with prices",(IF(SUMIFS(Q:Q,A:A,A360)&gt;0,SUMIFS(Q:Q,A:A,A360),"."))/VLOOKUP("USD",'Exchange Rates'!B:C,2,0),"Error with coding"))),"")</f>
        <v>.</v>
      </c>
      <c r="U360" s="15" t="s">
        <v>261</v>
      </c>
      <c r="V360" s="305" t="s">
        <v>1208</v>
      </c>
      <c r="W360" s="305" t="s">
        <v>1215</v>
      </c>
      <c r="X360" s="673" t="s">
        <v>260</v>
      </c>
      <c r="Y360" s="674" t="s">
        <v>260</v>
      </c>
      <c r="Z360" s="15">
        <v>0</v>
      </c>
      <c r="AA360" s="180">
        <v>1</v>
      </c>
      <c r="AB360" s="672" t="s">
        <v>260</v>
      </c>
      <c r="AC360" s="544" t="str">
        <f>""</f>
        <v/>
      </c>
      <c r="AD360" s="183">
        <v>1</v>
      </c>
      <c r="AE360" s="183" t="s">
        <v>264</v>
      </c>
      <c r="AF360" s="183" t="s">
        <v>265</v>
      </c>
      <c r="AG360" s="15">
        <v>1</v>
      </c>
      <c r="AH360" s="15">
        <v>12</v>
      </c>
      <c r="AI360" s="181">
        <v>0</v>
      </c>
      <c r="AJ360" s="181">
        <f>VLOOKUP($I360,'Price List, Weapons &amp; Items'!B:F,5,0)</f>
        <v>0</v>
      </c>
      <c r="AK360" s="181">
        <f t="shared" si="71"/>
        <v>0</v>
      </c>
      <c r="AL360" s="181">
        <f t="shared" si="72"/>
        <v>0</v>
      </c>
      <c r="AM360" s="181">
        <f t="shared" si="73"/>
        <v>0</v>
      </c>
      <c r="AN360" s="180" t="str">
        <f>VLOOKUP($I360,'Price List, Weapons &amp; Items'!B:L,COLUMN('Price List, Weapons &amp; Items'!$J$11)-1,0)</f>
        <v>.</v>
      </c>
      <c r="AO360" s="180" t="str">
        <f>IF(I360=".",".",VLOOKUP($I360,'Price List, Weapons &amp; Items'!B:J,3,0))</f>
        <v>.</v>
      </c>
      <c r="AP360" s="545" t="e">
        <f t="shared" ca="1" si="67"/>
        <v>#NAME?</v>
      </c>
      <c r="AQ360" s="180" t="str">
        <f>VLOOKUP($I360,'Price List, Weapons &amp; Items'!B:L,COLUMN('Price List, Weapons &amp; Items'!$L$11)-1,0)</f>
        <v>no price, 0 count</v>
      </c>
      <c r="AR360" s="180">
        <f t="shared" si="74"/>
        <v>1</v>
      </c>
      <c r="AS360" s="180">
        <f t="shared" si="75"/>
        <v>0</v>
      </c>
      <c r="AT360" s="180">
        <f t="shared" si="68"/>
        <v>1</v>
      </c>
      <c r="AU360" s="180" t="str">
        <f t="shared" si="76"/>
        <v>.</v>
      </c>
      <c r="AV360" s="180" t="str">
        <f t="shared" si="77"/>
        <v>.</v>
      </c>
      <c r="AW360" s="180">
        <f>IFERROR(VLOOKUP(B360,'Share, Heavy Weapons to Ukraine'!B:J,COLUMN('Share, Heavy Weapons to Ukraine'!C367)-1,0),0)</f>
        <v>0</v>
      </c>
      <c r="AX360" s="180">
        <f>VLOOKUP('Bilateral Assistance, MAIN DATA'!B360,'Country Summary'!B:F,COLUMN('Country Summary'!C370)-1,FALSE)</f>
        <v>1</v>
      </c>
      <c r="AY360" s="180" t="str">
        <f>IF(AND(AD360=1,D360="Military",H360&lt;&gt;"Not given")=TRUE,IF(SUMIFS(P:P,A:A,A360)&gt;0,ABS((SUMIFS(P:P,A:A,A360)/VLOOKUP("USD",'Exchange Rates'!B:C,2,0)))/S360,"."),".")</f>
        <v>.</v>
      </c>
      <c r="AZ360" s="182" t="str">
        <f>IF(AND(AD360=1,D360="Military",H360&lt;&gt;"Not given")=TRUE,IF(SUMIFS(P:P,A:A,A360)&gt;0,IF((ABS((SUMIFS(P:P,A:A,A360)/VLOOKUP("USD",'Exchange Rates'!B:C,2,0)))/S360)&gt;1,(SUMIFS(P:P,A:A,A360)-S360)/S360,(S360-SUMIFS(P:P,A:A,A360))/SUMIFS(P:P,A:A,A360)),"."),".")</f>
        <v>.</v>
      </c>
      <c r="BA360" s="180"/>
      <c r="BB360" s="180"/>
      <c r="BC360" s="180"/>
      <c r="BD360" s="180"/>
      <c r="BE360" s="180"/>
      <c r="BF360" s="180"/>
      <c r="BG360" s="180"/>
      <c r="BH360" s="180"/>
      <c r="BI360" s="180"/>
      <c r="BJ360" s="180"/>
      <c r="BK360" s="180"/>
      <c r="BL360" s="180"/>
      <c r="BM360" s="180"/>
      <c r="BN360" s="180"/>
      <c r="BO360" s="180"/>
      <c r="BP360" s="180"/>
      <c r="BQ360" s="180"/>
      <c r="BR360" s="180"/>
      <c r="BS360" s="180"/>
    </row>
    <row r="361" spans="1:71" s="514" customFormat="1" ht="15.9" customHeight="1" x14ac:dyDescent="0.3">
      <c r="A361" s="19" t="s">
        <v>1216</v>
      </c>
      <c r="B361" s="19" t="s">
        <v>1131</v>
      </c>
      <c r="C361" s="174">
        <v>44965</v>
      </c>
      <c r="D361" s="19" t="s">
        <v>405</v>
      </c>
      <c r="E361" s="19" t="s">
        <v>518</v>
      </c>
      <c r="F361" s="175" t="s">
        <v>1217</v>
      </c>
      <c r="G361" s="15" t="s">
        <v>364</v>
      </c>
      <c r="H361" s="176">
        <v>200000000</v>
      </c>
      <c r="I361" s="19" t="s">
        <v>260</v>
      </c>
      <c r="J361" s="113" t="s">
        <v>260</v>
      </c>
      <c r="K361" s="113" t="s">
        <v>260</v>
      </c>
      <c r="L361" s="177">
        <v>0</v>
      </c>
      <c r="M361" s="247" t="s">
        <v>260</v>
      </c>
      <c r="N361" s="247" t="s">
        <v>260</v>
      </c>
      <c r="O361" s="543" t="str">
        <f>VLOOKUP($I361,'Price List, Weapons &amp; Items'!B:G,6,0)</f>
        <v>.</v>
      </c>
      <c r="P361" s="176" t="str">
        <f t="shared" si="69"/>
        <v>.</v>
      </c>
      <c r="Q361" s="176" t="str">
        <f t="shared" si="70"/>
        <v>.</v>
      </c>
      <c r="R361" s="176">
        <f t="shared" si="66"/>
        <v>200000000</v>
      </c>
      <c r="S361" s="176">
        <f>IF(AND(AD361=1,R361&lt;&gt;".")=TRUE,R361/VLOOKUP(G361,'Exchange Rates'!B:C,2,0),IF(R361=".",".",""))</f>
        <v>200000000</v>
      </c>
      <c r="T361" s="176" t="str">
        <f>IF(AD361=1,IF(AF361="Value is not given at all",".",IF(AF361="Value is given by the source",S361,IF(AF361="Value is calculated with prices",(IF(SUMIFS(Q:Q,A:A,A361)&gt;0,SUMIFS(Q:Q,A:A,A361),"."))/VLOOKUP("USD",'Exchange Rates'!B:C,2,0),"Error with coding"))),"")</f>
        <v>.</v>
      </c>
      <c r="U361" s="15" t="s">
        <v>261</v>
      </c>
      <c r="V361" s="1028" t="s">
        <v>1218</v>
      </c>
      <c r="W361" s="1028" t="s">
        <v>1219</v>
      </c>
      <c r="X361" s="673" t="s">
        <v>260</v>
      </c>
      <c r="Y361" s="674" t="s">
        <v>260</v>
      </c>
      <c r="Z361" s="15">
        <v>0</v>
      </c>
      <c r="AA361" s="180">
        <v>1</v>
      </c>
      <c r="AB361" s="672" t="s">
        <v>260</v>
      </c>
      <c r="AC361" s="544"/>
      <c r="AD361" s="183">
        <v>1</v>
      </c>
      <c r="AE361" s="183" t="s">
        <v>264</v>
      </c>
      <c r="AF361" s="183" t="s">
        <v>265</v>
      </c>
      <c r="AG361" s="15">
        <v>1</v>
      </c>
      <c r="AH361" s="15">
        <v>2</v>
      </c>
      <c r="AI361" s="181">
        <v>1</v>
      </c>
      <c r="AJ361" s="181">
        <f>VLOOKUP($I361,'Price List, Weapons &amp; Items'!B:F,5,0)</f>
        <v>0</v>
      </c>
      <c r="AK361" s="181">
        <f t="shared" si="71"/>
        <v>0</v>
      </c>
      <c r="AL361" s="181">
        <f t="shared" si="72"/>
        <v>0</v>
      </c>
      <c r="AM361" s="181">
        <f t="shared" si="73"/>
        <v>0</v>
      </c>
      <c r="AN361" s="180" t="str">
        <f>VLOOKUP($I361,'Price List, Weapons &amp; Items'!B:L,COLUMN('Price List, Weapons &amp; Items'!$J$11)-1,0)</f>
        <v>.</v>
      </c>
      <c r="AO361" s="180" t="str">
        <f>IF(I361=".",".",VLOOKUP($I361,'Price List, Weapons &amp; Items'!B:J,3,0))</f>
        <v>.</v>
      </c>
      <c r="AP361" s="545" t="e">
        <f t="shared" ca="1" si="67"/>
        <v>#NAME?</v>
      </c>
      <c r="AQ361" s="180" t="str">
        <f>VLOOKUP($I361,'Price List, Weapons &amp; Items'!B:L,COLUMN('Price List, Weapons &amp; Items'!$L$11)-1,0)</f>
        <v>no price, 0 count</v>
      </c>
      <c r="AR361" s="180">
        <f t="shared" si="74"/>
        <v>1</v>
      </c>
      <c r="AS361" s="180">
        <f t="shared" si="75"/>
        <v>0</v>
      </c>
      <c r="AT361" s="180">
        <f t="shared" si="68"/>
        <v>1</v>
      </c>
      <c r="AU361" s="180" t="str">
        <f t="shared" si="76"/>
        <v>.</v>
      </c>
      <c r="AV361" s="180" t="str">
        <f t="shared" si="77"/>
        <v>.</v>
      </c>
      <c r="AW361" s="180">
        <f>IFERROR(VLOOKUP(B361,'Share, Heavy Weapons to Ukraine'!B:J,COLUMN('Share, Heavy Weapons to Ukraine'!C368)-1,0),0)</f>
        <v>0</v>
      </c>
      <c r="AX361" s="180">
        <f>VLOOKUP('Bilateral Assistance, MAIN DATA'!B361,'Country Summary'!B:F,COLUMN('Country Summary'!C371)-1,FALSE)</f>
        <v>1</v>
      </c>
      <c r="AY361" s="180" t="str">
        <f>IF(AND(AD361=1,D361="Military",H361&lt;&gt;"Not given")=TRUE,IF(SUMIFS(P:P,A:A,A361)&gt;0,ABS((SUMIFS(P:P,A:A,A361)/VLOOKUP("USD",'Exchange Rates'!B:C,2,0)))/S361,"."),".")</f>
        <v>.</v>
      </c>
      <c r="AZ361" s="182" t="str">
        <f>IF(AND(AD361=1,D361="Military",H361&lt;&gt;"Not given")=TRUE,IF(SUMIFS(P:P,A:A,A361)&gt;0,IF((ABS((SUMIFS(P:P,A:A,A361)/VLOOKUP("USD",'Exchange Rates'!B:C,2,0)))/S361)&gt;1,(SUMIFS(P:P,A:A,A361)-S361)/S361,(S361-SUMIFS(P:P,A:A,A361))/SUMIFS(P:P,A:A,A361)),"."),".")</f>
        <v>.</v>
      </c>
      <c r="BA361" s="180"/>
      <c r="BB361" s="180"/>
      <c r="BC361" s="180"/>
      <c r="BD361" s="180"/>
      <c r="BE361" s="180"/>
      <c r="BF361" s="180"/>
      <c r="BG361" s="180"/>
      <c r="BH361" s="180"/>
      <c r="BI361" s="180"/>
      <c r="BJ361" s="180"/>
      <c r="BK361" s="180"/>
      <c r="BL361" s="180"/>
      <c r="BM361" s="180"/>
      <c r="BN361" s="180"/>
      <c r="BO361" s="180"/>
      <c r="BP361" s="180"/>
      <c r="BQ361" s="180"/>
      <c r="BR361" s="180"/>
      <c r="BS361" s="180"/>
    </row>
    <row r="362" spans="1:71" ht="15.9" customHeight="1" x14ac:dyDescent="0.3">
      <c r="A362" s="17" t="s">
        <v>1220</v>
      </c>
      <c r="B362" s="17" t="s">
        <v>1131</v>
      </c>
      <c r="C362" s="174">
        <v>44617</v>
      </c>
      <c r="D362" s="5" t="s">
        <v>405</v>
      </c>
      <c r="E362" s="5" t="s">
        <v>518</v>
      </c>
      <c r="F362" s="175" t="s">
        <v>1221</v>
      </c>
      <c r="G362" s="15" t="s">
        <v>364</v>
      </c>
      <c r="H362" s="176">
        <v>300000000</v>
      </c>
      <c r="I362" s="17" t="s">
        <v>260</v>
      </c>
      <c r="J362" s="113" t="str">
        <f>VLOOKUP($I362,'Price List, Weapons &amp; Items'!B:C,2,0)</f>
        <v>.</v>
      </c>
      <c r="K362" s="113" t="str">
        <f>IF(I362=".",I362,VLOOKUP($I362,'Price List, Weapons &amp; Items'!B:D,3,0))</f>
        <v>.</v>
      </c>
      <c r="L362" s="177">
        <f>VLOOKUP(I362,'Price List, Weapons &amp; Items'!B:E,4,0)</f>
        <v>0</v>
      </c>
      <c r="M362" s="542" t="s">
        <v>260</v>
      </c>
      <c r="N362" s="542" t="s">
        <v>260</v>
      </c>
      <c r="O362" s="543" t="str">
        <f>VLOOKUP($I362,'Price List, Weapons &amp; Items'!B:G,6,0)</f>
        <v>.</v>
      </c>
      <c r="P362" s="176" t="str">
        <f t="shared" si="69"/>
        <v>.</v>
      </c>
      <c r="Q362" s="176" t="str">
        <f t="shared" si="70"/>
        <v>.</v>
      </c>
      <c r="R362" s="176">
        <f t="shared" si="66"/>
        <v>300000000</v>
      </c>
      <c r="S362" s="176">
        <f>IF(AND(AD362=1,R362&lt;&gt;".")=TRUE,R362/VLOOKUP(G362,'Exchange Rates'!B:C,2,0),IF(R362=".",".",""))</f>
        <v>300000000</v>
      </c>
      <c r="T362" s="176" t="str">
        <f>IF(AD362=1,IF(AF362="Value is not given at all",".",IF(AF362="Value is given by the source",S362,IF(AF362="Value is calculated with prices",(IF(SUMIFS(Q:Q,A:A,A362)&gt;0,SUMIFS(Q:Q,A:A,A362),"."))/VLOOKUP("USD",'Exchange Rates'!B:C,2,0),"Error with coding"))),"")</f>
        <v>.</v>
      </c>
      <c r="U362" s="15" t="s">
        <v>261</v>
      </c>
      <c r="V362" s="300" t="s">
        <v>1222</v>
      </c>
      <c r="W362" s="300" t="s">
        <v>1223</v>
      </c>
      <c r="X362" s="300" t="s">
        <v>1224</v>
      </c>
      <c r="Y362" s="1026" t="s">
        <v>1225</v>
      </c>
      <c r="Z362" s="15">
        <v>0</v>
      </c>
      <c r="AA362" s="180">
        <v>0</v>
      </c>
      <c r="AB362" s="184" t="s">
        <v>260</v>
      </c>
      <c r="AC362" s="544" t="str">
        <f>""</f>
        <v/>
      </c>
      <c r="AD362" s="181">
        <v>1</v>
      </c>
      <c r="AE362" s="181" t="s">
        <v>264</v>
      </c>
      <c r="AF362" s="181" t="s">
        <v>265</v>
      </c>
      <c r="AG362" s="181">
        <v>1</v>
      </c>
      <c r="AH362" s="181">
        <v>2</v>
      </c>
      <c r="AI362" s="181">
        <v>0</v>
      </c>
      <c r="AJ362" s="181">
        <f>VLOOKUP($I362,'Price List, Weapons &amp; Items'!B:F,5,0)</f>
        <v>0</v>
      </c>
      <c r="AK362" s="181">
        <f t="shared" si="71"/>
        <v>0</v>
      </c>
      <c r="AL362" s="181">
        <f t="shared" si="72"/>
        <v>0</v>
      </c>
      <c r="AM362" s="181">
        <f t="shared" si="73"/>
        <v>0</v>
      </c>
      <c r="AN362" s="180" t="str">
        <f>VLOOKUP($I362,'Price List, Weapons &amp; Items'!B:L,COLUMN('Price List, Weapons &amp; Items'!$J$11)-1,0)</f>
        <v>.</v>
      </c>
      <c r="AO362" s="180" t="str">
        <f>IF(I362=".",".",VLOOKUP($I362,'Price List, Weapons &amp; Items'!B:J,3,0))</f>
        <v>.</v>
      </c>
      <c r="AP362" s="545" t="e">
        <f t="shared" ca="1" si="67"/>
        <v>#NAME?</v>
      </c>
      <c r="AQ362" s="180" t="str">
        <f>VLOOKUP($I362,'Price List, Weapons &amp; Items'!B:L,COLUMN('Price List, Weapons &amp; Items'!$L$11)-1,0)</f>
        <v>no price, 0 count</v>
      </c>
      <c r="AR362" s="180">
        <f t="shared" si="74"/>
        <v>1</v>
      </c>
      <c r="AS362" s="180">
        <f t="shared" si="75"/>
        <v>0</v>
      </c>
      <c r="AT362" s="180">
        <f t="shared" si="68"/>
        <v>1</v>
      </c>
      <c r="AU362" s="180" t="str">
        <f t="shared" si="76"/>
        <v>.</v>
      </c>
      <c r="AV362" s="180" t="str">
        <f t="shared" si="77"/>
        <v>.</v>
      </c>
      <c r="AW362" s="180">
        <f>IFERROR(VLOOKUP(B362,'Share, Heavy Weapons to Ukraine'!B:J,COLUMN('Share, Heavy Weapons to Ukraine'!C369)-1,0),0)</f>
        <v>0</v>
      </c>
      <c r="AX362" s="180">
        <f>VLOOKUP('Bilateral Assistance, MAIN DATA'!B362,'Country Summary'!B:F,COLUMN('Country Summary'!C372)-1,FALSE)</f>
        <v>1</v>
      </c>
      <c r="AY362" s="180" t="str">
        <f>IF(AND(AD362=1,D362="Military",H362&lt;&gt;"Not given")=TRUE,IF(SUMIFS(P:P,A:A,A362)&gt;0,ABS((SUMIFS(P:P,A:A,A362)/VLOOKUP("USD",'Exchange Rates'!B:C,2,0)))/S362,"."),".")</f>
        <v>.</v>
      </c>
      <c r="AZ362" s="182" t="str">
        <f>IF(AND(AD362=1,D362="Military",H362&lt;&gt;"Not given")=TRUE,IF(SUMIFS(P:P,A:A,A362)&gt;0,IF((ABS((SUMIFS(P:P,A:A,A362)/VLOOKUP("USD",'Exchange Rates'!B:C,2,0)))/S362)&gt;1,(SUMIFS(P:P,A:A,A362)-S362)/S362,(S362-SUMIFS(P:P,A:A,A362))/SUMIFS(P:P,A:A,A362)),"."),".")</f>
        <v>.</v>
      </c>
      <c r="BA362" s="182"/>
      <c r="BB362" s="182"/>
      <c r="BC362" s="182"/>
      <c r="BD362" s="182"/>
      <c r="BE362" s="182"/>
      <c r="BF362" s="182"/>
      <c r="BG362" s="182"/>
      <c r="BH362" s="182"/>
      <c r="BI362" s="182"/>
      <c r="BJ362" s="182"/>
      <c r="BK362" s="182"/>
      <c r="BL362" s="182"/>
      <c r="BM362" s="182"/>
      <c r="BN362" s="182"/>
      <c r="BO362" s="182"/>
      <c r="BP362" s="182"/>
      <c r="BQ362" s="182"/>
      <c r="BR362" s="182"/>
      <c r="BS362" s="182"/>
    </row>
    <row r="363" spans="1:71" ht="15.9" customHeight="1" x14ac:dyDescent="0.3">
      <c r="A363" s="17" t="s">
        <v>1226</v>
      </c>
      <c r="B363" s="17" t="s">
        <v>1131</v>
      </c>
      <c r="C363" s="174">
        <v>44893</v>
      </c>
      <c r="D363" s="5" t="s">
        <v>405</v>
      </c>
      <c r="E363" s="5" t="s">
        <v>518</v>
      </c>
      <c r="F363" s="175" t="s">
        <v>1227</v>
      </c>
      <c r="G363" s="15" t="s">
        <v>364</v>
      </c>
      <c r="H363" s="176">
        <v>100000000</v>
      </c>
      <c r="I363" s="17" t="s">
        <v>260</v>
      </c>
      <c r="J363" s="113" t="str">
        <f>VLOOKUP($I363,'Price List, Weapons &amp; Items'!B:C,2,0)</f>
        <v>.</v>
      </c>
      <c r="K363" s="113" t="str">
        <f>IF(I363=".",I363,VLOOKUP($I363,'Price List, Weapons &amp; Items'!B:D,3,0))</f>
        <v>.</v>
      </c>
      <c r="L363" s="177">
        <f>VLOOKUP(I363,'Price List, Weapons &amp; Items'!B:E,4,0)</f>
        <v>0</v>
      </c>
      <c r="M363" s="542" t="s">
        <v>260</v>
      </c>
      <c r="N363" s="542" t="s">
        <v>260</v>
      </c>
      <c r="O363" s="543" t="str">
        <f>VLOOKUP($I363,'Price List, Weapons &amp; Items'!B:G,6,0)</f>
        <v>.</v>
      </c>
      <c r="P363" s="176" t="str">
        <f t="shared" si="69"/>
        <v>.</v>
      </c>
      <c r="Q363" s="176" t="str">
        <f t="shared" si="70"/>
        <v>.</v>
      </c>
      <c r="R363" s="176">
        <f t="shared" si="66"/>
        <v>100000000</v>
      </c>
      <c r="S363" s="176">
        <f>IF(AND(AD363=1,R363&lt;&gt;".")=TRUE,R363/VLOOKUP(G363,'Exchange Rates'!B:C,2,0),IF(R363=".",".",""))</f>
        <v>100000000</v>
      </c>
      <c r="T363" s="176" t="str">
        <f>IF(AD363=1,IF(AF363="Value is not given at all",".",IF(AF363="Value is given by the source",S363,IF(AF363="Value is calculated with prices",(IF(SUMIFS(Q:Q,A:A,A363)&gt;0,SUMIFS(Q:Q,A:A,A363),"."))/VLOOKUP("USD",'Exchange Rates'!B:C,2,0),"Error with coding"))),"")</f>
        <v>.</v>
      </c>
      <c r="U363" s="15" t="s">
        <v>261</v>
      </c>
      <c r="V363" s="667" t="s">
        <v>1228</v>
      </c>
      <c r="W363" s="675" t="s">
        <v>1229</v>
      </c>
      <c r="X363" s="676" t="s">
        <v>1230</v>
      </c>
      <c r="Y363" s="676" t="s">
        <v>1231</v>
      </c>
      <c r="Z363" s="15">
        <v>0</v>
      </c>
      <c r="AA363" s="180">
        <v>1</v>
      </c>
      <c r="AB363" s="677" t="s">
        <v>1229</v>
      </c>
      <c r="AC363" s="544"/>
      <c r="AD363" s="181">
        <v>1</v>
      </c>
      <c r="AE363" s="181" t="s">
        <v>264</v>
      </c>
      <c r="AF363" s="181" t="s">
        <v>265</v>
      </c>
      <c r="AG363" s="181">
        <v>1</v>
      </c>
      <c r="AH363" s="181">
        <v>11</v>
      </c>
      <c r="AI363" s="181">
        <v>0</v>
      </c>
      <c r="AJ363" s="181">
        <f>VLOOKUP($I363,'Price List, Weapons &amp; Items'!B:F,5,0)</f>
        <v>0</v>
      </c>
      <c r="AK363" s="181">
        <f t="shared" si="71"/>
        <v>0</v>
      </c>
      <c r="AL363" s="181">
        <f t="shared" si="72"/>
        <v>0</v>
      </c>
      <c r="AM363" s="181">
        <f t="shared" si="73"/>
        <v>0</v>
      </c>
      <c r="AN363" s="180" t="str">
        <f>VLOOKUP($I363,'Price List, Weapons &amp; Items'!B:L,COLUMN('Price List, Weapons &amp; Items'!$J$11)-1,0)</f>
        <v>.</v>
      </c>
      <c r="AO363" s="180" t="str">
        <f>IF(I363=".",".",VLOOKUP($I363,'Price List, Weapons &amp; Items'!B:J,3,0))</f>
        <v>.</v>
      </c>
      <c r="AP363" s="545" t="e">
        <f t="shared" ca="1" si="67"/>
        <v>#NAME?</v>
      </c>
      <c r="AQ363" s="180" t="str">
        <f>VLOOKUP($I363,'Price List, Weapons &amp; Items'!B:L,COLUMN('Price List, Weapons &amp; Items'!$L$11)-1,0)</f>
        <v>no price, 0 count</v>
      </c>
      <c r="AR363" s="180">
        <f t="shared" si="74"/>
        <v>1</v>
      </c>
      <c r="AS363" s="180">
        <f t="shared" si="75"/>
        <v>0</v>
      </c>
      <c r="AT363" s="180">
        <f t="shared" si="68"/>
        <v>1</v>
      </c>
      <c r="AU363" s="180" t="str">
        <f t="shared" si="76"/>
        <v>.</v>
      </c>
      <c r="AV363" s="180" t="str">
        <f t="shared" si="77"/>
        <v>.</v>
      </c>
      <c r="AW363" s="180">
        <f>IFERROR(VLOOKUP(B363,'Share, Heavy Weapons to Ukraine'!B:J,COLUMN('Share, Heavy Weapons to Ukraine'!C371)-1,0),0)</f>
        <v>0</v>
      </c>
      <c r="AX363" s="180">
        <f>VLOOKUP('Bilateral Assistance, MAIN DATA'!B363,'Country Summary'!B:F,COLUMN('Country Summary'!C374)-1,FALSE)</f>
        <v>1</v>
      </c>
      <c r="AY363" s="180" t="str">
        <f>IF(AND(AD363=1,D363="Military",H363&lt;&gt;"Not given")=TRUE,IF(SUMIFS(P:P,A:A,A363)&gt;0,ABS((SUMIFS(P:P,A:A,A363)/VLOOKUP("USD",'Exchange Rates'!B:C,2,0)))/S363,"."),".")</f>
        <v>.</v>
      </c>
      <c r="AZ363" s="182" t="str">
        <f>IF(AND(AD363=1,D363="Military",H363&lt;&gt;"Not given")=TRUE,IF(SUMIFS(P:P,A:A,A363)&gt;0,IF((ABS((SUMIFS(P:P,A:A,A363)/VLOOKUP("USD",'Exchange Rates'!B:C,2,0)))/S363)&gt;1,(SUMIFS(P:P,A:A,A363)-S363)/S363,(S363-SUMIFS(P:P,A:A,A363))/SUMIFS(P:P,A:A,A363)),"."),".")</f>
        <v>.</v>
      </c>
      <c r="BA363" s="182"/>
      <c r="BB363" s="182"/>
      <c r="BC363" s="182"/>
      <c r="BD363" s="182"/>
      <c r="BE363" s="182"/>
      <c r="BF363" s="182"/>
      <c r="BG363" s="182"/>
      <c r="BH363" s="182"/>
      <c r="BI363" s="182"/>
      <c r="BJ363" s="182"/>
      <c r="BK363" s="182"/>
      <c r="BL363" s="182"/>
      <c r="BM363" s="182"/>
      <c r="BN363" s="182"/>
      <c r="BO363" s="182"/>
      <c r="BP363" s="182"/>
      <c r="BQ363" s="182"/>
      <c r="BR363" s="182"/>
      <c r="BS363" s="182"/>
    </row>
    <row r="364" spans="1:71" ht="15.9" customHeight="1" x14ac:dyDescent="0.3">
      <c r="A364" s="17" t="s">
        <v>1232</v>
      </c>
      <c r="B364" s="17" t="s">
        <v>1131</v>
      </c>
      <c r="C364" s="174">
        <v>44908</v>
      </c>
      <c r="D364" s="5" t="s">
        <v>405</v>
      </c>
      <c r="E364" s="5" t="s">
        <v>518</v>
      </c>
      <c r="F364" s="175" t="s">
        <v>1233</v>
      </c>
      <c r="G364" s="15" t="s">
        <v>364</v>
      </c>
      <c r="H364" s="176">
        <v>49400000</v>
      </c>
      <c r="I364" s="17" t="s">
        <v>260</v>
      </c>
      <c r="J364" s="113" t="str">
        <f>VLOOKUP($I364,'Price List, Weapons &amp; Items'!B:C,2,0)</f>
        <v>.</v>
      </c>
      <c r="K364" s="113" t="str">
        <f>IF(I364=".",I364,VLOOKUP($I364,'Price List, Weapons &amp; Items'!B:D,3,0))</f>
        <v>.</v>
      </c>
      <c r="L364" s="177">
        <f>VLOOKUP(I364,'Price List, Weapons &amp; Items'!B:E,4,0)</f>
        <v>0</v>
      </c>
      <c r="M364" s="542" t="s">
        <v>260</v>
      </c>
      <c r="N364" s="542" t="s">
        <v>260</v>
      </c>
      <c r="O364" s="543" t="str">
        <f>VLOOKUP($I364,'Price List, Weapons &amp; Items'!B:G,6,0)</f>
        <v>.</v>
      </c>
      <c r="P364" s="176" t="str">
        <f t="shared" si="69"/>
        <v>.</v>
      </c>
      <c r="Q364" s="176" t="str">
        <f t="shared" si="70"/>
        <v>.</v>
      </c>
      <c r="R364" s="176">
        <f t="shared" si="66"/>
        <v>49400000</v>
      </c>
      <c r="S364" s="176">
        <f>IF(AND(AD364=1,R364&lt;&gt;".")=TRUE,R364/VLOOKUP(G364,'Exchange Rates'!B:C,2,0),IF(R364=".",".",""))</f>
        <v>49400000</v>
      </c>
      <c r="T364" s="176" t="str">
        <f>IF(AD364=1,IF(AF364="Value is not given at all",".",IF(AF364="Value is given by the source",S364,IF(AF364="Value is calculated with prices",(IF(SUMIFS(Q:Q,A:A,A364)&gt;0,SUMIFS(Q:Q,A:A,A364),"."))/VLOOKUP("USD",'Exchange Rates'!B:C,2,0),"Error with coding"))),"")</f>
        <v>.</v>
      </c>
      <c r="U364" s="15" t="s">
        <v>261</v>
      </c>
      <c r="V364" s="1029" t="s">
        <v>1234</v>
      </c>
      <c r="W364" s="1030" t="s">
        <v>1235</v>
      </c>
      <c r="X364" s="689" t="s">
        <v>260</v>
      </c>
      <c r="Y364" s="689" t="s">
        <v>260</v>
      </c>
      <c r="Z364" s="15">
        <v>0</v>
      </c>
      <c r="AA364" s="180">
        <v>1</v>
      </c>
      <c r="AB364" s="695" t="s">
        <v>260</v>
      </c>
      <c r="AC364" s="544"/>
      <c r="AD364" s="181">
        <v>1</v>
      </c>
      <c r="AE364" s="181" t="s">
        <v>264</v>
      </c>
      <c r="AF364" s="181" t="s">
        <v>265</v>
      </c>
      <c r="AG364" s="181">
        <v>1</v>
      </c>
      <c r="AH364" s="181">
        <v>12</v>
      </c>
      <c r="AI364" s="181">
        <v>0</v>
      </c>
      <c r="AJ364" s="181">
        <f>VLOOKUP($I364,'Price List, Weapons &amp; Items'!B:F,5,0)</f>
        <v>0</v>
      </c>
      <c r="AK364" s="181">
        <f t="shared" si="71"/>
        <v>0</v>
      </c>
      <c r="AL364" s="181">
        <f t="shared" si="72"/>
        <v>0</v>
      </c>
      <c r="AM364" s="181">
        <f t="shared" si="73"/>
        <v>0</v>
      </c>
      <c r="AN364" s="180" t="str">
        <f>VLOOKUP($I364,'Price List, Weapons &amp; Items'!B:L,COLUMN('Price List, Weapons &amp; Items'!$J$11)-1,0)</f>
        <v>.</v>
      </c>
      <c r="AO364" s="180" t="str">
        <f>IF(I364=".",".",VLOOKUP($I364,'Price List, Weapons &amp; Items'!B:J,3,0))</f>
        <v>.</v>
      </c>
      <c r="AP364" s="545" t="e">
        <f t="shared" ca="1" si="67"/>
        <v>#NAME?</v>
      </c>
      <c r="AQ364" s="180" t="str">
        <f>VLOOKUP($I364,'Price List, Weapons &amp; Items'!B:L,COLUMN('Price List, Weapons &amp; Items'!$L$11)-1,0)</f>
        <v>no price, 0 count</v>
      </c>
      <c r="AR364" s="180">
        <f t="shared" si="74"/>
        <v>1</v>
      </c>
      <c r="AS364" s="180">
        <f t="shared" si="75"/>
        <v>0</v>
      </c>
      <c r="AT364" s="180">
        <f t="shared" si="68"/>
        <v>1</v>
      </c>
      <c r="AU364" s="180" t="str">
        <f t="shared" si="76"/>
        <v>.</v>
      </c>
      <c r="AV364" s="180" t="str">
        <f t="shared" si="77"/>
        <v>.</v>
      </c>
      <c r="AW364" s="180">
        <f>IFERROR(VLOOKUP(B364,'Share, Heavy Weapons to Ukraine'!B:J,COLUMN('Share, Heavy Weapons to Ukraine'!C372)-1,0),0)</f>
        <v>0</v>
      </c>
      <c r="AX364" s="180">
        <f>VLOOKUP('Bilateral Assistance, MAIN DATA'!B364,'Country Summary'!B:F,COLUMN('Country Summary'!C375)-1,FALSE)</f>
        <v>1</v>
      </c>
      <c r="AY364" s="180" t="str">
        <f>IF(AND(AD364=1,D364="Military",H364&lt;&gt;"Not given")=TRUE,IF(SUMIFS(P:P,A:A,A364)&gt;0,ABS((SUMIFS(P:P,A:A,A364)/VLOOKUP("USD",'Exchange Rates'!B:C,2,0)))/S364,"."),".")</f>
        <v>.</v>
      </c>
      <c r="AZ364" s="182" t="str">
        <f>IF(AND(AD364=1,D364="Military",H364&lt;&gt;"Not given")=TRUE,IF(SUMIFS(P:P,A:A,A364)&gt;0,IF((ABS((SUMIFS(P:P,A:A,A364)/VLOOKUP("USD",'Exchange Rates'!B:C,2,0)))/S364)&gt;1,(SUMIFS(P:P,A:A,A364)-S364)/S364,(S364-SUMIFS(P:P,A:A,A364))/SUMIFS(P:P,A:A,A364)),"."),".")</f>
        <v>.</v>
      </c>
      <c r="BA364" s="182"/>
      <c r="BB364" s="182"/>
      <c r="BC364" s="182"/>
      <c r="BD364" s="182"/>
      <c r="BE364" s="182"/>
      <c r="BF364" s="182"/>
      <c r="BG364" s="182"/>
      <c r="BH364" s="182"/>
      <c r="BI364" s="182"/>
      <c r="BJ364" s="182"/>
      <c r="BK364" s="182"/>
      <c r="BL364" s="182"/>
      <c r="BM364" s="182"/>
      <c r="BN364" s="182"/>
      <c r="BO364" s="182"/>
      <c r="BP364" s="182"/>
      <c r="BQ364" s="182"/>
      <c r="BR364" s="182"/>
      <c r="BS364" s="182"/>
    </row>
    <row r="365" spans="1:71" ht="15.9" customHeight="1" x14ac:dyDescent="0.3">
      <c r="A365" s="17" t="s">
        <v>1236</v>
      </c>
      <c r="B365" s="17" t="s">
        <v>1131</v>
      </c>
      <c r="C365" s="174">
        <v>44908</v>
      </c>
      <c r="D365" s="5" t="s">
        <v>405</v>
      </c>
      <c r="E365" s="5" t="s">
        <v>518</v>
      </c>
      <c r="F365" s="175" t="s">
        <v>1233</v>
      </c>
      <c r="G365" s="15" t="s">
        <v>364</v>
      </c>
      <c r="H365" s="176">
        <v>50000000</v>
      </c>
      <c r="I365" s="17" t="s">
        <v>260</v>
      </c>
      <c r="J365" s="113" t="str">
        <f>VLOOKUP($I365,'Price List, Weapons &amp; Items'!B:C,2,0)</f>
        <v>.</v>
      </c>
      <c r="K365" s="113" t="str">
        <f>IF(I365=".",I365,VLOOKUP($I365,'Price List, Weapons &amp; Items'!B:D,3,0))</f>
        <v>.</v>
      </c>
      <c r="L365" s="177">
        <f>VLOOKUP(I365,'Price List, Weapons &amp; Items'!B:E,4,0)</f>
        <v>0</v>
      </c>
      <c r="M365" s="542" t="s">
        <v>260</v>
      </c>
      <c r="N365" s="542" t="s">
        <v>260</v>
      </c>
      <c r="O365" s="543" t="str">
        <f>VLOOKUP($I365,'Price List, Weapons &amp; Items'!B:G,6,0)</f>
        <v>.</v>
      </c>
      <c r="P365" s="176" t="str">
        <f t="shared" si="69"/>
        <v>.</v>
      </c>
      <c r="Q365" s="176" t="str">
        <f t="shared" si="70"/>
        <v>.</v>
      </c>
      <c r="R365" s="176">
        <f t="shared" si="66"/>
        <v>50000000</v>
      </c>
      <c r="S365" s="176">
        <f>IF(AND(AD365=1,R365&lt;&gt;".")=TRUE,R365/VLOOKUP(G365,'Exchange Rates'!B:C,2,0),IF(R365=".",".",""))</f>
        <v>50000000</v>
      </c>
      <c r="T365" s="176" t="str">
        <f>IF(AD365=1,IF(AF365="Value is not given at all",".",IF(AF365="Value is given by the source",S365,IF(AF365="Value is calculated with prices",(IF(SUMIFS(Q:Q,A:A,A365)&gt;0,SUMIFS(Q:Q,A:A,A365),"."))/VLOOKUP("USD",'Exchange Rates'!B:C,2,0),"Error with coding"))),"")</f>
        <v>.</v>
      </c>
      <c r="U365" s="15" t="s">
        <v>261</v>
      </c>
      <c r="V365" s="1029" t="s">
        <v>1234</v>
      </c>
      <c r="W365" s="1030" t="s">
        <v>1235</v>
      </c>
      <c r="X365" s="689" t="s">
        <v>260</v>
      </c>
      <c r="Y365" s="689" t="s">
        <v>260</v>
      </c>
      <c r="Z365" s="15">
        <v>0</v>
      </c>
      <c r="AA365" s="180">
        <v>1</v>
      </c>
      <c r="AB365" s="695" t="s">
        <v>260</v>
      </c>
      <c r="AC365" s="544"/>
      <c r="AD365" s="181">
        <v>1</v>
      </c>
      <c r="AE365" s="181" t="s">
        <v>264</v>
      </c>
      <c r="AF365" s="181" t="s">
        <v>265</v>
      </c>
      <c r="AG365" s="181">
        <v>1</v>
      </c>
      <c r="AH365" s="181">
        <v>12</v>
      </c>
      <c r="AI365" s="181">
        <v>0</v>
      </c>
      <c r="AJ365" s="181">
        <f>VLOOKUP($I365,'Price List, Weapons &amp; Items'!B:F,5,0)</f>
        <v>0</v>
      </c>
      <c r="AK365" s="181">
        <f t="shared" si="71"/>
        <v>0</v>
      </c>
      <c r="AL365" s="181">
        <f t="shared" si="72"/>
        <v>0</v>
      </c>
      <c r="AM365" s="181">
        <f t="shared" si="73"/>
        <v>0</v>
      </c>
      <c r="AN365" s="180" t="str">
        <f>VLOOKUP($I365,'Price List, Weapons &amp; Items'!B:L,COLUMN('Price List, Weapons &amp; Items'!$J$11)-1,0)</f>
        <v>.</v>
      </c>
      <c r="AO365" s="180" t="str">
        <f>IF(I365=".",".",VLOOKUP($I365,'Price List, Weapons &amp; Items'!B:J,3,0))</f>
        <v>.</v>
      </c>
      <c r="AP365" s="545" t="e">
        <f t="shared" ca="1" si="67"/>
        <v>#NAME?</v>
      </c>
      <c r="AQ365" s="180" t="str">
        <f>VLOOKUP($I365,'Price List, Weapons &amp; Items'!B:L,COLUMN('Price List, Weapons &amp; Items'!$L$11)-1,0)</f>
        <v>no price, 0 count</v>
      </c>
      <c r="AR365" s="180">
        <f t="shared" si="74"/>
        <v>1</v>
      </c>
      <c r="AS365" s="180">
        <f t="shared" si="75"/>
        <v>0</v>
      </c>
      <c r="AT365" s="180">
        <f t="shared" si="68"/>
        <v>1</v>
      </c>
      <c r="AU365" s="180" t="str">
        <f t="shared" si="76"/>
        <v>.</v>
      </c>
      <c r="AV365" s="180" t="str">
        <f t="shared" si="77"/>
        <v>.</v>
      </c>
      <c r="AW365" s="180">
        <f>IFERROR(VLOOKUP(B365,'Share, Heavy Weapons to Ukraine'!B:J,COLUMN('Share, Heavy Weapons to Ukraine'!C373)-1,0),0)</f>
        <v>0</v>
      </c>
      <c r="AX365" s="180">
        <f>VLOOKUP('Bilateral Assistance, MAIN DATA'!B365,'Country Summary'!B:F,COLUMN('Country Summary'!C376)-1,FALSE)</f>
        <v>1</v>
      </c>
      <c r="AY365" s="180" t="str">
        <f>IF(AND(AD365=1,D365="Military",H365&lt;&gt;"Not given")=TRUE,IF(SUMIFS(P:P,A:A,A365)&gt;0,ABS((SUMIFS(P:P,A:A,A365)/VLOOKUP("USD",'Exchange Rates'!B:C,2,0)))/S365,"."),".")</f>
        <v>.</v>
      </c>
      <c r="AZ365" s="182" t="str">
        <f>IF(AND(AD365=1,D365="Military",H365&lt;&gt;"Not given")=TRUE,IF(SUMIFS(P:P,A:A,A365)&gt;0,IF((ABS((SUMIFS(P:P,A:A,A365)/VLOOKUP("USD",'Exchange Rates'!B:C,2,0)))/S365)&gt;1,(SUMIFS(P:P,A:A,A365)-S365)/S365,(S365-SUMIFS(P:P,A:A,A365))/SUMIFS(P:P,A:A,A365)),"."),".")</f>
        <v>.</v>
      </c>
      <c r="BA365" s="182"/>
      <c r="BB365" s="182"/>
      <c r="BC365" s="182"/>
      <c r="BD365" s="182"/>
      <c r="BE365" s="182"/>
      <c r="BF365" s="182"/>
      <c r="BG365" s="182"/>
      <c r="BH365" s="182"/>
      <c r="BI365" s="182"/>
      <c r="BJ365" s="182"/>
      <c r="BK365" s="182"/>
      <c r="BL365" s="182"/>
      <c r="BM365" s="182"/>
      <c r="BN365" s="182"/>
      <c r="BO365" s="182"/>
      <c r="BP365" s="182"/>
      <c r="BQ365" s="182"/>
      <c r="BR365" s="182"/>
      <c r="BS365" s="182"/>
    </row>
    <row r="366" spans="1:71" s="520" customFormat="1" ht="15.9" customHeight="1" x14ac:dyDescent="0.3">
      <c r="A366" s="17" t="s">
        <v>1237</v>
      </c>
      <c r="B366" s="17" t="s">
        <v>1131</v>
      </c>
      <c r="C366" s="174" t="s">
        <v>1238</v>
      </c>
      <c r="D366" s="5" t="s">
        <v>285</v>
      </c>
      <c r="E366" s="5" t="s">
        <v>286</v>
      </c>
      <c r="F366" s="175" t="s">
        <v>1239</v>
      </c>
      <c r="G366" s="15" t="s">
        <v>364</v>
      </c>
      <c r="H366" s="176">
        <v>100000000</v>
      </c>
      <c r="I366" s="17" t="s">
        <v>1240</v>
      </c>
      <c r="J366" s="113" t="str">
        <f>VLOOKUP($I366,'Price List, Weapons &amp; Items'!B:C,2,0)</f>
        <v>Ammunition for portable defence system</v>
      </c>
      <c r="K366" s="113" t="str">
        <f>IF(I366=".",I366,VLOOKUP($I366,'Price List, Weapons &amp; Items'!B:D,3,0))</f>
        <v>Light Anti-armor Weapon (LAW)</v>
      </c>
      <c r="L366" s="177">
        <f>VLOOKUP(I366,'Price List, Weapons &amp; Items'!B:E,4,0)</f>
        <v>0</v>
      </c>
      <c r="M366" s="542">
        <v>24</v>
      </c>
      <c r="N366" s="542">
        <v>24</v>
      </c>
      <c r="O366" s="543">
        <f>VLOOKUP($I366,'Price List, Weapons &amp; Items'!B:G,6,0)</f>
        <v>122527.7</v>
      </c>
      <c r="P366" s="176">
        <f t="shared" si="69"/>
        <v>2940664.8</v>
      </c>
      <c r="Q366" s="176">
        <f t="shared" si="70"/>
        <v>2940664.8</v>
      </c>
      <c r="R366" s="176">
        <f t="shared" si="66"/>
        <v>100000000</v>
      </c>
      <c r="S366" s="176">
        <f>IF(AND(AD366=1,R366&lt;&gt;".")=TRUE,R366/VLOOKUP(G366,'Exchange Rates'!B:C,2,0),IF(R366=".",".",""))</f>
        <v>100000000</v>
      </c>
      <c r="T366" s="176">
        <f>IF(AD366=1,IF(AF366="Value is not given at all",".",IF(AF366="Value is given by the source",S366,IF(AF366="Value is calculated with prices",(IF(SUMIFS(Q:Q,A:A,A366)&gt;0,SUMIFS(Q:Q,A:A,A366),"."))/VLOOKUP("USD",'Exchange Rates'!B:C,2,0),"Error with coding"))),"")</f>
        <v>100000000</v>
      </c>
      <c r="U366" s="15" t="s">
        <v>261</v>
      </c>
      <c r="V366" s="300" t="s">
        <v>1241</v>
      </c>
      <c r="W366" s="300" t="s">
        <v>1242</v>
      </c>
      <c r="X366" s="300" t="s">
        <v>1243</v>
      </c>
      <c r="Y366" s="218" t="s">
        <v>260</v>
      </c>
      <c r="Z366" s="15">
        <v>0</v>
      </c>
      <c r="AA366" s="180">
        <v>0</v>
      </c>
      <c r="AB366" s="549" t="s">
        <v>1244</v>
      </c>
      <c r="AC366" s="544" t="str">
        <f>""</f>
        <v/>
      </c>
      <c r="AD366" s="181">
        <v>1</v>
      </c>
      <c r="AE366" s="181" t="s">
        <v>264</v>
      </c>
      <c r="AF366" s="181" t="s">
        <v>264</v>
      </c>
      <c r="AG366" s="181">
        <v>1</v>
      </c>
      <c r="AH366" s="181">
        <v>4</v>
      </c>
      <c r="AI366" s="181">
        <v>0</v>
      </c>
      <c r="AJ366" s="181">
        <f>VLOOKUP($I366,'Price List, Weapons &amp; Items'!B:F,5,0)</f>
        <v>0</v>
      </c>
      <c r="AK366" s="181">
        <f t="shared" si="71"/>
        <v>0</v>
      </c>
      <c r="AL366" s="181">
        <f t="shared" si="72"/>
        <v>0</v>
      </c>
      <c r="AM366" s="181">
        <f t="shared" si="73"/>
        <v>0</v>
      </c>
      <c r="AN366" s="180" t="str">
        <f>VLOOKUP($I366,'Price List, Weapons &amp; Items'!B:L,COLUMN('Price List, Weapons &amp; Items'!$J$11)-1,0)</f>
        <v>Contracts</v>
      </c>
      <c r="AO366" s="180" t="str">
        <f>IF(I366=".",".",VLOOKUP($I366,'Price List, Weapons &amp; Items'!B:J,3,0))</f>
        <v>Light Anti-armor Weapon (LAW)</v>
      </c>
      <c r="AP366" s="545" t="e">
        <f t="shared" ca="1" si="67"/>
        <v>#NAME?</v>
      </c>
      <c r="AQ366" s="180">
        <f>VLOOKUP($I366,'Price List, Weapons &amp; Items'!B:L,COLUMN('Price List, Weapons &amp; Items'!$L$11)-1,0)</f>
        <v>2</v>
      </c>
      <c r="AR366" s="180">
        <f t="shared" si="74"/>
        <v>1</v>
      </c>
      <c r="AS366" s="180">
        <f t="shared" si="75"/>
        <v>1</v>
      </c>
      <c r="AT366" s="180" t="str">
        <f t="shared" si="68"/>
        <v>Value is not in date format</v>
      </c>
      <c r="AU366" s="180" t="str">
        <f>IF(AND(A366=A363,C366=C363)=TRUE,IF(F366=F363,".","1"),".")</f>
        <v>.</v>
      </c>
      <c r="AV366" s="180" t="str">
        <f t="shared" si="77"/>
        <v>.</v>
      </c>
      <c r="AW366" s="180">
        <f>IFERROR(VLOOKUP(B366,'Share, Heavy Weapons to Ukraine'!B:J,COLUMN('Share, Heavy Weapons to Ukraine'!C372)-1,0),0)</f>
        <v>0</v>
      </c>
      <c r="AX366" s="180">
        <f>VLOOKUP('Bilateral Assistance, MAIN DATA'!B366,'Country Summary'!B:F,COLUMN('Country Summary'!C375)-1,FALSE)</f>
        <v>1</v>
      </c>
      <c r="AY366" s="180">
        <f>IF(AND(AD366=1,D366="Military",H366&lt;&gt;"Not given")=TRUE,IF(SUMIFS(P:P,A:A,A366)&gt;0,ABS((SUMIFS(P:P,A:A,A366)/VLOOKUP("USD",'Exchange Rates'!B:C,2,0)))/S366,"."),".")</f>
        <v>2.8006331428571427E-2</v>
      </c>
      <c r="AZ366" s="182">
        <f>IF(AND(AD366=1,D366="Military",H366&lt;&gt;"Not given")=TRUE,IF(SUMIFS(P:P,A:A,A366)&gt;0,IF((ABS((SUMIFS(P:P,A:A,A366)/VLOOKUP("USD",'Exchange Rates'!B:C,2,0)))/S366)&gt;1,(SUMIFS(P:P,A:A,A366)-S366)/S366,(S366-SUMIFS(P:P,A:A,A366))/SUMIFS(P:P,A:A,A366)),"."),".")</f>
        <v>33.005915941184462</v>
      </c>
      <c r="BA366" s="1024"/>
      <c r="BB366" s="1024"/>
      <c r="BC366" s="1024"/>
      <c r="BD366" s="1024"/>
      <c r="BE366" s="1024"/>
      <c r="BF366" s="1024"/>
      <c r="BG366" s="1024"/>
      <c r="BH366" s="1024"/>
      <c r="BI366" s="1024"/>
      <c r="BJ366" s="1024"/>
      <c r="BK366" s="1024"/>
      <c r="BL366" s="1024"/>
      <c r="BM366" s="1024"/>
      <c r="BN366" s="1024"/>
      <c r="BO366" s="1024"/>
      <c r="BP366" s="1024"/>
      <c r="BQ366" s="1024"/>
      <c r="BR366" s="1024"/>
      <c r="BS366" s="1024"/>
    </row>
    <row r="367" spans="1:71" ht="15.9" customHeight="1" x14ac:dyDescent="0.3">
      <c r="A367" s="17" t="s">
        <v>1245</v>
      </c>
      <c r="B367" s="17" t="s">
        <v>1131</v>
      </c>
      <c r="C367" s="174">
        <v>44674</v>
      </c>
      <c r="D367" s="5" t="s">
        <v>285</v>
      </c>
      <c r="E367" s="5" t="s">
        <v>339</v>
      </c>
      <c r="F367" s="175" t="s">
        <v>1246</v>
      </c>
      <c r="G367" s="15" t="s">
        <v>346</v>
      </c>
      <c r="H367" s="176" t="s">
        <v>341</v>
      </c>
      <c r="I367" s="17" t="s">
        <v>1247</v>
      </c>
      <c r="J367" s="113" t="str">
        <f>VLOOKUP($I367,'Price List, Weapons &amp; Items'!B:C,2,0)</f>
        <v>Heavy weapon</v>
      </c>
      <c r="K367" s="113" t="str">
        <f>IF(I367=".",I367,VLOOKUP($I367,'Price List, Weapons &amp; Items'!B:D,3,0))</f>
        <v>155mm howitzer</v>
      </c>
      <c r="L367" s="177">
        <f>VLOOKUP(I367,'Price List, Weapons &amp; Items'!B:E,4,0)</f>
        <v>0</v>
      </c>
      <c r="M367" s="542">
        <v>12</v>
      </c>
      <c r="N367" s="542">
        <v>12</v>
      </c>
      <c r="O367" s="543">
        <f>VLOOKUP($I367,'Price List, Weapons &amp; Items'!B:G,6,0)</f>
        <v>6345668.5229201708</v>
      </c>
      <c r="P367" s="176">
        <f t="shared" si="69"/>
        <v>76148022.275042057</v>
      </c>
      <c r="Q367" s="176">
        <f t="shared" si="70"/>
        <v>76148022.275042057</v>
      </c>
      <c r="R367" s="176">
        <f t="shared" si="66"/>
        <v>76148022.275042057</v>
      </c>
      <c r="S367" s="176">
        <f>IF(AND(AD367=1,R367&lt;&gt;".")=TRUE,R367/VLOOKUP(G367,'Exchange Rates'!B:C,2,0),IF(R367=".",".",""))</f>
        <v>72521925.976230532</v>
      </c>
      <c r="T367" s="176">
        <f>IF(AD367=1,IF(AF367="Value is not given at all",".",IF(AF367="Value is given by the source",S367,IF(AF367="Value is calculated with prices",(IF(SUMIFS(Q:Q,A:A,A367)&gt;0,SUMIFS(Q:Q,A:A,A367),"."))/VLOOKUP("USD",'Exchange Rates'!B:C,2,0),"Error with coding"))),"")</f>
        <v>72521925.976230532</v>
      </c>
      <c r="U367" s="15" t="s">
        <v>415</v>
      </c>
      <c r="V367" s="300" t="s">
        <v>1243</v>
      </c>
      <c r="W367" s="300" t="s">
        <v>1248</v>
      </c>
      <c r="X367" s="175" t="s">
        <v>260</v>
      </c>
      <c r="Y367" s="218" t="s">
        <v>260</v>
      </c>
      <c r="Z367" s="15">
        <v>0</v>
      </c>
      <c r="AA367" s="180">
        <v>0</v>
      </c>
      <c r="AB367" s="549" t="s">
        <v>1249</v>
      </c>
      <c r="AC367" s="544" t="str">
        <f>""</f>
        <v/>
      </c>
      <c r="AD367" s="181">
        <v>1</v>
      </c>
      <c r="AE367" s="181" t="s">
        <v>332</v>
      </c>
      <c r="AF367" s="181" t="s">
        <v>332</v>
      </c>
      <c r="AG367" s="181">
        <v>1</v>
      </c>
      <c r="AH367" s="181">
        <v>4</v>
      </c>
      <c r="AI367" s="181">
        <v>0</v>
      </c>
      <c r="AJ367" s="181">
        <f>VLOOKUP($I367,'Price List, Weapons &amp; Items'!B:F,5,0)</f>
        <v>1</v>
      </c>
      <c r="AK367" s="181">
        <f t="shared" si="71"/>
        <v>0</v>
      </c>
      <c r="AL367" s="181">
        <f t="shared" si="72"/>
        <v>0</v>
      </c>
      <c r="AM367" s="181">
        <f t="shared" si="73"/>
        <v>0</v>
      </c>
      <c r="AN367" s="180" t="str">
        <f>VLOOKUP($I367,'Price List, Weapons &amp; Items'!B:L,COLUMN('Price List, Weapons &amp; Items'!$J$11)-1,0)</f>
        <v>Contracts</v>
      </c>
      <c r="AO367" s="180" t="str">
        <f>IF(I367=".",".",VLOOKUP($I367,'Price List, Weapons &amp; Items'!B:J,3,0))</f>
        <v>155mm howitzer</v>
      </c>
      <c r="AP367" s="545" t="e">
        <f t="shared" ca="1" si="67"/>
        <v>#NAME?</v>
      </c>
      <c r="AQ367" s="180">
        <f>VLOOKUP($I367,'Price List, Weapons &amp; Items'!B:L,COLUMN('Price List, Weapons &amp; Items'!$L$11)-1,0)</f>
        <v>2</v>
      </c>
      <c r="AR367" s="180">
        <f t="shared" si="74"/>
        <v>0</v>
      </c>
      <c r="AS367" s="180">
        <f t="shared" si="75"/>
        <v>1</v>
      </c>
      <c r="AT367" s="180">
        <f t="shared" si="68"/>
        <v>1</v>
      </c>
      <c r="AU367" s="180" t="str">
        <f t="shared" si="76"/>
        <v>.</v>
      </c>
      <c r="AV367" s="180" t="str">
        <f t="shared" si="77"/>
        <v>.</v>
      </c>
      <c r="AW367" s="180">
        <f>IFERROR(VLOOKUP(B367,'Share, Heavy Weapons to Ukraine'!B:J,COLUMN('Share, Heavy Weapons to Ukraine'!C373)-1,0),0)</f>
        <v>0</v>
      </c>
      <c r="AX367" s="180">
        <f>VLOOKUP('Bilateral Assistance, MAIN DATA'!B367,'Country Summary'!B:F,COLUMN('Country Summary'!C376)-1,FALSE)</f>
        <v>1</v>
      </c>
      <c r="AY367" s="180" t="str">
        <f>IF(AND(AD367=1,D367="Military",H367&lt;&gt;"Not given")=TRUE,IF(SUMIFS(P:P,A:A,A367)&gt;0,ABS((SUMIFS(P:P,A:A,A367)/VLOOKUP("USD",'Exchange Rates'!B:C,2,0)))/S367,"."),".")</f>
        <v>.</v>
      </c>
      <c r="AZ367" s="182" t="str">
        <f>IF(AND(AD367=1,D367="Military",H367&lt;&gt;"Not given")=TRUE,IF(SUMIFS(P:P,A:A,A367)&gt;0,IF((ABS((SUMIFS(P:P,A:A,A367)/VLOOKUP("USD",'Exchange Rates'!B:C,2,0)))/S367)&gt;1,(SUMIFS(P:P,A:A,A367)-S367)/S367,(S367-SUMIFS(P:P,A:A,A367))/SUMIFS(P:P,A:A,A367)),"."),".")</f>
        <v>.</v>
      </c>
      <c r="BA367" s="182"/>
      <c r="BB367" s="182"/>
      <c r="BC367" s="182"/>
      <c r="BD367" s="182"/>
      <c r="BE367" s="182"/>
      <c r="BF367" s="182"/>
      <c r="BG367" s="182"/>
      <c r="BH367" s="182"/>
      <c r="BI367" s="182"/>
      <c r="BJ367" s="182"/>
      <c r="BK367" s="182"/>
      <c r="BL367" s="182"/>
      <c r="BM367" s="182"/>
      <c r="BN367" s="182"/>
      <c r="BO367" s="182"/>
      <c r="BP367" s="182"/>
      <c r="BQ367" s="182"/>
      <c r="BR367" s="182"/>
      <c r="BS367" s="182"/>
    </row>
    <row r="368" spans="1:71" ht="15.9" customHeight="1" x14ac:dyDescent="0.3">
      <c r="A368" s="17" t="s">
        <v>1250</v>
      </c>
      <c r="B368" s="17" t="s">
        <v>1131</v>
      </c>
      <c r="C368" s="174">
        <v>44681</v>
      </c>
      <c r="D368" s="5" t="s">
        <v>285</v>
      </c>
      <c r="E368" s="5" t="s">
        <v>286</v>
      </c>
      <c r="F368" s="175" t="s">
        <v>1251</v>
      </c>
      <c r="G368" s="15" t="s">
        <v>260</v>
      </c>
      <c r="H368" s="176" t="s">
        <v>341</v>
      </c>
      <c r="I368" s="17" t="s">
        <v>260</v>
      </c>
      <c r="J368" s="113" t="str">
        <f>VLOOKUP($I368,'Price List, Weapons &amp; Items'!B:C,2,0)</f>
        <v>.</v>
      </c>
      <c r="K368" s="113" t="str">
        <f>IF(I368=".",I368,VLOOKUP($I368,'Price List, Weapons &amp; Items'!B:D,3,0))</f>
        <v>.</v>
      </c>
      <c r="L368" s="177">
        <f>VLOOKUP(I368,'Price List, Weapons &amp; Items'!B:E,4,0)</f>
        <v>0</v>
      </c>
      <c r="M368" s="542" t="s">
        <v>260</v>
      </c>
      <c r="N368" s="542" t="s">
        <v>260</v>
      </c>
      <c r="O368" s="543" t="str">
        <f>VLOOKUP($I368,'Price List, Weapons &amp; Items'!B:G,6,0)</f>
        <v>.</v>
      </c>
      <c r="P368" s="176" t="str">
        <f t="shared" si="69"/>
        <v>.</v>
      </c>
      <c r="Q368" s="176" t="str">
        <f t="shared" si="70"/>
        <v>.</v>
      </c>
      <c r="R368" s="176" t="str">
        <f t="shared" si="66"/>
        <v>.</v>
      </c>
      <c r="S368" s="176" t="str">
        <f>IF(AND(AD368=1,R368&lt;&gt;".")=TRUE,R368/VLOOKUP(G368,'Exchange Rates'!B:C,2,0),IF(R368=".",".",""))</f>
        <v>.</v>
      </c>
      <c r="T368" s="176" t="str">
        <f>IF(AD368=1,IF(AF368="Value is not given at all",".",IF(AF368="Value is given by the source",S368,IF(AF368="Value is calculated with prices",(IF(SUMIFS(Q:Q,A:A,A368)&gt;0,SUMIFS(Q:Q,A:A,A368),"."))/VLOOKUP("USD",'Exchange Rates'!B:C,2,0),"Error with coding"))),"")</f>
        <v>.</v>
      </c>
      <c r="U368" s="15" t="s">
        <v>415</v>
      </c>
      <c r="V368" s="300" t="s">
        <v>1252</v>
      </c>
      <c r="W368" s="175" t="s">
        <v>260</v>
      </c>
      <c r="X368" s="175" t="s">
        <v>260</v>
      </c>
      <c r="Y368" s="218" t="s">
        <v>260</v>
      </c>
      <c r="Z368" s="15">
        <v>0</v>
      </c>
      <c r="AA368" s="180">
        <v>0</v>
      </c>
      <c r="AB368" s="184" t="s">
        <v>260</v>
      </c>
      <c r="AC368" s="544" t="str">
        <f>""</f>
        <v/>
      </c>
      <c r="AD368" s="181">
        <v>1</v>
      </c>
      <c r="AE368" s="181" t="s">
        <v>265</v>
      </c>
      <c r="AF368" s="181" t="s">
        <v>265</v>
      </c>
      <c r="AG368" s="181">
        <v>1</v>
      </c>
      <c r="AH368" s="181">
        <v>4</v>
      </c>
      <c r="AI368" s="181">
        <v>0</v>
      </c>
      <c r="AJ368" s="181">
        <f>VLOOKUP($I368,'Price List, Weapons &amp; Items'!B:F,5,0)</f>
        <v>0</v>
      </c>
      <c r="AK368" s="181">
        <f t="shared" si="71"/>
        <v>0</v>
      </c>
      <c r="AL368" s="181">
        <f t="shared" si="72"/>
        <v>0</v>
      </c>
      <c r="AM368" s="181">
        <f t="shared" si="73"/>
        <v>0</v>
      </c>
      <c r="AN368" s="180" t="str">
        <f>VLOOKUP($I368,'Price List, Weapons &amp; Items'!B:L,COLUMN('Price List, Weapons &amp; Items'!$J$11)-1,0)</f>
        <v>.</v>
      </c>
      <c r="AO368" s="180" t="str">
        <f>IF(I368=".",".",VLOOKUP($I368,'Price List, Weapons &amp; Items'!B:J,3,0))</f>
        <v>.</v>
      </c>
      <c r="AP368" s="545" t="e">
        <f t="shared" ca="1" si="67"/>
        <v>#NAME?</v>
      </c>
      <c r="AQ368" s="180" t="str">
        <f>VLOOKUP($I368,'Price List, Weapons &amp; Items'!B:L,COLUMN('Price List, Weapons &amp; Items'!$L$11)-1,0)</f>
        <v>no price, 0 count</v>
      </c>
      <c r="AR368" s="180">
        <f t="shared" si="74"/>
        <v>0</v>
      </c>
      <c r="AS368" s="180">
        <f t="shared" si="75"/>
        <v>1</v>
      </c>
      <c r="AT368" s="180">
        <f t="shared" si="68"/>
        <v>1</v>
      </c>
      <c r="AU368" s="180" t="str">
        <f t="shared" si="76"/>
        <v>.</v>
      </c>
      <c r="AV368" s="180" t="str">
        <f t="shared" si="77"/>
        <v>.</v>
      </c>
      <c r="AW368" s="180">
        <f>IFERROR(VLOOKUP(B368,'Share, Heavy Weapons to Ukraine'!B:J,COLUMN('Share, Heavy Weapons to Ukraine'!C374)-1,0),0)</f>
        <v>0</v>
      </c>
      <c r="AX368" s="180">
        <f>VLOOKUP('Bilateral Assistance, MAIN DATA'!B368,'Country Summary'!B:F,COLUMN('Country Summary'!C377)-1,FALSE)</f>
        <v>1</v>
      </c>
      <c r="AY368" s="180" t="str">
        <f>IF(AND(AD368=1,D368="Military",H368&lt;&gt;"Not given")=TRUE,IF(SUMIFS(P:P,A:A,A368)&gt;0,ABS((SUMIFS(P:P,A:A,A368)/VLOOKUP("USD",'Exchange Rates'!B:C,2,0)))/S368,"."),".")</f>
        <v>.</v>
      </c>
      <c r="AZ368" s="182" t="str">
        <f>IF(AND(AD368=1,D368="Military",H368&lt;&gt;"Not given")=TRUE,IF(SUMIFS(P:P,A:A,A368)&gt;0,IF((ABS((SUMIFS(P:P,A:A,A368)/VLOOKUP("USD",'Exchange Rates'!B:C,2,0)))/S368)&gt;1,(SUMIFS(P:P,A:A,A368)-S368)/S368,(S368-SUMIFS(P:P,A:A,A368))/SUMIFS(P:P,A:A,A368)),"."),".")</f>
        <v>.</v>
      </c>
      <c r="BA368" s="182"/>
      <c r="BB368" s="182"/>
      <c r="BC368" s="182"/>
      <c r="BD368" s="182"/>
      <c r="BE368" s="182"/>
      <c r="BF368" s="182"/>
      <c r="BG368" s="182"/>
      <c r="BH368" s="182"/>
      <c r="BI368" s="182"/>
      <c r="BJ368" s="182"/>
      <c r="BK368" s="182"/>
      <c r="BL368" s="182"/>
      <c r="BM368" s="182"/>
      <c r="BN368" s="182"/>
      <c r="BO368" s="182"/>
      <c r="BP368" s="182"/>
      <c r="BQ368" s="182"/>
      <c r="BR368" s="182"/>
      <c r="BS368" s="182"/>
    </row>
    <row r="369" spans="1:71" ht="15.9" customHeight="1" x14ac:dyDescent="0.3">
      <c r="A369" s="17" t="s">
        <v>1253</v>
      </c>
      <c r="B369" s="17" t="s">
        <v>1131</v>
      </c>
      <c r="C369" s="174">
        <v>44712</v>
      </c>
      <c r="D369" s="5" t="s">
        <v>285</v>
      </c>
      <c r="E369" s="5" t="s">
        <v>286</v>
      </c>
      <c r="F369" s="175" t="s">
        <v>1254</v>
      </c>
      <c r="G369" s="15" t="s">
        <v>260</v>
      </c>
      <c r="H369" s="176" t="s">
        <v>341</v>
      </c>
      <c r="I369" s="17" t="s">
        <v>260</v>
      </c>
      <c r="J369" s="113" t="str">
        <f>VLOOKUP($I369,'Price List, Weapons &amp; Items'!B:C,2,0)</f>
        <v>.</v>
      </c>
      <c r="K369" s="113" t="str">
        <f>IF(I369=".",I369,VLOOKUP($I369,'Price List, Weapons &amp; Items'!B:D,3,0))</f>
        <v>.</v>
      </c>
      <c r="L369" s="177">
        <f>VLOOKUP(I369,'Price List, Weapons &amp; Items'!B:E,4,0)</f>
        <v>0</v>
      </c>
      <c r="M369" s="542" t="s">
        <v>260</v>
      </c>
      <c r="N369" s="542" t="s">
        <v>260</v>
      </c>
      <c r="O369" s="543" t="str">
        <f>VLOOKUP($I369,'Price List, Weapons &amp; Items'!B:G,6,0)</f>
        <v>.</v>
      </c>
      <c r="P369" s="176" t="str">
        <f t="shared" si="69"/>
        <v>.</v>
      </c>
      <c r="Q369" s="176" t="str">
        <f t="shared" si="70"/>
        <v>.</v>
      </c>
      <c r="R369" s="176" t="str">
        <f t="shared" si="66"/>
        <v>.</v>
      </c>
      <c r="S369" s="176" t="str">
        <f>IF(AND(AD369=1,R369&lt;&gt;".")=TRUE,R369/VLOOKUP(G369,'Exchange Rates'!B:C,2,0),IF(R369=".",".",""))</f>
        <v>.</v>
      </c>
      <c r="T369" s="176" t="str">
        <f>IF(AD369=1,IF(AF369="Value is not given at all",".",IF(AF369="Value is given by the source",S369,IF(AF369="Value is calculated with prices",(IF(SUMIFS(Q:Q,A:A,A369)&gt;0,SUMIFS(Q:Q,A:A,A369),"."))/VLOOKUP("USD",'Exchange Rates'!B:C,2,0),"Error with coding"))),"")</f>
        <v>.</v>
      </c>
      <c r="U369" s="15" t="s">
        <v>415</v>
      </c>
      <c r="V369" s="300" t="s">
        <v>1255</v>
      </c>
      <c r="W369" s="175" t="s">
        <v>260</v>
      </c>
      <c r="X369" s="175" t="s">
        <v>260</v>
      </c>
      <c r="Y369" s="175" t="s">
        <v>260</v>
      </c>
      <c r="Z369" s="15">
        <v>0</v>
      </c>
      <c r="AA369" s="180">
        <v>0</v>
      </c>
      <c r="AB369" s="184" t="s">
        <v>260</v>
      </c>
      <c r="AC369" s="544" t="str">
        <f>""</f>
        <v/>
      </c>
      <c r="AD369" s="181">
        <v>1</v>
      </c>
      <c r="AE369" s="181" t="s">
        <v>265</v>
      </c>
      <c r="AF369" s="181" t="s">
        <v>265</v>
      </c>
      <c r="AG369" s="181">
        <v>1</v>
      </c>
      <c r="AH369" s="181">
        <v>5</v>
      </c>
      <c r="AI369" s="181">
        <v>0</v>
      </c>
      <c r="AJ369" s="181">
        <f>VLOOKUP($I369,'Price List, Weapons &amp; Items'!B:F,5,0)</f>
        <v>0</v>
      </c>
      <c r="AK369" s="181">
        <f t="shared" si="71"/>
        <v>0</v>
      </c>
      <c r="AL369" s="181">
        <f t="shared" si="72"/>
        <v>0</v>
      </c>
      <c r="AM369" s="181">
        <f t="shared" si="73"/>
        <v>0</v>
      </c>
      <c r="AN369" s="180" t="str">
        <f>VLOOKUP($I369,'Price List, Weapons &amp; Items'!B:L,COLUMN('Price List, Weapons &amp; Items'!$J$11)-1,0)</f>
        <v>.</v>
      </c>
      <c r="AO369" s="180" t="str">
        <f>IF(I369=".",".",VLOOKUP($I369,'Price List, Weapons &amp; Items'!B:J,3,0))</f>
        <v>.</v>
      </c>
      <c r="AP369" s="545" t="e">
        <f t="shared" ca="1" si="67"/>
        <v>#NAME?</v>
      </c>
      <c r="AQ369" s="180" t="str">
        <f>VLOOKUP($I369,'Price List, Weapons &amp; Items'!B:L,COLUMN('Price List, Weapons &amp; Items'!$L$11)-1,0)</f>
        <v>no price, 0 count</v>
      </c>
      <c r="AR369" s="180">
        <f t="shared" si="74"/>
        <v>0</v>
      </c>
      <c r="AS369" s="180">
        <f t="shared" si="75"/>
        <v>1</v>
      </c>
      <c r="AT369" s="180">
        <f t="shared" si="68"/>
        <v>1</v>
      </c>
      <c r="AU369" s="180" t="str">
        <f t="shared" si="76"/>
        <v>.</v>
      </c>
      <c r="AV369" s="180" t="str">
        <f t="shared" si="77"/>
        <v>.</v>
      </c>
      <c r="AW369" s="180">
        <f>IFERROR(VLOOKUP(B369,'Share, Heavy Weapons to Ukraine'!B:J,COLUMN('Share, Heavy Weapons to Ukraine'!C375)-1,0),0)</f>
        <v>0</v>
      </c>
      <c r="AX369" s="180">
        <f>VLOOKUP('Bilateral Assistance, MAIN DATA'!B369,'Country Summary'!B:F,COLUMN('Country Summary'!C378)-1,FALSE)</f>
        <v>1</v>
      </c>
      <c r="AY369" s="180" t="str">
        <f>IF(AND(AD369=1,D369="Military",H369&lt;&gt;"Not given")=TRUE,IF(SUMIFS(P:P,A:A,A369)&gt;0,ABS((SUMIFS(P:P,A:A,A369)/VLOOKUP("USD",'Exchange Rates'!B:C,2,0)))/S369,"."),".")</f>
        <v>.</v>
      </c>
      <c r="AZ369" s="182" t="str">
        <f>IF(AND(AD369=1,D369="Military",H369&lt;&gt;"Not given")=TRUE,IF(SUMIFS(P:P,A:A,A369)&gt;0,IF((ABS((SUMIFS(P:P,A:A,A369)/VLOOKUP("USD",'Exchange Rates'!B:C,2,0)))/S369)&gt;1,(SUMIFS(P:P,A:A,A369)-S369)/S369,(S369-SUMIFS(P:P,A:A,A369))/SUMIFS(P:P,A:A,A369)),"."),".")</f>
        <v>.</v>
      </c>
      <c r="BA369" s="182"/>
      <c r="BB369" s="182"/>
      <c r="BC369" s="182"/>
      <c r="BD369" s="182"/>
      <c r="BE369" s="182"/>
      <c r="BF369" s="182"/>
      <c r="BG369" s="182"/>
      <c r="BH369" s="182"/>
      <c r="BI369" s="182"/>
      <c r="BJ369" s="182"/>
      <c r="BK369" s="182"/>
      <c r="BL369" s="182"/>
      <c r="BM369" s="182"/>
      <c r="BN369" s="182"/>
      <c r="BO369" s="182"/>
      <c r="BP369" s="182"/>
      <c r="BQ369" s="182"/>
      <c r="BR369" s="182"/>
      <c r="BS369" s="182"/>
    </row>
    <row r="370" spans="1:71" ht="15.9" customHeight="1" x14ac:dyDescent="0.3">
      <c r="A370" s="5" t="s">
        <v>1256</v>
      </c>
      <c r="B370" s="5" t="s">
        <v>1131</v>
      </c>
      <c r="C370" s="174">
        <v>44742</v>
      </c>
      <c r="D370" s="5" t="s">
        <v>285</v>
      </c>
      <c r="E370" s="5" t="s">
        <v>339</v>
      </c>
      <c r="F370" s="175" t="s">
        <v>1257</v>
      </c>
      <c r="G370" s="15" t="s">
        <v>346</v>
      </c>
      <c r="H370" s="176" t="s">
        <v>341</v>
      </c>
      <c r="I370" s="17" t="s">
        <v>1247</v>
      </c>
      <c r="J370" s="113" t="str">
        <f>VLOOKUP($I370,'Price List, Weapons &amp; Items'!B:C,2,0)</f>
        <v>Heavy weapon</v>
      </c>
      <c r="K370" s="113" t="str">
        <f>IF(I370=".",I370,VLOOKUP($I370,'Price List, Weapons &amp; Items'!B:D,3,0))</f>
        <v>155mm howitzer</v>
      </c>
      <c r="L370" s="177">
        <f>VLOOKUP(I370,'Price List, Weapons &amp; Items'!B:E,4,0)</f>
        <v>0</v>
      </c>
      <c r="M370" s="542">
        <v>6</v>
      </c>
      <c r="N370" s="542">
        <v>6</v>
      </c>
      <c r="O370" s="543">
        <f>VLOOKUP($I370,'Price List, Weapons &amp; Items'!B:G,6,0)</f>
        <v>6345668.5229201708</v>
      </c>
      <c r="P370" s="176">
        <f t="shared" si="69"/>
        <v>38074011.137521029</v>
      </c>
      <c r="Q370" s="176">
        <f t="shared" si="70"/>
        <v>38074011.137521029</v>
      </c>
      <c r="R370" s="176">
        <f t="shared" si="66"/>
        <v>110484057.73752104</v>
      </c>
      <c r="S370" s="176">
        <f>IF(AND(AD370=1,R370&lt;&gt;".")=TRUE,R370/VLOOKUP(G370,'Exchange Rates'!B:C,2,0),IF(R370=".",".",""))</f>
        <v>105222912.13097242</v>
      </c>
      <c r="T370" s="176">
        <f>IF(AD370=1,IF(AF370="Value is not given at all",".",IF(AF370="Value is given by the source",S370,IF(AF370="Value is calculated with prices",(IF(SUMIFS(Q:Q,A:A,A370)&gt;0,SUMIFS(Q:Q,A:A,A370),"."))/VLOOKUP("USD",'Exchange Rates'!B:C,2,0),"Error with coding"))),"")</f>
        <v>105222912.13097242</v>
      </c>
      <c r="U370" s="15" t="s">
        <v>261</v>
      </c>
      <c r="V370" s="547" t="s">
        <v>1258</v>
      </c>
      <c r="W370" s="567" t="s">
        <v>1259</v>
      </c>
      <c r="X370" s="569" t="s">
        <v>1260</v>
      </c>
      <c r="Y370" s="188" t="s">
        <v>260</v>
      </c>
      <c r="Z370" s="15">
        <v>0</v>
      </c>
      <c r="AA370" s="180">
        <v>0</v>
      </c>
      <c r="AB370" s="563" t="s">
        <v>1261</v>
      </c>
      <c r="AC370" s="544" t="str">
        <f>""</f>
        <v/>
      </c>
      <c r="AD370" s="181">
        <v>1</v>
      </c>
      <c r="AE370" s="181" t="s">
        <v>332</v>
      </c>
      <c r="AF370" s="181" t="s">
        <v>332</v>
      </c>
      <c r="AG370" s="181">
        <v>1</v>
      </c>
      <c r="AH370" s="181">
        <v>6</v>
      </c>
      <c r="AI370" s="181">
        <v>0</v>
      </c>
      <c r="AJ370" s="181">
        <f>VLOOKUP($I370,'Price List, Weapons &amp; Items'!B:F,5,0)</f>
        <v>1</v>
      </c>
      <c r="AK370" s="181">
        <f t="shared" si="71"/>
        <v>0</v>
      </c>
      <c r="AL370" s="181">
        <f t="shared" si="72"/>
        <v>0</v>
      </c>
      <c r="AM370" s="181">
        <f t="shared" si="73"/>
        <v>0</v>
      </c>
      <c r="AN370" s="180" t="str">
        <f>VLOOKUP($I370,'Price List, Weapons &amp; Items'!B:L,COLUMN('Price List, Weapons &amp; Items'!$J$11)-1,0)</f>
        <v>Contracts</v>
      </c>
      <c r="AO370" s="180" t="str">
        <f>IF(I370=".",".",VLOOKUP($I370,'Price List, Weapons &amp; Items'!B:J,3,0))</f>
        <v>155mm howitzer</v>
      </c>
      <c r="AP370" s="545" t="e">
        <f t="shared" ca="1" si="67"/>
        <v>#NAME?</v>
      </c>
      <c r="AQ370" s="180">
        <f>VLOOKUP($I370,'Price List, Weapons &amp; Items'!B:L,COLUMN('Price List, Weapons &amp; Items'!$L$11)-1,0)</f>
        <v>2</v>
      </c>
      <c r="AR370" s="180">
        <f t="shared" si="74"/>
        <v>1</v>
      </c>
      <c r="AS370" s="180">
        <f t="shared" si="75"/>
        <v>1</v>
      </c>
      <c r="AT370" s="180">
        <f t="shared" si="68"/>
        <v>1</v>
      </c>
      <c r="AU370" s="180" t="str">
        <f t="shared" si="76"/>
        <v>.</v>
      </c>
      <c r="AV370" s="180" t="str">
        <f t="shared" si="77"/>
        <v>.</v>
      </c>
      <c r="AW370" s="180">
        <f>IFERROR(VLOOKUP(B370,'Share, Heavy Weapons to Ukraine'!B:J,COLUMN('Share, Heavy Weapons to Ukraine'!C376)-1,0),0)</f>
        <v>0</v>
      </c>
      <c r="AX370" s="180">
        <f>VLOOKUP('Bilateral Assistance, MAIN DATA'!B370,'Country Summary'!B:F,COLUMN('Country Summary'!C379)-1,FALSE)</f>
        <v>1</v>
      </c>
      <c r="AY370" s="180" t="str">
        <f>IF(AND(AD370=1,D370="Military",H370&lt;&gt;"Not given")=TRUE,IF(SUMIFS(P:P,A:A,A370)&gt;0,ABS((SUMIFS(P:P,A:A,A370)/VLOOKUP("USD",'Exchange Rates'!B:C,2,0)))/S370,"."),".")</f>
        <v>.</v>
      </c>
      <c r="AZ370" s="182" t="str">
        <f>IF(AND(AD370=1,D370="Military",H370&lt;&gt;"Not given")=TRUE,IF(SUMIFS(P:P,A:A,A370)&gt;0,IF((ABS((SUMIFS(P:P,A:A,A370)/VLOOKUP("USD",'Exchange Rates'!B:C,2,0)))/S370)&gt;1,(SUMIFS(P:P,A:A,A370)-S370)/S370,(S370-SUMIFS(P:P,A:A,A370))/SUMIFS(P:P,A:A,A370)),"."),".")</f>
        <v>.</v>
      </c>
      <c r="BA370" s="182"/>
      <c r="BB370" s="182"/>
      <c r="BC370" s="182"/>
      <c r="BD370" s="182"/>
      <c r="BE370" s="182"/>
      <c r="BF370" s="182"/>
      <c r="BG370" s="182"/>
      <c r="BH370" s="182"/>
      <c r="BI370" s="182"/>
      <c r="BJ370" s="182"/>
      <c r="BK370" s="182"/>
      <c r="BL370" s="182"/>
      <c r="BM370" s="182"/>
      <c r="BN370" s="182"/>
      <c r="BO370" s="182"/>
      <c r="BP370" s="182"/>
      <c r="BQ370" s="182"/>
      <c r="BR370" s="182"/>
      <c r="BS370" s="182"/>
    </row>
    <row r="371" spans="1:71" ht="15.9" customHeight="1" x14ac:dyDescent="0.3">
      <c r="A371" s="5" t="s">
        <v>1256</v>
      </c>
      <c r="B371" s="5" t="s">
        <v>1131</v>
      </c>
      <c r="C371" s="174">
        <v>44742</v>
      </c>
      <c r="D371" s="5" t="s">
        <v>285</v>
      </c>
      <c r="E371" s="5" t="s">
        <v>339</v>
      </c>
      <c r="F371" s="175" t="s">
        <v>1257</v>
      </c>
      <c r="G371" s="15" t="s">
        <v>346</v>
      </c>
      <c r="H371" s="176" t="s">
        <v>341</v>
      </c>
      <c r="I371" s="156" t="s">
        <v>1262</v>
      </c>
      <c r="J371" s="113" t="str">
        <f>VLOOKUP($I371,'Price List, Weapons &amp; Items'!B:C,2,0)</f>
        <v>Ammunition for heavy weapon</v>
      </c>
      <c r="K371" s="113" t="str">
        <f>IF(I371=".",I371,VLOOKUP($I371,'Price List, Weapons &amp; Items'!B:D,3,0))</f>
        <v>155mm howitzer ammunition</v>
      </c>
      <c r="L371" s="177">
        <f>VLOOKUP(I371,'Price List, Weapons &amp; Items'!B:E,4,0)</f>
        <v>0</v>
      </c>
      <c r="M371" s="542" t="s">
        <v>270</v>
      </c>
      <c r="N371" s="542" t="s">
        <v>270</v>
      </c>
      <c r="O371" s="543">
        <f>VLOOKUP($I371,'Price List, Weapons &amp; Items'!B:G,6,0)</f>
        <v>3800</v>
      </c>
      <c r="P371" s="176" t="str">
        <f t="shared" si="69"/>
        <v>.</v>
      </c>
      <c r="Q371" s="176" t="str">
        <f t="shared" si="70"/>
        <v>.</v>
      </c>
      <c r="R371" s="176" t="str">
        <f t="shared" si="66"/>
        <v/>
      </c>
      <c r="S371" s="176" t="str">
        <f>IF(AND(AD371=1,R371&lt;&gt;".")=TRUE,R371/VLOOKUP(G371,'Exchange Rates'!B:C,2,0),IF(R371=".",".",""))</f>
        <v/>
      </c>
      <c r="T371" s="176" t="str">
        <f>IF(AD371=1,IF(AF371="Value is not given at all",".",IF(AF371="Value is given by the source",S371,IF(AF371="Value is calculated with prices",(IF(SUMIFS(Q:Q,A:A,A371)&gt;0,SUMIFS(Q:Q,A:A,A371),"."))/VLOOKUP("USD",'Exchange Rates'!B:C,2,0),"Error with coding"))),"")</f>
        <v/>
      </c>
      <c r="U371" s="15" t="s">
        <v>261</v>
      </c>
      <c r="V371" s="547" t="s">
        <v>1258</v>
      </c>
      <c r="W371" s="567" t="s">
        <v>1259</v>
      </c>
      <c r="X371" s="569" t="s">
        <v>1260</v>
      </c>
      <c r="Y371" s="188" t="s">
        <v>260</v>
      </c>
      <c r="Z371" s="15">
        <v>0</v>
      </c>
      <c r="AA371" s="180">
        <v>0</v>
      </c>
      <c r="AB371" s="549" t="s">
        <v>1260</v>
      </c>
      <c r="AC371" s="544" t="str">
        <f>""</f>
        <v/>
      </c>
      <c r="AD371" s="181">
        <v>0</v>
      </c>
      <c r="AE371" s="181" t="s">
        <v>332</v>
      </c>
      <c r="AF371" s="181" t="s">
        <v>332</v>
      </c>
      <c r="AG371" s="181">
        <v>1</v>
      </c>
      <c r="AH371" s="181">
        <v>6</v>
      </c>
      <c r="AI371" s="181">
        <v>0</v>
      </c>
      <c r="AJ371" s="181">
        <f>VLOOKUP($I371,'Price List, Weapons &amp; Items'!B:F,5,0)</f>
        <v>1</v>
      </c>
      <c r="AK371" s="181">
        <f t="shared" si="71"/>
        <v>1</v>
      </c>
      <c r="AL371" s="181">
        <f t="shared" si="72"/>
        <v>1</v>
      </c>
      <c r="AM371" s="181">
        <f t="shared" si="73"/>
        <v>1</v>
      </c>
      <c r="AN371" s="180" t="str">
        <f>VLOOKUP($I371,'Price List, Weapons &amp; Items'!B:L,COLUMN('Price List, Weapons &amp; Items'!$J$11)-1,0)</f>
        <v>Government information</v>
      </c>
      <c r="AO371" s="180" t="str">
        <f>IF(I371=".",".",VLOOKUP($I371,'Price List, Weapons &amp; Items'!B:J,3,0))</f>
        <v>155mm howitzer ammunition</v>
      </c>
      <c r="AP371" s="545" t="str">
        <f t="shared" ca="1" si="67"/>
        <v/>
      </c>
      <c r="AQ371" s="180">
        <f>VLOOKUP($I371,'Price List, Weapons &amp; Items'!B:L,COLUMN('Price List, Weapons &amp; Items'!$L$11)-1,0)</f>
        <v>2</v>
      </c>
      <c r="AR371" s="180">
        <f t="shared" si="74"/>
        <v>1</v>
      </c>
      <c r="AS371" s="180">
        <f t="shared" si="75"/>
        <v>1</v>
      </c>
      <c r="AT371" s="180">
        <f t="shared" si="68"/>
        <v>1</v>
      </c>
      <c r="AU371" s="180" t="str">
        <f t="shared" si="76"/>
        <v>.</v>
      </c>
      <c r="AV371" s="180" t="str">
        <f t="shared" si="77"/>
        <v>.</v>
      </c>
      <c r="AW371" s="180">
        <f>IFERROR(VLOOKUP(B371,'Share, Heavy Weapons to Ukraine'!B:J,COLUMN('Share, Heavy Weapons to Ukraine'!C377)-1,0),0)</f>
        <v>0</v>
      </c>
      <c r="AX371" s="180">
        <f>VLOOKUP('Bilateral Assistance, MAIN DATA'!B371,'Country Summary'!B:F,COLUMN('Country Summary'!C380)-1,FALSE)</f>
        <v>1</v>
      </c>
      <c r="AY371" s="180" t="str">
        <f>IF(AND(AD371=1,D371="Military",H371&lt;&gt;"Not given")=TRUE,IF(SUMIFS(P:P,A:A,A371)&gt;0,ABS((SUMIFS(P:P,A:A,A371)/VLOOKUP("USD",'Exchange Rates'!B:C,2,0)))/S371,"."),".")</f>
        <v>.</v>
      </c>
      <c r="AZ371" s="182" t="str">
        <f>IF(AND(AD371=1,D371="Military",H371&lt;&gt;"Not given")=TRUE,IF(SUMIFS(P:P,A:A,A371)&gt;0,IF((ABS((SUMIFS(P:P,A:A,A371)/VLOOKUP("USD",'Exchange Rates'!B:C,2,0)))/S371)&gt;1,(SUMIFS(P:P,A:A,A371)-S371)/S371,(S371-SUMIFS(P:P,A:A,A371))/SUMIFS(P:P,A:A,A371)),"."),".")</f>
        <v>.</v>
      </c>
      <c r="BA371" s="182"/>
      <c r="BB371" s="182"/>
      <c r="BC371" s="182"/>
      <c r="BD371" s="182"/>
      <c r="BE371" s="182"/>
      <c r="BF371" s="182"/>
      <c r="BG371" s="182"/>
      <c r="BH371" s="182"/>
      <c r="BI371" s="182"/>
      <c r="BJ371" s="182"/>
      <c r="BK371" s="182"/>
      <c r="BL371" s="182"/>
      <c r="BM371" s="182"/>
      <c r="BN371" s="182"/>
      <c r="BO371" s="182"/>
      <c r="BP371" s="182"/>
      <c r="BQ371" s="182"/>
      <c r="BR371" s="182"/>
      <c r="BS371" s="182"/>
    </row>
    <row r="372" spans="1:71" ht="15.9" customHeight="1" x14ac:dyDescent="0.3">
      <c r="A372" s="5" t="s">
        <v>1256</v>
      </c>
      <c r="B372" s="5" t="s">
        <v>1131</v>
      </c>
      <c r="C372" s="174">
        <v>44742</v>
      </c>
      <c r="D372" s="5" t="s">
        <v>285</v>
      </c>
      <c r="E372" s="5" t="s">
        <v>339</v>
      </c>
      <c r="F372" s="175" t="s">
        <v>1257</v>
      </c>
      <c r="G372" s="15" t="s">
        <v>346</v>
      </c>
      <c r="H372" s="176" t="s">
        <v>341</v>
      </c>
      <c r="I372" s="17" t="s">
        <v>1263</v>
      </c>
      <c r="J372" s="113" t="str">
        <f>VLOOKUP($I372,'Price List, Weapons &amp; Items'!B:C,2,0)</f>
        <v>Heavy weapon</v>
      </c>
      <c r="K372" s="113" t="str">
        <f>IF(I372=".",I372,VLOOKUP($I372,'Price List, Weapons &amp; Items'!B:D,3,0))</f>
        <v>Armoured Personnel Carrier (APC)</v>
      </c>
      <c r="L372" s="177">
        <f>VLOOKUP(I372,'Price List, Weapons &amp; Items'!B:E,4,0)</f>
        <v>0</v>
      </c>
      <c r="M372" s="542">
        <v>60</v>
      </c>
      <c r="N372" s="542">
        <v>60</v>
      </c>
      <c r="O372" s="543">
        <f>VLOOKUP($I372,'Price List, Weapons &amp; Items'!B:G,6,0)</f>
        <v>1206834.1100000001</v>
      </c>
      <c r="P372" s="176">
        <f t="shared" si="69"/>
        <v>72410046.600000009</v>
      </c>
      <c r="Q372" s="176">
        <f t="shared" si="70"/>
        <v>72410046.600000009</v>
      </c>
      <c r="R372" s="176" t="str">
        <f t="shared" si="66"/>
        <v/>
      </c>
      <c r="S372" s="176" t="str">
        <f>IF(AND(AD372=1,R372&lt;&gt;".")=TRUE,R372/VLOOKUP(G372,'Exchange Rates'!B:C,2,0),IF(R372=".",".",""))</f>
        <v/>
      </c>
      <c r="T372" s="176" t="str">
        <f>IF(AD372=1,IF(AF372="Value is not given at all",".",IF(AF372="Value is given by the source",S372,IF(AF372="Value is calculated with prices",(IF(SUMIFS(Q:Q,A:A,A372)&gt;0,SUMIFS(Q:Q,A:A,A372),"."))/VLOOKUP("USD",'Exchange Rates'!B:C,2,0),"Error with coding"))),"")</f>
        <v/>
      </c>
      <c r="U372" s="15" t="s">
        <v>261</v>
      </c>
      <c r="V372" s="547" t="s">
        <v>1258</v>
      </c>
      <c r="W372" s="567" t="s">
        <v>1259</v>
      </c>
      <c r="X372" s="569" t="s">
        <v>1260</v>
      </c>
      <c r="Y372" s="188" t="s">
        <v>260</v>
      </c>
      <c r="Z372" s="15">
        <v>0</v>
      </c>
      <c r="AA372" s="180">
        <v>0</v>
      </c>
      <c r="AB372" s="563" t="s">
        <v>1260</v>
      </c>
      <c r="AC372" s="544" t="str">
        <f>""</f>
        <v/>
      </c>
      <c r="AD372" s="181">
        <v>0</v>
      </c>
      <c r="AE372" s="181" t="s">
        <v>332</v>
      </c>
      <c r="AF372" s="181" t="s">
        <v>332</v>
      </c>
      <c r="AG372" s="181">
        <v>1</v>
      </c>
      <c r="AH372" s="181">
        <v>6</v>
      </c>
      <c r="AI372" s="181">
        <v>0</v>
      </c>
      <c r="AJ372" s="181">
        <f>VLOOKUP($I372,'Price List, Weapons &amp; Items'!B:F,5,0)</f>
        <v>1</v>
      </c>
      <c r="AK372" s="181">
        <f t="shared" si="71"/>
        <v>0</v>
      </c>
      <c r="AL372" s="181">
        <f t="shared" si="72"/>
        <v>0</v>
      </c>
      <c r="AM372" s="181">
        <f t="shared" si="73"/>
        <v>0</v>
      </c>
      <c r="AN372" s="180" t="str">
        <f>VLOOKUP($I372,'Price List, Weapons &amp; Items'!B:L,COLUMN('Price List, Weapons &amp; Items'!$J$11)-1,0)</f>
        <v>Contracts</v>
      </c>
      <c r="AO372" s="180" t="str">
        <f>IF(I372=".",".",VLOOKUP($I372,'Price List, Weapons &amp; Items'!B:J,3,0))</f>
        <v>Armoured Personnel Carrier (APC)</v>
      </c>
      <c r="AP372" s="545" t="str">
        <f t="shared" ca="1" si="67"/>
        <v/>
      </c>
      <c r="AQ372" s="180">
        <f>VLOOKUP($I372,'Price List, Weapons &amp; Items'!B:L,COLUMN('Price List, Weapons &amp; Items'!$L$11)-1,0)</f>
        <v>2</v>
      </c>
      <c r="AR372" s="180">
        <f t="shared" si="74"/>
        <v>1</v>
      </c>
      <c r="AS372" s="180">
        <f t="shared" si="75"/>
        <v>1</v>
      </c>
      <c r="AT372" s="180">
        <f t="shared" si="68"/>
        <v>1</v>
      </c>
      <c r="AU372" s="180" t="str">
        <f t="shared" si="76"/>
        <v>.</v>
      </c>
      <c r="AV372" s="180" t="str">
        <f t="shared" si="77"/>
        <v>.</v>
      </c>
      <c r="AW372" s="180">
        <f>IFERROR(VLOOKUP(B372,'Share, Heavy Weapons to Ukraine'!B:J,COLUMN('Share, Heavy Weapons to Ukraine'!C378)-1,0),0)</f>
        <v>0</v>
      </c>
      <c r="AX372" s="180">
        <f>VLOOKUP('Bilateral Assistance, MAIN DATA'!B372,'Country Summary'!B:F,COLUMN('Country Summary'!C381)-1,FALSE)</f>
        <v>1</v>
      </c>
      <c r="AY372" s="180" t="str">
        <f>IF(AND(AD372=1,D372="Military",H372&lt;&gt;"Not given")=TRUE,IF(SUMIFS(P:P,A:A,A372)&gt;0,ABS((SUMIFS(P:P,A:A,A372)/VLOOKUP("USD",'Exchange Rates'!B:C,2,0)))/S372,"."),".")</f>
        <v>.</v>
      </c>
      <c r="AZ372" s="182" t="str">
        <f>IF(AND(AD372=1,D372="Military",H372&lt;&gt;"Not given")=TRUE,IF(SUMIFS(P:P,A:A,A372)&gt;0,IF((ABS((SUMIFS(P:P,A:A,A372)/VLOOKUP("USD",'Exchange Rates'!B:C,2,0)))/S372)&gt;1,(SUMIFS(P:P,A:A,A372)-S372)/S372,(S372-SUMIFS(P:P,A:A,A372))/SUMIFS(P:P,A:A,A372)),"."),".")</f>
        <v>.</v>
      </c>
      <c r="BA372" s="182"/>
      <c r="BB372" s="182"/>
      <c r="BC372" s="182"/>
      <c r="BD372" s="182"/>
      <c r="BE372" s="182"/>
      <c r="BF372" s="182"/>
      <c r="BG372" s="182"/>
      <c r="BH372" s="182"/>
      <c r="BI372" s="182"/>
      <c r="BJ372" s="182"/>
      <c r="BK372" s="182"/>
      <c r="BL372" s="182"/>
      <c r="BM372" s="182"/>
      <c r="BN372" s="182"/>
      <c r="BO372" s="182"/>
      <c r="BP372" s="182"/>
      <c r="BQ372" s="182"/>
      <c r="BR372" s="182"/>
      <c r="BS372" s="182"/>
    </row>
    <row r="373" spans="1:71" ht="15.9" customHeight="1" x14ac:dyDescent="0.3">
      <c r="A373" s="5" t="s">
        <v>1264</v>
      </c>
      <c r="B373" s="5" t="s">
        <v>1131</v>
      </c>
      <c r="C373" s="174">
        <v>44841</v>
      </c>
      <c r="D373" s="5" t="s">
        <v>285</v>
      </c>
      <c r="E373" s="5" t="s">
        <v>286</v>
      </c>
      <c r="F373" s="175" t="s">
        <v>1265</v>
      </c>
      <c r="G373" s="15" t="s">
        <v>364</v>
      </c>
      <c r="H373" s="176">
        <v>100000000</v>
      </c>
      <c r="I373" s="17" t="s">
        <v>260</v>
      </c>
      <c r="J373" s="113" t="str">
        <f>VLOOKUP($I373,'Price List, Weapons &amp; Items'!B:C,2,0)</f>
        <v>.</v>
      </c>
      <c r="K373" s="113" t="str">
        <f>IF(I373=".",I373,VLOOKUP($I373,'Price List, Weapons &amp; Items'!B:D,3,0))</f>
        <v>.</v>
      </c>
      <c r="L373" s="177">
        <f>VLOOKUP(I373,'Price List, Weapons &amp; Items'!B:E,4,0)</f>
        <v>0</v>
      </c>
      <c r="M373" s="542" t="s">
        <v>260</v>
      </c>
      <c r="N373" s="542" t="s">
        <v>260</v>
      </c>
      <c r="O373" s="543" t="str">
        <f>VLOOKUP($I373,'Price List, Weapons &amp; Items'!B:G,6,0)</f>
        <v>.</v>
      </c>
      <c r="P373" s="176" t="str">
        <f t="shared" si="69"/>
        <v>.</v>
      </c>
      <c r="Q373" s="176" t="str">
        <f t="shared" si="70"/>
        <v>.</v>
      </c>
      <c r="R373" s="176">
        <f t="shared" si="66"/>
        <v>100000000</v>
      </c>
      <c r="S373" s="176">
        <f>IF(AND(AD373=1,R373&lt;&gt;".")=TRUE,R373/VLOOKUP(G373,'Exchange Rates'!B:C,2,0),IF(R373=".",".",""))</f>
        <v>100000000</v>
      </c>
      <c r="T373" s="176" t="str">
        <f>IF(AD373=1,IF(AF373="Value is not given at all",".",IF(AF373="Value is given by the source",S373,IF(AF373="Value is calculated with prices",(IF(SUMIFS(Q:Q,A:A,A373)&gt;0,SUMIFS(Q:Q,A:A,A373),"."))/VLOOKUP("USD",'Exchange Rates'!B:C,2,0),"Error with coding"))),"")</f>
        <v>.</v>
      </c>
      <c r="U373" s="15" t="s">
        <v>415</v>
      </c>
      <c r="V373" s="567" t="s">
        <v>1266</v>
      </c>
      <c r="W373" s="305" t="s">
        <v>1267</v>
      </c>
      <c r="X373" s="686" t="s">
        <v>260</v>
      </c>
      <c r="Y373" s="188" t="s">
        <v>260</v>
      </c>
      <c r="Z373" s="15">
        <v>0</v>
      </c>
      <c r="AA373" s="180">
        <v>0</v>
      </c>
      <c r="AB373" s="184" t="s">
        <v>260</v>
      </c>
      <c r="AC373" s="544" t="str">
        <f>""</f>
        <v/>
      </c>
      <c r="AD373" s="181">
        <v>1</v>
      </c>
      <c r="AE373" s="181" t="s">
        <v>264</v>
      </c>
      <c r="AF373" s="181" t="s">
        <v>265</v>
      </c>
      <c r="AG373" s="181">
        <v>1</v>
      </c>
      <c r="AH373" s="181">
        <v>10</v>
      </c>
      <c r="AI373" s="181">
        <v>0</v>
      </c>
      <c r="AJ373" s="181">
        <f>VLOOKUP($I373,'Price List, Weapons &amp; Items'!B:F,5,0)</f>
        <v>0</v>
      </c>
      <c r="AK373" s="181">
        <f t="shared" si="71"/>
        <v>0</v>
      </c>
      <c r="AL373" s="181">
        <f t="shared" si="72"/>
        <v>0</v>
      </c>
      <c r="AM373" s="181">
        <f t="shared" si="73"/>
        <v>0</v>
      </c>
      <c r="AN373" s="180" t="str">
        <f>VLOOKUP($I373,'Price List, Weapons &amp; Items'!B:L,COLUMN('Price List, Weapons &amp; Items'!$J$11)-1,0)</f>
        <v>.</v>
      </c>
      <c r="AO373" s="180" t="str">
        <f>IF(I373=".",".",VLOOKUP($I373,'Price List, Weapons &amp; Items'!B:J,3,0))</f>
        <v>.</v>
      </c>
      <c r="AP373" s="545" t="e">
        <f t="shared" ca="1" si="67"/>
        <v>#NAME?</v>
      </c>
      <c r="AQ373" s="180" t="str">
        <f>VLOOKUP($I373,'Price List, Weapons &amp; Items'!B:L,COLUMN('Price List, Weapons &amp; Items'!$L$11)-1,0)</f>
        <v>no price, 0 count</v>
      </c>
      <c r="AR373" s="180">
        <f t="shared" si="74"/>
        <v>0</v>
      </c>
      <c r="AS373" s="180">
        <f t="shared" si="75"/>
        <v>1</v>
      </c>
      <c r="AT373" s="180">
        <f t="shared" si="68"/>
        <v>1</v>
      </c>
      <c r="AU373" s="180" t="str">
        <f t="shared" si="76"/>
        <v>.</v>
      </c>
      <c r="AV373" s="180" t="str">
        <f t="shared" si="77"/>
        <v>.</v>
      </c>
      <c r="AW373" s="180">
        <f>IFERROR(VLOOKUP(B373,'Share, Heavy Weapons to Ukraine'!B:J,COLUMN('Share, Heavy Weapons to Ukraine'!C379)-1,0),0)</f>
        <v>0</v>
      </c>
      <c r="AX373" s="180">
        <f>VLOOKUP('Bilateral Assistance, MAIN DATA'!B373,'Country Summary'!B:F,COLUMN('Country Summary'!C382)-1,FALSE)</f>
        <v>1</v>
      </c>
      <c r="AY373" s="180" t="str">
        <f>IF(AND(AD373=1,D373="Military",H373&lt;&gt;"Not given")=TRUE,IF(SUMIFS(P:P,A:A,A373)&gt;0,ABS((SUMIFS(P:P,A:A,A373)/VLOOKUP("USD",'Exchange Rates'!B:C,2,0)))/S373,"."),".")</f>
        <v>.</v>
      </c>
      <c r="AZ373" s="182" t="str">
        <f>IF(AND(AD373=1,D373="Military",H373&lt;&gt;"Not given")=TRUE,IF(SUMIFS(P:P,A:A,A373)&gt;0,IF((ABS((SUMIFS(P:P,A:A,A373)/VLOOKUP("USD",'Exchange Rates'!B:C,2,0)))/S373)&gt;1,(SUMIFS(P:P,A:A,A373)-S373)/S373,(S373-SUMIFS(P:P,A:A,A373))/SUMIFS(P:P,A:A,A373)),"."),".")</f>
        <v>.</v>
      </c>
      <c r="BA373" s="182"/>
      <c r="BB373" s="182"/>
      <c r="BC373" s="182"/>
      <c r="BD373" s="182"/>
      <c r="BE373" s="182"/>
      <c r="BF373" s="182"/>
      <c r="BG373" s="182"/>
      <c r="BH373" s="182"/>
      <c r="BI373" s="182"/>
      <c r="BJ373" s="182"/>
      <c r="BK373" s="182"/>
      <c r="BL373" s="182"/>
      <c r="BM373" s="182"/>
      <c r="BN373" s="182"/>
      <c r="BO373" s="182"/>
      <c r="BP373" s="182"/>
      <c r="BQ373" s="182"/>
      <c r="BR373" s="182"/>
      <c r="BS373" s="182"/>
    </row>
    <row r="374" spans="1:71" ht="15.9" customHeight="1" x14ac:dyDescent="0.3">
      <c r="A374" s="5" t="s">
        <v>1268</v>
      </c>
      <c r="B374" s="5" t="s">
        <v>1131</v>
      </c>
      <c r="C374" s="174">
        <v>44871</v>
      </c>
      <c r="D374" s="5" t="s">
        <v>285</v>
      </c>
      <c r="E374" s="5" t="s">
        <v>286</v>
      </c>
      <c r="F374" s="1139" t="s">
        <v>1269</v>
      </c>
      <c r="G374" s="15" t="s">
        <v>346</v>
      </c>
      <c r="H374" s="176" t="s">
        <v>341</v>
      </c>
      <c r="I374" s="17" t="s">
        <v>1247</v>
      </c>
      <c r="J374" s="113" t="str">
        <f>VLOOKUP($I374,'Price List, Weapons &amp; Items'!B:C,2,0)</f>
        <v>Heavy weapon</v>
      </c>
      <c r="K374" s="113" t="str">
        <f>IF(I374=".",I374,VLOOKUP($I374,'Price List, Weapons &amp; Items'!B:D,3,0))</f>
        <v>155mm howitzer</v>
      </c>
      <c r="L374" s="177">
        <f>VLOOKUP(I374,'Price List, Weapons &amp; Items'!B:E,4,0)</f>
        <v>0</v>
      </c>
      <c r="M374" s="542">
        <v>6</v>
      </c>
      <c r="N374" s="542" t="s">
        <v>260</v>
      </c>
      <c r="O374" s="543">
        <f>VLOOKUP($I374,'Price List, Weapons &amp; Items'!B:G,6,0)</f>
        <v>6345668.5229201708</v>
      </c>
      <c r="P374" s="176">
        <f t="shared" si="69"/>
        <v>38074011.137521029</v>
      </c>
      <c r="Q374" s="176" t="str">
        <f t="shared" si="70"/>
        <v>.</v>
      </c>
      <c r="R374" s="176">
        <f t="shared" si="66"/>
        <v>85976614.535283595</v>
      </c>
      <c r="S374" s="176">
        <f>IF(AND(AD374=1,R374&lt;&gt;".")=TRUE,R374/VLOOKUP(G374,'Exchange Rates'!B:C,2,0),IF(R374=".",".",""))</f>
        <v>81882490.033603415</v>
      </c>
      <c r="T374" s="176">
        <f>IF(AD374=1,IF(AF374="Value is not given at all",".",IF(AF374="Value is given by the source",S374,IF(AF374="Value is calculated with prices",(IF(SUMIFS(Q:Q,A:A,A374)&gt;0,SUMIFS(Q:Q,A:A,A374),"."))/VLOOKUP("USD",'Exchange Rates'!B:C,2,0),"Error with coding"))),"")</f>
        <v>45621527.045488164</v>
      </c>
      <c r="U374" s="15" t="s">
        <v>415</v>
      </c>
      <c r="V374" s="567" t="s">
        <v>1266</v>
      </c>
      <c r="W374" s="305" t="s">
        <v>1270</v>
      </c>
      <c r="X374" s="305" t="s">
        <v>1267</v>
      </c>
      <c r="Y374" s="569" t="s">
        <v>1260</v>
      </c>
      <c r="Z374" s="15">
        <v>0</v>
      </c>
      <c r="AA374" s="15">
        <v>1</v>
      </c>
      <c r="AB374" s="563" t="s">
        <v>1261</v>
      </c>
      <c r="AC374" s="544" t="str">
        <f>""</f>
        <v/>
      </c>
      <c r="AD374" s="181">
        <v>1</v>
      </c>
      <c r="AE374" s="181" t="s">
        <v>332</v>
      </c>
      <c r="AF374" s="181" t="s">
        <v>332</v>
      </c>
      <c r="AG374" s="181">
        <v>1</v>
      </c>
      <c r="AH374" s="181">
        <v>11</v>
      </c>
      <c r="AI374" s="181">
        <v>0</v>
      </c>
      <c r="AJ374" s="181">
        <f>VLOOKUP($I374,'Price List, Weapons &amp; Items'!B:F,5,0)</f>
        <v>1</v>
      </c>
      <c r="AK374" s="181">
        <f t="shared" si="71"/>
        <v>0</v>
      </c>
      <c r="AL374" s="181">
        <f t="shared" si="72"/>
        <v>0</v>
      </c>
      <c r="AM374" s="181">
        <f t="shared" si="73"/>
        <v>0</v>
      </c>
      <c r="AN374" s="180" t="str">
        <f>VLOOKUP($I374,'Price List, Weapons &amp; Items'!B:L,COLUMN('Price List, Weapons &amp; Items'!$J$11)-1,0)</f>
        <v>Contracts</v>
      </c>
      <c r="AO374" s="180" t="str">
        <f>IF(I374=".",".",VLOOKUP($I374,'Price List, Weapons &amp; Items'!B:J,3,0))</f>
        <v>155mm howitzer</v>
      </c>
      <c r="AP374" s="545" t="e">
        <f t="shared" ca="1" si="67"/>
        <v>#NAME?</v>
      </c>
      <c r="AQ374" s="180">
        <f>VLOOKUP($I374,'Price List, Weapons &amp; Items'!B:L,COLUMN('Price List, Weapons &amp; Items'!$L$11)-1,0)</f>
        <v>2</v>
      </c>
      <c r="AR374" s="180">
        <f t="shared" si="74"/>
        <v>0</v>
      </c>
      <c r="AS374" s="180">
        <f t="shared" si="75"/>
        <v>1</v>
      </c>
      <c r="AT374" s="180">
        <f t="shared" si="68"/>
        <v>1</v>
      </c>
      <c r="AU374" s="180" t="str">
        <f t="shared" si="76"/>
        <v>.</v>
      </c>
      <c r="AV374" s="180" t="str">
        <f t="shared" si="77"/>
        <v>.</v>
      </c>
      <c r="AW374" s="180">
        <f>IFERROR(VLOOKUP(B374,'Share, Heavy Weapons to Ukraine'!B:J,COLUMN('Share, Heavy Weapons to Ukraine'!C380)-1,0),0)</f>
        <v>0</v>
      </c>
      <c r="AX374" s="180">
        <f>VLOOKUP('Bilateral Assistance, MAIN DATA'!B374,'Country Summary'!B:F,COLUMN('Country Summary'!C383)-1,FALSE)</f>
        <v>1</v>
      </c>
      <c r="AY374" s="180" t="str">
        <f>IF(AND(AD374=1,D374="Military",H374&lt;&gt;"Not given")=TRUE,IF(SUMIFS(P:P,A:A,A374)&gt;0,ABS((SUMIFS(P:P,A:A,A374)/VLOOKUP("USD",'Exchange Rates'!B:C,2,0)))/S374,"."),".")</f>
        <v>.</v>
      </c>
      <c r="AZ374" s="182" t="str">
        <f>IF(AND(AD374=1,D374="Military",H374&lt;&gt;"Not given")=TRUE,IF(SUMIFS(P:P,A:A,A374)&gt;0,IF((ABS((SUMIFS(P:P,A:A,A374)/VLOOKUP("USD",'Exchange Rates'!B:C,2,0)))/S374)&gt;1,(SUMIFS(P:P,A:A,A374)-S374)/S374,(S374-SUMIFS(P:P,A:A,A374))/SUMIFS(P:P,A:A,A374)),"."),".")</f>
        <v>.</v>
      </c>
      <c r="BA374" s="182"/>
      <c r="BB374" s="182"/>
      <c r="BC374" s="182"/>
      <c r="BD374" s="182"/>
      <c r="BE374" s="182"/>
      <c r="BF374" s="182"/>
      <c r="BG374" s="182"/>
      <c r="BH374" s="182"/>
      <c r="BI374" s="182"/>
      <c r="BJ374" s="182"/>
      <c r="BK374" s="182"/>
      <c r="BL374" s="182"/>
      <c r="BM374" s="182"/>
      <c r="BN374" s="182"/>
      <c r="BO374" s="182"/>
      <c r="BP374" s="182"/>
      <c r="BQ374" s="182"/>
      <c r="BR374" s="182"/>
      <c r="BS374" s="182"/>
    </row>
    <row r="375" spans="1:71" ht="15.9" customHeight="1" x14ac:dyDescent="0.3">
      <c r="A375" s="5" t="s">
        <v>1268</v>
      </c>
      <c r="B375" s="5" t="s">
        <v>1131</v>
      </c>
      <c r="C375" s="174">
        <v>44883</v>
      </c>
      <c r="D375" s="5" t="s">
        <v>285</v>
      </c>
      <c r="E375" s="5" t="s">
        <v>286</v>
      </c>
      <c r="F375" s="1139" t="s">
        <v>1269</v>
      </c>
      <c r="G375" s="15" t="s">
        <v>346</v>
      </c>
      <c r="H375" s="176" t="s">
        <v>341</v>
      </c>
      <c r="I375" s="17" t="s">
        <v>1271</v>
      </c>
      <c r="J375" s="113" t="str">
        <f>VLOOKUP($I375,'Price List, Weapons &amp; Items'!B:C,2,0)</f>
        <v>Military</v>
      </c>
      <c r="K375" s="113" t="str">
        <f>IF(I375=".",I375,VLOOKUP($I375,'Price List, Weapons &amp; Items'!B:D,3,0))</f>
        <v>Anti-aircraft surface-to-air missile (SAM) system (short-range)</v>
      </c>
      <c r="L375" s="177">
        <f>VLOOKUP(I375,'Price List, Weapons &amp; Items'!B:E,4,0)</f>
        <v>0</v>
      </c>
      <c r="M375" s="542">
        <v>2</v>
      </c>
      <c r="N375" s="542">
        <v>2</v>
      </c>
      <c r="O375" s="543">
        <f>VLOOKUP($I375,'Price List, Weapons &amp; Items'!B:G,6,0)</f>
        <v>10335642.57</v>
      </c>
      <c r="P375" s="176">
        <f t="shared" si="69"/>
        <v>20671285.140000001</v>
      </c>
      <c r="Q375" s="176">
        <f t="shared" si="70"/>
        <v>20671285.140000001</v>
      </c>
      <c r="R375" s="176" t="str">
        <f t="shared" si="66"/>
        <v/>
      </c>
      <c r="S375" s="176" t="str">
        <f>IF(AND(AD375=1,R375&lt;&gt;".")=TRUE,R375/VLOOKUP(G375,'Exchange Rates'!B:C,2,0),IF(R375=".",".",""))</f>
        <v/>
      </c>
      <c r="T375" s="176" t="str">
        <f>IF(AD375=1,IF(AF375="Value is not given at all",".",IF(AF375="Value is given by the source",S375,IF(AF375="Value is calculated with prices",(IF(SUMIFS(Q:Q,A:A,A375)&gt;0,SUMIFS(Q:Q,A:A,A375),"."))/VLOOKUP("USD",'Exchange Rates'!B:C,2,0),"Error with coding"))),"")</f>
        <v/>
      </c>
      <c r="U375" s="15" t="s">
        <v>415</v>
      </c>
      <c r="V375" s="567" t="s">
        <v>1266</v>
      </c>
      <c r="W375" s="305" t="s">
        <v>1270</v>
      </c>
      <c r="X375" s="305" t="s">
        <v>1267</v>
      </c>
      <c r="Y375" s="569" t="s">
        <v>1260</v>
      </c>
      <c r="Z375" s="15">
        <v>0</v>
      </c>
      <c r="AA375" s="15">
        <v>1</v>
      </c>
      <c r="AB375" s="563" t="s">
        <v>1272</v>
      </c>
      <c r="AC375" s="544" t="str">
        <f>""</f>
        <v/>
      </c>
      <c r="AD375" s="181">
        <v>0</v>
      </c>
      <c r="AE375" s="181" t="s">
        <v>332</v>
      </c>
      <c r="AF375" s="181" t="s">
        <v>332</v>
      </c>
      <c r="AG375" s="181">
        <v>1</v>
      </c>
      <c r="AH375" s="181">
        <v>11</v>
      </c>
      <c r="AI375" s="181">
        <v>0</v>
      </c>
      <c r="AJ375" s="181">
        <f>VLOOKUP($I375,'Price List, Weapons &amp; Items'!B:F,5,0)</f>
        <v>0</v>
      </c>
      <c r="AK375" s="181">
        <f t="shared" si="71"/>
        <v>0</v>
      </c>
      <c r="AL375" s="181">
        <f t="shared" si="72"/>
        <v>0</v>
      </c>
      <c r="AM375" s="181">
        <f t="shared" si="73"/>
        <v>0</v>
      </c>
      <c r="AN375" s="180" t="str">
        <f>VLOOKUP($I375,'Price List, Weapons &amp; Items'!B:L,COLUMN('Price List, Weapons &amp; Items'!$J$11)-1,0)</f>
        <v>.</v>
      </c>
      <c r="AO375" s="180" t="str">
        <f>IF(I375=".",".",VLOOKUP($I375,'Price List, Weapons &amp; Items'!B:J,3,0))</f>
        <v>Anti-aircraft surface-to-air missile (SAM) system (short-range)</v>
      </c>
      <c r="AP375" s="545" t="str">
        <f t="shared" ca="1" si="67"/>
        <v/>
      </c>
      <c r="AQ375" s="180">
        <f>VLOOKUP($I375,'Price List, Weapons &amp; Items'!B:L,COLUMN('Price List, Weapons &amp; Items'!$L$11)-1,0)</f>
        <v>2</v>
      </c>
      <c r="AR375" s="180">
        <f t="shared" si="74"/>
        <v>0</v>
      </c>
      <c r="AS375" s="180">
        <f t="shared" si="75"/>
        <v>1</v>
      </c>
      <c r="AT375" s="180">
        <f t="shared" si="68"/>
        <v>1</v>
      </c>
      <c r="AU375" s="180" t="str">
        <f t="shared" si="76"/>
        <v>.</v>
      </c>
      <c r="AV375" s="180" t="str">
        <f t="shared" si="77"/>
        <v>.</v>
      </c>
      <c r="AW375" s="180">
        <f>IFERROR(VLOOKUP(B375,'Share, Heavy Weapons to Ukraine'!B:J,COLUMN('Share, Heavy Weapons to Ukraine'!C381)-1,0),0)</f>
        <v>0</v>
      </c>
      <c r="AX375" s="180">
        <f>VLOOKUP('Bilateral Assistance, MAIN DATA'!B375,'Country Summary'!B:F,COLUMN('Country Summary'!C384)-1,FALSE)</f>
        <v>1</v>
      </c>
      <c r="AY375" s="180" t="str">
        <f>IF(AND(AD375=1,D375="Military",H375&lt;&gt;"Not given")=TRUE,IF(SUMIFS(P:P,A:A,A375)&gt;0,ABS((SUMIFS(P:P,A:A,A375)/VLOOKUP("USD",'Exchange Rates'!B:C,2,0)))/S375,"."),".")</f>
        <v>.</v>
      </c>
      <c r="AZ375" s="182" t="str">
        <f>IF(AND(AD375=1,D375="Military",H375&lt;&gt;"Not given")=TRUE,IF(SUMIFS(P:P,A:A,A375)&gt;0,IF((ABS((SUMIFS(P:P,A:A,A375)/VLOOKUP("USD",'Exchange Rates'!B:C,2,0)))/S375)&gt;1,(SUMIFS(P:P,A:A,A375)-S375)/S375,(S375-SUMIFS(P:P,A:A,A375))/SUMIFS(P:P,A:A,A375)),"."),".")</f>
        <v>.</v>
      </c>
      <c r="BA375" s="182"/>
      <c r="BB375" s="182"/>
      <c r="BC375" s="182"/>
      <c r="BD375" s="182"/>
      <c r="BE375" s="182"/>
      <c r="BF375" s="182"/>
      <c r="BG375" s="182"/>
      <c r="BH375" s="182"/>
      <c r="BI375" s="182"/>
      <c r="BJ375" s="182"/>
      <c r="BK375" s="182"/>
      <c r="BL375" s="182"/>
      <c r="BM375" s="182"/>
      <c r="BN375" s="182"/>
      <c r="BO375" s="182"/>
      <c r="BP375" s="182"/>
      <c r="BQ375" s="182"/>
      <c r="BR375" s="182"/>
      <c r="BS375" s="182"/>
    </row>
    <row r="376" spans="1:71" ht="15.9" customHeight="1" x14ac:dyDescent="0.3">
      <c r="A376" s="5" t="s">
        <v>1268</v>
      </c>
      <c r="B376" s="5" t="s">
        <v>1131</v>
      </c>
      <c r="C376" s="174">
        <v>44883</v>
      </c>
      <c r="D376" s="5" t="s">
        <v>285</v>
      </c>
      <c r="E376" s="5" t="s">
        <v>286</v>
      </c>
      <c r="F376" s="1139" t="s">
        <v>1269</v>
      </c>
      <c r="G376" s="15" t="s">
        <v>346</v>
      </c>
      <c r="H376" s="176" t="s">
        <v>341</v>
      </c>
      <c r="I376" s="17" t="s">
        <v>1273</v>
      </c>
      <c r="J376" s="113" t="str">
        <f>VLOOKUP($I376,'Price List, Weapons &amp; Items'!B:C,2,0)</f>
        <v>Heavy weapon</v>
      </c>
      <c r="K376" s="113" t="str">
        <f>IF(I376=".",I376,VLOOKUP($I376,'Price List, Weapons &amp; Items'!B:D,3,0))</f>
        <v>227mm MLRS</v>
      </c>
      <c r="L376" s="177">
        <f>VLOOKUP(I376,'Price List, Weapons &amp; Items'!B:E,4,0)</f>
        <v>0</v>
      </c>
      <c r="M376" s="542">
        <v>2</v>
      </c>
      <c r="N376" s="542">
        <v>2</v>
      </c>
      <c r="O376" s="543">
        <f>VLOOKUP($I376,'Price List, Weapons &amp; Items'!B:G,6,0)</f>
        <v>13615659.128881287</v>
      </c>
      <c r="P376" s="176">
        <f t="shared" si="69"/>
        <v>27231318.257762574</v>
      </c>
      <c r="Q376" s="176">
        <f t="shared" si="70"/>
        <v>27231318.257762574</v>
      </c>
      <c r="R376" s="176" t="str">
        <f t="shared" si="66"/>
        <v/>
      </c>
      <c r="S376" s="176" t="str">
        <f>IF(AND(AD376=1,R376&lt;&gt;".")=TRUE,R376/VLOOKUP(G376,'Exchange Rates'!B:C,2,0),IF(R376=".",".",""))</f>
        <v/>
      </c>
      <c r="T376" s="176" t="str">
        <f>IF(AD376=1,IF(AF376="Value is not given at all",".",IF(AF376="Value is given by the source",S376,IF(AF376="Value is calculated with prices",(IF(SUMIFS(Q:Q,A:A,A376)&gt;0,SUMIFS(Q:Q,A:A,A376),"."))/VLOOKUP("USD",'Exchange Rates'!B:C,2,0),"Error with coding"))),"")</f>
        <v/>
      </c>
      <c r="U376" s="15" t="s">
        <v>415</v>
      </c>
      <c r="V376" s="567" t="s">
        <v>1266</v>
      </c>
      <c r="W376" s="305" t="s">
        <v>1270</v>
      </c>
      <c r="X376" s="305" t="s">
        <v>1267</v>
      </c>
      <c r="Y376" s="569" t="s">
        <v>1260</v>
      </c>
      <c r="Z376" s="15">
        <v>0</v>
      </c>
      <c r="AA376" s="15">
        <v>1</v>
      </c>
      <c r="AB376" s="563" t="s">
        <v>1272</v>
      </c>
      <c r="AC376" s="544" t="str">
        <f>""</f>
        <v/>
      </c>
      <c r="AD376" s="181">
        <v>0</v>
      </c>
      <c r="AE376" s="181" t="s">
        <v>332</v>
      </c>
      <c r="AF376" s="181" t="s">
        <v>332</v>
      </c>
      <c r="AG376" s="181">
        <v>1</v>
      </c>
      <c r="AH376" s="181">
        <v>11</v>
      </c>
      <c r="AI376" s="181">
        <v>0</v>
      </c>
      <c r="AJ376" s="181">
        <f>VLOOKUP($I376,'Price List, Weapons &amp; Items'!B:F,5,0)</f>
        <v>1</v>
      </c>
      <c r="AK376" s="181">
        <f t="shared" si="71"/>
        <v>0</v>
      </c>
      <c r="AL376" s="181">
        <f t="shared" si="72"/>
        <v>0</v>
      </c>
      <c r="AM376" s="181">
        <f t="shared" si="73"/>
        <v>0</v>
      </c>
      <c r="AN376" s="180" t="str">
        <f>VLOOKUP($I376,'Price List, Weapons &amp; Items'!B:L,COLUMN('Price List, Weapons &amp; Items'!$J$11)-1,0)</f>
        <v>Contracts</v>
      </c>
      <c r="AO376" s="180" t="str">
        <f>IF(I376=".",".",VLOOKUP($I376,'Price List, Weapons &amp; Items'!B:J,3,0))</f>
        <v>227mm MLRS</v>
      </c>
      <c r="AP376" s="545" t="str">
        <f t="shared" ca="1" si="67"/>
        <v/>
      </c>
      <c r="AQ376" s="180">
        <f>VLOOKUP($I376,'Price List, Weapons &amp; Items'!B:L,COLUMN('Price List, Weapons &amp; Items'!$L$11)-1,0)</f>
        <v>2</v>
      </c>
      <c r="AR376" s="180">
        <f t="shared" si="74"/>
        <v>0</v>
      </c>
      <c r="AS376" s="180">
        <f t="shared" si="75"/>
        <v>1</v>
      </c>
      <c r="AT376" s="180">
        <f t="shared" si="68"/>
        <v>1</v>
      </c>
      <c r="AU376" s="180" t="str">
        <f t="shared" si="76"/>
        <v>.</v>
      </c>
      <c r="AV376" s="180" t="str">
        <f t="shared" si="77"/>
        <v>.</v>
      </c>
      <c r="AW376" s="180">
        <f>IFERROR(VLOOKUP(B376,'Share, Heavy Weapons to Ukraine'!B:J,COLUMN('Share, Heavy Weapons to Ukraine'!C382)-1,0),0)</f>
        <v>0</v>
      </c>
      <c r="AX376" s="180">
        <f>VLOOKUP('Bilateral Assistance, MAIN DATA'!B376,'Country Summary'!B:F,COLUMN('Country Summary'!C385)-1,FALSE)</f>
        <v>1</v>
      </c>
      <c r="AY376" s="180" t="str">
        <f>IF(AND(AD376=1,D376="Military",H376&lt;&gt;"Not given")=TRUE,IF(SUMIFS(P:P,A:A,A376)&gt;0,ABS((SUMIFS(P:P,A:A,A376)/VLOOKUP("USD",'Exchange Rates'!B:C,2,0)))/S376,"."),".")</f>
        <v>.</v>
      </c>
      <c r="AZ376" s="182" t="str">
        <f>IF(AND(AD376=1,D376="Military",H376&lt;&gt;"Not given")=TRUE,IF(SUMIFS(P:P,A:A,A376)&gt;0,IF((ABS((SUMIFS(P:P,A:A,A376)/VLOOKUP("USD",'Exchange Rates'!B:C,2,0)))/S376)&gt;1,(SUMIFS(P:P,A:A,A376)-S376)/S376,(S376-SUMIFS(P:P,A:A,A376))/SUMIFS(P:P,A:A,A376)),"."),".")</f>
        <v>.</v>
      </c>
      <c r="BA376" s="182"/>
      <c r="BB376" s="182"/>
      <c r="BC376" s="182"/>
      <c r="BD376" s="182"/>
      <c r="BE376" s="182"/>
      <c r="BF376" s="182"/>
      <c r="BG376" s="182"/>
      <c r="BH376" s="182"/>
      <c r="BI376" s="182"/>
      <c r="BJ376" s="182"/>
      <c r="BK376" s="182"/>
      <c r="BL376" s="182"/>
      <c r="BM376" s="182"/>
      <c r="BN376" s="182"/>
      <c r="BO376" s="182"/>
      <c r="BP376" s="182"/>
      <c r="BQ376" s="182"/>
      <c r="BR376" s="182"/>
      <c r="BS376" s="182"/>
    </row>
    <row r="377" spans="1:71" ht="15.9" customHeight="1" x14ac:dyDescent="0.3">
      <c r="A377" s="5" t="s">
        <v>1268</v>
      </c>
      <c r="B377" s="5" t="s">
        <v>1131</v>
      </c>
      <c r="C377" s="174">
        <v>44883</v>
      </c>
      <c r="D377" s="5" t="s">
        <v>285</v>
      </c>
      <c r="E377" s="5" t="s">
        <v>286</v>
      </c>
      <c r="F377" s="1139" t="s">
        <v>1269</v>
      </c>
      <c r="G377" s="15" t="s">
        <v>346</v>
      </c>
      <c r="H377" s="176" t="s">
        <v>341</v>
      </c>
      <c r="I377" s="17" t="s">
        <v>1274</v>
      </c>
      <c r="J377" s="113" t="str">
        <f>VLOOKUP($I377,'Price List, Weapons &amp; Items'!B:C,2,0)</f>
        <v>Military equipment</v>
      </c>
      <c r="K377" s="113" t="str">
        <f>IF(I377=".",I377,VLOOKUP($I377,'Price List, Weapons &amp; Items'!B:D,3,0))</f>
        <v>Military equipment</v>
      </c>
      <c r="L377" s="177">
        <f>VLOOKUP(I377,'Price List, Weapons &amp; Items'!B:E,4,0)</f>
        <v>0</v>
      </c>
      <c r="M377" s="542" t="s">
        <v>270</v>
      </c>
      <c r="N377" s="542" t="s">
        <v>270</v>
      </c>
      <c r="O377" s="543" t="str">
        <f>VLOOKUP($I377,'Price List, Weapons &amp; Items'!B:G,6,0)</f>
        <v>.</v>
      </c>
      <c r="P377" s="176" t="str">
        <f t="shared" si="69"/>
        <v>.</v>
      </c>
      <c r="Q377" s="176" t="str">
        <f t="shared" si="70"/>
        <v>.</v>
      </c>
      <c r="R377" s="176" t="str">
        <f t="shared" si="66"/>
        <v/>
      </c>
      <c r="S377" s="176" t="str">
        <f>IF(AND(AD377=1,R377&lt;&gt;".")=TRUE,R377/VLOOKUP(G377,'Exchange Rates'!B:C,2,0),IF(R377=".",".",""))</f>
        <v/>
      </c>
      <c r="T377" s="176" t="str">
        <f>IF(AD377=1,IF(AF377="Value is not given at all",".",IF(AF377="Value is given by the source",S377,IF(AF377="Value is calculated with prices",(IF(SUMIFS(Q:Q,A:A,A377)&gt;0,SUMIFS(Q:Q,A:A,A377),"."))/VLOOKUP("USD",'Exchange Rates'!B:C,2,0),"Error with coding"))),"")</f>
        <v/>
      </c>
      <c r="U377" s="15" t="s">
        <v>415</v>
      </c>
      <c r="V377" s="567" t="s">
        <v>1266</v>
      </c>
      <c r="W377" s="305" t="s">
        <v>1270</v>
      </c>
      <c r="X377" s="305" t="s">
        <v>1267</v>
      </c>
      <c r="Y377" s="569" t="s">
        <v>1260</v>
      </c>
      <c r="Z377" s="15">
        <v>0</v>
      </c>
      <c r="AA377" s="15">
        <v>1</v>
      </c>
      <c r="AB377" s="184" t="s">
        <v>260</v>
      </c>
      <c r="AC377" s="544" t="str">
        <f>""</f>
        <v/>
      </c>
      <c r="AD377" s="181">
        <v>0</v>
      </c>
      <c r="AE377" s="181" t="s">
        <v>332</v>
      </c>
      <c r="AF377" s="181" t="s">
        <v>332</v>
      </c>
      <c r="AG377" s="181">
        <v>1</v>
      </c>
      <c r="AH377" s="181">
        <v>11</v>
      </c>
      <c r="AI377" s="181">
        <v>0</v>
      </c>
      <c r="AJ377" s="181">
        <f>VLOOKUP($I377,'Price List, Weapons &amp; Items'!B:F,5,0)</f>
        <v>0</v>
      </c>
      <c r="AK377" s="181">
        <f t="shared" si="71"/>
        <v>0</v>
      </c>
      <c r="AL377" s="181">
        <f t="shared" si="72"/>
        <v>0</v>
      </c>
      <c r="AM377" s="181">
        <f t="shared" si="73"/>
        <v>0</v>
      </c>
      <c r="AN377" s="180" t="str">
        <f>VLOOKUP($I377,'Price List, Weapons &amp; Items'!B:L,COLUMN('Price List, Weapons &amp; Items'!$J$11)-1,0)</f>
        <v>.</v>
      </c>
      <c r="AO377" s="180" t="str">
        <f>IF(I377=".",".",VLOOKUP($I377,'Price List, Weapons &amp; Items'!B:J,3,0))</f>
        <v>Military equipment</v>
      </c>
      <c r="AP377" s="545" t="str">
        <f t="shared" ca="1" si="67"/>
        <v/>
      </c>
      <c r="AQ377" s="180" t="str">
        <f>VLOOKUP($I377,'Price List, Weapons &amp; Items'!B:L,COLUMN('Price List, Weapons &amp; Items'!$L$11)-1,0)</f>
        <v>no price, 0 count</v>
      </c>
      <c r="AR377" s="180">
        <f t="shared" si="74"/>
        <v>0</v>
      </c>
      <c r="AS377" s="180">
        <f t="shared" si="75"/>
        <v>1</v>
      </c>
      <c r="AT377" s="180">
        <f t="shared" si="68"/>
        <v>1</v>
      </c>
      <c r="AU377" s="180" t="str">
        <f t="shared" si="76"/>
        <v>.</v>
      </c>
      <c r="AV377" s="180" t="str">
        <f t="shared" si="77"/>
        <v>.</v>
      </c>
      <c r="AW377" s="180">
        <f>IFERROR(VLOOKUP(B377,'Share, Heavy Weapons to Ukraine'!B:J,COLUMN('Share, Heavy Weapons to Ukraine'!C383)-1,0),0)</f>
        <v>0</v>
      </c>
      <c r="AX377" s="180">
        <f>VLOOKUP('Bilateral Assistance, MAIN DATA'!B377,'Country Summary'!B:F,COLUMN('Country Summary'!C386)-1,FALSE)</f>
        <v>1</v>
      </c>
      <c r="AY377" s="180" t="str">
        <f>IF(AND(AD377=1,D377="Military",H377&lt;&gt;"Not given")=TRUE,IF(SUMIFS(P:P,A:A,A377)&gt;0,ABS((SUMIFS(P:P,A:A,A377)/VLOOKUP("USD",'Exchange Rates'!B:C,2,0)))/S377,"."),".")</f>
        <v>.</v>
      </c>
      <c r="AZ377" s="182" t="str">
        <f>IF(AND(AD377=1,D377="Military",H377&lt;&gt;"Not given")=TRUE,IF(SUMIFS(P:P,A:A,A377)&gt;0,IF((ABS((SUMIFS(P:P,A:A,A377)/VLOOKUP("USD",'Exchange Rates'!B:C,2,0)))/S377)&gt;1,(SUMIFS(P:P,A:A,A377)-S377)/S377,(S377-SUMIFS(P:P,A:A,A377))/SUMIFS(P:P,A:A,A377)),"."),".")</f>
        <v>.</v>
      </c>
      <c r="BA377" s="182"/>
      <c r="BB377" s="182"/>
      <c r="BC377" s="182"/>
      <c r="BD377" s="182"/>
      <c r="BE377" s="182"/>
      <c r="BF377" s="182"/>
      <c r="BG377" s="182"/>
      <c r="BH377" s="182"/>
      <c r="BI377" s="182"/>
      <c r="BJ377" s="182"/>
      <c r="BK377" s="182"/>
      <c r="BL377" s="182"/>
      <c r="BM377" s="182"/>
      <c r="BN377" s="182"/>
      <c r="BO377" s="182"/>
      <c r="BP377" s="182"/>
      <c r="BQ377" s="182"/>
      <c r="BR377" s="182"/>
      <c r="BS377" s="182"/>
    </row>
    <row r="378" spans="1:71" ht="15.9" customHeight="1" x14ac:dyDescent="0.3">
      <c r="A378" s="5" t="s">
        <v>1275</v>
      </c>
      <c r="B378" s="5" t="s">
        <v>1131</v>
      </c>
      <c r="C378" s="174">
        <v>44924</v>
      </c>
      <c r="D378" s="5" t="s">
        <v>285</v>
      </c>
      <c r="E378" s="5" t="s">
        <v>286</v>
      </c>
      <c r="F378" s="1139" t="s">
        <v>1276</v>
      </c>
      <c r="G378" s="15" t="s">
        <v>364</v>
      </c>
      <c r="H378" s="176">
        <v>200000000</v>
      </c>
      <c r="I378" s="17" t="s">
        <v>260</v>
      </c>
      <c r="J378" s="113" t="str">
        <f>VLOOKUP($I378,'Price List, Weapons &amp; Items'!B:C,2,0)</f>
        <v>.</v>
      </c>
      <c r="K378" s="113" t="str">
        <f>IF(I378=".",I378,VLOOKUP($I378,'Price List, Weapons &amp; Items'!B:D,3,0))</f>
        <v>.</v>
      </c>
      <c r="L378" s="177">
        <f>VLOOKUP(I378,'Price List, Weapons &amp; Items'!B:E,4,0)</f>
        <v>0</v>
      </c>
      <c r="M378" s="542" t="s">
        <v>260</v>
      </c>
      <c r="N378" s="542" t="s">
        <v>260</v>
      </c>
      <c r="O378" s="543" t="str">
        <f>VLOOKUP($I378,'Price List, Weapons &amp; Items'!B:G,6,0)</f>
        <v>.</v>
      </c>
      <c r="P378" s="176" t="str">
        <f t="shared" si="69"/>
        <v>.</v>
      </c>
      <c r="Q378" s="176" t="str">
        <f t="shared" si="70"/>
        <v>.</v>
      </c>
      <c r="R378" s="176">
        <f t="shared" si="66"/>
        <v>200000000</v>
      </c>
      <c r="S378" s="176">
        <f>IF(AND(AD378=1,R378&lt;&gt;".")=TRUE,R378/VLOOKUP(G378,'Exchange Rates'!B:C,2,0),IF(R378=".",".",""))</f>
        <v>200000000</v>
      </c>
      <c r="T378" s="176" t="str">
        <f>IF(AD378=1,IF(AF378="Value is not given at all",".",IF(AF378="Value is given by the source",S378,IF(AF378="Value is calculated with prices",(IF(SUMIFS(Q:Q,A:A,A378)&gt;0,SUMIFS(Q:Q,A:A,A378),"."))/VLOOKUP("USD",'Exchange Rates'!B:C,2,0),"Error with coding"))),"")</f>
        <v>.</v>
      </c>
      <c r="U378" s="15" t="s">
        <v>261</v>
      </c>
      <c r="V378" s="569" t="s">
        <v>1277</v>
      </c>
      <c r="W378" s="547" t="s">
        <v>1278</v>
      </c>
      <c r="X378" s="305" t="s">
        <v>1279</v>
      </c>
      <c r="Y378" s="561" t="s">
        <v>1280</v>
      </c>
      <c r="Z378" s="15">
        <v>0</v>
      </c>
      <c r="AA378" s="15">
        <v>1</v>
      </c>
      <c r="AB378" s="184" t="s">
        <v>260</v>
      </c>
      <c r="AC378" s="544" t="str">
        <f>""</f>
        <v/>
      </c>
      <c r="AD378" s="181">
        <v>1</v>
      </c>
      <c r="AE378" s="181" t="s">
        <v>264</v>
      </c>
      <c r="AF378" s="181" t="s">
        <v>265</v>
      </c>
      <c r="AG378" s="181">
        <v>1</v>
      </c>
      <c r="AH378" s="181">
        <v>12</v>
      </c>
      <c r="AI378" s="181">
        <v>0</v>
      </c>
      <c r="AJ378" s="181">
        <f>VLOOKUP($I378,'Price List, Weapons &amp; Items'!B:F,5,0)</f>
        <v>0</v>
      </c>
      <c r="AK378" s="181">
        <f t="shared" si="71"/>
        <v>0</v>
      </c>
      <c r="AL378" s="181">
        <f t="shared" si="72"/>
        <v>0</v>
      </c>
      <c r="AM378" s="181">
        <f t="shared" si="73"/>
        <v>0</v>
      </c>
      <c r="AN378" s="180" t="str">
        <f>VLOOKUP($I378,'Price List, Weapons &amp; Items'!B:L,COLUMN('Price List, Weapons &amp; Items'!$J$11)-1,0)</f>
        <v>.</v>
      </c>
      <c r="AO378" s="180" t="str">
        <f>IF(I378=".",".",VLOOKUP($I378,'Price List, Weapons &amp; Items'!B:J,3,0))</f>
        <v>.</v>
      </c>
      <c r="AP378" s="545" t="e">
        <f t="shared" ca="1" si="67"/>
        <v>#NAME?</v>
      </c>
      <c r="AQ378" s="180" t="str">
        <f>VLOOKUP($I378,'Price List, Weapons &amp; Items'!B:L,COLUMN('Price List, Weapons &amp; Items'!$L$11)-1,0)</f>
        <v>no price, 0 count</v>
      </c>
      <c r="AR378" s="180">
        <f t="shared" si="74"/>
        <v>1</v>
      </c>
      <c r="AS378" s="180">
        <f t="shared" si="75"/>
        <v>1</v>
      </c>
      <c r="AT378" s="180">
        <f t="shared" si="68"/>
        <v>1</v>
      </c>
      <c r="AU378" s="180" t="str">
        <f t="shared" si="76"/>
        <v>.</v>
      </c>
      <c r="AV378" s="180" t="str">
        <f t="shared" si="77"/>
        <v>.</v>
      </c>
      <c r="AW378" s="180">
        <f>IFERROR(VLOOKUP(B378,'Share, Heavy Weapons to Ukraine'!B:J,COLUMN('Share, Heavy Weapons to Ukraine'!C384)-1,0),0)</f>
        <v>0</v>
      </c>
      <c r="AX378" s="180">
        <f>VLOOKUP('Bilateral Assistance, MAIN DATA'!B378,'Country Summary'!B:F,COLUMN('Country Summary'!C387)-1,FALSE)</f>
        <v>1</v>
      </c>
      <c r="AY378" s="180" t="str">
        <f>IF(AND(AD378=1,D378="Military",H378&lt;&gt;"Not given")=TRUE,IF(SUMIFS(P:P,A:A,A378)&gt;0,ABS((SUMIFS(P:P,A:A,A378)/VLOOKUP("USD",'Exchange Rates'!B:C,2,0)))/S378,"."),".")</f>
        <v>.</v>
      </c>
      <c r="AZ378" s="182" t="str">
        <f>IF(AND(AD378=1,D378="Military",H378&lt;&gt;"Not given")=TRUE,IF(SUMIFS(P:P,A:A,A378)&gt;0,IF((ABS((SUMIFS(P:P,A:A,A378)/VLOOKUP("USD",'Exchange Rates'!B:C,2,0)))/S378)&gt;1,(SUMIFS(P:P,A:A,A378)-S378)/S378,(S378-SUMIFS(P:P,A:A,A378))/SUMIFS(P:P,A:A,A378)),"."),".")</f>
        <v>.</v>
      </c>
      <c r="BA378" s="182"/>
      <c r="BB378" s="182"/>
      <c r="BC378" s="182"/>
      <c r="BD378" s="182"/>
      <c r="BE378" s="182"/>
      <c r="BF378" s="182"/>
      <c r="BG378" s="182"/>
      <c r="BH378" s="182"/>
      <c r="BI378" s="182"/>
      <c r="BJ378" s="182"/>
      <c r="BK378" s="182"/>
      <c r="BL378" s="182"/>
      <c r="BM378" s="182"/>
      <c r="BN378" s="182"/>
      <c r="BO378" s="182"/>
      <c r="BP378" s="182"/>
      <c r="BQ378" s="182"/>
      <c r="BR378" s="182"/>
      <c r="BS378" s="182"/>
    </row>
    <row r="379" spans="1:71" ht="15.9" customHeight="1" x14ac:dyDescent="0.3">
      <c r="A379" s="5" t="s">
        <v>1281</v>
      </c>
      <c r="B379" s="5" t="s">
        <v>1131</v>
      </c>
      <c r="C379" s="174">
        <v>44931</v>
      </c>
      <c r="D379" s="5" t="s">
        <v>285</v>
      </c>
      <c r="E379" s="5" t="s">
        <v>286</v>
      </c>
      <c r="F379" s="1139" t="s">
        <v>1282</v>
      </c>
      <c r="G379" s="15" t="s">
        <v>260</v>
      </c>
      <c r="H379" s="176" t="s">
        <v>341</v>
      </c>
      <c r="I379" s="17" t="s">
        <v>1283</v>
      </c>
      <c r="J379" s="113" t="str">
        <f>VLOOKUP($I379,'Price List, Weapons &amp; Items'!B:C,2,0)</f>
        <v>Heavy weapon</v>
      </c>
      <c r="K379" s="113" t="str">
        <f>IF(I379=".",I379,VLOOKUP($I379,'Price List, Weapons &amp; Items'!B:D,3,0))</f>
        <v>Main Battle Tank (MBT)</v>
      </c>
      <c r="L379" s="177">
        <f>VLOOKUP(I379,'Price List, Weapons &amp; Items'!B:E,4,0)</f>
        <v>0</v>
      </c>
      <c r="M379" s="542" t="s">
        <v>270</v>
      </c>
      <c r="N379" s="542" t="s">
        <v>270</v>
      </c>
      <c r="O379" s="543" t="str">
        <f>VLOOKUP($I379,'Price List, Weapons &amp; Items'!B:G,6,0)</f>
        <v>.</v>
      </c>
      <c r="P379" s="176" t="str">
        <f t="shared" si="69"/>
        <v>.</v>
      </c>
      <c r="Q379" s="176" t="str">
        <f t="shared" si="70"/>
        <v>.</v>
      </c>
      <c r="R379" s="176" t="str">
        <f t="shared" si="66"/>
        <v>.</v>
      </c>
      <c r="S379" s="176" t="str">
        <f>IF(AND(AD379=1,R379&lt;&gt;".")=TRUE,R379/VLOOKUP(G379,'Exchange Rates'!B:C,2,0),IF(R379=".",".",""))</f>
        <v>.</v>
      </c>
      <c r="T379" s="176" t="str">
        <f>IF(AD379=1,IF(AF379="Value is not given at all",".",IF(AF379="Value is given by the source",S379,IF(AF379="Value is calculated with prices",(IF(SUMIFS(Q:Q,A:A,A379)&gt;0,SUMIFS(Q:Q,A:A,A379),"."))/VLOOKUP("USD",'Exchange Rates'!B:C,2,0),"Error with coding"))),"")</f>
        <v>.</v>
      </c>
      <c r="U379" s="15" t="s">
        <v>261</v>
      </c>
      <c r="V379" s="569" t="s">
        <v>1277</v>
      </c>
      <c r="W379" s="305" t="s">
        <v>1284</v>
      </c>
      <c r="X379" s="305" t="s">
        <v>1285</v>
      </c>
      <c r="Y379" s="569" t="s">
        <v>1286</v>
      </c>
      <c r="Z379" s="15">
        <v>0</v>
      </c>
      <c r="AA379" s="15">
        <v>1</v>
      </c>
      <c r="AB379" s="184" t="s">
        <v>260</v>
      </c>
      <c r="AC379" s="544" t="str">
        <f>""</f>
        <v/>
      </c>
      <c r="AD379" s="181">
        <v>1</v>
      </c>
      <c r="AE379" s="181" t="s">
        <v>265</v>
      </c>
      <c r="AF379" s="181" t="s">
        <v>265</v>
      </c>
      <c r="AG379" s="181">
        <v>1</v>
      </c>
      <c r="AH379" s="181">
        <v>13</v>
      </c>
      <c r="AI379" s="181">
        <v>0</v>
      </c>
      <c r="AJ379" s="181">
        <f>VLOOKUP($I379,'Price List, Weapons &amp; Items'!B:F,5,0)</f>
        <v>0</v>
      </c>
      <c r="AK379" s="181">
        <f t="shared" si="71"/>
        <v>0</v>
      </c>
      <c r="AL379" s="181">
        <f t="shared" si="72"/>
        <v>0</v>
      </c>
      <c r="AM379" s="181">
        <f t="shared" si="73"/>
        <v>0</v>
      </c>
      <c r="AN379" s="180" t="str">
        <f>VLOOKUP($I379,'Price List, Weapons &amp; Items'!B:L,COLUMN('Price List, Weapons &amp; Items'!$J$11)-1,0)</f>
        <v>.</v>
      </c>
      <c r="AO379" s="180" t="str">
        <f>IF(I379=".",".",VLOOKUP($I379,'Price List, Weapons &amp; Items'!B:J,3,0))</f>
        <v>Main Battle Tank (MBT)</v>
      </c>
      <c r="AP379" s="545" t="e">
        <f t="shared" ca="1" si="67"/>
        <v>#NAME?</v>
      </c>
      <c r="AQ379" s="180" t="str">
        <f>VLOOKUP($I379,'Price List, Weapons &amp; Items'!B:L,COLUMN('Price List, Weapons &amp; Items'!$L$11)-1,0)</f>
        <v>no price, 0 count</v>
      </c>
      <c r="AR379" s="180">
        <f t="shared" si="74"/>
        <v>1</v>
      </c>
      <c r="AS379" s="180">
        <f t="shared" si="75"/>
        <v>1</v>
      </c>
      <c r="AT379" s="180">
        <f t="shared" si="68"/>
        <v>1</v>
      </c>
      <c r="AU379" s="180" t="str">
        <f t="shared" si="76"/>
        <v>.</v>
      </c>
      <c r="AV379" s="180" t="str">
        <f t="shared" si="77"/>
        <v>.</v>
      </c>
      <c r="AW379" s="180">
        <f>IFERROR(VLOOKUP(B379,'Share, Heavy Weapons to Ukraine'!B:J,COLUMN('Share, Heavy Weapons to Ukraine'!C385)-1,0),0)</f>
        <v>0</v>
      </c>
      <c r="AX379" s="180">
        <f>VLOOKUP('Bilateral Assistance, MAIN DATA'!B379,'Country Summary'!B:F,COLUMN('Country Summary'!C388)-1,FALSE)</f>
        <v>1</v>
      </c>
      <c r="AY379" s="180" t="str">
        <f>IF(AND(AD379=1,D379="Military",H379&lt;&gt;"Not given")=TRUE,IF(SUMIFS(P:P,A:A,A379)&gt;0,ABS((SUMIFS(P:P,A:A,A379)/VLOOKUP("USD",'Exchange Rates'!B:C,2,0)))/S379,"."),".")</f>
        <v>.</v>
      </c>
      <c r="AZ379" s="182" t="str">
        <f>IF(AND(AD379=1,D379="Military",H379&lt;&gt;"Not given")=TRUE,IF(SUMIFS(P:P,A:A,A379)&gt;0,IF((ABS((SUMIFS(P:P,A:A,A379)/VLOOKUP("USD",'Exchange Rates'!B:C,2,0)))/S379)&gt;1,(SUMIFS(P:P,A:A,A379)-S379)/S379,(S379-SUMIFS(P:P,A:A,A379))/SUMIFS(P:P,A:A,A379)),"."),".")</f>
        <v>.</v>
      </c>
      <c r="BA379" s="182"/>
      <c r="BB379" s="182"/>
      <c r="BC379" s="182"/>
      <c r="BD379" s="182"/>
      <c r="BE379" s="182"/>
      <c r="BF379" s="182"/>
      <c r="BG379" s="182"/>
      <c r="BH379" s="182"/>
      <c r="BI379" s="182"/>
      <c r="BJ379" s="182"/>
      <c r="BK379" s="182"/>
      <c r="BL379" s="182"/>
      <c r="BM379" s="182"/>
      <c r="BN379" s="182"/>
      <c r="BO379" s="182"/>
      <c r="BP379" s="182"/>
      <c r="BQ379" s="182"/>
      <c r="BR379" s="182"/>
      <c r="BS379" s="182"/>
    </row>
    <row r="380" spans="1:71" ht="15.9" customHeight="1" x14ac:dyDescent="0.3">
      <c r="A380" s="17" t="s">
        <v>1287</v>
      </c>
      <c r="B380" s="17" t="s">
        <v>1288</v>
      </c>
      <c r="C380" s="174" t="s">
        <v>1289</v>
      </c>
      <c r="D380" s="5" t="s">
        <v>256</v>
      </c>
      <c r="E380" s="5" t="s">
        <v>840</v>
      </c>
      <c r="F380" s="175" t="s">
        <v>1290</v>
      </c>
      <c r="G380" s="15" t="s">
        <v>364</v>
      </c>
      <c r="H380" s="176">
        <v>185000000</v>
      </c>
      <c r="I380" s="184" t="s">
        <v>260</v>
      </c>
      <c r="J380" s="113" t="str">
        <f>VLOOKUP($I380,'Price List, Weapons &amp; Items'!B:C,2,0)</f>
        <v>.</v>
      </c>
      <c r="K380" s="113" t="str">
        <f>IF(I380=".",I380,VLOOKUP($I380,'Price List, Weapons &amp; Items'!B:D,3,0))</f>
        <v>.</v>
      </c>
      <c r="L380" s="177">
        <f>VLOOKUP(I380,'Price List, Weapons &amp; Items'!B:E,4,0)</f>
        <v>0</v>
      </c>
      <c r="M380" s="542" t="s">
        <v>260</v>
      </c>
      <c r="N380" s="542" t="s">
        <v>260</v>
      </c>
      <c r="O380" s="543" t="str">
        <f>VLOOKUP($I380,'Price List, Weapons &amp; Items'!B:G,6,0)</f>
        <v>.</v>
      </c>
      <c r="P380" s="176" t="str">
        <f t="shared" si="69"/>
        <v>.</v>
      </c>
      <c r="Q380" s="176" t="str">
        <f t="shared" si="70"/>
        <v>.</v>
      </c>
      <c r="R380" s="176">
        <f t="shared" si="66"/>
        <v>185000000</v>
      </c>
      <c r="S380" s="176">
        <f>IF(AND(AD380=1,R380&lt;&gt;".")=TRUE,R380/VLOOKUP(G380,'Exchange Rates'!B:C,2,0),IF(R380=".",".",""))</f>
        <v>185000000</v>
      </c>
      <c r="T380" s="176" t="str">
        <f>IF(AD380=1,IF(AF380="Value is not given at all",".",IF(AF380="Value is given by the source",S380,IF(AF380="Value is calculated with prices",(IF(SUMIFS(Q:Q,A:A,A380)&gt;0,SUMIFS(Q:Q,A:A,A380),"."))/VLOOKUP("USD",'Exchange Rates'!B:C,2,0),"Error with coding"))),"")</f>
        <v>.</v>
      </c>
      <c r="U380" s="15" t="s">
        <v>261</v>
      </c>
      <c r="V380" s="300" t="s">
        <v>1291</v>
      </c>
      <c r="W380" s="300" t="s">
        <v>1292</v>
      </c>
      <c r="X380" s="546" t="s">
        <v>1293</v>
      </c>
      <c r="Y380" s="175" t="s">
        <v>260</v>
      </c>
      <c r="Z380" s="15">
        <v>0</v>
      </c>
      <c r="AA380" s="180">
        <v>0</v>
      </c>
      <c r="AB380" s="184" t="s">
        <v>260</v>
      </c>
      <c r="AC380" s="544" t="str">
        <f>""</f>
        <v/>
      </c>
      <c r="AD380" s="181">
        <v>1</v>
      </c>
      <c r="AE380" s="181" t="s">
        <v>264</v>
      </c>
      <c r="AF380" s="181" t="s">
        <v>265</v>
      </c>
      <c r="AG380" s="181">
        <v>1</v>
      </c>
      <c r="AH380" s="181">
        <v>5</v>
      </c>
      <c r="AI380" s="181">
        <v>0</v>
      </c>
      <c r="AJ380" s="181">
        <f>VLOOKUP($I380,'Price List, Weapons &amp; Items'!B:F,5,0)</f>
        <v>0</v>
      </c>
      <c r="AK380" s="181">
        <f t="shared" si="71"/>
        <v>0</v>
      </c>
      <c r="AL380" s="181">
        <f t="shared" si="72"/>
        <v>0</v>
      </c>
      <c r="AM380" s="181">
        <f t="shared" si="73"/>
        <v>0</v>
      </c>
      <c r="AN380" s="180" t="str">
        <f>VLOOKUP($I380,'Price List, Weapons &amp; Items'!B:L,COLUMN('Price List, Weapons &amp; Items'!$J$11)-1,0)</f>
        <v>.</v>
      </c>
      <c r="AO380" s="180" t="str">
        <f>IF(I380=".",".",VLOOKUP($I380,'Price List, Weapons &amp; Items'!B:J,3,0))</f>
        <v>.</v>
      </c>
      <c r="AP380" s="545" t="e">
        <f t="shared" ca="1" si="67"/>
        <v>#NAME?</v>
      </c>
      <c r="AQ380" s="180" t="str">
        <f>VLOOKUP($I380,'Price List, Weapons &amp; Items'!B:L,COLUMN('Price List, Weapons &amp; Items'!$L$11)-1,0)</f>
        <v>no price, 0 count</v>
      </c>
      <c r="AR380" s="180">
        <f t="shared" si="74"/>
        <v>1</v>
      </c>
      <c r="AS380" s="180">
        <f t="shared" si="75"/>
        <v>0</v>
      </c>
      <c r="AT380" s="180" t="str">
        <f t="shared" si="68"/>
        <v>Value is not in date format</v>
      </c>
      <c r="AU380" s="180" t="str">
        <f t="shared" si="76"/>
        <v>.</v>
      </c>
      <c r="AV380" s="180" t="str">
        <f t="shared" si="77"/>
        <v>.</v>
      </c>
      <c r="AW380" s="180">
        <f>IFERROR(VLOOKUP(B380,'Share, Heavy Weapons to Ukraine'!B:J,COLUMN('Share, Heavy Weapons to Ukraine'!C386)-1,0),0)</f>
        <v>0</v>
      </c>
      <c r="AX380" s="180">
        <f>VLOOKUP('Bilateral Assistance, MAIN DATA'!B380,'Country Summary'!B:F,COLUMN('Country Summary'!C389)-1,FALSE)</f>
        <v>1</v>
      </c>
      <c r="AY380" s="180" t="str">
        <f>IF(AND(AD380=1,D380="Military",H380&lt;&gt;"Not given")=TRUE,IF(SUMIFS(P:P,A:A,A380)&gt;0,ABS((SUMIFS(P:P,A:A,A380)/VLOOKUP("USD",'Exchange Rates'!B:C,2,0)))/S380,"."),".")</f>
        <v>.</v>
      </c>
      <c r="AZ380" s="182" t="str">
        <f>IF(AND(AD380=1,D380="Military",H380&lt;&gt;"Not given")=TRUE,IF(SUMIFS(P:P,A:A,A380)&gt;0,IF((ABS((SUMIFS(P:P,A:A,A380)/VLOOKUP("USD",'Exchange Rates'!B:C,2,0)))/S380)&gt;1,(SUMIFS(P:P,A:A,A380)-S380)/S380,(S380-SUMIFS(P:P,A:A,A380))/SUMIFS(P:P,A:A,A380)),"."),".")</f>
        <v>.</v>
      </c>
      <c r="BA380" s="182"/>
      <c r="BB380" s="182"/>
      <c r="BC380" s="182"/>
      <c r="BD380" s="182"/>
      <c r="BE380" s="182"/>
      <c r="BF380" s="182"/>
      <c r="BG380" s="182"/>
      <c r="BH380" s="182"/>
      <c r="BI380" s="182"/>
      <c r="BJ380" s="182"/>
      <c r="BK380" s="182"/>
      <c r="BL380" s="182"/>
      <c r="BM380" s="182"/>
      <c r="BN380" s="182"/>
      <c r="BO380" s="182"/>
      <c r="BP380" s="182"/>
      <c r="BQ380" s="182"/>
      <c r="BR380" s="182"/>
      <c r="BS380" s="182"/>
    </row>
    <row r="381" spans="1:71" ht="15.9" customHeight="1" x14ac:dyDescent="0.3">
      <c r="A381" s="17" t="s">
        <v>1294</v>
      </c>
      <c r="B381" s="17" t="s">
        <v>1288</v>
      </c>
      <c r="C381" s="174">
        <v>44660</v>
      </c>
      <c r="D381" s="5" t="s">
        <v>256</v>
      </c>
      <c r="E381" s="5" t="s">
        <v>257</v>
      </c>
      <c r="F381" s="175" t="s">
        <v>1295</v>
      </c>
      <c r="G381" s="15" t="s">
        <v>364</v>
      </c>
      <c r="H381" s="176">
        <v>370000000</v>
      </c>
      <c r="I381" s="184" t="s">
        <v>260</v>
      </c>
      <c r="J381" s="113" t="str">
        <f>VLOOKUP($I381,'Price List, Weapons &amp; Items'!B:C,2,0)</f>
        <v>.</v>
      </c>
      <c r="K381" s="113" t="str">
        <f>IF(I381=".",I381,VLOOKUP($I381,'Price List, Weapons &amp; Items'!B:D,3,0))</f>
        <v>.</v>
      </c>
      <c r="L381" s="177">
        <f>VLOOKUP(I381,'Price List, Weapons &amp; Items'!B:E,4,0)</f>
        <v>0</v>
      </c>
      <c r="M381" s="542" t="s">
        <v>260</v>
      </c>
      <c r="N381" s="542" t="s">
        <v>260</v>
      </c>
      <c r="O381" s="543" t="str">
        <f>VLOOKUP($I381,'Price List, Weapons &amp; Items'!B:G,6,0)</f>
        <v>.</v>
      </c>
      <c r="P381" s="176" t="str">
        <f t="shared" si="69"/>
        <v>.</v>
      </c>
      <c r="Q381" s="176" t="str">
        <f t="shared" si="70"/>
        <v>.</v>
      </c>
      <c r="R381" s="176">
        <f t="shared" si="66"/>
        <v>370000000</v>
      </c>
      <c r="S381" s="176">
        <f>IF(AND(AD381=1,R381&lt;&gt;".")=TRUE,R381/VLOOKUP(G381,'Exchange Rates'!B:C,2,0),IF(R381=".",".",""))</f>
        <v>370000000</v>
      </c>
      <c r="T381" s="176" t="str">
        <f>IF(AD381=1,IF(AF381="Value is not given at all",".",IF(AF381="Value is given by the source",S381,IF(AF381="Value is calculated with prices",(IF(SUMIFS(Q:Q,A:A,A381)&gt;0,SUMIFS(Q:Q,A:A,A381),"."))/VLOOKUP("USD",'Exchange Rates'!B:C,2,0),"Error with coding"))),"")</f>
        <v>.</v>
      </c>
      <c r="U381" s="15" t="s">
        <v>261</v>
      </c>
      <c r="V381" s="300" t="s">
        <v>1296</v>
      </c>
      <c r="W381" s="175" t="s">
        <v>260</v>
      </c>
      <c r="X381" s="175" t="s">
        <v>260</v>
      </c>
      <c r="Y381" s="175" t="s">
        <v>260</v>
      </c>
      <c r="Z381" s="15">
        <v>0</v>
      </c>
      <c r="AA381" s="180">
        <v>0</v>
      </c>
      <c r="AB381" s="184" t="s">
        <v>260</v>
      </c>
      <c r="AC381" s="544" t="str">
        <f>""</f>
        <v/>
      </c>
      <c r="AD381" s="183">
        <v>1</v>
      </c>
      <c r="AE381" s="183" t="s">
        <v>264</v>
      </c>
      <c r="AF381" s="183" t="s">
        <v>265</v>
      </c>
      <c r="AG381" s="183">
        <v>1</v>
      </c>
      <c r="AH381" s="181">
        <v>4</v>
      </c>
      <c r="AI381" s="181">
        <v>0</v>
      </c>
      <c r="AJ381" s="181">
        <f>VLOOKUP($I381,'Price List, Weapons &amp; Items'!B:F,5,0)</f>
        <v>0</v>
      </c>
      <c r="AK381" s="181">
        <f t="shared" si="71"/>
        <v>0</v>
      </c>
      <c r="AL381" s="181">
        <f t="shared" si="72"/>
        <v>0</v>
      </c>
      <c r="AM381" s="181">
        <f t="shared" si="73"/>
        <v>0</v>
      </c>
      <c r="AN381" s="180" t="str">
        <f>VLOOKUP($I381,'Price List, Weapons &amp; Items'!B:L,COLUMN('Price List, Weapons &amp; Items'!$J$11)-1,0)</f>
        <v>.</v>
      </c>
      <c r="AO381" s="180" t="str">
        <f>IF(I381=".",".",VLOOKUP($I381,'Price List, Weapons &amp; Items'!B:J,3,0))</f>
        <v>.</v>
      </c>
      <c r="AP381" s="545" t="e">
        <f t="shared" ca="1" si="67"/>
        <v>#NAME?</v>
      </c>
      <c r="AQ381" s="180" t="str">
        <f>VLOOKUP($I381,'Price List, Weapons &amp; Items'!B:L,COLUMN('Price List, Weapons &amp; Items'!$L$11)-1,0)</f>
        <v>no price, 0 count</v>
      </c>
      <c r="AR381" s="180">
        <f t="shared" si="74"/>
        <v>1</v>
      </c>
      <c r="AS381" s="180">
        <f t="shared" si="75"/>
        <v>0</v>
      </c>
      <c r="AT381" s="180">
        <f t="shared" si="68"/>
        <v>1</v>
      </c>
      <c r="AU381" s="180" t="str">
        <f t="shared" si="76"/>
        <v>.</v>
      </c>
      <c r="AV381" s="180" t="str">
        <f t="shared" si="77"/>
        <v>.</v>
      </c>
      <c r="AW381" s="180">
        <f>IFERROR(VLOOKUP(B381,'Share, Heavy Weapons to Ukraine'!B:J,COLUMN('Share, Heavy Weapons to Ukraine'!C387)-1,0),0)</f>
        <v>0</v>
      </c>
      <c r="AX381" s="180">
        <f>VLOOKUP('Bilateral Assistance, MAIN DATA'!B381,'Country Summary'!B:F,COLUMN('Country Summary'!C390)-1,FALSE)</f>
        <v>1</v>
      </c>
      <c r="AY381" s="180" t="str">
        <f>IF(AND(AD381=1,D381="Military",H381&lt;&gt;"Not given")=TRUE,IF(SUMIFS(P:P,A:A,A381)&gt;0,ABS((SUMIFS(P:P,A:A,A381)/VLOOKUP("USD",'Exchange Rates'!B:C,2,0)))/S381,"."),".")</f>
        <v>.</v>
      </c>
      <c r="AZ381" s="182" t="str">
        <f>IF(AND(AD381=1,D381="Military",H381&lt;&gt;"Not given")=TRUE,IF(SUMIFS(P:P,A:A,A381)&gt;0,IF((ABS((SUMIFS(P:P,A:A,A381)/VLOOKUP("USD",'Exchange Rates'!B:C,2,0)))/S381)&gt;1,(SUMIFS(P:P,A:A,A381)-S381)/S381,(S381-SUMIFS(P:P,A:A,A381))/SUMIFS(P:P,A:A,A381)),"."),".")</f>
        <v>.</v>
      </c>
      <c r="BA381" s="182"/>
      <c r="BB381" s="182"/>
      <c r="BC381" s="182"/>
      <c r="BD381" s="182"/>
      <c r="BE381" s="182"/>
      <c r="BF381" s="182"/>
      <c r="BG381" s="182"/>
      <c r="BH381" s="182"/>
      <c r="BI381" s="182"/>
      <c r="BJ381" s="182"/>
      <c r="BK381" s="182"/>
      <c r="BL381" s="182"/>
      <c r="BM381" s="182"/>
      <c r="BN381" s="182"/>
      <c r="BO381" s="182"/>
      <c r="BP381" s="182"/>
      <c r="BQ381" s="182"/>
      <c r="BR381" s="182"/>
      <c r="BS381" s="182"/>
    </row>
    <row r="382" spans="1:71" ht="15.9" customHeight="1" x14ac:dyDescent="0.3">
      <c r="A382" s="17" t="s">
        <v>1297</v>
      </c>
      <c r="B382" s="17" t="s">
        <v>1288</v>
      </c>
      <c r="C382" s="174">
        <v>44660</v>
      </c>
      <c r="D382" s="5" t="s">
        <v>256</v>
      </c>
      <c r="E382" s="5" t="s">
        <v>257</v>
      </c>
      <c r="F382" s="175" t="s">
        <v>1298</v>
      </c>
      <c r="G382" s="15" t="s">
        <v>364</v>
      </c>
      <c r="H382" s="176">
        <v>70000000</v>
      </c>
      <c r="I382" s="17" t="s">
        <v>260</v>
      </c>
      <c r="J382" s="113" t="str">
        <f>VLOOKUP($I382,'Price List, Weapons &amp; Items'!B:C,2,0)</f>
        <v>.</v>
      </c>
      <c r="K382" s="113" t="str">
        <f>IF(I382=".",I382,VLOOKUP($I382,'Price List, Weapons &amp; Items'!B:D,3,0))</f>
        <v>.</v>
      </c>
      <c r="L382" s="177">
        <f>VLOOKUP(I382,'Price List, Weapons &amp; Items'!B:E,4,0)</f>
        <v>0</v>
      </c>
      <c r="M382" s="542" t="s">
        <v>260</v>
      </c>
      <c r="N382" s="542" t="s">
        <v>260</v>
      </c>
      <c r="O382" s="543" t="str">
        <f>VLOOKUP($I382,'Price List, Weapons &amp; Items'!B:G,6,0)</f>
        <v>.</v>
      </c>
      <c r="P382" s="176" t="str">
        <f t="shared" si="69"/>
        <v>.</v>
      </c>
      <c r="Q382" s="176" t="str">
        <f t="shared" si="70"/>
        <v>.</v>
      </c>
      <c r="R382" s="176">
        <f t="shared" si="66"/>
        <v>70000000</v>
      </c>
      <c r="S382" s="176">
        <f>IF(AND(AD382=1,R382&lt;&gt;".")=TRUE,R382/VLOOKUP(G382,'Exchange Rates'!B:C,2,0),IF(R382=".",".",""))</f>
        <v>70000000</v>
      </c>
      <c r="T382" s="176" t="str">
        <f>IF(AD382=1,IF(AF382="Value is not given at all",".",IF(AF382="Value is given by the source",S382,IF(AF382="Value is calculated with prices",(IF(SUMIFS(Q:Q,A:A,A382)&gt;0,SUMIFS(Q:Q,A:A,A382),"."))/VLOOKUP("USD",'Exchange Rates'!B:C,2,0),"Error with coding"))),"")</f>
        <v>.</v>
      </c>
      <c r="U382" s="15" t="s">
        <v>261</v>
      </c>
      <c r="V382" s="300" t="s">
        <v>1296</v>
      </c>
      <c r="W382" s="300" t="s">
        <v>425</v>
      </c>
      <c r="X382" s="175" t="s">
        <v>260</v>
      </c>
      <c r="Y382" s="175" t="s">
        <v>260</v>
      </c>
      <c r="Z382" s="15">
        <v>0</v>
      </c>
      <c r="AA382" s="180">
        <v>0</v>
      </c>
      <c r="AB382" s="184" t="s">
        <v>260</v>
      </c>
      <c r="AC382" s="544" t="str">
        <f>""</f>
        <v/>
      </c>
      <c r="AD382" s="183">
        <v>1</v>
      </c>
      <c r="AE382" s="183" t="s">
        <v>264</v>
      </c>
      <c r="AF382" s="183" t="s">
        <v>265</v>
      </c>
      <c r="AG382" s="183">
        <v>1</v>
      </c>
      <c r="AH382" s="181">
        <v>4</v>
      </c>
      <c r="AI382" s="181">
        <v>0</v>
      </c>
      <c r="AJ382" s="181">
        <f>VLOOKUP($I382,'Price List, Weapons &amp; Items'!B:F,5,0)</f>
        <v>0</v>
      </c>
      <c r="AK382" s="181">
        <f t="shared" si="71"/>
        <v>0</v>
      </c>
      <c r="AL382" s="181">
        <f t="shared" si="72"/>
        <v>0</v>
      </c>
      <c r="AM382" s="181">
        <f t="shared" si="73"/>
        <v>0</v>
      </c>
      <c r="AN382" s="180" t="str">
        <f>VLOOKUP($I382,'Price List, Weapons &amp; Items'!B:L,COLUMN('Price List, Weapons &amp; Items'!$J$11)-1,0)</f>
        <v>.</v>
      </c>
      <c r="AO382" s="180" t="str">
        <f>IF(I382=".",".",VLOOKUP($I382,'Price List, Weapons &amp; Items'!B:J,3,0))</f>
        <v>.</v>
      </c>
      <c r="AP382" s="545" t="e">
        <f t="shared" ca="1" si="67"/>
        <v>#NAME?</v>
      </c>
      <c r="AQ382" s="180" t="str">
        <f>VLOOKUP($I382,'Price List, Weapons &amp; Items'!B:L,COLUMN('Price List, Weapons &amp; Items'!$L$11)-1,0)</f>
        <v>no price, 0 count</v>
      </c>
      <c r="AR382" s="180">
        <f t="shared" si="74"/>
        <v>1</v>
      </c>
      <c r="AS382" s="180">
        <f t="shared" si="75"/>
        <v>0</v>
      </c>
      <c r="AT382" s="180">
        <f t="shared" si="68"/>
        <v>1</v>
      </c>
      <c r="AU382" s="180" t="str">
        <f t="shared" si="76"/>
        <v>.</v>
      </c>
      <c r="AV382" s="180" t="str">
        <f t="shared" si="77"/>
        <v>.</v>
      </c>
      <c r="AW382" s="180">
        <f>IFERROR(VLOOKUP(B382,'Share, Heavy Weapons to Ukraine'!B:J,COLUMN('Share, Heavy Weapons to Ukraine'!C388)-1,0),0)</f>
        <v>0</v>
      </c>
      <c r="AX382" s="180">
        <f>VLOOKUP('Bilateral Assistance, MAIN DATA'!B382,'Country Summary'!B:F,COLUMN('Country Summary'!C391)-1,FALSE)</f>
        <v>1</v>
      </c>
      <c r="AY382" s="180" t="str">
        <f>IF(AND(AD382=1,D382="Military",H382&lt;&gt;"Not given")=TRUE,IF(SUMIFS(P:P,A:A,A382)&gt;0,ABS((SUMIFS(P:P,A:A,A382)/VLOOKUP("USD",'Exchange Rates'!B:C,2,0)))/S382,"."),".")</f>
        <v>.</v>
      </c>
      <c r="AZ382" s="182" t="str">
        <f>IF(AND(AD382=1,D382="Military",H382&lt;&gt;"Not given")=TRUE,IF(SUMIFS(P:P,A:A,A382)&gt;0,IF((ABS((SUMIFS(P:P,A:A,A382)/VLOOKUP("USD",'Exchange Rates'!B:C,2,0)))/S382)&gt;1,(SUMIFS(P:P,A:A,A382)-S382)/S382,(S382-SUMIFS(P:P,A:A,A382))/SUMIFS(P:P,A:A,A382)),"."),".")</f>
        <v>.</v>
      </c>
      <c r="BA382" s="182"/>
      <c r="BB382" s="182"/>
      <c r="BC382" s="182"/>
      <c r="BD382" s="182"/>
      <c r="BE382" s="182"/>
      <c r="BF382" s="182"/>
      <c r="BG382" s="182"/>
      <c r="BH382" s="182"/>
      <c r="BI382" s="182"/>
      <c r="BJ382" s="182"/>
      <c r="BK382" s="182"/>
      <c r="BL382" s="182"/>
      <c r="BM382" s="182"/>
      <c r="BN382" s="182"/>
      <c r="BO382" s="182"/>
      <c r="BP382" s="182"/>
      <c r="BQ382" s="182"/>
      <c r="BR382" s="182"/>
      <c r="BS382" s="182"/>
    </row>
    <row r="383" spans="1:71" ht="15.9" customHeight="1" x14ac:dyDescent="0.3">
      <c r="A383" s="17" t="s">
        <v>1299</v>
      </c>
      <c r="B383" s="17" t="s">
        <v>1288</v>
      </c>
      <c r="C383" s="174">
        <v>44686</v>
      </c>
      <c r="D383" s="5" t="s">
        <v>256</v>
      </c>
      <c r="E383" s="5" t="s">
        <v>257</v>
      </c>
      <c r="F383" s="175" t="s">
        <v>1300</v>
      </c>
      <c r="G383" s="15" t="s">
        <v>364</v>
      </c>
      <c r="H383" s="176">
        <v>125000000</v>
      </c>
      <c r="I383" s="17" t="s">
        <v>260</v>
      </c>
      <c r="J383" s="113" t="str">
        <f>VLOOKUP($I383,'Price List, Weapons &amp; Items'!B:C,2,0)</f>
        <v>.</v>
      </c>
      <c r="K383" s="113" t="str">
        <f>IF(I383=".",I383,VLOOKUP($I383,'Price List, Weapons &amp; Items'!B:D,3,0))</f>
        <v>.</v>
      </c>
      <c r="L383" s="177">
        <f>VLOOKUP(I383,'Price List, Weapons &amp; Items'!B:E,4,0)</f>
        <v>0</v>
      </c>
      <c r="M383" s="542" t="s">
        <v>260</v>
      </c>
      <c r="N383" s="542" t="s">
        <v>260</v>
      </c>
      <c r="O383" s="543" t="str">
        <f>VLOOKUP($I383,'Price List, Weapons &amp; Items'!B:G,6,0)</f>
        <v>.</v>
      </c>
      <c r="P383" s="176" t="str">
        <f t="shared" si="69"/>
        <v>.</v>
      </c>
      <c r="Q383" s="176" t="str">
        <f t="shared" si="70"/>
        <v>.</v>
      </c>
      <c r="R383" s="176">
        <f t="shared" si="66"/>
        <v>125000000</v>
      </c>
      <c r="S383" s="176">
        <f>IF(AND(AD383=1,R383&lt;&gt;".")=TRUE,R383/VLOOKUP(G383,'Exchange Rates'!B:C,2,0),IF(R383=".",".",""))</f>
        <v>125000000</v>
      </c>
      <c r="T383" s="176" t="str">
        <f>IF(AD383=1,IF(AF383="Value is not given at all",".",IF(AF383="Value is given by the source",S383,IF(AF383="Value is calculated with prices",(IF(SUMIFS(Q:Q,A:A,A383)&gt;0,SUMIFS(Q:Q,A:A,A383),"."))/VLOOKUP("USD",'Exchange Rates'!B:C,2,0),"Error with coding"))),"")</f>
        <v>.</v>
      </c>
      <c r="U383" s="15" t="s">
        <v>415</v>
      </c>
      <c r="V383" s="300" t="s">
        <v>1301</v>
      </c>
      <c r="W383" s="175" t="s">
        <v>260</v>
      </c>
      <c r="X383" s="175" t="s">
        <v>260</v>
      </c>
      <c r="Y383" s="175" t="s">
        <v>260</v>
      </c>
      <c r="Z383" s="15">
        <v>0</v>
      </c>
      <c r="AA383" s="180">
        <v>0</v>
      </c>
      <c r="AB383" s="184" t="s">
        <v>260</v>
      </c>
      <c r="AC383" s="544" t="str">
        <f>""</f>
        <v/>
      </c>
      <c r="AD383" s="183">
        <v>1</v>
      </c>
      <c r="AE383" s="183" t="s">
        <v>264</v>
      </c>
      <c r="AF383" s="183" t="s">
        <v>265</v>
      </c>
      <c r="AG383" s="183">
        <v>1</v>
      </c>
      <c r="AH383" s="181">
        <v>5</v>
      </c>
      <c r="AI383" s="181">
        <v>0</v>
      </c>
      <c r="AJ383" s="181">
        <f>VLOOKUP($I383,'Price List, Weapons &amp; Items'!B:F,5,0)</f>
        <v>0</v>
      </c>
      <c r="AK383" s="181">
        <f t="shared" si="71"/>
        <v>0</v>
      </c>
      <c r="AL383" s="181">
        <f t="shared" si="72"/>
        <v>0</v>
      </c>
      <c r="AM383" s="181">
        <f t="shared" si="73"/>
        <v>0</v>
      </c>
      <c r="AN383" s="180" t="str">
        <f>VLOOKUP($I383,'Price List, Weapons &amp; Items'!B:L,COLUMN('Price List, Weapons &amp; Items'!$J$11)-1,0)</f>
        <v>.</v>
      </c>
      <c r="AO383" s="180" t="str">
        <f>IF(I383=".",".",VLOOKUP($I383,'Price List, Weapons &amp; Items'!B:J,3,0))</f>
        <v>.</v>
      </c>
      <c r="AP383" s="545" t="e">
        <f t="shared" ca="1" si="67"/>
        <v>#NAME?</v>
      </c>
      <c r="AQ383" s="180" t="str">
        <f>VLOOKUP($I383,'Price List, Weapons &amp; Items'!B:L,COLUMN('Price List, Weapons &amp; Items'!$L$11)-1,0)</f>
        <v>no price, 0 count</v>
      </c>
      <c r="AR383" s="180">
        <f t="shared" si="74"/>
        <v>0</v>
      </c>
      <c r="AS383" s="180">
        <f t="shared" si="75"/>
        <v>0</v>
      </c>
      <c r="AT383" s="180">
        <f t="shared" si="68"/>
        <v>1</v>
      </c>
      <c r="AU383" s="180" t="str">
        <f t="shared" si="76"/>
        <v>.</v>
      </c>
      <c r="AV383" s="180" t="str">
        <f t="shared" si="77"/>
        <v>.</v>
      </c>
      <c r="AW383" s="180">
        <f>IFERROR(VLOOKUP(B383,'Share, Heavy Weapons to Ukraine'!B:J,COLUMN('Share, Heavy Weapons to Ukraine'!C389)-1,0),0)</f>
        <v>0</v>
      </c>
      <c r="AX383" s="180">
        <f>VLOOKUP('Bilateral Assistance, MAIN DATA'!B383,'Country Summary'!B:F,COLUMN('Country Summary'!C392)-1,FALSE)</f>
        <v>1</v>
      </c>
      <c r="AY383" s="180" t="str">
        <f>IF(AND(AD383=1,D383="Military",H383&lt;&gt;"Not given")=TRUE,IF(SUMIFS(P:P,A:A,A383)&gt;0,ABS((SUMIFS(P:P,A:A,A383)/VLOOKUP("USD",'Exchange Rates'!B:C,2,0)))/S383,"."),".")</f>
        <v>.</v>
      </c>
      <c r="AZ383" s="182" t="str">
        <f>IF(AND(AD383=1,D383="Military",H383&lt;&gt;"Not given")=TRUE,IF(SUMIFS(P:P,A:A,A383)&gt;0,IF((ABS((SUMIFS(P:P,A:A,A383)/VLOOKUP("USD",'Exchange Rates'!B:C,2,0)))/S383)&gt;1,(SUMIFS(P:P,A:A,A383)-S383)/S383,(S383-SUMIFS(P:P,A:A,A383))/SUMIFS(P:P,A:A,A383)),"."),".")</f>
        <v>.</v>
      </c>
      <c r="BA383" s="182"/>
      <c r="BB383" s="182"/>
      <c r="BC383" s="182"/>
      <c r="BD383" s="182"/>
      <c r="BE383" s="182"/>
      <c r="BF383" s="182"/>
      <c r="BG383" s="182"/>
      <c r="BH383" s="182"/>
      <c r="BI383" s="182"/>
      <c r="BJ383" s="182"/>
      <c r="BK383" s="182"/>
      <c r="BL383" s="182"/>
      <c r="BM383" s="182"/>
      <c r="BN383" s="182"/>
      <c r="BO383" s="182"/>
      <c r="BP383" s="182"/>
      <c r="BQ383" s="182"/>
      <c r="BR383" s="182"/>
      <c r="BS383" s="182"/>
    </row>
    <row r="384" spans="1:71" ht="15.9" customHeight="1" x14ac:dyDescent="0.3">
      <c r="A384" s="17" t="s">
        <v>1302</v>
      </c>
      <c r="B384" s="17" t="s">
        <v>1288</v>
      </c>
      <c r="C384" s="174">
        <v>44746</v>
      </c>
      <c r="D384" s="5" t="s">
        <v>256</v>
      </c>
      <c r="E384" s="5" t="s">
        <v>257</v>
      </c>
      <c r="F384" s="175" t="s">
        <v>1303</v>
      </c>
      <c r="G384" s="15" t="s">
        <v>364</v>
      </c>
      <c r="H384" s="176">
        <v>406000000</v>
      </c>
      <c r="I384" s="17" t="s">
        <v>260</v>
      </c>
      <c r="J384" s="113" t="str">
        <f>VLOOKUP($I384,'Price List, Weapons &amp; Items'!B:C,2,0)</f>
        <v>.</v>
      </c>
      <c r="K384" s="113" t="str">
        <f>IF(I384=".",I384,VLOOKUP($I384,'Price List, Weapons &amp; Items'!B:D,3,0))</f>
        <v>.</v>
      </c>
      <c r="L384" s="177">
        <f>VLOOKUP(I384,'Price List, Weapons &amp; Items'!B:E,4,0)</f>
        <v>0</v>
      </c>
      <c r="M384" s="542" t="s">
        <v>260</v>
      </c>
      <c r="N384" s="542" t="s">
        <v>260</v>
      </c>
      <c r="O384" s="543" t="str">
        <f>VLOOKUP($I384,'Price List, Weapons &amp; Items'!B:G,6,0)</f>
        <v>.</v>
      </c>
      <c r="P384" s="176" t="str">
        <f t="shared" si="69"/>
        <v>.</v>
      </c>
      <c r="Q384" s="176" t="str">
        <f t="shared" si="70"/>
        <v>.</v>
      </c>
      <c r="R384" s="176">
        <f t="shared" si="66"/>
        <v>406000000</v>
      </c>
      <c r="S384" s="176">
        <f>IF(AND(AD384=1,R384&lt;&gt;".")=TRUE,R384/VLOOKUP(G384,'Exchange Rates'!B:C,2,0),IF(R384=".",".",""))</f>
        <v>406000000</v>
      </c>
      <c r="T384" s="176" t="str">
        <f>IF(AD384=1,IF(AF384="Value is not given at all",".",IF(AF384="Value is given by the source",S384,IF(AF384="Value is calculated with prices",(IF(SUMIFS(Q:Q,A:A,A384)&gt;0,SUMIFS(Q:Q,A:A,A384),"."))/VLOOKUP("USD",'Exchange Rates'!B:C,2,0),"Error with coding"))),"")</f>
        <v>.</v>
      </c>
      <c r="U384" s="15" t="s">
        <v>261</v>
      </c>
      <c r="V384" s="300" t="s">
        <v>1293</v>
      </c>
      <c r="W384" s="175" t="s">
        <v>260</v>
      </c>
      <c r="X384" s="175" t="s">
        <v>260</v>
      </c>
      <c r="Y384" s="175" t="s">
        <v>260</v>
      </c>
      <c r="Z384" s="15">
        <v>0</v>
      </c>
      <c r="AA384" s="15">
        <v>1</v>
      </c>
      <c r="AB384" s="184" t="s">
        <v>260</v>
      </c>
      <c r="AC384" s="544" t="str">
        <f>""</f>
        <v/>
      </c>
      <c r="AD384" s="183">
        <v>1</v>
      </c>
      <c r="AE384" s="183" t="s">
        <v>264</v>
      </c>
      <c r="AF384" s="183" t="s">
        <v>265</v>
      </c>
      <c r="AG384" s="183">
        <v>1</v>
      </c>
      <c r="AH384" s="181">
        <v>7</v>
      </c>
      <c r="AI384" s="181">
        <v>0</v>
      </c>
      <c r="AJ384" s="181">
        <f>VLOOKUP($I384,'Price List, Weapons &amp; Items'!B:F,5,0)</f>
        <v>0</v>
      </c>
      <c r="AK384" s="181">
        <f t="shared" si="71"/>
        <v>0</v>
      </c>
      <c r="AL384" s="181">
        <f t="shared" si="72"/>
        <v>0</v>
      </c>
      <c r="AM384" s="181">
        <f t="shared" si="73"/>
        <v>0</v>
      </c>
      <c r="AN384" s="180" t="str">
        <f>VLOOKUP($I384,'Price List, Weapons &amp; Items'!B:L,COLUMN('Price List, Weapons &amp; Items'!$J$11)-1,0)</f>
        <v>.</v>
      </c>
      <c r="AO384" s="180" t="str">
        <f>IF(I384=".",".",VLOOKUP($I384,'Price List, Weapons &amp; Items'!B:J,3,0))</f>
        <v>.</v>
      </c>
      <c r="AP384" s="545" t="e">
        <f t="shared" ca="1" si="67"/>
        <v>#NAME?</v>
      </c>
      <c r="AQ384" s="180" t="str">
        <f>VLOOKUP($I384,'Price List, Weapons &amp; Items'!B:L,COLUMN('Price List, Weapons &amp; Items'!$L$11)-1,0)</f>
        <v>no price, 0 count</v>
      </c>
      <c r="AR384" s="180">
        <f t="shared" si="74"/>
        <v>1</v>
      </c>
      <c r="AS384" s="180">
        <f t="shared" si="75"/>
        <v>0</v>
      </c>
      <c r="AT384" s="180">
        <f t="shared" si="68"/>
        <v>1</v>
      </c>
      <c r="AU384" s="180" t="str">
        <f t="shared" si="76"/>
        <v>.</v>
      </c>
      <c r="AV384" s="180" t="str">
        <f t="shared" si="77"/>
        <v>.</v>
      </c>
      <c r="AW384" s="180">
        <f>IFERROR(VLOOKUP(B384,'Share, Heavy Weapons to Ukraine'!B:J,COLUMN('Share, Heavy Weapons to Ukraine'!C390)-1,0),0)</f>
        <v>0</v>
      </c>
      <c r="AX384" s="180">
        <f>VLOOKUP('Bilateral Assistance, MAIN DATA'!B384,'Country Summary'!B:F,COLUMN('Country Summary'!C393)-1,FALSE)</f>
        <v>1</v>
      </c>
      <c r="AY384" s="180" t="str">
        <f>IF(AND(AD384=1,D384="Military",H384&lt;&gt;"Not given")=TRUE,IF(SUMIFS(P:P,A:A,A384)&gt;0,ABS((SUMIFS(P:P,A:A,A384)/VLOOKUP("USD",'Exchange Rates'!B:C,2,0)))/S384,"."),".")</f>
        <v>.</v>
      </c>
      <c r="AZ384" s="182" t="str">
        <f>IF(AND(AD384=1,D384="Military",H384&lt;&gt;"Not given")=TRUE,IF(SUMIFS(P:P,A:A,A384)&gt;0,IF((ABS((SUMIFS(P:P,A:A,A384)/VLOOKUP("USD",'Exchange Rates'!B:C,2,0)))/S384)&gt;1,(SUMIFS(P:P,A:A,A384)-S384)/S384,(S384-SUMIFS(P:P,A:A,A384))/SUMIFS(P:P,A:A,A384)),"."),".")</f>
        <v>.</v>
      </c>
      <c r="BA384" s="182"/>
      <c r="BB384" s="182"/>
      <c r="BC384" s="182"/>
      <c r="BD384" s="182"/>
      <c r="BE384" s="182"/>
      <c r="BF384" s="182"/>
      <c r="BG384" s="182"/>
      <c r="BH384" s="182"/>
      <c r="BI384" s="182"/>
      <c r="BJ384" s="182"/>
      <c r="BK384" s="182"/>
      <c r="BL384" s="182"/>
      <c r="BM384" s="182"/>
      <c r="BN384" s="182"/>
      <c r="BO384" s="182"/>
      <c r="BP384" s="182"/>
      <c r="BQ384" s="182"/>
      <c r="BR384" s="182"/>
      <c r="BS384" s="182"/>
    </row>
    <row r="385" spans="1:71" ht="15.9" customHeight="1" x14ac:dyDescent="0.3">
      <c r="A385" s="17" t="s">
        <v>1304</v>
      </c>
      <c r="B385" s="17" t="s">
        <v>1288</v>
      </c>
      <c r="C385" s="174">
        <v>44808</v>
      </c>
      <c r="D385" s="5" t="s">
        <v>256</v>
      </c>
      <c r="E385" s="5" t="s">
        <v>362</v>
      </c>
      <c r="F385" s="175" t="s">
        <v>1305</v>
      </c>
      <c r="G385" s="15" t="s">
        <v>364</v>
      </c>
      <c r="H385" s="176">
        <v>200000000</v>
      </c>
      <c r="I385" s="17" t="s">
        <v>260</v>
      </c>
      <c r="J385" s="113" t="str">
        <f>VLOOKUP($I385,'Price List, Weapons &amp; Items'!B:C,2,0)</f>
        <v>.</v>
      </c>
      <c r="K385" s="113" t="str">
        <f>IF(I385=".",I385,VLOOKUP($I385,'Price List, Weapons &amp; Items'!B:D,3,0))</f>
        <v>.</v>
      </c>
      <c r="L385" s="177">
        <f>VLOOKUP(I385,'Price List, Weapons &amp; Items'!B:E,4,0)</f>
        <v>0</v>
      </c>
      <c r="M385" s="542" t="s">
        <v>260</v>
      </c>
      <c r="N385" s="542" t="s">
        <v>260</v>
      </c>
      <c r="O385" s="543" t="str">
        <f>VLOOKUP($I385,'Price List, Weapons &amp; Items'!B:G,6,0)</f>
        <v>.</v>
      </c>
      <c r="P385" s="176" t="str">
        <f t="shared" si="69"/>
        <v>.</v>
      </c>
      <c r="Q385" s="176" t="str">
        <f t="shared" si="70"/>
        <v>.</v>
      </c>
      <c r="R385" s="176">
        <f t="shared" si="66"/>
        <v>200000000</v>
      </c>
      <c r="S385" s="176">
        <f>IF(AND(AD385=1,R385&lt;&gt;".")=TRUE,R385/VLOOKUP(G385,'Exchange Rates'!B:C,2,0),IF(R385=".",".",""))</f>
        <v>200000000</v>
      </c>
      <c r="T385" s="176" t="str">
        <f>IF(AD385=1,IF(AF385="Value is not given at all",".",IF(AF385="Value is given by the source",S385,IF(AF385="Value is calculated with prices",(IF(SUMIFS(Q:Q,A:A,A385)&gt;0,SUMIFS(Q:Q,A:A,A385),"."))/VLOOKUP("USD",'Exchange Rates'!B:C,2,0),"Error with coding"))),"")</f>
        <v>.</v>
      </c>
      <c r="U385" s="15" t="s">
        <v>261</v>
      </c>
      <c r="V385" s="546" t="s">
        <v>1306</v>
      </c>
      <c r="W385" s="300" t="s">
        <v>1307</v>
      </c>
      <c r="X385" s="668" t="s">
        <v>260</v>
      </c>
      <c r="Y385" s="175" t="s">
        <v>260</v>
      </c>
      <c r="Z385" s="15">
        <v>0</v>
      </c>
      <c r="AA385" s="15">
        <v>1</v>
      </c>
      <c r="AB385" s="184" t="s">
        <v>260</v>
      </c>
      <c r="AC385" s="544" t="str">
        <f>""</f>
        <v/>
      </c>
      <c r="AD385" s="183">
        <v>1</v>
      </c>
      <c r="AE385" s="183" t="s">
        <v>264</v>
      </c>
      <c r="AF385" s="183" t="s">
        <v>265</v>
      </c>
      <c r="AG385" s="183">
        <v>1</v>
      </c>
      <c r="AH385" s="181">
        <v>9</v>
      </c>
      <c r="AI385" s="181">
        <v>0</v>
      </c>
      <c r="AJ385" s="181">
        <f>VLOOKUP($I385,'Price List, Weapons &amp; Items'!B:F,5,0)</f>
        <v>0</v>
      </c>
      <c r="AK385" s="181">
        <f t="shared" si="71"/>
        <v>0</v>
      </c>
      <c r="AL385" s="181">
        <f t="shared" si="72"/>
        <v>0</v>
      </c>
      <c r="AM385" s="181">
        <f t="shared" si="73"/>
        <v>0</v>
      </c>
      <c r="AN385" s="180" t="str">
        <f>VLOOKUP($I385,'Price List, Weapons &amp; Items'!B:L,COLUMN('Price List, Weapons &amp; Items'!$J$11)-1,0)</f>
        <v>.</v>
      </c>
      <c r="AO385" s="180" t="str">
        <f>IF(I385=".",".",VLOOKUP($I385,'Price List, Weapons &amp; Items'!B:J,3,0))</f>
        <v>.</v>
      </c>
      <c r="AP385" s="545" t="e">
        <f t="shared" ca="1" si="67"/>
        <v>#NAME?</v>
      </c>
      <c r="AQ385" s="180" t="str">
        <f>VLOOKUP($I385,'Price List, Weapons &amp; Items'!B:L,COLUMN('Price List, Weapons &amp; Items'!$L$11)-1,0)</f>
        <v>no price, 0 count</v>
      </c>
      <c r="AR385" s="180">
        <f t="shared" si="74"/>
        <v>1</v>
      </c>
      <c r="AS385" s="180">
        <f t="shared" si="75"/>
        <v>0</v>
      </c>
      <c r="AT385" s="180">
        <f t="shared" si="68"/>
        <v>1</v>
      </c>
      <c r="AU385" s="180" t="str">
        <f t="shared" si="76"/>
        <v>.</v>
      </c>
      <c r="AV385" s="180" t="str">
        <f t="shared" si="77"/>
        <v>.</v>
      </c>
      <c r="AW385" s="180">
        <f>IFERROR(VLOOKUP(B385,'Share, Heavy Weapons to Ukraine'!B:J,COLUMN('Share, Heavy Weapons to Ukraine'!C391)-1,0),0)</f>
        <v>0</v>
      </c>
      <c r="AX385" s="180">
        <f>VLOOKUP('Bilateral Assistance, MAIN DATA'!B385,'Country Summary'!B:F,COLUMN('Country Summary'!C394)-1,FALSE)</f>
        <v>1</v>
      </c>
      <c r="AY385" s="180" t="str">
        <f>IF(AND(AD385=1,D385="Military",H385&lt;&gt;"Not given")=TRUE,IF(SUMIFS(P:P,A:A,A385)&gt;0,ABS((SUMIFS(P:P,A:A,A385)/VLOOKUP("USD",'Exchange Rates'!B:C,2,0)))/S385,"."),".")</f>
        <v>.</v>
      </c>
      <c r="AZ385" s="182" t="str">
        <f>IF(AND(AD385=1,D385="Military",H385&lt;&gt;"Not given")=TRUE,IF(SUMIFS(P:P,A:A,A385)&gt;0,IF((ABS((SUMIFS(P:P,A:A,A385)/VLOOKUP("USD",'Exchange Rates'!B:C,2,0)))/S385)&gt;1,(SUMIFS(P:P,A:A,A385)-S385)/S385,(S385-SUMIFS(P:P,A:A,A385))/SUMIFS(P:P,A:A,A385)),"."),".")</f>
        <v>.</v>
      </c>
      <c r="BA385" s="182"/>
      <c r="BB385" s="182"/>
      <c r="BC385" s="182"/>
      <c r="BD385" s="182"/>
      <c r="BE385" s="182"/>
      <c r="BF385" s="182"/>
      <c r="BG385" s="182"/>
      <c r="BH385" s="182"/>
      <c r="BI385" s="182"/>
      <c r="BJ385" s="182"/>
      <c r="BK385" s="182"/>
      <c r="BL385" s="182"/>
      <c r="BM385" s="182"/>
      <c r="BN385" s="182"/>
      <c r="BO385" s="182"/>
      <c r="BP385" s="182"/>
      <c r="BQ385" s="182"/>
      <c r="BR385" s="182"/>
      <c r="BS385" s="182"/>
    </row>
    <row r="386" spans="1:71" ht="15.9" customHeight="1" x14ac:dyDescent="0.3">
      <c r="A386" s="17" t="s">
        <v>1308</v>
      </c>
      <c r="B386" s="17" t="s">
        <v>1288</v>
      </c>
      <c r="C386" s="174">
        <v>44876</v>
      </c>
      <c r="D386" s="5" t="s">
        <v>256</v>
      </c>
      <c r="E386" s="5" t="s">
        <v>257</v>
      </c>
      <c r="F386" s="175" t="s">
        <v>1309</v>
      </c>
      <c r="G386" s="15" t="s">
        <v>364</v>
      </c>
      <c r="H386" s="176">
        <v>1000000000</v>
      </c>
      <c r="I386" s="17" t="s">
        <v>260</v>
      </c>
      <c r="J386" s="113" t="str">
        <f>VLOOKUP($I386,'Price List, Weapons &amp; Items'!B:C,2,0)</f>
        <v>.</v>
      </c>
      <c r="K386" s="113" t="str">
        <f>IF(I386=".",I386,VLOOKUP($I386,'Price List, Weapons &amp; Items'!B:D,3,0))</f>
        <v>.</v>
      </c>
      <c r="L386" s="177">
        <f>VLOOKUP(I386,'Price List, Weapons &amp; Items'!B:E,4,0)</f>
        <v>0</v>
      </c>
      <c r="M386" s="542" t="s">
        <v>260</v>
      </c>
      <c r="N386" s="542" t="s">
        <v>260</v>
      </c>
      <c r="O386" s="543" t="str">
        <f>VLOOKUP($I386,'Price List, Weapons &amp; Items'!B:G,6,0)</f>
        <v>.</v>
      </c>
      <c r="P386" s="176" t="str">
        <f t="shared" si="69"/>
        <v>.</v>
      </c>
      <c r="Q386" s="176" t="str">
        <f t="shared" si="70"/>
        <v>.</v>
      </c>
      <c r="R386" s="176">
        <f t="shared" ref="R386:R449" si="78">IF(AD386=1,IF(H386&lt;&gt;"Not given",H386,IF(TYPE(H386)=2,IF(SUMIFS(P:P,A:A,A386)&gt;0,SUMIFS(P:P,A:A,A386),"."),"Format error")),"")</f>
        <v>1000000000</v>
      </c>
      <c r="S386" s="176">
        <f>IF(AND(AD386=1,R386&lt;&gt;".")=TRUE,R386/VLOOKUP(G386,'Exchange Rates'!B:C,2,0),IF(R386=".",".",""))</f>
        <v>1000000000</v>
      </c>
      <c r="T386" s="176" t="str">
        <f>IF(AD386=1,IF(AF386="Value is not given at all",".",IF(AF386="Value is given by the source",S386,IF(AF386="Value is calculated with prices",(IF(SUMIFS(Q:Q,A:A,A386)&gt;0,SUMIFS(Q:Q,A:A,A386),"."))/VLOOKUP("USD",'Exchange Rates'!B:C,2,0),"Error with coding"))),"")</f>
        <v>.</v>
      </c>
      <c r="U386" s="15" t="s">
        <v>261</v>
      </c>
      <c r="V386" s="678" t="s">
        <v>1310</v>
      </c>
      <c r="W386" s="144" t="s">
        <v>260</v>
      </c>
      <c r="X386" s="144" t="s">
        <v>260</v>
      </c>
      <c r="Y386" s="668" t="s">
        <v>260</v>
      </c>
      <c r="Z386" s="15">
        <v>0</v>
      </c>
      <c r="AA386" s="15">
        <v>1</v>
      </c>
      <c r="AB386" s="669" t="s">
        <v>260</v>
      </c>
      <c r="AC386" s="544" t="str">
        <f>""</f>
        <v/>
      </c>
      <c r="AD386" s="183">
        <v>1</v>
      </c>
      <c r="AE386" s="183" t="s">
        <v>264</v>
      </c>
      <c r="AF386" s="183" t="s">
        <v>265</v>
      </c>
      <c r="AG386" s="183">
        <v>1</v>
      </c>
      <c r="AH386" s="181">
        <v>11</v>
      </c>
      <c r="AI386" s="181">
        <v>0</v>
      </c>
      <c r="AJ386" s="181">
        <f>VLOOKUP($I386,'Price List, Weapons &amp; Items'!B:F,5,0)</f>
        <v>0</v>
      </c>
      <c r="AK386" s="181">
        <f t="shared" si="71"/>
        <v>0</v>
      </c>
      <c r="AL386" s="181">
        <f t="shared" si="72"/>
        <v>0</v>
      </c>
      <c r="AM386" s="181">
        <f t="shared" si="73"/>
        <v>0</v>
      </c>
      <c r="AN386" s="180" t="str">
        <f>VLOOKUP($I386,'Price List, Weapons &amp; Items'!B:L,COLUMN('Price List, Weapons &amp; Items'!$J$11)-1,0)</f>
        <v>.</v>
      </c>
      <c r="AO386" s="180" t="str">
        <f>IF(I386=".",".",VLOOKUP($I386,'Price List, Weapons &amp; Items'!B:J,3,0))</f>
        <v>.</v>
      </c>
      <c r="AP386" s="545" t="e">
        <f t="shared" ca="1" si="67"/>
        <v>#NAME?</v>
      </c>
      <c r="AQ386" s="180" t="str">
        <f>VLOOKUP($I386,'Price List, Weapons &amp; Items'!B:L,COLUMN('Price List, Weapons &amp; Items'!$L$11)-1,0)</f>
        <v>no price, 0 count</v>
      </c>
      <c r="AR386" s="180">
        <f t="shared" si="74"/>
        <v>1</v>
      </c>
      <c r="AS386" s="180">
        <f t="shared" si="75"/>
        <v>0</v>
      </c>
      <c r="AT386" s="180">
        <f t="shared" si="68"/>
        <v>1</v>
      </c>
      <c r="AU386" s="180" t="str">
        <f t="shared" si="76"/>
        <v>.</v>
      </c>
      <c r="AV386" s="180" t="str">
        <f t="shared" si="77"/>
        <v>.</v>
      </c>
      <c r="AW386" s="180">
        <f>IFERROR(VLOOKUP(B386,'Share, Heavy Weapons to Ukraine'!B:J,COLUMN('Share, Heavy Weapons to Ukraine'!C392)-1,0),0)</f>
        <v>0</v>
      </c>
      <c r="AX386" s="180">
        <f>VLOOKUP('Bilateral Assistance, MAIN DATA'!B386,'Country Summary'!B:F,COLUMN('Country Summary'!C395)-1,FALSE)</f>
        <v>1</v>
      </c>
      <c r="AY386" s="180" t="str">
        <f>IF(AND(AD386=1,D386="Military",H386&lt;&gt;"Not given")=TRUE,IF(SUMIFS(P:P,A:A,A386)&gt;0,ABS((SUMIFS(P:P,A:A,A386)/VLOOKUP("USD",'Exchange Rates'!B:C,2,0)))/S386,"."),".")</f>
        <v>.</v>
      </c>
      <c r="AZ386" s="182" t="str">
        <f>IF(AND(AD386=1,D386="Military",H386&lt;&gt;"Not given")=TRUE,IF(SUMIFS(P:P,A:A,A386)&gt;0,IF((ABS((SUMIFS(P:P,A:A,A386)/VLOOKUP("USD",'Exchange Rates'!B:C,2,0)))/S386)&gt;1,(SUMIFS(P:P,A:A,A386)-S386)/S386,(S386-SUMIFS(P:P,A:A,A386))/SUMIFS(P:P,A:A,A386)),"."),".")</f>
        <v>.</v>
      </c>
      <c r="BA386" s="182"/>
      <c r="BB386" s="182"/>
      <c r="BC386" s="182"/>
      <c r="BD386" s="182"/>
      <c r="BE386" s="182"/>
      <c r="BF386" s="182"/>
      <c r="BG386" s="182"/>
      <c r="BH386" s="182"/>
      <c r="BI386" s="182"/>
      <c r="BJ386" s="182"/>
      <c r="BK386" s="182"/>
      <c r="BL386" s="182"/>
      <c r="BM386" s="182"/>
      <c r="BN386" s="182"/>
      <c r="BO386" s="182"/>
      <c r="BP386" s="182"/>
      <c r="BQ386" s="182"/>
      <c r="BR386" s="182"/>
      <c r="BS386" s="182"/>
    </row>
    <row r="387" spans="1:71" ht="15.9" customHeight="1" x14ac:dyDescent="0.3">
      <c r="A387" s="17" t="s">
        <v>1311</v>
      </c>
      <c r="B387" s="17" t="s">
        <v>1288</v>
      </c>
      <c r="C387" s="174">
        <v>44886</v>
      </c>
      <c r="D387" s="5" t="s">
        <v>256</v>
      </c>
      <c r="E387" s="5" t="s">
        <v>257</v>
      </c>
      <c r="F387" s="175" t="s">
        <v>1312</v>
      </c>
      <c r="G387" s="15" t="s">
        <v>364</v>
      </c>
      <c r="H387" s="176">
        <v>40000000</v>
      </c>
      <c r="I387" s="17" t="s">
        <v>260</v>
      </c>
      <c r="J387" s="113" t="str">
        <f>VLOOKUP($I387,'Price List, Weapons &amp; Items'!B:C,2,0)</f>
        <v>.</v>
      </c>
      <c r="K387" s="113" t="str">
        <f>IF(I387=".",I387,VLOOKUP($I387,'Price List, Weapons &amp; Items'!B:D,3,0))</f>
        <v>.</v>
      </c>
      <c r="L387" s="177">
        <f>VLOOKUP(I387,'Price List, Weapons &amp; Items'!B:E,4,0)</f>
        <v>0</v>
      </c>
      <c r="M387" s="542" t="s">
        <v>260</v>
      </c>
      <c r="N387" s="542" t="s">
        <v>260</v>
      </c>
      <c r="O387" s="543" t="str">
        <f>VLOOKUP($I387,'Price List, Weapons &amp; Items'!B:G,6,0)</f>
        <v>.</v>
      </c>
      <c r="P387" s="176" t="str">
        <f t="shared" si="69"/>
        <v>.</v>
      </c>
      <c r="Q387" s="176" t="str">
        <f t="shared" si="70"/>
        <v>.</v>
      </c>
      <c r="R387" s="176">
        <f t="shared" si="78"/>
        <v>40000000</v>
      </c>
      <c r="S387" s="176">
        <f>IF(AND(AD387=1,R387&lt;&gt;".")=TRUE,R387/VLOOKUP(G387,'Exchange Rates'!B:C,2,0),IF(R387=".",".",""))</f>
        <v>40000000</v>
      </c>
      <c r="T387" s="176" t="str">
        <f>IF(AD387=1,IF(AF387="Value is not given at all",".",IF(AF387="Value is given by the source",S387,IF(AF387="Value is calculated with prices",(IF(SUMIFS(Q:Q,A:A,A387)&gt;0,SUMIFS(Q:Q,A:A,A387),"."))/VLOOKUP("USD",'Exchange Rates'!B:C,2,0),"Error with coding"))),"")</f>
        <v>.</v>
      </c>
      <c r="U387" s="15" t="s">
        <v>261</v>
      </c>
      <c r="V387" s="546" t="s">
        <v>1313</v>
      </c>
      <c r="W387" s="300" t="s">
        <v>1293</v>
      </c>
      <c r="X387" s="531"/>
      <c r="Y387" s="668" t="s">
        <v>260</v>
      </c>
      <c r="Z387" s="15">
        <v>0</v>
      </c>
      <c r="AA387" s="15">
        <v>1</v>
      </c>
      <c r="AB387" s="669" t="s">
        <v>260</v>
      </c>
      <c r="AC387" s="544" t="str">
        <f>""</f>
        <v/>
      </c>
      <c r="AD387" s="183">
        <v>1</v>
      </c>
      <c r="AE387" s="183" t="s">
        <v>264</v>
      </c>
      <c r="AF387" s="183" t="s">
        <v>265</v>
      </c>
      <c r="AG387" s="183">
        <v>1</v>
      </c>
      <c r="AH387" s="181">
        <v>11</v>
      </c>
      <c r="AI387" s="181">
        <v>0</v>
      </c>
      <c r="AJ387" s="181">
        <f>VLOOKUP($I387,'Price List, Weapons &amp; Items'!B:F,5,0)</f>
        <v>0</v>
      </c>
      <c r="AK387" s="181">
        <f t="shared" si="71"/>
        <v>0</v>
      </c>
      <c r="AL387" s="181">
        <f t="shared" si="72"/>
        <v>0</v>
      </c>
      <c r="AM387" s="181">
        <f t="shared" si="73"/>
        <v>0</v>
      </c>
      <c r="AN387" s="180" t="str">
        <f>VLOOKUP($I387,'Price List, Weapons &amp; Items'!B:L,COLUMN('Price List, Weapons &amp; Items'!$J$11)-1,0)</f>
        <v>.</v>
      </c>
      <c r="AO387" s="180" t="str">
        <f>IF(I387=".",".",VLOOKUP($I387,'Price List, Weapons &amp; Items'!B:J,3,0))</f>
        <v>.</v>
      </c>
      <c r="AP387" s="545" t="e">
        <f t="shared" ref="AP387:AP450" ca="1" si="79">IF(AD387=1,_xlfn.ARRAYTOTEXT(OFFSET(I387,0,0,COUNTIF(A:A,A387),1)),"")</f>
        <v>#NAME?</v>
      </c>
      <c r="AQ387" s="180" t="str">
        <f>VLOOKUP($I387,'Price List, Weapons &amp; Items'!B:L,COLUMN('Price List, Weapons &amp; Items'!$L$11)-1,0)</f>
        <v>no price, 0 count</v>
      </c>
      <c r="AR387" s="180">
        <f t="shared" si="74"/>
        <v>1</v>
      </c>
      <c r="AS387" s="180">
        <f t="shared" si="75"/>
        <v>0</v>
      </c>
      <c r="AT387" s="180">
        <f t="shared" si="68"/>
        <v>1</v>
      </c>
      <c r="AU387" s="180" t="str">
        <f t="shared" si="76"/>
        <v>.</v>
      </c>
      <c r="AV387" s="180" t="str">
        <f t="shared" si="77"/>
        <v>.</v>
      </c>
      <c r="AW387" s="180">
        <f>IFERROR(VLOOKUP(B387,'Share, Heavy Weapons to Ukraine'!B:J,COLUMN('Share, Heavy Weapons to Ukraine'!C393)-1,0),0)</f>
        <v>0</v>
      </c>
      <c r="AX387" s="180">
        <f>VLOOKUP('Bilateral Assistance, MAIN DATA'!B387,'Country Summary'!B:F,COLUMN('Country Summary'!C396)-1,FALSE)</f>
        <v>1</v>
      </c>
      <c r="AY387" s="180" t="str">
        <f>IF(AND(AD387=1,D387="Military",H387&lt;&gt;"Not given")=TRUE,IF(SUMIFS(P:P,A:A,A387)&gt;0,ABS((SUMIFS(P:P,A:A,A387)/VLOOKUP("USD",'Exchange Rates'!B:C,2,0)))/S387,"."),".")</f>
        <v>.</v>
      </c>
      <c r="AZ387" s="182" t="str">
        <f>IF(AND(AD387=1,D387="Military",H387&lt;&gt;"Not given")=TRUE,IF(SUMIFS(P:P,A:A,A387)&gt;0,IF((ABS((SUMIFS(P:P,A:A,A387)/VLOOKUP("USD",'Exchange Rates'!B:C,2,0)))/S387)&gt;1,(SUMIFS(P:P,A:A,A387)-S387)/S387,(S387-SUMIFS(P:P,A:A,A387))/SUMIFS(P:P,A:A,A387)),"."),".")</f>
        <v>.</v>
      </c>
      <c r="BA387" s="182"/>
      <c r="BB387" s="182"/>
      <c r="BC387" s="182"/>
      <c r="BD387" s="182"/>
      <c r="BE387" s="182"/>
      <c r="BF387" s="182"/>
      <c r="BG387" s="182"/>
      <c r="BH387" s="182"/>
      <c r="BI387" s="182"/>
      <c r="BJ387" s="182"/>
      <c r="BK387" s="182"/>
      <c r="BL387" s="182"/>
      <c r="BM387" s="182"/>
      <c r="BN387" s="182"/>
      <c r="BO387" s="182"/>
      <c r="BP387" s="182"/>
      <c r="BQ387" s="182"/>
      <c r="BR387" s="182"/>
      <c r="BS387" s="182"/>
    </row>
    <row r="388" spans="1:71" ht="15.9" customHeight="1" x14ac:dyDescent="0.3">
      <c r="A388" s="17" t="s">
        <v>1314</v>
      </c>
      <c r="B388" s="17" t="s">
        <v>1288</v>
      </c>
      <c r="C388" s="174">
        <v>44908</v>
      </c>
      <c r="D388" s="5" t="s">
        <v>256</v>
      </c>
      <c r="E388" s="5" t="s">
        <v>257</v>
      </c>
      <c r="F388" s="175" t="s">
        <v>1315</v>
      </c>
      <c r="G388" s="15" t="s">
        <v>364</v>
      </c>
      <c r="H388" s="176">
        <v>50000000</v>
      </c>
      <c r="I388" s="17" t="s">
        <v>260</v>
      </c>
      <c r="J388" s="113" t="str">
        <f>VLOOKUP($I388,'Price List, Weapons &amp; Items'!B:C,2,0)</f>
        <v>.</v>
      </c>
      <c r="K388" s="113" t="str">
        <f>IF(I388=".",I388,VLOOKUP($I388,'Price List, Weapons &amp; Items'!B:D,3,0))</f>
        <v>.</v>
      </c>
      <c r="L388" s="177">
        <f>VLOOKUP(I388,'Price List, Weapons &amp; Items'!B:E,4,0)</f>
        <v>0</v>
      </c>
      <c r="M388" s="542" t="s">
        <v>260</v>
      </c>
      <c r="N388" s="542" t="s">
        <v>260</v>
      </c>
      <c r="O388" s="543" t="str">
        <f>VLOOKUP($I388,'Price List, Weapons &amp; Items'!B:G,6,0)</f>
        <v>.</v>
      </c>
      <c r="P388" s="176" t="str">
        <f t="shared" ref="P388:P440" si="80">IF(TYPE(M388)=1,IF(TYPE(O388)=1,M388*O388,"No price"),".")</f>
        <v>.</v>
      </c>
      <c r="Q388" s="176" t="str">
        <f t="shared" ref="Q388:Q440" si="81">IF(TYPE(N388)=1,IF(TYPE(O388)=1,N388*O388,"No price"),".")</f>
        <v>.</v>
      </c>
      <c r="R388" s="176">
        <f t="shared" si="78"/>
        <v>50000000</v>
      </c>
      <c r="S388" s="176">
        <f>IF(AND(AD388=1,R388&lt;&gt;".")=TRUE,R388/VLOOKUP(G388,'Exchange Rates'!B:C,2,0),IF(R388=".",".",""))</f>
        <v>50000000</v>
      </c>
      <c r="T388" s="176" t="str">
        <f>IF(AD388=1,IF(AF388="Value is not given at all",".",IF(AF388="Value is given by the source",S388,IF(AF388="Value is calculated with prices",(IF(SUMIFS(Q:Q,A:A,A388)&gt;0,SUMIFS(Q:Q,A:A,A388),"."))/VLOOKUP("USD",'Exchange Rates'!B:C,2,0),"Error with coding"))),"")</f>
        <v>.</v>
      </c>
      <c r="U388" s="15" t="s">
        <v>261</v>
      </c>
      <c r="V388" s="565" t="s">
        <v>1316</v>
      </c>
      <c r="W388" s="303" t="s">
        <v>1317</v>
      </c>
      <c r="X388" s="673" t="s">
        <v>260</v>
      </c>
      <c r="Y388" s="674" t="s">
        <v>260</v>
      </c>
      <c r="Z388" s="15">
        <v>0</v>
      </c>
      <c r="AA388" s="15">
        <v>1</v>
      </c>
      <c r="AB388" s="672" t="s">
        <v>260</v>
      </c>
      <c r="AC388" s="544" t="str">
        <f>""</f>
        <v/>
      </c>
      <c r="AD388" s="183">
        <v>1</v>
      </c>
      <c r="AE388" s="183" t="s">
        <v>264</v>
      </c>
      <c r="AF388" s="183" t="s">
        <v>265</v>
      </c>
      <c r="AG388" s="183">
        <v>1</v>
      </c>
      <c r="AH388" s="181">
        <v>12</v>
      </c>
      <c r="AI388" s="181">
        <v>0</v>
      </c>
      <c r="AJ388" s="181">
        <f>VLOOKUP($I388,'Price List, Weapons &amp; Items'!B:F,5,0)</f>
        <v>0</v>
      </c>
      <c r="AK388" s="181">
        <f t="shared" ref="AK388:AK440" si="82">IF(AND(AJ388=1,M388="undisclosed")=TRUE,1,0)</f>
        <v>0</v>
      </c>
      <c r="AL388" s="181">
        <f t="shared" ref="AL388:AL440" si="83">IF(AND(AJ388=1,N388="undisclosed")=TRUE,1,0)</f>
        <v>0</v>
      </c>
      <c r="AM388" s="181">
        <f t="shared" ref="AM388:AM440" si="84">IFERROR(IF(SEARCH("ammuni",I388,1)&gt;0,1,0),0)</f>
        <v>0</v>
      </c>
      <c r="AN388" s="180" t="str">
        <f>VLOOKUP($I388,'Price List, Weapons &amp; Items'!B:L,COLUMN('Price List, Weapons &amp; Items'!$J$11)-1,0)</f>
        <v>.</v>
      </c>
      <c r="AO388" s="180" t="str">
        <f>IF(I388=".",".",VLOOKUP($I388,'Price List, Weapons &amp; Items'!B:J,3,0))</f>
        <v>.</v>
      </c>
      <c r="AP388" s="545" t="e">
        <f t="shared" ca="1" si="79"/>
        <v>#NAME?</v>
      </c>
      <c r="AQ388" s="180" t="str">
        <f>VLOOKUP($I388,'Price List, Weapons &amp; Items'!B:L,COLUMN('Price List, Weapons &amp; Items'!$L$11)-1,0)</f>
        <v>no price, 0 count</v>
      </c>
      <c r="AR388" s="180">
        <f t="shared" ref="AR388:AR440" si="85">IF(U388="Yes",1,0)</f>
        <v>1</v>
      </c>
      <c r="AS388" s="180">
        <f t="shared" ref="AS388:AS440" si="86">IF(D388="Military",IF(OR(IFERROR(SEARCH("equipment",E388,1),0)&gt;0,IFERROR(SEARCH("weapons",E388,1),0)&gt;0),1,0),0)</f>
        <v>0</v>
      </c>
      <c r="AT388" s="180">
        <f t="shared" ref="AT388:AT448" si="87">IFERROR(IF(VALUE(TEXT(C388,"mm"))=AH388,".",IF(TEXT(C388,"mm")="01",".",1)),"Value is not in date format")</f>
        <v>1</v>
      </c>
      <c r="AU388" s="180" t="str">
        <f t="shared" si="76"/>
        <v>.</v>
      </c>
      <c r="AV388" s="180" t="str">
        <f t="shared" si="77"/>
        <v>.</v>
      </c>
      <c r="AW388" s="180">
        <f>IFERROR(VLOOKUP(B388,'Share, Heavy Weapons to Ukraine'!B:J,COLUMN('Share, Heavy Weapons to Ukraine'!C394)-1,0),0)</f>
        <v>0</v>
      </c>
      <c r="AX388" s="180">
        <f>VLOOKUP('Bilateral Assistance, MAIN DATA'!B388,'Country Summary'!B:F,COLUMN('Country Summary'!C397)-1,FALSE)</f>
        <v>1</v>
      </c>
      <c r="AY388" s="180" t="str">
        <f>IF(AND(AD388=1,D388="Military",H388&lt;&gt;"Not given")=TRUE,IF(SUMIFS(P:P,A:A,A388)&gt;0,ABS((SUMIFS(P:P,A:A,A388)/VLOOKUP("USD",'Exchange Rates'!B:C,2,0)))/S388,"."),".")</f>
        <v>.</v>
      </c>
      <c r="AZ388" s="182" t="str">
        <f>IF(AND(AD388=1,D388="Military",H388&lt;&gt;"Not given")=TRUE,IF(SUMIFS(P:P,A:A,A388)&gt;0,IF((ABS((SUMIFS(P:P,A:A,A388)/VLOOKUP("USD",'Exchange Rates'!B:C,2,0)))/S388)&gt;1,(SUMIFS(P:P,A:A,A388)-S388)/S388,(S388-SUMIFS(P:P,A:A,A388))/SUMIFS(P:P,A:A,A388)),"."),".")</f>
        <v>.</v>
      </c>
      <c r="BA388" s="182"/>
      <c r="BB388" s="182"/>
      <c r="BC388" s="182"/>
      <c r="BD388" s="182"/>
      <c r="BE388" s="182"/>
      <c r="BF388" s="182"/>
      <c r="BG388" s="182"/>
      <c r="BH388" s="182"/>
      <c r="BI388" s="182"/>
      <c r="BJ388" s="182"/>
      <c r="BK388" s="182"/>
      <c r="BL388" s="182"/>
      <c r="BM388" s="182"/>
      <c r="BN388" s="182"/>
      <c r="BO388" s="182"/>
      <c r="BP388" s="182"/>
      <c r="BQ388" s="182"/>
      <c r="BR388" s="182"/>
      <c r="BS388" s="182"/>
    </row>
    <row r="389" spans="1:71" ht="15.9" customHeight="1" x14ac:dyDescent="0.3">
      <c r="A389" s="17" t="s">
        <v>1318</v>
      </c>
      <c r="B389" s="17" t="s">
        <v>1288</v>
      </c>
      <c r="C389" s="174">
        <v>44909</v>
      </c>
      <c r="D389" s="5" t="s">
        <v>256</v>
      </c>
      <c r="E389" s="5" t="s">
        <v>257</v>
      </c>
      <c r="F389" s="175" t="s">
        <v>1319</v>
      </c>
      <c r="G389" s="15" t="s">
        <v>364</v>
      </c>
      <c r="H389" s="176">
        <v>30000000</v>
      </c>
      <c r="I389" s="17" t="s">
        <v>260</v>
      </c>
      <c r="J389" s="113" t="str">
        <f>VLOOKUP($I389,'Price List, Weapons &amp; Items'!B:C,2,0)</f>
        <v>.</v>
      </c>
      <c r="K389" s="113" t="str">
        <f>IF(I389=".",I389,VLOOKUP($I389,'Price List, Weapons &amp; Items'!B:D,3,0))</f>
        <v>.</v>
      </c>
      <c r="L389" s="177">
        <f>VLOOKUP(I389,'Price List, Weapons &amp; Items'!B:E,4,0)</f>
        <v>0</v>
      </c>
      <c r="M389" s="542" t="s">
        <v>260</v>
      </c>
      <c r="N389" s="542" t="s">
        <v>260</v>
      </c>
      <c r="O389" s="543" t="str">
        <f>VLOOKUP($I389,'Price List, Weapons &amp; Items'!B:G,6,0)</f>
        <v>.</v>
      </c>
      <c r="P389" s="176" t="str">
        <f t="shared" si="80"/>
        <v>.</v>
      </c>
      <c r="Q389" s="176" t="str">
        <f t="shared" si="81"/>
        <v>.</v>
      </c>
      <c r="R389" s="176">
        <f t="shared" si="78"/>
        <v>30000000</v>
      </c>
      <c r="S389" s="176">
        <f>IF(AND(AD389=1,R389&lt;&gt;".")=TRUE,R389/VLOOKUP(G389,'Exchange Rates'!B:C,2,0),IF(R389=".",".",""))</f>
        <v>30000000</v>
      </c>
      <c r="T389" s="176" t="str">
        <f>IF(AD389=1,IF(AF389="Value is not given at all",".",IF(AF389="Value is given by the source",S389,IF(AF389="Value is calculated with prices",(IF(SUMIFS(Q:Q,A:A,A389)&gt;0,SUMIFS(Q:Q,A:A,A389),"."))/VLOOKUP("USD",'Exchange Rates'!B:C,2,0),"Error with coding"))),"")</f>
        <v>.</v>
      </c>
      <c r="U389" s="15" t="s">
        <v>261</v>
      </c>
      <c r="V389" s="546" t="s">
        <v>1320</v>
      </c>
      <c r="W389" s="300" t="s">
        <v>1293</v>
      </c>
      <c r="X389" s="531"/>
      <c r="Y389" s="668" t="s">
        <v>260</v>
      </c>
      <c r="Z389" s="15">
        <v>0</v>
      </c>
      <c r="AA389" s="15">
        <v>1</v>
      </c>
      <c r="AB389" s="669" t="s">
        <v>260</v>
      </c>
      <c r="AC389" s="544" t="str">
        <f>""</f>
        <v/>
      </c>
      <c r="AD389" s="183">
        <v>1</v>
      </c>
      <c r="AE389" s="183" t="s">
        <v>264</v>
      </c>
      <c r="AF389" s="183" t="s">
        <v>265</v>
      </c>
      <c r="AG389" s="183">
        <v>1</v>
      </c>
      <c r="AH389" s="181">
        <v>12</v>
      </c>
      <c r="AI389" s="181">
        <v>0</v>
      </c>
      <c r="AJ389" s="181">
        <f>VLOOKUP($I389,'Price List, Weapons &amp; Items'!B:F,5,0)</f>
        <v>0</v>
      </c>
      <c r="AK389" s="181">
        <f t="shared" si="82"/>
        <v>0</v>
      </c>
      <c r="AL389" s="181">
        <f t="shared" si="83"/>
        <v>0</v>
      </c>
      <c r="AM389" s="181">
        <f t="shared" si="84"/>
        <v>0</v>
      </c>
      <c r="AN389" s="180" t="str">
        <f>VLOOKUP($I389,'Price List, Weapons &amp; Items'!B:L,COLUMN('Price List, Weapons &amp; Items'!$J$11)-1,0)</f>
        <v>.</v>
      </c>
      <c r="AO389" s="180" t="str">
        <f>IF(I389=".",".",VLOOKUP($I389,'Price List, Weapons &amp; Items'!B:J,3,0))</f>
        <v>.</v>
      </c>
      <c r="AP389" s="545" t="e">
        <f t="shared" ca="1" si="79"/>
        <v>#NAME?</v>
      </c>
      <c r="AQ389" s="180" t="str">
        <f>VLOOKUP($I389,'Price List, Weapons &amp; Items'!B:L,COLUMN('Price List, Weapons &amp; Items'!$L$11)-1,0)</f>
        <v>no price, 0 count</v>
      </c>
      <c r="AR389" s="180">
        <f t="shared" si="85"/>
        <v>1</v>
      </c>
      <c r="AS389" s="180">
        <f t="shared" si="86"/>
        <v>0</v>
      </c>
      <c r="AT389" s="180">
        <f t="shared" si="87"/>
        <v>1</v>
      </c>
      <c r="AU389" s="180" t="str">
        <f t="shared" ref="AU389:AU449" si="88">IF(AND(A389=A388,C389=C388)=TRUE,IF(F389=F388,".","1"),".")</f>
        <v>.</v>
      </c>
      <c r="AV389" s="180" t="str">
        <f t="shared" ref="AV389:AV449" si="89">IF(T389&lt;&gt;".",IF(T389&gt;S389,1,"."),".")</f>
        <v>.</v>
      </c>
      <c r="AW389" s="180">
        <f>IFERROR(VLOOKUP(B389,'Share, Heavy Weapons to Ukraine'!B:J,COLUMN('Share, Heavy Weapons to Ukraine'!C395)-1,0),0)</f>
        <v>0</v>
      </c>
      <c r="AX389" s="180">
        <f>VLOOKUP('Bilateral Assistance, MAIN DATA'!B389,'Country Summary'!B:F,COLUMN('Country Summary'!C398)-1,FALSE)</f>
        <v>1</v>
      </c>
      <c r="AY389" s="180" t="str">
        <f>IF(AND(AD389=1,D389="Military",H389&lt;&gt;"Not given")=TRUE,IF(SUMIFS(P:P,A:A,A389)&gt;0,ABS((SUMIFS(P:P,A:A,A389)/VLOOKUP("USD",'Exchange Rates'!B:C,2,0)))/S389,"."),".")</f>
        <v>.</v>
      </c>
      <c r="AZ389" s="182" t="str">
        <f>IF(AND(AD389=1,D389="Military",H389&lt;&gt;"Not given")=TRUE,IF(SUMIFS(P:P,A:A,A389)&gt;0,IF((ABS((SUMIFS(P:P,A:A,A389)/VLOOKUP("USD",'Exchange Rates'!B:C,2,0)))/S389)&gt;1,(SUMIFS(P:P,A:A,A389)-S389)/S389,(S389-SUMIFS(P:P,A:A,A389))/SUMIFS(P:P,A:A,A389)),"."),".")</f>
        <v>.</v>
      </c>
      <c r="BA389" s="182"/>
      <c r="BB389" s="182"/>
      <c r="BC389" s="182"/>
      <c r="BD389" s="182"/>
      <c r="BE389" s="182"/>
      <c r="BF389" s="182"/>
      <c r="BG389" s="182"/>
      <c r="BH389" s="182"/>
      <c r="BI389" s="182"/>
      <c r="BJ389" s="182"/>
      <c r="BK389" s="182"/>
      <c r="BL389" s="182"/>
      <c r="BM389" s="182"/>
      <c r="BN389" s="182"/>
      <c r="BO389" s="182"/>
      <c r="BP389" s="182"/>
      <c r="BQ389" s="182"/>
      <c r="BR389" s="182"/>
      <c r="BS389" s="182"/>
    </row>
    <row r="390" spans="1:71" ht="15.9" customHeight="1" x14ac:dyDescent="0.3">
      <c r="A390" s="17" t="s">
        <v>1321</v>
      </c>
      <c r="B390" s="17" t="s">
        <v>1288</v>
      </c>
      <c r="C390" s="174">
        <v>44571</v>
      </c>
      <c r="D390" s="5" t="s">
        <v>256</v>
      </c>
      <c r="E390" s="5" t="s">
        <v>840</v>
      </c>
      <c r="F390" s="175" t="s">
        <v>1322</v>
      </c>
      <c r="G390" s="15" t="s">
        <v>364</v>
      </c>
      <c r="H390" s="176">
        <v>20000000</v>
      </c>
      <c r="I390" s="175" t="s">
        <v>1323</v>
      </c>
      <c r="J390" s="113" t="str">
        <f>VLOOKUP($I390,'Price List, Weapons &amp; Items'!B:C,2,0)</f>
        <v>humanitarian</v>
      </c>
      <c r="K390" s="113" t="str">
        <f>IF(I390=".",I390,VLOOKUP($I390,'Price List, Weapons &amp; Items'!B:D,3,0))</f>
        <v>Humanitarian</v>
      </c>
      <c r="L390" s="177">
        <f>VLOOKUP(I390,'Price List, Weapons &amp; Items'!B:E,4,0)</f>
        <v>0</v>
      </c>
      <c r="M390" s="542">
        <v>10000</v>
      </c>
      <c r="N390" s="542" t="s">
        <v>270</v>
      </c>
      <c r="O390" s="543">
        <f>VLOOKUP($I390,'Price List, Weapons &amp; Items'!B:G,6,0)</f>
        <v>1500</v>
      </c>
      <c r="P390" s="176">
        <f t="shared" si="80"/>
        <v>15000000</v>
      </c>
      <c r="Q390" s="176" t="str">
        <f t="shared" si="81"/>
        <v>.</v>
      </c>
      <c r="R390" s="176">
        <f t="shared" si="78"/>
        <v>20000000</v>
      </c>
      <c r="S390" s="176">
        <f>IF(AND(AD390=1,R390&lt;&gt;".")=TRUE,R390/VLOOKUP(G390,'Exchange Rates'!B:C,2,0),IF(R390=".",".",""))</f>
        <v>20000000</v>
      </c>
      <c r="T390" s="176" t="str">
        <f>IF(AD390=1,IF(AF390="Value is not given at all",".",IF(AF390="Value is given by the source",S390,IF(AF390="Value is calculated with prices",(IF(SUMIFS(Q:Q,A:A,A390)&gt;0,SUMIFS(Q:Q,A:A,A390),"."))/VLOOKUP("USD",'Exchange Rates'!B:C,2,0),"Error with coding"))),"")</f>
        <v>.</v>
      </c>
      <c r="U390" s="15" t="s">
        <v>261</v>
      </c>
      <c r="V390" s="667" t="s">
        <v>1324</v>
      </c>
      <c r="W390" s="667" t="s">
        <v>1325</v>
      </c>
      <c r="X390" s="144" t="s">
        <v>260</v>
      </c>
      <c r="Y390" s="668" t="s">
        <v>260</v>
      </c>
      <c r="Z390" s="15">
        <v>0</v>
      </c>
      <c r="AA390" s="15">
        <v>1</v>
      </c>
      <c r="AB390" s="669" t="s">
        <v>260</v>
      </c>
      <c r="AC390" s="544"/>
      <c r="AD390" s="183">
        <v>1</v>
      </c>
      <c r="AE390" s="183" t="s">
        <v>264</v>
      </c>
      <c r="AF390" s="183" t="s">
        <v>265</v>
      </c>
      <c r="AG390" s="183">
        <v>1</v>
      </c>
      <c r="AH390" s="181">
        <v>13</v>
      </c>
      <c r="AI390" s="181">
        <v>0</v>
      </c>
      <c r="AJ390" s="181">
        <f>VLOOKUP($I390,'Price List, Weapons &amp; Items'!B:F,5,0)</f>
        <v>0</v>
      </c>
      <c r="AK390" s="181">
        <f t="shared" si="82"/>
        <v>0</v>
      </c>
      <c r="AL390" s="181">
        <f t="shared" si="83"/>
        <v>0</v>
      </c>
      <c r="AM390" s="181">
        <f t="shared" si="84"/>
        <v>0</v>
      </c>
      <c r="AN390" s="180" t="str">
        <f>VLOOKUP($I390,'Price List, Weapons &amp; Items'!B:L,COLUMN('Price List, Weapons &amp; Items'!$J$11)-1,0)</f>
        <v>Contracts</v>
      </c>
      <c r="AO390" s="180" t="str">
        <f>IF(I390=".",".",VLOOKUP($I390,'Price List, Weapons &amp; Items'!B:J,3,0))</f>
        <v>Humanitarian</v>
      </c>
      <c r="AP390" s="545" t="e">
        <f t="shared" ca="1" si="79"/>
        <v>#NAME?</v>
      </c>
      <c r="AQ390" s="180">
        <f>VLOOKUP($I390,'Price List, Weapons &amp; Items'!B:L,COLUMN('Price List, Weapons &amp; Items'!$L$11)-1,0)</f>
        <v>0</v>
      </c>
      <c r="AR390" s="180">
        <f t="shared" si="85"/>
        <v>1</v>
      </c>
      <c r="AS390" s="180">
        <f t="shared" si="86"/>
        <v>0</v>
      </c>
      <c r="AT390" s="180">
        <f t="shared" si="87"/>
        <v>1</v>
      </c>
      <c r="AU390" s="180" t="e">
        <f>IF(AND(A390=#REF!,C390=#REF!)=TRUE,IF(F390=#REF!,".","1"),".")</f>
        <v>#REF!</v>
      </c>
      <c r="AV390" s="180" t="str">
        <f t="shared" si="89"/>
        <v>.</v>
      </c>
      <c r="AW390" s="180">
        <f>IFERROR(VLOOKUP(B390,'Share, Heavy Weapons to Ukraine'!B:J,COLUMN('Share, Heavy Weapons to Ukraine'!C399)-1,0),0)</f>
        <v>0</v>
      </c>
      <c r="AX390" s="180">
        <f>VLOOKUP('Bilateral Assistance, MAIN DATA'!B390,'Country Summary'!B:F,COLUMN('Country Summary'!C402)-1,FALSE)</f>
        <v>1</v>
      </c>
      <c r="AY390" s="180" t="str">
        <f>IF(AND(AD390=1,D390="Military",H390&lt;&gt;"Not given")=TRUE,IF(SUMIFS(P:P,A:A,A390)&gt;0,ABS((SUMIFS(P:P,A:A,A390)/VLOOKUP("USD",'Exchange Rates'!B:C,2,0)))/S390,"."),".")</f>
        <v>.</v>
      </c>
      <c r="AZ390" s="182" t="str">
        <f>IF(AND(AD390=1,D390="Military",H390&lt;&gt;"Not given")=TRUE,IF(SUMIFS(P:P,A:A,A390)&gt;0,IF((ABS((SUMIFS(P:P,A:A,A390)/VLOOKUP("USD",'Exchange Rates'!B:C,2,0)))/S390)&gt;1,(SUMIFS(P:P,A:A,A390)-S390)/S390,(S390-SUMIFS(P:P,A:A,A390))/SUMIFS(P:P,A:A,A390)),"."),".")</f>
        <v>.</v>
      </c>
      <c r="BA390" s="182"/>
      <c r="BB390" s="182"/>
      <c r="BC390" s="182"/>
      <c r="BD390" s="182"/>
      <c r="BE390" s="182"/>
      <c r="BF390" s="182"/>
      <c r="BG390" s="182"/>
      <c r="BH390" s="182"/>
      <c r="BI390" s="182"/>
      <c r="BJ390" s="182"/>
      <c r="BK390" s="182"/>
      <c r="BL390" s="182"/>
      <c r="BM390" s="182"/>
      <c r="BN390" s="182"/>
      <c r="BO390" s="182"/>
      <c r="BP390" s="182"/>
      <c r="BQ390" s="182"/>
      <c r="BR390" s="182"/>
      <c r="BS390" s="182"/>
    </row>
    <row r="391" spans="1:71" ht="15.9" customHeight="1" x14ac:dyDescent="0.3">
      <c r="A391" s="17" t="s">
        <v>1326</v>
      </c>
      <c r="B391" s="17" t="s">
        <v>1288</v>
      </c>
      <c r="C391" s="174" t="s">
        <v>1327</v>
      </c>
      <c r="D391" s="5" t="s">
        <v>285</v>
      </c>
      <c r="E391" s="5" t="s">
        <v>1328</v>
      </c>
      <c r="F391" s="1139" t="s">
        <v>1329</v>
      </c>
      <c r="G391" s="15" t="s">
        <v>364</v>
      </c>
      <c r="H391" s="176">
        <v>1360000000</v>
      </c>
      <c r="I391" s="17" t="s">
        <v>260</v>
      </c>
      <c r="J391" s="113" t="str">
        <f>VLOOKUP($I391,'Price List, Weapons &amp; Items'!B:C,2,0)</f>
        <v>.</v>
      </c>
      <c r="K391" s="113" t="str">
        <f>IF(I391=".",I391,VLOOKUP($I391,'Price List, Weapons &amp; Items'!B:D,3,0))</f>
        <v>.</v>
      </c>
      <c r="L391" s="177">
        <f>VLOOKUP(I391,'Price List, Weapons &amp; Items'!B:E,4,0)</f>
        <v>0</v>
      </c>
      <c r="M391" s="542" t="s">
        <v>260</v>
      </c>
      <c r="N391" s="542" t="s">
        <v>260</v>
      </c>
      <c r="O391" s="543" t="str">
        <f>VLOOKUP($I391,'Price List, Weapons &amp; Items'!B:G,6,0)</f>
        <v>.</v>
      </c>
      <c r="P391" s="176" t="str">
        <f t="shared" si="80"/>
        <v>.</v>
      </c>
      <c r="Q391" s="176" t="str">
        <f t="shared" si="81"/>
        <v>.</v>
      </c>
      <c r="R391" s="176">
        <f t="shared" si="78"/>
        <v>1360000000</v>
      </c>
      <c r="S391" s="176">
        <f>IF(AND(AD391=1,R391&lt;&gt;".")=TRUE,R391/VLOOKUP(G391,'Exchange Rates'!B:C,2,0),IF(R391=".",".",""))</f>
        <v>1360000000</v>
      </c>
      <c r="T391" s="176">
        <f>IF(AD391=1,IF(AF391="Value is not given at all",".",IF(AF391="Value is given by the source",S391,IF(AF391="Value is calculated with prices",(IF(SUMIFS(Q:Q,A:A,A391)&gt;0,SUMIFS(Q:Q,A:A,A391),"."))/VLOOKUP("USD",'Exchange Rates'!B:C,2,0),"Error with coding"))),"")</f>
        <v>459863468.25882345</v>
      </c>
      <c r="U391" s="15" t="s">
        <v>261</v>
      </c>
      <c r="V391" s="567" t="s">
        <v>1293</v>
      </c>
      <c r="W391" s="567" t="s">
        <v>1330</v>
      </c>
      <c r="X391" s="685" t="s">
        <v>260</v>
      </c>
      <c r="Y391" s="685" t="s">
        <v>260</v>
      </c>
      <c r="Z391" s="15">
        <v>0</v>
      </c>
      <c r="AA391" s="180">
        <v>1</v>
      </c>
      <c r="AB391" s="570" t="s">
        <v>1331</v>
      </c>
      <c r="AC391" s="544" t="str">
        <f>""</f>
        <v/>
      </c>
      <c r="AD391" s="180">
        <v>1</v>
      </c>
      <c r="AE391" s="180" t="s">
        <v>264</v>
      </c>
      <c r="AF391" s="180" t="s">
        <v>332</v>
      </c>
      <c r="AG391" s="180">
        <v>1</v>
      </c>
      <c r="AH391" s="180">
        <v>6</v>
      </c>
      <c r="AI391" s="180">
        <v>0</v>
      </c>
      <c r="AJ391" s="181">
        <f>VLOOKUP($I391,'Price List, Weapons &amp; Items'!B:F,5,0)</f>
        <v>0</v>
      </c>
      <c r="AK391" s="181">
        <f t="shared" si="82"/>
        <v>0</v>
      </c>
      <c r="AL391" s="181">
        <f t="shared" si="83"/>
        <v>0</v>
      </c>
      <c r="AM391" s="181">
        <f t="shared" si="84"/>
        <v>0</v>
      </c>
      <c r="AN391" s="180" t="str">
        <f>VLOOKUP($I391,'Price List, Weapons &amp; Items'!B:L,COLUMN('Price List, Weapons &amp; Items'!$J$11)-1,0)</f>
        <v>.</v>
      </c>
      <c r="AO391" s="180" t="str">
        <f>IF(I391=".",".",VLOOKUP($I391,'Price List, Weapons &amp; Items'!B:J,3,0))</f>
        <v>.</v>
      </c>
      <c r="AP391" s="545" t="e">
        <f t="shared" ca="1" si="79"/>
        <v>#NAME?</v>
      </c>
      <c r="AQ391" s="180" t="str">
        <f>VLOOKUP($I391,'Price List, Weapons &amp; Items'!B:L,COLUMN('Price List, Weapons &amp; Items'!$L$11)-1,0)</f>
        <v>no price, 0 count</v>
      </c>
      <c r="AR391" s="180">
        <f t="shared" si="85"/>
        <v>1</v>
      </c>
      <c r="AS391" s="180">
        <f t="shared" si="86"/>
        <v>1</v>
      </c>
      <c r="AT391" s="180" t="str">
        <f t="shared" si="87"/>
        <v>Value is not in date format</v>
      </c>
      <c r="AU391" s="180" t="str">
        <f t="shared" si="88"/>
        <v>.</v>
      </c>
      <c r="AV391" s="180" t="str">
        <f t="shared" si="89"/>
        <v>.</v>
      </c>
      <c r="AW391" s="180">
        <f>IFERROR(VLOOKUP(B391,'Share, Heavy Weapons to Ukraine'!B:J,COLUMN('Share, Heavy Weapons to Ukraine'!C400)-1,0),0)</f>
        <v>0</v>
      </c>
      <c r="AX391" s="180">
        <f>VLOOKUP('Bilateral Assistance, MAIN DATA'!B391,'Country Summary'!B:F,COLUMN('Country Summary'!C403)-1,FALSE)</f>
        <v>1</v>
      </c>
      <c r="AY391" s="180">
        <f>IF(AND(AD391=1,D391="Military",H391&lt;&gt;"Not given")=TRUE,IF(SUMIFS(P:P,A:A,A391)&gt;0,ABS((SUMIFS(P:P,A:A,A391)/VLOOKUP("USD",'Exchange Rates'!B:C,2,0)))/S391,"."),".")</f>
        <v>1.1660954013779246</v>
      </c>
      <c r="AZ391" s="182">
        <f>IF(AND(AD391=1,D391="Military",H391&lt;&gt;"Not given")=TRUE,IF(SUMIFS(P:P,A:A,A391)&gt;0,IF((ABS((SUMIFS(P:P,A:A,A391)/VLOOKUP("USD",'Exchange Rates'!B:C,2,0)))/S391)&gt;1,(SUMIFS(P:P,A:A,A391)-S391)/S391,(S391-SUMIFS(P:P,A:A,A391))/SUMIFS(P:P,A:A,A391)),"."),".")</f>
        <v>0.22440017144682092</v>
      </c>
      <c r="BA391" s="182"/>
      <c r="BB391" s="182"/>
      <c r="BC391" s="182"/>
      <c r="BD391" s="182"/>
      <c r="BE391" s="182"/>
      <c r="BF391" s="182"/>
      <c r="BG391" s="182"/>
      <c r="BH391" s="182"/>
      <c r="BI391" s="182"/>
      <c r="BJ391" s="182"/>
      <c r="BK391" s="182"/>
      <c r="BL391" s="182"/>
      <c r="BM391" s="182"/>
      <c r="BN391" s="182"/>
      <c r="BO391" s="182"/>
      <c r="BP391" s="182"/>
      <c r="BQ391" s="182"/>
      <c r="BR391" s="182"/>
      <c r="BS391" s="182"/>
    </row>
    <row r="392" spans="1:71" ht="15.9" customHeight="1" x14ac:dyDescent="0.3">
      <c r="A392" s="5" t="s">
        <v>1326</v>
      </c>
      <c r="B392" s="5" t="s">
        <v>1288</v>
      </c>
      <c r="C392" s="174" t="s">
        <v>1327</v>
      </c>
      <c r="D392" s="5" t="s">
        <v>285</v>
      </c>
      <c r="E392" s="5" t="s">
        <v>1328</v>
      </c>
      <c r="F392" s="1139" t="s">
        <v>1329</v>
      </c>
      <c r="G392" s="15" t="s">
        <v>364</v>
      </c>
      <c r="H392" s="176">
        <v>1360000000</v>
      </c>
      <c r="I392" s="185" t="s">
        <v>1332</v>
      </c>
      <c r="J392" s="113" t="str">
        <f>VLOOKUP($I392,'Price List, Weapons &amp; Items'!B:C,2,0)</f>
        <v>Military equipment</v>
      </c>
      <c r="K392" s="113" t="str">
        <f>IF(I392=".",I392,VLOOKUP($I392,'Price List, Weapons &amp; Items'!B:D,3,0))</f>
        <v>Military equipment</v>
      </c>
      <c r="L392" s="177">
        <f>VLOOKUP(I392,'Price List, Weapons &amp; Items'!B:E,4,0)</f>
        <v>0</v>
      </c>
      <c r="M392" s="542">
        <v>10</v>
      </c>
      <c r="N392" s="542">
        <v>10</v>
      </c>
      <c r="O392" s="543">
        <f>VLOOKUP($I392,'Price List, Weapons &amp; Items'!B:G,6,0)</f>
        <v>1334</v>
      </c>
      <c r="P392" s="176">
        <f t="shared" si="80"/>
        <v>13340</v>
      </c>
      <c r="Q392" s="176">
        <f t="shared" si="81"/>
        <v>13340</v>
      </c>
      <c r="R392" s="176" t="str">
        <f t="shared" si="78"/>
        <v/>
      </c>
      <c r="S392" s="176" t="str">
        <f>IF(AND(AD392=1,R392&lt;&gt;".")=TRUE,R392/VLOOKUP(G392,'Exchange Rates'!B:C,2,0),IF(R392=".",".",""))</f>
        <v/>
      </c>
      <c r="T392" s="176" t="str">
        <f>IF(AD392=1,IF(AF392="Value is not given at all",".",IF(AF392="Value is given by the source",S392,IF(AF392="Value is calculated with prices",(IF(SUMIFS(Q:Q,A:A,A392)&gt;0,SUMIFS(Q:Q,A:A,A392),"."))/VLOOKUP("USD",'Exchange Rates'!B:C,2,0),"Error with coding"))),"")</f>
        <v/>
      </c>
      <c r="U392" s="15" t="s">
        <v>261</v>
      </c>
      <c r="V392" s="567" t="s">
        <v>1293</v>
      </c>
      <c r="W392" s="567" t="s">
        <v>1333</v>
      </c>
      <c r="X392" s="685" t="s">
        <v>260</v>
      </c>
      <c r="Y392" s="685" t="s">
        <v>260</v>
      </c>
      <c r="Z392" s="15">
        <v>0</v>
      </c>
      <c r="AA392" s="180">
        <v>1</v>
      </c>
      <c r="AB392" s="570" t="s">
        <v>1334</v>
      </c>
      <c r="AC392" s="544" t="str">
        <f>""</f>
        <v/>
      </c>
      <c r="AD392" s="183">
        <v>0</v>
      </c>
      <c r="AE392" s="183" t="s">
        <v>264</v>
      </c>
      <c r="AF392" s="183" t="s">
        <v>265</v>
      </c>
      <c r="AG392" s="183">
        <v>0</v>
      </c>
      <c r="AH392" s="183">
        <v>0</v>
      </c>
      <c r="AI392" s="183">
        <v>0</v>
      </c>
      <c r="AJ392" s="181">
        <f>VLOOKUP($I392,'Price List, Weapons &amp; Items'!B:F,5,0)</f>
        <v>0</v>
      </c>
      <c r="AK392" s="181">
        <f t="shared" si="82"/>
        <v>0</v>
      </c>
      <c r="AL392" s="181">
        <f t="shared" si="83"/>
        <v>0</v>
      </c>
      <c r="AM392" s="181">
        <f t="shared" si="84"/>
        <v>0</v>
      </c>
      <c r="AN392" s="180" t="str">
        <f>VLOOKUP($I392,'Price List, Weapons &amp; Items'!B:L,COLUMN('Price List, Weapons &amp; Items'!$J$11)-1,0)</f>
        <v>Online marketplaces and stores</v>
      </c>
      <c r="AO392" s="180" t="str">
        <f>IF(I392=".",".",VLOOKUP($I392,'Price List, Weapons &amp; Items'!B:J,3,0))</f>
        <v>Military equipment</v>
      </c>
      <c r="AP392" s="545" t="str">
        <f t="shared" ca="1" si="79"/>
        <v/>
      </c>
      <c r="AQ392" s="180">
        <f>VLOOKUP($I392,'Price List, Weapons &amp; Items'!B:L,COLUMN('Price List, Weapons &amp; Items'!$L$11)-1,0)</f>
        <v>1</v>
      </c>
      <c r="AR392" s="180">
        <f t="shared" si="85"/>
        <v>1</v>
      </c>
      <c r="AS392" s="180">
        <f t="shared" si="86"/>
        <v>1</v>
      </c>
      <c r="AT392" s="180" t="str">
        <f t="shared" si="87"/>
        <v>Value is not in date format</v>
      </c>
      <c r="AU392" s="180" t="str">
        <f t="shared" si="88"/>
        <v>.</v>
      </c>
      <c r="AV392" s="180" t="str">
        <f t="shared" si="89"/>
        <v>.</v>
      </c>
      <c r="AW392" s="180">
        <f>IFERROR(VLOOKUP(B392,'Share, Heavy Weapons to Ukraine'!B:J,COLUMN('Share, Heavy Weapons to Ukraine'!C401)-1,0),0)</f>
        <v>0</v>
      </c>
      <c r="AX392" s="180">
        <f>VLOOKUP('Bilateral Assistance, MAIN DATA'!B392,'Country Summary'!B:F,COLUMN('Country Summary'!C404)-1,FALSE)</f>
        <v>1</v>
      </c>
      <c r="AY392" s="180" t="str">
        <f>IF(AND(AD392=1,D392="Military",H392&lt;&gt;"Not given")=TRUE,IF(SUMIFS(P:P,A:A,A392)&gt;0,ABS((SUMIFS(P:P,A:A,A392)/VLOOKUP("USD",'Exchange Rates'!B:C,2,0)))/S392,"."),".")</f>
        <v>.</v>
      </c>
      <c r="AZ392" s="182" t="str">
        <f>IF(AND(AD392=1,D392="Military",H392&lt;&gt;"Not given")=TRUE,IF(SUMIFS(P:P,A:A,A392)&gt;0,IF((ABS((SUMIFS(P:P,A:A,A392)/VLOOKUP("USD",'Exchange Rates'!B:C,2,0)))/S392)&gt;1,(SUMIFS(P:P,A:A,A392)-S392)/S392,(S392-SUMIFS(P:P,A:A,A392))/SUMIFS(P:P,A:A,A392)),"."),".")</f>
        <v>.</v>
      </c>
      <c r="BA392" s="182"/>
      <c r="BB392" s="182"/>
      <c r="BC392" s="182"/>
      <c r="BD392" s="182"/>
      <c r="BE392" s="182"/>
      <c r="BF392" s="182"/>
      <c r="BG392" s="182"/>
      <c r="BH392" s="182"/>
      <c r="BI392" s="182"/>
      <c r="BJ392" s="182"/>
      <c r="BK392" s="182"/>
      <c r="BL392" s="182"/>
      <c r="BM392" s="182"/>
      <c r="BN392" s="182"/>
      <c r="BO392" s="182"/>
      <c r="BP392" s="182"/>
      <c r="BQ392" s="182"/>
      <c r="BR392" s="182"/>
      <c r="BS392" s="182"/>
    </row>
    <row r="393" spans="1:71" ht="15.9" customHeight="1" x14ac:dyDescent="0.3">
      <c r="A393" s="5" t="s">
        <v>1326</v>
      </c>
      <c r="B393" s="5" t="s">
        <v>1288</v>
      </c>
      <c r="C393" s="174" t="s">
        <v>1327</v>
      </c>
      <c r="D393" s="5" t="s">
        <v>285</v>
      </c>
      <c r="E393" s="5" t="s">
        <v>1328</v>
      </c>
      <c r="F393" s="1139" t="s">
        <v>1329</v>
      </c>
      <c r="G393" s="15" t="s">
        <v>364</v>
      </c>
      <c r="H393" s="176">
        <v>1360000000</v>
      </c>
      <c r="I393" s="185" t="s">
        <v>466</v>
      </c>
      <c r="J393" s="113" t="str">
        <f>VLOOKUP($I393,'Price List, Weapons &amp; Items'!B:C,2,0)</f>
        <v>Humanitarian</v>
      </c>
      <c r="K393" s="113" t="str">
        <f>IF(I393=".",I393,VLOOKUP($I393,'Price List, Weapons &amp; Items'!B:D,3,0))</f>
        <v>Humanitarian</v>
      </c>
      <c r="L393" s="177">
        <f>VLOOKUP(I393,'Price List, Weapons &amp; Items'!B:E,4,0)</f>
        <v>0</v>
      </c>
      <c r="M393" s="542">
        <v>36</v>
      </c>
      <c r="N393" s="542">
        <v>36</v>
      </c>
      <c r="O393" s="543">
        <f>VLOOKUP($I393,'Price List, Weapons &amp; Items'!B:G,6,0)</f>
        <v>220000</v>
      </c>
      <c r="P393" s="176">
        <f t="shared" si="80"/>
        <v>7920000</v>
      </c>
      <c r="Q393" s="176">
        <f t="shared" si="81"/>
        <v>7920000</v>
      </c>
      <c r="R393" s="176" t="str">
        <f t="shared" si="78"/>
        <v/>
      </c>
      <c r="S393" s="176" t="str">
        <f>IF(AND(AD393=1,R393&lt;&gt;".")=TRUE,R393/VLOOKUP(G393,'Exchange Rates'!B:C,2,0),IF(R393=".",".",""))</f>
        <v/>
      </c>
      <c r="T393" s="176" t="str">
        <f>IF(AD393=1,IF(AF393="Value is not given at all",".",IF(AF393="Value is given by the source",S393,IF(AF393="Value is calculated with prices",(IF(SUMIFS(Q:Q,A:A,A393)&gt;0,SUMIFS(Q:Q,A:A,A393),"."))/VLOOKUP("USD",'Exchange Rates'!B:C,2,0),"Error with coding"))),"")</f>
        <v/>
      </c>
      <c r="U393" s="15" t="s">
        <v>261</v>
      </c>
      <c r="V393" s="567" t="s">
        <v>1293</v>
      </c>
      <c r="W393" s="567" t="s">
        <v>1331</v>
      </c>
      <c r="X393" s="685" t="s">
        <v>260</v>
      </c>
      <c r="Y393" s="685" t="s">
        <v>260</v>
      </c>
      <c r="Z393" s="15">
        <v>0</v>
      </c>
      <c r="AA393" s="180">
        <v>1</v>
      </c>
      <c r="AB393" s="570" t="s">
        <v>1335</v>
      </c>
      <c r="AC393" s="544" t="str">
        <f>""</f>
        <v/>
      </c>
      <c r="AD393" s="183">
        <v>0</v>
      </c>
      <c r="AE393" s="183" t="s">
        <v>264</v>
      </c>
      <c r="AF393" s="183" t="s">
        <v>265</v>
      </c>
      <c r="AG393" s="183">
        <v>0</v>
      </c>
      <c r="AH393" s="183">
        <v>0</v>
      </c>
      <c r="AI393" s="183">
        <v>0</v>
      </c>
      <c r="AJ393" s="181">
        <f>VLOOKUP($I393,'Price List, Weapons &amp; Items'!B:F,5,0)</f>
        <v>0</v>
      </c>
      <c r="AK393" s="181">
        <f t="shared" si="82"/>
        <v>0</v>
      </c>
      <c r="AL393" s="181">
        <f t="shared" si="83"/>
        <v>0</v>
      </c>
      <c r="AM393" s="181">
        <f t="shared" si="84"/>
        <v>0</v>
      </c>
      <c r="AN393" s="180" t="str">
        <f>VLOOKUP($I393,'Price List, Weapons &amp; Items'!B:L,COLUMN('Price List, Weapons &amp; Items'!$J$11)-1,0)</f>
        <v>Miscellaneous</v>
      </c>
      <c r="AO393" s="180" t="str">
        <f>IF(I393=".",".",VLOOKUP($I393,'Price List, Weapons &amp; Items'!B:J,3,0))</f>
        <v>Humanitarian</v>
      </c>
      <c r="AP393" s="545" t="str">
        <f t="shared" ca="1" si="79"/>
        <v/>
      </c>
      <c r="AQ393" s="180">
        <f>VLOOKUP($I393,'Price List, Weapons &amp; Items'!B:L,COLUMN('Price List, Weapons &amp; Items'!$L$11)-1,0)</f>
        <v>0</v>
      </c>
      <c r="AR393" s="180">
        <f t="shared" si="85"/>
        <v>1</v>
      </c>
      <c r="AS393" s="180">
        <f t="shared" si="86"/>
        <v>1</v>
      </c>
      <c r="AT393" s="180" t="str">
        <f t="shared" si="87"/>
        <v>Value is not in date format</v>
      </c>
      <c r="AU393" s="180" t="str">
        <f t="shared" si="88"/>
        <v>.</v>
      </c>
      <c r="AV393" s="180" t="str">
        <f t="shared" si="89"/>
        <v>.</v>
      </c>
      <c r="AW393" s="180">
        <f>IFERROR(VLOOKUP(B393,'Share, Heavy Weapons to Ukraine'!B:J,COLUMN('Share, Heavy Weapons to Ukraine'!C402)-1,0),0)</f>
        <v>0</v>
      </c>
      <c r="AX393" s="180">
        <f>VLOOKUP('Bilateral Assistance, MAIN DATA'!B393,'Country Summary'!B:F,COLUMN('Country Summary'!C405)-1,FALSE)</f>
        <v>1</v>
      </c>
      <c r="AY393" s="180" t="str">
        <f>IF(AND(AD393=1,D393="Military",H393&lt;&gt;"Not given")=TRUE,IF(SUMIFS(P:P,A:A,A393)&gt;0,ABS((SUMIFS(P:P,A:A,A393)/VLOOKUP("USD",'Exchange Rates'!B:C,2,0)))/S393,"."),".")</f>
        <v>.</v>
      </c>
      <c r="AZ393" s="182" t="str">
        <f>IF(AND(AD393=1,D393="Military",H393&lt;&gt;"Not given")=TRUE,IF(SUMIFS(P:P,A:A,A393)&gt;0,IF((ABS((SUMIFS(P:P,A:A,A393)/VLOOKUP("USD",'Exchange Rates'!B:C,2,0)))/S393)&gt;1,(SUMIFS(P:P,A:A,A393)-S393)/S393,(S393-SUMIFS(P:P,A:A,A393))/SUMIFS(P:P,A:A,A393)),"."),".")</f>
        <v>.</v>
      </c>
      <c r="BA393" s="182"/>
      <c r="BB393" s="182"/>
      <c r="BC393" s="182"/>
      <c r="BD393" s="182"/>
      <c r="BE393" s="182"/>
      <c r="BF393" s="182"/>
      <c r="BG393" s="182"/>
      <c r="BH393" s="182"/>
      <c r="BI393" s="182"/>
      <c r="BJ393" s="182"/>
      <c r="BK393" s="182"/>
      <c r="BL393" s="182"/>
      <c r="BM393" s="182"/>
      <c r="BN393" s="182"/>
      <c r="BO393" s="182"/>
      <c r="BP393" s="182"/>
      <c r="BQ393" s="182"/>
      <c r="BR393" s="182"/>
      <c r="BS393" s="182"/>
    </row>
    <row r="394" spans="1:71" ht="15.9" customHeight="1" x14ac:dyDescent="0.3">
      <c r="A394" s="5" t="s">
        <v>1326</v>
      </c>
      <c r="B394" s="5" t="s">
        <v>1288</v>
      </c>
      <c r="C394" s="174" t="s">
        <v>1327</v>
      </c>
      <c r="D394" s="5" t="s">
        <v>285</v>
      </c>
      <c r="E394" s="5" t="s">
        <v>1328</v>
      </c>
      <c r="F394" s="1139" t="s">
        <v>1329</v>
      </c>
      <c r="G394" s="15" t="s">
        <v>364</v>
      </c>
      <c r="H394" s="176">
        <v>1360000000</v>
      </c>
      <c r="I394" s="185" t="s">
        <v>1336</v>
      </c>
      <c r="J394" s="113" t="str">
        <f>VLOOKUP($I394,'Price List, Weapons &amp; Items'!B:C,2,0)</f>
        <v>Portable defence system</v>
      </c>
      <c r="K394" s="113" t="str">
        <f>IF(I394=".",I394,VLOOKUP($I394,'Price List, Weapons &amp; Items'!B:D,3,0))</f>
        <v>Military equipment</v>
      </c>
      <c r="L394" s="177">
        <f>VLOOKUP(I394,'Price List, Weapons &amp; Items'!B:E,4,0)</f>
        <v>0</v>
      </c>
      <c r="M394" s="542">
        <v>10</v>
      </c>
      <c r="N394" s="542">
        <v>10</v>
      </c>
      <c r="O394" s="543">
        <f>VLOOKUP($I394,'Price List, Weapons &amp; Items'!B:G,6,0)</f>
        <v>12000</v>
      </c>
      <c r="P394" s="176">
        <f t="shared" si="80"/>
        <v>120000</v>
      </c>
      <c r="Q394" s="176">
        <f t="shared" si="81"/>
        <v>120000</v>
      </c>
      <c r="R394" s="176" t="str">
        <f t="shared" si="78"/>
        <v/>
      </c>
      <c r="S394" s="176" t="str">
        <f>IF(AND(AD394=1,R394&lt;&gt;".")=TRUE,R394/VLOOKUP(G394,'Exchange Rates'!B:C,2,0),IF(R394=".",".",""))</f>
        <v/>
      </c>
      <c r="T394" s="176" t="str">
        <f>IF(AD394=1,IF(AF394="Value is not given at all",".",IF(AF394="Value is given by the source",S394,IF(AF394="Value is calculated with prices",(IF(SUMIFS(Q:Q,A:A,A394)&gt;0,SUMIFS(Q:Q,A:A,A394),"."))/VLOOKUP("USD",'Exchange Rates'!B:C,2,0),"Error with coding"))),"")</f>
        <v/>
      </c>
      <c r="U394" s="15" t="s">
        <v>261</v>
      </c>
      <c r="V394" s="567" t="s">
        <v>1293</v>
      </c>
      <c r="W394" s="567" t="s">
        <v>1334</v>
      </c>
      <c r="X394" s="685" t="s">
        <v>260</v>
      </c>
      <c r="Y394" s="685" t="s">
        <v>260</v>
      </c>
      <c r="Z394" s="15">
        <v>0</v>
      </c>
      <c r="AA394" s="180">
        <v>1</v>
      </c>
      <c r="AB394" s="570" t="s">
        <v>1337</v>
      </c>
      <c r="AC394" s="544" t="str">
        <f>""</f>
        <v/>
      </c>
      <c r="AD394" s="183">
        <v>0</v>
      </c>
      <c r="AE394" s="183" t="s">
        <v>264</v>
      </c>
      <c r="AF394" s="183" t="s">
        <v>265</v>
      </c>
      <c r="AG394" s="183">
        <v>0</v>
      </c>
      <c r="AH394" s="183">
        <v>0</v>
      </c>
      <c r="AI394" s="183">
        <v>0</v>
      </c>
      <c r="AJ394" s="181">
        <f>VLOOKUP($I394,'Price List, Weapons &amp; Items'!B:F,5,0)</f>
        <v>0</v>
      </c>
      <c r="AK394" s="181">
        <f t="shared" si="82"/>
        <v>0</v>
      </c>
      <c r="AL394" s="181">
        <f t="shared" si="83"/>
        <v>0</v>
      </c>
      <c r="AM394" s="181">
        <f t="shared" si="84"/>
        <v>0</v>
      </c>
      <c r="AN394" s="180" t="str">
        <f>VLOOKUP($I394,'Price List, Weapons &amp; Items'!B:L,COLUMN('Price List, Weapons &amp; Items'!$J$11)-1,0)</f>
        <v>Media reports (incl. social media)</v>
      </c>
      <c r="AO394" s="180" t="str">
        <f>IF(I394=".",".",VLOOKUP($I394,'Price List, Weapons &amp; Items'!B:J,3,0))</f>
        <v>Military equipment</v>
      </c>
      <c r="AP394" s="545" t="str">
        <f t="shared" ca="1" si="79"/>
        <v/>
      </c>
      <c r="AQ394" s="180">
        <f>VLOOKUP($I394,'Price List, Weapons &amp; Items'!B:L,COLUMN('Price List, Weapons &amp; Items'!$L$11)-1,0)</f>
        <v>1</v>
      </c>
      <c r="AR394" s="180">
        <f t="shared" si="85"/>
        <v>1</v>
      </c>
      <c r="AS394" s="180">
        <f t="shared" si="86"/>
        <v>1</v>
      </c>
      <c r="AT394" s="180" t="str">
        <f t="shared" si="87"/>
        <v>Value is not in date format</v>
      </c>
      <c r="AU394" s="180" t="str">
        <f t="shared" si="88"/>
        <v>.</v>
      </c>
      <c r="AV394" s="180" t="str">
        <f t="shared" si="89"/>
        <v>.</v>
      </c>
      <c r="AW394" s="180">
        <f>IFERROR(VLOOKUP(B394,'Share, Heavy Weapons to Ukraine'!B:J,COLUMN('Share, Heavy Weapons to Ukraine'!C403)-1,0),0)</f>
        <v>0</v>
      </c>
      <c r="AX394" s="180">
        <f>VLOOKUP('Bilateral Assistance, MAIN DATA'!B394,'Country Summary'!B:F,COLUMN('Country Summary'!C406)-1,FALSE)</f>
        <v>1</v>
      </c>
      <c r="AY394" s="180" t="str">
        <f>IF(AND(AD394=1,D394="Military",H394&lt;&gt;"Not given")=TRUE,IF(SUMIFS(P:P,A:A,A394)&gt;0,ABS((SUMIFS(P:P,A:A,A394)/VLOOKUP("USD",'Exchange Rates'!B:C,2,0)))/S394,"."),".")</f>
        <v>.</v>
      </c>
      <c r="AZ394" s="182" t="str">
        <f>IF(AND(AD394=1,D394="Military",H394&lt;&gt;"Not given")=TRUE,IF(SUMIFS(P:P,A:A,A394)&gt;0,IF((ABS((SUMIFS(P:P,A:A,A394)/VLOOKUP("USD",'Exchange Rates'!B:C,2,0)))/S394)&gt;1,(SUMIFS(P:P,A:A,A394)-S394)/S394,(S394-SUMIFS(P:P,A:A,A394))/SUMIFS(P:P,A:A,A394)),"."),".")</f>
        <v>.</v>
      </c>
      <c r="BA394" s="182"/>
      <c r="BB394" s="182"/>
      <c r="BC394" s="182"/>
      <c r="BD394" s="182"/>
      <c r="BE394" s="182"/>
      <c r="BF394" s="182"/>
      <c r="BG394" s="182"/>
      <c r="BH394" s="182"/>
      <c r="BI394" s="182"/>
      <c r="BJ394" s="182"/>
      <c r="BK394" s="182"/>
      <c r="BL394" s="182"/>
      <c r="BM394" s="182"/>
      <c r="BN394" s="182"/>
      <c r="BO394" s="182"/>
      <c r="BP394" s="182"/>
      <c r="BQ394" s="182"/>
      <c r="BR394" s="182"/>
      <c r="BS394" s="182"/>
    </row>
    <row r="395" spans="1:71" ht="15.9" customHeight="1" x14ac:dyDescent="0.3">
      <c r="A395" s="5" t="s">
        <v>1326</v>
      </c>
      <c r="B395" s="5" t="s">
        <v>1288</v>
      </c>
      <c r="C395" s="174" t="s">
        <v>1327</v>
      </c>
      <c r="D395" s="5" t="s">
        <v>285</v>
      </c>
      <c r="E395" s="5" t="s">
        <v>1328</v>
      </c>
      <c r="F395" s="1139" t="s">
        <v>1329</v>
      </c>
      <c r="G395" s="15" t="s">
        <v>364</v>
      </c>
      <c r="H395" s="176">
        <v>1360000000</v>
      </c>
      <c r="I395" s="185" t="s">
        <v>1338</v>
      </c>
      <c r="J395" s="113" t="str">
        <f>VLOOKUP($I395,'Price List, Weapons &amp; Items'!B:C,2,0)</f>
        <v>Military equipment</v>
      </c>
      <c r="K395" s="113" t="str">
        <f>IF(I395=".",I395,VLOOKUP($I395,'Price List, Weapons &amp; Items'!B:D,3,0))</f>
        <v>Anti-drone</v>
      </c>
      <c r="L395" s="177">
        <f>VLOOKUP(I395,'Price List, Weapons &amp; Items'!B:E,4,0)</f>
        <v>0</v>
      </c>
      <c r="M395" s="542">
        <v>55</v>
      </c>
      <c r="N395" s="542">
        <v>55</v>
      </c>
      <c r="O395" s="543">
        <f>VLOOKUP($I395,'Price List, Weapons &amp; Items'!B:G,6,0)</f>
        <v>10794.5</v>
      </c>
      <c r="P395" s="176">
        <f t="shared" si="80"/>
        <v>593697.5</v>
      </c>
      <c r="Q395" s="176">
        <f t="shared" si="81"/>
        <v>593697.5</v>
      </c>
      <c r="R395" s="176" t="str">
        <f t="shared" si="78"/>
        <v/>
      </c>
      <c r="S395" s="176" t="str">
        <f>IF(AND(AD395=1,R395&lt;&gt;".")=TRUE,R395/VLOOKUP(G395,'Exchange Rates'!B:C,2,0),IF(R395=".",".",""))</f>
        <v/>
      </c>
      <c r="T395" s="176" t="str">
        <f>IF(AD395=1,IF(AF395="Value is not given at all",".",IF(AF395="Value is given by the source",S395,IF(AF395="Value is calculated with prices",(IF(SUMIFS(Q:Q,A:A,A395)&gt;0,SUMIFS(Q:Q,A:A,A395),"."))/VLOOKUP("USD",'Exchange Rates'!B:C,2,0),"Error with coding"))),"")</f>
        <v/>
      </c>
      <c r="U395" s="15" t="s">
        <v>261</v>
      </c>
      <c r="V395" s="567" t="s">
        <v>1293</v>
      </c>
      <c r="W395" s="567" t="s">
        <v>1335</v>
      </c>
      <c r="X395" s="685" t="s">
        <v>260</v>
      </c>
      <c r="Y395" s="685" t="s">
        <v>260</v>
      </c>
      <c r="Z395" s="15">
        <v>0</v>
      </c>
      <c r="AA395" s="180">
        <v>1</v>
      </c>
      <c r="AB395" s="570" t="s">
        <v>1339</v>
      </c>
      <c r="AC395" s="544" t="str">
        <f>""</f>
        <v/>
      </c>
      <c r="AD395" s="183">
        <v>0</v>
      </c>
      <c r="AE395" s="183" t="s">
        <v>264</v>
      </c>
      <c r="AF395" s="183" t="s">
        <v>265</v>
      </c>
      <c r="AG395" s="183">
        <v>0</v>
      </c>
      <c r="AH395" s="183">
        <v>0</v>
      </c>
      <c r="AI395" s="183">
        <v>0</v>
      </c>
      <c r="AJ395" s="181">
        <f>VLOOKUP($I395,'Price List, Weapons &amp; Items'!B:F,5,0)</f>
        <v>0</v>
      </c>
      <c r="AK395" s="181">
        <f t="shared" si="82"/>
        <v>0</v>
      </c>
      <c r="AL395" s="181">
        <f t="shared" si="83"/>
        <v>0</v>
      </c>
      <c r="AM395" s="181">
        <f t="shared" si="84"/>
        <v>0</v>
      </c>
      <c r="AN395" s="180" t="str">
        <f>VLOOKUP($I395,'Price List, Weapons &amp; Items'!B:L,COLUMN('Price List, Weapons &amp; Items'!$J$11)-1,0)</f>
        <v>Online marketplaces and stores</v>
      </c>
      <c r="AO395" s="180" t="str">
        <f>IF(I395=".",".",VLOOKUP($I395,'Price List, Weapons &amp; Items'!B:J,3,0))</f>
        <v>Anti-drone</v>
      </c>
      <c r="AP395" s="545" t="str">
        <f t="shared" ca="1" si="79"/>
        <v/>
      </c>
      <c r="AQ395" s="180">
        <f>VLOOKUP($I395,'Price List, Weapons &amp; Items'!B:L,COLUMN('Price List, Weapons &amp; Items'!$L$11)-1,0)</f>
        <v>1</v>
      </c>
      <c r="AR395" s="180">
        <f t="shared" si="85"/>
        <v>1</v>
      </c>
      <c r="AS395" s="180">
        <f t="shared" si="86"/>
        <v>1</v>
      </c>
      <c r="AT395" s="180" t="str">
        <f t="shared" si="87"/>
        <v>Value is not in date format</v>
      </c>
      <c r="AU395" s="180" t="str">
        <f t="shared" si="88"/>
        <v>.</v>
      </c>
      <c r="AV395" s="180" t="str">
        <f t="shared" si="89"/>
        <v>.</v>
      </c>
      <c r="AW395" s="180">
        <f>IFERROR(VLOOKUP(B395,'Share, Heavy Weapons to Ukraine'!B:J,COLUMN('Share, Heavy Weapons to Ukraine'!C404)-1,0),0)</f>
        <v>0</v>
      </c>
      <c r="AX395" s="180">
        <f>VLOOKUP('Bilateral Assistance, MAIN DATA'!B395,'Country Summary'!B:F,COLUMN('Country Summary'!C407)-1,FALSE)</f>
        <v>1</v>
      </c>
      <c r="AY395" s="180" t="str">
        <f>IF(AND(AD395=1,D395="Military",H395&lt;&gt;"Not given")=TRUE,IF(SUMIFS(P:P,A:A,A395)&gt;0,ABS((SUMIFS(P:P,A:A,A395)/VLOOKUP("USD",'Exchange Rates'!B:C,2,0)))/S395,"."),".")</f>
        <v>.</v>
      </c>
      <c r="AZ395" s="182" t="str">
        <f>IF(AND(AD395=1,D395="Military",H395&lt;&gt;"Not given")=TRUE,IF(SUMIFS(P:P,A:A,A395)&gt;0,IF((ABS((SUMIFS(P:P,A:A,A395)/VLOOKUP("USD",'Exchange Rates'!B:C,2,0)))/S395)&gt;1,(SUMIFS(P:P,A:A,A395)-S395)/S395,(S395-SUMIFS(P:P,A:A,A395))/SUMIFS(P:P,A:A,A395)),"."),".")</f>
        <v>.</v>
      </c>
      <c r="BA395" s="182"/>
      <c r="BB395" s="182"/>
      <c r="BC395" s="182"/>
      <c r="BD395" s="182"/>
      <c r="BE395" s="182"/>
      <c r="BF395" s="182"/>
      <c r="BG395" s="182"/>
      <c r="BH395" s="182"/>
      <c r="BI395" s="182"/>
      <c r="BJ395" s="182"/>
      <c r="BK395" s="182"/>
      <c r="BL395" s="182"/>
      <c r="BM395" s="182"/>
      <c r="BN395" s="182"/>
      <c r="BO395" s="182"/>
      <c r="BP395" s="182"/>
      <c r="BQ395" s="182"/>
      <c r="BR395" s="182"/>
      <c r="BS395" s="182"/>
    </row>
    <row r="396" spans="1:71" ht="15.9" customHeight="1" x14ac:dyDescent="0.3">
      <c r="A396" s="5" t="s">
        <v>1326</v>
      </c>
      <c r="B396" s="5" t="s">
        <v>1288</v>
      </c>
      <c r="C396" s="174" t="s">
        <v>1327</v>
      </c>
      <c r="D396" s="5" t="s">
        <v>285</v>
      </c>
      <c r="E396" s="5" t="s">
        <v>1328</v>
      </c>
      <c r="F396" s="1139" t="s">
        <v>1329</v>
      </c>
      <c r="G396" s="15" t="s">
        <v>364</v>
      </c>
      <c r="H396" s="176">
        <v>1360000000</v>
      </c>
      <c r="I396" s="185" t="s">
        <v>1340</v>
      </c>
      <c r="J396" s="113" t="str">
        <f>VLOOKUP($I396,'Price List, Weapons &amp; Items'!B:C,2,0)</f>
        <v>Heavy weapon</v>
      </c>
      <c r="K396" s="113" t="str">
        <f>IF(I396=".",I396,VLOOKUP($I396,'Price List, Weapons &amp; Items'!B:D,3,0))</f>
        <v>Armoured Recovery Vehicle (ARV)</v>
      </c>
      <c r="L396" s="177">
        <f>VLOOKUP(I396,'Price List, Weapons &amp; Items'!B:E,4,0)</f>
        <v>0</v>
      </c>
      <c r="M396" s="542">
        <v>3</v>
      </c>
      <c r="N396" s="542">
        <v>3</v>
      </c>
      <c r="O396" s="543">
        <f>VLOOKUP($I396,'Price List, Weapons &amp; Items'!B:G,6,0)</f>
        <v>934237.75</v>
      </c>
      <c r="P396" s="176">
        <f t="shared" si="80"/>
        <v>2802713.25</v>
      </c>
      <c r="Q396" s="176">
        <f t="shared" si="81"/>
        <v>2802713.25</v>
      </c>
      <c r="R396" s="176" t="str">
        <f t="shared" si="78"/>
        <v/>
      </c>
      <c r="S396" s="176" t="str">
        <f>IF(AND(AD396=1,R396&lt;&gt;".")=TRUE,R396/VLOOKUP(G396,'Exchange Rates'!B:C,2,0),IF(R396=".",".",""))</f>
        <v/>
      </c>
      <c r="T396" s="176" t="str">
        <f>IF(AD396=1,IF(AF396="Value is not given at all",".",IF(AF396="Value is given by the source",S396,IF(AF396="Value is calculated with prices",(IF(SUMIFS(Q:Q,A:A,A396)&gt;0,SUMIFS(Q:Q,A:A,A396),"."))/VLOOKUP("USD",'Exchange Rates'!B:C,2,0),"Error with coding"))),"")</f>
        <v/>
      </c>
      <c r="U396" s="15" t="s">
        <v>261</v>
      </c>
      <c r="V396" s="567" t="s">
        <v>1293</v>
      </c>
      <c r="W396" s="567" t="s">
        <v>1337</v>
      </c>
      <c r="X396" s="685" t="s">
        <v>260</v>
      </c>
      <c r="Y396" s="685" t="s">
        <v>260</v>
      </c>
      <c r="Z396" s="15">
        <v>0</v>
      </c>
      <c r="AA396" s="180">
        <v>1</v>
      </c>
      <c r="AB396" s="570" t="s">
        <v>1341</v>
      </c>
      <c r="AC396" s="544" t="str">
        <f>""</f>
        <v/>
      </c>
      <c r="AD396" s="183">
        <v>0</v>
      </c>
      <c r="AE396" s="183" t="s">
        <v>264</v>
      </c>
      <c r="AF396" s="183" t="s">
        <v>265</v>
      </c>
      <c r="AG396" s="183">
        <v>1</v>
      </c>
      <c r="AH396" s="183">
        <v>7</v>
      </c>
      <c r="AI396" s="183">
        <v>0</v>
      </c>
      <c r="AJ396" s="181">
        <f>VLOOKUP($I396,'Price List, Weapons &amp; Items'!B:F,5,0)</f>
        <v>1</v>
      </c>
      <c r="AK396" s="181">
        <f t="shared" si="82"/>
        <v>0</v>
      </c>
      <c r="AL396" s="181">
        <f t="shared" si="83"/>
        <v>0</v>
      </c>
      <c r="AM396" s="181">
        <f t="shared" si="84"/>
        <v>0</v>
      </c>
      <c r="AN396" s="180" t="str">
        <f>VLOOKUP($I396,'Price List, Weapons &amp; Items'!B:L,COLUMN('Price List, Weapons &amp; Items'!$J$11)-1,0)</f>
        <v>Contracts</v>
      </c>
      <c r="AO396" s="180" t="str">
        <f>IF(I396=".",".",VLOOKUP($I396,'Price List, Weapons &amp; Items'!B:J,3,0))</f>
        <v>Armoured Recovery Vehicle (ARV)</v>
      </c>
      <c r="AP396" s="545" t="str">
        <f t="shared" ca="1" si="79"/>
        <v/>
      </c>
      <c r="AQ396" s="180">
        <f>VLOOKUP($I396,'Price List, Weapons &amp; Items'!B:L,COLUMN('Price List, Weapons &amp; Items'!$L$11)-1,0)</f>
        <v>2</v>
      </c>
      <c r="AR396" s="180">
        <f t="shared" si="85"/>
        <v>1</v>
      </c>
      <c r="AS396" s="180">
        <f t="shared" si="86"/>
        <v>1</v>
      </c>
      <c r="AT396" s="180" t="str">
        <f t="shared" si="87"/>
        <v>Value is not in date format</v>
      </c>
      <c r="AU396" s="180" t="str">
        <f t="shared" si="88"/>
        <v>.</v>
      </c>
      <c r="AV396" s="180" t="str">
        <f t="shared" si="89"/>
        <v>.</v>
      </c>
      <c r="AW396" s="180">
        <f>IFERROR(VLOOKUP(B396,'Share, Heavy Weapons to Ukraine'!B:J,COLUMN('Share, Heavy Weapons to Ukraine'!C405)-1,0),0)</f>
        <v>0</v>
      </c>
      <c r="AX396" s="180">
        <f>VLOOKUP('Bilateral Assistance, MAIN DATA'!B396,'Country Summary'!B:F,COLUMN('Country Summary'!C408)-1,FALSE)</f>
        <v>1</v>
      </c>
      <c r="AY396" s="180" t="str">
        <f>IF(AND(AD396=1,D396="Military",H396&lt;&gt;"Not given")=TRUE,IF(SUMIFS(P:P,A:A,A396)&gt;0,ABS((SUMIFS(P:P,A:A,A396)/VLOOKUP("USD",'Exchange Rates'!B:C,2,0)))/S396,"."),".")</f>
        <v>.</v>
      </c>
      <c r="AZ396" s="182" t="str">
        <f>IF(AND(AD396=1,D396="Military",H396&lt;&gt;"Not given")=TRUE,IF(SUMIFS(P:P,A:A,A396)&gt;0,IF((ABS((SUMIFS(P:P,A:A,A396)/VLOOKUP("USD",'Exchange Rates'!B:C,2,0)))/S396)&gt;1,(SUMIFS(P:P,A:A,A396)-S396)/S396,(S396-SUMIFS(P:P,A:A,A396))/SUMIFS(P:P,A:A,A396)),"."),".")</f>
        <v>.</v>
      </c>
      <c r="BA396" s="182"/>
      <c r="BB396" s="182"/>
      <c r="BC396" s="182"/>
      <c r="BD396" s="182"/>
      <c r="BE396" s="182"/>
      <c r="BF396" s="182"/>
      <c r="BG396" s="182"/>
      <c r="BH396" s="182"/>
      <c r="BI396" s="182"/>
      <c r="BJ396" s="182"/>
      <c r="BK396" s="182"/>
      <c r="BL396" s="182"/>
      <c r="BM396" s="182"/>
      <c r="BN396" s="182"/>
      <c r="BO396" s="182"/>
      <c r="BP396" s="182"/>
      <c r="BQ396" s="182"/>
      <c r="BR396" s="182"/>
      <c r="BS396" s="182"/>
    </row>
    <row r="397" spans="1:71" ht="15.9" customHeight="1" x14ac:dyDescent="0.3">
      <c r="A397" s="5" t="s">
        <v>1326</v>
      </c>
      <c r="B397" s="5" t="s">
        <v>1288</v>
      </c>
      <c r="C397" s="174" t="s">
        <v>1327</v>
      </c>
      <c r="D397" s="5" t="s">
        <v>285</v>
      </c>
      <c r="E397" s="5" t="s">
        <v>1328</v>
      </c>
      <c r="F397" s="1139" t="s">
        <v>1329</v>
      </c>
      <c r="G397" s="15" t="s">
        <v>364</v>
      </c>
      <c r="H397" s="176">
        <v>1360000000</v>
      </c>
      <c r="I397" s="185" t="s">
        <v>1340</v>
      </c>
      <c r="J397" s="113" t="str">
        <f>VLOOKUP($I397,'Price List, Weapons &amp; Items'!B:C,2,0)</f>
        <v>Heavy weapon</v>
      </c>
      <c r="K397" s="113" t="str">
        <f>IF(I397=".",I397,VLOOKUP($I397,'Price List, Weapons &amp; Items'!B:D,3,0))</f>
        <v>Armoured Recovery Vehicle (ARV)</v>
      </c>
      <c r="L397" s="177">
        <f>VLOOKUP(I397,'Price List, Weapons &amp; Items'!B:E,4,0)</f>
        <v>0</v>
      </c>
      <c r="M397" s="542">
        <v>12</v>
      </c>
      <c r="N397" s="542">
        <v>12</v>
      </c>
      <c r="O397" s="543">
        <f>VLOOKUP($I397,'Price List, Weapons &amp; Items'!B:G,6,0)</f>
        <v>934237.75</v>
      </c>
      <c r="P397" s="176">
        <f t="shared" si="80"/>
        <v>11210853</v>
      </c>
      <c r="Q397" s="176">
        <f t="shared" si="81"/>
        <v>11210853</v>
      </c>
      <c r="R397" s="176" t="str">
        <f t="shared" si="78"/>
        <v/>
      </c>
      <c r="S397" s="176" t="str">
        <f>IF(AND(AD397=1,R397&lt;&gt;".")=TRUE,R397/VLOOKUP(G397,'Exchange Rates'!B:C,2,0),IF(R397=".",".",""))</f>
        <v/>
      </c>
      <c r="T397" s="176" t="str">
        <f>IF(AD397=1,IF(AF397="Value is not given at all",".",IF(AF397="Value is given by the source",S397,IF(AF397="Value is calculated with prices",(IF(SUMIFS(Q:Q,A:A,A397)&gt;0,SUMIFS(Q:Q,A:A,A397),"."))/VLOOKUP("USD",'Exchange Rates'!B:C,2,0),"Error with coding"))),"")</f>
        <v/>
      </c>
      <c r="U397" s="15" t="s">
        <v>261</v>
      </c>
      <c r="V397" s="567" t="s">
        <v>1293</v>
      </c>
      <c r="W397" s="567" t="s">
        <v>1339</v>
      </c>
      <c r="X397" s="685" t="s">
        <v>260</v>
      </c>
      <c r="Y397" s="685" t="s">
        <v>260</v>
      </c>
      <c r="Z397" s="15">
        <v>0</v>
      </c>
      <c r="AA397" s="180">
        <v>1</v>
      </c>
      <c r="AB397" s="570" t="s">
        <v>1342</v>
      </c>
      <c r="AC397" s="544" t="str">
        <f>""</f>
        <v/>
      </c>
      <c r="AD397" s="183">
        <v>0</v>
      </c>
      <c r="AE397" s="183" t="s">
        <v>264</v>
      </c>
      <c r="AF397" s="183" t="s">
        <v>265</v>
      </c>
      <c r="AG397" s="183">
        <v>1</v>
      </c>
      <c r="AH397" s="183">
        <v>8</v>
      </c>
      <c r="AI397" s="183">
        <v>0</v>
      </c>
      <c r="AJ397" s="181">
        <f>VLOOKUP($I397,'Price List, Weapons &amp; Items'!B:F,5,0)</f>
        <v>1</v>
      </c>
      <c r="AK397" s="181">
        <f t="shared" si="82"/>
        <v>0</v>
      </c>
      <c r="AL397" s="181">
        <f t="shared" si="83"/>
        <v>0</v>
      </c>
      <c r="AM397" s="181">
        <f t="shared" si="84"/>
        <v>0</v>
      </c>
      <c r="AN397" s="180" t="str">
        <f>VLOOKUP($I397,'Price List, Weapons &amp; Items'!B:L,COLUMN('Price List, Weapons &amp; Items'!$J$11)-1,0)</f>
        <v>Contracts</v>
      </c>
      <c r="AO397" s="180" t="str">
        <f>IF(I397=".",".",VLOOKUP($I397,'Price List, Weapons &amp; Items'!B:J,3,0))</f>
        <v>Armoured Recovery Vehicle (ARV)</v>
      </c>
      <c r="AP397" s="545" t="str">
        <f t="shared" ca="1" si="79"/>
        <v/>
      </c>
      <c r="AQ397" s="180">
        <f>VLOOKUP($I397,'Price List, Weapons &amp; Items'!B:L,COLUMN('Price List, Weapons &amp; Items'!$L$11)-1,0)</f>
        <v>2</v>
      </c>
      <c r="AR397" s="180">
        <f t="shared" si="85"/>
        <v>1</v>
      </c>
      <c r="AS397" s="180">
        <f t="shared" si="86"/>
        <v>1</v>
      </c>
      <c r="AT397" s="180" t="str">
        <f t="shared" si="87"/>
        <v>Value is not in date format</v>
      </c>
      <c r="AU397" s="180" t="str">
        <f t="shared" si="88"/>
        <v>.</v>
      </c>
      <c r="AV397" s="180" t="str">
        <f t="shared" si="89"/>
        <v>.</v>
      </c>
      <c r="AW397" s="180">
        <f>IFERROR(VLOOKUP(B397,'Share, Heavy Weapons to Ukraine'!B:J,COLUMN('Share, Heavy Weapons to Ukraine'!C406)-1,0),0)</f>
        <v>0</v>
      </c>
      <c r="AX397" s="180">
        <f>VLOOKUP('Bilateral Assistance, MAIN DATA'!B397,'Country Summary'!B:F,COLUMN('Country Summary'!C409)-1,FALSE)</f>
        <v>1</v>
      </c>
      <c r="AY397" s="180" t="str">
        <f>IF(AND(AD397=1,D397="Military",H397&lt;&gt;"Not given")=TRUE,IF(SUMIFS(P:P,A:A,A397)&gt;0,ABS((SUMIFS(P:P,A:A,A397)/VLOOKUP("USD",'Exchange Rates'!B:C,2,0)))/S397,"."),".")</f>
        <v>.</v>
      </c>
      <c r="AZ397" s="182" t="str">
        <f>IF(AND(AD397=1,D397="Military",H397&lt;&gt;"Not given")=TRUE,IF(SUMIFS(P:P,A:A,A397)&gt;0,IF((ABS((SUMIFS(P:P,A:A,A397)/VLOOKUP("USD",'Exchange Rates'!B:C,2,0)))/S397)&gt;1,(SUMIFS(P:P,A:A,A397)-S397)/S397,(S397-SUMIFS(P:P,A:A,A397))/SUMIFS(P:P,A:A,A397)),"."),".")</f>
        <v>.</v>
      </c>
      <c r="BA397" s="182"/>
      <c r="BB397" s="182"/>
      <c r="BC397" s="182"/>
      <c r="BD397" s="182"/>
      <c r="BE397" s="182"/>
      <c r="BF397" s="182"/>
      <c r="BG397" s="182"/>
      <c r="BH397" s="182"/>
      <c r="BI397" s="182"/>
      <c r="BJ397" s="182"/>
      <c r="BK397" s="182"/>
      <c r="BL397" s="182"/>
      <c r="BM397" s="182"/>
      <c r="BN397" s="182"/>
      <c r="BO397" s="182"/>
      <c r="BP397" s="182"/>
      <c r="BQ397" s="182"/>
      <c r="BR397" s="182"/>
      <c r="BS397" s="182"/>
    </row>
    <row r="398" spans="1:71" ht="15.9" customHeight="1" x14ac:dyDescent="0.3">
      <c r="A398" s="5" t="s">
        <v>1326</v>
      </c>
      <c r="B398" s="5" t="s">
        <v>1288</v>
      </c>
      <c r="C398" s="174" t="s">
        <v>1327</v>
      </c>
      <c r="D398" s="5" t="s">
        <v>285</v>
      </c>
      <c r="E398" s="5" t="s">
        <v>1328</v>
      </c>
      <c r="F398" s="1139" t="s">
        <v>1329</v>
      </c>
      <c r="G398" s="15" t="s">
        <v>364</v>
      </c>
      <c r="H398" s="176">
        <v>1360000000</v>
      </c>
      <c r="I398" s="185" t="s">
        <v>1343</v>
      </c>
      <c r="J398" s="113" t="str">
        <f>VLOOKUP($I398,'Price List, Weapons &amp; Items'!B:C,2,0)</f>
        <v>Heavy weapon</v>
      </c>
      <c r="K398" s="113" t="str">
        <f>IF(I398=".",I398,VLOOKUP($I398,'Price List, Weapons &amp; Items'!B:D,3,0))</f>
        <v>Vehicle Launched Bridge (VLB)</v>
      </c>
      <c r="L398" s="177">
        <f>VLOOKUP(I398,'Price List, Weapons &amp; Items'!B:E,4,0)</f>
        <v>0</v>
      </c>
      <c r="M398" s="542">
        <v>16</v>
      </c>
      <c r="N398" s="542">
        <v>3</v>
      </c>
      <c r="O398" s="543">
        <f>VLOOKUP($I398,'Price List, Weapons &amp; Items'!B:G,6,0)</f>
        <v>2528458.11</v>
      </c>
      <c r="P398" s="176">
        <f t="shared" si="80"/>
        <v>40455329.759999998</v>
      </c>
      <c r="Q398" s="176">
        <f t="shared" si="81"/>
        <v>7585374.3300000001</v>
      </c>
      <c r="R398" s="176" t="str">
        <f t="shared" si="78"/>
        <v/>
      </c>
      <c r="S398" s="176" t="str">
        <f>IF(AND(AD398=1,R398&lt;&gt;".")=TRUE,R398/VLOOKUP(G398,'Exchange Rates'!B:C,2,0),IF(R398=".",".",""))</f>
        <v/>
      </c>
      <c r="T398" s="176" t="str">
        <f>IF(AD398=1,IF(AF398="Value is not given at all",".",IF(AF398="Value is given by the source",S398,IF(AF398="Value is calculated with prices",(IF(SUMIFS(Q:Q,A:A,A398)&gt;0,SUMIFS(Q:Q,A:A,A398),"."))/VLOOKUP("USD",'Exchange Rates'!B:C,2,0),"Error with coding"))),"")</f>
        <v/>
      </c>
      <c r="U398" s="15" t="s">
        <v>261</v>
      </c>
      <c r="V398" s="567" t="s">
        <v>1293</v>
      </c>
      <c r="W398" s="567" t="s">
        <v>1342</v>
      </c>
      <c r="X398" s="685" t="s">
        <v>260</v>
      </c>
      <c r="Y398" s="685" t="s">
        <v>260</v>
      </c>
      <c r="Z398" s="15">
        <v>0</v>
      </c>
      <c r="AA398" s="180">
        <v>1</v>
      </c>
      <c r="AB398" s="570" t="s">
        <v>1344</v>
      </c>
      <c r="AC398" s="544" t="str">
        <f>""</f>
        <v/>
      </c>
      <c r="AD398" s="183">
        <v>0</v>
      </c>
      <c r="AE398" s="183" t="s">
        <v>264</v>
      </c>
      <c r="AF398" s="183" t="s">
        <v>265</v>
      </c>
      <c r="AG398" s="183">
        <v>1</v>
      </c>
      <c r="AH398" s="183">
        <v>8</v>
      </c>
      <c r="AI398" s="183">
        <v>0</v>
      </c>
      <c r="AJ398" s="181">
        <f>VLOOKUP($I398,'Price List, Weapons &amp; Items'!B:F,5,0)</f>
        <v>0</v>
      </c>
      <c r="AK398" s="181">
        <f t="shared" si="82"/>
        <v>0</v>
      </c>
      <c r="AL398" s="181">
        <f t="shared" si="83"/>
        <v>0</v>
      </c>
      <c r="AM398" s="181">
        <f t="shared" si="84"/>
        <v>0</v>
      </c>
      <c r="AN398" s="180" t="str">
        <f>VLOOKUP($I398,'Price List, Weapons &amp; Items'!B:L,COLUMN('Price List, Weapons &amp; Items'!$J$11)-1,0)</f>
        <v>Contracts</v>
      </c>
      <c r="AO398" s="180" t="str">
        <f>IF(I398=".",".",VLOOKUP($I398,'Price List, Weapons &amp; Items'!B:J,3,0))</f>
        <v>Vehicle Launched Bridge (VLB)</v>
      </c>
      <c r="AP398" s="545" t="str">
        <f t="shared" ca="1" si="79"/>
        <v/>
      </c>
      <c r="AQ398" s="180">
        <f>VLOOKUP($I398,'Price List, Weapons &amp; Items'!B:L,COLUMN('Price List, Weapons &amp; Items'!$L$11)-1,0)</f>
        <v>2</v>
      </c>
      <c r="AR398" s="180">
        <f t="shared" si="85"/>
        <v>1</v>
      </c>
      <c r="AS398" s="180">
        <f t="shared" si="86"/>
        <v>1</v>
      </c>
      <c r="AT398" s="180" t="str">
        <f t="shared" si="87"/>
        <v>Value is not in date format</v>
      </c>
      <c r="AU398" s="180" t="str">
        <f t="shared" si="88"/>
        <v>.</v>
      </c>
      <c r="AV398" s="180" t="str">
        <f t="shared" si="89"/>
        <v>.</v>
      </c>
      <c r="AW398" s="180">
        <f>IFERROR(VLOOKUP(B398,'Share, Heavy Weapons to Ukraine'!B:J,COLUMN('Share, Heavy Weapons to Ukraine'!C407)-1,0),0)</f>
        <v>0</v>
      </c>
      <c r="AX398" s="180">
        <f>VLOOKUP('Bilateral Assistance, MAIN DATA'!B398,'Country Summary'!B:F,COLUMN('Country Summary'!C410)-1,FALSE)</f>
        <v>1</v>
      </c>
      <c r="AY398" s="180" t="str">
        <f>IF(AND(AD398=1,D398="Military",H398&lt;&gt;"Not given")=TRUE,IF(SUMIFS(P:P,A:A,A398)&gt;0,ABS((SUMIFS(P:P,A:A,A398)/VLOOKUP("USD",'Exchange Rates'!B:C,2,0)))/S398,"."),".")</f>
        <v>.</v>
      </c>
      <c r="AZ398" s="182" t="str">
        <f>IF(AND(AD398=1,D398="Military",H398&lt;&gt;"Not given")=TRUE,IF(SUMIFS(P:P,A:A,A398)&gt;0,IF((ABS((SUMIFS(P:P,A:A,A398)/VLOOKUP("USD",'Exchange Rates'!B:C,2,0)))/S398)&gt;1,(SUMIFS(P:P,A:A,A398)-S398)/S398,(S398-SUMIFS(P:P,A:A,A398))/SUMIFS(P:P,A:A,A398)),"."),".")</f>
        <v>.</v>
      </c>
      <c r="BA398" s="182"/>
      <c r="BB398" s="182"/>
      <c r="BC398" s="182"/>
      <c r="BD398" s="182"/>
      <c r="BE398" s="182"/>
      <c r="BF398" s="182"/>
      <c r="BG398" s="182"/>
      <c r="BH398" s="182"/>
      <c r="BI398" s="182"/>
      <c r="BJ398" s="182"/>
      <c r="BK398" s="182"/>
      <c r="BL398" s="182"/>
      <c r="BM398" s="182"/>
      <c r="BN398" s="182"/>
      <c r="BO398" s="182"/>
      <c r="BP398" s="182"/>
      <c r="BQ398" s="182"/>
      <c r="BR398" s="182"/>
      <c r="BS398" s="182"/>
    </row>
    <row r="399" spans="1:71" ht="15.9" customHeight="1" x14ac:dyDescent="0.3">
      <c r="A399" s="5" t="s">
        <v>1326</v>
      </c>
      <c r="B399" s="5" t="s">
        <v>1288</v>
      </c>
      <c r="C399" s="174" t="s">
        <v>1327</v>
      </c>
      <c r="D399" s="5" t="s">
        <v>285</v>
      </c>
      <c r="E399" s="5" t="s">
        <v>1328</v>
      </c>
      <c r="F399" s="1139" t="s">
        <v>1329</v>
      </c>
      <c r="G399" s="15" t="s">
        <v>364</v>
      </c>
      <c r="H399" s="176">
        <v>1360000000</v>
      </c>
      <c r="I399" s="185" t="s">
        <v>1345</v>
      </c>
      <c r="J399" s="113" t="str">
        <f>VLOOKUP($I399,'Price List, Weapons &amp; Items'!B:C,2,0)</f>
        <v>Military equipment</v>
      </c>
      <c r="K399" s="113" t="str">
        <f>IF(I399=".",I399,VLOOKUP($I399,'Price List, Weapons &amp; Items'!B:D,3,0))</f>
        <v>non combat military vehicle</v>
      </c>
      <c r="L399" s="177">
        <f>VLOOKUP(I399,'Price List, Weapons &amp; Items'!B:E,4,0)</f>
        <v>0</v>
      </c>
      <c r="M399" s="542">
        <v>500</v>
      </c>
      <c r="N399" s="542">
        <v>95</v>
      </c>
      <c r="O399" s="543">
        <f>VLOOKUP($I399,'Price List, Weapons &amp; Items'!B:G,6,0)</f>
        <v>350000</v>
      </c>
      <c r="P399" s="176">
        <f t="shared" si="80"/>
        <v>175000000</v>
      </c>
      <c r="Q399" s="176">
        <f t="shared" si="81"/>
        <v>33250000</v>
      </c>
      <c r="R399" s="176" t="str">
        <f t="shared" si="78"/>
        <v/>
      </c>
      <c r="S399" s="176" t="str">
        <f>IF(AND(AD399=1,R399&lt;&gt;".")=TRUE,R399/VLOOKUP(G399,'Exchange Rates'!B:C,2,0),IF(R399=".",".",""))</f>
        <v/>
      </c>
      <c r="T399" s="176" t="str">
        <f>IF(AD399=1,IF(AF399="Value is not given at all",".",IF(AF399="Value is given by the source",S399,IF(AF399="Value is calculated with prices",(IF(SUMIFS(Q:Q,A:A,A399)&gt;0,SUMIFS(Q:Q,A:A,A399),"."))/VLOOKUP("USD",'Exchange Rates'!B:C,2,0),"Error with coding"))),"")</f>
        <v/>
      </c>
      <c r="U399" s="15" t="s">
        <v>261</v>
      </c>
      <c r="V399" s="567" t="s">
        <v>1293</v>
      </c>
      <c r="W399" s="567" t="s">
        <v>1344</v>
      </c>
      <c r="X399" s="685" t="s">
        <v>260</v>
      </c>
      <c r="Y399" s="685" t="s">
        <v>260</v>
      </c>
      <c r="Z399" s="15">
        <v>0</v>
      </c>
      <c r="AA399" s="180">
        <v>1</v>
      </c>
      <c r="AB399" s="570" t="s">
        <v>1346</v>
      </c>
      <c r="AC399" s="544" t="str">
        <f>""</f>
        <v/>
      </c>
      <c r="AD399" s="183">
        <v>0</v>
      </c>
      <c r="AE399" s="183" t="s">
        <v>264</v>
      </c>
      <c r="AF399" s="183" t="s">
        <v>265</v>
      </c>
      <c r="AG399" s="183">
        <v>1</v>
      </c>
      <c r="AH399" s="181">
        <v>6</v>
      </c>
      <c r="AI399" s="181">
        <v>0</v>
      </c>
      <c r="AJ399" s="181">
        <f>VLOOKUP($I399,'Price List, Weapons &amp; Items'!B:F,5,0)</f>
        <v>0</v>
      </c>
      <c r="AK399" s="181">
        <f t="shared" si="82"/>
        <v>0</v>
      </c>
      <c r="AL399" s="181">
        <f t="shared" si="83"/>
        <v>0</v>
      </c>
      <c r="AM399" s="181">
        <f t="shared" si="84"/>
        <v>0</v>
      </c>
      <c r="AN399" s="180" t="str">
        <f>VLOOKUP($I399,'Price List, Weapons &amp; Items'!B:L,COLUMN('Price List, Weapons &amp; Items'!$J$11)-1,0)</f>
        <v>Media reports (incl. social media)</v>
      </c>
      <c r="AO399" s="180" t="str">
        <f>IF(I399=".",".",VLOOKUP($I399,'Price List, Weapons &amp; Items'!B:J,3,0))</f>
        <v>non combat military vehicle</v>
      </c>
      <c r="AP399" s="545" t="str">
        <f t="shared" ca="1" si="79"/>
        <v/>
      </c>
      <c r="AQ399" s="180">
        <f>VLOOKUP($I399,'Price List, Weapons &amp; Items'!B:L,COLUMN('Price List, Weapons &amp; Items'!$L$11)-1,0)</f>
        <v>2</v>
      </c>
      <c r="AR399" s="180">
        <f t="shared" si="85"/>
        <v>1</v>
      </c>
      <c r="AS399" s="180">
        <f t="shared" si="86"/>
        <v>1</v>
      </c>
      <c r="AT399" s="180" t="str">
        <f t="shared" si="87"/>
        <v>Value is not in date format</v>
      </c>
      <c r="AU399" s="180" t="str">
        <f t="shared" si="88"/>
        <v>.</v>
      </c>
      <c r="AV399" s="180" t="str">
        <f t="shared" si="89"/>
        <v>.</v>
      </c>
      <c r="AW399" s="180">
        <f>IFERROR(VLOOKUP(B399,'Share, Heavy Weapons to Ukraine'!B:J,COLUMN('Share, Heavy Weapons to Ukraine'!C408)-1,0),0)</f>
        <v>0</v>
      </c>
      <c r="AX399" s="180">
        <f>VLOOKUP('Bilateral Assistance, MAIN DATA'!B399,'Country Summary'!B:F,COLUMN('Country Summary'!C411)-1,FALSE)</f>
        <v>1</v>
      </c>
      <c r="AY399" s="180" t="str">
        <f>IF(AND(AD399=1,D399="Military",H399&lt;&gt;"Not given")=TRUE,IF(SUMIFS(P:P,A:A,A399)&gt;0,ABS((SUMIFS(P:P,A:A,A399)/VLOOKUP("USD",'Exchange Rates'!B:C,2,0)))/S399,"."),".")</f>
        <v>.</v>
      </c>
      <c r="AZ399" s="182" t="str">
        <f>IF(AND(AD399=1,D399="Military",H399&lt;&gt;"Not given")=TRUE,IF(SUMIFS(P:P,A:A,A399)&gt;0,IF((ABS((SUMIFS(P:P,A:A,A399)/VLOOKUP("USD",'Exchange Rates'!B:C,2,0)))/S399)&gt;1,(SUMIFS(P:P,A:A,A399)-S399)/S399,(S399-SUMIFS(P:P,A:A,A399))/SUMIFS(P:P,A:A,A399)),"."),".")</f>
        <v>.</v>
      </c>
      <c r="BA399" s="182"/>
      <c r="BB399" s="182"/>
      <c r="BC399" s="182"/>
      <c r="BD399" s="182"/>
      <c r="BE399" s="182"/>
      <c r="BF399" s="182"/>
      <c r="BG399" s="182"/>
      <c r="BH399" s="182"/>
      <c r="BI399" s="182"/>
      <c r="BJ399" s="182"/>
      <c r="BK399" s="182"/>
      <c r="BL399" s="182"/>
      <c r="BM399" s="182"/>
      <c r="BN399" s="182"/>
      <c r="BO399" s="182"/>
      <c r="BP399" s="182"/>
      <c r="BQ399" s="182"/>
      <c r="BR399" s="182"/>
      <c r="BS399" s="182"/>
    </row>
    <row r="400" spans="1:71" ht="15.9" customHeight="1" x14ac:dyDescent="0.3">
      <c r="A400" s="5" t="s">
        <v>1326</v>
      </c>
      <c r="B400" s="5" t="s">
        <v>1288</v>
      </c>
      <c r="C400" s="174" t="s">
        <v>1327</v>
      </c>
      <c r="D400" s="5" t="s">
        <v>285</v>
      </c>
      <c r="E400" s="5" t="s">
        <v>1328</v>
      </c>
      <c r="F400" s="1139" t="s">
        <v>1329</v>
      </c>
      <c r="G400" s="15" t="s">
        <v>364</v>
      </c>
      <c r="H400" s="176">
        <v>1360000000</v>
      </c>
      <c r="I400" s="185" t="s">
        <v>1347</v>
      </c>
      <c r="J400" s="113" t="str">
        <f>VLOOKUP($I400,'Price List, Weapons &amp; Items'!B:C,2,0)</f>
        <v>Military equipment</v>
      </c>
      <c r="K400" s="113" t="str">
        <f>IF(I400=".",I400,VLOOKUP($I400,'Price List, Weapons &amp; Items'!B:D,3,0))</f>
        <v>Military equipment</v>
      </c>
      <c r="L400" s="177">
        <f>VLOOKUP(I400,'Price List, Weapons &amp; Items'!B:E,4,0)</f>
        <v>0</v>
      </c>
      <c r="M400" s="542">
        <v>12</v>
      </c>
      <c r="N400" s="542">
        <v>0</v>
      </c>
      <c r="O400" s="543" t="str">
        <f>VLOOKUP($I400,'Price List, Weapons &amp; Items'!B:G,6,0)</f>
        <v>.</v>
      </c>
      <c r="P400" s="176" t="str">
        <f t="shared" si="80"/>
        <v>No price</v>
      </c>
      <c r="Q400" s="176" t="str">
        <f t="shared" si="81"/>
        <v>No price</v>
      </c>
      <c r="R400" s="176" t="str">
        <f t="shared" si="78"/>
        <v/>
      </c>
      <c r="S400" s="176" t="str">
        <f>IF(AND(AD400=1,R400&lt;&gt;".")=TRUE,R400/VLOOKUP(G400,'Exchange Rates'!B:C,2,0),IF(R400=".",".",""))</f>
        <v/>
      </c>
      <c r="T400" s="176" t="str">
        <f>IF(AD400=1,IF(AF400="Value is not given at all",".",IF(AF400="Value is given by the source",S400,IF(AF400="Value is calculated with prices",(IF(SUMIFS(Q:Q,A:A,A400)&gt;0,SUMIFS(Q:Q,A:A,A400),"."))/VLOOKUP("USD",'Exchange Rates'!B:C,2,0),"Error with coding"))),"")</f>
        <v/>
      </c>
      <c r="U400" s="15" t="s">
        <v>261</v>
      </c>
      <c r="V400" s="567" t="s">
        <v>1293</v>
      </c>
      <c r="W400" s="567" t="s">
        <v>1348</v>
      </c>
      <c r="X400" s="685" t="s">
        <v>260</v>
      </c>
      <c r="Y400" s="685" t="s">
        <v>260</v>
      </c>
      <c r="Z400" s="15">
        <v>0</v>
      </c>
      <c r="AA400" s="180">
        <v>1</v>
      </c>
      <c r="AB400" s="570" t="s">
        <v>1349</v>
      </c>
      <c r="AC400" s="544" t="str">
        <f>""</f>
        <v/>
      </c>
      <c r="AD400" s="183">
        <v>0</v>
      </c>
      <c r="AE400" s="183" t="s">
        <v>264</v>
      </c>
      <c r="AF400" s="183" t="s">
        <v>265</v>
      </c>
      <c r="AG400" s="183">
        <v>0</v>
      </c>
      <c r="AH400" s="183">
        <v>0</v>
      </c>
      <c r="AI400" s="183">
        <v>0</v>
      </c>
      <c r="AJ400" s="181">
        <f>VLOOKUP($I400,'Price List, Weapons &amp; Items'!B:F,5,0)</f>
        <v>0</v>
      </c>
      <c r="AK400" s="181">
        <f t="shared" si="82"/>
        <v>0</v>
      </c>
      <c r="AL400" s="181">
        <f t="shared" si="83"/>
        <v>0</v>
      </c>
      <c r="AM400" s="181">
        <f t="shared" si="84"/>
        <v>0</v>
      </c>
      <c r="AN400" s="180" t="str">
        <f>VLOOKUP($I400,'Price List, Weapons &amp; Items'!B:L,COLUMN('Price List, Weapons &amp; Items'!$J$11)-1,0)</f>
        <v>.</v>
      </c>
      <c r="AO400" s="180" t="str">
        <f>IF(I400=".",".",VLOOKUP($I400,'Price List, Weapons &amp; Items'!B:J,3,0))</f>
        <v>Military equipment</v>
      </c>
      <c r="AP400" s="545" t="str">
        <f t="shared" ca="1" si="79"/>
        <v/>
      </c>
      <c r="AQ400" s="180">
        <f>VLOOKUP($I400,'Price List, Weapons &amp; Items'!B:L,COLUMN('Price List, Weapons &amp; Items'!$L$11)-1,0)</f>
        <v>0</v>
      </c>
      <c r="AR400" s="180">
        <f t="shared" si="85"/>
        <v>1</v>
      </c>
      <c r="AS400" s="180">
        <f t="shared" si="86"/>
        <v>1</v>
      </c>
      <c r="AT400" s="180" t="str">
        <f t="shared" si="87"/>
        <v>Value is not in date format</v>
      </c>
      <c r="AU400" s="180" t="str">
        <f t="shared" si="88"/>
        <v>.</v>
      </c>
      <c r="AV400" s="180" t="str">
        <f t="shared" si="89"/>
        <v>.</v>
      </c>
      <c r="AW400" s="180">
        <f>IFERROR(VLOOKUP(B400,'Share, Heavy Weapons to Ukraine'!B:J,COLUMN('Share, Heavy Weapons to Ukraine'!C409)-1,0),0)</f>
        <v>0</v>
      </c>
      <c r="AX400" s="180">
        <f>VLOOKUP('Bilateral Assistance, MAIN DATA'!B400,'Country Summary'!B:F,COLUMN('Country Summary'!C412)-1,FALSE)</f>
        <v>1</v>
      </c>
      <c r="AY400" s="180" t="str">
        <f>IF(AND(AD400=1,D400="Military",H400&lt;&gt;"Not given")=TRUE,IF(SUMIFS(P:P,A:A,A400)&gt;0,ABS((SUMIFS(P:P,A:A,A400)/VLOOKUP("USD",'Exchange Rates'!B:C,2,0)))/S400,"."),".")</f>
        <v>.</v>
      </c>
      <c r="AZ400" s="182" t="str">
        <f>IF(AND(AD400=1,D400="Military",H400&lt;&gt;"Not given")=TRUE,IF(SUMIFS(P:P,A:A,A400)&gt;0,IF((ABS((SUMIFS(P:P,A:A,A400)/VLOOKUP("USD",'Exchange Rates'!B:C,2,0)))/S400)&gt;1,(SUMIFS(P:P,A:A,A400)-S400)/S400,(S400-SUMIFS(P:P,A:A,A400))/SUMIFS(P:P,A:A,A400)),"."),".")</f>
        <v>.</v>
      </c>
      <c r="BA400" s="182"/>
      <c r="BB400" s="182"/>
      <c r="BC400" s="182"/>
      <c r="BD400" s="182"/>
      <c r="BE400" s="182"/>
      <c r="BF400" s="182"/>
      <c r="BG400" s="182"/>
      <c r="BH400" s="182"/>
      <c r="BI400" s="182"/>
      <c r="BJ400" s="182"/>
      <c r="BK400" s="182"/>
      <c r="BL400" s="182"/>
      <c r="BM400" s="182"/>
      <c r="BN400" s="182"/>
      <c r="BO400" s="182"/>
      <c r="BP400" s="182"/>
      <c r="BQ400" s="182"/>
      <c r="BR400" s="182"/>
      <c r="BS400" s="182"/>
    </row>
    <row r="401" spans="1:71" ht="15.9" customHeight="1" x14ac:dyDescent="0.3">
      <c r="A401" s="5" t="s">
        <v>1326</v>
      </c>
      <c r="B401" s="5" t="s">
        <v>1288</v>
      </c>
      <c r="C401" s="174" t="s">
        <v>1327</v>
      </c>
      <c r="D401" s="5" t="s">
        <v>285</v>
      </c>
      <c r="E401" s="5" t="s">
        <v>1328</v>
      </c>
      <c r="F401" s="1139" t="s">
        <v>1329</v>
      </c>
      <c r="G401" s="15" t="s">
        <v>364</v>
      </c>
      <c r="H401" s="176">
        <v>1360000000</v>
      </c>
      <c r="I401" s="185" t="s">
        <v>1350</v>
      </c>
      <c r="J401" s="113" t="str">
        <f>VLOOKUP($I401,'Price List, Weapons &amp; Items'!B:C,2,0)</f>
        <v>military equipment</v>
      </c>
      <c r="K401" s="113" t="str">
        <f>IF(I401=".",I401,VLOOKUP($I401,'Price List, Weapons &amp; Items'!B:D,3,0))</f>
        <v>Military equipment</v>
      </c>
      <c r="L401" s="177">
        <f>VLOOKUP(I401,'Price List, Weapons &amp; Items'!B:E,4,0)</f>
        <v>0</v>
      </c>
      <c r="M401" s="542">
        <v>1</v>
      </c>
      <c r="N401" s="542">
        <v>1</v>
      </c>
      <c r="O401" s="543">
        <f>VLOOKUP($I401,'Price List, Weapons &amp; Items'!B:G,6,0)</f>
        <v>19354990.84</v>
      </c>
      <c r="P401" s="176">
        <f t="shared" si="80"/>
        <v>19354990.84</v>
      </c>
      <c r="Q401" s="176">
        <f t="shared" si="81"/>
        <v>19354990.84</v>
      </c>
      <c r="R401" s="176" t="str">
        <f t="shared" si="78"/>
        <v/>
      </c>
      <c r="S401" s="176" t="str">
        <f>IF(AND(AD401=1,R401&lt;&gt;".")=TRUE,R401/VLOOKUP(G401,'Exchange Rates'!B:C,2,0),IF(R401=".",".",""))</f>
        <v/>
      </c>
      <c r="T401" s="176" t="str">
        <f>IF(AD401=1,IF(AF401="Value is not given at all",".",IF(AF401="Value is given by the source",S401,IF(AF401="Value is calculated with prices",(IF(SUMIFS(Q:Q,A:A,A401)&gt;0,SUMIFS(Q:Q,A:A,A401),"."))/VLOOKUP("USD",'Exchange Rates'!B:C,2,0),"Error with coding"))),"")</f>
        <v/>
      </c>
      <c r="U401" s="15" t="s">
        <v>261</v>
      </c>
      <c r="V401" s="567" t="s">
        <v>1293</v>
      </c>
      <c r="W401" s="567" t="s">
        <v>1346</v>
      </c>
      <c r="X401" s="685" t="s">
        <v>260</v>
      </c>
      <c r="Y401" s="685" t="s">
        <v>260</v>
      </c>
      <c r="Z401" s="15">
        <v>0</v>
      </c>
      <c r="AA401" s="180">
        <v>1</v>
      </c>
      <c r="AB401" s="570" t="s">
        <v>1351</v>
      </c>
      <c r="AC401" s="544" t="str">
        <f>""</f>
        <v/>
      </c>
      <c r="AD401" s="183">
        <v>0</v>
      </c>
      <c r="AE401" s="183" t="s">
        <v>264</v>
      </c>
      <c r="AF401" s="183" t="s">
        <v>265</v>
      </c>
      <c r="AG401" s="183">
        <v>0</v>
      </c>
      <c r="AH401" s="183">
        <v>0</v>
      </c>
      <c r="AI401" s="183">
        <v>0</v>
      </c>
      <c r="AJ401" s="181">
        <f>VLOOKUP($I401,'Price List, Weapons &amp; Items'!B:F,5,0)</f>
        <v>0</v>
      </c>
      <c r="AK401" s="181">
        <f t="shared" si="82"/>
        <v>0</v>
      </c>
      <c r="AL401" s="181">
        <f t="shared" si="83"/>
        <v>0</v>
      </c>
      <c r="AM401" s="181">
        <f t="shared" si="84"/>
        <v>0</v>
      </c>
      <c r="AN401" s="180" t="str">
        <f>VLOOKUP($I401,'Price List, Weapons &amp; Items'!B:L,COLUMN('Price List, Weapons &amp; Items'!$J$11)-1,0)</f>
        <v>Contracts</v>
      </c>
      <c r="AO401" s="180" t="str">
        <f>IF(I401=".",".",VLOOKUP($I401,'Price List, Weapons &amp; Items'!B:J,3,0))</f>
        <v>Military equipment</v>
      </c>
      <c r="AP401" s="545" t="str">
        <f t="shared" ca="1" si="79"/>
        <v/>
      </c>
      <c r="AQ401" s="180">
        <f>VLOOKUP($I401,'Price List, Weapons &amp; Items'!B:L,COLUMN('Price List, Weapons &amp; Items'!$L$11)-1,0)</f>
        <v>2</v>
      </c>
      <c r="AR401" s="180">
        <f t="shared" si="85"/>
        <v>1</v>
      </c>
      <c r="AS401" s="180">
        <f t="shared" si="86"/>
        <v>1</v>
      </c>
      <c r="AT401" s="180" t="str">
        <f t="shared" si="87"/>
        <v>Value is not in date format</v>
      </c>
      <c r="AU401" s="180" t="str">
        <f t="shared" si="88"/>
        <v>.</v>
      </c>
      <c r="AV401" s="180" t="str">
        <f t="shared" si="89"/>
        <v>.</v>
      </c>
      <c r="AW401" s="180">
        <f>IFERROR(VLOOKUP(B401,'Share, Heavy Weapons to Ukraine'!B:J,COLUMN('Share, Heavy Weapons to Ukraine'!C410)-1,0),0)</f>
        <v>0</v>
      </c>
      <c r="AX401" s="180">
        <f>VLOOKUP('Bilateral Assistance, MAIN DATA'!B401,'Country Summary'!B:F,COLUMN('Country Summary'!C413)-1,FALSE)</f>
        <v>1</v>
      </c>
      <c r="AY401" s="180" t="str">
        <f>IF(AND(AD401=1,D401="Military",H401&lt;&gt;"Not given")=TRUE,IF(SUMIFS(P:P,A:A,A401)&gt;0,ABS((SUMIFS(P:P,A:A,A401)/VLOOKUP("USD",'Exchange Rates'!B:C,2,0)))/S401,"."),".")</f>
        <v>.</v>
      </c>
      <c r="AZ401" s="182" t="str">
        <f>IF(AND(AD401=1,D401="Military",H401&lt;&gt;"Not given")=TRUE,IF(SUMIFS(P:P,A:A,A401)&gt;0,IF((ABS((SUMIFS(P:P,A:A,A401)/VLOOKUP("USD",'Exchange Rates'!B:C,2,0)))/S401)&gt;1,(SUMIFS(P:P,A:A,A401)-S401)/S401,(S401-SUMIFS(P:P,A:A,A401))/SUMIFS(P:P,A:A,A401)),"."),".")</f>
        <v>.</v>
      </c>
      <c r="BA401" s="182"/>
      <c r="BB401" s="182"/>
      <c r="BC401" s="182"/>
      <c r="BD401" s="182"/>
      <c r="BE401" s="182"/>
      <c r="BF401" s="182"/>
      <c r="BG401" s="182"/>
      <c r="BH401" s="182"/>
      <c r="BI401" s="182"/>
      <c r="BJ401" s="182"/>
      <c r="BK401" s="182"/>
      <c r="BL401" s="182"/>
      <c r="BM401" s="182"/>
      <c r="BN401" s="182"/>
      <c r="BO401" s="182"/>
      <c r="BP401" s="182"/>
      <c r="BQ401" s="182"/>
      <c r="BR401" s="182"/>
      <c r="BS401" s="182"/>
    </row>
    <row r="402" spans="1:71" ht="15.9" customHeight="1" x14ac:dyDescent="0.3">
      <c r="A402" s="5" t="s">
        <v>1326</v>
      </c>
      <c r="B402" s="5" t="s">
        <v>1288</v>
      </c>
      <c r="C402" s="174" t="s">
        <v>1327</v>
      </c>
      <c r="D402" s="5" t="s">
        <v>285</v>
      </c>
      <c r="E402" s="5" t="s">
        <v>1328</v>
      </c>
      <c r="F402" s="1139" t="s">
        <v>1329</v>
      </c>
      <c r="G402" s="15" t="s">
        <v>364</v>
      </c>
      <c r="H402" s="176">
        <v>1360000000</v>
      </c>
      <c r="I402" s="185" t="s">
        <v>1352</v>
      </c>
      <c r="J402" s="113" t="str">
        <f>VLOOKUP($I402,'Price List, Weapons &amp; Items'!B:C,2,0)</f>
        <v>Military equipment</v>
      </c>
      <c r="K402" s="113" t="str">
        <f>IF(I402=".",I402,VLOOKUP($I402,'Price List, Weapons &amp; Items'!B:D,3,0))</f>
        <v>Military equipment</v>
      </c>
      <c r="L402" s="177">
        <f>VLOOKUP(I402,'Price List, Weapons &amp; Items'!B:E,4,0)</f>
        <v>0</v>
      </c>
      <c r="M402" s="542" t="s">
        <v>270</v>
      </c>
      <c r="N402" s="542" t="s">
        <v>270</v>
      </c>
      <c r="O402" s="543" t="str">
        <f>VLOOKUP($I402,'Price List, Weapons &amp; Items'!B:G,6,0)</f>
        <v>.</v>
      </c>
      <c r="P402" s="176" t="str">
        <f t="shared" si="80"/>
        <v>.</v>
      </c>
      <c r="Q402" s="176" t="str">
        <f t="shared" si="81"/>
        <v>.</v>
      </c>
      <c r="R402" s="176" t="str">
        <f t="shared" si="78"/>
        <v/>
      </c>
      <c r="S402" s="176" t="str">
        <f>IF(AND(AD402=1,R402&lt;&gt;".")=TRUE,R402/VLOOKUP(G402,'Exchange Rates'!B:C,2,0),IF(R402=".",".",""))</f>
        <v/>
      </c>
      <c r="T402" s="176" t="str">
        <f>IF(AD402=1,IF(AF402="Value is not given at all",".",IF(AF402="Value is given by the source",S402,IF(AF402="Value is calculated with prices",(IF(SUMIFS(Q:Q,A:A,A402)&gt;0,SUMIFS(Q:Q,A:A,A402),"."))/VLOOKUP("USD",'Exchange Rates'!B:C,2,0),"Error with coding"))),"")</f>
        <v/>
      </c>
      <c r="U402" s="15" t="s">
        <v>261</v>
      </c>
      <c r="V402" s="567" t="s">
        <v>1293</v>
      </c>
      <c r="W402" s="567" t="s">
        <v>1349</v>
      </c>
      <c r="X402" s="685" t="s">
        <v>260</v>
      </c>
      <c r="Y402" s="685" t="s">
        <v>260</v>
      </c>
      <c r="Z402" s="15">
        <v>0</v>
      </c>
      <c r="AA402" s="180">
        <v>1</v>
      </c>
      <c r="AB402" s="570" t="s">
        <v>1353</v>
      </c>
      <c r="AC402" s="544" t="str">
        <f>""</f>
        <v/>
      </c>
      <c r="AD402" s="183">
        <v>0</v>
      </c>
      <c r="AE402" s="183" t="s">
        <v>264</v>
      </c>
      <c r="AF402" s="183" t="s">
        <v>265</v>
      </c>
      <c r="AG402" s="183">
        <v>0</v>
      </c>
      <c r="AH402" s="183">
        <v>0</v>
      </c>
      <c r="AI402" s="183">
        <v>0</v>
      </c>
      <c r="AJ402" s="181">
        <f>VLOOKUP($I402,'Price List, Weapons &amp; Items'!B:F,5,0)</f>
        <v>0</v>
      </c>
      <c r="AK402" s="181">
        <f t="shared" si="82"/>
        <v>0</v>
      </c>
      <c r="AL402" s="181">
        <f t="shared" si="83"/>
        <v>0</v>
      </c>
      <c r="AM402" s="181">
        <f t="shared" si="84"/>
        <v>0</v>
      </c>
      <c r="AN402" s="180" t="str">
        <f>VLOOKUP($I402,'Price List, Weapons &amp; Items'!B:L,COLUMN('Price List, Weapons &amp; Items'!$J$11)-1,0)</f>
        <v>.</v>
      </c>
      <c r="AO402" s="180" t="str">
        <f>IF(I402=".",".",VLOOKUP($I402,'Price List, Weapons &amp; Items'!B:J,3,0))</f>
        <v>Military equipment</v>
      </c>
      <c r="AP402" s="545" t="str">
        <f t="shared" ca="1" si="79"/>
        <v/>
      </c>
      <c r="AQ402" s="180" t="str">
        <f>VLOOKUP($I402,'Price List, Weapons &amp; Items'!B:L,COLUMN('Price List, Weapons &amp; Items'!$L$11)-1,0)</f>
        <v>no price, 0 count</v>
      </c>
      <c r="AR402" s="180">
        <f t="shared" si="85"/>
        <v>1</v>
      </c>
      <c r="AS402" s="180">
        <f t="shared" si="86"/>
        <v>1</v>
      </c>
      <c r="AT402" s="180" t="str">
        <f t="shared" si="87"/>
        <v>Value is not in date format</v>
      </c>
      <c r="AU402" s="180" t="str">
        <f t="shared" si="88"/>
        <v>.</v>
      </c>
      <c r="AV402" s="180" t="str">
        <f t="shared" si="89"/>
        <v>.</v>
      </c>
      <c r="AW402" s="180">
        <f>IFERROR(VLOOKUP(B402,'Share, Heavy Weapons to Ukraine'!B:J,COLUMN('Share, Heavy Weapons to Ukraine'!C411)-1,0),0)</f>
        <v>0</v>
      </c>
      <c r="AX402" s="180">
        <f>VLOOKUP('Bilateral Assistance, MAIN DATA'!B402,'Country Summary'!B:F,COLUMN('Country Summary'!C414)-1,FALSE)</f>
        <v>1</v>
      </c>
      <c r="AY402" s="180" t="str">
        <f>IF(AND(AD402=1,D402="Military",H402&lt;&gt;"Not given")=TRUE,IF(SUMIFS(P:P,A:A,A402)&gt;0,ABS((SUMIFS(P:P,A:A,A402)/VLOOKUP("USD",'Exchange Rates'!B:C,2,0)))/S402,"."),".")</f>
        <v>.</v>
      </c>
      <c r="AZ402" s="182" t="str">
        <f>IF(AND(AD402=1,D402="Military",H402&lt;&gt;"Not given")=TRUE,IF(SUMIFS(P:P,A:A,A402)&gt;0,IF((ABS((SUMIFS(P:P,A:A,A402)/VLOOKUP("USD",'Exchange Rates'!B:C,2,0)))/S402)&gt;1,(SUMIFS(P:P,A:A,A402)-S402)/S402,(S402-SUMIFS(P:P,A:A,A402))/SUMIFS(P:P,A:A,A402)),"."),".")</f>
        <v>.</v>
      </c>
      <c r="BA402" s="182"/>
      <c r="BB402" s="182"/>
      <c r="BC402" s="182"/>
      <c r="BD402" s="182"/>
      <c r="BE402" s="182"/>
      <c r="BF402" s="182"/>
      <c r="BG402" s="182"/>
      <c r="BH402" s="182"/>
      <c r="BI402" s="182"/>
      <c r="BJ402" s="182"/>
      <c r="BK402" s="182"/>
      <c r="BL402" s="182"/>
      <c r="BM402" s="182"/>
      <c r="BN402" s="182"/>
      <c r="BO402" s="182"/>
      <c r="BP402" s="182"/>
      <c r="BQ402" s="182"/>
      <c r="BR402" s="182"/>
      <c r="BS402" s="182"/>
    </row>
    <row r="403" spans="1:71" ht="15.9" customHeight="1" x14ac:dyDescent="0.3">
      <c r="A403" s="5" t="s">
        <v>1326</v>
      </c>
      <c r="B403" s="5" t="s">
        <v>1288</v>
      </c>
      <c r="C403" s="174" t="s">
        <v>1327</v>
      </c>
      <c r="D403" s="5" t="s">
        <v>285</v>
      </c>
      <c r="E403" s="5" t="s">
        <v>1328</v>
      </c>
      <c r="F403" s="1139" t="s">
        <v>1329</v>
      </c>
      <c r="G403" s="15" t="s">
        <v>364</v>
      </c>
      <c r="H403" s="176">
        <v>1360000000</v>
      </c>
      <c r="I403" s="185" t="s">
        <v>1354</v>
      </c>
      <c r="J403" s="113" t="str">
        <f>VLOOKUP($I403,'Price List, Weapons &amp; Items'!B:C,2,0)</f>
        <v>Military equipment</v>
      </c>
      <c r="K403" s="113" t="str">
        <f>IF(I403=".",I403,VLOOKUP($I403,'Price List, Weapons &amp; Items'!B:D,3,0))</f>
        <v>Military equipment</v>
      </c>
      <c r="L403" s="177">
        <f>VLOOKUP(I403,'Price List, Weapons &amp; Items'!B:E,4,0)</f>
        <v>0</v>
      </c>
      <c r="M403" s="542">
        <v>12</v>
      </c>
      <c r="N403" s="542">
        <v>12</v>
      </c>
      <c r="O403" s="543">
        <f>VLOOKUP($I403,'Price List, Weapons &amp; Items'!B:G,6,0)</f>
        <v>12000</v>
      </c>
      <c r="P403" s="176">
        <f t="shared" si="80"/>
        <v>144000</v>
      </c>
      <c r="Q403" s="176">
        <f t="shared" si="81"/>
        <v>144000</v>
      </c>
      <c r="R403" s="176" t="str">
        <f t="shared" si="78"/>
        <v/>
      </c>
      <c r="S403" s="176" t="str">
        <f>IF(AND(AD403=1,R403&lt;&gt;".")=TRUE,R403/VLOOKUP(G403,'Exchange Rates'!B:C,2,0),IF(R403=".",".",""))</f>
        <v/>
      </c>
      <c r="T403" s="176" t="str">
        <f>IF(AD403=1,IF(AF403="Value is not given at all",".",IF(AF403="Value is given by the source",S403,IF(AF403="Value is calculated with prices",(IF(SUMIFS(Q:Q,A:A,A403)&gt;0,SUMIFS(Q:Q,A:A,A403),"."))/VLOOKUP("USD",'Exchange Rates'!B:C,2,0),"Error with coding"))),"")</f>
        <v/>
      </c>
      <c r="U403" s="15" t="s">
        <v>261</v>
      </c>
      <c r="V403" s="567" t="s">
        <v>1293</v>
      </c>
      <c r="W403" s="567" t="s">
        <v>1351</v>
      </c>
      <c r="X403" s="685" t="s">
        <v>260</v>
      </c>
      <c r="Y403" s="685" t="s">
        <v>260</v>
      </c>
      <c r="Z403" s="15">
        <v>0</v>
      </c>
      <c r="AA403" s="180">
        <v>1</v>
      </c>
      <c r="AB403" s="570" t="s">
        <v>1355</v>
      </c>
      <c r="AC403" s="544" t="str">
        <f>""</f>
        <v/>
      </c>
      <c r="AD403" s="183">
        <v>0</v>
      </c>
      <c r="AE403" s="183" t="s">
        <v>264</v>
      </c>
      <c r="AF403" s="183" t="s">
        <v>265</v>
      </c>
      <c r="AG403" s="183">
        <v>0</v>
      </c>
      <c r="AH403" s="183">
        <v>0</v>
      </c>
      <c r="AI403" s="183">
        <v>0</v>
      </c>
      <c r="AJ403" s="181">
        <f>VLOOKUP($I403,'Price List, Weapons &amp; Items'!B:F,5,0)</f>
        <v>0</v>
      </c>
      <c r="AK403" s="181">
        <f t="shared" si="82"/>
        <v>0</v>
      </c>
      <c r="AL403" s="181">
        <f t="shared" si="83"/>
        <v>0</v>
      </c>
      <c r="AM403" s="181">
        <f t="shared" si="84"/>
        <v>0</v>
      </c>
      <c r="AN403" s="180" t="str">
        <f>VLOOKUP($I403,'Price List, Weapons &amp; Items'!B:L,COLUMN('Price List, Weapons &amp; Items'!$J$11)-1,0)</f>
        <v>Media reports (incl. social media)</v>
      </c>
      <c r="AO403" s="180" t="str">
        <f>IF(I403=".",".",VLOOKUP($I403,'Price List, Weapons &amp; Items'!B:J,3,0))</f>
        <v>Military equipment</v>
      </c>
      <c r="AP403" s="545" t="str">
        <f t="shared" ca="1" si="79"/>
        <v/>
      </c>
      <c r="AQ403" s="180">
        <f>VLOOKUP($I403,'Price List, Weapons &amp; Items'!B:L,COLUMN('Price List, Weapons &amp; Items'!$L$11)-1,0)</f>
        <v>1</v>
      </c>
      <c r="AR403" s="180">
        <f t="shared" si="85"/>
        <v>1</v>
      </c>
      <c r="AS403" s="180">
        <f t="shared" si="86"/>
        <v>1</v>
      </c>
      <c r="AT403" s="180" t="str">
        <f t="shared" si="87"/>
        <v>Value is not in date format</v>
      </c>
      <c r="AU403" s="180" t="str">
        <f t="shared" si="88"/>
        <v>.</v>
      </c>
      <c r="AV403" s="180" t="str">
        <f t="shared" si="89"/>
        <v>.</v>
      </c>
      <c r="AW403" s="180">
        <f>IFERROR(VLOOKUP(B403,'Share, Heavy Weapons to Ukraine'!B:J,COLUMN('Share, Heavy Weapons to Ukraine'!C412)-1,0),0)</f>
        <v>0</v>
      </c>
      <c r="AX403" s="180">
        <f>VLOOKUP('Bilateral Assistance, MAIN DATA'!B403,'Country Summary'!B:F,COLUMN('Country Summary'!C415)-1,FALSE)</f>
        <v>1</v>
      </c>
      <c r="AY403" s="180" t="str">
        <f>IF(AND(AD403=1,D403="Military",H403&lt;&gt;"Not given")=TRUE,IF(SUMIFS(P:P,A:A,A403)&gt;0,ABS((SUMIFS(P:P,A:A,A403)/VLOOKUP("USD",'Exchange Rates'!B:C,2,0)))/S403,"."),".")</f>
        <v>.</v>
      </c>
      <c r="AZ403" s="182" t="str">
        <f>IF(AND(AD403=1,D403="Military",H403&lt;&gt;"Not given")=TRUE,IF(SUMIFS(P:P,A:A,A403)&gt;0,IF((ABS((SUMIFS(P:P,A:A,A403)/VLOOKUP("USD",'Exchange Rates'!B:C,2,0)))/S403)&gt;1,(SUMIFS(P:P,A:A,A403)-S403)/S403,(S403-SUMIFS(P:P,A:A,A403))/SUMIFS(P:P,A:A,A403)),"."),".")</f>
        <v>.</v>
      </c>
      <c r="BA403" s="182"/>
      <c r="BB403" s="182"/>
      <c r="BC403" s="182"/>
      <c r="BD403" s="182"/>
      <c r="BE403" s="182"/>
      <c r="BF403" s="182"/>
      <c r="BG403" s="182"/>
      <c r="BH403" s="182"/>
      <c r="BI403" s="182"/>
      <c r="BJ403" s="182"/>
      <c r="BK403" s="182"/>
      <c r="BL403" s="182"/>
      <c r="BM403" s="182"/>
      <c r="BN403" s="182"/>
      <c r="BO403" s="182"/>
      <c r="BP403" s="182"/>
      <c r="BQ403" s="182"/>
      <c r="BR403" s="182"/>
      <c r="BS403" s="182"/>
    </row>
    <row r="404" spans="1:71" ht="15.9" customHeight="1" x14ac:dyDescent="0.3">
      <c r="A404" s="5" t="s">
        <v>1326</v>
      </c>
      <c r="B404" s="5" t="s">
        <v>1288</v>
      </c>
      <c r="C404" s="174" t="s">
        <v>1327</v>
      </c>
      <c r="D404" s="5" t="s">
        <v>285</v>
      </c>
      <c r="E404" s="5" t="s">
        <v>1328</v>
      </c>
      <c r="F404" s="1139" t="s">
        <v>1329</v>
      </c>
      <c r="G404" s="15" t="s">
        <v>364</v>
      </c>
      <c r="H404" s="176">
        <v>1360000000</v>
      </c>
      <c r="I404" s="185" t="s">
        <v>1356</v>
      </c>
      <c r="J404" s="113" t="str">
        <f>VLOOKUP($I404,'Price List, Weapons &amp; Items'!B:C,2,0)</f>
        <v>Military equipment</v>
      </c>
      <c r="K404" s="113" t="str">
        <f>IF(I404=".",I404,VLOOKUP($I404,'Price List, Weapons &amp; Items'!B:D,3,0))</f>
        <v>Military equipment</v>
      </c>
      <c r="L404" s="177">
        <f>VLOOKUP(I404,'Price List, Weapons &amp; Items'!B:E,4,0)</f>
        <v>0</v>
      </c>
      <c r="M404" s="542">
        <v>165</v>
      </c>
      <c r="N404" s="542">
        <v>165</v>
      </c>
      <c r="O404" s="543">
        <f>VLOOKUP($I404,'Price List, Weapons &amp; Items'!B:G,6,0)</f>
        <v>11.99</v>
      </c>
      <c r="P404" s="176">
        <f t="shared" si="80"/>
        <v>1978.3500000000001</v>
      </c>
      <c r="Q404" s="176">
        <f t="shared" si="81"/>
        <v>1978.3500000000001</v>
      </c>
      <c r="R404" s="176" t="str">
        <f t="shared" si="78"/>
        <v/>
      </c>
      <c r="S404" s="176" t="str">
        <f>IF(AND(AD404=1,R404&lt;&gt;".")=TRUE,R404/VLOOKUP(G404,'Exchange Rates'!B:C,2,0),IF(R404=".",".",""))</f>
        <v/>
      </c>
      <c r="T404" s="176" t="str">
        <f>IF(AD404=1,IF(AF404="Value is not given at all",".",IF(AF404="Value is given by the source",S404,IF(AF404="Value is calculated with prices",(IF(SUMIFS(Q:Q,A:A,A404)&gt;0,SUMIFS(Q:Q,A:A,A404),"."))/VLOOKUP("USD",'Exchange Rates'!B:C,2,0),"Error with coding"))),"")</f>
        <v/>
      </c>
      <c r="U404" s="15" t="s">
        <v>261</v>
      </c>
      <c r="V404" s="567" t="s">
        <v>1293</v>
      </c>
      <c r="W404" s="567" t="s">
        <v>1353</v>
      </c>
      <c r="X404" s="685" t="s">
        <v>260</v>
      </c>
      <c r="Y404" s="685" t="s">
        <v>260</v>
      </c>
      <c r="Z404" s="15">
        <v>0</v>
      </c>
      <c r="AA404" s="180">
        <v>1</v>
      </c>
      <c r="AB404" s="570" t="s">
        <v>1357</v>
      </c>
      <c r="AC404" s="544" t="str">
        <f>""</f>
        <v/>
      </c>
      <c r="AD404" s="183">
        <v>0</v>
      </c>
      <c r="AE404" s="183" t="s">
        <v>264</v>
      </c>
      <c r="AF404" s="183" t="s">
        <v>265</v>
      </c>
      <c r="AG404" s="183">
        <v>0</v>
      </c>
      <c r="AH404" s="183">
        <v>0</v>
      </c>
      <c r="AI404" s="183">
        <v>0</v>
      </c>
      <c r="AJ404" s="181">
        <f>VLOOKUP($I404,'Price List, Weapons &amp; Items'!B:F,5,0)</f>
        <v>0</v>
      </c>
      <c r="AK404" s="181">
        <f t="shared" si="82"/>
        <v>0</v>
      </c>
      <c r="AL404" s="181">
        <f t="shared" si="83"/>
        <v>0</v>
      </c>
      <c r="AM404" s="181">
        <f t="shared" si="84"/>
        <v>0</v>
      </c>
      <c r="AN404" s="180" t="str">
        <f>VLOOKUP($I404,'Price List, Weapons &amp; Items'!B:L,COLUMN('Price List, Weapons &amp; Items'!$J$11)-1,0)</f>
        <v>Online marketplaces and stores</v>
      </c>
      <c r="AO404" s="180" t="str">
        <f>IF(I404=".",".",VLOOKUP($I404,'Price List, Weapons &amp; Items'!B:J,3,0))</f>
        <v>Military equipment</v>
      </c>
      <c r="AP404" s="545" t="str">
        <f t="shared" ca="1" si="79"/>
        <v/>
      </c>
      <c r="AQ404" s="180">
        <f>VLOOKUP($I404,'Price List, Weapons &amp; Items'!B:L,COLUMN('Price List, Weapons &amp; Items'!$L$11)-1,0)</f>
        <v>1</v>
      </c>
      <c r="AR404" s="180">
        <f t="shared" si="85"/>
        <v>1</v>
      </c>
      <c r="AS404" s="180">
        <f t="shared" si="86"/>
        <v>1</v>
      </c>
      <c r="AT404" s="180" t="str">
        <f t="shared" si="87"/>
        <v>Value is not in date format</v>
      </c>
      <c r="AU404" s="180" t="str">
        <f t="shared" si="88"/>
        <v>.</v>
      </c>
      <c r="AV404" s="180" t="str">
        <f t="shared" si="89"/>
        <v>.</v>
      </c>
      <c r="AW404" s="180">
        <f>IFERROR(VLOOKUP(B404,'Share, Heavy Weapons to Ukraine'!B:J,COLUMN('Share, Heavy Weapons to Ukraine'!C413)-1,0),0)</f>
        <v>0</v>
      </c>
      <c r="AX404" s="180">
        <f>VLOOKUP('Bilateral Assistance, MAIN DATA'!B404,'Country Summary'!B:F,COLUMN('Country Summary'!C416)-1,FALSE)</f>
        <v>1</v>
      </c>
      <c r="AY404" s="180" t="str">
        <f>IF(AND(AD404=1,D404="Military",H404&lt;&gt;"Not given")=TRUE,IF(SUMIFS(P:P,A:A,A404)&gt;0,ABS((SUMIFS(P:P,A:A,A404)/VLOOKUP("USD",'Exchange Rates'!B:C,2,0)))/S404,"."),".")</f>
        <v>.</v>
      </c>
      <c r="AZ404" s="182" t="str">
        <f>IF(AND(AD404=1,D404="Military",H404&lt;&gt;"Not given")=TRUE,IF(SUMIFS(P:P,A:A,A404)&gt;0,IF((ABS((SUMIFS(P:P,A:A,A404)/VLOOKUP("USD",'Exchange Rates'!B:C,2,0)))/S404)&gt;1,(SUMIFS(P:P,A:A,A404)-S404)/S404,(S404-SUMIFS(P:P,A:A,A404))/SUMIFS(P:P,A:A,A404)),"."),".")</f>
        <v>.</v>
      </c>
      <c r="BA404" s="182"/>
      <c r="BB404" s="182"/>
      <c r="BC404" s="182"/>
      <c r="BD404" s="182"/>
      <c r="BE404" s="182"/>
      <c r="BF404" s="182"/>
      <c r="BG404" s="182"/>
      <c r="BH404" s="182"/>
      <c r="BI404" s="182"/>
      <c r="BJ404" s="182"/>
      <c r="BK404" s="182"/>
      <c r="BL404" s="182"/>
      <c r="BM404" s="182"/>
      <c r="BN404" s="182"/>
      <c r="BO404" s="182"/>
      <c r="BP404" s="182"/>
      <c r="BQ404" s="182"/>
      <c r="BR404" s="182"/>
      <c r="BS404" s="182"/>
    </row>
    <row r="405" spans="1:71" ht="15.9" customHeight="1" x14ac:dyDescent="0.3">
      <c r="A405" s="5" t="s">
        <v>1326</v>
      </c>
      <c r="B405" s="5" t="s">
        <v>1288</v>
      </c>
      <c r="C405" s="174" t="s">
        <v>1327</v>
      </c>
      <c r="D405" s="5" t="s">
        <v>285</v>
      </c>
      <c r="E405" s="5" t="s">
        <v>1328</v>
      </c>
      <c r="F405" s="1139" t="s">
        <v>1329</v>
      </c>
      <c r="G405" s="15" t="s">
        <v>364</v>
      </c>
      <c r="H405" s="176">
        <v>1360000000</v>
      </c>
      <c r="I405" s="185" t="s">
        <v>1358</v>
      </c>
      <c r="J405" s="113" t="str">
        <f>VLOOKUP($I405,'Price List, Weapons &amp; Items'!B:C,2,0)</f>
        <v>Military equipment</v>
      </c>
      <c r="K405" s="113" t="str">
        <f>IF(I405=".",I405,VLOOKUP($I405,'Price List, Weapons &amp; Items'!B:D,3,0))</f>
        <v>Military equipment</v>
      </c>
      <c r="L405" s="177">
        <f>VLOOKUP(I405,'Price List, Weapons &amp; Items'!B:E,4,0)</f>
        <v>0</v>
      </c>
      <c r="M405" s="542">
        <v>2</v>
      </c>
      <c r="N405" s="542">
        <v>1</v>
      </c>
      <c r="O405" s="543">
        <f>VLOOKUP($I405,'Price List, Weapons &amp; Items'!B:G,6,0)</f>
        <v>6060550</v>
      </c>
      <c r="P405" s="176">
        <f t="shared" si="80"/>
        <v>12121100</v>
      </c>
      <c r="Q405" s="176">
        <f t="shared" si="81"/>
        <v>6060550</v>
      </c>
      <c r="R405" s="176" t="str">
        <f t="shared" si="78"/>
        <v/>
      </c>
      <c r="S405" s="176" t="str">
        <f>IF(AND(AD405=1,R405&lt;&gt;".")=TRUE,R405/VLOOKUP(G405,'Exchange Rates'!B:C,2,0),IF(R405=".",".",""))</f>
        <v/>
      </c>
      <c r="T405" s="176" t="str">
        <f>IF(AD405=1,IF(AF405="Value is not given at all",".",IF(AF405="Value is given by the source",S405,IF(AF405="Value is calculated with prices",(IF(SUMIFS(Q:Q,A:A,A405)&gt;0,SUMIFS(Q:Q,A:A,A405),"."))/VLOOKUP("USD",'Exchange Rates'!B:C,2,0),"Error with coding"))),"")</f>
        <v/>
      </c>
      <c r="U405" s="15" t="s">
        <v>261</v>
      </c>
      <c r="V405" s="567" t="s">
        <v>1293</v>
      </c>
      <c r="W405" s="567" t="s">
        <v>1355</v>
      </c>
      <c r="X405" s="685" t="s">
        <v>260</v>
      </c>
      <c r="Y405" s="685" t="s">
        <v>260</v>
      </c>
      <c r="Z405" s="15">
        <v>0</v>
      </c>
      <c r="AA405" s="180">
        <v>1</v>
      </c>
      <c r="AB405" s="570" t="s">
        <v>1359</v>
      </c>
      <c r="AC405" s="544" t="str">
        <f>""</f>
        <v/>
      </c>
      <c r="AD405" s="183">
        <v>0</v>
      </c>
      <c r="AE405" s="183" t="s">
        <v>264</v>
      </c>
      <c r="AF405" s="183" t="s">
        <v>265</v>
      </c>
      <c r="AG405" s="183">
        <v>0</v>
      </c>
      <c r="AH405" s="183">
        <v>0</v>
      </c>
      <c r="AI405" s="183">
        <v>0</v>
      </c>
      <c r="AJ405" s="181">
        <f>VLOOKUP($I405,'Price List, Weapons &amp; Items'!B:F,5,0)</f>
        <v>0</v>
      </c>
      <c r="AK405" s="181">
        <f t="shared" si="82"/>
        <v>0</v>
      </c>
      <c r="AL405" s="181">
        <f t="shared" si="83"/>
        <v>0</v>
      </c>
      <c r="AM405" s="181">
        <f t="shared" si="84"/>
        <v>0</v>
      </c>
      <c r="AN405" s="180" t="str">
        <f>VLOOKUP($I405,'Price List, Weapons &amp; Items'!B:L,COLUMN('Price List, Weapons &amp; Items'!$J$11)-1,0)</f>
        <v>Media reports (incl. social media)</v>
      </c>
      <c r="AO405" s="180" t="str">
        <f>IF(I405=".",".",VLOOKUP($I405,'Price List, Weapons &amp; Items'!B:J,3,0))</f>
        <v>Military equipment</v>
      </c>
      <c r="AP405" s="545" t="str">
        <f t="shared" ca="1" si="79"/>
        <v/>
      </c>
      <c r="AQ405" s="180">
        <f>VLOOKUP($I405,'Price List, Weapons &amp; Items'!B:L,COLUMN('Price List, Weapons &amp; Items'!$L$11)-1,0)</f>
        <v>2</v>
      </c>
      <c r="AR405" s="180">
        <f t="shared" si="85"/>
        <v>1</v>
      </c>
      <c r="AS405" s="180">
        <f t="shared" si="86"/>
        <v>1</v>
      </c>
      <c r="AT405" s="180" t="str">
        <f t="shared" si="87"/>
        <v>Value is not in date format</v>
      </c>
      <c r="AU405" s="180" t="str">
        <f t="shared" si="88"/>
        <v>.</v>
      </c>
      <c r="AV405" s="180" t="str">
        <f t="shared" si="89"/>
        <v>.</v>
      </c>
      <c r="AW405" s="180">
        <f>IFERROR(VLOOKUP(B405,'Share, Heavy Weapons to Ukraine'!B:J,COLUMN('Share, Heavy Weapons to Ukraine'!C414)-1,0),0)</f>
        <v>0</v>
      </c>
      <c r="AX405" s="180">
        <f>VLOOKUP('Bilateral Assistance, MAIN DATA'!B405,'Country Summary'!B:F,COLUMN('Country Summary'!C417)-1,FALSE)</f>
        <v>1</v>
      </c>
      <c r="AY405" s="180" t="str">
        <f>IF(AND(AD405=1,D405="Military",H405&lt;&gt;"Not given")=TRUE,IF(SUMIFS(P:P,A:A,A405)&gt;0,ABS((SUMIFS(P:P,A:A,A405)/VLOOKUP("USD",'Exchange Rates'!B:C,2,0)))/S405,"."),".")</f>
        <v>.</v>
      </c>
      <c r="AZ405" s="182" t="str">
        <f>IF(AND(AD405=1,D405="Military",H405&lt;&gt;"Not given")=TRUE,IF(SUMIFS(P:P,A:A,A405)&gt;0,IF((ABS((SUMIFS(P:P,A:A,A405)/VLOOKUP("USD",'Exchange Rates'!B:C,2,0)))/S405)&gt;1,(SUMIFS(P:P,A:A,A405)-S405)/S405,(S405-SUMIFS(P:P,A:A,A405))/SUMIFS(P:P,A:A,A405)),"."),".")</f>
        <v>.</v>
      </c>
      <c r="BA405" s="182"/>
      <c r="BB405" s="182"/>
      <c r="BC405" s="182"/>
      <c r="BD405" s="182"/>
      <c r="BE405" s="182"/>
      <c r="BF405" s="182"/>
      <c r="BG405" s="182"/>
      <c r="BH405" s="182"/>
      <c r="BI405" s="182"/>
      <c r="BJ405" s="182"/>
      <c r="BK405" s="182"/>
      <c r="BL405" s="182"/>
      <c r="BM405" s="182"/>
      <c r="BN405" s="182"/>
      <c r="BO405" s="182"/>
      <c r="BP405" s="182"/>
      <c r="BQ405" s="182"/>
      <c r="BR405" s="182"/>
      <c r="BS405" s="182"/>
    </row>
    <row r="406" spans="1:71" ht="15.9" customHeight="1" x14ac:dyDescent="0.3">
      <c r="A406" s="5" t="s">
        <v>1326</v>
      </c>
      <c r="B406" s="5" t="s">
        <v>1288</v>
      </c>
      <c r="C406" s="174" t="s">
        <v>1327</v>
      </c>
      <c r="D406" s="5" t="s">
        <v>285</v>
      </c>
      <c r="E406" s="5" t="s">
        <v>1328</v>
      </c>
      <c r="F406" s="1139" t="s">
        <v>1329</v>
      </c>
      <c r="G406" s="15" t="s">
        <v>364</v>
      </c>
      <c r="H406" s="176">
        <v>1360000000</v>
      </c>
      <c r="I406" s="185" t="s">
        <v>1360</v>
      </c>
      <c r="J406" s="113" t="str">
        <f>VLOOKUP($I406,'Price List, Weapons &amp; Items'!B:C,2,0)</f>
        <v>Military equipment</v>
      </c>
      <c r="K406" s="113" t="str">
        <f>IF(I406=".",I406,VLOOKUP($I406,'Price List, Weapons &amp; Items'!B:D,3,0))</f>
        <v>Military equipment</v>
      </c>
      <c r="L406" s="177">
        <f>VLOOKUP(I406,'Price List, Weapons &amp; Items'!B:E,4,0)</f>
        <v>0</v>
      </c>
      <c r="M406" s="542">
        <v>200000</v>
      </c>
      <c r="N406" s="542">
        <v>100000</v>
      </c>
      <c r="O406" s="543">
        <f>VLOOKUP($I406,'Price List, Weapons &amp; Items'!B:G,6,0)</f>
        <v>37.82</v>
      </c>
      <c r="P406" s="176">
        <f t="shared" si="80"/>
        <v>7564000</v>
      </c>
      <c r="Q406" s="176">
        <f t="shared" si="81"/>
        <v>3782000</v>
      </c>
      <c r="R406" s="176" t="str">
        <f t="shared" si="78"/>
        <v/>
      </c>
      <c r="S406" s="176" t="str">
        <f>IF(AND(AD406=1,R406&lt;&gt;".")=TRUE,R406/VLOOKUP(G406,'Exchange Rates'!B:C,2,0),IF(R406=".",".",""))</f>
        <v/>
      </c>
      <c r="T406" s="176" t="str">
        <f>IF(AD406=1,IF(AF406="Value is not given at all",".",IF(AF406="Value is given by the source",S406,IF(AF406="Value is calculated with prices",(IF(SUMIFS(Q:Q,A:A,A406)&gt;0,SUMIFS(Q:Q,A:A,A406),"."))/VLOOKUP("USD",'Exchange Rates'!B:C,2,0),"Error with coding"))),"")</f>
        <v/>
      </c>
      <c r="U406" s="15" t="s">
        <v>261</v>
      </c>
      <c r="V406" s="567" t="s">
        <v>1293</v>
      </c>
      <c r="W406" s="567" t="s">
        <v>1357</v>
      </c>
      <c r="X406" s="685" t="s">
        <v>260</v>
      </c>
      <c r="Y406" s="685" t="s">
        <v>260</v>
      </c>
      <c r="Z406" s="15">
        <v>0</v>
      </c>
      <c r="AA406" s="180">
        <v>1</v>
      </c>
      <c r="AB406" s="570" t="s">
        <v>1361</v>
      </c>
      <c r="AC406" s="544" t="str">
        <f>""</f>
        <v/>
      </c>
      <c r="AD406" s="183">
        <v>0</v>
      </c>
      <c r="AE406" s="183" t="s">
        <v>264</v>
      </c>
      <c r="AF406" s="183" t="s">
        <v>265</v>
      </c>
      <c r="AG406" s="183">
        <v>0</v>
      </c>
      <c r="AH406" s="183">
        <v>0</v>
      </c>
      <c r="AI406" s="183">
        <v>0</v>
      </c>
      <c r="AJ406" s="181">
        <f>VLOOKUP($I406,'Price List, Weapons &amp; Items'!B:F,5,0)</f>
        <v>0</v>
      </c>
      <c r="AK406" s="181">
        <f t="shared" si="82"/>
        <v>0</v>
      </c>
      <c r="AL406" s="181">
        <f t="shared" si="83"/>
        <v>0</v>
      </c>
      <c r="AM406" s="181">
        <f t="shared" si="84"/>
        <v>0</v>
      </c>
      <c r="AN406" s="180" t="str">
        <f>VLOOKUP($I406,'Price List, Weapons &amp; Items'!B:L,COLUMN('Price List, Weapons &amp; Items'!$J$11)-1,0)</f>
        <v>Online marketplaces and stores</v>
      </c>
      <c r="AO406" s="180" t="str">
        <f>IF(I406=".",".",VLOOKUP($I406,'Price List, Weapons &amp; Items'!B:J,3,0))</f>
        <v>Military equipment</v>
      </c>
      <c r="AP406" s="545" t="str">
        <f t="shared" ca="1" si="79"/>
        <v/>
      </c>
      <c r="AQ406" s="180">
        <f>VLOOKUP($I406,'Price List, Weapons &amp; Items'!B:L,COLUMN('Price List, Weapons &amp; Items'!$L$11)-1,0)</f>
        <v>2</v>
      </c>
      <c r="AR406" s="180">
        <f t="shared" si="85"/>
        <v>1</v>
      </c>
      <c r="AS406" s="180">
        <f t="shared" si="86"/>
        <v>1</v>
      </c>
      <c r="AT406" s="180" t="str">
        <f t="shared" si="87"/>
        <v>Value is not in date format</v>
      </c>
      <c r="AU406" s="180" t="str">
        <f t="shared" si="88"/>
        <v>.</v>
      </c>
      <c r="AV406" s="180" t="str">
        <f t="shared" si="89"/>
        <v>.</v>
      </c>
      <c r="AW406" s="180">
        <f>IFERROR(VLOOKUP(B406,'Share, Heavy Weapons to Ukraine'!B:J,COLUMN('Share, Heavy Weapons to Ukraine'!C415)-1,0),0)</f>
        <v>0</v>
      </c>
      <c r="AX406" s="180">
        <f>VLOOKUP('Bilateral Assistance, MAIN DATA'!B406,'Country Summary'!B:F,COLUMN('Country Summary'!C418)-1,FALSE)</f>
        <v>1</v>
      </c>
      <c r="AY406" s="180" t="str">
        <f>IF(AND(AD406=1,D406="Military",H406&lt;&gt;"Not given")=TRUE,IF(SUMIFS(P:P,A:A,A406)&gt;0,ABS((SUMIFS(P:P,A:A,A406)/VLOOKUP("USD",'Exchange Rates'!B:C,2,0)))/S406,"."),".")</f>
        <v>.</v>
      </c>
      <c r="AZ406" s="182" t="str">
        <f>IF(AND(AD406=1,D406="Military",H406&lt;&gt;"Not given")=TRUE,IF(SUMIFS(P:P,A:A,A406)&gt;0,IF((ABS((SUMIFS(P:P,A:A,A406)/VLOOKUP("USD",'Exchange Rates'!B:C,2,0)))/S406)&gt;1,(SUMIFS(P:P,A:A,A406)-S406)/S406,(S406-SUMIFS(P:P,A:A,A406))/SUMIFS(P:P,A:A,A406)),"."),".")</f>
        <v>.</v>
      </c>
      <c r="BA406" s="182"/>
      <c r="BB406" s="182"/>
      <c r="BC406" s="182"/>
      <c r="BD406" s="182"/>
      <c r="BE406" s="182"/>
      <c r="BF406" s="182"/>
      <c r="BG406" s="182"/>
      <c r="BH406" s="182"/>
      <c r="BI406" s="182"/>
      <c r="BJ406" s="182"/>
      <c r="BK406" s="182"/>
      <c r="BL406" s="182"/>
      <c r="BM406" s="182"/>
      <c r="BN406" s="182"/>
      <c r="BO406" s="182"/>
      <c r="BP406" s="182"/>
      <c r="BQ406" s="182"/>
      <c r="BR406" s="182"/>
      <c r="BS406" s="182"/>
    </row>
    <row r="407" spans="1:71" ht="15.9" customHeight="1" x14ac:dyDescent="0.3">
      <c r="A407" s="5" t="s">
        <v>1326</v>
      </c>
      <c r="B407" s="5" t="s">
        <v>1288</v>
      </c>
      <c r="C407" s="174" t="s">
        <v>1327</v>
      </c>
      <c r="D407" s="5" t="s">
        <v>285</v>
      </c>
      <c r="E407" s="5" t="s">
        <v>1328</v>
      </c>
      <c r="F407" s="1139" t="s">
        <v>1329</v>
      </c>
      <c r="G407" s="15" t="s">
        <v>364</v>
      </c>
      <c r="H407" s="176">
        <v>1360000000</v>
      </c>
      <c r="I407" s="185" t="s">
        <v>1362</v>
      </c>
      <c r="J407" s="113" t="str">
        <f>VLOOKUP($I407,'Price List, Weapons &amp; Items'!B:C,2,0)</f>
        <v>Military equipment</v>
      </c>
      <c r="K407" s="113" t="str">
        <f>IF(I407=".",I407,VLOOKUP($I407,'Price List, Weapons &amp; Items'!B:D,3,0))</f>
        <v>Military equipment</v>
      </c>
      <c r="L407" s="177">
        <f>VLOOKUP(I407,'Price List, Weapons &amp; Items'!B:E,4,0)</f>
        <v>0</v>
      </c>
      <c r="M407" s="542">
        <v>40</v>
      </c>
      <c r="N407" s="542">
        <v>20</v>
      </c>
      <c r="O407" s="543" t="str">
        <f>VLOOKUP($I407,'Price List, Weapons &amp; Items'!B:G,6,0)</f>
        <v>.</v>
      </c>
      <c r="P407" s="176" t="str">
        <f t="shared" si="80"/>
        <v>No price</v>
      </c>
      <c r="Q407" s="176" t="str">
        <f t="shared" si="81"/>
        <v>No price</v>
      </c>
      <c r="R407" s="176" t="str">
        <f t="shared" si="78"/>
        <v/>
      </c>
      <c r="S407" s="176" t="str">
        <f>IF(AND(AD407=1,R407&lt;&gt;".")=TRUE,R407/VLOOKUP(G407,'Exchange Rates'!B:C,2,0),IF(R407=".",".",""))</f>
        <v/>
      </c>
      <c r="T407" s="176" t="str">
        <f>IF(AD407=1,IF(AF407="Value is not given at all",".",IF(AF407="Value is given by the source",S407,IF(AF407="Value is calculated with prices",(IF(SUMIFS(Q:Q,A:A,A407)&gt;0,SUMIFS(Q:Q,A:A,A407),"."))/VLOOKUP("USD",'Exchange Rates'!B:C,2,0),"Error with coding"))),"")</f>
        <v/>
      </c>
      <c r="U407" s="15" t="s">
        <v>261</v>
      </c>
      <c r="V407" s="567" t="s">
        <v>1293</v>
      </c>
      <c r="W407" s="567" t="s">
        <v>1359</v>
      </c>
      <c r="X407" s="685" t="s">
        <v>260</v>
      </c>
      <c r="Y407" s="685" t="s">
        <v>260</v>
      </c>
      <c r="Z407" s="15">
        <v>0</v>
      </c>
      <c r="AA407" s="180">
        <v>1</v>
      </c>
      <c r="AB407" s="570" t="s">
        <v>1363</v>
      </c>
      <c r="AC407" s="544" t="str">
        <f>""</f>
        <v/>
      </c>
      <c r="AD407" s="183">
        <v>0</v>
      </c>
      <c r="AE407" s="183" t="s">
        <v>264</v>
      </c>
      <c r="AF407" s="183" t="s">
        <v>265</v>
      </c>
      <c r="AG407" s="183">
        <v>0</v>
      </c>
      <c r="AH407" s="183">
        <v>0</v>
      </c>
      <c r="AI407" s="183">
        <v>0</v>
      </c>
      <c r="AJ407" s="181">
        <f>VLOOKUP($I407,'Price List, Weapons &amp; Items'!B:F,5,0)</f>
        <v>0</v>
      </c>
      <c r="AK407" s="181">
        <f t="shared" si="82"/>
        <v>0</v>
      </c>
      <c r="AL407" s="181">
        <f t="shared" si="83"/>
        <v>0</v>
      </c>
      <c r="AM407" s="181">
        <f t="shared" si="84"/>
        <v>0</v>
      </c>
      <c r="AN407" s="180" t="str">
        <f>VLOOKUP($I407,'Price List, Weapons &amp; Items'!B:L,COLUMN('Price List, Weapons &amp; Items'!$J$11)-1,0)</f>
        <v>.</v>
      </c>
      <c r="AO407" s="180" t="str">
        <f>IF(I407=".",".",VLOOKUP($I407,'Price List, Weapons &amp; Items'!B:J,3,0))</f>
        <v>Military equipment</v>
      </c>
      <c r="AP407" s="545" t="str">
        <f t="shared" ca="1" si="79"/>
        <v/>
      </c>
      <c r="AQ407" s="180">
        <f>VLOOKUP($I407,'Price List, Weapons &amp; Items'!B:L,COLUMN('Price List, Weapons &amp; Items'!$L$11)-1,0)</f>
        <v>0</v>
      </c>
      <c r="AR407" s="180">
        <f t="shared" si="85"/>
        <v>1</v>
      </c>
      <c r="AS407" s="180">
        <f t="shared" si="86"/>
        <v>1</v>
      </c>
      <c r="AT407" s="180" t="str">
        <f t="shared" si="87"/>
        <v>Value is not in date format</v>
      </c>
      <c r="AU407" s="180" t="str">
        <f t="shared" si="88"/>
        <v>.</v>
      </c>
      <c r="AV407" s="180" t="str">
        <f t="shared" si="89"/>
        <v>.</v>
      </c>
      <c r="AW407" s="180">
        <f>IFERROR(VLOOKUP(B407,'Share, Heavy Weapons to Ukraine'!B:J,COLUMN('Share, Heavy Weapons to Ukraine'!C416)-1,0),0)</f>
        <v>0</v>
      </c>
      <c r="AX407" s="180">
        <f>VLOOKUP('Bilateral Assistance, MAIN DATA'!B407,'Country Summary'!B:F,COLUMN('Country Summary'!C419)-1,FALSE)</f>
        <v>1</v>
      </c>
      <c r="AY407" s="180" t="str">
        <f>IF(AND(AD407=1,D407="Military",H407&lt;&gt;"Not given")=TRUE,IF(SUMIFS(P:P,A:A,A407)&gt;0,ABS((SUMIFS(P:P,A:A,A407)/VLOOKUP("USD",'Exchange Rates'!B:C,2,0)))/S407,"."),".")</f>
        <v>.</v>
      </c>
      <c r="AZ407" s="182" t="str">
        <f>IF(AND(AD407=1,D407="Military",H407&lt;&gt;"Not given")=TRUE,IF(SUMIFS(P:P,A:A,A407)&gt;0,IF((ABS((SUMIFS(P:P,A:A,A407)/VLOOKUP("USD",'Exchange Rates'!B:C,2,0)))/S407)&gt;1,(SUMIFS(P:P,A:A,A407)-S407)/S407,(S407-SUMIFS(P:P,A:A,A407))/SUMIFS(P:P,A:A,A407)),"."),".")</f>
        <v>.</v>
      </c>
      <c r="BA407" s="182"/>
      <c r="BB407" s="182"/>
      <c r="BC407" s="182"/>
      <c r="BD407" s="182"/>
      <c r="BE407" s="182"/>
      <c r="BF407" s="182"/>
      <c r="BG407" s="182"/>
      <c r="BH407" s="182"/>
      <c r="BI407" s="182"/>
      <c r="BJ407" s="182"/>
      <c r="BK407" s="182"/>
      <c r="BL407" s="182"/>
      <c r="BM407" s="182"/>
      <c r="BN407" s="182"/>
      <c r="BO407" s="182"/>
      <c r="BP407" s="182"/>
      <c r="BQ407" s="182"/>
      <c r="BR407" s="182"/>
      <c r="BS407" s="182"/>
    </row>
    <row r="408" spans="1:71" ht="15.9" customHeight="1" x14ac:dyDescent="0.3">
      <c r="A408" s="5" t="s">
        <v>1326</v>
      </c>
      <c r="B408" s="5" t="s">
        <v>1288</v>
      </c>
      <c r="C408" s="174" t="s">
        <v>1327</v>
      </c>
      <c r="D408" s="5" t="s">
        <v>285</v>
      </c>
      <c r="E408" s="5" t="s">
        <v>1328</v>
      </c>
      <c r="F408" s="1139" t="s">
        <v>1329</v>
      </c>
      <c r="G408" s="15" t="s">
        <v>364</v>
      </c>
      <c r="H408" s="176">
        <v>1360000000</v>
      </c>
      <c r="I408" s="185" t="s">
        <v>1364</v>
      </c>
      <c r="J408" s="113" t="str">
        <f>VLOOKUP($I408,'Price List, Weapons &amp; Items'!B:C,2,0)</f>
        <v>military equipment</v>
      </c>
      <c r="K408" s="113" t="str">
        <f>IF(I408=".",I408,VLOOKUP($I408,'Price List, Weapons &amp; Items'!B:D,3,0))</f>
        <v>Military equipment</v>
      </c>
      <c r="L408" s="177">
        <f>VLOOKUP(I408,'Price List, Weapons &amp; Items'!B:E,4,0)</f>
        <v>0</v>
      </c>
      <c r="M408" s="542">
        <v>20</v>
      </c>
      <c r="N408" s="542">
        <v>17</v>
      </c>
      <c r="O408" s="543">
        <f>VLOOKUP($I408,'Price List, Weapons &amp; Items'!B:G,6,0)</f>
        <v>2268127</v>
      </c>
      <c r="P408" s="176">
        <f t="shared" si="80"/>
        <v>45362540</v>
      </c>
      <c r="Q408" s="176">
        <f t="shared" si="81"/>
        <v>38558159</v>
      </c>
      <c r="R408" s="176" t="str">
        <f t="shared" si="78"/>
        <v/>
      </c>
      <c r="S408" s="176" t="str">
        <f>IF(AND(AD408=1,R408&lt;&gt;".")=TRUE,R408/VLOOKUP(G408,'Exchange Rates'!B:C,2,0),IF(R408=".",".",""))</f>
        <v/>
      </c>
      <c r="T408" s="176" t="str">
        <f>IF(AD408=1,IF(AF408="Value is not given at all",".",IF(AF408="Value is given by the source",S408,IF(AF408="Value is calculated with prices",(IF(SUMIFS(Q:Q,A:A,A408)&gt;0,SUMIFS(Q:Q,A:A,A408),"."))/VLOOKUP("USD",'Exchange Rates'!B:C,2,0),"Error with coding"))),"")</f>
        <v/>
      </c>
      <c r="U408" s="15" t="s">
        <v>261</v>
      </c>
      <c r="V408" s="567" t="s">
        <v>1293</v>
      </c>
      <c r="W408" s="567" t="s">
        <v>1361</v>
      </c>
      <c r="X408" s="685" t="s">
        <v>260</v>
      </c>
      <c r="Y408" s="685" t="s">
        <v>260</v>
      </c>
      <c r="Z408" s="15">
        <v>0</v>
      </c>
      <c r="AA408" s="180">
        <v>1</v>
      </c>
      <c r="AB408" s="570" t="s">
        <v>1365</v>
      </c>
      <c r="AC408" s="544" t="str">
        <f>""</f>
        <v/>
      </c>
      <c r="AD408" s="183">
        <v>0</v>
      </c>
      <c r="AE408" s="183" t="s">
        <v>264</v>
      </c>
      <c r="AF408" s="183" t="s">
        <v>265</v>
      </c>
      <c r="AG408" s="183">
        <v>0</v>
      </c>
      <c r="AH408" s="183">
        <v>0</v>
      </c>
      <c r="AI408" s="183">
        <v>0</v>
      </c>
      <c r="AJ408" s="181">
        <f>VLOOKUP($I408,'Price List, Weapons &amp; Items'!B:F,5,0)</f>
        <v>0</v>
      </c>
      <c r="AK408" s="181">
        <f t="shared" si="82"/>
        <v>0</v>
      </c>
      <c r="AL408" s="181">
        <f t="shared" si="83"/>
        <v>0</v>
      </c>
      <c r="AM408" s="181">
        <f t="shared" si="84"/>
        <v>0</v>
      </c>
      <c r="AN408" s="180" t="str">
        <f>VLOOKUP($I408,'Price List, Weapons &amp; Items'!B:L,COLUMN('Price List, Weapons &amp; Items'!$J$11)-1,0)</f>
        <v>Media reports (incl. social media)</v>
      </c>
      <c r="AO408" s="180" t="str">
        <f>IF(I408=".",".",VLOOKUP($I408,'Price List, Weapons &amp; Items'!B:J,3,0))</f>
        <v>Military equipment</v>
      </c>
      <c r="AP408" s="545" t="str">
        <f t="shared" ca="1" si="79"/>
        <v/>
      </c>
      <c r="AQ408" s="180">
        <f>VLOOKUP($I408,'Price List, Weapons &amp; Items'!B:L,COLUMN('Price List, Weapons &amp; Items'!$L$11)-1,0)</f>
        <v>2</v>
      </c>
      <c r="AR408" s="180">
        <f t="shared" si="85"/>
        <v>1</v>
      </c>
      <c r="AS408" s="180">
        <f t="shared" si="86"/>
        <v>1</v>
      </c>
      <c r="AT408" s="180" t="str">
        <f t="shared" si="87"/>
        <v>Value is not in date format</v>
      </c>
      <c r="AU408" s="180" t="str">
        <f t="shared" si="88"/>
        <v>.</v>
      </c>
      <c r="AV408" s="180" t="str">
        <f t="shared" si="89"/>
        <v>.</v>
      </c>
      <c r="AW408" s="180">
        <f>IFERROR(VLOOKUP(B408,'Share, Heavy Weapons to Ukraine'!B:J,COLUMN('Share, Heavy Weapons to Ukraine'!C417)-1,0),0)</f>
        <v>0</v>
      </c>
      <c r="AX408" s="180">
        <f>VLOOKUP('Bilateral Assistance, MAIN DATA'!B408,'Country Summary'!B:F,COLUMN('Country Summary'!C420)-1,FALSE)</f>
        <v>1</v>
      </c>
      <c r="AY408" s="180" t="str">
        <f>IF(AND(AD408=1,D408="Military",H408&lt;&gt;"Not given")=TRUE,IF(SUMIFS(P:P,A:A,A408)&gt;0,ABS((SUMIFS(P:P,A:A,A408)/VLOOKUP("USD",'Exchange Rates'!B:C,2,0)))/S408,"."),".")</f>
        <v>.</v>
      </c>
      <c r="AZ408" s="182" t="str">
        <f>IF(AND(AD408=1,D408="Military",H408&lt;&gt;"Not given")=TRUE,IF(SUMIFS(P:P,A:A,A408)&gt;0,IF((ABS((SUMIFS(P:P,A:A,A408)/VLOOKUP("USD",'Exchange Rates'!B:C,2,0)))/S408)&gt;1,(SUMIFS(P:P,A:A,A408)-S408)/S408,(S408-SUMIFS(P:P,A:A,A408))/SUMIFS(P:P,A:A,A408)),"."),".")</f>
        <v>.</v>
      </c>
      <c r="BA408" s="182"/>
      <c r="BB408" s="182"/>
      <c r="BC408" s="182"/>
      <c r="BD408" s="182"/>
      <c r="BE408" s="182"/>
      <c r="BF408" s="182"/>
      <c r="BG408" s="182"/>
      <c r="BH408" s="182"/>
      <c r="BI408" s="182"/>
      <c r="BJ408" s="182"/>
      <c r="BK408" s="182"/>
      <c r="BL408" s="182"/>
      <c r="BM408" s="182"/>
      <c r="BN408" s="182"/>
      <c r="BO408" s="182"/>
      <c r="BP408" s="182"/>
      <c r="BQ408" s="182"/>
      <c r="BR408" s="182"/>
      <c r="BS408" s="182"/>
    </row>
    <row r="409" spans="1:71" ht="15.9" customHeight="1" x14ac:dyDescent="0.3">
      <c r="A409" s="5" t="s">
        <v>1326</v>
      </c>
      <c r="B409" s="5" t="s">
        <v>1288</v>
      </c>
      <c r="C409" s="174" t="s">
        <v>1327</v>
      </c>
      <c r="D409" s="5" t="s">
        <v>285</v>
      </c>
      <c r="E409" s="5" t="s">
        <v>1328</v>
      </c>
      <c r="F409" s="1139" t="s">
        <v>1329</v>
      </c>
      <c r="G409" s="15" t="s">
        <v>364</v>
      </c>
      <c r="H409" s="176">
        <v>1360000000</v>
      </c>
      <c r="I409" s="185" t="s">
        <v>1366</v>
      </c>
      <c r="J409" s="113" t="str">
        <f>VLOOKUP($I409,'Price List, Weapons &amp; Items'!B:C,2,0)</f>
        <v>Military equipment</v>
      </c>
      <c r="K409" s="113" t="str">
        <f>IF(I409=".",I409,VLOOKUP($I409,'Price List, Weapons &amp; Items'!B:D,3,0))</f>
        <v>non combat military vehicle</v>
      </c>
      <c r="L409" s="177">
        <f>VLOOKUP(I409,'Price List, Weapons &amp; Items'!B:E,4,0)</f>
        <v>0</v>
      </c>
      <c r="M409" s="542">
        <v>90</v>
      </c>
      <c r="N409" s="542">
        <v>12</v>
      </c>
      <c r="O409" s="543">
        <f>VLOOKUP($I409,'Price List, Weapons &amp; Items'!B:G,6,0)</f>
        <v>350000</v>
      </c>
      <c r="P409" s="176">
        <f t="shared" si="80"/>
        <v>31500000</v>
      </c>
      <c r="Q409" s="176">
        <f t="shared" si="81"/>
        <v>4200000</v>
      </c>
      <c r="R409" s="176" t="str">
        <f t="shared" si="78"/>
        <v/>
      </c>
      <c r="S409" s="176" t="str">
        <f>IF(AND(AD409=1,R409&lt;&gt;".")=TRUE,R409/VLOOKUP(G409,'Exchange Rates'!B:C,2,0),IF(R409=".",".",""))</f>
        <v/>
      </c>
      <c r="T409" s="176" t="str">
        <f>IF(AD409=1,IF(AF409="Value is not given at all",".",IF(AF409="Value is given by the source",S409,IF(AF409="Value is calculated with prices",(IF(SUMIFS(Q:Q,A:A,A409)&gt;0,SUMIFS(Q:Q,A:A,A409),"."))/VLOOKUP("USD",'Exchange Rates'!B:C,2,0),"Error with coding"))),"")</f>
        <v/>
      </c>
      <c r="U409" s="15" t="s">
        <v>261</v>
      </c>
      <c r="V409" s="567" t="s">
        <v>1293</v>
      </c>
      <c r="W409" s="567" t="s">
        <v>1363</v>
      </c>
      <c r="X409" s="685" t="s">
        <v>260</v>
      </c>
      <c r="Y409" s="685" t="s">
        <v>260</v>
      </c>
      <c r="Z409" s="15">
        <v>0</v>
      </c>
      <c r="AA409" s="180">
        <v>1</v>
      </c>
      <c r="AB409" s="570" t="s">
        <v>1367</v>
      </c>
      <c r="AC409" s="544" t="str">
        <f>""</f>
        <v/>
      </c>
      <c r="AD409" s="183">
        <v>0</v>
      </c>
      <c r="AE409" s="183" t="s">
        <v>264</v>
      </c>
      <c r="AF409" s="183" t="s">
        <v>265</v>
      </c>
      <c r="AG409" s="183">
        <v>0</v>
      </c>
      <c r="AH409" s="183">
        <v>0</v>
      </c>
      <c r="AI409" s="183">
        <v>0</v>
      </c>
      <c r="AJ409" s="181">
        <f>VLOOKUP($I409,'Price List, Weapons &amp; Items'!B:F,5,0)</f>
        <v>0</v>
      </c>
      <c r="AK409" s="181">
        <f t="shared" si="82"/>
        <v>0</v>
      </c>
      <c r="AL409" s="181">
        <f t="shared" si="83"/>
        <v>0</v>
      </c>
      <c r="AM409" s="181">
        <f t="shared" si="84"/>
        <v>0</v>
      </c>
      <c r="AN409" s="180" t="str">
        <f>VLOOKUP($I409,'Price List, Weapons &amp; Items'!B:L,COLUMN('Price List, Weapons &amp; Items'!$J$11)-1,0)</f>
        <v>Media reports (incl. social media)</v>
      </c>
      <c r="AO409" s="180" t="str">
        <f>IF(I409=".",".",VLOOKUP($I409,'Price List, Weapons &amp; Items'!B:J,3,0))</f>
        <v>non combat military vehicle</v>
      </c>
      <c r="AP409" s="545" t="str">
        <f t="shared" ca="1" si="79"/>
        <v/>
      </c>
      <c r="AQ409" s="180">
        <f>VLOOKUP($I409,'Price List, Weapons &amp; Items'!B:L,COLUMN('Price List, Weapons &amp; Items'!$L$11)-1,0)</f>
        <v>2</v>
      </c>
      <c r="AR409" s="180">
        <f t="shared" si="85"/>
        <v>1</v>
      </c>
      <c r="AS409" s="180">
        <f t="shared" si="86"/>
        <v>1</v>
      </c>
      <c r="AT409" s="180" t="str">
        <f t="shared" si="87"/>
        <v>Value is not in date format</v>
      </c>
      <c r="AU409" s="180" t="str">
        <f t="shared" si="88"/>
        <v>.</v>
      </c>
      <c r="AV409" s="180" t="str">
        <f t="shared" si="89"/>
        <v>.</v>
      </c>
      <c r="AW409" s="180">
        <f>IFERROR(VLOOKUP(B409,'Share, Heavy Weapons to Ukraine'!B:J,COLUMN('Share, Heavy Weapons to Ukraine'!C418)-1,0),0)</f>
        <v>0</v>
      </c>
      <c r="AX409" s="180">
        <f>VLOOKUP('Bilateral Assistance, MAIN DATA'!B409,'Country Summary'!B:F,COLUMN('Country Summary'!C421)-1,FALSE)</f>
        <v>1</v>
      </c>
      <c r="AY409" s="180" t="str">
        <f>IF(AND(AD409=1,D409="Military",H409&lt;&gt;"Not given")=TRUE,IF(SUMIFS(P:P,A:A,A409)&gt;0,ABS((SUMIFS(P:P,A:A,A409)/VLOOKUP("USD",'Exchange Rates'!B:C,2,0)))/S409,"."),".")</f>
        <v>.</v>
      </c>
      <c r="AZ409" s="182" t="str">
        <f>IF(AND(AD409=1,D409="Military",H409&lt;&gt;"Not given")=TRUE,IF(SUMIFS(P:P,A:A,A409)&gt;0,IF((ABS((SUMIFS(P:P,A:A,A409)/VLOOKUP("USD",'Exchange Rates'!B:C,2,0)))/S409)&gt;1,(SUMIFS(P:P,A:A,A409)-S409)/S409,(S409-SUMIFS(P:P,A:A,A409))/SUMIFS(P:P,A:A,A409)),"."),".")</f>
        <v>.</v>
      </c>
      <c r="BA409" s="182"/>
      <c r="BB409" s="182"/>
      <c r="BC409" s="182"/>
      <c r="BD409" s="182"/>
      <c r="BE409" s="182"/>
      <c r="BF409" s="182"/>
      <c r="BG409" s="182"/>
      <c r="BH409" s="182"/>
      <c r="BI409" s="182"/>
      <c r="BJ409" s="182"/>
      <c r="BK409" s="182"/>
      <c r="BL409" s="182"/>
      <c r="BM409" s="182"/>
      <c r="BN409" s="182"/>
      <c r="BO409" s="182"/>
      <c r="BP409" s="182"/>
      <c r="BQ409" s="182"/>
      <c r="BR409" s="182"/>
      <c r="BS409" s="182"/>
    </row>
    <row r="410" spans="1:71" ht="15.9" customHeight="1" x14ac:dyDescent="0.3">
      <c r="A410" s="5" t="s">
        <v>1326</v>
      </c>
      <c r="B410" s="5" t="s">
        <v>1288</v>
      </c>
      <c r="C410" s="174" t="s">
        <v>1327</v>
      </c>
      <c r="D410" s="5" t="s">
        <v>285</v>
      </c>
      <c r="E410" s="5" t="s">
        <v>1328</v>
      </c>
      <c r="F410" s="1139" t="s">
        <v>1329</v>
      </c>
      <c r="G410" s="15" t="s">
        <v>364</v>
      </c>
      <c r="H410" s="176">
        <v>1360000000</v>
      </c>
      <c r="I410" s="185" t="s">
        <v>1368</v>
      </c>
      <c r="J410" s="113" t="str">
        <f>VLOOKUP($I410,'Price List, Weapons &amp; Items'!B:C,2,0)</f>
        <v>Military equipment</v>
      </c>
      <c r="K410" s="113" t="str">
        <f>IF(I410=".",I410,VLOOKUP($I410,'Price List, Weapons &amp; Items'!B:D,3,0))</f>
        <v>Military equipment</v>
      </c>
      <c r="L410" s="177">
        <f>VLOOKUP(I410,'Price List, Weapons &amp; Items'!B:E,4,0)</f>
        <v>0</v>
      </c>
      <c r="M410" s="542">
        <v>1</v>
      </c>
      <c r="N410" s="542">
        <v>1</v>
      </c>
      <c r="O410" s="543" t="str">
        <f>VLOOKUP($I410,'Price List, Weapons &amp; Items'!B:G,6,0)</f>
        <v>.</v>
      </c>
      <c r="P410" s="176" t="str">
        <f t="shared" si="80"/>
        <v>No price</v>
      </c>
      <c r="Q410" s="176" t="str">
        <f t="shared" si="81"/>
        <v>No price</v>
      </c>
      <c r="R410" s="176" t="str">
        <f t="shared" si="78"/>
        <v/>
      </c>
      <c r="S410" s="176" t="str">
        <f>IF(AND(AD410=1,R410&lt;&gt;".")=TRUE,R410/VLOOKUP(G410,'Exchange Rates'!B:C,2,0),IF(R410=".",".",""))</f>
        <v/>
      </c>
      <c r="T410" s="176" t="str">
        <f>IF(AD410=1,IF(AF410="Value is not given at all",".",IF(AF410="Value is given by the source",S410,IF(AF410="Value is calculated with prices",(IF(SUMIFS(Q:Q,A:A,A410)&gt;0,SUMIFS(Q:Q,A:A,A410),"."))/VLOOKUP("USD",'Exchange Rates'!B:C,2,0),"Error with coding"))),"")</f>
        <v/>
      </c>
      <c r="U410" s="15" t="s">
        <v>261</v>
      </c>
      <c r="V410" s="567" t="s">
        <v>1293</v>
      </c>
      <c r="W410" s="567" t="s">
        <v>1365</v>
      </c>
      <c r="X410" s="685" t="s">
        <v>260</v>
      </c>
      <c r="Y410" s="685" t="s">
        <v>260</v>
      </c>
      <c r="Z410" s="15">
        <v>0</v>
      </c>
      <c r="AA410" s="180">
        <v>1</v>
      </c>
      <c r="AB410" s="570" t="s">
        <v>1369</v>
      </c>
      <c r="AC410" s="544" t="str">
        <f>""</f>
        <v/>
      </c>
      <c r="AD410" s="183">
        <v>0</v>
      </c>
      <c r="AE410" s="183" t="s">
        <v>264</v>
      </c>
      <c r="AF410" s="183" t="s">
        <v>265</v>
      </c>
      <c r="AG410" s="183">
        <v>0</v>
      </c>
      <c r="AH410" s="183">
        <v>0</v>
      </c>
      <c r="AI410" s="183">
        <v>0</v>
      </c>
      <c r="AJ410" s="181">
        <f>VLOOKUP($I410,'Price List, Weapons &amp; Items'!B:F,5,0)</f>
        <v>0</v>
      </c>
      <c r="AK410" s="181">
        <f t="shared" si="82"/>
        <v>0</v>
      </c>
      <c r="AL410" s="181">
        <f t="shared" si="83"/>
        <v>0</v>
      </c>
      <c r="AM410" s="181">
        <f t="shared" si="84"/>
        <v>0</v>
      </c>
      <c r="AN410" s="180" t="str">
        <f>VLOOKUP($I410,'Price List, Weapons &amp; Items'!B:L,COLUMN('Price List, Weapons &amp; Items'!$J$11)-1,0)</f>
        <v>.</v>
      </c>
      <c r="AO410" s="180" t="str">
        <f>IF(I410=".",".",VLOOKUP($I410,'Price List, Weapons &amp; Items'!B:J,3,0))</f>
        <v>Military equipment</v>
      </c>
      <c r="AP410" s="545" t="str">
        <f t="shared" ca="1" si="79"/>
        <v/>
      </c>
      <c r="AQ410" s="180">
        <f>VLOOKUP($I410,'Price List, Weapons &amp; Items'!B:L,COLUMN('Price List, Weapons &amp; Items'!$L$11)-1,0)</f>
        <v>0</v>
      </c>
      <c r="AR410" s="180">
        <f t="shared" si="85"/>
        <v>1</v>
      </c>
      <c r="AS410" s="180">
        <f t="shared" si="86"/>
        <v>1</v>
      </c>
      <c r="AT410" s="180" t="str">
        <f t="shared" si="87"/>
        <v>Value is not in date format</v>
      </c>
      <c r="AU410" s="180" t="str">
        <f t="shared" si="88"/>
        <v>.</v>
      </c>
      <c r="AV410" s="180" t="str">
        <f t="shared" si="89"/>
        <v>.</v>
      </c>
      <c r="AW410" s="180">
        <f>IFERROR(VLOOKUP(B410,'Share, Heavy Weapons to Ukraine'!B:J,COLUMN('Share, Heavy Weapons to Ukraine'!C419)-1,0),0)</f>
        <v>0</v>
      </c>
      <c r="AX410" s="180">
        <f>VLOOKUP('Bilateral Assistance, MAIN DATA'!B410,'Country Summary'!B:F,COLUMN('Country Summary'!C422)-1,FALSE)</f>
        <v>1</v>
      </c>
      <c r="AY410" s="180" t="str">
        <f>IF(AND(AD410=1,D410="Military",H410&lt;&gt;"Not given")=TRUE,IF(SUMIFS(P:P,A:A,A410)&gt;0,ABS((SUMIFS(P:P,A:A,A410)/VLOOKUP("USD",'Exchange Rates'!B:C,2,0)))/S410,"."),".")</f>
        <v>.</v>
      </c>
      <c r="AZ410" s="182" t="str">
        <f>IF(AND(AD410=1,D410="Military",H410&lt;&gt;"Not given")=TRUE,IF(SUMIFS(P:P,A:A,A410)&gt;0,IF((ABS((SUMIFS(P:P,A:A,A410)/VLOOKUP("USD",'Exchange Rates'!B:C,2,0)))/S410)&gt;1,(SUMIFS(P:P,A:A,A410)-S410)/S410,(S410-SUMIFS(P:P,A:A,A410))/SUMIFS(P:P,A:A,A410)),"."),".")</f>
        <v>.</v>
      </c>
      <c r="BA410" s="182"/>
      <c r="BB410" s="182"/>
      <c r="BC410" s="182"/>
      <c r="BD410" s="182"/>
      <c r="BE410" s="182"/>
      <c r="BF410" s="182"/>
      <c r="BG410" s="182"/>
      <c r="BH410" s="182"/>
      <c r="BI410" s="182"/>
      <c r="BJ410" s="182"/>
      <c r="BK410" s="182"/>
      <c r="BL410" s="182"/>
      <c r="BM410" s="182"/>
      <c r="BN410" s="182"/>
      <c r="BO410" s="182"/>
      <c r="BP410" s="182"/>
      <c r="BQ410" s="182"/>
      <c r="BR410" s="182"/>
      <c r="BS410" s="182"/>
    </row>
    <row r="411" spans="1:71" ht="15.9" customHeight="1" x14ac:dyDescent="0.3">
      <c r="A411" s="5" t="s">
        <v>1326</v>
      </c>
      <c r="B411" s="5" t="s">
        <v>1288</v>
      </c>
      <c r="C411" s="174" t="s">
        <v>1327</v>
      </c>
      <c r="D411" s="5" t="s">
        <v>285</v>
      </c>
      <c r="E411" s="5" t="s">
        <v>1328</v>
      </c>
      <c r="F411" s="1139" t="s">
        <v>1329</v>
      </c>
      <c r="G411" s="15" t="s">
        <v>364</v>
      </c>
      <c r="H411" s="176">
        <v>1360000000</v>
      </c>
      <c r="I411" s="185" t="s">
        <v>1370</v>
      </c>
      <c r="J411" s="113" t="str">
        <f>VLOOKUP($I411,'Price List, Weapons &amp; Items'!B:C,2,0)</f>
        <v>Heavy weapon</v>
      </c>
      <c r="K411" s="113" t="str">
        <f>IF(I411=".",I411,VLOOKUP($I411,'Price List, Weapons &amp; Items'!B:D,3,0))</f>
        <v>Armoured Utility Vehicle (AUV)</v>
      </c>
      <c r="L411" s="177">
        <f>VLOOKUP(I411,'Price List, Weapons &amp; Items'!B:E,4,0)</f>
        <v>0</v>
      </c>
      <c r="M411" s="542">
        <v>10</v>
      </c>
      <c r="N411" s="542">
        <v>10</v>
      </c>
      <c r="O411" s="543">
        <f>VLOOKUP($I411,'Price List, Weapons &amp; Items'!B:G,6,0)</f>
        <v>254717</v>
      </c>
      <c r="P411" s="176">
        <f t="shared" si="80"/>
        <v>2547170</v>
      </c>
      <c r="Q411" s="176">
        <f t="shared" si="81"/>
        <v>2547170</v>
      </c>
      <c r="R411" s="176" t="str">
        <f t="shared" si="78"/>
        <v/>
      </c>
      <c r="S411" s="176" t="str">
        <f>IF(AND(AD411=1,R411&lt;&gt;".")=TRUE,R411/VLOOKUP(G411,'Exchange Rates'!B:C,2,0),IF(R411=".",".",""))</f>
        <v/>
      </c>
      <c r="T411" s="176" t="str">
        <f>IF(AD411=1,IF(AF411="Value is not given at all",".",IF(AF411="Value is given by the source",S411,IF(AF411="Value is calculated with prices",(IF(SUMIFS(Q:Q,A:A,A411)&gt;0,SUMIFS(Q:Q,A:A,A411),"."))/VLOOKUP("USD",'Exchange Rates'!B:C,2,0),"Error with coding"))),"")</f>
        <v/>
      </c>
      <c r="U411" s="15" t="s">
        <v>261</v>
      </c>
      <c r="V411" s="567" t="s">
        <v>1293</v>
      </c>
      <c r="W411" s="567" t="s">
        <v>1367</v>
      </c>
      <c r="X411" s="685" t="s">
        <v>260</v>
      </c>
      <c r="Y411" s="685" t="s">
        <v>260</v>
      </c>
      <c r="Z411" s="15">
        <v>0</v>
      </c>
      <c r="AA411" s="180">
        <v>1</v>
      </c>
      <c r="AB411" s="570" t="s">
        <v>1371</v>
      </c>
      <c r="AC411" s="544" t="str">
        <f>""</f>
        <v/>
      </c>
      <c r="AD411" s="183">
        <v>0</v>
      </c>
      <c r="AE411" s="183" t="s">
        <v>264</v>
      </c>
      <c r="AF411" s="183" t="s">
        <v>265</v>
      </c>
      <c r="AG411" s="183">
        <v>1</v>
      </c>
      <c r="AH411" s="183">
        <v>7</v>
      </c>
      <c r="AI411" s="183">
        <v>0</v>
      </c>
      <c r="AJ411" s="181">
        <f>VLOOKUP($I411,'Price List, Weapons &amp; Items'!B:F,5,0)</f>
        <v>1</v>
      </c>
      <c r="AK411" s="181">
        <f t="shared" si="82"/>
        <v>0</v>
      </c>
      <c r="AL411" s="181">
        <f t="shared" si="83"/>
        <v>0</v>
      </c>
      <c r="AM411" s="181">
        <f t="shared" si="84"/>
        <v>0</v>
      </c>
      <c r="AN411" s="180" t="str">
        <f>VLOOKUP($I411,'Price List, Weapons &amp; Items'!B:L,COLUMN('Price List, Weapons &amp; Items'!$J$11)-1,0)</f>
        <v>Military media (incl. websites)</v>
      </c>
      <c r="AO411" s="180" t="str">
        <f>IF(I411=".",".",VLOOKUP($I411,'Price List, Weapons &amp; Items'!B:J,3,0))</f>
        <v>Armoured Utility Vehicle (AUV)</v>
      </c>
      <c r="AP411" s="545" t="str">
        <f t="shared" ca="1" si="79"/>
        <v/>
      </c>
      <c r="AQ411" s="180">
        <f>VLOOKUP($I411,'Price List, Weapons &amp; Items'!B:L,COLUMN('Price List, Weapons &amp; Items'!$L$11)-1,0)</f>
        <v>2</v>
      </c>
      <c r="AR411" s="180">
        <f t="shared" si="85"/>
        <v>1</v>
      </c>
      <c r="AS411" s="180">
        <f t="shared" si="86"/>
        <v>1</v>
      </c>
      <c r="AT411" s="180" t="str">
        <f t="shared" si="87"/>
        <v>Value is not in date format</v>
      </c>
      <c r="AU411" s="180" t="str">
        <f t="shared" si="88"/>
        <v>.</v>
      </c>
      <c r="AV411" s="180" t="str">
        <f t="shared" si="89"/>
        <v>.</v>
      </c>
      <c r="AW411" s="180">
        <f>IFERROR(VLOOKUP(B411,'Share, Heavy Weapons to Ukraine'!B:J,COLUMN('Share, Heavy Weapons to Ukraine'!C420)-1,0),0)</f>
        <v>0</v>
      </c>
      <c r="AX411" s="180">
        <f>VLOOKUP('Bilateral Assistance, MAIN DATA'!B411,'Country Summary'!B:F,COLUMN('Country Summary'!C423)-1,FALSE)</f>
        <v>1</v>
      </c>
      <c r="AY411" s="180" t="str">
        <f>IF(AND(AD411=1,D411="Military",H411&lt;&gt;"Not given")=TRUE,IF(SUMIFS(P:P,A:A,A411)&gt;0,ABS((SUMIFS(P:P,A:A,A411)/VLOOKUP("USD",'Exchange Rates'!B:C,2,0)))/S411,"."),".")</f>
        <v>.</v>
      </c>
      <c r="AZ411" s="182" t="str">
        <f>IF(AND(AD411=1,D411="Military",H411&lt;&gt;"Not given")=TRUE,IF(SUMIFS(P:P,A:A,A411)&gt;0,IF((ABS((SUMIFS(P:P,A:A,A411)/VLOOKUP("USD",'Exchange Rates'!B:C,2,0)))/S411)&gt;1,(SUMIFS(P:P,A:A,A411)-S411)/S411,(S411-SUMIFS(P:P,A:A,A411))/SUMIFS(P:P,A:A,A411)),"."),".")</f>
        <v>.</v>
      </c>
      <c r="BA411" s="182"/>
      <c r="BB411" s="182"/>
      <c r="BC411" s="182"/>
      <c r="BD411" s="182"/>
      <c r="BE411" s="182"/>
      <c r="BF411" s="182"/>
      <c r="BG411" s="182"/>
      <c r="BH411" s="182"/>
      <c r="BI411" s="182"/>
      <c r="BJ411" s="182"/>
      <c r="BK411" s="182"/>
      <c r="BL411" s="182"/>
      <c r="BM411" s="182"/>
      <c r="BN411" s="182"/>
      <c r="BO411" s="182"/>
      <c r="BP411" s="182"/>
      <c r="BQ411" s="182"/>
      <c r="BR411" s="182"/>
      <c r="BS411" s="182"/>
    </row>
    <row r="412" spans="1:71" ht="15.9" customHeight="1" x14ac:dyDescent="0.3">
      <c r="A412" s="5" t="s">
        <v>1326</v>
      </c>
      <c r="B412" s="5" t="s">
        <v>1288</v>
      </c>
      <c r="C412" s="174" t="s">
        <v>1327</v>
      </c>
      <c r="D412" s="5" t="s">
        <v>285</v>
      </c>
      <c r="E412" s="5" t="s">
        <v>1328</v>
      </c>
      <c r="F412" s="1139" t="s">
        <v>1329</v>
      </c>
      <c r="G412" s="15" t="s">
        <v>364</v>
      </c>
      <c r="H412" s="176">
        <v>1360000000</v>
      </c>
      <c r="I412" s="185" t="s">
        <v>1372</v>
      </c>
      <c r="J412" s="113" t="str">
        <f>VLOOKUP($I412,'Price List, Weapons &amp; Items'!B:C,2,0)</f>
        <v>Heavy weapon</v>
      </c>
      <c r="K412" s="113" t="str">
        <f>IF(I412=".",I412,VLOOKUP($I412,'Price List, Weapons &amp; Items'!B:D,3,0))</f>
        <v>Anti-aircraft surface-to-air missile (SAM) system (medium-range)</v>
      </c>
      <c r="L412" s="177">
        <f>VLOOKUP(I412,'Price List, Weapons &amp; Items'!B:E,4,0)</f>
        <v>0</v>
      </c>
      <c r="M412" s="542">
        <v>4</v>
      </c>
      <c r="N412" s="542">
        <v>1</v>
      </c>
      <c r="O412" s="543">
        <f>VLOOKUP($I412,'Price List, Weapons &amp; Items'!B:G,6,0)</f>
        <v>147000000</v>
      </c>
      <c r="P412" s="176">
        <f t="shared" si="80"/>
        <v>588000000</v>
      </c>
      <c r="Q412" s="176">
        <f t="shared" si="81"/>
        <v>147000000</v>
      </c>
      <c r="R412" s="176" t="str">
        <f t="shared" si="78"/>
        <v/>
      </c>
      <c r="S412" s="176" t="str">
        <f>IF(AND(AD412=1,R412&lt;&gt;".")=TRUE,R412/VLOOKUP(G412,'Exchange Rates'!B:C,2,0),IF(R412=".",".",""))</f>
        <v/>
      </c>
      <c r="T412" s="176" t="str">
        <f>IF(AD412=1,IF(AF412="Value is not given at all",".",IF(AF412="Value is given by the source",S412,IF(AF412="Value is calculated with prices",(IF(SUMIFS(Q:Q,A:A,A412)&gt;0,SUMIFS(Q:Q,A:A,A412),"."))/VLOOKUP("USD",'Exchange Rates'!B:C,2,0),"Error with coding"))),"")</f>
        <v/>
      </c>
      <c r="U412" s="15" t="s">
        <v>261</v>
      </c>
      <c r="V412" s="567" t="s">
        <v>1293</v>
      </c>
      <c r="W412" s="567" t="s">
        <v>1371</v>
      </c>
      <c r="X412" s="685" t="s">
        <v>260</v>
      </c>
      <c r="Y412" s="685" t="s">
        <v>260</v>
      </c>
      <c r="Z412" s="15">
        <v>0</v>
      </c>
      <c r="AA412" s="180">
        <v>1</v>
      </c>
      <c r="AB412" s="570" t="s">
        <v>1373</v>
      </c>
      <c r="AC412" s="544" t="str">
        <f>""</f>
        <v/>
      </c>
      <c r="AD412" s="183">
        <v>0</v>
      </c>
      <c r="AE412" s="183" t="s">
        <v>264</v>
      </c>
      <c r="AF412" s="183" t="s">
        <v>265</v>
      </c>
      <c r="AG412" s="183">
        <v>1</v>
      </c>
      <c r="AH412" s="183">
        <v>9</v>
      </c>
      <c r="AI412" s="183">
        <v>0</v>
      </c>
      <c r="AJ412" s="181">
        <f>VLOOKUP($I412,'Price List, Weapons &amp; Items'!B:F,5,0)</f>
        <v>0</v>
      </c>
      <c r="AK412" s="181">
        <f t="shared" si="82"/>
        <v>0</v>
      </c>
      <c r="AL412" s="181">
        <f t="shared" si="83"/>
        <v>0</v>
      </c>
      <c r="AM412" s="181">
        <f t="shared" si="84"/>
        <v>0</v>
      </c>
      <c r="AN412" s="180" t="str">
        <f>VLOOKUP($I412,'Price List, Weapons &amp; Items'!B:L,COLUMN('Price List, Weapons &amp; Items'!$J$11)-1,0)</f>
        <v>Media reports (incl. social media)</v>
      </c>
      <c r="AO412" s="180" t="str">
        <f>IF(I412=".",".",VLOOKUP($I412,'Price List, Weapons &amp; Items'!B:J,3,0))</f>
        <v>Anti-aircraft surface-to-air missile (SAM) system (medium-range)</v>
      </c>
      <c r="AP412" s="545" t="str">
        <f t="shared" ca="1" si="79"/>
        <v/>
      </c>
      <c r="AQ412" s="180">
        <f>VLOOKUP($I412,'Price List, Weapons &amp; Items'!B:L,COLUMN('Price List, Weapons &amp; Items'!$L$11)-1,0)</f>
        <v>2</v>
      </c>
      <c r="AR412" s="180">
        <f t="shared" si="85"/>
        <v>1</v>
      </c>
      <c r="AS412" s="180">
        <f t="shared" si="86"/>
        <v>1</v>
      </c>
      <c r="AT412" s="180" t="str">
        <f t="shared" si="87"/>
        <v>Value is not in date format</v>
      </c>
      <c r="AU412" s="180" t="str">
        <f t="shared" si="88"/>
        <v>.</v>
      </c>
      <c r="AV412" s="180" t="str">
        <f t="shared" si="89"/>
        <v>.</v>
      </c>
      <c r="AW412" s="180">
        <f>IFERROR(VLOOKUP(B412,'Share, Heavy Weapons to Ukraine'!B:J,COLUMN('Share, Heavy Weapons to Ukraine'!C421)-1,0),0)</f>
        <v>0</v>
      </c>
      <c r="AX412" s="180">
        <f>VLOOKUP('Bilateral Assistance, MAIN DATA'!B412,'Country Summary'!B:F,COLUMN('Country Summary'!C424)-1,FALSE)</f>
        <v>1</v>
      </c>
      <c r="AY412" s="180" t="str">
        <f>IF(AND(AD412=1,D412="Military",H412&lt;&gt;"Not given")=TRUE,IF(SUMIFS(P:P,A:A,A412)&gt;0,ABS((SUMIFS(P:P,A:A,A412)/VLOOKUP("USD",'Exchange Rates'!B:C,2,0)))/S412,"."),".")</f>
        <v>.</v>
      </c>
      <c r="AZ412" s="182" t="str">
        <f>IF(AND(AD412=1,D412="Military",H412&lt;&gt;"Not given")=TRUE,IF(SUMIFS(P:P,A:A,A412)&gt;0,IF((ABS((SUMIFS(P:P,A:A,A412)/VLOOKUP("USD",'Exchange Rates'!B:C,2,0)))/S412)&gt;1,(SUMIFS(P:P,A:A,A412)-S412)/S412,(S412-SUMIFS(P:P,A:A,A412))/SUMIFS(P:P,A:A,A412)),"."),".")</f>
        <v>.</v>
      </c>
      <c r="BA412" s="182"/>
      <c r="BB412" s="182"/>
      <c r="BC412" s="182"/>
      <c r="BD412" s="182"/>
      <c r="BE412" s="182"/>
      <c r="BF412" s="182"/>
      <c r="BG412" s="182"/>
      <c r="BH412" s="182"/>
      <c r="BI412" s="182"/>
      <c r="BJ412" s="182"/>
      <c r="BK412" s="182"/>
      <c r="BL412" s="182"/>
      <c r="BM412" s="182"/>
      <c r="BN412" s="182"/>
      <c r="BO412" s="182"/>
      <c r="BP412" s="182"/>
      <c r="BQ412" s="182"/>
      <c r="BR412" s="182"/>
      <c r="BS412" s="182"/>
    </row>
    <row r="413" spans="1:71" ht="15.9" customHeight="1" x14ac:dyDescent="0.3">
      <c r="A413" s="5" t="s">
        <v>1326</v>
      </c>
      <c r="B413" s="5" t="s">
        <v>1288</v>
      </c>
      <c r="C413" s="174" t="s">
        <v>1327</v>
      </c>
      <c r="D413" s="5" t="s">
        <v>285</v>
      </c>
      <c r="E413" s="5" t="s">
        <v>1328</v>
      </c>
      <c r="F413" s="1139" t="s">
        <v>1329</v>
      </c>
      <c r="G413" s="15" t="s">
        <v>364</v>
      </c>
      <c r="H413" s="176">
        <v>1360000000</v>
      </c>
      <c r="I413" s="185" t="s">
        <v>1374</v>
      </c>
      <c r="J413" s="113" t="str">
        <f>VLOOKUP($I413,'Price List, Weapons &amp; Items'!B:C,2,0)</f>
        <v>Ammunition for heavy weapon</v>
      </c>
      <c r="K413" s="113" t="str">
        <f>IF(I413=".",I413,VLOOKUP($I413,'Price List, Weapons &amp; Items'!B:D,3,0))</f>
        <v>Anti-aircraft system ammunition</v>
      </c>
      <c r="L413" s="177">
        <f>VLOOKUP(I413,'Price List, Weapons &amp; Items'!B:E,4,0)</f>
        <v>0</v>
      </c>
      <c r="M413" s="542" t="s">
        <v>270</v>
      </c>
      <c r="N413" s="542" t="s">
        <v>270</v>
      </c>
      <c r="O413" s="543">
        <f>VLOOKUP($I413,'Price List, Weapons &amp; Items'!B:G,6,0)</f>
        <v>616680.63641107001</v>
      </c>
      <c r="P413" s="176" t="str">
        <f t="shared" si="80"/>
        <v>.</v>
      </c>
      <c r="Q413" s="176" t="str">
        <f t="shared" si="81"/>
        <v>.</v>
      </c>
      <c r="R413" s="176" t="str">
        <f t="shared" si="78"/>
        <v/>
      </c>
      <c r="S413" s="176" t="str">
        <f>IF(AND(AD413=1,R413&lt;&gt;".")=TRUE,R413/VLOOKUP(G413,'Exchange Rates'!B:C,2,0),IF(R413=".",".",""))</f>
        <v/>
      </c>
      <c r="T413" s="176" t="str">
        <f>IF(AD413=1,IF(AF413="Value is not given at all",".",IF(AF413="Value is given by the source",S413,IF(AF413="Value is calculated with prices",(IF(SUMIFS(Q:Q,A:A,A413)&gt;0,SUMIFS(Q:Q,A:A,A413),"."))/VLOOKUP("USD",'Exchange Rates'!B:C,2,0),"Error with coding"))),"")</f>
        <v/>
      </c>
      <c r="U413" s="15" t="s">
        <v>261</v>
      </c>
      <c r="V413" s="567" t="s">
        <v>1293</v>
      </c>
      <c r="W413" s="567" t="s">
        <v>1373</v>
      </c>
      <c r="X413" s="685" t="s">
        <v>260</v>
      </c>
      <c r="Y413" s="685" t="s">
        <v>260</v>
      </c>
      <c r="Z413" s="15">
        <v>0</v>
      </c>
      <c r="AA413" s="180">
        <v>1</v>
      </c>
      <c r="AB413" s="570" t="s">
        <v>1375</v>
      </c>
      <c r="AC413" s="544" t="str">
        <f>""</f>
        <v/>
      </c>
      <c r="AD413" s="183">
        <v>0</v>
      </c>
      <c r="AE413" s="183" t="s">
        <v>264</v>
      </c>
      <c r="AF413" s="183" t="s">
        <v>265</v>
      </c>
      <c r="AG413" s="183">
        <v>0</v>
      </c>
      <c r="AH413" s="183">
        <v>0</v>
      </c>
      <c r="AI413" s="183">
        <v>0</v>
      </c>
      <c r="AJ413" s="181">
        <f>VLOOKUP($I413,'Price List, Weapons &amp; Items'!B:F,5,0)</f>
        <v>0</v>
      </c>
      <c r="AK413" s="181">
        <f t="shared" si="82"/>
        <v>0</v>
      </c>
      <c r="AL413" s="181">
        <f t="shared" si="83"/>
        <v>0</v>
      </c>
      <c r="AM413" s="181">
        <f t="shared" si="84"/>
        <v>0</v>
      </c>
      <c r="AN413" s="180" t="str">
        <f>VLOOKUP($I413,'Price List, Weapons &amp; Items'!B:L,COLUMN('Price List, Weapons &amp; Items'!$J$11)-1,0)</f>
        <v>Contracts</v>
      </c>
      <c r="AO413" s="180" t="str">
        <f>IF(I413=".",".",VLOOKUP($I413,'Price List, Weapons &amp; Items'!B:J,3,0))</f>
        <v>Anti-aircraft system ammunition</v>
      </c>
      <c r="AP413" s="545" t="str">
        <f t="shared" ca="1" si="79"/>
        <v/>
      </c>
      <c r="AQ413" s="180" t="str">
        <f>VLOOKUP($I413,'Price List, Weapons &amp; Items'!B:L,COLUMN('Price List, Weapons &amp; Items'!$L$11)-1,0)</f>
        <v>no price, 0 count</v>
      </c>
      <c r="AR413" s="180">
        <f t="shared" si="85"/>
        <v>1</v>
      </c>
      <c r="AS413" s="180">
        <f t="shared" si="86"/>
        <v>1</v>
      </c>
      <c r="AT413" s="180" t="str">
        <f t="shared" si="87"/>
        <v>Value is not in date format</v>
      </c>
      <c r="AU413" s="180" t="str">
        <f t="shared" si="88"/>
        <v>.</v>
      </c>
      <c r="AV413" s="180" t="str">
        <f t="shared" si="89"/>
        <v>.</v>
      </c>
      <c r="AW413" s="180">
        <f>IFERROR(VLOOKUP(B413,'Share, Heavy Weapons to Ukraine'!B:J,COLUMN('Share, Heavy Weapons to Ukraine'!C422)-1,0),0)</f>
        <v>0</v>
      </c>
      <c r="AX413" s="180">
        <f>VLOOKUP('Bilateral Assistance, MAIN DATA'!B413,'Country Summary'!B:F,COLUMN('Country Summary'!C425)-1,FALSE)</f>
        <v>1</v>
      </c>
      <c r="AY413" s="180" t="str">
        <f>IF(AND(AD413=1,D413="Military",H413&lt;&gt;"Not given")=TRUE,IF(SUMIFS(P:P,A:A,A413)&gt;0,ABS((SUMIFS(P:P,A:A,A413)/VLOOKUP("USD",'Exchange Rates'!B:C,2,0)))/S413,"."),".")</f>
        <v>.</v>
      </c>
      <c r="AZ413" s="182" t="str">
        <f>IF(AND(AD413=1,D413="Military",H413&lt;&gt;"Not given")=TRUE,IF(SUMIFS(P:P,A:A,A413)&gt;0,IF((ABS((SUMIFS(P:P,A:A,A413)/VLOOKUP("USD",'Exchange Rates'!B:C,2,0)))/S413)&gt;1,(SUMIFS(P:P,A:A,A413)-S413)/S413,(S413-SUMIFS(P:P,A:A,A413))/SUMIFS(P:P,A:A,A413)),"."),".")</f>
        <v>.</v>
      </c>
      <c r="BA413" s="182"/>
      <c r="BB413" s="182"/>
      <c r="BC413" s="182"/>
      <c r="BD413" s="182"/>
      <c r="BE413" s="182"/>
      <c r="BF413" s="182"/>
      <c r="BG413" s="182"/>
      <c r="BH413" s="182"/>
      <c r="BI413" s="182"/>
      <c r="BJ413" s="182"/>
      <c r="BK413" s="182"/>
      <c r="BL413" s="182"/>
      <c r="BM413" s="182"/>
      <c r="BN413" s="182"/>
      <c r="BO413" s="182"/>
      <c r="BP413" s="182"/>
      <c r="BQ413" s="182"/>
      <c r="BR413" s="182"/>
      <c r="BS413" s="182"/>
    </row>
    <row r="414" spans="1:71" ht="15.9" customHeight="1" x14ac:dyDescent="0.3">
      <c r="A414" s="5" t="s">
        <v>1326</v>
      </c>
      <c r="B414" s="5" t="s">
        <v>1288</v>
      </c>
      <c r="C414" s="174" t="s">
        <v>1327</v>
      </c>
      <c r="D414" s="5" t="s">
        <v>285</v>
      </c>
      <c r="E414" s="5" t="s">
        <v>1328</v>
      </c>
      <c r="F414" s="1139" t="s">
        <v>1329</v>
      </c>
      <c r="G414" s="15" t="s">
        <v>364</v>
      </c>
      <c r="H414" s="176">
        <v>1360000000</v>
      </c>
      <c r="I414" s="185" t="s">
        <v>958</v>
      </c>
      <c r="J414" s="113" t="str">
        <f>VLOOKUP($I414,'Price List, Weapons &amp; Items'!B:C,2,0)</f>
        <v>Military equipment</v>
      </c>
      <c r="K414" s="113" t="str">
        <f>IF(I414=".",I414,VLOOKUP($I414,'Price List, Weapons &amp; Items'!B:D,3,0))</f>
        <v>Military equipment</v>
      </c>
      <c r="L414" s="177">
        <f>VLOOKUP(I414,'Price List, Weapons &amp; Items'!B:E,4,0)</f>
        <v>0</v>
      </c>
      <c r="M414" s="542">
        <v>38</v>
      </c>
      <c r="N414" s="542">
        <v>38</v>
      </c>
      <c r="O414" s="543">
        <f>VLOOKUP($I414,'Price List, Weapons &amp; Items'!B:G,6,0)</f>
        <v>51404</v>
      </c>
      <c r="P414" s="176">
        <f t="shared" si="80"/>
        <v>1953352</v>
      </c>
      <c r="Q414" s="176">
        <f t="shared" si="81"/>
        <v>1953352</v>
      </c>
      <c r="R414" s="176" t="str">
        <f t="shared" si="78"/>
        <v/>
      </c>
      <c r="S414" s="176" t="str">
        <f>IF(AND(AD414=1,R414&lt;&gt;".")=TRUE,R414/VLOOKUP(G414,'Exchange Rates'!B:C,2,0),IF(R414=".",".",""))</f>
        <v/>
      </c>
      <c r="T414" s="176" t="str">
        <f>IF(AD414=1,IF(AF414="Value is not given at all",".",IF(AF414="Value is given by the source",S414,IF(AF414="Value is calculated with prices",(IF(SUMIFS(Q:Q,A:A,A414)&gt;0,SUMIFS(Q:Q,A:A,A414),"."))/VLOOKUP("USD",'Exchange Rates'!B:C,2,0),"Error with coding"))),"")</f>
        <v/>
      </c>
      <c r="U414" s="15" t="s">
        <v>261</v>
      </c>
      <c r="V414" s="567" t="s">
        <v>1293</v>
      </c>
      <c r="W414" s="567" t="s">
        <v>1376</v>
      </c>
      <c r="X414" s="685" t="s">
        <v>260</v>
      </c>
      <c r="Y414" s="685" t="s">
        <v>260</v>
      </c>
      <c r="Z414" s="15">
        <v>0</v>
      </c>
      <c r="AA414" s="180">
        <v>1</v>
      </c>
      <c r="AB414" s="570" t="s">
        <v>1377</v>
      </c>
      <c r="AC414" s="544" t="str">
        <f>""</f>
        <v/>
      </c>
      <c r="AD414" s="183">
        <v>0</v>
      </c>
      <c r="AE414" s="183" t="s">
        <v>264</v>
      </c>
      <c r="AF414" s="183" t="s">
        <v>265</v>
      </c>
      <c r="AG414" s="183">
        <v>0</v>
      </c>
      <c r="AH414" s="183">
        <v>0</v>
      </c>
      <c r="AI414" s="183">
        <v>0</v>
      </c>
      <c r="AJ414" s="181">
        <f>VLOOKUP($I414,'Price List, Weapons &amp; Items'!B:F,5,0)</f>
        <v>0</v>
      </c>
      <c r="AK414" s="181">
        <f t="shared" si="82"/>
        <v>0</v>
      </c>
      <c r="AL414" s="181">
        <f t="shared" si="83"/>
        <v>0</v>
      </c>
      <c r="AM414" s="181">
        <f t="shared" si="84"/>
        <v>0</v>
      </c>
      <c r="AN414" s="180" t="str">
        <f>VLOOKUP($I414,'Price List, Weapons &amp; Items'!B:L,COLUMN('Price List, Weapons &amp; Items'!$J$11)-1,0)</f>
        <v>Contracts</v>
      </c>
      <c r="AO414" s="180" t="str">
        <f>IF(I414=".",".",VLOOKUP($I414,'Price List, Weapons &amp; Items'!B:J,3,0))</f>
        <v>Military equipment</v>
      </c>
      <c r="AP414" s="545" t="str">
        <f t="shared" ca="1" si="79"/>
        <v/>
      </c>
      <c r="AQ414" s="180">
        <f>VLOOKUP($I414,'Price List, Weapons &amp; Items'!B:L,COLUMN('Price List, Weapons &amp; Items'!$L$11)-1,0)</f>
        <v>2</v>
      </c>
      <c r="AR414" s="180">
        <f t="shared" si="85"/>
        <v>1</v>
      </c>
      <c r="AS414" s="180">
        <f t="shared" si="86"/>
        <v>1</v>
      </c>
      <c r="AT414" s="180" t="str">
        <f t="shared" si="87"/>
        <v>Value is not in date format</v>
      </c>
      <c r="AU414" s="180" t="str">
        <f t="shared" si="88"/>
        <v>.</v>
      </c>
      <c r="AV414" s="180" t="str">
        <f t="shared" si="89"/>
        <v>.</v>
      </c>
      <c r="AW414" s="180">
        <f>IFERROR(VLOOKUP(B414,'Share, Heavy Weapons to Ukraine'!B:J,COLUMN('Share, Heavy Weapons to Ukraine'!C423)-1,0),0)</f>
        <v>0</v>
      </c>
      <c r="AX414" s="180">
        <f>VLOOKUP('Bilateral Assistance, MAIN DATA'!B414,'Country Summary'!B:F,COLUMN('Country Summary'!C426)-1,FALSE)</f>
        <v>1</v>
      </c>
      <c r="AY414" s="180" t="str">
        <f>IF(AND(AD414=1,D414="Military",H414&lt;&gt;"Not given")=TRUE,IF(SUMIFS(P:P,A:A,A414)&gt;0,ABS((SUMIFS(P:P,A:A,A414)/VLOOKUP("USD",'Exchange Rates'!B:C,2,0)))/S414,"."),".")</f>
        <v>.</v>
      </c>
      <c r="AZ414" s="182" t="str">
        <f>IF(AND(AD414=1,D414="Military",H414&lt;&gt;"Not given")=TRUE,IF(SUMIFS(P:P,A:A,A414)&gt;0,IF((ABS((SUMIFS(P:P,A:A,A414)/VLOOKUP("USD",'Exchange Rates'!B:C,2,0)))/S414)&gt;1,(SUMIFS(P:P,A:A,A414)-S414)/S414,(S414-SUMIFS(P:P,A:A,A414))/SUMIFS(P:P,A:A,A414)),"."),".")</f>
        <v>.</v>
      </c>
      <c r="BA414" s="182"/>
      <c r="BB414" s="182"/>
      <c r="BC414" s="182"/>
      <c r="BD414" s="182"/>
      <c r="BE414" s="182"/>
      <c r="BF414" s="182"/>
      <c r="BG414" s="182"/>
      <c r="BH414" s="182"/>
      <c r="BI414" s="182"/>
      <c r="BJ414" s="182"/>
      <c r="BK414" s="182"/>
      <c r="BL414" s="182"/>
      <c r="BM414" s="182"/>
      <c r="BN414" s="182"/>
      <c r="BO414" s="182"/>
      <c r="BP414" s="182"/>
      <c r="BQ414" s="182"/>
      <c r="BR414" s="182"/>
      <c r="BS414" s="182"/>
    </row>
    <row r="415" spans="1:71" ht="15.9" customHeight="1" x14ac:dyDescent="0.3">
      <c r="A415" s="5" t="s">
        <v>1326</v>
      </c>
      <c r="B415" s="5" t="s">
        <v>1288</v>
      </c>
      <c r="C415" s="174" t="s">
        <v>1327</v>
      </c>
      <c r="D415" s="5" t="s">
        <v>285</v>
      </c>
      <c r="E415" s="5" t="s">
        <v>1328</v>
      </c>
      <c r="F415" s="1139" t="s">
        <v>1329</v>
      </c>
      <c r="G415" s="15" t="s">
        <v>364</v>
      </c>
      <c r="H415" s="176">
        <v>1360000000</v>
      </c>
      <c r="I415" s="185" t="s">
        <v>1378</v>
      </c>
      <c r="J415" s="113" t="str">
        <f>VLOOKUP($I415,'Price List, Weapons &amp; Items'!B:C,2,0)</f>
        <v>Military equipment</v>
      </c>
      <c r="K415" s="113" t="str">
        <f>IF(I415=".",I415,VLOOKUP($I415,'Price List, Weapons &amp; Items'!B:D,3,0))</f>
        <v>Military equipment</v>
      </c>
      <c r="L415" s="177">
        <f>VLOOKUP(I415,'Price List, Weapons &amp; Items'!B:E,4,0)</f>
        <v>0</v>
      </c>
      <c r="M415" s="542">
        <v>20</v>
      </c>
      <c r="N415" s="542">
        <v>20</v>
      </c>
      <c r="O415" s="543">
        <f>VLOOKUP($I415,'Price List, Weapons &amp; Items'!B:G,6,0)</f>
        <v>102216.33</v>
      </c>
      <c r="P415" s="176">
        <f t="shared" si="80"/>
        <v>2044326.6</v>
      </c>
      <c r="Q415" s="176">
        <f t="shared" si="81"/>
        <v>2044326.6</v>
      </c>
      <c r="R415" s="176" t="str">
        <f t="shared" si="78"/>
        <v/>
      </c>
      <c r="S415" s="176" t="str">
        <f>IF(AND(AD415=1,R415&lt;&gt;".")=TRUE,R415/VLOOKUP(G415,'Exchange Rates'!B:C,2,0),IF(R415=".",".",""))</f>
        <v/>
      </c>
      <c r="T415" s="176" t="str">
        <f>IF(AD415=1,IF(AF415="Value is not given at all",".",IF(AF415="Value is given by the source",S415,IF(AF415="Value is calculated with prices",(IF(SUMIFS(Q:Q,A:A,A415)&gt;0,SUMIFS(Q:Q,A:A,A415),"."))/VLOOKUP("USD",'Exchange Rates'!B:C,2,0),"Error with coding"))),"")</f>
        <v/>
      </c>
      <c r="U415" s="15" t="s">
        <v>261</v>
      </c>
      <c r="V415" s="567" t="s">
        <v>1293</v>
      </c>
      <c r="W415" s="567" t="s">
        <v>1375</v>
      </c>
      <c r="X415" s="685" t="s">
        <v>260</v>
      </c>
      <c r="Y415" s="685" t="s">
        <v>260</v>
      </c>
      <c r="Z415" s="15">
        <v>0</v>
      </c>
      <c r="AA415" s="180">
        <v>1</v>
      </c>
      <c r="AB415" s="570" t="s">
        <v>1379</v>
      </c>
      <c r="AC415" s="544" t="str">
        <f>""</f>
        <v/>
      </c>
      <c r="AD415" s="183">
        <v>0</v>
      </c>
      <c r="AE415" s="183" t="s">
        <v>264</v>
      </c>
      <c r="AF415" s="183" t="s">
        <v>265</v>
      </c>
      <c r="AG415" s="183">
        <v>0</v>
      </c>
      <c r="AH415" s="183">
        <v>0</v>
      </c>
      <c r="AI415" s="183">
        <v>0</v>
      </c>
      <c r="AJ415" s="181">
        <f>VLOOKUP($I415,'Price List, Weapons &amp; Items'!B:F,5,0)</f>
        <v>0</v>
      </c>
      <c r="AK415" s="181">
        <f t="shared" si="82"/>
        <v>0</v>
      </c>
      <c r="AL415" s="181">
        <f t="shared" si="83"/>
        <v>0</v>
      </c>
      <c r="AM415" s="181">
        <f t="shared" si="84"/>
        <v>0</v>
      </c>
      <c r="AN415" s="180" t="str">
        <f>VLOOKUP($I415,'Price List, Weapons &amp; Items'!B:L,COLUMN('Price List, Weapons &amp; Items'!$J$11)-1,0)</f>
        <v>Government information</v>
      </c>
      <c r="AO415" s="180" t="str">
        <f>IF(I415=".",".",VLOOKUP($I415,'Price List, Weapons &amp; Items'!B:J,3,0))</f>
        <v>Military equipment</v>
      </c>
      <c r="AP415" s="545" t="str">
        <f t="shared" ca="1" si="79"/>
        <v/>
      </c>
      <c r="AQ415" s="180">
        <f>VLOOKUP($I415,'Price List, Weapons &amp; Items'!B:L,COLUMN('Price List, Weapons &amp; Items'!$L$11)-1,0)</f>
        <v>2</v>
      </c>
      <c r="AR415" s="180">
        <f t="shared" si="85"/>
        <v>1</v>
      </c>
      <c r="AS415" s="180">
        <f t="shared" si="86"/>
        <v>1</v>
      </c>
      <c r="AT415" s="180" t="str">
        <f t="shared" si="87"/>
        <v>Value is not in date format</v>
      </c>
      <c r="AU415" s="180" t="str">
        <f t="shared" si="88"/>
        <v>.</v>
      </c>
      <c r="AV415" s="180" t="str">
        <f t="shared" si="89"/>
        <v>.</v>
      </c>
      <c r="AW415" s="180">
        <f>IFERROR(VLOOKUP(B415,'Share, Heavy Weapons to Ukraine'!B:J,COLUMN('Share, Heavy Weapons to Ukraine'!C424)-1,0),0)</f>
        <v>0</v>
      </c>
      <c r="AX415" s="180">
        <f>VLOOKUP('Bilateral Assistance, MAIN DATA'!B415,'Country Summary'!B:F,COLUMN('Country Summary'!C427)-1,FALSE)</f>
        <v>1</v>
      </c>
      <c r="AY415" s="180" t="str">
        <f>IF(AND(AD415=1,D415="Military",H415&lt;&gt;"Not given")=TRUE,IF(SUMIFS(P:P,A:A,A415)&gt;0,ABS((SUMIFS(P:P,A:A,A415)/VLOOKUP("USD",'Exchange Rates'!B:C,2,0)))/S415,"."),".")</f>
        <v>.</v>
      </c>
      <c r="AZ415" s="182" t="str">
        <f>IF(AND(AD415=1,D415="Military",H415&lt;&gt;"Not given")=TRUE,IF(SUMIFS(P:P,A:A,A415)&gt;0,IF((ABS((SUMIFS(P:P,A:A,A415)/VLOOKUP("USD",'Exchange Rates'!B:C,2,0)))/S415)&gt;1,(SUMIFS(P:P,A:A,A415)-S415)/S415,(S415-SUMIFS(P:P,A:A,A415))/SUMIFS(P:P,A:A,A415)),"."),".")</f>
        <v>.</v>
      </c>
      <c r="BA415" s="182"/>
      <c r="BB415" s="182"/>
      <c r="BC415" s="182"/>
      <c r="BD415" s="182"/>
      <c r="BE415" s="182"/>
      <c r="BF415" s="182"/>
      <c r="BG415" s="182"/>
      <c r="BH415" s="182"/>
      <c r="BI415" s="182"/>
      <c r="BJ415" s="182"/>
      <c r="BK415" s="182"/>
      <c r="BL415" s="182"/>
      <c r="BM415" s="182"/>
      <c r="BN415" s="182"/>
      <c r="BO415" s="182"/>
      <c r="BP415" s="182"/>
      <c r="BQ415" s="182"/>
      <c r="BR415" s="182"/>
      <c r="BS415" s="182"/>
    </row>
    <row r="416" spans="1:71" ht="15.9" customHeight="1" x14ac:dyDescent="0.3">
      <c r="A416" s="5" t="s">
        <v>1326</v>
      </c>
      <c r="B416" s="5" t="s">
        <v>1288</v>
      </c>
      <c r="C416" s="174" t="s">
        <v>1327</v>
      </c>
      <c r="D416" s="5" t="s">
        <v>285</v>
      </c>
      <c r="E416" s="5" t="s">
        <v>1328</v>
      </c>
      <c r="F416" s="1139" t="s">
        <v>1329</v>
      </c>
      <c r="G416" s="15" t="s">
        <v>364</v>
      </c>
      <c r="H416" s="176">
        <v>1360000000</v>
      </c>
      <c r="I416" s="185" t="s">
        <v>1380</v>
      </c>
      <c r="J416" s="113" t="str">
        <f>VLOOKUP($I416,'Price List, Weapons &amp; Items'!B:C,2,0)</f>
        <v>Military equipment</v>
      </c>
      <c r="K416" s="113" t="str">
        <f>IF(I416=".",I416,VLOOKUP($I416,'Price List, Weapons &amp; Items'!B:D,3,0))</f>
        <v>non combat military vehicle</v>
      </c>
      <c r="L416" s="177">
        <f>VLOOKUP(I416,'Price List, Weapons &amp; Items'!B:E,4,0)</f>
        <v>0</v>
      </c>
      <c r="M416" s="542">
        <v>6</v>
      </c>
      <c r="N416" s="542">
        <v>6</v>
      </c>
      <c r="O416" s="543">
        <f>VLOOKUP($I416,'Price List, Weapons &amp; Items'!B:G,6,0)</f>
        <v>32500</v>
      </c>
      <c r="P416" s="176">
        <f t="shared" si="80"/>
        <v>195000</v>
      </c>
      <c r="Q416" s="176">
        <f t="shared" si="81"/>
        <v>195000</v>
      </c>
      <c r="R416" s="176" t="str">
        <f t="shared" si="78"/>
        <v/>
      </c>
      <c r="S416" s="176" t="str">
        <f>IF(AND(AD416=1,R416&lt;&gt;".")=TRUE,R416/VLOOKUP(G416,'Exchange Rates'!B:C,2,0),IF(R416=".",".",""))</f>
        <v/>
      </c>
      <c r="T416" s="176" t="str">
        <f>IF(AD416=1,IF(AF416="Value is not given at all",".",IF(AF416="Value is given by the source",S416,IF(AF416="Value is calculated with prices",(IF(SUMIFS(Q:Q,A:A,A416)&gt;0,SUMIFS(Q:Q,A:A,A416),"."))/VLOOKUP("USD",'Exchange Rates'!B:C,2,0),"Error with coding"))),"")</f>
        <v/>
      </c>
      <c r="U416" s="15" t="s">
        <v>261</v>
      </c>
      <c r="V416" s="567" t="s">
        <v>1293</v>
      </c>
      <c r="W416" s="567" t="s">
        <v>1377</v>
      </c>
      <c r="X416" s="685" t="s">
        <v>260</v>
      </c>
      <c r="Y416" s="685" t="s">
        <v>260</v>
      </c>
      <c r="Z416" s="15">
        <v>0</v>
      </c>
      <c r="AA416" s="180">
        <v>1</v>
      </c>
      <c r="AB416" s="570" t="s">
        <v>1381</v>
      </c>
      <c r="AC416" s="544" t="str">
        <f>""</f>
        <v/>
      </c>
      <c r="AD416" s="183">
        <v>0</v>
      </c>
      <c r="AE416" s="183" t="s">
        <v>264</v>
      </c>
      <c r="AF416" s="183" t="s">
        <v>265</v>
      </c>
      <c r="AG416" s="183">
        <v>0</v>
      </c>
      <c r="AH416" s="183">
        <v>0</v>
      </c>
      <c r="AI416" s="183">
        <v>0</v>
      </c>
      <c r="AJ416" s="181">
        <f>VLOOKUP($I416,'Price List, Weapons &amp; Items'!B:F,5,0)</f>
        <v>0</v>
      </c>
      <c r="AK416" s="181">
        <f t="shared" si="82"/>
        <v>0</v>
      </c>
      <c r="AL416" s="181">
        <f t="shared" si="83"/>
        <v>0</v>
      </c>
      <c r="AM416" s="181">
        <f t="shared" si="84"/>
        <v>0</v>
      </c>
      <c r="AN416" s="180" t="str">
        <f>VLOOKUP($I416,'Price List, Weapons &amp; Items'!B:L,COLUMN('Price List, Weapons &amp; Items'!$J$11)-1,0)</f>
        <v>Online marketplaces and stores</v>
      </c>
      <c r="AO416" s="180" t="str">
        <f>IF(I416=".",".",VLOOKUP($I416,'Price List, Weapons &amp; Items'!B:J,3,0))</f>
        <v>non combat military vehicle</v>
      </c>
      <c r="AP416" s="545" t="str">
        <f t="shared" ca="1" si="79"/>
        <v/>
      </c>
      <c r="AQ416" s="180">
        <f>VLOOKUP($I416,'Price List, Weapons &amp; Items'!B:L,COLUMN('Price List, Weapons &amp; Items'!$L$11)-1,0)</f>
        <v>1</v>
      </c>
      <c r="AR416" s="180">
        <f t="shared" si="85"/>
        <v>1</v>
      </c>
      <c r="AS416" s="180">
        <f t="shared" si="86"/>
        <v>1</v>
      </c>
      <c r="AT416" s="180" t="str">
        <f t="shared" si="87"/>
        <v>Value is not in date format</v>
      </c>
      <c r="AU416" s="180" t="str">
        <f t="shared" si="88"/>
        <v>.</v>
      </c>
      <c r="AV416" s="180" t="str">
        <f t="shared" si="89"/>
        <v>.</v>
      </c>
      <c r="AW416" s="180">
        <f>IFERROR(VLOOKUP(B416,'Share, Heavy Weapons to Ukraine'!B:J,COLUMN('Share, Heavy Weapons to Ukraine'!C425)-1,0),0)</f>
        <v>0</v>
      </c>
      <c r="AX416" s="180">
        <f>VLOOKUP('Bilateral Assistance, MAIN DATA'!B416,'Country Summary'!B:F,COLUMN('Country Summary'!C428)-1,FALSE)</f>
        <v>1</v>
      </c>
      <c r="AY416" s="180" t="str">
        <f>IF(AND(AD416=1,D416="Military",H416&lt;&gt;"Not given")=TRUE,IF(SUMIFS(P:P,A:A,A416)&gt;0,ABS((SUMIFS(P:P,A:A,A416)/VLOOKUP("USD",'Exchange Rates'!B:C,2,0)))/S416,"."),".")</f>
        <v>.</v>
      </c>
      <c r="AZ416" s="182" t="str">
        <f>IF(AND(AD416=1,D416="Military",H416&lt;&gt;"Not given")=TRUE,IF(SUMIFS(P:P,A:A,A416)&gt;0,IF((ABS((SUMIFS(P:P,A:A,A416)/VLOOKUP("USD",'Exchange Rates'!B:C,2,0)))/S416)&gt;1,(SUMIFS(P:P,A:A,A416)-S416)/S416,(S416-SUMIFS(P:P,A:A,A416))/SUMIFS(P:P,A:A,A416)),"."),".")</f>
        <v>.</v>
      </c>
      <c r="BA416" s="182"/>
      <c r="BB416" s="182"/>
      <c r="BC416" s="182"/>
      <c r="BD416" s="182"/>
      <c r="BE416" s="182"/>
      <c r="BF416" s="182"/>
      <c r="BG416" s="182"/>
      <c r="BH416" s="182"/>
      <c r="BI416" s="182"/>
      <c r="BJ416" s="182"/>
      <c r="BK416" s="182"/>
      <c r="BL416" s="182"/>
      <c r="BM416" s="182"/>
      <c r="BN416" s="182"/>
      <c r="BO416" s="182"/>
      <c r="BP416" s="182"/>
      <c r="BQ416" s="182"/>
      <c r="BR416" s="182"/>
      <c r="BS416" s="182"/>
    </row>
    <row r="417" spans="1:71" ht="15.9" customHeight="1" x14ac:dyDescent="0.3">
      <c r="A417" s="5" t="s">
        <v>1326</v>
      </c>
      <c r="B417" s="5" t="s">
        <v>1288</v>
      </c>
      <c r="C417" s="174" t="s">
        <v>1327</v>
      </c>
      <c r="D417" s="5" t="s">
        <v>285</v>
      </c>
      <c r="E417" s="5" t="s">
        <v>1328</v>
      </c>
      <c r="F417" s="1139" t="s">
        <v>1329</v>
      </c>
      <c r="G417" s="15" t="s">
        <v>364</v>
      </c>
      <c r="H417" s="176">
        <v>1360000000</v>
      </c>
      <c r="I417" s="186" t="s">
        <v>1382</v>
      </c>
      <c r="J417" s="113" t="str">
        <f>VLOOKUP($I417,'Price List, Weapons &amp; Items'!B:C,2,0)</f>
        <v>Heavy weapon</v>
      </c>
      <c r="K417" s="113" t="str">
        <f>IF(I417=".",I417,VLOOKUP($I417,'Price List, Weapons &amp; Items'!B:D,3,0))</f>
        <v>overhaul/repair</v>
      </c>
      <c r="L417" s="177">
        <f>VLOOKUP(I417,'Price List, Weapons &amp; Items'!B:E,4,0)</f>
        <v>0</v>
      </c>
      <c r="M417" s="542">
        <v>54</v>
      </c>
      <c r="N417" s="542">
        <v>54</v>
      </c>
      <c r="O417" s="543" t="str">
        <f>VLOOKUP($I417,'Price List, Weapons &amp; Items'!B:G,6,0)</f>
        <v>.</v>
      </c>
      <c r="P417" s="176" t="str">
        <f t="shared" si="80"/>
        <v>No price</v>
      </c>
      <c r="Q417" s="176" t="str">
        <f t="shared" si="81"/>
        <v>No price</v>
      </c>
      <c r="R417" s="176" t="str">
        <f t="shared" si="78"/>
        <v/>
      </c>
      <c r="S417" s="176" t="str">
        <f>IF(AND(AD417=1,R417&lt;&gt;".")=TRUE,R417/VLOOKUP(G417,'Exchange Rates'!B:C,2,0),IF(R417=".",".",""))</f>
        <v/>
      </c>
      <c r="T417" s="176" t="str">
        <f>IF(AD417=1,IF(AF417="Value is not given at all",".",IF(AF417="Value is given by the source",S417,IF(AF417="Value is calculated with prices",(IF(SUMIFS(Q:Q,A:A,A417)&gt;0,SUMIFS(Q:Q,A:A,A417),"."))/VLOOKUP("USD",'Exchange Rates'!B:C,2,0),"Error with coding"))),"")</f>
        <v/>
      </c>
      <c r="U417" s="15" t="s">
        <v>261</v>
      </c>
      <c r="V417" s="567" t="s">
        <v>1293</v>
      </c>
      <c r="W417" s="567" t="s">
        <v>1379</v>
      </c>
      <c r="X417" s="685" t="s">
        <v>260</v>
      </c>
      <c r="Y417" s="685" t="s">
        <v>260</v>
      </c>
      <c r="Z417" s="15">
        <v>0</v>
      </c>
      <c r="AA417" s="180">
        <v>1</v>
      </c>
      <c r="AB417" s="570" t="s">
        <v>1383</v>
      </c>
      <c r="AC417" s="544" t="str">
        <f>""</f>
        <v/>
      </c>
      <c r="AD417" s="183">
        <v>0</v>
      </c>
      <c r="AE417" s="183" t="s">
        <v>264</v>
      </c>
      <c r="AF417" s="183" t="s">
        <v>265</v>
      </c>
      <c r="AG417" s="183">
        <v>1</v>
      </c>
      <c r="AH417" s="183">
        <v>4</v>
      </c>
      <c r="AI417" s="183">
        <v>0</v>
      </c>
      <c r="AJ417" s="181">
        <f>VLOOKUP($I417,'Price List, Weapons &amp; Items'!B:F,5,0)</f>
        <v>0</v>
      </c>
      <c r="AK417" s="181">
        <f t="shared" si="82"/>
        <v>0</v>
      </c>
      <c r="AL417" s="181">
        <f t="shared" si="83"/>
        <v>0</v>
      </c>
      <c r="AM417" s="181">
        <f t="shared" si="84"/>
        <v>0</v>
      </c>
      <c r="AN417" s="180" t="str">
        <f>VLOOKUP($I417,'Price List, Weapons &amp; Items'!B:L,COLUMN('Price List, Weapons &amp; Items'!$J$11)-1,0)</f>
        <v>.</v>
      </c>
      <c r="AO417" s="180" t="str">
        <f>IF(I417=".",".",VLOOKUP($I417,'Price List, Weapons &amp; Items'!B:J,3,0))</f>
        <v>overhaul/repair</v>
      </c>
      <c r="AP417" s="545" t="str">
        <f t="shared" ca="1" si="79"/>
        <v/>
      </c>
      <c r="AQ417" s="180">
        <f>VLOOKUP($I417,'Price List, Weapons &amp; Items'!B:L,COLUMN('Price List, Weapons &amp; Items'!$L$11)-1,0)</f>
        <v>0</v>
      </c>
      <c r="AR417" s="180">
        <f t="shared" si="85"/>
        <v>1</v>
      </c>
      <c r="AS417" s="180">
        <f t="shared" si="86"/>
        <v>1</v>
      </c>
      <c r="AT417" s="180" t="str">
        <f t="shared" si="87"/>
        <v>Value is not in date format</v>
      </c>
      <c r="AU417" s="180" t="str">
        <f t="shared" si="88"/>
        <v>.</v>
      </c>
      <c r="AV417" s="180" t="str">
        <f t="shared" si="89"/>
        <v>.</v>
      </c>
      <c r="AW417" s="180">
        <f>IFERROR(VLOOKUP(B417,'Share, Heavy Weapons to Ukraine'!B:J,COLUMN('Share, Heavy Weapons to Ukraine'!C426)-1,0),0)</f>
        <v>0</v>
      </c>
      <c r="AX417" s="180">
        <f>VLOOKUP('Bilateral Assistance, MAIN DATA'!B417,'Country Summary'!B:F,COLUMN('Country Summary'!C429)-1,FALSE)</f>
        <v>1</v>
      </c>
      <c r="AY417" s="180" t="str">
        <f>IF(AND(AD417=1,D417="Military",H417&lt;&gt;"Not given")=TRUE,IF(SUMIFS(P:P,A:A,A417)&gt;0,ABS((SUMIFS(P:P,A:A,A417)/VLOOKUP("USD",'Exchange Rates'!B:C,2,0)))/S417,"."),".")</f>
        <v>.</v>
      </c>
      <c r="AZ417" s="182" t="str">
        <f>IF(AND(AD417=1,D417="Military",H417&lt;&gt;"Not given")=TRUE,IF(SUMIFS(P:P,A:A,A417)&gt;0,IF((ABS((SUMIFS(P:P,A:A,A417)/VLOOKUP("USD",'Exchange Rates'!B:C,2,0)))/S417)&gt;1,(SUMIFS(P:P,A:A,A417)-S417)/S417,(S417-SUMIFS(P:P,A:A,A417))/SUMIFS(P:P,A:A,A417)),"."),".")</f>
        <v>.</v>
      </c>
      <c r="BA417" s="182"/>
      <c r="BB417" s="182"/>
      <c r="BC417" s="182"/>
      <c r="BD417" s="182"/>
      <c r="BE417" s="182"/>
      <c r="BF417" s="182"/>
      <c r="BG417" s="182"/>
      <c r="BH417" s="182"/>
      <c r="BI417" s="182"/>
      <c r="BJ417" s="182"/>
      <c r="BK417" s="182"/>
      <c r="BL417" s="182"/>
      <c r="BM417" s="182"/>
      <c r="BN417" s="182"/>
      <c r="BO417" s="182"/>
      <c r="BP417" s="182"/>
      <c r="BQ417" s="182"/>
      <c r="BR417" s="182"/>
      <c r="BS417" s="182"/>
    </row>
    <row r="418" spans="1:71" ht="15.9" customHeight="1" x14ac:dyDescent="0.3">
      <c r="A418" s="5" t="s">
        <v>1326</v>
      </c>
      <c r="B418" s="5" t="s">
        <v>1288</v>
      </c>
      <c r="C418" s="174" t="s">
        <v>1327</v>
      </c>
      <c r="D418" s="5" t="s">
        <v>285</v>
      </c>
      <c r="E418" s="5" t="s">
        <v>1328</v>
      </c>
      <c r="F418" s="1139" t="s">
        <v>1329</v>
      </c>
      <c r="G418" s="15" t="s">
        <v>364</v>
      </c>
      <c r="H418" s="176">
        <v>1360000000</v>
      </c>
      <c r="I418" s="185" t="s">
        <v>1384</v>
      </c>
      <c r="J418" s="113" t="str">
        <f>VLOOKUP($I418,'Price List, Weapons &amp; Items'!B:C,2,0)</f>
        <v>humanitarian</v>
      </c>
      <c r="K418" s="113" t="str">
        <f>IF(I418=".",I418,VLOOKUP($I418,'Price List, Weapons &amp; Items'!B:D,3,0))</f>
        <v>Humanitarian</v>
      </c>
      <c r="L418" s="177">
        <f>VLOOKUP(I418,'Price List, Weapons &amp; Items'!B:E,4,0)</f>
        <v>0</v>
      </c>
      <c r="M418" s="542">
        <v>500</v>
      </c>
      <c r="N418" s="542">
        <v>500</v>
      </c>
      <c r="O418" s="543">
        <f>VLOOKUP($I418,'Price List, Weapons &amp; Items'!B:G,6,0)</f>
        <v>55</v>
      </c>
      <c r="P418" s="176">
        <f t="shared" si="80"/>
        <v>27500</v>
      </c>
      <c r="Q418" s="176">
        <f t="shared" si="81"/>
        <v>27500</v>
      </c>
      <c r="R418" s="176" t="str">
        <f t="shared" si="78"/>
        <v/>
      </c>
      <c r="S418" s="176" t="str">
        <f>IF(AND(AD418=1,R418&lt;&gt;".")=TRUE,R418/VLOOKUP(G418,'Exchange Rates'!B:C,2,0),IF(R418=".",".",""))</f>
        <v/>
      </c>
      <c r="T418" s="176" t="str">
        <f>IF(AD418=1,IF(AF418="Value is not given at all",".",IF(AF418="Value is given by the source",S418,IF(AF418="Value is calculated with prices",(IF(SUMIFS(Q:Q,A:A,A418)&gt;0,SUMIFS(Q:Q,A:A,A418),"."))/VLOOKUP("USD",'Exchange Rates'!B:C,2,0),"Error with coding"))),"")</f>
        <v/>
      </c>
      <c r="U418" s="15" t="s">
        <v>261</v>
      </c>
      <c r="V418" s="567" t="s">
        <v>1293</v>
      </c>
      <c r="W418" s="567" t="s">
        <v>1385</v>
      </c>
      <c r="X418" s="685" t="s">
        <v>260</v>
      </c>
      <c r="Y418" s="685" t="s">
        <v>260</v>
      </c>
      <c r="Z418" s="15">
        <v>0</v>
      </c>
      <c r="AA418" s="180">
        <v>1</v>
      </c>
      <c r="AB418" s="570" t="s">
        <v>1386</v>
      </c>
      <c r="AC418" s="544" t="str">
        <f>""</f>
        <v/>
      </c>
      <c r="AD418" s="183">
        <v>0</v>
      </c>
      <c r="AE418" s="183" t="s">
        <v>264</v>
      </c>
      <c r="AF418" s="183" t="s">
        <v>265</v>
      </c>
      <c r="AG418" s="183">
        <v>0</v>
      </c>
      <c r="AH418" s="183">
        <v>0</v>
      </c>
      <c r="AI418" s="183">
        <v>0</v>
      </c>
      <c r="AJ418" s="181">
        <f>VLOOKUP($I418,'Price List, Weapons &amp; Items'!B:F,5,0)</f>
        <v>0</v>
      </c>
      <c r="AK418" s="181">
        <f t="shared" si="82"/>
        <v>0</v>
      </c>
      <c r="AL418" s="181">
        <f t="shared" si="83"/>
        <v>0</v>
      </c>
      <c r="AM418" s="181">
        <f t="shared" si="84"/>
        <v>0</v>
      </c>
      <c r="AN418" s="180" t="str">
        <f>VLOOKUP($I418,'Price List, Weapons &amp; Items'!B:L,COLUMN('Price List, Weapons &amp; Items'!$J$11)-1,0)</f>
        <v>Online marketplace and stores</v>
      </c>
      <c r="AO418" s="180" t="str">
        <f>IF(I418=".",".",VLOOKUP($I418,'Price List, Weapons &amp; Items'!B:J,3,0))</f>
        <v>Humanitarian</v>
      </c>
      <c r="AP418" s="545" t="str">
        <f t="shared" ca="1" si="79"/>
        <v/>
      </c>
      <c r="AQ418" s="180">
        <f>VLOOKUP($I418,'Price List, Weapons &amp; Items'!B:L,COLUMN('Price List, Weapons &amp; Items'!$L$11)-1,0)</f>
        <v>0</v>
      </c>
      <c r="AR418" s="180">
        <f t="shared" si="85"/>
        <v>1</v>
      </c>
      <c r="AS418" s="180">
        <f t="shared" si="86"/>
        <v>1</v>
      </c>
      <c r="AT418" s="180" t="str">
        <f t="shared" si="87"/>
        <v>Value is not in date format</v>
      </c>
      <c r="AU418" s="180" t="str">
        <f t="shared" si="88"/>
        <v>.</v>
      </c>
      <c r="AV418" s="180" t="str">
        <f t="shared" si="89"/>
        <v>.</v>
      </c>
      <c r="AW418" s="180">
        <f>IFERROR(VLOOKUP(B418,'Share, Heavy Weapons to Ukraine'!B:J,COLUMN('Share, Heavy Weapons to Ukraine'!C427)-1,0),0)</f>
        <v>0</v>
      </c>
      <c r="AX418" s="180">
        <f>VLOOKUP('Bilateral Assistance, MAIN DATA'!B418,'Country Summary'!B:F,COLUMN('Country Summary'!C430)-1,FALSE)</f>
        <v>1</v>
      </c>
      <c r="AY418" s="180" t="str">
        <f>IF(AND(AD418=1,D418="Military",H418&lt;&gt;"Not given")=TRUE,IF(SUMIFS(P:P,A:A,A418)&gt;0,ABS((SUMIFS(P:P,A:A,A418)/VLOOKUP("USD",'Exchange Rates'!B:C,2,0)))/S418,"."),".")</f>
        <v>.</v>
      </c>
      <c r="AZ418" s="182" t="str">
        <f>IF(AND(AD418=1,D418="Military",H418&lt;&gt;"Not given")=TRUE,IF(SUMIFS(P:P,A:A,A418)&gt;0,IF((ABS((SUMIFS(P:P,A:A,A418)/VLOOKUP("USD",'Exchange Rates'!B:C,2,0)))/S418)&gt;1,(SUMIFS(P:P,A:A,A418)-S418)/S418,(S418-SUMIFS(P:P,A:A,A418))/SUMIFS(P:P,A:A,A418)),"."),".")</f>
        <v>.</v>
      </c>
      <c r="BA418" s="182"/>
      <c r="BB418" s="182"/>
      <c r="BC418" s="182"/>
      <c r="BD418" s="182"/>
      <c r="BE418" s="182"/>
      <c r="BF418" s="182"/>
      <c r="BG418" s="182"/>
      <c r="BH418" s="182"/>
      <c r="BI418" s="182"/>
      <c r="BJ418" s="182"/>
      <c r="BK418" s="182"/>
      <c r="BL418" s="182"/>
      <c r="BM418" s="182"/>
      <c r="BN418" s="182"/>
      <c r="BO418" s="182"/>
      <c r="BP418" s="182"/>
      <c r="BQ418" s="182"/>
      <c r="BR418" s="182"/>
      <c r="BS418" s="182"/>
    </row>
    <row r="419" spans="1:71" ht="15.9" customHeight="1" x14ac:dyDescent="0.3">
      <c r="A419" s="5" t="s">
        <v>1326</v>
      </c>
      <c r="B419" s="5" t="s">
        <v>1288</v>
      </c>
      <c r="C419" s="174" t="s">
        <v>1327</v>
      </c>
      <c r="D419" s="5" t="s">
        <v>285</v>
      </c>
      <c r="E419" s="5" t="s">
        <v>1328</v>
      </c>
      <c r="F419" s="1139" t="s">
        <v>1329</v>
      </c>
      <c r="G419" s="15" t="s">
        <v>364</v>
      </c>
      <c r="H419" s="176">
        <v>1360000000</v>
      </c>
      <c r="I419" s="185" t="s">
        <v>1387</v>
      </c>
      <c r="J419" s="113" t="str">
        <f>VLOOKUP($I419,'Price List, Weapons &amp; Items'!B:C,2,0)</f>
        <v>military equipment</v>
      </c>
      <c r="K419" s="113" t="str">
        <f>IF(I419=".",I419,VLOOKUP($I419,'Price List, Weapons &amp; Items'!B:D,3,0))</f>
        <v>spare parts</v>
      </c>
      <c r="L419" s="177">
        <f>VLOOKUP(I419,'Price List, Weapons &amp; Items'!B:E,4,0)</f>
        <v>0</v>
      </c>
      <c r="M419" s="542" t="s">
        <v>270</v>
      </c>
      <c r="N419" s="542" t="s">
        <v>270</v>
      </c>
      <c r="O419" s="543" t="str">
        <f>VLOOKUP($I419,'Price List, Weapons &amp; Items'!B:G,6,0)</f>
        <v>.</v>
      </c>
      <c r="P419" s="176" t="str">
        <f t="shared" si="80"/>
        <v>.</v>
      </c>
      <c r="Q419" s="176" t="str">
        <f t="shared" si="81"/>
        <v>.</v>
      </c>
      <c r="R419" s="176" t="str">
        <f t="shared" si="78"/>
        <v/>
      </c>
      <c r="S419" s="176" t="str">
        <f>IF(AND(AD419=1,R419&lt;&gt;".")=TRUE,R419/VLOOKUP(G419,'Exchange Rates'!B:C,2,0),IF(R419=".",".",""))</f>
        <v/>
      </c>
      <c r="T419" s="176" t="str">
        <f>IF(AD419=1,IF(AF419="Value is not given at all",".",IF(AF419="Value is given by the source",S419,IF(AF419="Value is calculated with prices",(IF(SUMIFS(Q:Q,A:A,A419)&gt;0,SUMIFS(Q:Q,A:A,A419),"."))/VLOOKUP("USD",'Exchange Rates'!B:C,2,0),"Error with coding"))),"")</f>
        <v/>
      </c>
      <c r="U419" s="15" t="s">
        <v>261</v>
      </c>
      <c r="V419" s="567" t="s">
        <v>1293</v>
      </c>
      <c r="W419" s="567" t="s">
        <v>1388</v>
      </c>
      <c r="X419" s="685" t="s">
        <v>260</v>
      </c>
      <c r="Y419" s="685" t="s">
        <v>260</v>
      </c>
      <c r="Z419" s="15">
        <v>0</v>
      </c>
      <c r="AA419" s="180">
        <v>1</v>
      </c>
      <c r="AB419" s="570" t="s">
        <v>1389</v>
      </c>
      <c r="AC419" s="544" t="str">
        <f>""</f>
        <v/>
      </c>
      <c r="AD419" s="183">
        <v>0</v>
      </c>
      <c r="AE419" s="183" t="s">
        <v>264</v>
      </c>
      <c r="AF419" s="183" t="s">
        <v>265</v>
      </c>
      <c r="AG419" s="183">
        <v>0</v>
      </c>
      <c r="AH419" s="183">
        <v>0</v>
      </c>
      <c r="AI419" s="183">
        <v>0</v>
      </c>
      <c r="AJ419" s="181">
        <f>VLOOKUP($I419,'Price List, Weapons &amp; Items'!B:F,5,0)</f>
        <v>0</v>
      </c>
      <c r="AK419" s="181">
        <f t="shared" si="82"/>
        <v>0</v>
      </c>
      <c r="AL419" s="181">
        <f t="shared" si="83"/>
        <v>0</v>
      </c>
      <c r="AM419" s="181">
        <f t="shared" si="84"/>
        <v>0</v>
      </c>
      <c r="AN419" s="180" t="str">
        <f>VLOOKUP($I419,'Price List, Weapons &amp; Items'!B:L,COLUMN('Price List, Weapons &amp; Items'!$J$11)-1,0)</f>
        <v>.</v>
      </c>
      <c r="AO419" s="180" t="str">
        <f>IF(I419=".",".",VLOOKUP($I419,'Price List, Weapons &amp; Items'!B:J,3,0))</f>
        <v>spare parts</v>
      </c>
      <c r="AP419" s="545" t="str">
        <f t="shared" ca="1" si="79"/>
        <v/>
      </c>
      <c r="AQ419" s="180" t="str">
        <f>VLOOKUP($I419,'Price List, Weapons &amp; Items'!B:L,COLUMN('Price List, Weapons &amp; Items'!$L$11)-1,0)</f>
        <v>no price, 0 count</v>
      </c>
      <c r="AR419" s="180">
        <f t="shared" si="85"/>
        <v>1</v>
      </c>
      <c r="AS419" s="180">
        <f t="shared" si="86"/>
        <v>1</v>
      </c>
      <c r="AT419" s="180" t="str">
        <f t="shared" si="87"/>
        <v>Value is not in date format</v>
      </c>
      <c r="AU419" s="180" t="str">
        <f t="shared" si="88"/>
        <v>.</v>
      </c>
      <c r="AV419" s="180" t="str">
        <f t="shared" si="89"/>
        <v>.</v>
      </c>
      <c r="AW419" s="180">
        <f>IFERROR(VLOOKUP(B419,'Share, Heavy Weapons to Ukraine'!B:J,COLUMN('Share, Heavy Weapons to Ukraine'!C428)-1,0),0)</f>
        <v>0</v>
      </c>
      <c r="AX419" s="180">
        <f>VLOOKUP('Bilateral Assistance, MAIN DATA'!B419,'Country Summary'!B:F,COLUMN('Country Summary'!C431)-1,FALSE)</f>
        <v>1</v>
      </c>
      <c r="AY419" s="180" t="str">
        <f>IF(AND(AD419=1,D419="Military",H419&lt;&gt;"Not given")=TRUE,IF(SUMIFS(P:P,A:A,A419)&gt;0,ABS((SUMIFS(P:P,A:A,A419)/VLOOKUP("USD",'Exchange Rates'!B:C,2,0)))/S419,"."),".")</f>
        <v>.</v>
      </c>
      <c r="AZ419" s="182" t="str">
        <f>IF(AND(AD419=1,D419="Military",H419&lt;&gt;"Not given")=TRUE,IF(SUMIFS(P:P,A:A,A419)&gt;0,IF((ABS((SUMIFS(P:P,A:A,A419)/VLOOKUP("USD",'Exchange Rates'!B:C,2,0)))/S419)&gt;1,(SUMIFS(P:P,A:A,A419)-S419)/S419,(S419-SUMIFS(P:P,A:A,A419))/SUMIFS(P:P,A:A,A419)),"."),".")</f>
        <v>.</v>
      </c>
      <c r="BA419" s="182"/>
      <c r="BB419" s="182"/>
      <c r="BC419" s="182"/>
      <c r="BD419" s="182"/>
      <c r="BE419" s="182"/>
      <c r="BF419" s="182"/>
      <c r="BG419" s="182"/>
      <c r="BH419" s="182"/>
      <c r="BI419" s="182"/>
      <c r="BJ419" s="182"/>
      <c r="BK419" s="182"/>
      <c r="BL419" s="182"/>
      <c r="BM419" s="182"/>
      <c r="BN419" s="182"/>
      <c r="BO419" s="182"/>
      <c r="BP419" s="182"/>
      <c r="BQ419" s="182"/>
      <c r="BR419" s="182"/>
      <c r="BS419" s="182"/>
    </row>
    <row r="420" spans="1:71" ht="15.9" customHeight="1" x14ac:dyDescent="0.3">
      <c r="A420" s="5" t="s">
        <v>1326</v>
      </c>
      <c r="B420" s="5" t="s">
        <v>1288</v>
      </c>
      <c r="C420" s="174" t="s">
        <v>1327</v>
      </c>
      <c r="D420" s="5" t="s">
        <v>285</v>
      </c>
      <c r="E420" s="5" t="s">
        <v>1328</v>
      </c>
      <c r="F420" s="1139" t="s">
        <v>1329</v>
      </c>
      <c r="G420" s="15" t="s">
        <v>364</v>
      </c>
      <c r="H420" s="176">
        <v>1360000000</v>
      </c>
      <c r="I420" s="185" t="s">
        <v>1390</v>
      </c>
      <c r="J420" s="113" t="str">
        <f>VLOOKUP($I420,'Price List, Weapons &amp; Items'!B:C,2,0)</f>
        <v>military equipment</v>
      </c>
      <c r="K420" s="113" t="str">
        <f>IF(I420=".",I420,VLOOKUP($I420,'Price List, Weapons &amp; Items'!B:D,3,0))</f>
        <v>Armoured Recovery Vehicle (ARV)</v>
      </c>
      <c r="L420" s="177">
        <f>VLOOKUP(I420,'Price List, Weapons &amp; Items'!B:E,4,0)</f>
        <v>0</v>
      </c>
      <c r="M420" s="542">
        <v>80</v>
      </c>
      <c r="N420" s="542">
        <v>4</v>
      </c>
      <c r="O420" s="543">
        <f>VLOOKUP($I420,'Price List, Weapons &amp; Items'!B:G,6,0)</f>
        <v>405530</v>
      </c>
      <c r="P420" s="176">
        <f t="shared" si="80"/>
        <v>32442400</v>
      </c>
      <c r="Q420" s="176">
        <f t="shared" si="81"/>
        <v>1622120</v>
      </c>
      <c r="R420" s="176" t="str">
        <f t="shared" si="78"/>
        <v/>
      </c>
      <c r="S420" s="176" t="str">
        <f>IF(AND(AD420=1,R420&lt;&gt;".")=TRUE,R420/VLOOKUP(G420,'Exchange Rates'!B:C,2,0),IF(R420=".",".",""))</f>
        <v/>
      </c>
      <c r="T420" s="176" t="str">
        <f>IF(AD420=1,IF(AF420="Value is not given at all",".",IF(AF420="Value is given by the source",S420,IF(AF420="Value is calculated with prices",(IF(SUMIFS(Q:Q,A:A,A420)&gt;0,SUMIFS(Q:Q,A:A,A420),"."))/VLOOKUP("USD",'Exchange Rates'!B:C,2,0),"Error with coding"))),"")</f>
        <v/>
      </c>
      <c r="U420" s="15" t="s">
        <v>261</v>
      </c>
      <c r="V420" s="567" t="s">
        <v>1293</v>
      </c>
      <c r="W420" s="567" t="s">
        <v>1386</v>
      </c>
      <c r="X420" s="685" t="s">
        <v>260</v>
      </c>
      <c r="Y420" s="685" t="s">
        <v>260</v>
      </c>
      <c r="Z420" s="15">
        <v>0</v>
      </c>
      <c r="AA420" s="180">
        <v>1</v>
      </c>
      <c r="AB420" s="570" t="s">
        <v>1391</v>
      </c>
      <c r="AC420" s="544" t="str">
        <f>""</f>
        <v/>
      </c>
      <c r="AD420" s="183">
        <v>0</v>
      </c>
      <c r="AE420" s="183" t="s">
        <v>264</v>
      </c>
      <c r="AF420" s="183" t="s">
        <v>265</v>
      </c>
      <c r="AG420" s="183">
        <v>0</v>
      </c>
      <c r="AH420" s="183">
        <v>0</v>
      </c>
      <c r="AI420" s="183">
        <v>0</v>
      </c>
      <c r="AJ420" s="181">
        <f>VLOOKUP($I420,'Price List, Weapons &amp; Items'!B:F,5,0)</f>
        <v>1</v>
      </c>
      <c r="AK420" s="181">
        <f t="shared" si="82"/>
        <v>0</v>
      </c>
      <c r="AL420" s="181">
        <f t="shared" si="83"/>
        <v>0</v>
      </c>
      <c r="AM420" s="181">
        <f t="shared" si="84"/>
        <v>0</v>
      </c>
      <c r="AN420" s="180" t="str">
        <f>VLOOKUP($I420,'Price List, Weapons &amp; Items'!B:L,COLUMN('Price List, Weapons &amp; Items'!$J$11)-1,0)</f>
        <v>Contract</v>
      </c>
      <c r="AO420" s="180" t="str">
        <f>IF(I420=".",".",VLOOKUP($I420,'Price List, Weapons &amp; Items'!B:J,3,0))</f>
        <v>Armoured Recovery Vehicle (ARV)</v>
      </c>
      <c r="AP420" s="545" t="str">
        <f t="shared" ca="1" si="79"/>
        <v/>
      </c>
      <c r="AQ420" s="180">
        <f>VLOOKUP($I420,'Price List, Weapons &amp; Items'!B:L,COLUMN('Price List, Weapons &amp; Items'!$L$11)-1,0)</f>
        <v>2</v>
      </c>
      <c r="AR420" s="180">
        <f t="shared" si="85"/>
        <v>1</v>
      </c>
      <c r="AS420" s="180">
        <f t="shared" si="86"/>
        <v>1</v>
      </c>
      <c r="AT420" s="180" t="str">
        <f t="shared" si="87"/>
        <v>Value is not in date format</v>
      </c>
      <c r="AU420" s="180" t="str">
        <f t="shared" si="88"/>
        <v>.</v>
      </c>
      <c r="AV420" s="180" t="str">
        <f t="shared" si="89"/>
        <v>.</v>
      </c>
      <c r="AW420" s="180">
        <f>IFERROR(VLOOKUP(B420,'Share, Heavy Weapons to Ukraine'!B:J,COLUMN('Share, Heavy Weapons to Ukraine'!C429)-1,0),0)</f>
        <v>0</v>
      </c>
      <c r="AX420" s="180">
        <f>VLOOKUP('Bilateral Assistance, MAIN DATA'!B420,'Country Summary'!B:F,COLUMN('Country Summary'!C432)-1,FALSE)</f>
        <v>1</v>
      </c>
      <c r="AY420" s="180" t="str">
        <f>IF(AND(AD420=1,D420="Military",H420&lt;&gt;"Not given")=TRUE,IF(SUMIFS(P:P,A:A,A420)&gt;0,ABS((SUMIFS(P:P,A:A,A420)/VLOOKUP("USD",'Exchange Rates'!B:C,2,0)))/S420,"."),".")</f>
        <v>.</v>
      </c>
      <c r="AZ420" s="182" t="str">
        <f>IF(AND(AD420=1,D420="Military",H420&lt;&gt;"Not given")=TRUE,IF(SUMIFS(P:P,A:A,A420)&gt;0,IF((ABS((SUMIFS(P:P,A:A,A420)/VLOOKUP("USD",'Exchange Rates'!B:C,2,0)))/S420)&gt;1,(SUMIFS(P:P,A:A,A420)-S420)/S420,(S420-SUMIFS(P:P,A:A,A420))/SUMIFS(P:P,A:A,A420)),"."),".")</f>
        <v>.</v>
      </c>
      <c r="BA420" s="182"/>
      <c r="BB420" s="182"/>
      <c r="BC420" s="182"/>
      <c r="BD420" s="182"/>
      <c r="BE420" s="182"/>
      <c r="BF420" s="182"/>
      <c r="BG420" s="182"/>
      <c r="BH420" s="182"/>
      <c r="BI420" s="182"/>
      <c r="BJ420" s="182"/>
      <c r="BK420" s="182"/>
      <c r="BL420" s="182"/>
      <c r="BM420" s="182"/>
      <c r="BN420" s="182"/>
      <c r="BO420" s="182"/>
      <c r="BP420" s="182"/>
      <c r="BQ420" s="182"/>
      <c r="BR420" s="182"/>
      <c r="BS420" s="182"/>
    </row>
    <row r="421" spans="1:71" ht="15.9" customHeight="1" x14ac:dyDescent="0.3">
      <c r="A421" s="5" t="s">
        <v>1326</v>
      </c>
      <c r="B421" s="5" t="s">
        <v>1288</v>
      </c>
      <c r="C421" s="174" t="s">
        <v>1327</v>
      </c>
      <c r="D421" s="5" t="s">
        <v>285</v>
      </c>
      <c r="E421" s="5" t="s">
        <v>1328</v>
      </c>
      <c r="F421" s="1139" t="s">
        <v>1329</v>
      </c>
      <c r="G421" s="15" t="s">
        <v>364</v>
      </c>
      <c r="H421" s="176">
        <v>1360000000</v>
      </c>
      <c r="I421" s="185" t="s">
        <v>692</v>
      </c>
      <c r="J421" s="113" t="str">
        <f>VLOOKUP($I421,'Price List, Weapons &amp; Items'!B:C,2,0)</f>
        <v>military equipment</v>
      </c>
      <c r="K421" s="113" t="str">
        <f>IF(I421=".",I421,VLOOKUP($I421,'Price List, Weapons &amp; Items'!B:D,3,0))</f>
        <v>Armoured Recovery Vehicle (ARV)</v>
      </c>
      <c r="L421" s="177">
        <f>VLOOKUP(I421,'Price List, Weapons &amp; Items'!B:E,4,0)</f>
        <v>0</v>
      </c>
      <c r="M421" s="542">
        <v>10</v>
      </c>
      <c r="N421" s="542">
        <v>4</v>
      </c>
      <c r="O421" s="543">
        <f>VLOOKUP($I421,'Price List, Weapons &amp; Items'!B:G,6,0)</f>
        <v>405530</v>
      </c>
      <c r="P421" s="176">
        <f t="shared" si="80"/>
        <v>4055300</v>
      </c>
      <c r="Q421" s="176">
        <f t="shared" si="81"/>
        <v>1622120</v>
      </c>
      <c r="R421" s="176" t="str">
        <f t="shared" si="78"/>
        <v/>
      </c>
      <c r="S421" s="176" t="str">
        <f>IF(AND(AD421=1,R421&lt;&gt;".")=TRUE,R421/VLOOKUP(G421,'Exchange Rates'!B:C,2,0),IF(R421=".",".",""))</f>
        <v/>
      </c>
      <c r="T421" s="176" t="str">
        <f>IF(AD421=1,IF(AF421="Value is not given at all",".",IF(AF421="Value is given by the source",S421,IF(AF421="Value is calculated with prices",(IF(SUMIFS(Q:Q,A:A,A421)&gt;0,SUMIFS(Q:Q,A:A,A421),"."))/VLOOKUP("USD",'Exchange Rates'!B:C,2,0),"Error with coding"))),"")</f>
        <v/>
      </c>
      <c r="U421" s="15" t="s">
        <v>261</v>
      </c>
      <c r="V421" s="567" t="s">
        <v>1293</v>
      </c>
      <c r="W421" s="567" t="s">
        <v>1389</v>
      </c>
      <c r="X421" s="685" t="s">
        <v>260</v>
      </c>
      <c r="Y421" s="685" t="s">
        <v>260</v>
      </c>
      <c r="Z421" s="15">
        <v>0</v>
      </c>
      <c r="AA421" s="180">
        <v>1</v>
      </c>
      <c r="AB421" s="570" t="s">
        <v>1392</v>
      </c>
      <c r="AC421" s="544" t="str">
        <f>""</f>
        <v/>
      </c>
      <c r="AD421" s="183">
        <v>0</v>
      </c>
      <c r="AE421" s="183" t="s">
        <v>264</v>
      </c>
      <c r="AF421" s="183" t="s">
        <v>265</v>
      </c>
      <c r="AG421" s="183">
        <v>0</v>
      </c>
      <c r="AH421" s="183">
        <v>0</v>
      </c>
      <c r="AI421" s="183">
        <v>0</v>
      </c>
      <c r="AJ421" s="181">
        <f>VLOOKUP($I421,'Price List, Weapons &amp; Items'!B:F,5,0)</f>
        <v>1</v>
      </c>
      <c r="AK421" s="181">
        <f t="shared" si="82"/>
        <v>0</v>
      </c>
      <c r="AL421" s="181">
        <f t="shared" si="83"/>
        <v>0</v>
      </c>
      <c r="AM421" s="181">
        <f t="shared" si="84"/>
        <v>0</v>
      </c>
      <c r="AN421" s="180" t="str">
        <f>VLOOKUP($I421,'Price List, Weapons &amp; Items'!B:L,COLUMN('Price List, Weapons &amp; Items'!$J$11)-1,0)</f>
        <v>Contract</v>
      </c>
      <c r="AO421" s="180" t="str">
        <f>IF(I421=".",".",VLOOKUP($I421,'Price List, Weapons &amp; Items'!B:J,3,0))</f>
        <v>Armoured Recovery Vehicle (ARV)</v>
      </c>
      <c r="AP421" s="545" t="str">
        <f t="shared" ca="1" si="79"/>
        <v/>
      </c>
      <c r="AQ421" s="180">
        <f>VLOOKUP($I421,'Price List, Weapons &amp; Items'!B:L,COLUMN('Price List, Weapons &amp; Items'!$L$11)-1,0)</f>
        <v>2</v>
      </c>
      <c r="AR421" s="180">
        <f t="shared" si="85"/>
        <v>1</v>
      </c>
      <c r="AS421" s="180">
        <f t="shared" si="86"/>
        <v>1</v>
      </c>
      <c r="AT421" s="180" t="str">
        <f t="shared" si="87"/>
        <v>Value is not in date format</v>
      </c>
      <c r="AU421" s="180" t="str">
        <f t="shared" si="88"/>
        <v>.</v>
      </c>
      <c r="AV421" s="180" t="str">
        <f t="shared" si="89"/>
        <v>.</v>
      </c>
      <c r="AW421" s="180">
        <f>IFERROR(VLOOKUP(B421,'Share, Heavy Weapons to Ukraine'!B:J,COLUMN('Share, Heavy Weapons to Ukraine'!C430)-1,0),0)</f>
        <v>0</v>
      </c>
      <c r="AX421" s="180">
        <f>VLOOKUP('Bilateral Assistance, MAIN DATA'!B421,'Country Summary'!B:F,COLUMN('Country Summary'!C433)-1,FALSE)</f>
        <v>1</v>
      </c>
      <c r="AY421" s="180" t="str">
        <f>IF(AND(AD421=1,D421="Military",H421&lt;&gt;"Not given")=TRUE,IF(SUMIFS(P:P,A:A,A421)&gt;0,ABS((SUMIFS(P:P,A:A,A421)/VLOOKUP("USD",'Exchange Rates'!B:C,2,0)))/S421,"."),".")</f>
        <v>.</v>
      </c>
      <c r="AZ421" s="182" t="str">
        <f>IF(AND(AD421=1,D421="Military",H421&lt;&gt;"Not given")=TRUE,IF(SUMIFS(P:P,A:A,A421)&gt;0,IF((ABS((SUMIFS(P:P,A:A,A421)/VLOOKUP("USD",'Exchange Rates'!B:C,2,0)))/S421)&gt;1,(SUMIFS(P:P,A:A,A421)-S421)/S421,(S421-SUMIFS(P:P,A:A,A421))/SUMIFS(P:P,A:A,A421)),"."),".")</f>
        <v>.</v>
      </c>
      <c r="BA421" s="182"/>
      <c r="BB421" s="182"/>
      <c r="BC421" s="182"/>
      <c r="BD421" s="182"/>
      <c r="BE421" s="182"/>
      <c r="BF421" s="182"/>
      <c r="BG421" s="182"/>
      <c r="BH421" s="182"/>
      <c r="BI421" s="182"/>
      <c r="BJ421" s="182"/>
      <c r="BK421" s="182"/>
      <c r="BL421" s="182"/>
      <c r="BM421" s="182"/>
      <c r="BN421" s="182"/>
      <c r="BO421" s="182"/>
      <c r="BP421" s="182"/>
      <c r="BQ421" s="182"/>
      <c r="BR421" s="182"/>
      <c r="BS421" s="182"/>
    </row>
    <row r="422" spans="1:71" ht="15.9" customHeight="1" x14ac:dyDescent="0.3">
      <c r="A422" s="5" t="s">
        <v>1326</v>
      </c>
      <c r="B422" s="5" t="s">
        <v>1288</v>
      </c>
      <c r="C422" s="174" t="s">
        <v>1327</v>
      </c>
      <c r="D422" s="5" t="s">
        <v>285</v>
      </c>
      <c r="E422" s="5" t="s">
        <v>1328</v>
      </c>
      <c r="F422" s="1139" t="s">
        <v>1329</v>
      </c>
      <c r="G422" s="15" t="s">
        <v>364</v>
      </c>
      <c r="H422" s="176">
        <v>1360000000</v>
      </c>
      <c r="I422" s="185" t="s">
        <v>1393</v>
      </c>
      <c r="J422" s="113" t="str">
        <f>VLOOKUP($I422,'Price List, Weapons &amp; Items'!B:C,2,0)</f>
        <v>Military equipment</v>
      </c>
      <c r="K422" s="113" t="str">
        <f>IF(I422=".",I422,VLOOKUP($I422,'Price List, Weapons &amp; Items'!B:D,3,0))</f>
        <v>Military equipment</v>
      </c>
      <c r="L422" s="177">
        <f>VLOOKUP(I422,'Price List, Weapons &amp; Items'!B:E,4,0)</f>
        <v>0</v>
      </c>
      <c r="M422" s="542">
        <v>8</v>
      </c>
      <c r="N422" s="542">
        <v>8</v>
      </c>
      <c r="O422" s="543">
        <f>VLOOKUP($I422,'Price List, Weapons &amp; Items'!B:G,6,0)</f>
        <v>25000</v>
      </c>
      <c r="P422" s="176">
        <f t="shared" si="80"/>
        <v>200000</v>
      </c>
      <c r="Q422" s="176">
        <f t="shared" si="81"/>
        <v>200000</v>
      </c>
      <c r="R422" s="176" t="str">
        <f t="shared" si="78"/>
        <v/>
      </c>
      <c r="S422" s="176" t="str">
        <f>IF(AND(AD422=1,R422&lt;&gt;".")=TRUE,R422/VLOOKUP(G422,'Exchange Rates'!B:C,2,0),IF(R422=".",".",""))</f>
        <v/>
      </c>
      <c r="T422" s="176" t="str">
        <f>IF(AD422=1,IF(AF422="Value is not given at all",".",IF(AF422="Value is given by the source",S422,IF(AF422="Value is calculated with prices",(IF(SUMIFS(Q:Q,A:A,A422)&gt;0,SUMIFS(Q:Q,A:A,A422),"."))/VLOOKUP("USD",'Exchange Rates'!B:C,2,0),"Error with coding"))),"")</f>
        <v/>
      </c>
      <c r="U422" s="15" t="s">
        <v>261</v>
      </c>
      <c r="V422" s="567" t="s">
        <v>1293</v>
      </c>
      <c r="W422" s="567" t="s">
        <v>1391</v>
      </c>
      <c r="X422" s="685" t="s">
        <v>260</v>
      </c>
      <c r="Y422" s="685" t="s">
        <v>260</v>
      </c>
      <c r="Z422" s="15">
        <v>0</v>
      </c>
      <c r="AA422" s="180">
        <v>1</v>
      </c>
      <c r="AB422" s="570" t="s">
        <v>1394</v>
      </c>
      <c r="AC422" s="544" t="str">
        <f>""</f>
        <v/>
      </c>
      <c r="AD422" s="183">
        <v>0</v>
      </c>
      <c r="AE422" s="183" t="s">
        <v>264</v>
      </c>
      <c r="AF422" s="183" t="s">
        <v>265</v>
      </c>
      <c r="AG422" s="183">
        <v>0</v>
      </c>
      <c r="AH422" s="183">
        <v>0</v>
      </c>
      <c r="AI422" s="183">
        <v>0</v>
      </c>
      <c r="AJ422" s="181">
        <f>VLOOKUP($I422,'Price List, Weapons &amp; Items'!B:F,5,0)</f>
        <v>0</v>
      </c>
      <c r="AK422" s="181">
        <f t="shared" si="82"/>
        <v>0</v>
      </c>
      <c r="AL422" s="181">
        <f t="shared" si="83"/>
        <v>0</v>
      </c>
      <c r="AM422" s="181">
        <f t="shared" si="84"/>
        <v>0</v>
      </c>
      <c r="AN422" s="180" t="str">
        <f>VLOOKUP($I422,'Price List, Weapons &amp; Items'!B:L,COLUMN('Price List, Weapons &amp; Items'!$J$11)-1,0)</f>
        <v>Online marketplaces and stores</v>
      </c>
      <c r="AO422" s="180" t="str">
        <f>IF(I422=".",".",VLOOKUP($I422,'Price List, Weapons &amp; Items'!B:J,3,0))</f>
        <v>Military equipment</v>
      </c>
      <c r="AP422" s="545" t="str">
        <f t="shared" ca="1" si="79"/>
        <v/>
      </c>
      <c r="AQ422" s="180">
        <f>VLOOKUP($I422,'Price List, Weapons &amp; Items'!B:L,COLUMN('Price List, Weapons &amp; Items'!$L$11)-1,0)</f>
        <v>1</v>
      </c>
      <c r="AR422" s="180">
        <f t="shared" si="85"/>
        <v>1</v>
      </c>
      <c r="AS422" s="180">
        <f t="shared" si="86"/>
        <v>1</v>
      </c>
      <c r="AT422" s="180" t="str">
        <f t="shared" si="87"/>
        <v>Value is not in date format</v>
      </c>
      <c r="AU422" s="180" t="str">
        <f t="shared" si="88"/>
        <v>.</v>
      </c>
      <c r="AV422" s="180" t="str">
        <f t="shared" si="89"/>
        <v>.</v>
      </c>
      <c r="AW422" s="180">
        <f>IFERROR(VLOOKUP(B422,'Share, Heavy Weapons to Ukraine'!B:J,COLUMN('Share, Heavy Weapons to Ukraine'!C431)-1,0),0)</f>
        <v>0</v>
      </c>
      <c r="AX422" s="180">
        <f>VLOOKUP('Bilateral Assistance, MAIN DATA'!B422,'Country Summary'!B:F,COLUMN('Country Summary'!C434)-1,FALSE)</f>
        <v>1</v>
      </c>
      <c r="AY422" s="180" t="str">
        <f>IF(AND(AD422=1,D422="Military",H422&lt;&gt;"Not given")=TRUE,IF(SUMIFS(P:P,A:A,A422)&gt;0,ABS((SUMIFS(P:P,A:A,A422)/VLOOKUP("USD",'Exchange Rates'!B:C,2,0)))/S422,"."),".")</f>
        <v>.</v>
      </c>
      <c r="AZ422" s="182" t="str">
        <f>IF(AND(AD422=1,D422="Military",H422&lt;&gt;"Not given")=TRUE,IF(SUMIFS(P:P,A:A,A422)&gt;0,IF((ABS((SUMIFS(P:P,A:A,A422)/VLOOKUP("USD",'Exchange Rates'!B:C,2,0)))/S422)&gt;1,(SUMIFS(P:P,A:A,A422)-S422)/S422,(S422-SUMIFS(P:P,A:A,A422))/SUMIFS(P:P,A:A,A422)),"."),".")</f>
        <v>.</v>
      </c>
      <c r="BA422" s="182"/>
      <c r="BB422" s="182"/>
      <c r="BC422" s="182"/>
      <c r="BD422" s="182"/>
      <c r="BE422" s="182"/>
      <c r="BF422" s="182"/>
      <c r="BG422" s="182"/>
      <c r="BH422" s="182"/>
      <c r="BI422" s="182"/>
      <c r="BJ422" s="182"/>
      <c r="BK422" s="182"/>
      <c r="BL422" s="182"/>
      <c r="BM422" s="182"/>
      <c r="BN422" s="182"/>
      <c r="BO422" s="182"/>
      <c r="BP422" s="182"/>
      <c r="BQ422" s="182"/>
      <c r="BR422" s="182"/>
      <c r="BS422" s="182"/>
    </row>
    <row r="423" spans="1:71" ht="15.9" customHeight="1" x14ac:dyDescent="0.3">
      <c r="A423" s="5" t="s">
        <v>1326</v>
      </c>
      <c r="B423" s="5" t="s">
        <v>1288</v>
      </c>
      <c r="C423" s="174" t="s">
        <v>1327</v>
      </c>
      <c r="D423" s="5" t="s">
        <v>285</v>
      </c>
      <c r="E423" s="5" t="s">
        <v>1328</v>
      </c>
      <c r="F423" s="1139" t="s">
        <v>1329</v>
      </c>
      <c r="G423" s="15" t="s">
        <v>364</v>
      </c>
      <c r="H423" s="176">
        <v>1360000000</v>
      </c>
      <c r="I423" s="185" t="s">
        <v>1395</v>
      </c>
      <c r="J423" s="113" t="str">
        <f>VLOOKUP($I423,'Price List, Weapons &amp; Items'!B:C,2,0)</f>
        <v>Humanitarian</v>
      </c>
      <c r="K423" s="113" t="str">
        <f>IF(I423=".",I423,VLOOKUP($I423,'Price List, Weapons &amp; Items'!B:D,3,0))</f>
        <v>Humanitarian</v>
      </c>
      <c r="L423" s="177">
        <f>VLOOKUP(I423,'Price List, Weapons &amp; Items'!B:E,4,0)</f>
        <v>0</v>
      </c>
      <c r="M423" s="542">
        <v>185</v>
      </c>
      <c r="N423" s="542">
        <v>168</v>
      </c>
      <c r="O423" s="543">
        <f>VLOOKUP($I423,'Price List, Weapons &amp; Items'!B:G,6,0)</f>
        <v>300</v>
      </c>
      <c r="P423" s="176">
        <f t="shared" si="80"/>
        <v>55500</v>
      </c>
      <c r="Q423" s="176">
        <f t="shared" si="81"/>
        <v>50400</v>
      </c>
      <c r="R423" s="176" t="str">
        <f t="shared" si="78"/>
        <v/>
      </c>
      <c r="S423" s="176" t="str">
        <f>IF(AND(AD423=1,R423&lt;&gt;".")=TRUE,R423/VLOOKUP(G423,'Exchange Rates'!B:C,2,0),IF(R423=".",".",""))</f>
        <v/>
      </c>
      <c r="T423" s="176" t="str">
        <f>IF(AD423=1,IF(AF423="Value is not given at all",".",IF(AF423="Value is given by the source",S423,IF(AF423="Value is calculated with prices",(IF(SUMIFS(Q:Q,A:A,A423)&gt;0,SUMIFS(Q:Q,A:A,A423),"."))/VLOOKUP("USD",'Exchange Rates'!B:C,2,0),"Error with coding"))),"")</f>
        <v/>
      </c>
      <c r="U423" s="15" t="s">
        <v>261</v>
      </c>
      <c r="V423" s="567" t="s">
        <v>1293</v>
      </c>
      <c r="W423" s="567" t="s">
        <v>1392</v>
      </c>
      <c r="X423" s="685" t="s">
        <v>260</v>
      </c>
      <c r="Y423" s="685" t="s">
        <v>260</v>
      </c>
      <c r="Z423" s="15">
        <v>0</v>
      </c>
      <c r="AA423" s="180">
        <v>1</v>
      </c>
      <c r="AB423" s="570" t="s">
        <v>1396</v>
      </c>
      <c r="AC423" s="544" t="str">
        <f>""</f>
        <v/>
      </c>
      <c r="AD423" s="183">
        <v>0</v>
      </c>
      <c r="AE423" s="183" t="s">
        <v>264</v>
      </c>
      <c r="AF423" s="183" t="s">
        <v>265</v>
      </c>
      <c r="AG423" s="183">
        <v>0</v>
      </c>
      <c r="AH423" s="183">
        <v>0</v>
      </c>
      <c r="AI423" s="183">
        <v>0</v>
      </c>
      <c r="AJ423" s="181">
        <f>VLOOKUP($I423,'Price List, Weapons &amp; Items'!B:F,5,0)</f>
        <v>0</v>
      </c>
      <c r="AK423" s="181">
        <f t="shared" si="82"/>
        <v>0</v>
      </c>
      <c r="AL423" s="181">
        <f t="shared" si="83"/>
        <v>0</v>
      </c>
      <c r="AM423" s="181">
        <f t="shared" si="84"/>
        <v>0</v>
      </c>
      <c r="AN423" s="180" t="str">
        <f>VLOOKUP($I423,'Price List, Weapons &amp; Items'!B:L,COLUMN('Price List, Weapons &amp; Items'!$J$11)-1,0)</f>
        <v>Miscellaneous</v>
      </c>
      <c r="AO423" s="180" t="str">
        <f>IF(I423=".",".",VLOOKUP($I423,'Price List, Weapons &amp; Items'!B:J,3,0))</f>
        <v>Humanitarian</v>
      </c>
      <c r="AP423" s="545" t="str">
        <f t="shared" ca="1" si="79"/>
        <v/>
      </c>
      <c r="AQ423" s="180">
        <f>VLOOKUP($I423,'Price List, Weapons &amp; Items'!B:L,COLUMN('Price List, Weapons &amp; Items'!$L$11)-1,0)</f>
        <v>0</v>
      </c>
      <c r="AR423" s="180">
        <f t="shared" si="85"/>
        <v>1</v>
      </c>
      <c r="AS423" s="180">
        <f t="shared" si="86"/>
        <v>1</v>
      </c>
      <c r="AT423" s="180" t="str">
        <f t="shared" si="87"/>
        <v>Value is not in date format</v>
      </c>
      <c r="AU423" s="180" t="str">
        <f t="shared" si="88"/>
        <v>.</v>
      </c>
      <c r="AV423" s="180" t="str">
        <f t="shared" si="89"/>
        <v>.</v>
      </c>
      <c r="AW423" s="180">
        <f>IFERROR(VLOOKUP(B423,'Share, Heavy Weapons to Ukraine'!B:J,COLUMN('Share, Heavy Weapons to Ukraine'!C432)-1,0),0)</f>
        <v>0</v>
      </c>
      <c r="AX423" s="180">
        <f>VLOOKUP('Bilateral Assistance, MAIN DATA'!B423,'Country Summary'!B:F,COLUMN('Country Summary'!C435)-1,FALSE)</f>
        <v>1</v>
      </c>
      <c r="AY423" s="180" t="str">
        <f>IF(AND(AD423=1,D423="Military",H423&lt;&gt;"Not given")=TRUE,IF(SUMIFS(P:P,A:A,A423)&gt;0,ABS((SUMIFS(P:P,A:A,A423)/VLOOKUP("USD",'Exchange Rates'!B:C,2,0)))/S423,"."),".")</f>
        <v>.</v>
      </c>
      <c r="AZ423" s="182" t="str">
        <f>IF(AND(AD423=1,D423="Military",H423&lt;&gt;"Not given")=TRUE,IF(SUMIFS(P:P,A:A,A423)&gt;0,IF((ABS((SUMIFS(P:P,A:A,A423)/VLOOKUP("USD",'Exchange Rates'!B:C,2,0)))/S423)&gt;1,(SUMIFS(P:P,A:A,A423)-S423)/S423,(S423-SUMIFS(P:P,A:A,A423))/SUMIFS(P:P,A:A,A423)),"."),".")</f>
        <v>.</v>
      </c>
      <c r="BA423" s="182"/>
      <c r="BB423" s="182"/>
      <c r="BC423" s="182"/>
      <c r="BD423" s="182"/>
      <c r="BE423" s="182"/>
      <c r="BF423" s="182"/>
      <c r="BG423" s="182"/>
      <c r="BH423" s="182"/>
      <c r="BI423" s="182"/>
      <c r="BJ423" s="182"/>
      <c r="BK423" s="182"/>
      <c r="BL423" s="182"/>
      <c r="BM423" s="182"/>
      <c r="BN423" s="182"/>
      <c r="BO423" s="182"/>
      <c r="BP423" s="182"/>
      <c r="BQ423" s="182"/>
      <c r="BR423" s="182"/>
      <c r="BS423" s="182"/>
    </row>
    <row r="424" spans="1:71" ht="15.9" customHeight="1" x14ac:dyDescent="0.3">
      <c r="A424" s="5" t="s">
        <v>1326</v>
      </c>
      <c r="B424" s="5" t="s">
        <v>1288</v>
      </c>
      <c r="C424" s="174" t="s">
        <v>1327</v>
      </c>
      <c r="D424" s="5" t="s">
        <v>285</v>
      </c>
      <c r="E424" s="5" t="s">
        <v>1328</v>
      </c>
      <c r="F424" s="1139" t="s">
        <v>1329</v>
      </c>
      <c r="G424" s="15" t="s">
        <v>364</v>
      </c>
      <c r="H424" s="176">
        <v>1360000000</v>
      </c>
      <c r="I424" s="185" t="s">
        <v>1397</v>
      </c>
      <c r="J424" s="113" t="str">
        <f>VLOOKUP($I424,'Price List, Weapons &amp; Items'!B:C,2,0)</f>
        <v>military equipment</v>
      </c>
      <c r="K424" s="113" t="str">
        <f>IF(I424=".",I424,VLOOKUP($I424,'Price List, Weapons &amp; Items'!B:D,3,0))</f>
        <v>Military equipment</v>
      </c>
      <c r="L424" s="177">
        <f>VLOOKUP(I424,'Price List, Weapons &amp; Items'!B:E,4,0)</f>
        <v>0</v>
      </c>
      <c r="M424" s="542">
        <v>7</v>
      </c>
      <c r="N424" s="542">
        <v>4</v>
      </c>
      <c r="O424" s="543">
        <f>VLOOKUP($I424,'Price List, Weapons &amp; Items'!B:G,6,0)</f>
        <v>72000</v>
      </c>
      <c r="P424" s="176">
        <f t="shared" si="80"/>
        <v>504000</v>
      </c>
      <c r="Q424" s="176">
        <f t="shared" si="81"/>
        <v>288000</v>
      </c>
      <c r="R424" s="176" t="str">
        <f t="shared" si="78"/>
        <v/>
      </c>
      <c r="S424" s="176" t="str">
        <f>IF(AND(AD424=1,R424&lt;&gt;".")=TRUE,R424/VLOOKUP(G424,'Exchange Rates'!B:C,2,0),IF(R424=".",".",""))</f>
        <v/>
      </c>
      <c r="T424" s="176" t="str">
        <f>IF(AD424=1,IF(AF424="Value is not given at all",".",IF(AF424="Value is given by the source",S424,IF(AF424="Value is calculated with prices",(IF(SUMIFS(Q:Q,A:A,A424)&gt;0,SUMIFS(Q:Q,A:A,A424),"."))/VLOOKUP("USD",'Exchange Rates'!B:C,2,0),"Error with coding"))),"")</f>
        <v/>
      </c>
      <c r="U424" s="15" t="s">
        <v>261</v>
      </c>
      <c r="V424" s="567" t="s">
        <v>1293</v>
      </c>
      <c r="W424" s="567" t="s">
        <v>1394</v>
      </c>
      <c r="X424" s="685" t="s">
        <v>260</v>
      </c>
      <c r="Y424" s="685" t="s">
        <v>260</v>
      </c>
      <c r="Z424" s="15">
        <v>0</v>
      </c>
      <c r="AA424" s="180">
        <v>1</v>
      </c>
      <c r="AB424" s="570" t="s">
        <v>1398</v>
      </c>
      <c r="AC424" s="544" t="str">
        <f>""</f>
        <v/>
      </c>
      <c r="AD424" s="183">
        <v>0</v>
      </c>
      <c r="AE424" s="183" t="s">
        <v>264</v>
      </c>
      <c r="AF424" s="183" t="s">
        <v>265</v>
      </c>
      <c r="AG424" s="183">
        <v>0</v>
      </c>
      <c r="AH424" s="183">
        <v>0</v>
      </c>
      <c r="AI424" s="183">
        <v>0</v>
      </c>
      <c r="AJ424" s="181">
        <f>VLOOKUP($I424,'Price List, Weapons &amp; Items'!B:F,5,0)</f>
        <v>0</v>
      </c>
      <c r="AK424" s="181">
        <f t="shared" si="82"/>
        <v>0</v>
      </c>
      <c r="AL424" s="181">
        <f t="shared" si="83"/>
        <v>0</v>
      </c>
      <c r="AM424" s="181">
        <f t="shared" si="84"/>
        <v>0</v>
      </c>
      <c r="AN424" s="180" t="str">
        <f>VLOOKUP($I424,'Price List, Weapons &amp; Items'!B:L,COLUMN('Price List, Weapons &amp; Items'!$J$11)-1,0)</f>
        <v>Government information</v>
      </c>
      <c r="AO424" s="180" t="str">
        <f>IF(I424=".",".",VLOOKUP($I424,'Price List, Weapons &amp; Items'!B:J,3,0))</f>
        <v>Military equipment</v>
      </c>
      <c r="AP424" s="545" t="str">
        <f t="shared" ca="1" si="79"/>
        <v/>
      </c>
      <c r="AQ424" s="180">
        <f>VLOOKUP($I424,'Price List, Weapons &amp; Items'!B:L,COLUMN('Price List, Weapons &amp; Items'!$L$11)-1,0)</f>
        <v>1</v>
      </c>
      <c r="AR424" s="180">
        <f t="shared" si="85"/>
        <v>1</v>
      </c>
      <c r="AS424" s="180">
        <f t="shared" si="86"/>
        <v>1</v>
      </c>
      <c r="AT424" s="180" t="str">
        <f t="shared" si="87"/>
        <v>Value is not in date format</v>
      </c>
      <c r="AU424" s="180" t="str">
        <f t="shared" si="88"/>
        <v>.</v>
      </c>
      <c r="AV424" s="180" t="str">
        <f t="shared" si="89"/>
        <v>.</v>
      </c>
      <c r="AW424" s="180">
        <f>IFERROR(VLOOKUP(B424,'Share, Heavy Weapons to Ukraine'!B:J,COLUMN('Share, Heavy Weapons to Ukraine'!C433)-1,0),0)</f>
        <v>0</v>
      </c>
      <c r="AX424" s="180">
        <f>VLOOKUP('Bilateral Assistance, MAIN DATA'!B424,'Country Summary'!B:F,COLUMN('Country Summary'!C436)-1,FALSE)</f>
        <v>1</v>
      </c>
      <c r="AY424" s="180" t="str">
        <f>IF(AND(AD424=1,D424="Military",H424&lt;&gt;"Not given")=TRUE,IF(SUMIFS(P:P,A:A,A424)&gt;0,ABS((SUMIFS(P:P,A:A,A424)/VLOOKUP("USD",'Exchange Rates'!B:C,2,0)))/S424,"."),".")</f>
        <v>.</v>
      </c>
      <c r="AZ424" s="182" t="str">
        <f>IF(AND(AD424=1,D424="Military",H424&lt;&gt;"Not given")=TRUE,IF(SUMIFS(P:P,A:A,A424)&gt;0,IF((ABS((SUMIFS(P:P,A:A,A424)/VLOOKUP("USD",'Exchange Rates'!B:C,2,0)))/S424)&gt;1,(SUMIFS(P:P,A:A,A424)-S424)/S424,(S424-SUMIFS(P:P,A:A,A424))/SUMIFS(P:P,A:A,A424)),"."),".")</f>
        <v>.</v>
      </c>
      <c r="BA424" s="182"/>
      <c r="BB424" s="182"/>
      <c r="BC424" s="182"/>
      <c r="BD424" s="182"/>
      <c r="BE424" s="182"/>
      <c r="BF424" s="182"/>
      <c r="BG424" s="182"/>
      <c r="BH424" s="182"/>
      <c r="BI424" s="182"/>
      <c r="BJ424" s="182"/>
      <c r="BK424" s="182"/>
      <c r="BL424" s="182"/>
      <c r="BM424" s="182"/>
      <c r="BN424" s="182"/>
      <c r="BO424" s="182"/>
      <c r="BP424" s="182"/>
      <c r="BQ424" s="182"/>
      <c r="BR424" s="182"/>
      <c r="BS424" s="182"/>
    </row>
    <row r="425" spans="1:71" ht="15.9" customHeight="1" x14ac:dyDescent="0.3">
      <c r="A425" s="5" t="s">
        <v>1326</v>
      </c>
      <c r="B425" s="5" t="s">
        <v>1288</v>
      </c>
      <c r="C425" s="174" t="s">
        <v>1327</v>
      </c>
      <c r="D425" s="5" t="s">
        <v>285</v>
      </c>
      <c r="E425" s="5" t="s">
        <v>1328</v>
      </c>
      <c r="F425" s="1139" t="s">
        <v>1329</v>
      </c>
      <c r="G425" s="15" t="s">
        <v>364</v>
      </c>
      <c r="H425" s="176">
        <v>1360000000</v>
      </c>
      <c r="I425" s="156" t="s">
        <v>454</v>
      </c>
      <c r="J425" s="113" t="str">
        <f>VLOOKUP($I425,'Price List, Weapons &amp; Items'!B:C,2,0)</f>
        <v>Military equipment</v>
      </c>
      <c r="K425" s="113" t="str">
        <f>IF(I425=".",I425,VLOOKUP($I425,'Price List, Weapons &amp; Items'!B:D,3,0))</f>
        <v>Military equipment</v>
      </c>
      <c r="L425" s="177">
        <f>VLOOKUP(I425,'Price List, Weapons &amp; Items'!B:E,4,0)</f>
        <v>0</v>
      </c>
      <c r="M425" s="542">
        <v>353</v>
      </c>
      <c r="N425" s="542">
        <v>353</v>
      </c>
      <c r="O425" s="543">
        <f>VLOOKUP($I425,'Price List, Weapons &amp; Items'!B:G,6,0)</f>
        <v>2320</v>
      </c>
      <c r="P425" s="176">
        <f t="shared" si="80"/>
        <v>818960</v>
      </c>
      <c r="Q425" s="176">
        <f t="shared" si="81"/>
        <v>818960</v>
      </c>
      <c r="R425" s="176" t="str">
        <f t="shared" si="78"/>
        <v/>
      </c>
      <c r="S425" s="176" t="str">
        <f>IF(AND(AD425=1,R425&lt;&gt;".")=TRUE,R425/VLOOKUP(G425,'Exchange Rates'!B:C,2,0),IF(R425=".",".",""))</f>
        <v/>
      </c>
      <c r="T425" s="176" t="str">
        <f>IF(AD425=1,IF(AF425="Value is not given at all",".",IF(AF425="Value is given by the source",S425,IF(AF425="Value is calculated with prices",(IF(SUMIFS(Q:Q,A:A,A425)&gt;0,SUMIFS(Q:Q,A:A,A425),"."))/VLOOKUP("USD",'Exchange Rates'!B:C,2,0),"Error with coding"))),"")</f>
        <v/>
      </c>
      <c r="U425" s="15" t="s">
        <v>261</v>
      </c>
      <c r="V425" s="567" t="s">
        <v>1293</v>
      </c>
      <c r="W425" s="567" t="s">
        <v>1396</v>
      </c>
      <c r="X425" s="685" t="s">
        <v>260</v>
      </c>
      <c r="Y425" s="685" t="s">
        <v>260</v>
      </c>
      <c r="Z425" s="15">
        <v>0</v>
      </c>
      <c r="AA425" s="180">
        <v>1</v>
      </c>
      <c r="AB425" s="570" t="s">
        <v>1399</v>
      </c>
      <c r="AC425" s="544" t="str">
        <f>""</f>
        <v/>
      </c>
      <c r="AD425" s="183">
        <v>0</v>
      </c>
      <c r="AE425" s="183" t="s">
        <v>264</v>
      </c>
      <c r="AF425" s="183" t="s">
        <v>265</v>
      </c>
      <c r="AG425" s="183">
        <v>0</v>
      </c>
      <c r="AH425" s="183">
        <v>0</v>
      </c>
      <c r="AI425" s="183">
        <v>0</v>
      </c>
      <c r="AJ425" s="181">
        <f>VLOOKUP($I425,'Price List, Weapons &amp; Items'!B:F,5,0)</f>
        <v>0</v>
      </c>
      <c r="AK425" s="181">
        <f t="shared" si="82"/>
        <v>0</v>
      </c>
      <c r="AL425" s="181">
        <f t="shared" si="83"/>
        <v>0</v>
      </c>
      <c r="AM425" s="181">
        <f t="shared" si="84"/>
        <v>0</v>
      </c>
      <c r="AN425" s="180" t="str">
        <f>VLOOKUP($I425,'Price List, Weapons &amp; Items'!B:L,COLUMN('Price List, Weapons &amp; Items'!$J$11)-1,0)</f>
        <v>Media reports (incl. social media)</v>
      </c>
      <c r="AO425" s="180" t="str">
        <f>IF(I425=".",".",VLOOKUP($I425,'Price List, Weapons &amp; Items'!B:J,3,0))</f>
        <v>Military equipment</v>
      </c>
      <c r="AP425" s="545" t="str">
        <f t="shared" ca="1" si="79"/>
        <v/>
      </c>
      <c r="AQ425" s="180">
        <f>VLOOKUP($I425,'Price List, Weapons &amp; Items'!B:L,COLUMN('Price List, Weapons &amp; Items'!$L$11)-1,0)</f>
        <v>1</v>
      </c>
      <c r="AR425" s="180">
        <f t="shared" si="85"/>
        <v>1</v>
      </c>
      <c r="AS425" s="180">
        <f t="shared" si="86"/>
        <v>1</v>
      </c>
      <c r="AT425" s="180" t="str">
        <f t="shared" si="87"/>
        <v>Value is not in date format</v>
      </c>
      <c r="AU425" s="180" t="str">
        <f t="shared" si="88"/>
        <v>.</v>
      </c>
      <c r="AV425" s="180" t="str">
        <f t="shared" si="89"/>
        <v>.</v>
      </c>
      <c r="AW425" s="180">
        <f>IFERROR(VLOOKUP(B425,'Share, Heavy Weapons to Ukraine'!B:J,COLUMN('Share, Heavy Weapons to Ukraine'!C434)-1,0),0)</f>
        <v>0</v>
      </c>
      <c r="AX425" s="180">
        <f>VLOOKUP('Bilateral Assistance, MAIN DATA'!B425,'Country Summary'!B:F,COLUMN('Country Summary'!C437)-1,FALSE)</f>
        <v>1</v>
      </c>
      <c r="AY425" s="180" t="str">
        <f>IF(AND(AD425=1,D425="Military",H425&lt;&gt;"Not given")=TRUE,IF(SUMIFS(P:P,A:A,A425)&gt;0,ABS((SUMIFS(P:P,A:A,A425)/VLOOKUP("USD",'Exchange Rates'!B:C,2,0)))/S425,"."),".")</f>
        <v>.</v>
      </c>
      <c r="AZ425" s="182" t="str">
        <f>IF(AND(AD425=1,D425="Military",H425&lt;&gt;"Not given")=TRUE,IF(SUMIFS(P:P,A:A,A425)&gt;0,IF((ABS((SUMIFS(P:P,A:A,A425)/VLOOKUP("USD",'Exchange Rates'!B:C,2,0)))/S425)&gt;1,(SUMIFS(P:P,A:A,A425)-S425)/S425,(S425-SUMIFS(P:P,A:A,A425))/SUMIFS(P:P,A:A,A425)),"."),".")</f>
        <v>.</v>
      </c>
      <c r="BA425" s="182"/>
      <c r="BB425" s="182"/>
      <c r="BC425" s="182"/>
      <c r="BD425" s="182"/>
      <c r="BE425" s="182"/>
      <c r="BF425" s="182"/>
      <c r="BG425" s="182"/>
      <c r="BH425" s="182"/>
      <c r="BI425" s="182"/>
      <c r="BJ425" s="182"/>
      <c r="BK425" s="182"/>
      <c r="BL425" s="182"/>
      <c r="BM425" s="182"/>
      <c r="BN425" s="182"/>
      <c r="BO425" s="182"/>
      <c r="BP425" s="182"/>
      <c r="BQ425" s="182"/>
      <c r="BR425" s="182"/>
      <c r="BS425" s="182"/>
    </row>
    <row r="426" spans="1:71" ht="15.9" customHeight="1" x14ac:dyDescent="0.3">
      <c r="A426" s="5" t="s">
        <v>1326</v>
      </c>
      <c r="B426" s="5" t="s">
        <v>1288</v>
      </c>
      <c r="C426" s="174" t="s">
        <v>1327</v>
      </c>
      <c r="D426" s="5" t="s">
        <v>285</v>
      </c>
      <c r="E426" s="5" t="s">
        <v>1328</v>
      </c>
      <c r="F426" s="1139" t="s">
        <v>1329</v>
      </c>
      <c r="G426" s="15" t="s">
        <v>364</v>
      </c>
      <c r="H426" s="176">
        <v>1360000000</v>
      </c>
      <c r="I426" s="185" t="s">
        <v>1400</v>
      </c>
      <c r="J426" s="113" t="str">
        <f>VLOOKUP($I426,'Price List, Weapons &amp; Items'!B:C,2,0)</f>
        <v>Military equipment</v>
      </c>
      <c r="K426" s="113" t="str">
        <f>IF(I426=".",I426,VLOOKUP($I426,'Price List, Weapons &amp; Items'!B:D,3,0))</f>
        <v>non combat military vehicle</v>
      </c>
      <c r="L426" s="177">
        <f>VLOOKUP(I426,'Price List, Weapons &amp; Items'!B:E,4,0)</f>
        <v>0</v>
      </c>
      <c r="M426" s="542">
        <v>143</v>
      </c>
      <c r="N426" s="542">
        <v>143</v>
      </c>
      <c r="O426" s="543">
        <f>VLOOKUP($I426,'Price List, Weapons &amp; Items'!B:G,6,0)</f>
        <v>25000</v>
      </c>
      <c r="P426" s="176">
        <f t="shared" si="80"/>
        <v>3575000</v>
      </c>
      <c r="Q426" s="176">
        <f t="shared" si="81"/>
        <v>3575000</v>
      </c>
      <c r="R426" s="176" t="str">
        <f t="shared" si="78"/>
        <v/>
      </c>
      <c r="S426" s="176" t="str">
        <f>IF(AND(AD426=1,R426&lt;&gt;".")=TRUE,R426/VLOOKUP(G426,'Exchange Rates'!B:C,2,0),IF(R426=".",".",""))</f>
        <v/>
      </c>
      <c r="T426" s="176" t="str">
        <f>IF(AD426=1,IF(AF426="Value is not given at all",".",IF(AF426="Value is given by the source",S426,IF(AF426="Value is calculated with prices",(IF(SUMIFS(Q:Q,A:A,A426)&gt;0,SUMIFS(Q:Q,A:A,A426),"."))/VLOOKUP("USD",'Exchange Rates'!B:C,2,0),"Error with coding"))),"")</f>
        <v/>
      </c>
      <c r="U426" s="15" t="s">
        <v>261</v>
      </c>
      <c r="V426" s="567" t="s">
        <v>1293</v>
      </c>
      <c r="W426" s="567" t="s">
        <v>1398</v>
      </c>
      <c r="X426" s="685" t="s">
        <v>260</v>
      </c>
      <c r="Y426" s="685" t="s">
        <v>260</v>
      </c>
      <c r="Z426" s="15">
        <v>0</v>
      </c>
      <c r="AA426" s="180">
        <v>1</v>
      </c>
      <c r="AB426" s="570" t="s">
        <v>1401</v>
      </c>
      <c r="AC426" s="544" t="str">
        <f>""</f>
        <v/>
      </c>
      <c r="AD426" s="183">
        <v>0</v>
      </c>
      <c r="AE426" s="183" t="s">
        <v>264</v>
      </c>
      <c r="AF426" s="183" t="s">
        <v>265</v>
      </c>
      <c r="AG426" s="183">
        <v>0</v>
      </c>
      <c r="AH426" s="183">
        <v>0</v>
      </c>
      <c r="AI426" s="183">
        <v>0</v>
      </c>
      <c r="AJ426" s="181">
        <f>VLOOKUP($I426,'Price List, Weapons &amp; Items'!B:F,5,0)</f>
        <v>0</v>
      </c>
      <c r="AK426" s="181">
        <f t="shared" si="82"/>
        <v>0</v>
      </c>
      <c r="AL426" s="181">
        <f t="shared" si="83"/>
        <v>0</v>
      </c>
      <c r="AM426" s="181">
        <f t="shared" si="84"/>
        <v>0</v>
      </c>
      <c r="AN426" s="180" t="str">
        <f>VLOOKUP($I426,'Price List, Weapons &amp; Items'!B:L,COLUMN('Price List, Weapons &amp; Items'!$J$11)-1,0)</f>
        <v>Online marketplaces and stores</v>
      </c>
      <c r="AO426" s="180" t="str">
        <f>IF(I426=".",".",VLOOKUP($I426,'Price List, Weapons &amp; Items'!B:J,3,0))</f>
        <v>non combat military vehicle</v>
      </c>
      <c r="AP426" s="545" t="str">
        <f t="shared" ca="1" si="79"/>
        <v/>
      </c>
      <c r="AQ426" s="180">
        <f>VLOOKUP($I426,'Price List, Weapons &amp; Items'!B:L,COLUMN('Price List, Weapons &amp; Items'!$L$11)-1,0)</f>
        <v>2</v>
      </c>
      <c r="AR426" s="180">
        <f t="shared" si="85"/>
        <v>1</v>
      </c>
      <c r="AS426" s="180">
        <f t="shared" si="86"/>
        <v>1</v>
      </c>
      <c r="AT426" s="180" t="str">
        <f t="shared" si="87"/>
        <v>Value is not in date format</v>
      </c>
      <c r="AU426" s="180" t="str">
        <f t="shared" si="88"/>
        <v>.</v>
      </c>
      <c r="AV426" s="180" t="str">
        <f t="shared" si="89"/>
        <v>.</v>
      </c>
      <c r="AW426" s="180">
        <f>IFERROR(VLOOKUP(B426,'Share, Heavy Weapons to Ukraine'!B:J,COLUMN('Share, Heavy Weapons to Ukraine'!C435)-1,0),0)</f>
        <v>0</v>
      </c>
      <c r="AX426" s="180">
        <f>VLOOKUP('Bilateral Assistance, MAIN DATA'!B426,'Country Summary'!B:F,COLUMN('Country Summary'!C438)-1,FALSE)</f>
        <v>1</v>
      </c>
      <c r="AY426" s="180" t="str">
        <f>IF(AND(AD426=1,D426="Military",H426&lt;&gt;"Not given")=TRUE,IF(SUMIFS(P:P,A:A,A426)&gt;0,ABS((SUMIFS(P:P,A:A,A426)/VLOOKUP("USD",'Exchange Rates'!B:C,2,0)))/S426,"."),".")</f>
        <v>.</v>
      </c>
      <c r="AZ426" s="182" t="str">
        <f>IF(AND(AD426=1,D426="Military",H426&lt;&gt;"Not given")=TRUE,IF(SUMIFS(P:P,A:A,A426)&gt;0,IF((ABS((SUMIFS(P:P,A:A,A426)/VLOOKUP("USD",'Exchange Rates'!B:C,2,0)))/S426)&gt;1,(SUMIFS(P:P,A:A,A426)-S426)/S426,(S426-SUMIFS(P:P,A:A,A426))/SUMIFS(P:P,A:A,A426)),"."),".")</f>
        <v>.</v>
      </c>
      <c r="BA426" s="182"/>
      <c r="BB426" s="182"/>
      <c r="BC426" s="182"/>
      <c r="BD426" s="182"/>
      <c r="BE426" s="182"/>
      <c r="BF426" s="182"/>
      <c r="BG426" s="182"/>
      <c r="BH426" s="182"/>
      <c r="BI426" s="182"/>
      <c r="BJ426" s="182"/>
      <c r="BK426" s="182"/>
      <c r="BL426" s="182"/>
      <c r="BM426" s="182"/>
      <c r="BN426" s="182"/>
      <c r="BO426" s="182"/>
      <c r="BP426" s="182"/>
      <c r="BQ426" s="182"/>
      <c r="BR426" s="182"/>
      <c r="BS426" s="182"/>
    </row>
    <row r="427" spans="1:71" ht="15.9" customHeight="1" x14ac:dyDescent="0.3">
      <c r="A427" s="5" t="s">
        <v>1326</v>
      </c>
      <c r="B427" s="5" t="s">
        <v>1288</v>
      </c>
      <c r="C427" s="174" t="s">
        <v>1327</v>
      </c>
      <c r="D427" s="5" t="s">
        <v>285</v>
      </c>
      <c r="E427" s="5" t="s">
        <v>1328</v>
      </c>
      <c r="F427" s="1139" t="s">
        <v>1329</v>
      </c>
      <c r="G427" s="15" t="s">
        <v>364</v>
      </c>
      <c r="H427" s="176">
        <v>1360000000</v>
      </c>
      <c r="I427" s="185" t="s">
        <v>1402</v>
      </c>
      <c r="J427" s="113" t="str">
        <f>VLOOKUP($I427,'Price List, Weapons &amp; Items'!B:C,2,0)</f>
        <v>Heavy weapon</v>
      </c>
      <c r="K427" s="113" t="str">
        <f>IF(I427=".",I427,VLOOKUP($I427,'Price List, Weapons &amp; Items'!B:D,3,0))</f>
        <v>Armoured Utility Vehicle (AUV)</v>
      </c>
      <c r="L427" s="177">
        <f>VLOOKUP(I427,'Price List, Weapons &amp; Items'!B:E,4,0)</f>
        <v>0</v>
      </c>
      <c r="M427" s="542">
        <v>30</v>
      </c>
      <c r="N427" s="542">
        <v>30</v>
      </c>
      <c r="O427" s="543">
        <f>VLOOKUP($I427,'Price List, Weapons &amp; Items'!B:G,6,0)</f>
        <v>1650000</v>
      </c>
      <c r="P427" s="176">
        <f t="shared" si="80"/>
        <v>49500000</v>
      </c>
      <c r="Q427" s="176">
        <f t="shared" si="81"/>
        <v>49500000</v>
      </c>
      <c r="R427" s="176" t="str">
        <f t="shared" si="78"/>
        <v/>
      </c>
      <c r="S427" s="176" t="str">
        <f>IF(AND(AD427=1,R427&lt;&gt;".")=TRUE,R427/VLOOKUP(G427,'Exchange Rates'!B:C,2,0),IF(R427=".",".",""))</f>
        <v/>
      </c>
      <c r="T427" s="176" t="str">
        <f>IF(AD427=1,IF(AF427="Value is not given at all",".",IF(AF427="Value is given by the source",S427,IF(AF427="Value is calculated with prices",(IF(SUMIFS(Q:Q,A:A,A427)&gt;0,SUMIFS(Q:Q,A:A,A427),"."))/VLOOKUP("USD",'Exchange Rates'!B:C,2,0),"Error with coding"))),"")</f>
        <v/>
      </c>
      <c r="U427" s="15" t="s">
        <v>261</v>
      </c>
      <c r="V427" s="567" t="s">
        <v>1293</v>
      </c>
      <c r="W427" s="567" t="s">
        <v>1399</v>
      </c>
      <c r="X427" s="685" t="s">
        <v>260</v>
      </c>
      <c r="Y427" s="685" t="s">
        <v>260</v>
      </c>
      <c r="Z427" s="15">
        <v>0</v>
      </c>
      <c r="AA427" s="180">
        <v>1</v>
      </c>
      <c r="AB427" s="570" t="s">
        <v>1403</v>
      </c>
      <c r="AC427" s="544" t="str">
        <f>""</f>
        <v/>
      </c>
      <c r="AD427" s="183">
        <v>0</v>
      </c>
      <c r="AE427" s="183" t="s">
        <v>264</v>
      </c>
      <c r="AF427" s="183" t="s">
        <v>265</v>
      </c>
      <c r="AG427" s="183">
        <v>1</v>
      </c>
      <c r="AH427" s="183">
        <v>7</v>
      </c>
      <c r="AI427" s="183">
        <v>0</v>
      </c>
      <c r="AJ427" s="181">
        <f>VLOOKUP($I427,'Price List, Weapons &amp; Items'!B:F,5,0)</f>
        <v>1</v>
      </c>
      <c r="AK427" s="181">
        <f t="shared" si="82"/>
        <v>0</v>
      </c>
      <c r="AL427" s="181">
        <f t="shared" si="83"/>
        <v>0</v>
      </c>
      <c r="AM427" s="181">
        <f t="shared" si="84"/>
        <v>0</v>
      </c>
      <c r="AN427" s="180" t="str">
        <f>VLOOKUP($I427,'Price List, Weapons &amp; Items'!B:L,COLUMN('Price List, Weapons &amp; Items'!$J$11)-1,0)</f>
        <v>Miscellaneous</v>
      </c>
      <c r="AO427" s="180" t="str">
        <f>IF(I427=".",".",VLOOKUP($I427,'Price List, Weapons &amp; Items'!B:J,3,0))</f>
        <v>Armoured Utility Vehicle (AUV)</v>
      </c>
      <c r="AP427" s="545" t="str">
        <f t="shared" ca="1" si="79"/>
        <v/>
      </c>
      <c r="AQ427" s="180">
        <f>VLOOKUP($I427,'Price List, Weapons &amp; Items'!B:L,COLUMN('Price List, Weapons &amp; Items'!$L$11)-1,0)</f>
        <v>2</v>
      </c>
      <c r="AR427" s="180">
        <f t="shared" si="85"/>
        <v>1</v>
      </c>
      <c r="AS427" s="180">
        <f t="shared" si="86"/>
        <v>1</v>
      </c>
      <c r="AT427" s="180" t="str">
        <f t="shared" si="87"/>
        <v>Value is not in date format</v>
      </c>
      <c r="AU427" s="180" t="str">
        <f t="shared" si="88"/>
        <v>.</v>
      </c>
      <c r="AV427" s="180" t="str">
        <f t="shared" si="89"/>
        <v>.</v>
      </c>
      <c r="AW427" s="180">
        <f>IFERROR(VLOOKUP(B427,'Share, Heavy Weapons to Ukraine'!B:J,COLUMN('Share, Heavy Weapons to Ukraine'!C436)-1,0),0)</f>
        <v>0</v>
      </c>
      <c r="AX427" s="180">
        <f>VLOOKUP('Bilateral Assistance, MAIN DATA'!B427,'Country Summary'!B:F,COLUMN('Country Summary'!C439)-1,FALSE)</f>
        <v>1</v>
      </c>
      <c r="AY427" s="180" t="str">
        <f>IF(AND(AD427=1,D427="Military",H427&lt;&gt;"Not given")=TRUE,IF(SUMIFS(P:P,A:A,A427)&gt;0,ABS((SUMIFS(P:P,A:A,A427)/VLOOKUP("USD",'Exchange Rates'!B:C,2,0)))/S427,"."),".")</f>
        <v>.</v>
      </c>
      <c r="AZ427" s="182" t="str">
        <f>IF(AND(AD427=1,D427="Military",H427&lt;&gt;"Not given")=TRUE,IF(SUMIFS(P:P,A:A,A427)&gt;0,IF((ABS((SUMIFS(P:P,A:A,A427)/VLOOKUP("USD",'Exchange Rates'!B:C,2,0)))/S427)&gt;1,(SUMIFS(P:P,A:A,A427)-S427)/S427,(S427-SUMIFS(P:P,A:A,A427))/SUMIFS(P:P,A:A,A427)),"."),".")</f>
        <v>.</v>
      </c>
      <c r="BA427" s="182"/>
      <c r="BB427" s="182"/>
      <c r="BC427" s="182"/>
      <c r="BD427" s="182"/>
      <c r="BE427" s="182"/>
      <c r="BF427" s="182"/>
      <c r="BG427" s="182"/>
      <c r="BH427" s="182"/>
      <c r="BI427" s="182"/>
      <c r="BJ427" s="182"/>
      <c r="BK427" s="182"/>
      <c r="BL427" s="182"/>
      <c r="BM427" s="182"/>
      <c r="BN427" s="182"/>
      <c r="BO427" s="182"/>
      <c r="BP427" s="182"/>
      <c r="BQ427" s="182"/>
      <c r="BR427" s="182"/>
      <c r="BS427" s="182"/>
    </row>
    <row r="428" spans="1:71" ht="15.9" customHeight="1" x14ac:dyDescent="0.3">
      <c r="A428" s="5" t="s">
        <v>1326</v>
      </c>
      <c r="B428" s="5" t="s">
        <v>1288</v>
      </c>
      <c r="C428" s="174" t="s">
        <v>1327</v>
      </c>
      <c r="D428" s="5" t="s">
        <v>285</v>
      </c>
      <c r="E428" s="5" t="s">
        <v>1328</v>
      </c>
      <c r="F428" s="1139" t="s">
        <v>1329</v>
      </c>
      <c r="G428" s="15" t="s">
        <v>364</v>
      </c>
      <c r="H428" s="176">
        <v>1360000000</v>
      </c>
      <c r="I428" s="185" t="s">
        <v>1402</v>
      </c>
      <c r="J428" s="113" t="str">
        <f>VLOOKUP($I428,'Price List, Weapons &amp; Items'!B:C,2,0)</f>
        <v>Heavy weapon</v>
      </c>
      <c r="K428" s="113" t="str">
        <f>IF(I428=".",I428,VLOOKUP($I428,'Price List, Weapons &amp; Items'!B:D,3,0))</f>
        <v>Armoured Utility Vehicle (AUV)</v>
      </c>
      <c r="L428" s="177">
        <f>VLOOKUP(I428,'Price List, Weapons &amp; Items'!B:E,4,0)</f>
        <v>0</v>
      </c>
      <c r="M428" s="542">
        <v>10</v>
      </c>
      <c r="N428" s="542">
        <v>0</v>
      </c>
      <c r="O428" s="543">
        <f>VLOOKUP($I428,'Price List, Weapons &amp; Items'!B:G,6,0)</f>
        <v>1650000</v>
      </c>
      <c r="P428" s="176">
        <f t="shared" si="80"/>
        <v>16500000</v>
      </c>
      <c r="Q428" s="176">
        <f t="shared" si="81"/>
        <v>0</v>
      </c>
      <c r="R428" s="176" t="str">
        <f t="shared" si="78"/>
        <v/>
      </c>
      <c r="S428" s="176" t="str">
        <f>IF(AND(AD428=1,R428&lt;&gt;".")=TRUE,R428/VLOOKUP(G428,'Exchange Rates'!B:C,2,0),IF(R428=".",".",""))</f>
        <v/>
      </c>
      <c r="T428" s="176" t="str">
        <f>IF(AD428=1,IF(AF428="Value is not given at all",".",IF(AF428="Value is given by the source",S428,IF(AF428="Value is calculated with prices",(IF(SUMIFS(Q:Q,A:A,A428)&gt;0,SUMIFS(Q:Q,A:A,A428),"."))/VLOOKUP("USD",'Exchange Rates'!B:C,2,0),"Error with coding"))),"")</f>
        <v/>
      </c>
      <c r="U428" s="15" t="s">
        <v>261</v>
      </c>
      <c r="V428" s="567" t="s">
        <v>1293</v>
      </c>
      <c r="W428" s="567" t="s">
        <v>1401</v>
      </c>
      <c r="X428" s="685" t="s">
        <v>260</v>
      </c>
      <c r="Y428" s="685" t="s">
        <v>260</v>
      </c>
      <c r="Z428" s="15">
        <v>0</v>
      </c>
      <c r="AA428" s="180">
        <v>1</v>
      </c>
      <c r="AB428" s="570" t="s">
        <v>1404</v>
      </c>
      <c r="AC428" s="544" t="str">
        <f>""</f>
        <v/>
      </c>
      <c r="AD428" s="183">
        <v>0</v>
      </c>
      <c r="AE428" s="183" t="s">
        <v>264</v>
      </c>
      <c r="AF428" s="183" t="s">
        <v>265</v>
      </c>
      <c r="AG428" s="183">
        <v>1</v>
      </c>
      <c r="AH428" s="183">
        <v>7</v>
      </c>
      <c r="AI428" s="183">
        <v>0</v>
      </c>
      <c r="AJ428" s="181">
        <f>VLOOKUP($I428,'Price List, Weapons &amp; Items'!B:F,5,0)</f>
        <v>1</v>
      </c>
      <c r="AK428" s="181">
        <f t="shared" si="82"/>
        <v>0</v>
      </c>
      <c r="AL428" s="181">
        <f t="shared" si="83"/>
        <v>0</v>
      </c>
      <c r="AM428" s="181">
        <f t="shared" si="84"/>
        <v>0</v>
      </c>
      <c r="AN428" s="180" t="str">
        <f>VLOOKUP($I428,'Price List, Weapons &amp; Items'!B:L,COLUMN('Price List, Weapons &amp; Items'!$J$11)-1,0)</f>
        <v>Miscellaneous</v>
      </c>
      <c r="AO428" s="180" t="str">
        <f>IF(I428=".",".",VLOOKUP($I428,'Price List, Weapons &amp; Items'!B:J,3,0))</f>
        <v>Armoured Utility Vehicle (AUV)</v>
      </c>
      <c r="AP428" s="545" t="str">
        <f t="shared" ca="1" si="79"/>
        <v/>
      </c>
      <c r="AQ428" s="180">
        <f>VLOOKUP($I428,'Price List, Weapons &amp; Items'!B:L,COLUMN('Price List, Weapons &amp; Items'!$L$11)-1,0)</f>
        <v>2</v>
      </c>
      <c r="AR428" s="180">
        <f t="shared" si="85"/>
        <v>1</v>
      </c>
      <c r="AS428" s="180">
        <f t="shared" si="86"/>
        <v>1</v>
      </c>
      <c r="AT428" s="180" t="str">
        <f t="shared" si="87"/>
        <v>Value is not in date format</v>
      </c>
      <c r="AU428" s="180" t="str">
        <f t="shared" si="88"/>
        <v>.</v>
      </c>
      <c r="AV428" s="180" t="str">
        <f t="shared" si="89"/>
        <v>.</v>
      </c>
      <c r="AW428" s="180">
        <f>IFERROR(VLOOKUP(B428,'Share, Heavy Weapons to Ukraine'!B:J,COLUMN('Share, Heavy Weapons to Ukraine'!C437)-1,0),0)</f>
        <v>0</v>
      </c>
      <c r="AX428" s="180">
        <f>VLOOKUP('Bilateral Assistance, MAIN DATA'!B428,'Country Summary'!B:F,COLUMN('Country Summary'!C440)-1,FALSE)</f>
        <v>1</v>
      </c>
      <c r="AY428" s="180" t="str">
        <f>IF(AND(AD428=1,D428="Military",H428&lt;&gt;"Not given")=TRUE,IF(SUMIFS(P:P,A:A,A428)&gt;0,ABS((SUMIFS(P:P,A:A,A428)/VLOOKUP("USD",'Exchange Rates'!B:C,2,0)))/S428,"."),".")</f>
        <v>.</v>
      </c>
      <c r="AZ428" s="182" t="str">
        <f>IF(AND(AD428=1,D428="Military",H428&lt;&gt;"Not given")=TRUE,IF(SUMIFS(P:P,A:A,A428)&gt;0,IF((ABS((SUMIFS(P:P,A:A,A428)/VLOOKUP("USD",'Exchange Rates'!B:C,2,0)))/S428)&gt;1,(SUMIFS(P:P,A:A,A428)-S428)/S428,(S428-SUMIFS(P:P,A:A,A428))/SUMIFS(P:P,A:A,A428)),"."),".")</f>
        <v>.</v>
      </c>
      <c r="BA428" s="182"/>
      <c r="BB428" s="182"/>
      <c r="BC428" s="182"/>
      <c r="BD428" s="182"/>
      <c r="BE428" s="182"/>
      <c r="BF428" s="182"/>
      <c r="BG428" s="182"/>
      <c r="BH428" s="182"/>
      <c r="BI428" s="182"/>
      <c r="BJ428" s="182"/>
      <c r="BK428" s="182"/>
      <c r="BL428" s="182"/>
      <c r="BM428" s="182"/>
      <c r="BN428" s="182"/>
      <c r="BO428" s="182"/>
      <c r="BP428" s="182"/>
      <c r="BQ428" s="182"/>
      <c r="BR428" s="182"/>
      <c r="BS428" s="182"/>
    </row>
    <row r="429" spans="1:71" ht="15.9" customHeight="1" x14ac:dyDescent="0.3">
      <c r="A429" s="5" t="s">
        <v>1326</v>
      </c>
      <c r="B429" s="5" t="s">
        <v>1288</v>
      </c>
      <c r="C429" s="174" t="s">
        <v>1327</v>
      </c>
      <c r="D429" s="5" t="s">
        <v>285</v>
      </c>
      <c r="E429" s="5" t="s">
        <v>1328</v>
      </c>
      <c r="F429" s="1139" t="s">
        <v>1329</v>
      </c>
      <c r="G429" s="15" t="s">
        <v>364</v>
      </c>
      <c r="H429" s="176">
        <v>1360000000</v>
      </c>
      <c r="I429" s="185" t="s">
        <v>1405</v>
      </c>
      <c r="J429" s="113" t="str">
        <f>VLOOKUP($I429,'Price List, Weapons &amp; Items'!B:C,2,0)</f>
        <v>Military equipment</v>
      </c>
      <c r="K429" s="113" t="str">
        <f>IF(I429=".",I429,VLOOKUP($I429,'Price List, Weapons &amp; Items'!B:D,3,0))</f>
        <v>Military equipment</v>
      </c>
      <c r="L429" s="177">
        <f>VLOOKUP(I429,'Price List, Weapons &amp; Items'!B:E,4,0)</f>
        <v>0</v>
      </c>
      <c r="M429" s="542">
        <v>7</v>
      </c>
      <c r="N429" s="542">
        <v>7</v>
      </c>
      <c r="O429" s="543" t="str">
        <f>VLOOKUP($I429,'Price List, Weapons &amp; Items'!B:G,6,0)</f>
        <v>.</v>
      </c>
      <c r="P429" s="176" t="str">
        <f t="shared" si="80"/>
        <v>No price</v>
      </c>
      <c r="Q429" s="176" t="str">
        <f t="shared" si="81"/>
        <v>No price</v>
      </c>
      <c r="R429" s="176" t="str">
        <f t="shared" si="78"/>
        <v/>
      </c>
      <c r="S429" s="176" t="str">
        <f>IF(AND(AD429=1,R429&lt;&gt;".")=TRUE,R429/VLOOKUP(G429,'Exchange Rates'!B:C,2,0),IF(R429=".",".",""))</f>
        <v/>
      </c>
      <c r="T429" s="176" t="str">
        <f>IF(AD429=1,IF(AF429="Value is not given at all",".",IF(AF429="Value is given by the source",S429,IF(AF429="Value is calculated with prices",(IF(SUMIFS(Q:Q,A:A,A429)&gt;0,SUMIFS(Q:Q,A:A,A429),"."))/VLOOKUP("USD",'Exchange Rates'!B:C,2,0),"Error with coding"))),"")</f>
        <v/>
      </c>
      <c r="U429" s="15" t="s">
        <v>261</v>
      </c>
      <c r="V429" s="567" t="s">
        <v>1293</v>
      </c>
      <c r="W429" s="567" t="s">
        <v>1403</v>
      </c>
      <c r="X429" s="685" t="s">
        <v>260</v>
      </c>
      <c r="Y429" s="685" t="s">
        <v>260</v>
      </c>
      <c r="Z429" s="15">
        <v>0</v>
      </c>
      <c r="AA429" s="180">
        <v>1</v>
      </c>
      <c r="AB429" s="570" t="s">
        <v>1406</v>
      </c>
      <c r="AC429" s="544" t="str">
        <f>""</f>
        <v/>
      </c>
      <c r="AD429" s="183">
        <v>0</v>
      </c>
      <c r="AE429" s="183" t="s">
        <v>264</v>
      </c>
      <c r="AF429" s="183" t="s">
        <v>265</v>
      </c>
      <c r="AG429" s="183">
        <v>0</v>
      </c>
      <c r="AH429" s="183">
        <v>0</v>
      </c>
      <c r="AI429" s="183">
        <v>0</v>
      </c>
      <c r="AJ429" s="181">
        <f>VLOOKUP($I429,'Price List, Weapons &amp; Items'!B:F,5,0)</f>
        <v>0</v>
      </c>
      <c r="AK429" s="181">
        <f t="shared" si="82"/>
        <v>0</v>
      </c>
      <c r="AL429" s="181">
        <f t="shared" si="83"/>
        <v>0</v>
      </c>
      <c r="AM429" s="181">
        <f t="shared" si="84"/>
        <v>0</v>
      </c>
      <c r="AN429" s="180" t="str">
        <f>VLOOKUP($I429,'Price List, Weapons &amp; Items'!B:L,COLUMN('Price List, Weapons &amp; Items'!$J$11)-1,0)</f>
        <v>.</v>
      </c>
      <c r="AO429" s="180" t="str">
        <f>IF(I429=".",".",VLOOKUP($I429,'Price List, Weapons &amp; Items'!B:J,3,0))</f>
        <v>Military equipment</v>
      </c>
      <c r="AP429" s="545" t="str">
        <f t="shared" ca="1" si="79"/>
        <v/>
      </c>
      <c r="AQ429" s="180">
        <f>VLOOKUP($I429,'Price List, Weapons &amp; Items'!B:L,COLUMN('Price List, Weapons &amp; Items'!$L$11)-1,0)</f>
        <v>0</v>
      </c>
      <c r="AR429" s="180">
        <f t="shared" si="85"/>
        <v>1</v>
      </c>
      <c r="AS429" s="180">
        <f t="shared" si="86"/>
        <v>1</v>
      </c>
      <c r="AT429" s="180" t="str">
        <f t="shared" si="87"/>
        <v>Value is not in date format</v>
      </c>
      <c r="AU429" s="180" t="str">
        <f t="shared" si="88"/>
        <v>.</v>
      </c>
      <c r="AV429" s="180" t="str">
        <f t="shared" si="89"/>
        <v>.</v>
      </c>
      <c r="AW429" s="180">
        <f>IFERROR(VLOOKUP(B429,'Share, Heavy Weapons to Ukraine'!B:J,COLUMN('Share, Heavy Weapons to Ukraine'!C438)-1,0),0)</f>
        <v>0</v>
      </c>
      <c r="AX429" s="180">
        <f>VLOOKUP('Bilateral Assistance, MAIN DATA'!B429,'Country Summary'!B:F,COLUMN('Country Summary'!C441)-1,FALSE)</f>
        <v>1</v>
      </c>
      <c r="AY429" s="180" t="str">
        <f>IF(AND(AD429=1,D429="Military",H429&lt;&gt;"Not given")=TRUE,IF(SUMIFS(P:P,A:A,A429)&gt;0,ABS((SUMIFS(P:P,A:A,A429)/VLOOKUP("USD",'Exchange Rates'!B:C,2,0)))/S429,"."),".")</f>
        <v>.</v>
      </c>
      <c r="AZ429" s="182" t="str">
        <f>IF(AND(AD429=1,D429="Military",H429&lt;&gt;"Not given")=TRUE,IF(SUMIFS(P:P,A:A,A429)&gt;0,IF((ABS((SUMIFS(P:P,A:A,A429)/VLOOKUP("USD",'Exchange Rates'!B:C,2,0)))/S429)&gt;1,(SUMIFS(P:P,A:A,A429)-S429)/S429,(S429-SUMIFS(P:P,A:A,A429))/SUMIFS(P:P,A:A,A429)),"."),".")</f>
        <v>.</v>
      </c>
      <c r="BA429" s="182"/>
      <c r="BB429" s="182"/>
      <c r="BC429" s="182"/>
      <c r="BD429" s="182"/>
      <c r="BE429" s="182"/>
      <c r="BF429" s="182"/>
      <c r="BG429" s="182"/>
      <c r="BH429" s="182"/>
      <c r="BI429" s="182"/>
      <c r="BJ429" s="182"/>
      <c r="BK429" s="182"/>
      <c r="BL429" s="182"/>
      <c r="BM429" s="182"/>
      <c r="BN429" s="182"/>
      <c r="BO429" s="182"/>
      <c r="BP429" s="182"/>
      <c r="BQ429" s="182"/>
      <c r="BR429" s="182"/>
      <c r="BS429" s="182"/>
    </row>
    <row r="430" spans="1:71" ht="15.9" customHeight="1" x14ac:dyDescent="0.3">
      <c r="A430" s="5" t="s">
        <v>1326</v>
      </c>
      <c r="B430" s="5" t="s">
        <v>1288</v>
      </c>
      <c r="C430" s="174" t="s">
        <v>1327</v>
      </c>
      <c r="D430" s="5" t="s">
        <v>285</v>
      </c>
      <c r="E430" s="5" t="s">
        <v>1328</v>
      </c>
      <c r="F430" s="1139" t="s">
        <v>1329</v>
      </c>
      <c r="G430" s="15" t="s">
        <v>364</v>
      </c>
      <c r="H430" s="176">
        <v>1360000000</v>
      </c>
      <c r="I430" s="185" t="s">
        <v>1407</v>
      </c>
      <c r="J430" s="113" t="str">
        <f>VLOOKUP($I430,'Price List, Weapons &amp; Items'!B:C,2,0)</f>
        <v>Aviation and drones</v>
      </c>
      <c r="K430" s="113" t="str">
        <f>IF(I430=".",I430,VLOOKUP($I430,'Price List, Weapons &amp; Items'!B:D,3,0))</f>
        <v>drone</v>
      </c>
      <c r="L430" s="177">
        <f>VLOOKUP(I430,'Price List, Weapons &amp; Items'!B:E,4,0)</f>
        <v>0</v>
      </c>
      <c r="M430" s="542">
        <v>140</v>
      </c>
      <c r="N430" s="542">
        <v>26</v>
      </c>
      <c r="O430" s="543">
        <f>VLOOKUP($I430,'Price List, Weapons &amp; Items'!B:G,6,0)</f>
        <v>1035567.45</v>
      </c>
      <c r="P430" s="176">
        <f t="shared" si="80"/>
        <v>144979443</v>
      </c>
      <c r="Q430" s="176">
        <f t="shared" si="81"/>
        <v>26924753.699999999</v>
      </c>
      <c r="R430" s="176" t="str">
        <f t="shared" si="78"/>
        <v/>
      </c>
      <c r="S430" s="176" t="str">
        <f>IF(AND(AD430=1,R430&lt;&gt;".")=TRUE,R430/VLOOKUP(G430,'Exchange Rates'!B:C,2,0),IF(R430=".",".",""))</f>
        <v/>
      </c>
      <c r="T430" s="176" t="str">
        <f>IF(AD430=1,IF(AF430="Value is not given at all",".",IF(AF430="Value is given by the source",S430,IF(AF430="Value is calculated with prices",(IF(SUMIFS(Q:Q,A:A,A430)&gt;0,SUMIFS(Q:Q,A:A,A430),"."))/VLOOKUP("USD",'Exchange Rates'!B:C,2,0),"Error with coding"))),"")</f>
        <v/>
      </c>
      <c r="U430" s="15" t="s">
        <v>261</v>
      </c>
      <c r="V430" s="567" t="s">
        <v>1293</v>
      </c>
      <c r="W430" s="567" t="s">
        <v>1404</v>
      </c>
      <c r="X430" s="685" t="s">
        <v>260</v>
      </c>
      <c r="Y430" s="685" t="s">
        <v>260</v>
      </c>
      <c r="Z430" s="15">
        <v>0</v>
      </c>
      <c r="AA430" s="180">
        <v>1</v>
      </c>
      <c r="AB430" s="570" t="s">
        <v>1408</v>
      </c>
      <c r="AC430" s="544" t="str">
        <f>""</f>
        <v/>
      </c>
      <c r="AD430" s="183">
        <v>0</v>
      </c>
      <c r="AE430" s="183" t="s">
        <v>264</v>
      </c>
      <c r="AF430" s="183" t="s">
        <v>265</v>
      </c>
      <c r="AG430" s="183">
        <v>0</v>
      </c>
      <c r="AH430" s="183">
        <v>0</v>
      </c>
      <c r="AI430" s="183">
        <v>0</v>
      </c>
      <c r="AJ430" s="181">
        <f>VLOOKUP($I430,'Price List, Weapons &amp; Items'!B:F,5,0)</f>
        <v>0</v>
      </c>
      <c r="AK430" s="181">
        <f t="shared" si="82"/>
        <v>0</v>
      </c>
      <c r="AL430" s="181">
        <f t="shared" si="83"/>
        <v>0</v>
      </c>
      <c r="AM430" s="181">
        <f t="shared" si="84"/>
        <v>0</v>
      </c>
      <c r="AN430" s="180" t="str">
        <f>VLOOKUP($I430,'Price List, Weapons &amp; Items'!B:L,COLUMN('Price List, Weapons &amp; Items'!$J$11)-1,0)</f>
        <v>Miscellaneous</v>
      </c>
      <c r="AO430" s="180" t="str">
        <f>IF(I430=".",".",VLOOKUP($I430,'Price List, Weapons &amp; Items'!B:J,3,0))</f>
        <v>drone</v>
      </c>
      <c r="AP430" s="545" t="str">
        <f t="shared" ca="1" si="79"/>
        <v/>
      </c>
      <c r="AQ430" s="180">
        <f>VLOOKUP($I430,'Price List, Weapons &amp; Items'!B:L,COLUMN('Price List, Weapons &amp; Items'!$L$11)-1,0)</f>
        <v>2</v>
      </c>
      <c r="AR430" s="180">
        <f t="shared" si="85"/>
        <v>1</v>
      </c>
      <c r="AS430" s="180">
        <f t="shared" si="86"/>
        <v>1</v>
      </c>
      <c r="AT430" s="180" t="str">
        <f t="shared" si="87"/>
        <v>Value is not in date format</v>
      </c>
      <c r="AU430" s="180" t="str">
        <f t="shared" si="88"/>
        <v>.</v>
      </c>
      <c r="AV430" s="180" t="str">
        <f t="shared" si="89"/>
        <v>.</v>
      </c>
      <c r="AW430" s="180">
        <f>IFERROR(VLOOKUP(B430,'Share, Heavy Weapons to Ukraine'!B:J,COLUMN('Share, Heavy Weapons to Ukraine'!C439)-1,0),0)</f>
        <v>0</v>
      </c>
      <c r="AX430" s="180">
        <f>VLOOKUP('Bilateral Assistance, MAIN DATA'!B430,'Country Summary'!B:F,COLUMN('Country Summary'!C442)-1,FALSE)</f>
        <v>1</v>
      </c>
      <c r="AY430" s="180" t="str">
        <f>IF(AND(AD430=1,D430="Military",H430&lt;&gt;"Not given")=TRUE,IF(SUMIFS(P:P,A:A,A430)&gt;0,ABS((SUMIFS(P:P,A:A,A430)/VLOOKUP("USD",'Exchange Rates'!B:C,2,0)))/S430,"."),".")</f>
        <v>.</v>
      </c>
      <c r="AZ430" s="182" t="str">
        <f>IF(AND(AD430=1,D430="Military",H430&lt;&gt;"Not given")=TRUE,IF(SUMIFS(P:P,A:A,A430)&gt;0,IF((ABS((SUMIFS(P:P,A:A,A430)/VLOOKUP("USD",'Exchange Rates'!B:C,2,0)))/S430)&gt;1,(SUMIFS(P:P,A:A,A430)-S430)/S430,(S430-SUMIFS(P:P,A:A,A430))/SUMIFS(P:P,A:A,A430)),"."),".")</f>
        <v>.</v>
      </c>
      <c r="BA430" s="182"/>
      <c r="BB430" s="182"/>
      <c r="BC430" s="182"/>
      <c r="BD430" s="182"/>
      <c r="BE430" s="182"/>
      <c r="BF430" s="182"/>
      <c r="BG430" s="182"/>
      <c r="BH430" s="182"/>
      <c r="BI430" s="182"/>
      <c r="BJ430" s="182"/>
      <c r="BK430" s="182"/>
      <c r="BL430" s="182"/>
      <c r="BM430" s="182"/>
      <c r="BN430" s="182"/>
      <c r="BO430" s="182"/>
      <c r="BP430" s="182"/>
      <c r="BQ430" s="182"/>
      <c r="BR430" s="182"/>
      <c r="BS430" s="182"/>
    </row>
    <row r="431" spans="1:71" ht="15.9" customHeight="1" x14ac:dyDescent="0.3">
      <c r="A431" s="5" t="s">
        <v>1326</v>
      </c>
      <c r="B431" s="5" t="s">
        <v>1288</v>
      </c>
      <c r="C431" s="174" t="s">
        <v>1327</v>
      </c>
      <c r="D431" s="5" t="s">
        <v>285</v>
      </c>
      <c r="E431" s="5" t="s">
        <v>1328</v>
      </c>
      <c r="F431" s="1139" t="s">
        <v>1329</v>
      </c>
      <c r="G431" s="15" t="s">
        <v>364</v>
      </c>
      <c r="H431" s="176">
        <v>1360000000</v>
      </c>
      <c r="I431" s="185" t="s">
        <v>1409</v>
      </c>
      <c r="J431" s="113" t="str">
        <f>VLOOKUP($I431,'Price List, Weapons &amp; Items'!B:C,2,0)</f>
        <v>Portable defence system</v>
      </c>
      <c r="K431" s="113" t="str">
        <f>IF(I431=".",I431,VLOOKUP($I431,'Price List, Weapons &amp; Items'!B:D,3,0))</f>
        <v>Light Anti-armor Weapon (LAW)</v>
      </c>
      <c r="L431" s="177">
        <f>VLOOKUP(I431,'Price List, Weapons &amp; Items'!B:E,4,0)</f>
        <v>0</v>
      </c>
      <c r="M431" s="542">
        <v>7944</v>
      </c>
      <c r="N431" s="542">
        <v>7944</v>
      </c>
      <c r="O431" s="543">
        <f>VLOOKUP($I431,'Price List, Weapons &amp; Items'!B:G,6,0)</f>
        <v>5372.5490196078435</v>
      </c>
      <c r="P431" s="176">
        <f t="shared" si="80"/>
        <v>42679529.411764711</v>
      </c>
      <c r="Q431" s="176">
        <f t="shared" si="81"/>
        <v>42679529.411764711</v>
      </c>
      <c r="R431" s="176" t="str">
        <f t="shared" si="78"/>
        <v/>
      </c>
      <c r="S431" s="176" t="str">
        <f>IF(AND(AD431=1,R431&lt;&gt;".")=TRUE,R431/VLOOKUP(G431,'Exchange Rates'!B:C,2,0),IF(R431=".",".",""))</f>
        <v/>
      </c>
      <c r="T431" s="176" t="str">
        <f>IF(AD431=1,IF(AF431="Value is not given at all",".",IF(AF431="Value is given by the source",S431,IF(AF431="Value is calculated with prices",(IF(SUMIFS(Q:Q,A:A,A431)&gt;0,SUMIFS(Q:Q,A:A,A431),"."))/VLOOKUP("USD",'Exchange Rates'!B:C,2,0),"Error with coding"))),"")</f>
        <v/>
      </c>
      <c r="U431" s="15" t="s">
        <v>261</v>
      </c>
      <c r="V431" s="567" t="s">
        <v>1293</v>
      </c>
      <c r="W431" s="567" t="s">
        <v>1406</v>
      </c>
      <c r="X431" s="685" t="s">
        <v>260</v>
      </c>
      <c r="Y431" s="685" t="s">
        <v>260</v>
      </c>
      <c r="Z431" s="15">
        <v>0</v>
      </c>
      <c r="AA431" s="180">
        <v>1</v>
      </c>
      <c r="AB431" s="570" t="s">
        <v>1410</v>
      </c>
      <c r="AC431" s="544" t="str">
        <f>""</f>
        <v/>
      </c>
      <c r="AD431" s="183">
        <v>0</v>
      </c>
      <c r="AE431" s="183" t="s">
        <v>264</v>
      </c>
      <c r="AF431" s="183" t="s">
        <v>265</v>
      </c>
      <c r="AG431" s="183">
        <v>0</v>
      </c>
      <c r="AH431" s="183">
        <v>0</v>
      </c>
      <c r="AI431" s="183">
        <v>0</v>
      </c>
      <c r="AJ431" s="181">
        <f>VLOOKUP($I431,'Price List, Weapons &amp; Items'!B:F,5,0)</f>
        <v>0</v>
      </c>
      <c r="AK431" s="181">
        <f t="shared" si="82"/>
        <v>0</v>
      </c>
      <c r="AL431" s="181">
        <f t="shared" si="83"/>
        <v>0</v>
      </c>
      <c r="AM431" s="181">
        <f t="shared" si="84"/>
        <v>0</v>
      </c>
      <c r="AN431" s="180" t="str">
        <f>VLOOKUP($I431,'Price List, Weapons &amp; Items'!B:L,COLUMN('Price List, Weapons &amp; Items'!$J$11)-1,0)</f>
        <v>Media reports (incl. social media)</v>
      </c>
      <c r="AO431" s="180" t="str">
        <f>IF(I431=".",".",VLOOKUP($I431,'Price List, Weapons &amp; Items'!B:J,3,0))</f>
        <v>Light Anti-armor Weapon (LAW)</v>
      </c>
      <c r="AP431" s="545" t="str">
        <f t="shared" ca="1" si="79"/>
        <v/>
      </c>
      <c r="AQ431" s="180">
        <f>VLOOKUP($I431,'Price List, Weapons &amp; Items'!B:L,COLUMN('Price List, Weapons &amp; Items'!$L$11)-1,0)</f>
        <v>2</v>
      </c>
      <c r="AR431" s="180">
        <f t="shared" si="85"/>
        <v>1</v>
      </c>
      <c r="AS431" s="180">
        <f t="shared" si="86"/>
        <v>1</v>
      </c>
      <c r="AT431" s="180" t="str">
        <f t="shared" si="87"/>
        <v>Value is not in date format</v>
      </c>
      <c r="AU431" s="180" t="str">
        <f t="shared" si="88"/>
        <v>.</v>
      </c>
      <c r="AV431" s="180" t="str">
        <f t="shared" si="89"/>
        <v>.</v>
      </c>
      <c r="AW431" s="180">
        <f>IFERROR(VLOOKUP(B431,'Share, Heavy Weapons to Ukraine'!B:J,COLUMN('Share, Heavy Weapons to Ukraine'!C440)-1,0),0)</f>
        <v>0</v>
      </c>
      <c r="AX431" s="180">
        <f>VLOOKUP('Bilateral Assistance, MAIN DATA'!B431,'Country Summary'!B:F,COLUMN('Country Summary'!C443)-1,FALSE)</f>
        <v>1</v>
      </c>
      <c r="AY431" s="180" t="str">
        <f>IF(AND(AD431=1,D431="Military",H431&lt;&gt;"Not given")=TRUE,IF(SUMIFS(P:P,A:A,A431)&gt;0,ABS((SUMIFS(P:P,A:A,A431)/VLOOKUP("USD",'Exchange Rates'!B:C,2,0)))/S431,"."),".")</f>
        <v>.</v>
      </c>
      <c r="AZ431" s="182" t="str">
        <f>IF(AND(AD431=1,D431="Military",H431&lt;&gt;"Not given")=TRUE,IF(SUMIFS(P:P,A:A,A431)&gt;0,IF((ABS((SUMIFS(P:P,A:A,A431)/VLOOKUP("USD",'Exchange Rates'!B:C,2,0)))/S431)&gt;1,(SUMIFS(P:P,A:A,A431)-S431)/S431,(S431-SUMIFS(P:P,A:A,A431))/SUMIFS(P:P,A:A,A431)),"."),".")</f>
        <v>.</v>
      </c>
      <c r="BA431" s="182"/>
      <c r="BB431" s="182"/>
      <c r="BC431" s="182"/>
      <c r="BD431" s="182"/>
      <c r="BE431" s="182"/>
      <c r="BF431" s="182"/>
      <c r="BG431" s="182"/>
      <c r="BH431" s="182"/>
      <c r="BI431" s="182"/>
      <c r="BJ431" s="182"/>
      <c r="BK431" s="182"/>
      <c r="BL431" s="182"/>
      <c r="BM431" s="182"/>
      <c r="BN431" s="182"/>
      <c r="BO431" s="182"/>
      <c r="BP431" s="182"/>
      <c r="BQ431" s="182"/>
      <c r="BR431" s="182"/>
      <c r="BS431" s="182"/>
    </row>
    <row r="432" spans="1:71" ht="15.9" customHeight="1" x14ac:dyDescent="0.3">
      <c r="A432" s="5" t="s">
        <v>1326</v>
      </c>
      <c r="B432" s="5" t="s">
        <v>1288</v>
      </c>
      <c r="C432" s="174" t="s">
        <v>1327</v>
      </c>
      <c r="D432" s="5" t="s">
        <v>285</v>
      </c>
      <c r="E432" s="5" t="s">
        <v>1328</v>
      </c>
      <c r="F432" s="1139" t="s">
        <v>1329</v>
      </c>
      <c r="G432" s="15" t="s">
        <v>364</v>
      </c>
      <c r="H432" s="176">
        <v>1360000000</v>
      </c>
      <c r="I432" s="185" t="s">
        <v>1411</v>
      </c>
      <c r="J432" s="113" t="str">
        <f>VLOOKUP($I432,'Price List, Weapons &amp; Items'!B:C,2,0)</f>
        <v>heavy weapon</v>
      </c>
      <c r="K432" s="113" t="str">
        <f>IF(I432=".",I432,VLOOKUP($I432,'Price List, Weapons &amp; Items'!B:D,3,0))</f>
        <v>anti-armor weapon</v>
      </c>
      <c r="L432" s="177">
        <f>VLOOKUP(I432,'Price List, Weapons &amp; Items'!B:E,4,0)</f>
        <v>0</v>
      </c>
      <c r="M432" s="542">
        <v>20</v>
      </c>
      <c r="N432" s="542">
        <v>20</v>
      </c>
      <c r="O432" s="543">
        <f>VLOOKUP($I432,'Price List, Weapons &amp; Items'!B:G,6,0)</f>
        <v>22000</v>
      </c>
      <c r="P432" s="176">
        <f t="shared" si="80"/>
        <v>440000</v>
      </c>
      <c r="Q432" s="176">
        <f t="shared" si="81"/>
        <v>440000</v>
      </c>
      <c r="R432" s="176" t="str">
        <f t="shared" si="78"/>
        <v/>
      </c>
      <c r="S432" s="176" t="str">
        <f>IF(AND(AD432=1,R432&lt;&gt;".")=TRUE,R432/VLOOKUP(G432,'Exchange Rates'!B:C,2,0),IF(R432=".",".",""))</f>
        <v/>
      </c>
      <c r="T432" s="176" t="str">
        <f>IF(AD432=1,IF(AF432="Value is not given at all",".",IF(AF432="Value is given by the source",S432,IF(AF432="Value is calculated with prices",(IF(SUMIFS(Q:Q,A:A,A432)&gt;0,SUMIFS(Q:Q,A:A,A432),"."))/VLOOKUP("USD",'Exchange Rates'!B:C,2,0),"Error with coding"))),"")</f>
        <v/>
      </c>
      <c r="U432" s="15" t="s">
        <v>261</v>
      </c>
      <c r="V432" s="567" t="s">
        <v>1293</v>
      </c>
      <c r="W432" s="567" t="s">
        <v>1408</v>
      </c>
      <c r="X432" s="685" t="s">
        <v>260</v>
      </c>
      <c r="Y432" s="685" t="s">
        <v>260</v>
      </c>
      <c r="Z432" s="15">
        <v>0</v>
      </c>
      <c r="AA432" s="180">
        <v>1</v>
      </c>
      <c r="AB432" s="570" t="s">
        <v>1412</v>
      </c>
      <c r="AC432" s="544" t="str">
        <f>""</f>
        <v/>
      </c>
      <c r="AD432" s="183">
        <v>0</v>
      </c>
      <c r="AE432" s="183" t="s">
        <v>264</v>
      </c>
      <c r="AF432" s="183" t="s">
        <v>265</v>
      </c>
      <c r="AG432" s="183">
        <v>1</v>
      </c>
      <c r="AH432" s="183">
        <v>8</v>
      </c>
      <c r="AI432" s="183">
        <v>0</v>
      </c>
      <c r="AJ432" s="181">
        <f>VLOOKUP($I432,'Price List, Weapons &amp; Items'!B:F,5,0)</f>
        <v>0</v>
      </c>
      <c r="AK432" s="181">
        <f t="shared" si="82"/>
        <v>0</v>
      </c>
      <c r="AL432" s="181">
        <f t="shared" si="83"/>
        <v>0</v>
      </c>
      <c r="AM432" s="181">
        <f t="shared" si="84"/>
        <v>0</v>
      </c>
      <c r="AN432" s="180" t="str">
        <f>VLOOKUP($I432,'Price List, Weapons &amp; Items'!B:L,COLUMN('Price List, Weapons &amp; Items'!$J$11)-1,0)</f>
        <v>Media reports (incl. social media)</v>
      </c>
      <c r="AO432" s="180" t="str">
        <f>IF(I432=".",".",VLOOKUP($I432,'Price List, Weapons &amp; Items'!B:J,3,0))</f>
        <v>anti-armor weapon</v>
      </c>
      <c r="AP432" s="545" t="str">
        <f t="shared" ca="1" si="79"/>
        <v/>
      </c>
      <c r="AQ432" s="180">
        <f>VLOOKUP($I432,'Price List, Weapons &amp; Items'!B:L,COLUMN('Price List, Weapons &amp; Items'!$L$11)-1,0)</f>
        <v>1</v>
      </c>
      <c r="AR432" s="180">
        <f t="shared" si="85"/>
        <v>1</v>
      </c>
      <c r="AS432" s="180">
        <f t="shared" si="86"/>
        <v>1</v>
      </c>
      <c r="AT432" s="180" t="str">
        <f t="shared" si="87"/>
        <v>Value is not in date format</v>
      </c>
      <c r="AU432" s="180" t="str">
        <f t="shared" si="88"/>
        <v>.</v>
      </c>
      <c r="AV432" s="180" t="str">
        <f t="shared" si="89"/>
        <v>.</v>
      </c>
      <c r="AW432" s="180">
        <f>IFERROR(VLOOKUP(B432,'Share, Heavy Weapons to Ukraine'!B:J,COLUMN('Share, Heavy Weapons to Ukraine'!C441)-1,0),0)</f>
        <v>0</v>
      </c>
      <c r="AX432" s="180">
        <f>VLOOKUP('Bilateral Assistance, MAIN DATA'!B432,'Country Summary'!B:F,COLUMN('Country Summary'!C444)-1,FALSE)</f>
        <v>1</v>
      </c>
      <c r="AY432" s="180" t="str">
        <f>IF(AND(AD432=1,D432="Military",H432&lt;&gt;"Not given")=TRUE,IF(SUMIFS(P:P,A:A,A432)&gt;0,ABS((SUMIFS(P:P,A:A,A432)/VLOOKUP("USD",'Exchange Rates'!B:C,2,0)))/S432,"."),".")</f>
        <v>.</v>
      </c>
      <c r="AZ432" s="182" t="str">
        <f>IF(AND(AD432=1,D432="Military",H432&lt;&gt;"Not given")=TRUE,IF(SUMIFS(P:P,A:A,A432)&gt;0,IF((ABS((SUMIFS(P:P,A:A,A432)/VLOOKUP("USD",'Exchange Rates'!B:C,2,0)))/S432)&gt;1,(SUMIFS(P:P,A:A,A432)-S432)/S432,(S432-SUMIFS(P:P,A:A,A432))/SUMIFS(P:P,A:A,A432)),"."),".")</f>
        <v>.</v>
      </c>
      <c r="BA432" s="182"/>
      <c r="BB432" s="182"/>
      <c r="BC432" s="182"/>
      <c r="BD432" s="182"/>
      <c r="BE432" s="182"/>
      <c r="BF432" s="182"/>
      <c r="BG432" s="182"/>
      <c r="BH432" s="182"/>
      <c r="BI432" s="182"/>
      <c r="BJ432" s="182"/>
      <c r="BK432" s="182"/>
      <c r="BL432" s="182"/>
      <c r="BM432" s="182"/>
      <c r="BN432" s="182"/>
      <c r="BO432" s="182"/>
      <c r="BP432" s="182"/>
      <c r="BQ432" s="182"/>
      <c r="BR432" s="182"/>
      <c r="BS432" s="182"/>
    </row>
    <row r="433" spans="1:71" ht="15.9" customHeight="1" x14ac:dyDescent="0.3">
      <c r="A433" s="5" t="s">
        <v>1326</v>
      </c>
      <c r="B433" s="5" t="s">
        <v>1288</v>
      </c>
      <c r="C433" s="174" t="s">
        <v>1327</v>
      </c>
      <c r="D433" s="5" t="s">
        <v>285</v>
      </c>
      <c r="E433" s="5" t="s">
        <v>1328</v>
      </c>
      <c r="F433" s="1139" t="s">
        <v>1329</v>
      </c>
      <c r="G433" s="15" t="s">
        <v>364</v>
      </c>
      <c r="H433" s="176">
        <v>1360000000</v>
      </c>
      <c r="I433" s="185" t="s">
        <v>1413</v>
      </c>
      <c r="J433" s="113" t="str">
        <f>VLOOKUP($I433,'Price List, Weapons &amp; Items'!B:C,2,0)</f>
        <v>ammunition for heavy weapon</v>
      </c>
      <c r="K433" s="113" t="str">
        <f>IF(I433=".",I433,VLOOKUP($I433,'Price List, Weapons &amp; Items'!B:D,3,0))</f>
        <v>missile</v>
      </c>
      <c r="L433" s="177">
        <f>VLOOKUP(I433,'Price List, Weapons &amp; Items'!B:E,4,0)</f>
        <v>0</v>
      </c>
      <c r="M433" s="542" t="s">
        <v>270</v>
      </c>
      <c r="N433" s="542" t="s">
        <v>270</v>
      </c>
      <c r="O433" s="543">
        <f>VLOOKUP($I433,'Price List, Weapons &amp; Items'!B:G,6,0)</f>
        <v>2799</v>
      </c>
      <c r="P433" s="176" t="str">
        <f t="shared" si="80"/>
        <v>.</v>
      </c>
      <c r="Q433" s="176" t="str">
        <f t="shared" si="81"/>
        <v>.</v>
      </c>
      <c r="R433" s="176" t="str">
        <f t="shared" si="78"/>
        <v/>
      </c>
      <c r="S433" s="176" t="str">
        <f>IF(AND(AD433=1,R433&lt;&gt;".")=TRUE,R433/VLOOKUP(G433,'Exchange Rates'!B:C,2,0),IF(R433=".",".",""))</f>
        <v/>
      </c>
      <c r="T433" s="176" t="str">
        <f>IF(AD433=1,IF(AF433="Value is not given at all",".",IF(AF433="Value is given by the source",S433,IF(AF433="Value is calculated with prices",(IF(SUMIFS(Q:Q,A:A,A433)&gt;0,SUMIFS(Q:Q,A:A,A433),"."))/VLOOKUP("USD",'Exchange Rates'!B:C,2,0),"Error with coding"))),"")</f>
        <v/>
      </c>
      <c r="U433" s="15" t="s">
        <v>261</v>
      </c>
      <c r="V433" s="567" t="s">
        <v>1293</v>
      </c>
      <c r="W433" s="567" t="s">
        <v>1410</v>
      </c>
      <c r="X433" s="685" t="s">
        <v>260</v>
      </c>
      <c r="Y433" s="685" t="s">
        <v>260</v>
      </c>
      <c r="Z433" s="15">
        <v>0</v>
      </c>
      <c r="AA433" s="180">
        <v>1</v>
      </c>
      <c r="AB433" s="570" t="s">
        <v>1414</v>
      </c>
      <c r="AC433" s="544" t="str">
        <f>""</f>
        <v/>
      </c>
      <c r="AD433" s="183">
        <v>0</v>
      </c>
      <c r="AE433" s="183" t="s">
        <v>264</v>
      </c>
      <c r="AF433" s="183" t="s">
        <v>265</v>
      </c>
      <c r="AG433" s="183">
        <v>0</v>
      </c>
      <c r="AH433" s="183">
        <v>0</v>
      </c>
      <c r="AI433" s="183">
        <v>0</v>
      </c>
      <c r="AJ433" s="181">
        <f>VLOOKUP($I433,'Price List, Weapons &amp; Items'!B:F,5,0)</f>
        <v>0</v>
      </c>
      <c r="AK433" s="181">
        <f t="shared" si="82"/>
        <v>0</v>
      </c>
      <c r="AL433" s="181">
        <f t="shared" si="83"/>
        <v>0</v>
      </c>
      <c r="AM433" s="181">
        <f t="shared" si="84"/>
        <v>0</v>
      </c>
      <c r="AN433" s="180" t="str">
        <f>VLOOKUP($I433,'Price List, Weapons &amp; Items'!B:L,COLUMN('Price List, Weapons &amp; Items'!$J$11)-1,0)</f>
        <v>Media reports (incl. social media)</v>
      </c>
      <c r="AO433" s="180" t="str">
        <f>IF(I433=".",".",VLOOKUP($I433,'Price List, Weapons &amp; Items'!B:J,3,0))</f>
        <v>missile</v>
      </c>
      <c r="AP433" s="545" t="str">
        <f t="shared" ca="1" si="79"/>
        <v/>
      </c>
      <c r="AQ433" s="180" t="str">
        <f>VLOOKUP($I433,'Price List, Weapons &amp; Items'!B:L,COLUMN('Price List, Weapons &amp; Items'!$L$11)-1,0)</f>
        <v>no price, 0 count</v>
      </c>
      <c r="AR433" s="180">
        <f t="shared" si="85"/>
        <v>1</v>
      </c>
      <c r="AS433" s="180">
        <f t="shared" si="86"/>
        <v>1</v>
      </c>
      <c r="AT433" s="180" t="str">
        <f t="shared" si="87"/>
        <v>Value is not in date format</v>
      </c>
      <c r="AU433" s="180" t="str">
        <f t="shared" si="88"/>
        <v>.</v>
      </c>
      <c r="AV433" s="180" t="str">
        <f t="shared" si="89"/>
        <v>.</v>
      </c>
      <c r="AW433" s="180">
        <f>IFERROR(VLOOKUP(B433,'Share, Heavy Weapons to Ukraine'!B:J,COLUMN('Share, Heavy Weapons to Ukraine'!C442)-1,0),0)</f>
        <v>0</v>
      </c>
      <c r="AX433" s="180">
        <f>VLOOKUP('Bilateral Assistance, MAIN DATA'!B433,'Country Summary'!B:F,COLUMN('Country Summary'!C445)-1,FALSE)</f>
        <v>1</v>
      </c>
      <c r="AY433" s="180" t="str">
        <f>IF(AND(AD433=1,D433="Military",H433&lt;&gt;"Not given")=TRUE,IF(SUMIFS(P:P,A:A,A433)&gt;0,ABS((SUMIFS(P:P,A:A,A433)/VLOOKUP("USD",'Exchange Rates'!B:C,2,0)))/S433,"."),".")</f>
        <v>.</v>
      </c>
      <c r="AZ433" s="182" t="str">
        <f>IF(AND(AD433=1,D433="Military",H433&lt;&gt;"Not given")=TRUE,IF(SUMIFS(P:P,A:A,A433)&gt;0,IF((ABS((SUMIFS(P:P,A:A,A433)/VLOOKUP("USD",'Exchange Rates'!B:C,2,0)))/S433)&gt;1,(SUMIFS(P:P,A:A,A433)-S433)/S433,(S433-SUMIFS(P:P,A:A,A433))/SUMIFS(P:P,A:A,A433)),"."),".")</f>
        <v>.</v>
      </c>
      <c r="BA433" s="182"/>
      <c r="BB433" s="182"/>
      <c r="BC433" s="182"/>
      <c r="BD433" s="182"/>
      <c r="BE433" s="182"/>
      <c r="BF433" s="182"/>
      <c r="BG433" s="182"/>
      <c r="BH433" s="182"/>
      <c r="BI433" s="182"/>
      <c r="BJ433" s="182"/>
      <c r="BK433" s="182"/>
      <c r="BL433" s="182"/>
      <c r="BM433" s="182"/>
      <c r="BN433" s="182"/>
      <c r="BO433" s="182"/>
      <c r="BP433" s="182"/>
      <c r="BQ433" s="182"/>
      <c r="BR433" s="182"/>
      <c r="BS433" s="182"/>
    </row>
    <row r="434" spans="1:71" ht="15.9" customHeight="1" x14ac:dyDescent="0.3">
      <c r="A434" s="5" t="s">
        <v>1326</v>
      </c>
      <c r="B434" s="5" t="s">
        <v>1288</v>
      </c>
      <c r="C434" s="174" t="s">
        <v>1327</v>
      </c>
      <c r="D434" s="5" t="s">
        <v>285</v>
      </c>
      <c r="E434" s="5" t="s">
        <v>1328</v>
      </c>
      <c r="F434" s="1139" t="s">
        <v>1329</v>
      </c>
      <c r="G434" s="15" t="s">
        <v>364</v>
      </c>
      <c r="H434" s="176">
        <v>1360000000</v>
      </c>
      <c r="I434" s="185" t="s">
        <v>644</v>
      </c>
      <c r="J434" s="113" t="str">
        <f>VLOOKUP($I434,'Price List, Weapons &amp; Items'!B:C,2,0)</f>
        <v>Ammunition for heavy weapon</v>
      </c>
      <c r="K434" s="113" t="str">
        <f>IF(I434=".",I434,VLOOKUP($I434,'Price List, Weapons &amp; Items'!B:D,3,0))</f>
        <v>155mm howitzer ammunition</v>
      </c>
      <c r="L434" s="177">
        <f>VLOOKUP(I434,'Price List, Weapons &amp; Items'!B:E,4,0)</f>
        <v>0</v>
      </c>
      <c r="M434" s="542">
        <v>1100</v>
      </c>
      <c r="N434" s="542">
        <v>0</v>
      </c>
      <c r="O434" s="543">
        <f>VLOOKUP($I434,'Price List, Weapons &amp; Items'!B:G,6,0)</f>
        <v>3800</v>
      </c>
      <c r="P434" s="176">
        <f t="shared" si="80"/>
        <v>4180000</v>
      </c>
      <c r="Q434" s="176">
        <f t="shared" si="81"/>
        <v>0</v>
      </c>
      <c r="R434" s="176" t="str">
        <f t="shared" si="78"/>
        <v/>
      </c>
      <c r="S434" s="176" t="str">
        <f>IF(AND(AD434=1,R434&lt;&gt;".")=TRUE,R434/VLOOKUP(G434,'Exchange Rates'!B:C,2,0),IF(R434=".",".",""))</f>
        <v/>
      </c>
      <c r="T434" s="176" t="str">
        <f>IF(AD434=1,IF(AF434="Value is not given at all",".",IF(AF434="Value is given by the source",S434,IF(AF434="Value is calculated with prices",(IF(SUMIFS(Q:Q,A:A,A434)&gt;0,SUMIFS(Q:Q,A:A,A434),"."))/VLOOKUP("USD",'Exchange Rates'!B:C,2,0),"Error with coding"))),"")</f>
        <v/>
      </c>
      <c r="U434" s="15" t="s">
        <v>261</v>
      </c>
      <c r="V434" s="567" t="s">
        <v>1293</v>
      </c>
      <c r="W434" s="567" t="s">
        <v>1412</v>
      </c>
      <c r="X434" s="685" t="s">
        <v>260</v>
      </c>
      <c r="Y434" s="685" t="s">
        <v>260</v>
      </c>
      <c r="Z434" s="15">
        <v>0</v>
      </c>
      <c r="AA434" s="180">
        <v>1</v>
      </c>
      <c r="AB434" s="570" t="s">
        <v>1415</v>
      </c>
      <c r="AC434" s="544" t="str">
        <f>""</f>
        <v/>
      </c>
      <c r="AD434" s="183">
        <v>0</v>
      </c>
      <c r="AE434" s="183" t="s">
        <v>264</v>
      </c>
      <c r="AF434" s="183" t="s">
        <v>265</v>
      </c>
      <c r="AG434" s="183">
        <v>0</v>
      </c>
      <c r="AH434" s="183">
        <v>0</v>
      </c>
      <c r="AI434" s="183">
        <v>0</v>
      </c>
      <c r="AJ434" s="181">
        <f>VLOOKUP($I434,'Price List, Weapons &amp; Items'!B:F,5,0)</f>
        <v>1</v>
      </c>
      <c r="AK434" s="181">
        <f t="shared" si="82"/>
        <v>0</v>
      </c>
      <c r="AL434" s="181">
        <f t="shared" si="83"/>
        <v>0</v>
      </c>
      <c r="AM434" s="181">
        <f t="shared" si="84"/>
        <v>0</v>
      </c>
      <c r="AN434" s="180" t="str">
        <f>VLOOKUP($I434,'Price List, Weapons &amp; Items'!B:L,COLUMN('Price List, Weapons &amp; Items'!$J$11)-1,0)</f>
        <v>Government information</v>
      </c>
      <c r="AO434" s="180" t="str">
        <f>IF(I434=".",".",VLOOKUP($I434,'Price List, Weapons &amp; Items'!B:J,3,0))</f>
        <v>155mm howitzer ammunition</v>
      </c>
      <c r="AP434" s="545" t="str">
        <f t="shared" ca="1" si="79"/>
        <v/>
      </c>
      <c r="AQ434" s="180">
        <f>VLOOKUP($I434,'Price List, Weapons &amp; Items'!B:L,COLUMN('Price List, Weapons &amp; Items'!$L$11)-1,0)</f>
        <v>2</v>
      </c>
      <c r="AR434" s="180">
        <f t="shared" si="85"/>
        <v>1</v>
      </c>
      <c r="AS434" s="180">
        <f t="shared" si="86"/>
        <v>1</v>
      </c>
      <c r="AT434" s="180" t="str">
        <f t="shared" si="87"/>
        <v>Value is not in date format</v>
      </c>
      <c r="AU434" s="180" t="str">
        <f t="shared" si="88"/>
        <v>.</v>
      </c>
      <c r="AV434" s="180" t="str">
        <f t="shared" si="89"/>
        <v>.</v>
      </c>
      <c r="AW434" s="180">
        <f>IFERROR(VLOOKUP(B434,'Share, Heavy Weapons to Ukraine'!B:J,COLUMN('Share, Heavy Weapons to Ukraine'!C443)-1,0),0)</f>
        <v>0</v>
      </c>
      <c r="AX434" s="180">
        <f>VLOOKUP('Bilateral Assistance, MAIN DATA'!B434,'Country Summary'!B:F,COLUMN('Country Summary'!C446)-1,FALSE)</f>
        <v>1</v>
      </c>
      <c r="AY434" s="180" t="str">
        <f>IF(AND(AD434=1,D434="Military",H434&lt;&gt;"Not given")=TRUE,IF(SUMIFS(P:P,A:A,A434)&gt;0,ABS((SUMIFS(P:P,A:A,A434)/VLOOKUP("USD",'Exchange Rates'!B:C,2,0)))/S434,"."),".")</f>
        <v>.</v>
      </c>
      <c r="AZ434" s="182" t="str">
        <f>IF(AND(AD434=1,D434="Military",H434&lt;&gt;"Not given")=TRUE,IF(SUMIFS(P:P,A:A,A434)&gt;0,IF((ABS((SUMIFS(P:P,A:A,A434)/VLOOKUP("USD",'Exchange Rates'!B:C,2,0)))/S434)&gt;1,(SUMIFS(P:P,A:A,A434)-S434)/S434,(S434-SUMIFS(P:P,A:A,A434))/SUMIFS(P:P,A:A,A434)),"."),".")</f>
        <v>.</v>
      </c>
      <c r="BA434" s="182"/>
      <c r="BB434" s="182"/>
      <c r="BC434" s="182"/>
      <c r="BD434" s="182"/>
      <c r="BE434" s="182"/>
      <c r="BF434" s="182"/>
      <c r="BG434" s="182"/>
      <c r="BH434" s="182"/>
      <c r="BI434" s="182"/>
      <c r="BJ434" s="182"/>
      <c r="BK434" s="182"/>
      <c r="BL434" s="182"/>
      <c r="BM434" s="182"/>
      <c r="BN434" s="182"/>
      <c r="BO434" s="182"/>
      <c r="BP434" s="182"/>
      <c r="BQ434" s="182"/>
      <c r="BR434" s="182"/>
      <c r="BS434" s="182"/>
    </row>
    <row r="435" spans="1:71" ht="15.9" customHeight="1" x14ac:dyDescent="0.3">
      <c r="A435" s="5" t="s">
        <v>1326</v>
      </c>
      <c r="B435" s="5" t="s">
        <v>1288</v>
      </c>
      <c r="C435" s="174" t="s">
        <v>1327</v>
      </c>
      <c r="D435" s="5" t="s">
        <v>285</v>
      </c>
      <c r="E435" s="5" t="s">
        <v>1328</v>
      </c>
      <c r="F435" s="1139" t="s">
        <v>1329</v>
      </c>
      <c r="G435" s="15" t="s">
        <v>364</v>
      </c>
      <c r="H435" s="176">
        <v>1360000000</v>
      </c>
      <c r="I435" s="185" t="s">
        <v>1416</v>
      </c>
      <c r="J435" s="113" t="str">
        <f>VLOOKUP($I435,'Price List, Weapons &amp; Items'!B:C,2,0)</f>
        <v>Ammunition for light infantry</v>
      </c>
      <c r="K435" s="113" t="str">
        <f>IF(I435=".",I435,VLOOKUP($I435,'Price List, Weapons &amp; Items'!B:D,3,0))</f>
        <v>Small Arms and Light Weapons (SALW) ammunition</v>
      </c>
      <c r="L435" s="177">
        <f>VLOOKUP(I435,'Price List, Weapons &amp; Items'!B:E,4,0)</f>
        <v>0</v>
      </c>
      <c r="M435" s="542">
        <v>216000</v>
      </c>
      <c r="N435" s="542">
        <v>60000</v>
      </c>
      <c r="O435" s="543">
        <f>VLOOKUP($I435,'Price List, Weapons &amp; Items'!B:G,6,0)</f>
        <v>55</v>
      </c>
      <c r="P435" s="176">
        <f t="shared" si="80"/>
        <v>11880000</v>
      </c>
      <c r="Q435" s="176">
        <f t="shared" si="81"/>
        <v>3300000</v>
      </c>
      <c r="R435" s="176" t="str">
        <f t="shared" si="78"/>
        <v/>
      </c>
      <c r="S435" s="176" t="str">
        <f>IF(AND(AD435=1,R435&lt;&gt;".")=TRUE,R435/VLOOKUP(G435,'Exchange Rates'!B:C,2,0),IF(R435=".",".",""))</f>
        <v/>
      </c>
      <c r="T435" s="176" t="str">
        <f>IF(AD435=1,IF(AF435="Value is not given at all",".",IF(AF435="Value is given by the source",S435,IF(AF435="Value is calculated with prices",(IF(SUMIFS(Q:Q,A:A,A435)&gt;0,SUMIFS(Q:Q,A:A,A435),"."))/VLOOKUP("USD",'Exchange Rates'!B:C,2,0),"Error with coding"))),"")</f>
        <v/>
      </c>
      <c r="U435" s="15" t="s">
        <v>261</v>
      </c>
      <c r="V435" s="567" t="s">
        <v>1293</v>
      </c>
      <c r="W435" s="567" t="s">
        <v>1414</v>
      </c>
      <c r="X435" s="685" t="s">
        <v>260</v>
      </c>
      <c r="Y435" s="685" t="s">
        <v>260</v>
      </c>
      <c r="Z435" s="15">
        <v>0</v>
      </c>
      <c r="AA435" s="180">
        <v>1</v>
      </c>
      <c r="AB435" s="570" t="s">
        <v>1417</v>
      </c>
      <c r="AC435" s="544" t="str">
        <f>""</f>
        <v/>
      </c>
      <c r="AD435" s="183">
        <v>0</v>
      </c>
      <c r="AE435" s="183" t="s">
        <v>264</v>
      </c>
      <c r="AF435" s="183" t="s">
        <v>265</v>
      </c>
      <c r="AG435" s="183">
        <v>0</v>
      </c>
      <c r="AH435" s="183">
        <v>0</v>
      </c>
      <c r="AI435" s="183">
        <v>0</v>
      </c>
      <c r="AJ435" s="181">
        <f>VLOOKUP($I435,'Price List, Weapons &amp; Items'!B:F,5,0)</f>
        <v>0</v>
      </c>
      <c r="AK435" s="181">
        <f t="shared" si="82"/>
        <v>0</v>
      </c>
      <c r="AL435" s="181">
        <f t="shared" si="83"/>
        <v>0</v>
      </c>
      <c r="AM435" s="181">
        <f t="shared" si="84"/>
        <v>1</v>
      </c>
      <c r="AN435" s="180" t="str">
        <f>VLOOKUP($I435,'Price List, Weapons &amp; Items'!B:L,COLUMN('Price List, Weapons &amp; Items'!$J$11)-1,0)</f>
        <v>Military media (incl. websites)</v>
      </c>
      <c r="AO435" s="180" t="str">
        <f>IF(I435=".",".",VLOOKUP($I435,'Price List, Weapons &amp; Items'!B:J,3,0))</f>
        <v>Small Arms and Light Weapons (SALW) ammunition</v>
      </c>
      <c r="AP435" s="545" t="str">
        <f t="shared" ca="1" si="79"/>
        <v/>
      </c>
      <c r="AQ435" s="180">
        <f>VLOOKUP($I435,'Price List, Weapons &amp; Items'!B:L,COLUMN('Price List, Weapons &amp; Items'!$L$11)-1,0)</f>
        <v>2</v>
      </c>
      <c r="AR435" s="180">
        <f t="shared" si="85"/>
        <v>1</v>
      </c>
      <c r="AS435" s="180">
        <f t="shared" si="86"/>
        <v>1</v>
      </c>
      <c r="AT435" s="180" t="str">
        <f t="shared" si="87"/>
        <v>Value is not in date format</v>
      </c>
      <c r="AU435" s="180" t="str">
        <f t="shared" si="88"/>
        <v>.</v>
      </c>
      <c r="AV435" s="180" t="str">
        <f t="shared" si="89"/>
        <v>.</v>
      </c>
      <c r="AW435" s="180">
        <f>IFERROR(VLOOKUP(B435,'Share, Heavy Weapons to Ukraine'!B:J,COLUMN('Share, Heavy Weapons to Ukraine'!C444)-1,0),0)</f>
        <v>0</v>
      </c>
      <c r="AX435" s="180">
        <f>VLOOKUP('Bilateral Assistance, MAIN DATA'!B435,'Country Summary'!B:F,COLUMN('Country Summary'!C447)-1,FALSE)</f>
        <v>1</v>
      </c>
      <c r="AY435" s="180" t="str">
        <f>IF(AND(AD435=1,D435="Military",H435&lt;&gt;"Not given")=TRUE,IF(SUMIFS(P:P,A:A,A435)&gt;0,ABS((SUMIFS(P:P,A:A,A435)/VLOOKUP("USD",'Exchange Rates'!B:C,2,0)))/S435,"."),".")</f>
        <v>.</v>
      </c>
      <c r="AZ435" s="182" t="str">
        <f>IF(AND(AD435=1,D435="Military",H435&lt;&gt;"Not given")=TRUE,IF(SUMIFS(P:P,A:A,A435)&gt;0,IF((ABS((SUMIFS(P:P,A:A,A435)/VLOOKUP("USD",'Exchange Rates'!B:C,2,0)))/S435)&gt;1,(SUMIFS(P:P,A:A,A435)-S435)/S435,(S435-SUMIFS(P:P,A:A,A435))/SUMIFS(P:P,A:A,A435)),"."),".")</f>
        <v>.</v>
      </c>
      <c r="BA435" s="182"/>
      <c r="BB435" s="182"/>
      <c r="BC435" s="182"/>
      <c r="BD435" s="182"/>
      <c r="BE435" s="182"/>
      <c r="BF435" s="182"/>
      <c r="BG435" s="182"/>
      <c r="BH435" s="182"/>
      <c r="BI435" s="182"/>
      <c r="BJ435" s="182"/>
      <c r="BK435" s="182"/>
      <c r="BL435" s="182"/>
      <c r="BM435" s="182"/>
      <c r="BN435" s="182"/>
      <c r="BO435" s="182"/>
      <c r="BP435" s="182"/>
      <c r="BQ435" s="182"/>
      <c r="BR435" s="182"/>
      <c r="BS435" s="182"/>
    </row>
    <row r="436" spans="1:71" ht="15.9" customHeight="1" x14ac:dyDescent="0.3">
      <c r="A436" s="5" t="s">
        <v>1326</v>
      </c>
      <c r="B436" s="5" t="s">
        <v>1288</v>
      </c>
      <c r="C436" s="174" t="s">
        <v>1327</v>
      </c>
      <c r="D436" s="5" t="s">
        <v>285</v>
      </c>
      <c r="E436" s="5" t="s">
        <v>1328</v>
      </c>
      <c r="F436" s="1139" t="s">
        <v>1329</v>
      </c>
      <c r="G436" s="15" t="s">
        <v>364</v>
      </c>
      <c r="H436" s="176">
        <v>1360000000</v>
      </c>
      <c r="I436" s="158" t="s">
        <v>1418</v>
      </c>
      <c r="J436" s="113" t="str">
        <f>VLOOKUP($I436,'Price List, Weapons &amp; Items'!B:C,2,0)</f>
        <v>Heavy weapon</v>
      </c>
      <c r="K436" s="113" t="str">
        <f>IF(I436=".",I436,VLOOKUP($I436,'Price List, Weapons &amp; Items'!B:D,3,0))</f>
        <v>Self-propelled anti-aircraft weapon</v>
      </c>
      <c r="L436" s="177">
        <f>VLOOKUP(I436,'Price List, Weapons &amp; Items'!B:E,4,0)</f>
        <v>0</v>
      </c>
      <c r="M436" s="542">
        <v>30</v>
      </c>
      <c r="N436" s="542">
        <v>30</v>
      </c>
      <c r="O436" s="543">
        <f>VLOOKUP($I436,'Price List, Weapons &amp; Items'!B:G,6,0)</f>
        <v>1190651.93</v>
      </c>
      <c r="P436" s="176">
        <f t="shared" si="80"/>
        <v>35719557.899999999</v>
      </c>
      <c r="Q436" s="176">
        <f t="shared" si="81"/>
        <v>35719557.899999999</v>
      </c>
      <c r="R436" s="176" t="str">
        <f t="shared" si="78"/>
        <v/>
      </c>
      <c r="S436" s="176" t="str">
        <f>IF(AND(AD436=1,R436&lt;&gt;".")=TRUE,R436/VLOOKUP(G436,'Exchange Rates'!B:C,2,0),IF(R436=".",".",""))</f>
        <v/>
      </c>
      <c r="T436" s="176" t="str">
        <f>IF(AD436=1,IF(AF436="Value is not given at all",".",IF(AF436="Value is given by the source",S436,IF(AF436="Value is calculated with prices",(IF(SUMIFS(Q:Q,A:A,A436)&gt;0,SUMIFS(Q:Q,A:A,A436),"."))/VLOOKUP("USD",'Exchange Rates'!B:C,2,0),"Error with coding"))),"")</f>
        <v/>
      </c>
      <c r="U436" s="15" t="s">
        <v>261</v>
      </c>
      <c r="V436" s="567" t="s">
        <v>1293</v>
      </c>
      <c r="W436" s="567" t="s">
        <v>1415</v>
      </c>
      <c r="X436" s="685" t="s">
        <v>260</v>
      </c>
      <c r="Y436" s="685" t="s">
        <v>260</v>
      </c>
      <c r="Z436" s="15">
        <v>0</v>
      </c>
      <c r="AA436" s="180">
        <v>1</v>
      </c>
      <c r="AB436" s="570" t="s">
        <v>1419</v>
      </c>
      <c r="AC436" s="544" t="str">
        <f>""</f>
        <v/>
      </c>
      <c r="AD436" s="183">
        <v>0</v>
      </c>
      <c r="AE436" s="183" t="s">
        <v>264</v>
      </c>
      <c r="AF436" s="183" t="s">
        <v>265</v>
      </c>
      <c r="AG436" s="183">
        <v>1</v>
      </c>
      <c r="AH436" s="183">
        <v>4</v>
      </c>
      <c r="AI436" s="183">
        <v>0</v>
      </c>
      <c r="AJ436" s="181">
        <f>VLOOKUP($I436,'Price List, Weapons &amp; Items'!B:F,5,0)</f>
        <v>0</v>
      </c>
      <c r="AK436" s="181">
        <f t="shared" si="82"/>
        <v>0</v>
      </c>
      <c r="AL436" s="181">
        <f t="shared" si="83"/>
        <v>0</v>
      </c>
      <c r="AM436" s="181">
        <f t="shared" si="84"/>
        <v>0</v>
      </c>
      <c r="AN436" s="180" t="str">
        <f>VLOOKUP($I436,'Price List, Weapons &amp; Items'!B:L,COLUMN('Price List, Weapons &amp; Items'!$J$11)-1,0)</f>
        <v>Military media (incl. websites)</v>
      </c>
      <c r="AO436" s="180" t="str">
        <f>IF(I436=".",".",VLOOKUP($I436,'Price List, Weapons &amp; Items'!B:J,3,0))</f>
        <v>Self-propelled anti-aircraft weapon</v>
      </c>
      <c r="AP436" s="545" t="str">
        <f t="shared" ca="1" si="79"/>
        <v/>
      </c>
      <c r="AQ436" s="180">
        <f>VLOOKUP($I436,'Price List, Weapons &amp; Items'!B:L,COLUMN('Price List, Weapons &amp; Items'!$L$11)-1,0)</f>
        <v>2</v>
      </c>
      <c r="AR436" s="180">
        <f t="shared" si="85"/>
        <v>1</v>
      </c>
      <c r="AS436" s="180">
        <f t="shared" si="86"/>
        <v>1</v>
      </c>
      <c r="AT436" s="180" t="str">
        <f t="shared" si="87"/>
        <v>Value is not in date format</v>
      </c>
      <c r="AU436" s="180" t="str">
        <f t="shared" si="88"/>
        <v>.</v>
      </c>
      <c r="AV436" s="180" t="str">
        <f t="shared" si="89"/>
        <v>.</v>
      </c>
      <c r="AW436" s="180">
        <f>IFERROR(VLOOKUP(B436,'Share, Heavy Weapons to Ukraine'!B:J,COLUMN('Share, Heavy Weapons to Ukraine'!C445)-1,0),0)</f>
        <v>0</v>
      </c>
      <c r="AX436" s="180">
        <f>VLOOKUP('Bilateral Assistance, MAIN DATA'!B436,'Country Summary'!B:F,COLUMN('Country Summary'!C448)-1,FALSE)</f>
        <v>1</v>
      </c>
      <c r="AY436" s="180" t="str">
        <f>IF(AND(AD436=1,D436="Military",H436&lt;&gt;"Not given")=TRUE,IF(SUMIFS(P:P,A:A,A436)&gt;0,ABS((SUMIFS(P:P,A:A,A436)/VLOOKUP("USD",'Exchange Rates'!B:C,2,0)))/S436,"."),".")</f>
        <v>.</v>
      </c>
      <c r="AZ436" s="182" t="str">
        <f>IF(AND(AD436=1,D436="Military",H436&lt;&gt;"Not given")=TRUE,IF(SUMIFS(P:P,A:A,A436)&gt;0,IF((ABS((SUMIFS(P:P,A:A,A436)/VLOOKUP("USD",'Exchange Rates'!B:C,2,0)))/S436)&gt;1,(SUMIFS(P:P,A:A,A436)-S436)/S436,(S436-SUMIFS(P:P,A:A,A436))/SUMIFS(P:P,A:A,A436)),"."),".")</f>
        <v>.</v>
      </c>
      <c r="BA436" s="182"/>
      <c r="BB436" s="182"/>
      <c r="BC436" s="182"/>
      <c r="BD436" s="182"/>
      <c r="BE436" s="182"/>
      <c r="BF436" s="182"/>
      <c r="BG436" s="182"/>
      <c r="BH436" s="182"/>
      <c r="BI436" s="182"/>
      <c r="BJ436" s="182"/>
      <c r="BK436" s="182"/>
      <c r="BL436" s="182"/>
      <c r="BM436" s="182"/>
      <c r="BN436" s="182"/>
      <c r="BO436" s="182"/>
      <c r="BP436" s="182"/>
      <c r="BQ436" s="182"/>
      <c r="BR436" s="182"/>
      <c r="BS436" s="182"/>
    </row>
    <row r="437" spans="1:71" ht="15.9" customHeight="1" x14ac:dyDescent="0.3">
      <c r="A437" s="5" t="s">
        <v>1326</v>
      </c>
      <c r="B437" s="5" t="s">
        <v>1288</v>
      </c>
      <c r="C437" s="174" t="s">
        <v>1327</v>
      </c>
      <c r="D437" s="5" t="s">
        <v>285</v>
      </c>
      <c r="E437" s="5" t="s">
        <v>1328</v>
      </c>
      <c r="F437" s="1139" t="s">
        <v>1329</v>
      </c>
      <c r="G437" s="15" t="s">
        <v>364</v>
      </c>
      <c r="H437" s="176">
        <v>1360000000</v>
      </c>
      <c r="I437" s="158" t="s">
        <v>1418</v>
      </c>
      <c r="J437" s="113" t="str">
        <f>VLOOKUP($I437,'Price List, Weapons &amp; Items'!B:C,2,0)</f>
        <v>Heavy weapon</v>
      </c>
      <c r="K437" s="113" t="str">
        <f>IF(I437=".",I437,VLOOKUP($I437,'Price List, Weapons &amp; Items'!B:D,3,0))</f>
        <v>Self-propelled anti-aircraft weapon</v>
      </c>
      <c r="L437" s="177">
        <f>VLOOKUP(I437,'Price List, Weapons &amp; Items'!B:E,4,0)</f>
        <v>0</v>
      </c>
      <c r="M437" s="542">
        <v>7</v>
      </c>
      <c r="N437" s="542">
        <v>0</v>
      </c>
      <c r="O437" s="543">
        <f>VLOOKUP($I437,'Price List, Weapons &amp; Items'!B:G,6,0)</f>
        <v>1190651.93</v>
      </c>
      <c r="P437" s="176">
        <f t="shared" si="80"/>
        <v>8334563.5099999998</v>
      </c>
      <c r="Q437" s="176">
        <f t="shared" si="81"/>
        <v>0</v>
      </c>
      <c r="R437" s="176" t="str">
        <f t="shared" si="78"/>
        <v/>
      </c>
      <c r="S437" s="176" t="str">
        <f>IF(AND(AD437=1,R437&lt;&gt;".")=TRUE,R437/VLOOKUP(G437,'Exchange Rates'!B:C,2,0),IF(R437=".",".",""))</f>
        <v/>
      </c>
      <c r="T437" s="176" t="str">
        <f>IF(AD437=1,IF(AF437="Value is not given at all",".",IF(AF437="Value is given by the source",S437,IF(AF437="Value is calculated with prices",(IF(SUMIFS(Q:Q,A:A,A437)&gt;0,SUMIFS(Q:Q,A:A,A437),"."))/VLOOKUP("USD",'Exchange Rates'!B:C,2,0),"Error with coding"))),"")</f>
        <v/>
      </c>
      <c r="U437" s="15" t="s">
        <v>261</v>
      </c>
      <c r="V437" s="567" t="s">
        <v>1293</v>
      </c>
      <c r="W437" s="567" t="s">
        <v>1420</v>
      </c>
      <c r="X437" s="685" t="s">
        <v>260</v>
      </c>
      <c r="Y437" s="685" t="s">
        <v>260</v>
      </c>
      <c r="Z437" s="15">
        <v>0</v>
      </c>
      <c r="AA437" s="180">
        <v>1</v>
      </c>
      <c r="AB437" s="570" t="s">
        <v>1421</v>
      </c>
      <c r="AC437" s="544" t="str">
        <f>""</f>
        <v/>
      </c>
      <c r="AD437" s="183">
        <v>0</v>
      </c>
      <c r="AE437" s="183" t="s">
        <v>264</v>
      </c>
      <c r="AF437" s="183" t="s">
        <v>265</v>
      </c>
      <c r="AG437" s="183">
        <v>1</v>
      </c>
      <c r="AH437" s="183">
        <v>12</v>
      </c>
      <c r="AI437" s="183">
        <v>0</v>
      </c>
      <c r="AJ437" s="181">
        <f>VLOOKUP($I437,'Price List, Weapons &amp; Items'!B:F,5,0)</f>
        <v>0</v>
      </c>
      <c r="AK437" s="181">
        <f t="shared" si="82"/>
        <v>0</v>
      </c>
      <c r="AL437" s="181">
        <f t="shared" si="83"/>
        <v>0</v>
      </c>
      <c r="AM437" s="181">
        <f t="shared" si="84"/>
        <v>0</v>
      </c>
      <c r="AN437" s="180" t="str">
        <f>VLOOKUP($I437,'Price List, Weapons &amp; Items'!B:L,COLUMN('Price List, Weapons &amp; Items'!$J$11)-1,0)</f>
        <v>Military media (incl. websites)</v>
      </c>
      <c r="AO437" s="180" t="str">
        <f>IF(I437=".",".",VLOOKUP($I437,'Price List, Weapons &amp; Items'!B:J,3,0))</f>
        <v>Self-propelled anti-aircraft weapon</v>
      </c>
      <c r="AP437" s="545" t="str">
        <f t="shared" ca="1" si="79"/>
        <v/>
      </c>
      <c r="AQ437" s="180">
        <f>VLOOKUP($I437,'Price List, Weapons &amp; Items'!B:L,COLUMN('Price List, Weapons &amp; Items'!$L$11)-1,0)</f>
        <v>2</v>
      </c>
      <c r="AR437" s="180">
        <f t="shared" si="85"/>
        <v>1</v>
      </c>
      <c r="AS437" s="180">
        <f t="shared" si="86"/>
        <v>1</v>
      </c>
      <c r="AT437" s="180" t="str">
        <f t="shared" si="87"/>
        <v>Value is not in date format</v>
      </c>
      <c r="AU437" s="180" t="str">
        <f t="shared" si="88"/>
        <v>.</v>
      </c>
      <c r="AV437" s="180" t="str">
        <f t="shared" si="89"/>
        <v>.</v>
      </c>
      <c r="AW437" s="180">
        <f>IFERROR(VLOOKUP(B437,'Share, Heavy Weapons to Ukraine'!B:J,COLUMN('Share, Heavy Weapons to Ukraine'!C446)-1,0),0)</f>
        <v>0</v>
      </c>
      <c r="AX437" s="180">
        <f>VLOOKUP('Bilateral Assistance, MAIN DATA'!B437,'Country Summary'!B:F,COLUMN('Country Summary'!C449)-1,FALSE)</f>
        <v>1</v>
      </c>
      <c r="AY437" s="180" t="str">
        <f>IF(AND(AD437=1,D437="Military",H437&lt;&gt;"Not given")=TRUE,IF(SUMIFS(P:P,A:A,A437)&gt;0,ABS((SUMIFS(P:P,A:A,A437)/VLOOKUP("USD",'Exchange Rates'!B:C,2,0)))/S437,"."),".")</f>
        <v>.</v>
      </c>
      <c r="AZ437" s="182" t="str">
        <f>IF(AND(AD437=1,D437="Military",H437&lt;&gt;"Not given")=TRUE,IF(SUMIFS(P:P,A:A,A437)&gt;0,IF((ABS((SUMIFS(P:P,A:A,A437)/VLOOKUP("USD",'Exchange Rates'!B:C,2,0)))/S437)&gt;1,(SUMIFS(P:P,A:A,A437)-S437)/S437,(S437-SUMIFS(P:P,A:A,A437))/SUMIFS(P:P,A:A,A437)),"."),".")</f>
        <v>.</v>
      </c>
      <c r="BA437" s="182"/>
      <c r="BB437" s="182"/>
      <c r="BC437" s="182"/>
      <c r="BD437" s="182"/>
      <c r="BE437" s="182"/>
      <c r="BF437" s="182"/>
      <c r="BG437" s="182"/>
      <c r="BH437" s="182"/>
      <c r="BI437" s="182"/>
      <c r="BJ437" s="182"/>
      <c r="BK437" s="182"/>
      <c r="BL437" s="182"/>
      <c r="BM437" s="182"/>
      <c r="BN437" s="182"/>
      <c r="BO437" s="182"/>
      <c r="BP437" s="182"/>
      <c r="BQ437" s="182"/>
      <c r="BR437" s="182"/>
      <c r="BS437" s="182"/>
    </row>
    <row r="438" spans="1:71" ht="15.9" customHeight="1" x14ac:dyDescent="0.3">
      <c r="A438" s="5" t="s">
        <v>1326</v>
      </c>
      <c r="B438" s="5" t="s">
        <v>1288</v>
      </c>
      <c r="C438" s="174" t="s">
        <v>1327</v>
      </c>
      <c r="D438" s="5" t="s">
        <v>285</v>
      </c>
      <c r="E438" s="5" t="s">
        <v>1328</v>
      </c>
      <c r="F438" s="1139" t="s">
        <v>1329</v>
      </c>
      <c r="G438" s="15" t="s">
        <v>364</v>
      </c>
      <c r="H438" s="176">
        <v>1360000000</v>
      </c>
      <c r="I438" s="185" t="s">
        <v>1422</v>
      </c>
      <c r="J438" s="113" t="str">
        <f>VLOOKUP($I438,'Price List, Weapons &amp; Items'!B:C,2,0)</f>
        <v>Military equipment</v>
      </c>
      <c r="K438" s="113" t="str">
        <f>IF(I438=".",I438,VLOOKUP($I438,'Price List, Weapons &amp; Items'!B:D,3,0))</f>
        <v>non combat military vehicle</v>
      </c>
      <c r="L438" s="177">
        <f>VLOOKUP(I438,'Price List, Weapons &amp; Items'!B:E,4,0)</f>
        <v>0</v>
      </c>
      <c r="M438" s="542">
        <v>14</v>
      </c>
      <c r="N438" s="542">
        <v>0</v>
      </c>
      <c r="O438" s="543" t="str">
        <f>VLOOKUP($I438,'Price List, Weapons &amp; Items'!B:G,6,0)</f>
        <v>.</v>
      </c>
      <c r="P438" s="176" t="str">
        <f t="shared" si="80"/>
        <v>No price</v>
      </c>
      <c r="Q438" s="176" t="str">
        <f t="shared" si="81"/>
        <v>No price</v>
      </c>
      <c r="R438" s="176" t="str">
        <f t="shared" si="78"/>
        <v/>
      </c>
      <c r="S438" s="176" t="str">
        <f>IF(AND(AD438=1,R438&lt;&gt;".")=TRUE,R438/VLOOKUP(G438,'Exchange Rates'!B:C,2,0),IF(R438=".",".",""))</f>
        <v/>
      </c>
      <c r="T438" s="176" t="str">
        <f>IF(AD438=1,IF(AF438="Value is not given at all",".",IF(AF438="Value is given by the source",S438,IF(AF438="Value is calculated with prices",(IF(SUMIFS(Q:Q,A:A,A438)&gt;0,SUMIFS(Q:Q,A:A,A438),"."))/VLOOKUP("USD",'Exchange Rates'!B:C,2,0),"Error with coding"))),"")</f>
        <v/>
      </c>
      <c r="U438" s="15" t="s">
        <v>261</v>
      </c>
      <c r="V438" s="567" t="s">
        <v>1293</v>
      </c>
      <c r="W438" s="567" t="s">
        <v>1423</v>
      </c>
      <c r="X438" s="685" t="s">
        <v>260</v>
      </c>
      <c r="Y438" s="685" t="s">
        <v>260</v>
      </c>
      <c r="Z438" s="15">
        <v>0</v>
      </c>
      <c r="AA438" s="180">
        <v>1</v>
      </c>
      <c r="AB438" s="570" t="s">
        <v>1424</v>
      </c>
      <c r="AC438" s="544" t="str">
        <f>""</f>
        <v/>
      </c>
      <c r="AD438" s="183">
        <v>0</v>
      </c>
      <c r="AE438" s="183" t="s">
        <v>264</v>
      </c>
      <c r="AF438" s="183" t="s">
        <v>265</v>
      </c>
      <c r="AG438" s="183">
        <v>0</v>
      </c>
      <c r="AH438" s="183">
        <v>0</v>
      </c>
      <c r="AI438" s="183">
        <v>0</v>
      </c>
      <c r="AJ438" s="181">
        <f>VLOOKUP($I438,'Price List, Weapons &amp; Items'!B:F,5,0)</f>
        <v>0</v>
      </c>
      <c r="AK438" s="181">
        <f t="shared" si="82"/>
        <v>0</v>
      </c>
      <c r="AL438" s="181">
        <f t="shared" si="83"/>
        <v>0</v>
      </c>
      <c r="AM438" s="181">
        <f t="shared" si="84"/>
        <v>0</v>
      </c>
      <c r="AN438" s="180" t="str">
        <f>VLOOKUP($I438,'Price List, Weapons &amp; Items'!B:L,COLUMN('Price List, Weapons &amp; Items'!$J$11)-1,0)</f>
        <v>.</v>
      </c>
      <c r="AO438" s="180" t="str">
        <f>IF(I438=".",".",VLOOKUP($I438,'Price List, Weapons &amp; Items'!B:J,3,0))</f>
        <v>non combat military vehicle</v>
      </c>
      <c r="AP438" s="545" t="str">
        <f t="shared" ca="1" si="79"/>
        <v/>
      </c>
      <c r="AQ438" s="180">
        <f>VLOOKUP($I438,'Price List, Weapons &amp; Items'!B:L,COLUMN('Price List, Weapons &amp; Items'!$L$11)-1,0)</f>
        <v>0</v>
      </c>
      <c r="AR438" s="180">
        <f t="shared" si="85"/>
        <v>1</v>
      </c>
      <c r="AS438" s="180">
        <f t="shared" si="86"/>
        <v>1</v>
      </c>
      <c r="AT438" s="180" t="str">
        <f t="shared" si="87"/>
        <v>Value is not in date format</v>
      </c>
      <c r="AU438" s="180" t="str">
        <f t="shared" si="88"/>
        <v>.</v>
      </c>
      <c r="AV438" s="180" t="str">
        <f t="shared" si="89"/>
        <v>.</v>
      </c>
      <c r="AW438" s="180">
        <f>IFERROR(VLOOKUP(B438,'Share, Heavy Weapons to Ukraine'!B:J,COLUMN('Share, Heavy Weapons to Ukraine'!C447)-1,0),0)</f>
        <v>0</v>
      </c>
      <c r="AX438" s="180">
        <f>VLOOKUP('Bilateral Assistance, MAIN DATA'!B438,'Country Summary'!B:F,COLUMN('Country Summary'!C450)-1,FALSE)</f>
        <v>1</v>
      </c>
      <c r="AY438" s="180" t="str">
        <f>IF(AND(AD438=1,D438="Military",H438&lt;&gt;"Not given")=TRUE,IF(SUMIFS(P:P,A:A,A438)&gt;0,ABS((SUMIFS(P:P,A:A,A438)/VLOOKUP("USD",'Exchange Rates'!B:C,2,0)))/S438,"."),".")</f>
        <v>.</v>
      </c>
      <c r="AZ438" s="182" t="str">
        <f>IF(AND(AD438=1,D438="Military",H438&lt;&gt;"Not given")=TRUE,IF(SUMIFS(P:P,A:A,A438)&gt;0,IF((ABS((SUMIFS(P:P,A:A,A438)/VLOOKUP("USD",'Exchange Rates'!B:C,2,0)))/S438)&gt;1,(SUMIFS(P:P,A:A,A438)-S438)/S438,(S438-SUMIFS(P:P,A:A,A438))/SUMIFS(P:P,A:A,A438)),"."),".")</f>
        <v>.</v>
      </c>
      <c r="BA438" s="182"/>
      <c r="BB438" s="182"/>
      <c r="BC438" s="182"/>
      <c r="BD438" s="182"/>
      <c r="BE438" s="182"/>
      <c r="BF438" s="182"/>
      <c r="BG438" s="182"/>
      <c r="BH438" s="182"/>
      <c r="BI438" s="182"/>
      <c r="BJ438" s="182"/>
      <c r="BK438" s="182"/>
      <c r="BL438" s="182"/>
      <c r="BM438" s="182"/>
      <c r="BN438" s="182"/>
      <c r="BO438" s="182"/>
      <c r="BP438" s="182"/>
      <c r="BQ438" s="182"/>
      <c r="BR438" s="182"/>
      <c r="BS438" s="182"/>
    </row>
    <row r="439" spans="1:71" ht="15.9" customHeight="1" x14ac:dyDescent="0.3">
      <c r="A439" s="5" t="s">
        <v>1326</v>
      </c>
      <c r="B439" s="5" t="s">
        <v>1288</v>
      </c>
      <c r="C439" s="174" t="s">
        <v>1327</v>
      </c>
      <c r="D439" s="5" t="s">
        <v>285</v>
      </c>
      <c r="E439" s="5" t="s">
        <v>1328</v>
      </c>
      <c r="F439" s="1139" t="s">
        <v>1329</v>
      </c>
      <c r="G439" s="15" t="s">
        <v>364</v>
      </c>
      <c r="H439" s="176">
        <v>1360000000</v>
      </c>
      <c r="I439" s="185" t="s">
        <v>1425</v>
      </c>
      <c r="J439" s="113" t="str">
        <f>VLOOKUP($I439,'Price List, Weapons &amp; Items'!B:C,2,0)</f>
        <v>Military equipment</v>
      </c>
      <c r="K439" s="113" t="str">
        <f>IF(I439=".",I439,VLOOKUP($I439,'Price List, Weapons &amp; Items'!B:D,3,0))</f>
        <v>Armoured Utility Vehicle (AUV)</v>
      </c>
      <c r="L439" s="177">
        <f>VLOOKUP(I439,'Price List, Weapons &amp; Items'!B:E,4,0)</f>
        <v>0</v>
      </c>
      <c r="M439" s="542">
        <v>13</v>
      </c>
      <c r="N439" s="542">
        <v>13</v>
      </c>
      <c r="O439" s="543">
        <f>VLOOKUP($I439,'Price List, Weapons &amp; Items'!B:G,6,0)</f>
        <v>94550</v>
      </c>
      <c r="P439" s="176">
        <f t="shared" si="80"/>
        <v>1229150</v>
      </c>
      <c r="Q439" s="176">
        <f t="shared" si="81"/>
        <v>1229150</v>
      </c>
      <c r="R439" s="176" t="str">
        <f t="shared" si="78"/>
        <v/>
      </c>
      <c r="S439" s="176" t="str">
        <f>IF(AND(AD439=1,R439&lt;&gt;".")=TRUE,R439/VLOOKUP(G439,'Exchange Rates'!B:C,2,0),IF(R439=".",".",""))</f>
        <v/>
      </c>
      <c r="T439" s="176" t="str">
        <f>IF(AD439=1,IF(AF439="Value is not given at all",".",IF(AF439="Value is given by the source",S439,IF(AF439="Value is calculated with prices",(IF(SUMIFS(Q:Q,A:A,A439)&gt;0,SUMIFS(Q:Q,A:A,A439),"."))/VLOOKUP("USD",'Exchange Rates'!B:C,2,0),"Error with coding"))),"")</f>
        <v/>
      </c>
      <c r="U439" s="15" t="s">
        <v>261</v>
      </c>
      <c r="V439" s="567" t="s">
        <v>1293</v>
      </c>
      <c r="W439" s="567" t="s">
        <v>1421</v>
      </c>
      <c r="X439" s="685" t="s">
        <v>260</v>
      </c>
      <c r="Y439" s="685" t="s">
        <v>260</v>
      </c>
      <c r="Z439" s="15">
        <v>0</v>
      </c>
      <c r="AA439" s="180">
        <v>1</v>
      </c>
      <c r="AB439" s="570" t="s">
        <v>1426</v>
      </c>
      <c r="AC439" s="544" t="str">
        <f>""</f>
        <v/>
      </c>
      <c r="AD439" s="183">
        <v>0</v>
      </c>
      <c r="AE439" s="183" t="s">
        <v>264</v>
      </c>
      <c r="AF439" s="183" t="s">
        <v>265</v>
      </c>
      <c r="AG439" s="183">
        <v>1</v>
      </c>
      <c r="AH439" s="181">
        <v>6</v>
      </c>
      <c r="AI439" s="183">
        <v>0</v>
      </c>
      <c r="AJ439" s="181">
        <f>VLOOKUP($I439,'Price List, Weapons &amp; Items'!B:F,5,0)</f>
        <v>1</v>
      </c>
      <c r="AK439" s="181">
        <f t="shared" si="82"/>
        <v>0</v>
      </c>
      <c r="AL439" s="181">
        <f t="shared" si="83"/>
        <v>0</v>
      </c>
      <c r="AM439" s="181">
        <f t="shared" si="84"/>
        <v>0</v>
      </c>
      <c r="AN439" s="180" t="str">
        <f>VLOOKUP($I439,'Price List, Weapons &amp; Items'!B:L,COLUMN('Price List, Weapons &amp; Items'!$J$11)-1,0)</f>
        <v>Online marketplaces and stores</v>
      </c>
      <c r="AO439" s="180" t="str">
        <f>IF(I439=".",".",VLOOKUP($I439,'Price List, Weapons &amp; Items'!B:J,3,0))</f>
        <v>Armoured Utility Vehicle (AUV)</v>
      </c>
      <c r="AP439" s="545" t="str">
        <f t="shared" ca="1" si="79"/>
        <v/>
      </c>
      <c r="AQ439" s="180">
        <f>VLOOKUP($I439,'Price List, Weapons &amp; Items'!B:L,COLUMN('Price List, Weapons &amp; Items'!$L$11)-1,0)</f>
        <v>1</v>
      </c>
      <c r="AR439" s="180">
        <f t="shared" si="85"/>
        <v>1</v>
      </c>
      <c r="AS439" s="180">
        <f t="shared" si="86"/>
        <v>1</v>
      </c>
      <c r="AT439" s="180" t="str">
        <f t="shared" si="87"/>
        <v>Value is not in date format</v>
      </c>
      <c r="AU439" s="180" t="str">
        <f t="shared" si="88"/>
        <v>.</v>
      </c>
      <c r="AV439" s="180" t="str">
        <f t="shared" si="89"/>
        <v>.</v>
      </c>
      <c r="AW439" s="180">
        <f>IFERROR(VLOOKUP(B439,'Share, Heavy Weapons to Ukraine'!B:J,COLUMN('Share, Heavy Weapons to Ukraine'!C448)-1,0),0)</f>
        <v>0</v>
      </c>
      <c r="AX439" s="180">
        <f>VLOOKUP('Bilateral Assistance, MAIN DATA'!B439,'Country Summary'!B:F,COLUMN('Country Summary'!C451)-1,FALSE)</f>
        <v>1</v>
      </c>
      <c r="AY439" s="180" t="str">
        <f>IF(AND(AD439=1,D439="Military",H439&lt;&gt;"Not given")=TRUE,IF(SUMIFS(P:P,A:A,A439)&gt;0,ABS((SUMIFS(P:P,A:A,A439)/VLOOKUP("USD",'Exchange Rates'!B:C,2,0)))/S439,"."),".")</f>
        <v>.</v>
      </c>
      <c r="AZ439" s="182" t="str">
        <f>IF(AND(AD439=1,D439="Military",H439&lt;&gt;"Not given")=TRUE,IF(SUMIFS(P:P,A:A,A439)&gt;0,IF((ABS((SUMIFS(P:P,A:A,A439)/VLOOKUP("USD",'Exchange Rates'!B:C,2,0)))/S439)&gt;1,(SUMIFS(P:P,A:A,A439)-S439)/S439,(S439-SUMIFS(P:P,A:A,A439))/SUMIFS(P:P,A:A,A439)),"."),".")</f>
        <v>.</v>
      </c>
      <c r="BA439" s="182"/>
      <c r="BB439" s="182"/>
      <c r="BC439" s="182"/>
      <c r="BD439" s="182"/>
      <c r="BE439" s="182"/>
      <c r="BF439" s="182"/>
      <c r="BG439" s="182"/>
      <c r="BH439" s="182"/>
      <c r="BI439" s="182"/>
      <c r="BJ439" s="182"/>
      <c r="BK439" s="182"/>
      <c r="BL439" s="182"/>
      <c r="BM439" s="182"/>
      <c r="BN439" s="182"/>
      <c r="BO439" s="182"/>
      <c r="BP439" s="182"/>
      <c r="BQ439" s="182"/>
      <c r="BR439" s="182"/>
      <c r="BS439" s="182"/>
    </row>
    <row r="440" spans="1:71" ht="15.9" customHeight="1" x14ac:dyDescent="0.3">
      <c r="A440" s="5" t="s">
        <v>1326</v>
      </c>
      <c r="B440" s="5" t="s">
        <v>1288</v>
      </c>
      <c r="C440" s="174" t="s">
        <v>1327</v>
      </c>
      <c r="D440" s="5" t="s">
        <v>285</v>
      </c>
      <c r="E440" s="5" t="s">
        <v>1328</v>
      </c>
      <c r="F440" s="1139" t="s">
        <v>1329</v>
      </c>
      <c r="G440" s="15" t="s">
        <v>364</v>
      </c>
      <c r="H440" s="176">
        <v>1360000000</v>
      </c>
      <c r="I440" s="185" t="s">
        <v>1427</v>
      </c>
      <c r="J440" s="113" t="str">
        <f>VLOOKUP($I440,'Price List, Weapons &amp; Items'!B:C,2,0)</f>
        <v>Military equipment</v>
      </c>
      <c r="K440" s="113" t="str">
        <f>IF(I440=".",I440,VLOOKUP($I440,'Price List, Weapons &amp; Items'!B:D,3,0))</f>
        <v>Military equipment</v>
      </c>
      <c r="L440" s="177">
        <f>VLOOKUP(I440,'Price List, Weapons &amp; Items'!B:E,4,0)</f>
        <v>0</v>
      </c>
      <c r="M440" s="542">
        <v>8</v>
      </c>
      <c r="N440" s="542">
        <v>8</v>
      </c>
      <c r="O440" s="543">
        <f>VLOOKUP($I440,'Price List, Weapons &amp; Items'!B:G,6,0)</f>
        <v>5000</v>
      </c>
      <c r="P440" s="176">
        <f t="shared" si="80"/>
        <v>40000</v>
      </c>
      <c r="Q440" s="176">
        <f t="shared" si="81"/>
        <v>40000</v>
      </c>
      <c r="R440" s="176" t="str">
        <f t="shared" si="78"/>
        <v/>
      </c>
      <c r="S440" s="176" t="str">
        <f>IF(AND(AD440=1,R440&lt;&gt;".")=TRUE,R440/VLOOKUP(G440,'Exchange Rates'!B:C,2,0),IF(R440=".",".",""))</f>
        <v/>
      </c>
      <c r="T440" s="176" t="str">
        <f>IF(AD440=1,IF(AF440="Value is not given at all",".",IF(AF440="Value is given by the source",S440,IF(AF440="Value is calculated with prices",(IF(SUMIFS(Q:Q,A:A,A440)&gt;0,SUMIFS(Q:Q,A:A,A440),"."))/VLOOKUP("USD",'Exchange Rates'!B:C,2,0),"Error with coding"))),"")</f>
        <v/>
      </c>
      <c r="U440" s="15" t="s">
        <v>261</v>
      </c>
      <c r="V440" s="567" t="s">
        <v>1293</v>
      </c>
      <c r="W440" s="567" t="s">
        <v>1424</v>
      </c>
      <c r="X440" s="685" t="s">
        <v>260</v>
      </c>
      <c r="Y440" s="685" t="s">
        <v>260</v>
      </c>
      <c r="Z440" s="15">
        <v>0</v>
      </c>
      <c r="AA440" s="180">
        <v>1</v>
      </c>
      <c r="AB440" s="570" t="s">
        <v>1428</v>
      </c>
      <c r="AC440" s="544" t="str">
        <f>""</f>
        <v/>
      </c>
      <c r="AD440" s="183">
        <v>0</v>
      </c>
      <c r="AE440" s="183" t="s">
        <v>264</v>
      </c>
      <c r="AF440" s="183" t="s">
        <v>265</v>
      </c>
      <c r="AG440" s="183">
        <v>0</v>
      </c>
      <c r="AH440" s="183">
        <v>0</v>
      </c>
      <c r="AI440" s="183">
        <v>0</v>
      </c>
      <c r="AJ440" s="181">
        <f>VLOOKUP($I440,'Price List, Weapons &amp; Items'!B:F,5,0)</f>
        <v>0</v>
      </c>
      <c r="AK440" s="181">
        <f t="shared" si="82"/>
        <v>0</v>
      </c>
      <c r="AL440" s="181">
        <f t="shared" si="83"/>
        <v>0</v>
      </c>
      <c r="AM440" s="181">
        <f t="shared" si="84"/>
        <v>0</v>
      </c>
      <c r="AN440" s="180" t="str">
        <f>VLOOKUP($I440,'Price List, Weapons &amp; Items'!B:L,COLUMN('Price List, Weapons &amp; Items'!$J$11)-1,0)</f>
        <v>Miscellaneous</v>
      </c>
      <c r="AO440" s="180" t="str">
        <f>IF(I440=".",".",VLOOKUP($I440,'Price List, Weapons &amp; Items'!B:J,3,0))</f>
        <v>Military equipment</v>
      </c>
      <c r="AP440" s="545" t="str">
        <f t="shared" ca="1" si="79"/>
        <v/>
      </c>
      <c r="AQ440" s="180">
        <f>VLOOKUP($I440,'Price List, Weapons &amp; Items'!B:L,COLUMN('Price List, Weapons &amp; Items'!$L$11)-1,0)</f>
        <v>1</v>
      </c>
      <c r="AR440" s="180">
        <f t="shared" si="85"/>
        <v>1</v>
      </c>
      <c r="AS440" s="180">
        <f t="shared" si="86"/>
        <v>1</v>
      </c>
      <c r="AT440" s="180" t="str">
        <f t="shared" si="87"/>
        <v>Value is not in date format</v>
      </c>
      <c r="AU440" s="180" t="str">
        <f t="shared" si="88"/>
        <v>.</v>
      </c>
      <c r="AV440" s="180" t="str">
        <f t="shared" si="89"/>
        <v>.</v>
      </c>
      <c r="AW440" s="180">
        <f>IFERROR(VLOOKUP(B440,'Share, Heavy Weapons to Ukraine'!B:J,COLUMN('Share, Heavy Weapons to Ukraine'!C449)-1,0),0)</f>
        <v>0</v>
      </c>
      <c r="AX440" s="180">
        <f>VLOOKUP('Bilateral Assistance, MAIN DATA'!B440,'Country Summary'!B:F,COLUMN('Country Summary'!C452)-1,FALSE)</f>
        <v>1</v>
      </c>
      <c r="AY440" s="180" t="str">
        <f>IF(AND(AD440=1,D440="Military",H440&lt;&gt;"Not given")=TRUE,IF(SUMIFS(P:P,A:A,A440)&gt;0,ABS((SUMIFS(P:P,A:A,A440)/VLOOKUP("USD",'Exchange Rates'!B:C,2,0)))/S440,"."),".")</f>
        <v>.</v>
      </c>
      <c r="AZ440" s="182" t="str">
        <f>IF(AND(AD440=1,D440="Military",H440&lt;&gt;"Not given")=TRUE,IF(SUMIFS(P:P,A:A,A440)&gt;0,IF((ABS((SUMIFS(P:P,A:A,A440)/VLOOKUP("USD",'Exchange Rates'!B:C,2,0)))/S440)&gt;1,(SUMIFS(P:P,A:A,A440)-S440)/S440,(S440-SUMIFS(P:P,A:A,A440))/SUMIFS(P:P,A:A,A440)),"."),".")</f>
        <v>.</v>
      </c>
      <c r="BA440" s="182"/>
      <c r="BB440" s="182"/>
      <c r="BC440" s="182"/>
      <c r="BD440" s="182"/>
      <c r="BE440" s="182"/>
      <c r="BF440" s="182"/>
      <c r="BG440" s="182"/>
      <c r="BH440" s="182"/>
      <c r="BI440" s="182"/>
      <c r="BJ440" s="182"/>
      <c r="BK440" s="182"/>
      <c r="BL440" s="182"/>
      <c r="BM440" s="182"/>
      <c r="BN440" s="182"/>
      <c r="BO440" s="182"/>
      <c r="BP440" s="182"/>
      <c r="BQ440" s="182"/>
      <c r="BR440" s="182"/>
      <c r="BS440" s="182"/>
    </row>
    <row r="441" spans="1:71" ht="15.9" customHeight="1" x14ac:dyDescent="0.3">
      <c r="A441" s="5" t="s">
        <v>1326</v>
      </c>
      <c r="B441" s="5" t="s">
        <v>1288</v>
      </c>
      <c r="C441" s="174" t="s">
        <v>1327</v>
      </c>
      <c r="D441" s="5" t="s">
        <v>285</v>
      </c>
      <c r="E441" s="5" t="s">
        <v>1328</v>
      </c>
      <c r="F441" s="1139" t="s">
        <v>1329</v>
      </c>
      <c r="G441" s="15" t="s">
        <v>364</v>
      </c>
      <c r="H441" s="176">
        <v>1360000000</v>
      </c>
      <c r="I441" s="185" t="s">
        <v>1429</v>
      </c>
      <c r="J441" s="113" t="str">
        <f>VLOOKUP($I441,'Price List, Weapons &amp; Items'!B:C,2,0)</f>
        <v>Military equipment</v>
      </c>
      <c r="K441" s="113" t="str">
        <f>IF(I441=".",I441,VLOOKUP($I441,'Price List, Weapons &amp; Items'!B:D,3,0))</f>
        <v>Armoured Utility Vehicle (AUV)</v>
      </c>
      <c r="L441" s="177">
        <f>VLOOKUP(I441,'Price List, Weapons &amp; Items'!B:E,4,0)</f>
        <v>0</v>
      </c>
      <c r="M441" s="542">
        <v>2</v>
      </c>
      <c r="N441" s="542">
        <v>0</v>
      </c>
      <c r="O441" s="543" t="str">
        <f>VLOOKUP($I441,'Price List, Weapons &amp; Items'!B:G,6,0)</f>
        <v>.</v>
      </c>
      <c r="P441" s="176" t="str">
        <f t="shared" ref="P441:P497" si="90">IF(TYPE(M441)=1,IF(TYPE(O441)=1,M441*O441,"No price"),".")</f>
        <v>No price</v>
      </c>
      <c r="Q441" s="176" t="str">
        <f t="shared" ref="Q441:Q497" si="91">IF(TYPE(N441)=1,IF(TYPE(O441)=1,N441*O441,"No price"),".")</f>
        <v>No price</v>
      </c>
      <c r="R441" s="176" t="str">
        <f t="shared" si="78"/>
        <v/>
      </c>
      <c r="S441" s="176" t="str">
        <f>IF(AND(AD441=1,R441&lt;&gt;".")=TRUE,R441/VLOOKUP(G441,'Exchange Rates'!B:C,2,0),IF(R441=".",".",""))</f>
        <v/>
      </c>
      <c r="T441" s="176" t="str">
        <f>IF(AD441=1,IF(AF441="Value is not given at all",".",IF(AF441="Value is given by the source",S441,IF(AF441="Value is calculated with prices",(IF(SUMIFS(Q:Q,A:A,A441)&gt;0,SUMIFS(Q:Q,A:A,A441),"."))/VLOOKUP("USD",'Exchange Rates'!B:C,2,0),"Error with coding"))),"")</f>
        <v/>
      </c>
      <c r="U441" s="15" t="s">
        <v>261</v>
      </c>
      <c r="V441" s="567" t="s">
        <v>1293</v>
      </c>
      <c r="W441" s="567" t="s">
        <v>1426</v>
      </c>
      <c r="X441" s="685" t="s">
        <v>260</v>
      </c>
      <c r="Y441" s="685" t="s">
        <v>260</v>
      </c>
      <c r="Z441" s="15">
        <v>0</v>
      </c>
      <c r="AA441" s="180">
        <v>1</v>
      </c>
      <c r="AB441" s="570" t="s">
        <v>1430</v>
      </c>
      <c r="AC441" s="544" t="str">
        <f>""</f>
        <v/>
      </c>
      <c r="AD441" s="183">
        <v>0</v>
      </c>
      <c r="AE441" s="183" t="s">
        <v>264</v>
      </c>
      <c r="AF441" s="183" t="s">
        <v>265</v>
      </c>
      <c r="AG441" s="183">
        <v>0</v>
      </c>
      <c r="AH441" s="183">
        <v>0</v>
      </c>
      <c r="AI441" s="183">
        <v>0</v>
      </c>
      <c r="AJ441" s="181">
        <f>VLOOKUP($I441,'Price List, Weapons &amp; Items'!B:F,5,0)</f>
        <v>1</v>
      </c>
      <c r="AK441" s="181">
        <f t="shared" ref="AK441:AK497" si="92">IF(AND(AJ441=1,M441="undisclosed")=TRUE,1,0)</f>
        <v>0</v>
      </c>
      <c r="AL441" s="181">
        <f t="shared" ref="AL441:AL497" si="93">IF(AND(AJ441=1,N441="undisclosed")=TRUE,1,0)</f>
        <v>0</v>
      </c>
      <c r="AM441" s="181">
        <f t="shared" ref="AM441:AM497" si="94">IFERROR(IF(SEARCH("ammuni",I441,1)&gt;0,1,0),0)</f>
        <v>0</v>
      </c>
      <c r="AN441" s="180" t="str">
        <f>VLOOKUP($I441,'Price List, Weapons &amp; Items'!B:L,COLUMN('Price List, Weapons &amp; Items'!$J$11)-1,0)</f>
        <v>.</v>
      </c>
      <c r="AO441" s="180" t="str">
        <f>IF(I441=".",".",VLOOKUP($I441,'Price List, Weapons &amp; Items'!B:J,3,0))</f>
        <v>Armoured Utility Vehicle (AUV)</v>
      </c>
      <c r="AP441" s="545" t="str">
        <f t="shared" ca="1" si="79"/>
        <v/>
      </c>
      <c r="AQ441" s="180">
        <f>VLOOKUP($I441,'Price List, Weapons &amp; Items'!B:L,COLUMN('Price List, Weapons &amp; Items'!$L$11)-1,0)</f>
        <v>0</v>
      </c>
      <c r="AR441" s="180">
        <f t="shared" ref="AR441:AR497" si="95">IF(U441="Yes",1,0)</f>
        <v>1</v>
      </c>
      <c r="AS441" s="180">
        <f t="shared" ref="AS441:AS497" si="96">IF(D441="Military",IF(OR(IFERROR(SEARCH("equipment",E441,1),0)&gt;0,IFERROR(SEARCH("weapons",E441,1),0)&gt;0),1,0),0)</f>
        <v>1</v>
      </c>
      <c r="AT441" s="180" t="str">
        <f t="shared" si="87"/>
        <v>Value is not in date format</v>
      </c>
      <c r="AU441" s="180" t="str">
        <f t="shared" si="88"/>
        <v>.</v>
      </c>
      <c r="AV441" s="180" t="str">
        <f t="shared" si="89"/>
        <v>.</v>
      </c>
      <c r="AW441" s="180">
        <f>IFERROR(VLOOKUP(B441,'Share, Heavy Weapons to Ukraine'!B:J,COLUMN('Share, Heavy Weapons to Ukraine'!C450)-1,0),0)</f>
        <v>0</v>
      </c>
      <c r="AX441" s="180">
        <f>VLOOKUP('Bilateral Assistance, MAIN DATA'!B441,'Country Summary'!B:F,COLUMN('Country Summary'!C453)-1,FALSE)</f>
        <v>1</v>
      </c>
      <c r="AY441" s="180" t="str">
        <f>IF(AND(AD441=1,D441="Military",H441&lt;&gt;"Not given")=TRUE,IF(SUMIFS(P:P,A:A,A441)&gt;0,ABS((SUMIFS(P:P,A:A,A441)/VLOOKUP("USD",'Exchange Rates'!B:C,2,0)))/S441,"."),".")</f>
        <v>.</v>
      </c>
      <c r="AZ441" s="182" t="str">
        <f>IF(AND(AD441=1,D441="Military",H441&lt;&gt;"Not given")=TRUE,IF(SUMIFS(P:P,A:A,A441)&gt;0,IF((ABS((SUMIFS(P:P,A:A,A441)/VLOOKUP("USD",'Exchange Rates'!B:C,2,0)))/S441)&gt;1,(SUMIFS(P:P,A:A,A441)-S441)/S441,(S441-SUMIFS(P:P,A:A,A441))/SUMIFS(P:P,A:A,A441)),"."),".")</f>
        <v>.</v>
      </c>
      <c r="BA441" s="182"/>
      <c r="BB441" s="182"/>
      <c r="BC441" s="182"/>
      <c r="BD441" s="182"/>
      <c r="BE441" s="182"/>
      <c r="BF441" s="182"/>
      <c r="BG441" s="182"/>
      <c r="BH441" s="182"/>
      <c r="BI441" s="182"/>
      <c r="BJ441" s="182"/>
      <c r="BK441" s="182"/>
      <c r="BL441" s="182"/>
      <c r="BM441" s="182"/>
      <c r="BN441" s="182"/>
      <c r="BO441" s="182"/>
      <c r="BP441" s="182"/>
      <c r="BQ441" s="182"/>
      <c r="BR441" s="182"/>
      <c r="BS441" s="182"/>
    </row>
    <row r="442" spans="1:71" ht="15.9" customHeight="1" x14ac:dyDescent="0.3">
      <c r="A442" s="5" t="s">
        <v>1326</v>
      </c>
      <c r="B442" s="5" t="s">
        <v>1288</v>
      </c>
      <c r="C442" s="174" t="s">
        <v>1327</v>
      </c>
      <c r="D442" s="5" t="s">
        <v>285</v>
      </c>
      <c r="E442" s="5" t="s">
        <v>1328</v>
      </c>
      <c r="F442" s="1139" t="s">
        <v>1329</v>
      </c>
      <c r="G442" s="15" t="s">
        <v>364</v>
      </c>
      <c r="H442" s="176">
        <v>1360000000</v>
      </c>
      <c r="I442" s="185" t="s">
        <v>1431</v>
      </c>
      <c r="J442" s="113" t="str">
        <f>VLOOKUP($I442,'Price List, Weapons &amp; Items'!B:C,2,0)</f>
        <v>Military equipment</v>
      </c>
      <c r="K442" s="113" t="str">
        <f>IF(I442=".",I442,VLOOKUP($I442,'Price List, Weapons &amp; Items'!B:D,3,0))</f>
        <v>non combat military vehicle</v>
      </c>
      <c r="L442" s="177">
        <f>VLOOKUP(I442,'Price List, Weapons &amp; Items'!B:E,4,0)</f>
        <v>0</v>
      </c>
      <c r="M442" s="542">
        <v>4</v>
      </c>
      <c r="N442" s="542">
        <v>0</v>
      </c>
      <c r="O442" s="543">
        <f>VLOOKUP($I442,'Price List, Weapons &amp; Items'!B:G,6,0)</f>
        <v>50000</v>
      </c>
      <c r="P442" s="176">
        <f t="shared" si="90"/>
        <v>200000</v>
      </c>
      <c r="Q442" s="176">
        <f t="shared" si="91"/>
        <v>0</v>
      </c>
      <c r="R442" s="176" t="str">
        <f t="shared" si="78"/>
        <v/>
      </c>
      <c r="S442" s="176" t="str">
        <f>IF(AND(AD442=1,R442&lt;&gt;".")=TRUE,R442/VLOOKUP(G442,'Exchange Rates'!B:C,2,0),IF(R442=".",".",""))</f>
        <v/>
      </c>
      <c r="T442" s="176" t="str">
        <f>IF(AD442=1,IF(AF442="Value is not given at all",".",IF(AF442="Value is given by the source",S442,IF(AF442="Value is calculated with prices",(IF(SUMIFS(Q:Q,A:A,A442)&gt;0,SUMIFS(Q:Q,A:A,A442),"."))/VLOOKUP("USD",'Exchange Rates'!B:C,2,0),"Error with coding"))),"")</f>
        <v/>
      </c>
      <c r="U442" s="15" t="s">
        <v>261</v>
      </c>
      <c r="V442" s="567" t="s">
        <v>1293</v>
      </c>
      <c r="W442" s="567" t="s">
        <v>1428</v>
      </c>
      <c r="X442" s="685" t="s">
        <v>260</v>
      </c>
      <c r="Y442" s="685" t="s">
        <v>260</v>
      </c>
      <c r="Z442" s="15">
        <v>0</v>
      </c>
      <c r="AA442" s="180">
        <v>1</v>
      </c>
      <c r="AB442" s="570" t="s">
        <v>1432</v>
      </c>
      <c r="AC442" s="544" t="str">
        <f>""</f>
        <v/>
      </c>
      <c r="AD442" s="183">
        <v>0</v>
      </c>
      <c r="AE442" s="183" t="s">
        <v>264</v>
      </c>
      <c r="AF442" s="183" t="s">
        <v>265</v>
      </c>
      <c r="AG442" s="183">
        <v>0</v>
      </c>
      <c r="AH442" s="183">
        <v>0</v>
      </c>
      <c r="AI442" s="183">
        <v>0</v>
      </c>
      <c r="AJ442" s="181">
        <f>VLOOKUP($I442,'Price List, Weapons &amp; Items'!B:F,5,0)</f>
        <v>0</v>
      </c>
      <c r="AK442" s="181">
        <f t="shared" si="92"/>
        <v>0</v>
      </c>
      <c r="AL442" s="181">
        <f t="shared" si="93"/>
        <v>0</v>
      </c>
      <c r="AM442" s="181">
        <f t="shared" si="94"/>
        <v>0</v>
      </c>
      <c r="AN442" s="180" t="str">
        <f>VLOOKUP($I442,'Price List, Weapons &amp; Items'!B:L,COLUMN('Price List, Weapons &amp; Items'!$J$11)-1,0)</f>
        <v>Miscellaneous</v>
      </c>
      <c r="AO442" s="180" t="str">
        <f>IF(I442=".",".",VLOOKUP($I442,'Price List, Weapons &amp; Items'!B:J,3,0))</f>
        <v>non combat military vehicle</v>
      </c>
      <c r="AP442" s="545" t="str">
        <f t="shared" ca="1" si="79"/>
        <v/>
      </c>
      <c r="AQ442" s="180">
        <f>VLOOKUP($I442,'Price List, Weapons &amp; Items'!B:L,COLUMN('Price List, Weapons &amp; Items'!$L$11)-1,0)</f>
        <v>2</v>
      </c>
      <c r="AR442" s="180">
        <f t="shared" si="95"/>
        <v>1</v>
      </c>
      <c r="AS442" s="180">
        <f t="shared" si="96"/>
        <v>1</v>
      </c>
      <c r="AT442" s="180" t="str">
        <f t="shared" si="87"/>
        <v>Value is not in date format</v>
      </c>
      <c r="AU442" s="180" t="str">
        <f t="shared" si="88"/>
        <v>.</v>
      </c>
      <c r="AV442" s="180" t="str">
        <f t="shared" si="89"/>
        <v>.</v>
      </c>
      <c r="AW442" s="180">
        <f>IFERROR(VLOOKUP(B442,'Share, Heavy Weapons to Ukraine'!B:J,COLUMN('Share, Heavy Weapons to Ukraine'!C451)-1,0),0)</f>
        <v>0</v>
      </c>
      <c r="AX442" s="180">
        <f>VLOOKUP('Bilateral Assistance, MAIN DATA'!B442,'Country Summary'!B:F,COLUMN('Country Summary'!C454)-1,FALSE)</f>
        <v>1</v>
      </c>
      <c r="AY442" s="180" t="str">
        <f>IF(AND(AD442=1,D442="Military",H442&lt;&gt;"Not given")=TRUE,IF(SUMIFS(P:P,A:A,A442)&gt;0,ABS((SUMIFS(P:P,A:A,A442)/VLOOKUP("USD",'Exchange Rates'!B:C,2,0)))/S442,"."),".")</f>
        <v>.</v>
      </c>
      <c r="AZ442" s="182" t="str">
        <f>IF(AND(AD442=1,D442="Military",H442&lt;&gt;"Not given")=TRUE,IF(SUMIFS(P:P,A:A,A442)&gt;0,IF((ABS((SUMIFS(P:P,A:A,A442)/VLOOKUP("USD",'Exchange Rates'!B:C,2,0)))/S442)&gt;1,(SUMIFS(P:P,A:A,A442)-S442)/S442,(S442-SUMIFS(P:P,A:A,A442))/SUMIFS(P:P,A:A,A442)),"."),".")</f>
        <v>.</v>
      </c>
      <c r="BA442" s="182"/>
      <c r="BB442" s="182"/>
      <c r="BC442" s="182"/>
      <c r="BD442" s="182"/>
      <c r="BE442" s="182"/>
      <c r="BF442" s="182"/>
      <c r="BG442" s="182"/>
      <c r="BH442" s="182"/>
      <c r="BI442" s="182"/>
      <c r="BJ442" s="182"/>
      <c r="BK442" s="182"/>
      <c r="BL442" s="182"/>
      <c r="BM442" s="182"/>
      <c r="BN442" s="182"/>
      <c r="BO442" s="182"/>
      <c r="BP442" s="182"/>
      <c r="BQ442" s="182"/>
      <c r="BR442" s="182"/>
      <c r="BS442" s="182"/>
    </row>
    <row r="443" spans="1:71" ht="15.9" customHeight="1" x14ac:dyDescent="0.3">
      <c r="A443" s="5" t="s">
        <v>1326</v>
      </c>
      <c r="B443" s="5" t="s">
        <v>1288</v>
      </c>
      <c r="C443" s="174" t="s">
        <v>1327</v>
      </c>
      <c r="D443" s="5" t="s">
        <v>285</v>
      </c>
      <c r="E443" s="5" t="s">
        <v>1328</v>
      </c>
      <c r="F443" s="1139" t="s">
        <v>1329</v>
      </c>
      <c r="G443" s="15" t="s">
        <v>364</v>
      </c>
      <c r="H443" s="176">
        <v>1360000000</v>
      </c>
      <c r="I443" s="185" t="s">
        <v>1154</v>
      </c>
      <c r="J443" s="113" t="str">
        <f>VLOOKUP($I443,'Price List, Weapons &amp; Items'!B:C,2,0)</f>
        <v>Military equipment</v>
      </c>
      <c r="K443" s="113" t="str">
        <f>IF(I443=".",I443,VLOOKUP($I443,'Price List, Weapons &amp; Items'!B:D,3,0))</f>
        <v>non combat military vehicle</v>
      </c>
      <c r="L443" s="177">
        <f>VLOOKUP(I443,'Price List, Weapons &amp; Items'!B:E,4,0)</f>
        <v>0</v>
      </c>
      <c r="M443" s="542">
        <v>200</v>
      </c>
      <c r="N443" s="542">
        <v>0</v>
      </c>
      <c r="O443" s="543">
        <f>VLOOKUP($I443,'Price List, Weapons &amp; Items'!B:G,6,0)</f>
        <v>350000</v>
      </c>
      <c r="P443" s="176">
        <f t="shared" si="90"/>
        <v>70000000</v>
      </c>
      <c r="Q443" s="176">
        <f t="shared" si="91"/>
        <v>0</v>
      </c>
      <c r="R443" s="176" t="str">
        <f t="shared" si="78"/>
        <v/>
      </c>
      <c r="S443" s="176" t="str">
        <f>IF(AND(AD443=1,R443&lt;&gt;".")=TRUE,R443/VLOOKUP(G443,'Exchange Rates'!B:C,2,0),IF(R443=".",".",""))</f>
        <v/>
      </c>
      <c r="T443" s="176" t="str">
        <f>IF(AD443=1,IF(AF443="Value is not given at all",".",IF(AF443="Value is given by the source",S443,IF(AF443="Value is calculated with prices",(IF(SUMIFS(Q:Q,A:A,A443)&gt;0,SUMIFS(Q:Q,A:A,A443),"."))/VLOOKUP("USD",'Exchange Rates'!B:C,2,0),"Error with coding"))),"")</f>
        <v/>
      </c>
      <c r="U443" s="15" t="s">
        <v>261</v>
      </c>
      <c r="V443" s="567" t="s">
        <v>1293</v>
      </c>
      <c r="W443" s="567" t="s">
        <v>1430</v>
      </c>
      <c r="X443" s="685" t="s">
        <v>260</v>
      </c>
      <c r="Y443" s="685" t="s">
        <v>260</v>
      </c>
      <c r="Z443" s="15">
        <v>0</v>
      </c>
      <c r="AA443" s="180">
        <v>1</v>
      </c>
      <c r="AB443" s="570" t="s">
        <v>1433</v>
      </c>
      <c r="AC443" s="544" t="str">
        <f>""</f>
        <v/>
      </c>
      <c r="AD443" s="183">
        <v>0</v>
      </c>
      <c r="AE443" s="183" t="s">
        <v>264</v>
      </c>
      <c r="AF443" s="183" t="s">
        <v>265</v>
      </c>
      <c r="AG443" s="183">
        <v>0</v>
      </c>
      <c r="AH443" s="183">
        <v>0</v>
      </c>
      <c r="AI443" s="183">
        <v>0</v>
      </c>
      <c r="AJ443" s="181">
        <f>VLOOKUP($I443,'Price List, Weapons &amp; Items'!B:F,5,0)</f>
        <v>0</v>
      </c>
      <c r="AK443" s="181">
        <f t="shared" si="92"/>
        <v>0</v>
      </c>
      <c r="AL443" s="181">
        <f t="shared" si="93"/>
        <v>0</v>
      </c>
      <c r="AM443" s="181">
        <f t="shared" si="94"/>
        <v>0</v>
      </c>
      <c r="AN443" s="180" t="str">
        <f>VLOOKUP($I443,'Price List, Weapons &amp; Items'!B:L,COLUMN('Price List, Weapons &amp; Items'!$J$11)-1,0)</f>
        <v>Media reports (incl. social media)</v>
      </c>
      <c r="AO443" s="180" t="str">
        <f>IF(I443=".",".",VLOOKUP($I443,'Price List, Weapons &amp; Items'!B:J,3,0))</f>
        <v>non combat military vehicle</v>
      </c>
      <c r="AP443" s="545" t="str">
        <f t="shared" ca="1" si="79"/>
        <v/>
      </c>
      <c r="AQ443" s="180">
        <f>VLOOKUP($I443,'Price List, Weapons &amp; Items'!B:L,COLUMN('Price List, Weapons &amp; Items'!$L$11)-1,0)</f>
        <v>2</v>
      </c>
      <c r="AR443" s="180">
        <f t="shared" si="95"/>
        <v>1</v>
      </c>
      <c r="AS443" s="180">
        <f t="shared" si="96"/>
        <v>1</v>
      </c>
      <c r="AT443" s="180" t="str">
        <f t="shared" si="87"/>
        <v>Value is not in date format</v>
      </c>
      <c r="AU443" s="180" t="str">
        <f t="shared" si="88"/>
        <v>.</v>
      </c>
      <c r="AV443" s="180" t="str">
        <f t="shared" si="89"/>
        <v>.</v>
      </c>
      <c r="AW443" s="180">
        <f>IFERROR(VLOOKUP(B443,'Share, Heavy Weapons to Ukraine'!B:J,COLUMN('Share, Heavy Weapons to Ukraine'!C452)-1,0),0)</f>
        <v>0</v>
      </c>
      <c r="AX443" s="180">
        <f>VLOOKUP('Bilateral Assistance, MAIN DATA'!B443,'Country Summary'!B:F,COLUMN('Country Summary'!C455)-1,FALSE)</f>
        <v>1</v>
      </c>
      <c r="AY443" s="180" t="str">
        <f>IF(AND(AD443=1,D443="Military",H443&lt;&gt;"Not given")=TRUE,IF(SUMIFS(P:P,A:A,A443)&gt;0,ABS((SUMIFS(P:P,A:A,A443)/VLOOKUP("USD",'Exchange Rates'!B:C,2,0)))/S443,"."),".")</f>
        <v>.</v>
      </c>
      <c r="AZ443" s="182" t="str">
        <f>IF(AND(AD443=1,D443="Military",H443&lt;&gt;"Not given")=TRUE,IF(SUMIFS(P:P,A:A,A443)&gt;0,IF((ABS((SUMIFS(P:P,A:A,A443)/VLOOKUP("USD",'Exchange Rates'!B:C,2,0)))/S443)&gt;1,(SUMIFS(P:P,A:A,A443)-S443)/S443,(S443-SUMIFS(P:P,A:A,A443))/SUMIFS(P:P,A:A,A443)),"."),".")</f>
        <v>.</v>
      </c>
      <c r="BA443" s="182"/>
      <c r="BB443" s="182"/>
      <c r="BC443" s="182"/>
      <c r="BD443" s="182"/>
      <c r="BE443" s="182"/>
      <c r="BF443" s="182"/>
      <c r="BG443" s="182"/>
      <c r="BH443" s="182"/>
      <c r="BI443" s="182"/>
      <c r="BJ443" s="182"/>
      <c r="BK443" s="182"/>
      <c r="BL443" s="182"/>
      <c r="BM443" s="182"/>
      <c r="BN443" s="182"/>
      <c r="BO443" s="182"/>
      <c r="BP443" s="182"/>
      <c r="BQ443" s="182"/>
      <c r="BR443" s="182"/>
      <c r="BS443" s="182"/>
    </row>
    <row r="444" spans="1:71" ht="15.9" customHeight="1" x14ac:dyDescent="0.3">
      <c r="A444" s="5" t="s">
        <v>1326</v>
      </c>
      <c r="B444" s="5" t="s">
        <v>1288</v>
      </c>
      <c r="C444" s="174" t="s">
        <v>1327</v>
      </c>
      <c r="D444" s="5" t="s">
        <v>285</v>
      </c>
      <c r="E444" s="5" t="s">
        <v>1328</v>
      </c>
      <c r="F444" s="1139" t="s">
        <v>1329</v>
      </c>
      <c r="G444" s="15" t="s">
        <v>364</v>
      </c>
      <c r="H444" s="176">
        <v>1360000000</v>
      </c>
      <c r="I444" s="185" t="s">
        <v>1434</v>
      </c>
      <c r="J444" s="113" t="str">
        <f>VLOOKUP($I444,'Price List, Weapons &amp; Items'!B:C,2,0)</f>
        <v>Military equipment</v>
      </c>
      <c r="K444" s="113" t="str">
        <f>IF(I444=".",I444,VLOOKUP($I444,'Price List, Weapons &amp; Items'!B:D,3,0))</f>
        <v>Armoured Utility Vehicle (AUV)</v>
      </c>
      <c r="L444" s="177">
        <f>VLOOKUP(I444,'Price List, Weapons &amp; Items'!B:E,4,0)</f>
        <v>0</v>
      </c>
      <c r="M444" s="542">
        <v>14</v>
      </c>
      <c r="N444" s="542">
        <v>0</v>
      </c>
      <c r="O444" s="543">
        <f>VLOOKUP($I444,'Price List, Weapons &amp; Items'!B:G,6,0)</f>
        <v>120000</v>
      </c>
      <c r="P444" s="176">
        <f t="shared" si="90"/>
        <v>1680000</v>
      </c>
      <c r="Q444" s="176">
        <f t="shared" si="91"/>
        <v>0</v>
      </c>
      <c r="R444" s="176" t="str">
        <f t="shared" si="78"/>
        <v/>
      </c>
      <c r="S444" s="176" t="str">
        <f>IF(AND(AD444=1,R444&lt;&gt;".")=TRUE,R444/VLOOKUP(G444,'Exchange Rates'!B:C,2,0),IF(R444=".",".",""))</f>
        <v/>
      </c>
      <c r="T444" s="176" t="str">
        <f>IF(AD444=1,IF(AF444="Value is not given at all",".",IF(AF444="Value is given by the source",S444,IF(AF444="Value is calculated with prices",(IF(SUMIFS(Q:Q,A:A,A444)&gt;0,SUMIFS(Q:Q,A:A,A444),"."))/VLOOKUP("USD",'Exchange Rates'!B:C,2,0),"Error with coding"))),"")</f>
        <v/>
      </c>
      <c r="U444" s="15" t="s">
        <v>261</v>
      </c>
      <c r="V444" s="567" t="s">
        <v>1293</v>
      </c>
      <c r="W444" s="567" t="s">
        <v>1432</v>
      </c>
      <c r="X444" s="685" t="s">
        <v>260</v>
      </c>
      <c r="Y444" s="685" t="s">
        <v>260</v>
      </c>
      <c r="Z444" s="15">
        <v>0</v>
      </c>
      <c r="AA444" s="180">
        <v>1</v>
      </c>
      <c r="AB444" s="570" t="s">
        <v>1435</v>
      </c>
      <c r="AC444" s="544" t="str">
        <f>""</f>
        <v/>
      </c>
      <c r="AD444" s="183">
        <v>0</v>
      </c>
      <c r="AE444" s="183" t="s">
        <v>264</v>
      </c>
      <c r="AF444" s="183" t="s">
        <v>265</v>
      </c>
      <c r="AG444" s="183">
        <v>0</v>
      </c>
      <c r="AH444" s="183">
        <v>0</v>
      </c>
      <c r="AI444" s="183">
        <v>0</v>
      </c>
      <c r="AJ444" s="181">
        <f>VLOOKUP($I444,'Price List, Weapons &amp; Items'!B:F,5,0)</f>
        <v>1</v>
      </c>
      <c r="AK444" s="181">
        <f t="shared" si="92"/>
        <v>0</v>
      </c>
      <c r="AL444" s="181">
        <f t="shared" si="93"/>
        <v>0</v>
      </c>
      <c r="AM444" s="181">
        <f t="shared" si="94"/>
        <v>0</v>
      </c>
      <c r="AN444" s="180" t="str">
        <f>VLOOKUP($I444,'Price List, Weapons &amp; Items'!B:L,COLUMN('Price List, Weapons &amp; Items'!$J$11)-1,0)</f>
        <v>Online marketplaces and stores</v>
      </c>
      <c r="AO444" s="180" t="str">
        <f>IF(I444=".",".",VLOOKUP($I444,'Price List, Weapons &amp; Items'!B:J,3,0))</f>
        <v>Armoured Utility Vehicle (AUV)</v>
      </c>
      <c r="AP444" s="545" t="str">
        <f t="shared" ca="1" si="79"/>
        <v/>
      </c>
      <c r="AQ444" s="180">
        <f>VLOOKUP($I444,'Price List, Weapons &amp; Items'!B:L,COLUMN('Price List, Weapons &amp; Items'!$L$11)-1,0)</f>
        <v>1</v>
      </c>
      <c r="AR444" s="180">
        <f t="shared" si="95"/>
        <v>1</v>
      </c>
      <c r="AS444" s="180">
        <f t="shared" si="96"/>
        <v>1</v>
      </c>
      <c r="AT444" s="180" t="str">
        <f t="shared" si="87"/>
        <v>Value is not in date format</v>
      </c>
      <c r="AU444" s="180" t="str">
        <f t="shared" si="88"/>
        <v>.</v>
      </c>
      <c r="AV444" s="180" t="str">
        <f t="shared" si="89"/>
        <v>.</v>
      </c>
      <c r="AW444" s="180">
        <f>IFERROR(VLOOKUP(B444,'Share, Heavy Weapons to Ukraine'!B:J,COLUMN('Share, Heavy Weapons to Ukraine'!C453)-1,0),0)</f>
        <v>0</v>
      </c>
      <c r="AX444" s="180">
        <f>VLOOKUP('Bilateral Assistance, MAIN DATA'!B444,'Country Summary'!B:F,COLUMN('Country Summary'!C456)-1,FALSE)</f>
        <v>1</v>
      </c>
      <c r="AY444" s="180" t="str">
        <f>IF(AND(AD444=1,D444="Military",H444&lt;&gt;"Not given")=TRUE,IF(SUMIFS(P:P,A:A,A444)&gt;0,ABS((SUMIFS(P:P,A:A,A444)/VLOOKUP("USD",'Exchange Rates'!B:C,2,0)))/S444,"."),".")</f>
        <v>.</v>
      </c>
      <c r="AZ444" s="182" t="str">
        <f>IF(AND(AD444=1,D444="Military",H444&lt;&gt;"Not given")=TRUE,IF(SUMIFS(P:P,A:A,A444)&gt;0,IF((ABS((SUMIFS(P:P,A:A,A444)/VLOOKUP("USD",'Exchange Rates'!B:C,2,0)))/S444)&gt;1,(SUMIFS(P:P,A:A,A444)-S444)/S444,(S444-SUMIFS(P:P,A:A,A444))/SUMIFS(P:P,A:A,A444)),"."),".")</f>
        <v>.</v>
      </c>
      <c r="BA444" s="182"/>
      <c r="BB444" s="182"/>
      <c r="BC444" s="182"/>
      <c r="BD444" s="182"/>
      <c r="BE444" s="182"/>
      <c r="BF444" s="182"/>
      <c r="BG444" s="182"/>
      <c r="BH444" s="182"/>
      <c r="BI444" s="182"/>
      <c r="BJ444" s="182"/>
      <c r="BK444" s="182"/>
      <c r="BL444" s="182"/>
      <c r="BM444" s="182"/>
      <c r="BN444" s="182"/>
      <c r="BO444" s="182"/>
      <c r="BP444" s="182"/>
      <c r="BQ444" s="182"/>
      <c r="BR444" s="182"/>
      <c r="BS444" s="182"/>
    </row>
    <row r="445" spans="1:71" ht="15.9" customHeight="1" x14ac:dyDescent="0.3">
      <c r="A445" s="5" t="s">
        <v>1326</v>
      </c>
      <c r="B445" s="5" t="s">
        <v>1288</v>
      </c>
      <c r="C445" s="174" t="s">
        <v>1327</v>
      </c>
      <c r="D445" s="5" t="s">
        <v>285</v>
      </c>
      <c r="E445" s="5" t="s">
        <v>1328</v>
      </c>
      <c r="F445" s="1139" t="s">
        <v>1329</v>
      </c>
      <c r="G445" s="15" t="s">
        <v>364</v>
      </c>
      <c r="H445" s="176">
        <v>1360000000</v>
      </c>
      <c r="I445" s="185" t="s">
        <v>1436</v>
      </c>
      <c r="J445" s="113" t="str">
        <f>VLOOKUP($I445,'Price List, Weapons &amp; Items'!B:C,2,0)</f>
        <v>Heavy weapon</v>
      </c>
      <c r="K445" s="113" t="str">
        <f>IF(I445=".",I445,VLOOKUP($I445,'Price List, Weapons &amp; Items'!B:D,3,0))</f>
        <v>Patrol and coastal combatants</v>
      </c>
      <c r="L445" s="177">
        <f>VLOOKUP(I445,'Price List, Weapons &amp; Items'!B:E,4,0)</f>
        <v>0</v>
      </c>
      <c r="M445" s="542">
        <v>10</v>
      </c>
      <c r="N445" s="542">
        <v>10</v>
      </c>
      <c r="O445" s="543">
        <f>VLOOKUP($I445,'Price List, Weapons &amp; Items'!B:G,6,0)</f>
        <v>2548204.5789999999</v>
      </c>
      <c r="P445" s="176">
        <f t="shared" si="90"/>
        <v>25482045.789999999</v>
      </c>
      <c r="Q445" s="176">
        <f t="shared" si="91"/>
        <v>25482045.789999999</v>
      </c>
      <c r="R445" s="176" t="str">
        <f t="shared" si="78"/>
        <v/>
      </c>
      <c r="S445" s="176" t="str">
        <f>IF(AND(AD445=1,R445&lt;&gt;".")=TRUE,R445/VLOOKUP(G445,'Exchange Rates'!B:C,2,0),IF(R445=".",".",""))</f>
        <v/>
      </c>
      <c r="T445" s="176" t="str">
        <f>IF(AD445=1,IF(AF445="Value is not given at all",".",IF(AF445="Value is given by the source",S445,IF(AF445="Value is calculated with prices",(IF(SUMIFS(Q:Q,A:A,A445)&gt;0,SUMIFS(Q:Q,A:A,A445),"."))/VLOOKUP("USD",'Exchange Rates'!B:C,2,0),"Error with coding"))),"")</f>
        <v/>
      </c>
      <c r="U445" s="15" t="s">
        <v>261</v>
      </c>
      <c r="V445" s="567" t="s">
        <v>1293</v>
      </c>
      <c r="W445" s="567" t="s">
        <v>1433</v>
      </c>
      <c r="X445" s="685" t="s">
        <v>260</v>
      </c>
      <c r="Y445" s="685" t="s">
        <v>260</v>
      </c>
      <c r="Z445" s="15">
        <v>0</v>
      </c>
      <c r="AA445" s="180">
        <v>1</v>
      </c>
      <c r="AB445" s="570" t="s">
        <v>1437</v>
      </c>
      <c r="AC445" s="544" t="str">
        <f>""</f>
        <v/>
      </c>
      <c r="AD445" s="183">
        <v>0</v>
      </c>
      <c r="AE445" s="183" t="s">
        <v>264</v>
      </c>
      <c r="AF445" s="183" t="s">
        <v>265</v>
      </c>
      <c r="AG445" s="183">
        <v>0</v>
      </c>
      <c r="AH445" s="183">
        <v>0</v>
      </c>
      <c r="AI445" s="183">
        <v>0</v>
      </c>
      <c r="AJ445" s="181">
        <f>VLOOKUP($I445,'Price List, Weapons &amp; Items'!B:F,5,0)</f>
        <v>0</v>
      </c>
      <c r="AK445" s="181">
        <f t="shared" si="92"/>
        <v>0</v>
      </c>
      <c r="AL445" s="181">
        <f t="shared" si="93"/>
        <v>0</v>
      </c>
      <c r="AM445" s="181">
        <f t="shared" si="94"/>
        <v>0</v>
      </c>
      <c r="AN445" s="180" t="str">
        <f>VLOOKUP($I445,'Price List, Weapons &amp; Items'!B:L,COLUMN('Price List, Weapons &amp; Items'!$J$11)-1,0)</f>
        <v>Government information</v>
      </c>
      <c r="AO445" s="180" t="str">
        <f>IF(I445=".",".",VLOOKUP($I445,'Price List, Weapons &amp; Items'!B:J,3,0))</f>
        <v>Patrol and coastal combatants</v>
      </c>
      <c r="AP445" s="545" t="str">
        <f t="shared" ca="1" si="79"/>
        <v/>
      </c>
      <c r="AQ445" s="180">
        <f>VLOOKUP($I445,'Price List, Weapons &amp; Items'!B:L,COLUMN('Price List, Weapons &amp; Items'!$L$11)-1,0)</f>
        <v>2</v>
      </c>
      <c r="AR445" s="180">
        <f t="shared" si="95"/>
        <v>1</v>
      </c>
      <c r="AS445" s="180">
        <f t="shared" si="96"/>
        <v>1</v>
      </c>
      <c r="AT445" s="180" t="str">
        <f t="shared" si="87"/>
        <v>Value is not in date format</v>
      </c>
      <c r="AU445" s="180" t="str">
        <f t="shared" si="88"/>
        <v>.</v>
      </c>
      <c r="AV445" s="180" t="str">
        <f t="shared" si="89"/>
        <v>.</v>
      </c>
      <c r="AW445" s="180">
        <f>IFERROR(VLOOKUP(B445,'Share, Heavy Weapons to Ukraine'!B:J,COLUMN('Share, Heavy Weapons to Ukraine'!C454)-1,0),0)</f>
        <v>0</v>
      </c>
      <c r="AX445" s="180">
        <f>VLOOKUP('Bilateral Assistance, MAIN DATA'!B445,'Country Summary'!B:F,COLUMN('Country Summary'!C457)-1,FALSE)</f>
        <v>1</v>
      </c>
      <c r="AY445" s="180" t="str">
        <f>IF(AND(AD445=1,D445="Military",H445&lt;&gt;"Not given")=TRUE,IF(SUMIFS(P:P,A:A,A445)&gt;0,ABS((SUMIFS(P:P,A:A,A445)/VLOOKUP("USD",'Exchange Rates'!B:C,2,0)))/S445,"."),".")</f>
        <v>.</v>
      </c>
      <c r="AZ445" s="182" t="str">
        <f>IF(AND(AD445=1,D445="Military",H445&lt;&gt;"Not given")=TRUE,IF(SUMIFS(P:P,A:A,A445)&gt;0,IF((ABS((SUMIFS(P:P,A:A,A445)/VLOOKUP("USD",'Exchange Rates'!B:C,2,0)))/S445)&gt;1,(SUMIFS(P:P,A:A,A445)-S445)/S445,(S445-SUMIFS(P:P,A:A,A445))/SUMIFS(P:P,A:A,A445)),"."),".")</f>
        <v>.</v>
      </c>
      <c r="BA445" s="182"/>
      <c r="BB445" s="182"/>
      <c r="BC445" s="182"/>
      <c r="BD445" s="182"/>
      <c r="BE445" s="182"/>
      <c r="BF445" s="182"/>
      <c r="BG445" s="182"/>
      <c r="BH445" s="182"/>
      <c r="BI445" s="182"/>
      <c r="BJ445" s="182"/>
      <c r="BK445" s="182"/>
      <c r="BL445" s="182"/>
      <c r="BM445" s="182"/>
      <c r="BN445" s="182"/>
      <c r="BO445" s="182"/>
      <c r="BP445" s="182"/>
      <c r="BQ445" s="182"/>
      <c r="BR445" s="182"/>
      <c r="BS445" s="182"/>
    </row>
    <row r="446" spans="1:71" ht="15.9" customHeight="1" x14ac:dyDescent="0.3">
      <c r="A446" s="5" t="s">
        <v>1326</v>
      </c>
      <c r="B446" s="5" t="s">
        <v>1288</v>
      </c>
      <c r="C446" s="174" t="s">
        <v>1327</v>
      </c>
      <c r="D446" s="5" t="s">
        <v>285</v>
      </c>
      <c r="E446" s="5" t="s">
        <v>1328</v>
      </c>
      <c r="F446" s="1139" t="s">
        <v>1329</v>
      </c>
      <c r="G446" s="15" t="s">
        <v>364</v>
      </c>
      <c r="H446" s="176">
        <v>1360000000</v>
      </c>
      <c r="I446" s="17" t="s">
        <v>916</v>
      </c>
      <c r="J446" s="113" t="str">
        <f>VLOOKUP($I446,'Price List, Weapons &amp; Items'!B:C,2,0)</f>
        <v>Heavy weapon</v>
      </c>
      <c r="K446" s="113" t="str">
        <f>IF(I446=".",I446,VLOOKUP($I446,'Price List, Weapons &amp; Items'!B:D,3,0))</f>
        <v>155mm howitzer</v>
      </c>
      <c r="L446" s="177">
        <f>VLOOKUP(I446,'Price List, Weapons &amp; Items'!B:E,4,0)</f>
        <v>1</v>
      </c>
      <c r="M446" s="542">
        <v>5</v>
      </c>
      <c r="N446" s="542">
        <v>0</v>
      </c>
      <c r="O446" s="543">
        <f>VLOOKUP($I446,'Price List, Weapons &amp; Items'!B:G,6,0)</f>
        <v>8661378.4511823338</v>
      </c>
      <c r="P446" s="176">
        <f t="shared" si="90"/>
        <v>43306892.255911671</v>
      </c>
      <c r="Q446" s="176">
        <f t="shared" si="91"/>
        <v>0</v>
      </c>
      <c r="R446" s="176" t="str">
        <f t="shared" si="78"/>
        <v/>
      </c>
      <c r="S446" s="176" t="str">
        <f>IF(AND(AD446=1,R446&lt;&gt;".")=TRUE,R446/VLOOKUP(G446,'Exchange Rates'!B:C,2,0),IF(R446=".",".",""))</f>
        <v/>
      </c>
      <c r="T446" s="176" t="str">
        <f>IF(AD446=1,IF(AF446="Value is not given at all",".",IF(AF446="Value is given by the source",S446,IF(AF446="Value is calculated with prices",(IF(SUMIFS(Q:Q,A:A,A446)&gt;0,SUMIFS(Q:Q,A:A,A446),"."))/VLOOKUP("USD",'Exchange Rates'!B:C,2,0),"Error with coding"))),"")</f>
        <v/>
      </c>
      <c r="U446" s="15" t="s">
        <v>261</v>
      </c>
      <c r="V446" s="567" t="s">
        <v>1293</v>
      </c>
      <c r="W446" s="567" t="s">
        <v>1330</v>
      </c>
      <c r="X446" s="685" t="s">
        <v>260</v>
      </c>
      <c r="Y446" s="685" t="s">
        <v>260</v>
      </c>
      <c r="Z446" s="15">
        <v>0</v>
      </c>
      <c r="AA446" s="180">
        <v>1</v>
      </c>
      <c r="AB446" s="570" t="s">
        <v>1438</v>
      </c>
      <c r="AC446" s="544" t="str">
        <f>""</f>
        <v/>
      </c>
      <c r="AD446" s="183">
        <v>0</v>
      </c>
      <c r="AE446" s="183" t="s">
        <v>264</v>
      </c>
      <c r="AF446" s="183" t="s">
        <v>265</v>
      </c>
      <c r="AG446" s="183">
        <v>1</v>
      </c>
      <c r="AH446" s="183">
        <v>10</v>
      </c>
      <c r="AI446" s="183">
        <v>0</v>
      </c>
      <c r="AJ446" s="181">
        <f>VLOOKUP($I446,'Price List, Weapons &amp; Items'!B:F,5,0)</f>
        <v>1</v>
      </c>
      <c r="AK446" s="181">
        <f t="shared" si="92"/>
        <v>0</v>
      </c>
      <c r="AL446" s="181">
        <f t="shared" si="93"/>
        <v>0</v>
      </c>
      <c r="AM446" s="181">
        <f t="shared" si="94"/>
        <v>0</v>
      </c>
      <c r="AN446" s="180" t="str">
        <f>VLOOKUP($I446,'Price List, Weapons &amp; Items'!B:L,COLUMN('Price List, Weapons &amp; Items'!$J$11)-1,0)</f>
        <v>Government information</v>
      </c>
      <c r="AO446" s="180" t="str">
        <f>IF(I446=".",".",VLOOKUP($I446,'Price List, Weapons &amp; Items'!B:J,3,0))</f>
        <v>155mm howitzer</v>
      </c>
      <c r="AP446" s="545" t="str">
        <f t="shared" ca="1" si="79"/>
        <v/>
      </c>
      <c r="AQ446" s="180">
        <f>VLOOKUP($I446,'Price List, Weapons &amp; Items'!B:L,COLUMN('Price List, Weapons &amp; Items'!$L$11)-1,0)</f>
        <v>2</v>
      </c>
      <c r="AR446" s="180">
        <f t="shared" si="95"/>
        <v>1</v>
      </c>
      <c r="AS446" s="180">
        <f t="shared" si="96"/>
        <v>1</v>
      </c>
      <c r="AT446" s="180" t="str">
        <f t="shared" si="87"/>
        <v>Value is not in date format</v>
      </c>
      <c r="AU446" s="180" t="str">
        <f t="shared" si="88"/>
        <v>.</v>
      </c>
      <c r="AV446" s="180" t="str">
        <f t="shared" si="89"/>
        <v>.</v>
      </c>
      <c r="AW446" s="180">
        <f>IFERROR(VLOOKUP(B446,'Share, Heavy Weapons to Ukraine'!B:J,COLUMN('Share, Heavy Weapons to Ukraine'!C455)-1,0),0)</f>
        <v>0</v>
      </c>
      <c r="AX446" s="180">
        <f>VLOOKUP('Bilateral Assistance, MAIN DATA'!B446,'Country Summary'!B:F,COLUMN('Country Summary'!C458)-1,FALSE)</f>
        <v>1</v>
      </c>
      <c r="AY446" s="180" t="str">
        <f>IF(AND(AD446=1,D446="Military",H446&lt;&gt;"Not given")=TRUE,IF(SUMIFS(P:P,A:A,A446)&gt;0,ABS((SUMIFS(P:P,A:A,A446)/VLOOKUP("USD",'Exchange Rates'!B:C,2,0)))/S446,"."),".")</f>
        <v>.</v>
      </c>
      <c r="AZ446" s="182" t="str">
        <f>IF(AND(AD446=1,D446="Military",H446&lt;&gt;"Not given")=TRUE,IF(SUMIFS(P:P,A:A,A446)&gt;0,IF((ABS((SUMIFS(P:P,A:A,A446)/VLOOKUP("USD",'Exchange Rates'!B:C,2,0)))/S446)&gt;1,(SUMIFS(P:P,A:A,A446)-S446)/S446,(S446-SUMIFS(P:P,A:A,A446))/SUMIFS(P:P,A:A,A446)),"."),".")</f>
        <v>.</v>
      </c>
      <c r="BA446" s="182"/>
      <c r="BB446" s="182"/>
      <c r="BC446" s="182"/>
      <c r="BD446" s="182"/>
      <c r="BE446" s="182"/>
      <c r="BF446" s="182"/>
      <c r="BG446" s="182"/>
      <c r="BH446" s="182"/>
      <c r="BI446" s="182"/>
      <c r="BJ446" s="182"/>
      <c r="BK446" s="182"/>
      <c r="BL446" s="182"/>
      <c r="BM446" s="182"/>
      <c r="BN446" s="182"/>
      <c r="BO446" s="182"/>
      <c r="BP446" s="182"/>
      <c r="BQ446" s="182"/>
      <c r="BR446" s="182"/>
      <c r="BS446" s="182"/>
    </row>
    <row r="447" spans="1:71" ht="15.9" customHeight="1" x14ac:dyDescent="0.3">
      <c r="A447" s="5" t="s">
        <v>1326</v>
      </c>
      <c r="B447" s="5" t="s">
        <v>1288</v>
      </c>
      <c r="C447" s="174" t="s">
        <v>1327</v>
      </c>
      <c r="D447" s="5" t="s">
        <v>285</v>
      </c>
      <c r="E447" s="5" t="s">
        <v>1328</v>
      </c>
      <c r="F447" s="1139" t="s">
        <v>1329</v>
      </c>
      <c r="G447" s="15" t="s">
        <v>364</v>
      </c>
      <c r="H447" s="176">
        <v>1360000000</v>
      </c>
      <c r="I447" s="17" t="s">
        <v>1439</v>
      </c>
      <c r="J447" s="113" t="str">
        <f>VLOOKUP($I447,'Price List, Weapons &amp; Items'!B:C,2,0)</f>
        <v xml:space="preserve">Military equipment </v>
      </c>
      <c r="K447" s="113" t="str">
        <f>IF(I447=".",I447,VLOOKUP($I447,'Price List, Weapons &amp; Items'!B:D,3,0))</f>
        <v>Light Anti-armor Weapon (LAW)</v>
      </c>
      <c r="L447" s="177">
        <f>VLOOKUP(I447,'Price List, Weapons &amp; Items'!B:E,4,0)</f>
        <v>0</v>
      </c>
      <c r="M447" s="542">
        <v>14</v>
      </c>
      <c r="N447" s="542">
        <v>7</v>
      </c>
      <c r="O447" s="543" t="str">
        <f>VLOOKUP($I447,'Price List, Weapons &amp; Items'!B:G,6,0)</f>
        <v>.</v>
      </c>
      <c r="P447" s="176" t="str">
        <f t="shared" si="90"/>
        <v>No price</v>
      </c>
      <c r="Q447" s="176" t="str">
        <f t="shared" si="91"/>
        <v>No price</v>
      </c>
      <c r="R447" s="176" t="str">
        <f t="shared" si="78"/>
        <v/>
      </c>
      <c r="S447" s="176" t="str">
        <f>IF(AND(AD447=1,R447&lt;&gt;".")=TRUE,R447/VLOOKUP(G447,'Exchange Rates'!B:C,2,0),IF(R447=".",".",""))</f>
        <v/>
      </c>
      <c r="T447" s="176" t="str">
        <f>IF(AD447=1,IF(AF447="Value is not given at all",".",IF(AF447="Value is given by the source",S447,IF(AF447="Value is calculated with prices",(IF(SUMIFS(Q:Q,A:A,A447)&gt;0,SUMIFS(Q:Q,A:A,A447),"."))/VLOOKUP("USD",'Exchange Rates'!B:C,2,0),"Error with coding"))),"")</f>
        <v/>
      </c>
      <c r="U447" s="15" t="s">
        <v>261</v>
      </c>
      <c r="V447" s="567" t="s">
        <v>1293</v>
      </c>
      <c r="W447" s="567" t="s">
        <v>1440</v>
      </c>
      <c r="X447" s="685" t="s">
        <v>260</v>
      </c>
      <c r="Y447" s="685" t="s">
        <v>260</v>
      </c>
      <c r="Z447" s="15">
        <v>0</v>
      </c>
      <c r="AA447" s="180">
        <v>1</v>
      </c>
      <c r="AB447" s="570" t="s">
        <v>1441</v>
      </c>
      <c r="AC447" s="544" t="str">
        <f>""</f>
        <v/>
      </c>
      <c r="AD447" s="183">
        <v>0</v>
      </c>
      <c r="AE447" s="183" t="s">
        <v>264</v>
      </c>
      <c r="AF447" s="183" t="s">
        <v>265</v>
      </c>
      <c r="AG447" s="180">
        <v>0</v>
      </c>
      <c r="AH447" s="180">
        <v>0</v>
      </c>
      <c r="AI447" s="183">
        <v>0</v>
      </c>
      <c r="AJ447" s="181">
        <f>VLOOKUP($I447,'Price List, Weapons &amp; Items'!B:F,5,0)</f>
        <v>0</v>
      </c>
      <c r="AK447" s="181">
        <f t="shared" si="92"/>
        <v>0</v>
      </c>
      <c r="AL447" s="181">
        <f t="shared" si="93"/>
        <v>0</v>
      </c>
      <c r="AM447" s="181">
        <f t="shared" si="94"/>
        <v>0</v>
      </c>
      <c r="AN447" s="180" t="str">
        <f>VLOOKUP($I447,'Price List, Weapons &amp; Items'!B:L,COLUMN('Price List, Weapons &amp; Items'!$J$11)-1,0)</f>
        <v>.</v>
      </c>
      <c r="AO447" s="180" t="str">
        <f>IF(I447=".",".",VLOOKUP($I447,'Price List, Weapons &amp; Items'!B:J,3,0))</f>
        <v>Light Anti-armor Weapon (LAW)</v>
      </c>
      <c r="AP447" s="545" t="str">
        <f t="shared" ca="1" si="79"/>
        <v/>
      </c>
      <c r="AQ447" s="180">
        <f>VLOOKUP($I447,'Price List, Weapons &amp; Items'!B:L,COLUMN('Price List, Weapons &amp; Items'!$L$11)-1,0)</f>
        <v>0</v>
      </c>
      <c r="AR447" s="180">
        <f t="shared" si="95"/>
        <v>1</v>
      </c>
      <c r="AS447" s="180">
        <f t="shared" si="96"/>
        <v>1</v>
      </c>
      <c r="AT447" s="180" t="str">
        <f t="shared" si="87"/>
        <v>Value is not in date format</v>
      </c>
      <c r="AU447" s="180" t="str">
        <f t="shared" si="88"/>
        <v>.</v>
      </c>
      <c r="AV447" s="180" t="str">
        <f t="shared" si="89"/>
        <v>.</v>
      </c>
      <c r="AW447" s="180">
        <f>IFERROR(VLOOKUP(B447,'Share, Heavy Weapons to Ukraine'!B:J,COLUMN('Share, Heavy Weapons to Ukraine'!C456)-1,0),0)</f>
        <v>0</v>
      </c>
      <c r="AX447" s="180">
        <f>VLOOKUP('Bilateral Assistance, MAIN DATA'!B447,'Country Summary'!B:F,COLUMN('Country Summary'!C459)-1,FALSE)</f>
        <v>1</v>
      </c>
      <c r="AY447" s="180" t="str">
        <f>IF(AND(AD447=1,D447="Military",H447&lt;&gt;"Not given")=TRUE,IF(SUMIFS(P:P,A:A,A447)&gt;0,ABS((SUMIFS(P:P,A:A,A447)/VLOOKUP("USD",'Exchange Rates'!B:C,2,0)))/S447,"."),".")</f>
        <v>.</v>
      </c>
      <c r="AZ447" s="182" t="str">
        <f>IF(AND(AD447=1,D447="Military",H447&lt;&gt;"Not given")=TRUE,IF(SUMIFS(P:P,A:A,A447)&gt;0,IF((ABS((SUMIFS(P:P,A:A,A447)/VLOOKUP("USD",'Exchange Rates'!B:C,2,0)))/S447)&gt;1,(SUMIFS(P:P,A:A,A447)-S447)/S447,(S447-SUMIFS(P:P,A:A,A447))/SUMIFS(P:P,A:A,A447)),"."),".")</f>
        <v>.</v>
      </c>
      <c r="BA447" s="182"/>
      <c r="BB447" s="182"/>
      <c r="BC447" s="182"/>
      <c r="BD447" s="182"/>
      <c r="BE447" s="182"/>
      <c r="BF447" s="182"/>
      <c r="BG447" s="182"/>
      <c r="BH447" s="182"/>
      <c r="BI447" s="182"/>
      <c r="BJ447" s="182"/>
      <c r="BK447" s="182"/>
      <c r="BL447" s="182"/>
      <c r="BM447" s="182"/>
      <c r="BN447" s="182"/>
      <c r="BO447" s="182"/>
      <c r="BP447" s="182"/>
      <c r="BQ447" s="182"/>
      <c r="BR447" s="182"/>
      <c r="BS447" s="182"/>
    </row>
    <row r="448" spans="1:71" ht="15.9" customHeight="1" x14ac:dyDescent="0.3">
      <c r="A448" s="5" t="s">
        <v>1326</v>
      </c>
      <c r="B448" s="5" t="s">
        <v>1288</v>
      </c>
      <c r="C448" s="174" t="s">
        <v>1327</v>
      </c>
      <c r="D448" s="5" t="s">
        <v>285</v>
      </c>
      <c r="E448" s="5" t="s">
        <v>1328</v>
      </c>
      <c r="F448" s="1139" t="s">
        <v>1329</v>
      </c>
      <c r="G448" s="15" t="s">
        <v>364</v>
      </c>
      <c r="H448" s="176">
        <v>1360000000</v>
      </c>
      <c r="I448" s="17" t="s">
        <v>1442</v>
      </c>
      <c r="J448" s="113" t="str">
        <f>VLOOKUP($I448,'Price List, Weapons &amp; Items'!B:C,2,0)</f>
        <v>Military equipment</v>
      </c>
      <c r="K448" s="113" t="str">
        <f>IF(I448=".",I448,VLOOKUP($I448,'Price List, Weapons &amp; Items'!B:D,3,0))</f>
        <v>Military equipment</v>
      </c>
      <c r="L448" s="177">
        <f>VLOOKUP(I448,'Price List, Weapons &amp; Items'!B:E,4,0)</f>
        <v>0</v>
      </c>
      <c r="M448" s="542">
        <v>120</v>
      </c>
      <c r="N448" s="542">
        <v>30</v>
      </c>
      <c r="O448" s="543" t="str">
        <f>VLOOKUP($I448,'Price List, Weapons &amp; Items'!B:G,6,0)</f>
        <v>.</v>
      </c>
      <c r="P448" s="176" t="str">
        <f t="shared" si="90"/>
        <v>No price</v>
      </c>
      <c r="Q448" s="176" t="str">
        <f t="shared" si="91"/>
        <v>No price</v>
      </c>
      <c r="R448" s="176" t="str">
        <f t="shared" si="78"/>
        <v/>
      </c>
      <c r="S448" s="176" t="str">
        <f>IF(AND(AD448=1,R448&lt;&gt;".")=TRUE,R448/VLOOKUP(G448,'Exchange Rates'!B:C,2,0),IF(R448=".",".",""))</f>
        <v/>
      </c>
      <c r="T448" s="176" t="str">
        <f>IF(AD448=1,IF(AF448="Value is not given at all",".",IF(AF448="Value is given by the source",S448,IF(AF448="Value is calculated with prices",(IF(SUMIFS(Q:Q,A:A,A448)&gt;0,SUMIFS(Q:Q,A:A,A448),"."))/VLOOKUP("USD",'Exchange Rates'!B:C,2,0),"Error with coding"))),"")</f>
        <v/>
      </c>
      <c r="U448" s="15" t="s">
        <v>261</v>
      </c>
      <c r="V448" s="567" t="s">
        <v>1293</v>
      </c>
      <c r="W448" s="567" t="s">
        <v>1438</v>
      </c>
      <c r="X448" s="685" t="s">
        <v>260</v>
      </c>
      <c r="Y448" s="685" t="s">
        <v>260</v>
      </c>
      <c r="Z448" s="15">
        <v>0</v>
      </c>
      <c r="AA448" s="180">
        <v>1</v>
      </c>
      <c r="AB448" s="570" t="s">
        <v>1443</v>
      </c>
      <c r="AC448" s="544" t="str">
        <f>""</f>
        <v/>
      </c>
      <c r="AD448" s="183">
        <v>0</v>
      </c>
      <c r="AE448" s="183" t="s">
        <v>264</v>
      </c>
      <c r="AF448" s="183" t="s">
        <v>265</v>
      </c>
      <c r="AG448" s="180">
        <v>0</v>
      </c>
      <c r="AH448" s="180">
        <v>0</v>
      </c>
      <c r="AI448" s="183">
        <v>0</v>
      </c>
      <c r="AJ448" s="181">
        <f>VLOOKUP($I448,'Price List, Weapons &amp; Items'!B:F,5,0)</f>
        <v>0</v>
      </c>
      <c r="AK448" s="181">
        <f t="shared" si="92"/>
        <v>0</v>
      </c>
      <c r="AL448" s="181">
        <f t="shared" si="93"/>
        <v>0</v>
      </c>
      <c r="AM448" s="181">
        <f t="shared" si="94"/>
        <v>0</v>
      </c>
      <c r="AN448" s="180" t="str">
        <f>VLOOKUP($I448,'Price List, Weapons &amp; Items'!B:L,COLUMN('Price List, Weapons &amp; Items'!$J$11)-1,0)</f>
        <v>.</v>
      </c>
      <c r="AO448" s="180" t="str">
        <f>IF(I448=".",".",VLOOKUP($I448,'Price List, Weapons &amp; Items'!B:J,3,0))</f>
        <v>Military equipment</v>
      </c>
      <c r="AP448" s="545" t="str">
        <f t="shared" ca="1" si="79"/>
        <v/>
      </c>
      <c r="AQ448" s="180">
        <f>VLOOKUP($I448,'Price List, Weapons &amp; Items'!B:L,COLUMN('Price List, Weapons &amp; Items'!$L$11)-1,0)</f>
        <v>0</v>
      </c>
      <c r="AR448" s="180">
        <f t="shared" si="95"/>
        <v>1</v>
      </c>
      <c r="AS448" s="180">
        <f t="shared" si="96"/>
        <v>1</v>
      </c>
      <c r="AT448" s="180" t="str">
        <f t="shared" si="87"/>
        <v>Value is not in date format</v>
      </c>
      <c r="AU448" s="180" t="str">
        <f t="shared" si="88"/>
        <v>.</v>
      </c>
      <c r="AV448" s="180" t="str">
        <f t="shared" si="89"/>
        <v>.</v>
      </c>
      <c r="AW448" s="180">
        <f>IFERROR(VLOOKUP(B448,'Share, Heavy Weapons to Ukraine'!B:J,COLUMN('Share, Heavy Weapons to Ukraine'!C457)-1,0),0)</f>
        <v>0</v>
      </c>
      <c r="AX448" s="180">
        <f>VLOOKUP('Bilateral Assistance, MAIN DATA'!B448,'Country Summary'!B:F,COLUMN('Country Summary'!C460)-1,FALSE)</f>
        <v>1</v>
      </c>
      <c r="AY448" s="180" t="str">
        <f>IF(AND(AD448=1,D448="Military",H448&lt;&gt;"Not given")=TRUE,IF(SUMIFS(P:P,A:A,A448)&gt;0,ABS((SUMIFS(P:P,A:A,A448)/VLOOKUP("USD",'Exchange Rates'!B:C,2,0)))/S448,"."),".")</f>
        <v>.</v>
      </c>
      <c r="AZ448" s="182" t="str">
        <f>IF(AND(AD448=1,D448="Military",H448&lt;&gt;"Not given")=TRUE,IF(SUMIFS(P:P,A:A,A448)&gt;0,IF((ABS((SUMIFS(P:P,A:A,A448)/VLOOKUP("USD",'Exchange Rates'!B:C,2,0)))/S448)&gt;1,(SUMIFS(P:P,A:A,A448)-S448)/S448,(S448-SUMIFS(P:P,A:A,A448))/SUMIFS(P:P,A:A,A448)),"."),".")</f>
        <v>.</v>
      </c>
      <c r="BA448" s="182"/>
      <c r="BB448" s="182"/>
      <c r="BC448" s="182"/>
      <c r="BD448" s="182"/>
      <c r="BE448" s="182"/>
      <c r="BF448" s="182"/>
      <c r="BG448" s="182"/>
      <c r="BH448" s="182"/>
      <c r="BI448" s="182"/>
      <c r="BJ448" s="182"/>
      <c r="BK448" s="182"/>
      <c r="BL448" s="182"/>
      <c r="BM448" s="182"/>
      <c r="BN448" s="182"/>
      <c r="BO448" s="182"/>
      <c r="BP448" s="182"/>
      <c r="BQ448" s="182"/>
      <c r="BR448" s="182"/>
      <c r="BS448" s="182"/>
    </row>
    <row r="449" spans="1:71" ht="15.9" customHeight="1" x14ac:dyDescent="0.3">
      <c r="A449" s="5" t="s">
        <v>1326</v>
      </c>
      <c r="B449" s="5" t="s">
        <v>1288</v>
      </c>
      <c r="C449" s="174" t="s">
        <v>1327</v>
      </c>
      <c r="D449" s="5" t="s">
        <v>285</v>
      </c>
      <c r="E449" s="5" t="s">
        <v>1328</v>
      </c>
      <c r="F449" s="1139" t="s">
        <v>1329</v>
      </c>
      <c r="G449" s="15" t="s">
        <v>364</v>
      </c>
      <c r="H449" s="176">
        <v>1360000000</v>
      </c>
      <c r="I449" s="17" t="s">
        <v>1444</v>
      </c>
      <c r="J449" s="113" t="str">
        <f>VLOOKUP($I449,'Price List, Weapons &amp; Items'!B:C,2,0)</f>
        <v>Military equipment</v>
      </c>
      <c r="K449" s="113" t="str">
        <f>IF(I449=".",I449,VLOOKUP($I449,'Price List, Weapons &amp; Items'!B:D,3,0))</f>
        <v>spare parts</v>
      </c>
      <c r="L449" s="177">
        <f>VLOOKUP(I449,'Price List, Weapons &amp; Items'!B:E,4,0)</f>
        <v>0</v>
      </c>
      <c r="M449" s="542" t="s">
        <v>270</v>
      </c>
      <c r="N449" s="542" t="s">
        <v>270</v>
      </c>
      <c r="O449" s="543" t="str">
        <f>VLOOKUP($I449,'Price List, Weapons &amp; Items'!B:G,6,0)</f>
        <v>.</v>
      </c>
      <c r="P449" s="176" t="str">
        <f t="shared" si="90"/>
        <v>.</v>
      </c>
      <c r="Q449" s="176" t="str">
        <f t="shared" si="91"/>
        <v>.</v>
      </c>
      <c r="R449" s="176" t="str">
        <f t="shared" si="78"/>
        <v/>
      </c>
      <c r="S449" s="176" t="str">
        <f>IF(AND(AD449=1,R449&lt;&gt;".")=TRUE,R449/VLOOKUP(G449,'Exchange Rates'!B:C,2,0),IF(R449=".",".",""))</f>
        <v/>
      </c>
      <c r="T449" s="176" t="str">
        <f>IF(AD449=1,IF(AF449="Value is not given at all",".",IF(AF449="Value is given by the source",S449,IF(AF449="Value is calculated with prices",(IF(SUMIFS(Q:Q,A:A,A449)&gt;0,SUMIFS(Q:Q,A:A,A449),"."))/VLOOKUP("USD",'Exchange Rates'!B:C,2,0),"Error with coding"))),"")</f>
        <v/>
      </c>
      <c r="U449" s="15" t="s">
        <v>261</v>
      </c>
      <c r="V449" s="567" t="s">
        <v>1293</v>
      </c>
      <c r="W449" s="567" t="s">
        <v>1441</v>
      </c>
      <c r="X449" s="685" t="s">
        <v>260</v>
      </c>
      <c r="Y449" s="685" t="s">
        <v>260</v>
      </c>
      <c r="Z449" s="15">
        <v>0</v>
      </c>
      <c r="AA449" s="180">
        <v>1</v>
      </c>
      <c r="AB449" s="570" t="s">
        <v>1445</v>
      </c>
      <c r="AC449" s="544" t="str">
        <f>""</f>
        <v/>
      </c>
      <c r="AD449" s="183">
        <v>0</v>
      </c>
      <c r="AE449" s="183" t="s">
        <v>264</v>
      </c>
      <c r="AF449" s="183" t="s">
        <v>265</v>
      </c>
      <c r="AG449" s="180">
        <v>0</v>
      </c>
      <c r="AH449" s="180">
        <v>0</v>
      </c>
      <c r="AI449" s="183">
        <v>0</v>
      </c>
      <c r="AJ449" s="181">
        <f>VLOOKUP($I449,'Price List, Weapons &amp; Items'!B:F,5,0)</f>
        <v>0</v>
      </c>
      <c r="AK449" s="181">
        <f t="shared" si="92"/>
        <v>0</v>
      </c>
      <c r="AL449" s="181">
        <f t="shared" si="93"/>
        <v>0</v>
      </c>
      <c r="AM449" s="181">
        <f t="shared" si="94"/>
        <v>0</v>
      </c>
      <c r="AN449" s="180" t="str">
        <f>VLOOKUP($I449,'Price List, Weapons &amp; Items'!B:L,COLUMN('Price List, Weapons &amp; Items'!$J$11)-1,0)</f>
        <v>.</v>
      </c>
      <c r="AO449" s="180" t="str">
        <f>IF(I449=".",".",VLOOKUP($I449,'Price List, Weapons &amp; Items'!B:J,3,0))</f>
        <v>spare parts</v>
      </c>
      <c r="AP449" s="545" t="str">
        <f t="shared" ca="1" si="79"/>
        <v/>
      </c>
      <c r="AQ449" s="180" t="str">
        <f>VLOOKUP($I449,'Price List, Weapons &amp; Items'!B:L,COLUMN('Price List, Weapons &amp; Items'!$L$11)-1,0)</f>
        <v>no price, 0 count</v>
      </c>
      <c r="AR449" s="180">
        <f t="shared" si="95"/>
        <v>1</v>
      </c>
      <c r="AS449" s="180">
        <f t="shared" si="96"/>
        <v>1</v>
      </c>
      <c r="AT449" s="180" t="str">
        <f t="shared" ref="AT449:AT512" si="97">IFERROR(IF(VALUE(TEXT(C449,"mm"))=AH449,".",IF(TEXT(C449,"mm")="01",".",1)),"Value is not in date format")</f>
        <v>Value is not in date format</v>
      </c>
      <c r="AU449" s="180" t="str">
        <f t="shared" si="88"/>
        <v>.</v>
      </c>
      <c r="AV449" s="180" t="str">
        <f t="shared" si="89"/>
        <v>.</v>
      </c>
      <c r="AW449" s="180">
        <f>IFERROR(VLOOKUP(B449,'Share, Heavy Weapons to Ukraine'!B:J,COLUMN('Share, Heavy Weapons to Ukraine'!C458)-1,0),0)</f>
        <v>0</v>
      </c>
      <c r="AX449" s="180">
        <f>VLOOKUP('Bilateral Assistance, MAIN DATA'!B449,'Country Summary'!B:F,COLUMN('Country Summary'!C461)-1,FALSE)</f>
        <v>1</v>
      </c>
      <c r="AY449" s="180" t="str">
        <f>IF(AND(AD449=1,D449="Military",H449&lt;&gt;"Not given")=TRUE,IF(SUMIFS(P:P,A:A,A449)&gt;0,ABS((SUMIFS(P:P,A:A,A449)/VLOOKUP("USD",'Exchange Rates'!B:C,2,0)))/S449,"."),".")</f>
        <v>.</v>
      </c>
      <c r="AZ449" s="182" t="str">
        <f>IF(AND(AD449=1,D449="Military",H449&lt;&gt;"Not given")=TRUE,IF(SUMIFS(P:P,A:A,A449)&gt;0,IF((ABS((SUMIFS(P:P,A:A,A449)/VLOOKUP("USD",'Exchange Rates'!B:C,2,0)))/S449)&gt;1,(SUMIFS(P:P,A:A,A449)-S449)/S449,(S449-SUMIFS(P:P,A:A,A449))/SUMIFS(P:P,A:A,A449)),"."),".")</f>
        <v>.</v>
      </c>
      <c r="BA449" s="182"/>
      <c r="BB449" s="182"/>
      <c r="BC449" s="182"/>
      <c r="BD449" s="182"/>
      <c r="BE449" s="182"/>
      <c r="BF449" s="182"/>
      <c r="BG449" s="182"/>
      <c r="BH449" s="182"/>
      <c r="BI449" s="182"/>
      <c r="BJ449" s="182"/>
      <c r="BK449" s="182"/>
      <c r="BL449" s="182"/>
      <c r="BM449" s="182"/>
      <c r="BN449" s="182"/>
      <c r="BO449" s="182"/>
      <c r="BP449" s="182"/>
      <c r="BQ449" s="182"/>
      <c r="BR449" s="182"/>
      <c r="BS449" s="182"/>
    </row>
    <row r="450" spans="1:71" ht="15.9" customHeight="1" x14ac:dyDescent="0.3">
      <c r="A450" s="5" t="s">
        <v>1326</v>
      </c>
      <c r="B450" s="5" t="s">
        <v>1288</v>
      </c>
      <c r="C450" s="174" t="s">
        <v>1327</v>
      </c>
      <c r="D450" s="5" t="s">
        <v>285</v>
      </c>
      <c r="E450" s="5" t="s">
        <v>1328</v>
      </c>
      <c r="F450" s="1139" t="s">
        <v>1329</v>
      </c>
      <c r="G450" s="15" t="s">
        <v>364</v>
      </c>
      <c r="H450" s="176">
        <v>1360000000</v>
      </c>
      <c r="I450" s="17" t="s">
        <v>1446</v>
      </c>
      <c r="J450" s="113" t="str">
        <f>VLOOKUP($I450,'Price List, Weapons &amp; Items'!B:C,2,0)</f>
        <v>Military equipment</v>
      </c>
      <c r="K450" s="113" t="str">
        <f>IF(I450=".",I450,VLOOKUP($I450,'Price List, Weapons &amp; Items'!B:D,3,0))</f>
        <v>Military equipment</v>
      </c>
      <c r="L450" s="177">
        <f>VLOOKUP(I450,'Price List, Weapons &amp; Items'!B:E,4,0)</f>
        <v>0</v>
      </c>
      <c r="M450" s="542">
        <v>6000</v>
      </c>
      <c r="N450" s="542">
        <v>6000</v>
      </c>
      <c r="O450" s="543" t="str">
        <f>VLOOKUP($I450,'Price List, Weapons &amp; Items'!B:G,6,0)</f>
        <v>.</v>
      </c>
      <c r="P450" s="176" t="str">
        <f t="shared" si="90"/>
        <v>No price</v>
      </c>
      <c r="Q450" s="176" t="str">
        <f t="shared" si="91"/>
        <v>No price</v>
      </c>
      <c r="R450" s="176" t="str">
        <f t="shared" ref="R450:R513" si="98">IF(AD450=1,IF(H450&lt;&gt;"Not given",H450,IF(TYPE(H450)=2,IF(SUMIFS(P:P,A:A,A450)&gt;0,SUMIFS(P:P,A:A,A450),"."),"Format error")),"")</f>
        <v/>
      </c>
      <c r="S450" s="176" t="str">
        <f>IF(AND(AD450=1,R450&lt;&gt;".")=TRUE,R450/VLOOKUP(G450,'Exchange Rates'!B:C,2,0),IF(R450=".",".",""))</f>
        <v/>
      </c>
      <c r="T450" s="176" t="str">
        <f>IF(AD450=1,IF(AF450="Value is not given at all",".",IF(AF450="Value is given by the source",S450,IF(AF450="Value is calculated with prices",(IF(SUMIFS(Q:Q,A:A,A450)&gt;0,SUMIFS(Q:Q,A:A,A450),"."))/VLOOKUP("USD",'Exchange Rates'!B:C,2,0),"Error with coding"))),"")</f>
        <v/>
      </c>
      <c r="U450" s="15" t="s">
        <v>261</v>
      </c>
      <c r="V450" s="567" t="s">
        <v>1293</v>
      </c>
      <c r="W450" s="567" t="s">
        <v>1443</v>
      </c>
      <c r="X450" s="685" t="s">
        <v>260</v>
      </c>
      <c r="Y450" s="685" t="s">
        <v>260</v>
      </c>
      <c r="Z450" s="15">
        <v>0</v>
      </c>
      <c r="AA450" s="180">
        <v>1</v>
      </c>
      <c r="AB450" s="570" t="s">
        <v>1447</v>
      </c>
      <c r="AC450" s="544" t="str">
        <f>""</f>
        <v/>
      </c>
      <c r="AD450" s="183">
        <v>0</v>
      </c>
      <c r="AE450" s="183" t="s">
        <v>264</v>
      </c>
      <c r="AF450" s="183" t="s">
        <v>265</v>
      </c>
      <c r="AG450" s="180">
        <v>0</v>
      </c>
      <c r="AH450" s="180">
        <v>0</v>
      </c>
      <c r="AI450" s="183">
        <v>0</v>
      </c>
      <c r="AJ450" s="181">
        <f>VLOOKUP($I450,'Price List, Weapons &amp; Items'!B:F,5,0)</f>
        <v>0</v>
      </c>
      <c r="AK450" s="181">
        <f t="shared" si="92"/>
        <v>0</v>
      </c>
      <c r="AL450" s="181">
        <f t="shared" si="93"/>
        <v>0</v>
      </c>
      <c r="AM450" s="181">
        <f t="shared" si="94"/>
        <v>1</v>
      </c>
      <c r="AN450" s="180" t="str">
        <f>VLOOKUP($I450,'Price List, Weapons &amp; Items'!B:L,COLUMN('Price List, Weapons &amp; Items'!$J$11)-1,0)</f>
        <v>.</v>
      </c>
      <c r="AO450" s="180" t="str">
        <f>IF(I450=".",".",VLOOKUP($I450,'Price List, Weapons &amp; Items'!B:J,3,0))</f>
        <v>Military equipment</v>
      </c>
      <c r="AP450" s="545" t="str">
        <f t="shared" ca="1" si="79"/>
        <v/>
      </c>
      <c r="AQ450" s="180">
        <f>VLOOKUP($I450,'Price List, Weapons &amp; Items'!B:L,COLUMN('Price List, Weapons &amp; Items'!$L$11)-1,0)</f>
        <v>0</v>
      </c>
      <c r="AR450" s="180">
        <f t="shared" si="95"/>
        <v>1</v>
      </c>
      <c r="AS450" s="180">
        <f t="shared" si="96"/>
        <v>1</v>
      </c>
      <c r="AT450" s="180" t="str">
        <f t="shared" si="97"/>
        <v>Value is not in date format</v>
      </c>
      <c r="AU450" s="180" t="str">
        <f t="shared" ref="AU450:AU513" si="99">IF(AND(A450=A449,C450=C449)=TRUE,IF(F450=F449,".","1"),".")</f>
        <v>.</v>
      </c>
      <c r="AV450" s="180" t="str">
        <f t="shared" ref="AV450:AV513" si="100">IF(T450&lt;&gt;".",IF(T450&gt;S450,1,"."),".")</f>
        <v>.</v>
      </c>
      <c r="AW450" s="180">
        <f>IFERROR(VLOOKUP(B450,'Share, Heavy Weapons to Ukraine'!B:J,COLUMN('Share, Heavy Weapons to Ukraine'!C459)-1,0),0)</f>
        <v>0</v>
      </c>
      <c r="AX450" s="180">
        <f>VLOOKUP('Bilateral Assistance, MAIN DATA'!B450,'Country Summary'!B:F,COLUMN('Country Summary'!C462)-1,FALSE)</f>
        <v>1</v>
      </c>
      <c r="AY450" s="180" t="str">
        <f>IF(AND(AD450=1,D450="Military",H450&lt;&gt;"Not given")=TRUE,IF(SUMIFS(P:P,A:A,A450)&gt;0,ABS((SUMIFS(P:P,A:A,A450)/VLOOKUP("USD",'Exchange Rates'!B:C,2,0)))/S450,"."),".")</f>
        <v>.</v>
      </c>
      <c r="AZ450" s="182" t="str">
        <f>IF(AND(AD450=1,D450="Military",H450&lt;&gt;"Not given")=TRUE,IF(SUMIFS(P:P,A:A,A450)&gt;0,IF((ABS((SUMIFS(P:P,A:A,A450)/VLOOKUP("USD",'Exchange Rates'!B:C,2,0)))/S450)&gt;1,(SUMIFS(P:P,A:A,A450)-S450)/S450,(S450-SUMIFS(P:P,A:A,A450))/SUMIFS(P:P,A:A,A450)),"."),".")</f>
        <v>.</v>
      </c>
      <c r="BA450" s="182"/>
      <c r="BB450" s="182"/>
      <c r="BC450" s="182"/>
      <c r="BD450" s="182"/>
      <c r="BE450" s="182"/>
      <c r="BF450" s="182"/>
      <c r="BG450" s="182"/>
      <c r="BH450" s="182"/>
      <c r="BI450" s="182"/>
      <c r="BJ450" s="182"/>
      <c r="BK450" s="182"/>
      <c r="BL450" s="182"/>
      <c r="BM450" s="182"/>
      <c r="BN450" s="182"/>
      <c r="BO450" s="182"/>
      <c r="BP450" s="182"/>
      <c r="BQ450" s="182"/>
      <c r="BR450" s="182"/>
      <c r="BS450" s="182"/>
    </row>
    <row r="451" spans="1:71" ht="15.9" customHeight="1" x14ac:dyDescent="0.3">
      <c r="A451" s="5" t="s">
        <v>1326</v>
      </c>
      <c r="B451" s="5" t="s">
        <v>1288</v>
      </c>
      <c r="C451" s="174" t="s">
        <v>1327</v>
      </c>
      <c r="D451" s="5" t="s">
        <v>285</v>
      </c>
      <c r="E451" s="5" t="s">
        <v>1328</v>
      </c>
      <c r="F451" s="1139" t="s">
        <v>1329</v>
      </c>
      <c r="G451" s="15" t="s">
        <v>364</v>
      </c>
      <c r="H451" s="176">
        <v>1360000000</v>
      </c>
      <c r="I451" s="17" t="s">
        <v>1448</v>
      </c>
      <c r="J451" s="113" t="str">
        <f>VLOOKUP($I451,'Price List, Weapons &amp; Items'!B:C,2,0)</f>
        <v>Heavy weapon</v>
      </c>
      <c r="K451" s="113" t="str">
        <f>IF(I451=".",I451,VLOOKUP($I451,'Price List, Weapons &amp; Items'!B:D,3,0))</f>
        <v>155mm howitzer</v>
      </c>
      <c r="L451" s="177">
        <f>VLOOKUP(I451,'Price List, Weapons &amp; Items'!B:E,4,0)</f>
        <v>0</v>
      </c>
      <c r="M451" s="542">
        <v>18</v>
      </c>
      <c r="N451" s="542">
        <v>0</v>
      </c>
      <c r="O451" s="543">
        <f>VLOOKUP($I451,'Price List, Weapons &amp; Items'!B:G,6,0)</f>
        <v>12000000</v>
      </c>
      <c r="P451" s="176">
        <f t="shared" si="90"/>
        <v>216000000</v>
      </c>
      <c r="Q451" s="176">
        <f t="shared" si="91"/>
        <v>0</v>
      </c>
      <c r="R451" s="176" t="str">
        <f t="shared" si="98"/>
        <v/>
      </c>
      <c r="S451" s="176" t="str">
        <f>IF(AND(AD451=1,R451&lt;&gt;".")=TRUE,R451/VLOOKUP(G451,'Exchange Rates'!B:C,2,0),IF(R451=".",".",""))</f>
        <v/>
      </c>
      <c r="T451" s="176" t="str">
        <f>IF(AD451=1,IF(AF451="Value is not given at all",".",IF(AF451="Value is given by the source",S451,IF(AF451="Value is calculated with prices",(IF(SUMIFS(Q:Q,A:A,A451)&gt;0,SUMIFS(Q:Q,A:A,A451),"."))/VLOOKUP("USD",'Exchange Rates'!B:C,2,0),"Error with coding"))),"")</f>
        <v/>
      </c>
      <c r="U451" s="15" t="s">
        <v>261</v>
      </c>
      <c r="V451" s="567" t="s">
        <v>1293</v>
      </c>
      <c r="W451" s="567" t="s">
        <v>1445</v>
      </c>
      <c r="X451" s="685" t="s">
        <v>260</v>
      </c>
      <c r="Y451" s="685" t="s">
        <v>260</v>
      </c>
      <c r="Z451" s="15">
        <v>0</v>
      </c>
      <c r="AA451" s="180">
        <v>1</v>
      </c>
      <c r="AB451" s="570" t="s">
        <v>1449</v>
      </c>
      <c r="AC451" s="544" t="str">
        <f>""</f>
        <v/>
      </c>
      <c r="AD451" s="183">
        <v>0</v>
      </c>
      <c r="AE451" s="183" t="s">
        <v>264</v>
      </c>
      <c r="AF451" s="183" t="s">
        <v>265</v>
      </c>
      <c r="AG451" s="180">
        <v>1</v>
      </c>
      <c r="AH451" s="180">
        <v>12</v>
      </c>
      <c r="AI451" s="183">
        <v>0</v>
      </c>
      <c r="AJ451" s="181">
        <f>VLOOKUP($I451,'Price List, Weapons &amp; Items'!B:F,5,0)</f>
        <v>0</v>
      </c>
      <c r="AK451" s="181">
        <f t="shared" si="92"/>
        <v>0</v>
      </c>
      <c r="AL451" s="181">
        <f t="shared" si="93"/>
        <v>0</v>
      </c>
      <c r="AM451" s="181">
        <f t="shared" si="94"/>
        <v>0</v>
      </c>
      <c r="AN451" s="180" t="str">
        <f>VLOOKUP($I451,'Price List, Weapons &amp; Items'!B:L,COLUMN('Price List, Weapons &amp; Items'!$J$11)-1,0)</f>
        <v>Media reports (incl. social media)</v>
      </c>
      <c r="AO451" s="180" t="str">
        <f>IF(I451=".",".",VLOOKUP($I451,'Price List, Weapons &amp; Items'!B:J,3,0))</f>
        <v>155mm howitzer</v>
      </c>
      <c r="AP451" s="545" t="str">
        <f t="shared" ref="AP451:AP514" ca="1" si="101">IF(AD451=1,_xlfn.ARRAYTOTEXT(OFFSET(I451,0,0,COUNTIF(A:A,A451),1)),"")</f>
        <v/>
      </c>
      <c r="AQ451" s="180">
        <f>VLOOKUP($I451,'Price List, Weapons &amp; Items'!B:L,COLUMN('Price List, Weapons &amp; Items'!$L$11)-1,0)</f>
        <v>2</v>
      </c>
      <c r="AR451" s="180">
        <f t="shared" si="95"/>
        <v>1</v>
      </c>
      <c r="AS451" s="180">
        <f t="shared" si="96"/>
        <v>1</v>
      </c>
      <c r="AT451" s="180" t="str">
        <f t="shared" si="97"/>
        <v>Value is not in date format</v>
      </c>
      <c r="AU451" s="180" t="str">
        <f t="shared" si="99"/>
        <v>.</v>
      </c>
      <c r="AV451" s="180" t="str">
        <f t="shared" si="100"/>
        <v>.</v>
      </c>
      <c r="AW451" s="180">
        <f>IFERROR(VLOOKUP(B451,'Share, Heavy Weapons to Ukraine'!B:J,COLUMN('Share, Heavy Weapons to Ukraine'!C460)-1,0),0)</f>
        <v>0</v>
      </c>
      <c r="AX451" s="180">
        <f>VLOOKUP('Bilateral Assistance, MAIN DATA'!B451,'Country Summary'!B:F,COLUMN('Country Summary'!C463)-1,FALSE)</f>
        <v>1</v>
      </c>
      <c r="AY451" s="180" t="str">
        <f>IF(AND(AD451=1,D451="Military",H451&lt;&gt;"Not given")=TRUE,IF(SUMIFS(P:P,A:A,A451)&gt;0,ABS((SUMIFS(P:P,A:A,A451)/VLOOKUP("USD",'Exchange Rates'!B:C,2,0)))/S451,"."),".")</f>
        <v>.</v>
      </c>
      <c r="AZ451" s="182" t="str">
        <f>IF(AND(AD451=1,D451="Military",H451&lt;&gt;"Not given")=TRUE,IF(SUMIFS(P:P,A:A,A451)&gt;0,IF((ABS((SUMIFS(P:P,A:A,A451)/VLOOKUP("USD",'Exchange Rates'!B:C,2,0)))/S451)&gt;1,(SUMIFS(P:P,A:A,A451)-S451)/S451,(S451-SUMIFS(P:P,A:A,A451))/SUMIFS(P:P,A:A,A451)),"."),".")</f>
        <v>.</v>
      </c>
      <c r="BA451" s="182"/>
      <c r="BB451" s="182"/>
      <c r="BC451" s="182"/>
      <c r="BD451" s="182"/>
      <c r="BE451" s="182"/>
      <c r="BF451" s="182"/>
      <c r="BG451" s="182"/>
      <c r="BH451" s="182"/>
      <c r="BI451" s="182"/>
      <c r="BJ451" s="182"/>
      <c r="BK451" s="182"/>
      <c r="BL451" s="182"/>
      <c r="BM451" s="182"/>
      <c r="BN451" s="182"/>
      <c r="BO451" s="182"/>
      <c r="BP451" s="182"/>
      <c r="BQ451" s="182"/>
      <c r="BR451" s="182"/>
      <c r="BS451" s="182"/>
    </row>
    <row r="452" spans="1:71" ht="15.9" customHeight="1" x14ac:dyDescent="0.3">
      <c r="A452" s="5" t="s">
        <v>1326</v>
      </c>
      <c r="B452" s="5" t="s">
        <v>1288</v>
      </c>
      <c r="C452" s="174" t="s">
        <v>1327</v>
      </c>
      <c r="D452" s="5" t="s">
        <v>285</v>
      </c>
      <c r="E452" s="5" t="s">
        <v>1328</v>
      </c>
      <c r="F452" s="1139" t="s">
        <v>1329</v>
      </c>
      <c r="G452" s="15" t="s">
        <v>364</v>
      </c>
      <c r="H452" s="176">
        <v>1360000000</v>
      </c>
      <c r="I452" s="182" t="s">
        <v>1450</v>
      </c>
      <c r="J452" s="113" t="str">
        <f>VLOOKUP($I452,'Price List, Weapons &amp; Items'!B:C,2,0)</f>
        <v>Military equipment</v>
      </c>
      <c r="K452" s="113" t="str">
        <f>IF(I452=".",I452,VLOOKUP($I452,'Price List, Weapons &amp; Items'!B:D,3,0))</f>
        <v>Military equipment</v>
      </c>
      <c r="L452" s="177">
        <f>VLOOKUP(I452,'Price List, Weapons &amp; Items'!B:E,4,0)</f>
        <v>0</v>
      </c>
      <c r="M452" s="571">
        <v>2</v>
      </c>
      <c r="N452" s="571">
        <v>0</v>
      </c>
      <c r="O452" s="543" t="str">
        <f>VLOOKUP($I452,'Price List, Weapons &amp; Items'!B:G,6,0)</f>
        <v>.</v>
      </c>
      <c r="P452" s="176" t="str">
        <f t="shared" si="90"/>
        <v>No price</v>
      </c>
      <c r="Q452" s="176" t="str">
        <f t="shared" si="91"/>
        <v>No price</v>
      </c>
      <c r="R452" s="176" t="str">
        <f t="shared" si="98"/>
        <v/>
      </c>
      <c r="S452" s="176" t="str">
        <f>IF(AND(AD452=1,R452&lt;&gt;".")=TRUE,R452/VLOOKUP(G452,'Exchange Rates'!B:C,2,0),IF(R452=".",".",""))</f>
        <v/>
      </c>
      <c r="T452" s="176" t="str">
        <f>IF(AD452=1,IF(AF452="Value is not given at all",".",IF(AF452="Value is given by the source",S452,IF(AF452="Value is calculated with prices",(IF(SUMIFS(Q:Q,A:A,A452)&gt;0,SUMIFS(Q:Q,A:A,A452),"."))/VLOOKUP("USD",'Exchange Rates'!B:C,2,0),"Error with coding"))),"")</f>
        <v/>
      </c>
      <c r="U452" s="15" t="s">
        <v>261</v>
      </c>
      <c r="V452" s="567" t="s">
        <v>1293</v>
      </c>
      <c r="W452" s="567" t="s">
        <v>1447</v>
      </c>
      <c r="X452" s="685" t="s">
        <v>260</v>
      </c>
      <c r="Y452" s="685" t="s">
        <v>260</v>
      </c>
      <c r="Z452" s="15">
        <v>0</v>
      </c>
      <c r="AA452" s="180">
        <v>1</v>
      </c>
      <c r="AB452" s="570" t="s">
        <v>1451</v>
      </c>
      <c r="AC452" s="544" t="str">
        <f>""</f>
        <v/>
      </c>
      <c r="AD452" s="183">
        <v>0</v>
      </c>
      <c r="AE452" s="183" t="s">
        <v>264</v>
      </c>
      <c r="AF452" s="183" t="s">
        <v>265</v>
      </c>
      <c r="AG452" s="180">
        <v>0</v>
      </c>
      <c r="AH452" s="180">
        <v>0</v>
      </c>
      <c r="AI452" s="183">
        <v>0</v>
      </c>
      <c r="AJ452" s="181">
        <f>VLOOKUP($I452,'Price List, Weapons &amp; Items'!B:F,5,0)</f>
        <v>0</v>
      </c>
      <c r="AK452" s="181">
        <f t="shared" si="92"/>
        <v>0</v>
      </c>
      <c r="AL452" s="181">
        <f t="shared" si="93"/>
        <v>0</v>
      </c>
      <c r="AM452" s="181">
        <f t="shared" si="94"/>
        <v>0</v>
      </c>
      <c r="AN452" s="180" t="str">
        <f>VLOOKUP($I452,'Price List, Weapons &amp; Items'!B:L,COLUMN('Price List, Weapons &amp; Items'!$J$11)-1,0)</f>
        <v>.</v>
      </c>
      <c r="AO452" s="180" t="str">
        <f>IF(I452=".",".",VLOOKUP($I452,'Price List, Weapons &amp; Items'!B:J,3,0))</f>
        <v>Military equipment</v>
      </c>
      <c r="AP452" s="545" t="str">
        <f t="shared" ca="1" si="101"/>
        <v/>
      </c>
      <c r="AQ452" s="180">
        <f>VLOOKUP($I452,'Price List, Weapons &amp; Items'!B:L,COLUMN('Price List, Weapons &amp; Items'!$L$11)-1,0)</f>
        <v>0</v>
      </c>
      <c r="AR452" s="180">
        <f t="shared" si="95"/>
        <v>1</v>
      </c>
      <c r="AS452" s="180">
        <f t="shared" si="96"/>
        <v>1</v>
      </c>
      <c r="AT452" s="180" t="str">
        <f t="shared" si="97"/>
        <v>Value is not in date format</v>
      </c>
      <c r="AU452" s="180" t="str">
        <f t="shared" si="99"/>
        <v>.</v>
      </c>
      <c r="AV452" s="180" t="str">
        <f t="shared" si="100"/>
        <v>.</v>
      </c>
      <c r="AW452" s="180">
        <f>IFERROR(VLOOKUP(B452,'Share, Heavy Weapons to Ukraine'!B:J,COLUMN('Share, Heavy Weapons to Ukraine'!C461)-1,0),0)</f>
        <v>0</v>
      </c>
      <c r="AX452" s="180">
        <f>VLOOKUP('Bilateral Assistance, MAIN DATA'!B452,'Country Summary'!B:F,COLUMN('Country Summary'!C464)-1,FALSE)</f>
        <v>1</v>
      </c>
      <c r="AY452" s="180" t="str">
        <f>IF(AND(AD452=1,D452="Military",H452&lt;&gt;"Not given")=TRUE,IF(SUMIFS(P:P,A:A,A452)&gt;0,ABS((SUMIFS(P:P,A:A,A452)/VLOOKUP("USD",'Exchange Rates'!B:C,2,0)))/S452,"."),".")</f>
        <v>.</v>
      </c>
      <c r="AZ452" s="182" t="str">
        <f>IF(AND(AD452=1,D452="Military",H452&lt;&gt;"Not given")=TRUE,IF(SUMIFS(P:P,A:A,A452)&gt;0,IF((ABS((SUMIFS(P:P,A:A,A452)/VLOOKUP("USD",'Exchange Rates'!B:C,2,0)))/S452)&gt;1,(SUMIFS(P:P,A:A,A452)-S452)/S452,(S452-SUMIFS(P:P,A:A,A452))/SUMIFS(P:P,A:A,A452)),"."),".")</f>
        <v>.</v>
      </c>
      <c r="BA452" s="182"/>
      <c r="BB452" s="182"/>
      <c r="BC452" s="182"/>
      <c r="BD452" s="182"/>
      <c r="BE452" s="182"/>
      <c r="BF452" s="182"/>
      <c r="BG452" s="182"/>
      <c r="BH452" s="182"/>
      <c r="BI452" s="182"/>
      <c r="BJ452" s="182"/>
      <c r="BK452" s="182"/>
      <c r="BL452" s="182"/>
      <c r="BM452" s="182"/>
      <c r="BN452" s="182"/>
      <c r="BO452" s="182"/>
      <c r="BP452" s="182"/>
      <c r="BQ452" s="182"/>
      <c r="BR452" s="182"/>
      <c r="BS452" s="182"/>
    </row>
    <row r="453" spans="1:71" ht="15.9" customHeight="1" x14ac:dyDescent="0.3">
      <c r="A453" s="5" t="s">
        <v>1326</v>
      </c>
      <c r="B453" s="5" t="s">
        <v>1288</v>
      </c>
      <c r="C453" s="174" t="s">
        <v>1327</v>
      </c>
      <c r="D453" s="5" t="s">
        <v>285</v>
      </c>
      <c r="E453" s="5" t="s">
        <v>1328</v>
      </c>
      <c r="F453" s="1139" t="s">
        <v>1329</v>
      </c>
      <c r="G453" s="15" t="s">
        <v>364</v>
      </c>
      <c r="H453" s="176">
        <v>1360000000</v>
      </c>
      <c r="I453" s="182" t="s">
        <v>1452</v>
      </c>
      <c r="J453" s="113" t="str">
        <f>VLOOKUP($I453,'Price List, Weapons &amp; Items'!B:C,2,0)</f>
        <v>Military equipment</v>
      </c>
      <c r="K453" s="113" t="str">
        <f>IF(I453=".",I453,VLOOKUP($I453,'Price List, Weapons &amp; Items'!B:D,3,0))</f>
        <v>non combat military vehicle</v>
      </c>
      <c r="L453" s="177">
        <f>VLOOKUP(I453,'Price List, Weapons &amp; Items'!B:E,4,0)</f>
        <v>0</v>
      </c>
      <c r="M453" s="571">
        <v>7</v>
      </c>
      <c r="N453" s="571">
        <v>0</v>
      </c>
      <c r="O453" s="543">
        <f>VLOOKUP($I453,'Price List, Weapons &amp; Items'!B:G,6,0)</f>
        <v>350000</v>
      </c>
      <c r="P453" s="176">
        <f t="shared" si="90"/>
        <v>2450000</v>
      </c>
      <c r="Q453" s="176">
        <f t="shared" si="91"/>
        <v>0</v>
      </c>
      <c r="R453" s="176" t="str">
        <f t="shared" si="98"/>
        <v/>
      </c>
      <c r="S453" s="176" t="str">
        <f>IF(AND(AD453=1,R453&lt;&gt;".")=TRUE,R453/VLOOKUP(G453,'Exchange Rates'!B:C,2,0),IF(R453=".",".",""))</f>
        <v/>
      </c>
      <c r="T453" s="176" t="str">
        <f>IF(AD453=1,IF(AF453="Value is not given at all",".",IF(AF453="Value is given by the source",S453,IF(AF453="Value is calculated with prices",(IF(SUMIFS(Q:Q,A:A,A453)&gt;0,SUMIFS(Q:Q,A:A,A453),"."))/VLOOKUP("USD",'Exchange Rates'!B:C,2,0),"Error with coding"))),"")</f>
        <v/>
      </c>
      <c r="U453" s="15" t="s">
        <v>261</v>
      </c>
      <c r="V453" s="567" t="s">
        <v>1293</v>
      </c>
      <c r="W453" s="567" t="s">
        <v>1449</v>
      </c>
      <c r="X453" s="685" t="s">
        <v>260</v>
      </c>
      <c r="Y453" s="685" t="s">
        <v>260</v>
      </c>
      <c r="Z453" s="15">
        <v>0</v>
      </c>
      <c r="AA453" s="180">
        <v>1</v>
      </c>
      <c r="AB453" s="570" t="s">
        <v>1453</v>
      </c>
      <c r="AC453" s="544" t="str">
        <f>""</f>
        <v/>
      </c>
      <c r="AD453" s="183">
        <v>0</v>
      </c>
      <c r="AE453" s="183" t="s">
        <v>264</v>
      </c>
      <c r="AF453" s="183" t="s">
        <v>265</v>
      </c>
      <c r="AG453" s="180">
        <v>0</v>
      </c>
      <c r="AH453" s="180">
        <v>0</v>
      </c>
      <c r="AI453" s="183">
        <v>0</v>
      </c>
      <c r="AJ453" s="181">
        <f>VLOOKUP($I453,'Price List, Weapons &amp; Items'!B:F,5,0)</f>
        <v>0</v>
      </c>
      <c r="AK453" s="181">
        <f t="shared" si="92"/>
        <v>0</v>
      </c>
      <c r="AL453" s="181">
        <f t="shared" si="93"/>
        <v>0</v>
      </c>
      <c r="AM453" s="181">
        <f t="shared" si="94"/>
        <v>0</v>
      </c>
      <c r="AN453" s="180" t="str">
        <f>VLOOKUP($I453,'Price List, Weapons &amp; Items'!B:L,COLUMN('Price List, Weapons &amp; Items'!$J$11)-1,0)</f>
        <v>Media reports (incl. social media)</v>
      </c>
      <c r="AO453" s="180" t="str">
        <f>IF(I453=".",".",VLOOKUP($I453,'Price List, Weapons &amp; Items'!B:J,3,0))</f>
        <v>non combat military vehicle</v>
      </c>
      <c r="AP453" s="545" t="str">
        <f t="shared" ca="1" si="101"/>
        <v/>
      </c>
      <c r="AQ453" s="180">
        <f>VLOOKUP($I453,'Price List, Weapons &amp; Items'!B:L,COLUMN('Price List, Weapons &amp; Items'!$L$11)-1,0)</f>
        <v>2</v>
      </c>
      <c r="AR453" s="180">
        <f t="shared" si="95"/>
        <v>1</v>
      </c>
      <c r="AS453" s="180">
        <f t="shared" si="96"/>
        <v>1</v>
      </c>
      <c r="AT453" s="180" t="str">
        <f t="shared" si="97"/>
        <v>Value is not in date format</v>
      </c>
      <c r="AU453" s="180" t="str">
        <f t="shared" si="99"/>
        <v>.</v>
      </c>
      <c r="AV453" s="180" t="str">
        <f t="shared" si="100"/>
        <v>.</v>
      </c>
      <c r="AW453" s="180">
        <f>IFERROR(VLOOKUP(B453,'Share, Heavy Weapons to Ukraine'!B:J,COLUMN('Share, Heavy Weapons to Ukraine'!C462)-1,0),0)</f>
        <v>0</v>
      </c>
      <c r="AX453" s="180">
        <f>VLOOKUP('Bilateral Assistance, MAIN DATA'!B453,'Country Summary'!B:F,COLUMN('Country Summary'!C465)-1,FALSE)</f>
        <v>1</v>
      </c>
      <c r="AY453" s="180" t="str">
        <f>IF(AND(AD453=1,D453="Military",H453&lt;&gt;"Not given")=TRUE,IF(SUMIFS(P:P,A:A,A453)&gt;0,ABS((SUMIFS(P:P,A:A,A453)/VLOOKUP("USD",'Exchange Rates'!B:C,2,0)))/S453,"."),".")</f>
        <v>.</v>
      </c>
      <c r="AZ453" s="182" t="str">
        <f>IF(AND(AD453=1,D453="Military",H453&lt;&gt;"Not given")=TRUE,IF(SUMIFS(P:P,A:A,A453)&gt;0,IF((ABS((SUMIFS(P:P,A:A,A453)/VLOOKUP("USD",'Exchange Rates'!B:C,2,0)))/S453)&gt;1,(SUMIFS(P:P,A:A,A453)-S453)/S453,(S453-SUMIFS(P:P,A:A,A453))/SUMIFS(P:P,A:A,A453)),"."),".")</f>
        <v>.</v>
      </c>
      <c r="BA453" s="182"/>
      <c r="BB453" s="182"/>
      <c r="BC453" s="182"/>
      <c r="BD453" s="182"/>
      <c r="BE453" s="182"/>
      <c r="BF453" s="182"/>
      <c r="BG453" s="182"/>
      <c r="BH453" s="182"/>
      <c r="BI453" s="182"/>
      <c r="BJ453" s="182"/>
      <c r="BK453" s="182"/>
      <c r="BL453" s="182"/>
      <c r="BM453" s="182"/>
      <c r="BN453" s="182"/>
      <c r="BO453" s="182"/>
      <c r="BP453" s="182"/>
      <c r="BQ453" s="182"/>
      <c r="BR453" s="182"/>
      <c r="BS453" s="182"/>
    </row>
    <row r="454" spans="1:71" ht="15.9" customHeight="1" x14ac:dyDescent="0.3">
      <c r="A454" s="17" t="s">
        <v>1454</v>
      </c>
      <c r="B454" s="17" t="s">
        <v>1288</v>
      </c>
      <c r="C454" s="174" t="s">
        <v>1327</v>
      </c>
      <c r="D454" s="5" t="s">
        <v>285</v>
      </c>
      <c r="E454" s="5" t="s">
        <v>1328</v>
      </c>
      <c r="F454" s="1139" t="s">
        <v>1455</v>
      </c>
      <c r="G454" s="15" t="s">
        <v>364</v>
      </c>
      <c r="H454" s="176">
        <v>534000000</v>
      </c>
      <c r="I454" s="17" t="s">
        <v>260</v>
      </c>
      <c r="J454" s="113" t="str">
        <f>VLOOKUP($I454,'Price List, Weapons &amp; Items'!B:C,2,0)</f>
        <v>.</v>
      </c>
      <c r="K454" s="113" t="str">
        <f>IF(I454=".",I454,VLOOKUP($I454,'Price List, Weapons &amp; Items'!B:D,3,0))</f>
        <v>.</v>
      </c>
      <c r="L454" s="177">
        <f>VLOOKUP(I454,'Price List, Weapons &amp; Items'!B:E,4,0)</f>
        <v>0</v>
      </c>
      <c r="M454" s="542" t="s">
        <v>260</v>
      </c>
      <c r="N454" s="542" t="s">
        <v>260</v>
      </c>
      <c r="O454" s="543" t="str">
        <f>VLOOKUP($I454,'Price List, Weapons &amp; Items'!B:G,6,0)</f>
        <v>.</v>
      </c>
      <c r="P454" s="176" t="str">
        <f t="shared" si="90"/>
        <v>.</v>
      </c>
      <c r="Q454" s="176" t="str">
        <f t="shared" si="91"/>
        <v>.</v>
      </c>
      <c r="R454" s="176">
        <f t="shared" si="98"/>
        <v>534000000</v>
      </c>
      <c r="S454" s="176">
        <f>IF(AND(AD454=1,R454&lt;&gt;".")=TRUE,R454/VLOOKUP(G454,'Exchange Rates'!B:C,2,0),IF(R454=".",".",""))</f>
        <v>534000000</v>
      </c>
      <c r="T454" s="176">
        <f>IF(AD454=1,IF(AF454="Value is not given at all",".",IF(AF454="Value is given by the source",S454,IF(AF454="Value is calculated with prices",(IF(SUMIFS(Q:Q,A:A,A454)&gt;0,SUMIFS(Q:Q,A:A,A454),"."))/VLOOKUP("USD",'Exchange Rates'!B:C,2,0),"Error with coding"))),"")</f>
        <v>534000000</v>
      </c>
      <c r="U454" s="15" t="s">
        <v>261</v>
      </c>
      <c r="V454" s="567" t="s">
        <v>1293</v>
      </c>
      <c r="W454" s="567" t="s">
        <v>1330</v>
      </c>
      <c r="X454" s="685" t="s">
        <v>260</v>
      </c>
      <c r="Y454" s="685" t="s">
        <v>260</v>
      </c>
      <c r="Z454" s="15">
        <v>0</v>
      </c>
      <c r="AA454" s="180">
        <v>1</v>
      </c>
      <c r="AB454" s="570" t="s">
        <v>1456</v>
      </c>
      <c r="AC454" s="544" t="str">
        <f>""</f>
        <v/>
      </c>
      <c r="AD454" s="180">
        <v>1</v>
      </c>
      <c r="AE454" s="183" t="s">
        <v>264</v>
      </c>
      <c r="AF454" s="183" t="s">
        <v>264</v>
      </c>
      <c r="AG454" s="180">
        <v>1</v>
      </c>
      <c r="AH454" s="180">
        <v>6</v>
      </c>
      <c r="AI454" s="180">
        <v>0</v>
      </c>
      <c r="AJ454" s="181">
        <f>VLOOKUP($I454,'Price List, Weapons &amp; Items'!B:F,5,0)</f>
        <v>0</v>
      </c>
      <c r="AK454" s="181">
        <f t="shared" si="92"/>
        <v>0</v>
      </c>
      <c r="AL454" s="181">
        <f t="shared" si="93"/>
        <v>0</v>
      </c>
      <c r="AM454" s="181">
        <f t="shared" si="94"/>
        <v>0</v>
      </c>
      <c r="AN454" s="180" t="str">
        <f>VLOOKUP($I454,'Price List, Weapons &amp; Items'!B:L,COLUMN('Price List, Weapons &amp; Items'!$J$11)-1,0)</f>
        <v>.</v>
      </c>
      <c r="AO454" s="180" t="str">
        <f>IF(I454=".",".",VLOOKUP($I454,'Price List, Weapons &amp; Items'!B:J,3,0))</f>
        <v>.</v>
      </c>
      <c r="AP454" s="545" t="e">
        <f t="shared" ca="1" si="101"/>
        <v>#NAME?</v>
      </c>
      <c r="AQ454" s="180" t="str">
        <f>VLOOKUP($I454,'Price List, Weapons &amp; Items'!B:L,COLUMN('Price List, Weapons &amp; Items'!$L$11)-1,0)</f>
        <v>no price, 0 count</v>
      </c>
      <c r="AR454" s="180">
        <f t="shared" si="95"/>
        <v>1</v>
      </c>
      <c r="AS454" s="180">
        <f t="shared" si="96"/>
        <v>1</v>
      </c>
      <c r="AT454" s="180" t="str">
        <f t="shared" si="97"/>
        <v>Value is not in date format</v>
      </c>
      <c r="AU454" s="180" t="str">
        <f t="shared" si="99"/>
        <v>.</v>
      </c>
      <c r="AV454" s="180" t="str">
        <f t="shared" si="100"/>
        <v>.</v>
      </c>
      <c r="AW454" s="180">
        <f>IFERROR(VLOOKUP(B454,'Share, Heavy Weapons to Ukraine'!B:J,COLUMN('Share, Heavy Weapons to Ukraine'!C463)-1,0),0)</f>
        <v>0</v>
      </c>
      <c r="AX454" s="180">
        <f>VLOOKUP('Bilateral Assistance, MAIN DATA'!B454,'Country Summary'!B:F,COLUMN('Country Summary'!C466)-1,FALSE)</f>
        <v>1</v>
      </c>
      <c r="AY454" s="180">
        <f>IF(AND(AD454=1,D454="Military",H454&lt;&gt;"Not given")=TRUE,IF(SUMIFS(P:P,A:A,A454)&gt;0,ABS((SUMIFS(P:P,A:A,A454)/VLOOKUP("USD",'Exchange Rates'!B:C,2,0)))/S454,"."),".")</f>
        <v>2.2887597758141895</v>
      </c>
      <c r="AZ454" s="182">
        <f>IF(AND(AD454=1,D454="Military",H454&lt;&gt;"Not given")=TRUE,IF(SUMIFS(P:P,A:A,A454)&gt;0,IF((ABS((SUMIFS(P:P,A:A,A454)/VLOOKUP("USD",'Exchange Rates'!B:C,2,0)))/S454)&gt;1,(SUMIFS(P:P,A:A,A454)-S454)/S454,(S454-SUMIFS(P:P,A:A,A454))/SUMIFS(P:P,A:A,A454)),"."),".")</f>
        <v>1.403197764604899</v>
      </c>
      <c r="BA454" s="182"/>
      <c r="BB454" s="182"/>
      <c r="BC454" s="182"/>
      <c r="BD454" s="182"/>
      <c r="BE454" s="182"/>
      <c r="BF454" s="182"/>
      <c r="BG454" s="182"/>
      <c r="BH454" s="182"/>
      <c r="BI454" s="182"/>
      <c r="BJ454" s="182"/>
      <c r="BK454" s="182"/>
      <c r="BL454" s="182"/>
      <c r="BM454" s="182"/>
      <c r="BN454" s="182"/>
      <c r="BO454" s="182"/>
      <c r="BP454" s="182"/>
      <c r="BQ454" s="182"/>
      <c r="BR454" s="182"/>
      <c r="BS454" s="182"/>
    </row>
    <row r="455" spans="1:71" ht="15.9" customHeight="1" x14ac:dyDescent="0.3">
      <c r="A455" s="17" t="s">
        <v>1454</v>
      </c>
      <c r="B455" s="5" t="s">
        <v>1288</v>
      </c>
      <c r="C455" s="174" t="s">
        <v>1327</v>
      </c>
      <c r="D455" s="5" t="s">
        <v>285</v>
      </c>
      <c r="E455" s="5" t="s">
        <v>1328</v>
      </c>
      <c r="F455" s="1139" t="s">
        <v>1455</v>
      </c>
      <c r="G455" s="15" t="s">
        <v>364</v>
      </c>
      <c r="H455" s="176">
        <v>534000000</v>
      </c>
      <c r="I455" s="185" t="s">
        <v>1457</v>
      </c>
      <c r="J455" s="113" t="str">
        <f>VLOOKUP($I455,'Price List, Weapons &amp; Items'!B:C,2,0)</f>
        <v>Military equipment</v>
      </c>
      <c r="K455" s="113" t="str">
        <f>IF(I455=".",I455,VLOOKUP($I455,'Price List, Weapons &amp; Items'!B:D,3,0))</f>
        <v>Military equipment</v>
      </c>
      <c r="L455" s="177">
        <f>VLOOKUP(I455,'Price List, Weapons &amp; Items'!B:E,4,0)</f>
        <v>0</v>
      </c>
      <c r="M455" s="542">
        <v>216</v>
      </c>
      <c r="N455" s="542">
        <v>216</v>
      </c>
      <c r="O455" s="543">
        <f>VLOOKUP($I455,'Price List, Weapons &amp; Items'!B:G,6,0)</f>
        <v>22216</v>
      </c>
      <c r="P455" s="176">
        <f t="shared" si="90"/>
        <v>4798656</v>
      </c>
      <c r="Q455" s="176">
        <f t="shared" si="91"/>
        <v>4798656</v>
      </c>
      <c r="R455" s="176" t="str">
        <f t="shared" si="98"/>
        <v/>
      </c>
      <c r="S455" s="176" t="str">
        <f>IF(AND(AD455=1,R455&lt;&gt;".")=TRUE,R455/VLOOKUP(G455,'Exchange Rates'!B:C,2,0),IF(R455=".",".",""))</f>
        <v/>
      </c>
      <c r="T455" s="176" t="str">
        <f>IF(AD455=1,IF(AF455="Value is not given at all",".",IF(AF455="Value is given by the source",S455,IF(AF455="Value is calculated with prices",(IF(SUMIFS(Q:Q,A:A,A455)&gt;0,SUMIFS(Q:Q,A:A,A455),"."))/VLOOKUP("USD",'Exchange Rates'!B:C,2,0),"Error with coding"))),"")</f>
        <v/>
      </c>
      <c r="U455" s="15" t="s">
        <v>261</v>
      </c>
      <c r="V455" s="567" t="s">
        <v>1293</v>
      </c>
      <c r="W455" s="567" t="s">
        <v>1438</v>
      </c>
      <c r="X455" s="685" t="s">
        <v>260</v>
      </c>
      <c r="Y455" s="685" t="s">
        <v>260</v>
      </c>
      <c r="Z455" s="15">
        <v>0</v>
      </c>
      <c r="AA455" s="180">
        <v>1</v>
      </c>
      <c r="AB455" s="570" t="s">
        <v>1458</v>
      </c>
      <c r="AC455" s="544" t="str">
        <f>""</f>
        <v/>
      </c>
      <c r="AD455" s="183">
        <v>0</v>
      </c>
      <c r="AE455" s="183" t="s">
        <v>264</v>
      </c>
      <c r="AF455" s="183" t="s">
        <v>265</v>
      </c>
      <c r="AG455" s="183">
        <v>0</v>
      </c>
      <c r="AH455" s="183">
        <v>0</v>
      </c>
      <c r="AI455" s="183">
        <v>0</v>
      </c>
      <c r="AJ455" s="181">
        <f>VLOOKUP($I455,'Price List, Weapons &amp; Items'!B:F,5,0)</f>
        <v>0</v>
      </c>
      <c r="AK455" s="181">
        <f t="shared" si="92"/>
        <v>0</v>
      </c>
      <c r="AL455" s="181">
        <f t="shared" si="93"/>
        <v>0</v>
      </c>
      <c r="AM455" s="181">
        <f t="shared" si="94"/>
        <v>0</v>
      </c>
      <c r="AN455" s="180" t="str">
        <f>VLOOKUP($I455,'Price List, Weapons &amp; Items'!B:L,COLUMN('Price List, Weapons &amp; Items'!$J$11)-1,0)</f>
        <v>Government information</v>
      </c>
      <c r="AO455" s="180" t="str">
        <f>IF(I455=".",".",VLOOKUP($I455,'Price List, Weapons &amp; Items'!B:J,3,0))</f>
        <v>Military equipment</v>
      </c>
      <c r="AP455" s="545" t="str">
        <f t="shared" ca="1" si="101"/>
        <v/>
      </c>
      <c r="AQ455" s="180">
        <f>VLOOKUP($I455,'Price List, Weapons &amp; Items'!B:L,COLUMN('Price List, Weapons &amp; Items'!$L$11)-1,0)</f>
        <v>2</v>
      </c>
      <c r="AR455" s="180">
        <f t="shared" si="95"/>
        <v>1</v>
      </c>
      <c r="AS455" s="180">
        <f t="shared" si="96"/>
        <v>1</v>
      </c>
      <c r="AT455" s="180" t="str">
        <f t="shared" si="97"/>
        <v>Value is not in date format</v>
      </c>
      <c r="AU455" s="180" t="str">
        <f t="shared" si="99"/>
        <v>.</v>
      </c>
      <c r="AV455" s="180" t="str">
        <f t="shared" si="100"/>
        <v>.</v>
      </c>
      <c r="AW455" s="180">
        <f>IFERROR(VLOOKUP(B455,'Share, Heavy Weapons to Ukraine'!B:J,COLUMN('Share, Heavy Weapons to Ukraine'!C464)-1,0),0)</f>
        <v>0</v>
      </c>
      <c r="AX455" s="180">
        <f>VLOOKUP('Bilateral Assistance, MAIN DATA'!B455,'Country Summary'!B:F,COLUMN('Country Summary'!C467)-1,FALSE)</f>
        <v>1</v>
      </c>
      <c r="AY455" s="180" t="str">
        <f>IF(AND(AD455=1,D455="Military",H455&lt;&gt;"Not given")=TRUE,IF(SUMIFS(P:P,A:A,A455)&gt;0,ABS((SUMIFS(P:P,A:A,A455)/VLOOKUP("USD",'Exchange Rates'!B:C,2,0)))/S455,"."),".")</f>
        <v>.</v>
      </c>
      <c r="AZ455" s="182" t="str">
        <f>IF(AND(AD455=1,D455="Military",H455&lt;&gt;"Not given")=TRUE,IF(SUMIFS(P:P,A:A,A455)&gt;0,IF((ABS((SUMIFS(P:P,A:A,A455)/VLOOKUP("USD",'Exchange Rates'!B:C,2,0)))/S455)&gt;1,(SUMIFS(P:P,A:A,A455)-S455)/S455,(S455-SUMIFS(P:P,A:A,A455))/SUMIFS(P:P,A:A,A455)),"."),".")</f>
        <v>.</v>
      </c>
      <c r="BA455" s="182"/>
      <c r="BB455" s="182"/>
      <c r="BC455" s="182"/>
      <c r="BD455" s="182"/>
      <c r="BE455" s="182"/>
      <c r="BF455" s="182"/>
      <c r="BG455" s="182"/>
      <c r="BH455" s="182"/>
      <c r="BI455" s="182"/>
      <c r="BJ455" s="182"/>
      <c r="BK455" s="182"/>
      <c r="BL455" s="182"/>
      <c r="BM455" s="182"/>
      <c r="BN455" s="182"/>
      <c r="BO455" s="182"/>
      <c r="BP455" s="182"/>
      <c r="BQ455" s="182"/>
      <c r="BR455" s="182"/>
      <c r="BS455" s="182"/>
    </row>
    <row r="456" spans="1:71" ht="15.9" customHeight="1" x14ac:dyDescent="0.3">
      <c r="A456" s="17" t="s">
        <v>1454</v>
      </c>
      <c r="B456" s="5" t="s">
        <v>1288</v>
      </c>
      <c r="C456" s="174" t="s">
        <v>1327</v>
      </c>
      <c r="D456" s="5" t="s">
        <v>285</v>
      </c>
      <c r="E456" s="5" t="s">
        <v>1328</v>
      </c>
      <c r="F456" s="1139" t="s">
        <v>1455</v>
      </c>
      <c r="G456" s="15" t="s">
        <v>364</v>
      </c>
      <c r="H456" s="176">
        <v>534000000</v>
      </c>
      <c r="I456" s="185" t="s">
        <v>1459</v>
      </c>
      <c r="J456" s="113" t="str">
        <f>VLOOKUP($I456,'Price List, Weapons &amp; Items'!B:C,2,0)</f>
        <v>Military equipment</v>
      </c>
      <c r="K456" s="113" t="str">
        <f>IF(I456=".",I456,VLOOKUP($I456,'Price List, Weapons &amp; Items'!B:D,3,0))</f>
        <v>non combat military vehicle</v>
      </c>
      <c r="L456" s="177">
        <f>VLOOKUP(I456,'Price List, Weapons &amp; Items'!B:E,4,0)</f>
        <v>0</v>
      </c>
      <c r="M456" s="542">
        <v>35</v>
      </c>
      <c r="N456" s="542">
        <v>35</v>
      </c>
      <c r="O456" s="543">
        <f>VLOOKUP($I456,'Price List, Weapons &amp; Items'!B:G,6,0)</f>
        <v>350000</v>
      </c>
      <c r="P456" s="176">
        <f t="shared" si="90"/>
        <v>12250000</v>
      </c>
      <c r="Q456" s="176">
        <f t="shared" si="91"/>
        <v>12250000</v>
      </c>
      <c r="R456" s="176" t="str">
        <f t="shared" si="98"/>
        <v/>
      </c>
      <c r="S456" s="176" t="str">
        <f>IF(AND(AD456=1,R456&lt;&gt;".")=TRUE,R456/VLOOKUP(G456,'Exchange Rates'!B:C,2,0),IF(R456=".",".",""))</f>
        <v/>
      </c>
      <c r="T456" s="176" t="str">
        <f>IF(AD456=1,IF(AF456="Value is not given at all",".",IF(AF456="Value is given by the source",S456,IF(AF456="Value is calculated with prices",(IF(SUMIFS(Q:Q,A:A,A456)&gt;0,SUMIFS(Q:Q,A:A,A456),"."))/VLOOKUP("USD",'Exchange Rates'!B:C,2,0),"Error with coding"))),"")</f>
        <v/>
      </c>
      <c r="U456" s="15" t="s">
        <v>261</v>
      </c>
      <c r="V456" s="567" t="s">
        <v>1293</v>
      </c>
      <c r="W456" s="567" t="s">
        <v>1441</v>
      </c>
      <c r="X456" s="685" t="s">
        <v>260</v>
      </c>
      <c r="Y456" s="685" t="s">
        <v>260</v>
      </c>
      <c r="Z456" s="15">
        <v>0</v>
      </c>
      <c r="AA456" s="180">
        <v>1</v>
      </c>
      <c r="AB456" s="570" t="s">
        <v>1460</v>
      </c>
      <c r="AC456" s="544" t="str">
        <f>""</f>
        <v/>
      </c>
      <c r="AD456" s="183">
        <v>0</v>
      </c>
      <c r="AE456" s="183" t="s">
        <v>264</v>
      </c>
      <c r="AF456" s="183" t="s">
        <v>265</v>
      </c>
      <c r="AG456" s="183">
        <v>0</v>
      </c>
      <c r="AH456" s="183">
        <v>0</v>
      </c>
      <c r="AI456" s="183">
        <v>0</v>
      </c>
      <c r="AJ456" s="181">
        <f>VLOOKUP($I456,'Price List, Weapons &amp; Items'!B:F,5,0)</f>
        <v>0</v>
      </c>
      <c r="AK456" s="181">
        <f t="shared" si="92"/>
        <v>0</v>
      </c>
      <c r="AL456" s="181">
        <f t="shared" si="93"/>
        <v>0</v>
      </c>
      <c r="AM456" s="181">
        <f t="shared" si="94"/>
        <v>0</v>
      </c>
      <c r="AN456" s="180" t="str">
        <f>VLOOKUP($I456,'Price List, Weapons &amp; Items'!B:L,COLUMN('Price List, Weapons &amp; Items'!$J$11)-1,0)</f>
        <v>Media reports (incl. social media)</v>
      </c>
      <c r="AO456" s="180" t="str">
        <f>IF(I456=".",".",VLOOKUP($I456,'Price List, Weapons &amp; Items'!B:J,3,0))</f>
        <v>non combat military vehicle</v>
      </c>
      <c r="AP456" s="545" t="str">
        <f t="shared" ca="1" si="101"/>
        <v/>
      </c>
      <c r="AQ456" s="180">
        <f>VLOOKUP($I456,'Price List, Weapons &amp; Items'!B:L,COLUMN('Price List, Weapons &amp; Items'!$L$11)-1,0)</f>
        <v>2</v>
      </c>
      <c r="AR456" s="180">
        <f t="shared" si="95"/>
        <v>1</v>
      </c>
      <c r="AS456" s="180">
        <f t="shared" si="96"/>
        <v>1</v>
      </c>
      <c r="AT456" s="180" t="str">
        <f t="shared" si="97"/>
        <v>Value is not in date format</v>
      </c>
      <c r="AU456" s="180" t="str">
        <f t="shared" si="99"/>
        <v>.</v>
      </c>
      <c r="AV456" s="180" t="str">
        <f t="shared" si="100"/>
        <v>.</v>
      </c>
      <c r="AW456" s="180">
        <f>IFERROR(VLOOKUP(B456,'Share, Heavy Weapons to Ukraine'!B:J,COLUMN('Share, Heavy Weapons to Ukraine'!C465)-1,0),0)</f>
        <v>0</v>
      </c>
      <c r="AX456" s="180">
        <f>VLOOKUP('Bilateral Assistance, MAIN DATA'!B456,'Country Summary'!B:F,COLUMN('Country Summary'!C468)-1,FALSE)</f>
        <v>1</v>
      </c>
      <c r="AY456" s="180" t="str">
        <f>IF(AND(AD456=1,D456="Military",H456&lt;&gt;"Not given")=TRUE,IF(SUMIFS(P:P,A:A,A456)&gt;0,ABS((SUMIFS(P:P,A:A,A456)/VLOOKUP("USD",'Exchange Rates'!B:C,2,0)))/S456,"."),".")</f>
        <v>.</v>
      </c>
      <c r="AZ456" s="182" t="str">
        <f>IF(AND(AD456=1,D456="Military",H456&lt;&gt;"Not given")=TRUE,IF(SUMIFS(P:P,A:A,A456)&gt;0,IF((ABS((SUMIFS(P:P,A:A,A456)/VLOOKUP("USD",'Exchange Rates'!B:C,2,0)))/S456)&gt;1,(SUMIFS(P:P,A:A,A456)-S456)/S456,(S456-SUMIFS(P:P,A:A,A456))/SUMIFS(P:P,A:A,A456)),"."),".")</f>
        <v>.</v>
      </c>
      <c r="BA456" s="182"/>
      <c r="BB456" s="182"/>
      <c r="BC456" s="182"/>
      <c r="BD456" s="182"/>
      <c r="BE456" s="182"/>
      <c r="BF456" s="182"/>
      <c r="BG456" s="182"/>
      <c r="BH456" s="182"/>
      <c r="BI456" s="182"/>
      <c r="BJ456" s="182"/>
      <c r="BK456" s="182"/>
      <c r="BL456" s="182"/>
      <c r="BM456" s="182"/>
      <c r="BN456" s="182"/>
      <c r="BO456" s="182"/>
      <c r="BP456" s="182"/>
      <c r="BQ456" s="182"/>
      <c r="BR456" s="182"/>
      <c r="BS456" s="182"/>
    </row>
    <row r="457" spans="1:71" ht="15.9" customHeight="1" x14ac:dyDescent="0.3">
      <c r="A457" s="17" t="s">
        <v>1454</v>
      </c>
      <c r="B457" s="5" t="s">
        <v>1288</v>
      </c>
      <c r="C457" s="174" t="s">
        <v>1327</v>
      </c>
      <c r="D457" s="5" t="s">
        <v>285</v>
      </c>
      <c r="E457" s="5" t="s">
        <v>1328</v>
      </c>
      <c r="F457" s="1139" t="s">
        <v>1455</v>
      </c>
      <c r="G457" s="15" t="s">
        <v>364</v>
      </c>
      <c r="H457" s="176">
        <v>534000000</v>
      </c>
      <c r="I457" s="17" t="s">
        <v>1461</v>
      </c>
      <c r="J457" s="113" t="str">
        <f>VLOOKUP($I457,'Price List, Weapons &amp; Items'!B:C,2,0)</f>
        <v>Military equipment</v>
      </c>
      <c r="K457" s="113" t="str">
        <f>IF(I457=".",I457,VLOOKUP($I457,'Price List, Weapons &amp; Items'!B:D,3,0))</f>
        <v>Military equipment</v>
      </c>
      <c r="L457" s="177">
        <f>VLOOKUP(I457,'Price List, Weapons &amp; Items'!B:E,4,0)</f>
        <v>0</v>
      </c>
      <c r="M457" s="542">
        <v>36400</v>
      </c>
      <c r="N457" s="542">
        <v>36400</v>
      </c>
      <c r="O457" s="543">
        <f>VLOOKUP($I457,'Price List, Weapons &amp; Items'!B:G,6,0)</f>
        <v>85</v>
      </c>
      <c r="P457" s="176">
        <f t="shared" si="90"/>
        <v>3094000</v>
      </c>
      <c r="Q457" s="176">
        <f t="shared" si="91"/>
        <v>3094000</v>
      </c>
      <c r="R457" s="176" t="str">
        <f t="shared" si="98"/>
        <v/>
      </c>
      <c r="S457" s="176" t="str">
        <f>IF(AND(AD457=1,R457&lt;&gt;".")=TRUE,R457/VLOOKUP(G457,'Exchange Rates'!B:C,2,0),IF(R457=".",".",""))</f>
        <v/>
      </c>
      <c r="T457" s="176" t="str">
        <f>IF(AD457=1,IF(AF457="Value is not given at all",".",IF(AF457="Value is given by the source",S457,IF(AF457="Value is calculated with prices",(IF(SUMIFS(Q:Q,A:A,A457)&gt;0,SUMIFS(Q:Q,A:A,A457),"."))/VLOOKUP("USD",'Exchange Rates'!B:C,2,0),"Error with coding"))),"")</f>
        <v/>
      </c>
      <c r="U457" s="15" t="s">
        <v>261</v>
      </c>
      <c r="V457" s="567" t="s">
        <v>1293</v>
      </c>
      <c r="W457" s="567" t="s">
        <v>1443</v>
      </c>
      <c r="X457" s="685" t="s">
        <v>260</v>
      </c>
      <c r="Y457" s="685" t="s">
        <v>260</v>
      </c>
      <c r="Z457" s="15">
        <v>0</v>
      </c>
      <c r="AA457" s="180">
        <v>1</v>
      </c>
      <c r="AB457" s="570" t="s">
        <v>1462</v>
      </c>
      <c r="AC457" s="544" t="str">
        <f>""</f>
        <v/>
      </c>
      <c r="AD457" s="183">
        <v>0</v>
      </c>
      <c r="AE457" s="183" t="s">
        <v>264</v>
      </c>
      <c r="AF457" s="183" t="s">
        <v>265</v>
      </c>
      <c r="AG457" s="180">
        <v>0</v>
      </c>
      <c r="AH457" s="180">
        <v>0</v>
      </c>
      <c r="AI457" s="183">
        <v>0</v>
      </c>
      <c r="AJ457" s="181">
        <f>VLOOKUP($I457,'Price List, Weapons &amp; Items'!B:F,5,0)</f>
        <v>0</v>
      </c>
      <c r="AK457" s="181">
        <f t="shared" si="92"/>
        <v>0</v>
      </c>
      <c r="AL457" s="181">
        <f t="shared" si="93"/>
        <v>0</v>
      </c>
      <c r="AM457" s="181">
        <f t="shared" si="94"/>
        <v>0</v>
      </c>
      <c r="AN457" s="180" t="str">
        <f>VLOOKUP($I457,'Price List, Weapons &amp; Items'!B:L,COLUMN('Price List, Weapons &amp; Items'!$J$11)-1,0)</f>
        <v>Online marketplaces and stores</v>
      </c>
      <c r="AO457" s="180" t="str">
        <f>IF(I457=".",".",VLOOKUP($I457,'Price List, Weapons &amp; Items'!B:J,3,0))</f>
        <v>Military equipment</v>
      </c>
      <c r="AP457" s="545" t="str">
        <f t="shared" ca="1" si="101"/>
        <v/>
      </c>
      <c r="AQ457" s="180">
        <f>VLOOKUP($I457,'Price List, Weapons &amp; Items'!B:L,COLUMN('Price List, Weapons &amp; Items'!$L$11)-1,0)</f>
        <v>2</v>
      </c>
      <c r="AR457" s="180">
        <f t="shared" si="95"/>
        <v>1</v>
      </c>
      <c r="AS457" s="180">
        <f t="shared" si="96"/>
        <v>1</v>
      </c>
      <c r="AT457" s="180" t="str">
        <f t="shared" si="97"/>
        <v>Value is not in date format</v>
      </c>
      <c r="AU457" s="180" t="str">
        <f t="shared" si="99"/>
        <v>.</v>
      </c>
      <c r="AV457" s="180" t="str">
        <f t="shared" si="100"/>
        <v>.</v>
      </c>
      <c r="AW457" s="180">
        <f>IFERROR(VLOOKUP(B457,'Share, Heavy Weapons to Ukraine'!B:J,COLUMN('Share, Heavy Weapons to Ukraine'!C466)-1,0),0)</f>
        <v>0</v>
      </c>
      <c r="AX457" s="180">
        <f>VLOOKUP('Bilateral Assistance, MAIN DATA'!B457,'Country Summary'!B:F,COLUMN('Country Summary'!C469)-1,FALSE)</f>
        <v>1</v>
      </c>
      <c r="AY457" s="180" t="str">
        <f>IF(AND(AD457=1,D457="Military",H457&lt;&gt;"Not given")=TRUE,IF(SUMIFS(P:P,A:A,A457)&gt;0,ABS((SUMIFS(P:P,A:A,A457)/VLOOKUP("USD",'Exchange Rates'!B:C,2,0)))/S457,"."),".")</f>
        <v>.</v>
      </c>
      <c r="AZ457" s="182" t="str">
        <f>IF(AND(AD457=1,D457="Military",H457&lt;&gt;"Not given")=TRUE,IF(SUMIFS(P:P,A:A,A457)&gt;0,IF((ABS((SUMIFS(P:P,A:A,A457)/VLOOKUP("USD",'Exchange Rates'!B:C,2,0)))/S457)&gt;1,(SUMIFS(P:P,A:A,A457)-S457)/S457,(S457-SUMIFS(P:P,A:A,A457))/SUMIFS(P:P,A:A,A457)),"."),".")</f>
        <v>.</v>
      </c>
      <c r="BA457" s="182"/>
      <c r="BB457" s="182"/>
      <c r="BC457" s="182"/>
      <c r="BD457" s="182"/>
      <c r="BE457" s="182"/>
      <c r="BF457" s="182"/>
      <c r="BG457" s="182"/>
      <c r="BH457" s="182"/>
      <c r="BI457" s="182"/>
      <c r="BJ457" s="182"/>
      <c r="BK457" s="182"/>
      <c r="BL457" s="182"/>
      <c r="BM457" s="182"/>
      <c r="BN457" s="182"/>
      <c r="BO457" s="182"/>
      <c r="BP457" s="182"/>
      <c r="BQ457" s="182"/>
      <c r="BR457" s="182"/>
      <c r="BS457" s="182"/>
    </row>
    <row r="458" spans="1:71" ht="15.9" customHeight="1" x14ac:dyDescent="0.3">
      <c r="A458" s="17" t="s">
        <v>1454</v>
      </c>
      <c r="B458" s="5" t="s">
        <v>1288</v>
      </c>
      <c r="C458" s="174" t="s">
        <v>1327</v>
      </c>
      <c r="D458" s="5" t="s">
        <v>285</v>
      </c>
      <c r="E458" s="5" t="s">
        <v>1328</v>
      </c>
      <c r="F458" s="1139" t="s">
        <v>1455</v>
      </c>
      <c r="G458" s="15" t="s">
        <v>364</v>
      </c>
      <c r="H458" s="176">
        <v>534000000</v>
      </c>
      <c r="I458" s="185" t="s">
        <v>644</v>
      </c>
      <c r="J458" s="113" t="str">
        <f>VLOOKUP($I458,'Price List, Weapons &amp; Items'!B:C,2,0)</f>
        <v>Ammunition for heavy weapon</v>
      </c>
      <c r="K458" s="113" t="str">
        <f>IF(I458=".",I458,VLOOKUP($I458,'Price List, Weapons &amp; Items'!B:D,3,0))</f>
        <v>155mm howitzer ammunition</v>
      </c>
      <c r="L458" s="177">
        <f>VLOOKUP(I458,'Price List, Weapons &amp; Items'!B:E,4,0)</f>
        <v>0</v>
      </c>
      <c r="M458" s="542">
        <v>18500</v>
      </c>
      <c r="N458" s="542">
        <v>18500</v>
      </c>
      <c r="O458" s="543">
        <f>VLOOKUP($I458,'Price List, Weapons &amp; Items'!B:G,6,0)</f>
        <v>3800</v>
      </c>
      <c r="P458" s="176">
        <f t="shared" si="90"/>
        <v>70300000</v>
      </c>
      <c r="Q458" s="176">
        <f t="shared" si="91"/>
        <v>70300000</v>
      </c>
      <c r="R458" s="176" t="str">
        <f t="shared" si="98"/>
        <v/>
      </c>
      <c r="S458" s="176" t="str">
        <f>IF(AND(AD458=1,R458&lt;&gt;".")=TRUE,R458/VLOOKUP(G458,'Exchange Rates'!B:C,2,0),IF(R458=".",".",""))</f>
        <v/>
      </c>
      <c r="T458" s="176" t="str">
        <f>IF(AD458=1,IF(AF458="Value is not given at all",".",IF(AF458="Value is given by the source",S458,IF(AF458="Value is calculated with prices",(IF(SUMIFS(Q:Q,A:A,A458)&gt;0,SUMIFS(Q:Q,A:A,A458),"."))/VLOOKUP("USD",'Exchange Rates'!B:C,2,0),"Error with coding"))),"")</f>
        <v/>
      </c>
      <c r="U458" s="15" t="s">
        <v>261</v>
      </c>
      <c r="V458" s="567" t="s">
        <v>1293</v>
      </c>
      <c r="W458" s="567" t="s">
        <v>1445</v>
      </c>
      <c r="X458" s="685" t="s">
        <v>260</v>
      </c>
      <c r="Y458" s="685" t="s">
        <v>260</v>
      </c>
      <c r="Z458" s="15">
        <v>0</v>
      </c>
      <c r="AA458" s="180">
        <v>1</v>
      </c>
      <c r="AB458" s="570" t="s">
        <v>1463</v>
      </c>
      <c r="AC458" s="544" t="str">
        <f>""</f>
        <v/>
      </c>
      <c r="AD458" s="183">
        <v>0</v>
      </c>
      <c r="AE458" s="183" t="s">
        <v>264</v>
      </c>
      <c r="AF458" s="183" t="s">
        <v>265</v>
      </c>
      <c r="AG458" s="180">
        <v>0</v>
      </c>
      <c r="AH458" s="180">
        <v>0</v>
      </c>
      <c r="AI458" s="180">
        <v>0</v>
      </c>
      <c r="AJ458" s="181">
        <f>VLOOKUP($I458,'Price List, Weapons &amp; Items'!B:F,5,0)</f>
        <v>1</v>
      </c>
      <c r="AK458" s="181">
        <f t="shared" si="92"/>
        <v>0</v>
      </c>
      <c r="AL458" s="181">
        <f t="shared" si="93"/>
        <v>0</v>
      </c>
      <c r="AM458" s="181">
        <f t="shared" si="94"/>
        <v>0</v>
      </c>
      <c r="AN458" s="180" t="str">
        <f>VLOOKUP($I458,'Price List, Weapons &amp; Items'!B:L,COLUMN('Price List, Weapons &amp; Items'!$J$11)-1,0)</f>
        <v>Government information</v>
      </c>
      <c r="AO458" s="180" t="str">
        <f>IF(I458=".",".",VLOOKUP($I458,'Price List, Weapons &amp; Items'!B:J,3,0))</f>
        <v>155mm howitzer ammunition</v>
      </c>
      <c r="AP458" s="545" t="str">
        <f t="shared" ca="1" si="101"/>
        <v/>
      </c>
      <c r="AQ458" s="180">
        <f>VLOOKUP($I458,'Price List, Weapons &amp; Items'!B:L,COLUMN('Price List, Weapons &amp; Items'!$L$11)-1,0)</f>
        <v>2</v>
      </c>
      <c r="AR458" s="180">
        <f t="shared" si="95"/>
        <v>1</v>
      </c>
      <c r="AS458" s="180">
        <f t="shared" si="96"/>
        <v>1</v>
      </c>
      <c r="AT458" s="180" t="str">
        <f t="shared" si="97"/>
        <v>Value is not in date format</v>
      </c>
      <c r="AU458" s="180" t="str">
        <f t="shared" si="99"/>
        <v>.</v>
      </c>
      <c r="AV458" s="180" t="str">
        <f t="shared" si="100"/>
        <v>.</v>
      </c>
      <c r="AW458" s="180">
        <f>IFERROR(VLOOKUP(B458,'Share, Heavy Weapons to Ukraine'!B:J,COLUMN('Share, Heavy Weapons to Ukraine'!C467)-1,0),0)</f>
        <v>0</v>
      </c>
      <c r="AX458" s="180">
        <f>VLOOKUP('Bilateral Assistance, MAIN DATA'!B458,'Country Summary'!B:F,COLUMN('Country Summary'!C470)-1,FALSE)</f>
        <v>1</v>
      </c>
      <c r="AY458" s="180" t="str">
        <f>IF(AND(AD458=1,D458="Military",H458&lt;&gt;"Not given")=TRUE,IF(SUMIFS(P:P,A:A,A458)&gt;0,ABS((SUMIFS(P:P,A:A,A458)/VLOOKUP("USD",'Exchange Rates'!B:C,2,0)))/S458,"."),".")</f>
        <v>.</v>
      </c>
      <c r="AZ458" s="182" t="str">
        <f>IF(AND(AD458=1,D458="Military",H458&lt;&gt;"Not given")=TRUE,IF(SUMIFS(P:P,A:A,A458)&gt;0,IF((ABS((SUMIFS(P:P,A:A,A458)/VLOOKUP("USD",'Exchange Rates'!B:C,2,0)))/S458)&gt;1,(SUMIFS(P:P,A:A,A458)-S458)/S458,(S458-SUMIFS(P:P,A:A,A458))/SUMIFS(P:P,A:A,A458)),"."),".")</f>
        <v>.</v>
      </c>
      <c r="BA458" s="182"/>
      <c r="BB458" s="182"/>
      <c r="BC458" s="182"/>
      <c r="BD458" s="182"/>
      <c r="BE458" s="182"/>
      <c r="BF458" s="182"/>
      <c r="BG458" s="182"/>
      <c r="BH458" s="182"/>
      <c r="BI458" s="182"/>
      <c r="BJ458" s="182"/>
      <c r="BK458" s="182"/>
      <c r="BL458" s="182"/>
      <c r="BM458" s="182"/>
      <c r="BN458" s="182"/>
      <c r="BO458" s="182"/>
      <c r="BP458" s="182"/>
      <c r="BQ458" s="182"/>
      <c r="BR458" s="182"/>
      <c r="BS458" s="182"/>
    </row>
    <row r="459" spans="1:71" ht="15.9" customHeight="1" x14ac:dyDescent="0.3">
      <c r="A459" s="17" t="s">
        <v>1454</v>
      </c>
      <c r="B459" s="5" t="s">
        <v>1288</v>
      </c>
      <c r="C459" s="174" t="s">
        <v>1327</v>
      </c>
      <c r="D459" s="5" t="s">
        <v>285</v>
      </c>
      <c r="E459" s="5" t="s">
        <v>1328</v>
      </c>
      <c r="F459" s="1139" t="s">
        <v>1455</v>
      </c>
      <c r="G459" s="15" t="s">
        <v>364</v>
      </c>
      <c r="H459" s="176">
        <v>534000000</v>
      </c>
      <c r="I459" s="185" t="s">
        <v>1459</v>
      </c>
      <c r="J459" s="113" t="str">
        <f>VLOOKUP($I459,'Price List, Weapons &amp; Items'!B:C,2,0)</f>
        <v>Military equipment</v>
      </c>
      <c r="K459" s="113" t="str">
        <f>IF(I459=".",I459,VLOOKUP($I459,'Price List, Weapons &amp; Items'!B:D,3,0))</f>
        <v>non combat military vehicle</v>
      </c>
      <c r="L459" s="177">
        <f>VLOOKUP(I459,'Price List, Weapons &amp; Items'!B:E,4,0)</f>
        <v>0</v>
      </c>
      <c r="M459" s="542">
        <v>18</v>
      </c>
      <c r="N459" s="542">
        <v>18</v>
      </c>
      <c r="O459" s="543">
        <f>VLOOKUP($I459,'Price List, Weapons &amp; Items'!B:G,6,0)</f>
        <v>350000</v>
      </c>
      <c r="P459" s="176">
        <f t="shared" si="90"/>
        <v>6300000</v>
      </c>
      <c r="Q459" s="176">
        <f t="shared" si="91"/>
        <v>6300000</v>
      </c>
      <c r="R459" s="176" t="str">
        <f t="shared" si="98"/>
        <v/>
      </c>
      <c r="S459" s="176" t="str">
        <f>IF(AND(AD459=1,R459&lt;&gt;".")=TRUE,R459/VLOOKUP(G459,'Exchange Rates'!B:C,2,0),IF(R459=".",".",""))</f>
        <v/>
      </c>
      <c r="T459" s="176" t="str">
        <f>IF(AD459=1,IF(AF459="Value is not given at all",".",IF(AF459="Value is given by the source",S459,IF(AF459="Value is calculated with prices",(IF(SUMIFS(Q:Q,A:A,A459)&gt;0,SUMIFS(Q:Q,A:A,A459),"."))/VLOOKUP("USD",'Exchange Rates'!B:C,2,0),"Error with coding"))),"")</f>
        <v/>
      </c>
      <c r="U459" s="15" t="s">
        <v>261</v>
      </c>
      <c r="V459" s="567" t="s">
        <v>1293</v>
      </c>
      <c r="W459" s="567" t="s">
        <v>1447</v>
      </c>
      <c r="X459" s="685" t="s">
        <v>260</v>
      </c>
      <c r="Y459" s="685" t="s">
        <v>260</v>
      </c>
      <c r="Z459" s="15">
        <v>0</v>
      </c>
      <c r="AA459" s="180">
        <v>1</v>
      </c>
      <c r="AB459" s="570" t="s">
        <v>1464</v>
      </c>
      <c r="AC459" s="544" t="str">
        <f>""</f>
        <v/>
      </c>
      <c r="AD459" s="183">
        <v>0</v>
      </c>
      <c r="AE459" s="183" t="s">
        <v>264</v>
      </c>
      <c r="AF459" s="183" t="s">
        <v>265</v>
      </c>
      <c r="AG459" s="180">
        <v>0</v>
      </c>
      <c r="AH459" s="180">
        <v>0</v>
      </c>
      <c r="AI459" s="183">
        <v>0</v>
      </c>
      <c r="AJ459" s="181">
        <f>VLOOKUP($I459,'Price List, Weapons &amp; Items'!B:F,5,0)</f>
        <v>0</v>
      </c>
      <c r="AK459" s="181">
        <f t="shared" si="92"/>
        <v>0</v>
      </c>
      <c r="AL459" s="181">
        <f t="shared" si="93"/>
        <v>0</v>
      </c>
      <c r="AM459" s="181">
        <f t="shared" si="94"/>
        <v>0</v>
      </c>
      <c r="AN459" s="180" t="str">
        <f>VLOOKUP($I459,'Price List, Weapons &amp; Items'!B:L,COLUMN('Price List, Weapons &amp; Items'!$J$11)-1,0)</f>
        <v>Media reports (incl. social media)</v>
      </c>
      <c r="AO459" s="180" t="str">
        <f>IF(I459=".",".",VLOOKUP($I459,'Price List, Weapons &amp; Items'!B:J,3,0))</f>
        <v>non combat military vehicle</v>
      </c>
      <c r="AP459" s="545" t="str">
        <f t="shared" ca="1" si="101"/>
        <v/>
      </c>
      <c r="AQ459" s="180">
        <f>VLOOKUP($I459,'Price List, Weapons &amp; Items'!B:L,COLUMN('Price List, Weapons &amp; Items'!$L$11)-1,0)</f>
        <v>2</v>
      </c>
      <c r="AR459" s="180">
        <f t="shared" si="95"/>
        <v>1</v>
      </c>
      <c r="AS459" s="180">
        <f t="shared" si="96"/>
        <v>1</v>
      </c>
      <c r="AT459" s="180" t="str">
        <f t="shared" si="97"/>
        <v>Value is not in date format</v>
      </c>
      <c r="AU459" s="180" t="str">
        <f t="shared" si="99"/>
        <v>.</v>
      </c>
      <c r="AV459" s="180" t="str">
        <f t="shared" si="100"/>
        <v>.</v>
      </c>
      <c r="AW459" s="180">
        <f>IFERROR(VLOOKUP(B459,'Share, Heavy Weapons to Ukraine'!B:J,COLUMN('Share, Heavy Weapons to Ukraine'!C468)-1,0),0)</f>
        <v>0</v>
      </c>
      <c r="AX459" s="180">
        <f>VLOOKUP('Bilateral Assistance, MAIN DATA'!B459,'Country Summary'!B:F,COLUMN('Country Summary'!C471)-1,FALSE)</f>
        <v>1</v>
      </c>
      <c r="AY459" s="180" t="str">
        <f>IF(AND(AD459=1,D459="Military",H459&lt;&gt;"Not given")=TRUE,IF(SUMIFS(P:P,A:A,A459)&gt;0,ABS((SUMIFS(P:P,A:A,A459)/VLOOKUP("USD",'Exchange Rates'!B:C,2,0)))/S459,"."),".")</f>
        <v>.</v>
      </c>
      <c r="AZ459" s="182" t="str">
        <f>IF(AND(AD459=1,D459="Military",H459&lt;&gt;"Not given")=TRUE,IF(SUMIFS(P:P,A:A,A459)&gt;0,IF((ABS((SUMIFS(P:P,A:A,A459)/VLOOKUP("USD",'Exchange Rates'!B:C,2,0)))/S459)&gt;1,(SUMIFS(P:P,A:A,A459)-S459)/S459,(S459-SUMIFS(P:P,A:A,A459))/SUMIFS(P:P,A:A,A459)),"."),".")</f>
        <v>.</v>
      </c>
      <c r="BA459" s="182"/>
      <c r="BB459" s="182"/>
      <c r="BC459" s="182"/>
      <c r="BD459" s="182"/>
      <c r="BE459" s="182"/>
      <c r="BF459" s="182"/>
      <c r="BG459" s="182"/>
      <c r="BH459" s="182"/>
      <c r="BI459" s="182"/>
      <c r="BJ459" s="182"/>
      <c r="BK459" s="182"/>
      <c r="BL459" s="182"/>
      <c r="BM459" s="182"/>
      <c r="BN459" s="182"/>
      <c r="BO459" s="182"/>
      <c r="BP459" s="182"/>
      <c r="BQ459" s="182"/>
      <c r="BR459" s="182"/>
      <c r="BS459" s="182"/>
    </row>
    <row r="460" spans="1:71" ht="15.9" customHeight="1" x14ac:dyDescent="0.3">
      <c r="A460" s="17" t="s">
        <v>1454</v>
      </c>
      <c r="B460" s="5" t="s">
        <v>1288</v>
      </c>
      <c r="C460" s="174" t="s">
        <v>1327</v>
      </c>
      <c r="D460" s="5" t="s">
        <v>285</v>
      </c>
      <c r="E460" s="5" t="s">
        <v>1328</v>
      </c>
      <c r="F460" s="1139" t="s">
        <v>1455</v>
      </c>
      <c r="G460" s="15" t="s">
        <v>364</v>
      </c>
      <c r="H460" s="176">
        <v>534000000</v>
      </c>
      <c r="I460" s="185" t="s">
        <v>1465</v>
      </c>
      <c r="J460" s="113" t="str">
        <f>VLOOKUP($I460,'Price List, Weapons &amp; Items'!B:C,2,0)</f>
        <v>Heavy weapon</v>
      </c>
      <c r="K460" s="113" t="str">
        <f>IF(I460=".",I460,VLOOKUP($I460,'Price List, Weapons &amp; Items'!B:D,3,0))</f>
        <v>Armoured Utility Vehicle (AUV)</v>
      </c>
      <c r="L460" s="177">
        <f>VLOOKUP(I460,'Price List, Weapons &amp; Items'!B:E,4,0)</f>
        <v>0</v>
      </c>
      <c r="M460" s="542">
        <v>50</v>
      </c>
      <c r="N460" s="542">
        <v>50</v>
      </c>
      <c r="O460" s="543">
        <f>VLOOKUP($I460,'Price List, Weapons &amp; Items'!B:G,6,0)</f>
        <v>500000</v>
      </c>
      <c r="P460" s="176">
        <f t="shared" si="90"/>
        <v>25000000</v>
      </c>
      <c r="Q460" s="176">
        <f t="shared" si="91"/>
        <v>25000000</v>
      </c>
      <c r="R460" s="176" t="str">
        <f t="shared" si="98"/>
        <v/>
      </c>
      <c r="S460" s="176" t="str">
        <f>IF(AND(AD460=1,R460&lt;&gt;".")=TRUE,R460/VLOOKUP(G460,'Exchange Rates'!B:C,2,0),IF(R460=".",".",""))</f>
        <v/>
      </c>
      <c r="T460" s="176" t="str">
        <f>IF(AD460=1,IF(AF460="Value is not given at all",".",IF(AF460="Value is given by the source",S460,IF(AF460="Value is calculated with prices",(IF(SUMIFS(Q:Q,A:A,A460)&gt;0,SUMIFS(Q:Q,A:A,A460),"."))/VLOOKUP("USD",'Exchange Rates'!B:C,2,0),"Error with coding"))),"")</f>
        <v/>
      </c>
      <c r="U460" s="15" t="s">
        <v>261</v>
      </c>
      <c r="V460" s="567" t="s">
        <v>1293</v>
      </c>
      <c r="W460" s="567" t="s">
        <v>1449</v>
      </c>
      <c r="X460" s="685" t="s">
        <v>260</v>
      </c>
      <c r="Y460" s="685" t="s">
        <v>260</v>
      </c>
      <c r="Z460" s="15">
        <v>0</v>
      </c>
      <c r="AA460" s="180">
        <v>1</v>
      </c>
      <c r="AB460" s="570" t="s">
        <v>1466</v>
      </c>
      <c r="AC460" s="544" t="str">
        <f>""</f>
        <v/>
      </c>
      <c r="AD460" s="183">
        <v>0</v>
      </c>
      <c r="AE460" s="183" t="s">
        <v>264</v>
      </c>
      <c r="AF460" s="183" t="s">
        <v>265</v>
      </c>
      <c r="AG460" s="183">
        <v>1</v>
      </c>
      <c r="AH460" s="183">
        <v>9</v>
      </c>
      <c r="AI460" s="183">
        <v>0</v>
      </c>
      <c r="AJ460" s="181">
        <f>VLOOKUP($I460,'Price List, Weapons &amp; Items'!B:F,5,0)</f>
        <v>1</v>
      </c>
      <c r="AK460" s="181">
        <f t="shared" si="92"/>
        <v>0</v>
      </c>
      <c r="AL460" s="181">
        <f t="shared" si="93"/>
        <v>0</v>
      </c>
      <c r="AM460" s="181">
        <f t="shared" si="94"/>
        <v>0</v>
      </c>
      <c r="AN460" s="180" t="str">
        <f>VLOOKUP($I460,'Price List, Weapons &amp; Items'!B:L,COLUMN('Price List, Weapons &amp; Items'!$J$11)-1,0)</f>
        <v>Military media (incl. websites)</v>
      </c>
      <c r="AO460" s="180" t="str">
        <f>IF(I460=".",".",VLOOKUP($I460,'Price List, Weapons &amp; Items'!B:J,3,0))</f>
        <v>Armoured Utility Vehicle (AUV)</v>
      </c>
      <c r="AP460" s="545" t="str">
        <f t="shared" ca="1" si="101"/>
        <v/>
      </c>
      <c r="AQ460" s="180">
        <f>VLOOKUP($I460,'Price List, Weapons &amp; Items'!B:L,COLUMN('Price List, Weapons &amp; Items'!$L$11)-1,0)</f>
        <v>2</v>
      </c>
      <c r="AR460" s="180">
        <f t="shared" si="95"/>
        <v>1</v>
      </c>
      <c r="AS460" s="180">
        <f t="shared" si="96"/>
        <v>1</v>
      </c>
      <c r="AT460" s="180" t="str">
        <f t="shared" si="97"/>
        <v>Value is not in date format</v>
      </c>
      <c r="AU460" s="180" t="str">
        <f t="shared" si="99"/>
        <v>.</v>
      </c>
      <c r="AV460" s="180" t="str">
        <f t="shared" si="100"/>
        <v>.</v>
      </c>
      <c r="AW460" s="180">
        <f>IFERROR(VLOOKUP(B460,'Share, Heavy Weapons to Ukraine'!B:J,COLUMN('Share, Heavy Weapons to Ukraine'!C469)-1,0),0)</f>
        <v>0</v>
      </c>
      <c r="AX460" s="180">
        <f>VLOOKUP('Bilateral Assistance, MAIN DATA'!B460,'Country Summary'!B:F,COLUMN('Country Summary'!C472)-1,FALSE)</f>
        <v>1</v>
      </c>
      <c r="AY460" s="180" t="str">
        <f>IF(AND(AD460=1,D460="Military",H460&lt;&gt;"Not given")=TRUE,IF(SUMIFS(P:P,A:A,A460)&gt;0,ABS((SUMIFS(P:P,A:A,A460)/VLOOKUP("USD",'Exchange Rates'!B:C,2,0)))/S460,"."),".")</f>
        <v>.</v>
      </c>
      <c r="AZ460" s="182" t="str">
        <f>IF(AND(AD460=1,D460="Military",H460&lt;&gt;"Not given")=TRUE,IF(SUMIFS(P:P,A:A,A460)&gt;0,IF((ABS((SUMIFS(P:P,A:A,A460)/VLOOKUP("USD",'Exchange Rates'!B:C,2,0)))/S460)&gt;1,(SUMIFS(P:P,A:A,A460)-S460)/S460,(S460-SUMIFS(P:P,A:A,A460))/SUMIFS(P:P,A:A,A460)),"."),".")</f>
        <v>.</v>
      </c>
      <c r="BA460" s="182"/>
      <c r="BB460" s="182"/>
      <c r="BC460" s="182"/>
      <c r="BD460" s="182"/>
      <c r="BE460" s="182"/>
      <c r="BF460" s="182"/>
      <c r="BG460" s="182"/>
      <c r="BH460" s="182"/>
      <c r="BI460" s="182"/>
      <c r="BJ460" s="182"/>
      <c r="BK460" s="182"/>
      <c r="BL460" s="182"/>
      <c r="BM460" s="182"/>
      <c r="BN460" s="182"/>
      <c r="BO460" s="182"/>
      <c r="BP460" s="182"/>
      <c r="BQ460" s="182"/>
      <c r="BR460" s="182"/>
      <c r="BS460" s="182"/>
    </row>
    <row r="461" spans="1:71" ht="15.9" customHeight="1" x14ac:dyDescent="0.3">
      <c r="A461" s="17" t="s">
        <v>1454</v>
      </c>
      <c r="B461" s="5" t="s">
        <v>1288</v>
      </c>
      <c r="C461" s="174" t="s">
        <v>1327</v>
      </c>
      <c r="D461" s="5" t="s">
        <v>285</v>
      </c>
      <c r="E461" s="5" t="s">
        <v>1328</v>
      </c>
      <c r="F461" s="1139" t="s">
        <v>1455</v>
      </c>
      <c r="G461" s="15" t="s">
        <v>364</v>
      </c>
      <c r="H461" s="176">
        <v>534000000</v>
      </c>
      <c r="I461" s="185" t="s">
        <v>354</v>
      </c>
      <c r="J461" s="113" t="str">
        <f>VLOOKUP($I461,'Price List, Weapons &amp; Items'!B:C,2,0)</f>
        <v>Humanitarian</v>
      </c>
      <c r="K461" s="113" t="str">
        <f>IF(I461=".",I461,VLOOKUP($I461,'Price List, Weapons &amp; Items'!B:D,3,0))</f>
        <v>Humanitarian</v>
      </c>
      <c r="L461" s="177">
        <f>VLOOKUP(I461,'Price List, Weapons &amp; Items'!B:E,4,0)</f>
        <v>0</v>
      </c>
      <c r="M461" s="542">
        <v>14000</v>
      </c>
      <c r="N461" s="542">
        <v>14000</v>
      </c>
      <c r="O461" s="543">
        <f>VLOOKUP($I461,'Price List, Weapons &amp; Items'!B:G,6,0)</f>
        <v>150</v>
      </c>
      <c r="P461" s="176">
        <f t="shared" si="90"/>
        <v>2100000</v>
      </c>
      <c r="Q461" s="176">
        <f t="shared" si="91"/>
        <v>2100000</v>
      </c>
      <c r="R461" s="176" t="str">
        <f t="shared" si="98"/>
        <v/>
      </c>
      <c r="S461" s="176" t="str">
        <f>IF(AND(AD461=1,R461&lt;&gt;".")=TRUE,R461/VLOOKUP(G461,'Exchange Rates'!B:C,2,0),IF(R461=".",".",""))</f>
        <v/>
      </c>
      <c r="T461" s="176" t="str">
        <f>IF(AD461=1,IF(AF461="Value is not given at all",".",IF(AF461="Value is given by the source",S461,IF(AF461="Value is calculated with prices",(IF(SUMIFS(Q:Q,A:A,A461)&gt;0,SUMIFS(Q:Q,A:A,A461),"."))/VLOOKUP("USD",'Exchange Rates'!B:C,2,0),"Error with coding"))),"")</f>
        <v/>
      </c>
      <c r="U461" s="15" t="s">
        <v>261</v>
      </c>
      <c r="V461" s="567" t="s">
        <v>1293</v>
      </c>
      <c r="W461" s="567" t="s">
        <v>1456</v>
      </c>
      <c r="X461" s="685" t="s">
        <v>260</v>
      </c>
      <c r="Y461" s="685" t="s">
        <v>260</v>
      </c>
      <c r="Z461" s="15">
        <v>0</v>
      </c>
      <c r="AA461" s="180">
        <v>1</v>
      </c>
      <c r="AB461" s="570" t="s">
        <v>1467</v>
      </c>
      <c r="AC461" s="544" t="str">
        <f>""</f>
        <v/>
      </c>
      <c r="AD461" s="183">
        <v>0</v>
      </c>
      <c r="AE461" s="183" t="s">
        <v>264</v>
      </c>
      <c r="AF461" s="183" t="s">
        <v>265</v>
      </c>
      <c r="AG461" s="183">
        <v>0</v>
      </c>
      <c r="AH461" s="183">
        <v>0</v>
      </c>
      <c r="AI461" s="183">
        <v>0</v>
      </c>
      <c r="AJ461" s="181">
        <f>VLOOKUP($I461,'Price List, Weapons &amp; Items'!B:F,5,0)</f>
        <v>0</v>
      </c>
      <c r="AK461" s="181">
        <f t="shared" si="92"/>
        <v>0</v>
      </c>
      <c r="AL461" s="181">
        <f t="shared" si="93"/>
        <v>0</v>
      </c>
      <c r="AM461" s="181">
        <f t="shared" si="94"/>
        <v>0</v>
      </c>
      <c r="AN461" s="180" t="str">
        <f>VLOOKUP($I461,'Price List, Weapons &amp; Items'!B:L,COLUMN('Price List, Weapons &amp; Items'!$J$11)-1,0)</f>
        <v>Miscellaneous</v>
      </c>
      <c r="AO461" s="180" t="str">
        <f>IF(I461=".",".",VLOOKUP($I461,'Price List, Weapons &amp; Items'!B:J,3,0))</f>
        <v>Humanitarian</v>
      </c>
      <c r="AP461" s="545" t="str">
        <f t="shared" ca="1" si="101"/>
        <v/>
      </c>
      <c r="AQ461" s="180">
        <f>VLOOKUP($I461,'Price List, Weapons &amp; Items'!B:L,COLUMN('Price List, Weapons &amp; Items'!$L$11)-1,0)</f>
        <v>0</v>
      </c>
      <c r="AR461" s="180">
        <f t="shared" si="95"/>
        <v>1</v>
      </c>
      <c r="AS461" s="180">
        <f t="shared" si="96"/>
        <v>1</v>
      </c>
      <c r="AT461" s="180" t="str">
        <f t="shared" si="97"/>
        <v>Value is not in date format</v>
      </c>
      <c r="AU461" s="180" t="str">
        <f t="shared" si="99"/>
        <v>.</v>
      </c>
      <c r="AV461" s="180" t="str">
        <f t="shared" si="100"/>
        <v>.</v>
      </c>
      <c r="AW461" s="180">
        <f>IFERROR(VLOOKUP(B461,'Share, Heavy Weapons to Ukraine'!B:J,COLUMN('Share, Heavy Weapons to Ukraine'!C470)-1,0),0)</f>
        <v>0</v>
      </c>
      <c r="AX461" s="180">
        <f>VLOOKUP('Bilateral Assistance, MAIN DATA'!B461,'Country Summary'!B:F,COLUMN('Country Summary'!C473)-1,FALSE)</f>
        <v>1</v>
      </c>
      <c r="AY461" s="180" t="str">
        <f>IF(AND(AD461=1,D461="Military",H461&lt;&gt;"Not given")=TRUE,IF(SUMIFS(P:P,A:A,A461)&gt;0,ABS((SUMIFS(P:P,A:A,A461)/VLOOKUP("USD",'Exchange Rates'!B:C,2,0)))/S461,"."),".")</f>
        <v>.</v>
      </c>
      <c r="AZ461" s="182" t="str">
        <f>IF(AND(AD461=1,D461="Military",H461&lt;&gt;"Not given")=TRUE,IF(SUMIFS(P:P,A:A,A461)&gt;0,IF((ABS((SUMIFS(P:P,A:A,A461)/VLOOKUP("USD",'Exchange Rates'!B:C,2,0)))/S461)&gt;1,(SUMIFS(P:P,A:A,A461)-S461)/S461,(S461-SUMIFS(P:P,A:A,A461))/SUMIFS(P:P,A:A,A461)),"."),".")</f>
        <v>.</v>
      </c>
      <c r="BA461" s="182"/>
      <c r="BB461" s="182"/>
      <c r="BC461" s="182"/>
      <c r="BD461" s="182"/>
      <c r="BE461" s="182"/>
      <c r="BF461" s="182"/>
      <c r="BG461" s="182"/>
      <c r="BH461" s="182"/>
      <c r="BI461" s="182"/>
      <c r="BJ461" s="182"/>
      <c r="BK461" s="182"/>
      <c r="BL461" s="182"/>
      <c r="BM461" s="182"/>
      <c r="BN461" s="182"/>
      <c r="BO461" s="182"/>
      <c r="BP461" s="182"/>
      <c r="BQ461" s="182"/>
      <c r="BR461" s="182"/>
      <c r="BS461" s="182"/>
    </row>
    <row r="462" spans="1:71" ht="15.9" customHeight="1" x14ac:dyDescent="0.3">
      <c r="A462" s="17" t="s">
        <v>1454</v>
      </c>
      <c r="B462" s="5" t="s">
        <v>1288</v>
      </c>
      <c r="C462" s="174" t="s">
        <v>1327</v>
      </c>
      <c r="D462" s="5" t="s">
        <v>285</v>
      </c>
      <c r="E462" s="5" t="s">
        <v>1328</v>
      </c>
      <c r="F462" s="1139" t="s">
        <v>1455</v>
      </c>
      <c r="G462" s="15" t="s">
        <v>364</v>
      </c>
      <c r="H462" s="176">
        <v>534000000</v>
      </c>
      <c r="I462" s="185" t="s">
        <v>1468</v>
      </c>
      <c r="J462" s="113" t="str">
        <f>VLOOKUP($I462,'Price List, Weapons &amp; Items'!B:C,2,0)</f>
        <v>Ammunition for heavy weapon</v>
      </c>
      <c r="K462" s="113" t="str">
        <f>IF(I462=".",I462,VLOOKUP($I462,'Price List, Weapons &amp; Items'!B:D,3,0))</f>
        <v>127mm MLRS ammunition</v>
      </c>
      <c r="L462" s="177">
        <f>VLOOKUP(I462,'Price List, Weapons &amp; Items'!B:E,4,0)</f>
        <v>0</v>
      </c>
      <c r="M462" s="542" t="s">
        <v>270</v>
      </c>
      <c r="N462" s="542" t="s">
        <v>270</v>
      </c>
      <c r="O462" s="543">
        <f>VLOOKUP($I462,'Price List, Weapons &amp; Items'!B:G,6,0)</f>
        <v>625000</v>
      </c>
      <c r="P462" s="176" t="str">
        <f t="shared" si="90"/>
        <v>.</v>
      </c>
      <c r="Q462" s="176" t="str">
        <f t="shared" si="91"/>
        <v>.</v>
      </c>
      <c r="R462" s="176" t="str">
        <f t="shared" si="98"/>
        <v/>
      </c>
      <c r="S462" s="176" t="str">
        <f>IF(AND(AD462=1,R462&lt;&gt;".")=TRUE,R462/VLOOKUP(G462,'Exchange Rates'!B:C,2,0),IF(R462=".",".",""))</f>
        <v/>
      </c>
      <c r="T462" s="176" t="str">
        <f>IF(AD462=1,IF(AF462="Value is not given at all",".",IF(AF462="Value is given by the source",S462,IF(AF462="Value is calculated with prices",(IF(SUMIFS(Q:Q,A:A,A462)&gt;0,SUMIFS(Q:Q,A:A,A462),"."))/VLOOKUP("USD",'Exchange Rates'!B:C,2,0),"Error with coding"))),"")</f>
        <v/>
      </c>
      <c r="U462" s="15" t="s">
        <v>261</v>
      </c>
      <c r="V462" s="567" t="s">
        <v>1293</v>
      </c>
      <c r="W462" s="567" t="s">
        <v>1458</v>
      </c>
      <c r="X462" s="685" t="s">
        <v>260</v>
      </c>
      <c r="Y462" s="685" t="s">
        <v>260</v>
      </c>
      <c r="Z462" s="15">
        <v>0</v>
      </c>
      <c r="AA462" s="180">
        <v>1</v>
      </c>
      <c r="AB462" s="570" t="s">
        <v>1469</v>
      </c>
      <c r="AC462" s="544" t="str">
        <f>""</f>
        <v/>
      </c>
      <c r="AD462" s="183">
        <v>0</v>
      </c>
      <c r="AE462" s="181" t="s">
        <v>264</v>
      </c>
      <c r="AF462" s="181" t="s">
        <v>264</v>
      </c>
      <c r="AG462" s="183">
        <v>1</v>
      </c>
      <c r="AH462" s="181">
        <v>4</v>
      </c>
      <c r="AI462" s="181">
        <v>0</v>
      </c>
      <c r="AJ462" s="181">
        <f>VLOOKUP($I462,'Price List, Weapons &amp; Items'!B:F,5,0)</f>
        <v>1</v>
      </c>
      <c r="AK462" s="181">
        <f t="shared" si="92"/>
        <v>1</v>
      </c>
      <c r="AL462" s="181">
        <f t="shared" si="93"/>
        <v>1</v>
      </c>
      <c r="AM462" s="181">
        <f t="shared" si="94"/>
        <v>1</v>
      </c>
      <c r="AN462" s="180" t="str">
        <f>VLOOKUP($I462,'Price List, Weapons &amp; Items'!B:L,COLUMN('Price List, Weapons &amp; Items'!$J$11)-1,0)</f>
        <v>Government information</v>
      </c>
      <c r="AO462" s="180" t="str">
        <f>IF(I462=".",".",VLOOKUP($I462,'Price List, Weapons &amp; Items'!B:J,3,0))</f>
        <v>127mm MLRS ammunition</v>
      </c>
      <c r="AP462" s="545" t="str">
        <f t="shared" ca="1" si="101"/>
        <v/>
      </c>
      <c r="AQ462" s="180" t="str">
        <f>VLOOKUP($I462,'Price List, Weapons &amp; Items'!B:L,COLUMN('Price List, Weapons &amp; Items'!$L$11)-1,0)</f>
        <v>no price, 0 count</v>
      </c>
      <c r="AR462" s="180">
        <f t="shared" si="95"/>
        <v>1</v>
      </c>
      <c r="AS462" s="180">
        <f t="shared" si="96"/>
        <v>1</v>
      </c>
      <c r="AT462" s="180" t="str">
        <f t="shared" si="97"/>
        <v>Value is not in date format</v>
      </c>
      <c r="AU462" s="180" t="str">
        <f t="shared" si="99"/>
        <v>.</v>
      </c>
      <c r="AV462" s="180" t="str">
        <f t="shared" si="100"/>
        <v>.</v>
      </c>
      <c r="AW462" s="180">
        <f>IFERROR(VLOOKUP(B462,'Share, Heavy Weapons to Ukraine'!B:J,COLUMN('Share, Heavy Weapons to Ukraine'!C471)-1,0),0)</f>
        <v>0</v>
      </c>
      <c r="AX462" s="180">
        <f>VLOOKUP('Bilateral Assistance, MAIN DATA'!B462,'Country Summary'!B:F,COLUMN('Country Summary'!C474)-1,FALSE)</f>
        <v>1</v>
      </c>
      <c r="AY462" s="180" t="str">
        <f>IF(AND(AD462=1,D462="Military",H462&lt;&gt;"Not given")=TRUE,IF(SUMIFS(P:P,A:A,A462)&gt;0,ABS((SUMIFS(P:P,A:A,A462)/VLOOKUP("USD",'Exchange Rates'!B:C,2,0)))/S462,"."),".")</f>
        <v>.</v>
      </c>
      <c r="AZ462" s="182" t="str">
        <f>IF(AND(AD462=1,D462="Military",H462&lt;&gt;"Not given")=TRUE,IF(SUMIFS(P:P,A:A,A462)&gt;0,IF((ABS((SUMIFS(P:P,A:A,A462)/VLOOKUP("USD",'Exchange Rates'!B:C,2,0)))/S462)&gt;1,(SUMIFS(P:P,A:A,A462)-S462)/S462,(S462-SUMIFS(P:P,A:A,A462))/SUMIFS(P:P,A:A,A462)),"."),".")</f>
        <v>.</v>
      </c>
      <c r="BA462" s="182"/>
      <c r="BB462" s="182"/>
      <c r="BC462" s="182"/>
      <c r="BD462" s="182"/>
      <c r="BE462" s="182"/>
      <c r="BF462" s="182"/>
      <c r="BG462" s="182"/>
      <c r="BH462" s="182"/>
      <c r="BI462" s="182"/>
      <c r="BJ462" s="182"/>
      <c r="BK462" s="182"/>
      <c r="BL462" s="182"/>
      <c r="BM462" s="182"/>
      <c r="BN462" s="182"/>
      <c r="BO462" s="182"/>
      <c r="BP462" s="182"/>
      <c r="BQ462" s="182"/>
      <c r="BR462" s="182"/>
      <c r="BS462" s="182"/>
    </row>
    <row r="463" spans="1:71" ht="15.9" customHeight="1" x14ac:dyDescent="0.3">
      <c r="A463" s="17" t="s">
        <v>1454</v>
      </c>
      <c r="B463" s="5" t="s">
        <v>1288</v>
      </c>
      <c r="C463" s="174" t="s">
        <v>1327</v>
      </c>
      <c r="D463" s="5" t="s">
        <v>285</v>
      </c>
      <c r="E463" s="5" t="s">
        <v>1328</v>
      </c>
      <c r="F463" s="1139" t="s">
        <v>1455</v>
      </c>
      <c r="G463" s="15" t="s">
        <v>364</v>
      </c>
      <c r="H463" s="176">
        <v>534000000</v>
      </c>
      <c r="I463" s="185" t="s">
        <v>1470</v>
      </c>
      <c r="J463" s="113" t="str">
        <f>VLOOKUP($I463,'Price List, Weapons &amp; Items'!B:C,2,0)</f>
        <v>military equipment</v>
      </c>
      <c r="K463" s="113" t="str">
        <f>IF(I463=".",I463,VLOOKUP($I463,'Price List, Weapons &amp; Items'!B:D,3,0))</f>
        <v>spare parts</v>
      </c>
      <c r="L463" s="177">
        <f>VLOOKUP(I463,'Price List, Weapons &amp; Items'!B:E,4,0)</f>
        <v>0</v>
      </c>
      <c r="M463" s="542" t="s">
        <v>270</v>
      </c>
      <c r="N463" s="542" t="s">
        <v>270</v>
      </c>
      <c r="O463" s="543" t="str">
        <f>VLOOKUP($I463,'Price List, Weapons &amp; Items'!B:G,6,0)</f>
        <v>.</v>
      </c>
      <c r="P463" s="176" t="str">
        <f t="shared" si="90"/>
        <v>.</v>
      </c>
      <c r="Q463" s="176" t="str">
        <f t="shared" si="91"/>
        <v>.</v>
      </c>
      <c r="R463" s="176" t="str">
        <f t="shared" si="98"/>
        <v/>
      </c>
      <c r="S463" s="176" t="str">
        <f>IF(AND(AD463=1,R463&lt;&gt;".")=TRUE,R463/VLOOKUP(G463,'Exchange Rates'!B:C,2,0),IF(R463=".",".",""))</f>
        <v/>
      </c>
      <c r="T463" s="176" t="str">
        <f>IF(AD463=1,IF(AF463="Value is not given at all",".",IF(AF463="Value is given by the source",S463,IF(AF463="Value is calculated with prices",(IF(SUMIFS(Q:Q,A:A,A463)&gt;0,SUMIFS(Q:Q,A:A,A463),"."))/VLOOKUP("USD",'Exchange Rates'!B:C,2,0),"Error with coding"))),"")</f>
        <v/>
      </c>
      <c r="U463" s="15" t="s">
        <v>261</v>
      </c>
      <c r="V463" s="567" t="s">
        <v>1293</v>
      </c>
      <c r="W463" s="567" t="s">
        <v>1460</v>
      </c>
      <c r="X463" s="685" t="s">
        <v>260</v>
      </c>
      <c r="Y463" s="685" t="s">
        <v>260</v>
      </c>
      <c r="Z463" s="15">
        <v>0</v>
      </c>
      <c r="AA463" s="180">
        <v>1</v>
      </c>
      <c r="AB463" s="570" t="s">
        <v>1471</v>
      </c>
      <c r="AC463" s="544" t="str">
        <f>""</f>
        <v/>
      </c>
      <c r="AD463" s="183">
        <v>0</v>
      </c>
      <c r="AE463" s="181" t="s">
        <v>264</v>
      </c>
      <c r="AF463" s="183" t="s">
        <v>265</v>
      </c>
      <c r="AG463" s="183">
        <v>0</v>
      </c>
      <c r="AH463" s="183">
        <v>0</v>
      </c>
      <c r="AI463" s="183">
        <v>0</v>
      </c>
      <c r="AJ463" s="181">
        <f>VLOOKUP($I463,'Price List, Weapons &amp; Items'!B:F,5,0)</f>
        <v>0</v>
      </c>
      <c r="AK463" s="181">
        <f t="shared" si="92"/>
        <v>0</v>
      </c>
      <c r="AL463" s="181">
        <f t="shared" si="93"/>
        <v>0</v>
      </c>
      <c r="AM463" s="181">
        <f t="shared" si="94"/>
        <v>0</v>
      </c>
      <c r="AN463" s="180" t="str">
        <f>VLOOKUP($I463,'Price List, Weapons &amp; Items'!B:L,COLUMN('Price List, Weapons &amp; Items'!$J$11)-1,0)</f>
        <v>.</v>
      </c>
      <c r="AO463" s="180" t="str">
        <f>IF(I463=".",".",VLOOKUP($I463,'Price List, Weapons &amp; Items'!B:J,3,0))</f>
        <v>spare parts</v>
      </c>
      <c r="AP463" s="545" t="str">
        <f t="shared" ca="1" si="101"/>
        <v/>
      </c>
      <c r="AQ463" s="180" t="str">
        <f>VLOOKUP($I463,'Price List, Weapons &amp; Items'!B:L,COLUMN('Price List, Weapons &amp; Items'!$L$11)-1,0)</f>
        <v>no price, 0 count</v>
      </c>
      <c r="AR463" s="180">
        <f t="shared" si="95"/>
        <v>1</v>
      </c>
      <c r="AS463" s="180">
        <f t="shared" si="96"/>
        <v>1</v>
      </c>
      <c r="AT463" s="180" t="str">
        <f t="shared" si="97"/>
        <v>Value is not in date format</v>
      </c>
      <c r="AU463" s="180" t="str">
        <f t="shared" si="99"/>
        <v>.</v>
      </c>
      <c r="AV463" s="180" t="str">
        <f t="shared" si="100"/>
        <v>.</v>
      </c>
      <c r="AW463" s="180">
        <f>IFERROR(VLOOKUP(B463,'Share, Heavy Weapons to Ukraine'!B:J,COLUMN('Share, Heavy Weapons to Ukraine'!C472)-1,0),0)</f>
        <v>0</v>
      </c>
      <c r="AX463" s="180">
        <f>VLOOKUP('Bilateral Assistance, MAIN DATA'!B463,'Country Summary'!B:F,COLUMN('Country Summary'!C475)-1,FALSE)</f>
        <v>1</v>
      </c>
      <c r="AY463" s="180" t="str">
        <f>IF(AND(AD463=1,D463="Military",H463&lt;&gt;"Not given")=TRUE,IF(SUMIFS(P:P,A:A,A463)&gt;0,ABS((SUMIFS(P:P,A:A,A463)/VLOOKUP("USD",'Exchange Rates'!B:C,2,0)))/S463,"."),".")</f>
        <v>.</v>
      </c>
      <c r="AZ463" s="182" t="str">
        <f>IF(AND(AD463=1,D463="Military",H463&lt;&gt;"Not given")=TRUE,IF(SUMIFS(P:P,A:A,A463)&gt;0,IF((ABS((SUMIFS(P:P,A:A,A463)/VLOOKUP("USD",'Exchange Rates'!B:C,2,0)))/S463)&gt;1,(SUMIFS(P:P,A:A,A463)-S463)/S463,(S463-SUMIFS(P:P,A:A,A463))/SUMIFS(P:P,A:A,A463)),"."),".")</f>
        <v>.</v>
      </c>
      <c r="BA463" s="182"/>
      <c r="BB463" s="182"/>
      <c r="BC463" s="182"/>
      <c r="BD463" s="182"/>
      <c r="BE463" s="182"/>
      <c r="BF463" s="182"/>
      <c r="BG463" s="182"/>
      <c r="BH463" s="182"/>
      <c r="BI463" s="182"/>
      <c r="BJ463" s="182"/>
      <c r="BK463" s="182"/>
      <c r="BL463" s="182"/>
      <c r="BM463" s="182"/>
      <c r="BN463" s="182"/>
      <c r="BO463" s="182"/>
      <c r="BP463" s="182"/>
      <c r="BQ463" s="182"/>
      <c r="BR463" s="182"/>
      <c r="BS463" s="182"/>
    </row>
    <row r="464" spans="1:71" ht="15.9" customHeight="1" x14ac:dyDescent="0.3">
      <c r="A464" s="17" t="s">
        <v>1454</v>
      </c>
      <c r="B464" s="5" t="s">
        <v>1288</v>
      </c>
      <c r="C464" s="174" t="s">
        <v>1327</v>
      </c>
      <c r="D464" s="5" t="s">
        <v>285</v>
      </c>
      <c r="E464" s="5" t="s">
        <v>1328</v>
      </c>
      <c r="F464" s="1139" t="s">
        <v>1455</v>
      </c>
      <c r="G464" s="15" t="s">
        <v>364</v>
      </c>
      <c r="H464" s="176">
        <v>534000000</v>
      </c>
      <c r="I464" s="185" t="s">
        <v>1472</v>
      </c>
      <c r="J464" s="113" t="str">
        <f>VLOOKUP($I464,'Price List, Weapons &amp; Items'!B:C,2,0)</f>
        <v>Light armaments &amp; infantry</v>
      </c>
      <c r="K464" s="113" t="str">
        <f>IF(I464=".",I464,VLOOKUP($I464,'Price List, Weapons &amp; Items'!B:D,3,0))</f>
        <v>Small Arms and Light Weapons (SALW)</v>
      </c>
      <c r="L464" s="177">
        <f>VLOOKUP(I464,'Price List, Weapons &amp; Items'!B:E,4,0)</f>
        <v>0</v>
      </c>
      <c r="M464" s="542">
        <v>30</v>
      </c>
      <c r="N464" s="542">
        <v>30</v>
      </c>
      <c r="O464" s="543">
        <f>VLOOKUP($I464,'Price List, Weapons &amp; Items'!B:G,6,0)</f>
        <v>3000</v>
      </c>
      <c r="P464" s="176">
        <f t="shared" si="90"/>
        <v>90000</v>
      </c>
      <c r="Q464" s="176">
        <f t="shared" si="91"/>
        <v>90000</v>
      </c>
      <c r="R464" s="176" t="str">
        <f t="shared" si="98"/>
        <v/>
      </c>
      <c r="S464" s="176" t="str">
        <f>IF(AND(AD464=1,R464&lt;&gt;".")=TRUE,R464/VLOOKUP(G464,'Exchange Rates'!B:C,2,0),IF(R464=".",".",""))</f>
        <v/>
      </c>
      <c r="T464" s="176" t="str">
        <f>IF(AD464=1,IF(AF464="Value is not given at all",".",IF(AF464="Value is given by the source",S464,IF(AF464="Value is calculated with prices",(IF(SUMIFS(Q:Q,A:A,A464)&gt;0,SUMIFS(Q:Q,A:A,A464),"."))/VLOOKUP("USD",'Exchange Rates'!B:C,2,0),"Error with coding"))),"")</f>
        <v/>
      </c>
      <c r="U464" s="15" t="s">
        <v>261</v>
      </c>
      <c r="V464" s="567" t="s">
        <v>1293</v>
      </c>
      <c r="W464" s="567" t="s">
        <v>1462</v>
      </c>
      <c r="X464" s="685" t="s">
        <v>260</v>
      </c>
      <c r="Y464" s="685" t="s">
        <v>260</v>
      </c>
      <c r="Z464" s="15">
        <v>0</v>
      </c>
      <c r="AA464" s="180">
        <v>1</v>
      </c>
      <c r="AB464" s="570" t="s">
        <v>1473</v>
      </c>
      <c r="AC464" s="544" t="str">
        <f>""</f>
        <v/>
      </c>
      <c r="AD464" s="183">
        <v>0</v>
      </c>
      <c r="AE464" s="181" t="s">
        <v>264</v>
      </c>
      <c r="AF464" s="183" t="s">
        <v>265</v>
      </c>
      <c r="AG464" s="183">
        <v>0</v>
      </c>
      <c r="AH464" s="183">
        <v>0</v>
      </c>
      <c r="AI464" s="183">
        <v>0</v>
      </c>
      <c r="AJ464" s="181">
        <f>VLOOKUP($I464,'Price List, Weapons &amp; Items'!B:F,5,0)</f>
        <v>0</v>
      </c>
      <c r="AK464" s="181">
        <f t="shared" si="92"/>
        <v>0</v>
      </c>
      <c r="AL464" s="181">
        <f t="shared" si="93"/>
        <v>0</v>
      </c>
      <c r="AM464" s="181">
        <f t="shared" si="94"/>
        <v>0</v>
      </c>
      <c r="AN464" s="180" t="str">
        <f>VLOOKUP($I464,'Price List, Weapons &amp; Items'!B:L,COLUMN('Price List, Weapons &amp; Items'!$J$11)-1,0)</f>
        <v>Military media (incl. websites)</v>
      </c>
      <c r="AO464" s="180" t="str">
        <f>IF(I464=".",".",VLOOKUP($I464,'Price List, Weapons &amp; Items'!B:J,3,0))</f>
        <v>Small Arms and Light Weapons (SALW)</v>
      </c>
      <c r="AP464" s="545" t="str">
        <f t="shared" ca="1" si="101"/>
        <v/>
      </c>
      <c r="AQ464" s="180">
        <f>VLOOKUP($I464,'Price List, Weapons &amp; Items'!B:L,COLUMN('Price List, Weapons &amp; Items'!$L$11)-1,0)</f>
        <v>1</v>
      </c>
      <c r="AR464" s="180">
        <f t="shared" si="95"/>
        <v>1</v>
      </c>
      <c r="AS464" s="180">
        <f t="shared" si="96"/>
        <v>1</v>
      </c>
      <c r="AT464" s="180" t="str">
        <f t="shared" si="97"/>
        <v>Value is not in date format</v>
      </c>
      <c r="AU464" s="180" t="str">
        <f t="shared" si="99"/>
        <v>.</v>
      </c>
      <c r="AV464" s="180" t="str">
        <f t="shared" si="100"/>
        <v>.</v>
      </c>
      <c r="AW464" s="180">
        <f>IFERROR(VLOOKUP(B464,'Share, Heavy Weapons to Ukraine'!B:J,COLUMN('Share, Heavy Weapons to Ukraine'!C473)-1,0),0)</f>
        <v>0</v>
      </c>
      <c r="AX464" s="180">
        <f>VLOOKUP('Bilateral Assistance, MAIN DATA'!B464,'Country Summary'!B:F,COLUMN('Country Summary'!C476)-1,FALSE)</f>
        <v>1</v>
      </c>
      <c r="AY464" s="180" t="str">
        <f>IF(AND(AD464=1,D464="Military",H464&lt;&gt;"Not given")=TRUE,IF(SUMIFS(P:P,A:A,A464)&gt;0,ABS((SUMIFS(P:P,A:A,A464)/VLOOKUP("USD",'Exchange Rates'!B:C,2,0)))/S464,"."),".")</f>
        <v>.</v>
      </c>
      <c r="AZ464" s="182" t="str">
        <f>IF(AND(AD464=1,D464="Military",H464&lt;&gt;"Not given")=TRUE,IF(SUMIFS(P:P,A:A,A464)&gt;0,IF((ABS((SUMIFS(P:P,A:A,A464)/VLOOKUP("USD",'Exchange Rates'!B:C,2,0)))/S464)&gt;1,(SUMIFS(P:P,A:A,A464)-S464)/S464,(S464-SUMIFS(P:P,A:A,A464))/SUMIFS(P:P,A:A,A464)),"."),".")</f>
        <v>.</v>
      </c>
      <c r="BA464" s="182"/>
      <c r="BB464" s="182"/>
      <c r="BC464" s="182"/>
      <c r="BD464" s="182"/>
      <c r="BE464" s="182"/>
      <c r="BF464" s="182"/>
      <c r="BG464" s="182"/>
      <c r="BH464" s="182"/>
      <c r="BI464" s="182"/>
      <c r="BJ464" s="182"/>
      <c r="BK464" s="182"/>
      <c r="BL464" s="182"/>
      <c r="BM464" s="182"/>
      <c r="BN464" s="182"/>
      <c r="BO464" s="182"/>
      <c r="BP464" s="182"/>
      <c r="BQ464" s="182"/>
      <c r="BR464" s="182"/>
      <c r="BS464" s="182"/>
    </row>
    <row r="465" spans="1:71" ht="15.9" customHeight="1" x14ac:dyDescent="0.3">
      <c r="A465" s="17" t="s">
        <v>1454</v>
      </c>
      <c r="B465" s="5" t="s">
        <v>1288</v>
      </c>
      <c r="C465" s="174" t="s">
        <v>1327</v>
      </c>
      <c r="D465" s="5" t="s">
        <v>285</v>
      </c>
      <c r="E465" s="5" t="s">
        <v>1328</v>
      </c>
      <c r="F465" s="1139" t="s">
        <v>1455</v>
      </c>
      <c r="G465" s="15" t="s">
        <v>364</v>
      </c>
      <c r="H465" s="176">
        <v>534000000</v>
      </c>
      <c r="I465" s="185" t="s">
        <v>1474</v>
      </c>
      <c r="J465" s="113" t="str">
        <f>VLOOKUP($I465,'Price List, Weapons &amp; Items'!B:C,2,0)</f>
        <v>Heavy weapon</v>
      </c>
      <c r="K465" s="113" t="str">
        <f>IF(I465=".",I465,VLOOKUP($I465,'Price List, Weapons &amp; Items'!B:D,3,0))</f>
        <v>127mm MLRS</v>
      </c>
      <c r="L465" s="177">
        <f>VLOOKUP(I465,'Price List, Weapons &amp; Items'!B:E,4,0)</f>
        <v>0</v>
      </c>
      <c r="M465" s="542">
        <v>3</v>
      </c>
      <c r="N465" s="542">
        <v>3</v>
      </c>
      <c r="O465" s="543">
        <f>VLOOKUP($I465,'Price List, Weapons &amp; Items'!B:G,6,0)</f>
        <v>20783363.949999999</v>
      </c>
      <c r="P465" s="176">
        <f t="shared" si="90"/>
        <v>62350091.849999994</v>
      </c>
      <c r="Q465" s="176">
        <f t="shared" si="91"/>
        <v>62350091.849999994</v>
      </c>
      <c r="R465" s="176" t="str">
        <f t="shared" si="98"/>
        <v/>
      </c>
      <c r="S465" s="176" t="str">
        <f>IF(AND(AD465=1,R465&lt;&gt;".")=TRUE,R465/VLOOKUP(G465,'Exchange Rates'!B:C,2,0),IF(R465=".",".",""))</f>
        <v/>
      </c>
      <c r="T465" s="176" t="str">
        <f>IF(AD465=1,IF(AF465="Value is not given at all",".",IF(AF465="Value is given by the source",S465,IF(AF465="Value is calculated with prices",(IF(SUMIFS(Q:Q,A:A,A465)&gt;0,SUMIFS(Q:Q,A:A,A465),"."))/VLOOKUP("USD",'Exchange Rates'!B:C,2,0),"Error with coding"))),"")</f>
        <v/>
      </c>
      <c r="U465" s="15" t="s">
        <v>261</v>
      </c>
      <c r="V465" s="567" t="s">
        <v>1293</v>
      </c>
      <c r="W465" s="567" t="s">
        <v>1463</v>
      </c>
      <c r="X465" s="685" t="s">
        <v>260</v>
      </c>
      <c r="Y465" s="685" t="s">
        <v>260</v>
      </c>
      <c r="Z465" s="15">
        <v>0</v>
      </c>
      <c r="AA465" s="180">
        <v>1</v>
      </c>
      <c r="AB465" s="570" t="s">
        <v>1475</v>
      </c>
      <c r="AC465" s="544" t="str">
        <f>""</f>
        <v/>
      </c>
      <c r="AD465" s="183">
        <v>0</v>
      </c>
      <c r="AE465" s="181" t="s">
        <v>264</v>
      </c>
      <c r="AF465" s="183" t="s">
        <v>265</v>
      </c>
      <c r="AG465" s="183">
        <v>1</v>
      </c>
      <c r="AH465" s="183">
        <v>6</v>
      </c>
      <c r="AI465" s="183">
        <v>0</v>
      </c>
      <c r="AJ465" s="181">
        <f>VLOOKUP($I465,'Price List, Weapons &amp; Items'!B:F,5,0)</f>
        <v>1</v>
      </c>
      <c r="AK465" s="181">
        <f t="shared" si="92"/>
        <v>0</v>
      </c>
      <c r="AL465" s="181">
        <f t="shared" si="93"/>
        <v>0</v>
      </c>
      <c r="AM465" s="181">
        <f t="shared" si="94"/>
        <v>0</v>
      </c>
      <c r="AN465" s="180" t="str">
        <f>VLOOKUP($I465,'Price List, Weapons &amp; Items'!B:L,COLUMN('Price List, Weapons &amp; Items'!$J$11)-1,0)</f>
        <v>Contracts</v>
      </c>
      <c r="AO465" s="180" t="str">
        <f>IF(I465=".",".",VLOOKUP($I465,'Price List, Weapons &amp; Items'!B:J,3,0))</f>
        <v>127mm MLRS</v>
      </c>
      <c r="AP465" s="545" t="str">
        <f t="shared" ca="1" si="101"/>
        <v/>
      </c>
      <c r="AQ465" s="180">
        <f>VLOOKUP($I465,'Price List, Weapons &amp; Items'!B:L,COLUMN('Price List, Weapons &amp; Items'!$L$11)-1,0)</f>
        <v>2</v>
      </c>
      <c r="AR465" s="180">
        <f t="shared" si="95"/>
        <v>1</v>
      </c>
      <c r="AS465" s="180">
        <f t="shared" si="96"/>
        <v>1</v>
      </c>
      <c r="AT465" s="180" t="str">
        <f t="shared" si="97"/>
        <v>Value is not in date format</v>
      </c>
      <c r="AU465" s="180" t="str">
        <f t="shared" si="99"/>
        <v>.</v>
      </c>
      <c r="AV465" s="180" t="str">
        <f t="shared" si="100"/>
        <v>.</v>
      </c>
      <c r="AW465" s="180">
        <f>IFERROR(VLOOKUP(B465,'Share, Heavy Weapons to Ukraine'!B:J,COLUMN('Share, Heavy Weapons to Ukraine'!C474)-1,0),0)</f>
        <v>0</v>
      </c>
      <c r="AX465" s="180">
        <f>VLOOKUP('Bilateral Assistance, MAIN DATA'!B465,'Country Summary'!B:F,COLUMN('Country Summary'!C477)-1,FALSE)</f>
        <v>1</v>
      </c>
      <c r="AY465" s="180" t="str">
        <f>IF(AND(AD465=1,D465="Military",H465&lt;&gt;"Not given")=TRUE,IF(SUMIFS(P:P,A:A,A465)&gt;0,ABS((SUMIFS(P:P,A:A,A465)/VLOOKUP("USD",'Exchange Rates'!B:C,2,0)))/S465,"."),".")</f>
        <v>.</v>
      </c>
      <c r="AZ465" s="182" t="str">
        <f>IF(AND(AD465=1,D465="Military",H465&lt;&gt;"Not given")=TRUE,IF(SUMIFS(P:P,A:A,A465)&gt;0,IF((ABS((SUMIFS(P:P,A:A,A465)/VLOOKUP("USD",'Exchange Rates'!B:C,2,0)))/S465)&gt;1,(SUMIFS(P:P,A:A,A465)-S465)/S465,(S465-SUMIFS(P:P,A:A,A465))/SUMIFS(P:P,A:A,A465)),"."),".")</f>
        <v>.</v>
      </c>
      <c r="BA465" s="182"/>
      <c r="BB465" s="182"/>
      <c r="BC465" s="182"/>
      <c r="BD465" s="182"/>
      <c r="BE465" s="182"/>
      <c r="BF465" s="182"/>
      <c r="BG465" s="182"/>
      <c r="BH465" s="182"/>
      <c r="BI465" s="182"/>
      <c r="BJ465" s="182"/>
      <c r="BK465" s="182"/>
      <c r="BL465" s="182"/>
      <c r="BM465" s="182"/>
      <c r="BN465" s="182"/>
      <c r="BO465" s="182"/>
      <c r="BP465" s="182"/>
      <c r="BQ465" s="182"/>
      <c r="BR465" s="182"/>
      <c r="BS465" s="182"/>
    </row>
    <row r="466" spans="1:71" ht="15.9" customHeight="1" x14ac:dyDescent="0.3">
      <c r="A466" s="17" t="s">
        <v>1454</v>
      </c>
      <c r="B466" s="5" t="s">
        <v>1288</v>
      </c>
      <c r="C466" s="174" t="s">
        <v>1327</v>
      </c>
      <c r="D466" s="5" t="s">
        <v>285</v>
      </c>
      <c r="E466" s="5" t="s">
        <v>1328</v>
      </c>
      <c r="F466" s="1139" t="s">
        <v>1455</v>
      </c>
      <c r="G466" s="15" t="s">
        <v>364</v>
      </c>
      <c r="H466" s="176">
        <v>534000000</v>
      </c>
      <c r="I466" s="185" t="s">
        <v>1474</v>
      </c>
      <c r="J466" s="113" t="str">
        <f>VLOOKUP($I466,'Price List, Weapons &amp; Items'!B:C,2,0)</f>
        <v>Heavy weapon</v>
      </c>
      <c r="K466" s="113" t="str">
        <f>IF(I466=".",I466,VLOOKUP($I466,'Price List, Weapons &amp; Items'!B:D,3,0))</f>
        <v>127mm MLRS</v>
      </c>
      <c r="L466" s="177">
        <f>VLOOKUP(I466,'Price List, Weapons &amp; Items'!B:E,4,0)</f>
        <v>0</v>
      </c>
      <c r="M466" s="542">
        <v>2</v>
      </c>
      <c r="N466" s="542">
        <v>2</v>
      </c>
      <c r="O466" s="543">
        <f>VLOOKUP($I466,'Price List, Weapons &amp; Items'!B:G,6,0)</f>
        <v>20783363.949999999</v>
      </c>
      <c r="P466" s="176">
        <f t="shared" si="90"/>
        <v>41566727.899999999</v>
      </c>
      <c r="Q466" s="176">
        <f t="shared" si="91"/>
        <v>41566727.899999999</v>
      </c>
      <c r="R466" s="176" t="str">
        <f t="shared" si="98"/>
        <v/>
      </c>
      <c r="S466" s="176" t="str">
        <f>IF(AND(AD466=1,R466&lt;&gt;".")=TRUE,R466/VLOOKUP(G466,'Exchange Rates'!B:C,2,0),IF(R466=".",".",""))</f>
        <v/>
      </c>
      <c r="T466" s="176" t="str">
        <f>IF(AD466=1,IF(AF466="Value is not given at all",".",IF(AF466="Value is given by the source",S466,IF(AF466="Value is calculated with prices",(IF(SUMIFS(Q:Q,A:A,A466)&gt;0,SUMIFS(Q:Q,A:A,A466),"."))/VLOOKUP("USD",'Exchange Rates'!B:C,2,0),"Error with coding"))),"")</f>
        <v/>
      </c>
      <c r="U466" s="15" t="s">
        <v>261</v>
      </c>
      <c r="V466" s="567" t="s">
        <v>1293</v>
      </c>
      <c r="W466" s="567" t="s">
        <v>1466</v>
      </c>
      <c r="X466" s="685" t="s">
        <v>260</v>
      </c>
      <c r="Y466" s="685" t="s">
        <v>260</v>
      </c>
      <c r="Z466" s="15">
        <v>0</v>
      </c>
      <c r="AA466" s="180">
        <v>1</v>
      </c>
      <c r="AB466" s="570" t="s">
        <v>1476</v>
      </c>
      <c r="AC466" s="544" t="str">
        <f>""</f>
        <v/>
      </c>
      <c r="AD466" s="183">
        <v>0</v>
      </c>
      <c r="AE466" s="181" t="s">
        <v>264</v>
      </c>
      <c r="AF466" s="183" t="s">
        <v>265</v>
      </c>
      <c r="AG466" s="183">
        <v>1</v>
      </c>
      <c r="AH466" s="183">
        <v>9</v>
      </c>
      <c r="AI466" s="183">
        <v>0</v>
      </c>
      <c r="AJ466" s="181">
        <f>VLOOKUP($I466,'Price List, Weapons &amp; Items'!B:F,5,0)</f>
        <v>1</v>
      </c>
      <c r="AK466" s="181">
        <f t="shared" si="92"/>
        <v>0</v>
      </c>
      <c r="AL466" s="181">
        <f t="shared" si="93"/>
        <v>0</v>
      </c>
      <c r="AM466" s="181">
        <f t="shared" si="94"/>
        <v>0</v>
      </c>
      <c r="AN466" s="180" t="str">
        <f>VLOOKUP($I466,'Price List, Weapons &amp; Items'!B:L,COLUMN('Price List, Weapons &amp; Items'!$J$11)-1,0)</f>
        <v>Contracts</v>
      </c>
      <c r="AO466" s="180" t="str">
        <f>IF(I466=".",".",VLOOKUP($I466,'Price List, Weapons &amp; Items'!B:J,3,0))</f>
        <v>127mm MLRS</v>
      </c>
      <c r="AP466" s="545" t="str">
        <f t="shared" ca="1" si="101"/>
        <v/>
      </c>
      <c r="AQ466" s="180">
        <f>VLOOKUP($I466,'Price List, Weapons &amp; Items'!B:L,COLUMN('Price List, Weapons &amp; Items'!$L$11)-1,0)</f>
        <v>2</v>
      </c>
      <c r="AR466" s="180">
        <f t="shared" si="95"/>
        <v>1</v>
      </c>
      <c r="AS466" s="180">
        <f t="shared" si="96"/>
        <v>1</v>
      </c>
      <c r="AT466" s="180" t="str">
        <f t="shared" si="97"/>
        <v>Value is not in date format</v>
      </c>
      <c r="AU466" s="180" t="str">
        <f t="shared" si="99"/>
        <v>.</v>
      </c>
      <c r="AV466" s="180" t="str">
        <f t="shared" si="100"/>
        <v>.</v>
      </c>
      <c r="AW466" s="180">
        <f>IFERROR(VLOOKUP(B466,'Share, Heavy Weapons to Ukraine'!B:J,COLUMN('Share, Heavy Weapons to Ukraine'!C475)-1,0),0)</f>
        <v>0</v>
      </c>
      <c r="AX466" s="180">
        <f>VLOOKUP('Bilateral Assistance, MAIN DATA'!B466,'Country Summary'!B:F,COLUMN('Country Summary'!C478)-1,FALSE)</f>
        <v>1</v>
      </c>
      <c r="AY466" s="180" t="str">
        <f>IF(AND(AD466=1,D466="Military",H466&lt;&gt;"Not given")=TRUE,IF(SUMIFS(P:P,A:A,A466)&gt;0,ABS((SUMIFS(P:P,A:A,A466)/VLOOKUP("USD",'Exchange Rates'!B:C,2,0)))/S466,"."),".")</f>
        <v>.</v>
      </c>
      <c r="AZ466" s="182" t="str">
        <f>IF(AND(AD466=1,D466="Military",H466&lt;&gt;"Not given")=TRUE,IF(SUMIFS(P:P,A:A,A466)&gt;0,IF((ABS((SUMIFS(P:P,A:A,A466)/VLOOKUP("USD",'Exchange Rates'!B:C,2,0)))/S466)&gt;1,(SUMIFS(P:P,A:A,A466)-S466)/S466,(S466-SUMIFS(P:P,A:A,A466))/SUMIFS(P:P,A:A,A466)),"."),".")</f>
        <v>.</v>
      </c>
      <c r="BA466" s="182"/>
      <c r="BB466" s="182"/>
      <c r="BC466" s="182"/>
      <c r="BD466" s="182"/>
      <c r="BE466" s="182"/>
      <c r="BF466" s="182"/>
      <c r="BG466" s="182"/>
      <c r="BH466" s="182"/>
      <c r="BI466" s="182"/>
      <c r="BJ466" s="182"/>
      <c r="BK466" s="182"/>
      <c r="BL466" s="182"/>
      <c r="BM466" s="182"/>
      <c r="BN466" s="182"/>
      <c r="BO466" s="182"/>
      <c r="BP466" s="182"/>
      <c r="BQ466" s="182"/>
      <c r="BR466" s="182"/>
      <c r="BS466" s="182"/>
    </row>
    <row r="467" spans="1:71" ht="15.9" customHeight="1" x14ac:dyDescent="0.3">
      <c r="A467" s="17" t="s">
        <v>1454</v>
      </c>
      <c r="B467" s="5" t="s">
        <v>1288</v>
      </c>
      <c r="C467" s="174" t="s">
        <v>1327</v>
      </c>
      <c r="D467" s="5" t="s">
        <v>285</v>
      </c>
      <c r="E467" s="5" t="s">
        <v>1328</v>
      </c>
      <c r="F467" s="1139" t="s">
        <v>1455</v>
      </c>
      <c r="G467" s="15" t="s">
        <v>364</v>
      </c>
      <c r="H467" s="176">
        <v>534000000</v>
      </c>
      <c r="I467" s="185" t="s">
        <v>1477</v>
      </c>
      <c r="J467" s="113" t="str">
        <f>VLOOKUP($I467,'Price List, Weapons &amp; Items'!B:C,2,0)</f>
        <v>Heavy weapon</v>
      </c>
      <c r="K467" s="113" t="str">
        <f>IF(I467=".",I467,VLOOKUP($I467,'Price List, Weapons &amp; Items'!B:D,3,0))</f>
        <v>155mm howitzer</v>
      </c>
      <c r="L467" s="177">
        <f>VLOOKUP(I467,'Price List, Weapons &amp; Items'!B:E,4,0)</f>
        <v>0</v>
      </c>
      <c r="M467" s="542">
        <v>7</v>
      </c>
      <c r="N467" s="542">
        <v>7</v>
      </c>
      <c r="O467" s="543">
        <f>VLOOKUP($I467,'Price List, Weapons &amp; Items'!B:G,6,0)</f>
        <v>13778907.188501142</v>
      </c>
      <c r="P467" s="176">
        <f t="shared" si="90"/>
        <v>96452350.319507986</v>
      </c>
      <c r="Q467" s="176">
        <f t="shared" si="91"/>
        <v>96452350.319507986</v>
      </c>
      <c r="R467" s="176" t="str">
        <f t="shared" si="98"/>
        <v/>
      </c>
      <c r="S467" s="176" t="str">
        <f>IF(AND(AD467=1,R467&lt;&gt;".")=TRUE,R467/VLOOKUP(G467,'Exchange Rates'!B:C,2,0),IF(R467=".",".",""))</f>
        <v/>
      </c>
      <c r="T467" s="176" t="str">
        <f>IF(AD467=1,IF(AF467="Value is not given at all",".",IF(AF467="Value is given by the source",S467,IF(AF467="Value is calculated with prices",(IF(SUMIFS(Q:Q,A:A,A467)&gt;0,SUMIFS(Q:Q,A:A,A467),"."))/VLOOKUP("USD",'Exchange Rates'!B:C,2,0),"Error with coding"))),"")</f>
        <v/>
      </c>
      <c r="U467" s="15" t="s">
        <v>261</v>
      </c>
      <c r="V467" s="567" t="s">
        <v>1293</v>
      </c>
      <c r="W467" s="567" t="s">
        <v>1478</v>
      </c>
      <c r="X467" s="685" t="s">
        <v>260</v>
      </c>
      <c r="Y467" s="685" t="s">
        <v>260</v>
      </c>
      <c r="Z467" s="15">
        <v>0</v>
      </c>
      <c r="AA467" s="180">
        <v>1</v>
      </c>
      <c r="AB467" s="570" t="s">
        <v>1479</v>
      </c>
      <c r="AC467" s="544" t="str">
        <f>""</f>
        <v/>
      </c>
      <c r="AD467" s="183">
        <v>0</v>
      </c>
      <c r="AE467" s="181" t="s">
        <v>264</v>
      </c>
      <c r="AF467" s="183" t="s">
        <v>265</v>
      </c>
      <c r="AG467" s="183">
        <v>1</v>
      </c>
      <c r="AH467" s="183">
        <v>4</v>
      </c>
      <c r="AI467" s="183">
        <v>0</v>
      </c>
      <c r="AJ467" s="181">
        <f>VLOOKUP($I467,'Price List, Weapons &amp; Items'!B:F,5,0)</f>
        <v>1</v>
      </c>
      <c r="AK467" s="181">
        <f t="shared" si="92"/>
        <v>0</v>
      </c>
      <c r="AL467" s="181">
        <f t="shared" si="93"/>
        <v>0</v>
      </c>
      <c r="AM467" s="181">
        <f t="shared" si="94"/>
        <v>0</v>
      </c>
      <c r="AN467" s="180" t="str">
        <f>VLOOKUP($I467,'Price List, Weapons &amp; Items'!B:L,COLUMN('Price List, Weapons &amp; Items'!$J$11)-1,0)</f>
        <v>Contracts</v>
      </c>
      <c r="AO467" s="180" t="str">
        <f>IF(I467=".",".",VLOOKUP($I467,'Price List, Weapons &amp; Items'!B:J,3,0))</f>
        <v>155mm howitzer</v>
      </c>
      <c r="AP467" s="545" t="str">
        <f t="shared" ca="1" si="101"/>
        <v/>
      </c>
      <c r="AQ467" s="180">
        <f>VLOOKUP($I467,'Price List, Weapons &amp; Items'!B:L,COLUMN('Price List, Weapons &amp; Items'!$L$11)-1,0)</f>
        <v>2</v>
      </c>
      <c r="AR467" s="180">
        <f t="shared" si="95"/>
        <v>1</v>
      </c>
      <c r="AS467" s="180">
        <f t="shared" si="96"/>
        <v>1</v>
      </c>
      <c r="AT467" s="180" t="str">
        <f t="shared" si="97"/>
        <v>Value is not in date format</v>
      </c>
      <c r="AU467" s="180" t="str">
        <f t="shared" si="99"/>
        <v>.</v>
      </c>
      <c r="AV467" s="180" t="str">
        <f t="shared" si="100"/>
        <v>.</v>
      </c>
      <c r="AW467" s="180">
        <f>IFERROR(VLOOKUP(B467,'Share, Heavy Weapons to Ukraine'!B:J,COLUMN('Share, Heavy Weapons to Ukraine'!C476)-1,0),0)</f>
        <v>0</v>
      </c>
      <c r="AX467" s="180">
        <f>VLOOKUP('Bilateral Assistance, MAIN DATA'!B467,'Country Summary'!B:F,COLUMN('Country Summary'!C479)-1,FALSE)</f>
        <v>1</v>
      </c>
      <c r="AY467" s="180" t="str">
        <f>IF(AND(AD467=1,D467="Military",H467&lt;&gt;"Not given")=TRUE,IF(SUMIFS(P:P,A:A,A467)&gt;0,ABS((SUMIFS(P:P,A:A,A467)/VLOOKUP("USD",'Exchange Rates'!B:C,2,0)))/S467,"."),".")</f>
        <v>.</v>
      </c>
      <c r="AZ467" s="182" t="str">
        <f>IF(AND(AD467=1,D467="Military",H467&lt;&gt;"Not given")=TRUE,IF(SUMIFS(P:P,A:A,A467)&gt;0,IF((ABS((SUMIFS(P:P,A:A,A467)/VLOOKUP("USD",'Exchange Rates'!B:C,2,0)))/S467)&gt;1,(SUMIFS(P:P,A:A,A467)-S467)/S467,(S467-SUMIFS(P:P,A:A,A467))/SUMIFS(P:P,A:A,A467)),"."),".")</f>
        <v>.</v>
      </c>
      <c r="BA467" s="182"/>
      <c r="BB467" s="182"/>
      <c r="BC467" s="182"/>
      <c r="BD467" s="182"/>
      <c r="BE467" s="182"/>
      <c r="BF467" s="182"/>
      <c r="BG467" s="182"/>
      <c r="BH467" s="182"/>
      <c r="BI467" s="182"/>
      <c r="BJ467" s="182"/>
      <c r="BK467" s="182"/>
      <c r="BL467" s="182"/>
      <c r="BM467" s="182"/>
      <c r="BN467" s="182"/>
      <c r="BO467" s="182"/>
      <c r="BP467" s="182"/>
      <c r="BQ467" s="182"/>
      <c r="BR467" s="182"/>
      <c r="BS467" s="182"/>
    </row>
    <row r="468" spans="1:71" ht="15.9" customHeight="1" x14ac:dyDescent="0.3">
      <c r="A468" s="17" t="s">
        <v>1454</v>
      </c>
      <c r="B468" s="5" t="s">
        <v>1288</v>
      </c>
      <c r="C468" s="174" t="s">
        <v>1327</v>
      </c>
      <c r="D468" s="5" t="s">
        <v>285</v>
      </c>
      <c r="E468" s="5" t="s">
        <v>1328</v>
      </c>
      <c r="F468" s="1139" t="s">
        <v>1455</v>
      </c>
      <c r="G468" s="15" t="s">
        <v>364</v>
      </c>
      <c r="H468" s="176">
        <v>534000000</v>
      </c>
      <c r="I468" s="185" t="s">
        <v>1477</v>
      </c>
      <c r="J468" s="113" t="str">
        <f>VLOOKUP($I468,'Price List, Weapons &amp; Items'!B:C,2,0)</f>
        <v>Heavy weapon</v>
      </c>
      <c r="K468" s="113" t="str">
        <f>IF(I468=".",I468,VLOOKUP($I468,'Price List, Weapons &amp; Items'!B:D,3,0))</f>
        <v>155mm howitzer</v>
      </c>
      <c r="L468" s="177">
        <f>VLOOKUP(I468,'Price List, Weapons &amp; Items'!B:E,4,0)</f>
        <v>0</v>
      </c>
      <c r="M468" s="542">
        <v>3</v>
      </c>
      <c r="N468" s="542">
        <v>3</v>
      </c>
      <c r="O468" s="543">
        <f>VLOOKUP($I468,'Price List, Weapons &amp; Items'!B:G,6,0)</f>
        <v>13778907.188501142</v>
      </c>
      <c r="P468" s="176">
        <f t="shared" si="90"/>
        <v>41336721.565503426</v>
      </c>
      <c r="Q468" s="176">
        <f t="shared" si="91"/>
        <v>41336721.565503426</v>
      </c>
      <c r="R468" s="176" t="str">
        <f t="shared" si="98"/>
        <v/>
      </c>
      <c r="S468" s="176" t="str">
        <f>IF(AND(AD468=1,R468&lt;&gt;".")=TRUE,R468/VLOOKUP(G468,'Exchange Rates'!B:C,2,0),IF(R468=".",".",""))</f>
        <v/>
      </c>
      <c r="T468" s="176" t="str">
        <f>IF(AD468=1,IF(AF468="Value is not given at all",".",IF(AF468="Value is given by the source",S468,IF(AF468="Value is calculated with prices",(IF(SUMIFS(Q:Q,A:A,A468)&gt;0,SUMIFS(Q:Q,A:A,A468),"."))/VLOOKUP("USD",'Exchange Rates'!B:C,2,0),"Error with coding"))),"")</f>
        <v/>
      </c>
      <c r="U468" s="15" t="s">
        <v>261</v>
      </c>
      <c r="V468" s="567" t="s">
        <v>1293</v>
      </c>
      <c r="W468" s="567" t="s">
        <v>1467</v>
      </c>
      <c r="X468" s="685" t="s">
        <v>260</v>
      </c>
      <c r="Y468" s="685" t="s">
        <v>260</v>
      </c>
      <c r="Z468" s="15">
        <v>0</v>
      </c>
      <c r="AA468" s="180">
        <v>1</v>
      </c>
      <c r="AB468" s="570" t="s">
        <v>1480</v>
      </c>
      <c r="AC468" s="544" t="str">
        <f>""</f>
        <v/>
      </c>
      <c r="AD468" s="183">
        <v>0</v>
      </c>
      <c r="AE468" s="181" t="s">
        <v>264</v>
      </c>
      <c r="AF468" s="183" t="s">
        <v>265</v>
      </c>
      <c r="AG468" s="183">
        <v>1</v>
      </c>
      <c r="AH468" s="183">
        <v>7</v>
      </c>
      <c r="AI468" s="183">
        <v>7</v>
      </c>
      <c r="AJ468" s="181">
        <f>VLOOKUP($I468,'Price List, Weapons &amp; Items'!B:F,5,0)</f>
        <v>1</v>
      </c>
      <c r="AK468" s="181">
        <f t="shared" si="92"/>
        <v>0</v>
      </c>
      <c r="AL468" s="181">
        <f t="shared" si="93"/>
        <v>0</v>
      </c>
      <c r="AM468" s="181">
        <f t="shared" si="94"/>
        <v>0</v>
      </c>
      <c r="AN468" s="180" t="str">
        <f>VLOOKUP($I468,'Price List, Weapons &amp; Items'!B:L,COLUMN('Price List, Weapons &amp; Items'!$J$11)-1,0)</f>
        <v>Contracts</v>
      </c>
      <c r="AO468" s="180" t="str">
        <f>IF(I468=".",".",VLOOKUP($I468,'Price List, Weapons &amp; Items'!B:J,3,0))</f>
        <v>155mm howitzer</v>
      </c>
      <c r="AP468" s="545" t="str">
        <f t="shared" ca="1" si="101"/>
        <v/>
      </c>
      <c r="AQ468" s="180">
        <f>VLOOKUP($I468,'Price List, Weapons &amp; Items'!B:L,COLUMN('Price List, Weapons &amp; Items'!$L$11)-1,0)</f>
        <v>2</v>
      </c>
      <c r="AR468" s="180">
        <f t="shared" si="95"/>
        <v>1</v>
      </c>
      <c r="AS468" s="180">
        <f t="shared" si="96"/>
        <v>1</v>
      </c>
      <c r="AT468" s="180" t="str">
        <f t="shared" si="97"/>
        <v>Value is not in date format</v>
      </c>
      <c r="AU468" s="180" t="str">
        <f t="shared" si="99"/>
        <v>.</v>
      </c>
      <c r="AV468" s="180" t="str">
        <f t="shared" si="100"/>
        <v>.</v>
      </c>
      <c r="AW468" s="180">
        <f>IFERROR(VLOOKUP(B468,'Share, Heavy Weapons to Ukraine'!B:J,COLUMN('Share, Heavy Weapons to Ukraine'!C477)-1,0),0)</f>
        <v>0</v>
      </c>
      <c r="AX468" s="180">
        <f>VLOOKUP('Bilateral Assistance, MAIN DATA'!B468,'Country Summary'!B:F,COLUMN('Country Summary'!C480)-1,FALSE)</f>
        <v>1</v>
      </c>
      <c r="AY468" s="180" t="str">
        <f>IF(AND(AD468=1,D468="Military",H468&lt;&gt;"Not given")=TRUE,IF(SUMIFS(P:P,A:A,A468)&gt;0,ABS((SUMIFS(P:P,A:A,A468)/VLOOKUP("USD",'Exchange Rates'!B:C,2,0)))/S468,"."),".")</f>
        <v>.</v>
      </c>
      <c r="AZ468" s="182" t="str">
        <f>IF(AND(AD468=1,D468="Military",H468&lt;&gt;"Not given")=TRUE,IF(SUMIFS(P:P,A:A,A468)&gt;0,IF((ABS((SUMIFS(P:P,A:A,A468)/VLOOKUP("USD",'Exchange Rates'!B:C,2,0)))/S468)&gt;1,(SUMIFS(P:P,A:A,A468)-S468)/S468,(S468-SUMIFS(P:P,A:A,A468))/SUMIFS(P:P,A:A,A468)),"."),".")</f>
        <v>.</v>
      </c>
      <c r="BA468" s="182"/>
      <c r="BB468" s="182"/>
      <c r="BC468" s="182"/>
      <c r="BD468" s="182"/>
      <c r="BE468" s="182"/>
      <c r="BF468" s="182"/>
      <c r="BG468" s="182"/>
      <c r="BH468" s="182"/>
      <c r="BI468" s="182"/>
      <c r="BJ468" s="182"/>
      <c r="BK468" s="182"/>
      <c r="BL468" s="182"/>
      <c r="BM468" s="182"/>
      <c r="BN468" s="182"/>
      <c r="BO468" s="182"/>
      <c r="BP468" s="182"/>
      <c r="BQ468" s="182"/>
      <c r="BR468" s="182"/>
      <c r="BS468" s="182"/>
    </row>
    <row r="469" spans="1:71" ht="15.9" customHeight="1" x14ac:dyDescent="0.3">
      <c r="A469" s="17" t="s">
        <v>1454</v>
      </c>
      <c r="B469" s="5" t="s">
        <v>1288</v>
      </c>
      <c r="C469" s="174" t="s">
        <v>1327</v>
      </c>
      <c r="D469" s="5" t="s">
        <v>285</v>
      </c>
      <c r="E469" s="5" t="s">
        <v>1328</v>
      </c>
      <c r="F469" s="1139" t="s">
        <v>1455</v>
      </c>
      <c r="G469" s="15" t="s">
        <v>364</v>
      </c>
      <c r="H469" s="176">
        <v>534000000</v>
      </c>
      <c r="I469" s="185" t="s">
        <v>1477</v>
      </c>
      <c r="J469" s="113" t="str">
        <f>VLOOKUP($I469,'Price List, Weapons &amp; Items'!B:C,2,0)</f>
        <v>Heavy weapon</v>
      </c>
      <c r="K469" s="113" t="str">
        <f>IF(I469=".",I469,VLOOKUP($I469,'Price List, Weapons &amp; Items'!B:D,3,0))</f>
        <v>155mm howitzer</v>
      </c>
      <c r="L469" s="177">
        <f>VLOOKUP(I469,'Price List, Weapons &amp; Items'!B:E,4,0)</f>
        <v>0</v>
      </c>
      <c r="M469" s="542">
        <v>4</v>
      </c>
      <c r="N469" s="542">
        <v>4</v>
      </c>
      <c r="O469" s="543">
        <f>VLOOKUP($I469,'Price List, Weapons &amp; Items'!B:G,6,0)</f>
        <v>13778907.188501142</v>
      </c>
      <c r="P469" s="176">
        <f t="shared" si="90"/>
        <v>55115628.754004568</v>
      </c>
      <c r="Q469" s="176">
        <f t="shared" si="91"/>
        <v>55115628.754004568</v>
      </c>
      <c r="R469" s="176" t="str">
        <f t="shared" si="98"/>
        <v/>
      </c>
      <c r="S469" s="176" t="str">
        <f>IF(AND(AD469=1,R469&lt;&gt;".")=TRUE,R469/VLOOKUP(G469,'Exchange Rates'!B:C,2,0),IF(R469=".",".",""))</f>
        <v/>
      </c>
      <c r="T469" s="176" t="str">
        <f>IF(AD469=1,IF(AF469="Value is not given at all",".",IF(AF469="Value is given by the source",S469,IF(AF469="Value is calculated with prices",(IF(SUMIFS(Q:Q,A:A,A469)&gt;0,SUMIFS(Q:Q,A:A,A469),"."))/VLOOKUP("USD",'Exchange Rates'!B:C,2,0),"Error with coding"))),"")</f>
        <v/>
      </c>
      <c r="U469" s="15" t="s">
        <v>261</v>
      </c>
      <c r="V469" s="567" t="s">
        <v>1293</v>
      </c>
      <c r="W469" s="567" t="s">
        <v>1469</v>
      </c>
      <c r="X469" s="685" t="s">
        <v>260</v>
      </c>
      <c r="Y469" s="685" t="s">
        <v>260</v>
      </c>
      <c r="Z469" s="15">
        <v>0</v>
      </c>
      <c r="AA469" s="180">
        <v>1</v>
      </c>
      <c r="AB469" s="570" t="s">
        <v>1481</v>
      </c>
      <c r="AC469" s="544" t="str">
        <f>""</f>
        <v/>
      </c>
      <c r="AD469" s="183">
        <v>0</v>
      </c>
      <c r="AE469" s="181" t="s">
        <v>264</v>
      </c>
      <c r="AF469" s="183" t="s">
        <v>265</v>
      </c>
      <c r="AG469" s="183">
        <v>1</v>
      </c>
      <c r="AH469" s="183">
        <v>9</v>
      </c>
      <c r="AI469" s="183">
        <v>9</v>
      </c>
      <c r="AJ469" s="181">
        <f>VLOOKUP($I469,'Price List, Weapons &amp; Items'!B:F,5,0)</f>
        <v>1</v>
      </c>
      <c r="AK469" s="181">
        <f t="shared" si="92"/>
        <v>0</v>
      </c>
      <c r="AL469" s="181">
        <f t="shared" si="93"/>
        <v>0</v>
      </c>
      <c r="AM469" s="181">
        <f t="shared" si="94"/>
        <v>0</v>
      </c>
      <c r="AN469" s="180" t="str">
        <f>VLOOKUP($I469,'Price List, Weapons &amp; Items'!B:L,COLUMN('Price List, Weapons &amp; Items'!$J$11)-1,0)</f>
        <v>Contracts</v>
      </c>
      <c r="AO469" s="180" t="str">
        <f>IF(I469=".",".",VLOOKUP($I469,'Price List, Weapons &amp; Items'!B:J,3,0))</f>
        <v>155mm howitzer</v>
      </c>
      <c r="AP469" s="545" t="str">
        <f t="shared" ca="1" si="101"/>
        <v/>
      </c>
      <c r="AQ469" s="180">
        <f>VLOOKUP($I469,'Price List, Weapons &amp; Items'!B:L,COLUMN('Price List, Weapons &amp; Items'!$L$11)-1,0)</f>
        <v>2</v>
      </c>
      <c r="AR469" s="180">
        <f t="shared" si="95"/>
        <v>1</v>
      </c>
      <c r="AS469" s="180">
        <f t="shared" si="96"/>
        <v>1</v>
      </c>
      <c r="AT469" s="180" t="str">
        <f t="shared" si="97"/>
        <v>Value is not in date format</v>
      </c>
      <c r="AU469" s="180" t="str">
        <f t="shared" si="99"/>
        <v>.</v>
      </c>
      <c r="AV469" s="180" t="str">
        <f t="shared" si="100"/>
        <v>.</v>
      </c>
      <c r="AW469" s="180">
        <f>IFERROR(VLOOKUP(B469,'Share, Heavy Weapons to Ukraine'!B:J,COLUMN('Share, Heavy Weapons to Ukraine'!C478)-1,0),0)</f>
        <v>0</v>
      </c>
      <c r="AX469" s="180">
        <f>VLOOKUP('Bilateral Assistance, MAIN DATA'!B469,'Country Summary'!B:F,COLUMN('Country Summary'!C481)-1,FALSE)</f>
        <v>1</v>
      </c>
      <c r="AY469" s="180" t="str">
        <f>IF(AND(AD469=1,D469="Military",H469&lt;&gt;"Not given")=TRUE,IF(SUMIFS(P:P,A:A,A469)&gt;0,ABS((SUMIFS(P:P,A:A,A469)/VLOOKUP("USD",'Exchange Rates'!B:C,2,0)))/S469,"."),".")</f>
        <v>.</v>
      </c>
      <c r="AZ469" s="182" t="str">
        <f>IF(AND(AD469=1,D469="Military",H469&lt;&gt;"Not given")=TRUE,IF(SUMIFS(P:P,A:A,A469)&gt;0,IF((ABS((SUMIFS(P:P,A:A,A469)/VLOOKUP("USD",'Exchange Rates'!B:C,2,0)))/S469)&gt;1,(SUMIFS(P:P,A:A,A469)-S469)/S469,(S469-SUMIFS(P:P,A:A,A469))/SUMIFS(P:P,A:A,A469)),"."),".")</f>
        <v>.</v>
      </c>
      <c r="BA469" s="182"/>
      <c r="BB469" s="182"/>
      <c r="BC469" s="182"/>
      <c r="BD469" s="182"/>
      <c r="BE469" s="182"/>
      <c r="BF469" s="182"/>
      <c r="BG469" s="182"/>
      <c r="BH469" s="182"/>
      <c r="BI469" s="182"/>
      <c r="BJ469" s="182"/>
      <c r="BK469" s="182"/>
      <c r="BL469" s="182"/>
      <c r="BM469" s="182"/>
      <c r="BN469" s="182"/>
      <c r="BO469" s="182"/>
      <c r="BP469" s="182"/>
      <c r="BQ469" s="182"/>
      <c r="BR469" s="182"/>
      <c r="BS469" s="182"/>
    </row>
    <row r="470" spans="1:71" ht="15.9" customHeight="1" x14ac:dyDescent="0.3">
      <c r="A470" s="17" t="s">
        <v>1454</v>
      </c>
      <c r="B470" s="5" t="s">
        <v>1288</v>
      </c>
      <c r="C470" s="174" t="s">
        <v>1327</v>
      </c>
      <c r="D470" s="5" t="s">
        <v>285</v>
      </c>
      <c r="E470" s="5" t="s">
        <v>1328</v>
      </c>
      <c r="F470" s="1139" t="s">
        <v>1455</v>
      </c>
      <c r="G470" s="15" t="s">
        <v>364</v>
      </c>
      <c r="H470" s="176">
        <v>534000000</v>
      </c>
      <c r="I470" s="185" t="s">
        <v>1482</v>
      </c>
      <c r="J470" s="113" t="str">
        <f>VLOOKUP($I470,'Price List, Weapons &amp; Items'!B:C,2,0)</f>
        <v>Military equipment</v>
      </c>
      <c r="K470" s="113" t="str">
        <f>IF(I470=".",I470,VLOOKUP($I470,'Price List, Weapons &amp; Items'!B:D,3,0))</f>
        <v>Military equipment</v>
      </c>
      <c r="L470" s="177">
        <f>VLOOKUP(I470,'Price List, Weapons &amp; Items'!B:E,4,0)</f>
        <v>0</v>
      </c>
      <c r="M470" s="542">
        <v>200</v>
      </c>
      <c r="N470" s="542">
        <v>200</v>
      </c>
      <c r="O470" s="543">
        <f>VLOOKUP($I470,'Price List, Weapons &amp; Items'!B:G,6,0)</f>
        <v>70</v>
      </c>
      <c r="P470" s="176">
        <f t="shared" si="90"/>
        <v>14000</v>
      </c>
      <c r="Q470" s="176">
        <f t="shared" si="91"/>
        <v>14000</v>
      </c>
      <c r="R470" s="176" t="str">
        <f t="shared" si="98"/>
        <v/>
      </c>
      <c r="S470" s="176" t="str">
        <f>IF(AND(AD470=1,R470&lt;&gt;".")=TRUE,R470/VLOOKUP(G470,'Exchange Rates'!B:C,2,0),IF(R470=".",".",""))</f>
        <v/>
      </c>
      <c r="T470" s="176" t="str">
        <f>IF(AD470=1,IF(AF470="Value is not given at all",".",IF(AF470="Value is given by the source",S470,IF(AF470="Value is calculated with prices",(IF(SUMIFS(Q:Q,A:A,A470)&gt;0,SUMIFS(Q:Q,A:A,A470),"."))/VLOOKUP("USD",'Exchange Rates'!B:C,2,0),"Error with coding"))),"")</f>
        <v/>
      </c>
      <c r="U470" s="15" t="s">
        <v>261</v>
      </c>
      <c r="V470" s="567" t="s">
        <v>1293</v>
      </c>
      <c r="W470" s="567" t="s">
        <v>1473</v>
      </c>
      <c r="X470" s="685" t="s">
        <v>260</v>
      </c>
      <c r="Y470" s="685" t="s">
        <v>260</v>
      </c>
      <c r="Z470" s="15">
        <v>0</v>
      </c>
      <c r="AA470" s="180">
        <v>1</v>
      </c>
      <c r="AB470" s="570" t="s">
        <v>1483</v>
      </c>
      <c r="AC470" s="544" t="str">
        <f>""</f>
        <v/>
      </c>
      <c r="AD470" s="183">
        <v>0</v>
      </c>
      <c r="AE470" s="183" t="s">
        <v>264</v>
      </c>
      <c r="AF470" s="183" t="s">
        <v>265</v>
      </c>
      <c r="AG470" s="183">
        <v>0</v>
      </c>
      <c r="AH470" s="183">
        <v>0</v>
      </c>
      <c r="AI470" s="183">
        <v>0</v>
      </c>
      <c r="AJ470" s="181">
        <f>VLOOKUP($I470,'Price List, Weapons &amp; Items'!B:F,5,0)</f>
        <v>0</v>
      </c>
      <c r="AK470" s="181">
        <f t="shared" si="92"/>
        <v>0</v>
      </c>
      <c r="AL470" s="181">
        <f t="shared" si="93"/>
        <v>0</v>
      </c>
      <c r="AM470" s="181">
        <f t="shared" si="94"/>
        <v>0</v>
      </c>
      <c r="AN470" s="180" t="str">
        <f>VLOOKUP($I470,'Price List, Weapons &amp; Items'!B:L,COLUMN('Price List, Weapons &amp; Items'!$J$11)-1,0)</f>
        <v>Online marketplaces and stores</v>
      </c>
      <c r="AO470" s="180" t="str">
        <f>IF(I470=".",".",VLOOKUP($I470,'Price List, Weapons &amp; Items'!B:J,3,0))</f>
        <v>Military equipment</v>
      </c>
      <c r="AP470" s="545" t="str">
        <f t="shared" ca="1" si="101"/>
        <v/>
      </c>
      <c r="AQ470" s="180">
        <f>VLOOKUP($I470,'Price List, Weapons &amp; Items'!B:L,COLUMN('Price List, Weapons &amp; Items'!$L$11)-1,0)</f>
        <v>1</v>
      </c>
      <c r="AR470" s="180">
        <f t="shared" si="95"/>
        <v>1</v>
      </c>
      <c r="AS470" s="180">
        <f t="shared" si="96"/>
        <v>1</v>
      </c>
      <c r="AT470" s="180" t="str">
        <f t="shared" si="97"/>
        <v>Value is not in date format</v>
      </c>
      <c r="AU470" s="180" t="str">
        <f t="shared" si="99"/>
        <v>.</v>
      </c>
      <c r="AV470" s="180" t="str">
        <f t="shared" si="100"/>
        <v>.</v>
      </c>
      <c r="AW470" s="180">
        <f>IFERROR(VLOOKUP(B470,'Share, Heavy Weapons to Ukraine'!B:J,COLUMN('Share, Heavy Weapons to Ukraine'!C479)-1,0),0)</f>
        <v>0</v>
      </c>
      <c r="AX470" s="180">
        <f>VLOOKUP('Bilateral Assistance, MAIN DATA'!B470,'Country Summary'!B:F,COLUMN('Country Summary'!C482)-1,FALSE)</f>
        <v>1</v>
      </c>
      <c r="AY470" s="180" t="str">
        <f>IF(AND(AD470=1,D470="Military",H470&lt;&gt;"Not given")=TRUE,IF(SUMIFS(P:P,A:A,A470)&gt;0,ABS((SUMIFS(P:P,A:A,A470)/VLOOKUP("USD",'Exchange Rates'!B:C,2,0)))/S470,"."),".")</f>
        <v>.</v>
      </c>
      <c r="AZ470" s="182" t="str">
        <f>IF(AND(AD470=1,D470="Military",H470&lt;&gt;"Not given")=TRUE,IF(SUMIFS(P:P,A:A,A470)&gt;0,IF((ABS((SUMIFS(P:P,A:A,A470)/VLOOKUP("USD",'Exchange Rates'!B:C,2,0)))/S470)&gt;1,(SUMIFS(P:P,A:A,A470)-S470)/S470,(S470-SUMIFS(P:P,A:A,A470))/SUMIFS(P:P,A:A,A470)),"."),".")</f>
        <v>.</v>
      </c>
      <c r="BA470" s="182"/>
      <c r="BB470" s="182"/>
      <c r="BC470" s="182"/>
      <c r="BD470" s="182"/>
      <c r="BE470" s="182"/>
      <c r="BF470" s="182"/>
      <c r="BG470" s="182"/>
      <c r="BH470" s="182"/>
      <c r="BI470" s="182"/>
      <c r="BJ470" s="182"/>
      <c r="BK470" s="182"/>
      <c r="BL470" s="182"/>
      <c r="BM470" s="182"/>
      <c r="BN470" s="182"/>
      <c r="BO470" s="182"/>
      <c r="BP470" s="182"/>
      <c r="BQ470" s="182"/>
      <c r="BR470" s="182"/>
      <c r="BS470" s="182"/>
    </row>
    <row r="471" spans="1:71" ht="15.9" customHeight="1" x14ac:dyDescent="0.3">
      <c r="A471" s="17" t="s">
        <v>1454</v>
      </c>
      <c r="B471" s="5" t="s">
        <v>1288</v>
      </c>
      <c r="C471" s="174" t="s">
        <v>1327</v>
      </c>
      <c r="D471" s="5" t="s">
        <v>285</v>
      </c>
      <c r="E471" s="5" t="s">
        <v>1328</v>
      </c>
      <c r="F471" s="1139" t="s">
        <v>1455</v>
      </c>
      <c r="G471" s="15" t="s">
        <v>364</v>
      </c>
      <c r="H471" s="176">
        <v>534000000</v>
      </c>
      <c r="I471" s="185" t="s">
        <v>1484</v>
      </c>
      <c r="J471" s="113" t="str">
        <f>VLOOKUP($I471,'Price List, Weapons &amp; Items'!B:C,2,0)</f>
        <v>humanitarian</v>
      </c>
      <c r="K471" s="113" t="str">
        <f>IF(I471=".",I471,VLOOKUP($I471,'Price List, Weapons &amp; Items'!B:D,3,0))</f>
        <v>Humanitarian</v>
      </c>
      <c r="L471" s="177">
        <f>VLOOKUP(I471,'Price List, Weapons &amp; Items'!B:E,4,0)</f>
        <v>0</v>
      </c>
      <c r="M471" s="542">
        <v>116000</v>
      </c>
      <c r="N471" s="542">
        <v>116000</v>
      </c>
      <c r="O471" s="543" t="str">
        <f>VLOOKUP($I471,'Price List, Weapons &amp; Items'!B:G,6,0)</f>
        <v>.</v>
      </c>
      <c r="P471" s="176" t="str">
        <f t="shared" si="90"/>
        <v>No price</v>
      </c>
      <c r="Q471" s="176" t="str">
        <f t="shared" si="91"/>
        <v>No price</v>
      </c>
      <c r="R471" s="176" t="str">
        <f t="shared" si="98"/>
        <v/>
      </c>
      <c r="S471" s="176" t="str">
        <f>IF(AND(AD471=1,R471&lt;&gt;".")=TRUE,R471/VLOOKUP(G471,'Exchange Rates'!B:C,2,0),IF(R471=".",".",""))</f>
        <v/>
      </c>
      <c r="T471" s="176" t="str">
        <f>IF(AD471=1,IF(AF471="Value is not given at all",".",IF(AF471="Value is given by the source",S471,IF(AF471="Value is calculated with prices",(IF(SUMIFS(Q:Q,A:A,A471)&gt;0,SUMIFS(Q:Q,A:A,A471),"."))/VLOOKUP("USD",'Exchange Rates'!B:C,2,0),"Error with coding"))),"")</f>
        <v/>
      </c>
      <c r="U471" s="15" t="s">
        <v>261</v>
      </c>
      <c r="V471" s="567" t="s">
        <v>1293</v>
      </c>
      <c r="W471" s="567" t="s">
        <v>1475</v>
      </c>
      <c r="X471" s="685" t="s">
        <v>260</v>
      </c>
      <c r="Y471" s="685" t="s">
        <v>260</v>
      </c>
      <c r="Z471" s="15">
        <v>0</v>
      </c>
      <c r="AA471" s="180">
        <v>1</v>
      </c>
      <c r="AB471" s="570" t="s">
        <v>1485</v>
      </c>
      <c r="AC471" s="544" t="str">
        <f>""</f>
        <v/>
      </c>
      <c r="AD471" s="183">
        <v>0</v>
      </c>
      <c r="AE471" s="183" t="s">
        <v>264</v>
      </c>
      <c r="AF471" s="183" t="s">
        <v>265</v>
      </c>
      <c r="AG471" s="183">
        <v>0</v>
      </c>
      <c r="AH471" s="183">
        <v>0</v>
      </c>
      <c r="AI471" s="183">
        <v>0</v>
      </c>
      <c r="AJ471" s="181">
        <f>VLOOKUP($I471,'Price List, Weapons &amp; Items'!B:F,5,0)</f>
        <v>0</v>
      </c>
      <c r="AK471" s="181">
        <f t="shared" si="92"/>
        <v>0</v>
      </c>
      <c r="AL471" s="181">
        <f t="shared" si="93"/>
        <v>0</v>
      </c>
      <c r="AM471" s="181">
        <f t="shared" si="94"/>
        <v>0</v>
      </c>
      <c r="AN471" s="180" t="str">
        <f>VLOOKUP($I471,'Price List, Weapons &amp; Items'!B:L,COLUMN('Price List, Weapons &amp; Items'!$J$11)-1,0)</f>
        <v>.</v>
      </c>
      <c r="AO471" s="180" t="str">
        <f>IF(I471=".",".",VLOOKUP($I471,'Price List, Weapons &amp; Items'!B:J,3,0))</f>
        <v>Humanitarian</v>
      </c>
      <c r="AP471" s="545" t="str">
        <f t="shared" ca="1" si="101"/>
        <v/>
      </c>
      <c r="AQ471" s="180">
        <f>VLOOKUP($I471,'Price List, Weapons &amp; Items'!B:L,COLUMN('Price List, Weapons &amp; Items'!$L$11)-1,0)</f>
        <v>0</v>
      </c>
      <c r="AR471" s="180">
        <f t="shared" si="95"/>
        <v>1</v>
      </c>
      <c r="AS471" s="180">
        <f t="shared" si="96"/>
        <v>1</v>
      </c>
      <c r="AT471" s="180" t="str">
        <f t="shared" si="97"/>
        <v>Value is not in date format</v>
      </c>
      <c r="AU471" s="180" t="str">
        <f t="shared" si="99"/>
        <v>.</v>
      </c>
      <c r="AV471" s="180" t="str">
        <f t="shared" si="100"/>
        <v>.</v>
      </c>
      <c r="AW471" s="180">
        <f>IFERROR(VLOOKUP(B471,'Share, Heavy Weapons to Ukraine'!B:J,COLUMN('Share, Heavy Weapons to Ukraine'!C480)-1,0),0)</f>
        <v>0</v>
      </c>
      <c r="AX471" s="180">
        <f>VLOOKUP('Bilateral Assistance, MAIN DATA'!B471,'Country Summary'!B:F,COLUMN('Country Summary'!C483)-1,FALSE)</f>
        <v>1</v>
      </c>
      <c r="AY471" s="180" t="str">
        <f>IF(AND(AD471=1,D471="Military",H471&lt;&gt;"Not given")=TRUE,IF(SUMIFS(P:P,A:A,A471)&gt;0,ABS((SUMIFS(P:P,A:A,A471)/VLOOKUP("USD",'Exchange Rates'!B:C,2,0)))/S471,"."),".")</f>
        <v>.</v>
      </c>
      <c r="AZ471" s="182" t="str">
        <f>IF(AND(AD471=1,D471="Military",H471&lt;&gt;"Not given")=TRUE,IF(SUMIFS(P:P,A:A,A471)&gt;0,IF((ABS((SUMIFS(P:P,A:A,A471)/VLOOKUP("USD",'Exchange Rates'!B:C,2,0)))/S471)&gt;1,(SUMIFS(P:P,A:A,A471)-S471)/S471,(S471-SUMIFS(P:P,A:A,A471))/SUMIFS(P:P,A:A,A471)),"."),".")</f>
        <v>.</v>
      </c>
      <c r="BA471" s="182"/>
      <c r="BB471" s="182"/>
      <c r="BC471" s="182"/>
      <c r="BD471" s="182"/>
      <c r="BE471" s="182"/>
      <c r="BF471" s="182"/>
      <c r="BG471" s="182"/>
      <c r="BH471" s="182"/>
      <c r="BI471" s="182"/>
      <c r="BJ471" s="182"/>
      <c r="BK471" s="182"/>
      <c r="BL471" s="182"/>
      <c r="BM471" s="182"/>
      <c r="BN471" s="182"/>
      <c r="BO471" s="182"/>
      <c r="BP471" s="182"/>
      <c r="BQ471" s="182"/>
      <c r="BR471" s="182"/>
      <c r="BS471" s="182"/>
    </row>
    <row r="472" spans="1:71" ht="15.9" customHeight="1" x14ac:dyDescent="0.3">
      <c r="A472" s="17" t="s">
        <v>1454</v>
      </c>
      <c r="B472" s="5" t="s">
        <v>1288</v>
      </c>
      <c r="C472" s="174" t="s">
        <v>1327</v>
      </c>
      <c r="D472" s="5" t="s">
        <v>285</v>
      </c>
      <c r="E472" s="5" t="s">
        <v>1328</v>
      </c>
      <c r="F472" s="1139" t="s">
        <v>1455</v>
      </c>
      <c r="G472" s="15" t="s">
        <v>364</v>
      </c>
      <c r="H472" s="176">
        <v>534000000</v>
      </c>
      <c r="I472" s="185" t="s">
        <v>1486</v>
      </c>
      <c r="J472" s="113" t="str">
        <f>VLOOKUP($I472,'Price List, Weapons &amp; Items'!B:C,2,0)</f>
        <v>humanitarian</v>
      </c>
      <c r="K472" s="113" t="str">
        <f>IF(I472=".",I472,VLOOKUP($I472,'Price List, Weapons &amp; Items'!B:D,3,0))</f>
        <v>Humanitarian</v>
      </c>
      <c r="L472" s="177">
        <f>VLOOKUP(I472,'Price List, Weapons &amp; Items'!B:E,4,0)</f>
        <v>0</v>
      </c>
      <c r="M472" s="542">
        <v>80000</v>
      </c>
      <c r="N472" s="542">
        <v>80000</v>
      </c>
      <c r="O472" s="543" t="str">
        <f>VLOOKUP($I472,'Price List, Weapons &amp; Items'!B:G,6,0)</f>
        <v>.</v>
      </c>
      <c r="P472" s="176" t="str">
        <f t="shared" si="90"/>
        <v>No price</v>
      </c>
      <c r="Q472" s="176" t="str">
        <f t="shared" si="91"/>
        <v>No price</v>
      </c>
      <c r="R472" s="176" t="str">
        <f t="shared" si="98"/>
        <v/>
      </c>
      <c r="S472" s="176" t="str">
        <f>IF(AND(AD472=1,R472&lt;&gt;".")=TRUE,R472/VLOOKUP(G472,'Exchange Rates'!B:C,2,0),IF(R472=".",".",""))</f>
        <v/>
      </c>
      <c r="T472" s="176" t="str">
        <f>IF(AD472=1,IF(AF472="Value is not given at all",".",IF(AF472="Value is given by the source",S472,IF(AF472="Value is calculated with prices",(IF(SUMIFS(Q:Q,A:A,A472)&gt;0,SUMIFS(Q:Q,A:A,A472),"."))/VLOOKUP("USD",'Exchange Rates'!B:C,2,0),"Error with coding"))),"")</f>
        <v/>
      </c>
      <c r="U472" s="15" t="s">
        <v>261</v>
      </c>
      <c r="V472" s="567" t="s">
        <v>1293</v>
      </c>
      <c r="W472" s="567" t="s">
        <v>1487</v>
      </c>
      <c r="X472" s="685" t="s">
        <v>260</v>
      </c>
      <c r="Y472" s="685" t="s">
        <v>260</v>
      </c>
      <c r="Z472" s="15">
        <v>0</v>
      </c>
      <c r="AA472" s="180">
        <v>1</v>
      </c>
      <c r="AB472" s="570" t="s">
        <v>1488</v>
      </c>
      <c r="AC472" s="544" t="str">
        <f>""</f>
        <v/>
      </c>
      <c r="AD472" s="183">
        <v>0</v>
      </c>
      <c r="AE472" s="183" t="s">
        <v>264</v>
      </c>
      <c r="AF472" s="183" t="s">
        <v>265</v>
      </c>
      <c r="AG472" s="183">
        <v>0</v>
      </c>
      <c r="AH472" s="183">
        <v>0</v>
      </c>
      <c r="AI472" s="183">
        <v>0</v>
      </c>
      <c r="AJ472" s="181">
        <f>VLOOKUP($I472,'Price List, Weapons &amp; Items'!B:F,5,0)</f>
        <v>0</v>
      </c>
      <c r="AK472" s="181">
        <f t="shared" si="92"/>
        <v>0</v>
      </c>
      <c r="AL472" s="181">
        <f t="shared" si="93"/>
        <v>0</v>
      </c>
      <c r="AM472" s="181">
        <f t="shared" si="94"/>
        <v>0</v>
      </c>
      <c r="AN472" s="180" t="str">
        <f>VLOOKUP($I472,'Price List, Weapons &amp; Items'!B:L,COLUMN('Price List, Weapons &amp; Items'!$J$11)-1,0)</f>
        <v>.</v>
      </c>
      <c r="AO472" s="180" t="str">
        <f>IF(I472=".",".",VLOOKUP($I472,'Price List, Weapons &amp; Items'!B:J,3,0))</f>
        <v>Humanitarian</v>
      </c>
      <c r="AP472" s="545" t="str">
        <f t="shared" ca="1" si="101"/>
        <v/>
      </c>
      <c r="AQ472" s="180">
        <f>VLOOKUP($I472,'Price List, Weapons &amp; Items'!B:L,COLUMN('Price List, Weapons &amp; Items'!$L$11)-1,0)</f>
        <v>0</v>
      </c>
      <c r="AR472" s="180">
        <f t="shared" si="95"/>
        <v>1</v>
      </c>
      <c r="AS472" s="180">
        <f t="shared" si="96"/>
        <v>1</v>
      </c>
      <c r="AT472" s="180" t="str">
        <f t="shared" si="97"/>
        <v>Value is not in date format</v>
      </c>
      <c r="AU472" s="180" t="str">
        <f t="shared" si="99"/>
        <v>.</v>
      </c>
      <c r="AV472" s="180" t="str">
        <f t="shared" si="100"/>
        <v>.</v>
      </c>
      <c r="AW472" s="180">
        <f>IFERROR(VLOOKUP(B472,'Share, Heavy Weapons to Ukraine'!B:J,COLUMN('Share, Heavy Weapons to Ukraine'!C481)-1,0),0)</f>
        <v>0</v>
      </c>
      <c r="AX472" s="180">
        <f>VLOOKUP('Bilateral Assistance, MAIN DATA'!B472,'Country Summary'!B:F,COLUMN('Country Summary'!C484)-1,FALSE)</f>
        <v>1</v>
      </c>
      <c r="AY472" s="180" t="str">
        <f>IF(AND(AD472=1,D472="Military",H472&lt;&gt;"Not given")=TRUE,IF(SUMIFS(P:P,A:A,A472)&gt;0,ABS((SUMIFS(P:P,A:A,A472)/VLOOKUP("USD",'Exchange Rates'!B:C,2,0)))/S472,"."),".")</f>
        <v>.</v>
      </c>
      <c r="AZ472" s="182" t="str">
        <f>IF(AND(AD472=1,D472="Military",H472&lt;&gt;"Not given")=TRUE,IF(SUMIFS(P:P,A:A,A472)&gt;0,IF((ABS((SUMIFS(P:P,A:A,A472)/VLOOKUP("USD",'Exchange Rates'!B:C,2,0)))/S472)&gt;1,(SUMIFS(P:P,A:A,A472)-S472)/S472,(S472-SUMIFS(P:P,A:A,A472))/SUMIFS(P:P,A:A,A472)),"."),".")</f>
        <v>.</v>
      </c>
      <c r="BA472" s="182"/>
      <c r="BB472" s="182"/>
      <c r="BC472" s="182"/>
      <c r="BD472" s="182"/>
      <c r="BE472" s="182"/>
      <c r="BF472" s="182"/>
      <c r="BG472" s="182"/>
      <c r="BH472" s="182"/>
      <c r="BI472" s="182"/>
      <c r="BJ472" s="182"/>
      <c r="BK472" s="182"/>
      <c r="BL472" s="182"/>
      <c r="BM472" s="182"/>
      <c r="BN472" s="182"/>
      <c r="BO472" s="182"/>
      <c r="BP472" s="182"/>
      <c r="BQ472" s="182"/>
      <c r="BR472" s="182"/>
      <c r="BS472" s="182"/>
    </row>
    <row r="473" spans="1:71" ht="15.9" customHeight="1" x14ac:dyDescent="0.3">
      <c r="A473" s="17" t="s">
        <v>1454</v>
      </c>
      <c r="B473" s="5" t="s">
        <v>1288</v>
      </c>
      <c r="C473" s="174" t="s">
        <v>1327</v>
      </c>
      <c r="D473" s="5" t="s">
        <v>285</v>
      </c>
      <c r="E473" s="5" t="s">
        <v>1328</v>
      </c>
      <c r="F473" s="1139" t="s">
        <v>1455</v>
      </c>
      <c r="G473" s="15" t="s">
        <v>364</v>
      </c>
      <c r="H473" s="176">
        <v>534000000</v>
      </c>
      <c r="I473" s="185" t="s">
        <v>1489</v>
      </c>
      <c r="J473" s="113" t="str">
        <f>VLOOKUP($I473,'Price List, Weapons &amp; Items'!B:C,2,0)</f>
        <v>humanitarian</v>
      </c>
      <c r="K473" s="113" t="str">
        <f>IF(I473=".",I473,VLOOKUP($I473,'Price List, Weapons &amp; Items'!B:D,3,0))</f>
        <v>Humanitarian</v>
      </c>
      <c r="L473" s="177">
        <f>VLOOKUP(I473,'Price List, Weapons &amp; Items'!B:E,4,0)</f>
        <v>0</v>
      </c>
      <c r="M473" s="542">
        <v>240000</v>
      </c>
      <c r="N473" s="542">
        <v>240000</v>
      </c>
      <c r="O473" s="543" t="str">
        <f>VLOOKUP($I473,'Price List, Weapons &amp; Items'!B:G,6,0)</f>
        <v>.</v>
      </c>
      <c r="P473" s="176" t="str">
        <f t="shared" si="90"/>
        <v>No price</v>
      </c>
      <c r="Q473" s="176" t="str">
        <f t="shared" si="91"/>
        <v>No price</v>
      </c>
      <c r="R473" s="176" t="str">
        <f t="shared" si="98"/>
        <v/>
      </c>
      <c r="S473" s="176" t="str">
        <f>IF(AND(AD473=1,R473&lt;&gt;".")=TRUE,R473/VLOOKUP(G473,'Exchange Rates'!B:C,2,0),IF(R473=".",".",""))</f>
        <v/>
      </c>
      <c r="T473" s="176" t="str">
        <f>IF(AD473=1,IF(AF473="Value is not given at all",".",IF(AF473="Value is given by the source",S473,IF(AF473="Value is calculated with prices",(IF(SUMIFS(Q:Q,A:A,A473)&gt;0,SUMIFS(Q:Q,A:A,A473),"."))/VLOOKUP("USD",'Exchange Rates'!B:C,2,0),"Error with coding"))),"")</f>
        <v/>
      </c>
      <c r="U473" s="15" t="s">
        <v>261</v>
      </c>
      <c r="V473" s="567" t="s">
        <v>1293</v>
      </c>
      <c r="W473" s="567" t="s">
        <v>1476</v>
      </c>
      <c r="X473" s="685" t="s">
        <v>260</v>
      </c>
      <c r="Y473" s="685" t="s">
        <v>260</v>
      </c>
      <c r="Z473" s="15">
        <v>0</v>
      </c>
      <c r="AA473" s="180">
        <v>1</v>
      </c>
      <c r="AB473" s="570" t="s">
        <v>1490</v>
      </c>
      <c r="AC473" s="544" t="str">
        <f>""</f>
        <v/>
      </c>
      <c r="AD473" s="183">
        <v>0</v>
      </c>
      <c r="AE473" s="183" t="s">
        <v>264</v>
      </c>
      <c r="AF473" s="183" t="s">
        <v>265</v>
      </c>
      <c r="AG473" s="183">
        <v>0</v>
      </c>
      <c r="AH473" s="183">
        <v>0</v>
      </c>
      <c r="AI473" s="183">
        <v>0</v>
      </c>
      <c r="AJ473" s="181">
        <f>VLOOKUP($I473,'Price List, Weapons &amp; Items'!B:F,5,0)</f>
        <v>0</v>
      </c>
      <c r="AK473" s="181">
        <f t="shared" si="92"/>
        <v>0</v>
      </c>
      <c r="AL473" s="181">
        <f t="shared" si="93"/>
        <v>0</v>
      </c>
      <c r="AM473" s="181">
        <f t="shared" si="94"/>
        <v>0</v>
      </c>
      <c r="AN473" s="180" t="str">
        <f>VLOOKUP($I473,'Price List, Weapons &amp; Items'!B:L,COLUMN('Price List, Weapons &amp; Items'!$J$11)-1,0)</f>
        <v>.</v>
      </c>
      <c r="AO473" s="180" t="str">
        <f>IF(I473=".",".",VLOOKUP($I473,'Price List, Weapons &amp; Items'!B:J,3,0))</f>
        <v>Humanitarian</v>
      </c>
      <c r="AP473" s="545" t="str">
        <f t="shared" ca="1" si="101"/>
        <v/>
      </c>
      <c r="AQ473" s="180">
        <f>VLOOKUP($I473,'Price List, Weapons &amp; Items'!B:L,COLUMN('Price List, Weapons &amp; Items'!$L$11)-1,0)</f>
        <v>0</v>
      </c>
      <c r="AR473" s="180">
        <f t="shared" si="95"/>
        <v>1</v>
      </c>
      <c r="AS473" s="180">
        <f t="shared" si="96"/>
        <v>1</v>
      </c>
      <c r="AT473" s="180" t="str">
        <f t="shared" si="97"/>
        <v>Value is not in date format</v>
      </c>
      <c r="AU473" s="180" t="str">
        <f t="shared" si="99"/>
        <v>.</v>
      </c>
      <c r="AV473" s="180" t="str">
        <f t="shared" si="100"/>
        <v>.</v>
      </c>
      <c r="AW473" s="180">
        <f>IFERROR(VLOOKUP(B473,'Share, Heavy Weapons to Ukraine'!B:J,COLUMN('Share, Heavy Weapons to Ukraine'!C482)-1,0),0)</f>
        <v>0</v>
      </c>
      <c r="AX473" s="180">
        <f>VLOOKUP('Bilateral Assistance, MAIN DATA'!B473,'Country Summary'!B:F,COLUMN('Country Summary'!C485)-1,FALSE)</f>
        <v>1</v>
      </c>
      <c r="AY473" s="180" t="str">
        <f>IF(AND(AD473=1,D473="Military",H473&lt;&gt;"Not given")=TRUE,IF(SUMIFS(P:P,A:A,A473)&gt;0,ABS((SUMIFS(P:P,A:A,A473)/VLOOKUP("USD",'Exchange Rates'!B:C,2,0)))/S473,"."),".")</f>
        <v>.</v>
      </c>
      <c r="AZ473" s="182" t="str">
        <f>IF(AND(AD473=1,D473="Military",H473&lt;&gt;"Not given")=TRUE,IF(SUMIFS(P:P,A:A,A473)&gt;0,IF((ABS((SUMIFS(P:P,A:A,A473)/VLOOKUP("USD",'Exchange Rates'!B:C,2,0)))/S473)&gt;1,(SUMIFS(P:P,A:A,A473)-S473)/S473,(S473-SUMIFS(P:P,A:A,A473))/SUMIFS(P:P,A:A,A473)),"."),".")</f>
        <v>.</v>
      </c>
      <c r="BA473" s="182"/>
      <c r="BB473" s="182"/>
      <c r="BC473" s="182"/>
      <c r="BD473" s="182"/>
      <c r="BE473" s="182"/>
      <c r="BF473" s="182"/>
      <c r="BG473" s="182"/>
      <c r="BH473" s="182"/>
      <c r="BI473" s="182"/>
      <c r="BJ473" s="182"/>
      <c r="BK473" s="182"/>
      <c r="BL473" s="182"/>
      <c r="BM473" s="182"/>
      <c r="BN473" s="182"/>
      <c r="BO473" s="182"/>
      <c r="BP473" s="182"/>
      <c r="BQ473" s="182"/>
      <c r="BR473" s="182"/>
      <c r="BS473" s="182"/>
    </row>
    <row r="474" spans="1:71" ht="15.9" customHeight="1" x14ac:dyDescent="0.3">
      <c r="A474" s="17" t="s">
        <v>1454</v>
      </c>
      <c r="B474" s="5" t="s">
        <v>1288</v>
      </c>
      <c r="C474" s="174" t="s">
        <v>1327</v>
      </c>
      <c r="D474" s="5" t="s">
        <v>285</v>
      </c>
      <c r="E474" s="5" t="s">
        <v>1328</v>
      </c>
      <c r="F474" s="1139" t="s">
        <v>1455</v>
      </c>
      <c r="G474" s="15" t="s">
        <v>364</v>
      </c>
      <c r="H474" s="176">
        <v>534000000</v>
      </c>
      <c r="I474" s="185" t="s">
        <v>1491</v>
      </c>
      <c r="J474" s="113" t="str">
        <f>VLOOKUP($I474,'Price List, Weapons &amp; Items'!B:C,2,0)</f>
        <v>Military equipment</v>
      </c>
      <c r="K474" s="113" t="str">
        <f>IF(I474=".",I474,VLOOKUP($I474,'Price List, Weapons &amp; Items'!B:D,3,0))</f>
        <v>Military equipment</v>
      </c>
      <c r="L474" s="177">
        <f>VLOOKUP(I474,'Price List, Weapons &amp; Items'!B:E,4,0)</f>
        <v>0</v>
      </c>
      <c r="M474" s="542">
        <v>405000</v>
      </c>
      <c r="N474" s="542">
        <v>405000</v>
      </c>
      <c r="O474" s="543">
        <f>VLOOKUP($I474,'Price List, Weapons &amp; Items'!B:G,6,0)</f>
        <v>22</v>
      </c>
      <c r="P474" s="176">
        <f t="shared" si="90"/>
        <v>8910000</v>
      </c>
      <c r="Q474" s="176">
        <f t="shared" si="91"/>
        <v>8910000</v>
      </c>
      <c r="R474" s="176" t="str">
        <f t="shared" si="98"/>
        <v/>
      </c>
      <c r="S474" s="176" t="str">
        <f>IF(AND(AD474=1,R474&lt;&gt;".")=TRUE,R474/VLOOKUP(G474,'Exchange Rates'!B:C,2,0),IF(R474=".",".",""))</f>
        <v/>
      </c>
      <c r="T474" s="176" t="str">
        <f>IF(AD474=1,IF(AF474="Value is not given at all",".",IF(AF474="Value is given by the source",S474,IF(AF474="Value is calculated with prices",(IF(SUMIFS(Q:Q,A:A,A474)&gt;0,SUMIFS(Q:Q,A:A,A474),"."))/VLOOKUP("USD",'Exchange Rates'!B:C,2,0),"Error with coding"))),"")</f>
        <v/>
      </c>
      <c r="U474" s="15" t="s">
        <v>261</v>
      </c>
      <c r="V474" s="567" t="s">
        <v>1293</v>
      </c>
      <c r="W474" s="567" t="s">
        <v>1492</v>
      </c>
      <c r="X474" s="685" t="s">
        <v>260</v>
      </c>
      <c r="Y474" s="685" t="s">
        <v>260</v>
      </c>
      <c r="Z474" s="15">
        <v>0</v>
      </c>
      <c r="AA474" s="180">
        <v>1</v>
      </c>
      <c r="AB474" s="570" t="s">
        <v>1493</v>
      </c>
      <c r="AC474" s="544" t="str">
        <f>""</f>
        <v/>
      </c>
      <c r="AD474" s="183">
        <v>0</v>
      </c>
      <c r="AE474" s="183" t="s">
        <v>264</v>
      </c>
      <c r="AF474" s="183" t="s">
        <v>265</v>
      </c>
      <c r="AG474" s="183">
        <v>0</v>
      </c>
      <c r="AH474" s="183">
        <v>0</v>
      </c>
      <c r="AI474" s="183">
        <v>0</v>
      </c>
      <c r="AJ474" s="181">
        <f>VLOOKUP($I474,'Price List, Weapons &amp; Items'!B:F,5,0)</f>
        <v>0</v>
      </c>
      <c r="AK474" s="181">
        <f t="shared" si="92"/>
        <v>0</v>
      </c>
      <c r="AL474" s="181">
        <f t="shared" si="93"/>
        <v>0</v>
      </c>
      <c r="AM474" s="181">
        <f t="shared" si="94"/>
        <v>0</v>
      </c>
      <c r="AN474" s="180" t="str">
        <f>VLOOKUP($I474,'Price List, Weapons &amp; Items'!B:L,COLUMN('Price List, Weapons &amp; Items'!$J$11)-1,0)</f>
        <v>Online marketplaces and stores</v>
      </c>
      <c r="AO474" s="180" t="str">
        <f>IF(I474=".",".",VLOOKUP($I474,'Price List, Weapons &amp; Items'!B:J,3,0))</f>
        <v>Military equipment</v>
      </c>
      <c r="AP474" s="545" t="str">
        <f t="shared" ca="1" si="101"/>
        <v/>
      </c>
      <c r="AQ474" s="180">
        <f>VLOOKUP($I474,'Price List, Weapons &amp; Items'!B:L,COLUMN('Price List, Weapons &amp; Items'!$L$11)-1,0)</f>
        <v>2</v>
      </c>
      <c r="AR474" s="180">
        <f t="shared" si="95"/>
        <v>1</v>
      </c>
      <c r="AS474" s="180">
        <f t="shared" si="96"/>
        <v>1</v>
      </c>
      <c r="AT474" s="180" t="str">
        <f t="shared" si="97"/>
        <v>Value is not in date format</v>
      </c>
      <c r="AU474" s="180" t="str">
        <f t="shared" si="99"/>
        <v>.</v>
      </c>
      <c r="AV474" s="180" t="str">
        <f t="shared" si="100"/>
        <v>.</v>
      </c>
      <c r="AW474" s="180">
        <f>IFERROR(VLOOKUP(B474,'Share, Heavy Weapons to Ukraine'!B:J,COLUMN('Share, Heavy Weapons to Ukraine'!C483)-1,0),0)</f>
        <v>0</v>
      </c>
      <c r="AX474" s="180">
        <f>VLOOKUP('Bilateral Assistance, MAIN DATA'!B474,'Country Summary'!B:F,COLUMN('Country Summary'!C486)-1,FALSE)</f>
        <v>1</v>
      </c>
      <c r="AY474" s="180" t="str">
        <f>IF(AND(AD474=1,D474="Military",H474&lt;&gt;"Not given")=TRUE,IF(SUMIFS(P:P,A:A,A474)&gt;0,ABS((SUMIFS(P:P,A:A,A474)/VLOOKUP("USD",'Exchange Rates'!B:C,2,0)))/S474,"."),".")</f>
        <v>.</v>
      </c>
      <c r="AZ474" s="182" t="str">
        <f>IF(AND(AD474=1,D474="Military",H474&lt;&gt;"Not given")=TRUE,IF(SUMIFS(P:P,A:A,A474)&gt;0,IF((ABS((SUMIFS(P:P,A:A,A474)/VLOOKUP("USD",'Exchange Rates'!B:C,2,0)))/S474)&gt;1,(SUMIFS(P:P,A:A,A474)-S474)/S474,(S474-SUMIFS(P:P,A:A,A474))/SUMIFS(P:P,A:A,A474)),"."),".")</f>
        <v>.</v>
      </c>
      <c r="BA474" s="182"/>
      <c r="BB474" s="182"/>
      <c r="BC474" s="182"/>
      <c r="BD474" s="182"/>
      <c r="BE474" s="182"/>
      <c r="BF474" s="182"/>
      <c r="BG474" s="182"/>
      <c r="BH474" s="182"/>
      <c r="BI474" s="182"/>
      <c r="BJ474" s="182"/>
      <c r="BK474" s="182"/>
      <c r="BL474" s="182"/>
      <c r="BM474" s="182"/>
      <c r="BN474" s="182"/>
      <c r="BO474" s="182"/>
      <c r="BP474" s="182"/>
      <c r="BQ474" s="182"/>
      <c r="BR474" s="182"/>
      <c r="BS474" s="182"/>
    </row>
    <row r="475" spans="1:71" ht="15.9" customHeight="1" x14ac:dyDescent="0.3">
      <c r="A475" s="17" t="s">
        <v>1454</v>
      </c>
      <c r="B475" s="5" t="s">
        <v>1288</v>
      </c>
      <c r="C475" s="174" t="s">
        <v>1327</v>
      </c>
      <c r="D475" s="5" t="s">
        <v>285</v>
      </c>
      <c r="E475" s="5" t="s">
        <v>1328</v>
      </c>
      <c r="F475" s="1139" t="s">
        <v>1455</v>
      </c>
      <c r="G475" s="15" t="s">
        <v>364</v>
      </c>
      <c r="H475" s="176">
        <v>534000000</v>
      </c>
      <c r="I475" s="185" t="s">
        <v>1494</v>
      </c>
      <c r="J475" s="113" t="str">
        <f>VLOOKUP($I475,'Price List, Weapons &amp; Items'!B:C,2,0)</f>
        <v>Ammunition for heavy weapon</v>
      </c>
      <c r="K475" s="113" t="str">
        <f>IF(I475=".",I475,VLOOKUP($I475,'Price List, Weapons &amp; Items'!B:D,3,0))</f>
        <v>Anti-aircraft guns ammunition</v>
      </c>
      <c r="L475" s="177">
        <f>VLOOKUP(I475,'Price List, Weapons &amp; Items'!B:E,4,0)</f>
        <v>0</v>
      </c>
      <c r="M475" s="542">
        <v>4000</v>
      </c>
      <c r="N475" s="542">
        <v>4000</v>
      </c>
      <c r="O475" s="543">
        <f>VLOOKUP($I475,'Price List, Weapons &amp; Items'!B:G,6,0)</f>
        <v>266.94</v>
      </c>
      <c r="P475" s="176">
        <f t="shared" si="90"/>
        <v>1067760</v>
      </c>
      <c r="Q475" s="176">
        <f t="shared" si="91"/>
        <v>1067760</v>
      </c>
      <c r="R475" s="176" t="str">
        <f t="shared" si="98"/>
        <v/>
      </c>
      <c r="S475" s="176" t="str">
        <f>IF(AND(AD475=1,R475&lt;&gt;".")=TRUE,R475/VLOOKUP(G475,'Exchange Rates'!B:C,2,0),IF(R475=".",".",""))</f>
        <v/>
      </c>
      <c r="T475" s="176" t="str">
        <f>IF(AD475=1,IF(AF475="Value is not given at all",".",IF(AF475="Value is given by the source",S475,IF(AF475="Value is calculated with prices",(IF(SUMIFS(Q:Q,A:A,A475)&gt;0,SUMIFS(Q:Q,A:A,A475),"."))/VLOOKUP("USD",'Exchange Rates'!B:C,2,0),"Error with coding"))),"")</f>
        <v/>
      </c>
      <c r="U475" s="15" t="s">
        <v>261</v>
      </c>
      <c r="V475" s="567" t="s">
        <v>1293</v>
      </c>
      <c r="W475" s="567" t="s">
        <v>1479</v>
      </c>
      <c r="X475" s="685" t="s">
        <v>260</v>
      </c>
      <c r="Y475" s="685" t="s">
        <v>260</v>
      </c>
      <c r="Z475" s="15">
        <v>0</v>
      </c>
      <c r="AA475" s="180">
        <v>1</v>
      </c>
      <c r="AB475" s="570" t="s">
        <v>1495</v>
      </c>
      <c r="AC475" s="544" t="str">
        <f>""</f>
        <v/>
      </c>
      <c r="AD475" s="183">
        <v>0</v>
      </c>
      <c r="AE475" s="183" t="s">
        <v>264</v>
      </c>
      <c r="AF475" s="183" t="s">
        <v>265</v>
      </c>
      <c r="AG475" s="183">
        <v>0</v>
      </c>
      <c r="AH475" s="183">
        <v>0</v>
      </c>
      <c r="AI475" s="183">
        <v>0</v>
      </c>
      <c r="AJ475" s="181">
        <f>VLOOKUP($I475,'Price List, Weapons &amp; Items'!B:F,5,0)</f>
        <v>0</v>
      </c>
      <c r="AK475" s="181">
        <f t="shared" si="92"/>
        <v>0</v>
      </c>
      <c r="AL475" s="181">
        <f t="shared" si="93"/>
        <v>0</v>
      </c>
      <c r="AM475" s="181">
        <f t="shared" si="94"/>
        <v>1</v>
      </c>
      <c r="AN475" s="180" t="str">
        <f>VLOOKUP($I475,'Price List, Weapons &amp; Items'!B:L,COLUMN('Price List, Weapons &amp; Items'!$J$11)-1,0)</f>
        <v>Miscellaneous</v>
      </c>
      <c r="AO475" s="180" t="str">
        <f>IF(I475=".",".",VLOOKUP($I475,'Price List, Weapons &amp; Items'!B:J,3,0))</f>
        <v>Anti-aircraft guns ammunition</v>
      </c>
      <c r="AP475" s="545" t="str">
        <f t="shared" ca="1" si="101"/>
        <v/>
      </c>
      <c r="AQ475" s="180">
        <f>VLOOKUP($I475,'Price List, Weapons &amp; Items'!B:L,COLUMN('Price List, Weapons &amp; Items'!$L$11)-1,0)</f>
        <v>1</v>
      </c>
      <c r="AR475" s="180">
        <f t="shared" si="95"/>
        <v>1</v>
      </c>
      <c r="AS475" s="180">
        <f t="shared" si="96"/>
        <v>1</v>
      </c>
      <c r="AT475" s="180" t="str">
        <f t="shared" si="97"/>
        <v>Value is not in date format</v>
      </c>
      <c r="AU475" s="180" t="str">
        <f t="shared" si="99"/>
        <v>.</v>
      </c>
      <c r="AV475" s="180" t="str">
        <f t="shared" si="100"/>
        <v>.</v>
      </c>
      <c r="AW475" s="180">
        <f>IFERROR(VLOOKUP(B475,'Share, Heavy Weapons to Ukraine'!B:J,COLUMN('Share, Heavy Weapons to Ukraine'!C484)-1,0),0)</f>
        <v>0</v>
      </c>
      <c r="AX475" s="180">
        <f>VLOOKUP('Bilateral Assistance, MAIN DATA'!B475,'Country Summary'!B:F,COLUMN('Country Summary'!C487)-1,FALSE)</f>
        <v>1</v>
      </c>
      <c r="AY475" s="180" t="str">
        <f>IF(AND(AD475=1,D475="Military",H475&lt;&gt;"Not given")=TRUE,IF(SUMIFS(P:P,A:A,A475)&gt;0,ABS((SUMIFS(P:P,A:A,A475)/VLOOKUP("USD",'Exchange Rates'!B:C,2,0)))/S475,"."),".")</f>
        <v>.</v>
      </c>
      <c r="AZ475" s="182" t="str">
        <f>IF(AND(AD475=1,D475="Military",H475&lt;&gt;"Not given")=TRUE,IF(SUMIFS(P:P,A:A,A475)&gt;0,IF((ABS((SUMIFS(P:P,A:A,A475)/VLOOKUP("USD",'Exchange Rates'!B:C,2,0)))/S475)&gt;1,(SUMIFS(P:P,A:A,A475)-S475)/S475,(S475-SUMIFS(P:P,A:A,A475))/SUMIFS(P:P,A:A,A475)),"."),".")</f>
        <v>.</v>
      </c>
      <c r="BA475" s="182"/>
      <c r="BB475" s="182"/>
      <c r="BC475" s="182"/>
      <c r="BD475" s="182"/>
      <c r="BE475" s="182"/>
      <c r="BF475" s="182"/>
      <c r="BG475" s="182"/>
      <c r="BH475" s="182"/>
      <c r="BI475" s="182"/>
      <c r="BJ475" s="182"/>
      <c r="BK475" s="182"/>
      <c r="BL475" s="182"/>
      <c r="BM475" s="182"/>
      <c r="BN475" s="182"/>
      <c r="BO475" s="182"/>
      <c r="BP475" s="182"/>
      <c r="BQ475" s="182"/>
      <c r="BR475" s="182"/>
      <c r="BS475" s="182"/>
    </row>
    <row r="476" spans="1:71" ht="15.9" customHeight="1" x14ac:dyDescent="0.3">
      <c r="A476" s="17" t="s">
        <v>1454</v>
      </c>
      <c r="B476" s="5" t="s">
        <v>1288</v>
      </c>
      <c r="C476" s="174" t="s">
        <v>1327</v>
      </c>
      <c r="D476" s="5" t="s">
        <v>285</v>
      </c>
      <c r="E476" s="5" t="s">
        <v>1328</v>
      </c>
      <c r="F476" s="1139" t="s">
        <v>1455</v>
      </c>
      <c r="G476" s="15" t="s">
        <v>364</v>
      </c>
      <c r="H476" s="176">
        <v>534000000</v>
      </c>
      <c r="I476" s="185" t="s">
        <v>1496</v>
      </c>
      <c r="J476" s="113" t="str">
        <f>VLOOKUP($I476,'Price List, Weapons &amp; Items'!B:C,2,0)</f>
        <v>Ammunition for heavy weapon</v>
      </c>
      <c r="K476" s="113" t="str">
        <f>IF(I476=".",I476,VLOOKUP($I476,'Price List, Weapons &amp; Items'!B:D,3,0))</f>
        <v>Anti-aircraft guns ammunition</v>
      </c>
      <c r="L476" s="177">
        <f>VLOOKUP(I476,'Price List, Weapons &amp; Items'!B:E,4,0)</f>
        <v>0</v>
      </c>
      <c r="M476" s="542">
        <v>53000</v>
      </c>
      <c r="N476" s="542">
        <v>53000</v>
      </c>
      <c r="O476" s="543">
        <f>VLOOKUP($I476,'Price List, Weapons &amp; Items'!B:G,6,0)</f>
        <v>266.94</v>
      </c>
      <c r="P476" s="176">
        <f t="shared" si="90"/>
        <v>14147820</v>
      </c>
      <c r="Q476" s="176">
        <f t="shared" si="91"/>
        <v>14147820</v>
      </c>
      <c r="R476" s="176" t="str">
        <f t="shared" si="98"/>
        <v/>
      </c>
      <c r="S476" s="176" t="str">
        <f>IF(AND(AD476=1,R476&lt;&gt;".")=TRUE,R476/VLOOKUP(G476,'Exchange Rates'!B:C,2,0),IF(R476=".",".",""))</f>
        <v/>
      </c>
      <c r="T476" s="176" t="str">
        <f>IF(AD476=1,IF(AF476="Value is not given at all",".",IF(AF476="Value is given by the source",S476,IF(AF476="Value is calculated with prices",(IF(SUMIFS(Q:Q,A:A,A476)&gt;0,SUMIFS(Q:Q,A:A,A476),"."))/VLOOKUP("USD",'Exchange Rates'!B:C,2,0),"Error with coding"))),"")</f>
        <v/>
      </c>
      <c r="U476" s="15" t="s">
        <v>261</v>
      </c>
      <c r="V476" s="567" t="s">
        <v>1293</v>
      </c>
      <c r="W476" s="567" t="s">
        <v>1480</v>
      </c>
      <c r="X476" s="685" t="s">
        <v>260</v>
      </c>
      <c r="Y476" s="685" t="s">
        <v>260</v>
      </c>
      <c r="Z476" s="15">
        <v>0</v>
      </c>
      <c r="AA476" s="180">
        <v>1</v>
      </c>
      <c r="AB476" s="570" t="s">
        <v>1497</v>
      </c>
      <c r="AC476" s="544" t="str">
        <f>""</f>
        <v/>
      </c>
      <c r="AD476" s="183">
        <v>0</v>
      </c>
      <c r="AE476" s="183" t="s">
        <v>264</v>
      </c>
      <c r="AF476" s="183" t="s">
        <v>265</v>
      </c>
      <c r="AG476" s="183">
        <v>0</v>
      </c>
      <c r="AH476" s="183">
        <v>0</v>
      </c>
      <c r="AI476" s="183">
        <v>0</v>
      </c>
      <c r="AJ476" s="181">
        <f>VLOOKUP($I476,'Price List, Weapons &amp; Items'!B:F,5,0)</f>
        <v>0</v>
      </c>
      <c r="AK476" s="181">
        <f t="shared" si="92"/>
        <v>0</v>
      </c>
      <c r="AL476" s="181">
        <f t="shared" si="93"/>
        <v>0</v>
      </c>
      <c r="AM476" s="181">
        <f t="shared" si="94"/>
        <v>1</v>
      </c>
      <c r="AN476" s="180" t="str">
        <f>VLOOKUP($I476,'Price List, Weapons &amp; Items'!B:L,COLUMN('Price List, Weapons &amp; Items'!$J$11)-1,0)</f>
        <v>Miscellaneous</v>
      </c>
      <c r="AO476" s="180" t="str">
        <f>IF(I476=".",".",VLOOKUP($I476,'Price List, Weapons &amp; Items'!B:J,3,0))</f>
        <v>Anti-aircraft guns ammunition</v>
      </c>
      <c r="AP476" s="545" t="str">
        <f t="shared" ca="1" si="101"/>
        <v/>
      </c>
      <c r="AQ476" s="180">
        <f>VLOOKUP($I476,'Price List, Weapons &amp; Items'!B:L,COLUMN('Price List, Weapons &amp; Items'!$L$11)-1,0)</f>
        <v>2</v>
      </c>
      <c r="AR476" s="180">
        <f t="shared" si="95"/>
        <v>1</v>
      </c>
      <c r="AS476" s="180">
        <f t="shared" si="96"/>
        <v>1</v>
      </c>
      <c r="AT476" s="180" t="str">
        <f t="shared" si="97"/>
        <v>Value is not in date format</v>
      </c>
      <c r="AU476" s="180" t="str">
        <f t="shared" si="99"/>
        <v>.</v>
      </c>
      <c r="AV476" s="180" t="str">
        <f t="shared" si="100"/>
        <v>.</v>
      </c>
      <c r="AW476" s="180">
        <f>IFERROR(VLOOKUP(B476,'Share, Heavy Weapons to Ukraine'!B:J,COLUMN('Share, Heavy Weapons to Ukraine'!C485)-1,0),0)</f>
        <v>0</v>
      </c>
      <c r="AX476" s="180">
        <f>VLOOKUP('Bilateral Assistance, MAIN DATA'!B476,'Country Summary'!B:F,COLUMN('Country Summary'!C488)-1,FALSE)</f>
        <v>1</v>
      </c>
      <c r="AY476" s="180" t="str">
        <f>IF(AND(AD476=1,D476="Military",H476&lt;&gt;"Not given")=TRUE,IF(SUMIFS(P:P,A:A,A476)&gt;0,ABS((SUMIFS(P:P,A:A,A476)/VLOOKUP("USD",'Exchange Rates'!B:C,2,0)))/S476,"."),".")</f>
        <v>.</v>
      </c>
      <c r="AZ476" s="182" t="str">
        <f>IF(AND(AD476=1,D476="Military",H476&lt;&gt;"Not given")=TRUE,IF(SUMIFS(P:P,A:A,A476)&gt;0,IF((ABS((SUMIFS(P:P,A:A,A476)/VLOOKUP("USD",'Exchange Rates'!B:C,2,0)))/S476)&gt;1,(SUMIFS(P:P,A:A,A476)-S476)/S476,(S476-SUMIFS(P:P,A:A,A476))/SUMIFS(P:P,A:A,A476)),"."),".")</f>
        <v>.</v>
      </c>
      <c r="BA476" s="182"/>
      <c r="BB476" s="182"/>
      <c r="BC476" s="182"/>
      <c r="BD476" s="182"/>
      <c r="BE476" s="182"/>
      <c r="BF476" s="182"/>
      <c r="BG476" s="182"/>
      <c r="BH476" s="182"/>
      <c r="BI476" s="182"/>
      <c r="BJ476" s="182"/>
      <c r="BK476" s="182"/>
      <c r="BL476" s="182"/>
      <c r="BM476" s="182"/>
      <c r="BN476" s="182"/>
      <c r="BO476" s="182"/>
      <c r="BP476" s="182"/>
      <c r="BQ476" s="182"/>
      <c r="BR476" s="182"/>
      <c r="BS476" s="182"/>
    </row>
    <row r="477" spans="1:71" ht="15.9" customHeight="1" x14ac:dyDescent="0.3">
      <c r="A477" s="17" t="s">
        <v>1454</v>
      </c>
      <c r="B477" s="5" t="s">
        <v>1288</v>
      </c>
      <c r="C477" s="174" t="s">
        <v>1327</v>
      </c>
      <c r="D477" s="5" t="s">
        <v>285</v>
      </c>
      <c r="E477" s="5" t="s">
        <v>1328</v>
      </c>
      <c r="F477" s="1139" t="s">
        <v>1455</v>
      </c>
      <c r="G477" s="15" t="s">
        <v>364</v>
      </c>
      <c r="H477" s="176">
        <v>534000000</v>
      </c>
      <c r="I477" s="185" t="s">
        <v>1498</v>
      </c>
      <c r="J477" s="113" t="str">
        <f>VLOOKUP($I477,'Price List, Weapons &amp; Items'!B:C,2,0)</f>
        <v>Portable defence system</v>
      </c>
      <c r="K477" s="113" t="str">
        <f>IF(I477=".",I477,VLOOKUP($I477,'Price List, Weapons &amp; Items'!B:D,3,0))</f>
        <v>Light Anti-armor Weapon (LAW)</v>
      </c>
      <c r="L477" s="177">
        <f>VLOOKUP(I477,'Price List, Weapons &amp; Items'!B:E,4,0)</f>
        <v>0</v>
      </c>
      <c r="M477" s="542">
        <v>3000</v>
      </c>
      <c r="N477" s="542">
        <v>3000</v>
      </c>
      <c r="O477" s="543">
        <f>VLOOKUP($I477,'Price List, Weapons &amp; Items'!B:G,6,0)</f>
        <v>11108</v>
      </c>
      <c r="P477" s="176">
        <f t="shared" si="90"/>
        <v>33324000</v>
      </c>
      <c r="Q477" s="176">
        <f t="shared" si="91"/>
        <v>33324000</v>
      </c>
      <c r="R477" s="176" t="str">
        <f t="shared" si="98"/>
        <v/>
      </c>
      <c r="S477" s="176" t="str">
        <f>IF(AND(AD477=1,R477&lt;&gt;".")=TRUE,R477/VLOOKUP(G477,'Exchange Rates'!B:C,2,0),IF(R477=".",".",""))</f>
        <v/>
      </c>
      <c r="T477" s="176" t="str">
        <f>IF(AD477=1,IF(AF477="Value is not given at all",".",IF(AF477="Value is given by the source",S477,IF(AF477="Value is calculated with prices",(IF(SUMIFS(Q:Q,A:A,A477)&gt;0,SUMIFS(Q:Q,A:A,A477),"."))/VLOOKUP("USD",'Exchange Rates'!B:C,2,0),"Error with coding"))),"")</f>
        <v/>
      </c>
      <c r="U477" s="15" t="s">
        <v>261</v>
      </c>
      <c r="V477" s="567" t="s">
        <v>1293</v>
      </c>
      <c r="W477" s="567" t="s">
        <v>1481</v>
      </c>
      <c r="X477" s="685" t="s">
        <v>260</v>
      </c>
      <c r="Y477" s="685" t="s">
        <v>260</v>
      </c>
      <c r="Z477" s="15">
        <v>0</v>
      </c>
      <c r="AA477" s="180">
        <v>1</v>
      </c>
      <c r="AB477" s="570" t="s">
        <v>1499</v>
      </c>
      <c r="AC477" s="544" t="str">
        <f>""</f>
        <v/>
      </c>
      <c r="AD477" s="183">
        <v>0</v>
      </c>
      <c r="AE477" s="183" t="s">
        <v>264</v>
      </c>
      <c r="AF477" s="183" t="s">
        <v>265</v>
      </c>
      <c r="AG477" s="183">
        <v>0</v>
      </c>
      <c r="AH477" s="183">
        <v>0</v>
      </c>
      <c r="AI477" s="183">
        <v>0</v>
      </c>
      <c r="AJ477" s="181">
        <f>VLOOKUP($I477,'Price List, Weapons &amp; Items'!B:F,5,0)</f>
        <v>0</v>
      </c>
      <c r="AK477" s="181">
        <f t="shared" si="92"/>
        <v>0</v>
      </c>
      <c r="AL477" s="181">
        <f t="shared" si="93"/>
        <v>0</v>
      </c>
      <c r="AM477" s="181">
        <f t="shared" si="94"/>
        <v>0</v>
      </c>
      <c r="AN477" s="180" t="str">
        <f>VLOOKUP($I477,'Price List, Weapons &amp; Items'!B:L,COLUMN('Price List, Weapons &amp; Items'!$J$11)-1,0)</f>
        <v>Military media (incl. websites)</v>
      </c>
      <c r="AO477" s="180" t="str">
        <f>IF(I477=".",".",VLOOKUP($I477,'Price List, Weapons &amp; Items'!B:J,3,0))</f>
        <v>Light Anti-armor Weapon (LAW)</v>
      </c>
      <c r="AP477" s="545" t="str">
        <f t="shared" ca="1" si="101"/>
        <v/>
      </c>
      <c r="AQ477" s="180">
        <f>VLOOKUP($I477,'Price List, Weapons &amp; Items'!B:L,COLUMN('Price List, Weapons &amp; Items'!$L$11)-1,0)</f>
        <v>2</v>
      </c>
      <c r="AR477" s="180">
        <f t="shared" si="95"/>
        <v>1</v>
      </c>
      <c r="AS477" s="180">
        <f t="shared" si="96"/>
        <v>1</v>
      </c>
      <c r="AT477" s="180" t="str">
        <f t="shared" si="97"/>
        <v>Value is not in date format</v>
      </c>
      <c r="AU477" s="180" t="str">
        <f t="shared" si="99"/>
        <v>.</v>
      </c>
      <c r="AV477" s="180" t="str">
        <f t="shared" si="100"/>
        <v>.</v>
      </c>
      <c r="AW477" s="180">
        <f>IFERROR(VLOOKUP(B477,'Share, Heavy Weapons to Ukraine'!B:J,COLUMN('Share, Heavy Weapons to Ukraine'!C486)-1,0),0)</f>
        <v>0</v>
      </c>
      <c r="AX477" s="180">
        <f>VLOOKUP('Bilateral Assistance, MAIN DATA'!B477,'Country Summary'!B:F,COLUMN('Country Summary'!C489)-1,FALSE)</f>
        <v>1</v>
      </c>
      <c r="AY477" s="180" t="str">
        <f>IF(AND(AD477=1,D477="Military",H477&lt;&gt;"Not given")=TRUE,IF(SUMIFS(P:P,A:A,A477)&gt;0,ABS((SUMIFS(P:P,A:A,A477)/VLOOKUP("USD",'Exchange Rates'!B:C,2,0)))/S477,"."),".")</f>
        <v>.</v>
      </c>
      <c r="AZ477" s="182" t="str">
        <f>IF(AND(AD477=1,D477="Military",H477&lt;&gt;"Not given")=TRUE,IF(SUMIFS(P:P,A:A,A477)&gt;0,IF((ABS((SUMIFS(P:P,A:A,A477)/VLOOKUP("USD",'Exchange Rates'!B:C,2,0)))/S477)&gt;1,(SUMIFS(P:P,A:A,A477)-S477)/S477,(S477-SUMIFS(P:P,A:A,A477))/SUMIFS(P:P,A:A,A477)),"."),".")</f>
        <v>.</v>
      </c>
      <c r="BA477" s="182"/>
      <c r="BB477" s="182"/>
      <c r="BC477" s="182"/>
      <c r="BD477" s="182"/>
      <c r="BE477" s="182"/>
      <c r="BF477" s="182"/>
      <c r="BG477" s="182"/>
      <c r="BH477" s="182"/>
      <c r="BI477" s="182"/>
      <c r="BJ477" s="182"/>
      <c r="BK477" s="182"/>
      <c r="BL477" s="182"/>
      <c r="BM477" s="182"/>
      <c r="BN477" s="182"/>
      <c r="BO477" s="182"/>
      <c r="BP477" s="182"/>
      <c r="BQ477" s="182"/>
      <c r="BR477" s="182"/>
      <c r="BS477" s="182"/>
    </row>
    <row r="478" spans="1:71" ht="15.9" customHeight="1" x14ac:dyDescent="0.3">
      <c r="A478" s="17" t="s">
        <v>1454</v>
      </c>
      <c r="B478" s="5" t="s">
        <v>1288</v>
      </c>
      <c r="C478" s="174" t="s">
        <v>1327</v>
      </c>
      <c r="D478" s="5" t="s">
        <v>285</v>
      </c>
      <c r="E478" s="5" t="s">
        <v>1328</v>
      </c>
      <c r="F478" s="1139" t="s">
        <v>1455</v>
      </c>
      <c r="G478" s="15" t="s">
        <v>364</v>
      </c>
      <c r="H478" s="176">
        <v>534000000</v>
      </c>
      <c r="I478" s="185" t="s">
        <v>1500</v>
      </c>
      <c r="J478" s="113" t="str">
        <f>VLOOKUP($I478,'Price List, Weapons &amp; Items'!B:C,2,0)</f>
        <v>Military equipment</v>
      </c>
      <c r="K478" s="113" t="str">
        <f>IF(I478=".",I478,VLOOKUP($I478,'Price List, Weapons &amp; Items'!B:D,3,0))</f>
        <v>Military equipment</v>
      </c>
      <c r="L478" s="177">
        <f>VLOOKUP(I478,'Price List, Weapons &amp; Items'!B:E,4,0)</f>
        <v>0</v>
      </c>
      <c r="M478" s="542">
        <v>900</v>
      </c>
      <c r="N478" s="542">
        <v>900</v>
      </c>
      <c r="O478" s="543" t="str">
        <f>VLOOKUP($I478,'Price List, Weapons &amp; Items'!B:G,6,0)</f>
        <v>.</v>
      </c>
      <c r="P478" s="176" t="str">
        <f t="shared" si="90"/>
        <v>No price</v>
      </c>
      <c r="Q478" s="176" t="str">
        <f t="shared" si="91"/>
        <v>No price</v>
      </c>
      <c r="R478" s="176" t="str">
        <f t="shared" si="98"/>
        <v/>
      </c>
      <c r="S478" s="176" t="str">
        <f>IF(AND(AD478=1,R478&lt;&gt;".")=TRUE,R478/VLOOKUP(G478,'Exchange Rates'!B:C,2,0),IF(R478=".",".",""))</f>
        <v/>
      </c>
      <c r="T478" s="176" t="str">
        <f>IF(AD478=1,IF(AF478="Value is not given at all",".",IF(AF478="Value is given by the source",S478,IF(AF478="Value is calculated with prices",(IF(SUMIFS(Q:Q,A:A,A478)&gt;0,SUMIFS(Q:Q,A:A,A478),"."))/VLOOKUP("USD",'Exchange Rates'!B:C,2,0),"Error with coding"))),"")</f>
        <v/>
      </c>
      <c r="U478" s="15" t="s">
        <v>261</v>
      </c>
      <c r="V478" s="567" t="s">
        <v>1293</v>
      </c>
      <c r="W478" s="567" t="s">
        <v>1501</v>
      </c>
      <c r="X478" s="685" t="s">
        <v>260</v>
      </c>
      <c r="Y478" s="685" t="s">
        <v>260</v>
      </c>
      <c r="Z478" s="15">
        <v>0</v>
      </c>
      <c r="AA478" s="180">
        <v>1</v>
      </c>
      <c r="AB478" s="570" t="s">
        <v>1502</v>
      </c>
      <c r="AC478" s="544" t="str">
        <f>""</f>
        <v/>
      </c>
      <c r="AD478" s="183">
        <v>0</v>
      </c>
      <c r="AE478" s="183" t="s">
        <v>264</v>
      </c>
      <c r="AF478" s="183" t="s">
        <v>265</v>
      </c>
      <c r="AG478" s="183">
        <v>0</v>
      </c>
      <c r="AH478" s="183">
        <v>0</v>
      </c>
      <c r="AI478" s="183">
        <v>0</v>
      </c>
      <c r="AJ478" s="181">
        <f>VLOOKUP($I478,'Price List, Weapons &amp; Items'!B:F,5,0)</f>
        <v>0</v>
      </c>
      <c r="AK478" s="181">
        <f t="shared" si="92"/>
        <v>0</v>
      </c>
      <c r="AL478" s="181">
        <f t="shared" si="93"/>
        <v>0</v>
      </c>
      <c r="AM478" s="181">
        <f t="shared" si="94"/>
        <v>0</v>
      </c>
      <c r="AN478" s="180" t="str">
        <f>VLOOKUP($I478,'Price List, Weapons &amp; Items'!B:L,COLUMN('Price List, Weapons &amp; Items'!$J$11)-1,0)</f>
        <v>.</v>
      </c>
      <c r="AO478" s="180" t="str">
        <f>IF(I478=".",".",VLOOKUP($I478,'Price List, Weapons &amp; Items'!B:J,3,0))</f>
        <v>Military equipment</v>
      </c>
      <c r="AP478" s="545" t="str">
        <f t="shared" ca="1" si="101"/>
        <v/>
      </c>
      <c r="AQ478" s="180">
        <f>VLOOKUP($I478,'Price List, Weapons &amp; Items'!B:L,COLUMN('Price List, Weapons &amp; Items'!$L$11)-1,0)</f>
        <v>0</v>
      </c>
      <c r="AR478" s="180">
        <f t="shared" si="95"/>
        <v>1</v>
      </c>
      <c r="AS478" s="180">
        <f t="shared" si="96"/>
        <v>1</v>
      </c>
      <c r="AT478" s="180" t="str">
        <f t="shared" si="97"/>
        <v>Value is not in date format</v>
      </c>
      <c r="AU478" s="180" t="str">
        <f t="shared" si="99"/>
        <v>.</v>
      </c>
      <c r="AV478" s="180" t="str">
        <f t="shared" si="100"/>
        <v>.</v>
      </c>
      <c r="AW478" s="180">
        <f>IFERROR(VLOOKUP(B478,'Share, Heavy Weapons to Ukraine'!B:J,COLUMN('Share, Heavy Weapons to Ukraine'!C487)-1,0),0)</f>
        <v>0</v>
      </c>
      <c r="AX478" s="180">
        <f>VLOOKUP('Bilateral Assistance, MAIN DATA'!B478,'Country Summary'!B:F,COLUMN('Country Summary'!C490)-1,FALSE)</f>
        <v>1</v>
      </c>
      <c r="AY478" s="180" t="str">
        <f>IF(AND(AD478=1,D478="Military",H478&lt;&gt;"Not given")=TRUE,IF(SUMIFS(P:P,A:A,A478)&gt;0,ABS((SUMIFS(P:P,A:A,A478)/VLOOKUP("USD",'Exchange Rates'!B:C,2,0)))/S478,"."),".")</f>
        <v>.</v>
      </c>
      <c r="AZ478" s="182" t="str">
        <f>IF(AND(AD478=1,D478="Military",H478&lt;&gt;"Not given")=TRUE,IF(SUMIFS(P:P,A:A,A478)&gt;0,IF((ABS((SUMIFS(P:P,A:A,A478)/VLOOKUP("USD",'Exchange Rates'!B:C,2,0)))/S478)&gt;1,(SUMIFS(P:P,A:A,A478)-S478)/S478,(S478-SUMIFS(P:P,A:A,A478))/SUMIFS(P:P,A:A,A478)),"."),".")</f>
        <v>.</v>
      </c>
      <c r="BA478" s="182"/>
      <c r="BB478" s="182"/>
      <c r="BC478" s="182"/>
      <c r="BD478" s="182"/>
      <c r="BE478" s="182"/>
      <c r="BF478" s="182"/>
      <c r="BG478" s="182"/>
      <c r="BH478" s="182"/>
      <c r="BI478" s="182"/>
      <c r="BJ478" s="182"/>
      <c r="BK478" s="182"/>
      <c r="BL478" s="182"/>
      <c r="BM478" s="182"/>
      <c r="BN478" s="182"/>
      <c r="BO478" s="182"/>
      <c r="BP478" s="182"/>
      <c r="BQ478" s="182"/>
      <c r="BR478" s="182"/>
      <c r="BS478" s="182"/>
    </row>
    <row r="479" spans="1:71" ht="15.9" customHeight="1" x14ac:dyDescent="0.3">
      <c r="A479" s="17" t="s">
        <v>1454</v>
      </c>
      <c r="B479" s="5" t="s">
        <v>1288</v>
      </c>
      <c r="C479" s="174" t="s">
        <v>1327</v>
      </c>
      <c r="D479" s="5" t="s">
        <v>285</v>
      </c>
      <c r="E479" s="5" t="s">
        <v>1328</v>
      </c>
      <c r="F479" s="1139" t="s">
        <v>1455</v>
      </c>
      <c r="G479" s="15" t="s">
        <v>364</v>
      </c>
      <c r="H479" s="176">
        <v>534000000</v>
      </c>
      <c r="I479" s="185" t="s">
        <v>1503</v>
      </c>
      <c r="J479" s="113" t="str">
        <f>VLOOKUP($I479,'Price List, Weapons &amp; Items'!B:C,2,0)</f>
        <v>Military equipment</v>
      </c>
      <c r="K479" s="113" t="str">
        <f>IF(I479=".",I479,VLOOKUP($I479,'Price List, Weapons &amp; Items'!B:D,3,0))</f>
        <v>mine</v>
      </c>
      <c r="L479" s="177">
        <f>VLOOKUP(I479,'Price List, Weapons &amp; Items'!B:E,4,0)</f>
        <v>0</v>
      </c>
      <c r="M479" s="542">
        <v>14900</v>
      </c>
      <c r="N479" s="542">
        <v>14900</v>
      </c>
      <c r="O479" s="543">
        <f>VLOOKUP($I479,'Price List, Weapons &amp; Items'!B:G,6,0)</f>
        <v>1300</v>
      </c>
      <c r="P479" s="176">
        <f t="shared" si="90"/>
        <v>19370000</v>
      </c>
      <c r="Q479" s="176">
        <f t="shared" si="91"/>
        <v>19370000</v>
      </c>
      <c r="R479" s="176" t="str">
        <f t="shared" si="98"/>
        <v/>
      </c>
      <c r="S479" s="176" t="str">
        <f>IF(AND(AD479=1,R479&lt;&gt;".")=TRUE,R479/VLOOKUP(G479,'Exchange Rates'!B:C,2,0),IF(R479=".",".",""))</f>
        <v/>
      </c>
      <c r="T479" s="176" t="str">
        <f>IF(AD479=1,IF(AF479="Value is not given at all",".",IF(AF479="Value is given by the source",S479,IF(AF479="Value is calculated with prices",(IF(SUMIFS(Q:Q,A:A,A479)&gt;0,SUMIFS(Q:Q,A:A,A479),"."))/VLOOKUP("USD",'Exchange Rates'!B:C,2,0),"Error with coding"))),"")</f>
        <v/>
      </c>
      <c r="U479" s="15" t="s">
        <v>261</v>
      </c>
      <c r="V479" s="567" t="s">
        <v>1293</v>
      </c>
      <c r="W479" s="567" t="s">
        <v>1483</v>
      </c>
      <c r="X479" s="685" t="s">
        <v>260</v>
      </c>
      <c r="Y479" s="685" t="s">
        <v>260</v>
      </c>
      <c r="Z479" s="15">
        <v>0</v>
      </c>
      <c r="AA479" s="180">
        <v>1</v>
      </c>
      <c r="AB479" s="570" t="s">
        <v>1504</v>
      </c>
      <c r="AC479" s="544" t="str">
        <f>""</f>
        <v/>
      </c>
      <c r="AD479" s="183">
        <v>0</v>
      </c>
      <c r="AE479" s="183" t="s">
        <v>264</v>
      </c>
      <c r="AF479" s="183" t="s">
        <v>265</v>
      </c>
      <c r="AG479" s="183">
        <v>0</v>
      </c>
      <c r="AH479" s="183">
        <v>0</v>
      </c>
      <c r="AI479" s="183">
        <v>0</v>
      </c>
      <c r="AJ479" s="181">
        <f>VLOOKUP($I479,'Price List, Weapons &amp; Items'!B:F,5,0)</f>
        <v>0</v>
      </c>
      <c r="AK479" s="181">
        <f t="shared" si="92"/>
        <v>0</v>
      </c>
      <c r="AL479" s="181">
        <f t="shared" si="93"/>
        <v>0</v>
      </c>
      <c r="AM479" s="181">
        <f t="shared" si="94"/>
        <v>0</v>
      </c>
      <c r="AN479" s="180" t="str">
        <f>VLOOKUP($I479,'Price List, Weapons &amp; Items'!B:L,COLUMN('Price List, Weapons &amp; Items'!$J$11)-1,0)</f>
        <v>Source mentions price between 1200 and 1400 USD per piece, we average at 1300.</v>
      </c>
      <c r="AO479" s="180" t="str">
        <f>IF(I479=".",".",VLOOKUP($I479,'Price List, Weapons &amp; Items'!B:J,3,0))</f>
        <v>mine</v>
      </c>
      <c r="AP479" s="545" t="str">
        <f t="shared" ca="1" si="101"/>
        <v/>
      </c>
      <c r="AQ479" s="180">
        <f>VLOOKUP($I479,'Price List, Weapons &amp; Items'!B:L,COLUMN('Price List, Weapons &amp; Items'!$L$11)-1,0)</f>
        <v>2</v>
      </c>
      <c r="AR479" s="180">
        <f t="shared" si="95"/>
        <v>1</v>
      </c>
      <c r="AS479" s="180">
        <f t="shared" si="96"/>
        <v>1</v>
      </c>
      <c r="AT479" s="180" t="str">
        <f t="shared" si="97"/>
        <v>Value is not in date format</v>
      </c>
      <c r="AU479" s="180" t="str">
        <f t="shared" si="99"/>
        <v>.</v>
      </c>
      <c r="AV479" s="180" t="str">
        <f t="shared" si="100"/>
        <v>.</v>
      </c>
      <c r="AW479" s="180">
        <f>IFERROR(VLOOKUP(B479,'Share, Heavy Weapons to Ukraine'!B:J,COLUMN('Share, Heavy Weapons to Ukraine'!C488)-1,0),0)</f>
        <v>0</v>
      </c>
      <c r="AX479" s="180">
        <f>VLOOKUP('Bilateral Assistance, MAIN DATA'!B479,'Country Summary'!B:F,COLUMN('Country Summary'!C491)-1,FALSE)</f>
        <v>1</v>
      </c>
      <c r="AY479" s="180" t="str">
        <f>IF(AND(AD479=1,D479="Military",H479&lt;&gt;"Not given")=TRUE,IF(SUMIFS(P:P,A:A,A479)&gt;0,ABS((SUMIFS(P:P,A:A,A479)/VLOOKUP("USD",'Exchange Rates'!B:C,2,0)))/S479,"."),".")</f>
        <v>.</v>
      </c>
      <c r="AZ479" s="182" t="str">
        <f>IF(AND(AD479=1,D479="Military",H479&lt;&gt;"Not given")=TRUE,IF(SUMIFS(P:P,A:A,A479)&gt;0,IF((ABS((SUMIFS(P:P,A:A,A479)/VLOOKUP("USD",'Exchange Rates'!B:C,2,0)))/S479)&gt;1,(SUMIFS(P:P,A:A,A479)-S479)/S479,(S479-SUMIFS(P:P,A:A,A479))/SUMIFS(P:P,A:A,A479)),"."),".")</f>
        <v>.</v>
      </c>
      <c r="BA479" s="182"/>
      <c r="BB479" s="182"/>
      <c r="BC479" s="182"/>
      <c r="BD479" s="182"/>
      <c r="BE479" s="182"/>
      <c r="BF479" s="182"/>
      <c r="BG479" s="182"/>
      <c r="BH479" s="182"/>
      <c r="BI479" s="182"/>
      <c r="BJ479" s="182"/>
      <c r="BK479" s="182"/>
      <c r="BL479" s="182"/>
      <c r="BM479" s="182"/>
      <c r="BN479" s="182"/>
      <c r="BO479" s="182"/>
      <c r="BP479" s="182"/>
      <c r="BQ479" s="182"/>
      <c r="BR479" s="182"/>
      <c r="BS479" s="182"/>
    </row>
    <row r="480" spans="1:71" ht="15.9" customHeight="1" x14ac:dyDescent="0.3">
      <c r="A480" s="17" t="s">
        <v>1454</v>
      </c>
      <c r="B480" s="5" t="s">
        <v>1288</v>
      </c>
      <c r="C480" s="174" t="s">
        <v>1327</v>
      </c>
      <c r="D480" s="5" t="s">
        <v>285</v>
      </c>
      <c r="E480" s="5" t="s">
        <v>1328</v>
      </c>
      <c r="F480" s="1139" t="s">
        <v>1455</v>
      </c>
      <c r="G480" s="15" t="s">
        <v>364</v>
      </c>
      <c r="H480" s="176">
        <v>534000000</v>
      </c>
      <c r="I480" s="185" t="s">
        <v>895</v>
      </c>
      <c r="J480" s="113" t="str">
        <f>VLOOKUP($I480,'Price List, Weapons &amp; Items'!B:C,2,0)</f>
        <v>Portable defence system</v>
      </c>
      <c r="K480" s="113" t="str">
        <f>IF(I480=".",I480,VLOOKUP($I480,'Price List, Weapons &amp; Items'!B:D,3,0))</f>
        <v>MANPADS</v>
      </c>
      <c r="L480" s="177">
        <f>VLOOKUP(I480,'Price List, Weapons &amp; Items'!B:E,4,0)</f>
        <v>0</v>
      </c>
      <c r="M480" s="542">
        <v>500</v>
      </c>
      <c r="N480" s="542">
        <v>500</v>
      </c>
      <c r="O480" s="543">
        <f>VLOOKUP($I480,'Price List, Weapons &amp; Items'!B:G,6,0)</f>
        <v>119000</v>
      </c>
      <c r="P480" s="176">
        <f t="shared" si="90"/>
        <v>59500000</v>
      </c>
      <c r="Q480" s="176">
        <f t="shared" si="91"/>
        <v>59500000</v>
      </c>
      <c r="R480" s="176" t="str">
        <f t="shared" si="98"/>
        <v/>
      </c>
      <c r="S480" s="176" t="str">
        <f>IF(AND(AD480=1,R480&lt;&gt;".")=TRUE,R480/VLOOKUP(G480,'Exchange Rates'!B:C,2,0),IF(R480=".",".",""))</f>
        <v/>
      </c>
      <c r="T480" s="176" t="str">
        <f>IF(AD480=1,IF(AF480="Value is not given at all",".",IF(AF480="Value is given by the source",S480,IF(AF480="Value is calculated with prices",(IF(SUMIFS(Q:Q,A:A,A480)&gt;0,SUMIFS(Q:Q,A:A,A480),"."))/VLOOKUP("USD",'Exchange Rates'!B:C,2,0),"Error with coding"))),"")</f>
        <v/>
      </c>
      <c r="U480" s="15" t="s">
        <v>261</v>
      </c>
      <c r="V480" s="567" t="s">
        <v>1293</v>
      </c>
      <c r="W480" s="567" t="s">
        <v>1485</v>
      </c>
      <c r="X480" s="685" t="s">
        <v>260</v>
      </c>
      <c r="Y480" s="685" t="s">
        <v>260</v>
      </c>
      <c r="Z480" s="15">
        <v>0</v>
      </c>
      <c r="AA480" s="180">
        <v>1</v>
      </c>
      <c r="AB480" s="570" t="s">
        <v>1505</v>
      </c>
      <c r="AC480" s="544" t="str">
        <f>""</f>
        <v/>
      </c>
      <c r="AD480" s="183">
        <v>0</v>
      </c>
      <c r="AE480" s="183" t="s">
        <v>264</v>
      </c>
      <c r="AF480" s="183" t="s">
        <v>265</v>
      </c>
      <c r="AG480" s="183">
        <v>0</v>
      </c>
      <c r="AH480" s="183">
        <v>0</v>
      </c>
      <c r="AI480" s="183">
        <v>0</v>
      </c>
      <c r="AJ480" s="181">
        <f>VLOOKUP($I480,'Price List, Weapons &amp; Items'!B:F,5,0)</f>
        <v>0</v>
      </c>
      <c r="AK480" s="181">
        <f t="shared" si="92"/>
        <v>0</v>
      </c>
      <c r="AL480" s="181">
        <f t="shared" si="93"/>
        <v>0</v>
      </c>
      <c r="AM480" s="181">
        <f t="shared" si="94"/>
        <v>0</v>
      </c>
      <c r="AN480" s="180" t="str">
        <f>VLOOKUP($I480,'Price List, Weapons &amp; Items'!B:L,COLUMN('Price List, Weapons &amp; Items'!$J$11)-1,0)</f>
        <v>Miscellaneous</v>
      </c>
      <c r="AO480" s="180" t="str">
        <f>IF(I480=".",".",VLOOKUP($I480,'Price List, Weapons &amp; Items'!B:J,3,0))</f>
        <v>MANPADS</v>
      </c>
      <c r="AP480" s="545" t="str">
        <f t="shared" ca="1" si="101"/>
        <v/>
      </c>
      <c r="AQ480" s="180">
        <f>VLOOKUP($I480,'Price List, Weapons &amp; Items'!B:L,COLUMN('Price List, Weapons &amp; Items'!$L$11)-1,0)</f>
        <v>2</v>
      </c>
      <c r="AR480" s="180">
        <f t="shared" si="95"/>
        <v>1</v>
      </c>
      <c r="AS480" s="180">
        <f t="shared" si="96"/>
        <v>1</v>
      </c>
      <c r="AT480" s="180" t="str">
        <f t="shared" si="97"/>
        <v>Value is not in date format</v>
      </c>
      <c r="AU480" s="180" t="str">
        <f t="shared" si="99"/>
        <v>.</v>
      </c>
      <c r="AV480" s="180" t="str">
        <f t="shared" si="100"/>
        <v>.</v>
      </c>
      <c r="AW480" s="180">
        <f>IFERROR(VLOOKUP(B480,'Share, Heavy Weapons to Ukraine'!B:J,COLUMN('Share, Heavy Weapons to Ukraine'!C489)-1,0),0)</f>
        <v>0</v>
      </c>
      <c r="AX480" s="180">
        <f>VLOOKUP('Bilateral Assistance, MAIN DATA'!B480,'Country Summary'!B:F,COLUMN('Country Summary'!C492)-1,FALSE)</f>
        <v>1</v>
      </c>
      <c r="AY480" s="180" t="str">
        <f>IF(AND(AD480=1,D480="Military",H480&lt;&gt;"Not given")=TRUE,IF(SUMIFS(P:P,A:A,A480)&gt;0,ABS((SUMIFS(P:P,A:A,A480)/VLOOKUP("USD",'Exchange Rates'!B:C,2,0)))/S480,"."),".")</f>
        <v>.</v>
      </c>
      <c r="AZ480" s="182" t="str">
        <f>IF(AND(AD480=1,D480="Military",H480&lt;&gt;"Not given")=TRUE,IF(SUMIFS(P:P,A:A,A480)&gt;0,IF((ABS((SUMIFS(P:P,A:A,A480)/VLOOKUP("USD",'Exchange Rates'!B:C,2,0)))/S480)&gt;1,(SUMIFS(P:P,A:A,A480)-S480)/S480,(S480-SUMIFS(P:P,A:A,A480))/SUMIFS(P:P,A:A,A480)),"."),".")</f>
        <v>.</v>
      </c>
      <c r="BA480" s="182"/>
      <c r="BB480" s="182"/>
      <c r="BC480" s="182"/>
      <c r="BD480" s="182"/>
      <c r="BE480" s="182"/>
      <c r="BF480" s="182"/>
      <c r="BG480" s="182"/>
      <c r="BH480" s="182"/>
      <c r="BI480" s="182"/>
      <c r="BJ480" s="182"/>
      <c r="BK480" s="182"/>
      <c r="BL480" s="182"/>
      <c r="BM480" s="182"/>
      <c r="BN480" s="182"/>
      <c r="BO480" s="182"/>
      <c r="BP480" s="182"/>
      <c r="BQ480" s="182"/>
      <c r="BR480" s="182"/>
      <c r="BS480" s="182"/>
    </row>
    <row r="481" spans="1:71" ht="15.9" customHeight="1" x14ac:dyDescent="0.3">
      <c r="A481" s="17" t="s">
        <v>1454</v>
      </c>
      <c r="B481" s="5" t="s">
        <v>1288</v>
      </c>
      <c r="C481" s="174" t="s">
        <v>1327</v>
      </c>
      <c r="D481" s="5" t="s">
        <v>285</v>
      </c>
      <c r="E481" s="5" t="s">
        <v>1328</v>
      </c>
      <c r="F481" s="1139" t="s">
        <v>1455</v>
      </c>
      <c r="G481" s="15" t="s">
        <v>364</v>
      </c>
      <c r="H481" s="176">
        <v>534000000</v>
      </c>
      <c r="I481" s="185" t="s">
        <v>1506</v>
      </c>
      <c r="J481" s="113" t="str">
        <f>VLOOKUP($I481,'Price List, Weapons &amp; Items'!B:C,2,0)</f>
        <v>Portable defence system</v>
      </c>
      <c r="K481" s="113" t="str">
        <f>IF(I481=".",I481,VLOOKUP($I481,'Price List, Weapons &amp; Items'!B:D,3,0))</f>
        <v>Light Anti-armor Weapon (LAW)</v>
      </c>
      <c r="L481" s="177">
        <f>VLOOKUP(I481,'Price List, Weapons &amp; Items'!B:E,4,0)</f>
        <v>0</v>
      </c>
      <c r="M481" s="542">
        <v>2700</v>
      </c>
      <c r="N481" s="542">
        <v>2700</v>
      </c>
      <c r="O481" s="543">
        <f>VLOOKUP($I481,'Price List, Weapons &amp; Items'!B:G,6,0)</f>
        <v>120000</v>
      </c>
      <c r="P481" s="176">
        <f t="shared" si="90"/>
        <v>324000000</v>
      </c>
      <c r="Q481" s="176">
        <f t="shared" si="91"/>
        <v>324000000</v>
      </c>
      <c r="R481" s="176" t="str">
        <f t="shared" si="98"/>
        <v/>
      </c>
      <c r="S481" s="176" t="str">
        <f>IF(AND(AD481=1,R481&lt;&gt;".")=TRUE,R481/VLOOKUP(G481,'Exchange Rates'!B:C,2,0),IF(R481=".",".",""))</f>
        <v/>
      </c>
      <c r="T481" s="176" t="str">
        <f>IF(AD481=1,IF(AF481="Value is not given at all",".",IF(AF481="Value is given by the source",S481,IF(AF481="Value is calculated with prices",(IF(SUMIFS(Q:Q,A:A,A481)&gt;0,SUMIFS(Q:Q,A:A,A481),"."))/VLOOKUP("USD",'Exchange Rates'!B:C,2,0),"Error with coding"))),"")</f>
        <v/>
      </c>
      <c r="U481" s="15" t="s">
        <v>261</v>
      </c>
      <c r="V481" s="567" t="s">
        <v>1293</v>
      </c>
      <c r="W481" s="567" t="s">
        <v>1488</v>
      </c>
      <c r="X481" s="685" t="s">
        <v>260</v>
      </c>
      <c r="Y481" s="685" t="s">
        <v>260</v>
      </c>
      <c r="Z481" s="15">
        <v>0</v>
      </c>
      <c r="AA481" s="180">
        <v>1</v>
      </c>
      <c r="AB481" s="570" t="s">
        <v>1507</v>
      </c>
      <c r="AC481" s="544" t="str">
        <f>""</f>
        <v/>
      </c>
      <c r="AD481" s="183">
        <v>0</v>
      </c>
      <c r="AE481" s="183" t="s">
        <v>264</v>
      </c>
      <c r="AF481" s="183" t="s">
        <v>265</v>
      </c>
      <c r="AG481" s="183">
        <v>0</v>
      </c>
      <c r="AH481" s="183">
        <v>0</v>
      </c>
      <c r="AI481" s="183">
        <v>0</v>
      </c>
      <c r="AJ481" s="181">
        <f>VLOOKUP($I481,'Price List, Weapons &amp; Items'!B:F,5,0)</f>
        <v>1</v>
      </c>
      <c r="AK481" s="181">
        <f t="shared" si="92"/>
        <v>0</v>
      </c>
      <c r="AL481" s="181">
        <f t="shared" si="93"/>
        <v>0</v>
      </c>
      <c r="AM481" s="181">
        <f t="shared" si="94"/>
        <v>0</v>
      </c>
      <c r="AN481" s="180" t="str">
        <f>VLOOKUP($I481,'Price List, Weapons &amp; Items'!B:L,COLUMN('Price List, Weapons &amp; Items'!$J$11)-1,0)</f>
        <v>.</v>
      </c>
      <c r="AO481" s="180" t="str">
        <f>IF(I481=".",".",VLOOKUP($I481,'Price List, Weapons &amp; Items'!B:J,3,0))</f>
        <v>Light Anti-armor Weapon (LAW)</v>
      </c>
      <c r="AP481" s="545" t="str">
        <f t="shared" ca="1" si="101"/>
        <v/>
      </c>
      <c r="AQ481" s="180">
        <f>VLOOKUP($I481,'Price List, Weapons &amp; Items'!B:L,COLUMN('Price List, Weapons &amp; Items'!$L$11)-1,0)</f>
        <v>2</v>
      </c>
      <c r="AR481" s="180">
        <f t="shared" si="95"/>
        <v>1</v>
      </c>
      <c r="AS481" s="180">
        <f t="shared" si="96"/>
        <v>1</v>
      </c>
      <c r="AT481" s="180" t="str">
        <f t="shared" si="97"/>
        <v>Value is not in date format</v>
      </c>
      <c r="AU481" s="180" t="str">
        <f t="shared" si="99"/>
        <v>.</v>
      </c>
      <c r="AV481" s="180" t="str">
        <f t="shared" si="100"/>
        <v>.</v>
      </c>
      <c r="AW481" s="180">
        <f>IFERROR(VLOOKUP(B481,'Share, Heavy Weapons to Ukraine'!B:J,COLUMN('Share, Heavy Weapons to Ukraine'!C490)-1,0),0)</f>
        <v>0</v>
      </c>
      <c r="AX481" s="180">
        <f>VLOOKUP('Bilateral Assistance, MAIN DATA'!B481,'Country Summary'!B:F,COLUMN('Country Summary'!C493)-1,FALSE)</f>
        <v>1</v>
      </c>
      <c r="AY481" s="180" t="str">
        <f>IF(AND(AD481=1,D481="Military",H481&lt;&gt;"Not given")=TRUE,IF(SUMIFS(P:P,A:A,A481)&gt;0,ABS((SUMIFS(P:P,A:A,A481)/VLOOKUP("USD",'Exchange Rates'!B:C,2,0)))/S481,"."),".")</f>
        <v>.</v>
      </c>
      <c r="AZ481" s="182" t="str">
        <f>IF(AND(AD481=1,D481="Military",H481&lt;&gt;"Not given")=TRUE,IF(SUMIFS(P:P,A:A,A481)&gt;0,IF((ABS((SUMIFS(P:P,A:A,A481)/VLOOKUP("USD",'Exchange Rates'!B:C,2,0)))/S481)&gt;1,(SUMIFS(P:P,A:A,A481)-S481)/S481,(S481-SUMIFS(P:P,A:A,A481))/SUMIFS(P:P,A:A,A481)),"."),".")</f>
        <v>.</v>
      </c>
      <c r="BA481" s="182"/>
      <c r="BB481" s="182"/>
      <c r="BC481" s="182"/>
      <c r="BD481" s="182"/>
      <c r="BE481" s="182"/>
      <c r="BF481" s="182"/>
      <c r="BG481" s="182"/>
      <c r="BH481" s="182"/>
      <c r="BI481" s="182"/>
      <c r="BJ481" s="182"/>
      <c r="BK481" s="182"/>
      <c r="BL481" s="182"/>
      <c r="BM481" s="182"/>
      <c r="BN481" s="182"/>
      <c r="BO481" s="182"/>
      <c r="BP481" s="182"/>
      <c r="BQ481" s="182"/>
      <c r="BR481" s="182"/>
      <c r="BS481" s="182"/>
    </row>
    <row r="482" spans="1:71" ht="15.9" customHeight="1" x14ac:dyDescent="0.3">
      <c r="A482" s="17" t="s">
        <v>1454</v>
      </c>
      <c r="B482" s="5" t="s">
        <v>1288</v>
      </c>
      <c r="C482" s="174" t="s">
        <v>1327</v>
      </c>
      <c r="D482" s="5" t="s">
        <v>285</v>
      </c>
      <c r="E482" s="5" t="s">
        <v>1328</v>
      </c>
      <c r="F482" s="1139" t="s">
        <v>1455</v>
      </c>
      <c r="G482" s="15" t="s">
        <v>364</v>
      </c>
      <c r="H482" s="176">
        <v>534000000</v>
      </c>
      <c r="I482" s="185" t="s">
        <v>1508</v>
      </c>
      <c r="J482" s="113" t="str">
        <f>VLOOKUP($I482,'Price List, Weapons &amp; Items'!B:C,2,0)</f>
        <v>Ammunition for light infantry</v>
      </c>
      <c r="K482" s="113" t="str">
        <f>IF(I482=".",I482,VLOOKUP($I482,'Price List, Weapons &amp; Items'!B:D,3,0))</f>
        <v>Small Arms and Light Weapons (SALW) ammunition</v>
      </c>
      <c r="L482" s="177">
        <f>VLOOKUP(I482,'Price List, Weapons &amp; Items'!B:E,4,0)</f>
        <v>0</v>
      </c>
      <c r="M482" s="542">
        <v>22000000</v>
      </c>
      <c r="N482" s="542">
        <v>22000000</v>
      </c>
      <c r="O482" s="543">
        <f>VLOOKUP($I482,'Price List, Weapons &amp; Items'!B:G,6,0)</f>
        <v>5</v>
      </c>
      <c r="P482" s="176">
        <f t="shared" si="90"/>
        <v>110000000</v>
      </c>
      <c r="Q482" s="176">
        <f t="shared" si="91"/>
        <v>110000000</v>
      </c>
      <c r="R482" s="176" t="str">
        <f t="shared" si="98"/>
        <v/>
      </c>
      <c r="S482" s="176" t="str">
        <f>IF(AND(AD482=1,R482&lt;&gt;".")=TRUE,R482/VLOOKUP(G482,'Exchange Rates'!B:C,2,0),IF(R482=".",".",""))</f>
        <v/>
      </c>
      <c r="T482" s="176" t="str">
        <f>IF(AD482=1,IF(AF482="Value is not given at all",".",IF(AF482="Value is given by the source",S482,IF(AF482="Value is calculated with prices",(IF(SUMIFS(Q:Q,A:A,A482)&gt;0,SUMIFS(Q:Q,A:A,A482),"."))/VLOOKUP("USD",'Exchange Rates'!B:C,2,0),"Error with coding"))),"")</f>
        <v/>
      </c>
      <c r="U482" s="15" t="s">
        <v>261</v>
      </c>
      <c r="V482" s="567" t="s">
        <v>1293</v>
      </c>
      <c r="W482" s="567" t="s">
        <v>1490</v>
      </c>
      <c r="X482" s="685" t="s">
        <v>260</v>
      </c>
      <c r="Y482" s="685" t="s">
        <v>260</v>
      </c>
      <c r="Z482" s="15">
        <v>0</v>
      </c>
      <c r="AA482" s="180">
        <v>1</v>
      </c>
      <c r="AB482" s="570" t="s">
        <v>1509</v>
      </c>
      <c r="AC482" s="544" t="str">
        <f>""</f>
        <v/>
      </c>
      <c r="AD482" s="183">
        <v>0</v>
      </c>
      <c r="AE482" s="183" t="s">
        <v>264</v>
      </c>
      <c r="AF482" s="183" t="s">
        <v>265</v>
      </c>
      <c r="AG482" s="183">
        <v>0</v>
      </c>
      <c r="AH482" s="183">
        <v>0</v>
      </c>
      <c r="AI482" s="183">
        <v>0</v>
      </c>
      <c r="AJ482" s="181">
        <f>VLOOKUP($I482,'Price List, Weapons &amp; Items'!B:F,5,0)</f>
        <v>0</v>
      </c>
      <c r="AK482" s="181">
        <f t="shared" si="92"/>
        <v>0</v>
      </c>
      <c r="AL482" s="181">
        <f t="shared" si="93"/>
        <v>0</v>
      </c>
      <c r="AM482" s="181">
        <f t="shared" si="94"/>
        <v>1</v>
      </c>
      <c r="AN482" s="180" t="str">
        <f>VLOOKUP($I482,'Price List, Weapons &amp; Items'!B:L,COLUMN('Price List, Weapons &amp; Items'!$J$11)-1,0)</f>
        <v>Miscellaneous</v>
      </c>
      <c r="AO482" s="180" t="str">
        <f>IF(I482=".",".",VLOOKUP($I482,'Price List, Weapons &amp; Items'!B:J,3,0))</f>
        <v>Small Arms and Light Weapons (SALW) ammunition</v>
      </c>
      <c r="AP482" s="545" t="str">
        <f t="shared" ca="1" si="101"/>
        <v/>
      </c>
      <c r="AQ482" s="180">
        <f>VLOOKUP($I482,'Price List, Weapons &amp; Items'!B:L,COLUMN('Price List, Weapons &amp; Items'!$L$11)-1,0)</f>
        <v>2</v>
      </c>
      <c r="AR482" s="180">
        <f t="shared" si="95"/>
        <v>1</v>
      </c>
      <c r="AS482" s="180">
        <f t="shared" si="96"/>
        <v>1</v>
      </c>
      <c r="AT482" s="180" t="str">
        <f t="shared" si="97"/>
        <v>Value is not in date format</v>
      </c>
      <c r="AU482" s="180" t="str">
        <f t="shared" si="99"/>
        <v>.</v>
      </c>
      <c r="AV482" s="180" t="str">
        <f t="shared" si="100"/>
        <v>.</v>
      </c>
      <c r="AW482" s="180">
        <f>IFERROR(VLOOKUP(B482,'Share, Heavy Weapons to Ukraine'!B:J,COLUMN('Share, Heavy Weapons to Ukraine'!C491)-1,0),0)</f>
        <v>0</v>
      </c>
      <c r="AX482" s="180">
        <f>VLOOKUP('Bilateral Assistance, MAIN DATA'!B482,'Country Summary'!B:F,COLUMN('Country Summary'!C494)-1,FALSE)</f>
        <v>1</v>
      </c>
      <c r="AY482" s="180" t="str">
        <f>IF(AND(AD482=1,D482="Military",H482&lt;&gt;"Not given")=TRUE,IF(SUMIFS(P:P,A:A,A482)&gt;0,ABS((SUMIFS(P:P,A:A,A482)/VLOOKUP("USD",'Exchange Rates'!B:C,2,0)))/S482,"."),".")</f>
        <v>.</v>
      </c>
      <c r="AZ482" s="182" t="str">
        <f>IF(AND(AD482=1,D482="Military",H482&lt;&gt;"Not given")=TRUE,IF(SUMIFS(P:P,A:A,A482)&gt;0,IF((ABS((SUMIFS(P:P,A:A,A482)/VLOOKUP("USD",'Exchange Rates'!B:C,2,0)))/S482)&gt;1,(SUMIFS(P:P,A:A,A482)-S482)/S482,(S482-SUMIFS(P:P,A:A,A482))/SUMIFS(P:P,A:A,A482)),"."),".")</f>
        <v>.</v>
      </c>
      <c r="BA482" s="182"/>
      <c r="BB482" s="182"/>
      <c r="BC482" s="182"/>
      <c r="BD482" s="182"/>
      <c r="BE482" s="182"/>
      <c r="BF482" s="182"/>
      <c r="BG482" s="182"/>
      <c r="BH482" s="182"/>
      <c r="BI482" s="182"/>
      <c r="BJ482" s="182"/>
      <c r="BK482" s="182"/>
      <c r="BL482" s="182"/>
      <c r="BM482" s="182"/>
      <c r="BN482" s="182"/>
      <c r="BO482" s="182"/>
      <c r="BP482" s="182"/>
      <c r="BQ482" s="182"/>
      <c r="BR482" s="182"/>
      <c r="BS482" s="182"/>
    </row>
    <row r="483" spans="1:71" ht="15.9" customHeight="1" x14ac:dyDescent="0.3">
      <c r="A483" s="17" t="s">
        <v>1454</v>
      </c>
      <c r="B483" s="5" t="s">
        <v>1288</v>
      </c>
      <c r="C483" s="174" t="s">
        <v>1327</v>
      </c>
      <c r="D483" s="5" t="s">
        <v>285</v>
      </c>
      <c r="E483" s="5" t="s">
        <v>1328</v>
      </c>
      <c r="F483" s="1139" t="s">
        <v>1455</v>
      </c>
      <c r="G483" s="15" t="s">
        <v>364</v>
      </c>
      <c r="H483" s="176">
        <v>534000000</v>
      </c>
      <c r="I483" s="185" t="s">
        <v>1510</v>
      </c>
      <c r="J483" s="113" t="str">
        <f>VLOOKUP($I483,'Price List, Weapons &amp; Items'!B:C,2,0)</f>
        <v>Portable defence system</v>
      </c>
      <c r="K483" s="113" t="str">
        <f>IF(I483=".",I483,VLOOKUP($I483,'Price List, Weapons &amp; Items'!B:D,3,0))</f>
        <v>Light Anti-armor Weapon (LAW)</v>
      </c>
      <c r="L483" s="177">
        <f>VLOOKUP(I483,'Price List, Weapons &amp; Items'!B:E,4,0)</f>
        <v>0</v>
      </c>
      <c r="M483" s="542">
        <v>50</v>
      </c>
      <c r="N483" s="542">
        <v>50</v>
      </c>
      <c r="O483" s="543">
        <f>VLOOKUP($I483,'Price List, Weapons &amp; Items'!B:G,6,0)</f>
        <v>11108</v>
      </c>
      <c r="P483" s="176">
        <f t="shared" si="90"/>
        <v>555400</v>
      </c>
      <c r="Q483" s="176">
        <f t="shared" si="91"/>
        <v>555400</v>
      </c>
      <c r="R483" s="176" t="str">
        <f t="shared" si="98"/>
        <v/>
      </c>
      <c r="S483" s="176" t="str">
        <f>IF(AND(AD483=1,R483&lt;&gt;".")=TRUE,R483/VLOOKUP(G483,'Exchange Rates'!B:C,2,0),IF(R483=".",".",""))</f>
        <v/>
      </c>
      <c r="T483" s="176" t="str">
        <f>IF(AD483=1,IF(AF483="Value is not given at all",".",IF(AF483="Value is given by the source",S483,IF(AF483="Value is calculated with prices",(IF(SUMIFS(Q:Q,A:A,A483)&gt;0,SUMIFS(Q:Q,A:A,A483),"."))/VLOOKUP("USD",'Exchange Rates'!B:C,2,0),"Error with coding"))),"")</f>
        <v/>
      </c>
      <c r="U483" s="15" t="s">
        <v>261</v>
      </c>
      <c r="V483" s="567" t="s">
        <v>1293</v>
      </c>
      <c r="W483" s="567" t="s">
        <v>1493</v>
      </c>
      <c r="X483" s="685" t="s">
        <v>260</v>
      </c>
      <c r="Y483" s="685" t="s">
        <v>260</v>
      </c>
      <c r="Z483" s="15">
        <v>0</v>
      </c>
      <c r="AA483" s="180">
        <v>1</v>
      </c>
      <c r="AB483" s="570" t="s">
        <v>1511</v>
      </c>
      <c r="AC483" s="544" t="str">
        <f>""</f>
        <v/>
      </c>
      <c r="AD483" s="183">
        <v>0</v>
      </c>
      <c r="AE483" s="183" t="s">
        <v>264</v>
      </c>
      <c r="AF483" s="183" t="s">
        <v>265</v>
      </c>
      <c r="AG483" s="183">
        <v>0</v>
      </c>
      <c r="AH483" s="183">
        <v>0</v>
      </c>
      <c r="AI483" s="183">
        <v>0</v>
      </c>
      <c r="AJ483" s="181">
        <f>VLOOKUP($I483,'Price List, Weapons &amp; Items'!B:F,5,0)</f>
        <v>0</v>
      </c>
      <c r="AK483" s="181">
        <f t="shared" si="92"/>
        <v>0</v>
      </c>
      <c r="AL483" s="181">
        <f t="shared" si="93"/>
        <v>0</v>
      </c>
      <c r="AM483" s="181">
        <f t="shared" si="94"/>
        <v>0</v>
      </c>
      <c r="AN483" s="180" t="str">
        <f>VLOOKUP($I483,'Price List, Weapons &amp; Items'!B:L,COLUMN('Price List, Weapons &amp; Items'!$J$11)-1,0)</f>
        <v>Military media (incl. websites)</v>
      </c>
      <c r="AO483" s="180" t="str">
        <f>IF(I483=".",".",VLOOKUP($I483,'Price List, Weapons &amp; Items'!B:J,3,0))</f>
        <v>Light Anti-armor Weapon (LAW)</v>
      </c>
      <c r="AP483" s="545" t="str">
        <f t="shared" ca="1" si="101"/>
        <v/>
      </c>
      <c r="AQ483" s="180">
        <f>VLOOKUP($I483,'Price List, Weapons &amp; Items'!B:L,COLUMN('Price List, Weapons &amp; Items'!$L$11)-1,0)</f>
        <v>1</v>
      </c>
      <c r="AR483" s="180">
        <f t="shared" si="95"/>
        <v>1</v>
      </c>
      <c r="AS483" s="180">
        <f t="shared" si="96"/>
        <v>1</v>
      </c>
      <c r="AT483" s="180" t="str">
        <f t="shared" si="97"/>
        <v>Value is not in date format</v>
      </c>
      <c r="AU483" s="180" t="str">
        <f t="shared" si="99"/>
        <v>.</v>
      </c>
      <c r="AV483" s="180" t="str">
        <f t="shared" si="100"/>
        <v>.</v>
      </c>
      <c r="AW483" s="180">
        <f>IFERROR(VLOOKUP(B483,'Share, Heavy Weapons to Ukraine'!B:J,COLUMN('Share, Heavy Weapons to Ukraine'!C492)-1,0),0)</f>
        <v>0</v>
      </c>
      <c r="AX483" s="180">
        <f>VLOOKUP('Bilateral Assistance, MAIN DATA'!B483,'Country Summary'!B:F,COLUMN('Country Summary'!C495)-1,FALSE)</f>
        <v>1</v>
      </c>
      <c r="AY483" s="180" t="str">
        <f>IF(AND(AD483=1,D483="Military",H483&lt;&gt;"Not given")=TRUE,IF(SUMIFS(P:P,A:A,A483)&gt;0,ABS((SUMIFS(P:P,A:A,A483)/VLOOKUP("USD",'Exchange Rates'!B:C,2,0)))/S483,"."),".")</f>
        <v>.</v>
      </c>
      <c r="AZ483" s="182" t="str">
        <f>IF(AND(AD483=1,D483="Military",H483&lt;&gt;"Not given")=TRUE,IF(SUMIFS(P:P,A:A,A483)&gt;0,IF((ABS((SUMIFS(P:P,A:A,A483)/VLOOKUP("USD",'Exchange Rates'!B:C,2,0)))/S483)&gt;1,(SUMIFS(P:P,A:A,A483)-S483)/S483,(S483-SUMIFS(P:P,A:A,A483))/SUMIFS(P:P,A:A,A483)),"."),".")</f>
        <v>.</v>
      </c>
      <c r="BA483" s="182"/>
      <c r="BB483" s="182"/>
      <c r="BC483" s="182"/>
      <c r="BD483" s="182"/>
      <c r="BE483" s="182"/>
      <c r="BF483" s="182"/>
      <c r="BG483" s="182"/>
      <c r="BH483" s="182"/>
      <c r="BI483" s="182"/>
      <c r="BJ483" s="182"/>
      <c r="BK483" s="182"/>
      <c r="BL483" s="182"/>
      <c r="BM483" s="182"/>
      <c r="BN483" s="182"/>
      <c r="BO483" s="182"/>
      <c r="BP483" s="182"/>
      <c r="BQ483" s="182"/>
      <c r="BR483" s="182"/>
      <c r="BS483" s="182"/>
    </row>
    <row r="484" spans="1:71" ht="15.9" customHeight="1" x14ac:dyDescent="0.3">
      <c r="A484" s="17" t="s">
        <v>1454</v>
      </c>
      <c r="B484" s="5" t="s">
        <v>1288</v>
      </c>
      <c r="C484" s="174" t="s">
        <v>1327</v>
      </c>
      <c r="D484" s="5" t="s">
        <v>285</v>
      </c>
      <c r="E484" s="5" t="s">
        <v>1328</v>
      </c>
      <c r="F484" s="1139" t="s">
        <v>1455</v>
      </c>
      <c r="G484" s="15" t="s">
        <v>364</v>
      </c>
      <c r="H484" s="176">
        <v>534000000</v>
      </c>
      <c r="I484" s="185" t="s">
        <v>1512</v>
      </c>
      <c r="J484" s="113" t="str">
        <f>VLOOKUP($I484,'Price List, Weapons &amp; Items'!B:C,2,0)</f>
        <v>Light armaments &amp; infantry</v>
      </c>
      <c r="K484" s="113" t="str">
        <f>IF(I484=".",I484,VLOOKUP($I484,'Price List, Weapons &amp; Items'!B:D,3,0))</f>
        <v>Small Arms and Light Weapons (SALW)</v>
      </c>
      <c r="L484" s="177">
        <f>VLOOKUP(I484,'Price List, Weapons &amp; Items'!B:E,4,0)</f>
        <v>0</v>
      </c>
      <c r="M484" s="542">
        <v>100</v>
      </c>
      <c r="N484" s="542">
        <v>100</v>
      </c>
      <c r="O484" s="543">
        <f>VLOOKUP($I484,'Price List, Weapons &amp; Items'!B:G,6,0)</f>
        <v>3000</v>
      </c>
      <c r="P484" s="176">
        <f t="shared" si="90"/>
        <v>300000</v>
      </c>
      <c r="Q484" s="176">
        <f t="shared" si="91"/>
        <v>300000</v>
      </c>
      <c r="R484" s="176" t="str">
        <f t="shared" si="98"/>
        <v/>
      </c>
      <c r="S484" s="176" t="str">
        <f>IF(AND(AD484=1,R484&lt;&gt;".")=TRUE,R484/VLOOKUP(G484,'Exchange Rates'!B:C,2,0),IF(R484=".",".",""))</f>
        <v/>
      </c>
      <c r="T484" s="176" t="str">
        <f>IF(AD484=1,IF(AF484="Value is not given at all",".",IF(AF484="Value is given by the source",S484,IF(AF484="Value is calculated with prices",(IF(SUMIFS(Q:Q,A:A,A484)&gt;0,SUMIFS(Q:Q,A:A,A484),"."))/VLOOKUP("USD",'Exchange Rates'!B:C,2,0),"Error with coding"))),"")</f>
        <v/>
      </c>
      <c r="U484" s="15" t="s">
        <v>261</v>
      </c>
      <c r="V484" s="567" t="s">
        <v>1293</v>
      </c>
      <c r="W484" s="567" t="s">
        <v>1495</v>
      </c>
      <c r="X484" s="685" t="s">
        <v>260</v>
      </c>
      <c r="Y484" s="685" t="s">
        <v>260</v>
      </c>
      <c r="Z484" s="15">
        <v>0</v>
      </c>
      <c r="AA484" s="180">
        <v>1</v>
      </c>
      <c r="AB484" s="570" t="s">
        <v>1513</v>
      </c>
      <c r="AC484" s="544" t="str">
        <f>""</f>
        <v/>
      </c>
      <c r="AD484" s="183">
        <v>0</v>
      </c>
      <c r="AE484" s="183" t="s">
        <v>264</v>
      </c>
      <c r="AF484" s="183" t="s">
        <v>265</v>
      </c>
      <c r="AG484" s="183">
        <v>0</v>
      </c>
      <c r="AH484" s="183">
        <v>0</v>
      </c>
      <c r="AI484" s="183">
        <v>0</v>
      </c>
      <c r="AJ484" s="181">
        <f>VLOOKUP($I484,'Price List, Weapons &amp; Items'!B:F,5,0)</f>
        <v>0</v>
      </c>
      <c r="AK484" s="181">
        <f t="shared" si="92"/>
        <v>0</v>
      </c>
      <c r="AL484" s="181">
        <f t="shared" si="93"/>
        <v>0</v>
      </c>
      <c r="AM484" s="181">
        <f t="shared" si="94"/>
        <v>0</v>
      </c>
      <c r="AN484" s="180" t="str">
        <f>VLOOKUP($I484,'Price List, Weapons &amp; Items'!B:L,COLUMN('Price List, Weapons &amp; Items'!$J$11)-1,0)</f>
        <v>Military media (incl. websites)</v>
      </c>
      <c r="AO484" s="180" t="str">
        <f>IF(I484=".",".",VLOOKUP($I484,'Price List, Weapons &amp; Items'!B:J,3,0))</f>
        <v>Small Arms and Light Weapons (SALW)</v>
      </c>
      <c r="AP484" s="545" t="str">
        <f t="shared" ca="1" si="101"/>
        <v/>
      </c>
      <c r="AQ484" s="180">
        <f>VLOOKUP($I484,'Price List, Weapons &amp; Items'!B:L,COLUMN('Price List, Weapons &amp; Items'!$L$11)-1,0)</f>
        <v>1</v>
      </c>
      <c r="AR484" s="180">
        <f t="shared" si="95"/>
        <v>1</v>
      </c>
      <c r="AS484" s="180">
        <f t="shared" si="96"/>
        <v>1</v>
      </c>
      <c r="AT484" s="180" t="str">
        <f t="shared" si="97"/>
        <v>Value is not in date format</v>
      </c>
      <c r="AU484" s="180" t="str">
        <f t="shared" si="99"/>
        <v>.</v>
      </c>
      <c r="AV484" s="180" t="str">
        <f t="shared" si="100"/>
        <v>.</v>
      </c>
      <c r="AW484" s="180">
        <f>IFERROR(VLOOKUP(B484,'Share, Heavy Weapons to Ukraine'!B:J,COLUMN('Share, Heavy Weapons to Ukraine'!C493)-1,0),0)</f>
        <v>0</v>
      </c>
      <c r="AX484" s="180">
        <f>VLOOKUP('Bilateral Assistance, MAIN DATA'!B484,'Country Summary'!B:F,COLUMN('Country Summary'!C496)-1,FALSE)</f>
        <v>1</v>
      </c>
      <c r="AY484" s="180" t="str">
        <f>IF(AND(AD484=1,D484="Military",H484&lt;&gt;"Not given")=TRUE,IF(SUMIFS(P:P,A:A,A484)&gt;0,ABS((SUMIFS(P:P,A:A,A484)/VLOOKUP("USD",'Exchange Rates'!B:C,2,0)))/S484,"."),".")</f>
        <v>.</v>
      </c>
      <c r="AZ484" s="182" t="str">
        <f>IF(AND(AD484=1,D484="Military",H484&lt;&gt;"Not given")=TRUE,IF(SUMIFS(P:P,A:A,A484)&gt;0,IF((ABS((SUMIFS(P:P,A:A,A484)/VLOOKUP("USD",'Exchange Rates'!B:C,2,0)))/S484)&gt;1,(SUMIFS(P:P,A:A,A484)-S484)/S484,(S484-SUMIFS(P:P,A:A,A484))/SUMIFS(P:P,A:A,A484)),"."),".")</f>
        <v>.</v>
      </c>
      <c r="BA484" s="182"/>
      <c r="BB484" s="182"/>
      <c r="BC484" s="182"/>
      <c r="BD484" s="182"/>
      <c r="BE484" s="182"/>
      <c r="BF484" s="182"/>
      <c r="BG484" s="182"/>
      <c r="BH484" s="182"/>
      <c r="BI484" s="182"/>
      <c r="BJ484" s="182"/>
      <c r="BK484" s="182"/>
      <c r="BL484" s="182"/>
      <c r="BM484" s="182"/>
      <c r="BN484" s="182"/>
      <c r="BO484" s="182"/>
      <c r="BP484" s="182"/>
      <c r="BQ484" s="182"/>
      <c r="BR484" s="182"/>
      <c r="BS484" s="182"/>
    </row>
    <row r="485" spans="1:71" ht="15.9" customHeight="1" x14ac:dyDescent="0.3">
      <c r="A485" s="17" t="s">
        <v>1454</v>
      </c>
      <c r="B485" s="5" t="s">
        <v>1288</v>
      </c>
      <c r="C485" s="174" t="s">
        <v>1327</v>
      </c>
      <c r="D485" s="5" t="s">
        <v>285</v>
      </c>
      <c r="E485" s="5" t="s">
        <v>1328</v>
      </c>
      <c r="F485" s="1139" t="s">
        <v>1455</v>
      </c>
      <c r="G485" s="15" t="s">
        <v>364</v>
      </c>
      <c r="H485" s="176">
        <v>534000000</v>
      </c>
      <c r="I485" s="185" t="s">
        <v>1514</v>
      </c>
      <c r="J485" s="113" t="str">
        <f>VLOOKUP($I485,'Price List, Weapons &amp; Items'!B:C,2,0)</f>
        <v>military equipment</v>
      </c>
      <c r="K485" s="113" t="str">
        <f>IF(I485=".",I485,VLOOKUP($I485,'Price List, Weapons &amp; Items'!B:D,3,0))</f>
        <v>spare parts</v>
      </c>
      <c r="L485" s="177">
        <f>VLOOKUP(I485,'Price List, Weapons &amp; Items'!B:E,4,0)</f>
        <v>0</v>
      </c>
      <c r="M485" s="542">
        <v>500</v>
      </c>
      <c r="N485" s="542">
        <v>500</v>
      </c>
      <c r="O485" s="543" t="str">
        <f>VLOOKUP($I485,'Price List, Weapons &amp; Items'!B:G,6,0)</f>
        <v>.</v>
      </c>
      <c r="P485" s="176" t="str">
        <f t="shared" si="90"/>
        <v>No price</v>
      </c>
      <c r="Q485" s="176" t="str">
        <f t="shared" si="91"/>
        <v>No price</v>
      </c>
      <c r="R485" s="176" t="str">
        <f t="shared" si="98"/>
        <v/>
      </c>
      <c r="S485" s="176" t="str">
        <f>IF(AND(AD485=1,R485&lt;&gt;".")=TRUE,R485/VLOOKUP(G485,'Exchange Rates'!B:C,2,0),IF(R485=".",".",""))</f>
        <v/>
      </c>
      <c r="T485" s="176" t="str">
        <f>IF(AD485=1,IF(AF485="Value is not given at all",".",IF(AF485="Value is given by the source",S485,IF(AF485="Value is calculated with prices",(IF(SUMIFS(Q:Q,A:A,A485)&gt;0,SUMIFS(Q:Q,A:A,A485),"."))/VLOOKUP("USD",'Exchange Rates'!B:C,2,0),"Error with coding"))),"")</f>
        <v/>
      </c>
      <c r="U485" s="15" t="s">
        <v>261</v>
      </c>
      <c r="V485" s="567" t="s">
        <v>1293</v>
      </c>
      <c r="W485" s="567" t="s">
        <v>1497</v>
      </c>
      <c r="X485" s="685" t="s">
        <v>260</v>
      </c>
      <c r="Y485" s="685" t="s">
        <v>260</v>
      </c>
      <c r="Z485" s="15">
        <v>0</v>
      </c>
      <c r="AA485" s="180">
        <v>1</v>
      </c>
      <c r="AB485" s="570" t="s">
        <v>1515</v>
      </c>
      <c r="AC485" s="544" t="str">
        <f>""</f>
        <v/>
      </c>
      <c r="AD485" s="183">
        <v>0</v>
      </c>
      <c r="AE485" s="183" t="s">
        <v>264</v>
      </c>
      <c r="AF485" s="183" t="s">
        <v>265</v>
      </c>
      <c r="AG485" s="183">
        <v>0</v>
      </c>
      <c r="AH485" s="183">
        <v>0</v>
      </c>
      <c r="AI485" s="183">
        <v>0</v>
      </c>
      <c r="AJ485" s="181">
        <f>VLOOKUP($I485,'Price List, Weapons &amp; Items'!B:F,5,0)</f>
        <v>0</v>
      </c>
      <c r="AK485" s="181">
        <f t="shared" si="92"/>
        <v>0</v>
      </c>
      <c r="AL485" s="181">
        <f t="shared" si="93"/>
        <v>0</v>
      </c>
      <c r="AM485" s="181">
        <f t="shared" si="94"/>
        <v>0</v>
      </c>
      <c r="AN485" s="180" t="str">
        <f>VLOOKUP($I485,'Price List, Weapons &amp; Items'!B:L,COLUMN('Price List, Weapons &amp; Items'!$J$11)-1,0)</f>
        <v>.</v>
      </c>
      <c r="AO485" s="180" t="str">
        <f>IF(I485=".",".",VLOOKUP($I485,'Price List, Weapons &amp; Items'!B:J,3,0))</f>
        <v>spare parts</v>
      </c>
      <c r="AP485" s="545" t="str">
        <f t="shared" ca="1" si="101"/>
        <v/>
      </c>
      <c r="AQ485" s="180">
        <f>VLOOKUP($I485,'Price List, Weapons &amp; Items'!B:L,COLUMN('Price List, Weapons &amp; Items'!$L$11)-1,0)</f>
        <v>0</v>
      </c>
      <c r="AR485" s="180">
        <f t="shared" si="95"/>
        <v>1</v>
      </c>
      <c r="AS485" s="180">
        <f t="shared" si="96"/>
        <v>1</v>
      </c>
      <c r="AT485" s="180" t="str">
        <f t="shared" si="97"/>
        <v>Value is not in date format</v>
      </c>
      <c r="AU485" s="180" t="str">
        <f t="shared" si="99"/>
        <v>.</v>
      </c>
      <c r="AV485" s="180" t="str">
        <f t="shared" si="100"/>
        <v>.</v>
      </c>
      <c r="AW485" s="180">
        <f>IFERROR(VLOOKUP(B485,'Share, Heavy Weapons to Ukraine'!B:J,COLUMN('Share, Heavy Weapons to Ukraine'!C494)-1,0),0)</f>
        <v>0</v>
      </c>
      <c r="AX485" s="180">
        <f>VLOOKUP('Bilateral Assistance, MAIN DATA'!B485,'Country Summary'!B:F,COLUMN('Country Summary'!C497)-1,FALSE)</f>
        <v>1</v>
      </c>
      <c r="AY485" s="180" t="str">
        <f>IF(AND(AD485=1,D485="Military",H485&lt;&gt;"Not given")=TRUE,IF(SUMIFS(P:P,A:A,A485)&gt;0,ABS((SUMIFS(P:P,A:A,A485)/VLOOKUP("USD",'Exchange Rates'!B:C,2,0)))/S485,"."),".")</f>
        <v>.</v>
      </c>
      <c r="AZ485" s="182" t="str">
        <f>IF(AND(AD485=1,D485="Military",H485&lt;&gt;"Not given")=TRUE,IF(SUMIFS(P:P,A:A,A485)&gt;0,IF((ABS((SUMIFS(P:P,A:A,A485)/VLOOKUP("USD",'Exchange Rates'!B:C,2,0)))/S485)&gt;1,(SUMIFS(P:P,A:A,A485)-S485)/S485,(S485-SUMIFS(P:P,A:A,A485))/SUMIFS(P:P,A:A,A485)),"."),".")</f>
        <v>.</v>
      </c>
      <c r="BA485" s="182"/>
      <c r="BB485" s="182"/>
      <c r="BC485" s="182"/>
      <c r="BD485" s="182"/>
      <c r="BE485" s="182"/>
      <c r="BF485" s="182"/>
      <c r="BG485" s="182"/>
      <c r="BH485" s="182"/>
      <c r="BI485" s="182"/>
      <c r="BJ485" s="182"/>
      <c r="BK485" s="182"/>
      <c r="BL485" s="182"/>
      <c r="BM485" s="182"/>
      <c r="BN485" s="182"/>
      <c r="BO485" s="182"/>
      <c r="BP485" s="182"/>
      <c r="BQ485" s="182"/>
      <c r="BR485" s="182"/>
      <c r="BS485" s="182"/>
    </row>
    <row r="486" spans="1:71" ht="15.9" customHeight="1" x14ac:dyDescent="0.3">
      <c r="A486" s="17" t="s">
        <v>1454</v>
      </c>
      <c r="B486" s="5" t="s">
        <v>1288</v>
      </c>
      <c r="C486" s="174" t="s">
        <v>1327</v>
      </c>
      <c r="D486" s="5" t="s">
        <v>285</v>
      </c>
      <c r="E486" s="5" t="s">
        <v>1328</v>
      </c>
      <c r="F486" s="1139" t="s">
        <v>1455</v>
      </c>
      <c r="G486" s="15" t="s">
        <v>364</v>
      </c>
      <c r="H486" s="176">
        <v>534000000</v>
      </c>
      <c r="I486" s="185" t="s">
        <v>602</v>
      </c>
      <c r="J486" s="113" t="str">
        <f>VLOOKUP($I486,'Price List, Weapons &amp; Items'!B:C,2,0)</f>
        <v>Light armaments &amp; infantry</v>
      </c>
      <c r="K486" s="113" t="str">
        <f>IF(I486=".",I486,VLOOKUP($I486,'Price List, Weapons &amp; Items'!B:D,3,0))</f>
        <v>Explosive</v>
      </c>
      <c r="L486" s="177">
        <f>VLOOKUP(I486,'Price List, Weapons &amp; Items'!B:E,4,0)</f>
        <v>0</v>
      </c>
      <c r="M486" s="542">
        <v>100000</v>
      </c>
      <c r="N486" s="542">
        <v>100000</v>
      </c>
      <c r="O486" s="543">
        <f>VLOOKUP($I486,'Price List, Weapons &amp; Items'!B:G,6,0)</f>
        <v>45</v>
      </c>
      <c r="P486" s="176">
        <f t="shared" si="90"/>
        <v>4500000</v>
      </c>
      <c r="Q486" s="176">
        <f t="shared" si="91"/>
        <v>4500000</v>
      </c>
      <c r="R486" s="176" t="str">
        <f t="shared" si="98"/>
        <v/>
      </c>
      <c r="S486" s="176" t="str">
        <f>IF(AND(AD486=1,R486&lt;&gt;".")=TRUE,R486/VLOOKUP(G486,'Exchange Rates'!B:C,2,0),IF(R486=".",".",""))</f>
        <v/>
      </c>
      <c r="T486" s="176" t="str">
        <f>IF(AD486=1,IF(AF486="Value is not given at all",".",IF(AF486="Value is given by the source",S486,IF(AF486="Value is calculated with prices",(IF(SUMIFS(Q:Q,A:A,A486)&gt;0,SUMIFS(Q:Q,A:A,A486),"."))/VLOOKUP("USD",'Exchange Rates'!B:C,2,0),"Error with coding"))),"")</f>
        <v/>
      </c>
      <c r="U486" s="15" t="s">
        <v>261</v>
      </c>
      <c r="V486" s="567" t="s">
        <v>1293</v>
      </c>
      <c r="W486" s="567" t="s">
        <v>1499</v>
      </c>
      <c r="X486" s="685" t="s">
        <v>260</v>
      </c>
      <c r="Y486" s="685" t="s">
        <v>260</v>
      </c>
      <c r="Z486" s="15">
        <v>0</v>
      </c>
      <c r="AA486" s="180">
        <v>1</v>
      </c>
      <c r="AB486" s="570" t="s">
        <v>1516</v>
      </c>
      <c r="AC486" s="544" t="str">
        <f>""</f>
        <v/>
      </c>
      <c r="AD486" s="183">
        <v>0</v>
      </c>
      <c r="AE486" s="183" t="s">
        <v>264</v>
      </c>
      <c r="AF486" s="183" t="s">
        <v>265</v>
      </c>
      <c r="AG486" s="183">
        <v>0</v>
      </c>
      <c r="AH486" s="183">
        <v>0</v>
      </c>
      <c r="AI486" s="183">
        <v>0</v>
      </c>
      <c r="AJ486" s="181">
        <f>VLOOKUP($I486,'Price List, Weapons &amp; Items'!B:F,5,0)</f>
        <v>0</v>
      </c>
      <c r="AK486" s="181">
        <f t="shared" si="92"/>
        <v>0</v>
      </c>
      <c r="AL486" s="181">
        <f t="shared" si="93"/>
        <v>0</v>
      </c>
      <c r="AM486" s="181">
        <f t="shared" si="94"/>
        <v>0</v>
      </c>
      <c r="AN486" s="180" t="str">
        <f>VLOOKUP($I486,'Price List, Weapons &amp; Items'!B:L,COLUMN('Price List, Weapons &amp; Items'!$J$11)-1,0)</f>
        <v>Miscellaneous</v>
      </c>
      <c r="AO486" s="180" t="str">
        <f>IF(I486=".",".",VLOOKUP($I486,'Price List, Weapons &amp; Items'!B:J,3,0))</f>
        <v>Explosive</v>
      </c>
      <c r="AP486" s="545" t="str">
        <f t="shared" ca="1" si="101"/>
        <v/>
      </c>
      <c r="AQ486" s="180">
        <f>VLOOKUP($I486,'Price List, Weapons &amp; Items'!B:L,COLUMN('Price List, Weapons &amp; Items'!$L$11)-1,0)</f>
        <v>2</v>
      </c>
      <c r="AR486" s="180">
        <f t="shared" si="95"/>
        <v>1</v>
      </c>
      <c r="AS486" s="180">
        <f t="shared" si="96"/>
        <v>1</v>
      </c>
      <c r="AT486" s="180" t="str">
        <f t="shared" si="97"/>
        <v>Value is not in date format</v>
      </c>
      <c r="AU486" s="180" t="str">
        <f t="shared" si="99"/>
        <v>.</v>
      </c>
      <c r="AV486" s="180" t="str">
        <f t="shared" si="100"/>
        <v>.</v>
      </c>
      <c r="AW486" s="180">
        <f>IFERROR(VLOOKUP(B486,'Share, Heavy Weapons to Ukraine'!B:J,COLUMN('Share, Heavy Weapons to Ukraine'!C495)-1,0),0)</f>
        <v>0</v>
      </c>
      <c r="AX486" s="180">
        <f>VLOOKUP('Bilateral Assistance, MAIN DATA'!B486,'Country Summary'!B:F,COLUMN('Country Summary'!C498)-1,FALSE)</f>
        <v>1</v>
      </c>
      <c r="AY486" s="180" t="str">
        <f>IF(AND(AD486=1,D486="Military",H486&lt;&gt;"Not given")=TRUE,IF(SUMIFS(P:P,A:A,A486)&gt;0,ABS((SUMIFS(P:P,A:A,A486)/VLOOKUP("USD",'Exchange Rates'!B:C,2,0)))/S486,"."),".")</f>
        <v>.</v>
      </c>
      <c r="AZ486" s="182" t="str">
        <f>IF(AND(AD486=1,D486="Military",H486&lt;&gt;"Not given")=TRUE,IF(SUMIFS(P:P,A:A,A486)&gt;0,IF((ABS((SUMIFS(P:P,A:A,A486)/VLOOKUP("USD",'Exchange Rates'!B:C,2,0)))/S486)&gt;1,(SUMIFS(P:P,A:A,A486)-S486)/S486,(S486-SUMIFS(P:P,A:A,A486))/SUMIFS(P:P,A:A,A486)),"."),".")</f>
        <v>.</v>
      </c>
      <c r="BA486" s="182"/>
      <c r="BB486" s="182"/>
      <c r="BC486" s="182"/>
      <c r="BD486" s="182"/>
      <c r="BE486" s="182"/>
      <c r="BF486" s="182"/>
      <c r="BG486" s="182"/>
      <c r="BH486" s="182"/>
      <c r="BI486" s="182"/>
      <c r="BJ486" s="182"/>
      <c r="BK486" s="182"/>
      <c r="BL486" s="182"/>
      <c r="BM486" s="182"/>
      <c r="BN486" s="182"/>
      <c r="BO486" s="182"/>
      <c r="BP486" s="182"/>
      <c r="BQ486" s="182"/>
      <c r="BR486" s="182"/>
      <c r="BS486" s="182"/>
    </row>
    <row r="487" spans="1:71" ht="15.9" customHeight="1" x14ac:dyDescent="0.3">
      <c r="A487" s="17" t="s">
        <v>1454</v>
      </c>
      <c r="B487" s="5" t="s">
        <v>1288</v>
      </c>
      <c r="C487" s="174" t="s">
        <v>1327</v>
      </c>
      <c r="D487" s="5" t="s">
        <v>285</v>
      </c>
      <c r="E487" s="5" t="s">
        <v>1328</v>
      </c>
      <c r="F487" s="1139" t="s">
        <v>1455</v>
      </c>
      <c r="G487" s="15" t="s">
        <v>364</v>
      </c>
      <c r="H487" s="176">
        <v>534000000</v>
      </c>
      <c r="I487" s="185" t="s">
        <v>1517</v>
      </c>
      <c r="J487" s="113" t="str">
        <f>VLOOKUP($I487,'Price List, Weapons &amp; Items'!B:C,2,0)</f>
        <v>Ammunition for light infantry</v>
      </c>
      <c r="K487" s="113" t="str">
        <f>IF(I487=".",I487,VLOOKUP($I487,'Price List, Weapons &amp; Items'!B:D,3,0))</f>
        <v>Explosive</v>
      </c>
      <c r="L487" s="177">
        <f>VLOOKUP(I487,'Price List, Weapons &amp; Items'!B:E,4,0)</f>
        <v>0</v>
      </c>
      <c r="M487" s="542">
        <v>5300</v>
      </c>
      <c r="N487" s="542">
        <v>5300</v>
      </c>
      <c r="O487" s="543">
        <f>VLOOKUP($I487,'Price List, Weapons &amp; Items'!B:G,6,0)</f>
        <v>15</v>
      </c>
      <c r="P487" s="176">
        <f t="shared" si="90"/>
        <v>79500</v>
      </c>
      <c r="Q487" s="176">
        <f t="shared" si="91"/>
        <v>79500</v>
      </c>
      <c r="R487" s="176" t="str">
        <f t="shared" si="98"/>
        <v/>
      </c>
      <c r="S487" s="176" t="str">
        <f>IF(AND(AD487=1,R487&lt;&gt;".")=TRUE,R487/VLOOKUP(G487,'Exchange Rates'!B:C,2,0),IF(R487=".",".",""))</f>
        <v/>
      </c>
      <c r="T487" s="176" t="str">
        <f>IF(AD487=1,IF(AF487="Value is not given at all",".",IF(AF487="Value is given by the source",S487,IF(AF487="Value is calculated with prices",(IF(SUMIFS(Q:Q,A:A,A487)&gt;0,SUMIFS(Q:Q,A:A,A487),"."))/VLOOKUP("USD",'Exchange Rates'!B:C,2,0),"Error with coding"))),"")</f>
        <v/>
      </c>
      <c r="U487" s="15" t="s">
        <v>261</v>
      </c>
      <c r="V487" s="567" t="s">
        <v>1293</v>
      </c>
      <c r="W487" s="567" t="s">
        <v>1502</v>
      </c>
      <c r="X487" s="685" t="s">
        <v>260</v>
      </c>
      <c r="Y487" s="685" t="s">
        <v>260</v>
      </c>
      <c r="Z487" s="15">
        <v>0</v>
      </c>
      <c r="AA487" s="180">
        <v>1</v>
      </c>
      <c r="AB487" s="570" t="s">
        <v>1518</v>
      </c>
      <c r="AC487" s="544" t="str">
        <f>""</f>
        <v/>
      </c>
      <c r="AD487" s="183">
        <v>0</v>
      </c>
      <c r="AE487" s="183" t="s">
        <v>264</v>
      </c>
      <c r="AF487" s="183" t="s">
        <v>265</v>
      </c>
      <c r="AG487" s="183">
        <v>0</v>
      </c>
      <c r="AH487" s="183">
        <v>0</v>
      </c>
      <c r="AI487" s="183">
        <v>0</v>
      </c>
      <c r="AJ487" s="181">
        <f>VLOOKUP($I487,'Price List, Weapons &amp; Items'!B:F,5,0)</f>
        <v>0</v>
      </c>
      <c r="AK487" s="181">
        <f t="shared" si="92"/>
        <v>0</v>
      </c>
      <c r="AL487" s="181">
        <f t="shared" si="93"/>
        <v>0</v>
      </c>
      <c r="AM487" s="181">
        <f t="shared" si="94"/>
        <v>0</v>
      </c>
      <c r="AN487" s="180" t="str">
        <f>VLOOKUP($I487,'Price List, Weapons &amp; Items'!B:L,COLUMN('Price List, Weapons &amp; Items'!$J$11)-1,0)</f>
        <v>Military media (incl. websites)</v>
      </c>
      <c r="AO487" s="180" t="str">
        <f>IF(I487=".",".",VLOOKUP($I487,'Price List, Weapons &amp; Items'!B:J,3,0))</f>
        <v>Explosive</v>
      </c>
      <c r="AP487" s="545" t="str">
        <f t="shared" ca="1" si="101"/>
        <v/>
      </c>
      <c r="AQ487" s="180">
        <f>VLOOKUP($I487,'Price List, Weapons &amp; Items'!B:L,COLUMN('Price List, Weapons &amp; Items'!$L$11)-1,0)</f>
        <v>1</v>
      </c>
      <c r="AR487" s="180">
        <f t="shared" si="95"/>
        <v>1</v>
      </c>
      <c r="AS487" s="180">
        <f t="shared" si="96"/>
        <v>1</v>
      </c>
      <c r="AT487" s="180" t="str">
        <f t="shared" si="97"/>
        <v>Value is not in date format</v>
      </c>
      <c r="AU487" s="180" t="str">
        <f t="shared" si="99"/>
        <v>.</v>
      </c>
      <c r="AV487" s="180" t="str">
        <f t="shared" si="100"/>
        <v>.</v>
      </c>
      <c r="AW487" s="180">
        <f>IFERROR(VLOOKUP(B487,'Share, Heavy Weapons to Ukraine'!B:J,COLUMN('Share, Heavy Weapons to Ukraine'!C496)-1,0),0)</f>
        <v>0</v>
      </c>
      <c r="AX487" s="180">
        <f>VLOOKUP('Bilateral Assistance, MAIN DATA'!B487,'Country Summary'!B:F,COLUMN('Country Summary'!C499)-1,FALSE)</f>
        <v>1</v>
      </c>
      <c r="AY487" s="180" t="str">
        <f>IF(AND(AD487=1,D487="Military",H487&lt;&gt;"Not given")=TRUE,IF(SUMIFS(P:P,A:A,A487)&gt;0,ABS((SUMIFS(P:P,A:A,A487)/VLOOKUP("USD",'Exchange Rates'!B:C,2,0)))/S487,"."),".")</f>
        <v>.</v>
      </c>
      <c r="AZ487" s="182" t="str">
        <f>IF(AND(AD487=1,D487="Military",H487&lt;&gt;"Not given")=TRUE,IF(SUMIFS(P:P,A:A,A487)&gt;0,IF((ABS((SUMIFS(P:P,A:A,A487)/VLOOKUP("USD",'Exchange Rates'!B:C,2,0)))/S487)&gt;1,(SUMIFS(P:P,A:A,A487)-S487)/S487,(S487-SUMIFS(P:P,A:A,A487))/SUMIFS(P:P,A:A,A487)),"."),".")</f>
        <v>.</v>
      </c>
      <c r="BA487" s="182"/>
      <c r="BB487" s="182"/>
      <c r="BC487" s="182"/>
      <c r="BD487" s="182"/>
      <c r="BE487" s="182"/>
      <c r="BF487" s="182"/>
      <c r="BG487" s="182"/>
      <c r="BH487" s="182"/>
      <c r="BI487" s="182"/>
      <c r="BJ487" s="182"/>
      <c r="BK487" s="182"/>
      <c r="BL487" s="182"/>
      <c r="BM487" s="182"/>
      <c r="BN487" s="182"/>
      <c r="BO487" s="182"/>
      <c r="BP487" s="182"/>
      <c r="BQ487" s="182"/>
      <c r="BR487" s="182"/>
      <c r="BS487" s="182"/>
    </row>
    <row r="488" spans="1:71" ht="15.9" customHeight="1" x14ac:dyDescent="0.3">
      <c r="A488" s="17" t="s">
        <v>1454</v>
      </c>
      <c r="B488" s="5" t="s">
        <v>1288</v>
      </c>
      <c r="C488" s="174" t="s">
        <v>1327</v>
      </c>
      <c r="D488" s="5" t="s">
        <v>285</v>
      </c>
      <c r="E488" s="5" t="s">
        <v>1328</v>
      </c>
      <c r="F488" s="1139" t="s">
        <v>1455</v>
      </c>
      <c r="G488" s="15" t="s">
        <v>364</v>
      </c>
      <c r="H488" s="176">
        <v>534000000</v>
      </c>
      <c r="I488" s="185" t="s">
        <v>1519</v>
      </c>
      <c r="J488" s="113" t="str">
        <f>VLOOKUP($I488,'Price List, Weapons &amp; Items'!B:C,2,0)</f>
        <v>Military equipment</v>
      </c>
      <c r="K488" s="113" t="str">
        <f>IF(I488=".",I488,VLOOKUP($I488,'Price List, Weapons &amp; Items'!B:D,3,0))</f>
        <v>Military equipment</v>
      </c>
      <c r="L488" s="177">
        <f>VLOOKUP(I488,'Price List, Weapons &amp; Items'!B:E,4,0)</f>
        <v>0</v>
      </c>
      <c r="M488" s="542" t="s">
        <v>270</v>
      </c>
      <c r="N488" s="542" t="s">
        <v>270</v>
      </c>
      <c r="O488" s="543">
        <f>VLOOKUP($I488,'Price List, Weapons &amp; Items'!B:G,6,0)</f>
        <v>99.18</v>
      </c>
      <c r="P488" s="176" t="str">
        <f t="shared" si="90"/>
        <v>.</v>
      </c>
      <c r="Q488" s="176" t="str">
        <f t="shared" si="91"/>
        <v>.</v>
      </c>
      <c r="R488" s="176" t="str">
        <f t="shared" si="98"/>
        <v/>
      </c>
      <c r="S488" s="176" t="str">
        <f>IF(AND(AD488=1,R488&lt;&gt;".")=TRUE,R488/VLOOKUP(G488,'Exchange Rates'!B:C,2,0),IF(R488=".",".",""))</f>
        <v/>
      </c>
      <c r="T488" s="176" t="str">
        <f>IF(AD488=1,IF(AF488="Value is not given at all",".",IF(AF488="Value is given by the source",S488,IF(AF488="Value is calculated with prices",(IF(SUMIFS(Q:Q,A:A,A488)&gt;0,SUMIFS(Q:Q,A:A,A488),"."))/VLOOKUP("USD",'Exchange Rates'!B:C,2,0),"Error with coding"))),"")</f>
        <v/>
      </c>
      <c r="U488" s="15" t="s">
        <v>261</v>
      </c>
      <c r="V488" s="567" t="s">
        <v>1293</v>
      </c>
      <c r="W488" s="567" t="s">
        <v>1504</v>
      </c>
      <c r="X488" s="685" t="s">
        <v>260</v>
      </c>
      <c r="Y488" s="685" t="s">
        <v>260</v>
      </c>
      <c r="Z488" s="15">
        <v>0</v>
      </c>
      <c r="AA488" s="180">
        <v>1</v>
      </c>
      <c r="AB488" s="570" t="s">
        <v>1520</v>
      </c>
      <c r="AC488" s="544" t="str">
        <f>""</f>
        <v/>
      </c>
      <c r="AD488" s="183">
        <v>0</v>
      </c>
      <c r="AE488" s="183" t="s">
        <v>264</v>
      </c>
      <c r="AF488" s="183" t="s">
        <v>265</v>
      </c>
      <c r="AG488" s="183">
        <v>0</v>
      </c>
      <c r="AH488" s="183">
        <v>0</v>
      </c>
      <c r="AI488" s="183">
        <v>0</v>
      </c>
      <c r="AJ488" s="181">
        <f>VLOOKUP($I488,'Price List, Weapons &amp; Items'!B:F,5,0)</f>
        <v>0</v>
      </c>
      <c r="AK488" s="181">
        <f t="shared" si="92"/>
        <v>0</v>
      </c>
      <c r="AL488" s="181">
        <f t="shared" si="93"/>
        <v>0</v>
      </c>
      <c r="AM488" s="181">
        <f t="shared" si="94"/>
        <v>0</v>
      </c>
      <c r="AN488" s="180" t="str">
        <f>VLOOKUP($I488,'Price List, Weapons &amp; Items'!B:L,COLUMN('Price List, Weapons &amp; Items'!$J$11)-1,0)</f>
        <v>Manufacturer price</v>
      </c>
      <c r="AO488" s="180" t="str">
        <f>IF(I488=".",".",VLOOKUP($I488,'Price List, Weapons &amp; Items'!B:J,3,0))</f>
        <v>Military equipment</v>
      </c>
      <c r="AP488" s="545" t="str">
        <f t="shared" ca="1" si="101"/>
        <v/>
      </c>
      <c r="AQ488" s="180" t="str">
        <f>VLOOKUP($I488,'Price List, Weapons &amp; Items'!B:L,COLUMN('Price List, Weapons &amp; Items'!$L$11)-1,0)</f>
        <v>no price, 0 count</v>
      </c>
      <c r="AR488" s="180">
        <f t="shared" si="95"/>
        <v>1</v>
      </c>
      <c r="AS488" s="180">
        <f t="shared" si="96"/>
        <v>1</v>
      </c>
      <c r="AT488" s="180" t="str">
        <f t="shared" si="97"/>
        <v>Value is not in date format</v>
      </c>
      <c r="AU488" s="180" t="str">
        <f t="shared" si="99"/>
        <v>.</v>
      </c>
      <c r="AV488" s="180" t="str">
        <f t="shared" si="100"/>
        <v>.</v>
      </c>
      <c r="AW488" s="180">
        <f>IFERROR(VLOOKUP(B488,'Share, Heavy Weapons to Ukraine'!B:J,COLUMN('Share, Heavy Weapons to Ukraine'!C497)-1,0),0)</f>
        <v>0</v>
      </c>
      <c r="AX488" s="180">
        <f>VLOOKUP('Bilateral Assistance, MAIN DATA'!B488,'Country Summary'!B:F,COLUMN('Country Summary'!C500)-1,FALSE)</f>
        <v>1</v>
      </c>
      <c r="AY488" s="180" t="str">
        <f>IF(AND(AD488=1,D488="Military",H488&lt;&gt;"Not given")=TRUE,IF(SUMIFS(P:P,A:A,A488)&gt;0,ABS((SUMIFS(P:P,A:A,A488)/VLOOKUP("USD",'Exchange Rates'!B:C,2,0)))/S488,"."),".")</f>
        <v>.</v>
      </c>
      <c r="AZ488" s="182" t="str">
        <f>IF(AND(AD488=1,D488="Military",H488&lt;&gt;"Not given")=TRUE,IF(SUMIFS(P:P,A:A,A488)&gt;0,IF((ABS((SUMIFS(P:P,A:A,A488)/VLOOKUP("USD",'Exchange Rates'!B:C,2,0)))/S488)&gt;1,(SUMIFS(P:P,A:A,A488)-S488)/S488,(S488-SUMIFS(P:P,A:A,A488))/SUMIFS(P:P,A:A,A488)),"."),".")</f>
        <v>.</v>
      </c>
      <c r="BA488" s="182"/>
      <c r="BB488" s="182"/>
      <c r="BC488" s="182"/>
      <c r="BD488" s="182"/>
      <c r="BE488" s="182"/>
      <c r="BF488" s="182"/>
      <c r="BG488" s="182"/>
      <c r="BH488" s="182"/>
      <c r="BI488" s="182"/>
      <c r="BJ488" s="182"/>
      <c r="BK488" s="182"/>
      <c r="BL488" s="182"/>
      <c r="BM488" s="182"/>
      <c r="BN488" s="182"/>
      <c r="BO488" s="182"/>
      <c r="BP488" s="182"/>
      <c r="BQ488" s="182"/>
      <c r="BR488" s="182"/>
      <c r="BS488" s="182"/>
    </row>
    <row r="489" spans="1:71" ht="15.9" customHeight="1" x14ac:dyDescent="0.3">
      <c r="A489" s="17" t="s">
        <v>1454</v>
      </c>
      <c r="B489" s="5" t="s">
        <v>1288</v>
      </c>
      <c r="C489" s="174" t="s">
        <v>1327</v>
      </c>
      <c r="D489" s="5" t="s">
        <v>285</v>
      </c>
      <c r="E489" s="5" t="s">
        <v>1328</v>
      </c>
      <c r="F489" s="1139" t="s">
        <v>1455</v>
      </c>
      <c r="G489" s="15" t="s">
        <v>364</v>
      </c>
      <c r="H489" s="176">
        <v>534000000</v>
      </c>
      <c r="I489" s="185" t="s">
        <v>1521</v>
      </c>
      <c r="J489" s="113" t="str">
        <f>VLOOKUP($I489,'Price List, Weapons &amp; Items'!B:C,2,0)</f>
        <v>Military equipment</v>
      </c>
      <c r="K489" s="113" t="str">
        <f>IF(I489=".",I489,VLOOKUP($I489,'Price List, Weapons &amp; Items'!B:D,3,0))</f>
        <v>Military equipment</v>
      </c>
      <c r="L489" s="177">
        <f>VLOOKUP(I489,'Price List, Weapons &amp; Items'!B:E,4,0)</f>
        <v>0</v>
      </c>
      <c r="M489" s="542">
        <v>100000</v>
      </c>
      <c r="N489" s="542">
        <v>450000</v>
      </c>
      <c r="O489" s="543">
        <f>VLOOKUP($I489,'Price List, Weapons &amp; Items'!B:G,6,0)</f>
        <v>8.76</v>
      </c>
      <c r="P489" s="176">
        <f t="shared" si="90"/>
        <v>876000</v>
      </c>
      <c r="Q489" s="176">
        <f t="shared" si="91"/>
        <v>3942000</v>
      </c>
      <c r="R489" s="176" t="str">
        <f t="shared" si="98"/>
        <v/>
      </c>
      <c r="S489" s="176" t="str">
        <f>IF(AND(AD489=1,R489&lt;&gt;".")=TRUE,R489/VLOOKUP(G489,'Exchange Rates'!B:C,2,0),IF(R489=".",".",""))</f>
        <v/>
      </c>
      <c r="T489" s="176" t="str">
        <f>IF(AD489=1,IF(AF489="Value is not given at all",".",IF(AF489="Value is given by the source",S489,IF(AF489="Value is calculated with prices",(IF(SUMIFS(Q:Q,A:A,A489)&gt;0,SUMIFS(Q:Q,A:A,A489),"."))/VLOOKUP("USD",'Exchange Rates'!B:C,2,0),"Error with coding"))),"")</f>
        <v/>
      </c>
      <c r="U489" s="15" t="s">
        <v>261</v>
      </c>
      <c r="V489" s="567" t="s">
        <v>1293</v>
      </c>
      <c r="W489" s="567" t="s">
        <v>1505</v>
      </c>
      <c r="X489" s="685" t="s">
        <v>260</v>
      </c>
      <c r="Y489" s="685" t="s">
        <v>260</v>
      </c>
      <c r="Z489" s="15">
        <v>0</v>
      </c>
      <c r="AA489" s="180">
        <v>1</v>
      </c>
      <c r="AB489" s="570" t="s">
        <v>1522</v>
      </c>
      <c r="AC489" s="544" t="str">
        <f>""</f>
        <v/>
      </c>
      <c r="AD489" s="183">
        <v>0</v>
      </c>
      <c r="AE489" s="183" t="s">
        <v>264</v>
      </c>
      <c r="AF489" s="183" t="s">
        <v>265</v>
      </c>
      <c r="AG489" s="183">
        <v>0</v>
      </c>
      <c r="AH489" s="183">
        <v>0</v>
      </c>
      <c r="AI489" s="183">
        <v>0</v>
      </c>
      <c r="AJ489" s="181">
        <f>VLOOKUP($I489,'Price List, Weapons &amp; Items'!B:F,5,0)</f>
        <v>0</v>
      </c>
      <c r="AK489" s="181">
        <f t="shared" si="92"/>
        <v>0</v>
      </c>
      <c r="AL489" s="181">
        <f t="shared" si="93"/>
        <v>0</v>
      </c>
      <c r="AM489" s="181">
        <f t="shared" si="94"/>
        <v>0</v>
      </c>
      <c r="AN489" s="180" t="str">
        <f>VLOOKUP($I489,'Price List, Weapons &amp; Items'!B:L,COLUMN('Price List, Weapons &amp; Items'!$J$11)-1,0)</f>
        <v>Online marketplaces and stores</v>
      </c>
      <c r="AO489" s="180" t="str">
        <f>IF(I489=".",".",VLOOKUP($I489,'Price List, Weapons &amp; Items'!B:J,3,0))</f>
        <v>Military equipment</v>
      </c>
      <c r="AP489" s="545" t="str">
        <f t="shared" ca="1" si="101"/>
        <v/>
      </c>
      <c r="AQ489" s="180">
        <f>VLOOKUP($I489,'Price List, Weapons &amp; Items'!B:L,COLUMN('Price List, Weapons &amp; Items'!$L$11)-1,0)</f>
        <v>2</v>
      </c>
      <c r="AR489" s="180">
        <f t="shared" si="95"/>
        <v>1</v>
      </c>
      <c r="AS489" s="180">
        <f t="shared" si="96"/>
        <v>1</v>
      </c>
      <c r="AT489" s="180" t="str">
        <f t="shared" si="97"/>
        <v>Value is not in date format</v>
      </c>
      <c r="AU489" s="180" t="str">
        <f t="shared" si="99"/>
        <v>.</v>
      </c>
      <c r="AV489" s="180" t="str">
        <f t="shared" si="100"/>
        <v>.</v>
      </c>
      <c r="AW489" s="180">
        <f>IFERROR(VLOOKUP(B489,'Share, Heavy Weapons to Ukraine'!B:J,COLUMN('Share, Heavy Weapons to Ukraine'!C498)-1,0),0)</f>
        <v>0</v>
      </c>
      <c r="AX489" s="180">
        <f>VLOOKUP('Bilateral Assistance, MAIN DATA'!B489,'Country Summary'!B:F,COLUMN('Country Summary'!C501)-1,FALSE)</f>
        <v>1</v>
      </c>
      <c r="AY489" s="180" t="str">
        <f>IF(AND(AD489=1,D489="Military",H489&lt;&gt;"Not given")=TRUE,IF(SUMIFS(P:P,A:A,A489)&gt;0,ABS((SUMIFS(P:P,A:A,A489)/VLOOKUP("USD",'Exchange Rates'!B:C,2,0)))/S489,"."),".")</f>
        <v>.</v>
      </c>
      <c r="AZ489" s="182" t="str">
        <f>IF(AND(AD489=1,D489="Military",H489&lt;&gt;"Not given")=TRUE,IF(SUMIFS(P:P,A:A,A489)&gt;0,IF((ABS((SUMIFS(P:P,A:A,A489)/VLOOKUP("USD",'Exchange Rates'!B:C,2,0)))/S489)&gt;1,(SUMIFS(P:P,A:A,A489)-S489)/S489,(S489-SUMIFS(P:P,A:A,A489))/SUMIFS(P:P,A:A,A489)),"."),".")</f>
        <v>.</v>
      </c>
      <c r="BA489" s="182"/>
      <c r="BB489" s="182"/>
      <c r="BC489" s="182"/>
      <c r="BD489" s="182"/>
      <c r="BE489" s="182"/>
      <c r="BF489" s="182"/>
      <c r="BG489" s="182"/>
      <c r="BH489" s="182"/>
      <c r="BI489" s="182"/>
      <c r="BJ489" s="182"/>
      <c r="BK489" s="182"/>
      <c r="BL489" s="182"/>
      <c r="BM489" s="182"/>
      <c r="BN489" s="182"/>
      <c r="BO489" s="182"/>
      <c r="BP489" s="182"/>
      <c r="BQ489" s="182"/>
      <c r="BR489" s="182"/>
      <c r="BS489" s="182"/>
    </row>
    <row r="490" spans="1:71" ht="15.9" customHeight="1" x14ac:dyDescent="0.3">
      <c r="A490" s="17" t="s">
        <v>1454</v>
      </c>
      <c r="B490" s="5" t="s">
        <v>1288</v>
      </c>
      <c r="C490" s="174" t="s">
        <v>1327</v>
      </c>
      <c r="D490" s="5" t="s">
        <v>285</v>
      </c>
      <c r="E490" s="5" t="s">
        <v>1328</v>
      </c>
      <c r="F490" s="1139" t="s">
        <v>1455</v>
      </c>
      <c r="G490" s="15" t="s">
        <v>364</v>
      </c>
      <c r="H490" s="176">
        <v>534000000</v>
      </c>
      <c r="I490" s="185" t="s">
        <v>1521</v>
      </c>
      <c r="J490" s="113" t="str">
        <f>VLOOKUP($I490,'Price List, Weapons &amp; Items'!B:C,2,0)</f>
        <v>Military equipment</v>
      </c>
      <c r="K490" s="113" t="str">
        <f>IF(I490=".",I490,VLOOKUP($I490,'Price List, Weapons &amp; Items'!B:D,3,0))</f>
        <v>Military equipment</v>
      </c>
      <c r="L490" s="177">
        <f>VLOOKUP(I490,'Price List, Weapons &amp; Items'!B:E,4,0)</f>
        <v>0</v>
      </c>
      <c r="M490" s="542">
        <v>350000</v>
      </c>
      <c r="N490" s="542">
        <v>450000</v>
      </c>
      <c r="O490" s="543">
        <f>VLOOKUP($I490,'Price List, Weapons &amp; Items'!B:G,6,0)</f>
        <v>8.76</v>
      </c>
      <c r="P490" s="176">
        <f t="shared" si="90"/>
        <v>3066000</v>
      </c>
      <c r="Q490" s="176">
        <f t="shared" si="91"/>
        <v>3942000</v>
      </c>
      <c r="R490" s="176" t="str">
        <f t="shared" si="98"/>
        <v/>
      </c>
      <c r="S490" s="176" t="str">
        <f>IF(AND(AD490=1,R490&lt;&gt;".")=TRUE,R490/VLOOKUP(G490,'Exchange Rates'!B:C,2,0),IF(R490=".",".",""))</f>
        <v/>
      </c>
      <c r="T490" s="176" t="str">
        <f>IF(AD490=1,IF(AF490="Value is not given at all",".",IF(AF490="Value is given by the source",S490,IF(AF490="Value is calculated with prices",(IF(SUMIFS(Q:Q,A:A,A490)&gt;0,SUMIFS(Q:Q,A:A,A490),"."))/VLOOKUP("USD",'Exchange Rates'!B:C,2,0),"Error with coding"))),"")</f>
        <v/>
      </c>
      <c r="U490" s="15" t="s">
        <v>261</v>
      </c>
      <c r="V490" s="567" t="s">
        <v>1293</v>
      </c>
      <c r="W490" s="567" t="s">
        <v>1507</v>
      </c>
      <c r="X490" s="685" t="s">
        <v>260</v>
      </c>
      <c r="Y490" s="685" t="s">
        <v>260</v>
      </c>
      <c r="Z490" s="15">
        <v>0</v>
      </c>
      <c r="AA490" s="180">
        <v>1</v>
      </c>
      <c r="AB490" s="570" t="s">
        <v>1523</v>
      </c>
      <c r="AC490" s="544" t="str">
        <f>""</f>
        <v/>
      </c>
      <c r="AD490" s="183">
        <v>0</v>
      </c>
      <c r="AE490" s="183" t="s">
        <v>264</v>
      </c>
      <c r="AF490" s="183" t="s">
        <v>265</v>
      </c>
      <c r="AG490" s="183">
        <v>0</v>
      </c>
      <c r="AH490" s="183">
        <v>0</v>
      </c>
      <c r="AI490" s="183">
        <v>0</v>
      </c>
      <c r="AJ490" s="181">
        <f>VLOOKUP($I490,'Price List, Weapons &amp; Items'!B:F,5,0)</f>
        <v>0</v>
      </c>
      <c r="AK490" s="181">
        <f t="shared" si="92"/>
        <v>0</v>
      </c>
      <c r="AL490" s="181">
        <f t="shared" si="93"/>
        <v>0</v>
      </c>
      <c r="AM490" s="181">
        <f t="shared" si="94"/>
        <v>0</v>
      </c>
      <c r="AN490" s="180" t="str">
        <f>VLOOKUP($I490,'Price List, Weapons &amp; Items'!B:L,COLUMN('Price List, Weapons &amp; Items'!$J$11)-1,0)</f>
        <v>Online marketplaces and stores</v>
      </c>
      <c r="AO490" s="180" t="str">
        <f>IF(I490=".",".",VLOOKUP($I490,'Price List, Weapons &amp; Items'!B:J,3,0))</f>
        <v>Military equipment</v>
      </c>
      <c r="AP490" s="545" t="str">
        <f t="shared" ca="1" si="101"/>
        <v/>
      </c>
      <c r="AQ490" s="180">
        <f>VLOOKUP($I490,'Price List, Weapons &amp; Items'!B:L,COLUMN('Price List, Weapons &amp; Items'!$L$11)-1,0)</f>
        <v>2</v>
      </c>
      <c r="AR490" s="180">
        <f t="shared" si="95"/>
        <v>1</v>
      </c>
      <c r="AS490" s="180">
        <f t="shared" si="96"/>
        <v>1</v>
      </c>
      <c r="AT490" s="180" t="str">
        <f t="shared" si="97"/>
        <v>Value is not in date format</v>
      </c>
      <c r="AU490" s="180" t="str">
        <f t="shared" si="99"/>
        <v>.</v>
      </c>
      <c r="AV490" s="180" t="str">
        <f t="shared" si="100"/>
        <v>.</v>
      </c>
      <c r="AW490" s="180">
        <f>IFERROR(VLOOKUP(B490,'Share, Heavy Weapons to Ukraine'!B:J,COLUMN('Share, Heavy Weapons to Ukraine'!C499)-1,0),0)</f>
        <v>0</v>
      </c>
      <c r="AX490" s="180">
        <f>VLOOKUP('Bilateral Assistance, MAIN DATA'!B490,'Country Summary'!B:F,COLUMN('Country Summary'!C502)-1,FALSE)</f>
        <v>1</v>
      </c>
      <c r="AY490" s="180" t="str">
        <f>IF(AND(AD490=1,D490="Military",H490&lt;&gt;"Not given")=TRUE,IF(SUMIFS(P:P,A:A,A490)&gt;0,ABS((SUMIFS(P:P,A:A,A490)/VLOOKUP("USD",'Exchange Rates'!B:C,2,0)))/S490,"."),".")</f>
        <v>.</v>
      </c>
      <c r="AZ490" s="182" t="str">
        <f>IF(AND(AD490=1,D490="Military",H490&lt;&gt;"Not given")=TRUE,IF(SUMIFS(P:P,A:A,A490)&gt;0,IF((ABS((SUMIFS(P:P,A:A,A490)/VLOOKUP("USD",'Exchange Rates'!B:C,2,0)))/S490)&gt;1,(SUMIFS(P:P,A:A,A490)-S490)/S490,(S490-SUMIFS(P:P,A:A,A490))/SUMIFS(P:P,A:A,A490)),"."),".")</f>
        <v>.</v>
      </c>
      <c r="BA490" s="182"/>
      <c r="BB490" s="182"/>
      <c r="BC490" s="182"/>
      <c r="BD490" s="182"/>
      <c r="BE490" s="182"/>
      <c r="BF490" s="182"/>
      <c r="BG490" s="182"/>
      <c r="BH490" s="182"/>
      <c r="BI490" s="182"/>
      <c r="BJ490" s="182"/>
      <c r="BK490" s="182"/>
      <c r="BL490" s="182"/>
      <c r="BM490" s="182"/>
      <c r="BN490" s="182"/>
      <c r="BO490" s="182"/>
      <c r="BP490" s="182"/>
      <c r="BQ490" s="182"/>
      <c r="BR490" s="182"/>
      <c r="BS490" s="182"/>
    </row>
    <row r="491" spans="1:71" ht="15.9" customHeight="1" x14ac:dyDescent="0.3">
      <c r="A491" s="17" t="s">
        <v>1454</v>
      </c>
      <c r="B491" s="5" t="s">
        <v>1288</v>
      </c>
      <c r="C491" s="174" t="s">
        <v>1327</v>
      </c>
      <c r="D491" s="5" t="s">
        <v>285</v>
      </c>
      <c r="E491" s="5" t="s">
        <v>1328</v>
      </c>
      <c r="F491" s="1139" t="s">
        <v>1455</v>
      </c>
      <c r="G491" s="15" t="s">
        <v>364</v>
      </c>
      <c r="H491" s="176">
        <v>534000000</v>
      </c>
      <c r="I491" s="185" t="s">
        <v>1524</v>
      </c>
      <c r="J491" s="113" t="str">
        <f>VLOOKUP($I491,'Price List, Weapons &amp; Items'!B:C,2,0)</f>
        <v>Military equipment</v>
      </c>
      <c r="K491" s="113" t="str">
        <f>IF(I491=".",I491,VLOOKUP($I491,'Price List, Weapons &amp; Items'!B:D,3,0))</f>
        <v>Military equipment</v>
      </c>
      <c r="L491" s="177">
        <f>VLOOKUP(I491,'Price List, Weapons &amp; Items'!B:E,4,0)</f>
        <v>0</v>
      </c>
      <c r="M491" s="542">
        <v>100</v>
      </c>
      <c r="N491" s="542">
        <v>100</v>
      </c>
      <c r="O491" s="543">
        <f>VLOOKUP($I491,'Price List, Weapons &amp; Items'!B:G,6,0)</f>
        <v>9.93</v>
      </c>
      <c r="P491" s="176">
        <f t="shared" si="90"/>
        <v>993</v>
      </c>
      <c r="Q491" s="176">
        <f t="shared" si="91"/>
        <v>993</v>
      </c>
      <c r="R491" s="176" t="str">
        <f t="shared" si="98"/>
        <v/>
      </c>
      <c r="S491" s="176" t="str">
        <f>IF(AND(AD491=1,R491&lt;&gt;".")=TRUE,R491/VLOOKUP(G491,'Exchange Rates'!B:C,2,0),IF(R491=".",".",""))</f>
        <v/>
      </c>
      <c r="T491" s="176" t="str">
        <f>IF(AD491=1,IF(AF491="Value is not given at all",".",IF(AF491="Value is given by the source",S491,IF(AF491="Value is calculated with prices",(IF(SUMIFS(Q:Q,A:A,A491)&gt;0,SUMIFS(Q:Q,A:A,A491),"."))/VLOOKUP("USD",'Exchange Rates'!B:C,2,0),"Error with coding"))),"")</f>
        <v/>
      </c>
      <c r="U491" s="15" t="s">
        <v>261</v>
      </c>
      <c r="V491" s="567" t="s">
        <v>1293</v>
      </c>
      <c r="W491" s="567" t="s">
        <v>1509</v>
      </c>
      <c r="X491" s="685" t="s">
        <v>260</v>
      </c>
      <c r="Y491" s="685" t="s">
        <v>260</v>
      </c>
      <c r="Z491" s="15">
        <v>0</v>
      </c>
      <c r="AA491" s="180">
        <v>1</v>
      </c>
      <c r="AB491" s="570" t="s">
        <v>1525</v>
      </c>
      <c r="AC491" s="544" t="str">
        <f>""</f>
        <v/>
      </c>
      <c r="AD491" s="183">
        <v>0</v>
      </c>
      <c r="AE491" s="183" t="s">
        <v>264</v>
      </c>
      <c r="AF491" s="183" t="s">
        <v>265</v>
      </c>
      <c r="AG491" s="183">
        <v>0</v>
      </c>
      <c r="AH491" s="183">
        <v>0</v>
      </c>
      <c r="AI491" s="183">
        <v>0</v>
      </c>
      <c r="AJ491" s="181">
        <f>VLOOKUP($I491,'Price List, Weapons &amp; Items'!B:F,5,0)</f>
        <v>0</v>
      </c>
      <c r="AK491" s="181">
        <f t="shared" si="92"/>
        <v>0</v>
      </c>
      <c r="AL491" s="181">
        <f t="shared" si="93"/>
        <v>0</v>
      </c>
      <c r="AM491" s="181">
        <f t="shared" si="94"/>
        <v>0</v>
      </c>
      <c r="AN491" s="180" t="str">
        <f>VLOOKUP($I491,'Price List, Weapons &amp; Items'!B:L,COLUMN('Price List, Weapons &amp; Items'!$J$11)-1,0)</f>
        <v>Online marketplaces and stores</v>
      </c>
      <c r="AO491" s="180" t="str">
        <f>IF(I491=".",".",VLOOKUP($I491,'Price List, Weapons &amp; Items'!B:J,3,0))</f>
        <v>Military equipment</v>
      </c>
      <c r="AP491" s="545" t="str">
        <f t="shared" ca="1" si="101"/>
        <v/>
      </c>
      <c r="AQ491" s="180">
        <f>VLOOKUP($I491,'Price List, Weapons &amp; Items'!B:L,COLUMN('Price List, Weapons &amp; Items'!$L$11)-1,0)</f>
        <v>1</v>
      </c>
      <c r="AR491" s="180">
        <f t="shared" si="95"/>
        <v>1</v>
      </c>
      <c r="AS491" s="180">
        <f t="shared" si="96"/>
        <v>1</v>
      </c>
      <c r="AT491" s="180" t="str">
        <f t="shared" si="97"/>
        <v>Value is not in date format</v>
      </c>
      <c r="AU491" s="180" t="str">
        <f t="shared" si="99"/>
        <v>.</v>
      </c>
      <c r="AV491" s="180" t="str">
        <f t="shared" si="100"/>
        <v>.</v>
      </c>
      <c r="AW491" s="180">
        <f>IFERROR(VLOOKUP(B491,'Share, Heavy Weapons to Ukraine'!B:J,COLUMN('Share, Heavy Weapons to Ukraine'!C500)-1,0),0)</f>
        <v>0</v>
      </c>
      <c r="AX491" s="180">
        <f>VLOOKUP('Bilateral Assistance, MAIN DATA'!B491,'Country Summary'!B:F,COLUMN('Country Summary'!C503)-1,FALSE)</f>
        <v>1</v>
      </c>
      <c r="AY491" s="180" t="str">
        <f>IF(AND(AD491=1,D491="Military",H491&lt;&gt;"Not given")=TRUE,IF(SUMIFS(P:P,A:A,A491)&gt;0,ABS((SUMIFS(P:P,A:A,A491)/VLOOKUP("USD",'Exchange Rates'!B:C,2,0)))/S491,"."),".")</f>
        <v>.</v>
      </c>
      <c r="AZ491" s="182" t="str">
        <f>IF(AND(AD491=1,D491="Military",H491&lt;&gt;"Not given")=TRUE,IF(SUMIFS(P:P,A:A,A491)&gt;0,IF((ABS((SUMIFS(P:P,A:A,A491)/VLOOKUP("USD",'Exchange Rates'!B:C,2,0)))/S491)&gt;1,(SUMIFS(P:P,A:A,A491)-S491)/S491,(S491-SUMIFS(P:P,A:A,A491))/SUMIFS(P:P,A:A,A491)),"."),".")</f>
        <v>.</v>
      </c>
      <c r="BA491" s="182"/>
      <c r="BB491" s="182"/>
      <c r="BC491" s="182"/>
      <c r="BD491" s="182"/>
      <c r="BE491" s="182"/>
      <c r="BF491" s="182"/>
      <c r="BG491" s="182"/>
      <c r="BH491" s="182"/>
      <c r="BI491" s="182"/>
      <c r="BJ491" s="182"/>
      <c r="BK491" s="182"/>
      <c r="BL491" s="182"/>
      <c r="BM491" s="182"/>
      <c r="BN491" s="182"/>
      <c r="BO491" s="182"/>
      <c r="BP491" s="182"/>
      <c r="BQ491" s="182"/>
      <c r="BR491" s="182"/>
      <c r="BS491" s="182"/>
    </row>
    <row r="492" spans="1:71" ht="15.9" customHeight="1" x14ac:dyDescent="0.3">
      <c r="A492" s="17" t="s">
        <v>1454</v>
      </c>
      <c r="B492" s="5" t="s">
        <v>1288</v>
      </c>
      <c r="C492" s="174" t="s">
        <v>1327</v>
      </c>
      <c r="D492" s="5" t="s">
        <v>285</v>
      </c>
      <c r="E492" s="5" t="s">
        <v>1328</v>
      </c>
      <c r="F492" s="1139" t="s">
        <v>1455</v>
      </c>
      <c r="G492" s="15" t="s">
        <v>364</v>
      </c>
      <c r="H492" s="176">
        <v>534000000</v>
      </c>
      <c r="I492" s="185" t="s">
        <v>1526</v>
      </c>
      <c r="J492" s="113" t="str">
        <f>VLOOKUP($I492,'Price List, Weapons &amp; Items'!B:C,2,0)</f>
        <v>Military equipment</v>
      </c>
      <c r="K492" s="113" t="str">
        <f>IF(I492=".",I492,VLOOKUP($I492,'Price List, Weapons &amp; Items'!B:D,3,0))</f>
        <v>Military equipment</v>
      </c>
      <c r="L492" s="177">
        <f>VLOOKUP(I492,'Price List, Weapons &amp; Items'!B:E,4,0)</f>
        <v>0</v>
      </c>
      <c r="M492" s="542">
        <v>28000</v>
      </c>
      <c r="N492" s="542">
        <v>28000</v>
      </c>
      <c r="O492" s="543">
        <f>VLOOKUP($I492,'Price List, Weapons &amp; Items'!B:G,6,0)</f>
        <v>1400</v>
      </c>
      <c r="P492" s="176">
        <f t="shared" si="90"/>
        <v>39200000</v>
      </c>
      <c r="Q492" s="176">
        <f t="shared" si="91"/>
        <v>39200000</v>
      </c>
      <c r="R492" s="176" t="str">
        <f t="shared" si="98"/>
        <v/>
      </c>
      <c r="S492" s="176" t="str">
        <f>IF(AND(AD492=1,R492&lt;&gt;".")=TRUE,R492/VLOOKUP(G492,'Exchange Rates'!B:C,2,0),IF(R492=".",".",""))</f>
        <v/>
      </c>
      <c r="T492" s="176" t="str">
        <f>IF(AD492=1,IF(AF492="Value is not given at all",".",IF(AF492="Value is given by the source",S492,IF(AF492="Value is calculated with prices",(IF(SUMIFS(Q:Q,A:A,A492)&gt;0,SUMIFS(Q:Q,A:A,A492),"."))/VLOOKUP("USD",'Exchange Rates'!B:C,2,0),"Error with coding"))),"")</f>
        <v/>
      </c>
      <c r="U492" s="15" t="s">
        <v>261</v>
      </c>
      <c r="V492" s="567" t="s">
        <v>1293</v>
      </c>
      <c r="W492" s="567" t="s">
        <v>1511</v>
      </c>
      <c r="X492" s="685" t="s">
        <v>260</v>
      </c>
      <c r="Y492" s="685" t="s">
        <v>260</v>
      </c>
      <c r="Z492" s="15">
        <v>0</v>
      </c>
      <c r="AA492" s="180">
        <v>1</v>
      </c>
      <c r="AB492" s="570" t="s">
        <v>1527</v>
      </c>
      <c r="AC492" s="544" t="str">
        <f>""</f>
        <v/>
      </c>
      <c r="AD492" s="183">
        <v>0</v>
      </c>
      <c r="AE492" s="183" t="s">
        <v>264</v>
      </c>
      <c r="AF492" s="183" t="s">
        <v>265</v>
      </c>
      <c r="AG492" s="183">
        <v>0</v>
      </c>
      <c r="AH492" s="183">
        <v>0</v>
      </c>
      <c r="AI492" s="183">
        <v>0</v>
      </c>
      <c r="AJ492" s="181">
        <f>VLOOKUP($I492,'Price List, Weapons &amp; Items'!B:F,5,0)</f>
        <v>0</v>
      </c>
      <c r="AK492" s="181">
        <f t="shared" si="92"/>
        <v>0</v>
      </c>
      <c r="AL492" s="181">
        <f t="shared" si="93"/>
        <v>0</v>
      </c>
      <c r="AM492" s="181">
        <f t="shared" si="94"/>
        <v>0</v>
      </c>
      <c r="AN492" s="180" t="str">
        <f>VLOOKUP($I492,'Price List, Weapons &amp; Items'!B:L,COLUMN('Price List, Weapons &amp; Items'!$J$11)-1,0)</f>
        <v>Military media (incl. websites)</v>
      </c>
      <c r="AO492" s="180" t="str">
        <f>IF(I492=".",".",VLOOKUP($I492,'Price List, Weapons &amp; Items'!B:J,3,0))</f>
        <v>Military equipment</v>
      </c>
      <c r="AP492" s="545" t="str">
        <f t="shared" ca="1" si="101"/>
        <v/>
      </c>
      <c r="AQ492" s="180">
        <f>VLOOKUP($I492,'Price List, Weapons &amp; Items'!B:L,COLUMN('Price List, Weapons &amp; Items'!$L$11)-1,0)</f>
        <v>2</v>
      </c>
      <c r="AR492" s="180">
        <f t="shared" si="95"/>
        <v>1</v>
      </c>
      <c r="AS492" s="180">
        <f t="shared" si="96"/>
        <v>1</v>
      </c>
      <c r="AT492" s="180" t="str">
        <f t="shared" si="97"/>
        <v>Value is not in date format</v>
      </c>
      <c r="AU492" s="180" t="str">
        <f t="shared" si="99"/>
        <v>.</v>
      </c>
      <c r="AV492" s="180" t="str">
        <f t="shared" si="100"/>
        <v>.</v>
      </c>
      <c r="AW492" s="180">
        <f>IFERROR(VLOOKUP(B492,'Share, Heavy Weapons to Ukraine'!B:J,COLUMN('Share, Heavy Weapons to Ukraine'!C501)-1,0),0)</f>
        <v>0</v>
      </c>
      <c r="AX492" s="180">
        <f>VLOOKUP('Bilateral Assistance, MAIN DATA'!B492,'Country Summary'!B:F,COLUMN('Country Summary'!C504)-1,FALSE)</f>
        <v>1</v>
      </c>
      <c r="AY492" s="180" t="str">
        <f>IF(AND(AD492=1,D492="Military",H492&lt;&gt;"Not given")=TRUE,IF(SUMIFS(P:P,A:A,A492)&gt;0,ABS((SUMIFS(P:P,A:A,A492)/VLOOKUP("USD",'Exchange Rates'!B:C,2,0)))/S492,"."),".")</f>
        <v>.</v>
      </c>
      <c r="AZ492" s="182" t="str">
        <f>IF(AND(AD492=1,D492="Military",H492&lt;&gt;"Not given")=TRUE,IF(SUMIFS(P:P,A:A,A492)&gt;0,IF((ABS((SUMIFS(P:P,A:A,A492)/VLOOKUP("USD",'Exchange Rates'!B:C,2,0)))/S492)&gt;1,(SUMIFS(P:P,A:A,A492)-S492)/S492,(S492-SUMIFS(P:P,A:A,A492))/SUMIFS(P:P,A:A,A492)),"."),".")</f>
        <v>.</v>
      </c>
      <c r="BA492" s="182"/>
      <c r="BB492" s="182"/>
      <c r="BC492" s="182"/>
      <c r="BD492" s="182"/>
      <c r="BE492" s="182"/>
      <c r="BF492" s="182"/>
      <c r="BG492" s="182"/>
      <c r="BH492" s="182"/>
      <c r="BI492" s="182"/>
      <c r="BJ492" s="182"/>
      <c r="BK492" s="182"/>
      <c r="BL492" s="182"/>
      <c r="BM492" s="182"/>
      <c r="BN492" s="182"/>
      <c r="BO492" s="182"/>
      <c r="BP492" s="182"/>
      <c r="BQ492" s="182"/>
      <c r="BR492" s="182"/>
      <c r="BS492" s="182"/>
    </row>
    <row r="493" spans="1:71" ht="15.9" customHeight="1" x14ac:dyDescent="0.3">
      <c r="A493" s="17" t="s">
        <v>1454</v>
      </c>
      <c r="B493" s="5" t="s">
        <v>1288</v>
      </c>
      <c r="C493" s="174" t="s">
        <v>1327</v>
      </c>
      <c r="D493" s="5" t="s">
        <v>285</v>
      </c>
      <c r="E493" s="5" t="s">
        <v>1328</v>
      </c>
      <c r="F493" s="1139" t="s">
        <v>1455</v>
      </c>
      <c r="G493" s="15" t="s">
        <v>364</v>
      </c>
      <c r="H493" s="176">
        <v>534000000</v>
      </c>
      <c r="I493" s="185" t="s">
        <v>1528</v>
      </c>
      <c r="J493" s="113" t="str">
        <f>VLOOKUP($I493,'Price List, Weapons &amp; Items'!B:C,2,0)</f>
        <v>military equipment</v>
      </c>
      <c r="K493" s="113" t="str">
        <f>IF(I493=".",I493,VLOOKUP($I493,'Price List, Weapons &amp; Items'!B:D,3,0))</f>
        <v>Military equipment</v>
      </c>
      <c r="L493" s="177">
        <f>VLOOKUP(I493,'Price List, Weapons &amp; Items'!B:E,4,0)</f>
        <v>0</v>
      </c>
      <c r="M493" s="542">
        <v>15</v>
      </c>
      <c r="N493" s="542">
        <v>15</v>
      </c>
      <c r="O493" s="543" t="str">
        <f>VLOOKUP($I493,'Price List, Weapons &amp; Items'!B:G,6,0)</f>
        <v>.</v>
      </c>
      <c r="P493" s="176" t="str">
        <f t="shared" si="90"/>
        <v>No price</v>
      </c>
      <c r="Q493" s="176" t="str">
        <f t="shared" si="91"/>
        <v>No price</v>
      </c>
      <c r="R493" s="176" t="str">
        <f t="shared" si="98"/>
        <v/>
      </c>
      <c r="S493" s="176" t="str">
        <f>IF(AND(AD493=1,R493&lt;&gt;".")=TRUE,R493/VLOOKUP(G493,'Exchange Rates'!B:C,2,0),IF(R493=".",".",""))</f>
        <v/>
      </c>
      <c r="T493" s="176" t="str">
        <f>IF(AD493=1,IF(AF493="Value is not given at all",".",IF(AF493="Value is given by the source",S493,IF(AF493="Value is calculated with prices",(IF(SUMIFS(Q:Q,A:A,A493)&gt;0,SUMIFS(Q:Q,A:A,A493),"."))/VLOOKUP("USD",'Exchange Rates'!B:C,2,0),"Error with coding"))),"")</f>
        <v/>
      </c>
      <c r="U493" s="15" t="s">
        <v>261</v>
      </c>
      <c r="V493" s="567" t="s">
        <v>1293</v>
      </c>
      <c r="W493" s="567" t="s">
        <v>1513</v>
      </c>
      <c r="X493" s="685" t="s">
        <v>260</v>
      </c>
      <c r="Y493" s="685" t="s">
        <v>260</v>
      </c>
      <c r="Z493" s="15">
        <v>0</v>
      </c>
      <c r="AA493" s="180">
        <v>1</v>
      </c>
      <c r="AB493" s="570" t="s">
        <v>1529</v>
      </c>
      <c r="AC493" s="544" t="str">
        <f>""</f>
        <v/>
      </c>
      <c r="AD493" s="183">
        <v>0</v>
      </c>
      <c r="AE493" s="183" t="s">
        <v>264</v>
      </c>
      <c r="AF493" s="183" t="s">
        <v>265</v>
      </c>
      <c r="AG493" s="183">
        <v>0</v>
      </c>
      <c r="AH493" s="183">
        <v>0</v>
      </c>
      <c r="AI493" s="183">
        <v>0</v>
      </c>
      <c r="AJ493" s="181">
        <f>VLOOKUP($I493,'Price List, Weapons &amp; Items'!B:F,5,0)</f>
        <v>0</v>
      </c>
      <c r="AK493" s="181">
        <f t="shared" si="92"/>
        <v>0</v>
      </c>
      <c r="AL493" s="181">
        <f t="shared" si="93"/>
        <v>0</v>
      </c>
      <c r="AM493" s="181">
        <f t="shared" si="94"/>
        <v>0</v>
      </c>
      <c r="AN493" s="180" t="str">
        <f>VLOOKUP($I493,'Price List, Weapons &amp; Items'!B:L,COLUMN('Price List, Weapons &amp; Items'!$J$11)-1,0)</f>
        <v>.</v>
      </c>
      <c r="AO493" s="180" t="str">
        <f>IF(I493=".",".",VLOOKUP($I493,'Price List, Weapons &amp; Items'!B:J,3,0))</f>
        <v>Military equipment</v>
      </c>
      <c r="AP493" s="545" t="str">
        <f t="shared" ca="1" si="101"/>
        <v/>
      </c>
      <c r="AQ493" s="180">
        <f>VLOOKUP($I493,'Price List, Weapons &amp; Items'!B:L,COLUMN('Price List, Weapons &amp; Items'!$L$11)-1,0)</f>
        <v>0</v>
      </c>
      <c r="AR493" s="180">
        <f t="shared" si="95"/>
        <v>1</v>
      </c>
      <c r="AS493" s="180">
        <f t="shared" si="96"/>
        <v>1</v>
      </c>
      <c r="AT493" s="180" t="str">
        <f t="shared" si="97"/>
        <v>Value is not in date format</v>
      </c>
      <c r="AU493" s="180" t="str">
        <f t="shared" si="99"/>
        <v>.</v>
      </c>
      <c r="AV493" s="180" t="str">
        <f t="shared" si="100"/>
        <v>.</v>
      </c>
      <c r="AW493" s="180">
        <f>IFERROR(VLOOKUP(B493,'Share, Heavy Weapons to Ukraine'!B:J,COLUMN('Share, Heavy Weapons to Ukraine'!C502)-1,0),0)</f>
        <v>0</v>
      </c>
      <c r="AX493" s="180">
        <f>VLOOKUP('Bilateral Assistance, MAIN DATA'!B493,'Country Summary'!B:F,COLUMN('Country Summary'!C505)-1,FALSE)</f>
        <v>1</v>
      </c>
      <c r="AY493" s="180" t="str">
        <f>IF(AND(AD493=1,D493="Military",H493&lt;&gt;"Not given")=TRUE,IF(SUMIFS(P:P,A:A,A493)&gt;0,ABS((SUMIFS(P:P,A:A,A493)/VLOOKUP("USD",'Exchange Rates'!B:C,2,0)))/S493,"."),".")</f>
        <v>.</v>
      </c>
      <c r="AZ493" s="182" t="str">
        <f>IF(AND(AD493=1,D493="Military",H493&lt;&gt;"Not given")=TRUE,IF(SUMIFS(P:P,A:A,A493)&gt;0,IF((ABS((SUMIFS(P:P,A:A,A493)/VLOOKUP("USD",'Exchange Rates'!B:C,2,0)))/S493)&gt;1,(SUMIFS(P:P,A:A,A493)-S493)/S493,(S493-SUMIFS(P:P,A:A,A493))/SUMIFS(P:P,A:A,A493)),"."),".")</f>
        <v>.</v>
      </c>
      <c r="BA493" s="182"/>
      <c r="BB493" s="182"/>
      <c r="BC493" s="182"/>
      <c r="BD493" s="182"/>
      <c r="BE493" s="182"/>
      <c r="BF493" s="182"/>
      <c r="BG493" s="182"/>
      <c r="BH493" s="182"/>
      <c r="BI493" s="182"/>
      <c r="BJ493" s="182"/>
      <c r="BK493" s="182"/>
      <c r="BL493" s="182"/>
      <c r="BM493" s="182"/>
      <c r="BN493" s="182"/>
      <c r="BO493" s="182"/>
      <c r="BP493" s="182"/>
      <c r="BQ493" s="182"/>
      <c r="BR493" s="182"/>
      <c r="BS493" s="182"/>
    </row>
    <row r="494" spans="1:71" ht="15.9" customHeight="1" x14ac:dyDescent="0.3">
      <c r="A494" s="17" t="s">
        <v>1454</v>
      </c>
      <c r="B494" s="5" t="s">
        <v>1288</v>
      </c>
      <c r="C494" s="174" t="s">
        <v>1327</v>
      </c>
      <c r="D494" s="5" t="s">
        <v>285</v>
      </c>
      <c r="E494" s="5" t="s">
        <v>1328</v>
      </c>
      <c r="F494" s="1139" t="s">
        <v>1455</v>
      </c>
      <c r="G494" s="15" t="s">
        <v>364</v>
      </c>
      <c r="H494" s="176">
        <v>534000000</v>
      </c>
      <c r="I494" s="185" t="s">
        <v>1530</v>
      </c>
      <c r="J494" s="113" t="str">
        <f>VLOOKUP($I494,'Price List, Weapons &amp; Items'!B:C,2,0)</f>
        <v>Military equipment</v>
      </c>
      <c r="K494" s="113" t="str">
        <f>IF(I494=".",I494,VLOOKUP($I494,'Price List, Weapons &amp; Items'!B:D,3,0))</f>
        <v>non combat military vehicle</v>
      </c>
      <c r="L494" s="177">
        <f>VLOOKUP(I494,'Price List, Weapons &amp; Items'!B:E,4,0)</f>
        <v>0</v>
      </c>
      <c r="M494" s="542">
        <v>280</v>
      </c>
      <c r="N494" s="542">
        <v>280</v>
      </c>
      <c r="O494" s="543">
        <f>VLOOKUP($I494,'Price List, Weapons &amp; Items'!B:G,6,0)</f>
        <v>31500</v>
      </c>
      <c r="P494" s="176">
        <f t="shared" si="90"/>
        <v>8820000</v>
      </c>
      <c r="Q494" s="176">
        <f t="shared" si="91"/>
        <v>8820000</v>
      </c>
      <c r="R494" s="176" t="str">
        <f t="shared" si="98"/>
        <v/>
      </c>
      <c r="S494" s="176" t="str">
        <f>IF(AND(AD494=1,R494&lt;&gt;".")=TRUE,R494/VLOOKUP(G494,'Exchange Rates'!B:C,2,0),IF(R494=".",".",""))</f>
        <v/>
      </c>
      <c r="T494" s="176" t="str">
        <f>IF(AD494=1,IF(AF494="Value is not given at all",".",IF(AF494="Value is given by the source",S494,IF(AF494="Value is calculated with prices",(IF(SUMIFS(Q:Q,A:A,A494)&gt;0,SUMIFS(Q:Q,A:A,A494),"."))/VLOOKUP("USD",'Exchange Rates'!B:C,2,0),"Error with coding"))),"")</f>
        <v/>
      </c>
      <c r="U494" s="15" t="s">
        <v>261</v>
      </c>
      <c r="V494" s="567" t="s">
        <v>1293</v>
      </c>
      <c r="W494" s="567" t="s">
        <v>1515</v>
      </c>
      <c r="X494" s="685" t="s">
        <v>260</v>
      </c>
      <c r="Y494" s="685" t="s">
        <v>260</v>
      </c>
      <c r="Z494" s="15">
        <v>0</v>
      </c>
      <c r="AA494" s="180">
        <v>1</v>
      </c>
      <c r="AB494" s="570" t="s">
        <v>1531</v>
      </c>
      <c r="AC494" s="544" t="str">
        <f>""</f>
        <v/>
      </c>
      <c r="AD494" s="183">
        <v>0</v>
      </c>
      <c r="AE494" s="183" t="s">
        <v>264</v>
      </c>
      <c r="AF494" s="183" t="s">
        <v>265</v>
      </c>
      <c r="AG494" s="183">
        <v>0</v>
      </c>
      <c r="AH494" s="183">
        <v>0</v>
      </c>
      <c r="AI494" s="183">
        <v>0</v>
      </c>
      <c r="AJ494" s="181">
        <f>VLOOKUP($I494,'Price List, Weapons &amp; Items'!B:F,5,0)</f>
        <v>0</v>
      </c>
      <c r="AK494" s="181">
        <f t="shared" si="92"/>
        <v>0</v>
      </c>
      <c r="AL494" s="181">
        <f t="shared" si="93"/>
        <v>0</v>
      </c>
      <c r="AM494" s="181">
        <f t="shared" si="94"/>
        <v>0</v>
      </c>
      <c r="AN494" s="180" t="str">
        <f>VLOOKUP($I494,'Price List, Weapons &amp; Items'!B:L,COLUMN('Price List, Weapons &amp; Items'!$J$11)-1,0)</f>
        <v>Online marketplaces and stores</v>
      </c>
      <c r="AO494" s="180" t="str">
        <f>IF(I494=".",".",VLOOKUP($I494,'Price List, Weapons &amp; Items'!B:J,3,0))</f>
        <v>non combat military vehicle</v>
      </c>
      <c r="AP494" s="545" t="str">
        <f t="shared" ca="1" si="101"/>
        <v/>
      </c>
      <c r="AQ494" s="180">
        <f>VLOOKUP($I494,'Price List, Weapons &amp; Items'!B:L,COLUMN('Price List, Weapons &amp; Items'!$L$11)-1,0)</f>
        <v>2</v>
      </c>
      <c r="AR494" s="180">
        <f t="shared" si="95"/>
        <v>1</v>
      </c>
      <c r="AS494" s="180">
        <f t="shared" si="96"/>
        <v>1</v>
      </c>
      <c r="AT494" s="180" t="str">
        <f t="shared" si="97"/>
        <v>Value is not in date format</v>
      </c>
      <c r="AU494" s="180" t="str">
        <f t="shared" si="99"/>
        <v>.</v>
      </c>
      <c r="AV494" s="180" t="str">
        <f t="shared" si="100"/>
        <v>.</v>
      </c>
      <c r="AW494" s="180">
        <f>IFERROR(VLOOKUP(B494,'Share, Heavy Weapons to Ukraine'!B:J,COLUMN('Share, Heavy Weapons to Ukraine'!C503)-1,0),0)</f>
        <v>0</v>
      </c>
      <c r="AX494" s="180">
        <f>VLOOKUP('Bilateral Assistance, MAIN DATA'!B494,'Country Summary'!B:F,COLUMN('Country Summary'!C506)-1,FALSE)</f>
        <v>1</v>
      </c>
      <c r="AY494" s="180" t="str">
        <f>IF(AND(AD494=1,D494="Military",H494&lt;&gt;"Not given")=TRUE,IF(SUMIFS(P:P,A:A,A494)&gt;0,ABS((SUMIFS(P:P,A:A,A494)/VLOOKUP("USD",'Exchange Rates'!B:C,2,0)))/S494,"."),".")</f>
        <v>.</v>
      </c>
      <c r="AZ494" s="182" t="str">
        <f>IF(AND(AD494=1,D494="Military",H494&lt;&gt;"Not given")=TRUE,IF(SUMIFS(P:P,A:A,A494)&gt;0,IF((ABS((SUMIFS(P:P,A:A,A494)/VLOOKUP("USD",'Exchange Rates'!B:C,2,0)))/S494)&gt;1,(SUMIFS(P:P,A:A,A494)-S494)/S494,(S494-SUMIFS(P:P,A:A,A494))/SUMIFS(P:P,A:A,A494)),"."),".")</f>
        <v>.</v>
      </c>
      <c r="BA494" s="182"/>
      <c r="BB494" s="182"/>
      <c r="BC494" s="182"/>
      <c r="BD494" s="182"/>
      <c r="BE494" s="182"/>
      <c r="BF494" s="182"/>
      <c r="BG494" s="182"/>
      <c r="BH494" s="182"/>
      <c r="BI494" s="182"/>
      <c r="BJ494" s="182"/>
      <c r="BK494" s="182"/>
      <c r="BL494" s="182"/>
      <c r="BM494" s="182"/>
      <c r="BN494" s="182"/>
      <c r="BO494" s="182"/>
      <c r="BP494" s="182"/>
      <c r="BQ494" s="182"/>
      <c r="BR494" s="182"/>
      <c r="BS494" s="182"/>
    </row>
    <row r="495" spans="1:71" ht="15.9" customHeight="1" x14ac:dyDescent="0.3">
      <c r="A495" s="17" t="s">
        <v>1454</v>
      </c>
      <c r="B495" s="5" t="s">
        <v>1288</v>
      </c>
      <c r="C495" s="174" t="s">
        <v>1327</v>
      </c>
      <c r="D495" s="5" t="s">
        <v>285</v>
      </c>
      <c r="E495" s="5" t="s">
        <v>1328</v>
      </c>
      <c r="F495" s="1139" t="s">
        <v>1455</v>
      </c>
      <c r="G495" s="15" t="s">
        <v>364</v>
      </c>
      <c r="H495" s="176">
        <v>534000000</v>
      </c>
      <c r="I495" s="185" t="s">
        <v>1532</v>
      </c>
      <c r="J495" s="113" t="str">
        <f>VLOOKUP($I495,'Price List, Weapons &amp; Items'!B:C,2,0)</f>
        <v>military equipment</v>
      </c>
      <c r="K495" s="113" t="str">
        <f>IF(I495=".",I495,VLOOKUP($I495,'Price List, Weapons &amp; Items'!B:D,3,0))</f>
        <v>Military equipment</v>
      </c>
      <c r="L495" s="177">
        <f>VLOOKUP(I495,'Price List, Weapons &amp; Items'!B:E,4,0)</f>
        <v>0</v>
      </c>
      <c r="M495" s="542">
        <v>6</v>
      </c>
      <c r="N495" s="542">
        <v>6</v>
      </c>
      <c r="O495" s="543" t="str">
        <f>VLOOKUP($I495,'Price List, Weapons &amp; Items'!B:G,6,0)</f>
        <v>.</v>
      </c>
      <c r="P495" s="176" t="str">
        <f t="shared" si="90"/>
        <v>No price</v>
      </c>
      <c r="Q495" s="176" t="str">
        <f t="shared" si="91"/>
        <v>No price</v>
      </c>
      <c r="R495" s="176" t="str">
        <f t="shared" si="98"/>
        <v/>
      </c>
      <c r="S495" s="176" t="str">
        <f>IF(AND(AD495=1,R495&lt;&gt;".")=TRUE,R495/VLOOKUP(G495,'Exchange Rates'!B:C,2,0),IF(R495=".",".",""))</f>
        <v/>
      </c>
      <c r="T495" s="176" t="str">
        <f>IF(AD495=1,IF(AF495="Value is not given at all",".",IF(AF495="Value is given by the source",S495,IF(AF495="Value is calculated with prices",(IF(SUMIFS(Q:Q,A:A,A495)&gt;0,SUMIFS(Q:Q,A:A,A495),"."))/VLOOKUP("USD",'Exchange Rates'!B:C,2,0),"Error with coding"))),"")</f>
        <v/>
      </c>
      <c r="U495" s="15" t="s">
        <v>261</v>
      </c>
      <c r="V495" s="567" t="s">
        <v>1293</v>
      </c>
      <c r="W495" s="567" t="s">
        <v>1516</v>
      </c>
      <c r="X495" s="685" t="s">
        <v>260</v>
      </c>
      <c r="Y495" s="685" t="s">
        <v>260</v>
      </c>
      <c r="Z495" s="15">
        <v>0</v>
      </c>
      <c r="AA495" s="180">
        <v>1</v>
      </c>
      <c r="AB495" s="570" t="s">
        <v>1533</v>
      </c>
      <c r="AC495" s="544" t="str">
        <f>""</f>
        <v/>
      </c>
      <c r="AD495" s="183">
        <v>0</v>
      </c>
      <c r="AE495" s="183" t="s">
        <v>264</v>
      </c>
      <c r="AF495" s="183" t="s">
        <v>265</v>
      </c>
      <c r="AG495" s="183">
        <v>0</v>
      </c>
      <c r="AH495" s="183">
        <v>0</v>
      </c>
      <c r="AI495" s="183">
        <v>0</v>
      </c>
      <c r="AJ495" s="181">
        <f>VLOOKUP($I495,'Price List, Weapons &amp; Items'!B:F,5,0)</f>
        <v>0</v>
      </c>
      <c r="AK495" s="181">
        <f t="shared" si="92"/>
        <v>0</v>
      </c>
      <c r="AL495" s="181">
        <f t="shared" si="93"/>
        <v>0</v>
      </c>
      <c r="AM495" s="181">
        <f t="shared" si="94"/>
        <v>0</v>
      </c>
      <c r="AN495" s="180" t="str">
        <f>VLOOKUP($I495,'Price List, Weapons &amp; Items'!B:L,COLUMN('Price List, Weapons &amp; Items'!$J$11)-1,0)</f>
        <v>.</v>
      </c>
      <c r="AO495" s="180" t="str">
        <f>IF(I495=".",".",VLOOKUP($I495,'Price List, Weapons &amp; Items'!B:J,3,0))</f>
        <v>Military equipment</v>
      </c>
      <c r="AP495" s="545" t="str">
        <f t="shared" ca="1" si="101"/>
        <v/>
      </c>
      <c r="AQ495" s="180">
        <f>VLOOKUP($I495,'Price List, Weapons &amp; Items'!B:L,COLUMN('Price List, Weapons &amp; Items'!$L$11)-1,0)</f>
        <v>0</v>
      </c>
      <c r="AR495" s="180">
        <f t="shared" si="95"/>
        <v>1</v>
      </c>
      <c r="AS495" s="180">
        <f t="shared" si="96"/>
        <v>1</v>
      </c>
      <c r="AT495" s="180" t="str">
        <f t="shared" si="97"/>
        <v>Value is not in date format</v>
      </c>
      <c r="AU495" s="180" t="str">
        <f t="shared" si="99"/>
        <v>.</v>
      </c>
      <c r="AV495" s="180" t="str">
        <f t="shared" si="100"/>
        <v>.</v>
      </c>
      <c r="AW495" s="180">
        <f>IFERROR(VLOOKUP(B495,'Share, Heavy Weapons to Ukraine'!B:J,COLUMN('Share, Heavy Weapons to Ukraine'!C504)-1,0),0)</f>
        <v>0</v>
      </c>
      <c r="AX495" s="180">
        <f>VLOOKUP('Bilateral Assistance, MAIN DATA'!B495,'Country Summary'!B:F,COLUMN('Country Summary'!C507)-1,FALSE)</f>
        <v>1</v>
      </c>
      <c r="AY495" s="180" t="str">
        <f>IF(AND(AD495=1,D495="Military",H495&lt;&gt;"Not given")=TRUE,IF(SUMIFS(P:P,A:A,A495)&gt;0,ABS((SUMIFS(P:P,A:A,A495)/VLOOKUP("USD",'Exchange Rates'!B:C,2,0)))/S495,"."),".")</f>
        <v>.</v>
      </c>
      <c r="AZ495" s="182" t="str">
        <f>IF(AND(AD495=1,D495="Military",H495&lt;&gt;"Not given")=TRUE,IF(SUMIFS(P:P,A:A,A495)&gt;0,IF((ABS((SUMIFS(P:P,A:A,A495)/VLOOKUP("USD",'Exchange Rates'!B:C,2,0)))/S495)&gt;1,(SUMIFS(P:P,A:A,A495)-S495)/S495,(S495-SUMIFS(P:P,A:A,A495))/SUMIFS(P:P,A:A,A495)),"."),".")</f>
        <v>.</v>
      </c>
      <c r="BA495" s="182"/>
      <c r="BB495" s="182"/>
      <c r="BC495" s="182"/>
      <c r="BD495" s="182"/>
      <c r="BE495" s="182"/>
      <c r="BF495" s="182"/>
      <c r="BG495" s="182"/>
      <c r="BH495" s="182"/>
      <c r="BI495" s="182"/>
      <c r="BJ495" s="182"/>
      <c r="BK495" s="182"/>
      <c r="BL495" s="182"/>
      <c r="BM495" s="182"/>
      <c r="BN495" s="182"/>
      <c r="BO495" s="182"/>
      <c r="BP495" s="182"/>
      <c r="BQ495" s="182"/>
      <c r="BR495" s="182"/>
      <c r="BS495" s="182"/>
    </row>
    <row r="496" spans="1:71" ht="15.9" customHeight="1" x14ac:dyDescent="0.3">
      <c r="A496" s="17" t="s">
        <v>1454</v>
      </c>
      <c r="B496" s="5" t="s">
        <v>1288</v>
      </c>
      <c r="C496" s="174" t="s">
        <v>1327</v>
      </c>
      <c r="D496" s="5" t="s">
        <v>285</v>
      </c>
      <c r="E496" s="5" t="s">
        <v>1328</v>
      </c>
      <c r="F496" s="1139" t="s">
        <v>1455</v>
      </c>
      <c r="G496" s="15" t="s">
        <v>364</v>
      </c>
      <c r="H496" s="176">
        <v>534000000</v>
      </c>
      <c r="I496" s="185" t="s">
        <v>1534</v>
      </c>
      <c r="J496" s="113" t="str">
        <f>VLOOKUP($I496,'Price List, Weapons &amp; Items'!B:C,2,0)</f>
        <v>Military equipment</v>
      </c>
      <c r="K496" s="113" t="str">
        <f>IF(I496=".",I496,VLOOKUP($I496,'Price List, Weapons &amp; Items'!B:D,3,0))</f>
        <v>Military equipment</v>
      </c>
      <c r="L496" s="177">
        <f>VLOOKUP(I496,'Price List, Weapons &amp; Items'!B:E,4,0)</f>
        <v>0</v>
      </c>
      <c r="M496" s="542">
        <v>125</v>
      </c>
      <c r="N496" s="542">
        <v>125</v>
      </c>
      <c r="O496" s="543">
        <f>VLOOKUP($I496,'Price List, Weapons &amp; Items'!B:G,6,0)</f>
        <v>45</v>
      </c>
      <c r="P496" s="176">
        <f t="shared" si="90"/>
        <v>5625</v>
      </c>
      <c r="Q496" s="176">
        <f t="shared" si="91"/>
        <v>5625</v>
      </c>
      <c r="R496" s="176" t="str">
        <f t="shared" si="98"/>
        <v/>
      </c>
      <c r="S496" s="176" t="str">
        <f>IF(AND(AD496=1,R496&lt;&gt;".")=TRUE,R496/VLOOKUP(G496,'Exchange Rates'!B:C,2,0),IF(R496=".",".",""))</f>
        <v/>
      </c>
      <c r="T496" s="176" t="str">
        <f>IF(AD496=1,IF(AF496="Value is not given at all",".",IF(AF496="Value is given by the source",S496,IF(AF496="Value is calculated with prices",(IF(SUMIFS(Q:Q,A:A,A496)&gt;0,SUMIFS(Q:Q,A:A,A496),"."))/VLOOKUP("USD",'Exchange Rates'!B:C,2,0),"Error with coding"))),"")</f>
        <v/>
      </c>
      <c r="U496" s="15" t="s">
        <v>261</v>
      </c>
      <c r="V496" s="567" t="s">
        <v>1293</v>
      </c>
      <c r="W496" s="567" t="s">
        <v>1518</v>
      </c>
      <c r="X496" s="685" t="s">
        <v>260</v>
      </c>
      <c r="Y496" s="685" t="s">
        <v>260</v>
      </c>
      <c r="Z496" s="15">
        <v>0</v>
      </c>
      <c r="AA496" s="180">
        <v>1</v>
      </c>
      <c r="AB496" s="570" t="s">
        <v>1535</v>
      </c>
      <c r="AC496" s="544" t="str">
        <f>""</f>
        <v/>
      </c>
      <c r="AD496" s="183">
        <v>0</v>
      </c>
      <c r="AE496" s="183" t="s">
        <v>264</v>
      </c>
      <c r="AF496" s="183" t="s">
        <v>265</v>
      </c>
      <c r="AG496" s="183">
        <v>0</v>
      </c>
      <c r="AH496" s="183">
        <v>0</v>
      </c>
      <c r="AI496" s="183">
        <v>0</v>
      </c>
      <c r="AJ496" s="181">
        <f>VLOOKUP($I496,'Price List, Weapons &amp; Items'!B:F,5,0)</f>
        <v>0</v>
      </c>
      <c r="AK496" s="181">
        <f t="shared" si="92"/>
        <v>0</v>
      </c>
      <c r="AL496" s="181">
        <f t="shared" si="93"/>
        <v>0</v>
      </c>
      <c r="AM496" s="181">
        <f t="shared" si="94"/>
        <v>0</v>
      </c>
      <c r="AN496" s="180" t="str">
        <f>VLOOKUP($I496,'Price List, Weapons &amp; Items'!B:L,COLUMN('Price List, Weapons &amp; Items'!$J$11)-1,0)</f>
        <v>Online marketplaces and stores</v>
      </c>
      <c r="AO496" s="180" t="str">
        <f>IF(I496=".",".",VLOOKUP($I496,'Price List, Weapons &amp; Items'!B:J,3,0))</f>
        <v>Military equipment</v>
      </c>
      <c r="AP496" s="545" t="str">
        <f t="shared" ca="1" si="101"/>
        <v/>
      </c>
      <c r="AQ496" s="180">
        <f>VLOOKUP($I496,'Price List, Weapons &amp; Items'!B:L,COLUMN('Price List, Weapons &amp; Items'!$L$11)-1,0)</f>
        <v>1</v>
      </c>
      <c r="AR496" s="180">
        <f t="shared" si="95"/>
        <v>1</v>
      </c>
      <c r="AS496" s="180">
        <f t="shared" si="96"/>
        <v>1</v>
      </c>
      <c r="AT496" s="180" t="str">
        <f t="shared" si="97"/>
        <v>Value is not in date format</v>
      </c>
      <c r="AU496" s="180" t="str">
        <f t="shared" si="99"/>
        <v>.</v>
      </c>
      <c r="AV496" s="180" t="str">
        <f t="shared" si="100"/>
        <v>.</v>
      </c>
      <c r="AW496" s="180">
        <f>IFERROR(VLOOKUP(B496,'Share, Heavy Weapons to Ukraine'!B:J,COLUMN('Share, Heavy Weapons to Ukraine'!C505)-1,0),0)</f>
        <v>0</v>
      </c>
      <c r="AX496" s="180">
        <f>VLOOKUP('Bilateral Assistance, MAIN DATA'!B496,'Country Summary'!B:F,COLUMN('Country Summary'!C508)-1,FALSE)</f>
        <v>1</v>
      </c>
      <c r="AY496" s="180" t="str">
        <f>IF(AND(AD496=1,D496="Military",H496&lt;&gt;"Not given")=TRUE,IF(SUMIFS(P:P,A:A,A496)&gt;0,ABS((SUMIFS(P:P,A:A,A496)/VLOOKUP("USD",'Exchange Rates'!B:C,2,0)))/S496,"."),".")</f>
        <v>.</v>
      </c>
      <c r="AZ496" s="182" t="str">
        <f>IF(AND(AD496=1,D496="Military",H496&lt;&gt;"Not given")=TRUE,IF(SUMIFS(P:P,A:A,A496)&gt;0,IF((ABS((SUMIFS(P:P,A:A,A496)/VLOOKUP("USD",'Exchange Rates'!B:C,2,0)))/S496)&gt;1,(SUMIFS(P:P,A:A,A496)-S496)/S496,(S496-SUMIFS(P:P,A:A,A496))/SUMIFS(P:P,A:A,A496)),"."),".")</f>
        <v>.</v>
      </c>
      <c r="BA496" s="182"/>
      <c r="BB496" s="182"/>
      <c r="BC496" s="182"/>
      <c r="BD496" s="182"/>
      <c r="BE496" s="182"/>
      <c r="BF496" s="182"/>
      <c r="BG496" s="182"/>
      <c r="BH496" s="182"/>
      <c r="BI496" s="182"/>
      <c r="BJ496" s="182"/>
      <c r="BK496" s="182"/>
      <c r="BL496" s="182"/>
      <c r="BM496" s="182"/>
      <c r="BN496" s="182"/>
      <c r="BO496" s="182"/>
      <c r="BP496" s="182"/>
      <c r="BQ496" s="182"/>
      <c r="BR496" s="182"/>
      <c r="BS496" s="182"/>
    </row>
    <row r="497" spans="1:71" ht="15.9" customHeight="1" x14ac:dyDescent="0.3">
      <c r="A497" s="17" t="s">
        <v>1454</v>
      </c>
      <c r="B497" s="5" t="s">
        <v>1288</v>
      </c>
      <c r="C497" s="174" t="s">
        <v>1327</v>
      </c>
      <c r="D497" s="5" t="s">
        <v>285</v>
      </c>
      <c r="E497" s="5" t="s">
        <v>1328</v>
      </c>
      <c r="F497" s="1139" t="s">
        <v>1455</v>
      </c>
      <c r="G497" s="15" t="s">
        <v>364</v>
      </c>
      <c r="H497" s="176">
        <v>534000000</v>
      </c>
      <c r="I497" s="185" t="s">
        <v>1536</v>
      </c>
      <c r="J497" s="113" t="str">
        <f>VLOOKUP($I497,'Price List, Weapons &amp; Items'!B:C,2,0)</f>
        <v>Humanitarian</v>
      </c>
      <c r="K497" s="113" t="str">
        <f>IF(I497=".",I497,VLOOKUP($I497,'Price List, Weapons &amp; Items'!B:D,3,0))</f>
        <v>Humanitarian</v>
      </c>
      <c r="L497" s="177">
        <f>VLOOKUP(I497,'Price List, Weapons &amp; Items'!B:E,4,0)</f>
        <v>0</v>
      </c>
      <c r="M497" s="542">
        <v>1200</v>
      </c>
      <c r="N497" s="542">
        <v>1200</v>
      </c>
      <c r="O497" s="543">
        <f>VLOOKUP($I497,'Price List, Weapons &amp; Items'!B:G,6,0)</f>
        <v>6000</v>
      </c>
      <c r="P497" s="176">
        <f t="shared" si="90"/>
        <v>7200000</v>
      </c>
      <c r="Q497" s="176">
        <f t="shared" si="91"/>
        <v>7200000</v>
      </c>
      <c r="R497" s="176" t="str">
        <f t="shared" si="98"/>
        <v/>
      </c>
      <c r="S497" s="176" t="str">
        <f>IF(AND(AD497=1,R497&lt;&gt;".")=TRUE,R497/VLOOKUP(G497,'Exchange Rates'!B:C,2,0),IF(R497=".",".",""))</f>
        <v/>
      </c>
      <c r="T497" s="176" t="str">
        <f>IF(AD497=1,IF(AF497="Value is not given at all",".",IF(AF497="Value is given by the source",S497,IF(AF497="Value is calculated with prices",(IF(SUMIFS(Q:Q,A:A,A497)&gt;0,SUMIFS(Q:Q,A:A,A497),"."))/VLOOKUP("USD",'Exchange Rates'!B:C,2,0),"Error with coding"))),"")</f>
        <v/>
      </c>
      <c r="U497" s="15" t="s">
        <v>261</v>
      </c>
      <c r="V497" s="567" t="s">
        <v>1293</v>
      </c>
      <c r="W497" s="567" t="s">
        <v>1520</v>
      </c>
      <c r="X497" s="685" t="s">
        <v>260</v>
      </c>
      <c r="Y497" s="685" t="s">
        <v>260</v>
      </c>
      <c r="Z497" s="15">
        <v>0</v>
      </c>
      <c r="AA497" s="180">
        <v>1</v>
      </c>
      <c r="AB497" s="570" t="s">
        <v>1537</v>
      </c>
      <c r="AC497" s="544" t="str">
        <f>""</f>
        <v/>
      </c>
      <c r="AD497" s="183">
        <v>0</v>
      </c>
      <c r="AE497" s="183" t="s">
        <v>264</v>
      </c>
      <c r="AF497" s="183" t="s">
        <v>265</v>
      </c>
      <c r="AG497" s="183">
        <v>0</v>
      </c>
      <c r="AH497" s="183">
        <v>0</v>
      </c>
      <c r="AI497" s="183">
        <v>0</v>
      </c>
      <c r="AJ497" s="181">
        <f>VLOOKUP($I497,'Price List, Weapons &amp; Items'!B:F,5,0)</f>
        <v>0</v>
      </c>
      <c r="AK497" s="181">
        <f t="shared" si="92"/>
        <v>0</v>
      </c>
      <c r="AL497" s="181">
        <f t="shared" si="93"/>
        <v>0</v>
      </c>
      <c r="AM497" s="181">
        <f t="shared" si="94"/>
        <v>0</v>
      </c>
      <c r="AN497" s="180" t="str">
        <f>VLOOKUP($I497,'Price List, Weapons &amp; Items'!B:L,COLUMN('Price List, Weapons &amp; Items'!$J$11)-1,0)</f>
        <v>Miscellaneous</v>
      </c>
      <c r="AO497" s="180" t="str">
        <f>IF(I497=".",".",VLOOKUP($I497,'Price List, Weapons &amp; Items'!B:J,3,0))</f>
        <v>Humanitarian</v>
      </c>
      <c r="AP497" s="545" t="str">
        <f t="shared" ca="1" si="101"/>
        <v/>
      </c>
      <c r="AQ497" s="180">
        <f>VLOOKUP($I497,'Price List, Weapons &amp; Items'!B:L,COLUMN('Price List, Weapons &amp; Items'!$L$11)-1,0)</f>
        <v>0</v>
      </c>
      <c r="AR497" s="180">
        <f t="shared" si="95"/>
        <v>1</v>
      </c>
      <c r="AS497" s="180">
        <f t="shared" si="96"/>
        <v>1</v>
      </c>
      <c r="AT497" s="180" t="str">
        <f t="shared" si="97"/>
        <v>Value is not in date format</v>
      </c>
      <c r="AU497" s="180" t="str">
        <f t="shared" si="99"/>
        <v>.</v>
      </c>
      <c r="AV497" s="180" t="str">
        <f t="shared" si="100"/>
        <v>.</v>
      </c>
      <c r="AW497" s="180">
        <f>IFERROR(VLOOKUP(B497,'Share, Heavy Weapons to Ukraine'!B:J,COLUMN('Share, Heavy Weapons to Ukraine'!C506)-1,0),0)</f>
        <v>0</v>
      </c>
      <c r="AX497" s="180">
        <f>VLOOKUP('Bilateral Assistance, MAIN DATA'!B497,'Country Summary'!B:F,COLUMN('Country Summary'!C509)-1,FALSE)</f>
        <v>1</v>
      </c>
      <c r="AY497" s="180" t="str">
        <f>IF(AND(AD497=1,D497="Military",H497&lt;&gt;"Not given")=TRUE,IF(SUMIFS(P:P,A:A,A497)&gt;0,ABS((SUMIFS(P:P,A:A,A497)/VLOOKUP("USD",'Exchange Rates'!B:C,2,0)))/S497,"."),".")</f>
        <v>.</v>
      </c>
      <c r="AZ497" s="182" t="str">
        <f>IF(AND(AD497=1,D497="Military",H497&lt;&gt;"Not given")=TRUE,IF(SUMIFS(P:P,A:A,A497)&gt;0,IF((ABS((SUMIFS(P:P,A:A,A497)/VLOOKUP("USD",'Exchange Rates'!B:C,2,0)))/S497)&gt;1,(SUMIFS(P:P,A:A,A497)-S497)/S497,(S497-SUMIFS(P:P,A:A,A497))/SUMIFS(P:P,A:A,A497)),"."),".")</f>
        <v>.</v>
      </c>
      <c r="BA497" s="182"/>
      <c r="BB497" s="182"/>
      <c r="BC497" s="182"/>
      <c r="BD497" s="182"/>
      <c r="BE497" s="182"/>
      <c r="BF497" s="182"/>
      <c r="BG497" s="182"/>
      <c r="BH497" s="182"/>
      <c r="BI497" s="182"/>
      <c r="BJ497" s="182"/>
      <c r="BK497" s="182"/>
      <c r="BL497" s="182"/>
      <c r="BM497" s="182"/>
      <c r="BN497" s="182"/>
      <c r="BO497" s="182"/>
      <c r="BP497" s="182"/>
      <c r="BQ497" s="182"/>
      <c r="BR497" s="182"/>
      <c r="BS497" s="182"/>
    </row>
    <row r="498" spans="1:71" ht="15.9" customHeight="1" x14ac:dyDescent="0.3">
      <c r="A498" s="17" t="s">
        <v>1454</v>
      </c>
      <c r="B498" s="5" t="s">
        <v>1288</v>
      </c>
      <c r="C498" s="174" t="s">
        <v>1327</v>
      </c>
      <c r="D498" s="5" t="s">
        <v>285</v>
      </c>
      <c r="E498" s="5" t="s">
        <v>1328</v>
      </c>
      <c r="F498" s="1139" t="s">
        <v>1455</v>
      </c>
      <c r="G498" s="15" t="s">
        <v>364</v>
      </c>
      <c r="H498" s="176">
        <v>534000000</v>
      </c>
      <c r="I498" s="185" t="s">
        <v>1538</v>
      </c>
      <c r="J498" s="113" t="str">
        <f>VLOOKUP($I498,'Price List, Weapons &amp; Items'!B:C,2,0)</f>
        <v>Humanitarian</v>
      </c>
      <c r="K498" s="113" t="str">
        <f>IF(I498=".",I498,VLOOKUP($I498,'Price List, Weapons &amp; Items'!B:D,3,0))</f>
        <v>Humanitarian</v>
      </c>
      <c r="L498" s="177">
        <f>VLOOKUP(I498,'Price List, Weapons &amp; Items'!B:E,4,0)</f>
        <v>0</v>
      </c>
      <c r="M498" s="542">
        <v>18</v>
      </c>
      <c r="N498" s="542">
        <v>18</v>
      </c>
      <c r="O498" s="543" t="str">
        <f>VLOOKUP($I498,'Price List, Weapons &amp; Items'!B:G,6,0)</f>
        <v>.</v>
      </c>
      <c r="P498" s="176" t="str">
        <f t="shared" ref="P498:P557" si="102">IF(TYPE(M498)=1,IF(TYPE(O498)=1,M498*O498,"No price"),".")</f>
        <v>No price</v>
      </c>
      <c r="Q498" s="176" t="str">
        <f t="shared" ref="Q498:Q557" si="103">IF(TYPE(N498)=1,IF(TYPE(O498)=1,N498*O498,"No price"),".")</f>
        <v>No price</v>
      </c>
      <c r="R498" s="176" t="str">
        <f t="shared" si="98"/>
        <v/>
      </c>
      <c r="S498" s="176" t="str">
        <f>IF(AND(AD498=1,R498&lt;&gt;".")=TRUE,R498/VLOOKUP(G498,'Exchange Rates'!B:C,2,0),IF(R498=".",".",""))</f>
        <v/>
      </c>
      <c r="T498" s="176" t="str">
        <f>IF(AD498=1,IF(AF498="Value is not given at all",".",IF(AF498="Value is given by the source",S498,IF(AF498="Value is calculated with prices",(IF(SUMIFS(Q:Q,A:A,A498)&gt;0,SUMIFS(Q:Q,A:A,A498),"."))/VLOOKUP("USD",'Exchange Rates'!B:C,2,0),"Error with coding"))),"")</f>
        <v/>
      </c>
      <c r="U498" s="15" t="s">
        <v>261</v>
      </c>
      <c r="V498" s="567" t="s">
        <v>1293</v>
      </c>
      <c r="W498" s="567" t="s">
        <v>1522</v>
      </c>
      <c r="X498" s="685" t="s">
        <v>260</v>
      </c>
      <c r="Y498" s="685" t="s">
        <v>260</v>
      </c>
      <c r="Z498" s="15">
        <v>0</v>
      </c>
      <c r="AA498" s="180">
        <v>1</v>
      </c>
      <c r="AB498" s="570" t="s">
        <v>1539</v>
      </c>
      <c r="AC498" s="544" t="str">
        <f>""</f>
        <v/>
      </c>
      <c r="AD498" s="183">
        <v>0</v>
      </c>
      <c r="AE498" s="183" t="s">
        <v>264</v>
      </c>
      <c r="AF498" s="183" t="s">
        <v>265</v>
      </c>
      <c r="AG498" s="183">
        <v>0</v>
      </c>
      <c r="AH498" s="183">
        <v>0</v>
      </c>
      <c r="AI498" s="183">
        <v>0</v>
      </c>
      <c r="AJ498" s="181">
        <f>VLOOKUP($I498,'Price List, Weapons &amp; Items'!B:F,5,0)</f>
        <v>0</v>
      </c>
      <c r="AK498" s="181">
        <f t="shared" ref="AK498:AK557" si="104">IF(AND(AJ498=1,M498="undisclosed")=TRUE,1,0)</f>
        <v>0</v>
      </c>
      <c r="AL498" s="181">
        <f t="shared" ref="AL498:AL557" si="105">IF(AND(AJ498=1,N498="undisclosed")=TRUE,1,0)</f>
        <v>0</v>
      </c>
      <c r="AM498" s="181">
        <f t="shared" ref="AM498:AM557" si="106">IFERROR(IF(SEARCH("ammuni",I498,1)&gt;0,1,0),0)</f>
        <v>0</v>
      </c>
      <c r="AN498" s="180" t="str">
        <f>VLOOKUP($I498,'Price List, Weapons &amp; Items'!B:L,COLUMN('Price List, Weapons &amp; Items'!$J$11)-1,0)</f>
        <v>.</v>
      </c>
      <c r="AO498" s="180" t="str">
        <f>IF(I498=".",".",VLOOKUP($I498,'Price List, Weapons &amp; Items'!B:J,3,0))</f>
        <v>Humanitarian</v>
      </c>
      <c r="AP498" s="545" t="str">
        <f t="shared" ca="1" si="101"/>
        <v/>
      </c>
      <c r="AQ498" s="180">
        <f>VLOOKUP($I498,'Price List, Weapons &amp; Items'!B:L,COLUMN('Price List, Weapons &amp; Items'!$L$11)-1,0)</f>
        <v>0</v>
      </c>
      <c r="AR498" s="180">
        <f t="shared" ref="AR498:AR557" si="107">IF(U498="Yes",1,0)</f>
        <v>1</v>
      </c>
      <c r="AS498" s="180">
        <f t="shared" ref="AS498:AS557" si="108">IF(D498="Military",IF(OR(IFERROR(SEARCH("equipment",E498,1),0)&gt;0,IFERROR(SEARCH("weapons",E498,1),0)&gt;0),1,0),0)</f>
        <v>1</v>
      </c>
      <c r="AT498" s="180" t="str">
        <f t="shared" si="97"/>
        <v>Value is not in date format</v>
      </c>
      <c r="AU498" s="180" t="str">
        <f t="shared" si="99"/>
        <v>.</v>
      </c>
      <c r="AV498" s="180" t="str">
        <f t="shared" si="100"/>
        <v>.</v>
      </c>
      <c r="AW498" s="180">
        <f>IFERROR(VLOOKUP(B498,'Share, Heavy Weapons to Ukraine'!B:J,COLUMN('Share, Heavy Weapons to Ukraine'!C507)-1,0),0)</f>
        <v>0</v>
      </c>
      <c r="AX498" s="180">
        <f>VLOOKUP('Bilateral Assistance, MAIN DATA'!B498,'Country Summary'!B:F,COLUMN('Country Summary'!C510)-1,FALSE)</f>
        <v>1</v>
      </c>
      <c r="AY498" s="180" t="str">
        <f>IF(AND(AD498=1,D498="Military",H498&lt;&gt;"Not given")=TRUE,IF(SUMIFS(P:P,A:A,A498)&gt;0,ABS((SUMIFS(P:P,A:A,A498)/VLOOKUP("USD",'Exchange Rates'!B:C,2,0)))/S498,"."),".")</f>
        <v>.</v>
      </c>
      <c r="AZ498" s="182" t="str">
        <f>IF(AND(AD498=1,D498="Military",H498&lt;&gt;"Not given")=TRUE,IF(SUMIFS(P:P,A:A,A498)&gt;0,IF((ABS((SUMIFS(P:P,A:A,A498)/VLOOKUP("USD",'Exchange Rates'!B:C,2,0)))/S498)&gt;1,(SUMIFS(P:P,A:A,A498)-S498)/S498,(S498-SUMIFS(P:P,A:A,A498))/SUMIFS(P:P,A:A,A498)),"."),".")</f>
        <v>.</v>
      </c>
      <c r="BA498" s="182"/>
      <c r="BB498" s="182"/>
      <c r="BC498" s="182"/>
      <c r="BD498" s="182"/>
      <c r="BE498" s="182"/>
      <c r="BF498" s="182"/>
      <c r="BG498" s="182"/>
      <c r="BH498" s="182"/>
      <c r="BI498" s="182"/>
      <c r="BJ498" s="182"/>
      <c r="BK498" s="182"/>
      <c r="BL498" s="182"/>
      <c r="BM498" s="182"/>
      <c r="BN498" s="182"/>
      <c r="BO498" s="182"/>
      <c r="BP498" s="182"/>
      <c r="BQ498" s="182"/>
      <c r="BR498" s="182"/>
      <c r="BS498" s="182"/>
    </row>
    <row r="499" spans="1:71" ht="15.9" customHeight="1" x14ac:dyDescent="0.3">
      <c r="A499" s="17" t="s">
        <v>1454</v>
      </c>
      <c r="B499" s="5" t="s">
        <v>1288</v>
      </c>
      <c r="C499" s="174" t="s">
        <v>1327</v>
      </c>
      <c r="D499" s="5" t="s">
        <v>285</v>
      </c>
      <c r="E499" s="5" t="s">
        <v>1328</v>
      </c>
      <c r="F499" s="1139" t="s">
        <v>1455</v>
      </c>
      <c r="G499" s="15" t="s">
        <v>364</v>
      </c>
      <c r="H499" s="176">
        <v>534000000</v>
      </c>
      <c r="I499" s="185" t="s">
        <v>1540</v>
      </c>
      <c r="J499" s="113" t="str">
        <f>VLOOKUP($I499,'Price List, Weapons &amp; Items'!B:C,2,0)</f>
        <v>Military equipment</v>
      </c>
      <c r="K499" s="113" t="str">
        <f>IF(I499=".",I499,VLOOKUP($I499,'Price List, Weapons &amp; Items'!B:D,3,0))</f>
        <v>Military equipment</v>
      </c>
      <c r="L499" s="177">
        <f>VLOOKUP(I499,'Price List, Weapons &amp; Items'!B:E,4,0)</f>
        <v>0</v>
      </c>
      <c r="M499" s="542">
        <v>60</v>
      </c>
      <c r="N499" s="542">
        <v>60</v>
      </c>
      <c r="O499" s="543">
        <f>VLOOKUP($I499,'Price List, Weapons &amp; Items'!B:G,6,0)</f>
        <v>19500</v>
      </c>
      <c r="P499" s="176">
        <f t="shared" si="102"/>
        <v>1170000</v>
      </c>
      <c r="Q499" s="176">
        <f t="shared" si="103"/>
        <v>1170000</v>
      </c>
      <c r="R499" s="176" t="str">
        <f t="shared" si="98"/>
        <v/>
      </c>
      <c r="S499" s="176" t="str">
        <f>IF(AND(AD499=1,R499&lt;&gt;".")=TRUE,R499/VLOOKUP(G499,'Exchange Rates'!B:C,2,0),IF(R499=".",".",""))</f>
        <v/>
      </c>
      <c r="T499" s="176" t="str">
        <f>IF(AD499=1,IF(AF499="Value is not given at all",".",IF(AF499="Value is given by the source",S499,IF(AF499="Value is calculated with prices",(IF(SUMIFS(Q:Q,A:A,A499)&gt;0,SUMIFS(Q:Q,A:A,A499),"."))/VLOOKUP("USD",'Exchange Rates'!B:C,2,0),"Error with coding"))),"")</f>
        <v/>
      </c>
      <c r="U499" s="15" t="s">
        <v>261</v>
      </c>
      <c r="V499" s="567" t="s">
        <v>1293</v>
      </c>
      <c r="W499" s="567" t="s">
        <v>1523</v>
      </c>
      <c r="X499" s="685" t="s">
        <v>260</v>
      </c>
      <c r="Y499" s="685" t="s">
        <v>260</v>
      </c>
      <c r="Z499" s="15">
        <v>0</v>
      </c>
      <c r="AA499" s="180">
        <v>1</v>
      </c>
      <c r="AB499" s="570" t="s">
        <v>1541</v>
      </c>
      <c r="AC499" s="544" t="str">
        <f>""</f>
        <v/>
      </c>
      <c r="AD499" s="183">
        <v>0</v>
      </c>
      <c r="AE499" s="183" t="s">
        <v>264</v>
      </c>
      <c r="AF499" s="183" t="s">
        <v>265</v>
      </c>
      <c r="AG499" s="183">
        <v>0</v>
      </c>
      <c r="AH499" s="183">
        <v>0</v>
      </c>
      <c r="AI499" s="183">
        <v>0</v>
      </c>
      <c r="AJ499" s="181">
        <f>VLOOKUP($I499,'Price List, Weapons &amp; Items'!B:F,5,0)</f>
        <v>0</v>
      </c>
      <c r="AK499" s="181">
        <f t="shared" si="104"/>
        <v>0</v>
      </c>
      <c r="AL499" s="181">
        <f t="shared" si="105"/>
        <v>0</v>
      </c>
      <c r="AM499" s="181">
        <f t="shared" si="106"/>
        <v>0</v>
      </c>
      <c r="AN499" s="180" t="str">
        <f>VLOOKUP($I499,'Price List, Weapons &amp; Items'!B:L,COLUMN('Price List, Weapons &amp; Items'!$J$11)-1,0)</f>
        <v>Government information</v>
      </c>
      <c r="AO499" s="180" t="str">
        <f>IF(I499=".",".",VLOOKUP($I499,'Price List, Weapons &amp; Items'!B:J,3,0))</f>
        <v>Military equipment</v>
      </c>
      <c r="AP499" s="545" t="str">
        <f t="shared" ca="1" si="101"/>
        <v/>
      </c>
      <c r="AQ499" s="180">
        <f>VLOOKUP($I499,'Price List, Weapons &amp; Items'!B:L,COLUMN('Price List, Weapons &amp; Items'!$L$11)-1,0)</f>
        <v>1</v>
      </c>
      <c r="AR499" s="180">
        <f t="shared" si="107"/>
        <v>1</v>
      </c>
      <c r="AS499" s="180">
        <f t="shared" si="108"/>
        <v>1</v>
      </c>
      <c r="AT499" s="180" t="str">
        <f t="shared" si="97"/>
        <v>Value is not in date format</v>
      </c>
      <c r="AU499" s="180" t="str">
        <f t="shared" si="99"/>
        <v>.</v>
      </c>
      <c r="AV499" s="180" t="str">
        <f t="shared" si="100"/>
        <v>.</v>
      </c>
      <c r="AW499" s="180">
        <f>IFERROR(VLOOKUP(B499,'Share, Heavy Weapons to Ukraine'!B:J,COLUMN('Share, Heavy Weapons to Ukraine'!C508)-1,0),0)</f>
        <v>0</v>
      </c>
      <c r="AX499" s="180">
        <f>VLOOKUP('Bilateral Assistance, MAIN DATA'!B499,'Country Summary'!B:F,COLUMN('Country Summary'!C511)-1,FALSE)</f>
        <v>1</v>
      </c>
      <c r="AY499" s="180" t="str">
        <f>IF(AND(AD499=1,D499="Military",H499&lt;&gt;"Not given")=TRUE,IF(SUMIFS(P:P,A:A,A499)&gt;0,ABS((SUMIFS(P:P,A:A,A499)/VLOOKUP("USD",'Exchange Rates'!B:C,2,0)))/S499,"."),".")</f>
        <v>.</v>
      </c>
      <c r="AZ499" s="182" t="str">
        <f>IF(AND(AD499=1,D499="Military",H499&lt;&gt;"Not given")=TRUE,IF(SUMIFS(P:P,A:A,A499)&gt;0,IF((ABS((SUMIFS(P:P,A:A,A499)/VLOOKUP("USD",'Exchange Rates'!B:C,2,0)))/S499)&gt;1,(SUMIFS(P:P,A:A,A499)-S499)/S499,(S499-SUMIFS(P:P,A:A,A499))/SUMIFS(P:P,A:A,A499)),"."),".")</f>
        <v>.</v>
      </c>
      <c r="BA499" s="182"/>
      <c r="BB499" s="182"/>
      <c r="BC499" s="182"/>
      <c r="BD499" s="182"/>
      <c r="BE499" s="182"/>
      <c r="BF499" s="182"/>
      <c r="BG499" s="182"/>
      <c r="BH499" s="182"/>
      <c r="BI499" s="182"/>
      <c r="BJ499" s="182"/>
      <c r="BK499" s="182"/>
      <c r="BL499" s="182"/>
      <c r="BM499" s="182"/>
      <c r="BN499" s="182"/>
      <c r="BO499" s="182"/>
      <c r="BP499" s="182"/>
      <c r="BQ499" s="182"/>
      <c r="BR499" s="182"/>
      <c r="BS499" s="182"/>
    </row>
    <row r="500" spans="1:71" ht="15.9" customHeight="1" x14ac:dyDescent="0.3">
      <c r="A500" s="17" t="s">
        <v>1454</v>
      </c>
      <c r="B500" s="5" t="s">
        <v>1288</v>
      </c>
      <c r="C500" s="174" t="s">
        <v>1327</v>
      </c>
      <c r="D500" s="5" t="s">
        <v>285</v>
      </c>
      <c r="E500" s="5" t="s">
        <v>1328</v>
      </c>
      <c r="F500" s="1139" t="s">
        <v>1455</v>
      </c>
      <c r="G500" s="15" t="s">
        <v>364</v>
      </c>
      <c r="H500" s="176">
        <v>534000000</v>
      </c>
      <c r="I500" s="185" t="s">
        <v>1542</v>
      </c>
      <c r="J500" s="113" t="str">
        <f>VLOOKUP($I500,'Price List, Weapons &amp; Items'!B:C,2,0)</f>
        <v>Humanitarian</v>
      </c>
      <c r="K500" s="113" t="str">
        <f>IF(I500=".",I500,VLOOKUP($I500,'Price List, Weapons &amp; Items'!B:D,3,0))</f>
        <v>Humanitarian</v>
      </c>
      <c r="L500" s="177">
        <f>VLOOKUP(I500,'Price List, Weapons &amp; Items'!B:E,4,0)</f>
        <v>0</v>
      </c>
      <c r="M500" s="542" t="s">
        <v>270</v>
      </c>
      <c r="N500" s="542" t="s">
        <v>270</v>
      </c>
      <c r="O500" s="543" t="str">
        <f>VLOOKUP($I500,'Price List, Weapons &amp; Items'!B:G,6,0)</f>
        <v>.</v>
      </c>
      <c r="P500" s="176" t="str">
        <f t="shared" si="102"/>
        <v>.</v>
      </c>
      <c r="Q500" s="176" t="str">
        <f t="shared" si="103"/>
        <v>.</v>
      </c>
      <c r="R500" s="176" t="str">
        <f t="shared" si="98"/>
        <v/>
      </c>
      <c r="S500" s="176" t="str">
        <f>IF(AND(AD500=1,R500&lt;&gt;".")=TRUE,R500/VLOOKUP(G500,'Exchange Rates'!B:C,2,0),IF(R500=".",".",""))</f>
        <v/>
      </c>
      <c r="T500" s="176" t="str">
        <f>IF(AD500=1,IF(AF500="Value is not given at all",".",IF(AF500="Value is given by the source",S500,IF(AF500="Value is calculated with prices",(IF(SUMIFS(Q:Q,A:A,A500)&gt;0,SUMIFS(Q:Q,A:A,A500),"."))/VLOOKUP("USD",'Exchange Rates'!B:C,2,0),"Error with coding"))),"")</f>
        <v/>
      </c>
      <c r="U500" s="15" t="s">
        <v>261</v>
      </c>
      <c r="V500" s="567" t="s">
        <v>1293</v>
      </c>
      <c r="W500" s="567" t="s">
        <v>1525</v>
      </c>
      <c r="X500" s="685" t="s">
        <v>260</v>
      </c>
      <c r="Y500" s="685" t="s">
        <v>260</v>
      </c>
      <c r="Z500" s="15">
        <v>0</v>
      </c>
      <c r="AA500" s="180">
        <v>1</v>
      </c>
      <c r="AB500" s="570" t="s">
        <v>1543</v>
      </c>
      <c r="AC500" s="544" t="str">
        <f>""</f>
        <v/>
      </c>
      <c r="AD500" s="183">
        <v>0</v>
      </c>
      <c r="AE500" s="183" t="s">
        <v>264</v>
      </c>
      <c r="AF500" s="183" t="s">
        <v>265</v>
      </c>
      <c r="AG500" s="183">
        <v>0</v>
      </c>
      <c r="AH500" s="183">
        <v>0</v>
      </c>
      <c r="AI500" s="183">
        <v>0</v>
      </c>
      <c r="AJ500" s="181">
        <f>VLOOKUP($I500,'Price List, Weapons &amp; Items'!B:F,5,0)</f>
        <v>0</v>
      </c>
      <c r="AK500" s="181">
        <f t="shared" si="104"/>
        <v>0</v>
      </c>
      <c r="AL500" s="181">
        <f t="shared" si="105"/>
        <v>0</v>
      </c>
      <c r="AM500" s="181">
        <f t="shared" si="106"/>
        <v>0</v>
      </c>
      <c r="AN500" s="180" t="str">
        <f>VLOOKUP($I500,'Price List, Weapons &amp; Items'!B:L,COLUMN('Price List, Weapons &amp; Items'!$J$11)-1,0)</f>
        <v>.</v>
      </c>
      <c r="AO500" s="180" t="str">
        <f>IF(I500=".",".",VLOOKUP($I500,'Price List, Weapons &amp; Items'!B:J,3,0))</f>
        <v>Humanitarian</v>
      </c>
      <c r="AP500" s="545" t="str">
        <f t="shared" ca="1" si="101"/>
        <v/>
      </c>
      <c r="AQ500" s="180">
        <f>VLOOKUP($I500,'Price List, Weapons &amp; Items'!B:L,COLUMN('Price List, Weapons &amp; Items'!$L$11)-1,0)</f>
        <v>0</v>
      </c>
      <c r="AR500" s="180">
        <f t="shared" si="107"/>
        <v>1</v>
      </c>
      <c r="AS500" s="180">
        <f t="shared" si="108"/>
        <v>1</v>
      </c>
      <c r="AT500" s="180" t="str">
        <f t="shared" si="97"/>
        <v>Value is not in date format</v>
      </c>
      <c r="AU500" s="180" t="str">
        <f t="shared" si="99"/>
        <v>.</v>
      </c>
      <c r="AV500" s="180" t="str">
        <f t="shared" si="100"/>
        <v>.</v>
      </c>
      <c r="AW500" s="180">
        <f>IFERROR(VLOOKUP(B500,'Share, Heavy Weapons to Ukraine'!B:J,COLUMN('Share, Heavy Weapons to Ukraine'!C509)-1,0),0)</f>
        <v>0</v>
      </c>
      <c r="AX500" s="180">
        <f>VLOOKUP('Bilateral Assistance, MAIN DATA'!B500,'Country Summary'!B:F,COLUMN('Country Summary'!C512)-1,FALSE)</f>
        <v>1</v>
      </c>
      <c r="AY500" s="180" t="str">
        <f>IF(AND(AD500=1,D500="Military",H500&lt;&gt;"Not given")=TRUE,IF(SUMIFS(P:P,A:A,A500)&gt;0,ABS((SUMIFS(P:P,A:A,A500)/VLOOKUP("USD",'Exchange Rates'!B:C,2,0)))/S500,"."),".")</f>
        <v>.</v>
      </c>
      <c r="AZ500" s="182" t="str">
        <f>IF(AND(AD500=1,D500="Military",H500&lt;&gt;"Not given")=TRUE,IF(SUMIFS(P:P,A:A,A500)&gt;0,IF((ABS((SUMIFS(P:P,A:A,A500)/VLOOKUP("USD",'Exchange Rates'!B:C,2,0)))/S500)&gt;1,(SUMIFS(P:P,A:A,A500)-S500)/S500,(S500-SUMIFS(P:P,A:A,A500))/SUMIFS(P:P,A:A,A500)),"."),".")</f>
        <v>.</v>
      </c>
      <c r="BA500" s="182"/>
      <c r="BB500" s="182"/>
      <c r="BC500" s="182"/>
      <c r="BD500" s="182"/>
      <c r="BE500" s="182"/>
      <c r="BF500" s="182"/>
      <c r="BG500" s="182"/>
      <c r="BH500" s="182"/>
      <c r="BI500" s="182"/>
      <c r="BJ500" s="182"/>
      <c r="BK500" s="182"/>
      <c r="BL500" s="182"/>
      <c r="BM500" s="182"/>
      <c r="BN500" s="182"/>
      <c r="BO500" s="182"/>
      <c r="BP500" s="182"/>
      <c r="BQ500" s="182"/>
      <c r="BR500" s="182"/>
      <c r="BS500" s="182"/>
    </row>
    <row r="501" spans="1:71" ht="15.9" customHeight="1" x14ac:dyDescent="0.3">
      <c r="A501" s="17" t="s">
        <v>1454</v>
      </c>
      <c r="B501" s="5" t="s">
        <v>1288</v>
      </c>
      <c r="C501" s="174" t="s">
        <v>1327</v>
      </c>
      <c r="D501" s="5" t="s">
        <v>285</v>
      </c>
      <c r="E501" s="5" t="s">
        <v>1328</v>
      </c>
      <c r="F501" s="1139" t="s">
        <v>1455</v>
      </c>
      <c r="G501" s="15" t="s">
        <v>364</v>
      </c>
      <c r="H501" s="176">
        <v>534000000</v>
      </c>
      <c r="I501" s="185" t="s">
        <v>1544</v>
      </c>
      <c r="J501" s="113" t="str">
        <f>VLOOKUP($I501,'Price List, Weapons &amp; Items'!B:C,2,0)</f>
        <v>Humanitarian</v>
      </c>
      <c r="K501" s="113" t="str">
        <f>IF(I501=".",I501,VLOOKUP($I501,'Price List, Weapons &amp; Items'!B:D,3,0))</f>
        <v>Humanitarian</v>
      </c>
      <c r="L501" s="177">
        <f>VLOOKUP(I501,'Price List, Weapons &amp; Items'!B:E,4,0)</f>
        <v>0</v>
      </c>
      <c r="M501" s="542" t="s">
        <v>270</v>
      </c>
      <c r="N501" s="542" t="s">
        <v>270</v>
      </c>
      <c r="O501" s="543">
        <f>VLOOKUP($I501,'Price List, Weapons &amp; Items'!B:G,6,0)</f>
        <v>0.24</v>
      </c>
      <c r="P501" s="176" t="str">
        <f t="shared" si="102"/>
        <v>.</v>
      </c>
      <c r="Q501" s="176" t="str">
        <f t="shared" si="103"/>
        <v>.</v>
      </c>
      <c r="R501" s="176" t="str">
        <f t="shared" si="98"/>
        <v/>
      </c>
      <c r="S501" s="176" t="str">
        <f>IF(AND(AD501=1,R501&lt;&gt;".")=TRUE,R501/VLOOKUP(G501,'Exchange Rates'!B:C,2,0),IF(R501=".",".",""))</f>
        <v/>
      </c>
      <c r="T501" s="176" t="str">
        <f>IF(AD501=1,IF(AF501="Value is not given at all",".",IF(AF501="Value is given by the source",S501,IF(AF501="Value is calculated with prices",(IF(SUMIFS(Q:Q,A:A,A501)&gt;0,SUMIFS(Q:Q,A:A,A501),"."))/VLOOKUP("USD",'Exchange Rates'!B:C,2,0),"Error with coding"))),"")</f>
        <v/>
      </c>
      <c r="U501" s="15" t="s">
        <v>261</v>
      </c>
      <c r="V501" s="567" t="s">
        <v>1293</v>
      </c>
      <c r="W501" s="567" t="s">
        <v>1527</v>
      </c>
      <c r="X501" s="685" t="s">
        <v>260</v>
      </c>
      <c r="Y501" s="685" t="s">
        <v>260</v>
      </c>
      <c r="Z501" s="15">
        <v>0</v>
      </c>
      <c r="AA501" s="180">
        <v>1</v>
      </c>
      <c r="AB501" s="570" t="s">
        <v>1545</v>
      </c>
      <c r="AC501" s="544" t="str">
        <f>""</f>
        <v/>
      </c>
      <c r="AD501" s="183">
        <v>0</v>
      </c>
      <c r="AE501" s="183" t="s">
        <v>264</v>
      </c>
      <c r="AF501" s="183" t="s">
        <v>265</v>
      </c>
      <c r="AG501" s="183">
        <v>0</v>
      </c>
      <c r="AH501" s="183">
        <v>0</v>
      </c>
      <c r="AI501" s="183">
        <v>0</v>
      </c>
      <c r="AJ501" s="181">
        <f>VLOOKUP($I501,'Price List, Weapons &amp; Items'!B:F,5,0)</f>
        <v>0</v>
      </c>
      <c r="AK501" s="181">
        <f t="shared" si="104"/>
        <v>0</v>
      </c>
      <c r="AL501" s="181">
        <f t="shared" si="105"/>
        <v>0</v>
      </c>
      <c r="AM501" s="181">
        <f t="shared" si="106"/>
        <v>0</v>
      </c>
      <c r="AN501" s="180" t="str">
        <f>VLOOKUP($I501,'Price List, Weapons &amp; Items'!B:L,COLUMN('Price List, Weapons &amp; Items'!$J$11)-1,0)</f>
        <v>Online marketplaces and stores</v>
      </c>
      <c r="AO501" s="180" t="str">
        <f>IF(I501=".",".",VLOOKUP($I501,'Price List, Weapons &amp; Items'!B:J,3,0))</f>
        <v>Humanitarian</v>
      </c>
      <c r="AP501" s="545" t="str">
        <f t="shared" ca="1" si="101"/>
        <v/>
      </c>
      <c r="AQ501" s="180">
        <f>VLOOKUP($I501,'Price List, Weapons &amp; Items'!B:L,COLUMN('Price List, Weapons &amp; Items'!$L$11)-1,0)</f>
        <v>0</v>
      </c>
      <c r="AR501" s="180">
        <f t="shared" si="107"/>
        <v>1</v>
      </c>
      <c r="AS501" s="180">
        <f t="shared" si="108"/>
        <v>1</v>
      </c>
      <c r="AT501" s="180" t="str">
        <f t="shared" si="97"/>
        <v>Value is not in date format</v>
      </c>
      <c r="AU501" s="180" t="str">
        <f t="shared" si="99"/>
        <v>.</v>
      </c>
      <c r="AV501" s="180" t="str">
        <f t="shared" si="100"/>
        <v>.</v>
      </c>
      <c r="AW501" s="180">
        <f>IFERROR(VLOOKUP(B501,'Share, Heavy Weapons to Ukraine'!B:J,COLUMN('Share, Heavy Weapons to Ukraine'!C510)-1,0),0)</f>
        <v>0</v>
      </c>
      <c r="AX501" s="180">
        <f>VLOOKUP('Bilateral Assistance, MAIN DATA'!B501,'Country Summary'!B:F,COLUMN('Country Summary'!C513)-1,FALSE)</f>
        <v>1</v>
      </c>
      <c r="AY501" s="180" t="str">
        <f>IF(AND(AD501=1,D501="Military",H501&lt;&gt;"Not given")=TRUE,IF(SUMIFS(P:P,A:A,A501)&gt;0,ABS((SUMIFS(P:P,A:A,A501)/VLOOKUP("USD",'Exchange Rates'!B:C,2,0)))/S501,"."),".")</f>
        <v>.</v>
      </c>
      <c r="AZ501" s="182" t="str">
        <f>IF(AND(AD501=1,D501="Military",H501&lt;&gt;"Not given")=TRUE,IF(SUMIFS(P:P,A:A,A501)&gt;0,IF((ABS((SUMIFS(P:P,A:A,A501)/VLOOKUP("USD",'Exchange Rates'!B:C,2,0)))/S501)&gt;1,(SUMIFS(P:P,A:A,A501)-S501)/S501,(S501-SUMIFS(P:P,A:A,A501))/SUMIFS(P:P,A:A,A501)),"."),".")</f>
        <v>.</v>
      </c>
      <c r="BA501" s="182"/>
      <c r="BB501" s="182"/>
      <c r="BC501" s="182"/>
      <c r="BD501" s="182"/>
      <c r="BE501" s="182"/>
      <c r="BF501" s="182"/>
      <c r="BG501" s="182"/>
      <c r="BH501" s="182"/>
      <c r="BI501" s="182"/>
      <c r="BJ501" s="182"/>
      <c r="BK501" s="182"/>
      <c r="BL501" s="182"/>
      <c r="BM501" s="182"/>
      <c r="BN501" s="182"/>
      <c r="BO501" s="182"/>
      <c r="BP501" s="182"/>
      <c r="BQ501" s="182"/>
      <c r="BR501" s="182"/>
      <c r="BS501" s="182"/>
    </row>
    <row r="502" spans="1:71" ht="15.9" customHeight="1" x14ac:dyDescent="0.3">
      <c r="A502" s="17" t="s">
        <v>1454</v>
      </c>
      <c r="B502" s="5" t="s">
        <v>1288</v>
      </c>
      <c r="C502" s="174" t="s">
        <v>1327</v>
      </c>
      <c r="D502" s="5" t="s">
        <v>285</v>
      </c>
      <c r="E502" s="5" t="s">
        <v>1328</v>
      </c>
      <c r="F502" s="1139" t="s">
        <v>1455</v>
      </c>
      <c r="G502" s="15" t="s">
        <v>364</v>
      </c>
      <c r="H502" s="176">
        <v>534000000</v>
      </c>
      <c r="I502" s="185" t="s">
        <v>350</v>
      </c>
      <c r="J502" s="113" t="str">
        <f>VLOOKUP($I502,'Price List, Weapons &amp; Items'!B:C,2,0)</f>
        <v>Humanitarian</v>
      </c>
      <c r="K502" s="113" t="str">
        <f>IF(I502=".",I502,VLOOKUP($I502,'Price List, Weapons &amp; Items'!B:D,3,0))</f>
        <v>Humanitarian</v>
      </c>
      <c r="L502" s="177">
        <f>VLOOKUP(I502,'Price List, Weapons &amp; Items'!B:E,4,0)</f>
        <v>0</v>
      </c>
      <c r="M502" s="542">
        <v>600</v>
      </c>
      <c r="N502" s="542">
        <v>600</v>
      </c>
      <c r="O502" s="543">
        <f>VLOOKUP($I502,'Price List, Weapons &amp; Items'!B:G,6,0)</f>
        <v>10</v>
      </c>
      <c r="P502" s="176">
        <f t="shared" si="102"/>
        <v>6000</v>
      </c>
      <c r="Q502" s="176">
        <f t="shared" si="103"/>
        <v>6000</v>
      </c>
      <c r="R502" s="176" t="str">
        <f t="shared" si="98"/>
        <v/>
      </c>
      <c r="S502" s="176" t="str">
        <f>IF(AND(AD502=1,R502&lt;&gt;".")=TRUE,R502/VLOOKUP(G502,'Exchange Rates'!B:C,2,0),IF(R502=".",".",""))</f>
        <v/>
      </c>
      <c r="T502" s="176" t="str">
        <f>IF(AD502=1,IF(AF502="Value is not given at all",".",IF(AF502="Value is given by the source",S502,IF(AF502="Value is calculated with prices",(IF(SUMIFS(Q:Q,A:A,A502)&gt;0,SUMIFS(Q:Q,A:A,A502),"."))/VLOOKUP("USD",'Exchange Rates'!B:C,2,0),"Error with coding"))),"")</f>
        <v/>
      </c>
      <c r="U502" s="15" t="s">
        <v>261</v>
      </c>
      <c r="V502" s="567" t="s">
        <v>1293</v>
      </c>
      <c r="W502" s="567" t="s">
        <v>1529</v>
      </c>
      <c r="X502" s="685" t="s">
        <v>260</v>
      </c>
      <c r="Y502" s="685" t="s">
        <v>260</v>
      </c>
      <c r="Z502" s="15">
        <v>0</v>
      </c>
      <c r="AA502" s="180">
        <v>1</v>
      </c>
      <c r="AB502" s="570" t="s">
        <v>1546</v>
      </c>
      <c r="AC502" s="544" t="str">
        <f>""</f>
        <v/>
      </c>
      <c r="AD502" s="183">
        <v>0</v>
      </c>
      <c r="AE502" s="183" t="s">
        <v>264</v>
      </c>
      <c r="AF502" s="183" t="s">
        <v>265</v>
      </c>
      <c r="AG502" s="183">
        <v>0</v>
      </c>
      <c r="AH502" s="183">
        <v>0</v>
      </c>
      <c r="AI502" s="183">
        <v>0</v>
      </c>
      <c r="AJ502" s="181">
        <f>VLOOKUP($I502,'Price List, Weapons &amp; Items'!B:F,5,0)</f>
        <v>0</v>
      </c>
      <c r="AK502" s="181">
        <f t="shared" si="104"/>
        <v>0</v>
      </c>
      <c r="AL502" s="181">
        <f t="shared" si="105"/>
        <v>0</v>
      </c>
      <c r="AM502" s="181">
        <f t="shared" si="106"/>
        <v>0</v>
      </c>
      <c r="AN502" s="180" t="str">
        <f>VLOOKUP($I502,'Price List, Weapons &amp; Items'!B:L,COLUMN('Price List, Weapons &amp; Items'!$J$11)-1,0)</f>
        <v>Online marketplaces and stores</v>
      </c>
      <c r="AO502" s="180" t="str">
        <f>IF(I502=".",".",VLOOKUP($I502,'Price List, Weapons &amp; Items'!B:J,3,0))</f>
        <v>Humanitarian</v>
      </c>
      <c r="AP502" s="545" t="str">
        <f t="shared" ca="1" si="101"/>
        <v/>
      </c>
      <c r="AQ502" s="180">
        <f>VLOOKUP($I502,'Price List, Weapons &amp; Items'!B:L,COLUMN('Price List, Weapons &amp; Items'!$L$11)-1,0)</f>
        <v>0</v>
      </c>
      <c r="AR502" s="180">
        <f t="shared" si="107"/>
        <v>1</v>
      </c>
      <c r="AS502" s="180">
        <f t="shared" si="108"/>
        <v>1</v>
      </c>
      <c r="AT502" s="180" t="str">
        <f t="shared" si="97"/>
        <v>Value is not in date format</v>
      </c>
      <c r="AU502" s="180" t="str">
        <f t="shared" si="99"/>
        <v>.</v>
      </c>
      <c r="AV502" s="180" t="str">
        <f t="shared" si="100"/>
        <v>.</v>
      </c>
      <c r="AW502" s="180">
        <f>IFERROR(VLOOKUP(B502,'Share, Heavy Weapons to Ukraine'!B:J,COLUMN('Share, Heavy Weapons to Ukraine'!C511)-1,0),0)</f>
        <v>0</v>
      </c>
      <c r="AX502" s="180">
        <f>VLOOKUP('Bilateral Assistance, MAIN DATA'!B502,'Country Summary'!B:F,COLUMN('Country Summary'!C514)-1,FALSE)</f>
        <v>1</v>
      </c>
      <c r="AY502" s="180" t="str">
        <f>IF(AND(AD502=1,D502="Military",H502&lt;&gt;"Not given")=TRUE,IF(SUMIFS(P:P,A:A,A502)&gt;0,ABS((SUMIFS(P:P,A:A,A502)/VLOOKUP("USD",'Exchange Rates'!B:C,2,0)))/S502,"."),".")</f>
        <v>.</v>
      </c>
      <c r="AZ502" s="182" t="str">
        <f>IF(AND(AD502=1,D502="Military",H502&lt;&gt;"Not given")=TRUE,IF(SUMIFS(P:P,A:A,A502)&gt;0,IF((ABS((SUMIFS(P:P,A:A,A502)/VLOOKUP("USD",'Exchange Rates'!B:C,2,0)))/S502)&gt;1,(SUMIFS(P:P,A:A,A502)-S502)/S502,(S502-SUMIFS(P:P,A:A,A502))/SUMIFS(P:P,A:A,A502)),"."),".")</f>
        <v>.</v>
      </c>
      <c r="BA502" s="182"/>
      <c r="BB502" s="182"/>
      <c r="BC502" s="182"/>
      <c r="BD502" s="182"/>
      <c r="BE502" s="182"/>
      <c r="BF502" s="182"/>
      <c r="BG502" s="182"/>
      <c r="BH502" s="182"/>
      <c r="BI502" s="182"/>
      <c r="BJ502" s="182"/>
      <c r="BK502" s="182"/>
      <c r="BL502" s="182"/>
      <c r="BM502" s="182"/>
      <c r="BN502" s="182"/>
      <c r="BO502" s="182"/>
      <c r="BP502" s="182"/>
      <c r="BQ502" s="182"/>
      <c r="BR502" s="182"/>
      <c r="BS502" s="182"/>
    </row>
    <row r="503" spans="1:71" ht="15.9" customHeight="1" x14ac:dyDescent="0.3">
      <c r="A503" s="17" t="s">
        <v>1454</v>
      </c>
      <c r="B503" s="5" t="s">
        <v>1288</v>
      </c>
      <c r="C503" s="174" t="s">
        <v>1327</v>
      </c>
      <c r="D503" s="5" t="s">
        <v>285</v>
      </c>
      <c r="E503" s="5" t="s">
        <v>1328</v>
      </c>
      <c r="F503" s="1139" t="s">
        <v>1455</v>
      </c>
      <c r="G503" s="15" t="s">
        <v>364</v>
      </c>
      <c r="H503" s="176">
        <v>534000000</v>
      </c>
      <c r="I503" s="185" t="s">
        <v>1547</v>
      </c>
      <c r="J503" s="113" t="str">
        <f>VLOOKUP($I503,'Price List, Weapons &amp; Items'!B:C,2,0)</f>
        <v>Military equipment</v>
      </c>
      <c r="K503" s="113" t="str">
        <f>IF(I503=".",I503,VLOOKUP($I503,'Price List, Weapons &amp; Items'!B:D,3,0))</f>
        <v>Military equipment</v>
      </c>
      <c r="L503" s="177">
        <f>VLOOKUP(I503,'Price List, Weapons &amp; Items'!B:E,4,0)</f>
        <v>0</v>
      </c>
      <c r="M503" s="542">
        <v>1</v>
      </c>
      <c r="N503" s="542">
        <v>1</v>
      </c>
      <c r="O503" s="543">
        <f>VLOOKUP($I503,'Price List, Weapons &amp; Items'!B:G,6,0)</f>
        <v>126.69</v>
      </c>
      <c r="P503" s="176">
        <f t="shared" si="102"/>
        <v>126.69</v>
      </c>
      <c r="Q503" s="176">
        <f t="shared" si="103"/>
        <v>126.69</v>
      </c>
      <c r="R503" s="176" t="str">
        <f t="shared" si="98"/>
        <v/>
      </c>
      <c r="S503" s="176" t="str">
        <f>IF(AND(AD503=1,R503&lt;&gt;".")=TRUE,R503/VLOOKUP(G503,'Exchange Rates'!B:C,2,0),IF(R503=".",".",""))</f>
        <v/>
      </c>
      <c r="T503" s="176" t="str">
        <f>IF(AD503=1,IF(AF503="Value is not given at all",".",IF(AF503="Value is given by the source",S503,IF(AF503="Value is calculated with prices",(IF(SUMIFS(Q:Q,A:A,A503)&gt;0,SUMIFS(Q:Q,A:A,A503),"."))/VLOOKUP("USD",'Exchange Rates'!B:C,2,0),"Error with coding"))),"")</f>
        <v/>
      </c>
      <c r="U503" s="15" t="s">
        <v>261</v>
      </c>
      <c r="V503" s="567" t="s">
        <v>1293</v>
      </c>
      <c r="W503" s="567" t="s">
        <v>1531</v>
      </c>
      <c r="X503" s="685" t="s">
        <v>260</v>
      </c>
      <c r="Y503" s="685" t="s">
        <v>260</v>
      </c>
      <c r="Z503" s="15">
        <v>0</v>
      </c>
      <c r="AA503" s="180">
        <v>1</v>
      </c>
      <c r="AB503" s="570" t="s">
        <v>1548</v>
      </c>
      <c r="AC503" s="544" t="str">
        <f>""</f>
        <v/>
      </c>
      <c r="AD503" s="183">
        <v>0</v>
      </c>
      <c r="AE503" s="183" t="s">
        <v>264</v>
      </c>
      <c r="AF503" s="183" t="s">
        <v>265</v>
      </c>
      <c r="AG503" s="183">
        <v>0</v>
      </c>
      <c r="AH503" s="183">
        <v>0</v>
      </c>
      <c r="AI503" s="183">
        <v>0</v>
      </c>
      <c r="AJ503" s="181">
        <f>VLOOKUP($I503,'Price List, Weapons &amp; Items'!B:F,5,0)</f>
        <v>0</v>
      </c>
      <c r="AK503" s="181">
        <f t="shared" si="104"/>
        <v>0</v>
      </c>
      <c r="AL503" s="181">
        <f t="shared" si="105"/>
        <v>0</v>
      </c>
      <c r="AM503" s="181">
        <f t="shared" si="106"/>
        <v>0</v>
      </c>
      <c r="AN503" s="180" t="str">
        <f>VLOOKUP($I503,'Price List, Weapons &amp; Items'!B:L,COLUMN('Price List, Weapons &amp; Items'!$J$11)-1,0)</f>
        <v>Online marketplaces and stores</v>
      </c>
      <c r="AO503" s="180" t="str">
        <f>IF(I503=".",".",VLOOKUP($I503,'Price List, Weapons &amp; Items'!B:J,3,0))</f>
        <v>Military equipment</v>
      </c>
      <c r="AP503" s="545" t="str">
        <f t="shared" ca="1" si="101"/>
        <v/>
      </c>
      <c r="AQ503" s="180">
        <f>VLOOKUP($I503,'Price List, Weapons &amp; Items'!B:L,COLUMN('Price List, Weapons &amp; Items'!$L$11)-1,0)</f>
        <v>1</v>
      </c>
      <c r="AR503" s="180">
        <f t="shared" si="107"/>
        <v>1</v>
      </c>
      <c r="AS503" s="180">
        <f t="shared" si="108"/>
        <v>1</v>
      </c>
      <c r="AT503" s="180" t="str">
        <f t="shared" si="97"/>
        <v>Value is not in date format</v>
      </c>
      <c r="AU503" s="180" t="str">
        <f t="shared" si="99"/>
        <v>.</v>
      </c>
      <c r="AV503" s="180" t="str">
        <f t="shared" si="100"/>
        <v>.</v>
      </c>
      <c r="AW503" s="180">
        <f>IFERROR(VLOOKUP(B503,'Share, Heavy Weapons to Ukraine'!B:J,COLUMN('Share, Heavy Weapons to Ukraine'!C512)-1,0),0)</f>
        <v>0</v>
      </c>
      <c r="AX503" s="180">
        <f>VLOOKUP('Bilateral Assistance, MAIN DATA'!B503,'Country Summary'!B:F,COLUMN('Country Summary'!C515)-1,FALSE)</f>
        <v>1</v>
      </c>
      <c r="AY503" s="180" t="str">
        <f>IF(AND(AD503=1,D503="Military",H503&lt;&gt;"Not given")=TRUE,IF(SUMIFS(P:P,A:A,A503)&gt;0,ABS((SUMIFS(P:P,A:A,A503)/VLOOKUP("USD",'Exchange Rates'!B:C,2,0)))/S503,"."),".")</f>
        <v>.</v>
      </c>
      <c r="AZ503" s="182" t="str">
        <f>IF(AND(AD503=1,D503="Military",H503&lt;&gt;"Not given")=TRUE,IF(SUMIFS(P:P,A:A,A503)&gt;0,IF((ABS((SUMIFS(P:P,A:A,A503)/VLOOKUP("USD",'Exchange Rates'!B:C,2,0)))/S503)&gt;1,(SUMIFS(P:P,A:A,A503)-S503)/S503,(S503-SUMIFS(P:P,A:A,A503))/SUMIFS(P:P,A:A,A503)),"."),".")</f>
        <v>.</v>
      </c>
      <c r="BA503" s="182"/>
      <c r="BB503" s="182"/>
      <c r="BC503" s="182"/>
      <c r="BD503" s="182"/>
      <c r="BE503" s="182"/>
      <c r="BF503" s="182"/>
      <c r="BG503" s="182"/>
      <c r="BH503" s="182"/>
      <c r="BI503" s="182"/>
      <c r="BJ503" s="182"/>
      <c r="BK503" s="182"/>
      <c r="BL503" s="182"/>
      <c r="BM503" s="182"/>
      <c r="BN503" s="182"/>
      <c r="BO503" s="182"/>
      <c r="BP503" s="182"/>
      <c r="BQ503" s="182"/>
      <c r="BR503" s="182"/>
      <c r="BS503" s="182"/>
    </row>
    <row r="504" spans="1:71" ht="15.9" customHeight="1" x14ac:dyDescent="0.3">
      <c r="A504" s="17" t="s">
        <v>1454</v>
      </c>
      <c r="B504" s="5" t="s">
        <v>1288</v>
      </c>
      <c r="C504" s="174" t="s">
        <v>1327</v>
      </c>
      <c r="D504" s="5" t="s">
        <v>285</v>
      </c>
      <c r="E504" s="5" t="s">
        <v>1328</v>
      </c>
      <c r="F504" s="1139" t="s">
        <v>1455</v>
      </c>
      <c r="G504" s="15" t="s">
        <v>364</v>
      </c>
      <c r="H504" s="176">
        <v>534000000</v>
      </c>
      <c r="I504" s="185" t="s">
        <v>1549</v>
      </c>
      <c r="J504" s="113" t="str">
        <f>VLOOKUP($I504,'Price List, Weapons &amp; Items'!B:C,2,0)</f>
        <v>Military equipment</v>
      </c>
      <c r="K504" s="113" t="str">
        <f>IF(I504=".",I504,VLOOKUP($I504,'Price List, Weapons &amp; Items'!B:D,3,0))</f>
        <v>Military equipment</v>
      </c>
      <c r="L504" s="177">
        <f>VLOOKUP(I504,'Price List, Weapons &amp; Items'!B:E,4,0)</f>
        <v>0</v>
      </c>
      <c r="M504" s="542">
        <v>3000</v>
      </c>
      <c r="N504" s="542">
        <v>3000</v>
      </c>
      <c r="O504" s="543">
        <f>VLOOKUP($I504,'Price List, Weapons &amp; Items'!B:G,6,0)</f>
        <v>69</v>
      </c>
      <c r="P504" s="176">
        <f t="shared" si="102"/>
        <v>207000</v>
      </c>
      <c r="Q504" s="176">
        <f t="shared" si="103"/>
        <v>207000</v>
      </c>
      <c r="R504" s="176" t="str">
        <f t="shared" si="98"/>
        <v/>
      </c>
      <c r="S504" s="176" t="str">
        <f>IF(AND(AD504=1,R504&lt;&gt;".")=TRUE,R504/VLOOKUP(G504,'Exchange Rates'!B:C,2,0),IF(R504=".",".",""))</f>
        <v/>
      </c>
      <c r="T504" s="176" t="str">
        <f>IF(AD504=1,IF(AF504="Value is not given at all",".",IF(AF504="Value is given by the source",S504,IF(AF504="Value is calculated with prices",(IF(SUMIFS(Q:Q,A:A,A504)&gt;0,SUMIFS(Q:Q,A:A,A504),"."))/VLOOKUP("USD",'Exchange Rates'!B:C,2,0),"Error with coding"))),"")</f>
        <v/>
      </c>
      <c r="U504" s="15" t="s">
        <v>261</v>
      </c>
      <c r="V504" s="567" t="s">
        <v>1293</v>
      </c>
      <c r="W504" s="567" t="s">
        <v>1533</v>
      </c>
      <c r="X504" s="685" t="s">
        <v>260</v>
      </c>
      <c r="Y504" s="685" t="s">
        <v>260</v>
      </c>
      <c r="Z504" s="15">
        <v>0</v>
      </c>
      <c r="AA504" s="180">
        <v>1</v>
      </c>
      <c r="AB504" s="570" t="s">
        <v>1550</v>
      </c>
      <c r="AC504" s="544" t="str">
        <f>""</f>
        <v/>
      </c>
      <c r="AD504" s="183">
        <v>0</v>
      </c>
      <c r="AE504" s="183" t="s">
        <v>264</v>
      </c>
      <c r="AF504" s="183" t="s">
        <v>265</v>
      </c>
      <c r="AG504" s="183">
        <v>0</v>
      </c>
      <c r="AH504" s="183">
        <v>0</v>
      </c>
      <c r="AI504" s="183">
        <v>0</v>
      </c>
      <c r="AJ504" s="181">
        <f>VLOOKUP($I504,'Price List, Weapons &amp; Items'!B:F,5,0)</f>
        <v>0</v>
      </c>
      <c r="AK504" s="181">
        <f t="shared" si="104"/>
        <v>0</v>
      </c>
      <c r="AL504" s="181">
        <f t="shared" si="105"/>
        <v>0</v>
      </c>
      <c r="AM504" s="181">
        <f t="shared" si="106"/>
        <v>0</v>
      </c>
      <c r="AN504" s="180" t="str">
        <f>VLOOKUP($I504,'Price List, Weapons &amp; Items'!B:L,COLUMN('Price List, Weapons &amp; Items'!$J$11)-1,0)</f>
        <v>Online marketplaces and stores</v>
      </c>
      <c r="AO504" s="180" t="str">
        <f>IF(I504=".",".",VLOOKUP($I504,'Price List, Weapons &amp; Items'!B:J,3,0))</f>
        <v>Military equipment</v>
      </c>
      <c r="AP504" s="545" t="str">
        <f t="shared" ca="1" si="101"/>
        <v/>
      </c>
      <c r="AQ504" s="180">
        <f>VLOOKUP($I504,'Price List, Weapons &amp; Items'!B:L,COLUMN('Price List, Weapons &amp; Items'!$L$11)-1,0)</f>
        <v>1</v>
      </c>
      <c r="AR504" s="180">
        <f t="shared" si="107"/>
        <v>1</v>
      </c>
      <c r="AS504" s="180">
        <f t="shared" si="108"/>
        <v>1</v>
      </c>
      <c r="AT504" s="180" t="str">
        <f t="shared" si="97"/>
        <v>Value is not in date format</v>
      </c>
      <c r="AU504" s="180" t="str">
        <f t="shared" si="99"/>
        <v>.</v>
      </c>
      <c r="AV504" s="180" t="str">
        <f t="shared" si="100"/>
        <v>.</v>
      </c>
      <c r="AW504" s="180">
        <f>IFERROR(VLOOKUP(B504,'Share, Heavy Weapons to Ukraine'!B:J,COLUMN('Share, Heavy Weapons to Ukraine'!C513)-1,0),0)</f>
        <v>0</v>
      </c>
      <c r="AX504" s="180">
        <f>VLOOKUP('Bilateral Assistance, MAIN DATA'!B504,'Country Summary'!B:F,COLUMN('Country Summary'!C516)-1,FALSE)</f>
        <v>1</v>
      </c>
      <c r="AY504" s="180" t="str">
        <f>IF(AND(AD504=1,D504="Military",H504&lt;&gt;"Not given")=TRUE,IF(SUMIFS(P:P,A:A,A504)&gt;0,ABS((SUMIFS(P:P,A:A,A504)/VLOOKUP("USD",'Exchange Rates'!B:C,2,0)))/S504,"."),".")</f>
        <v>.</v>
      </c>
      <c r="AZ504" s="182" t="str">
        <f>IF(AND(AD504=1,D504="Military",H504&lt;&gt;"Not given")=TRUE,IF(SUMIFS(P:P,A:A,A504)&gt;0,IF((ABS((SUMIFS(P:P,A:A,A504)/VLOOKUP("USD",'Exchange Rates'!B:C,2,0)))/S504)&gt;1,(SUMIFS(P:P,A:A,A504)-S504)/S504,(S504-SUMIFS(P:P,A:A,A504))/SUMIFS(P:P,A:A,A504)),"."),".")</f>
        <v>.</v>
      </c>
      <c r="BA504" s="182"/>
      <c r="BB504" s="182"/>
      <c r="BC504" s="182"/>
      <c r="BD504" s="182"/>
      <c r="BE504" s="182"/>
      <c r="BF504" s="182"/>
      <c r="BG504" s="182"/>
      <c r="BH504" s="182"/>
      <c r="BI504" s="182"/>
      <c r="BJ504" s="182"/>
      <c r="BK504" s="182"/>
      <c r="BL504" s="182"/>
      <c r="BM504" s="182"/>
      <c r="BN504" s="182"/>
      <c r="BO504" s="182"/>
      <c r="BP504" s="182"/>
      <c r="BQ504" s="182"/>
      <c r="BR504" s="182"/>
      <c r="BS504" s="182"/>
    </row>
    <row r="505" spans="1:71" ht="15.9" customHeight="1" x14ac:dyDescent="0.3">
      <c r="A505" s="17" t="s">
        <v>1454</v>
      </c>
      <c r="B505" s="5" t="s">
        <v>1288</v>
      </c>
      <c r="C505" s="174" t="s">
        <v>1327</v>
      </c>
      <c r="D505" s="5" t="s">
        <v>285</v>
      </c>
      <c r="E505" s="5" t="s">
        <v>1328</v>
      </c>
      <c r="F505" s="1139" t="s">
        <v>1455</v>
      </c>
      <c r="G505" s="15" t="s">
        <v>364</v>
      </c>
      <c r="H505" s="176">
        <v>534000000</v>
      </c>
      <c r="I505" s="185" t="s">
        <v>1551</v>
      </c>
      <c r="J505" s="113" t="str">
        <f>VLOOKUP($I505,'Price List, Weapons &amp; Items'!B:C,2,0)</f>
        <v>Military equipment</v>
      </c>
      <c r="K505" s="113" t="str">
        <f>IF(I505=".",I505,VLOOKUP($I505,'Price List, Weapons &amp; Items'!B:D,3,0))</f>
        <v>Military equipment</v>
      </c>
      <c r="L505" s="177">
        <f>VLOOKUP(I505,'Price List, Weapons &amp; Items'!B:E,4,0)</f>
        <v>0</v>
      </c>
      <c r="M505" s="542">
        <v>5000</v>
      </c>
      <c r="N505" s="542">
        <v>5000</v>
      </c>
      <c r="O505" s="543">
        <f>VLOOKUP($I505,'Price List, Weapons &amp; Items'!B:G,6,0)</f>
        <v>34.99</v>
      </c>
      <c r="P505" s="176">
        <f t="shared" si="102"/>
        <v>174950</v>
      </c>
      <c r="Q505" s="176">
        <f t="shared" si="103"/>
        <v>174950</v>
      </c>
      <c r="R505" s="176" t="str">
        <f t="shared" si="98"/>
        <v/>
      </c>
      <c r="S505" s="176" t="str">
        <f>IF(AND(AD505=1,R505&lt;&gt;".")=TRUE,R505/VLOOKUP(G505,'Exchange Rates'!B:C,2,0),IF(R505=".",".",""))</f>
        <v/>
      </c>
      <c r="T505" s="176" t="str">
        <f>IF(AD505=1,IF(AF505="Value is not given at all",".",IF(AF505="Value is given by the source",S505,IF(AF505="Value is calculated with prices",(IF(SUMIFS(Q:Q,A:A,A505)&gt;0,SUMIFS(Q:Q,A:A,A505),"."))/VLOOKUP("USD",'Exchange Rates'!B:C,2,0),"Error with coding"))),"")</f>
        <v/>
      </c>
      <c r="U505" s="15" t="s">
        <v>261</v>
      </c>
      <c r="V505" s="567" t="s">
        <v>1293</v>
      </c>
      <c r="W505" s="567" t="s">
        <v>1535</v>
      </c>
      <c r="X505" s="685" t="s">
        <v>260</v>
      </c>
      <c r="Y505" s="685" t="s">
        <v>260</v>
      </c>
      <c r="Z505" s="15">
        <v>0</v>
      </c>
      <c r="AA505" s="180">
        <v>1</v>
      </c>
      <c r="AB505" s="570" t="s">
        <v>1552</v>
      </c>
      <c r="AC505" s="544" t="str">
        <f>""</f>
        <v/>
      </c>
      <c r="AD505" s="183">
        <v>0</v>
      </c>
      <c r="AE505" s="183" t="s">
        <v>264</v>
      </c>
      <c r="AF505" s="183" t="s">
        <v>265</v>
      </c>
      <c r="AG505" s="183">
        <v>0</v>
      </c>
      <c r="AH505" s="183">
        <v>0</v>
      </c>
      <c r="AI505" s="183">
        <v>0</v>
      </c>
      <c r="AJ505" s="181">
        <f>VLOOKUP($I505,'Price List, Weapons &amp; Items'!B:F,5,0)</f>
        <v>0</v>
      </c>
      <c r="AK505" s="181">
        <f t="shared" si="104"/>
        <v>0</v>
      </c>
      <c r="AL505" s="181">
        <f t="shared" si="105"/>
        <v>0</v>
      </c>
      <c r="AM505" s="181">
        <f t="shared" si="106"/>
        <v>0</v>
      </c>
      <c r="AN505" s="180" t="str">
        <f>VLOOKUP($I505,'Price List, Weapons &amp; Items'!B:L,COLUMN('Price List, Weapons &amp; Items'!$J$11)-1,0)</f>
        <v>Online marketplaces and stores</v>
      </c>
      <c r="AO505" s="180" t="str">
        <f>IF(I505=".",".",VLOOKUP($I505,'Price List, Weapons &amp; Items'!B:J,3,0))</f>
        <v>Military equipment</v>
      </c>
      <c r="AP505" s="545" t="str">
        <f t="shared" ca="1" si="101"/>
        <v/>
      </c>
      <c r="AQ505" s="180">
        <f>VLOOKUP($I505,'Price List, Weapons &amp; Items'!B:L,COLUMN('Price List, Weapons &amp; Items'!$L$11)-1,0)</f>
        <v>1</v>
      </c>
      <c r="AR505" s="180">
        <f t="shared" si="107"/>
        <v>1</v>
      </c>
      <c r="AS505" s="180">
        <f t="shared" si="108"/>
        <v>1</v>
      </c>
      <c r="AT505" s="180" t="str">
        <f t="shared" si="97"/>
        <v>Value is not in date format</v>
      </c>
      <c r="AU505" s="180" t="str">
        <f t="shared" si="99"/>
        <v>.</v>
      </c>
      <c r="AV505" s="180" t="str">
        <f t="shared" si="100"/>
        <v>.</v>
      </c>
      <c r="AW505" s="180">
        <f>IFERROR(VLOOKUP(B505,'Share, Heavy Weapons to Ukraine'!B:J,COLUMN('Share, Heavy Weapons to Ukraine'!C514)-1,0),0)</f>
        <v>0</v>
      </c>
      <c r="AX505" s="180">
        <f>VLOOKUP('Bilateral Assistance, MAIN DATA'!B505,'Country Summary'!B:F,COLUMN('Country Summary'!C517)-1,FALSE)</f>
        <v>1</v>
      </c>
      <c r="AY505" s="180" t="str">
        <f>IF(AND(AD505=1,D505="Military",H505&lt;&gt;"Not given")=TRUE,IF(SUMIFS(P:P,A:A,A505)&gt;0,ABS((SUMIFS(P:P,A:A,A505)/VLOOKUP("USD",'Exchange Rates'!B:C,2,0)))/S505,"."),".")</f>
        <v>.</v>
      </c>
      <c r="AZ505" s="182" t="str">
        <f>IF(AND(AD505=1,D505="Military",H505&lt;&gt;"Not given")=TRUE,IF(SUMIFS(P:P,A:A,A505)&gt;0,IF((ABS((SUMIFS(P:P,A:A,A505)/VLOOKUP("USD",'Exchange Rates'!B:C,2,0)))/S505)&gt;1,(SUMIFS(P:P,A:A,A505)-S505)/S505,(S505-SUMIFS(P:P,A:A,A505))/SUMIFS(P:P,A:A,A505)),"."),".")</f>
        <v>.</v>
      </c>
      <c r="BA505" s="182"/>
      <c r="BB505" s="182"/>
      <c r="BC505" s="182"/>
      <c r="BD505" s="182"/>
      <c r="BE505" s="182"/>
      <c r="BF505" s="182"/>
      <c r="BG505" s="182"/>
      <c r="BH505" s="182"/>
      <c r="BI505" s="182"/>
      <c r="BJ505" s="182"/>
      <c r="BK505" s="182"/>
      <c r="BL505" s="182"/>
      <c r="BM505" s="182"/>
      <c r="BN505" s="182"/>
      <c r="BO505" s="182"/>
      <c r="BP505" s="182"/>
      <c r="BQ505" s="182"/>
      <c r="BR505" s="182"/>
      <c r="BS505" s="182"/>
    </row>
    <row r="506" spans="1:71" ht="15.9" customHeight="1" x14ac:dyDescent="0.3">
      <c r="A506" s="17" t="s">
        <v>1454</v>
      </c>
      <c r="B506" s="5" t="s">
        <v>1288</v>
      </c>
      <c r="C506" s="174" t="s">
        <v>1327</v>
      </c>
      <c r="D506" s="5" t="s">
        <v>285</v>
      </c>
      <c r="E506" s="5" t="s">
        <v>1328</v>
      </c>
      <c r="F506" s="1139" t="s">
        <v>1455</v>
      </c>
      <c r="G506" s="15" t="s">
        <v>364</v>
      </c>
      <c r="H506" s="176">
        <v>534000000</v>
      </c>
      <c r="I506" s="185" t="s">
        <v>1553</v>
      </c>
      <c r="J506" s="113" t="str">
        <f>VLOOKUP($I506,'Price List, Weapons &amp; Items'!B:C,2,0)</f>
        <v>humanitarian</v>
      </c>
      <c r="K506" s="113" t="str">
        <f>IF(I506=".",I506,VLOOKUP($I506,'Price List, Weapons &amp; Items'!B:D,3,0))</f>
        <v>Humanitarian</v>
      </c>
      <c r="L506" s="177">
        <f>VLOOKUP(I506,'Price List, Weapons &amp; Items'!B:E,4,0)</f>
        <v>0</v>
      </c>
      <c r="M506" s="542" t="s">
        <v>270</v>
      </c>
      <c r="N506" s="542" t="s">
        <v>270</v>
      </c>
      <c r="O506" s="543" t="str">
        <f>VLOOKUP($I506,'Price List, Weapons &amp; Items'!B:G,6,0)</f>
        <v>.</v>
      </c>
      <c r="P506" s="176" t="str">
        <f t="shared" si="102"/>
        <v>.</v>
      </c>
      <c r="Q506" s="176" t="str">
        <f t="shared" si="103"/>
        <v>.</v>
      </c>
      <c r="R506" s="176" t="str">
        <f t="shared" si="98"/>
        <v/>
      </c>
      <c r="S506" s="176" t="str">
        <f>IF(AND(AD506=1,R506&lt;&gt;".")=TRUE,R506/VLOOKUP(G506,'Exchange Rates'!B:C,2,0),IF(R506=".",".",""))</f>
        <v/>
      </c>
      <c r="T506" s="176" t="str">
        <f>IF(AD506=1,IF(AF506="Value is not given at all",".",IF(AF506="Value is given by the source",S506,IF(AF506="Value is calculated with prices",(IF(SUMIFS(Q:Q,A:A,A506)&gt;0,SUMIFS(Q:Q,A:A,A506),"."))/VLOOKUP("USD",'Exchange Rates'!B:C,2,0),"Error with coding"))),"")</f>
        <v/>
      </c>
      <c r="U506" s="15" t="s">
        <v>261</v>
      </c>
      <c r="V506" s="567" t="s">
        <v>1293</v>
      </c>
      <c r="W506" s="567" t="s">
        <v>1537</v>
      </c>
      <c r="X506" s="685" t="s">
        <v>260</v>
      </c>
      <c r="Y506" s="685" t="s">
        <v>260</v>
      </c>
      <c r="Z506" s="15">
        <v>0</v>
      </c>
      <c r="AA506" s="180">
        <v>1</v>
      </c>
      <c r="AB506" s="570" t="s">
        <v>1554</v>
      </c>
      <c r="AC506" s="544" t="str">
        <f>""</f>
        <v/>
      </c>
      <c r="AD506" s="183">
        <v>0</v>
      </c>
      <c r="AE506" s="183" t="s">
        <v>264</v>
      </c>
      <c r="AF506" s="183" t="s">
        <v>265</v>
      </c>
      <c r="AG506" s="183">
        <v>0</v>
      </c>
      <c r="AH506" s="183">
        <v>0</v>
      </c>
      <c r="AI506" s="183">
        <v>0</v>
      </c>
      <c r="AJ506" s="181">
        <f>VLOOKUP($I506,'Price List, Weapons &amp; Items'!B:F,5,0)</f>
        <v>0</v>
      </c>
      <c r="AK506" s="181">
        <f t="shared" si="104"/>
        <v>0</v>
      </c>
      <c r="AL506" s="181">
        <f t="shared" si="105"/>
        <v>0</v>
      </c>
      <c r="AM506" s="181">
        <f t="shared" si="106"/>
        <v>0</v>
      </c>
      <c r="AN506" s="180" t="str">
        <f>VLOOKUP($I506,'Price List, Weapons &amp; Items'!B:L,COLUMN('Price List, Weapons &amp; Items'!$J$11)-1,0)</f>
        <v>.</v>
      </c>
      <c r="AO506" s="180" t="str">
        <f>IF(I506=".",".",VLOOKUP($I506,'Price List, Weapons &amp; Items'!B:J,3,0))</f>
        <v>Humanitarian</v>
      </c>
      <c r="AP506" s="545" t="str">
        <f t="shared" ca="1" si="101"/>
        <v/>
      </c>
      <c r="AQ506" s="180">
        <f>VLOOKUP($I506,'Price List, Weapons &amp; Items'!B:L,COLUMN('Price List, Weapons &amp; Items'!$L$11)-1,0)</f>
        <v>0</v>
      </c>
      <c r="AR506" s="180">
        <f t="shared" si="107"/>
        <v>1</v>
      </c>
      <c r="AS506" s="180">
        <f t="shared" si="108"/>
        <v>1</v>
      </c>
      <c r="AT506" s="180" t="str">
        <f t="shared" si="97"/>
        <v>Value is not in date format</v>
      </c>
      <c r="AU506" s="180" t="str">
        <f t="shared" si="99"/>
        <v>.</v>
      </c>
      <c r="AV506" s="180" t="str">
        <f t="shared" si="100"/>
        <v>.</v>
      </c>
      <c r="AW506" s="180">
        <f>IFERROR(VLOOKUP(B506,'Share, Heavy Weapons to Ukraine'!B:J,COLUMN('Share, Heavy Weapons to Ukraine'!C515)-1,0),0)</f>
        <v>0</v>
      </c>
      <c r="AX506" s="180">
        <f>VLOOKUP('Bilateral Assistance, MAIN DATA'!B506,'Country Summary'!B:F,COLUMN('Country Summary'!C518)-1,FALSE)</f>
        <v>1</v>
      </c>
      <c r="AY506" s="180" t="str">
        <f>IF(AND(AD506=1,D506="Military",H506&lt;&gt;"Not given")=TRUE,IF(SUMIFS(P:P,A:A,A506)&gt;0,ABS((SUMIFS(P:P,A:A,A506)/VLOOKUP("USD",'Exchange Rates'!B:C,2,0)))/S506,"."),".")</f>
        <v>.</v>
      </c>
      <c r="AZ506" s="182" t="str">
        <f>IF(AND(AD506=1,D506="Military",H506&lt;&gt;"Not given")=TRUE,IF(SUMIFS(P:P,A:A,A506)&gt;0,IF((ABS((SUMIFS(P:P,A:A,A506)/VLOOKUP("USD",'Exchange Rates'!B:C,2,0)))/S506)&gt;1,(SUMIFS(P:P,A:A,A506)-S506)/S506,(S506-SUMIFS(P:P,A:A,A506))/SUMIFS(P:P,A:A,A506)),"."),".")</f>
        <v>.</v>
      </c>
      <c r="BA506" s="182"/>
      <c r="BB506" s="182"/>
      <c r="BC506" s="182"/>
      <c r="BD506" s="182"/>
      <c r="BE506" s="182"/>
      <c r="BF506" s="182"/>
      <c r="BG506" s="182"/>
      <c r="BH506" s="182"/>
      <c r="BI506" s="182"/>
      <c r="BJ506" s="182"/>
      <c r="BK506" s="182"/>
      <c r="BL506" s="182"/>
      <c r="BM506" s="182"/>
      <c r="BN506" s="182"/>
      <c r="BO506" s="182"/>
      <c r="BP506" s="182"/>
      <c r="BQ506" s="182"/>
      <c r="BR506" s="182"/>
      <c r="BS506" s="182"/>
    </row>
    <row r="507" spans="1:71" ht="15.9" customHeight="1" x14ac:dyDescent="0.3">
      <c r="A507" s="17" t="s">
        <v>1454</v>
      </c>
      <c r="B507" s="5" t="s">
        <v>1288</v>
      </c>
      <c r="C507" s="174" t="s">
        <v>1327</v>
      </c>
      <c r="D507" s="5" t="s">
        <v>285</v>
      </c>
      <c r="E507" s="5" t="s">
        <v>1328</v>
      </c>
      <c r="F507" s="1139" t="s">
        <v>1455</v>
      </c>
      <c r="G507" s="15" t="s">
        <v>364</v>
      </c>
      <c r="H507" s="176">
        <v>534000000</v>
      </c>
      <c r="I507" s="185" t="s">
        <v>1555</v>
      </c>
      <c r="J507" s="113" t="str">
        <f>VLOOKUP($I507,'Price List, Weapons &amp; Items'!B:C,2,0)</f>
        <v>humanitarian</v>
      </c>
      <c r="K507" s="113" t="str">
        <f>IF(I507=".",I507,VLOOKUP($I507,'Price List, Weapons &amp; Items'!B:D,3,0))</f>
        <v>Humanitarian</v>
      </c>
      <c r="L507" s="177">
        <f>VLOOKUP(I507,'Price List, Weapons &amp; Items'!B:E,4,0)</f>
        <v>0</v>
      </c>
      <c r="M507" s="542">
        <v>6</v>
      </c>
      <c r="N507" s="542">
        <v>6</v>
      </c>
      <c r="O507" s="543">
        <f>VLOOKUP($I507,'Price List, Weapons &amp; Items'!B:G,6,0)</f>
        <v>600000</v>
      </c>
      <c r="P507" s="176">
        <f t="shared" si="102"/>
        <v>3600000</v>
      </c>
      <c r="Q507" s="176">
        <f t="shared" si="103"/>
        <v>3600000</v>
      </c>
      <c r="R507" s="176" t="str">
        <f t="shared" si="98"/>
        <v/>
      </c>
      <c r="S507" s="176" t="str">
        <f>IF(AND(AD507=1,R507&lt;&gt;".")=TRUE,R507/VLOOKUP(G507,'Exchange Rates'!B:C,2,0),IF(R507=".",".",""))</f>
        <v/>
      </c>
      <c r="T507" s="176" t="str">
        <f>IF(AD507=1,IF(AF507="Value is not given at all",".",IF(AF507="Value is given by the source",S507,IF(AF507="Value is calculated with prices",(IF(SUMIFS(Q:Q,A:A,A507)&gt;0,SUMIFS(Q:Q,A:A,A507),"."))/VLOOKUP("USD",'Exchange Rates'!B:C,2,0),"Error with coding"))),"")</f>
        <v/>
      </c>
      <c r="U507" s="15" t="s">
        <v>261</v>
      </c>
      <c r="V507" s="567" t="s">
        <v>1293</v>
      </c>
      <c r="W507" s="567" t="s">
        <v>1539</v>
      </c>
      <c r="X507" s="685" t="s">
        <v>260</v>
      </c>
      <c r="Y507" s="685" t="s">
        <v>260</v>
      </c>
      <c r="Z507" s="15">
        <v>0</v>
      </c>
      <c r="AA507" s="180">
        <v>1</v>
      </c>
      <c r="AB507" s="570" t="s">
        <v>1556</v>
      </c>
      <c r="AC507" s="544" t="str">
        <f>""</f>
        <v/>
      </c>
      <c r="AD507" s="183">
        <v>0</v>
      </c>
      <c r="AE507" s="183" t="s">
        <v>264</v>
      </c>
      <c r="AF507" s="183" t="s">
        <v>265</v>
      </c>
      <c r="AG507" s="183">
        <v>0</v>
      </c>
      <c r="AH507" s="183">
        <v>0</v>
      </c>
      <c r="AI507" s="183">
        <v>0</v>
      </c>
      <c r="AJ507" s="181">
        <f>VLOOKUP($I507,'Price List, Weapons &amp; Items'!B:F,5,0)</f>
        <v>0</v>
      </c>
      <c r="AK507" s="181">
        <f t="shared" si="104"/>
        <v>0</v>
      </c>
      <c r="AL507" s="181">
        <f t="shared" si="105"/>
        <v>0</v>
      </c>
      <c r="AM507" s="181">
        <f t="shared" si="106"/>
        <v>0</v>
      </c>
      <c r="AN507" s="180" t="str">
        <f>VLOOKUP($I507,'Price List, Weapons &amp; Items'!B:L,COLUMN('Price List, Weapons &amp; Items'!$J$11)-1,0)</f>
        <v>Government information</v>
      </c>
      <c r="AO507" s="180" t="str">
        <f>IF(I507=".",".",VLOOKUP($I507,'Price List, Weapons &amp; Items'!B:J,3,0))</f>
        <v>Humanitarian</v>
      </c>
      <c r="AP507" s="545" t="str">
        <f t="shared" ca="1" si="101"/>
        <v/>
      </c>
      <c r="AQ507" s="180">
        <f>VLOOKUP($I507,'Price List, Weapons &amp; Items'!B:L,COLUMN('Price List, Weapons &amp; Items'!$L$11)-1,0)</f>
        <v>0</v>
      </c>
      <c r="AR507" s="180">
        <f t="shared" si="107"/>
        <v>1</v>
      </c>
      <c r="AS507" s="180">
        <f t="shared" si="108"/>
        <v>1</v>
      </c>
      <c r="AT507" s="180" t="str">
        <f t="shared" si="97"/>
        <v>Value is not in date format</v>
      </c>
      <c r="AU507" s="180" t="str">
        <f t="shared" si="99"/>
        <v>.</v>
      </c>
      <c r="AV507" s="180" t="str">
        <f t="shared" si="100"/>
        <v>.</v>
      </c>
      <c r="AW507" s="180">
        <f>IFERROR(VLOOKUP(B507,'Share, Heavy Weapons to Ukraine'!B:J,COLUMN('Share, Heavy Weapons to Ukraine'!C516)-1,0),0)</f>
        <v>0</v>
      </c>
      <c r="AX507" s="180">
        <f>VLOOKUP('Bilateral Assistance, MAIN DATA'!B507,'Country Summary'!B:F,COLUMN('Country Summary'!C519)-1,FALSE)</f>
        <v>1</v>
      </c>
      <c r="AY507" s="180" t="str">
        <f>IF(AND(AD507=1,D507="Military",H507&lt;&gt;"Not given")=TRUE,IF(SUMIFS(P:P,A:A,A507)&gt;0,ABS((SUMIFS(P:P,A:A,A507)/VLOOKUP("USD",'Exchange Rates'!B:C,2,0)))/S507,"."),".")</f>
        <v>.</v>
      </c>
      <c r="AZ507" s="182" t="str">
        <f>IF(AND(AD507=1,D507="Military",H507&lt;&gt;"Not given")=TRUE,IF(SUMIFS(P:P,A:A,A507)&gt;0,IF((ABS((SUMIFS(P:P,A:A,A507)/VLOOKUP("USD",'Exchange Rates'!B:C,2,0)))/S507)&gt;1,(SUMIFS(P:P,A:A,A507)-S507)/S507,(S507-SUMIFS(P:P,A:A,A507))/SUMIFS(P:P,A:A,A507)),"."),".")</f>
        <v>.</v>
      </c>
      <c r="BA507" s="182"/>
      <c r="BB507" s="182"/>
      <c r="BC507" s="182"/>
      <c r="BD507" s="182"/>
      <c r="BE507" s="182"/>
      <c r="BF507" s="182"/>
      <c r="BG507" s="182"/>
      <c r="BH507" s="182"/>
      <c r="BI507" s="182"/>
      <c r="BJ507" s="182"/>
      <c r="BK507" s="182"/>
      <c r="BL507" s="182"/>
      <c r="BM507" s="182"/>
      <c r="BN507" s="182"/>
      <c r="BO507" s="182"/>
      <c r="BP507" s="182"/>
      <c r="BQ507" s="182"/>
      <c r="BR507" s="182"/>
      <c r="BS507" s="182"/>
    </row>
    <row r="508" spans="1:71" ht="15.9" customHeight="1" x14ac:dyDescent="0.3">
      <c r="A508" s="17" t="s">
        <v>1454</v>
      </c>
      <c r="B508" s="5" t="s">
        <v>1288</v>
      </c>
      <c r="C508" s="174" t="s">
        <v>1327</v>
      </c>
      <c r="D508" s="5" t="s">
        <v>285</v>
      </c>
      <c r="E508" s="5" t="s">
        <v>1328</v>
      </c>
      <c r="F508" s="1139" t="s">
        <v>1455</v>
      </c>
      <c r="G508" s="15" t="s">
        <v>364</v>
      </c>
      <c r="H508" s="176">
        <v>534000000</v>
      </c>
      <c r="I508" s="185" t="s">
        <v>1557</v>
      </c>
      <c r="J508" s="113" t="str">
        <f>VLOOKUP($I508,'Price List, Weapons &amp; Items'!B:C,2,0)</f>
        <v>Military equipment</v>
      </c>
      <c r="K508" s="113" t="str">
        <f>IF(I508=".",I508,VLOOKUP($I508,'Price List, Weapons &amp; Items'!B:D,3,0))</f>
        <v>non combat military vehicle</v>
      </c>
      <c r="L508" s="177">
        <f>VLOOKUP(I508,'Price List, Weapons &amp; Items'!B:E,4,0)</f>
        <v>0</v>
      </c>
      <c r="M508" s="542">
        <v>26</v>
      </c>
      <c r="N508" s="542">
        <v>0</v>
      </c>
      <c r="O508" s="543">
        <f>VLOOKUP($I508,'Price List, Weapons &amp; Items'!B:G,6,0)</f>
        <v>350000</v>
      </c>
      <c r="P508" s="176">
        <f t="shared" si="102"/>
        <v>9100000</v>
      </c>
      <c r="Q508" s="176">
        <f t="shared" si="103"/>
        <v>0</v>
      </c>
      <c r="R508" s="176" t="str">
        <f t="shared" si="98"/>
        <v/>
      </c>
      <c r="S508" s="176" t="str">
        <f>IF(AND(AD508=1,R508&lt;&gt;".")=TRUE,R508/VLOOKUP(G508,'Exchange Rates'!B:C,2,0),IF(R508=".",".",""))</f>
        <v/>
      </c>
      <c r="T508" s="176" t="str">
        <f>IF(AD508=1,IF(AF508="Value is not given at all",".",IF(AF508="Value is given by the source",S508,IF(AF508="Value is calculated with prices",(IF(SUMIFS(Q:Q,A:A,A508)&gt;0,SUMIFS(Q:Q,A:A,A508),"."))/VLOOKUP("USD",'Exchange Rates'!B:C,2,0),"Error with coding"))),"")</f>
        <v/>
      </c>
      <c r="U508" s="15" t="s">
        <v>261</v>
      </c>
      <c r="V508" s="567" t="s">
        <v>1293</v>
      </c>
      <c r="W508" s="567" t="s">
        <v>1548</v>
      </c>
      <c r="X508" s="685" t="s">
        <v>260</v>
      </c>
      <c r="Y508" s="685" t="s">
        <v>260</v>
      </c>
      <c r="Z508" s="15">
        <v>0</v>
      </c>
      <c r="AA508" s="180">
        <v>1</v>
      </c>
      <c r="AB508" s="570" t="s">
        <v>1558</v>
      </c>
      <c r="AC508" s="544" t="str">
        <f>""</f>
        <v/>
      </c>
      <c r="AD508" s="183">
        <v>0</v>
      </c>
      <c r="AE508" s="183" t="s">
        <v>264</v>
      </c>
      <c r="AF508" s="183" t="s">
        <v>265</v>
      </c>
      <c r="AG508" s="183">
        <v>0</v>
      </c>
      <c r="AH508" s="183">
        <v>0</v>
      </c>
      <c r="AI508" s="183">
        <v>0</v>
      </c>
      <c r="AJ508" s="181">
        <f>VLOOKUP($I508,'Price List, Weapons &amp; Items'!B:F,5,0)</f>
        <v>0</v>
      </c>
      <c r="AK508" s="181">
        <f t="shared" si="104"/>
        <v>0</v>
      </c>
      <c r="AL508" s="181">
        <f t="shared" si="105"/>
        <v>0</v>
      </c>
      <c r="AM508" s="181">
        <f t="shared" si="106"/>
        <v>0</v>
      </c>
      <c r="AN508" s="180" t="str">
        <f>VLOOKUP($I508,'Price List, Weapons &amp; Items'!B:L,COLUMN('Price List, Weapons &amp; Items'!$J$11)-1,0)</f>
        <v>Media reports (incl. social media)</v>
      </c>
      <c r="AO508" s="180" t="str">
        <f>IF(I508=".",".",VLOOKUP($I508,'Price List, Weapons &amp; Items'!B:J,3,0))</f>
        <v>non combat military vehicle</v>
      </c>
      <c r="AP508" s="545" t="str">
        <f t="shared" ca="1" si="101"/>
        <v/>
      </c>
      <c r="AQ508" s="180">
        <f>VLOOKUP($I508,'Price List, Weapons &amp; Items'!B:L,COLUMN('Price List, Weapons &amp; Items'!$L$11)-1,0)</f>
        <v>2</v>
      </c>
      <c r="AR508" s="180">
        <f t="shared" si="107"/>
        <v>1</v>
      </c>
      <c r="AS508" s="180">
        <f t="shared" si="108"/>
        <v>1</v>
      </c>
      <c r="AT508" s="180" t="str">
        <f t="shared" si="97"/>
        <v>Value is not in date format</v>
      </c>
      <c r="AU508" s="180" t="str">
        <f t="shared" si="99"/>
        <v>.</v>
      </c>
      <c r="AV508" s="180" t="str">
        <f t="shared" si="100"/>
        <v>.</v>
      </c>
      <c r="AW508" s="180">
        <f>IFERROR(VLOOKUP(B508,'Share, Heavy Weapons to Ukraine'!B:J,COLUMN('Share, Heavy Weapons to Ukraine'!C517)-1,0),0)</f>
        <v>0</v>
      </c>
      <c r="AX508" s="180">
        <f>VLOOKUP('Bilateral Assistance, MAIN DATA'!B508,'Country Summary'!B:F,COLUMN('Country Summary'!C520)-1,FALSE)</f>
        <v>1</v>
      </c>
      <c r="AY508" s="180" t="str">
        <f>IF(AND(AD508=1,D508="Military",H508&lt;&gt;"Not given")=TRUE,IF(SUMIFS(P:P,A:A,A508)&gt;0,ABS((SUMIFS(P:P,A:A,A508)/VLOOKUP("USD",'Exchange Rates'!B:C,2,0)))/S508,"."),".")</f>
        <v>.</v>
      </c>
      <c r="AZ508" s="182" t="str">
        <f>IF(AND(AD508=1,D508="Military",H508&lt;&gt;"Not given")=TRUE,IF(SUMIFS(P:P,A:A,A508)&gt;0,IF((ABS((SUMIFS(P:P,A:A,A508)/VLOOKUP("USD",'Exchange Rates'!B:C,2,0)))/S508)&gt;1,(SUMIFS(P:P,A:A,A508)-S508)/S508,(S508-SUMIFS(P:P,A:A,A508))/SUMIFS(P:P,A:A,A508)),"."),".")</f>
        <v>.</v>
      </c>
      <c r="BA508" s="182"/>
      <c r="BB508" s="182"/>
      <c r="BC508" s="182"/>
      <c r="BD508" s="182"/>
      <c r="BE508" s="182"/>
      <c r="BF508" s="182"/>
      <c r="BG508" s="182"/>
      <c r="BH508" s="182"/>
      <c r="BI508" s="182"/>
      <c r="BJ508" s="182"/>
      <c r="BK508" s="182"/>
      <c r="BL508" s="182"/>
      <c r="BM508" s="182"/>
      <c r="BN508" s="182"/>
      <c r="BO508" s="182"/>
      <c r="BP508" s="182"/>
      <c r="BQ508" s="182"/>
      <c r="BR508" s="182"/>
      <c r="BS508" s="182"/>
    </row>
    <row r="509" spans="1:71" ht="15.9" customHeight="1" x14ac:dyDescent="0.3">
      <c r="A509" s="17" t="s">
        <v>1454</v>
      </c>
      <c r="B509" s="5" t="s">
        <v>1288</v>
      </c>
      <c r="C509" s="174" t="s">
        <v>1327</v>
      </c>
      <c r="D509" s="5" t="s">
        <v>285</v>
      </c>
      <c r="E509" s="5" t="s">
        <v>1328</v>
      </c>
      <c r="F509" s="1139" t="s">
        <v>1455</v>
      </c>
      <c r="G509" s="15" t="s">
        <v>364</v>
      </c>
      <c r="H509" s="176">
        <v>534000000</v>
      </c>
      <c r="I509" s="185" t="s">
        <v>1559</v>
      </c>
      <c r="J509" s="113" t="str">
        <f>VLOOKUP($I509,'Price List, Weapons &amp; Items'!B:C,2,0)</f>
        <v>Aviation and drones</v>
      </c>
      <c r="K509" s="113" t="str">
        <f>IF(I509=".",I509,VLOOKUP($I509,'Price List, Weapons &amp; Items'!B:D,3,0))</f>
        <v>drone</v>
      </c>
      <c r="L509" s="177">
        <f>VLOOKUP(I509,'Price List, Weapons &amp; Items'!B:E,4,0)</f>
        <v>0</v>
      </c>
      <c r="M509" s="542">
        <v>5</v>
      </c>
      <c r="N509" s="542">
        <v>0</v>
      </c>
      <c r="O509" s="543">
        <f>VLOOKUP($I509,'Price List, Weapons &amp; Items'!B:G,6,0)</f>
        <v>1035567.45</v>
      </c>
      <c r="P509" s="176">
        <f t="shared" si="102"/>
        <v>5177837.25</v>
      </c>
      <c r="Q509" s="176">
        <f t="shared" si="103"/>
        <v>0</v>
      </c>
      <c r="R509" s="176" t="str">
        <f t="shared" si="98"/>
        <v/>
      </c>
      <c r="S509" s="176" t="str">
        <f>IF(AND(AD509=1,R509&lt;&gt;".")=TRUE,R509/VLOOKUP(G509,'Exchange Rates'!B:C,2,0),IF(R509=".",".",""))</f>
        <v/>
      </c>
      <c r="T509" s="176" t="str">
        <f>IF(AD509=1,IF(AF509="Value is not given at all",".",IF(AF509="Value is given by the source",S509,IF(AF509="Value is calculated with prices",(IF(SUMIFS(Q:Q,A:A,A509)&gt;0,SUMIFS(Q:Q,A:A,A509),"."))/VLOOKUP("USD",'Exchange Rates'!B:C,2,0),"Error with coding"))),"")</f>
        <v/>
      </c>
      <c r="U509" s="15" t="s">
        <v>261</v>
      </c>
      <c r="V509" s="567" t="s">
        <v>1293</v>
      </c>
      <c r="W509" s="567" t="s">
        <v>1550</v>
      </c>
      <c r="X509" s="685" t="s">
        <v>260</v>
      </c>
      <c r="Y509" s="685" t="s">
        <v>260</v>
      </c>
      <c r="Z509" s="15">
        <v>0</v>
      </c>
      <c r="AA509" s="180">
        <v>1</v>
      </c>
      <c r="AB509" s="570" t="s">
        <v>1560</v>
      </c>
      <c r="AC509" s="544" t="str">
        <f>""</f>
        <v/>
      </c>
      <c r="AD509" s="183">
        <v>0</v>
      </c>
      <c r="AE509" s="183" t="s">
        <v>264</v>
      </c>
      <c r="AF509" s="183" t="s">
        <v>265</v>
      </c>
      <c r="AG509" s="183">
        <v>0</v>
      </c>
      <c r="AH509" s="183">
        <v>0</v>
      </c>
      <c r="AI509" s="183">
        <v>0</v>
      </c>
      <c r="AJ509" s="181">
        <f>VLOOKUP($I509,'Price List, Weapons &amp; Items'!B:F,5,0)</f>
        <v>0</v>
      </c>
      <c r="AK509" s="181">
        <f t="shared" si="104"/>
        <v>0</v>
      </c>
      <c r="AL509" s="181">
        <f t="shared" si="105"/>
        <v>0</v>
      </c>
      <c r="AM509" s="181">
        <f t="shared" si="106"/>
        <v>0</v>
      </c>
      <c r="AN509" s="180" t="str">
        <f>VLOOKUP($I509,'Price List, Weapons &amp; Items'!B:L,COLUMN('Price List, Weapons &amp; Items'!$J$11)-1,0)</f>
        <v>Miscellaneous</v>
      </c>
      <c r="AO509" s="180" t="str">
        <f>IF(I509=".",".",VLOOKUP($I509,'Price List, Weapons &amp; Items'!B:J,3,0))</f>
        <v>drone</v>
      </c>
      <c r="AP509" s="545" t="str">
        <f t="shared" ca="1" si="101"/>
        <v/>
      </c>
      <c r="AQ509" s="180">
        <f>VLOOKUP($I509,'Price List, Weapons &amp; Items'!B:L,COLUMN('Price List, Weapons &amp; Items'!$L$11)-1,0)</f>
        <v>2</v>
      </c>
      <c r="AR509" s="180">
        <f t="shared" si="107"/>
        <v>1</v>
      </c>
      <c r="AS509" s="180">
        <f t="shared" si="108"/>
        <v>1</v>
      </c>
      <c r="AT509" s="180" t="str">
        <f t="shared" si="97"/>
        <v>Value is not in date format</v>
      </c>
      <c r="AU509" s="180" t="str">
        <f t="shared" si="99"/>
        <v>.</v>
      </c>
      <c r="AV509" s="180" t="str">
        <f t="shared" si="100"/>
        <v>.</v>
      </c>
      <c r="AW509" s="180">
        <f>IFERROR(VLOOKUP(B509,'Share, Heavy Weapons to Ukraine'!B:J,COLUMN('Share, Heavy Weapons to Ukraine'!C518)-1,0),0)</f>
        <v>0</v>
      </c>
      <c r="AX509" s="180">
        <f>VLOOKUP('Bilateral Assistance, MAIN DATA'!B509,'Country Summary'!B:F,COLUMN('Country Summary'!C521)-1,FALSE)</f>
        <v>1</v>
      </c>
      <c r="AY509" s="180" t="str">
        <f>IF(AND(AD509=1,D509="Military",H509&lt;&gt;"Not given")=TRUE,IF(SUMIFS(P:P,A:A,A509)&gt;0,ABS((SUMIFS(P:P,A:A,A509)/VLOOKUP("USD",'Exchange Rates'!B:C,2,0)))/S509,"."),".")</f>
        <v>.</v>
      </c>
      <c r="AZ509" s="182" t="str">
        <f>IF(AND(AD509=1,D509="Military",H509&lt;&gt;"Not given")=TRUE,IF(SUMIFS(P:P,A:A,A509)&gt;0,IF((ABS((SUMIFS(P:P,A:A,A509)/VLOOKUP("USD",'Exchange Rates'!B:C,2,0)))/S509)&gt;1,(SUMIFS(P:P,A:A,A509)-S509)/S509,(S509-SUMIFS(P:P,A:A,A509))/SUMIFS(P:P,A:A,A509)),"."),".")</f>
        <v>.</v>
      </c>
      <c r="BA509" s="182"/>
      <c r="BB509" s="182"/>
      <c r="BC509" s="182"/>
      <c r="BD509" s="182"/>
      <c r="BE509" s="182"/>
      <c r="BF509" s="182"/>
      <c r="BG509" s="182"/>
      <c r="BH509" s="182"/>
      <c r="BI509" s="182"/>
      <c r="BJ509" s="182"/>
      <c r="BK509" s="182"/>
      <c r="BL509" s="182"/>
      <c r="BM509" s="182"/>
      <c r="BN509" s="182"/>
      <c r="BO509" s="182"/>
      <c r="BP509" s="182"/>
      <c r="BQ509" s="182"/>
      <c r="BR509" s="182"/>
      <c r="BS509" s="182"/>
    </row>
    <row r="510" spans="1:71" ht="15.9" customHeight="1" x14ac:dyDescent="0.3">
      <c r="A510" s="17" t="s">
        <v>1454</v>
      </c>
      <c r="B510" s="5" t="s">
        <v>1288</v>
      </c>
      <c r="C510" s="174" t="s">
        <v>1327</v>
      </c>
      <c r="D510" s="5" t="s">
        <v>285</v>
      </c>
      <c r="E510" s="5" t="s">
        <v>1328</v>
      </c>
      <c r="F510" s="1139" t="s">
        <v>1455</v>
      </c>
      <c r="G510" s="15" t="s">
        <v>364</v>
      </c>
      <c r="H510" s="176">
        <v>534000000</v>
      </c>
      <c r="I510" s="185" t="s">
        <v>1561</v>
      </c>
      <c r="J510" s="113" t="str">
        <f>VLOOKUP($I510,'Price List, Weapons &amp; Items'!B:C,2,0)</f>
        <v>Military equipment</v>
      </c>
      <c r="K510" s="113" t="str">
        <f>IF(I510=".",I510,VLOOKUP($I510,'Price List, Weapons &amp; Items'!B:D,3,0))</f>
        <v>Armoured Utility Vehicle (AUV)</v>
      </c>
      <c r="L510" s="177">
        <f>VLOOKUP(I510,'Price List, Weapons &amp; Items'!B:E,4,0)</f>
        <v>0</v>
      </c>
      <c r="M510" s="542">
        <v>5</v>
      </c>
      <c r="N510" s="542">
        <v>0</v>
      </c>
      <c r="O510" s="543" t="str">
        <f>VLOOKUP($I510,'Price List, Weapons &amp; Items'!B:G,6,0)</f>
        <v>.</v>
      </c>
      <c r="P510" s="176" t="str">
        <f t="shared" si="102"/>
        <v>No price</v>
      </c>
      <c r="Q510" s="176" t="str">
        <f t="shared" si="103"/>
        <v>No price</v>
      </c>
      <c r="R510" s="176" t="str">
        <f t="shared" si="98"/>
        <v/>
      </c>
      <c r="S510" s="176" t="str">
        <f>IF(AND(AD510=1,R510&lt;&gt;".")=TRUE,R510/VLOOKUP(G510,'Exchange Rates'!B:C,2,0),IF(R510=".",".",""))</f>
        <v/>
      </c>
      <c r="T510" s="176" t="str">
        <f>IF(AD510=1,IF(AF510="Value is not given at all",".",IF(AF510="Value is given by the source",S510,IF(AF510="Value is calculated with prices",(IF(SUMIFS(Q:Q,A:A,A510)&gt;0,SUMIFS(Q:Q,A:A,A510),"."))/VLOOKUP("USD",'Exchange Rates'!B:C,2,0),"Error with coding"))),"")</f>
        <v/>
      </c>
      <c r="U510" s="15" t="s">
        <v>261</v>
      </c>
      <c r="V510" s="567" t="s">
        <v>1293</v>
      </c>
      <c r="W510" s="567" t="s">
        <v>1552</v>
      </c>
      <c r="X510" s="685" t="s">
        <v>260</v>
      </c>
      <c r="Y510" s="685" t="s">
        <v>260</v>
      </c>
      <c r="Z510" s="15">
        <v>0</v>
      </c>
      <c r="AA510" s="180">
        <v>1</v>
      </c>
      <c r="AB510" s="570" t="s">
        <v>1562</v>
      </c>
      <c r="AC510" s="544" t="str">
        <f>""</f>
        <v/>
      </c>
      <c r="AD510" s="183">
        <v>0</v>
      </c>
      <c r="AE510" s="183" t="s">
        <v>264</v>
      </c>
      <c r="AF510" s="183" t="s">
        <v>265</v>
      </c>
      <c r="AG510" s="183">
        <v>0</v>
      </c>
      <c r="AH510" s="183">
        <v>0</v>
      </c>
      <c r="AI510" s="183">
        <v>0</v>
      </c>
      <c r="AJ510" s="181">
        <f>VLOOKUP($I510,'Price List, Weapons &amp; Items'!B:F,5,0)</f>
        <v>0</v>
      </c>
      <c r="AK510" s="181">
        <f t="shared" si="104"/>
        <v>0</v>
      </c>
      <c r="AL510" s="181">
        <f t="shared" si="105"/>
        <v>0</v>
      </c>
      <c r="AM510" s="181">
        <f t="shared" si="106"/>
        <v>0</v>
      </c>
      <c r="AN510" s="180" t="str">
        <f>VLOOKUP($I510,'Price List, Weapons &amp; Items'!B:L,COLUMN('Price List, Weapons &amp; Items'!$J$11)-1,0)</f>
        <v>.</v>
      </c>
      <c r="AO510" s="180" t="str">
        <f>IF(I510=".",".",VLOOKUP($I510,'Price List, Weapons &amp; Items'!B:J,3,0))</f>
        <v>Armoured Utility Vehicle (AUV)</v>
      </c>
      <c r="AP510" s="545" t="str">
        <f t="shared" ca="1" si="101"/>
        <v/>
      </c>
      <c r="AQ510" s="180">
        <f>VLOOKUP($I510,'Price List, Weapons &amp; Items'!B:L,COLUMN('Price List, Weapons &amp; Items'!$L$11)-1,0)</f>
        <v>0</v>
      </c>
      <c r="AR510" s="180">
        <f t="shared" si="107"/>
        <v>1</v>
      </c>
      <c r="AS510" s="180">
        <f t="shared" si="108"/>
        <v>1</v>
      </c>
      <c r="AT510" s="180" t="str">
        <f t="shared" si="97"/>
        <v>Value is not in date format</v>
      </c>
      <c r="AU510" s="180" t="str">
        <f t="shared" si="99"/>
        <v>.</v>
      </c>
      <c r="AV510" s="180" t="str">
        <f t="shared" si="100"/>
        <v>.</v>
      </c>
      <c r="AW510" s="180">
        <f>IFERROR(VLOOKUP(B510,'Share, Heavy Weapons to Ukraine'!B:J,COLUMN('Share, Heavy Weapons to Ukraine'!C519)-1,0),0)</f>
        <v>0</v>
      </c>
      <c r="AX510" s="180">
        <f>VLOOKUP('Bilateral Assistance, MAIN DATA'!B510,'Country Summary'!B:F,COLUMN('Country Summary'!C522)-1,FALSE)</f>
        <v>1</v>
      </c>
      <c r="AY510" s="180" t="str">
        <f>IF(AND(AD510=1,D510="Military",H510&lt;&gt;"Not given")=TRUE,IF(SUMIFS(P:P,A:A,A510)&gt;0,ABS((SUMIFS(P:P,A:A,A510)/VLOOKUP("USD",'Exchange Rates'!B:C,2,0)))/S510,"."),".")</f>
        <v>.</v>
      </c>
      <c r="AZ510" s="182" t="str">
        <f>IF(AND(AD510=1,D510="Military",H510&lt;&gt;"Not given")=TRUE,IF(SUMIFS(P:P,A:A,A510)&gt;0,IF((ABS((SUMIFS(P:P,A:A,A510)/VLOOKUP("USD",'Exchange Rates'!B:C,2,0)))/S510)&gt;1,(SUMIFS(P:P,A:A,A510)-S510)/S510,(S510-SUMIFS(P:P,A:A,A510))/SUMIFS(P:P,A:A,A510)),"."),".")</f>
        <v>.</v>
      </c>
      <c r="BA510" s="182"/>
      <c r="BB510" s="182"/>
      <c r="BC510" s="182"/>
      <c r="BD510" s="182"/>
      <c r="BE510" s="182"/>
      <c r="BF510" s="182"/>
      <c r="BG510" s="182"/>
      <c r="BH510" s="182"/>
      <c r="BI510" s="182"/>
      <c r="BJ510" s="182"/>
      <c r="BK510" s="182"/>
      <c r="BL510" s="182"/>
      <c r="BM510" s="182"/>
      <c r="BN510" s="182"/>
      <c r="BO510" s="182"/>
      <c r="BP510" s="182"/>
      <c r="BQ510" s="182"/>
      <c r="BR510" s="182"/>
      <c r="BS510" s="182"/>
    </row>
    <row r="511" spans="1:71" ht="15.9" customHeight="1" x14ac:dyDescent="0.3">
      <c r="A511" s="17" t="s">
        <v>1454</v>
      </c>
      <c r="B511" s="5" t="s">
        <v>1288</v>
      </c>
      <c r="C511" s="174" t="s">
        <v>1327</v>
      </c>
      <c r="D511" s="5" t="s">
        <v>285</v>
      </c>
      <c r="E511" s="5" t="s">
        <v>1328</v>
      </c>
      <c r="F511" s="1139" t="s">
        <v>1455</v>
      </c>
      <c r="G511" s="15" t="s">
        <v>364</v>
      </c>
      <c r="H511" s="176">
        <v>534000000</v>
      </c>
      <c r="I511" s="185" t="s">
        <v>1563</v>
      </c>
      <c r="J511" s="113" t="str">
        <f>VLOOKUP($I511,'Price List, Weapons &amp; Items'!B:C,2,0)</f>
        <v>humanitarian</v>
      </c>
      <c r="K511" s="113" t="str">
        <f>IF(I511=".",I511,VLOOKUP($I511,'Price List, Weapons &amp; Items'!B:D,3,0))</f>
        <v>Humanitarian</v>
      </c>
      <c r="L511" s="177">
        <f>VLOOKUP(I511,'Price List, Weapons &amp; Items'!B:E,4,0)</f>
        <v>0</v>
      </c>
      <c r="M511" s="542">
        <v>1</v>
      </c>
      <c r="N511" s="542">
        <v>0</v>
      </c>
      <c r="O511" s="543">
        <f>VLOOKUP($I511,'Price List, Weapons &amp; Items'!B:G,6,0)</f>
        <v>600000</v>
      </c>
      <c r="P511" s="176">
        <f t="shared" si="102"/>
        <v>600000</v>
      </c>
      <c r="Q511" s="176">
        <f t="shared" si="103"/>
        <v>0</v>
      </c>
      <c r="R511" s="176" t="str">
        <f t="shared" si="98"/>
        <v/>
      </c>
      <c r="S511" s="176" t="str">
        <f>IF(AND(AD511=1,R511&lt;&gt;".")=TRUE,R511/VLOOKUP(G511,'Exchange Rates'!B:C,2,0),IF(R511=".",".",""))</f>
        <v/>
      </c>
      <c r="T511" s="176" t="str">
        <f>IF(AD511=1,IF(AF511="Value is not given at all",".",IF(AF511="Value is given by the source",S511,IF(AF511="Value is calculated with prices",(IF(SUMIFS(Q:Q,A:A,A511)&gt;0,SUMIFS(Q:Q,A:A,A511),"."))/VLOOKUP("USD",'Exchange Rates'!B:C,2,0),"Error with coding"))),"")</f>
        <v/>
      </c>
      <c r="U511" s="15" t="s">
        <v>261</v>
      </c>
      <c r="V511" s="567" t="s">
        <v>1293</v>
      </c>
      <c r="W511" s="567" t="s">
        <v>1554</v>
      </c>
      <c r="X511" s="685" t="s">
        <v>260</v>
      </c>
      <c r="Y511" s="685" t="s">
        <v>260</v>
      </c>
      <c r="Z511" s="15">
        <v>0</v>
      </c>
      <c r="AA511" s="180">
        <v>1</v>
      </c>
      <c r="AB511" s="570" t="s">
        <v>1564</v>
      </c>
      <c r="AC511" s="544" t="str">
        <f>""</f>
        <v/>
      </c>
      <c r="AD511" s="183">
        <v>0</v>
      </c>
      <c r="AE511" s="183" t="s">
        <v>264</v>
      </c>
      <c r="AF511" s="183" t="s">
        <v>265</v>
      </c>
      <c r="AG511" s="183">
        <v>0</v>
      </c>
      <c r="AH511" s="183">
        <v>0</v>
      </c>
      <c r="AI511" s="183">
        <v>0</v>
      </c>
      <c r="AJ511" s="181">
        <f>VLOOKUP($I511,'Price List, Weapons &amp; Items'!B:F,5,0)</f>
        <v>0</v>
      </c>
      <c r="AK511" s="181">
        <f t="shared" si="104"/>
        <v>0</v>
      </c>
      <c r="AL511" s="181">
        <f t="shared" si="105"/>
        <v>0</v>
      </c>
      <c r="AM511" s="181">
        <f t="shared" si="106"/>
        <v>0</v>
      </c>
      <c r="AN511" s="180" t="str">
        <f>VLOOKUP($I511,'Price List, Weapons &amp; Items'!B:L,COLUMN('Price List, Weapons &amp; Items'!$J$11)-1,0)</f>
        <v>Government information</v>
      </c>
      <c r="AO511" s="180" t="str">
        <f>IF(I511=".",".",VLOOKUP($I511,'Price List, Weapons &amp; Items'!B:J,3,0))</f>
        <v>Humanitarian</v>
      </c>
      <c r="AP511" s="545" t="str">
        <f t="shared" ca="1" si="101"/>
        <v/>
      </c>
      <c r="AQ511" s="180">
        <f>VLOOKUP($I511,'Price List, Weapons &amp; Items'!B:L,COLUMN('Price List, Weapons &amp; Items'!$L$11)-1,0)</f>
        <v>0</v>
      </c>
      <c r="AR511" s="180">
        <f t="shared" si="107"/>
        <v>1</v>
      </c>
      <c r="AS511" s="180">
        <f t="shared" si="108"/>
        <v>1</v>
      </c>
      <c r="AT511" s="180" t="str">
        <f t="shared" si="97"/>
        <v>Value is not in date format</v>
      </c>
      <c r="AU511" s="180" t="str">
        <f t="shared" si="99"/>
        <v>.</v>
      </c>
      <c r="AV511" s="180" t="str">
        <f t="shared" si="100"/>
        <v>.</v>
      </c>
      <c r="AW511" s="180">
        <f>IFERROR(VLOOKUP(B511,'Share, Heavy Weapons to Ukraine'!B:J,COLUMN('Share, Heavy Weapons to Ukraine'!C520)-1,0),0)</f>
        <v>0</v>
      </c>
      <c r="AX511" s="180">
        <f>VLOOKUP('Bilateral Assistance, MAIN DATA'!B511,'Country Summary'!B:F,COLUMN('Country Summary'!C523)-1,FALSE)</f>
        <v>1</v>
      </c>
      <c r="AY511" s="180" t="str">
        <f>IF(AND(AD511=1,D511="Military",H511&lt;&gt;"Not given")=TRUE,IF(SUMIFS(P:P,A:A,A511)&gt;0,ABS((SUMIFS(P:P,A:A,A511)/VLOOKUP("USD",'Exchange Rates'!B:C,2,0)))/S511,"."),".")</f>
        <v>.</v>
      </c>
      <c r="AZ511" s="182" t="str">
        <f>IF(AND(AD511=1,D511="Military",H511&lt;&gt;"Not given")=TRUE,IF(SUMIFS(P:P,A:A,A511)&gt;0,IF((ABS((SUMIFS(P:P,A:A,A511)/VLOOKUP("USD",'Exchange Rates'!B:C,2,0)))/S511)&gt;1,(SUMIFS(P:P,A:A,A511)-S511)/S511,(S511-SUMIFS(P:P,A:A,A511))/SUMIFS(P:P,A:A,A511)),"."),".")</f>
        <v>.</v>
      </c>
      <c r="BA511" s="182"/>
      <c r="BB511" s="182"/>
      <c r="BC511" s="182"/>
      <c r="BD511" s="182"/>
      <c r="BE511" s="182"/>
      <c r="BF511" s="182"/>
      <c r="BG511" s="182"/>
      <c r="BH511" s="182"/>
      <c r="BI511" s="182"/>
      <c r="BJ511" s="182"/>
      <c r="BK511" s="182"/>
      <c r="BL511" s="182"/>
      <c r="BM511" s="182"/>
      <c r="BN511" s="182"/>
      <c r="BO511" s="182"/>
      <c r="BP511" s="182"/>
      <c r="BQ511" s="182"/>
      <c r="BR511" s="182"/>
      <c r="BS511" s="182"/>
    </row>
    <row r="512" spans="1:71" ht="15.9" customHeight="1" x14ac:dyDescent="0.3">
      <c r="A512" s="17" t="s">
        <v>1454</v>
      </c>
      <c r="B512" s="5" t="s">
        <v>1288</v>
      </c>
      <c r="C512" s="174" t="s">
        <v>1327</v>
      </c>
      <c r="D512" s="5" t="s">
        <v>285</v>
      </c>
      <c r="E512" s="5" t="s">
        <v>1328</v>
      </c>
      <c r="F512" s="1139" t="s">
        <v>1455</v>
      </c>
      <c r="G512" s="15" t="s">
        <v>364</v>
      </c>
      <c r="H512" s="176">
        <v>534000000</v>
      </c>
      <c r="I512" s="185" t="s">
        <v>1565</v>
      </c>
      <c r="J512" s="113" t="str">
        <f>VLOOKUP($I512,'Price List, Weapons &amp; Items'!B:C,2,0)</f>
        <v>Portable defence system</v>
      </c>
      <c r="K512" s="113" t="str">
        <f>IF(I512=".",I512,VLOOKUP($I512,'Price List, Weapons &amp; Items'!B:D,3,0))</f>
        <v>Light Anti-armor Weapon (LAW)</v>
      </c>
      <c r="L512" s="177">
        <f>VLOOKUP(I512,'Price List, Weapons &amp; Items'!B:E,4,0)</f>
        <v>0</v>
      </c>
      <c r="M512" s="542">
        <v>5032</v>
      </c>
      <c r="N512" s="542">
        <v>0</v>
      </c>
      <c r="O512" s="543">
        <f>VLOOKUP($I512,'Price List, Weapons &amp; Items'!B:G,6,0)</f>
        <v>40000</v>
      </c>
      <c r="P512" s="176">
        <f t="shared" si="102"/>
        <v>201280000</v>
      </c>
      <c r="Q512" s="176">
        <f t="shared" si="103"/>
        <v>0</v>
      </c>
      <c r="R512" s="176" t="str">
        <f t="shared" si="98"/>
        <v/>
      </c>
      <c r="S512" s="176" t="str">
        <f>IF(AND(AD512=1,R512&lt;&gt;".")=TRUE,R512/VLOOKUP(G512,'Exchange Rates'!B:C,2,0),IF(R512=".",".",""))</f>
        <v/>
      </c>
      <c r="T512" s="176" t="str">
        <f>IF(AD512=1,IF(AF512="Value is not given at all",".",IF(AF512="Value is given by the source",S512,IF(AF512="Value is calculated with prices",(IF(SUMIFS(Q:Q,A:A,A512)&gt;0,SUMIFS(Q:Q,A:A,A512),"."))/VLOOKUP("USD",'Exchange Rates'!B:C,2,0),"Error with coding"))),"")</f>
        <v/>
      </c>
      <c r="U512" s="15" t="s">
        <v>261</v>
      </c>
      <c r="V512" s="567" t="s">
        <v>1293</v>
      </c>
      <c r="W512" s="567" t="s">
        <v>1556</v>
      </c>
      <c r="X512" s="685" t="s">
        <v>260</v>
      </c>
      <c r="Y512" s="685" t="s">
        <v>260</v>
      </c>
      <c r="Z512" s="15">
        <v>0</v>
      </c>
      <c r="AA512" s="180">
        <v>1</v>
      </c>
      <c r="AB512" s="570" t="s">
        <v>1566</v>
      </c>
      <c r="AC512" s="544" t="str">
        <f>""</f>
        <v/>
      </c>
      <c r="AD512" s="183">
        <v>0</v>
      </c>
      <c r="AE512" s="183" t="s">
        <v>264</v>
      </c>
      <c r="AF512" s="183" t="s">
        <v>265</v>
      </c>
      <c r="AG512" s="183">
        <v>0</v>
      </c>
      <c r="AH512" s="183">
        <v>0</v>
      </c>
      <c r="AI512" s="183">
        <v>0</v>
      </c>
      <c r="AJ512" s="181">
        <f>VLOOKUP($I512,'Price List, Weapons &amp; Items'!B:F,5,0)</f>
        <v>0</v>
      </c>
      <c r="AK512" s="181">
        <f t="shared" si="104"/>
        <v>0</v>
      </c>
      <c r="AL512" s="181">
        <f t="shared" si="105"/>
        <v>0</v>
      </c>
      <c r="AM512" s="181">
        <f t="shared" si="106"/>
        <v>0</v>
      </c>
      <c r="AN512" s="180" t="str">
        <f>VLOOKUP($I512,'Price List, Weapons &amp; Items'!B:L,COLUMN('Price List, Weapons &amp; Items'!$J$11)-1,0)</f>
        <v>Media reports (incl. social media)</v>
      </c>
      <c r="AO512" s="180" t="str">
        <f>IF(I512=".",".",VLOOKUP($I512,'Price List, Weapons &amp; Items'!B:J,3,0))</f>
        <v>Light Anti-armor Weapon (LAW)</v>
      </c>
      <c r="AP512" s="545" t="str">
        <f t="shared" ca="1" si="101"/>
        <v/>
      </c>
      <c r="AQ512" s="180">
        <f>VLOOKUP($I512,'Price List, Weapons &amp; Items'!B:L,COLUMN('Price List, Weapons &amp; Items'!$L$11)-1,0)</f>
        <v>2</v>
      </c>
      <c r="AR512" s="180">
        <f t="shared" si="107"/>
        <v>1</v>
      </c>
      <c r="AS512" s="180">
        <f t="shared" si="108"/>
        <v>1</v>
      </c>
      <c r="AT512" s="180" t="str">
        <f t="shared" si="97"/>
        <v>Value is not in date format</v>
      </c>
      <c r="AU512" s="180" t="str">
        <f t="shared" si="99"/>
        <v>.</v>
      </c>
      <c r="AV512" s="180" t="str">
        <f t="shared" si="100"/>
        <v>.</v>
      </c>
      <c r="AW512" s="180">
        <f>IFERROR(VLOOKUP(B512,'Share, Heavy Weapons to Ukraine'!B:J,COLUMN('Share, Heavy Weapons to Ukraine'!C521)-1,0),0)</f>
        <v>0</v>
      </c>
      <c r="AX512" s="180">
        <f>VLOOKUP('Bilateral Assistance, MAIN DATA'!B512,'Country Summary'!B:F,COLUMN('Country Summary'!C524)-1,FALSE)</f>
        <v>1</v>
      </c>
      <c r="AY512" s="180" t="str">
        <f>IF(AND(AD512=1,D512="Military",H512&lt;&gt;"Not given")=TRUE,IF(SUMIFS(P:P,A:A,A512)&gt;0,ABS((SUMIFS(P:P,A:A,A512)/VLOOKUP("USD",'Exchange Rates'!B:C,2,0)))/S512,"."),".")</f>
        <v>.</v>
      </c>
      <c r="AZ512" s="182" t="str">
        <f>IF(AND(AD512=1,D512="Military",H512&lt;&gt;"Not given")=TRUE,IF(SUMIFS(P:P,A:A,A512)&gt;0,IF((ABS((SUMIFS(P:P,A:A,A512)/VLOOKUP("USD",'Exchange Rates'!B:C,2,0)))/S512)&gt;1,(SUMIFS(P:P,A:A,A512)-S512)/S512,(S512-SUMIFS(P:P,A:A,A512))/SUMIFS(P:P,A:A,A512)),"."),".")</f>
        <v>.</v>
      </c>
      <c r="BA512" s="182"/>
      <c r="BB512" s="182"/>
      <c r="BC512" s="182"/>
      <c r="BD512" s="182"/>
      <c r="BE512" s="182"/>
      <c r="BF512" s="182"/>
      <c r="BG512" s="182"/>
      <c r="BH512" s="182"/>
      <c r="BI512" s="182"/>
      <c r="BJ512" s="182"/>
      <c r="BK512" s="182"/>
      <c r="BL512" s="182"/>
      <c r="BM512" s="182"/>
      <c r="BN512" s="182"/>
      <c r="BO512" s="182"/>
      <c r="BP512" s="182"/>
      <c r="BQ512" s="182"/>
      <c r="BR512" s="182"/>
      <c r="BS512" s="182"/>
    </row>
    <row r="513" spans="1:71" ht="15.9" customHeight="1" x14ac:dyDescent="0.3">
      <c r="A513" s="17" t="s">
        <v>1454</v>
      </c>
      <c r="B513" s="5" t="s">
        <v>1288</v>
      </c>
      <c r="C513" s="174" t="s">
        <v>1327</v>
      </c>
      <c r="D513" s="5" t="s">
        <v>285</v>
      </c>
      <c r="E513" s="5" t="s">
        <v>1328</v>
      </c>
      <c r="F513" s="1139" t="s">
        <v>1455</v>
      </c>
      <c r="G513" s="15" t="s">
        <v>364</v>
      </c>
      <c r="H513" s="176">
        <v>534000000</v>
      </c>
      <c r="I513" s="185" t="s">
        <v>1567</v>
      </c>
      <c r="J513" s="113" t="str">
        <f>VLOOKUP($I513,'Price List, Weapons &amp; Items'!B:C,2,0)</f>
        <v>military equipment</v>
      </c>
      <c r="K513" s="113" t="str">
        <f>IF(I513=".",I513,VLOOKUP($I513,'Price List, Weapons &amp; Items'!B:D,3,0))</f>
        <v>Armoured Utility Vehicle (AUV)</v>
      </c>
      <c r="L513" s="177">
        <f>VLOOKUP(I513,'Price List, Weapons &amp; Items'!B:E,4,0)</f>
        <v>0</v>
      </c>
      <c r="M513" s="542">
        <v>5</v>
      </c>
      <c r="N513" s="542">
        <v>0</v>
      </c>
      <c r="O513" s="543">
        <f>VLOOKUP($I513,'Price List, Weapons &amp; Items'!B:G,6,0)</f>
        <v>1240159</v>
      </c>
      <c r="P513" s="176">
        <f t="shared" si="102"/>
        <v>6200795</v>
      </c>
      <c r="Q513" s="176">
        <f t="shared" si="103"/>
        <v>0</v>
      </c>
      <c r="R513" s="176" t="str">
        <f t="shared" si="98"/>
        <v/>
      </c>
      <c r="S513" s="176" t="str">
        <f>IF(AND(AD513=1,R513&lt;&gt;".")=TRUE,R513/VLOOKUP(G513,'Exchange Rates'!B:C,2,0),IF(R513=".",".",""))</f>
        <v/>
      </c>
      <c r="T513" s="176" t="str">
        <f>IF(AD513=1,IF(AF513="Value is not given at all",".",IF(AF513="Value is given by the source",S513,IF(AF513="Value is calculated with prices",(IF(SUMIFS(Q:Q,A:A,A513)&gt;0,SUMIFS(Q:Q,A:A,A513),"."))/VLOOKUP("USD",'Exchange Rates'!B:C,2,0),"Error with coding"))),"")</f>
        <v/>
      </c>
      <c r="U513" s="15" t="s">
        <v>261</v>
      </c>
      <c r="V513" s="567" t="s">
        <v>1293</v>
      </c>
      <c r="W513" s="567" t="s">
        <v>1558</v>
      </c>
      <c r="X513" s="685" t="s">
        <v>260</v>
      </c>
      <c r="Y513" s="685" t="s">
        <v>260</v>
      </c>
      <c r="Z513" s="15">
        <v>0</v>
      </c>
      <c r="AA513" s="180">
        <v>1</v>
      </c>
      <c r="AB513" s="570" t="s">
        <v>1568</v>
      </c>
      <c r="AC513" s="544" t="str">
        <f>""</f>
        <v/>
      </c>
      <c r="AD513" s="183">
        <v>0</v>
      </c>
      <c r="AE513" s="183" t="s">
        <v>264</v>
      </c>
      <c r="AF513" s="183" t="s">
        <v>265</v>
      </c>
      <c r="AG513" s="183">
        <v>0</v>
      </c>
      <c r="AH513" s="183">
        <v>0</v>
      </c>
      <c r="AI513" s="183">
        <v>0</v>
      </c>
      <c r="AJ513" s="181">
        <f>VLOOKUP($I513,'Price List, Weapons &amp; Items'!B:F,5,0)</f>
        <v>1</v>
      </c>
      <c r="AK513" s="181">
        <f t="shared" si="104"/>
        <v>0</v>
      </c>
      <c r="AL513" s="181">
        <f t="shared" si="105"/>
        <v>0</v>
      </c>
      <c r="AM513" s="181">
        <f t="shared" si="106"/>
        <v>0</v>
      </c>
      <c r="AN513" s="180" t="str">
        <f>VLOOKUP($I513,'Price List, Weapons &amp; Items'!B:L,COLUMN('Price List, Weapons &amp; Items'!$J$11)-1,0)</f>
        <v>Government information</v>
      </c>
      <c r="AO513" s="180" t="str">
        <f>IF(I513=".",".",VLOOKUP($I513,'Price List, Weapons &amp; Items'!B:J,3,0))</f>
        <v>Armoured Utility Vehicle (AUV)</v>
      </c>
      <c r="AP513" s="545" t="str">
        <f t="shared" ca="1" si="101"/>
        <v/>
      </c>
      <c r="AQ513" s="180">
        <f>VLOOKUP($I513,'Price List, Weapons &amp; Items'!B:L,COLUMN('Price List, Weapons &amp; Items'!$L$11)-1,0)</f>
        <v>2</v>
      </c>
      <c r="AR513" s="180">
        <f t="shared" si="107"/>
        <v>1</v>
      </c>
      <c r="AS513" s="180">
        <f t="shared" si="108"/>
        <v>1</v>
      </c>
      <c r="AT513" s="180" t="str">
        <f t="shared" ref="AT513:AT573" si="109">IFERROR(IF(VALUE(TEXT(C513,"mm"))=AH513,".",IF(TEXT(C513,"mm")="01",".",1)),"Value is not in date format")</f>
        <v>Value is not in date format</v>
      </c>
      <c r="AU513" s="180" t="str">
        <f t="shared" si="99"/>
        <v>.</v>
      </c>
      <c r="AV513" s="180" t="str">
        <f t="shared" si="100"/>
        <v>.</v>
      </c>
      <c r="AW513" s="180">
        <f>IFERROR(VLOOKUP(B513,'Share, Heavy Weapons to Ukraine'!B:J,COLUMN('Share, Heavy Weapons to Ukraine'!C522)-1,0),0)</f>
        <v>0</v>
      </c>
      <c r="AX513" s="180">
        <f>VLOOKUP('Bilateral Assistance, MAIN DATA'!B513,'Country Summary'!B:F,COLUMN('Country Summary'!C525)-1,FALSE)</f>
        <v>1</v>
      </c>
      <c r="AY513" s="180" t="str">
        <f>IF(AND(AD513=1,D513="Military",H513&lt;&gt;"Not given")=TRUE,IF(SUMIFS(P:P,A:A,A513)&gt;0,ABS((SUMIFS(P:P,A:A,A513)/VLOOKUP("USD",'Exchange Rates'!B:C,2,0)))/S513,"."),".")</f>
        <v>.</v>
      </c>
      <c r="AZ513" s="182" t="str">
        <f>IF(AND(AD513=1,D513="Military",H513&lt;&gt;"Not given")=TRUE,IF(SUMIFS(P:P,A:A,A513)&gt;0,IF((ABS((SUMIFS(P:P,A:A,A513)/VLOOKUP("USD",'Exchange Rates'!B:C,2,0)))/S513)&gt;1,(SUMIFS(P:P,A:A,A513)-S513)/S513,(S513-SUMIFS(P:P,A:A,A513))/SUMIFS(P:P,A:A,A513)),"."),".")</f>
        <v>.</v>
      </c>
      <c r="BA513" s="182"/>
      <c r="BB513" s="182"/>
      <c r="BC513" s="182"/>
      <c r="BD513" s="182"/>
      <c r="BE513" s="182"/>
      <c r="BF513" s="182"/>
      <c r="BG513" s="182"/>
      <c r="BH513" s="182"/>
      <c r="BI513" s="182"/>
      <c r="BJ513" s="182"/>
      <c r="BK513" s="182"/>
      <c r="BL513" s="182"/>
      <c r="BM513" s="182"/>
      <c r="BN513" s="182"/>
      <c r="BO513" s="182"/>
      <c r="BP513" s="182"/>
      <c r="BQ513" s="182"/>
      <c r="BR513" s="182"/>
      <c r="BS513" s="182"/>
    </row>
    <row r="514" spans="1:71" ht="15.9" customHeight="1" x14ac:dyDescent="0.3">
      <c r="A514" s="17" t="s">
        <v>1454</v>
      </c>
      <c r="B514" s="5" t="s">
        <v>1288</v>
      </c>
      <c r="C514" s="174" t="s">
        <v>1327</v>
      </c>
      <c r="D514" s="5" t="s">
        <v>285</v>
      </c>
      <c r="E514" s="5" t="s">
        <v>1328</v>
      </c>
      <c r="F514" s="1139" t="s">
        <v>1455</v>
      </c>
      <c r="G514" s="15" t="s">
        <v>364</v>
      </c>
      <c r="H514" s="176">
        <v>534000000</v>
      </c>
      <c r="I514" s="185" t="s">
        <v>1569</v>
      </c>
      <c r="J514" s="113" t="str">
        <f>VLOOKUP($I514,'Price List, Weapons &amp; Items'!B:C,2,0)</f>
        <v>Humanitarian</v>
      </c>
      <c r="K514" s="113" t="str">
        <f>IF(I514=".",I514,VLOOKUP($I514,'Price List, Weapons &amp; Items'!B:D,3,0))</f>
        <v>Humanitarian</v>
      </c>
      <c r="L514" s="177">
        <f>VLOOKUP(I514,'Price List, Weapons &amp; Items'!B:E,4,0)</f>
        <v>0</v>
      </c>
      <c r="M514" s="542" t="s">
        <v>270</v>
      </c>
      <c r="N514" s="542" t="s">
        <v>270</v>
      </c>
      <c r="O514" s="543" t="str">
        <f>VLOOKUP($I514,'Price List, Weapons &amp; Items'!B:G,6,0)</f>
        <v>.</v>
      </c>
      <c r="P514" s="176" t="str">
        <f t="shared" si="102"/>
        <v>.</v>
      </c>
      <c r="Q514" s="176" t="str">
        <f t="shared" si="103"/>
        <v>.</v>
      </c>
      <c r="R514" s="176" t="str">
        <f t="shared" ref="R514:R577" si="110">IF(AD514=1,IF(H514&lt;&gt;"Not given",H514,IF(TYPE(H514)=2,IF(SUMIFS(P:P,A:A,A514)&gt;0,SUMIFS(P:P,A:A,A514),"."),"Format error")),"")</f>
        <v/>
      </c>
      <c r="S514" s="176" t="str">
        <f>IF(AND(AD514=1,R514&lt;&gt;".")=TRUE,R514/VLOOKUP(G514,'Exchange Rates'!B:C,2,0),IF(R514=".",".",""))</f>
        <v/>
      </c>
      <c r="T514" s="176" t="str">
        <f>IF(AD514=1,IF(AF514="Value is not given at all",".",IF(AF514="Value is given by the source",S514,IF(AF514="Value is calculated with prices",(IF(SUMIFS(Q:Q,A:A,A514)&gt;0,SUMIFS(Q:Q,A:A,A514),"."))/VLOOKUP("USD",'Exchange Rates'!B:C,2,0),"Error with coding"))),"")</f>
        <v/>
      </c>
      <c r="U514" s="15" t="s">
        <v>261</v>
      </c>
      <c r="V514" s="567" t="s">
        <v>1293</v>
      </c>
      <c r="W514" s="567" t="s">
        <v>1560</v>
      </c>
      <c r="X514" s="685" t="s">
        <v>260</v>
      </c>
      <c r="Y514" s="685" t="s">
        <v>260</v>
      </c>
      <c r="Z514" s="15">
        <v>0</v>
      </c>
      <c r="AA514" s="180">
        <v>1</v>
      </c>
      <c r="AB514" s="570" t="s">
        <v>1570</v>
      </c>
      <c r="AC514" s="544" t="str">
        <f>""</f>
        <v/>
      </c>
      <c r="AD514" s="183">
        <v>0</v>
      </c>
      <c r="AE514" s="183" t="s">
        <v>264</v>
      </c>
      <c r="AF514" s="183" t="s">
        <v>265</v>
      </c>
      <c r="AG514" s="183">
        <v>0</v>
      </c>
      <c r="AH514" s="183">
        <v>0</v>
      </c>
      <c r="AI514" s="183">
        <v>0</v>
      </c>
      <c r="AJ514" s="181">
        <f>VLOOKUP($I514,'Price List, Weapons &amp; Items'!B:F,5,0)</f>
        <v>0</v>
      </c>
      <c r="AK514" s="181">
        <f t="shared" si="104"/>
        <v>0</v>
      </c>
      <c r="AL514" s="181">
        <f t="shared" si="105"/>
        <v>0</v>
      </c>
      <c r="AM514" s="181">
        <f t="shared" si="106"/>
        <v>0</v>
      </c>
      <c r="AN514" s="180" t="str">
        <f>VLOOKUP($I514,'Price List, Weapons &amp; Items'!B:L,COLUMN('Price List, Weapons &amp; Items'!$J$11)-1,0)</f>
        <v>.</v>
      </c>
      <c r="AO514" s="180" t="str">
        <f>IF(I514=".",".",VLOOKUP($I514,'Price List, Weapons &amp; Items'!B:J,3,0))</f>
        <v>Humanitarian</v>
      </c>
      <c r="AP514" s="545" t="str">
        <f t="shared" ca="1" si="101"/>
        <v/>
      </c>
      <c r="AQ514" s="180">
        <f>VLOOKUP($I514,'Price List, Weapons &amp; Items'!B:L,COLUMN('Price List, Weapons &amp; Items'!$L$11)-1,0)</f>
        <v>0</v>
      </c>
      <c r="AR514" s="180">
        <f t="shared" si="107"/>
        <v>1</v>
      </c>
      <c r="AS514" s="180">
        <f t="shared" si="108"/>
        <v>1</v>
      </c>
      <c r="AT514" s="180" t="str">
        <f t="shared" si="109"/>
        <v>Value is not in date format</v>
      </c>
      <c r="AU514" s="180" t="str">
        <f t="shared" ref="AU514:AU574" si="111">IF(AND(A514=A513,C514=C513)=TRUE,IF(F514=F513,".","1"),".")</f>
        <v>.</v>
      </c>
      <c r="AV514" s="180" t="str">
        <f t="shared" ref="AV514:AV574" si="112">IF(T514&lt;&gt;".",IF(T514&gt;S514,1,"."),".")</f>
        <v>.</v>
      </c>
      <c r="AW514" s="180">
        <f>IFERROR(VLOOKUP(B514,'Share, Heavy Weapons to Ukraine'!B:J,COLUMN('Share, Heavy Weapons to Ukraine'!C523)-1,0),0)</f>
        <v>0</v>
      </c>
      <c r="AX514" s="180">
        <f>VLOOKUP('Bilateral Assistance, MAIN DATA'!B514,'Country Summary'!B:F,COLUMN('Country Summary'!C526)-1,FALSE)</f>
        <v>1</v>
      </c>
      <c r="AY514" s="180" t="str">
        <f>IF(AND(AD514=1,D514="Military",H514&lt;&gt;"Not given")=TRUE,IF(SUMIFS(P:P,A:A,A514)&gt;0,ABS((SUMIFS(P:P,A:A,A514)/VLOOKUP("USD",'Exchange Rates'!B:C,2,0)))/S514,"."),".")</f>
        <v>.</v>
      </c>
      <c r="AZ514" s="182" t="str">
        <f>IF(AND(AD514=1,D514="Military",H514&lt;&gt;"Not given")=TRUE,IF(SUMIFS(P:P,A:A,A514)&gt;0,IF((ABS((SUMIFS(P:P,A:A,A514)/VLOOKUP("USD",'Exchange Rates'!B:C,2,0)))/S514)&gt;1,(SUMIFS(P:P,A:A,A514)-S514)/S514,(S514-SUMIFS(P:P,A:A,A514))/SUMIFS(P:P,A:A,A514)),"."),".")</f>
        <v>.</v>
      </c>
      <c r="BA514" s="182"/>
      <c r="BB514" s="182"/>
      <c r="BC514" s="182"/>
      <c r="BD514" s="182"/>
      <c r="BE514" s="182"/>
      <c r="BF514" s="182"/>
      <c r="BG514" s="182"/>
      <c r="BH514" s="182"/>
      <c r="BI514" s="182"/>
      <c r="BJ514" s="182"/>
      <c r="BK514" s="182"/>
      <c r="BL514" s="182"/>
      <c r="BM514" s="182"/>
      <c r="BN514" s="182"/>
      <c r="BO514" s="182"/>
      <c r="BP514" s="182"/>
      <c r="BQ514" s="182"/>
      <c r="BR514" s="182"/>
      <c r="BS514" s="182"/>
    </row>
    <row r="515" spans="1:71" ht="15.9" customHeight="1" x14ac:dyDescent="0.3">
      <c r="A515" s="17" t="s">
        <v>1454</v>
      </c>
      <c r="B515" s="5" t="s">
        <v>1288</v>
      </c>
      <c r="C515" s="174" t="s">
        <v>1327</v>
      </c>
      <c r="D515" s="5" t="s">
        <v>285</v>
      </c>
      <c r="E515" s="5" t="s">
        <v>1328</v>
      </c>
      <c r="F515" s="1139" t="s">
        <v>1455</v>
      </c>
      <c r="G515" s="15" t="s">
        <v>364</v>
      </c>
      <c r="H515" s="176">
        <v>534000000</v>
      </c>
      <c r="I515" s="185" t="s">
        <v>1571</v>
      </c>
      <c r="J515" s="113" t="str">
        <f>VLOOKUP($I515,'Price List, Weapons &amp; Items'!B:C,2,0)</f>
        <v>Military equipment</v>
      </c>
      <c r="K515" s="113" t="str">
        <f>IF(I515=".",I515,VLOOKUP($I515,'Price List, Weapons &amp; Items'!B:D,3,0))</f>
        <v>Military equipment</v>
      </c>
      <c r="L515" s="177">
        <f>VLOOKUP(I515,'Price List, Weapons &amp; Items'!B:E,4,0)</f>
        <v>0</v>
      </c>
      <c r="M515" s="542">
        <v>67</v>
      </c>
      <c r="N515" s="542">
        <v>67</v>
      </c>
      <c r="O515" s="543">
        <f>VLOOKUP($I515,'Price List, Weapons &amp; Items'!B:G,6,0)</f>
        <v>1486.91</v>
      </c>
      <c r="P515" s="176">
        <f t="shared" si="102"/>
        <v>99622.97</v>
      </c>
      <c r="Q515" s="176">
        <f t="shared" si="103"/>
        <v>99622.97</v>
      </c>
      <c r="R515" s="176" t="str">
        <f t="shared" si="110"/>
        <v/>
      </c>
      <c r="S515" s="176" t="str">
        <f>IF(AND(AD515=1,R515&lt;&gt;".")=TRUE,R515/VLOOKUP(G515,'Exchange Rates'!B:C,2,0),IF(R515=".",".",""))</f>
        <v/>
      </c>
      <c r="T515" s="176" t="str">
        <f>IF(AD515=1,IF(AF515="Value is not given at all",".",IF(AF515="Value is given by the source",S515,IF(AF515="Value is calculated with prices",(IF(SUMIFS(Q:Q,A:A,A515)&gt;0,SUMIFS(Q:Q,A:A,A515),"."))/VLOOKUP("USD",'Exchange Rates'!B:C,2,0),"Error with coding"))),"")</f>
        <v/>
      </c>
      <c r="U515" s="15" t="s">
        <v>261</v>
      </c>
      <c r="V515" s="567" t="s">
        <v>1293</v>
      </c>
      <c r="W515" s="567" t="s">
        <v>1562</v>
      </c>
      <c r="X515" s="685" t="s">
        <v>260</v>
      </c>
      <c r="Y515" s="685" t="s">
        <v>260</v>
      </c>
      <c r="Z515" s="15">
        <v>0</v>
      </c>
      <c r="AA515" s="180">
        <v>1</v>
      </c>
      <c r="AB515" s="570" t="s">
        <v>1572</v>
      </c>
      <c r="AC515" s="544" t="str">
        <f>""</f>
        <v/>
      </c>
      <c r="AD515" s="183">
        <v>0</v>
      </c>
      <c r="AE515" s="183" t="s">
        <v>264</v>
      </c>
      <c r="AF515" s="183" t="s">
        <v>265</v>
      </c>
      <c r="AG515" s="183">
        <v>0</v>
      </c>
      <c r="AH515" s="183">
        <v>0</v>
      </c>
      <c r="AI515" s="183">
        <v>0</v>
      </c>
      <c r="AJ515" s="181">
        <f>VLOOKUP($I515,'Price List, Weapons &amp; Items'!B:F,5,0)</f>
        <v>0</v>
      </c>
      <c r="AK515" s="181">
        <f t="shared" si="104"/>
        <v>0</v>
      </c>
      <c r="AL515" s="181">
        <f t="shared" si="105"/>
        <v>0</v>
      </c>
      <c r="AM515" s="181">
        <f t="shared" si="106"/>
        <v>0</v>
      </c>
      <c r="AN515" s="180" t="str">
        <f>VLOOKUP($I515,'Price List, Weapons &amp; Items'!B:L,COLUMN('Price List, Weapons &amp; Items'!$J$11)-1,0)</f>
        <v>Online marketplaces and stores</v>
      </c>
      <c r="AO515" s="180" t="str">
        <f>IF(I515=".",".",VLOOKUP($I515,'Price List, Weapons &amp; Items'!B:J,3,0))</f>
        <v>Military equipment</v>
      </c>
      <c r="AP515" s="545" t="str">
        <f t="shared" ref="AP515:AP578" ca="1" si="113">IF(AD515=1,_xlfn.ARRAYTOTEXT(OFFSET(I515,0,0,COUNTIF(A:A,A515),1)),"")</f>
        <v/>
      </c>
      <c r="AQ515" s="180">
        <f>VLOOKUP($I515,'Price List, Weapons &amp; Items'!B:L,COLUMN('Price List, Weapons &amp; Items'!$L$11)-1,0)</f>
        <v>1</v>
      </c>
      <c r="AR515" s="180">
        <f t="shared" si="107"/>
        <v>1</v>
      </c>
      <c r="AS515" s="180">
        <f t="shared" si="108"/>
        <v>1</v>
      </c>
      <c r="AT515" s="180" t="str">
        <f t="shared" si="109"/>
        <v>Value is not in date format</v>
      </c>
      <c r="AU515" s="180" t="str">
        <f t="shared" si="111"/>
        <v>.</v>
      </c>
      <c r="AV515" s="180" t="str">
        <f t="shared" si="112"/>
        <v>.</v>
      </c>
      <c r="AW515" s="180">
        <f>IFERROR(VLOOKUP(B515,'Share, Heavy Weapons to Ukraine'!B:J,COLUMN('Share, Heavy Weapons to Ukraine'!C524)-1,0),0)</f>
        <v>0</v>
      </c>
      <c r="AX515" s="180">
        <f>VLOOKUP('Bilateral Assistance, MAIN DATA'!B515,'Country Summary'!B:F,COLUMN('Country Summary'!C527)-1,FALSE)</f>
        <v>1</v>
      </c>
      <c r="AY515" s="180" t="str">
        <f>IF(AND(AD515=1,D515="Military",H515&lt;&gt;"Not given")=TRUE,IF(SUMIFS(P:P,A:A,A515)&gt;0,ABS((SUMIFS(P:P,A:A,A515)/VLOOKUP("USD",'Exchange Rates'!B:C,2,0)))/S515,"."),".")</f>
        <v>.</v>
      </c>
      <c r="AZ515" s="182" t="str">
        <f>IF(AND(AD515=1,D515="Military",H515&lt;&gt;"Not given")=TRUE,IF(SUMIFS(P:P,A:A,A515)&gt;0,IF((ABS((SUMIFS(P:P,A:A,A515)/VLOOKUP("USD",'Exchange Rates'!B:C,2,0)))/S515)&gt;1,(SUMIFS(P:P,A:A,A515)-S515)/S515,(S515-SUMIFS(P:P,A:A,A515))/SUMIFS(P:P,A:A,A515)),"."),".")</f>
        <v>.</v>
      </c>
      <c r="BA515" s="182"/>
      <c r="BB515" s="182"/>
      <c r="BC515" s="182"/>
      <c r="BD515" s="182"/>
      <c r="BE515" s="182"/>
      <c r="BF515" s="182"/>
      <c r="BG515" s="182"/>
      <c r="BH515" s="182"/>
      <c r="BI515" s="182"/>
      <c r="BJ515" s="182"/>
      <c r="BK515" s="182"/>
      <c r="BL515" s="182"/>
      <c r="BM515" s="182"/>
      <c r="BN515" s="182"/>
      <c r="BO515" s="182"/>
      <c r="BP515" s="182"/>
      <c r="BQ515" s="182"/>
      <c r="BR515" s="182"/>
      <c r="BS515" s="182"/>
    </row>
    <row r="516" spans="1:71" ht="15.9" customHeight="1" x14ac:dyDescent="0.3">
      <c r="A516" s="5" t="s">
        <v>1573</v>
      </c>
      <c r="B516" s="5" t="s">
        <v>1288</v>
      </c>
      <c r="C516" s="174" t="s">
        <v>1574</v>
      </c>
      <c r="D516" s="5" t="s">
        <v>285</v>
      </c>
      <c r="E516" s="5" t="s">
        <v>1328</v>
      </c>
      <c r="F516" s="1139" t="s">
        <v>1575</v>
      </c>
      <c r="G516" s="15" t="s">
        <v>364</v>
      </c>
      <c r="H516" s="176" t="s">
        <v>341</v>
      </c>
      <c r="I516" s="185" t="s">
        <v>260</v>
      </c>
      <c r="J516" s="113" t="str">
        <f>VLOOKUP($I516,'Price List, Weapons &amp; Items'!B:C,2,0)</f>
        <v>.</v>
      </c>
      <c r="K516" s="113" t="str">
        <f>IF(I516=".",I516,VLOOKUP($I516,'Price List, Weapons &amp; Items'!B:D,3,0))</f>
        <v>.</v>
      </c>
      <c r="L516" s="177">
        <f>VLOOKUP(I516,'Price List, Weapons &amp; Items'!B:E,4,0)</f>
        <v>0</v>
      </c>
      <c r="M516" s="542" t="s">
        <v>260</v>
      </c>
      <c r="N516" s="542" t="s">
        <v>260</v>
      </c>
      <c r="O516" s="543" t="str">
        <f>VLOOKUP($I516,'Price List, Weapons &amp; Items'!B:G,6,0)</f>
        <v>.</v>
      </c>
      <c r="P516" s="176" t="str">
        <f t="shared" si="102"/>
        <v>.</v>
      </c>
      <c r="Q516" s="176" t="str">
        <f t="shared" si="103"/>
        <v>.</v>
      </c>
      <c r="R516" s="176" t="str">
        <f t="shared" si="110"/>
        <v>.</v>
      </c>
      <c r="S516" s="176" t="str">
        <f>IF(AND(AD516=1,R516&lt;&gt;".")=TRUE,R516/VLOOKUP(G516,'Exchange Rates'!B:C,2,0),IF(R516=".",".",""))</f>
        <v>.</v>
      </c>
      <c r="T516" s="176" t="str">
        <f>IF(AD516=1,IF(AF516="Value is not given at all",".",IF(AF516="Value is given by the source",S516,IF(AF516="Value is calculated with prices",(IF(SUMIFS(Q:Q,A:A,A516)&gt;0,SUMIFS(Q:Q,A:A,A516),"."))/VLOOKUP("USD",'Exchange Rates'!B:C,2,0),"Error with coding"))),"")</f>
        <v>.</v>
      </c>
      <c r="U516" s="15" t="s">
        <v>261</v>
      </c>
      <c r="V516" s="567" t="s">
        <v>1562</v>
      </c>
      <c r="W516" s="685" t="s">
        <v>260</v>
      </c>
      <c r="X516" s="685" t="s">
        <v>260</v>
      </c>
      <c r="Y516" s="685" t="s">
        <v>260</v>
      </c>
      <c r="Z516" s="15">
        <v>0</v>
      </c>
      <c r="AA516" s="180">
        <v>1</v>
      </c>
      <c r="AB516" s="570" t="s">
        <v>1576</v>
      </c>
      <c r="AC516" s="544" t="str">
        <f>""</f>
        <v/>
      </c>
      <c r="AD516" s="183">
        <v>1</v>
      </c>
      <c r="AE516" s="183" t="s">
        <v>265</v>
      </c>
      <c r="AF516" s="183" t="s">
        <v>265</v>
      </c>
      <c r="AG516" s="183">
        <v>0</v>
      </c>
      <c r="AH516" s="183">
        <v>0</v>
      </c>
      <c r="AI516" s="183">
        <v>0</v>
      </c>
      <c r="AJ516" s="181">
        <f>VLOOKUP($I516,'Price List, Weapons &amp; Items'!B:F,5,0)</f>
        <v>0</v>
      </c>
      <c r="AK516" s="181">
        <f t="shared" si="104"/>
        <v>0</v>
      </c>
      <c r="AL516" s="181">
        <f t="shared" si="105"/>
        <v>0</v>
      </c>
      <c r="AM516" s="181">
        <f t="shared" si="106"/>
        <v>0</v>
      </c>
      <c r="AN516" s="180" t="str">
        <f>VLOOKUP($I516,'Price List, Weapons &amp; Items'!B:L,COLUMN('Price List, Weapons &amp; Items'!$J$11)-1,0)</f>
        <v>.</v>
      </c>
      <c r="AO516" s="180" t="str">
        <f>IF(I516=".",".",VLOOKUP($I516,'Price List, Weapons &amp; Items'!B:J,3,0))</f>
        <v>.</v>
      </c>
      <c r="AP516" s="545" t="e">
        <f t="shared" ca="1" si="113"/>
        <v>#NAME?</v>
      </c>
      <c r="AQ516" s="180" t="str">
        <f>VLOOKUP($I516,'Price List, Weapons &amp; Items'!B:L,COLUMN('Price List, Weapons &amp; Items'!$L$11)-1,0)</f>
        <v>no price, 0 count</v>
      </c>
      <c r="AR516" s="180">
        <f t="shared" si="107"/>
        <v>1</v>
      </c>
      <c r="AS516" s="180">
        <f t="shared" si="108"/>
        <v>1</v>
      </c>
      <c r="AT516" s="180" t="str">
        <f t="shared" si="109"/>
        <v>Value is not in date format</v>
      </c>
      <c r="AU516" s="180" t="str">
        <f t="shared" si="111"/>
        <v>.</v>
      </c>
      <c r="AV516" s="180" t="str">
        <f t="shared" si="112"/>
        <v>.</v>
      </c>
      <c r="AW516" s="180">
        <f>IFERROR(VLOOKUP(B516,'Share, Heavy Weapons to Ukraine'!B:J,COLUMN('Share, Heavy Weapons to Ukraine'!C525)-1,0),0)</f>
        <v>0</v>
      </c>
      <c r="AX516" s="180">
        <f>VLOOKUP('Bilateral Assistance, MAIN DATA'!B516,'Country Summary'!B:F,COLUMN('Country Summary'!C528)-1,FALSE)</f>
        <v>1</v>
      </c>
      <c r="AY516" s="180" t="str">
        <f>IF(AND(AD516=1,D516="Military",H516&lt;&gt;"Not given")=TRUE,IF(SUMIFS(P:P,A:A,A516)&gt;0,ABS((SUMIFS(P:P,A:A,A516)/VLOOKUP("USD",'Exchange Rates'!B:C,2,0)))/S516,"."),".")</f>
        <v>.</v>
      </c>
      <c r="AZ516" s="182" t="str">
        <f>IF(AND(AD516=1,D516="Military",H516&lt;&gt;"Not given")=TRUE,IF(SUMIFS(P:P,A:A,A516)&gt;0,IF((ABS((SUMIFS(P:P,A:A,A516)/VLOOKUP("USD",'Exchange Rates'!B:C,2,0)))/S516)&gt;1,(SUMIFS(P:P,A:A,A516)-S516)/S516,(S516-SUMIFS(P:P,A:A,A516))/SUMIFS(P:P,A:A,A516)),"."),".")</f>
        <v>.</v>
      </c>
      <c r="BA516" s="182"/>
      <c r="BB516" s="182"/>
      <c r="BC516" s="182"/>
      <c r="BD516" s="182"/>
      <c r="BE516" s="182"/>
      <c r="BF516" s="182"/>
      <c r="BG516" s="182"/>
      <c r="BH516" s="182"/>
      <c r="BI516" s="182"/>
      <c r="BJ516" s="182"/>
      <c r="BK516" s="182"/>
      <c r="BL516" s="182"/>
      <c r="BM516" s="182"/>
      <c r="BN516" s="182"/>
      <c r="BO516" s="182"/>
      <c r="BP516" s="182"/>
      <c r="BQ516" s="182"/>
      <c r="BR516" s="182"/>
      <c r="BS516" s="182"/>
    </row>
    <row r="517" spans="1:71" ht="15.9" customHeight="1" x14ac:dyDescent="0.3">
      <c r="A517" s="17" t="s">
        <v>1577</v>
      </c>
      <c r="B517" s="5" t="s">
        <v>1288</v>
      </c>
      <c r="C517" s="174" t="s">
        <v>1574</v>
      </c>
      <c r="D517" s="5" t="s">
        <v>285</v>
      </c>
      <c r="E517" s="5" t="s">
        <v>1328</v>
      </c>
      <c r="F517" s="1139" t="s">
        <v>1578</v>
      </c>
      <c r="G517" s="15" t="s">
        <v>364</v>
      </c>
      <c r="H517" s="176" t="s">
        <v>341</v>
      </c>
      <c r="I517" s="17" t="s">
        <v>1579</v>
      </c>
      <c r="J517" s="113" t="str">
        <f>VLOOKUP($I517,'Price List, Weapons &amp; Items'!B:C,2,0)</f>
        <v>Heavy weapon</v>
      </c>
      <c r="K517" s="113" t="str">
        <f>IF(I517=".",I517,VLOOKUP($I517,'Price List, Weapons &amp; Items'!B:D,3,0))</f>
        <v>Anti-aircraft surface-to-air missile (SAM) system (long-range)</v>
      </c>
      <c r="L517" s="177">
        <f>VLOOKUP(I517,'Price List, Weapons &amp; Items'!B:E,4,0)</f>
        <v>0</v>
      </c>
      <c r="M517" s="542">
        <v>1</v>
      </c>
      <c r="N517" s="542">
        <v>0</v>
      </c>
      <c r="O517" s="543">
        <f>VLOOKUP($I517,'Price List, Weapons &amp; Items'!B:G,6,0)</f>
        <v>400000000</v>
      </c>
      <c r="P517" s="176">
        <f t="shared" si="102"/>
        <v>400000000</v>
      </c>
      <c r="Q517" s="176">
        <f t="shared" si="103"/>
        <v>0</v>
      </c>
      <c r="R517" s="176">
        <f t="shared" si="110"/>
        <v>400000000</v>
      </c>
      <c r="S517" s="176">
        <f>IF(AND(AD517=1,R517&lt;&gt;".")=TRUE,R517/VLOOKUP(G517,'Exchange Rates'!B:C,2,0),IF(R517=".",".",""))</f>
        <v>400000000</v>
      </c>
      <c r="T517" s="176" t="str">
        <f>IF(AD517=1,IF(AF517="Value is not given at all",".",IF(AF517="Value is given by the source",S517,IF(AF517="Value is calculated with prices",(IF(SUMIFS(Q:Q,A:A,A517)&gt;0,SUMIFS(Q:Q,A:A,A517),"."))/VLOOKUP("USD",'Exchange Rates'!B:C,2,0),"Error with coding"))),"")</f>
        <v>.</v>
      </c>
      <c r="U517" s="15" t="s">
        <v>261</v>
      </c>
      <c r="V517" s="567" t="s">
        <v>1566</v>
      </c>
      <c r="W517" s="685" t="s">
        <v>260</v>
      </c>
      <c r="X517" s="685" t="s">
        <v>260</v>
      </c>
      <c r="Y517" s="685" t="s">
        <v>260</v>
      </c>
      <c r="Z517" s="15">
        <v>0</v>
      </c>
      <c r="AA517" s="180">
        <v>1</v>
      </c>
      <c r="AB517" s="570" t="s">
        <v>1580</v>
      </c>
      <c r="AC517" s="544" t="str">
        <f>""</f>
        <v/>
      </c>
      <c r="AD517" s="183">
        <v>1</v>
      </c>
      <c r="AE517" s="183" t="s">
        <v>265</v>
      </c>
      <c r="AF517" s="183" t="s">
        <v>265</v>
      </c>
      <c r="AG517" s="183">
        <v>1</v>
      </c>
      <c r="AH517" s="183">
        <v>13</v>
      </c>
      <c r="AI517" s="183">
        <v>0</v>
      </c>
      <c r="AJ517" s="181">
        <f>VLOOKUP($I517,'Price List, Weapons &amp; Items'!B:F,5,0)</f>
        <v>1</v>
      </c>
      <c r="AK517" s="181">
        <f t="shared" si="104"/>
        <v>0</v>
      </c>
      <c r="AL517" s="181">
        <f t="shared" si="105"/>
        <v>0</v>
      </c>
      <c r="AM517" s="181">
        <f t="shared" si="106"/>
        <v>0</v>
      </c>
      <c r="AN517" s="180" t="str">
        <f>VLOOKUP($I517,'Price List, Weapons &amp; Items'!B:L,COLUMN('Price List, Weapons &amp; Items'!$J$11)-1,0)</f>
        <v>Military media (incl. websites)</v>
      </c>
      <c r="AO517" s="180" t="str">
        <f>IF(I517=".",".",VLOOKUP($I517,'Price List, Weapons &amp; Items'!B:J,3,0))</f>
        <v>Anti-aircraft surface-to-air missile (SAM) system (long-range)</v>
      </c>
      <c r="AP517" s="545" t="e">
        <f t="shared" ca="1" si="113"/>
        <v>#NAME?</v>
      </c>
      <c r="AQ517" s="180">
        <f>VLOOKUP($I517,'Price List, Weapons &amp; Items'!B:L,COLUMN('Price List, Weapons &amp; Items'!$L$11)-1,0)</f>
        <v>2</v>
      </c>
      <c r="AR517" s="180">
        <f t="shared" si="107"/>
        <v>1</v>
      </c>
      <c r="AS517" s="180">
        <f t="shared" si="108"/>
        <v>1</v>
      </c>
      <c r="AT517" s="180" t="str">
        <f t="shared" si="109"/>
        <v>Value is not in date format</v>
      </c>
      <c r="AU517" s="180" t="str">
        <f t="shared" si="111"/>
        <v>.</v>
      </c>
      <c r="AV517" s="180" t="str">
        <f t="shared" si="112"/>
        <v>.</v>
      </c>
      <c r="AW517" s="180">
        <f>IFERROR(VLOOKUP(B517,'Share, Heavy Weapons to Ukraine'!B:J,COLUMN('Share, Heavy Weapons to Ukraine'!C526)-1,0),0)</f>
        <v>0</v>
      </c>
      <c r="AX517" s="180">
        <f>VLOOKUP('Bilateral Assistance, MAIN DATA'!B517,'Country Summary'!B:F,COLUMN('Country Summary'!C529)-1,FALSE)</f>
        <v>1</v>
      </c>
      <c r="AY517" s="180" t="str">
        <f>IF(AND(AD517=1,D517="Military",H517&lt;&gt;"Not given")=TRUE,IF(SUMIFS(P:P,A:A,A517)&gt;0,ABS((SUMIFS(P:P,A:A,A517)/VLOOKUP("USD",'Exchange Rates'!B:C,2,0)))/S517,"."),".")</f>
        <v>.</v>
      </c>
      <c r="AZ517" s="182" t="str">
        <f>IF(AND(AD517=1,D517="Military",H517&lt;&gt;"Not given")=TRUE,IF(SUMIFS(P:P,A:A,A517)&gt;0,IF((ABS((SUMIFS(P:P,A:A,A517)/VLOOKUP("USD",'Exchange Rates'!B:C,2,0)))/S517)&gt;1,(SUMIFS(P:P,A:A,A517)-S517)/S517,(S517-SUMIFS(P:P,A:A,A517))/SUMIFS(P:P,A:A,A517)),"."),".")</f>
        <v>.</v>
      </c>
      <c r="BA517" s="182"/>
      <c r="BB517" s="182"/>
      <c r="BC517" s="182"/>
      <c r="BD517" s="182"/>
      <c r="BE517" s="182"/>
      <c r="BF517" s="182"/>
      <c r="BG517" s="182"/>
      <c r="BH517" s="182"/>
      <c r="BI517" s="182"/>
      <c r="BJ517" s="182"/>
      <c r="BK517" s="182"/>
      <c r="BL517" s="182"/>
      <c r="BM517" s="182"/>
      <c r="BN517" s="182"/>
      <c r="BO517" s="182"/>
      <c r="BP517" s="182"/>
      <c r="BQ517" s="182"/>
      <c r="BR517" s="182"/>
      <c r="BS517" s="182"/>
    </row>
    <row r="518" spans="1:71" ht="15.9" customHeight="1" x14ac:dyDescent="0.3">
      <c r="A518" s="17" t="s">
        <v>1577</v>
      </c>
      <c r="B518" s="5" t="s">
        <v>1288</v>
      </c>
      <c r="C518" s="174" t="s">
        <v>1574</v>
      </c>
      <c r="D518" s="5" t="s">
        <v>285</v>
      </c>
      <c r="E518" s="5" t="s">
        <v>1328</v>
      </c>
      <c r="F518" s="1139" t="s">
        <v>1578</v>
      </c>
      <c r="G518" s="15" t="s">
        <v>364</v>
      </c>
      <c r="H518" s="176" t="s">
        <v>341</v>
      </c>
      <c r="I518" s="17" t="s">
        <v>1581</v>
      </c>
      <c r="J518" s="113" t="str">
        <f>VLOOKUP($I518,'Price List, Weapons &amp; Items'!B:C,2,0)</f>
        <v>Heavy weapon</v>
      </c>
      <c r="K518" s="113" t="str">
        <f>IF(I518=".",I518,VLOOKUP($I518,'Price List, Weapons &amp; Items'!B:D,3,0))</f>
        <v>Surface-to-air missile (SAM)</v>
      </c>
      <c r="L518" s="177">
        <f>VLOOKUP(I518,'Price List, Weapons &amp; Items'!B:E,4,0)</f>
        <v>0</v>
      </c>
      <c r="M518" s="542" t="s">
        <v>270</v>
      </c>
      <c r="N518" s="542" t="s">
        <v>270</v>
      </c>
      <c r="O518" s="543">
        <f>VLOOKUP($I518,'Price List, Weapons &amp; Items'!B:G,6,0)</f>
        <v>3000000</v>
      </c>
      <c r="P518" s="176" t="str">
        <f t="shared" si="102"/>
        <v>.</v>
      </c>
      <c r="Q518" s="176" t="str">
        <f t="shared" si="103"/>
        <v>.</v>
      </c>
      <c r="R518" s="176" t="str">
        <f t="shared" si="110"/>
        <v/>
      </c>
      <c r="S518" s="176" t="str">
        <f>IF(AND(AD518=1,R518&lt;&gt;".")=TRUE,R518/VLOOKUP(G518,'Exchange Rates'!B:C,2,0),IF(R518=".",".",""))</f>
        <v/>
      </c>
      <c r="T518" s="176" t="str">
        <f>IF(AD518=1,IF(AF518="Value is not given at all",".",IF(AF518="Value is given by the source",S518,IF(AF518="Value is calculated with prices",(IF(SUMIFS(Q:Q,A:A,A518)&gt;0,SUMIFS(Q:Q,A:A,A518),"."))/VLOOKUP("USD",'Exchange Rates'!B:C,2,0),"Error with coding"))),"")</f>
        <v/>
      </c>
      <c r="U518" s="15" t="s">
        <v>261</v>
      </c>
      <c r="V518" s="567" t="s">
        <v>1568</v>
      </c>
      <c r="W518" s="685" t="s">
        <v>260</v>
      </c>
      <c r="X518" s="685" t="s">
        <v>260</v>
      </c>
      <c r="Y518" s="685" t="s">
        <v>260</v>
      </c>
      <c r="Z518" s="15">
        <v>0</v>
      </c>
      <c r="AA518" s="180">
        <v>1</v>
      </c>
      <c r="AB518" s="570" t="s">
        <v>1582</v>
      </c>
      <c r="AC518" s="544" t="str">
        <f>""</f>
        <v/>
      </c>
      <c r="AD518" s="183">
        <v>0</v>
      </c>
      <c r="AE518" s="183" t="s">
        <v>265</v>
      </c>
      <c r="AF518" s="183" t="s">
        <v>265</v>
      </c>
      <c r="AG518" s="183">
        <v>1</v>
      </c>
      <c r="AH518" s="183">
        <v>13</v>
      </c>
      <c r="AI518" s="183">
        <v>0</v>
      </c>
      <c r="AJ518" s="181">
        <f>VLOOKUP($I518,'Price List, Weapons &amp; Items'!B:F,5,0)</f>
        <v>1</v>
      </c>
      <c r="AK518" s="181">
        <f t="shared" si="104"/>
        <v>1</v>
      </c>
      <c r="AL518" s="181">
        <f t="shared" si="105"/>
        <v>1</v>
      </c>
      <c r="AM518" s="181">
        <f t="shared" si="106"/>
        <v>0</v>
      </c>
      <c r="AN518" s="180" t="str">
        <f>VLOOKUP($I518,'Price List, Weapons &amp; Items'!B:L,COLUMN('Price List, Weapons &amp; Items'!$J$11)-1,0)</f>
        <v>Media reports (incl. social media)</v>
      </c>
      <c r="AO518" s="180" t="str">
        <f>IF(I518=".",".",VLOOKUP($I518,'Price List, Weapons &amp; Items'!B:J,3,0))</f>
        <v>Surface-to-air missile (SAM)</v>
      </c>
      <c r="AP518" s="545" t="str">
        <f t="shared" ca="1" si="113"/>
        <v/>
      </c>
      <c r="AQ518" s="180" t="str">
        <f>VLOOKUP($I518,'Price List, Weapons &amp; Items'!B:L,COLUMN('Price List, Weapons &amp; Items'!$L$11)-1,0)</f>
        <v>no price, 0 count</v>
      </c>
      <c r="AR518" s="180">
        <f t="shared" si="107"/>
        <v>1</v>
      </c>
      <c r="AS518" s="180">
        <f t="shared" si="108"/>
        <v>1</v>
      </c>
      <c r="AT518" s="180" t="str">
        <f t="shared" si="109"/>
        <v>Value is not in date format</v>
      </c>
      <c r="AU518" s="180" t="str">
        <f t="shared" si="111"/>
        <v>.</v>
      </c>
      <c r="AV518" s="180" t="str">
        <f t="shared" si="112"/>
        <v>.</v>
      </c>
      <c r="AW518" s="180">
        <f>IFERROR(VLOOKUP(B518,'Share, Heavy Weapons to Ukraine'!B:J,COLUMN('Share, Heavy Weapons to Ukraine'!C527)-1,0),0)</f>
        <v>0</v>
      </c>
      <c r="AX518" s="180">
        <f>VLOOKUP('Bilateral Assistance, MAIN DATA'!B518,'Country Summary'!B:F,COLUMN('Country Summary'!C530)-1,FALSE)</f>
        <v>1</v>
      </c>
      <c r="AY518" s="180" t="str">
        <f>IF(AND(AD518=1,D518="Military",H518&lt;&gt;"Not given")=TRUE,IF(SUMIFS(P:P,A:A,A518)&gt;0,ABS((SUMIFS(P:P,A:A,A518)/VLOOKUP("USD",'Exchange Rates'!B:C,2,0)))/S518,"."),".")</f>
        <v>.</v>
      </c>
      <c r="AZ518" s="182" t="str">
        <f>IF(AND(AD518=1,D518="Military",H518&lt;&gt;"Not given")=TRUE,IF(SUMIFS(P:P,A:A,A518)&gt;0,IF((ABS((SUMIFS(P:P,A:A,A518)/VLOOKUP("USD",'Exchange Rates'!B:C,2,0)))/S518)&gt;1,(SUMIFS(P:P,A:A,A518)-S518)/S518,(S518-SUMIFS(P:P,A:A,A518))/SUMIFS(P:P,A:A,A518)),"."),".")</f>
        <v>.</v>
      </c>
      <c r="BA518" s="182"/>
      <c r="BB518" s="182"/>
      <c r="BC518" s="182"/>
      <c r="BD518" s="182"/>
      <c r="BE518" s="182"/>
      <c r="BF518" s="182"/>
      <c r="BG518" s="182"/>
      <c r="BH518" s="182"/>
      <c r="BI518" s="182"/>
      <c r="BJ518" s="182"/>
      <c r="BK518" s="182"/>
      <c r="BL518" s="182"/>
      <c r="BM518" s="182"/>
      <c r="BN518" s="182"/>
      <c r="BO518" s="182"/>
      <c r="BP518" s="182"/>
      <c r="BQ518" s="182"/>
      <c r="BR518" s="182"/>
      <c r="BS518" s="182"/>
    </row>
    <row r="519" spans="1:71" ht="15.9" customHeight="1" x14ac:dyDescent="0.3">
      <c r="A519" s="17" t="s">
        <v>1583</v>
      </c>
      <c r="B519" s="5" t="s">
        <v>1288</v>
      </c>
      <c r="C519" s="174" t="s">
        <v>1574</v>
      </c>
      <c r="D519" s="5" t="s">
        <v>285</v>
      </c>
      <c r="E519" s="5" t="s">
        <v>1328</v>
      </c>
      <c r="F519" s="1139" t="s">
        <v>1584</v>
      </c>
      <c r="G519" s="15" t="s">
        <v>364</v>
      </c>
      <c r="H519" s="176" t="s">
        <v>341</v>
      </c>
      <c r="I519" s="185" t="s">
        <v>1585</v>
      </c>
      <c r="J519" s="113" t="str">
        <f>VLOOKUP($I519,'Price List, Weapons &amp; Items'!B:C,2,0)</f>
        <v>Military equipment</v>
      </c>
      <c r="K519" s="113" t="str">
        <f>IF(I519=".",I519,VLOOKUP($I519,'Price List, Weapons &amp; Items'!B:D,3,0))</f>
        <v>Infantry fighting vehicle (IFV)</v>
      </c>
      <c r="L519" s="177">
        <f>VLOOKUP(I519,'Price List, Weapons &amp; Items'!B:E,4,0)</f>
        <v>0</v>
      </c>
      <c r="M519" s="542">
        <v>40</v>
      </c>
      <c r="N519" s="542">
        <v>0</v>
      </c>
      <c r="O519" s="543">
        <f>VLOOKUP($I519,'Price List, Weapons &amp; Items'!B:G,6,0)</f>
        <v>1530000</v>
      </c>
      <c r="P519" s="176">
        <f t="shared" si="102"/>
        <v>61200000</v>
      </c>
      <c r="Q519" s="176">
        <f t="shared" si="103"/>
        <v>0</v>
      </c>
      <c r="R519" s="176">
        <f t="shared" si="110"/>
        <v>61200000</v>
      </c>
      <c r="S519" s="176">
        <f>IF(AND(AD519=1,R519&lt;&gt;".")=TRUE,R519/VLOOKUP(G519,'Exchange Rates'!B:C,2,0),IF(R519=".",".",""))</f>
        <v>61200000</v>
      </c>
      <c r="T519" s="176" t="str">
        <f>IF(AD519=1,IF(AF519="Value is not given at all",".",IF(AF519="Value is given by the source",S519,IF(AF519="Value is calculated with prices",(IF(SUMIFS(Q:Q,A:A,A519)&gt;0,SUMIFS(Q:Q,A:A,A519),"."))/VLOOKUP("USD",'Exchange Rates'!B:C,2,0),"Error with coding"))),"")</f>
        <v>.</v>
      </c>
      <c r="U519" s="15" t="s">
        <v>261</v>
      </c>
      <c r="V519" s="567" t="s">
        <v>1576</v>
      </c>
      <c r="W519" s="685" t="s">
        <v>260</v>
      </c>
      <c r="X519" s="685" t="s">
        <v>260</v>
      </c>
      <c r="Y519" s="685" t="s">
        <v>260</v>
      </c>
      <c r="Z519" s="15">
        <v>0</v>
      </c>
      <c r="AA519" s="180">
        <v>1</v>
      </c>
      <c r="AB519" s="570" t="s">
        <v>1586</v>
      </c>
      <c r="AC519" s="544" t="str">
        <f>""</f>
        <v/>
      </c>
      <c r="AD519" s="183">
        <v>1</v>
      </c>
      <c r="AE519" s="183" t="s">
        <v>265</v>
      </c>
      <c r="AF519" s="183" t="s">
        <v>265</v>
      </c>
      <c r="AG519" s="183">
        <v>1</v>
      </c>
      <c r="AH519" s="183">
        <v>13</v>
      </c>
      <c r="AI519" s="183">
        <v>0</v>
      </c>
      <c r="AJ519" s="181">
        <f>VLOOKUP($I519,'Price List, Weapons &amp; Items'!B:F,5,0)</f>
        <v>0</v>
      </c>
      <c r="AK519" s="181">
        <f t="shared" si="104"/>
        <v>0</v>
      </c>
      <c r="AL519" s="181">
        <f t="shared" si="105"/>
        <v>0</v>
      </c>
      <c r="AM519" s="181">
        <f t="shared" si="106"/>
        <v>0</v>
      </c>
      <c r="AN519" s="180" t="str">
        <f>VLOOKUP($I519,'Price List, Weapons &amp; Items'!B:L,COLUMN('Price List, Weapons &amp; Items'!$J$11)-1,0)</f>
        <v>Media reports (incl. social media)</v>
      </c>
      <c r="AO519" s="180" t="str">
        <f>IF(I519=".",".",VLOOKUP($I519,'Price List, Weapons &amp; Items'!B:J,3,0))</f>
        <v>Infantry fighting vehicle (IFV)</v>
      </c>
      <c r="AP519" s="545" t="e">
        <f t="shared" ca="1" si="113"/>
        <v>#NAME?</v>
      </c>
      <c r="AQ519" s="180">
        <f>VLOOKUP($I519,'Price List, Weapons &amp; Items'!B:L,COLUMN('Price List, Weapons &amp; Items'!$L$11)-1,0)</f>
        <v>2</v>
      </c>
      <c r="AR519" s="180">
        <f t="shared" si="107"/>
        <v>1</v>
      </c>
      <c r="AS519" s="180">
        <f t="shared" si="108"/>
        <v>1</v>
      </c>
      <c r="AT519" s="180" t="str">
        <f t="shared" si="109"/>
        <v>Value is not in date format</v>
      </c>
      <c r="AU519" s="180" t="str">
        <f t="shared" si="111"/>
        <v>.</v>
      </c>
      <c r="AV519" s="180" t="str">
        <f t="shared" si="112"/>
        <v>.</v>
      </c>
      <c r="AW519" s="180">
        <f>IFERROR(VLOOKUP(B519,'Share, Heavy Weapons to Ukraine'!B:J,COLUMN('Share, Heavy Weapons to Ukraine'!C528)-1,0),0)</f>
        <v>0</v>
      </c>
      <c r="AX519" s="180">
        <f>VLOOKUP('Bilateral Assistance, MAIN DATA'!B519,'Country Summary'!B:F,COLUMN('Country Summary'!C531)-1,FALSE)</f>
        <v>1</v>
      </c>
      <c r="AY519" s="180" t="str">
        <f>IF(AND(AD519=1,D519="Military",H519&lt;&gt;"Not given")=TRUE,IF(SUMIFS(P:P,A:A,A519)&gt;0,ABS((SUMIFS(P:P,A:A,A519)/VLOOKUP("USD",'Exchange Rates'!B:C,2,0)))/S519,"."),".")</f>
        <v>.</v>
      </c>
      <c r="AZ519" s="182" t="str">
        <f>IF(AND(AD519=1,D519="Military",H519&lt;&gt;"Not given")=TRUE,IF(SUMIFS(P:P,A:A,A519)&gt;0,IF((ABS((SUMIFS(P:P,A:A,A519)/VLOOKUP("USD",'Exchange Rates'!B:C,2,0)))/S519)&gt;1,(SUMIFS(P:P,A:A,A519)-S519)/S519,(S519-SUMIFS(P:P,A:A,A519))/SUMIFS(P:P,A:A,A519)),"."),".")</f>
        <v>.</v>
      </c>
      <c r="BA519" s="182"/>
      <c r="BB519" s="182"/>
      <c r="BC519" s="182"/>
      <c r="BD519" s="182"/>
      <c r="BE519" s="182"/>
      <c r="BF519" s="182"/>
      <c r="BG519" s="182"/>
      <c r="BH519" s="182"/>
      <c r="BI519" s="182"/>
      <c r="BJ519" s="182"/>
      <c r="BK519" s="182"/>
      <c r="BL519" s="182"/>
      <c r="BM519" s="182"/>
      <c r="BN519" s="182"/>
      <c r="BO519" s="182"/>
      <c r="BP519" s="182"/>
      <c r="BQ519" s="182"/>
      <c r="BR519" s="182"/>
      <c r="BS519" s="182"/>
    </row>
    <row r="520" spans="1:71" ht="15.9" customHeight="1" x14ac:dyDescent="0.3">
      <c r="A520" s="17" t="s">
        <v>1583</v>
      </c>
      <c r="B520" s="5" t="s">
        <v>1288</v>
      </c>
      <c r="C520" s="174" t="s">
        <v>1574</v>
      </c>
      <c r="D520" s="5" t="s">
        <v>285</v>
      </c>
      <c r="E520" s="5" t="s">
        <v>1328</v>
      </c>
      <c r="F520" s="1139" t="s">
        <v>1584</v>
      </c>
      <c r="G520" s="15" t="s">
        <v>364</v>
      </c>
      <c r="H520" s="176" t="s">
        <v>341</v>
      </c>
      <c r="I520" s="185" t="s">
        <v>1587</v>
      </c>
      <c r="J520" s="113" t="str">
        <f>VLOOKUP($I520,'Price List, Weapons &amp; Items'!B:C,2,0)</f>
        <v>Military equipment</v>
      </c>
      <c r="K520" s="113" t="str">
        <f>IF(I520=".",I520,VLOOKUP($I520,'Price List, Weapons &amp; Items'!B:D,3,0))</f>
        <v>Military equipment</v>
      </c>
      <c r="L520" s="177">
        <f>VLOOKUP(I520,'Price List, Weapons &amp; Items'!B:E,4,0)</f>
        <v>0</v>
      </c>
      <c r="M520" s="542" t="s">
        <v>270</v>
      </c>
      <c r="N520" s="542" t="s">
        <v>270</v>
      </c>
      <c r="O520" s="543" t="str">
        <f>VLOOKUP($I520,'Price List, Weapons &amp; Items'!B:G,6,0)</f>
        <v>.</v>
      </c>
      <c r="P520" s="176" t="str">
        <f t="shared" si="102"/>
        <v>.</v>
      </c>
      <c r="Q520" s="176" t="str">
        <f t="shared" si="103"/>
        <v>.</v>
      </c>
      <c r="R520" s="176" t="str">
        <f t="shared" si="110"/>
        <v/>
      </c>
      <c r="S520" s="176" t="str">
        <f>IF(AND(AD520=1,R520&lt;&gt;".")=TRUE,R520/VLOOKUP(G520,'Exchange Rates'!B:C,2,0),IF(R520=".",".",""))</f>
        <v/>
      </c>
      <c r="T520" s="176" t="str">
        <f>IF(AD520=1,IF(AF520="Value is not given at all",".",IF(AF520="Value is given by the source",S520,IF(AF520="Value is calculated with prices",(IF(SUMIFS(Q:Q,A:A,A520)&gt;0,SUMIFS(Q:Q,A:A,A520),"."))/VLOOKUP("USD",'Exchange Rates'!B:C,2,0),"Error with coding"))),"")</f>
        <v/>
      </c>
      <c r="U520" s="15" t="s">
        <v>261</v>
      </c>
      <c r="V520" s="567" t="s">
        <v>1580</v>
      </c>
      <c r="W520" s="685" t="s">
        <v>260</v>
      </c>
      <c r="X520" s="685" t="s">
        <v>260</v>
      </c>
      <c r="Y520" s="685" t="s">
        <v>260</v>
      </c>
      <c r="Z520" s="15">
        <v>0</v>
      </c>
      <c r="AA520" s="180">
        <v>1</v>
      </c>
      <c r="AB520" s="570" t="s">
        <v>1588</v>
      </c>
      <c r="AC520" s="544" t="str">
        <f>""</f>
        <v/>
      </c>
      <c r="AD520" s="183">
        <v>0</v>
      </c>
      <c r="AE520" s="183" t="s">
        <v>265</v>
      </c>
      <c r="AF520" s="183" t="s">
        <v>265</v>
      </c>
      <c r="AG520" s="183">
        <v>1</v>
      </c>
      <c r="AH520" s="183">
        <v>13</v>
      </c>
      <c r="AI520" s="183">
        <v>0</v>
      </c>
      <c r="AJ520" s="181">
        <f>VLOOKUP($I520,'Price List, Weapons &amp; Items'!B:F,5,0)</f>
        <v>0</v>
      </c>
      <c r="AK520" s="181">
        <f t="shared" si="104"/>
        <v>0</v>
      </c>
      <c r="AL520" s="181">
        <f t="shared" si="105"/>
        <v>0</v>
      </c>
      <c r="AM520" s="181">
        <f t="shared" si="106"/>
        <v>0</v>
      </c>
      <c r="AN520" s="180" t="str">
        <f>VLOOKUP($I520,'Price List, Weapons &amp; Items'!B:L,COLUMN('Price List, Weapons &amp; Items'!$J$11)-1,0)</f>
        <v>.</v>
      </c>
      <c r="AO520" s="180" t="str">
        <f>IF(I520=".",".",VLOOKUP($I520,'Price List, Weapons &amp; Items'!B:J,3,0))</f>
        <v>Military equipment</v>
      </c>
      <c r="AP520" s="545" t="str">
        <f t="shared" ca="1" si="113"/>
        <v/>
      </c>
      <c r="AQ520" s="180" t="str">
        <f>VLOOKUP($I520,'Price List, Weapons &amp; Items'!B:L,COLUMN('Price List, Weapons &amp; Items'!$L$11)-1,0)</f>
        <v>no price, 0 count</v>
      </c>
      <c r="AR520" s="180">
        <f t="shared" si="107"/>
        <v>1</v>
      </c>
      <c r="AS520" s="180">
        <f t="shared" si="108"/>
        <v>1</v>
      </c>
      <c r="AT520" s="180" t="str">
        <f t="shared" si="109"/>
        <v>Value is not in date format</v>
      </c>
      <c r="AU520" s="180" t="str">
        <f t="shared" si="111"/>
        <v>.</v>
      </c>
      <c r="AV520" s="180" t="str">
        <f t="shared" si="112"/>
        <v>.</v>
      </c>
      <c r="AW520" s="180">
        <f>IFERROR(VLOOKUP(B520,'Share, Heavy Weapons to Ukraine'!B:J,COLUMN('Share, Heavy Weapons to Ukraine'!C529)-1,0),0)</f>
        <v>0</v>
      </c>
      <c r="AX520" s="180">
        <f>VLOOKUP('Bilateral Assistance, MAIN DATA'!B520,'Country Summary'!B:F,COLUMN('Country Summary'!C532)-1,FALSE)</f>
        <v>1</v>
      </c>
      <c r="AY520" s="180" t="str">
        <f>IF(AND(AD520=1,D520="Military",H520&lt;&gt;"Not given")=TRUE,IF(SUMIFS(P:P,A:A,A520)&gt;0,ABS((SUMIFS(P:P,A:A,A520)/VLOOKUP("USD",'Exchange Rates'!B:C,2,0)))/S520,"."),".")</f>
        <v>.</v>
      </c>
      <c r="AZ520" s="182" t="str">
        <f>IF(AND(AD520=1,D520="Military",H520&lt;&gt;"Not given")=TRUE,IF(SUMIFS(P:P,A:A,A520)&gt;0,IF((ABS((SUMIFS(P:P,A:A,A520)/VLOOKUP("USD",'Exchange Rates'!B:C,2,0)))/S520)&gt;1,(SUMIFS(P:P,A:A,A520)-S520)/S520,(S520-SUMIFS(P:P,A:A,A520))/SUMIFS(P:P,A:A,A520)),"."),".")</f>
        <v>.</v>
      </c>
      <c r="BA520" s="182"/>
      <c r="BB520" s="182"/>
      <c r="BC520" s="182"/>
      <c r="BD520" s="182"/>
      <c r="BE520" s="182"/>
      <c r="BF520" s="182"/>
      <c r="BG520" s="182"/>
      <c r="BH520" s="182"/>
      <c r="BI520" s="182"/>
      <c r="BJ520" s="182"/>
      <c r="BK520" s="182"/>
      <c r="BL520" s="182"/>
      <c r="BM520" s="182"/>
      <c r="BN520" s="182"/>
      <c r="BO520" s="182"/>
      <c r="BP520" s="182"/>
      <c r="BQ520" s="182"/>
      <c r="BR520" s="182"/>
      <c r="BS520" s="182"/>
    </row>
    <row r="521" spans="1:71" ht="15.9" customHeight="1" x14ac:dyDescent="0.3">
      <c r="A521" s="5" t="s">
        <v>1589</v>
      </c>
      <c r="B521" s="5" t="s">
        <v>1288</v>
      </c>
      <c r="C521" s="174">
        <v>44836</v>
      </c>
      <c r="D521" s="5" t="s">
        <v>285</v>
      </c>
      <c r="E521" s="5" t="s">
        <v>1590</v>
      </c>
      <c r="F521" s="175" t="s">
        <v>1591</v>
      </c>
      <c r="G521" s="15" t="s">
        <v>364</v>
      </c>
      <c r="H521" s="176" t="s">
        <v>341</v>
      </c>
      <c r="I521" s="17" t="s">
        <v>260</v>
      </c>
      <c r="J521" s="113" t="str">
        <f>VLOOKUP($I521,'Price List, Weapons &amp; Items'!B:C,2,0)</f>
        <v>.</v>
      </c>
      <c r="K521" s="113" t="str">
        <f>IF(I521=".",I521,VLOOKUP($I521,'Price List, Weapons &amp; Items'!B:D,3,0))</f>
        <v>.</v>
      </c>
      <c r="L521" s="177">
        <f>VLOOKUP(I521,'Price List, Weapons &amp; Items'!B:E,4,0)</f>
        <v>0</v>
      </c>
      <c r="M521" s="572" t="s">
        <v>260</v>
      </c>
      <c r="N521" s="542" t="s">
        <v>260</v>
      </c>
      <c r="O521" s="543" t="str">
        <f>VLOOKUP($I521,'Price List, Weapons &amp; Items'!B:G,6,0)</f>
        <v>.</v>
      </c>
      <c r="P521" s="176" t="str">
        <f t="shared" si="102"/>
        <v>.</v>
      </c>
      <c r="Q521" s="176" t="str">
        <f t="shared" si="103"/>
        <v>.</v>
      </c>
      <c r="R521" s="176" t="str">
        <f t="shared" si="110"/>
        <v>.</v>
      </c>
      <c r="S521" s="176" t="str">
        <f>IF(AND(AD521=1,R521&lt;&gt;".")=TRUE,R521/VLOOKUP(G521,'Exchange Rates'!B:C,2,0),IF(R521=".",".",""))</f>
        <v>.</v>
      </c>
      <c r="T521" s="176" t="str">
        <f>IF(AD521=1,IF(AF521="Value is not given at all",".",IF(AF521="Value is given by the source",S521,IF(AF521="Value is calculated with prices",(IF(SUMIFS(Q:Q,A:A,A521)&gt;0,SUMIFS(Q:Q,A:A,A521),"."))/VLOOKUP("USD",'Exchange Rates'!B:C,2,0),"Error with coding"))),"")</f>
        <v>.</v>
      </c>
      <c r="U521" s="15" t="s">
        <v>261</v>
      </c>
      <c r="V521" s="567" t="s">
        <v>1592</v>
      </c>
      <c r="W521" s="567" t="s">
        <v>1593</v>
      </c>
      <c r="X521" s="567" t="s">
        <v>1594</v>
      </c>
      <c r="Y521" s="573" t="s">
        <v>1595</v>
      </c>
      <c r="Z521" s="15">
        <v>0</v>
      </c>
      <c r="AA521" s="180">
        <v>0</v>
      </c>
      <c r="AB521" s="184" t="s">
        <v>260</v>
      </c>
      <c r="AC521" s="544" t="str">
        <f>""</f>
        <v/>
      </c>
      <c r="AD521" s="183">
        <v>1</v>
      </c>
      <c r="AE521" s="183" t="s">
        <v>264</v>
      </c>
      <c r="AF521" s="183" t="s">
        <v>265</v>
      </c>
      <c r="AG521" s="183">
        <v>1</v>
      </c>
      <c r="AH521" s="183">
        <v>10</v>
      </c>
      <c r="AI521" s="183">
        <v>0</v>
      </c>
      <c r="AJ521" s="181">
        <f>VLOOKUP($I521,'Price List, Weapons &amp; Items'!B:F,5,0)</f>
        <v>0</v>
      </c>
      <c r="AK521" s="181">
        <f t="shared" si="104"/>
        <v>0</v>
      </c>
      <c r="AL521" s="181">
        <f t="shared" si="105"/>
        <v>0</v>
      </c>
      <c r="AM521" s="181">
        <f t="shared" si="106"/>
        <v>0</v>
      </c>
      <c r="AN521" s="180" t="str">
        <f>VLOOKUP($I521,'Price List, Weapons &amp; Items'!B:L,COLUMN('Price List, Weapons &amp; Items'!$J$11)-1,0)</f>
        <v>.</v>
      </c>
      <c r="AO521" s="180" t="str">
        <f>IF(I521=".",".",VLOOKUP($I521,'Price List, Weapons &amp; Items'!B:J,3,0))</f>
        <v>.</v>
      </c>
      <c r="AP521" s="545" t="e">
        <f t="shared" ca="1" si="113"/>
        <v>#NAME?</v>
      </c>
      <c r="AQ521" s="180" t="str">
        <f>VLOOKUP($I521,'Price List, Weapons &amp; Items'!B:L,COLUMN('Price List, Weapons &amp; Items'!$L$11)-1,0)</f>
        <v>no price, 0 count</v>
      </c>
      <c r="AR521" s="180">
        <f t="shared" si="107"/>
        <v>1</v>
      </c>
      <c r="AS521" s="180">
        <f t="shared" si="108"/>
        <v>1</v>
      </c>
      <c r="AT521" s="180">
        <f t="shared" si="109"/>
        <v>1</v>
      </c>
      <c r="AU521" s="180" t="str">
        <f t="shared" si="111"/>
        <v>.</v>
      </c>
      <c r="AV521" s="180" t="str">
        <f t="shared" si="112"/>
        <v>.</v>
      </c>
      <c r="AW521" s="180">
        <f>IFERROR(VLOOKUP(B521,'Share, Heavy Weapons to Ukraine'!B:J,COLUMN('Share, Heavy Weapons to Ukraine'!C530)-1,0),0)</f>
        <v>0</v>
      </c>
      <c r="AX521" s="180">
        <f>VLOOKUP('Bilateral Assistance, MAIN DATA'!B521,'Country Summary'!B:F,COLUMN('Country Summary'!C533)-1,FALSE)</f>
        <v>1</v>
      </c>
      <c r="AY521" s="180" t="str">
        <f>IF(AND(AD521=1,D521="Military",H521&lt;&gt;"Not given")=TRUE,IF(SUMIFS(P:P,A:A,A521)&gt;0,ABS((SUMIFS(P:P,A:A,A521)/VLOOKUP("USD",'Exchange Rates'!B:C,2,0)))/S521,"."),".")</f>
        <v>.</v>
      </c>
      <c r="AZ521" s="182" t="str">
        <f>IF(AND(AD521=1,D521="Military",H521&lt;&gt;"Not given")=TRUE,IF(SUMIFS(P:P,A:A,A521)&gt;0,IF((ABS((SUMIFS(P:P,A:A,A521)/VLOOKUP("USD",'Exchange Rates'!B:C,2,0)))/S521)&gt;1,(SUMIFS(P:P,A:A,A521)-S521)/S521,(S521-SUMIFS(P:P,A:A,A521))/SUMIFS(P:P,A:A,A521)),"."),".")</f>
        <v>.</v>
      </c>
      <c r="BA521" s="182"/>
      <c r="BB521" s="182"/>
      <c r="BC521" s="182"/>
      <c r="BD521" s="182"/>
      <c r="BE521" s="182"/>
      <c r="BF521" s="182"/>
      <c r="BG521" s="182"/>
      <c r="BH521" s="182"/>
      <c r="BI521" s="182"/>
      <c r="BJ521" s="182"/>
      <c r="BK521" s="182"/>
      <c r="BL521" s="182"/>
      <c r="BM521" s="182"/>
      <c r="BN521" s="182"/>
      <c r="BO521" s="182"/>
      <c r="BP521" s="182"/>
      <c r="BQ521" s="182"/>
      <c r="BR521" s="182"/>
      <c r="BS521" s="182"/>
    </row>
    <row r="522" spans="1:71" ht="15.9" customHeight="1" x14ac:dyDescent="0.3">
      <c r="A522" s="17" t="s">
        <v>1596</v>
      </c>
      <c r="B522" s="17" t="s">
        <v>1288</v>
      </c>
      <c r="C522" s="174">
        <v>44644</v>
      </c>
      <c r="D522" s="5" t="s">
        <v>405</v>
      </c>
      <c r="E522" s="5" t="s">
        <v>518</v>
      </c>
      <c r="F522" s="175" t="s">
        <v>1597</v>
      </c>
      <c r="G522" s="15" t="s">
        <v>364</v>
      </c>
      <c r="H522" s="176">
        <v>150000000</v>
      </c>
      <c r="I522" s="17" t="s">
        <v>260</v>
      </c>
      <c r="J522" s="113" t="str">
        <f>VLOOKUP($I522,'Price List, Weapons &amp; Items'!B:C,2,0)</f>
        <v>.</v>
      </c>
      <c r="K522" s="113" t="str">
        <f>IF(I522=".",I522,VLOOKUP($I522,'Price List, Weapons &amp; Items'!B:D,3,0))</f>
        <v>.</v>
      </c>
      <c r="L522" s="177">
        <f>VLOOKUP(I522,'Price List, Weapons &amp; Items'!B:E,4,0)</f>
        <v>0</v>
      </c>
      <c r="M522" s="542" t="s">
        <v>260</v>
      </c>
      <c r="N522" s="542" t="s">
        <v>260</v>
      </c>
      <c r="O522" s="543" t="str">
        <f>VLOOKUP($I522,'Price List, Weapons &amp; Items'!B:G,6,0)</f>
        <v>.</v>
      </c>
      <c r="P522" s="176" t="str">
        <f t="shared" si="102"/>
        <v>.</v>
      </c>
      <c r="Q522" s="176" t="str">
        <f t="shared" si="103"/>
        <v>.</v>
      </c>
      <c r="R522" s="176">
        <f t="shared" si="110"/>
        <v>150000000</v>
      </c>
      <c r="S522" s="176">
        <f>IF(AND(AD522=1,R522&lt;&gt;".")=TRUE,R522/VLOOKUP(G522,'Exchange Rates'!B:C,2,0),IF(R522=".",".",""))</f>
        <v>150000000</v>
      </c>
      <c r="T522" s="176" t="str">
        <f>IF(AD522=1,IF(AF522="Value is not given at all",".",IF(AF522="Value is given by the source",S522,IF(AF522="Value is calculated with prices",(IF(SUMIFS(Q:Q,A:A,A522)&gt;0,SUMIFS(Q:Q,A:A,A522),"."))/VLOOKUP("USD",'Exchange Rates'!B:C,2,0),"Error with coding"))),"")</f>
        <v>.</v>
      </c>
      <c r="U522" s="15" t="s">
        <v>415</v>
      </c>
      <c r="V522" s="300" t="s">
        <v>1598</v>
      </c>
      <c r="W522" s="546" t="s">
        <v>1293</v>
      </c>
      <c r="X522" s="175" t="s">
        <v>260</v>
      </c>
      <c r="Y522" s="175" t="s">
        <v>260</v>
      </c>
      <c r="Z522" s="15">
        <v>0</v>
      </c>
      <c r="AA522" s="180">
        <v>0</v>
      </c>
      <c r="AB522" s="184" t="s">
        <v>260</v>
      </c>
      <c r="AC522" s="544" t="str">
        <f>""</f>
        <v/>
      </c>
      <c r="AD522" s="181">
        <v>1</v>
      </c>
      <c r="AE522" s="181" t="s">
        <v>264</v>
      </c>
      <c r="AF522" s="181" t="s">
        <v>265</v>
      </c>
      <c r="AG522" s="181">
        <v>1</v>
      </c>
      <c r="AH522" s="181">
        <v>3</v>
      </c>
      <c r="AI522" s="181">
        <v>0</v>
      </c>
      <c r="AJ522" s="181">
        <f>VLOOKUP($I522,'Price List, Weapons &amp; Items'!B:F,5,0)</f>
        <v>0</v>
      </c>
      <c r="AK522" s="181">
        <f t="shared" si="104"/>
        <v>0</v>
      </c>
      <c r="AL522" s="181">
        <f t="shared" si="105"/>
        <v>0</v>
      </c>
      <c r="AM522" s="181">
        <f t="shared" si="106"/>
        <v>0</v>
      </c>
      <c r="AN522" s="180" t="str">
        <f>VLOOKUP($I522,'Price List, Weapons &amp; Items'!B:L,COLUMN('Price List, Weapons &amp; Items'!$J$11)-1,0)</f>
        <v>.</v>
      </c>
      <c r="AO522" s="180" t="str">
        <f>IF(I522=".",".",VLOOKUP($I522,'Price List, Weapons &amp; Items'!B:J,3,0))</f>
        <v>.</v>
      </c>
      <c r="AP522" s="545" t="e">
        <f t="shared" ca="1" si="113"/>
        <v>#NAME?</v>
      </c>
      <c r="AQ522" s="180" t="str">
        <f>VLOOKUP($I522,'Price List, Weapons &amp; Items'!B:L,COLUMN('Price List, Weapons &amp; Items'!$L$11)-1,0)</f>
        <v>no price, 0 count</v>
      </c>
      <c r="AR522" s="180">
        <f t="shared" si="107"/>
        <v>0</v>
      </c>
      <c r="AS522" s="180">
        <f t="shared" si="108"/>
        <v>0</v>
      </c>
      <c r="AT522" s="180">
        <f t="shared" si="109"/>
        <v>1</v>
      </c>
      <c r="AU522" s="180" t="str">
        <f t="shared" si="111"/>
        <v>.</v>
      </c>
      <c r="AV522" s="180" t="str">
        <f t="shared" si="112"/>
        <v>.</v>
      </c>
      <c r="AW522" s="180">
        <f>IFERROR(VLOOKUP(B522,'Share, Heavy Weapons to Ukraine'!B:J,COLUMN('Share, Heavy Weapons to Ukraine'!C531)-1,0),0)</f>
        <v>0</v>
      </c>
      <c r="AX522" s="180">
        <f>VLOOKUP('Bilateral Assistance, MAIN DATA'!B522,'Country Summary'!B:F,COLUMN('Country Summary'!C534)-1,FALSE)</f>
        <v>1</v>
      </c>
      <c r="AY522" s="180" t="str">
        <f>IF(AND(AD522=1,D522="Military",H522&lt;&gt;"Not given")=TRUE,IF(SUMIFS(P:P,A:A,A522)&gt;0,ABS((SUMIFS(P:P,A:A,A522)/VLOOKUP("USD",'Exchange Rates'!B:C,2,0)))/S522,"."),".")</f>
        <v>.</v>
      </c>
      <c r="AZ522" s="182" t="str">
        <f>IF(AND(AD522=1,D522="Military",H522&lt;&gt;"Not given")=TRUE,IF(SUMIFS(P:P,A:A,A522)&gt;0,IF((ABS((SUMIFS(P:P,A:A,A522)/VLOOKUP("USD",'Exchange Rates'!B:C,2,0)))/S522)&gt;1,(SUMIFS(P:P,A:A,A522)-S522)/S522,(S522-SUMIFS(P:P,A:A,A522))/SUMIFS(P:P,A:A,A522)),"."),".")</f>
        <v>.</v>
      </c>
      <c r="BA522" s="182"/>
      <c r="BB522" s="182"/>
      <c r="BC522" s="182"/>
      <c r="BD522" s="182"/>
      <c r="BE522" s="182"/>
      <c r="BF522" s="182"/>
      <c r="BG522" s="182"/>
      <c r="BH522" s="182"/>
      <c r="BI522" s="182"/>
      <c r="BJ522" s="182"/>
      <c r="BK522" s="182"/>
      <c r="BL522" s="182"/>
      <c r="BM522" s="182"/>
      <c r="BN522" s="182"/>
      <c r="BO522" s="182"/>
      <c r="BP522" s="182"/>
      <c r="BQ522" s="182"/>
      <c r="BR522" s="182"/>
      <c r="BS522" s="182"/>
    </row>
    <row r="523" spans="1:71" ht="15.9" customHeight="1" x14ac:dyDescent="0.3">
      <c r="A523" s="17" t="s">
        <v>1599</v>
      </c>
      <c r="B523" s="17" t="s">
        <v>1288</v>
      </c>
      <c r="C523" s="174">
        <v>44686</v>
      </c>
      <c r="D523" s="5" t="s">
        <v>405</v>
      </c>
      <c r="E523" s="5" t="s">
        <v>518</v>
      </c>
      <c r="F523" s="175" t="s">
        <v>1600</v>
      </c>
      <c r="G523" s="15" t="s">
        <v>364</v>
      </c>
      <c r="H523" s="176">
        <v>150000000</v>
      </c>
      <c r="I523" s="17" t="s">
        <v>260</v>
      </c>
      <c r="J523" s="113" t="str">
        <f>VLOOKUP($I523,'Price List, Weapons &amp; Items'!B:C,2,0)</f>
        <v>.</v>
      </c>
      <c r="K523" s="113" t="str">
        <f>IF(I523=".",I523,VLOOKUP($I523,'Price List, Weapons &amp; Items'!B:D,3,0))</f>
        <v>.</v>
      </c>
      <c r="L523" s="177">
        <f>VLOOKUP(I523,'Price List, Weapons &amp; Items'!B:E,4,0)</f>
        <v>0</v>
      </c>
      <c r="M523" s="542" t="s">
        <v>260</v>
      </c>
      <c r="N523" s="542" t="s">
        <v>260</v>
      </c>
      <c r="O523" s="543" t="str">
        <f>VLOOKUP($I523,'Price List, Weapons &amp; Items'!B:G,6,0)</f>
        <v>.</v>
      </c>
      <c r="P523" s="176" t="str">
        <f t="shared" si="102"/>
        <v>.</v>
      </c>
      <c r="Q523" s="176" t="str">
        <f t="shared" si="103"/>
        <v>.</v>
      </c>
      <c r="R523" s="176">
        <f t="shared" si="110"/>
        <v>150000000</v>
      </c>
      <c r="S523" s="176">
        <f>IF(AND(AD523=1,R523&lt;&gt;".")=TRUE,R523/VLOOKUP(G523,'Exchange Rates'!B:C,2,0),IF(R523=".",".",""))</f>
        <v>150000000</v>
      </c>
      <c r="T523" s="176" t="str">
        <f>IF(AD523=1,IF(AF523="Value is not given at all",".",IF(AF523="Value is given by the source",S523,IF(AF523="Value is calculated with prices",(IF(SUMIFS(Q:Q,A:A,A523)&gt;0,SUMIFS(Q:Q,A:A,A523),"."))/VLOOKUP("USD",'Exchange Rates'!B:C,2,0),"Error with coding"))),"")</f>
        <v>.</v>
      </c>
      <c r="U523" s="15" t="s">
        <v>415</v>
      </c>
      <c r="V523" s="300" t="s">
        <v>1301</v>
      </c>
      <c r="W523" s="175" t="s">
        <v>260</v>
      </c>
      <c r="X523" s="175" t="s">
        <v>260</v>
      </c>
      <c r="Y523" s="175" t="s">
        <v>260</v>
      </c>
      <c r="Z523" s="15">
        <v>0</v>
      </c>
      <c r="AA523" s="180">
        <v>0</v>
      </c>
      <c r="AB523" s="184" t="s">
        <v>260</v>
      </c>
      <c r="AC523" s="544" t="str">
        <f>""</f>
        <v/>
      </c>
      <c r="AD523" s="181">
        <v>1</v>
      </c>
      <c r="AE523" s="181" t="s">
        <v>264</v>
      </c>
      <c r="AF523" s="181" t="s">
        <v>265</v>
      </c>
      <c r="AG523" s="181">
        <v>1</v>
      </c>
      <c r="AH523" s="181">
        <v>5</v>
      </c>
      <c r="AI523" s="181">
        <v>0</v>
      </c>
      <c r="AJ523" s="181">
        <f>VLOOKUP($I523,'Price List, Weapons &amp; Items'!B:F,5,0)</f>
        <v>0</v>
      </c>
      <c r="AK523" s="181">
        <f t="shared" si="104"/>
        <v>0</v>
      </c>
      <c r="AL523" s="181">
        <f t="shared" si="105"/>
        <v>0</v>
      </c>
      <c r="AM523" s="181">
        <f t="shared" si="106"/>
        <v>0</v>
      </c>
      <c r="AN523" s="180" t="str">
        <f>VLOOKUP($I523,'Price List, Weapons &amp; Items'!B:L,COLUMN('Price List, Weapons &amp; Items'!$J$11)-1,0)</f>
        <v>.</v>
      </c>
      <c r="AO523" s="180" t="str">
        <f>IF(I523=".",".",VLOOKUP($I523,'Price List, Weapons &amp; Items'!B:J,3,0))</f>
        <v>.</v>
      </c>
      <c r="AP523" s="545" t="e">
        <f t="shared" ca="1" si="113"/>
        <v>#NAME?</v>
      </c>
      <c r="AQ523" s="180" t="str">
        <f>VLOOKUP($I523,'Price List, Weapons &amp; Items'!B:L,COLUMN('Price List, Weapons &amp; Items'!$L$11)-1,0)</f>
        <v>no price, 0 count</v>
      </c>
      <c r="AR523" s="180">
        <f t="shared" si="107"/>
        <v>0</v>
      </c>
      <c r="AS523" s="180">
        <f t="shared" si="108"/>
        <v>0</v>
      </c>
      <c r="AT523" s="180">
        <f t="shared" si="109"/>
        <v>1</v>
      </c>
      <c r="AU523" s="180" t="str">
        <f t="shared" si="111"/>
        <v>.</v>
      </c>
      <c r="AV523" s="180" t="str">
        <f t="shared" si="112"/>
        <v>.</v>
      </c>
      <c r="AW523" s="180">
        <f>IFERROR(VLOOKUP(B523,'Share, Heavy Weapons to Ukraine'!B:J,COLUMN('Share, Heavy Weapons to Ukraine'!C532)-1,0),0)</f>
        <v>0</v>
      </c>
      <c r="AX523" s="180">
        <f>VLOOKUP('Bilateral Assistance, MAIN DATA'!B523,'Country Summary'!B:F,COLUMN('Country Summary'!C535)-1,FALSE)</f>
        <v>1</v>
      </c>
      <c r="AY523" s="180" t="str">
        <f>IF(AND(AD523=1,D523="Military",H523&lt;&gt;"Not given")=TRUE,IF(SUMIFS(P:P,A:A,A523)&gt;0,ABS((SUMIFS(P:P,A:A,A523)/VLOOKUP("USD",'Exchange Rates'!B:C,2,0)))/S523,"."),".")</f>
        <v>.</v>
      </c>
      <c r="AZ523" s="182" t="str">
        <f>IF(AND(AD523=1,D523="Military",H523&lt;&gt;"Not given")=TRUE,IF(SUMIFS(P:P,A:A,A523)&gt;0,IF((ABS((SUMIFS(P:P,A:A,A523)/VLOOKUP("USD",'Exchange Rates'!B:C,2,0)))/S523)&gt;1,(SUMIFS(P:P,A:A,A523)-S523)/S523,(S523-SUMIFS(P:P,A:A,A523))/SUMIFS(P:P,A:A,A523)),"."),".")</f>
        <v>.</v>
      </c>
      <c r="BA523" s="182"/>
      <c r="BB523" s="182"/>
      <c r="BC523" s="182"/>
      <c r="BD523" s="182"/>
      <c r="BE523" s="182"/>
      <c r="BF523" s="182"/>
      <c r="BG523" s="182"/>
      <c r="BH523" s="182"/>
      <c r="BI523" s="182"/>
      <c r="BJ523" s="182"/>
      <c r="BK523" s="182"/>
      <c r="BL523" s="182"/>
      <c r="BM523" s="182"/>
      <c r="BN523" s="182"/>
      <c r="BO523" s="182"/>
      <c r="BP523" s="182"/>
      <c r="BQ523" s="182"/>
      <c r="BR523" s="182"/>
      <c r="BS523" s="182"/>
    </row>
    <row r="524" spans="1:71" ht="15.9" customHeight="1" x14ac:dyDescent="0.3">
      <c r="A524" s="17" t="s">
        <v>1601</v>
      </c>
      <c r="B524" s="17" t="s">
        <v>1288</v>
      </c>
      <c r="C524" s="174">
        <v>44700</v>
      </c>
      <c r="D524" s="5" t="s">
        <v>405</v>
      </c>
      <c r="E524" s="5" t="s">
        <v>362</v>
      </c>
      <c r="F524" s="175" t="s">
        <v>1602</v>
      </c>
      <c r="G524" s="15" t="s">
        <v>364</v>
      </c>
      <c r="H524" s="176">
        <v>1000000000</v>
      </c>
      <c r="I524" s="17" t="s">
        <v>260</v>
      </c>
      <c r="J524" s="113" t="str">
        <f>VLOOKUP($I524,'Price List, Weapons &amp; Items'!B:C,2,0)</f>
        <v>.</v>
      </c>
      <c r="K524" s="113" t="str">
        <f>IF(I524=".",I524,VLOOKUP($I524,'Price List, Weapons &amp; Items'!B:D,3,0))</f>
        <v>.</v>
      </c>
      <c r="L524" s="177">
        <f>VLOOKUP(I524,'Price List, Weapons &amp; Items'!B:E,4,0)</f>
        <v>0</v>
      </c>
      <c r="M524" s="542" t="s">
        <v>260</v>
      </c>
      <c r="N524" s="542" t="s">
        <v>260</v>
      </c>
      <c r="O524" s="543" t="str">
        <f>VLOOKUP($I524,'Price List, Weapons &amp; Items'!B:G,6,0)</f>
        <v>.</v>
      </c>
      <c r="P524" s="176" t="str">
        <f t="shared" si="102"/>
        <v>.</v>
      </c>
      <c r="Q524" s="176" t="str">
        <f t="shared" si="103"/>
        <v>.</v>
      </c>
      <c r="R524" s="176">
        <f t="shared" si="110"/>
        <v>1000000000</v>
      </c>
      <c r="S524" s="176">
        <f>IF(AND(AD524=1,R524&lt;&gt;".")=TRUE,R524/VLOOKUP(G524,'Exchange Rates'!B:C,2,0),IF(R524=".",".",""))</f>
        <v>1000000000</v>
      </c>
      <c r="T524" s="176" t="str">
        <f>IF(AD524=1,IF(AF524="Value is not given at all",".",IF(AF524="Value is given by the source",S524,IF(AF524="Value is calculated with prices",(IF(SUMIFS(Q:Q,A:A,A524)&gt;0,SUMIFS(Q:Q,A:A,A524),"."))/VLOOKUP("USD",'Exchange Rates'!B:C,2,0),"Error with coding"))),"")</f>
        <v>.</v>
      </c>
      <c r="U524" s="15" t="s">
        <v>415</v>
      </c>
      <c r="V524" s="300" t="s">
        <v>1603</v>
      </c>
      <c r="W524" s="300" t="s">
        <v>1604</v>
      </c>
      <c r="X524" s="546" t="s">
        <v>1293</v>
      </c>
      <c r="Y524" s="688" t="s">
        <v>260</v>
      </c>
      <c r="Z524" s="15">
        <v>0</v>
      </c>
      <c r="AA524" s="180">
        <v>0</v>
      </c>
      <c r="AB524" s="17" t="s">
        <v>260</v>
      </c>
      <c r="AC524" s="544" t="str">
        <f>""</f>
        <v/>
      </c>
      <c r="AD524" s="181">
        <v>1</v>
      </c>
      <c r="AE524" s="181" t="s">
        <v>264</v>
      </c>
      <c r="AF524" s="181" t="s">
        <v>265</v>
      </c>
      <c r="AG524" s="181">
        <v>1</v>
      </c>
      <c r="AH524" s="181">
        <v>5</v>
      </c>
      <c r="AI524" s="181">
        <v>0</v>
      </c>
      <c r="AJ524" s="181">
        <f>VLOOKUP($I524,'Price List, Weapons &amp; Items'!B:F,5,0)</f>
        <v>0</v>
      </c>
      <c r="AK524" s="181">
        <f t="shared" si="104"/>
        <v>0</v>
      </c>
      <c r="AL524" s="181">
        <f t="shared" si="105"/>
        <v>0</v>
      </c>
      <c r="AM524" s="181">
        <f t="shared" si="106"/>
        <v>0</v>
      </c>
      <c r="AN524" s="180" t="str">
        <f>VLOOKUP($I524,'Price List, Weapons &amp; Items'!B:L,COLUMN('Price List, Weapons &amp; Items'!$J$11)-1,0)</f>
        <v>.</v>
      </c>
      <c r="AO524" s="180" t="str">
        <f>IF(I524=".",".",VLOOKUP($I524,'Price List, Weapons &amp; Items'!B:J,3,0))</f>
        <v>.</v>
      </c>
      <c r="AP524" s="545" t="e">
        <f t="shared" ca="1" si="113"/>
        <v>#NAME?</v>
      </c>
      <c r="AQ524" s="180" t="str">
        <f>VLOOKUP($I524,'Price List, Weapons &amp; Items'!B:L,COLUMN('Price List, Weapons &amp; Items'!$L$11)-1,0)</f>
        <v>no price, 0 count</v>
      </c>
      <c r="AR524" s="180">
        <f t="shared" si="107"/>
        <v>0</v>
      </c>
      <c r="AS524" s="180">
        <f t="shared" si="108"/>
        <v>0</v>
      </c>
      <c r="AT524" s="180">
        <f t="shared" si="109"/>
        <v>1</v>
      </c>
      <c r="AU524" s="180" t="str">
        <f t="shared" si="111"/>
        <v>.</v>
      </c>
      <c r="AV524" s="180" t="str">
        <f t="shared" si="112"/>
        <v>.</v>
      </c>
      <c r="AW524" s="180">
        <f>IFERROR(VLOOKUP(B524,'Share, Heavy Weapons to Ukraine'!B:J,COLUMN('Share, Heavy Weapons to Ukraine'!C533)-1,0),0)</f>
        <v>0</v>
      </c>
      <c r="AX524" s="180">
        <f>VLOOKUP('Bilateral Assistance, MAIN DATA'!B524,'Country Summary'!B:F,COLUMN('Country Summary'!C536)-1,FALSE)</f>
        <v>1</v>
      </c>
      <c r="AY524" s="180" t="str">
        <f>IF(AND(AD524=1,D524="Military",H524&lt;&gt;"Not given")=TRUE,IF(SUMIFS(P:P,A:A,A524)&gt;0,ABS((SUMIFS(P:P,A:A,A524)/VLOOKUP("USD",'Exchange Rates'!B:C,2,0)))/S524,"."),".")</f>
        <v>.</v>
      </c>
      <c r="AZ524" s="182" t="str">
        <f>IF(AND(AD524=1,D524="Military",H524&lt;&gt;"Not given")=TRUE,IF(SUMIFS(P:P,A:A,A524)&gt;0,IF((ABS((SUMIFS(P:P,A:A,A524)/VLOOKUP("USD",'Exchange Rates'!B:C,2,0)))/S524)&gt;1,(SUMIFS(P:P,A:A,A524)-S524)/S524,(S524-SUMIFS(P:P,A:A,A524))/SUMIFS(P:P,A:A,A524)),"."),".")</f>
        <v>.</v>
      </c>
      <c r="BA524" s="182"/>
      <c r="BB524" s="182"/>
      <c r="BC524" s="182"/>
      <c r="BD524" s="182"/>
      <c r="BE524" s="182"/>
      <c r="BF524" s="182"/>
      <c r="BG524" s="182"/>
      <c r="BH524" s="182"/>
      <c r="BI524" s="182"/>
      <c r="BJ524" s="182"/>
      <c r="BK524" s="182"/>
      <c r="BL524" s="182"/>
      <c r="BM524" s="182"/>
      <c r="BN524" s="182"/>
      <c r="BO524" s="182"/>
      <c r="BP524" s="182"/>
      <c r="BQ524" s="182"/>
      <c r="BR524" s="182"/>
      <c r="BS524" s="182"/>
    </row>
    <row r="525" spans="1:71" ht="15.9" customHeight="1" x14ac:dyDescent="0.3">
      <c r="A525" s="17" t="s">
        <v>1605</v>
      </c>
      <c r="B525" s="17" t="s">
        <v>1606</v>
      </c>
      <c r="C525" s="174">
        <v>44619</v>
      </c>
      <c r="D525" s="5" t="s">
        <v>256</v>
      </c>
      <c r="E525" s="5" t="s">
        <v>267</v>
      </c>
      <c r="F525" s="175" t="s">
        <v>1607</v>
      </c>
      <c r="G525" s="15" t="s">
        <v>260</v>
      </c>
      <c r="H525" s="176" t="s">
        <v>341</v>
      </c>
      <c r="I525" s="17" t="s">
        <v>260</v>
      </c>
      <c r="J525" s="113" t="str">
        <f>VLOOKUP($I525,'Price List, Weapons &amp; Items'!B:C,2,0)</f>
        <v>.</v>
      </c>
      <c r="K525" s="113" t="str">
        <f>IF(I525=".",I525,VLOOKUP($I525,'Price List, Weapons &amp; Items'!B:D,3,0))</f>
        <v>.</v>
      </c>
      <c r="L525" s="177">
        <f>VLOOKUP(I525,'Price List, Weapons &amp; Items'!B:E,4,0)</f>
        <v>0</v>
      </c>
      <c r="M525" s="542" t="s">
        <v>260</v>
      </c>
      <c r="N525" s="542" t="s">
        <v>260</v>
      </c>
      <c r="O525" s="543" t="str">
        <f>VLOOKUP($I525,'Price List, Weapons &amp; Items'!B:G,6,0)</f>
        <v>.</v>
      </c>
      <c r="P525" s="176" t="str">
        <f t="shared" si="102"/>
        <v>.</v>
      </c>
      <c r="Q525" s="176" t="str">
        <f t="shared" si="103"/>
        <v>.</v>
      </c>
      <c r="R525" s="176" t="str">
        <f t="shared" si="110"/>
        <v>.</v>
      </c>
      <c r="S525" s="176" t="str">
        <f>IF(AND(AD525=1,R525&lt;&gt;".")=TRUE,R525/VLOOKUP(G525,'Exchange Rates'!B:C,2,0),IF(R525=".",".",""))</f>
        <v>.</v>
      </c>
      <c r="T525" s="176" t="str">
        <f>IF(AD525=1,IF(AF525="Value is not given at all",".",IF(AF525="Value is given by the source",S525,IF(AF525="Value is calculated with prices",(IF(SUMIFS(Q:Q,A:A,A525)&gt;0,SUMIFS(Q:Q,A:A,A525),"."))/VLOOKUP("USD",'Exchange Rates'!B:C,2,0),"Error with coding"))),"")</f>
        <v>.</v>
      </c>
      <c r="U525" s="15" t="s">
        <v>261</v>
      </c>
      <c r="V525" s="300" t="s">
        <v>1608</v>
      </c>
      <c r="W525" s="558" t="s">
        <v>1609</v>
      </c>
      <c r="X525" s="175" t="s">
        <v>260</v>
      </c>
      <c r="Y525" s="175" t="s">
        <v>260</v>
      </c>
      <c r="Z525" s="15">
        <v>0</v>
      </c>
      <c r="AA525" s="180">
        <v>0</v>
      </c>
      <c r="AB525" s="184" t="s">
        <v>260</v>
      </c>
      <c r="AC525" s="544" t="str">
        <f>""</f>
        <v/>
      </c>
      <c r="AD525" s="183">
        <v>1</v>
      </c>
      <c r="AE525" s="183" t="s">
        <v>265</v>
      </c>
      <c r="AF525" s="183" t="s">
        <v>265</v>
      </c>
      <c r="AG525" s="183">
        <v>1</v>
      </c>
      <c r="AH525" s="181">
        <v>2</v>
      </c>
      <c r="AI525" s="181">
        <v>0</v>
      </c>
      <c r="AJ525" s="181">
        <f>VLOOKUP($I525,'Price List, Weapons &amp; Items'!B:F,5,0)</f>
        <v>0</v>
      </c>
      <c r="AK525" s="181">
        <f t="shared" si="104"/>
        <v>0</v>
      </c>
      <c r="AL525" s="181">
        <f t="shared" si="105"/>
        <v>0</v>
      </c>
      <c r="AM525" s="181">
        <f t="shared" si="106"/>
        <v>0</v>
      </c>
      <c r="AN525" s="180" t="str">
        <f>VLOOKUP($I525,'Price List, Weapons &amp; Items'!B:L,COLUMN('Price List, Weapons &amp; Items'!$J$11)-1,0)</f>
        <v>.</v>
      </c>
      <c r="AO525" s="180" t="str">
        <f>IF(I525=".",".",VLOOKUP($I525,'Price List, Weapons &amp; Items'!B:J,3,0))</f>
        <v>.</v>
      </c>
      <c r="AP525" s="545" t="e">
        <f t="shared" ca="1" si="113"/>
        <v>#NAME?</v>
      </c>
      <c r="AQ525" s="180" t="str">
        <f>VLOOKUP($I525,'Price List, Weapons &amp; Items'!B:L,COLUMN('Price List, Weapons &amp; Items'!$L$11)-1,0)</f>
        <v>no price, 0 count</v>
      </c>
      <c r="AR525" s="180">
        <f t="shared" si="107"/>
        <v>1</v>
      </c>
      <c r="AS525" s="180">
        <f t="shared" si="108"/>
        <v>0</v>
      </c>
      <c r="AT525" s="180">
        <f t="shared" si="109"/>
        <v>1</v>
      </c>
      <c r="AU525" s="180" t="e">
        <f>IF(AND(A525=#REF!,C525=#REF!)=TRUE,IF(F525=#REF!,".","1"),".")</f>
        <v>#REF!</v>
      </c>
      <c r="AV525" s="180" t="str">
        <f t="shared" si="112"/>
        <v>.</v>
      </c>
      <c r="AW525" s="180">
        <f>IFERROR(VLOOKUP(B525,'Share, Heavy Weapons to Ukraine'!B:J,COLUMN('Share, Heavy Weapons to Ukraine'!C537)-1,0),0)</f>
        <v>0</v>
      </c>
      <c r="AX525" s="180">
        <f>VLOOKUP('Bilateral Assistance, MAIN DATA'!B525,'Country Summary'!B:F,COLUMN('Country Summary'!C540)-1,FALSE)</f>
        <v>1</v>
      </c>
      <c r="AY525" s="180" t="str">
        <f>IF(AND(AD525=1,D525="Military",H525&lt;&gt;"Not given")=TRUE,IF(SUMIFS(P:P,A:A,A525)&gt;0,ABS((SUMIFS(P:P,A:A,A525)/VLOOKUP("USD",'Exchange Rates'!B:C,2,0)))/S525,"."),".")</f>
        <v>.</v>
      </c>
      <c r="AZ525" s="182" t="str">
        <f>IF(AND(AD525=1,D525="Military",H525&lt;&gt;"Not given")=TRUE,IF(SUMIFS(P:P,A:A,A525)&gt;0,IF((ABS((SUMIFS(P:P,A:A,A525)/VLOOKUP("USD",'Exchange Rates'!B:C,2,0)))/S525)&gt;1,(SUMIFS(P:P,A:A,A525)-S525)/S525,(S525-SUMIFS(P:P,A:A,A525))/SUMIFS(P:P,A:A,A525)),"."),".")</f>
        <v>.</v>
      </c>
      <c r="BA525" s="182"/>
      <c r="BB525" s="182"/>
      <c r="BC525" s="182"/>
      <c r="BD525" s="182"/>
      <c r="BE525" s="182"/>
      <c r="BF525" s="182"/>
      <c r="BG525" s="182"/>
      <c r="BH525" s="182"/>
      <c r="BI525" s="182"/>
      <c r="BJ525" s="182"/>
      <c r="BK525" s="182"/>
      <c r="BL525" s="182"/>
      <c r="BM525" s="182"/>
      <c r="BN525" s="182"/>
      <c r="BO525" s="182"/>
      <c r="BP525" s="182"/>
      <c r="BQ525" s="182"/>
      <c r="BR525" s="182"/>
      <c r="BS525" s="182"/>
    </row>
    <row r="526" spans="1:71" ht="15.9" customHeight="1" x14ac:dyDescent="0.3">
      <c r="A526" s="17" t="s">
        <v>1610</v>
      </c>
      <c r="B526" s="17" t="s">
        <v>1606</v>
      </c>
      <c r="C526" s="174">
        <v>44638</v>
      </c>
      <c r="D526" s="5" t="s">
        <v>256</v>
      </c>
      <c r="E526" s="5" t="s">
        <v>267</v>
      </c>
      <c r="F526" s="175" t="s">
        <v>1611</v>
      </c>
      <c r="G526" s="15" t="s">
        <v>260</v>
      </c>
      <c r="H526" s="176" t="s">
        <v>341</v>
      </c>
      <c r="I526" s="17" t="s">
        <v>260</v>
      </c>
      <c r="J526" s="113" t="str">
        <f>VLOOKUP($I526,'Price List, Weapons &amp; Items'!B:C,2,0)</f>
        <v>.</v>
      </c>
      <c r="K526" s="113" t="str">
        <f>IF(I526=".",I526,VLOOKUP($I526,'Price List, Weapons &amp; Items'!B:D,3,0))</f>
        <v>.</v>
      </c>
      <c r="L526" s="177">
        <f>VLOOKUP(I526,'Price List, Weapons &amp; Items'!B:E,4,0)</f>
        <v>0</v>
      </c>
      <c r="M526" s="542" t="s">
        <v>260</v>
      </c>
      <c r="N526" s="542" t="s">
        <v>260</v>
      </c>
      <c r="O526" s="543" t="str">
        <f>VLOOKUP($I526,'Price List, Weapons &amp; Items'!B:G,6,0)</f>
        <v>.</v>
      </c>
      <c r="P526" s="176" t="str">
        <f t="shared" si="102"/>
        <v>.</v>
      </c>
      <c r="Q526" s="176" t="str">
        <f t="shared" si="103"/>
        <v>.</v>
      </c>
      <c r="R526" s="176" t="str">
        <f t="shared" si="110"/>
        <v>.</v>
      </c>
      <c r="S526" s="176" t="str">
        <f>IF(AND(AD526=1,R526&lt;&gt;".")=TRUE,R526/VLOOKUP(G526,'Exchange Rates'!B:C,2,0),IF(R526=".",".",""))</f>
        <v>.</v>
      </c>
      <c r="T526" s="176" t="str">
        <f>IF(AD526=1,IF(AF526="Value is not given at all",".",IF(AF526="Value is given by the source",S526,IF(AF526="Value is calculated with prices",(IF(SUMIFS(Q:Q,A:A,A526)&gt;0,SUMIFS(Q:Q,A:A,A526),"."))/VLOOKUP("USD",'Exchange Rates'!B:C,2,0),"Error with coding"))),"")</f>
        <v>.</v>
      </c>
      <c r="U526" s="15" t="s">
        <v>261</v>
      </c>
      <c r="V526" s="300" t="s">
        <v>1612</v>
      </c>
      <c r="W526" s="300" t="s">
        <v>1613</v>
      </c>
      <c r="X526" s="175" t="s">
        <v>260</v>
      </c>
      <c r="Y526" s="175" t="s">
        <v>260</v>
      </c>
      <c r="Z526" s="15">
        <v>0</v>
      </c>
      <c r="AA526" s="180">
        <v>0</v>
      </c>
      <c r="AB526" s="184" t="s">
        <v>260</v>
      </c>
      <c r="AC526" s="544" t="str">
        <f>""</f>
        <v/>
      </c>
      <c r="AD526" s="183">
        <v>1</v>
      </c>
      <c r="AE526" s="183" t="s">
        <v>265</v>
      </c>
      <c r="AF526" s="183" t="s">
        <v>265</v>
      </c>
      <c r="AG526" s="183">
        <v>1</v>
      </c>
      <c r="AH526" s="181">
        <v>3</v>
      </c>
      <c r="AI526" s="181">
        <v>0</v>
      </c>
      <c r="AJ526" s="181">
        <f>VLOOKUP($I526,'Price List, Weapons &amp; Items'!B:F,5,0)</f>
        <v>0</v>
      </c>
      <c r="AK526" s="181">
        <f t="shared" si="104"/>
        <v>0</v>
      </c>
      <c r="AL526" s="181">
        <f t="shared" si="105"/>
        <v>0</v>
      </c>
      <c r="AM526" s="181">
        <f t="shared" si="106"/>
        <v>0</v>
      </c>
      <c r="AN526" s="180" t="str">
        <f>VLOOKUP($I526,'Price List, Weapons &amp; Items'!B:L,COLUMN('Price List, Weapons &amp; Items'!$J$11)-1,0)</f>
        <v>.</v>
      </c>
      <c r="AO526" s="180" t="str">
        <f>IF(I526=".",".",VLOOKUP($I526,'Price List, Weapons &amp; Items'!B:J,3,0))</f>
        <v>.</v>
      </c>
      <c r="AP526" s="545" t="e">
        <f t="shared" ca="1" si="113"/>
        <v>#NAME?</v>
      </c>
      <c r="AQ526" s="180" t="str">
        <f>VLOOKUP($I526,'Price List, Weapons &amp; Items'!B:L,COLUMN('Price List, Weapons &amp; Items'!$L$11)-1,0)</f>
        <v>no price, 0 count</v>
      </c>
      <c r="AR526" s="180">
        <f t="shared" si="107"/>
        <v>1</v>
      </c>
      <c r="AS526" s="180">
        <f t="shared" si="108"/>
        <v>0</v>
      </c>
      <c r="AT526" s="180">
        <f t="shared" si="109"/>
        <v>1</v>
      </c>
      <c r="AU526" s="180" t="str">
        <f t="shared" si="111"/>
        <v>.</v>
      </c>
      <c r="AV526" s="180" t="str">
        <f t="shared" si="112"/>
        <v>.</v>
      </c>
      <c r="AW526" s="180">
        <f>IFERROR(VLOOKUP(B526,'Share, Heavy Weapons to Ukraine'!B:J,COLUMN('Share, Heavy Weapons to Ukraine'!C538)-1,0),0)</f>
        <v>0</v>
      </c>
      <c r="AX526" s="180">
        <f>VLOOKUP('Bilateral Assistance, MAIN DATA'!B526,'Country Summary'!B:F,COLUMN('Country Summary'!C541)-1,FALSE)</f>
        <v>1</v>
      </c>
      <c r="AY526" s="180" t="str">
        <f>IF(AND(AD526=1,D526="Military",H526&lt;&gt;"Not given")=TRUE,IF(SUMIFS(P:P,A:A,A526)&gt;0,ABS((SUMIFS(P:P,A:A,A526)/VLOOKUP("USD",'Exchange Rates'!B:C,2,0)))/S526,"."),".")</f>
        <v>.</v>
      </c>
      <c r="AZ526" s="182" t="str">
        <f>IF(AND(AD526=1,D526="Military",H526&lt;&gt;"Not given")=TRUE,IF(SUMIFS(P:P,A:A,A526)&gt;0,IF((ABS((SUMIFS(P:P,A:A,A526)/VLOOKUP("USD",'Exchange Rates'!B:C,2,0)))/S526)&gt;1,(SUMIFS(P:P,A:A,A526)-S526)/S526,(S526-SUMIFS(P:P,A:A,A526))/SUMIFS(P:P,A:A,A526)),"."),".")</f>
        <v>.</v>
      </c>
      <c r="BA526" s="182"/>
      <c r="BB526" s="182"/>
      <c r="BC526" s="182"/>
      <c r="BD526" s="182"/>
      <c r="BE526" s="182"/>
      <c r="BF526" s="182"/>
      <c r="BG526" s="182"/>
      <c r="BH526" s="182"/>
      <c r="BI526" s="182"/>
      <c r="BJ526" s="182"/>
      <c r="BK526" s="182"/>
      <c r="BL526" s="182"/>
      <c r="BM526" s="182"/>
      <c r="BN526" s="182"/>
      <c r="BO526" s="182"/>
      <c r="BP526" s="182"/>
      <c r="BQ526" s="182"/>
      <c r="BR526" s="182"/>
      <c r="BS526" s="182"/>
    </row>
    <row r="527" spans="1:71" ht="15.9" customHeight="1" x14ac:dyDescent="0.3">
      <c r="A527" s="17" t="s">
        <v>1614</v>
      </c>
      <c r="B527" s="17" t="s">
        <v>1606</v>
      </c>
      <c r="C527" s="174">
        <v>44654</v>
      </c>
      <c r="D527" s="5" t="s">
        <v>256</v>
      </c>
      <c r="E527" s="5" t="s">
        <v>267</v>
      </c>
      <c r="F527" s="175" t="s">
        <v>1615</v>
      </c>
      <c r="G527" s="15" t="s">
        <v>260</v>
      </c>
      <c r="H527" s="176" t="s">
        <v>341</v>
      </c>
      <c r="I527" s="17" t="s">
        <v>260</v>
      </c>
      <c r="J527" s="113" t="str">
        <f>VLOOKUP($I527,'Price List, Weapons &amp; Items'!B:C,2,0)</f>
        <v>.</v>
      </c>
      <c r="K527" s="113" t="str">
        <f>IF(I527=".",I527,VLOOKUP($I527,'Price List, Weapons &amp; Items'!B:D,3,0))</f>
        <v>.</v>
      </c>
      <c r="L527" s="177">
        <f>VLOOKUP(I527,'Price List, Weapons &amp; Items'!B:E,4,0)</f>
        <v>0</v>
      </c>
      <c r="M527" s="542" t="s">
        <v>260</v>
      </c>
      <c r="N527" s="542" t="s">
        <v>260</v>
      </c>
      <c r="O527" s="543" t="str">
        <f>VLOOKUP($I527,'Price List, Weapons &amp; Items'!B:G,6,0)</f>
        <v>.</v>
      </c>
      <c r="P527" s="176" t="str">
        <f t="shared" si="102"/>
        <v>.</v>
      </c>
      <c r="Q527" s="176" t="str">
        <f t="shared" si="103"/>
        <v>.</v>
      </c>
      <c r="R527" s="176" t="str">
        <f t="shared" si="110"/>
        <v>.</v>
      </c>
      <c r="S527" s="176" t="str">
        <f>IF(AND(AD527=1,R527&lt;&gt;".")=TRUE,R527/VLOOKUP(G527,'Exchange Rates'!B:C,2,0),IF(R527=".",".",""))</f>
        <v>.</v>
      </c>
      <c r="T527" s="176" t="str">
        <f>IF(AD527=1,IF(AF527="Value is not given at all",".",IF(AF527="Value is given by the source",S527,IF(AF527="Value is calculated with prices",(IF(SUMIFS(Q:Q,A:A,A527)&gt;0,SUMIFS(Q:Q,A:A,A527),"."))/VLOOKUP("USD",'Exchange Rates'!B:C,2,0),"Error with coding"))),"")</f>
        <v>.</v>
      </c>
      <c r="U527" s="15" t="s">
        <v>261</v>
      </c>
      <c r="V527" s="300" t="s">
        <v>1616</v>
      </c>
      <c r="W527" s="300" t="s">
        <v>1617</v>
      </c>
      <c r="X527" s="175" t="s">
        <v>260</v>
      </c>
      <c r="Y527" s="175" t="s">
        <v>260</v>
      </c>
      <c r="Z527" s="15">
        <v>0</v>
      </c>
      <c r="AA527" s="180">
        <v>0</v>
      </c>
      <c r="AB527" s="184" t="s">
        <v>260</v>
      </c>
      <c r="AC527" s="544" t="str">
        <f>""</f>
        <v/>
      </c>
      <c r="AD527" s="183">
        <v>1</v>
      </c>
      <c r="AE527" s="183" t="s">
        <v>265</v>
      </c>
      <c r="AF527" s="183" t="s">
        <v>265</v>
      </c>
      <c r="AG527" s="183">
        <v>1</v>
      </c>
      <c r="AH527" s="181">
        <v>4</v>
      </c>
      <c r="AI527" s="181">
        <v>0</v>
      </c>
      <c r="AJ527" s="181">
        <f>VLOOKUP($I527,'Price List, Weapons &amp; Items'!B:F,5,0)</f>
        <v>0</v>
      </c>
      <c r="AK527" s="181">
        <f t="shared" si="104"/>
        <v>0</v>
      </c>
      <c r="AL527" s="181">
        <f t="shared" si="105"/>
        <v>0</v>
      </c>
      <c r="AM527" s="181">
        <f t="shared" si="106"/>
        <v>0</v>
      </c>
      <c r="AN527" s="180" t="str">
        <f>VLOOKUP($I527,'Price List, Weapons &amp; Items'!B:L,COLUMN('Price List, Weapons &amp; Items'!$J$11)-1,0)</f>
        <v>.</v>
      </c>
      <c r="AO527" s="180" t="str">
        <f>IF(I527=".",".",VLOOKUP($I527,'Price List, Weapons &amp; Items'!B:J,3,0))</f>
        <v>.</v>
      </c>
      <c r="AP527" s="545" t="e">
        <f t="shared" ca="1" si="113"/>
        <v>#NAME?</v>
      </c>
      <c r="AQ527" s="180" t="str">
        <f>VLOOKUP($I527,'Price List, Weapons &amp; Items'!B:L,COLUMN('Price List, Weapons &amp; Items'!$L$11)-1,0)</f>
        <v>no price, 0 count</v>
      </c>
      <c r="AR527" s="180">
        <f t="shared" si="107"/>
        <v>1</v>
      </c>
      <c r="AS527" s="180">
        <f t="shared" si="108"/>
        <v>0</v>
      </c>
      <c r="AT527" s="180">
        <f t="shared" si="109"/>
        <v>1</v>
      </c>
      <c r="AU527" s="180" t="str">
        <f t="shared" si="111"/>
        <v>.</v>
      </c>
      <c r="AV527" s="180" t="str">
        <f t="shared" si="112"/>
        <v>.</v>
      </c>
      <c r="AW527" s="180">
        <f>IFERROR(VLOOKUP(B527,'Share, Heavy Weapons to Ukraine'!B:J,COLUMN('Share, Heavy Weapons to Ukraine'!C539)-1,0),0)</f>
        <v>0</v>
      </c>
      <c r="AX527" s="180">
        <f>VLOOKUP('Bilateral Assistance, MAIN DATA'!B527,'Country Summary'!B:F,COLUMN('Country Summary'!C542)-1,FALSE)</f>
        <v>1</v>
      </c>
      <c r="AY527" s="180" t="str">
        <f>IF(AND(AD527=1,D527="Military",H527&lt;&gt;"Not given")=TRUE,IF(SUMIFS(P:P,A:A,A527)&gt;0,ABS((SUMIFS(P:P,A:A,A527)/VLOOKUP("USD",'Exchange Rates'!B:C,2,0)))/S527,"."),".")</f>
        <v>.</v>
      </c>
      <c r="AZ527" s="182" t="str">
        <f>IF(AND(AD527=1,D527="Military",H527&lt;&gt;"Not given")=TRUE,IF(SUMIFS(P:P,A:A,A527)&gt;0,IF((ABS((SUMIFS(P:P,A:A,A527)/VLOOKUP("USD",'Exchange Rates'!B:C,2,0)))/S527)&gt;1,(SUMIFS(P:P,A:A,A527)-S527)/S527,(S527-SUMIFS(P:P,A:A,A527))/SUMIFS(P:P,A:A,A527)),"."),".")</f>
        <v>.</v>
      </c>
      <c r="BA527" s="182"/>
      <c r="BB527" s="182"/>
      <c r="BC527" s="182"/>
      <c r="BD527" s="182"/>
      <c r="BE527" s="182"/>
      <c r="BF527" s="182"/>
      <c r="BG527" s="182"/>
      <c r="BH527" s="182"/>
      <c r="BI527" s="182"/>
      <c r="BJ527" s="182"/>
      <c r="BK527" s="182"/>
      <c r="BL527" s="182"/>
      <c r="BM527" s="182"/>
      <c r="BN527" s="182"/>
      <c r="BO527" s="182"/>
      <c r="BP527" s="182"/>
      <c r="BQ527" s="182"/>
      <c r="BR527" s="182"/>
      <c r="BS527" s="182"/>
    </row>
    <row r="528" spans="1:71" ht="15.9" customHeight="1" x14ac:dyDescent="0.3">
      <c r="A528" s="17" t="s">
        <v>1618</v>
      </c>
      <c r="B528" s="17" t="s">
        <v>1606</v>
      </c>
      <c r="C528" s="174">
        <v>44662</v>
      </c>
      <c r="D528" s="5" t="s">
        <v>256</v>
      </c>
      <c r="E528" s="5" t="s">
        <v>267</v>
      </c>
      <c r="F528" s="175" t="s">
        <v>1619</v>
      </c>
      <c r="G528" s="15" t="s">
        <v>260</v>
      </c>
      <c r="H528" s="176" t="s">
        <v>341</v>
      </c>
      <c r="I528" s="17" t="s">
        <v>260</v>
      </c>
      <c r="J528" s="113" t="str">
        <f>VLOOKUP($I528,'Price List, Weapons &amp; Items'!B:C,2,0)</f>
        <v>.</v>
      </c>
      <c r="K528" s="113" t="str">
        <f>IF(I528=".",I528,VLOOKUP($I528,'Price List, Weapons &amp; Items'!B:D,3,0))</f>
        <v>.</v>
      </c>
      <c r="L528" s="177">
        <f>VLOOKUP(I528,'Price List, Weapons &amp; Items'!B:E,4,0)</f>
        <v>0</v>
      </c>
      <c r="M528" s="542" t="s">
        <v>260</v>
      </c>
      <c r="N528" s="542" t="s">
        <v>260</v>
      </c>
      <c r="O528" s="543" t="str">
        <f>VLOOKUP($I528,'Price List, Weapons &amp; Items'!B:G,6,0)</f>
        <v>.</v>
      </c>
      <c r="P528" s="176" t="str">
        <f t="shared" si="102"/>
        <v>.</v>
      </c>
      <c r="Q528" s="176" t="str">
        <f t="shared" si="103"/>
        <v>.</v>
      </c>
      <c r="R528" s="176" t="str">
        <f t="shared" si="110"/>
        <v>.</v>
      </c>
      <c r="S528" s="176" t="str">
        <f>IF(AND(AD528=1,R528&lt;&gt;".")=TRUE,R528/VLOOKUP(G528,'Exchange Rates'!B:C,2,0),IF(R528=".",".",""))</f>
        <v>.</v>
      </c>
      <c r="T528" s="176" t="str">
        <f>IF(AD528=1,IF(AF528="Value is not given at all",".",IF(AF528="Value is given by the source",S528,IF(AF528="Value is calculated with prices",(IF(SUMIFS(Q:Q,A:A,A528)&gt;0,SUMIFS(Q:Q,A:A,A528),"."))/VLOOKUP("USD",'Exchange Rates'!B:C,2,0),"Error with coding"))),"")</f>
        <v>.</v>
      </c>
      <c r="U528" s="15" t="s">
        <v>261</v>
      </c>
      <c r="V528" s="300" t="s">
        <v>1620</v>
      </c>
      <c r="W528" s="175" t="s">
        <v>260</v>
      </c>
      <c r="X528" s="175" t="s">
        <v>260</v>
      </c>
      <c r="Y528" s="175" t="s">
        <v>260</v>
      </c>
      <c r="Z528" s="15">
        <v>0</v>
      </c>
      <c r="AA528" s="180">
        <v>0</v>
      </c>
      <c r="AB528" s="184" t="s">
        <v>260</v>
      </c>
      <c r="AC528" s="544" t="str">
        <f>""</f>
        <v/>
      </c>
      <c r="AD528" s="183">
        <v>1</v>
      </c>
      <c r="AE528" s="183" t="s">
        <v>265</v>
      </c>
      <c r="AF528" s="183" t="s">
        <v>265</v>
      </c>
      <c r="AG528" s="183">
        <v>1</v>
      </c>
      <c r="AH528" s="181">
        <v>4</v>
      </c>
      <c r="AI528" s="181">
        <v>0</v>
      </c>
      <c r="AJ528" s="181">
        <f>VLOOKUP($I528,'Price List, Weapons &amp; Items'!B:F,5,0)</f>
        <v>0</v>
      </c>
      <c r="AK528" s="181">
        <f t="shared" si="104"/>
        <v>0</v>
      </c>
      <c r="AL528" s="181">
        <f t="shared" si="105"/>
        <v>0</v>
      </c>
      <c r="AM528" s="181">
        <f t="shared" si="106"/>
        <v>0</v>
      </c>
      <c r="AN528" s="180" t="str">
        <f>VLOOKUP($I528,'Price List, Weapons &amp; Items'!B:L,COLUMN('Price List, Weapons &amp; Items'!$J$11)-1,0)</f>
        <v>.</v>
      </c>
      <c r="AO528" s="180" t="str">
        <f>IF(I528=".",".",VLOOKUP($I528,'Price List, Weapons &amp; Items'!B:J,3,0))</f>
        <v>.</v>
      </c>
      <c r="AP528" s="545" t="e">
        <f t="shared" ca="1" si="113"/>
        <v>#NAME?</v>
      </c>
      <c r="AQ528" s="180" t="str">
        <f>VLOOKUP($I528,'Price List, Weapons &amp; Items'!B:L,COLUMN('Price List, Weapons &amp; Items'!$L$11)-1,0)</f>
        <v>no price, 0 count</v>
      </c>
      <c r="AR528" s="180">
        <f t="shared" si="107"/>
        <v>1</v>
      </c>
      <c r="AS528" s="180">
        <f t="shared" si="108"/>
        <v>0</v>
      </c>
      <c r="AT528" s="180">
        <f t="shared" si="109"/>
        <v>1</v>
      </c>
      <c r="AU528" s="180" t="str">
        <f t="shared" si="111"/>
        <v>.</v>
      </c>
      <c r="AV528" s="180" t="str">
        <f t="shared" si="112"/>
        <v>.</v>
      </c>
      <c r="AW528" s="180">
        <f>IFERROR(VLOOKUP(B528,'Share, Heavy Weapons to Ukraine'!B:J,COLUMN('Share, Heavy Weapons to Ukraine'!C540)-1,0),0)</f>
        <v>0</v>
      </c>
      <c r="AX528" s="180">
        <f>VLOOKUP('Bilateral Assistance, MAIN DATA'!B528,'Country Summary'!B:F,COLUMN('Country Summary'!C543)-1,FALSE)</f>
        <v>1</v>
      </c>
      <c r="AY528" s="180" t="str">
        <f>IF(AND(AD528=1,D528="Military",H528&lt;&gt;"Not given")=TRUE,IF(SUMIFS(P:P,A:A,A528)&gt;0,ABS((SUMIFS(P:P,A:A,A528)/VLOOKUP("USD",'Exchange Rates'!B:C,2,0)))/S528,"."),".")</f>
        <v>.</v>
      </c>
      <c r="AZ528" s="182" t="str">
        <f>IF(AND(AD528=1,D528="Military",H528&lt;&gt;"Not given")=TRUE,IF(SUMIFS(P:P,A:A,A528)&gt;0,IF((ABS((SUMIFS(P:P,A:A,A528)/VLOOKUP("USD",'Exchange Rates'!B:C,2,0)))/S528)&gt;1,(SUMIFS(P:P,A:A,A528)-S528)/S528,(S528-SUMIFS(P:P,A:A,A528))/SUMIFS(P:P,A:A,A528)),"."),".")</f>
        <v>.</v>
      </c>
      <c r="BA528" s="182"/>
      <c r="BB528" s="182"/>
      <c r="BC528" s="182"/>
      <c r="BD528" s="182"/>
      <c r="BE528" s="182"/>
      <c r="BF528" s="182"/>
      <c r="BG528" s="182"/>
      <c r="BH528" s="182"/>
      <c r="BI528" s="182"/>
      <c r="BJ528" s="182"/>
      <c r="BK528" s="182"/>
      <c r="BL528" s="182"/>
      <c r="BM528" s="182"/>
      <c r="BN528" s="182"/>
      <c r="BO528" s="182"/>
      <c r="BP528" s="182"/>
      <c r="BQ528" s="182"/>
      <c r="BR528" s="182"/>
      <c r="BS528" s="182"/>
    </row>
    <row r="529" spans="1:71" ht="15.9" customHeight="1" x14ac:dyDescent="0.3">
      <c r="A529" s="5" t="s">
        <v>1621</v>
      </c>
      <c r="B529" s="5" t="s">
        <v>1606</v>
      </c>
      <c r="C529" s="174" t="s">
        <v>1622</v>
      </c>
      <c r="D529" s="5" t="s">
        <v>285</v>
      </c>
      <c r="E529" s="5" t="s">
        <v>339</v>
      </c>
      <c r="F529" s="175" t="s">
        <v>1623</v>
      </c>
      <c r="G529" s="15" t="s">
        <v>346</v>
      </c>
      <c r="H529" s="176" t="s">
        <v>341</v>
      </c>
      <c r="I529" s="17" t="s">
        <v>1624</v>
      </c>
      <c r="J529" s="113" t="str">
        <f>VLOOKUP($I529,'Price List, Weapons &amp; Items'!B:C,2,0)</f>
        <v>Light armaments &amp; infantry</v>
      </c>
      <c r="K529" s="113" t="str">
        <f>IF(I529=".",I529,VLOOKUP($I529,'Price List, Weapons &amp; Items'!B:D,3,0))</f>
        <v>Small Arms and Light Weapons (SALW)</v>
      </c>
      <c r="L529" s="177">
        <f>VLOOKUP(I529,'Price List, Weapons &amp; Items'!B:E,4,0)</f>
        <v>1</v>
      </c>
      <c r="M529" s="542">
        <v>20000</v>
      </c>
      <c r="N529" s="542">
        <v>20000</v>
      </c>
      <c r="O529" s="543">
        <f>VLOOKUP($I529,'Price List, Weapons &amp; Items'!B:G,6,0)</f>
        <v>850</v>
      </c>
      <c r="P529" s="176">
        <f t="shared" si="102"/>
        <v>17000000</v>
      </c>
      <c r="Q529" s="176">
        <f t="shared" si="103"/>
        <v>17000000</v>
      </c>
      <c r="R529" s="176">
        <f t="shared" si="110"/>
        <v>17291259.199999999</v>
      </c>
      <c r="S529" s="176">
        <f>IF(AND(AD529=1,R529&lt;&gt;".")=TRUE,R529/VLOOKUP(G529,'Exchange Rates'!B:C,2,0),IF(R529=".",".",""))</f>
        <v>16467865.904761903</v>
      </c>
      <c r="T529" s="176">
        <f>IF(AD529=1,IF(AF529="Value is not given at all",".",IF(AF529="Value is given by the source",S529,IF(AF529="Value is calculated with prices",(IF(SUMIFS(Q:Q,A:A,A529)&gt;0,SUMIFS(Q:Q,A:A,A529),"."))/VLOOKUP("USD",'Exchange Rates'!B:C,2,0),"Error with coding"))),"")</f>
        <v>16467865.904761903</v>
      </c>
      <c r="U529" s="15" t="s">
        <v>261</v>
      </c>
      <c r="V529" s="547" t="s">
        <v>1625</v>
      </c>
      <c r="W529" s="547" t="s">
        <v>1626</v>
      </c>
      <c r="X529" s="17" t="s">
        <v>260</v>
      </c>
      <c r="Y529" s="188" t="s">
        <v>260</v>
      </c>
      <c r="Z529" s="15">
        <v>0</v>
      </c>
      <c r="AA529" s="180">
        <v>0</v>
      </c>
      <c r="AB529" s="550" t="s">
        <v>1627</v>
      </c>
      <c r="AC529" s="544" t="str">
        <f>""</f>
        <v/>
      </c>
      <c r="AD529" s="181">
        <v>1</v>
      </c>
      <c r="AE529" s="181" t="s">
        <v>332</v>
      </c>
      <c r="AF529" s="181" t="s">
        <v>332</v>
      </c>
      <c r="AG529" s="181">
        <v>1</v>
      </c>
      <c r="AH529" s="181">
        <v>3</v>
      </c>
      <c r="AI529" s="181">
        <v>0</v>
      </c>
      <c r="AJ529" s="181">
        <f>VLOOKUP($I529,'Price List, Weapons &amp; Items'!B:F,5,0)</f>
        <v>0</v>
      </c>
      <c r="AK529" s="181">
        <f t="shared" si="104"/>
        <v>0</v>
      </c>
      <c r="AL529" s="181">
        <f t="shared" si="105"/>
        <v>0</v>
      </c>
      <c r="AM529" s="181">
        <f t="shared" si="106"/>
        <v>0</v>
      </c>
      <c r="AN529" s="180" t="str">
        <f>VLOOKUP($I529,'Price List, Weapons &amp; Items'!B:L,COLUMN('Price List, Weapons &amp; Items'!$J$11)-1,0)</f>
        <v>Miscellaneous</v>
      </c>
      <c r="AO529" s="180" t="str">
        <f>IF(I529=".",".",VLOOKUP($I529,'Price List, Weapons &amp; Items'!B:J,3,0))</f>
        <v>Small Arms and Light Weapons (SALW)</v>
      </c>
      <c r="AP529" s="545" t="e">
        <f t="shared" ca="1" si="113"/>
        <v>#NAME?</v>
      </c>
      <c r="AQ529" s="180">
        <f>VLOOKUP($I529,'Price List, Weapons &amp; Items'!B:L,COLUMN('Price List, Weapons &amp; Items'!$L$11)-1,0)</f>
        <v>2</v>
      </c>
      <c r="AR529" s="180">
        <f t="shared" si="107"/>
        <v>1</v>
      </c>
      <c r="AS529" s="180">
        <f t="shared" si="108"/>
        <v>1</v>
      </c>
      <c r="AT529" s="180" t="str">
        <f t="shared" si="109"/>
        <v>Value is not in date format</v>
      </c>
      <c r="AU529" s="180" t="str">
        <f t="shared" si="111"/>
        <v>.</v>
      </c>
      <c r="AV529" s="180" t="str">
        <f t="shared" si="112"/>
        <v>.</v>
      </c>
      <c r="AW529" s="180">
        <f>IFERROR(VLOOKUP(B529,'Share, Heavy Weapons to Ukraine'!B:J,COLUMN('Share, Heavy Weapons to Ukraine'!C541)-1,0),0)</f>
        <v>0</v>
      </c>
      <c r="AX529" s="180">
        <f>VLOOKUP('Bilateral Assistance, MAIN DATA'!B529,'Country Summary'!B:F,COLUMN('Country Summary'!C544)-1,FALSE)</f>
        <v>1</v>
      </c>
      <c r="AY529" s="180" t="str">
        <f>IF(AND(AD529=1,D529="Military",H529&lt;&gt;"Not given")=TRUE,IF(SUMIFS(P:P,A:A,A529)&gt;0,ABS((SUMIFS(P:P,A:A,A529)/VLOOKUP("USD",'Exchange Rates'!B:C,2,0)))/S529,"."),".")</f>
        <v>.</v>
      </c>
      <c r="AZ529" s="182" t="str">
        <f>IF(AND(AD529=1,D529="Military",H529&lt;&gt;"Not given")=TRUE,IF(SUMIFS(P:P,A:A,A529)&gt;0,IF((ABS((SUMIFS(P:P,A:A,A529)/VLOOKUP("USD",'Exchange Rates'!B:C,2,0)))/S529)&gt;1,(SUMIFS(P:P,A:A,A529)-S529)/S529,(S529-SUMIFS(P:P,A:A,A529))/SUMIFS(P:P,A:A,A529)),"."),".")</f>
        <v>.</v>
      </c>
      <c r="BA529" s="182"/>
      <c r="BB529" s="182"/>
      <c r="BC529" s="182"/>
      <c r="BD529" s="182"/>
      <c r="BE529" s="182"/>
      <c r="BF529" s="182"/>
      <c r="BG529" s="182"/>
      <c r="BH529" s="182"/>
      <c r="BI529" s="182"/>
      <c r="BJ529" s="182"/>
      <c r="BK529" s="182"/>
      <c r="BL529" s="182"/>
      <c r="BM529" s="182"/>
      <c r="BN529" s="182"/>
      <c r="BO529" s="182"/>
      <c r="BP529" s="182"/>
      <c r="BQ529" s="182"/>
      <c r="BR529" s="182"/>
      <c r="BS529" s="182"/>
    </row>
    <row r="530" spans="1:71" ht="15.9" customHeight="1" x14ac:dyDescent="0.3">
      <c r="A530" s="5" t="s">
        <v>1621</v>
      </c>
      <c r="B530" s="5" t="s">
        <v>1606</v>
      </c>
      <c r="C530" s="174" t="s">
        <v>1622</v>
      </c>
      <c r="D530" s="5" t="s">
        <v>285</v>
      </c>
      <c r="E530" s="5" t="s">
        <v>339</v>
      </c>
      <c r="F530" s="175" t="s">
        <v>1623</v>
      </c>
      <c r="G530" s="15" t="s">
        <v>346</v>
      </c>
      <c r="H530" s="176" t="s">
        <v>341</v>
      </c>
      <c r="I530" s="17" t="s">
        <v>1628</v>
      </c>
      <c r="J530" s="113" t="str">
        <f>VLOOKUP($I530,'Price List, Weapons &amp; Items'!B:C,2,0)</f>
        <v>Portable defence system</v>
      </c>
      <c r="K530" s="113" t="str">
        <f>IF(I530=".",I530,VLOOKUP($I530,'Price List, Weapons &amp; Items'!B:D,3,0))</f>
        <v>Light Anti-armor Weapon (LAW)</v>
      </c>
      <c r="L530" s="177">
        <f>VLOOKUP(I530,'Price List, Weapons &amp; Items'!B:E,4,0)</f>
        <v>1</v>
      </c>
      <c r="M530" s="542">
        <v>815</v>
      </c>
      <c r="N530" s="542">
        <v>815</v>
      </c>
      <c r="O530" s="543">
        <f>VLOOKUP($I530,'Price List, Weapons &amp; Items'!B:G,6,0)</f>
        <v>207.68</v>
      </c>
      <c r="P530" s="176">
        <f t="shared" si="102"/>
        <v>169259.2</v>
      </c>
      <c r="Q530" s="176">
        <f t="shared" si="103"/>
        <v>169259.2</v>
      </c>
      <c r="R530" s="176" t="str">
        <f t="shared" si="110"/>
        <v/>
      </c>
      <c r="S530" s="176" t="str">
        <f>IF(AND(AD530=1,R530&lt;&gt;".")=TRUE,R530/VLOOKUP(G530,'Exchange Rates'!B:C,2,0),IF(R530=".",".",""))</f>
        <v/>
      </c>
      <c r="T530" s="176" t="str">
        <f>IF(AD530=1,IF(AF530="Value is not given at all",".",IF(AF530="Value is given by the source",S530,IF(AF530="Value is calculated with prices",(IF(SUMIFS(Q:Q,A:A,A530)&gt;0,SUMIFS(Q:Q,A:A,A530),"."))/VLOOKUP("USD",'Exchange Rates'!B:C,2,0),"Error with coding"))),"")</f>
        <v/>
      </c>
      <c r="U530" s="15" t="s">
        <v>261</v>
      </c>
      <c r="V530" s="547" t="s">
        <v>1625</v>
      </c>
      <c r="W530" s="547" t="s">
        <v>1626</v>
      </c>
      <c r="X530" s="17" t="s">
        <v>260</v>
      </c>
      <c r="Y530" s="188" t="s">
        <v>260</v>
      </c>
      <c r="Z530" s="15">
        <v>0</v>
      </c>
      <c r="AA530" s="180">
        <v>0</v>
      </c>
      <c r="AB530" s="550" t="s">
        <v>1629</v>
      </c>
      <c r="AC530" s="544" t="str">
        <f>""</f>
        <v/>
      </c>
      <c r="AD530" s="181">
        <v>0</v>
      </c>
      <c r="AE530" s="181" t="s">
        <v>332</v>
      </c>
      <c r="AF530" s="181" t="s">
        <v>332</v>
      </c>
      <c r="AG530" s="181">
        <v>1</v>
      </c>
      <c r="AH530" s="181">
        <v>3</v>
      </c>
      <c r="AI530" s="181">
        <v>0</v>
      </c>
      <c r="AJ530" s="181">
        <f>VLOOKUP($I530,'Price List, Weapons &amp; Items'!B:F,5,0)</f>
        <v>0</v>
      </c>
      <c r="AK530" s="181">
        <f t="shared" si="104"/>
        <v>0</v>
      </c>
      <c r="AL530" s="181">
        <f t="shared" si="105"/>
        <v>0</v>
      </c>
      <c r="AM530" s="181">
        <f t="shared" si="106"/>
        <v>0</v>
      </c>
      <c r="AN530" s="180" t="str">
        <f>VLOOKUP($I530,'Price List, Weapons &amp; Items'!B:L,COLUMN('Price List, Weapons &amp; Items'!$J$11)-1,0)</f>
        <v>Online marketplaces and stores</v>
      </c>
      <c r="AO530" s="180" t="str">
        <f>IF(I530=".",".",VLOOKUP($I530,'Price List, Weapons &amp; Items'!B:J,3,0))</f>
        <v>Light Anti-armor Weapon (LAW)</v>
      </c>
      <c r="AP530" s="545" t="str">
        <f t="shared" ca="1" si="113"/>
        <v/>
      </c>
      <c r="AQ530" s="180">
        <f>VLOOKUP($I530,'Price List, Weapons &amp; Items'!B:L,COLUMN('Price List, Weapons &amp; Items'!$L$11)-1,0)</f>
        <v>1</v>
      </c>
      <c r="AR530" s="180">
        <f t="shared" si="107"/>
        <v>1</v>
      </c>
      <c r="AS530" s="180">
        <f t="shared" si="108"/>
        <v>1</v>
      </c>
      <c r="AT530" s="180" t="str">
        <f t="shared" si="109"/>
        <v>Value is not in date format</v>
      </c>
      <c r="AU530" s="180" t="str">
        <f t="shared" si="111"/>
        <v>.</v>
      </c>
      <c r="AV530" s="180" t="str">
        <f t="shared" si="112"/>
        <v>.</v>
      </c>
      <c r="AW530" s="180">
        <f>IFERROR(VLOOKUP(B530,'Share, Heavy Weapons to Ukraine'!B:J,COLUMN('Share, Heavy Weapons to Ukraine'!C542)-1,0),0)</f>
        <v>0</v>
      </c>
      <c r="AX530" s="180">
        <f>VLOOKUP('Bilateral Assistance, MAIN DATA'!B530,'Country Summary'!B:F,COLUMN('Country Summary'!C545)-1,FALSE)</f>
        <v>1</v>
      </c>
      <c r="AY530" s="180" t="str">
        <f>IF(AND(AD530=1,D530="Military",H530&lt;&gt;"Not given")=TRUE,IF(SUMIFS(P:P,A:A,A530)&gt;0,ABS((SUMIFS(P:P,A:A,A530)/VLOOKUP("USD",'Exchange Rates'!B:C,2,0)))/S530,"."),".")</f>
        <v>.</v>
      </c>
      <c r="AZ530" s="182" t="str">
        <f>IF(AND(AD530=1,D530="Military",H530&lt;&gt;"Not given")=TRUE,IF(SUMIFS(P:P,A:A,A530)&gt;0,IF((ABS((SUMIFS(P:P,A:A,A530)/VLOOKUP("USD",'Exchange Rates'!B:C,2,0)))/S530)&gt;1,(SUMIFS(P:P,A:A,A530)-S530)/S530,(S530-SUMIFS(P:P,A:A,A530))/SUMIFS(P:P,A:A,A530)),"."),".")</f>
        <v>.</v>
      </c>
      <c r="BA530" s="182"/>
      <c r="BB530" s="182"/>
      <c r="BC530" s="182"/>
      <c r="BD530" s="182"/>
      <c r="BE530" s="182"/>
      <c r="BF530" s="182"/>
      <c r="BG530" s="182"/>
      <c r="BH530" s="182"/>
      <c r="BI530" s="182"/>
      <c r="BJ530" s="182"/>
      <c r="BK530" s="182"/>
      <c r="BL530" s="182"/>
      <c r="BM530" s="182"/>
      <c r="BN530" s="182"/>
      <c r="BO530" s="182"/>
      <c r="BP530" s="182"/>
      <c r="BQ530" s="182"/>
      <c r="BR530" s="182"/>
      <c r="BS530" s="182"/>
    </row>
    <row r="531" spans="1:71" ht="15.9" customHeight="1" x14ac:dyDescent="0.3">
      <c r="A531" s="5" t="s">
        <v>1621</v>
      </c>
      <c r="B531" s="5" t="s">
        <v>1606</v>
      </c>
      <c r="C531" s="174" t="s">
        <v>1622</v>
      </c>
      <c r="D531" s="5" t="s">
        <v>285</v>
      </c>
      <c r="E531" s="5" t="s">
        <v>339</v>
      </c>
      <c r="F531" s="175" t="s">
        <v>1623</v>
      </c>
      <c r="G531" s="15" t="s">
        <v>346</v>
      </c>
      <c r="H531" s="176" t="s">
        <v>341</v>
      </c>
      <c r="I531" s="17" t="s">
        <v>1630</v>
      </c>
      <c r="J531" s="113" t="str">
        <f>VLOOKUP($I531,'Price List, Weapons &amp; Items'!B:C,2,0)</f>
        <v>Ammunition for heavy weapon</v>
      </c>
      <c r="K531" s="113" t="str">
        <f>IF(I531=".",I531,VLOOKUP($I531,'Price List, Weapons &amp; Items'!B:D,3,0))</f>
        <v>122mm MLRS ammunition</v>
      </c>
      <c r="L531" s="177">
        <f>VLOOKUP(I531,'Price List, Weapons &amp; Items'!B:E,4,0)</f>
        <v>1</v>
      </c>
      <c r="M531" s="542">
        <v>122</v>
      </c>
      <c r="N531" s="542">
        <v>122</v>
      </c>
      <c r="O531" s="543">
        <f>VLOOKUP($I531,'Price List, Weapons &amp; Items'!B:G,6,0)</f>
        <v>1000</v>
      </c>
      <c r="P531" s="176">
        <f t="shared" si="102"/>
        <v>122000</v>
      </c>
      <c r="Q531" s="176">
        <f t="shared" si="103"/>
        <v>122000</v>
      </c>
      <c r="R531" s="176" t="str">
        <f t="shared" si="110"/>
        <v/>
      </c>
      <c r="S531" s="176" t="str">
        <f>IF(AND(AD531=1,R531&lt;&gt;".")=TRUE,R531/VLOOKUP(G531,'Exchange Rates'!B:C,2,0),IF(R531=".",".",""))</f>
        <v/>
      </c>
      <c r="T531" s="176" t="str">
        <f>IF(AD531=1,IF(AF531="Value is not given at all",".",IF(AF531="Value is given by the source",S531,IF(AF531="Value is calculated with prices",(IF(SUMIFS(Q:Q,A:A,A531)&gt;0,SUMIFS(Q:Q,A:A,A531),"."))/VLOOKUP("USD",'Exchange Rates'!B:C,2,0),"Error with coding"))),"")</f>
        <v/>
      </c>
      <c r="U531" s="15" t="s">
        <v>261</v>
      </c>
      <c r="V531" s="547" t="s">
        <v>1625</v>
      </c>
      <c r="W531" s="547" t="s">
        <v>1626</v>
      </c>
      <c r="X531" s="17" t="s">
        <v>260</v>
      </c>
      <c r="Y531" s="188" t="s">
        <v>260</v>
      </c>
      <c r="Z531" s="15">
        <v>0</v>
      </c>
      <c r="AA531" s="180">
        <v>0</v>
      </c>
      <c r="AB531" s="550" t="s">
        <v>1629</v>
      </c>
      <c r="AC531" s="544" t="str">
        <f>""</f>
        <v/>
      </c>
      <c r="AD531" s="181">
        <v>0</v>
      </c>
      <c r="AE531" s="181" t="s">
        <v>332</v>
      </c>
      <c r="AF531" s="181" t="s">
        <v>332</v>
      </c>
      <c r="AG531" s="181">
        <v>1</v>
      </c>
      <c r="AH531" s="181">
        <v>3</v>
      </c>
      <c r="AI531" s="181">
        <v>0</v>
      </c>
      <c r="AJ531" s="181">
        <f>VLOOKUP($I531,'Price List, Weapons &amp; Items'!B:F,5,0)</f>
        <v>1</v>
      </c>
      <c r="AK531" s="181">
        <f t="shared" si="104"/>
        <v>0</v>
      </c>
      <c r="AL531" s="181">
        <f t="shared" si="105"/>
        <v>0</v>
      </c>
      <c r="AM531" s="181">
        <f t="shared" si="106"/>
        <v>0</v>
      </c>
      <c r="AN531" s="180" t="str">
        <f>VLOOKUP($I531,'Price List, Weapons &amp; Items'!B:L,COLUMN('Price List, Weapons &amp; Items'!$J$11)-1,0)</f>
        <v>Media reports (incl. social media)</v>
      </c>
      <c r="AO531" s="180" t="str">
        <f>IF(I531=".",".",VLOOKUP($I531,'Price List, Weapons &amp; Items'!B:J,3,0))</f>
        <v>122mm MLRS ammunition</v>
      </c>
      <c r="AP531" s="545" t="str">
        <f t="shared" ca="1" si="113"/>
        <v/>
      </c>
      <c r="AQ531" s="180">
        <f>VLOOKUP($I531,'Price List, Weapons &amp; Items'!B:L,COLUMN('Price List, Weapons &amp; Items'!$L$11)-1,0)</f>
        <v>2</v>
      </c>
      <c r="AR531" s="180">
        <f t="shared" si="107"/>
        <v>1</v>
      </c>
      <c r="AS531" s="180">
        <f t="shared" si="108"/>
        <v>1</v>
      </c>
      <c r="AT531" s="180" t="str">
        <f t="shared" si="109"/>
        <v>Value is not in date format</v>
      </c>
      <c r="AU531" s="180" t="str">
        <f t="shared" si="111"/>
        <v>.</v>
      </c>
      <c r="AV531" s="180" t="str">
        <f t="shared" si="112"/>
        <v>.</v>
      </c>
      <c r="AW531" s="180">
        <f>IFERROR(VLOOKUP(B531,'Share, Heavy Weapons to Ukraine'!B:J,COLUMN('Share, Heavy Weapons to Ukraine'!C543)-1,0),0)</f>
        <v>0</v>
      </c>
      <c r="AX531" s="180">
        <f>VLOOKUP('Bilateral Assistance, MAIN DATA'!B531,'Country Summary'!B:F,COLUMN('Country Summary'!C546)-1,FALSE)</f>
        <v>1</v>
      </c>
      <c r="AY531" s="180" t="str">
        <f>IF(AND(AD531=1,D531="Military",H531&lt;&gt;"Not given")=TRUE,IF(SUMIFS(P:P,A:A,A531)&gt;0,ABS((SUMIFS(P:P,A:A,A531)/VLOOKUP("USD",'Exchange Rates'!B:C,2,0)))/S531,"."),".")</f>
        <v>.</v>
      </c>
      <c r="AZ531" s="182" t="str">
        <f>IF(AND(AD531=1,D531="Military",H531&lt;&gt;"Not given")=TRUE,IF(SUMIFS(P:P,A:A,A531)&gt;0,IF((ABS((SUMIFS(P:P,A:A,A531)/VLOOKUP("USD",'Exchange Rates'!B:C,2,0)))/S531)&gt;1,(SUMIFS(P:P,A:A,A531)-S531)/S531,(S531-SUMIFS(P:P,A:A,A531))/SUMIFS(P:P,A:A,A531)),"."),".")</f>
        <v>.</v>
      </c>
      <c r="BA531" s="182"/>
      <c r="BB531" s="182"/>
      <c r="BC531" s="182"/>
      <c r="BD531" s="182"/>
      <c r="BE531" s="182"/>
      <c r="BF531" s="182"/>
      <c r="BG531" s="182"/>
      <c r="BH531" s="182"/>
      <c r="BI531" s="182"/>
      <c r="BJ531" s="182"/>
      <c r="BK531" s="182"/>
      <c r="BL531" s="182"/>
      <c r="BM531" s="182"/>
      <c r="BN531" s="182"/>
      <c r="BO531" s="182"/>
      <c r="BP531" s="182"/>
      <c r="BQ531" s="182"/>
      <c r="BR531" s="182"/>
      <c r="BS531" s="182"/>
    </row>
    <row r="532" spans="1:71" ht="15.9" customHeight="1" x14ac:dyDescent="0.3">
      <c r="A532" s="5" t="s">
        <v>1631</v>
      </c>
      <c r="B532" s="5" t="s">
        <v>1606</v>
      </c>
      <c r="C532" s="174">
        <v>44707</v>
      </c>
      <c r="D532" s="5" t="s">
        <v>285</v>
      </c>
      <c r="E532" s="5" t="s">
        <v>339</v>
      </c>
      <c r="F532" s="175" t="s">
        <v>1632</v>
      </c>
      <c r="G532" s="15" t="s">
        <v>346</v>
      </c>
      <c r="H532" s="176" t="s">
        <v>341</v>
      </c>
      <c r="I532" s="17" t="s">
        <v>1633</v>
      </c>
      <c r="J532" s="113" t="str">
        <f>VLOOKUP($I532,'Price List, Weapons &amp; Items'!B:C,2,0)</f>
        <v>Ammunition for portable defence system</v>
      </c>
      <c r="K532" s="113" t="str">
        <f>IF(I532=".",I532,VLOOKUP($I532,'Price List, Weapons &amp; Items'!B:D,3,0))</f>
        <v>MANPADS ammunition</v>
      </c>
      <c r="L532" s="177">
        <f>VLOOKUP(I532,'Price List, Weapons &amp; Items'!B:E,4,0)</f>
        <v>0</v>
      </c>
      <c r="M532" s="542">
        <v>15000</v>
      </c>
      <c r="N532" s="542">
        <v>15000</v>
      </c>
      <c r="O532" s="543">
        <f>VLOOKUP($I532,'Price List, Weapons &amp; Items'!B:G,6,0)</f>
        <v>2500</v>
      </c>
      <c r="P532" s="176">
        <f t="shared" si="102"/>
        <v>37500000</v>
      </c>
      <c r="Q532" s="176">
        <f t="shared" si="103"/>
        <v>37500000</v>
      </c>
      <c r="R532" s="176">
        <f t="shared" si="110"/>
        <v>152084448</v>
      </c>
      <c r="S532" s="176">
        <f>IF(AND(AD532=1,R532&lt;&gt;".")=TRUE,R532/VLOOKUP(G532,'Exchange Rates'!B:C,2,0),IF(R532=".",".",""))</f>
        <v>144842331.42857143</v>
      </c>
      <c r="T532" s="176">
        <f>IF(AD532=1,IF(AF532="Value is not given at all",".",IF(AF532="Value is given by the source",S532,IF(AF532="Value is calculated with prices",(IF(SUMIFS(Q:Q,A:A,A532)&gt;0,SUMIFS(Q:Q,A:A,A532),"."))/VLOOKUP("USD",'Exchange Rates'!B:C,2,0),"Error with coding"))),"")</f>
        <v>144842331.42857143</v>
      </c>
      <c r="U532" s="15" t="s">
        <v>415</v>
      </c>
      <c r="V532" s="547" t="s">
        <v>1634</v>
      </c>
      <c r="W532" s="547" t="s">
        <v>1635</v>
      </c>
      <c r="X532" s="547" t="s">
        <v>1636</v>
      </c>
      <c r="Y532" s="680" t="s">
        <v>260</v>
      </c>
      <c r="Z532" s="180">
        <v>0</v>
      </c>
      <c r="AA532" s="180">
        <v>0</v>
      </c>
      <c r="AB532" s="547" t="s">
        <v>1635</v>
      </c>
      <c r="AC532" s="544" t="str">
        <f>""</f>
        <v/>
      </c>
      <c r="AD532" s="181">
        <v>1</v>
      </c>
      <c r="AE532" s="181" t="s">
        <v>332</v>
      </c>
      <c r="AF532" s="181" t="s">
        <v>332</v>
      </c>
      <c r="AG532" s="181">
        <v>1</v>
      </c>
      <c r="AH532" s="181">
        <v>5</v>
      </c>
      <c r="AI532" s="181">
        <v>0</v>
      </c>
      <c r="AJ532" s="181">
        <f>VLOOKUP($I532,'Price List, Weapons &amp; Items'!B:F,5,0)</f>
        <v>0</v>
      </c>
      <c r="AK532" s="181">
        <f t="shared" si="104"/>
        <v>0</v>
      </c>
      <c r="AL532" s="181">
        <f t="shared" si="105"/>
        <v>0</v>
      </c>
      <c r="AM532" s="181">
        <f t="shared" si="106"/>
        <v>0</v>
      </c>
      <c r="AN532" s="180" t="str">
        <f>VLOOKUP($I532,'Price List, Weapons &amp; Items'!B:L,COLUMN('Price List, Weapons &amp; Items'!$J$11)-1,0)</f>
        <v>Miscellaneous</v>
      </c>
      <c r="AO532" s="180" t="str">
        <f>IF(I532=".",".",VLOOKUP($I532,'Price List, Weapons &amp; Items'!B:J,3,0))</f>
        <v>MANPADS ammunition</v>
      </c>
      <c r="AP532" s="545" t="e">
        <f t="shared" ca="1" si="113"/>
        <v>#NAME?</v>
      </c>
      <c r="AQ532" s="180">
        <f>VLOOKUP($I532,'Price List, Weapons &amp; Items'!B:L,COLUMN('Price List, Weapons &amp; Items'!$L$11)-1,0)</f>
        <v>2</v>
      </c>
      <c r="AR532" s="180">
        <f t="shared" si="107"/>
        <v>0</v>
      </c>
      <c r="AS532" s="180">
        <f t="shared" si="108"/>
        <v>1</v>
      </c>
      <c r="AT532" s="180">
        <f t="shared" si="109"/>
        <v>1</v>
      </c>
      <c r="AU532" s="180" t="str">
        <f t="shared" si="111"/>
        <v>.</v>
      </c>
      <c r="AV532" s="180" t="str">
        <f t="shared" si="112"/>
        <v>.</v>
      </c>
      <c r="AW532" s="180">
        <f>IFERROR(VLOOKUP(B532,'Share, Heavy Weapons to Ukraine'!B:J,COLUMN('Share, Heavy Weapons to Ukraine'!C544)-1,0),0)</f>
        <v>0</v>
      </c>
      <c r="AX532" s="180">
        <f>VLOOKUP('Bilateral Assistance, MAIN DATA'!B532,'Country Summary'!B:F,COLUMN('Country Summary'!C547)-1,FALSE)</f>
        <v>1</v>
      </c>
      <c r="AY532" s="180" t="str">
        <f>IF(AND(AD532=1,D532="Military",H532&lt;&gt;"Not given")=TRUE,IF(SUMIFS(P:P,A:A,A532)&gt;0,ABS((SUMIFS(P:P,A:A,A532)/VLOOKUP("USD",'Exchange Rates'!B:C,2,0)))/S532,"."),".")</f>
        <v>.</v>
      </c>
      <c r="AZ532" s="182" t="str">
        <f>IF(AND(AD532=1,D532="Military",H532&lt;&gt;"Not given")=TRUE,IF(SUMIFS(P:P,A:A,A532)&gt;0,IF((ABS((SUMIFS(P:P,A:A,A532)/VLOOKUP("USD",'Exchange Rates'!B:C,2,0)))/S532)&gt;1,(SUMIFS(P:P,A:A,A532)-S532)/S532,(S532-SUMIFS(P:P,A:A,A532))/SUMIFS(P:P,A:A,A532)),"."),".")</f>
        <v>.</v>
      </c>
      <c r="BA532" s="182"/>
      <c r="BB532" s="182"/>
      <c r="BC532" s="182"/>
      <c r="BD532" s="182"/>
      <c r="BE532" s="182"/>
      <c r="BF532" s="182"/>
      <c r="BG532" s="182"/>
      <c r="BH532" s="182"/>
      <c r="BI532" s="182"/>
      <c r="BJ532" s="182"/>
      <c r="BK532" s="182"/>
      <c r="BL532" s="182"/>
      <c r="BM532" s="182"/>
      <c r="BN532" s="182"/>
      <c r="BO532" s="182"/>
      <c r="BP532" s="182"/>
      <c r="BQ532" s="182"/>
      <c r="BR532" s="182"/>
      <c r="BS532" s="182"/>
    </row>
    <row r="533" spans="1:71" ht="15.9" customHeight="1" x14ac:dyDescent="0.3">
      <c r="A533" s="5" t="s">
        <v>1631</v>
      </c>
      <c r="B533" s="5" t="s">
        <v>1606</v>
      </c>
      <c r="C533" s="174">
        <v>44707</v>
      </c>
      <c r="D533" s="5" t="s">
        <v>285</v>
      </c>
      <c r="E533" s="5" t="s">
        <v>339</v>
      </c>
      <c r="F533" s="175" t="s">
        <v>1632</v>
      </c>
      <c r="G533" s="15" t="s">
        <v>346</v>
      </c>
      <c r="H533" s="176" t="s">
        <v>341</v>
      </c>
      <c r="I533" s="17" t="s">
        <v>1630</v>
      </c>
      <c r="J533" s="113" t="str">
        <f>VLOOKUP($I533,'Price List, Weapons &amp; Items'!B:C,2,0)</f>
        <v>Ammunition for heavy weapon</v>
      </c>
      <c r="K533" s="113" t="str">
        <f>IF(I533=".",I533,VLOOKUP($I533,'Price List, Weapons &amp; Items'!B:D,3,0))</f>
        <v>122mm MLRS ammunition</v>
      </c>
      <c r="L533" s="177">
        <f>VLOOKUP(I533,'Price List, Weapons &amp; Items'!B:E,4,0)</f>
        <v>1</v>
      </c>
      <c r="M533" s="542">
        <v>2100</v>
      </c>
      <c r="N533" s="542">
        <v>2100</v>
      </c>
      <c r="O533" s="543">
        <f>VLOOKUP($I533,'Price List, Weapons &amp; Items'!B:G,6,0)</f>
        <v>1000</v>
      </c>
      <c r="P533" s="176">
        <f t="shared" si="102"/>
        <v>2100000</v>
      </c>
      <c r="Q533" s="176">
        <f t="shared" si="103"/>
        <v>2100000</v>
      </c>
      <c r="R533" s="176" t="str">
        <f t="shared" si="110"/>
        <v/>
      </c>
      <c r="S533" s="176" t="str">
        <f>IF(AND(AD533=1,R533&lt;&gt;".")=TRUE,R533/VLOOKUP(G533,'Exchange Rates'!B:C,2,0),IF(R533=".",".",""))</f>
        <v/>
      </c>
      <c r="T533" s="176" t="str">
        <f>IF(AD533=1,IF(AF533="Value is not given at all",".",IF(AF533="Value is given by the source",S533,IF(AF533="Value is calculated with prices",(IF(SUMIFS(Q:Q,A:A,A533)&gt;0,SUMIFS(Q:Q,A:A,A533),"."))/VLOOKUP("USD",'Exchange Rates'!B:C,2,0),"Error with coding"))),"")</f>
        <v/>
      </c>
      <c r="U533" s="15" t="s">
        <v>415</v>
      </c>
      <c r="V533" s="547" t="s">
        <v>1634</v>
      </c>
      <c r="W533" s="547" t="s">
        <v>1635</v>
      </c>
      <c r="X533" s="547" t="s">
        <v>1636</v>
      </c>
      <c r="Y533" s="680" t="s">
        <v>260</v>
      </c>
      <c r="Z533" s="180">
        <v>0</v>
      </c>
      <c r="AA533" s="180">
        <v>0</v>
      </c>
      <c r="AB533" s="547" t="s">
        <v>1635</v>
      </c>
      <c r="AC533" s="544" t="str">
        <f>""</f>
        <v/>
      </c>
      <c r="AD533" s="181">
        <v>0</v>
      </c>
      <c r="AE533" s="181" t="s">
        <v>332</v>
      </c>
      <c r="AF533" s="181" t="s">
        <v>332</v>
      </c>
      <c r="AG533" s="181">
        <v>1</v>
      </c>
      <c r="AH533" s="181">
        <v>5</v>
      </c>
      <c r="AI533" s="181">
        <v>0</v>
      </c>
      <c r="AJ533" s="181">
        <f>VLOOKUP($I533,'Price List, Weapons &amp; Items'!B:F,5,0)</f>
        <v>1</v>
      </c>
      <c r="AK533" s="181">
        <f t="shared" si="104"/>
        <v>0</v>
      </c>
      <c r="AL533" s="181">
        <f t="shared" si="105"/>
        <v>0</v>
      </c>
      <c r="AM533" s="181">
        <f t="shared" si="106"/>
        <v>0</v>
      </c>
      <c r="AN533" s="180" t="str">
        <f>VLOOKUP($I533,'Price List, Weapons &amp; Items'!B:L,COLUMN('Price List, Weapons &amp; Items'!$J$11)-1,0)</f>
        <v>Media reports (incl. social media)</v>
      </c>
      <c r="AO533" s="180" t="str">
        <f>IF(I533=".",".",VLOOKUP($I533,'Price List, Weapons &amp; Items'!B:J,3,0))</f>
        <v>122mm MLRS ammunition</v>
      </c>
      <c r="AP533" s="545" t="str">
        <f t="shared" ca="1" si="113"/>
        <v/>
      </c>
      <c r="AQ533" s="180">
        <f>VLOOKUP($I533,'Price List, Weapons &amp; Items'!B:L,COLUMN('Price List, Weapons &amp; Items'!$L$11)-1,0)</f>
        <v>2</v>
      </c>
      <c r="AR533" s="180">
        <f t="shared" si="107"/>
        <v>0</v>
      </c>
      <c r="AS533" s="180">
        <f t="shared" si="108"/>
        <v>1</v>
      </c>
      <c r="AT533" s="180">
        <f t="shared" si="109"/>
        <v>1</v>
      </c>
      <c r="AU533" s="180" t="str">
        <f t="shared" si="111"/>
        <v>.</v>
      </c>
      <c r="AV533" s="180" t="str">
        <f t="shared" si="112"/>
        <v>.</v>
      </c>
      <c r="AW533" s="180">
        <f>IFERROR(VLOOKUP(B533,'Share, Heavy Weapons to Ukraine'!B:J,COLUMN('Share, Heavy Weapons to Ukraine'!C545)-1,0),0)</f>
        <v>0</v>
      </c>
      <c r="AX533" s="180">
        <f>VLOOKUP('Bilateral Assistance, MAIN DATA'!B533,'Country Summary'!B:F,COLUMN('Country Summary'!C548)-1,FALSE)</f>
        <v>1</v>
      </c>
      <c r="AY533" s="180" t="str">
        <f>IF(AND(AD533=1,D533="Military",H533&lt;&gt;"Not given")=TRUE,IF(SUMIFS(P:P,A:A,A533)&gt;0,ABS((SUMIFS(P:P,A:A,A533)/VLOOKUP("USD",'Exchange Rates'!B:C,2,0)))/S533,"."),".")</f>
        <v>.</v>
      </c>
      <c r="AZ533" s="182" t="str">
        <f>IF(AND(AD533=1,D533="Military",H533&lt;&gt;"Not given")=TRUE,IF(SUMIFS(P:P,A:A,A533)&gt;0,IF((ABS((SUMIFS(P:P,A:A,A533)/VLOOKUP("USD",'Exchange Rates'!B:C,2,0)))/S533)&gt;1,(SUMIFS(P:P,A:A,A533)-S533)/S533,(S533-SUMIFS(P:P,A:A,A533))/SUMIFS(P:P,A:A,A533)),"."),".")</f>
        <v>.</v>
      </c>
      <c r="BA533" s="182"/>
      <c r="BB533" s="182"/>
      <c r="BC533" s="182"/>
      <c r="BD533" s="182"/>
      <c r="BE533" s="182"/>
      <c r="BF533" s="182"/>
      <c r="BG533" s="182"/>
      <c r="BH533" s="182"/>
      <c r="BI533" s="182"/>
      <c r="BJ533" s="182"/>
      <c r="BK533" s="182"/>
      <c r="BL533" s="182"/>
      <c r="BM533" s="182"/>
      <c r="BN533" s="182"/>
      <c r="BO533" s="182"/>
      <c r="BP533" s="182"/>
      <c r="BQ533" s="182"/>
      <c r="BR533" s="182"/>
      <c r="BS533" s="182"/>
    </row>
    <row r="534" spans="1:71" ht="15.9" customHeight="1" x14ac:dyDescent="0.3">
      <c r="A534" s="5" t="s">
        <v>1631</v>
      </c>
      <c r="B534" s="5" t="s">
        <v>1606</v>
      </c>
      <c r="C534" s="174">
        <v>44707</v>
      </c>
      <c r="D534" s="5" t="s">
        <v>285</v>
      </c>
      <c r="E534" s="5" t="s">
        <v>339</v>
      </c>
      <c r="F534" s="175" t="s">
        <v>1632</v>
      </c>
      <c r="G534" s="15" t="s">
        <v>346</v>
      </c>
      <c r="H534" s="176" t="s">
        <v>341</v>
      </c>
      <c r="I534" s="17" t="s">
        <v>1637</v>
      </c>
      <c r="J534" s="113" t="str">
        <f>VLOOKUP($I534,'Price List, Weapons &amp; Items'!B:C,2,0)</f>
        <v>Ammunition for light infantry</v>
      </c>
      <c r="K534" s="113" t="str">
        <f>IF(I534=".",I534,VLOOKUP($I534,'Price List, Weapons &amp; Items'!B:D,3,0))</f>
        <v>Small Arms and Light Weapons (SALW) ammunition</v>
      </c>
      <c r="L534" s="177">
        <f>VLOOKUP(I534,'Price List, Weapons &amp; Items'!B:E,4,0)</f>
        <v>0</v>
      </c>
      <c r="M534" s="542">
        <v>3200000</v>
      </c>
      <c r="N534" s="542">
        <v>3200000</v>
      </c>
      <c r="O534" s="543">
        <f>VLOOKUP($I534,'Price List, Weapons &amp; Items'!B:G,6,0)</f>
        <v>0.57999999999999996</v>
      </c>
      <c r="P534" s="176">
        <f t="shared" si="102"/>
        <v>1855999.9999999998</v>
      </c>
      <c r="Q534" s="176">
        <f t="shared" si="103"/>
        <v>1855999.9999999998</v>
      </c>
      <c r="R534" s="176" t="str">
        <f t="shared" si="110"/>
        <v/>
      </c>
      <c r="S534" s="176" t="str">
        <f>IF(AND(AD534=1,R534&lt;&gt;".")=TRUE,R534/VLOOKUP(G534,'Exchange Rates'!B:C,2,0),IF(R534=".",".",""))</f>
        <v/>
      </c>
      <c r="T534" s="176" t="str">
        <f>IF(AD534=1,IF(AF534="Value is not given at all",".",IF(AF534="Value is given by the source",S534,IF(AF534="Value is calculated with prices",(IF(SUMIFS(Q:Q,A:A,A534)&gt;0,SUMIFS(Q:Q,A:A,A534),"."))/VLOOKUP("USD",'Exchange Rates'!B:C,2,0),"Error with coding"))),"")</f>
        <v/>
      </c>
      <c r="U534" s="15" t="s">
        <v>415</v>
      </c>
      <c r="V534" s="547" t="s">
        <v>1634</v>
      </c>
      <c r="W534" s="547" t="s">
        <v>1635</v>
      </c>
      <c r="X534" s="547" t="s">
        <v>1636</v>
      </c>
      <c r="Y534" s="680" t="s">
        <v>260</v>
      </c>
      <c r="Z534" s="180">
        <v>0</v>
      </c>
      <c r="AA534" s="180">
        <v>0</v>
      </c>
      <c r="AB534" s="547" t="s">
        <v>1635</v>
      </c>
      <c r="AC534" s="544" t="str">
        <f>""</f>
        <v/>
      </c>
      <c r="AD534" s="181">
        <v>0</v>
      </c>
      <c r="AE534" s="181" t="s">
        <v>332</v>
      </c>
      <c r="AF534" s="181" t="s">
        <v>332</v>
      </c>
      <c r="AG534" s="181">
        <v>1</v>
      </c>
      <c r="AH534" s="181">
        <v>5</v>
      </c>
      <c r="AI534" s="181">
        <v>0</v>
      </c>
      <c r="AJ534" s="181">
        <f>VLOOKUP($I534,'Price List, Weapons &amp; Items'!B:F,5,0)</f>
        <v>0</v>
      </c>
      <c r="AK534" s="181">
        <f t="shared" si="104"/>
        <v>0</v>
      </c>
      <c r="AL534" s="181">
        <f t="shared" si="105"/>
        <v>0</v>
      </c>
      <c r="AM534" s="181">
        <f t="shared" si="106"/>
        <v>0</v>
      </c>
      <c r="AN534" s="180" t="str">
        <f>VLOOKUP($I534,'Price List, Weapons &amp; Items'!B:L,COLUMN('Price List, Weapons &amp; Items'!$J$11)-1,0)</f>
        <v>Online marketplaces and stores</v>
      </c>
      <c r="AO534" s="180" t="str">
        <f>IF(I534=".",".",VLOOKUP($I534,'Price List, Weapons &amp; Items'!B:J,3,0))</f>
        <v>Small Arms and Light Weapons (SALW) ammunition</v>
      </c>
      <c r="AP534" s="545" t="str">
        <f t="shared" ca="1" si="113"/>
        <v/>
      </c>
      <c r="AQ534" s="180">
        <f>VLOOKUP($I534,'Price List, Weapons &amp; Items'!B:L,COLUMN('Price List, Weapons &amp; Items'!$L$11)-1,0)</f>
        <v>2</v>
      </c>
      <c r="AR534" s="180">
        <f t="shared" si="107"/>
        <v>0</v>
      </c>
      <c r="AS534" s="180">
        <f t="shared" si="108"/>
        <v>1</v>
      </c>
      <c r="AT534" s="180">
        <f t="shared" si="109"/>
        <v>1</v>
      </c>
      <c r="AU534" s="180" t="str">
        <f t="shared" si="111"/>
        <v>.</v>
      </c>
      <c r="AV534" s="180" t="str">
        <f t="shared" si="112"/>
        <v>.</v>
      </c>
      <c r="AW534" s="180">
        <f>IFERROR(VLOOKUP(B534,'Share, Heavy Weapons to Ukraine'!B:J,COLUMN('Share, Heavy Weapons to Ukraine'!C546)-1,0),0)</f>
        <v>0</v>
      </c>
      <c r="AX534" s="180">
        <f>VLOOKUP('Bilateral Assistance, MAIN DATA'!B534,'Country Summary'!B:F,COLUMN('Country Summary'!C549)-1,FALSE)</f>
        <v>1</v>
      </c>
      <c r="AY534" s="180" t="str">
        <f>IF(AND(AD534=1,D534="Military",H534&lt;&gt;"Not given")=TRUE,IF(SUMIFS(P:P,A:A,A534)&gt;0,ABS((SUMIFS(P:P,A:A,A534)/VLOOKUP("USD",'Exchange Rates'!B:C,2,0)))/S534,"."),".")</f>
        <v>.</v>
      </c>
      <c r="AZ534" s="182" t="str">
        <f>IF(AND(AD534=1,D534="Military",H534&lt;&gt;"Not given")=TRUE,IF(SUMIFS(P:P,A:A,A534)&gt;0,IF((ABS((SUMIFS(P:P,A:A,A534)/VLOOKUP("USD",'Exchange Rates'!B:C,2,0)))/S534)&gt;1,(SUMIFS(P:P,A:A,A534)-S534)/S534,(S534-SUMIFS(P:P,A:A,A534))/SUMIFS(P:P,A:A,A534)),"."),".")</f>
        <v>.</v>
      </c>
      <c r="BA534" s="182"/>
      <c r="BB534" s="182"/>
      <c r="BC534" s="182"/>
      <c r="BD534" s="182"/>
      <c r="BE534" s="182"/>
      <c r="BF534" s="182"/>
      <c r="BG534" s="182"/>
      <c r="BH534" s="182"/>
      <c r="BI534" s="182"/>
      <c r="BJ534" s="182"/>
      <c r="BK534" s="182"/>
      <c r="BL534" s="182"/>
      <c r="BM534" s="182"/>
      <c r="BN534" s="182"/>
      <c r="BO534" s="182"/>
      <c r="BP534" s="182"/>
      <c r="BQ534" s="182"/>
      <c r="BR534" s="182"/>
      <c r="BS534" s="182"/>
    </row>
    <row r="535" spans="1:71" ht="15.9" customHeight="1" x14ac:dyDescent="0.3">
      <c r="A535" s="5" t="s">
        <v>1631</v>
      </c>
      <c r="B535" s="5" t="s">
        <v>1606</v>
      </c>
      <c r="C535" s="174">
        <v>44707</v>
      </c>
      <c r="D535" s="5" t="s">
        <v>285</v>
      </c>
      <c r="E535" s="5" t="s">
        <v>339</v>
      </c>
      <c r="F535" s="175" t="s">
        <v>1632</v>
      </c>
      <c r="G535" s="15" t="s">
        <v>346</v>
      </c>
      <c r="H535" s="176" t="s">
        <v>341</v>
      </c>
      <c r="I535" s="17" t="s">
        <v>1624</v>
      </c>
      <c r="J535" s="113" t="str">
        <f>VLOOKUP($I535,'Price List, Weapons &amp; Items'!B:C,2,0)</f>
        <v>Light armaments &amp; infantry</v>
      </c>
      <c r="K535" s="113" t="str">
        <f>IF(I535=".",I535,VLOOKUP($I535,'Price List, Weapons &amp; Items'!B:D,3,0))</f>
        <v>Small Arms and Light Weapons (SALW)</v>
      </c>
      <c r="L535" s="177">
        <f>VLOOKUP(I535,'Price List, Weapons &amp; Items'!B:E,4,0)</f>
        <v>1</v>
      </c>
      <c r="M535" s="542">
        <v>20000</v>
      </c>
      <c r="N535" s="542">
        <v>20000</v>
      </c>
      <c r="O535" s="543">
        <f>VLOOKUP($I535,'Price List, Weapons &amp; Items'!B:G,6,0)</f>
        <v>850</v>
      </c>
      <c r="P535" s="176">
        <f t="shared" si="102"/>
        <v>17000000</v>
      </c>
      <c r="Q535" s="176">
        <f t="shared" si="103"/>
        <v>17000000</v>
      </c>
      <c r="R535" s="176" t="str">
        <f t="shared" si="110"/>
        <v/>
      </c>
      <c r="S535" s="176" t="str">
        <f>IF(AND(AD535=1,R535&lt;&gt;".")=TRUE,R535/VLOOKUP(G535,'Exchange Rates'!B:C,2,0),IF(R535=".",".",""))</f>
        <v/>
      </c>
      <c r="T535" s="176" t="str">
        <f>IF(AD535=1,IF(AF535="Value is not given at all",".",IF(AF535="Value is given by the source",S535,IF(AF535="Value is calculated with prices",(IF(SUMIFS(Q:Q,A:A,A535)&gt;0,SUMIFS(Q:Q,A:A,A535),"."))/VLOOKUP("USD",'Exchange Rates'!B:C,2,0),"Error with coding"))),"")</f>
        <v/>
      </c>
      <c r="U535" s="15" t="s">
        <v>415</v>
      </c>
      <c r="V535" s="547" t="s">
        <v>1634</v>
      </c>
      <c r="W535" s="547" t="s">
        <v>1635</v>
      </c>
      <c r="X535" s="547" t="s">
        <v>1636</v>
      </c>
      <c r="Y535" s="680" t="s">
        <v>260</v>
      </c>
      <c r="Z535" s="180">
        <v>0</v>
      </c>
      <c r="AA535" s="180">
        <v>0</v>
      </c>
      <c r="AB535" s="547" t="s">
        <v>1635</v>
      </c>
      <c r="AC535" s="544" t="str">
        <f>""</f>
        <v/>
      </c>
      <c r="AD535" s="181">
        <v>0</v>
      </c>
      <c r="AE535" s="181" t="s">
        <v>332</v>
      </c>
      <c r="AF535" s="181" t="s">
        <v>332</v>
      </c>
      <c r="AG535" s="181">
        <v>1</v>
      </c>
      <c r="AH535" s="181">
        <v>5</v>
      </c>
      <c r="AI535" s="181">
        <v>0</v>
      </c>
      <c r="AJ535" s="181">
        <f>VLOOKUP($I535,'Price List, Weapons &amp; Items'!B:F,5,0)</f>
        <v>0</v>
      </c>
      <c r="AK535" s="181">
        <f t="shared" si="104"/>
        <v>0</v>
      </c>
      <c r="AL535" s="181">
        <f t="shared" si="105"/>
        <v>0</v>
      </c>
      <c r="AM535" s="181">
        <f t="shared" si="106"/>
        <v>0</v>
      </c>
      <c r="AN535" s="180" t="str">
        <f>VLOOKUP($I535,'Price List, Weapons &amp; Items'!B:L,COLUMN('Price List, Weapons &amp; Items'!$J$11)-1,0)</f>
        <v>Miscellaneous</v>
      </c>
      <c r="AO535" s="180" t="str">
        <f>IF(I535=".",".",VLOOKUP($I535,'Price List, Weapons &amp; Items'!B:J,3,0))</f>
        <v>Small Arms and Light Weapons (SALW)</v>
      </c>
      <c r="AP535" s="545" t="str">
        <f t="shared" ca="1" si="113"/>
        <v/>
      </c>
      <c r="AQ535" s="180">
        <f>VLOOKUP($I535,'Price List, Weapons &amp; Items'!B:L,COLUMN('Price List, Weapons &amp; Items'!$L$11)-1,0)</f>
        <v>2</v>
      </c>
      <c r="AR535" s="180">
        <f t="shared" si="107"/>
        <v>0</v>
      </c>
      <c r="AS535" s="180">
        <f t="shared" si="108"/>
        <v>1</v>
      </c>
      <c r="AT535" s="180">
        <f t="shared" si="109"/>
        <v>1</v>
      </c>
      <c r="AU535" s="180" t="str">
        <f t="shared" si="111"/>
        <v>.</v>
      </c>
      <c r="AV535" s="180" t="str">
        <f t="shared" si="112"/>
        <v>.</v>
      </c>
      <c r="AW535" s="180">
        <f>IFERROR(VLOOKUP(B535,'Share, Heavy Weapons to Ukraine'!B:J,COLUMN('Share, Heavy Weapons to Ukraine'!C547)-1,0),0)</f>
        <v>0</v>
      </c>
      <c r="AX535" s="180">
        <f>VLOOKUP('Bilateral Assistance, MAIN DATA'!B535,'Country Summary'!B:F,COLUMN('Country Summary'!C550)-1,FALSE)</f>
        <v>1</v>
      </c>
      <c r="AY535" s="180" t="str">
        <f>IF(AND(AD535=1,D535="Military",H535&lt;&gt;"Not given")=TRUE,IF(SUMIFS(P:P,A:A,A535)&gt;0,ABS((SUMIFS(P:P,A:A,A535)/VLOOKUP("USD",'Exchange Rates'!B:C,2,0)))/S535,"."),".")</f>
        <v>.</v>
      </c>
      <c r="AZ535" s="182" t="str">
        <f>IF(AND(AD535=1,D535="Military",H535&lt;&gt;"Not given")=TRUE,IF(SUMIFS(P:P,A:A,A535)&gt;0,IF((ABS((SUMIFS(P:P,A:A,A535)/VLOOKUP("USD",'Exchange Rates'!B:C,2,0)))/S535)&gt;1,(SUMIFS(P:P,A:A,A535)-S535)/S535,(S535-SUMIFS(P:P,A:A,A535))/SUMIFS(P:P,A:A,A535)),"."),".")</f>
        <v>.</v>
      </c>
      <c r="BA535" s="182"/>
      <c r="BB535" s="182"/>
      <c r="BC535" s="182"/>
      <c r="BD535" s="182"/>
      <c r="BE535" s="182"/>
      <c r="BF535" s="182"/>
      <c r="BG535" s="182"/>
      <c r="BH535" s="182"/>
      <c r="BI535" s="182"/>
      <c r="BJ535" s="182"/>
      <c r="BK535" s="182"/>
      <c r="BL535" s="182"/>
      <c r="BM535" s="182"/>
      <c r="BN535" s="182"/>
      <c r="BO535" s="182"/>
      <c r="BP535" s="182"/>
      <c r="BQ535" s="182"/>
      <c r="BR535" s="182"/>
      <c r="BS535" s="182"/>
    </row>
    <row r="536" spans="1:71" ht="15.9" customHeight="1" x14ac:dyDescent="0.3">
      <c r="A536" s="5" t="s">
        <v>1631</v>
      </c>
      <c r="B536" s="5" t="s">
        <v>1606</v>
      </c>
      <c r="C536" s="174">
        <v>44707</v>
      </c>
      <c r="D536" s="5" t="s">
        <v>285</v>
      </c>
      <c r="E536" s="5" t="s">
        <v>339</v>
      </c>
      <c r="F536" s="175" t="s">
        <v>1632</v>
      </c>
      <c r="G536" s="15" t="s">
        <v>346</v>
      </c>
      <c r="H536" s="176" t="s">
        <v>341</v>
      </c>
      <c r="I536" s="17" t="s">
        <v>1638</v>
      </c>
      <c r="J536" s="113" t="str">
        <f>VLOOKUP($I536,'Price List, Weapons &amp; Items'!B:C,2,0)</f>
        <v>Ammunition for portable defence system</v>
      </c>
      <c r="K536" s="113" t="str">
        <f>IF(I536=".",I536,VLOOKUP($I536,'Price List, Weapons &amp; Items'!B:D,3,0))</f>
        <v>MANPADS ammunition</v>
      </c>
      <c r="L536" s="177">
        <f>VLOOKUP(I536,'Price List, Weapons &amp; Items'!B:E,4,0)</f>
        <v>0</v>
      </c>
      <c r="M536" s="542">
        <v>60</v>
      </c>
      <c r="N536" s="542">
        <v>60</v>
      </c>
      <c r="O536" s="543">
        <f>VLOOKUP($I536,'Price List, Weapons &amp; Items'!B:G,6,0)</f>
        <v>480000</v>
      </c>
      <c r="P536" s="176">
        <f t="shared" si="102"/>
        <v>28800000</v>
      </c>
      <c r="Q536" s="176">
        <f t="shared" si="103"/>
        <v>28800000</v>
      </c>
      <c r="R536" s="176" t="str">
        <f t="shared" si="110"/>
        <v/>
      </c>
      <c r="S536" s="176" t="str">
        <f>IF(AND(AD536=1,R536&lt;&gt;".")=TRUE,R536/VLOOKUP(G536,'Exchange Rates'!B:C,2,0),IF(R536=".",".",""))</f>
        <v/>
      </c>
      <c r="T536" s="176" t="str">
        <f>IF(AD536=1,IF(AF536="Value is not given at all",".",IF(AF536="Value is given by the source",S536,IF(AF536="Value is calculated with prices",(IF(SUMIFS(Q:Q,A:A,A536)&gt;0,SUMIFS(Q:Q,A:A,A536),"."))/VLOOKUP("USD",'Exchange Rates'!B:C,2,0),"Error with coding"))),"")</f>
        <v/>
      </c>
      <c r="U536" s="15" t="s">
        <v>415</v>
      </c>
      <c r="V536" s="547" t="s">
        <v>1634</v>
      </c>
      <c r="W536" s="547" t="s">
        <v>1635</v>
      </c>
      <c r="X536" s="547" t="s">
        <v>1636</v>
      </c>
      <c r="Y536" s="680" t="s">
        <v>260</v>
      </c>
      <c r="Z536" s="180">
        <v>0</v>
      </c>
      <c r="AA536" s="180">
        <v>0</v>
      </c>
      <c r="AB536" s="547" t="s">
        <v>1635</v>
      </c>
      <c r="AC536" s="544" t="str">
        <f>""</f>
        <v/>
      </c>
      <c r="AD536" s="181">
        <v>0</v>
      </c>
      <c r="AE536" s="181" t="s">
        <v>332</v>
      </c>
      <c r="AF536" s="181" t="s">
        <v>332</v>
      </c>
      <c r="AG536" s="181">
        <v>1</v>
      </c>
      <c r="AH536" s="181">
        <v>5</v>
      </c>
      <c r="AI536" s="181">
        <v>0</v>
      </c>
      <c r="AJ536" s="181">
        <f>VLOOKUP($I536,'Price List, Weapons &amp; Items'!B:F,5,0)</f>
        <v>0</v>
      </c>
      <c r="AK536" s="181">
        <f t="shared" si="104"/>
        <v>0</v>
      </c>
      <c r="AL536" s="181">
        <f t="shared" si="105"/>
        <v>0</v>
      </c>
      <c r="AM536" s="181">
        <f t="shared" si="106"/>
        <v>0</v>
      </c>
      <c r="AN536" s="180" t="str">
        <f>VLOOKUP($I536,'Price List, Weapons &amp; Items'!B:L,COLUMN('Price List, Weapons &amp; Items'!$J$11)-1,0)</f>
        <v>Media reports (incl. social media)</v>
      </c>
      <c r="AO536" s="180" t="str">
        <f>IF(I536=".",".",VLOOKUP($I536,'Price List, Weapons &amp; Items'!B:J,3,0))</f>
        <v>MANPADS ammunition</v>
      </c>
      <c r="AP536" s="545" t="str">
        <f t="shared" ca="1" si="113"/>
        <v/>
      </c>
      <c r="AQ536" s="180">
        <f>VLOOKUP($I536,'Price List, Weapons &amp; Items'!B:L,COLUMN('Price List, Weapons &amp; Items'!$L$11)-1,0)</f>
        <v>2</v>
      </c>
      <c r="AR536" s="180">
        <f t="shared" si="107"/>
        <v>0</v>
      </c>
      <c r="AS536" s="180">
        <f t="shared" si="108"/>
        <v>1</v>
      </c>
      <c r="AT536" s="180">
        <f t="shared" si="109"/>
        <v>1</v>
      </c>
      <c r="AU536" s="180" t="str">
        <f t="shared" si="111"/>
        <v>.</v>
      </c>
      <c r="AV536" s="180" t="str">
        <f t="shared" si="112"/>
        <v>.</v>
      </c>
      <c r="AW536" s="180">
        <f>IFERROR(VLOOKUP(B536,'Share, Heavy Weapons to Ukraine'!B:J,COLUMN('Share, Heavy Weapons to Ukraine'!C548)-1,0),0)</f>
        <v>0</v>
      </c>
      <c r="AX536" s="180">
        <f>VLOOKUP('Bilateral Assistance, MAIN DATA'!B536,'Country Summary'!B:F,COLUMN('Country Summary'!C551)-1,FALSE)</f>
        <v>1</v>
      </c>
      <c r="AY536" s="180" t="str">
        <f>IF(AND(AD536=1,D536="Military",H536&lt;&gt;"Not given")=TRUE,IF(SUMIFS(P:P,A:A,A536)&gt;0,ABS((SUMIFS(P:P,A:A,A536)/VLOOKUP("USD",'Exchange Rates'!B:C,2,0)))/S536,"."),".")</f>
        <v>.</v>
      </c>
      <c r="AZ536" s="182" t="str">
        <f>IF(AND(AD536=1,D536="Military",H536&lt;&gt;"Not given")=TRUE,IF(SUMIFS(P:P,A:A,A536)&gt;0,IF((ABS((SUMIFS(P:P,A:A,A536)/VLOOKUP("USD",'Exchange Rates'!B:C,2,0)))/S536)&gt;1,(SUMIFS(P:P,A:A,A536)-S536)/S536,(S536-SUMIFS(P:P,A:A,A536))/SUMIFS(P:P,A:A,A536)),"."),".")</f>
        <v>.</v>
      </c>
      <c r="BA536" s="182"/>
      <c r="BB536" s="182"/>
      <c r="BC536" s="182"/>
      <c r="BD536" s="182"/>
      <c r="BE536" s="182"/>
      <c r="BF536" s="182"/>
      <c r="BG536" s="182"/>
      <c r="BH536" s="182"/>
      <c r="BI536" s="182"/>
      <c r="BJ536" s="182"/>
      <c r="BK536" s="182"/>
      <c r="BL536" s="182"/>
      <c r="BM536" s="182"/>
      <c r="BN536" s="182"/>
      <c r="BO536" s="182"/>
      <c r="BP536" s="182"/>
      <c r="BQ536" s="182"/>
      <c r="BR536" s="182"/>
      <c r="BS536" s="182"/>
    </row>
    <row r="537" spans="1:71" ht="15.9" customHeight="1" x14ac:dyDescent="0.3">
      <c r="A537" s="5" t="s">
        <v>1631</v>
      </c>
      <c r="B537" s="5" t="s">
        <v>1606</v>
      </c>
      <c r="C537" s="174">
        <v>44707</v>
      </c>
      <c r="D537" s="5" t="s">
        <v>285</v>
      </c>
      <c r="E537" s="5" t="s">
        <v>339</v>
      </c>
      <c r="F537" s="175" t="s">
        <v>1632</v>
      </c>
      <c r="G537" s="15" t="s">
        <v>346</v>
      </c>
      <c r="H537" s="176" t="s">
        <v>341</v>
      </c>
      <c r="I537" s="17" t="s">
        <v>624</v>
      </c>
      <c r="J537" s="113" t="str">
        <f>VLOOKUP($I537,'Price List, Weapons &amp; Items'!B:C,2,0)</f>
        <v>Ammunition for heavy weapon</v>
      </c>
      <c r="K537" s="113" t="str">
        <f>IF(I537=".",I537,VLOOKUP($I537,'Price List, Weapons &amp; Items'!B:D,3,0))</f>
        <v>155mm howitzer ammunition</v>
      </c>
      <c r="L537" s="177">
        <f>VLOOKUP(I537,'Price List, Weapons &amp; Items'!B:E,4,0)</f>
        <v>0</v>
      </c>
      <c r="M537" s="542">
        <v>17000</v>
      </c>
      <c r="N537" s="542">
        <v>17000</v>
      </c>
      <c r="O537" s="543">
        <f>VLOOKUP($I537,'Price List, Weapons &amp; Items'!B:G,6,0)</f>
        <v>3800</v>
      </c>
      <c r="P537" s="176">
        <f t="shared" si="102"/>
        <v>64600000</v>
      </c>
      <c r="Q537" s="176">
        <f t="shared" si="103"/>
        <v>64600000</v>
      </c>
      <c r="R537" s="176" t="str">
        <f t="shared" si="110"/>
        <v/>
      </c>
      <c r="S537" s="176" t="str">
        <f>IF(AND(AD537=1,R537&lt;&gt;".")=TRUE,R537/VLOOKUP(G537,'Exchange Rates'!B:C,2,0),IF(R537=".",".",""))</f>
        <v/>
      </c>
      <c r="T537" s="176" t="str">
        <f>IF(AD537=1,IF(AF537="Value is not given at all",".",IF(AF537="Value is given by the source",S537,IF(AF537="Value is calculated with prices",(IF(SUMIFS(Q:Q,A:A,A537)&gt;0,SUMIFS(Q:Q,A:A,A537),"."))/VLOOKUP("USD",'Exchange Rates'!B:C,2,0),"Error with coding"))),"")</f>
        <v/>
      </c>
      <c r="U537" s="15" t="s">
        <v>415</v>
      </c>
      <c r="V537" s="547" t="s">
        <v>1634</v>
      </c>
      <c r="W537" s="547" t="s">
        <v>1635</v>
      </c>
      <c r="X537" s="547" t="s">
        <v>1636</v>
      </c>
      <c r="Y537" s="680" t="s">
        <v>260</v>
      </c>
      <c r="Z537" s="180">
        <v>0</v>
      </c>
      <c r="AA537" s="180">
        <v>0</v>
      </c>
      <c r="AB537" s="547" t="s">
        <v>1635</v>
      </c>
      <c r="AC537" s="544" t="str">
        <f>""</f>
        <v/>
      </c>
      <c r="AD537" s="181">
        <v>0</v>
      </c>
      <c r="AE537" s="181" t="s">
        <v>332</v>
      </c>
      <c r="AF537" s="181" t="s">
        <v>332</v>
      </c>
      <c r="AG537" s="181">
        <v>1</v>
      </c>
      <c r="AH537" s="181">
        <v>5</v>
      </c>
      <c r="AI537" s="181">
        <v>0</v>
      </c>
      <c r="AJ537" s="181">
        <f>VLOOKUP($I537,'Price List, Weapons &amp; Items'!B:F,5,0)</f>
        <v>1</v>
      </c>
      <c r="AK537" s="181">
        <f t="shared" si="104"/>
        <v>0</v>
      </c>
      <c r="AL537" s="181">
        <f t="shared" si="105"/>
        <v>0</v>
      </c>
      <c r="AM537" s="181">
        <f t="shared" si="106"/>
        <v>1</v>
      </c>
      <c r="AN537" s="180" t="str">
        <f>VLOOKUP($I537,'Price List, Weapons &amp; Items'!B:L,COLUMN('Price List, Weapons &amp; Items'!$J$11)-1,0)</f>
        <v>Government information</v>
      </c>
      <c r="AO537" s="180" t="str">
        <f>IF(I537=".",".",VLOOKUP($I537,'Price List, Weapons &amp; Items'!B:J,3,0))</f>
        <v>155mm howitzer ammunition</v>
      </c>
      <c r="AP537" s="545" t="str">
        <f t="shared" ca="1" si="113"/>
        <v/>
      </c>
      <c r="AQ537" s="180">
        <f>VLOOKUP($I537,'Price List, Weapons &amp; Items'!B:L,COLUMN('Price List, Weapons &amp; Items'!$L$11)-1,0)</f>
        <v>2</v>
      </c>
      <c r="AR537" s="180">
        <f t="shared" si="107"/>
        <v>0</v>
      </c>
      <c r="AS537" s="180">
        <f t="shared" si="108"/>
        <v>1</v>
      </c>
      <c r="AT537" s="180">
        <f t="shared" si="109"/>
        <v>1</v>
      </c>
      <c r="AU537" s="180" t="str">
        <f t="shared" si="111"/>
        <v>.</v>
      </c>
      <c r="AV537" s="180" t="str">
        <f t="shared" si="112"/>
        <v>.</v>
      </c>
      <c r="AW537" s="180">
        <f>IFERROR(VLOOKUP(B537,'Share, Heavy Weapons to Ukraine'!B:J,COLUMN('Share, Heavy Weapons to Ukraine'!C549)-1,0),0)</f>
        <v>0</v>
      </c>
      <c r="AX537" s="180">
        <f>VLOOKUP('Bilateral Assistance, MAIN DATA'!B537,'Country Summary'!B:F,COLUMN('Country Summary'!C552)-1,FALSE)</f>
        <v>1</v>
      </c>
      <c r="AY537" s="180" t="str">
        <f>IF(AND(AD537=1,D537="Military",H537&lt;&gt;"Not given")=TRUE,IF(SUMIFS(P:P,A:A,A537)&gt;0,ABS((SUMIFS(P:P,A:A,A537)/VLOOKUP("USD",'Exchange Rates'!B:C,2,0)))/S537,"."),".")</f>
        <v>.</v>
      </c>
      <c r="AZ537" s="182" t="str">
        <f>IF(AND(AD537=1,D537="Military",H537&lt;&gt;"Not given")=TRUE,IF(SUMIFS(P:P,A:A,A537)&gt;0,IF((ABS((SUMIFS(P:P,A:A,A537)/VLOOKUP("USD",'Exchange Rates'!B:C,2,0)))/S537)&gt;1,(SUMIFS(P:P,A:A,A537)-S537)/S537,(S537-SUMIFS(P:P,A:A,A537))/SUMIFS(P:P,A:A,A537)),"."),".")</f>
        <v>.</v>
      </c>
      <c r="BA537" s="182"/>
      <c r="BB537" s="182"/>
      <c r="BC537" s="182"/>
      <c r="BD537" s="182"/>
      <c r="BE537" s="182"/>
      <c r="BF537" s="182"/>
      <c r="BG537" s="182"/>
      <c r="BH537" s="182"/>
      <c r="BI537" s="182"/>
      <c r="BJ537" s="182"/>
      <c r="BK537" s="182"/>
      <c r="BL537" s="182"/>
      <c r="BM537" s="182"/>
      <c r="BN537" s="182"/>
      <c r="BO537" s="182"/>
      <c r="BP537" s="182"/>
      <c r="BQ537" s="182"/>
      <c r="BR537" s="182"/>
      <c r="BS537" s="182"/>
    </row>
    <row r="538" spans="1:71" ht="15.9" customHeight="1" x14ac:dyDescent="0.3">
      <c r="A538" s="5" t="s">
        <v>1631</v>
      </c>
      <c r="B538" s="5" t="s">
        <v>1606</v>
      </c>
      <c r="C538" s="174">
        <v>44707</v>
      </c>
      <c r="D538" s="5" t="s">
        <v>285</v>
      </c>
      <c r="E538" s="5" t="s">
        <v>339</v>
      </c>
      <c r="F538" s="175" t="s">
        <v>1632</v>
      </c>
      <c r="G538" s="15" t="s">
        <v>346</v>
      </c>
      <c r="H538" s="176" t="s">
        <v>341</v>
      </c>
      <c r="I538" s="17" t="s">
        <v>1628</v>
      </c>
      <c r="J538" s="113" t="str">
        <f>VLOOKUP($I538,'Price List, Weapons &amp; Items'!B:C,2,0)</f>
        <v>Portable defence system</v>
      </c>
      <c r="K538" s="113" t="str">
        <f>IF(I538=".",I538,VLOOKUP($I538,'Price List, Weapons &amp; Items'!B:D,3,0))</f>
        <v>Light Anti-armor Weapon (LAW)</v>
      </c>
      <c r="L538" s="177">
        <f>VLOOKUP(I538,'Price List, Weapons &amp; Items'!B:E,4,0)</f>
        <v>1</v>
      </c>
      <c r="M538" s="542">
        <v>1100</v>
      </c>
      <c r="N538" s="542">
        <v>1100</v>
      </c>
      <c r="O538" s="543">
        <f>VLOOKUP($I538,'Price List, Weapons &amp; Items'!B:G,6,0)</f>
        <v>207.68</v>
      </c>
      <c r="P538" s="176">
        <f t="shared" si="102"/>
        <v>228448</v>
      </c>
      <c r="Q538" s="176">
        <f t="shared" si="103"/>
        <v>228448</v>
      </c>
      <c r="R538" s="176" t="str">
        <f t="shared" si="110"/>
        <v/>
      </c>
      <c r="S538" s="176" t="str">
        <f>IF(AND(AD538=1,R538&lt;&gt;".")=TRUE,R538/VLOOKUP(G538,'Exchange Rates'!B:C,2,0),IF(R538=".",".",""))</f>
        <v/>
      </c>
      <c r="T538" s="176" t="str">
        <f>IF(AD538=1,IF(AF538="Value is not given at all",".",IF(AF538="Value is given by the source",S538,IF(AF538="Value is calculated with prices",(IF(SUMIFS(Q:Q,A:A,A538)&gt;0,SUMIFS(Q:Q,A:A,A538),"."))/VLOOKUP("USD",'Exchange Rates'!B:C,2,0),"Error with coding"))),"")</f>
        <v/>
      </c>
      <c r="U538" s="15" t="s">
        <v>415</v>
      </c>
      <c r="V538" s="547" t="s">
        <v>1634</v>
      </c>
      <c r="W538" s="547" t="s">
        <v>1635</v>
      </c>
      <c r="X538" s="547" t="s">
        <v>1636</v>
      </c>
      <c r="Y538" s="680" t="s">
        <v>260</v>
      </c>
      <c r="Z538" s="180">
        <v>0</v>
      </c>
      <c r="AA538" s="180">
        <v>0</v>
      </c>
      <c r="AB538" s="547" t="s">
        <v>1635</v>
      </c>
      <c r="AC538" s="544" t="str">
        <f>""</f>
        <v/>
      </c>
      <c r="AD538" s="181">
        <v>0</v>
      </c>
      <c r="AE538" s="181" t="s">
        <v>332</v>
      </c>
      <c r="AF538" s="181" t="s">
        <v>332</v>
      </c>
      <c r="AG538" s="181">
        <v>1</v>
      </c>
      <c r="AH538" s="181">
        <v>5</v>
      </c>
      <c r="AI538" s="181">
        <v>0</v>
      </c>
      <c r="AJ538" s="181">
        <f>VLOOKUP($I538,'Price List, Weapons &amp; Items'!B:F,5,0)</f>
        <v>0</v>
      </c>
      <c r="AK538" s="181">
        <f t="shared" si="104"/>
        <v>0</v>
      </c>
      <c r="AL538" s="181">
        <f t="shared" si="105"/>
        <v>0</v>
      </c>
      <c r="AM538" s="181">
        <f t="shared" si="106"/>
        <v>0</v>
      </c>
      <c r="AN538" s="180" t="str">
        <f>VLOOKUP($I538,'Price List, Weapons &amp; Items'!B:L,COLUMN('Price List, Weapons &amp; Items'!$J$11)-1,0)</f>
        <v>Online marketplaces and stores</v>
      </c>
      <c r="AO538" s="180" t="str">
        <f>IF(I538=".",".",VLOOKUP($I538,'Price List, Weapons &amp; Items'!B:J,3,0))</f>
        <v>Light Anti-armor Weapon (LAW)</v>
      </c>
      <c r="AP538" s="545" t="str">
        <f t="shared" ca="1" si="113"/>
        <v/>
      </c>
      <c r="AQ538" s="180">
        <f>VLOOKUP($I538,'Price List, Weapons &amp; Items'!B:L,COLUMN('Price List, Weapons &amp; Items'!$L$11)-1,0)</f>
        <v>1</v>
      </c>
      <c r="AR538" s="180">
        <f t="shared" si="107"/>
        <v>0</v>
      </c>
      <c r="AS538" s="180">
        <f t="shared" si="108"/>
        <v>1</v>
      </c>
      <c r="AT538" s="180">
        <f t="shared" si="109"/>
        <v>1</v>
      </c>
      <c r="AU538" s="180" t="str">
        <f t="shared" si="111"/>
        <v>.</v>
      </c>
      <c r="AV538" s="180" t="str">
        <f t="shared" si="112"/>
        <v>.</v>
      </c>
      <c r="AW538" s="180">
        <f>IFERROR(VLOOKUP(B538,'Share, Heavy Weapons to Ukraine'!B:J,COLUMN('Share, Heavy Weapons to Ukraine'!C550)-1,0),0)</f>
        <v>0</v>
      </c>
      <c r="AX538" s="180">
        <f>VLOOKUP('Bilateral Assistance, MAIN DATA'!B538,'Country Summary'!B:F,COLUMN('Country Summary'!C553)-1,FALSE)</f>
        <v>1</v>
      </c>
      <c r="AY538" s="180" t="str">
        <f>IF(AND(AD538=1,D538="Military",H538&lt;&gt;"Not given")=TRUE,IF(SUMIFS(P:P,A:A,A538)&gt;0,ABS((SUMIFS(P:P,A:A,A538)/VLOOKUP("USD",'Exchange Rates'!B:C,2,0)))/S538,"."),".")</f>
        <v>.</v>
      </c>
      <c r="AZ538" s="182" t="str">
        <f>IF(AND(AD538=1,D538="Military",H538&lt;&gt;"Not given")=TRUE,IF(SUMIFS(P:P,A:A,A538)&gt;0,IF((ABS((SUMIFS(P:P,A:A,A538)/VLOOKUP("USD",'Exchange Rates'!B:C,2,0)))/S538)&gt;1,(SUMIFS(P:P,A:A,A538)-S538)/S538,(S538-SUMIFS(P:P,A:A,A538))/SUMIFS(P:P,A:A,A538)),"."),".")</f>
        <v>.</v>
      </c>
      <c r="BA538" s="182"/>
      <c r="BB538" s="182"/>
      <c r="BC538" s="182"/>
      <c r="BD538" s="182"/>
      <c r="BE538" s="182"/>
      <c r="BF538" s="182"/>
      <c r="BG538" s="182"/>
      <c r="BH538" s="182"/>
      <c r="BI538" s="182"/>
      <c r="BJ538" s="182"/>
      <c r="BK538" s="182"/>
      <c r="BL538" s="182"/>
      <c r="BM538" s="182"/>
      <c r="BN538" s="182"/>
      <c r="BO538" s="182"/>
      <c r="BP538" s="182"/>
      <c r="BQ538" s="182"/>
      <c r="BR538" s="182"/>
      <c r="BS538" s="182"/>
    </row>
    <row r="539" spans="1:71" ht="15.9" customHeight="1" x14ac:dyDescent="0.3">
      <c r="A539" s="5" t="s">
        <v>1639</v>
      </c>
      <c r="B539" s="5" t="s">
        <v>1606</v>
      </c>
      <c r="C539" s="174">
        <v>44822</v>
      </c>
      <c r="D539" s="5" t="s">
        <v>285</v>
      </c>
      <c r="E539" s="5" t="s">
        <v>339</v>
      </c>
      <c r="F539" s="175" t="s">
        <v>1640</v>
      </c>
      <c r="G539" s="15" t="s">
        <v>346</v>
      </c>
      <c r="H539" s="176" t="s">
        <v>341</v>
      </c>
      <c r="I539" s="17" t="s">
        <v>1641</v>
      </c>
      <c r="J539" s="113" t="str">
        <f>VLOOKUP($I539,'Price List, Weapons &amp; Items'!B:C,2,0)</f>
        <v>Heavy weapon</v>
      </c>
      <c r="K539" s="113" t="str">
        <f>IF(I539=".",I539,VLOOKUP($I539,'Price List, Weapons &amp; Items'!B:D,3,0))</f>
        <v>Infantry fighting vehicle (IFV)</v>
      </c>
      <c r="L539" s="177">
        <f>VLOOKUP(I539,'Price List, Weapons &amp; Items'!B:E,4,0)</f>
        <v>1</v>
      </c>
      <c r="M539" s="542">
        <v>40</v>
      </c>
      <c r="N539" s="542">
        <v>40</v>
      </c>
      <c r="O539" s="543">
        <f>VLOOKUP($I539,'Price List, Weapons &amp; Items'!B:G,6,0)</f>
        <v>561542.53</v>
      </c>
      <c r="P539" s="176">
        <f t="shared" si="102"/>
        <v>22461701.200000003</v>
      </c>
      <c r="Q539" s="176">
        <f t="shared" si="103"/>
        <v>22461701.200000003</v>
      </c>
      <c r="R539" s="176">
        <f t="shared" si="110"/>
        <v>22461701.200000003</v>
      </c>
      <c r="S539" s="176">
        <f>IF(AND(AD539=1,R539&lt;&gt;".")=TRUE,R539/VLOOKUP(G539,'Exchange Rates'!B:C,2,0),IF(R539=".",".",""))</f>
        <v>21392096.380952384</v>
      </c>
      <c r="T539" s="176">
        <f>IF(AD539=1,IF(AF539="Value is not given at all",".",IF(AF539="Value is given by the source",S539,IF(AF539="Value is calculated with prices",(IF(SUMIFS(Q:Q,A:A,A539)&gt;0,SUMIFS(Q:Q,A:A,A539),"."))/VLOOKUP("USD",'Exchange Rates'!B:C,2,0),"Error with coding"))),"")</f>
        <v>21392096.380952384</v>
      </c>
      <c r="U539" s="15" t="s">
        <v>261</v>
      </c>
      <c r="V539" s="547" t="s">
        <v>1642</v>
      </c>
      <c r="W539" s="547" t="s">
        <v>1643</v>
      </c>
      <c r="X539" s="680" t="s">
        <v>260</v>
      </c>
      <c r="Y539" s="680" t="s">
        <v>260</v>
      </c>
      <c r="Z539" s="180">
        <v>0</v>
      </c>
      <c r="AA539" s="180">
        <v>0</v>
      </c>
      <c r="AB539" s="666" t="s">
        <v>1644</v>
      </c>
      <c r="AC539" s="544" t="str">
        <f>""</f>
        <v/>
      </c>
      <c r="AD539" s="181">
        <v>1</v>
      </c>
      <c r="AE539" s="181" t="s">
        <v>332</v>
      </c>
      <c r="AF539" s="181" t="s">
        <v>332</v>
      </c>
      <c r="AG539" s="181">
        <v>1</v>
      </c>
      <c r="AH539" s="181">
        <v>9</v>
      </c>
      <c r="AI539" s="181">
        <v>0</v>
      </c>
      <c r="AJ539" s="181">
        <f>VLOOKUP($I539,'Price List, Weapons &amp; Items'!B:F,5,0)</f>
        <v>1</v>
      </c>
      <c r="AK539" s="181">
        <f t="shared" si="104"/>
        <v>0</v>
      </c>
      <c r="AL539" s="181">
        <f t="shared" si="105"/>
        <v>0</v>
      </c>
      <c r="AM539" s="181">
        <f t="shared" si="106"/>
        <v>0</v>
      </c>
      <c r="AN539" s="180" t="str">
        <f>VLOOKUP($I539,'Price List, Weapons &amp; Items'!B:L,COLUMN('Price List, Weapons &amp; Items'!$J$11)-1,0)</f>
        <v>Contracts</v>
      </c>
      <c r="AO539" s="180" t="str">
        <f>IF(I539=".",".",VLOOKUP($I539,'Price List, Weapons &amp; Items'!B:J,3,0))</f>
        <v>Infantry fighting vehicle (IFV)</v>
      </c>
      <c r="AP539" s="545" t="e">
        <f t="shared" ca="1" si="113"/>
        <v>#NAME?</v>
      </c>
      <c r="AQ539" s="180">
        <f>VLOOKUP($I539,'Price List, Weapons &amp; Items'!B:L,COLUMN('Price List, Weapons &amp; Items'!$L$11)-1,0)</f>
        <v>2</v>
      </c>
      <c r="AR539" s="180">
        <f t="shared" si="107"/>
        <v>1</v>
      </c>
      <c r="AS539" s="180">
        <f t="shared" si="108"/>
        <v>1</v>
      </c>
      <c r="AT539" s="180">
        <f t="shared" si="109"/>
        <v>1</v>
      </c>
      <c r="AU539" s="180" t="str">
        <f t="shared" si="111"/>
        <v>.</v>
      </c>
      <c r="AV539" s="180" t="str">
        <f t="shared" si="112"/>
        <v>.</v>
      </c>
      <c r="AW539" s="180">
        <f>IFERROR(VLOOKUP(B539,'Share, Heavy Weapons to Ukraine'!B:J,COLUMN('Share, Heavy Weapons to Ukraine'!C551)-1,0),0)</f>
        <v>0</v>
      </c>
      <c r="AX539" s="180">
        <f>VLOOKUP('Bilateral Assistance, MAIN DATA'!B539,'Country Summary'!B:F,COLUMN('Country Summary'!C554)-1,FALSE)</f>
        <v>1</v>
      </c>
      <c r="AY539" s="180" t="str">
        <f>IF(AND(AD539=1,D539="Military",H539&lt;&gt;"Not given")=TRUE,IF(SUMIFS(P:P,A:A,A539)&gt;0,ABS((SUMIFS(P:P,A:A,A539)/VLOOKUP("USD",'Exchange Rates'!B:C,2,0)))/S539,"."),".")</f>
        <v>.</v>
      </c>
      <c r="AZ539" s="182" t="str">
        <f>IF(AND(AD539=1,D539="Military",H539&lt;&gt;"Not given")=TRUE,IF(SUMIFS(P:P,A:A,A539)&gt;0,IF((ABS((SUMIFS(P:P,A:A,A539)/VLOOKUP("USD",'Exchange Rates'!B:C,2,0)))/S539)&gt;1,(SUMIFS(P:P,A:A,A539)-S539)/S539,(S539-SUMIFS(P:P,A:A,A539))/SUMIFS(P:P,A:A,A539)),"."),".")</f>
        <v>.</v>
      </c>
      <c r="BA539" s="182"/>
      <c r="BB539" s="182"/>
      <c r="BC539" s="182"/>
      <c r="BD539" s="182"/>
      <c r="BE539" s="182"/>
      <c r="BF539" s="182"/>
      <c r="BG539" s="182"/>
      <c r="BH539" s="182"/>
      <c r="BI539" s="182"/>
      <c r="BJ539" s="182"/>
      <c r="BK539" s="182"/>
      <c r="BL539" s="182"/>
      <c r="BM539" s="182"/>
      <c r="BN539" s="182"/>
      <c r="BO539" s="182"/>
      <c r="BP539" s="182"/>
      <c r="BQ539" s="182"/>
      <c r="BR539" s="182"/>
      <c r="BS539" s="182"/>
    </row>
    <row r="540" spans="1:71" ht="15.9" customHeight="1" x14ac:dyDescent="0.3">
      <c r="A540" s="5" t="s">
        <v>1645</v>
      </c>
      <c r="B540" s="5" t="s">
        <v>1646</v>
      </c>
      <c r="C540" s="174">
        <v>44619</v>
      </c>
      <c r="D540" s="5" t="s">
        <v>256</v>
      </c>
      <c r="E540" s="5" t="s">
        <v>267</v>
      </c>
      <c r="F540" s="175" t="s">
        <v>1647</v>
      </c>
      <c r="G540" s="15" t="s">
        <v>346</v>
      </c>
      <c r="H540" s="176" t="s">
        <v>341</v>
      </c>
      <c r="I540" s="17" t="s">
        <v>1648</v>
      </c>
      <c r="J540" s="113" t="str">
        <f>VLOOKUP($I540,'Price List, Weapons &amp; Items'!B:C,2,0)</f>
        <v>Humanitarian</v>
      </c>
      <c r="K540" s="113" t="str">
        <f>IF(I540=".",I540,VLOOKUP($I540,'Price List, Weapons &amp; Items'!B:D,3,0))</f>
        <v>Humanitarian</v>
      </c>
      <c r="L540" s="177">
        <f>VLOOKUP(I540,'Price List, Weapons &amp; Items'!B:E,4,0)</f>
        <v>0</v>
      </c>
      <c r="M540" s="542">
        <v>32000</v>
      </c>
      <c r="N540" s="542" t="s">
        <v>270</v>
      </c>
      <c r="O540" s="543">
        <f>VLOOKUP($I540,'Price List, Weapons &amp; Items'!B:G,6,0)</f>
        <v>1.35</v>
      </c>
      <c r="P540" s="176">
        <f t="shared" si="102"/>
        <v>43200</v>
      </c>
      <c r="Q540" s="176" t="str">
        <f t="shared" si="103"/>
        <v>.</v>
      </c>
      <c r="R540" s="176">
        <f t="shared" si="110"/>
        <v>198960</v>
      </c>
      <c r="S540" s="176">
        <f>IF(AND(AD540=1,R540&lt;&gt;".")=TRUE,R540/VLOOKUP(G540,'Exchange Rates'!B:C,2,0),IF(R540=".",".",""))</f>
        <v>189485.71428571429</v>
      </c>
      <c r="T540" s="176" t="str">
        <f>IF(AD540=1,IF(AF540="Value is not given at all",".",IF(AF540="Value is given by the source",S540,IF(AF540="Value is calculated with prices",(IF(SUMIFS(Q:Q,A:A,A540)&gt;0,SUMIFS(Q:Q,A:A,A540),"."))/VLOOKUP("USD",'Exchange Rates'!B:C,2,0),"Error with coding"))),"")</f>
        <v>.</v>
      </c>
      <c r="U540" s="15" t="s">
        <v>415</v>
      </c>
      <c r="V540" s="547" t="s">
        <v>1649</v>
      </c>
      <c r="W540" s="547" t="s">
        <v>1650</v>
      </c>
      <c r="X540" s="188" t="s">
        <v>260</v>
      </c>
      <c r="Y540" s="188" t="s">
        <v>260</v>
      </c>
      <c r="Z540" s="15">
        <v>0</v>
      </c>
      <c r="AA540" s="180">
        <v>0</v>
      </c>
      <c r="AB540" s="184" t="s">
        <v>260</v>
      </c>
      <c r="AC540" s="544" t="str">
        <f>""</f>
        <v/>
      </c>
      <c r="AD540" s="181">
        <v>1</v>
      </c>
      <c r="AE540" s="181" t="s">
        <v>332</v>
      </c>
      <c r="AF540" s="181" t="s">
        <v>265</v>
      </c>
      <c r="AG540" s="181">
        <v>1</v>
      </c>
      <c r="AH540" s="181">
        <v>2</v>
      </c>
      <c r="AI540" s="181">
        <v>0</v>
      </c>
      <c r="AJ540" s="181">
        <f>VLOOKUP($I540,'Price List, Weapons &amp; Items'!B:F,5,0)</f>
        <v>0</v>
      </c>
      <c r="AK540" s="181">
        <f t="shared" si="104"/>
        <v>0</v>
      </c>
      <c r="AL540" s="181">
        <f t="shared" si="105"/>
        <v>0</v>
      </c>
      <c r="AM540" s="181">
        <f t="shared" si="106"/>
        <v>0</v>
      </c>
      <c r="AN540" s="180" t="str">
        <f>VLOOKUP($I540,'Price List, Weapons &amp; Items'!B:L,COLUMN('Price List, Weapons &amp; Items'!$J$11)-1,0)</f>
        <v>Miscellaneous</v>
      </c>
      <c r="AO540" s="180" t="str">
        <f>IF(I540=".",".",VLOOKUP($I540,'Price List, Weapons &amp; Items'!B:J,3,0))</f>
        <v>Humanitarian</v>
      </c>
      <c r="AP540" s="545" t="e">
        <f t="shared" ca="1" si="113"/>
        <v>#NAME?</v>
      </c>
      <c r="AQ540" s="180">
        <f>VLOOKUP($I540,'Price List, Weapons &amp; Items'!B:L,COLUMN('Price List, Weapons &amp; Items'!$L$11)-1,0)</f>
        <v>0</v>
      </c>
      <c r="AR540" s="180">
        <f t="shared" si="107"/>
        <v>0</v>
      </c>
      <c r="AS540" s="180">
        <f t="shared" si="108"/>
        <v>0</v>
      </c>
      <c r="AT540" s="180">
        <f t="shared" si="109"/>
        <v>1</v>
      </c>
      <c r="AU540" s="180" t="str">
        <f t="shared" si="111"/>
        <v>.</v>
      </c>
      <c r="AV540" s="180" t="str">
        <f t="shared" si="112"/>
        <v>.</v>
      </c>
      <c r="AW540" s="180">
        <f>IFERROR(VLOOKUP(B540,'Share, Heavy Weapons to Ukraine'!B:J,COLUMN('Share, Heavy Weapons to Ukraine'!C552)-1,0),0)</f>
        <v>0</v>
      </c>
      <c r="AX540" s="180">
        <f>VLOOKUP('Bilateral Assistance, MAIN DATA'!B540,'Country Summary'!B:F,COLUMN('Country Summary'!C555)-1,FALSE)</f>
        <v>1</v>
      </c>
      <c r="AY540" s="180" t="str">
        <f>IF(AND(AD540=1,D540="Military",H540&lt;&gt;"Not given")=TRUE,IF(SUMIFS(P:P,A:A,A540)&gt;0,ABS((SUMIFS(P:P,A:A,A540)/VLOOKUP("USD",'Exchange Rates'!B:C,2,0)))/S540,"."),".")</f>
        <v>.</v>
      </c>
      <c r="AZ540" s="182" t="str">
        <f>IF(AND(AD540=1,D540="Military",H540&lt;&gt;"Not given")=TRUE,IF(SUMIFS(P:P,A:A,A540)&gt;0,IF((ABS((SUMIFS(P:P,A:A,A540)/VLOOKUP("USD",'Exchange Rates'!B:C,2,0)))/S540)&gt;1,(SUMIFS(P:P,A:A,A540)-S540)/S540,(S540-SUMIFS(P:P,A:A,A540))/SUMIFS(P:P,A:A,A540)),"."),".")</f>
        <v>.</v>
      </c>
      <c r="BA540" s="182"/>
      <c r="BB540" s="182"/>
      <c r="BC540" s="182"/>
      <c r="BD540" s="182"/>
      <c r="BE540" s="182"/>
      <c r="BF540" s="182"/>
      <c r="BG540" s="182"/>
      <c r="BH540" s="182"/>
      <c r="BI540" s="182"/>
      <c r="BJ540" s="182"/>
      <c r="BK540" s="182"/>
      <c r="BL540" s="182"/>
      <c r="BM540" s="182"/>
      <c r="BN540" s="182"/>
      <c r="BO540" s="182"/>
      <c r="BP540" s="182"/>
      <c r="BQ540" s="182"/>
      <c r="BR540" s="182"/>
      <c r="BS540" s="182"/>
    </row>
    <row r="541" spans="1:71" ht="15.9" customHeight="1" x14ac:dyDescent="0.3">
      <c r="A541" s="5" t="s">
        <v>1645</v>
      </c>
      <c r="B541" s="5" t="s">
        <v>1646</v>
      </c>
      <c r="C541" s="174">
        <v>44619</v>
      </c>
      <c r="D541" s="5" t="s">
        <v>256</v>
      </c>
      <c r="E541" s="5" t="s">
        <v>267</v>
      </c>
      <c r="F541" s="175" t="s">
        <v>1647</v>
      </c>
      <c r="G541" s="15" t="s">
        <v>346</v>
      </c>
      <c r="H541" s="176" t="s">
        <v>341</v>
      </c>
      <c r="I541" s="17" t="s">
        <v>1651</v>
      </c>
      <c r="J541" s="113" t="str">
        <f>VLOOKUP($I541,'Price List, Weapons &amp; Items'!B:C,2,0)</f>
        <v>Humanitarian</v>
      </c>
      <c r="K541" s="113" t="str">
        <f>IF(I541=".",I541,VLOOKUP($I541,'Price List, Weapons &amp; Items'!B:D,3,0))</f>
        <v>Humanitarian</v>
      </c>
      <c r="L541" s="177">
        <f>VLOOKUP(I541,'Price List, Weapons &amp; Items'!B:E,4,0)</f>
        <v>0</v>
      </c>
      <c r="M541" s="542">
        <v>68000</v>
      </c>
      <c r="N541" s="542" t="s">
        <v>270</v>
      </c>
      <c r="O541" s="543">
        <f>VLOOKUP($I541,'Price List, Weapons &amp; Items'!B:G,6,0)</f>
        <v>1.29</v>
      </c>
      <c r="P541" s="176">
        <f t="shared" si="102"/>
        <v>87720</v>
      </c>
      <c r="Q541" s="176" t="str">
        <f t="shared" si="103"/>
        <v>.</v>
      </c>
      <c r="R541" s="176" t="str">
        <f t="shared" si="110"/>
        <v/>
      </c>
      <c r="S541" s="176" t="str">
        <f>IF(AND(AD541=1,R541&lt;&gt;".")=TRUE,R541/VLOOKUP(G541,'Exchange Rates'!B:C,2,0),IF(R541=".",".",""))</f>
        <v/>
      </c>
      <c r="T541" s="176" t="str">
        <f>IF(AD541=1,IF(AF541="Value is not given at all",".",IF(AF541="Value is given by the source",S541,IF(AF541="Value is calculated with prices",(IF(SUMIFS(Q:Q,A:A,A541)&gt;0,SUMIFS(Q:Q,A:A,A541),"."))/VLOOKUP("USD",'Exchange Rates'!B:C,2,0),"Error with coding"))),"")</f>
        <v/>
      </c>
      <c r="U541" s="15" t="s">
        <v>415</v>
      </c>
      <c r="V541" s="547" t="s">
        <v>1649</v>
      </c>
      <c r="W541" s="547" t="s">
        <v>1650</v>
      </c>
      <c r="X541" s="188" t="s">
        <v>260</v>
      </c>
      <c r="Y541" s="188" t="s">
        <v>260</v>
      </c>
      <c r="Z541" s="15">
        <v>0</v>
      </c>
      <c r="AA541" s="180">
        <v>0</v>
      </c>
      <c r="AB541" s="184" t="s">
        <v>260</v>
      </c>
      <c r="AC541" s="544" t="str">
        <f>""</f>
        <v/>
      </c>
      <c r="AD541" s="181">
        <v>0</v>
      </c>
      <c r="AE541" s="181" t="s">
        <v>332</v>
      </c>
      <c r="AF541" s="181" t="s">
        <v>265</v>
      </c>
      <c r="AG541" s="181">
        <v>1</v>
      </c>
      <c r="AH541" s="181">
        <v>2</v>
      </c>
      <c r="AI541" s="181">
        <v>0</v>
      </c>
      <c r="AJ541" s="181">
        <f>VLOOKUP($I541,'Price List, Weapons &amp; Items'!B:F,5,0)</f>
        <v>0</v>
      </c>
      <c r="AK541" s="181">
        <f t="shared" si="104"/>
        <v>0</v>
      </c>
      <c r="AL541" s="181">
        <f t="shared" si="105"/>
        <v>0</v>
      </c>
      <c r="AM541" s="181">
        <f t="shared" si="106"/>
        <v>0</v>
      </c>
      <c r="AN541" s="180" t="str">
        <f>VLOOKUP($I541,'Price List, Weapons &amp; Items'!B:L,COLUMN('Price List, Weapons &amp; Items'!$J$11)-1,0)</f>
        <v>Miscellaneous</v>
      </c>
      <c r="AO541" s="180" t="str">
        <f>IF(I541=".",".",VLOOKUP($I541,'Price List, Weapons &amp; Items'!B:J,3,0))</f>
        <v>Humanitarian</v>
      </c>
      <c r="AP541" s="545" t="str">
        <f t="shared" ca="1" si="113"/>
        <v/>
      </c>
      <c r="AQ541" s="180">
        <f>VLOOKUP($I541,'Price List, Weapons &amp; Items'!B:L,COLUMN('Price List, Weapons &amp; Items'!$L$11)-1,0)</f>
        <v>0</v>
      </c>
      <c r="AR541" s="180">
        <f t="shared" si="107"/>
        <v>0</v>
      </c>
      <c r="AS541" s="180">
        <f t="shared" si="108"/>
        <v>0</v>
      </c>
      <c r="AT541" s="180">
        <f t="shared" si="109"/>
        <v>1</v>
      </c>
      <c r="AU541" s="180" t="str">
        <f t="shared" si="111"/>
        <v>.</v>
      </c>
      <c r="AV541" s="180" t="str">
        <f t="shared" si="112"/>
        <v>.</v>
      </c>
      <c r="AW541" s="180">
        <f>IFERROR(VLOOKUP(B541,'Share, Heavy Weapons to Ukraine'!B:J,COLUMN('Share, Heavy Weapons to Ukraine'!C553)-1,0),0)</f>
        <v>0</v>
      </c>
      <c r="AX541" s="180">
        <f>VLOOKUP('Bilateral Assistance, MAIN DATA'!B541,'Country Summary'!B:F,COLUMN('Country Summary'!C556)-1,FALSE)</f>
        <v>1</v>
      </c>
      <c r="AY541" s="180" t="str">
        <f>IF(AND(AD541=1,D541="Military",H541&lt;&gt;"Not given")=TRUE,IF(SUMIFS(P:P,A:A,A541)&gt;0,ABS((SUMIFS(P:P,A:A,A541)/VLOOKUP("USD",'Exchange Rates'!B:C,2,0)))/S541,"."),".")</f>
        <v>.</v>
      </c>
      <c r="AZ541" s="182" t="str">
        <f>IF(AND(AD541=1,D541="Military",H541&lt;&gt;"Not given")=TRUE,IF(SUMIFS(P:P,A:A,A541)&gt;0,IF((ABS((SUMIFS(P:P,A:A,A541)/VLOOKUP("USD",'Exchange Rates'!B:C,2,0)))/S541)&gt;1,(SUMIFS(P:P,A:A,A541)-S541)/S541,(S541-SUMIFS(P:P,A:A,A541))/SUMIFS(P:P,A:A,A541)),"."),".")</f>
        <v>.</v>
      </c>
      <c r="BA541" s="182"/>
      <c r="BB541" s="182"/>
      <c r="BC541" s="182"/>
      <c r="BD541" s="182"/>
      <c r="BE541" s="182"/>
      <c r="BF541" s="182"/>
      <c r="BG541" s="182"/>
      <c r="BH541" s="182"/>
      <c r="BI541" s="182"/>
      <c r="BJ541" s="182"/>
      <c r="BK541" s="182"/>
      <c r="BL541" s="182"/>
      <c r="BM541" s="182"/>
      <c r="BN541" s="182"/>
      <c r="BO541" s="182"/>
      <c r="BP541" s="182"/>
      <c r="BQ541" s="182"/>
      <c r="BR541" s="182"/>
      <c r="BS541" s="182"/>
    </row>
    <row r="542" spans="1:71" ht="15.9" customHeight="1" x14ac:dyDescent="0.3">
      <c r="A542" s="5" t="s">
        <v>1645</v>
      </c>
      <c r="B542" s="5" t="s">
        <v>1646</v>
      </c>
      <c r="C542" s="174">
        <v>44619</v>
      </c>
      <c r="D542" s="5" t="s">
        <v>256</v>
      </c>
      <c r="E542" s="5" t="s">
        <v>267</v>
      </c>
      <c r="F542" s="175" t="s">
        <v>1647</v>
      </c>
      <c r="G542" s="15" t="s">
        <v>346</v>
      </c>
      <c r="H542" s="176" t="s">
        <v>341</v>
      </c>
      <c r="I542" s="17" t="s">
        <v>698</v>
      </c>
      <c r="J542" s="113" t="str">
        <f>VLOOKUP($I542,'Price List, Weapons &amp; Items'!B:C,2,0)</f>
        <v>Humanitarian</v>
      </c>
      <c r="K542" s="113" t="str">
        <f>IF(I542=".",I542,VLOOKUP($I542,'Price List, Weapons &amp; Items'!B:D,3,0))</f>
        <v>Humanitarian</v>
      </c>
      <c r="L542" s="177">
        <f>VLOOKUP(I542,'Price List, Weapons &amp; Items'!B:E,4,0)</f>
        <v>0</v>
      </c>
      <c r="M542" s="542">
        <v>28</v>
      </c>
      <c r="N542" s="542" t="s">
        <v>270</v>
      </c>
      <c r="O542" s="543">
        <f>VLOOKUP($I542,'Price List, Weapons &amp; Items'!B:G,6,0)</f>
        <v>2430</v>
      </c>
      <c r="P542" s="176">
        <f t="shared" si="102"/>
        <v>68040</v>
      </c>
      <c r="Q542" s="176" t="str">
        <f t="shared" si="103"/>
        <v>.</v>
      </c>
      <c r="R542" s="176" t="str">
        <f t="shared" si="110"/>
        <v/>
      </c>
      <c r="S542" s="176" t="str">
        <f>IF(AND(AD542=1,R542&lt;&gt;".")=TRUE,R542/VLOOKUP(G542,'Exchange Rates'!B:C,2,0),IF(R542=".",".",""))</f>
        <v/>
      </c>
      <c r="T542" s="176" t="str">
        <f>IF(AD542=1,IF(AF542="Value is not given at all",".",IF(AF542="Value is given by the source",S542,IF(AF542="Value is calculated with prices",(IF(SUMIFS(Q:Q,A:A,A542)&gt;0,SUMIFS(Q:Q,A:A,A542),"."))/VLOOKUP("USD",'Exchange Rates'!B:C,2,0),"Error with coding"))),"")</f>
        <v/>
      </c>
      <c r="U542" s="15" t="s">
        <v>415</v>
      </c>
      <c r="V542" s="547" t="s">
        <v>1649</v>
      </c>
      <c r="W542" s="547" t="s">
        <v>1650</v>
      </c>
      <c r="X542" s="188" t="s">
        <v>260</v>
      </c>
      <c r="Y542" s="188" t="s">
        <v>260</v>
      </c>
      <c r="Z542" s="15">
        <v>0</v>
      </c>
      <c r="AA542" s="180">
        <v>0</v>
      </c>
      <c r="AB542" s="184" t="s">
        <v>260</v>
      </c>
      <c r="AC542" s="544" t="str">
        <f>""</f>
        <v/>
      </c>
      <c r="AD542" s="181">
        <v>0</v>
      </c>
      <c r="AE542" s="181" t="s">
        <v>332</v>
      </c>
      <c r="AF542" s="181" t="s">
        <v>265</v>
      </c>
      <c r="AG542" s="181">
        <v>1</v>
      </c>
      <c r="AH542" s="181">
        <v>2</v>
      </c>
      <c r="AI542" s="181">
        <v>0</v>
      </c>
      <c r="AJ542" s="181">
        <f>VLOOKUP($I542,'Price List, Weapons &amp; Items'!B:F,5,0)</f>
        <v>0</v>
      </c>
      <c r="AK542" s="181">
        <f t="shared" si="104"/>
        <v>0</v>
      </c>
      <c r="AL542" s="181">
        <f t="shared" si="105"/>
        <v>0</v>
      </c>
      <c r="AM542" s="181">
        <f t="shared" si="106"/>
        <v>0</v>
      </c>
      <c r="AN542" s="180" t="str">
        <f>VLOOKUP($I542,'Price List, Weapons &amp; Items'!B:L,COLUMN('Price List, Weapons &amp; Items'!$J$11)-1,0)</f>
        <v>Government information</v>
      </c>
      <c r="AO542" s="180" t="str">
        <f>IF(I542=".",".",VLOOKUP($I542,'Price List, Weapons &amp; Items'!B:J,3,0))</f>
        <v>Humanitarian</v>
      </c>
      <c r="AP542" s="545" t="str">
        <f t="shared" ca="1" si="113"/>
        <v/>
      </c>
      <c r="AQ542" s="180">
        <f>VLOOKUP($I542,'Price List, Weapons &amp; Items'!B:L,COLUMN('Price List, Weapons &amp; Items'!$L$11)-1,0)</f>
        <v>0</v>
      </c>
      <c r="AR542" s="180">
        <f t="shared" si="107"/>
        <v>0</v>
      </c>
      <c r="AS542" s="180">
        <f t="shared" si="108"/>
        <v>0</v>
      </c>
      <c r="AT542" s="180">
        <f t="shared" si="109"/>
        <v>1</v>
      </c>
      <c r="AU542" s="180" t="str">
        <f t="shared" si="111"/>
        <v>.</v>
      </c>
      <c r="AV542" s="180" t="str">
        <f t="shared" si="112"/>
        <v>.</v>
      </c>
      <c r="AW542" s="180">
        <f>IFERROR(VLOOKUP(B542,'Share, Heavy Weapons to Ukraine'!B:J,COLUMN('Share, Heavy Weapons to Ukraine'!C554)-1,0),0)</f>
        <v>0</v>
      </c>
      <c r="AX542" s="180">
        <f>VLOOKUP('Bilateral Assistance, MAIN DATA'!B542,'Country Summary'!B:F,COLUMN('Country Summary'!C557)-1,FALSE)</f>
        <v>1</v>
      </c>
      <c r="AY542" s="180" t="str">
        <f>IF(AND(AD542=1,D542="Military",H542&lt;&gt;"Not given")=TRUE,IF(SUMIFS(P:P,A:A,A542)&gt;0,ABS((SUMIFS(P:P,A:A,A542)/VLOOKUP("USD",'Exchange Rates'!B:C,2,0)))/S542,"."),".")</f>
        <v>.</v>
      </c>
      <c r="AZ542" s="182" t="str">
        <f>IF(AND(AD542=1,D542="Military",H542&lt;&gt;"Not given")=TRUE,IF(SUMIFS(P:P,A:A,A542)&gt;0,IF((ABS((SUMIFS(P:P,A:A,A542)/VLOOKUP("USD",'Exchange Rates'!B:C,2,0)))/S542)&gt;1,(SUMIFS(P:P,A:A,A542)-S542)/S542,(S542-SUMIFS(P:P,A:A,A542))/SUMIFS(P:P,A:A,A542)),"."),".")</f>
        <v>.</v>
      </c>
      <c r="BA542" s="182"/>
      <c r="BB542" s="182"/>
      <c r="BC542" s="182"/>
      <c r="BD542" s="182"/>
      <c r="BE542" s="182"/>
      <c r="BF542" s="182"/>
      <c r="BG542" s="182"/>
      <c r="BH542" s="182"/>
      <c r="BI542" s="182"/>
      <c r="BJ542" s="182"/>
      <c r="BK542" s="182"/>
      <c r="BL542" s="182"/>
      <c r="BM542" s="182"/>
      <c r="BN542" s="182"/>
      <c r="BO542" s="182"/>
      <c r="BP542" s="182"/>
      <c r="BQ542" s="182"/>
      <c r="BR542" s="182"/>
      <c r="BS542" s="182"/>
    </row>
    <row r="543" spans="1:71" ht="15.9" customHeight="1" x14ac:dyDescent="0.3">
      <c r="A543" s="5" t="s">
        <v>1652</v>
      </c>
      <c r="B543" s="5" t="s">
        <v>1646</v>
      </c>
      <c r="C543" s="174">
        <v>44641</v>
      </c>
      <c r="D543" s="5" t="s">
        <v>256</v>
      </c>
      <c r="E543" s="5" t="s">
        <v>267</v>
      </c>
      <c r="F543" s="175" t="s">
        <v>1653</v>
      </c>
      <c r="G543" s="15" t="s">
        <v>346</v>
      </c>
      <c r="H543" s="176" t="s">
        <v>341</v>
      </c>
      <c r="I543" s="17" t="s">
        <v>1654</v>
      </c>
      <c r="J543" s="113" t="str">
        <f>VLOOKUP($I543,'Price List, Weapons &amp; Items'!B:C,2,0)</f>
        <v>Humanitarian</v>
      </c>
      <c r="K543" s="113" t="str">
        <f>IF(I543=".",I543,VLOOKUP($I543,'Price List, Weapons &amp; Items'!B:D,3,0))</f>
        <v>Humanitarian</v>
      </c>
      <c r="L543" s="177">
        <f>VLOOKUP(I543,'Price List, Weapons &amp; Items'!B:E,4,0)</f>
        <v>0</v>
      </c>
      <c r="M543" s="542">
        <v>200</v>
      </c>
      <c r="N543" s="542" t="s">
        <v>270</v>
      </c>
      <c r="O543" s="543">
        <f>VLOOKUP($I543,'Price List, Weapons &amp; Items'!B:G,6,0)</f>
        <v>27500</v>
      </c>
      <c r="P543" s="176">
        <f t="shared" si="102"/>
        <v>5500000</v>
      </c>
      <c r="Q543" s="176" t="str">
        <f t="shared" si="103"/>
        <v>.</v>
      </c>
      <c r="R543" s="176">
        <f t="shared" si="110"/>
        <v>6549500</v>
      </c>
      <c r="S543" s="176">
        <f>IF(AND(AD543=1,R543&lt;&gt;".")=TRUE,R543/VLOOKUP(G543,'Exchange Rates'!B:C,2,0),IF(R543=".",".",""))</f>
        <v>6237619.0476190476</v>
      </c>
      <c r="T543" s="176" t="str">
        <f>IF(AD543=1,IF(AF543="Value is not given at all",".",IF(AF543="Value is given by the source",S543,IF(AF543="Value is calculated with prices",(IF(SUMIFS(Q:Q,A:A,A543)&gt;0,SUMIFS(Q:Q,A:A,A543),"."))/VLOOKUP("USD",'Exchange Rates'!B:C,2,0),"Error with coding"))),"")</f>
        <v>.</v>
      </c>
      <c r="U543" s="15" t="s">
        <v>261</v>
      </c>
      <c r="V543" s="547" t="s">
        <v>1655</v>
      </c>
      <c r="W543" s="547" t="s">
        <v>1656</v>
      </c>
      <c r="X543" s="188" t="s">
        <v>260</v>
      </c>
      <c r="Y543" s="188" t="s">
        <v>260</v>
      </c>
      <c r="Z543" s="15">
        <v>0</v>
      </c>
      <c r="AA543" s="180">
        <v>0</v>
      </c>
      <c r="AB543" s="184" t="s">
        <v>260</v>
      </c>
      <c r="AC543" s="544" t="str">
        <f>""</f>
        <v/>
      </c>
      <c r="AD543" s="181">
        <v>1</v>
      </c>
      <c r="AE543" s="181" t="s">
        <v>332</v>
      </c>
      <c r="AF543" s="181" t="s">
        <v>265</v>
      </c>
      <c r="AG543" s="181">
        <v>1</v>
      </c>
      <c r="AH543" s="181">
        <v>3</v>
      </c>
      <c r="AI543" s="181">
        <v>0</v>
      </c>
      <c r="AJ543" s="181">
        <f>VLOOKUP($I543,'Price List, Weapons &amp; Items'!B:F,5,0)</f>
        <v>0</v>
      </c>
      <c r="AK543" s="181">
        <f t="shared" si="104"/>
        <v>0</v>
      </c>
      <c r="AL543" s="181">
        <f t="shared" si="105"/>
        <v>0</v>
      </c>
      <c r="AM543" s="181">
        <f t="shared" si="106"/>
        <v>0</v>
      </c>
      <c r="AN543" s="180" t="str">
        <f>VLOOKUP($I543,'Price List, Weapons &amp; Items'!B:L,COLUMN('Price List, Weapons &amp; Items'!$J$11)-1,0)</f>
        <v>Miscellaneous</v>
      </c>
      <c r="AO543" s="180" t="str">
        <f>IF(I543=".",".",VLOOKUP($I543,'Price List, Weapons &amp; Items'!B:J,3,0))</f>
        <v>Humanitarian</v>
      </c>
      <c r="AP543" s="545" t="e">
        <f t="shared" ca="1" si="113"/>
        <v>#NAME?</v>
      </c>
      <c r="AQ543" s="180">
        <f>VLOOKUP($I543,'Price List, Weapons &amp; Items'!B:L,COLUMN('Price List, Weapons &amp; Items'!$L$11)-1,0)</f>
        <v>0</v>
      </c>
      <c r="AR543" s="180">
        <f t="shared" si="107"/>
        <v>1</v>
      </c>
      <c r="AS543" s="180">
        <f t="shared" si="108"/>
        <v>0</v>
      </c>
      <c r="AT543" s="180">
        <f t="shared" si="109"/>
        <v>1</v>
      </c>
      <c r="AU543" s="180" t="str">
        <f t="shared" si="111"/>
        <v>.</v>
      </c>
      <c r="AV543" s="180" t="str">
        <f t="shared" si="112"/>
        <v>.</v>
      </c>
      <c r="AW543" s="180">
        <f>IFERROR(VLOOKUP(B543,'Share, Heavy Weapons to Ukraine'!B:J,COLUMN('Share, Heavy Weapons to Ukraine'!C555)-1,0),0)</f>
        <v>0</v>
      </c>
      <c r="AX543" s="180">
        <f>VLOOKUP('Bilateral Assistance, MAIN DATA'!B543,'Country Summary'!B:F,COLUMN('Country Summary'!C558)-1,FALSE)</f>
        <v>1</v>
      </c>
      <c r="AY543" s="180" t="str">
        <f>IF(AND(AD543=1,D543="Military",H543&lt;&gt;"Not given")=TRUE,IF(SUMIFS(P:P,A:A,A543)&gt;0,ABS((SUMIFS(P:P,A:A,A543)/VLOOKUP("USD",'Exchange Rates'!B:C,2,0)))/S543,"."),".")</f>
        <v>.</v>
      </c>
      <c r="AZ543" s="182" t="str">
        <f>IF(AND(AD543=1,D543="Military",H543&lt;&gt;"Not given")=TRUE,IF(SUMIFS(P:P,A:A,A543)&gt;0,IF((ABS((SUMIFS(P:P,A:A,A543)/VLOOKUP("USD",'Exchange Rates'!B:C,2,0)))/S543)&gt;1,(SUMIFS(P:P,A:A,A543)-S543)/S543,(S543-SUMIFS(P:P,A:A,A543))/SUMIFS(P:P,A:A,A543)),"."),".")</f>
        <v>.</v>
      </c>
      <c r="BA543" s="182"/>
      <c r="BB543" s="182"/>
      <c r="BC543" s="182"/>
      <c r="BD543" s="182"/>
      <c r="BE543" s="182"/>
      <c r="BF543" s="182"/>
      <c r="BG543" s="182"/>
      <c r="BH543" s="182"/>
      <c r="BI543" s="182"/>
      <c r="BJ543" s="182"/>
      <c r="BK543" s="182"/>
      <c r="BL543" s="182"/>
      <c r="BM543" s="182"/>
      <c r="BN543" s="182"/>
      <c r="BO543" s="182"/>
      <c r="BP543" s="182"/>
      <c r="BQ543" s="182"/>
      <c r="BR543" s="182"/>
      <c r="BS543" s="182"/>
    </row>
    <row r="544" spans="1:71" ht="15.9" customHeight="1" x14ac:dyDescent="0.3">
      <c r="A544" s="5" t="s">
        <v>1652</v>
      </c>
      <c r="B544" s="5" t="s">
        <v>1646</v>
      </c>
      <c r="C544" s="174">
        <v>44641</v>
      </c>
      <c r="D544" s="5" t="s">
        <v>256</v>
      </c>
      <c r="E544" s="5" t="s">
        <v>267</v>
      </c>
      <c r="F544" s="175" t="s">
        <v>1653</v>
      </c>
      <c r="G544" s="15" t="s">
        <v>346</v>
      </c>
      <c r="H544" s="176" t="s">
        <v>341</v>
      </c>
      <c r="I544" s="17" t="s">
        <v>1657</v>
      </c>
      <c r="J544" s="113" t="str">
        <f>VLOOKUP($I544,'Price List, Weapons &amp; Items'!B:C,2,0)</f>
        <v>Humanitarian</v>
      </c>
      <c r="K544" s="113" t="str">
        <f>IF(I544=".",I544,VLOOKUP($I544,'Price List, Weapons &amp; Items'!B:D,3,0))</f>
        <v>Humanitarian</v>
      </c>
      <c r="L544" s="177">
        <f>VLOOKUP(I544,'Price List, Weapons &amp; Items'!B:E,4,0)</f>
        <v>0</v>
      </c>
      <c r="M544" s="542">
        <v>250</v>
      </c>
      <c r="N544" s="542" t="s">
        <v>270</v>
      </c>
      <c r="O544" s="543">
        <f>VLOOKUP($I544,'Price List, Weapons &amp; Items'!B:G,6,0)</f>
        <v>4173</v>
      </c>
      <c r="P544" s="176">
        <f t="shared" si="102"/>
        <v>1043250</v>
      </c>
      <c r="Q544" s="176" t="str">
        <f t="shared" si="103"/>
        <v>.</v>
      </c>
      <c r="R544" s="176" t="str">
        <f t="shared" si="110"/>
        <v/>
      </c>
      <c r="S544" s="176" t="str">
        <f>IF(AND(AD544=1,R544&lt;&gt;".")=TRUE,R544/VLOOKUP(G544,'Exchange Rates'!B:C,2,0),IF(R544=".",".",""))</f>
        <v/>
      </c>
      <c r="T544" s="176" t="str">
        <f>IF(AD544=1,IF(AF544="Value is not given at all",".",IF(AF544="Value is given by the source",S544,IF(AF544="Value is calculated with prices",(IF(SUMIFS(Q:Q,A:A,A544)&gt;0,SUMIFS(Q:Q,A:A,A544),"."))/VLOOKUP("USD",'Exchange Rates'!B:C,2,0),"Error with coding"))),"")</f>
        <v/>
      </c>
      <c r="U544" s="15" t="s">
        <v>261</v>
      </c>
      <c r="V544" s="547" t="s">
        <v>1655</v>
      </c>
      <c r="W544" s="547" t="s">
        <v>1656</v>
      </c>
      <c r="X544" s="188" t="s">
        <v>260</v>
      </c>
      <c r="Y544" s="188" t="s">
        <v>260</v>
      </c>
      <c r="Z544" s="15">
        <v>0</v>
      </c>
      <c r="AA544" s="180">
        <v>0</v>
      </c>
      <c r="AB544" s="184" t="s">
        <v>260</v>
      </c>
      <c r="AC544" s="544" t="str">
        <f>""</f>
        <v/>
      </c>
      <c r="AD544" s="181">
        <v>0</v>
      </c>
      <c r="AE544" s="181" t="s">
        <v>332</v>
      </c>
      <c r="AF544" s="181" t="s">
        <v>265</v>
      </c>
      <c r="AG544" s="181">
        <v>1</v>
      </c>
      <c r="AH544" s="181">
        <v>3</v>
      </c>
      <c r="AI544" s="181">
        <v>0</v>
      </c>
      <c r="AJ544" s="181">
        <f>VLOOKUP($I544,'Price List, Weapons &amp; Items'!B:F,5,0)</f>
        <v>0</v>
      </c>
      <c r="AK544" s="181">
        <f t="shared" si="104"/>
        <v>0</v>
      </c>
      <c r="AL544" s="181">
        <f t="shared" si="105"/>
        <v>0</v>
      </c>
      <c r="AM544" s="181">
        <f t="shared" si="106"/>
        <v>0</v>
      </c>
      <c r="AN544" s="180" t="str">
        <f>VLOOKUP($I544,'Price List, Weapons &amp; Items'!B:L,COLUMN('Price List, Weapons &amp; Items'!$J$11)-1,0)</f>
        <v>Miscellaneous</v>
      </c>
      <c r="AO544" s="180" t="str">
        <f>IF(I544=".",".",VLOOKUP($I544,'Price List, Weapons &amp; Items'!B:J,3,0))</f>
        <v>Humanitarian</v>
      </c>
      <c r="AP544" s="545" t="str">
        <f t="shared" ca="1" si="113"/>
        <v/>
      </c>
      <c r="AQ544" s="180">
        <f>VLOOKUP($I544,'Price List, Weapons &amp; Items'!B:L,COLUMN('Price List, Weapons &amp; Items'!$L$11)-1,0)</f>
        <v>0</v>
      </c>
      <c r="AR544" s="180">
        <f t="shared" si="107"/>
        <v>1</v>
      </c>
      <c r="AS544" s="180">
        <f t="shared" si="108"/>
        <v>0</v>
      </c>
      <c r="AT544" s="180">
        <f t="shared" si="109"/>
        <v>1</v>
      </c>
      <c r="AU544" s="180" t="str">
        <f t="shared" si="111"/>
        <v>.</v>
      </c>
      <c r="AV544" s="180" t="str">
        <f t="shared" si="112"/>
        <v>.</v>
      </c>
      <c r="AW544" s="180">
        <f>IFERROR(VLOOKUP(B544,'Share, Heavy Weapons to Ukraine'!B:J,COLUMN('Share, Heavy Weapons to Ukraine'!C556)-1,0),0)</f>
        <v>0</v>
      </c>
      <c r="AX544" s="180">
        <f>VLOOKUP('Bilateral Assistance, MAIN DATA'!B544,'Country Summary'!B:F,COLUMN('Country Summary'!C559)-1,FALSE)</f>
        <v>1</v>
      </c>
      <c r="AY544" s="180" t="str">
        <f>IF(AND(AD544=1,D544="Military",H544&lt;&gt;"Not given")=TRUE,IF(SUMIFS(P:P,A:A,A544)&gt;0,ABS((SUMIFS(P:P,A:A,A544)/VLOOKUP("USD",'Exchange Rates'!B:C,2,0)))/S544,"."),".")</f>
        <v>.</v>
      </c>
      <c r="AZ544" s="182" t="str">
        <f>IF(AND(AD544=1,D544="Military",H544&lt;&gt;"Not given")=TRUE,IF(SUMIFS(P:P,A:A,A544)&gt;0,IF((ABS((SUMIFS(P:P,A:A,A544)/VLOOKUP("USD",'Exchange Rates'!B:C,2,0)))/S544)&gt;1,(SUMIFS(P:P,A:A,A544)-S544)/S544,(S544-SUMIFS(P:P,A:A,A544))/SUMIFS(P:P,A:A,A544)),"."),".")</f>
        <v>.</v>
      </c>
      <c r="BA544" s="182"/>
      <c r="BB544" s="182"/>
      <c r="BC544" s="182"/>
      <c r="BD544" s="182"/>
      <c r="BE544" s="182"/>
      <c r="BF544" s="182"/>
      <c r="BG544" s="182"/>
      <c r="BH544" s="182"/>
      <c r="BI544" s="182"/>
      <c r="BJ544" s="182"/>
      <c r="BK544" s="182"/>
      <c r="BL544" s="182"/>
      <c r="BM544" s="182"/>
      <c r="BN544" s="182"/>
      <c r="BO544" s="182"/>
      <c r="BP544" s="182"/>
      <c r="BQ544" s="182"/>
      <c r="BR544" s="182"/>
      <c r="BS544" s="182"/>
    </row>
    <row r="545" spans="1:71" ht="15.9" customHeight="1" x14ac:dyDescent="0.3">
      <c r="A545" s="5" t="s">
        <v>1652</v>
      </c>
      <c r="B545" s="5" t="s">
        <v>1646</v>
      </c>
      <c r="C545" s="174">
        <v>44641</v>
      </c>
      <c r="D545" s="5" t="s">
        <v>256</v>
      </c>
      <c r="E545" s="5" t="s">
        <v>267</v>
      </c>
      <c r="F545" s="175" t="s">
        <v>1653</v>
      </c>
      <c r="G545" s="15" t="s">
        <v>346</v>
      </c>
      <c r="H545" s="176" t="s">
        <v>341</v>
      </c>
      <c r="I545" s="17" t="s">
        <v>1658</v>
      </c>
      <c r="J545" s="113" t="str">
        <f>VLOOKUP($I545,'Price List, Weapons &amp; Items'!B:C,2,0)</f>
        <v>Humanitarian</v>
      </c>
      <c r="K545" s="113" t="str">
        <f>IF(I545=".",I545,VLOOKUP($I545,'Price List, Weapons &amp; Items'!B:D,3,0))</f>
        <v>Humanitarian</v>
      </c>
      <c r="L545" s="177">
        <f>VLOOKUP(I545,'Price List, Weapons &amp; Items'!B:E,4,0)</f>
        <v>0</v>
      </c>
      <c r="M545" s="542">
        <v>25</v>
      </c>
      <c r="N545" s="542" t="s">
        <v>270</v>
      </c>
      <c r="O545" s="543">
        <f>VLOOKUP($I545,'Price List, Weapons &amp; Items'!B:G,6,0)</f>
        <v>250</v>
      </c>
      <c r="P545" s="176">
        <f t="shared" si="102"/>
        <v>6250</v>
      </c>
      <c r="Q545" s="176" t="str">
        <f t="shared" si="103"/>
        <v>.</v>
      </c>
      <c r="R545" s="176" t="str">
        <f t="shared" si="110"/>
        <v/>
      </c>
      <c r="S545" s="176" t="str">
        <f>IF(AND(AD545=1,R545&lt;&gt;".")=TRUE,R545/VLOOKUP(G545,'Exchange Rates'!B:C,2,0),IF(R545=".",".",""))</f>
        <v/>
      </c>
      <c r="T545" s="176" t="str">
        <f>IF(AD545=1,IF(AF545="Value is not given at all",".",IF(AF545="Value is given by the source",S545,IF(AF545="Value is calculated with prices",(IF(SUMIFS(Q:Q,A:A,A545)&gt;0,SUMIFS(Q:Q,A:A,A545),"."))/VLOOKUP("USD",'Exchange Rates'!B:C,2,0),"Error with coding"))),"")</f>
        <v/>
      </c>
      <c r="U545" s="15" t="s">
        <v>261</v>
      </c>
      <c r="V545" s="547" t="s">
        <v>1655</v>
      </c>
      <c r="W545" s="547" t="s">
        <v>1656</v>
      </c>
      <c r="X545" s="188" t="s">
        <v>260</v>
      </c>
      <c r="Y545" s="188" t="s">
        <v>260</v>
      </c>
      <c r="Z545" s="15">
        <v>0</v>
      </c>
      <c r="AA545" s="180">
        <v>0</v>
      </c>
      <c r="AB545" s="184" t="s">
        <v>260</v>
      </c>
      <c r="AC545" s="544" t="str">
        <f>""</f>
        <v/>
      </c>
      <c r="AD545" s="181">
        <v>0</v>
      </c>
      <c r="AE545" s="181" t="s">
        <v>332</v>
      </c>
      <c r="AF545" s="181" t="s">
        <v>265</v>
      </c>
      <c r="AG545" s="181">
        <v>1</v>
      </c>
      <c r="AH545" s="181">
        <v>3</v>
      </c>
      <c r="AI545" s="181">
        <v>0</v>
      </c>
      <c r="AJ545" s="181">
        <f>VLOOKUP($I545,'Price List, Weapons &amp; Items'!B:F,5,0)</f>
        <v>0</v>
      </c>
      <c r="AK545" s="181">
        <f t="shared" si="104"/>
        <v>0</v>
      </c>
      <c r="AL545" s="181">
        <f t="shared" si="105"/>
        <v>0</v>
      </c>
      <c r="AM545" s="181">
        <f t="shared" si="106"/>
        <v>0</v>
      </c>
      <c r="AN545" s="180" t="str">
        <f>VLOOKUP($I545,'Price List, Weapons &amp; Items'!B:L,COLUMN('Price List, Weapons &amp; Items'!$J$11)-1,0)</f>
        <v>Miscellaneous</v>
      </c>
      <c r="AO545" s="180" t="str">
        <f>IF(I545=".",".",VLOOKUP($I545,'Price List, Weapons &amp; Items'!B:J,3,0))</f>
        <v>Humanitarian</v>
      </c>
      <c r="AP545" s="545" t="str">
        <f t="shared" ca="1" si="113"/>
        <v/>
      </c>
      <c r="AQ545" s="180">
        <f>VLOOKUP($I545,'Price List, Weapons &amp; Items'!B:L,COLUMN('Price List, Weapons &amp; Items'!$L$11)-1,0)</f>
        <v>0</v>
      </c>
      <c r="AR545" s="180">
        <f t="shared" si="107"/>
        <v>1</v>
      </c>
      <c r="AS545" s="180">
        <f t="shared" si="108"/>
        <v>0</v>
      </c>
      <c r="AT545" s="180">
        <f t="shared" si="109"/>
        <v>1</v>
      </c>
      <c r="AU545" s="180" t="str">
        <f t="shared" si="111"/>
        <v>.</v>
      </c>
      <c r="AV545" s="180" t="str">
        <f t="shared" si="112"/>
        <v>.</v>
      </c>
      <c r="AW545" s="180">
        <f>IFERROR(VLOOKUP(B545,'Share, Heavy Weapons to Ukraine'!B:J,COLUMN('Share, Heavy Weapons to Ukraine'!C557)-1,0),0)</f>
        <v>0</v>
      </c>
      <c r="AX545" s="180">
        <f>VLOOKUP('Bilateral Assistance, MAIN DATA'!B545,'Country Summary'!B:F,COLUMN('Country Summary'!C560)-1,FALSE)</f>
        <v>1</v>
      </c>
      <c r="AY545" s="180" t="str">
        <f>IF(AND(AD545=1,D545="Military",H545&lt;&gt;"Not given")=TRUE,IF(SUMIFS(P:P,A:A,A545)&gt;0,ABS((SUMIFS(P:P,A:A,A545)/VLOOKUP("USD",'Exchange Rates'!B:C,2,0)))/S545,"."),".")</f>
        <v>.</v>
      </c>
      <c r="AZ545" s="182" t="str">
        <f>IF(AND(AD545=1,D545="Military",H545&lt;&gt;"Not given")=TRUE,IF(SUMIFS(P:P,A:A,A545)&gt;0,IF((ABS((SUMIFS(P:P,A:A,A545)/VLOOKUP("USD",'Exchange Rates'!B:C,2,0)))/S545)&gt;1,(SUMIFS(P:P,A:A,A545)-S545)/S545,(S545-SUMIFS(P:P,A:A,A545))/SUMIFS(P:P,A:A,A545)),"."),".")</f>
        <v>.</v>
      </c>
      <c r="BA545" s="182"/>
      <c r="BB545" s="182"/>
      <c r="BC545" s="182"/>
      <c r="BD545" s="182"/>
      <c r="BE545" s="182"/>
      <c r="BF545" s="182"/>
      <c r="BG545" s="182"/>
      <c r="BH545" s="182"/>
      <c r="BI545" s="182"/>
      <c r="BJ545" s="182"/>
      <c r="BK545" s="182"/>
      <c r="BL545" s="182"/>
      <c r="BM545" s="182"/>
      <c r="BN545" s="182"/>
      <c r="BO545" s="182"/>
      <c r="BP545" s="182"/>
      <c r="BQ545" s="182"/>
      <c r="BR545" s="182"/>
      <c r="BS545" s="182"/>
    </row>
    <row r="546" spans="1:71" ht="15.9" customHeight="1" x14ac:dyDescent="0.3">
      <c r="A546" s="5" t="s">
        <v>1652</v>
      </c>
      <c r="B546" s="5" t="s">
        <v>1646</v>
      </c>
      <c r="C546" s="174">
        <v>44641</v>
      </c>
      <c r="D546" s="5" t="s">
        <v>256</v>
      </c>
      <c r="E546" s="5" t="s">
        <v>267</v>
      </c>
      <c r="F546" s="175" t="s">
        <v>1653</v>
      </c>
      <c r="G546" s="15" t="s">
        <v>346</v>
      </c>
      <c r="H546" s="176" t="s">
        <v>341</v>
      </c>
      <c r="I546" s="17" t="s">
        <v>1659</v>
      </c>
      <c r="J546" s="113" t="str">
        <f>VLOOKUP($I546,'Price List, Weapons &amp; Items'!B:C,2,0)</f>
        <v>Humanitarian</v>
      </c>
      <c r="K546" s="113" t="str">
        <f>IF(I546=".",I546,VLOOKUP($I546,'Price List, Weapons &amp; Items'!B:D,3,0))</f>
        <v>Humanitarian</v>
      </c>
      <c r="L546" s="177">
        <f>VLOOKUP(I546,'Price List, Weapons &amp; Items'!B:E,4,0)</f>
        <v>0</v>
      </c>
      <c r="M546" s="542">
        <v>100</v>
      </c>
      <c r="N546" s="542" t="s">
        <v>270</v>
      </c>
      <c r="O546" s="543" t="str">
        <f>VLOOKUP($I546,'Price List, Weapons &amp; Items'!B:G,6,0)</f>
        <v>.</v>
      </c>
      <c r="P546" s="176" t="str">
        <f t="shared" si="102"/>
        <v>No price</v>
      </c>
      <c r="Q546" s="176" t="str">
        <f t="shared" si="103"/>
        <v>.</v>
      </c>
      <c r="R546" s="176" t="str">
        <f t="shared" si="110"/>
        <v/>
      </c>
      <c r="S546" s="176" t="str">
        <f>IF(AND(AD546=1,R546&lt;&gt;".")=TRUE,R546/VLOOKUP(G546,'Exchange Rates'!B:C,2,0),IF(R546=".",".",""))</f>
        <v/>
      </c>
      <c r="T546" s="176" t="str">
        <f>IF(AD546=1,IF(AF546="Value is not given at all",".",IF(AF546="Value is given by the source",S546,IF(AF546="Value is calculated with prices",(IF(SUMIFS(Q:Q,A:A,A546)&gt;0,SUMIFS(Q:Q,A:A,A546),"."))/VLOOKUP("USD",'Exchange Rates'!B:C,2,0),"Error with coding"))),"")</f>
        <v/>
      </c>
      <c r="U546" s="15" t="s">
        <v>261</v>
      </c>
      <c r="V546" s="547" t="s">
        <v>1655</v>
      </c>
      <c r="W546" s="547" t="s">
        <v>1656</v>
      </c>
      <c r="X546" s="188" t="s">
        <v>260</v>
      </c>
      <c r="Y546" s="188" t="s">
        <v>260</v>
      </c>
      <c r="Z546" s="15">
        <v>0</v>
      </c>
      <c r="AA546" s="180">
        <v>0</v>
      </c>
      <c r="AB546" s="184" t="s">
        <v>260</v>
      </c>
      <c r="AC546" s="544" t="str">
        <f>""</f>
        <v/>
      </c>
      <c r="AD546" s="181">
        <v>0</v>
      </c>
      <c r="AE546" s="181" t="s">
        <v>332</v>
      </c>
      <c r="AF546" s="181" t="s">
        <v>265</v>
      </c>
      <c r="AG546" s="181">
        <v>1</v>
      </c>
      <c r="AH546" s="181">
        <v>3</v>
      </c>
      <c r="AI546" s="181">
        <v>0</v>
      </c>
      <c r="AJ546" s="181">
        <f>VLOOKUP($I546,'Price List, Weapons &amp; Items'!B:F,5,0)</f>
        <v>0</v>
      </c>
      <c r="AK546" s="181">
        <f t="shared" si="104"/>
        <v>0</v>
      </c>
      <c r="AL546" s="181">
        <f t="shared" si="105"/>
        <v>0</v>
      </c>
      <c r="AM546" s="181">
        <f t="shared" si="106"/>
        <v>0</v>
      </c>
      <c r="AN546" s="180" t="str">
        <f>VLOOKUP($I546,'Price List, Weapons &amp; Items'!B:L,COLUMN('Price List, Weapons &amp; Items'!$J$11)-1,0)</f>
        <v>.</v>
      </c>
      <c r="AO546" s="180" t="str">
        <f>IF(I546=".",".",VLOOKUP($I546,'Price List, Weapons &amp; Items'!B:J,3,0))</f>
        <v>Humanitarian</v>
      </c>
      <c r="AP546" s="545" t="str">
        <f t="shared" ca="1" si="113"/>
        <v/>
      </c>
      <c r="AQ546" s="180">
        <f>VLOOKUP($I546,'Price List, Weapons &amp; Items'!B:L,COLUMN('Price List, Weapons &amp; Items'!$L$11)-1,0)</f>
        <v>0</v>
      </c>
      <c r="AR546" s="180">
        <f t="shared" si="107"/>
        <v>1</v>
      </c>
      <c r="AS546" s="180">
        <f t="shared" si="108"/>
        <v>0</v>
      </c>
      <c r="AT546" s="180">
        <f t="shared" si="109"/>
        <v>1</v>
      </c>
      <c r="AU546" s="180" t="str">
        <f t="shared" si="111"/>
        <v>.</v>
      </c>
      <c r="AV546" s="180" t="str">
        <f t="shared" si="112"/>
        <v>.</v>
      </c>
      <c r="AW546" s="180">
        <f>IFERROR(VLOOKUP(B546,'Share, Heavy Weapons to Ukraine'!B:J,COLUMN('Share, Heavy Weapons to Ukraine'!C558)-1,0),0)</f>
        <v>0</v>
      </c>
      <c r="AX546" s="180">
        <f>VLOOKUP('Bilateral Assistance, MAIN DATA'!B546,'Country Summary'!B:F,COLUMN('Country Summary'!C561)-1,FALSE)</f>
        <v>1</v>
      </c>
      <c r="AY546" s="180" t="str">
        <f>IF(AND(AD546=1,D546="Military",H546&lt;&gt;"Not given")=TRUE,IF(SUMIFS(P:P,A:A,A546)&gt;0,ABS((SUMIFS(P:P,A:A,A546)/VLOOKUP("USD",'Exchange Rates'!B:C,2,0)))/S546,"."),".")</f>
        <v>.</v>
      </c>
      <c r="AZ546" s="182" t="str">
        <f>IF(AND(AD546=1,D546="Military",H546&lt;&gt;"Not given")=TRUE,IF(SUMIFS(P:P,A:A,A546)&gt;0,IF((ABS((SUMIFS(P:P,A:A,A546)/VLOOKUP("USD",'Exchange Rates'!B:C,2,0)))/S546)&gt;1,(SUMIFS(P:P,A:A,A546)-S546)/S546,(S546-SUMIFS(P:P,A:A,A546))/SUMIFS(P:P,A:A,A546)),"."),".")</f>
        <v>.</v>
      </c>
      <c r="BA546" s="182"/>
      <c r="BB546" s="182"/>
      <c r="BC546" s="182"/>
      <c r="BD546" s="182"/>
      <c r="BE546" s="182"/>
      <c r="BF546" s="182"/>
      <c r="BG546" s="182"/>
      <c r="BH546" s="182"/>
      <c r="BI546" s="182"/>
      <c r="BJ546" s="182"/>
      <c r="BK546" s="182"/>
      <c r="BL546" s="182"/>
      <c r="BM546" s="182"/>
      <c r="BN546" s="182"/>
      <c r="BO546" s="182"/>
      <c r="BP546" s="182"/>
      <c r="BQ546" s="182"/>
      <c r="BR546" s="182"/>
      <c r="BS546" s="182"/>
    </row>
    <row r="547" spans="1:71" ht="15.9" customHeight="1" x14ac:dyDescent="0.3">
      <c r="A547" s="17" t="s">
        <v>1660</v>
      </c>
      <c r="B547" s="17" t="s">
        <v>1646</v>
      </c>
      <c r="C547" s="174">
        <v>44641</v>
      </c>
      <c r="D547" s="5" t="s">
        <v>256</v>
      </c>
      <c r="E547" s="5" t="s">
        <v>267</v>
      </c>
      <c r="F547" s="175" t="s">
        <v>1661</v>
      </c>
      <c r="G547" s="15" t="s">
        <v>260</v>
      </c>
      <c r="H547" s="176" t="s">
        <v>341</v>
      </c>
      <c r="I547" s="17" t="s">
        <v>260</v>
      </c>
      <c r="J547" s="113" t="str">
        <f>VLOOKUP($I547,'Price List, Weapons &amp; Items'!B:C,2,0)</f>
        <v>.</v>
      </c>
      <c r="K547" s="113" t="str">
        <f>IF(I547=".",I547,VLOOKUP($I547,'Price List, Weapons &amp; Items'!B:D,3,0))</f>
        <v>.</v>
      </c>
      <c r="L547" s="177">
        <f>VLOOKUP(I547,'Price List, Weapons &amp; Items'!B:E,4,0)</f>
        <v>0</v>
      </c>
      <c r="M547" s="542" t="s">
        <v>260</v>
      </c>
      <c r="N547" s="542" t="s">
        <v>260</v>
      </c>
      <c r="O547" s="543" t="str">
        <f>VLOOKUP($I547,'Price List, Weapons &amp; Items'!B:G,6,0)</f>
        <v>.</v>
      </c>
      <c r="P547" s="176" t="str">
        <f t="shared" si="102"/>
        <v>.</v>
      </c>
      <c r="Q547" s="176" t="str">
        <f t="shared" si="103"/>
        <v>.</v>
      </c>
      <c r="R547" s="176" t="str">
        <f t="shared" si="110"/>
        <v>.</v>
      </c>
      <c r="S547" s="176" t="str">
        <f>IF(AND(AD547=1,R547&lt;&gt;".")=TRUE,R547/VLOOKUP(G547,'Exchange Rates'!B:C,2,0),IF(R547=".",".",""))</f>
        <v>.</v>
      </c>
      <c r="T547" s="176" t="str">
        <f>IF(AD547=1,IF(AF547="Value is not given at all",".",IF(AF547="Value is given by the source",S547,IF(AF547="Value is calculated with prices",(IF(SUMIFS(Q:Q,A:A,A547)&gt;0,SUMIFS(Q:Q,A:A,A547),"."))/VLOOKUP("USD",'Exchange Rates'!B:C,2,0),"Error with coding"))),"")</f>
        <v>.</v>
      </c>
      <c r="U547" s="15" t="s">
        <v>261</v>
      </c>
      <c r="V547" s="300" t="s">
        <v>1655</v>
      </c>
      <c r="W547" s="300" t="s">
        <v>1662</v>
      </c>
      <c r="X547" s="175" t="s">
        <v>260</v>
      </c>
      <c r="Y547" s="175" t="s">
        <v>260</v>
      </c>
      <c r="Z547" s="15">
        <v>0</v>
      </c>
      <c r="AA547" s="180">
        <v>0</v>
      </c>
      <c r="AB547" s="184" t="s">
        <v>260</v>
      </c>
      <c r="AC547" s="544" t="str">
        <f>""</f>
        <v/>
      </c>
      <c r="AD547" s="181">
        <v>1</v>
      </c>
      <c r="AE547" s="181" t="s">
        <v>265</v>
      </c>
      <c r="AF547" s="181" t="s">
        <v>265</v>
      </c>
      <c r="AG547" s="181">
        <v>1</v>
      </c>
      <c r="AH547" s="181">
        <v>3</v>
      </c>
      <c r="AI547" s="181">
        <v>0</v>
      </c>
      <c r="AJ547" s="181">
        <f>VLOOKUP($I547,'Price List, Weapons &amp; Items'!B:F,5,0)</f>
        <v>0</v>
      </c>
      <c r="AK547" s="181">
        <f t="shared" si="104"/>
        <v>0</v>
      </c>
      <c r="AL547" s="181">
        <f t="shared" si="105"/>
        <v>0</v>
      </c>
      <c r="AM547" s="181">
        <f t="shared" si="106"/>
        <v>0</v>
      </c>
      <c r="AN547" s="180" t="str">
        <f>VLOOKUP($I547,'Price List, Weapons &amp; Items'!B:L,COLUMN('Price List, Weapons &amp; Items'!$J$11)-1,0)</f>
        <v>.</v>
      </c>
      <c r="AO547" s="180" t="str">
        <f>IF(I547=".",".",VLOOKUP($I547,'Price List, Weapons &amp; Items'!B:J,3,0))</f>
        <v>.</v>
      </c>
      <c r="AP547" s="545" t="e">
        <f t="shared" ca="1" si="113"/>
        <v>#NAME?</v>
      </c>
      <c r="AQ547" s="180" t="str">
        <f>VLOOKUP($I547,'Price List, Weapons &amp; Items'!B:L,COLUMN('Price List, Weapons &amp; Items'!$L$11)-1,0)</f>
        <v>no price, 0 count</v>
      </c>
      <c r="AR547" s="180">
        <f t="shared" si="107"/>
        <v>1</v>
      </c>
      <c r="AS547" s="180">
        <f t="shared" si="108"/>
        <v>0</v>
      </c>
      <c r="AT547" s="180">
        <f t="shared" si="109"/>
        <v>1</v>
      </c>
      <c r="AU547" s="180" t="str">
        <f t="shared" si="111"/>
        <v>.</v>
      </c>
      <c r="AV547" s="180" t="str">
        <f t="shared" si="112"/>
        <v>.</v>
      </c>
      <c r="AW547" s="180">
        <f>IFERROR(VLOOKUP(B547,'Share, Heavy Weapons to Ukraine'!B:J,COLUMN('Share, Heavy Weapons to Ukraine'!C559)-1,0),0)</f>
        <v>0</v>
      </c>
      <c r="AX547" s="180">
        <f>VLOOKUP('Bilateral Assistance, MAIN DATA'!B547,'Country Summary'!B:F,COLUMN('Country Summary'!C562)-1,FALSE)</f>
        <v>1</v>
      </c>
      <c r="AY547" s="180" t="str">
        <f>IF(AND(AD547=1,D547="Military",H547&lt;&gt;"Not given")=TRUE,IF(SUMIFS(P:P,A:A,A547)&gt;0,ABS((SUMIFS(P:P,A:A,A547)/VLOOKUP("USD",'Exchange Rates'!B:C,2,0)))/S547,"."),".")</f>
        <v>.</v>
      </c>
      <c r="AZ547" s="182" t="str">
        <f>IF(AND(AD547=1,D547="Military",H547&lt;&gt;"Not given")=TRUE,IF(SUMIFS(P:P,A:A,A547)&gt;0,IF((ABS((SUMIFS(P:P,A:A,A547)/VLOOKUP("USD",'Exchange Rates'!B:C,2,0)))/S547)&gt;1,(SUMIFS(P:P,A:A,A547)-S547)/S547,(S547-SUMIFS(P:P,A:A,A547))/SUMIFS(P:P,A:A,A547)),"."),".")</f>
        <v>.</v>
      </c>
      <c r="BA547" s="182"/>
      <c r="BB547" s="182"/>
      <c r="BC547" s="182"/>
      <c r="BD547" s="182"/>
      <c r="BE547" s="182"/>
      <c r="BF547" s="182"/>
      <c r="BG547" s="182"/>
      <c r="BH547" s="182"/>
      <c r="BI547" s="182"/>
      <c r="BJ547" s="182"/>
      <c r="BK547" s="182"/>
      <c r="BL547" s="182"/>
      <c r="BM547" s="182"/>
      <c r="BN547" s="182"/>
      <c r="BO547" s="182"/>
      <c r="BP547" s="182"/>
      <c r="BQ547" s="182"/>
      <c r="BR547" s="182"/>
      <c r="BS547" s="182"/>
    </row>
    <row r="548" spans="1:71" ht="15.9" customHeight="1" x14ac:dyDescent="0.3">
      <c r="A548" s="17" t="s">
        <v>1663</v>
      </c>
      <c r="B548" s="17" t="s">
        <v>1646</v>
      </c>
      <c r="C548" s="174">
        <v>44643</v>
      </c>
      <c r="D548" s="5" t="s">
        <v>256</v>
      </c>
      <c r="E548" s="5" t="s">
        <v>257</v>
      </c>
      <c r="F548" s="175" t="s">
        <v>1664</v>
      </c>
      <c r="G548" s="15" t="s">
        <v>1665</v>
      </c>
      <c r="H548" s="176">
        <v>66000000</v>
      </c>
      <c r="I548" s="17" t="s">
        <v>260</v>
      </c>
      <c r="J548" s="113" t="str">
        <f>VLOOKUP($I548,'Price List, Weapons &amp; Items'!B:C,2,0)</f>
        <v>.</v>
      </c>
      <c r="K548" s="113" t="str">
        <f>IF(I548=".",I548,VLOOKUP($I548,'Price List, Weapons &amp; Items'!B:D,3,0))</f>
        <v>.</v>
      </c>
      <c r="L548" s="177">
        <f>VLOOKUP(I548,'Price List, Weapons &amp; Items'!B:E,4,0)</f>
        <v>0</v>
      </c>
      <c r="M548" s="542" t="s">
        <v>260</v>
      </c>
      <c r="N548" s="542" t="s">
        <v>260</v>
      </c>
      <c r="O548" s="543" t="str">
        <f>VLOOKUP($I548,'Price List, Weapons &amp; Items'!B:G,6,0)</f>
        <v>.</v>
      </c>
      <c r="P548" s="176" t="str">
        <f t="shared" si="102"/>
        <v>.</v>
      </c>
      <c r="Q548" s="176" t="str">
        <f t="shared" si="103"/>
        <v>.</v>
      </c>
      <c r="R548" s="176">
        <f t="shared" si="110"/>
        <v>66000000</v>
      </c>
      <c r="S548" s="176">
        <f>IF(AND(AD548=1,R548&lt;&gt;".")=TRUE,R548/VLOOKUP(G548,'Exchange Rates'!B:C,2,0),IF(R548=".",".",""))</f>
        <v>166729.82190223568</v>
      </c>
      <c r="T548" s="176" t="str">
        <f>IF(AD548=1,IF(AF548="Value is not given at all",".",IF(AF548="Value is given by the source",S548,IF(AF548="Value is calculated with prices",(IF(SUMIFS(Q:Q,A:A,A548)&gt;0,SUMIFS(Q:Q,A:A,A548),"."))/VLOOKUP("USD",'Exchange Rates'!B:C,2,0),"Error with coding"))),"")</f>
        <v>.</v>
      </c>
      <c r="U548" s="15" t="s">
        <v>261</v>
      </c>
      <c r="V548" s="300" t="s">
        <v>1666</v>
      </c>
      <c r="W548" s="175" t="s">
        <v>260</v>
      </c>
      <c r="X548" s="175" t="s">
        <v>260</v>
      </c>
      <c r="Y548" s="175" t="s">
        <v>260</v>
      </c>
      <c r="Z548" s="15">
        <v>0</v>
      </c>
      <c r="AA548" s="180">
        <v>0</v>
      </c>
      <c r="AB548" s="184" t="s">
        <v>260</v>
      </c>
      <c r="AC548" s="544" t="str">
        <f>""</f>
        <v/>
      </c>
      <c r="AD548" s="181">
        <v>1</v>
      </c>
      <c r="AE548" s="181" t="s">
        <v>264</v>
      </c>
      <c r="AF548" s="181" t="s">
        <v>265</v>
      </c>
      <c r="AG548" s="181">
        <v>1</v>
      </c>
      <c r="AH548" s="181">
        <v>3</v>
      </c>
      <c r="AI548" s="181">
        <v>0</v>
      </c>
      <c r="AJ548" s="181">
        <f>VLOOKUP($I548,'Price List, Weapons &amp; Items'!B:F,5,0)</f>
        <v>0</v>
      </c>
      <c r="AK548" s="181">
        <f t="shared" si="104"/>
        <v>0</v>
      </c>
      <c r="AL548" s="181">
        <f t="shared" si="105"/>
        <v>0</v>
      </c>
      <c r="AM548" s="181">
        <f t="shared" si="106"/>
        <v>0</v>
      </c>
      <c r="AN548" s="180" t="str">
        <f>VLOOKUP($I548,'Price List, Weapons &amp; Items'!B:L,COLUMN('Price List, Weapons &amp; Items'!$J$11)-1,0)</f>
        <v>.</v>
      </c>
      <c r="AO548" s="180" t="str">
        <f>IF(I548=".",".",VLOOKUP($I548,'Price List, Weapons &amp; Items'!B:J,3,0))</f>
        <v>.</v>
      </c>
      <c r="AP548" s="545" t="e">
        <f t="shared" ca="1" si="113"/>
        <v>#NAME?</v>
      </c>
      <c r="AQ548" s="180" t="str">
        <f>VLOOKUP($I548,'Price List, Weapons &amp; Items'!B:L,COLUMN('Price List, Weapons &amp; Items'!$L$11)-1,0)</f>
        <v>no price, 0 count</v>
      </c>
      <c r="AR548" s="180">
        <f t="shared" si="107"/>
        <v>1</v>
      </c>
      <c r="AS548" s="180">
        <f t="shared" si="108"/>
        <v>0</v>
      </c>
      <c r="AT548" s="180">
        <f t="shared" si="109"/>
        <v>1</v>
      </c>
      <c r="AU548" s="180" t="str">
        <f t="shared" si="111"/>
        <v>.</v>
      </c>
      <c r="AV548" s="180" t="str">
        <f t="shared" si="112"/>
        <v>.</v>
      </c>
      <c r="AW548" s="180">
        <f>IFERROR(VLOOKUP(B548,'Share, Heavy Weapons to Ukraine'!B:J,COLUMN('Share, Heavy Weapons to Ukraine'!C560)-1,0),0)</f>
        <v>0</v>
      </c>
      <c r="AX548" s="180">
        <f>VLOOKUP('Bilateral Assistance, MAIN DATA'!B548,'Country Summary'!B:F,COLUMN('Country Summary'!C563)-1,FALSE)</f>
        <v>1</v>
      </c>
      <c r="AY548" s="180" t="str">
        <f>IF(AND(AD548=1,D548="Military",H548&lt;&gt;"Not given")=TRUE,IF(SUMIFS(P:P,A:A,A548)&gt;0,ABS((SUMIFS(P:P,A:A,A548)/VLOOKUP("USD",'Exchange Rates'!B:C,2,0)))/S548,"."),".")</f>
        <v>.</v>
      </c>
      <c r="AZ548" s="182" t="str">
        <f>IF(AND(AD548=1,D548="Military",H548&lt;&gt;"Not given")=TRUE,IF(SUMIFS(P:P,A:A,A548)&gt;0,IF((ABS((SUMIFS(P:P,A:A,A548)/VLOOKUP("USD",'Exchange Rates'!B:C,2,0)))/S548)&gt;1,(SUMIFS(P:P,A:A,A548)-S548)/S548,(S548-SUMIFS(P:P,A:A,A548))/SUMIFS(P:P,A:A,A548)),"."),".")</f>
        <v>.</v>
      </c>
      <c r="BA548" s="182"/>
      <c r="BB548" s="182"/>
      <c r="BC548" s="182"/>
      <c r="BD548" s="182"/>
      <c r="BE548" s="182"/>
      <c r="BF548" s="182"/>
      <c r="BG548" s="182"/>
      <c r="BH548" s="182"/>
      <c r="BI548" s="182"/>
      <c r="BJ548" s="182"/>
      <c r="BK548" s="182"/>
      <c r="BL548" s="182"/>
      <c r="BM548" s="182"/>
      <c r="BN548" s="182"/>
      <c r="BO548" s="182"/>
      <c r="BP548" s="182"/>
      <c r="BQ548" s="182"/>
      <c r="BR548" s="182"/>
      <c r="BS548" s="182"/>
    </row>
    <row r="549" spans="1:71" ht="15.9" customHeight="1" x14ac:dyDescent="0.3">
      <c r="A549" s="17" t="s">
        <v>1667</v>
      </c>
      <c r="B549" s="17" t="s">
        <v>1646</v>
      </c>
      <c r="C549" s="174" t="s">
        <v>1668</v>
      </c>
      <c r="D549" s="5" t="s">
        <v>256</v>
      </c>
      <c r="E549" s="5" t="s">
        <v>267</v>
      </c>
      <c r="F549" s="175" t="s">
        <v>1669</v>
      </c>
      <c r="G549" s="15" t="s">
        <v>346</v>
      </c>
      <c r="H549" s="176" t="s">
        <v>341</v>
      </c>
      <c r="I549" s="17" t="s">
        <v>1670</v>
      </c>
      <c r="J549" s="113" t="str">
        <f>VLOOKUP($I549,'Price List, Weapons &amp; Items'!B:C,2,0)</f>
        <v>Humanitarian</v>
      </c>
      <c r="K549" s="113" t="str">
        <f>IF(I549=".",I549,VLOOKUP($I549,'Price List, Weapons &amp; Items'!B:D,3,0))</f>
        <v>Humanitarian</v>
      </c>
      <c r="L549" s="177">
        <f>VLOOKUP(I549,'Price List, Weapons &amp; Items'!B:E,4,0)</f>
        <v>0</v>
      </c>
      <c r="M549" s="542">
        <f>((1300*6000)-6500000)/6000</f>
        <v>216.66666666666666</v>
      </c>
      <c r="N549" s="542" t="s">
        <v>270</v>
      </c>
      <c r="O549" s="543">
        <f>VLOOKUP($I549,'Price List, Weapons &amp; Items'!B:G,6,0)</f>
        <v>10000</v>
      </c>
      <c r="P549" s="176">
        <f t="shared" si="102"/>
        <v>2166666.6666666665</v>
      </c>
      <c r="Q549" s="176" t="str">
        <f t="shared" si="103"/>
        <v>.</v>
      </c>
      <c r="R549" s="176">
        <f t="shared" si="110"/>
        <v>2166666.6666666665</v>
      </c>
      <c r="S549" s="176">
        <f>IF(AND(AD549=1,R549&lt;&gt;".")=TRUE,R549/VLOOKUP(G549,'Exchange Rates'!B:C,2,0),IF(R549=".",".",""))</f>
        <v>2063492.0634920632</v>
      </c>
      <c r="T549" s="176" t="str">
        <f>IF(AD549=1,IF(AF549="Value is not given at all",".",IF(AF549="Value is given by the source",S549,IF(AF549="Value is calculated with prices",(IF(SUMIFS(Q:Q,A:A,A549)&gt;0,SUMIFS(Q:Q,A:A,A549),"."))/VLOOKUP("USD",'Exchange Rates'!B:C,2,0),"Error with coding"))),"")</f>
        <v>.</v>
      </c>
      <c r="U549" s="15" t="s">
        <v>415</v>
      </c>
      <c r="V549" s="300" t="s">
        <v>1671</v>
      </c>
      <c r="W549" s="175" t="s">
        <v>260</v>
      </c>
      <c r="X549" s="175" t="s">
        <v>260</v>
      </c>
      <c r="Y549" s="175" t="s">
        <v>260</v>
      </c>
      <c r="Z549" s="15">
        <v>0</v>
      </c>
      <c r="AA549" s="180">
        <v>0</v>
      </c>
      <c r="AB549" s="184" t="s">
        <v>260</v>
      </c>
      <c r="AC549" s="544" t="str">
        <f>""</f>
        <v/>
      </c>
      <c r="AD549" s="183">
        <v>1</v>
      </c>
      <c r="AE549" s="183" t="s">
        <v>332</v>
      </c>
      <c r="AF549" s="183" t="s">
        <v>265</v>
      </c>
      <c r="AG549" s="183">
        <v>0</v>
      </c>
      <c r="AH549" s="181">
        <v>0</v>
      </c>
      <c r="AI549" s="181">
        <v>0</v>
      </c>
      <c r="AJ549" s="181">
        <f>VLOOKUP($I549,'Price List, Weapons &amp; Items'!B:F,5,0)</f>
        <v>0</v>
      </c>
      <c r="AK549" s="181">
        <f t="shared" si="104"/>
        <v>0</v>
      </c>
      <c r="AL549" s="181">
        <f t="shared" si="105"/>
        <v>0</v>
      </c>
      <c r="AM549" s="181">
        <f t="shared" si="106"/>
        <v>0</v>
      </c>
      <c r="AN549" s="180" t="str">
        <f>VLOOKUP($I549,'Price List, Weapons &amp; Items'!B:L,COLUMN('Price List, Weapons &amp; Items'!$J$11)-1,0)</f>
        <v>Miscellaneous</v>
      </c>
      <c r="AO549" s="180" t="str">
        <f>IF(I549=".",".",VLOOKUP($I549,'Price List, Weapons &amp; Items'!B:J,3,0))</f>
        <v>Humanitarian</v>
      </c>
      <c r="AP549" s="545" t="e">
        <f t="shared" ca="1" si="113"/>
        <v>#NAME?</v>
      </c>
      <c r="AQ549" s="180">
        <f>VLOOKUP($I549,'Price List, Weapons &amp; Items'!B:L,COLUMN('Price List, Weapons &amp; Items'!$L$11)-1,0)</f>
        <v>0</v>
      </c>
      <c r="AR549" s="180">
        <f t="shared" si="107"/>
        <v>0</v>
      </c>
      <c r="AS549" s="180">
        <f t="shared" si="108"/>
        <v>0</v>
      </c>
      <c r="AT549" s="180" t="str">
        <f t="shared" si="109"/>
        <v>Value is not in date format</v>
      </c>
      <c r="AU549" s="180" t="str">
        <f t="shared" si="111"/>
        <v>.</v>
      </c>
      <c r="AV549" s="180" t="str">
        <f t="shared" si="112"/>
        <v>.</v>
      </c>
      <c r="AW549" s="180">
        <f>IFERROR(VLOOKUP(B549,'Share, Heavy Weapons to Ukraine'!B:J,COLUMN('Share, Heavy Weapons to Ukraine'!C561)-1,0),0)</f>
        <v>0</v>
      </c>
      <c r="AX549" s="180">
        <f>VLOOKUP('Bilateral Assistance, MAIN DATA'!B549,'Country Summary'!B:F,COLUMN('Country Summary'!C564)-1,FALSE)</f>
        <v>1</v>
      </c>
      <c r="AY549" s="180" t="str">
        <f>IF(AND(AD549=1,D549="Military",H549&lt;&gt;"Not given")=TRUE,IF(SUMIFS(P:P,A:A,A549)&gt;0,ABS((SUMIFS(P:P,A:A,A549)/VLOOKUP("USD",'Exchange Rates'!B:C,2,0)))/S549,"."),".")</f>
        <v>.</v>
      </c>
      <c r="AZ549" s="182" t="str">
        <f>IF(AND(AD549=1,D549="Military",H549&lt;&gt;"Not given")=TRUE,IF(SUMIFS(P:P,A:A,A549)&gt;0,IF((ABS((SUMIFS(P:P,A:A,A549)/VLOOKUP("USD",'Exchange Rates'!B:C,2,0)))/S549)&gt;1,(SUMIFS(P:P,A:A,A549)-S549)/S549,(S549-SUMIFS(P:P,A:A,A549))/SUMIFS(P:P,A:A,A549)),"."),".")</f>
        <v>.</v>
      </c>
      <c r="BA549" s="182"/>
      <c r="BB549" s="182"/>
      <c r="BC549" s="182"/>
      <c r="BD549" s="182"/>
      <c r="BE549" s="182"/>
      <c r="BF549" s="182"/>
      <c r="BG549" s="182"/>
      <c r="BH549" s="182"/>
      <c r="BI549" s="182"/>
      <c r="BJ549" s="182"/>
      <c r="BK549" s="182"/>
      <c r="BL549" s="182"/>
      <c r="BM549" s="182"/>
      <c r="BN549" s="182"/>
      <c r="BO549" s="182"/>
      <c r="BP549" s="182"/>
      <c r="BQ549" s="182"/>
      <c r="BR549" s="182"/>
      <c r="BS549" s="182"/>
    </row>
    <row r="550" spans="1:71" ht="15.9" customHeight="1" x14ac:dyDescent="0.3">
      <c r="A550" s="17" t="s">
        <v>1672</v>
      </c>
      <c r="B550" s="17" t="s">
        <v>1646</v>
      </c>
      <c r="C550" s="174">
        <v>44685</v>
      </c>
      <c r="D550" s="5" t="s">
        <v>256</v>
      </c>
      <c r="E550" s="5" t="s">
        <v>267</v>
      </c>
      <c r="F550" s="175" t="s">
        <v>1673</v>
      </c>
      <c r="G550" s="15" t="s">
        <v>1665</v>
      </c>
      <c r="H550" s="176">
        <v>262000000</v>
      </c>
      <c r="I550" s="17" t="s">
        <v>260</v>
      </c>
      <c r="J550" s="113" t="str">
        <f>VLOOKUP($I550,'Price List, Weapons &amp; Items'!B:C,2,0)</f>
        <v>.</v>
      </c>
      <c r="K550" s="113" t="str">
        <f>IF(I550=".",I550,VLOOKUP($I550,'Price List, Weapons &amp; Items'!B:D,3,0))</f>
        <v>.</v>
      </c>
      <c r="L550" s="177">
        <f>VLOOKUP(I550,'Price List, Weapons &amp; Items'!B:E,4,0)</f>
        <v>0</v>
      </c>
      <c r="M550" s="542" t="s">
        <v>260</v>
      </c>
      <c r="N550" s="542" t="s">
        <v>260</v>
      </c>
      <c r="O550" s="543" t="str">
        <f>VLOOKUP($I550,'Price List, Weapons &amp; Items'!B:G,6,0)</f>
        <v>.</v>
      </c>
      <c r="P550" s="176" t="str">
        <f t="shared" si="102"/>
        <v>.</v>
      </c>
      <c r="Q550" s="176" t="str">
        <f t="shared" si="103"/>
        <v>.</v>
      </c>
      <c r="R550" s="176">
        <f t="shared" si="110"/>
        <v>262000000</v>
      </c>
      <c r="S550" s="176">
        <f>IF(AND(AD550=1,R550&lt;&gt;".")=TRUE,R550/VLOOKUP(G550,'Exchange Rates'!B:C,2,0),IF(R550=".",".",""))</f>
        <v>661866.8687634205</v>
      </c>
      <c r="T550" s="176" t="str">
        <f>IF(AD550=1,IF(AF550="Value is not given at all",".",IF(AF550="Value is given by the source",S550,IF(AF550="Value is calculated with prices",(IF(SUMIFS(Q:Q,A:A,A550)&gt;0,SUMIFS(Q:Q,A:A,A550),"."))/VLOOKUP("USD",'Exchange Rates'!B:C,2,0),"Error with coding"))),"")</f>
        <v>.</v>
      </c>
      <c r="U550" s="15" t="s">
        <v>415</v>
      </c>
      <c r="V550" s="300" t="s">
        <v>1674</v>
      </c>
      <c r="W550" s="175" t="s">
        <v>260</v>
      </c>
      <c r="X550" s="175" t="s">
        <v>260</v>
      </c>
      <c r="Y550" s="175" t="s">
        <v>260</v>
      </c>
      <c r="Z550" s="15">
        <v>0</v>
      </c>
      <c r="AA550" s="180">
        <v>0</v>
      </c>
      <c r="AB550" s="184" t="s">
        <v>260</v>
      </c>
      <c r="AC550" s="544" t="str">
        <f>""</f>
        <v/>
      </c>
      <c r="AD550" s="183">
        <v>1</v>
      </c>
      <c r="AE550" s="183" t="s">
        <v>264</v>
      </c>
      <c r="AF550" s="183" t="s">
        <v>265</v>
      </c>
      <c r="AG550" s="183">
        <v>1</v>
      </c>
      <c r="AH550" s="181">
        <v>5</v>
      </c>
      <c r="AI550" s="181">
        <v>0</v>
      </c>
      <c r="AJ550" s="181">
        <f>VLOOKUP($I550,'Price List, Weapons &amp; Items'!B:F,5,0)</f>
        <v>0</v>
      </c>
      <c r="AK550" s="181">
        <f t="shared" si="104"/>
        <v>0</v>
      </c>
      <c r="AL550" s="181">
        <f t="shared" si="105"/>
        <v>0</v>
      </c>
      <c r="AM550" s="181">
        <f t="shared" si="106"/>
        <v>0</v>
      </c>
      <c r="AN550" s="180" t="str">
        <f>VLOOKUP($I550,'Price List, Weapons &amp; Items'!B:L,COLUMN('Price List, Weapons &amp; Items'!$J$11)-1,0)</f>
        <v>.</v>
      </c>
      <c r="AO550" s="180" t="str">
        <f>IF(I550=".",".",VLOOKUP($I550,'Price List, Weapons &amp; Items'!B:J,3,0))</f>
        <v>.</v>
      </c>
      <c r="AP550" s="545" t="e">
        <f t="shared" ca="1" si="113"/>
        <v>#NAME?</v>
      </c>
      <c r="AQ550" s="180" t="str">
        <f>VLOOKUP($I550,'Price List, Weapons &amp; Items'!B:L,COLUMN('Price List, Weapons &amp; Items'!$L$11)-1,0)</f>
        <v>no price, 0 count</v>
      </c>
      <c r="AR550" s="180">
        <f t="shared" si="107"/>
        <v>0</v>
      </c>
      <c r="AS550" s="180">
        <f t="shared" si="108"/>
        <v>0</v>
      </c>
      <c r="AT550" s="180">
        <f t="shared" si="109"/>
        <v>1</v>
      </c>
      <c r="AU550" s="180" t="str">
        <f t="shared" si="111"/>
        <v>.</v>
      </c>
      <c r="AV550" s="180" t="str">
        <f t="shared" si="112"/>
        <v>.</v>
      </c>
      <c r="AW550" s="180">
        <f>IFERROR(VLOOKUP(B550,'Share, Heavy Weapons to Ukraine'!B:J,COLUMN('Share, Heavy Weapons to Ukraine'!C562)-1,0),0)</f>
        <v>0</v>
      </c>
      <c r="AX550" s="180">
        <f>VLOOKUP('Bilateral Assistance, MAIN DATA'!B550,'Country Summary'!B:F,COLUMN('Country Summary'!C565)-1,FALSE)</f>
        <v>1</v>
      </c>
      <c r="AY550" s="180" t="str">
        <f>IF(AND(AD550=1,D550="Military",H550&lt;&gt;"Not given")=TRUE,IF(SUMIFS(P:P,A:A,A550)&gt;0,ABS((SUMIFS(P:P,A:A,A550)/VLOOKUP("USD",'Exchange Rates'!B:C,2,0)))/S550,"."),".")</f>
        <v>.</v>
      </c>
      <c r="AZ550" s="182" t="str">
        <f>IF(AND(AD550=1,D550="Military",H550&lt;&gt;"Not given")=TRUE,IF(SUMIFS(P:P,A:A,A550)&gt;0,IF((ABS((SUMIFS(P:P,A:A,A550)/VLOOKUP("USD",'Exchange Rates'!B:C,2,0)))/S550)&gt;1,(SUMIFS(P:P,A:A,A550)-S550)/S550,(S550-SUMIFS(P:P,A:A,A550))/SUMIFS(P:P,A:A,A550)),"."),".")</f>
        <v>.</v>
      </c>
      <c r="BA550" s="182"/>
      <c r="BB550" s="182"/>
      <c r="BC550" s="182"/>
      <c r="BD550" s="182"/>
      <c r="BE550" s="182"/>
      <c r="BF550" s="182"/>
      <c r="BG550" s="182"/>
      <c r="BH550" s="182"/>
      <c r="BI550" s="182"/>
      <c r="BJ550" s="182"/>
      <c r="BK550" s="182"/>
      <c r="BL550" s="182"/>
      <c r="BM550" s="182"/>
      <c r="BN550" s="182"/>
      <c r="BO550" s="182"/>
      <c r="BP550" s="182"/>
      <c r="BQ550" s="182"/>
      <c r="BR550" s="182"/>
      <c r="BS550" s="182"/>
    </row>
    <row r="551" spans="1:71" ht="15.9" customHeight="1" x14ac:dyDescent="0.3">
      <c r="A551" s="5" t="s">
        <v>1675</v>
      </c>
      <c r="B551" s="5" t="s">
        <v>1646</v>
      </c>
      <c r="C551" s="174">
        <v>44686</v>
      </c>
      <c r="D551" s="5" t="s">
        <v>256</v>
      </c>
      <c r="E551" s="5" t="s">
        <v>267</v>
      </c>
      <c r="F551" s="175" t="s">
        <v>1676</v>
      </c>
      <c r="G551" s="15" t="s">
        <v>364</v>
      </c>
      <c r="H551" s="176">
        <v>37000000</v>
      </c>
      <c r="I551" s="17" t="s">
        <v>1677</v>
      </c>
      <c r="J551" s="113" t="str">
        <f>VLOOKUP($I551,'Price List, Weapons &amp; Items'!B:C,2,0)</f>
        <v>Humanitarian</v>
      </c>
      <c r="K551" s="113" t="str">
        <f>IF(I551=".",I551,VLOOKUP($I551,'Price List, Weapons &amp; Items'!B:D,3,0))</f>
        <v>Humanitarian</v>
      </c>
      <c r="L551" s="177">
        <f>VLOOKUP(I551,'Price List, Weapons &amp; Items'!B:E,4,0)</f>
        <v>0</v>
      </c>
      <c r="M551" s="542">
        <v>1</v>
      </c>
      <c r="N551" s="542" t="s">
        <v>270</v>
      </c>
      <c r="O551" s="543">
        <f>VLOOKUP($I551,'Price List, Weapons &amp; Items'!B:G,6,0)</f>
        <v>125000000</v>
      </c>
      <c r="P551" s="176">
        <f t="shared" si="102"/>
        <v>125000000</v>
      </c>
      <c r="Q551" s="176" t="str">
        <f t="shared" si="103"/>
        <v>.</v>
      </c>
      <c r="R551" s="176">
        <f t="shared" si="110"/>
        <v>37000000</v>
      </c>
      <c r="S551" s="176">
        <f>IF(AND(AD551=1,R551&lt;&gt;".")=TRUE,R551/VLOOKUP(G551,'Exchange Rates'!B:C,2,0),IF(R551=".",".",""))</f>
        <v>37000000</v>
      </c>
      <c r="T551" s="176" t="str">
        <f>IF(AD551=1,IF(AF551="Value is not given at all",".",IF(AF551="Value is given by the source",S551,IF(AF551="Value is calculated with prices",(IF(SUMIFS(Q:Q,A:A,A551)&gt;0,SUMIFS(Q:Q,A:A,A551),"."))/VLOOKUP("USD",'Exchange Rates'!B:C,2,0),"Error with coding"))),"")</f>
        <v>.</v>
      </c>
      <c r="U551" s="15" t="s">
        <v>261</v>
      </c>
      <c r="V551" s="547" t="s">
        <v>429</v>
      </c>
      <c r="W551" s="188" t="s">
        <v>260</v>
      </c>
      <c r="X551" s="188" t="s">
        <v>260</v>
      </c>
      <c r="Y551" s="188" t="s">
        <v>260</v>
      </c>
      <c r="Z551" s="15">
        <v>0</v>
      </c>
      <c r="AA551" s="180">
        <v>0</v>
      </c>
      <c r="AB551" s="17" t="s">
        <v>260</v>
      </c>
      <c r="AC551" s="544" t="str">
        <f>""</f>
        <v/>
      </c>
      <c r="AD551" s="183">
        <v>1</v>
      </c>
      <c r="AE551" s="183" t="s">
        <v>264</v>
      </c>
      <c r="AF551" s="183" t="s">
        <v>265</v>
      </c>
      <c r="AG551" s="183">
        <v>1</v>
      </c>
      <c r="AH551" s="183">
        <v>5</v>
      </c>
      <c r="AI551" s="183">
        <v>0</v>
      </c>
      <c r="AJ551" s="181">
        <f>VLOOKUP($I551,'Price List, Weapons &amp; Items'!B:F,5,0)</f>
        <v>0</v>
      </c>
      <c r="AK551" s="181">
        <f t="shared" si="104"/>
        <v>0</v>
      </c>
      <c r="AL551" s="181">
        <f t="shared" si="105"/>
        <v>0</v>
      </c>
      <c r="AM551" s="181">
        <f t="shared" si="106"/>
        <v>0</v>
      </c>
      <c r="AN551" s="180" t="str">
        <f>VLOOKUP($I551,'Price List, Weapons &amp; Items'!B:L,COLUMN('Price List, Weapons &amp; Items'!$J$11)-1,0)</f>
        <v>Media reports (incl. social media)</v>
      </c>
      <c r="AO551" s="180" t="str">
        <f>IF(I551=".",".",VLOOKUP($I551,'Price List, Weapons &amp; Items'!B:J,3,0))</f>
        <v>Humanitarian</v>
      </c>
      <c r="AP551" s="545" t="e">
        <f t="shared" ca="1" si="113"/>
        <v>#NAME?</v>
      </c>
      <c r="AQ551" s="180">
        <f>VLOOKUP($I551,'Price List, Weapons &amp; Items'!B:L,COLUMN('Price List, Weapons &amp; Items'!$L$11)-1,0)</f>
        <v>0</v>
      </c>
      <c r="AR551" s="180">
        <f t="shared" si="107"/>
        <v>1</v>
      </c>
      <c r="AS551" s="180">
        <f t="shared" si="108"/>
        <v>0</v>
      </c>
      <c r="AT551" s="180">
        <f t="shared" si="109"/>
        <v>1</v>
      </c>
      <c r="AU551" s="180" t="str">
        <f t="shared" si="111"/>
        <v>.</v>
      </c>
      <c r="AV551" s="180" t="str">
        <f t="shared" si="112"/>
        <v>.</v>
      </c>
      <c r="AW551" s="180">
        <f>IFERROR(VLOOKUP(B551,'Share, Heavy Weapons to Ukraine'!B:J,COLUMN('Share, Heavy Weapons to Ukraine'!C563)-1,0),0)</f>
        <v>0</v>
      </c>
      <c r="AX551" s="180">
        <f>VLOOKUP('Bilateral Assistance, MAIN DATA'!B551,'Country Summary'!B:F,COLUMN('Country Summary'!C566)-1,FALSE)</f>
        <v>1</v>
      </c>
      <c r="AY551" s="180" t="str">
        <f>IF(AND(AD551=1,D551="Military",H551&lt;&gt;"Not given")=TRUE,IF(SUMIFS(P:P,A:A,A551)&gt;0,ABS((SUMIFS(P:P,A:A,A551)/VLOOKUP("USD",'Exchange Rates'!B:C,2,0)))/S551,"."),".")</f>
        <v>.</v>
      </c>
      <c r="AZ551" s="182" t="str">
        <f>IF(AND(AD551=1,D551="Military",H551&lt;&gt;"Not given")=TRUE,IF(SUMIFS(P:P,A:A,A551)&gt;0,IF((ABS((SUMIFS(P:P,A:A,A551)/VLOOKUP("USD",'Exchange Rates'!B:C,2,0)))/S551)&gt;1,(SUMIFS(P:P,A:A,A551)-S551)/S551,(S551-SUMIFS(P:P,A:A,A551))/SUMIFS(P:P,A:A,A551)),"."),".")</f>
        <v>.</v>
      </c>
      <c r="BA551" s="182"/>
      <c r="BB551" s="182"/>
      <c r="BC551" s="182"/>
      <c r="BD551" s="182"/>
      <c r="BE551" s="182"/>
      <c r="BF551" s="182"/>
      <c r="BG551" s="182"/>
      <c r="BH551" s="182"/>
      <c r="BI551" s="182"/>
      <c r="BJ551" s="182"/>
      <c r="BK551" s="182"/>
      <c r="BL551" s="182"/>
      <c r="BM551" s="182"/>
      <c r="BN551" s="182"/>
      <c r="BO551" s="182"/>
      <c r="BP551" s="182"/>
      <c r="BQ551" s="182"/>
      <c r="BR551" s="182"/>
      <c r="BS551" s="182"/>
    </row>
    <row r="552" spans="1:71" ht="15.9" customHeight="1" x14ac:dyDescent="0.3">
      <c r="A552" s="5" t="s">
        <v>1675</v>
      </c>
      <c r="B552" s="5" t="s">
        <v>1646</v>
      </c>
      <c r="C552" s="174">
        <v>44686</v>
      </c>
      <c r="D552" s="5" t="s">
        <v>256</v>
      </c>
      <c r="E552" s="5" t="s">
        <v>267</v>
      </c>
      <c r="F552" s="175" t="s">
        <v>1676</v>
      </c>
      <c r="G552" s="15" t="s">
        <v>364</v>
      </c>
      <c r="H552" s="176">
        <v>37000000</v>
      </c>
      <c r="I552" s="17" t="s">
        <v>1014</v>
      </c>
      <c r="J552" s="113" t="str">
        <f>VLOOKUP($I552,'Price List, Weapons &amp; Items'!B:C,2,0)</f>
        <v>Humanitarian</v>
      </c>
      <c r="K552" s="113" t="str">
        <f>IF(I552=".",I552,VLOOKUP($I552,'Price List, Weapons &amp; Items'!B:D,3,0))</f>
        <v>Humanitarian</v>
      </c>
      <c r="L552" s="177">
        <f>VLOOKUP(I552,'Price List, Weapons &amp; Items'!B:E,4,0)</f>
        <v>0</v>
      </c>
      <c r="M552" s="542">
        <v>1</v>
      </c>
      <c r="N552" s="542" t="s">
        <v>270</v>
      </c>
      <c r="O552" s="543" t="str">
        <f>VLOOKUP($I552,'Price List, Weapons &amp; Items'!B:G,6,0)</f>
        <v>.</v>
      </c>
      <c r="P552" s="176" t="str">
        <f t="shared" si="102"/>
        <v>No price</v>
      </c>
      <c r="Q552" s="176" t="str">
        <f t="shared" si="103"/>
        <v>.</v>
      </c>
      <c r="R552" s="176" t="str">
        <f t="shared" si="110"/>
        <v/>
      </c>
      <c r="S552" s="176" t="str">
        <f>IF(AND(AD552=1,R552&lt;&gt;".")=TRUE,R552/VLOOKUP(G552,'Exchange Rates'!B:C,2,0),IF(R552=".",".",""))</f>
        <v/>
      </c>
      <c r="T552" s="176" t="str">
        <f>IF(AD552=1,IF(AF552="Value is not given at all",".",IF(AF552="Value is given by the source",S552,IF(AF552="Value is calculated with prices",(IF(SUMIFS(Q:Q,A:A,A552)&gt;0,SUMIFS(Q:Q,A:A,A552),"."))/VLOOKUP("USD",'Exchange Rates'!B:C,2,0),"Error with coding"))),"")</f>
        <v/>
      </c>
      <c r="U552" s="15" t="s">
        <v>261</v>
      </c>
      <c r="V552" s="547" t="s">
        <v>429</v>
      </c>
      <c r="W552" s="188" t="s">
        <v>260</v>
      </c>
      <c r="X552" s="188" t="s">
        <v>260</v>
      </c>
      <c r="Y552" s="188" t="s">
        <v>260</v>
      </c>
      <c r="Z552" s="15">
        <v>0</v>
      </c>
      <c r="AA552" s="180">
        <v>0</v>
      </c>
      <c r="AB552" s="17" t="s">
        <v>260</v>
      </c>
      <c r="AC552" s="544" t="str">
        <f>""</f>
        <v/>
      </c>
      <c r="AD552" s="183">
        <v>0</v>
      </c>
      <c r="AE552" s="183" t="s">
        <v>264</v>
      </c>
      <c r="AF552" s="183" t="s">
        <v>265</v>
      </c>
      <c r="AG552" s="183">
        <v>1</v>
      </c>
      <c r="AH552" s="183">
        <v>5</v>
      </c>
      <c r="AI552" s="183">
        <v>0</v>
      </c>
      <c r="AJ552" s="181">
        <f>VLOOKUP($I552,'Price List, Weapons &amp; Items'!B:F,5,0)</f>
        <v>0</v>
      </c>
      <c r="AK552" s="181">
        <f t="shared" si="104"/>
        <v>0</v>
      </c>
      <c r="AL552" s="181">
        <f t="shared" si="105"/>
        <v>0</v>
      </c>
      <c r="AM552" s="181">
        <f t="shared" si="106"/>
        <v>0</v>
      </c>
      <c r="AN552" s="180" t="str">
        <f>VLOOKUP($I552,'Price List, Weapons &amp; Items'!B:L,COLUMN('Price List, Weapons &amp; Items'!$J$11)-1,0)</f>
        <v>.</v>
      </c>
      <c r="AO552" s="180" t="str">
        <f>IF(I552=".",".",VLOOKUP($I552,'Price List, Weapons &amp; Items'!B:J,3,0))</f>
        <v>Humanitarian</v>
      </c>
      <c r="AP552" s="545" t="str">
        <f t="shared" ca="1" si="113"/>
        <v/>
      </c>
      <c r="AQ552" s="180">
        <f>VLOOKUP($I552,'Price List, Weapons &amp; Items'!B:L,COLUMN('Price List, Weapons &amp; Items'!$L$11)-1,0)</f>
        <v>0</v>
      </c>
      <c r="AR552" s="180">
        <f t="shared" si="107"/>
        <v>1</v>
      </c>
      <c r="AS552" s="180">
        <f t="shared" si="108"/>
        <v>0</v>
      </c>
      <c r="AT552" s="180">
        <f t="shared" si="109"/>
        <v>1</v>
      </c>
      <c r="AU552" s="180" t="str">
        <f t="shared" si="111"/>
        <v>.</v>
      </c>
      <c r="AV552" s="180" t="str">
        <f t="shared" si="112"/>
        <v>.</v>
      </c>
      <c r="AW552" s="180">
        <f>IFERROR(VLOOKUP(B552,'Share, Heavy Weapons to Ukraine'!B:J,COLUMN('Share, Heavy Weapons to Ukraine'!C564)-1,0),0)</f>
        <v>0</v>
      </c>
      <c r="AX552" s="180">
        <f>VLOOKUP('Bilateral Assistance, MAIN DATA'!B552,'Country Summary'!B:F,COLUMN('Country Summary'!C567)-1,FALSE)</f>
        <v>1</v>
      </c>
      <c r="AY552" s="180" t="str">
        <f>IF(AND(AD552=1,D552="Military",H552&lt;&gt;"Not given")=TRUE,IF(SUMIFS(P:P,A:A,A552)&gt;0,ABS((SUMIFS(P:P,A:A,A552)/VLOOKUP("USD",'Exchange Rates'!B:C,2,0)))/S552,"."),".")</f>
        <v>.</v>
      </c>
      <c r="AZ552" s="182" t="str">
        <f>IF(AND(AD552=1,D552="Military",H552&lt;&gt;"Not given")=TRUE,IF(SUMIFS(P:P,A:A,A552)&gt;0,IF((ABS((SUMIFS(P:P,A:A,A552)/VLOOKUP("USD",'Exchange Rates'!B:C,2,0)))/S552)&gt;1,(SUMIFS(P:P,A:A,A552)-S552)/S552,(S552-SUMIFS(P:P,A:A,A552))/SUMIFS(P:P,A:A,A552)),"."),".")</f>
        <v>.</v>
      </c>
      <c r="BA552" s="182"/>
      <c r="BB552" s="182"/>
      <c r="BC552" s="182"/>
      <c r="BD552" s="182"/>
      <c r="BE552" s="182"/>
      <c r="BF552" s="182"/>
      <c r="BG552" s="182"/>
      <c r="BH552" s="182"/>
      <c r="BI552" s="182"/>
      <c r="BJ552" s="182"/>
      <c r="BK552" s="182"/>
      <c r="BL552" s="182"/>
      <c r="BM552" s="182"/>
      <c r="BN552" s="182"/>
      <c r="BO552" s="182"/>
      <c r="BP552" s="182"/>
      <c r="BQ552" s="182"/>
      <c r="BR552" s="182"/>
      <c r="BS552" s="182"/>
    </row>
    <row r="553" spans="1:71" ht="15.9" customHeight="1" x14ac:dyDescent="0.3">
      <c r="A553" s="5" t="s">
        <v>1675</v>
      </c>
      <c r="B553" s="5" t="s">
        <v>1646</v>
      </c>
      <c r="C553" s="174">
        <v>44686</v>
      </c>
      <c r="D553" s="5" t="s">
        <v>256</v>
      </c>
      <c r="E553" s="5" t="s">
        <v>267</v>
      </c>
      <c r="F553" s="175" t="s">
        <v>1676</v>
      </c>
      <c r="G553" s="15" t="s">
        <v>364</v>
      </c>
      <c r="H553" s="176">
        <v>37000000</v>
      </c>
      <c r="I553" s="17" t="s">
        <v>1678</v>
      </c>
      <c r="J553" s="113" t="str">
        <f>VLOOKUP($I553,'Price List, Weapons &amp; Items'!B:C,2,0)</f>
        <v>Humanitarian</v>
      </c>
      <c r="K553" s="113" t="str">
        <f>IF(I553=".",I553,VLOOKUP($I553,'Price List, Weapons &amp; Items'!B:D,3,0))</f>
        <v>Humanitarian</v>
      </c>
      <c r="L553" s="177">
        <f>VLOOKUP(I553,'Price List, Weapons &amp; Items'!B:E,4,0)</f>
        <v>0</v>
      </c>
      <c r="M553" s="542" t="s">
        <v>270</v>
      </c>
      <c r="N553" s="542" t="s">
        <v>270</v>
      </c>
      <c r="O553" s="543">
        <f>VLOOKUP($I553,'Price List, Weapons &amp; Items'!B:G,6,0)</f>
        <v>76400</v>
      </c>
      <c r="P553" s="176" t="str">
        <f t="shared" si="102"/>
        <v>.</v>
      </c>
      <c r="Q553" s="176" t="str">
        <f t="shared" si="103"/>
        <v>.</v>
      </c>
      <c r="R553" s="176" t="str">
        <f t="shared" si="110"/>
        <v/>
      </c>
      <c r="S553" s="176" t="str">
        <f>IF(AND(AD553=1,R553&lt;&gt;".")=TRUE,R553/VLOOKUP(G553,'Exchange Rates'!B:C,2,0),IF(R553=".",".",""))</f>
        <v/>
      </c>
      <c r="T553" s="176" t="str">
        <f>IF(AD553=1,IF(AF553="Value is not given at all",".",IF(AF553="Value is given by the source",S553,IF(AF553="Value is calculated with prices",(IF(SUMIFS(Q:Q,A:A,A553)&gt;0,SUMIFS(Q:Q,A:A,A553),"."))/VLOOKUP("USD",'Exchange Rates'!B:C,2,0),"Error with coding"))),"")</f>
        <v/>
      </c>
      <c r="U553" s="15" t="s">
        <v>261</v>
      </c>
      <c r="V553" s="547" t="s">
        <v>429</v>
      </c>
      <c r="W553" s="188" t="s">
        <v>260</v>
      </c>
      <c r="X553" s="188" t="s">
        <v>260</v>
      </c>
      <c r="Y553" s="188" t="s">
        <v>260</v>
      </c>
      <c r="Z553" s="15">
        <v>0</v>
      </c>
      <c r="AA553" s="180">
        <v>0</v>
      </c>
      <c r="AB553" s="17" t="s">
        <v>260</v>
      </c>
      <c r="AC553" s="544" t="str">
        <f>""</f>
        <v/>
      </c>
      <c r="AD553" s="183">
        <v>0</v>
      </c>
      <c r="AE553" s="183" t="s">
        <v>264</v>
      </c>
      <c r="AF553" s="183" t="s">
        <v>265</v>
      </c>
      <c r="AG553" s="183">
        <v>1</v>
      </c>
      <c r="AH553" s="183">
        <v>5</v>
      </c>
      <c r="AI553" s="183">
        <v>0</v>
      </c>
      <c r="AJ553" s="181">
        <f>VLOOKUP($I553,'Price List, Weapons &amp; Items'!B:F,5,0)</f>
        <v>0</v>
      </c>
      <c r="AK553" s="181">
        <f t="shared" si="104"/>
        <v>0</v>
      </c>
      <c r="AL553" s="181">
        <f t="shared" si="105"/>
        <v>0</v>
      </c>
      <c r="AM553" s="181">
        <f t="shared" si="106"/>
        <v>0</v>
      </c>
      <c r="AN553" s="180" t="str">
        <f>VLOOKUP($I553,'Price List, Weapons &amp; Items'!B:L,COLUMN('Price List, Weapons &amp; Items'!$J$11)-1,0)</f>
        <v>Media reports (incl. social media)</v>
      </c>
      <c r="AO553" s="180" t="str">
        <f>IF(I553=".",".",VLOOKUP($I553,'Price List, Weapons &amp; Items'!B:J,3,0))</f>
        <v>Humanitarian</v>
      </c>
      <c r="AP553" s="545" t="str">
        <f t="shared" ca="1" si="113"/>
        <v/>
      </c>
      <c r="AQ553" s="180">
        <f>VLOOKUP($I553,'Price List, Weapons &amp; Items'!B:L,COLUMN('Price List, Weapons &amp; Items'!$L$11)-1,0)</f>
        <v>0</v>
      </c>
      <c r="AR553" s="180">
        <f t="shared" si="107"/>
        <v>1</v>
      </c>
      <c r="AS553" s="180">
        <f t="shared" si="108"/>
        <v>0</v>
      </c>
      <c r="AT553" s="180">
        <f t="shared" si="109"/>
        <v>1</v>
      </c>
      <c r="AU553" s="180" t="str">
        <f t="shared" si="111"/>
        <v>.</v>
      </c>
      <c r="AV553" s="180" t="str">
        <f t="shared" si="112"/>
        <v>.</v>
      </c>
      <c r="AW553" s="180">
        <f>IFERROR(VLOOKUP(B553,'Share, Heavy Weapons to Ukraine'!B:J,COLUMN('Share, Heavy Weapons to Ukraine'!C565)-1,0),0)</f>
        <v>0</v>
      </c>
      <c r="AX553" s="180">
        <f>VLOOKUP('Bilateral Assistance, MAIN DATA'!B553,'Country Summary'!B:F,COLUMN('Country Summary'!C568)-1,FALSE)</f>
        <v>1</v>
      </c>
      <c r="AY553" s="180" t="str">
        <f>IF(AND(AD553=1,D553="Military",H553&lt;&gt;"Not given")=TRUE,IF(SUMIFS(P:P,A:A,A553)&gt;0,ABS((SUMIFS(P:P,A:A,A553)/VLOOKUP("USD",'Exchange Rates'!B:C,2,0)))/S553,"."),".")</f>
        <v>.</v>
      </c>
      <c r="AZ553" s="182" t="str">
        <f>IF(AND(AD553=1,D553="Military",H553&lt;&gt;"Not given")=TRUE,IF(SUMIFS(P:P,A:A,A553)&gt;0,IF((ABS((SUMIFS(P:P,A:A,A553)/VLOOKUP("USD",'Exchange Rates'!B:C,2,0)))/S553)&gt;1,(SUMIFS(P:P,A:A,A553)-S553)/S553,(S553-SUMIFS(P:P,A:A,A553))/SUMIFS(P:P,A:A,A553)),"."),".")</f>
        <v>.</v>
      </c>
      <c r="BA553" s="182"/>
      <c r="BB553" s="182"/>
      <c r="BC553" s="182"/>
      <c r="BD553" s="182"/>
      <c r="BE553" s="182"/>
      <c r="BF553" s="182"/>
      <c r="BG553" s="182"/>
      <c r="BH553" s="182"/>
      <c r="BI553" s="182"/>
      <c r="BJ553" s="182"/>
      <c r="BK553" s="182"/>
      <c r="BL553" s="182"/>
      <c r="BM553" s="182"/>
      <c r="BN553" s="182"/>
      <c r="BO553" s="182"/>
      <c r="BP553" s="182"/>
      <c r="BQ553" s="182"/>
      <c r="BR553" s="182"/>
      <c r="BS553" s="182"/>
    </row>
    <row r="554" spans="1:71" ht="15.9" customHeight="1" x14ac:dyDescent="0.3">
      <c r="A554" s="5" t="s">
        <v>1679</v>
      </c>
      <c r="B554" s="5" t="s">
        <v>1646</v>
      </c>
      <c r="C554" s="174">
        <v>44876</v>
      </c>
      <c r="D554" s="5" t="s">
        <v>256</v>
      </c>
      <c r="E554" s="5" t="s">
        <v>257</v>
      </c>
      <c r="F554" s="175" t="s">
        <v>1680</v>
      </c>
      <c r="G554" s="15" t="s">
        <v>1665</v>
      </c>
      <c r="H554" s="176">
        <v>382000000</v>
      </c>
      <c r="I554" s="17" t="s">
        <v>1014</v>
      </c>
      <c r="J554" s="113" t="str">
        <f>VLOOKUP($I554,'Price List, Weapons &amp; Items'!B:C,2,0)</f>
        <v>Humanitarian</v>
      </c>
      <c r="K554" s="113" t="str">
        <f>IF(I554=".",I554,VLOOKUP($I554,'Price List, Weapons &amp; Items'!B:D,3,0))</f>
        <v>Humanitarian</v>
      </c>
      <c r="L554" s="177">
        <f>VLOOKUP(I554,'Price List, Weapons &amp; Items'!B:E,4,0)</f>
        <v>0</v>
      </c>
      <c r="M554" s="542">
        <v>1</v>
      </c>
      <c r="N554" s="542" t="s">
        <v>270</v>
      </c>
      <c r="O554" s="543" t="str">
        <f>VLOOKUP($I554,'Price List, Weapons &amp; Items'!B:G,6,0)</f>
        <v>.</v>
      </c>
      <c r="P554" s="176" t="str">
        <f t="shared" si="102"/>
        <v>No price</v>
      </c>
      <c r="Q554" s="176" t="str">
        <f t="shared" si="103"/>
        <v>.</v>
      </c>
      <c r="R554" s="176">
        <f t="shared" si="110"/>
        <v>382000000</v>
      </c>
      <c r="S554" s="176">
        <f>IF(AND(AD554=1,R554&lt;&gt;".")=TRUE,R554/VLOOKUP(G554,'Exchange Rates'!B:C,2,0),IF(R554=".",".",""))</f>
        <v>965011.99949475809</v>
      </c>
      <c r="T554" s="176" t="str">
        <f>IF(AD554=1,IF(AF554="Value is not given at all",".",IF(AF554="Value is given by the source",S554,IF(AF554="Value is calculated with prices",(IF(SUMIFS(Q:Q,A:A,A554)&gt;0,SUMIFS(Q:Q,A:A,A554),"."))/VLOOKUP("USD",'Exchange Rates'!B:C,2,0),"Error with coding"))),"")</f>
        <v>.</v>
      </c>
      <c r="U554" s="15" t="s">
        <v>415</v>
      </c>
      <c r="V554" s="547" t="s">
        <v>1681</v>
      </c>
      <c r="W554" s="569" t="s">
        <v>1682</v>
      </c>
      <c r="X554" s="188" t="s">
        <v>260</v>
      </c>
      <c r="Y554" s="188" t="s">
        <v>260</v>
      </c>
      <c r="Z554" s="15">
        <v>0</v>
      </c>
      <c r="AA554" s="180">
        <v>1</v>
      </c>
      <c r="AB554" s="17" t="s">
        <v>260</v>
      </c>
      <c r="AC554" s="544" t="str">
        <f>""</f>
        <v/>
      </c>
      <c r="AD554" s="183">
        <v>1</v>
      </c>
      <c r="AE554" s="183" t="s">
        <v>264</v>
      </c>
      <c r="AF554" s="183" t="s">
        <v>265</v>
      </c>
      <c r="AG554" s="183">
        <v>1</v>
      </c>
      <c r="AH554" s="183">
        <v>11</v>
      </c>
      <c r="AI554" s="183">
        <v>0</v>
      </c>
      <c r="AJ554" s="181">
        <f>VLOOKUP($I554,'Price List, Weapons &amp; Items'!B:F,5,0)</f>
        <v>0</v>
      </c>
      <c r="AK554" s="181">
        <f t="shared" si="104"/>
        <v>0</v>
      </c>
      <c r="AL554" s="181">
        <f t="shared" si="105"/>
        <v>0</v>
      </c>
      <c r="AM554" s="181">
        <f t="shared" si="106"/>
        <v>0</v>
      </c>
      <c r="AN554" s="180" t="str">
        <f>VLOOKUP($I554,'Price List, Weapons &amp; Items'!B:L,COLUMN('Price List, Weapons &amp; Items'!$J$11)-1,0)</f>
        <v>.</v>
      </c>
      <c r="AO554" s="180" t="str">
        <f>IF(I554=".",".",VLOOKUP($I554,'Price List, Weapons &amp; Items'!B:J,3,0))</f>
        <v>Humanitarian</v>
      </c>
      <c r="AP554" s="545" t="e">
        <f t="shared" ca="1" si="113"/>
        <v>#NAME?</v>
      </c>
      <c r="AQ554" s="180">
        <f>VLOOKUP($I554,'Price List, Weapons &amp; Items'!B:L,COLUMN('Price List, Weapons &amp; Items'!$L$11)-1,0)</f>
        <v>0</v>
      </c>
      <c r="AR554" s="180">
        <f t="shared" si="107"/>
        <v>0</v>
      </c>
      <c r="AS554" s="180">
        <f t="shared" si="108"/>
        <v>0</v>
      </c>
      <c r="AT554" s="180">
        <f t="shared" si="109"/>
        <v>1</v>
      </c>
      <c r="AU554" s="180" t="str">
        <f t="shared" si="111"/>
        <v>.</v>
      </c>
      <c r="AV554" s="180" t="str">
        <f t="shared" si="112"/>
        <v>.</v>
      </c>
      <c r="AW554" s="180">
        <f>IFERROR(VLOOKUP(B554,'Share, Heavy Weapons to Ukraine'!B:J,COLUMN('Share, Heavy Weapons to Ukraine'!C566)-1,0),0)</f>
        <v>0</v>
      </c>
      <c r="AX554" s="180">
        <f>VLOOKUP('Bilateral Assistance, MAIN DATA'!B554,'Country Summary'!B:F,COLUMN('Country Summary'!C569)-1,FALSE)</f>
        <v>1</v>
      </c>
      <c r="AY554" s="180" t="str">
        <f>IF(AND(AD554=1,D554="Military",H554&lt;&gt;"Not given")=TRUE,IF(SUMIFS(P:P,A:A,A554)&gt;0,ABS((SUMIFS(P:P,A:A,A554)/VLOOKUP("USD",'Exchange Rates'!B:C,2,0)))/S554,"."),".")</f>
        <v>.</v>
      </c>
      <c r="AZ554" s="182" t="str">
        <f>IF(AND(AD554=1,D554="Military",H554&lt;&gt;"Not given")=TRUE,IF(SUMIFS(P:P,A:A,A554)&gt;0,IF((ABS((SUMIFS(P:P,A:A,A554)/VLOOKUP("USD",'Exchange Rates'!B:C,2,0)))/S554)&gt;1,(SUMIFS(P:P,A:A,A554)-S554)/S554,(S554-SUMIFS(P:P,A:A,A554))/SUMIFS(P:P,A:A,A554)),"."),".")</f>
        <v>.</v>
      </c>
      <c r="BA554" s="182"/>
      <c r="BB554" s="182"/>
      <c r="BC554" s="182"/>
      <c r="BD554" s="182"/>
      <c r="BE554" s="182"/>
      <c r="BF554" s="182"/>
      <c r="BG554" s="182"/>
      <c r="BH554" s="182"/>
      <c r="BI554" s="182"/>
      <c r="BJ554" s="182"/>
      <c r="BK554" s="182"/>
      <c r="BL554" s="182"/>
      <c r="BM554" s="182"/>
      <c r="BN554" s="182"/>
      <c r="BO554" s="182"/>
      <c r="BP554" s="182"/>
      <c r="BQ554" s="182"/>
      <c r="BR554" s="182"/>
      <c r="BS554" s="182"/>
    </row>
    <row r="555" spans="1:71" ht="15.9" customHeight="1" x14ac:dyDescent="0.3">
      <c r="A555" s="5" t="s">
        <v>1683</v>
      </c>
      <c r="B555" s="5" t="s">
        <v>1646</v>
      </c>
      <c r="C555" s="174">
        <v>44908</v>
      </c>
      <c r="D555" s="5" t="s">
        <v>256</v>
      </c>
      <c r="E555" s="5" t="s">
        <v>257</v>
      </c>
      <c r="F555" s="175" t="s">
        <v>1684</v>
      </c>
      <c r="G555" s="15" t="s">
        <v>260</v>
      </c>
      <c r="H555" s="176" t="s">
        <v>341</v>
      </c>
      <c r="I555" s="17" t="s">
        <v>260</v>
      </c>
      <c r="J555" s="113" t="str">
        <f>VLOOKUP($I555,'Price List, Weapons &amp; Items'!B:C,2,0)</f>
        <v>.</v>
      </c>
      <c r="K555" s="113" t="str">
        <f>IF(I555=".",I555,VLOOKUP($I555,'Price List, Weapons &amp; Items'!B:D,3,0))</f>
        <v>.</v>
      </c>
      <c r="L555" s="177">
        <f>VLOOKUP(I555,'Price List, Weapons &amp; Items'!B:E,4,0)</f>
        <v>0</v>
      </c>
      <c r="M555" s="542" t="s">
        <v>260</v>
      </c>
      <c r="N555" s="542" t="s">
        <v>260</v>
      </c>
      <c r="O555" s="543" t="str">
        <f>VLOOKUP($I555,'Price List, Weapons &amp; Items'!B:G,6,0)</f>
        <v>.</v>
      </c>
      <c r="P555" s="176" t="str">
        <f t="shared" si="102"/>
        <v>.</v>
      </c>
      <c r="Q555" s="176" t="str">
        <f t="shared" si="103"/>
        <v>.</v>
      </c>
      <c r="R555" s="176" t="str">
        <f t="shared" si="110"/>
        <v>.</v>
      </c>
      <c r="S555" s="176" t="str">
        <f>IF(AND(AD555=1,R555&lt;&gt;".")=TRUE,R555/VLOOKUP(G555,'Exchange Rates'!B:C,2,0),IF(R555=".",".",""))</f>
        <v>.</v>
      </c>
      <c r="T555" s="176" t="str">
        <f>IF(AD555=1,IF(AF555="Value is not given at all",".",IF(AF555="Value is given by the source",S555,IF(AF555="Value is calculated with prices",(IF(SUMIFS(Q:Q,A:A,A555)&gt;0,SUMIFS(Q:Q,A:A,A555),"."))/VLOOKUP("USD",'Exchange Rates'!B:C,2,0),"Error with coding"))),"")</f>
        <v>.</v>
      </c>
      <c r="U555" s="15" t="s">
        <v>261</v>
      </c>
      <c r="V555" s="547" t="s">
        <v>1685</v>
      </c>
      <c r="W555" s="188" t="s">
        <v>260</v>
      </c>
      <c r="X555" s="188" t="s">
        <v>260</v>
      </c>
      <c r="Y555" s="188" t="s">
        <v>260</v>
      </c>
      <c r="Z555" s="15">
        <v>0</v>
      </c>
      <c r="AA555" s="180">
        <v>1</v>
      </c>
      <c r="AB555" s="17" t="s">
        <v>260</v>
      </c>
      <c r="AC555" s="544" t="str">
        <f>""</f>
        <v/>
      </c>
      <c r="AD555" s="183">
        <v>1</v>
      </c>
      <c r="AE555" s="183" t="s">
        <v>265</v>
      </c>
      <c r="AF555" s="183" t="s">
        <v>265</v>
      </c>
      <c r="AG555" s="183">
        <v>1</v>
      </c>
      <c r="AH555" s="183">
        <v>12</v>
      </c>
      <c r="AI555" s="183">
        <v>0</v>
      </c>
      <c r="AJ555" s="181">
        <f>VLOOKUP($I555,'Price List, Weapons &amp; Items'!B:F,5,0)</f>
        <v>0</v>
      </c>
      <c r="AK555" s="181">
        <f t="shared" si="104"/>
        <v>0</v>
      </c>
      <c r="AL555" s="181">
        <f t="shared" si="105"/>
        <v>0</v>
      </c>
      <c r="AM555" s="181">
        <f t="shared" si="106"/>
        <v>0</v>
      </c>
      <c r="AN555" s="180" t="str">
        <f>VLOOKUP($I555,'Price List, Weapons &amp; Items'!B:L,COLUMN('Price List, Weapons &amp; Items'!$J$11)-1,0)</f>
        <v>.</v>
      </c>
      <c r="AO555" s="180" t="str">
        <f>IF(I555=".",".",VLOOKUP($I555,'Price List, Weapons &amp; Items'!B:J,3,0))</f>
        <v>.</v>
      </c>
      <c r="AP555" s="545" t="e">
        <f t="shared" ca="1" si="113"/>
        <v>#NAME?</v>
      </c>
      <c r="AQ555" s="180" t="str">
        <f>VLOOKUP($I555,'Price List, Weapons &amp; Items'!B:L,COLUMN('Price List, Weapons &amp; Items'!$L$11)-1,0)</f>
        <v>no price, 0 count</v>
      </c>
      <c r="AR555" s="180">
        <f t="shared" si="107"/>
        <v>1</v>
      </c>
      <c r="AS555" s="180">
        <f t="shared" si="108"/>
        <v>0</v>
      </c>
      <c r="AT555" s="180">
        <f t="shared" si="109"/>
        <v>1</v>
      </c>
      <c r="AU555" s="180" t="str">
        <f t="shared" si="111"/>
        <v>.</v>
      </c>
      <c r="AV555" s="180" t="str">
        <f t="shared" si="112"/>
        <v>.</v>
      </c>
      <c r="AW555" s="180">
        <f>IFERROR(VLOOKUP(B555,'Share, Heavy Weapons to Ukraine'!B:J,COLUMN('Share, Heavy Weapons to Ukraine'!C567)-1,0),0)</f>
        <v>0</v>
      </c>
      <c r="AX555" s="180">
        <f>VLOOKUP('Bilateral Assistance, MAIN DATA'!B555,'Country Summary'!B:F,COLUMN('Country Summary'!C570)-1,FALSE)</f>
        <v>1</v>
      </c>
      <c r="AY555" s="180" t="str">
        <f>IF(AND(AD555=1,D555="Military",H555&lt;&gt;"Not given")=TRUE,IF(SUMIFS(P:P,A:A,A555)&gt;0,ABS((SUMIFS(P:P,A:A,A555)/VLOOKUP("USD",'Exchange Rates'!B:C,2,0)))/S555,"."),".")</f>
        <v>.</v>
      </c>
      <c r="AZ555" s="182" t="str">
        <f>IF(AND(AD555=1,D555="Military",H555&lt;&gt;"Not given")=TRUE,IF(SUMIFS(P:P,A:A,A555)&gt;0,IF((ABS((SUMIFS(P:P,A:A,A555)/VLOOKUP("USD",'Exchange Rates'!B:C,2,0)))/S555)&gt;1,(SUMIFS(P:P,A:A,A555)-S555)/S555,(S555-SUMIFS(P:P,A:A,A555))/SUMIFS(P:P,A:A,A555)),"."),".")</f>
        <v>.</v>
      </c>
      <c r="BA555" s="182"/>
      <c r="BB555" s="182"/>
      <c r="BC555" s="182"/>
      <c r="BD555" s="182"/>
      <c r="BE555" s="182"/>
      <c r="BF555" s="182"/>
      <c r="BG555" s="182"/>
      <c r="BH555" s="182"/>
      <c r="BI555" s="182"/>
      <c r="BJ555" s="182"/>
      <c r="BK555" s="182"/>
      <c r="BL555" s="182"/>
      <c r="BM555" s="182"/>
      <c r="BN555" s="182"/>
      <c r="BO555" s="182"/>
      <c r="BP555" s="182"/>
      <c r="BQ555" s="182"/>
      <c r="BR555" s="182"/>
      <c r="BS555" s="182"/>
    </row>
    <row r="556" spans="1:71" ht="15.9" customHeight="1" x14ac:dyDescent="0.3">
      <c r="A556" s="17" t="s">
        <v>1686</v>
      </c>
      <c r="B556" s="17" t="s">
        <v>1687</v>
      </c>
      <c r="C556" s="174" t="s">
        <v>1688</v>
      </c>
      <c r="D556" s="5" t="s">
        <v>256</v>
      </c>
      <c r="E556" s="5" t="s">
        <v>257</v>
      </c>
      <c r="F556" s="175" t="s">
        <v>1689</v>
      </c>
      <c r="G556" s="15" t="s">
        <v>346</v>
      </c>
      <c r="H556" s="176" t="s">
        <v>341</v>
      </c>
      <c r="I556" s="17" t="s">
        <v>701</v>
      </c>
      <c r="J556" s="113" t="str">
        <f>VLOOKUP($I556,'Price List, Weapons &amp; Items'!B:C,2,0)</f>
        <v>Humanitarian</v>
      </c>
      <c r="K556" s="113" t="str">
        <f>IF(I556=".",I556,VLOOKUP($I556,'Price List, Weapons &amp; Items'!B:D,3,0))</f>
        <v>Humanitarian</v>
      </c>
      <c r="L556" s="177">
        <f>VLOOKUP(I556,'Price List, Weapons &amp; Items'!B:E,4,0)</f>
        <v>0</v>
      </c>
      <c r="M556" s="542">
        <v>187</v>
      </c>
      <c r="N556" s="542" t="s">
        <v>270</v>
      </c>
      <c r="O556" s="543">
        <f>VLOOKUP($I556,'Price List, Weapons &amp; Items'!B:G,6,0)</f>
        <v>10000</v>
      </c>
      <c r="P556" s="176">
        <f t="shared" si="102"/>
        <v>1870000</v>
      </c>
      <c r="Q556" s="176" t="str">
        <f t="shared" si="103"/>
        <v>.</v>
      </c>
      <c r="R556" s="176">
        <f t="shared" si="110"/>
        <v>1870000</v>
      </c>
      <c r="S556" s="176">
        <f>IF(AND(AD556=1,R556&lt;&gt;".")=TRUE,R556/VLOOKUP(G556,'Exchange Rates'!B:C,2,0),IF(R556=".",".",""))</f>
        <v>1780952.3809523808</v>
      </c>
      <c r="T556" s="176" t="str">
        <f>IF(AD556=1,IF(AF556="Value is not given at all",".",IF(AF556="Value is given by the source",S556,IF(AF556="Value is calculated with prices",(IF(SUMIFS(Q:Q,A:A,A556)&gt;0,SUMIFS(Q:Q,A:A,A556),"."))/VLOOKUP("USD",'Exchange Rates'!B:C,2,0),"Error with coding"))),"")</f>
        <v>.</v>
      </c>
      <c r="U556" s="15" t="s">
        <v>261</v>
      </c>
      <c r="V556" s="558" t="s">
        <v>1690</v>
      </c>
      <c r="W556" s="300" t="s">
        <v>1691</v>
      </c>
      <c r="X556" s="300" t="s">
        <v>1692</v>
      </c>
      <c r="Y556" s="300" t="s">
        <v>1693</v>
      </c>
      <c r="Z556" s="15">
        <v>0</v>
      </c>
      <c r="AA556" s="180">
        <v>0</v>
      </c>
      <c r="AB556" s="184" t="s">
        <v>260</v>
      </c>
      <c r="AC556" s="544" t="str">
        <f>""</f>
        <v/>
      </c>
      <c r="AD556" s="183">
        <v>1</v>
      </c>
      <c r="AE556" s="183" t="s">
        <v>332</v>
      </c>
      <c r="AF556" s="183" t="s">
        <v>265</v>
      </c>
      <c r="AG556" s="183">
        <v>0</v>
      </c>
      <c r="AH556" s="181">
        <v>0</v>
      </c>
      <c r="AI556" s="181">
        <v>0</v>
      </c>
      <c r="AJ556" s="181">
        <f>VLOOKUP($I556,'Price List, Weapons &amp; Items'!B:F,5,0)</f>
        <v>0</v>
      </c>
      <c r="AK556" s="181">
        <f t="shared" si="104"/>
        <v>0</v>
      </c>
      <c r="AL556" s="181">
        <f t="shared" si="105"/>
        <v>0</v>
      </c>
      <c r="AM556" s="181">
        <f t="shared" si="106"/>
        <v>0</v>
      </c>
      <c r="AN556" s="180" t="str">
        <f>VLOOKUP($I556,'Price List, Weapons &amp; Items'!B:L,COLUMN('Price List, Weapons &amp; Items'!$J$11)-1,0)</f>
        <v>Miscellaneous</v>
      </c>
      <c r="AO556" s="180" t="str">
        <f>IF(I556=".",".",VLOOKUP($I556,'Price List, Weapons &amp; Items'!B:J,3,0))</f>
        <v>Humanitarian</v>
      </c>
      <c r="AP556" s="545" t="e">
        <f t="shared" ca="1" si="113"/>
        <v>#NAME?</v>
      </c>
      <c r="AQ556" s="180">
        <f>VLOOKUP($I556,'Price List, Weapons &amp; Items'!B:L,COLUMN('Price List, Weapons &amp; Items'!$L$11)-1,0)</f>
        <v>0</v>
      </c>
      <c r="AR556" s="180">
        <f t="shared" si="107"/>
        <v>1</v>
      </c>
      <c r="AS556" s="180">
        <f t="shared" si="108"/>
        <v>0</v>
      </c>
      <c r="AT556" s="180" t="str">
        <f t="shared" si="109"/>
        <v>Value is not in date format</v>
      </c>
      <c r="AU556" s="180" t="str">
        <f t="shared" si="111"/>
        <v>.</v>
      </c>
      <c r="AV556" s="180" t="str">
        <f t="shared" si="112"/>
        <v>.</v>
      </c>
      <c r="AW556" s="180">
        <f>IFERROR(VLOOKUP(B556,'Share, Heavy Weapons to Ukraine'!B:J,COLUMN('Share, Heavy Weapons to Ukraine'!C568)-1,0),0)</f>
        <v>0</v>
      </c>
      <c r="AX556" s="180">
        <f>VLOOKUP('Bilateral Assistance, MAIN DATA'!B556,'Country Summary'!B:F,COLUMN('Country Summary'!C571)-1,FALSE)</f>
        <v>0</v>
      </c>
      <c r="AY556" s="180" t="str">
        <f>IF(AND(AD556=1,D556="Military",H556&lt;&gt;"Not given")=TRUE,IF(SUMIFS(P:P,A:A,A556)&gt;0,ABS((SUMIFS(P:P,A:A,A556)/VLOOKUP("USD",'Exchange Rates'!B:C,2,0)))/S556,"."),".")</f>
        <v>.</v>
      </c>
      <c r="AZ556" s="182" t="str">
        <f>IF(AND(AD556=1,D556="Military",H556&lt;&gt;"Not given")=TRUE,IF(SUMIFS(P:P,A:A,A556)&gt;0,IF((ABS((SUMIFS(P:P,A:A,A556)/VLOOKUP("USD",'Exchange Rates'!B:C,2,0)))/S556)&gt;1,(SUMIFS(P:P,A:A,A556)-S556)/S556,(S556-SUMIFS(P:P,A:A,A556))/SUMIFS(P:P,A:A,A556)),"."),".")</f>
        <v>.</v>
      </c>
      <c r="BA556" s="182"/>
      <c r="BB556" s="182"/>
      <c r="BC556" s="182"/>
      <c r="BD556" s="182"/>
      <c r="BE556" s="182"/>
      <c r="BF556" s="182"/>
      <c r="BG556" s="182"/>
      <c r="BH556" s="182"/>
      <c r="BI556" s="182"/>
      <c r="BJ556" s="182"/>
      <c r="BK556" s="182"/>
      <c r="BL556" s="182"/>
      <c r="BM556" s="182"/>
      <c r="BN556" s="182"/>
      <c r="BO556" s="182"/>
      <c r="BP556" s="182"/>
      <c r="BQ556" s="182"/>
      <c r="BR556" s="182"/>
      <c r="BS556" s="182"/>
    </row>
    <row r="557" spans="1:71" ht="15.9" customHeight="1" x14ac:dyDescent="0.3">
      <c r="A557" s="17" t="s">
        <v>1694</v>
      </c>
      <c r="B557" s="17" t="s">
        <v>1687</v>
      </c>
      <c r="C557" s="555">
        <v>44816</v>
      </c>
      <c r="D557" s="19" t="s">
        <v>256</v>
      </c>
      <c r="E557" s="19" t="s">
        <v>257</v>
      </c>
      <c r="F557" s="19" t="s">
        <v>1695</v>
      </c>
      <c r="G557" s="15" t="s">
        <v>346</v>
      </c>
      <c r="H557" s="176" t="s">
        <v>341</v>
      </c>
      <c r="I557" s="17" t="s">
        <v>701</v>
      </c>
      <c r="J557" s="113" t="str">
        <f>VLOOKUP($I557,'Price List, Weapons &amp; Items'!B:C,2,0)</f>
        <v>Humanitarian</v>
      </c>
      <c r="K557" s="113" t="str">
        <f>IF(I557=".",I557,VLOOKUP($I557,'Price List, Weapons &amp; Items'!B:D,3,0))</f>
        <v>Humanitarian</v>
      </c>
      <c r="L557" s="177">
        <f>VLOOKUP(I557,'Price List, Weapons &amp; Items'!B:E,4,0)</f>
        <v>0</v>
      </c>
      <c r="M557" s="542">
        <v>7.7249999999999996</v>
      </c>
      <c r="N557" s="542" t="s">
        <v>270</v>
      </c>
      <c r="O557" s="543">
        <f>VLOOKUP($I557,'Price List, Weapons &amp; Items'!B:G,6,0)</f>
        <v>10000</v>
      </c>
      <c r="P557" s="176">
        <f t="shared" si="102"/>
        <v>77250</v>
      </c>
      <c r="Q557" s="176" t="str">
        <f t="shared" si="103"/>
        <v>.</v>
      </c>
      <c r="R557" s="176">
        <f t="shared" si="110"/>
        <v>77250</v>
      </c>
      <c r="S557" s="176">
        <f>IF(AND(AD557=1,R557&lt;&gt;".")=TRUE,R557/VLOOKUP(G557,'Exchange Rates'!B:C,2,0),IF(R557=".",".",""))</f>
        <v>73571.428571428565</v>
      </c>
      <c r="T557" s="176" t="str">
        <f>IF(AD557=1,IF(AF557="Value is not given at all",".",IF(AF557="Value is given by the source",S557,IF(AF557="Value is calculated with prices",(IF(SUMIFS(Q:Q,A:A,A557)&gt;0,SUMIFS(Q:Q,A:A,A557),"."))/VLOOKUP("USD",'Exchange Rates'!B:C,2,0),"Error with coding"))),"")</f>
        <v>.</v>
      </c>
      <c r="U557" s="15" t="s">
        <v>261</v>
      </c>
      <c r="V557" s="304" t="s">
        <v>1696</v>
      </c>
      <c r="W557" s="304" t="s">
        <v>1697</v>
      </c>
      <c r="X557" s="300" t="s">
        <v>1698</v>
      </c>
      <c r="Y557" s="300" t="s">
        <v>1699</v>
      </c>
      <c r="Z557" s="15">
        <v>0</v>
      </c>
      <c r="AA557" s="180">
        <v>0</v>
      </c>
      <c r="AB557" s="561" t="s">
        <v>1696</v>
      </c>
      <c r="AC557" s="544" t="str">
        <f>""</f>
        <v/>
      </c>
      <c r="AD557" s="183">
        <v>1</v>
      </c>
      <c r="AE557" s="183" t="s">
        <v>332</v>
      </c>
      <c r="AF557" s="183" t="s">
        <v>265</v>
      </c>
      <c r="AG557" s="183">
        <v>1</v>
      </c>
      <c r="AH557" s="181">
        <v>9</v>
      </c>
      <c r="AI557" s="181">
        <v>0</v>
      </c>
      <c r="AJ557" s="181">
        <f>VLOOKUP($I557,'Price List, Weapons &amp; Items'!B:F,5,0)</f>
        <v>0</v>
      </c>
      <c r="AK557" s="181">
        <f t="shared" si="104"/>
        <v>0</v>
      </c>
      <c r="AL557" s="181">
        <f t="shared" si="105"/>
        <v>0</v>
      </c>
      <c r="AM557" s="181">
        <f t="shared" si="106"/>
        <v>0</v>
      </c>
      <c r="AN557" s="180" t="str">
        <f>VLOOKUP($I557,'Price List, Weapons &amp; Items'!B:L,COLUMN('Price List, Weapons &amp; Items'!$J$11)-1,0)</f>
        <v>Miscellaneous</v>
      </c>
      <c r="AO557" s="180" t="str">
        <f>IF(I557=".",".",VLOOKUP($I557,'Price List, Weapons &amp; Items'!B:J,3,0))</f>
        <v>Humanitarian</v>
      </c>
      <c r="AP557" s="545" t="e">
        <f t="shared" ca="1" si="113"/>
        <v>#NAME?</v>
      </c>
      <c r="AQ557" s="180">
        <f>VLOOKUP($I557,'Price List, Weapons &amp; Items'!B:L,COLUMN('Price List, Weapons &amp; Items'!$L$11)-1,0)</f>
        <v>0</v>
      </c>
      <c r="AR557" s="180">
        <f t="shared" si="107"/>
        <v>1</v>
      </c>
      <c r="AS557" s="180">
        <f t="shared" si="108"/>
        <v>0</v>
      </c>
      <c r="AT557" s="180">
        <f t="shared" si="109"/>
        <v>1</v>
      </c>
      <c r="AU557" s="180" t="str">
        <f t="shared" si="111"/>
        <v>.</v>
      </c>
      <c r="AV557" s="180" t="str">
        <f t="shared" si="112"/>
        <v>.</v>
      </c>
      <c r="AW557" s="180">
        <f>IFERROR(VLOOKUP(B557,'Share, Heavy Weapons to Ukraine'!B:J,COLUMN('Share, Heavy Weapons to Ukraine'!C569)-1,0),0)</f>
        <v>0</v>
      </c>
      <c r="AX557" s="180">
        <f>VLOOKUP('Bilateral Assistance, MAIN DATA'!B557,'Country Summary'!B:F,COLUMN('Country Summary'!C572)-1,FALSE)</f>
        <v>0</v>
      </c>
      <c r="AY557" s="180" t="str">
        <f>IF(AND(AD557=1,D557="Military",H557&lt;&gt;"Not given")=TRUE,IF(SUMIFS(P:P,A:A,A557)&gt;0,ABS((SUMIFS(P:P,A:A,A557)/VLOOKUP("USD",'Exchange Rates'!B:C,2,0)))/S557,"."),".")</f>
        <v>.</v>
      </c>
      <c r="AZ557" s="182" t="str">
        <f>IF(AND(AD557=1,D557="Military",H557&lt;&gt;"Not given")=TRUE,IF(SUMIFS(P:P,A:A,A557)&gt;0,IF((ABS((SUMIFS(P:P,A:A,A557)/VLOOKUP("USD",'Exchange Rates'!B:C,2,0)))/S557)&gt;1,(SUMIFS(P:P,A:A,A557)-S557)/S557,(S557-SUMIFS(P:P,A:A,A557))/SUMIFS(P:P,A:A,A557)),"."),".")</f>
        <v>.</v>
      </c>
      <c r="BA557" s="182"/>
      <c r="BB557" s="182"/>
      <c r="BC557" s="182"/>
      <c r="BD557" s="182"/>
      <c r="BE557" s="182"/>
      <c r="BF557" s="182"/>
      <c r="BG557" s="182"/>
      <c r="BH557" s="182"/>
      <c r="BI557" s="182"/>
      <c r="BJ557" s="182"/>
      <c r="BK557" s="182"/>
      <c r="BL557" s="182"/>
      <c r="BM557" s="182"/>
      <c r="BN557" s="182"/>
      <c r="BO557" s="182"/>
      <c r="BP557" s="182"/>
      <c r="BQ557" s="182"/>
      <c r="BR557" s="182"/>
      <c r="BS557" s="182"/>
    </row>
    <row r="558" spans="1:71" ht="15.9" customHeight="1" x14ac:dyDescent="0.3">
      <c r="A558" s="17" t="s">
        <v>1700</v>
      </c>
      <c r="B558" s="17" t="s">
        <v>1701</v>
      </c>
      <c r="C558" s="174">
        <v>44616</v>
      </c>
      <c r="D558" s="5" t="s">
        <v>256</v>
      </c>
      <c r="E558" s="5" t="s">
        <v>257</v>
      </c>
      <c r="F558" s="175" t="s">
        <v>1702</v>
      </c>
      <c r="G558" s="15" t="s">
        <v>364</v>
      </c>
      <c r="H558" s="176">
        <v>10000000</v>
      </c>
      <c r="I558" s="17" t="s">
        <v>260</v>
      </c>
      <c r="J558" s="113" t="str">
        <f>VLOOKUP($I558,'Price List, Weapons &amp; Items'!B:C,2,0)</f>
        <v>.</v>
      </c>
      <c r="K558" s="113" t="str">
        <f>IF(I558=".",I558,VLOOKUP($I558,'Price List, Weapons &amp; Items'!B:D,3,0))</f>
        <v>.</v>
      </c>
      <c r="L558" s="177">
        <f>VLOOKUP(I558,'Price List, Weapons &amp; Items'!B:E,4,0)</f>
        <v>0</v>
      </c>
      <c r="M558" s="542" t="s">
        <v>260</v>
      </c>
      <c r="N558" s="542" t="s">
        <v>260</v>
      </c>
      <c r="O558" s="543" t="str">
        <f>VLOOKUP($I558,'Price List, Weapons &amp; Items'!B:G,6,0)</f>
        <v>.</v>
      </c>
      <c r="P558" s="176" t="str">
        <f t="shared" ref="P558:P621" si="114">IF(TYPE(M558)=1,IF(TYPE(O558)=1,M558*O558,"No price"),".")</f>
        <v>.</v>
      </c>
      <c r="Q558" s="176" t="str">
        <f t="shared" ref="Q558:Q621" si="115">IF(TYPE(N558)=1,IF(TYPE(O558)=1,N558*O558,"No price"),".")</f>
        <v>.</v>
      </c>
      <c r="R558" s="176">
        <f t="shared" si="110"/>
        <v>10000000</v>
      </c>
      <c r="S558" s="176">
        <f>IF(AND(AD558=1,R558&lt;&gt;".")=TRUE,R558/VLOOKUP(G558,'Exchange Rates'!B:C,2,0),IF(R558=".",".",""))</f>
        <v>10000000</v>
      </c>
      <c r="T558" s="176" t="str">
        <f>IF(AD558=1,IF(AF558="Value is not given at all",".",IF(AF558="Value is given by the source",S558,IF(AF558="Value is calculated with prices",(IF(SUMIFS(Q:Q,A:A,A558)&gt;0,SUMIFS(Q:Q,A:A,A558),"."))/VLOOKUP("USD",'Exchange Rates'!B:C,2,0),"Error with coding"))),"")</f>
        <v>.</v>
      </c>
      <c r="U558" s="15" t="s">
        <v>415</v>
      </c>
      <c r="V558" s="300" t="s">
        <v>1703</v>
      </c>
      <c r="W558" s="175" t="s">
        <v>260</v>
      </c>
      <c r="X558" s="175" t="s">
        <v>260</v>
      </c>
      <c r="Y558" s="175" t="s">
        <v>260</v>
      </c>
      <c r="Z558" s="15">
        <v>0</v>
      </c>
      <c r="AA558" s="180">
        <v>0</v>
      </c>
      <c r="AB558" s="184" t="s">
        <v>260</v>
      </c>
      <c r="AC558" s="544" t="str">
        <f>""</f>
        <v/>
      </c>
      <c r="AD558" s="181">
        <v>1</v>
      </c>
      <c r="AE558" s="181" t="s">
        <v>264</v>
      </c>
      <c r="AF558" s="181" t="s">
        <v>265</v>
      </c>
      <c r="AG558" s="181">
        <v>1</v>
      </c>
      <c r="AH558" s="181">
        <v>2</v>
      </c>
      <c r="AI558" s="181">
        <v>0</v>
      </c>
      <c r="AJ558" s="181">
        <f>VLOOKUP($I558,'Price List, Weapons &amp; Items'!B:F,5,0)</f>
        <v>0</v>
      </c>
      <c r="AK558" s="181">
        <f t="shared" ref="AK558:AK621" si="116">IF(AND(AJ558=1,M558="undisclosed")=TRUE,1,0)</f>
        <v>0</v>
      </c>
      <c r="AL558" s="181">
        <f t="shared" ref="AL558:AL621" si="117">IF(AND(AJ558=1,N558="undisclosed")=TRUE,1,0)</f>
        <v>0</v>
      </c>
      <c r="AM558" s="181">
        <f t="shared" ref="AM558:AM621" si="118">IFERROR(IF(SEARCH("ammuni",I558,1)&gt;0,1,0),0)</f>
        <v>0</v>
      </c>
      <c r="AN558" s="180" t="str">
        <f>VLOOKUP($I558,'Price List, Weapons &amp; Items'!B:L,COLUMN('Price List, Weapons &amp; Items'!$J$11)-1,0)</f>
        <v>.</v>
      </c>
      <c r="AO558" s="180" t="str">
        <f>IF(I558=".",".",VLOOKUP($I558,'Price List, Weapons &amp; Items'!B:J,3,0))</f>
        <v>.</v>
      </c>
      <c r="AP558" s="545" t="e">
        <f t="shared" ca="1" si="113"/>
        <v>#NAME?</v>
      </c>
      <c r="AQ558" s="180" t="str">
        <f>VLOOKUP($I558,'Price List, Weapons &amp; Items'!B:L,COLUMN('Price List, Weapons &amp; Items'!$L$11)-1,0)</f>
        <v>no price, 0 count</v>
      </c>
      <c r="AR558" s="180">
        <f t="shared" ref="AR558:AR621" si="119">IF(U558="Yes",1,0)</f>
        <v>0</v>
      </c>
      <c r="AS558" s="180">
        <f t="shared" ref="AS558:AS621" si="120">IF(D558="Military",IF(OR(IFERROR(SEARCH("equipment",E558,1),0)&gt;0,IFERROR(SEARCH("weapons",E558,1),0)&gt;0),1,0),0)</f>
        <v>0</v>
      </c>
      <c r="AT558" s="180">
        <f t="shared" si="109"/>
        <v>1</v>
      </c>
      <c r="AU558" s="180" t="str">
        <f t="shared" si="111"/>
        <v>.</v>
      </c>
      <c r="AV558" s="180" t="str">
        <f t="shared" si="112"/>
        <v>.</v>
      </c>
      <c r="AW558" s="180">
        <f>IFERROR(VLOOKUP(B558,'Share, Heavy Weapons to Ukraine'!B:J,COLUMN('Share, Heavy Weapons to Ukraine'!C570)-1,0),0)</f>
        <v>0</v>
      </c>
      <c r="AX558" s="180">
        <f>VLOOKUP('Bilateral Assistance, MAIN DATA'!B558,'Country Summary'!B:F,COLUMN('Country Summary'!C573)-1,FALSE)</f>
        <v>1</v>
      </c>
      <c r="AY558" s="180" t="str">
        <f>IF(AND(AD558=1,D558="Military",H558&lt;&gt;"Not given")=TRUE,IF(SUMIFS(P:P,A:A,A558)&gt;0,ABS((SUMIFS(P:P,A:A,A558)/VLOOKUP("USD",'Exchange Rates'!B:C,2,0)))/S558,"."),".")</f>
        <v>.</v>
      </c>
      <c r="AZ558" s="182" t="str">
        <f>IF(AND(AD558=1,D558="Military",H558&lt;&gt;"Not given")=TRUE,IF(SUMIFS(P:P,A:A,A558)&gt;0,IF((ABS((SUMIFS(P:P,A:A,A558)/VLOOKUP("USD",'Exchange Rates'!B:C,2,0)))/S558)&gt;1,(SUMIFS(P:P,A:A,A558)-S558)/S558,(S558-SUMIFS(P:P,A:A,A558))/SUMIFS(P:P,A:A,A558)),"."),".")</f>
        <v>.</v>
      </c>
      <c r="BA558" s="182"/>
      <c r="BB558" s="182"/>
      <c r="BC558" s="182"/>
      <c r="BD558" s="182"/>
      <c r="BE558" s="182"/>
      <c r="BF558" s="182"/>
      <c r="BG558" s="182"/>
      <c r="BH558" s="182"/>
      <c r="BI558" s="182"/>
      <c r="BJ558" s="182"/>
      <c r="BK558" s="182"/>
      <c r="BL558" s="182"/>
      <c r="BM558" s="182"/>
      <c r="BN558" s="182"/>
      <c r="BO558" s="182"/>
      <c r="BP558" s="182"/>
      <c r="BQ558" s="182"/>
      <c r="BR558" s="182"/>
      <c r="BS558" s="182"/>
    </row>
    <row r="559" spans="1:71" ht="15.9" customHeight="1" x14ac:dyDescent="0.3">
      <c r="A559" s="17" t="s">
        <v>1704</v>
      </c>
      <c r="B559" s="17" t="s">
        <v>1701</v>
      </c>
      <c r="C559" s="174">
        <v>44627</v>
      </c>
      <c r="D559" s="5" t="s">
        <v>256</v>
      </c>
      <c r="E559" s="5" t="s">
        <v>267</v>
      </c>
      <c r="F559" s="175" t="s">
        <v>1705</v>
      </c>
      <c r="G559" s="15" t="s">
        <v>260</v>
      </c>
      <c r="H559" s="176" t="s">
        <v>341</v>
      </c>
      <c r="I559" s="17" t="s">
        <v>1706</v>
      </c>
      <c r="J559" s="113" t="str">
        <f>VLOOKUP($I559,'Price List, Weapons &amp; Items'!B:C,2,0)</f>
        <v>Humanitarian</v>
      </c>
      <c r="K559" s="113" t="str">
        <f>IF(I559=".",I559,VLOOKUP($I559,'Price List, Weapons &amp; Items'!B:D,3,0))</f>
        <v>Humanitarian</v>
      </c>
      <c r="L559" s="177">
        <f>VLOOKUP(I559,'Price List, Weapons &amp; Items'!B:E,4,0)</f>
        <v>0</v>
      </c>
      <c r="M559" s="542">
        <v>4000</v>
      </c>
      <c r="N559" s="542" t="s">
        <v>270</v>
      </c>
      <c r="O559" s="543" t="str">
        <f>VLOOKUP($I559,'Price List, Weapons &amp; Items'!B:G,6,0)</f>
        <v>.</v>
      </c>
      <c r="P559" s="176" t="str">
        <f t="shared" si="114"/>
        <v>No price</v>
      </c>
      <c r="Q559" s="176" t="str">
        <f t="shared" si="115"/>
        <v>.</v>
      </c>
      <c r="R559" s="176" t="str">
        <f t="shared" si="110"/>
        <v>.</v>
      </c>
      <c r="S559" s="176" t="str">
        <f>IF(AND(AD559=1,R559&lt;&gt;".")=TRUE,R559/VLOOKUP(G559,'Exchange Rates'!B:C,2,0),IF(R559=".",".",""))</f>
        <v>.</v>
      </c>
      <c r="T559" s="176" t="str">
        <f>IF(AD559=1,IF(AF559="Value is not given at all",".",IF(AF559="Value is given by the source",S559,IF(AF559="Value is calculated with prices",(IF(SUMIFS(Q:Q,A:A,A559)&gt;0,SUMIFS(Q:Q,A:A,A559),"."))/VLOOKUP("USD",'Exchange Rates'!B:C,2,0),"Error with coding"))),"")</f>
        <v>.</v>
      </c>
      <c r="U559" s="15" t="s">
        <v>261</v>
      </c>
      <c r="V559" s="300" t="s">
        <v>1707</v>
      </c>
      <c r="W559" s="300" t="s">
        <v>1708</v>
      </c>
      <c r="X559" s="175" t="s">
        <v>260</v>
      </c>
      <c r="Y559" s="175" t="s">
        <v>260</v>
      </c>
      <c r="Z559" s="15">
        <v>0</v>
      </c>
      <c r="AA559" s="180">
        <v>0</v>
      </c>
      <c r="AB559" s="184" t="s">
        <v>260</v>
      </c>
      <c r="AC559" s="544" t="str">
        <f>""</f>
        <v/>
      </c>
      <c r="AD559" s="181">
        <v>1</v>
      </c>
      <c r="AE559" s="181" t="s">
        <v>265</v>
      </c>
      <c r="AF559" s="181" t="s">
        <v>265</v>
      </c>
      <c r="AG559" s="181">
        <v>1</v>
      </c>
      <c r="AH559" s="181">
        <v>3</v>
      </c>
      <c r="AI559" s="181">
        <v>0</v>
      </c>
      <c r="AJ559" s="181">
        <f>VLOOKUP($I559,'Price List, Weapons &amp; Items'!B:F,5,0)</f>
        <v>0</v>
      </c>
      <c r="AK559" s="181">
        <f t="shared" si="116"/>
        <v>0</v>
      </c>
      <c r="AL559" s="181">
        <f t="shared" si="117"/>
        <v>0</v>
      </c>
      <c r="AM559" s="181">
        <f t="shared" si="118"/>
        <v>0</v>
      </c>
      <c r="AN559" s="180" t="str">
        <f>VLOOKUP($I559,'Price List, Weapons &amp; Items'!B:L,COLUMN('Price List, Weapons &amp; Items'!$J$11)-1,0)</f>
        <v>.</v>
      </c>
      <c r="AO559" s="180" t="str">
        <f>IF(I559=".",".",VLOOKUP($I559,'Price List, Weapons &amp; Items'!B:J,3,0))</f>
        <v>Humanitarian</v>
      </c>
      <c r="AP559" s="545" t="e">
        <f t="shared" ca="1" si="113"/>
        <v>#NAME?</v>
      </c>
      <c r="AQ559" s="180">
        <f>VLOOKUP($I559,'Price List, Weapons &amp; Items'!B:L,COLUMN('Price List, Weapons &amp; Items'!$L$11)-1,0)</f>
        <v>0</v>
      </c>
      <c r="AR559" s="180">
        <f t="shared" si="119"/>
        <v>1</v>
      </c>
      <c r="AS559" s="180">
        <f t="shared" si="120"/>
        <v>0</v>
      </c>
      <c r="AT559" s="180">
        <f t="shared" si="109"/>
        <v>1</v>
      </c>
      <c r="AU559" s="180" t="str">
        <f t="shared" si="111"/>
        <v>.</v>
      </c>
      <c r="AV559" s="180" t="str">
        <f t="shared" si="112"/>
        <v>.</v>
      </c>
      <c r="AW559" s="180">
        <f>IFERROR(VLOOKUP(B559,'Share, Heavy Weapons to Ukraine'!B:J,COLUMN('Share, Heavy Weapons to Ukraine'!C571)-1,0),0)</f>
        <v>0</v>
      </c>
      <c r="AX559" s="180">
        <f>VLOOKUP('Bilateral Assistance, MAIN DATA'!B559,'Country Summary'!B:F,COLUMN('Country Summary'!C574)-1,FALSE)</f>
        <v>1</v>
      </c>
      <c r="AY559" s="180" t="str">
        <f>IF(AND(AD559=1,D559="Military",H559&lt;&gt;"Not given")=TRUE,IF(SUMIFS(P:P,A:A,A559)&gt;0,ABS((SUMIFS(P:P,A:A,A559)/VLOOKUP("USD",'Exchange Rates'!B:C,2,0)))/S559,"."),".")</f>
        <v>.</v>
      </c>
      <c r="AZ559" s="182" t="str">
        <f>IF(AND(AD559=1,D559="Military",H559&lt;&gt;"Not given")=TRUE,IF(SUMIFS(P:P,A:A,A559)&gt;0,IF((ABS((SUMIFS(P:P,A:A,A559)/VLOOKUP("USD",'Exchange Rates'!B:C,2,0)))/S559)&gt;1,(SUMIFS(P:P,A:A,A559)-S559)/S559,(S559-SUMIFS(P:P,A:A,A559))/SUMIFS(P:P,A:A,A559)),"."),".")</f>
        <v>.</v>
      </c>
      <c r="BA559" s="182"/>
      <c r="BB559" s="182"/>
      <c r="BC559" s="182"/>
      <c r="BD559" s="182"/>
      <c r="BE559" s="182"/>
      <c r="BF559" s="182"/>
      <c r="BG559" s="182"/>
      <c r="BH559" s="182"/>
      <c r="BI559" s="182"/>
      <c r="BJ559" s="182"/>
      <c r="BK559" s="182"/>
      <c r="BL559" s="182"/>
      <c r="BM559" s="182"/>
      <c r="BN559" s="182"/>
      <c r="BO559" s="182"/>
      <c r="BP559" s="182"/>
      <c r="BQ559" s="182"/>
      <c r="BR559" s="182"/>
      <c r="BS559" s="182"/>
    </row>
    <row r="560" spans="1:71" ht="15.9" customHeight="1" x14ac:dyDescent="0.3">
      <c r="A560" s="5" t="s">
        <v>1709</v>
      </c>
      <c r="B560" s="5" t="s">
        <v>1701</v>
      </c>
      <c r="C560" s="174">
        <v>44631</v>
      </c>
      <c r="D560" s="5" t="s">
        <v>256</v>
      </c>
      <c r="E560" s="5" t="s">
        <v>267</v>
      </c>
      <c r="F560" s="175" t="s">
        <v>1710</v>
      </c>
      <c r="G560" s="15" t="s">
        <v>346</v>
      </c>
      <c r="H560" s="176" t="s">
        <v>341</v>
      </c>
      <c r="I560" s="17" t="s">
        <v>1711</v>
      </c>
      <c r="J560" s="113" t="str">
        <f>VLOOKUP($I560,'Price List, Weapons &amp; Items'!B:C,2,0)</f>
        <v>Humanitarian</v>
      </c>
      <c r="K560" s="113" t="str">
        <f>IF(I560=".",I560,VLOOKUP($I560,'Price List, Weapons &amp; Items'!B:D,3,0))</f>
        <v>Humanitarian</v>
      </c>
      <c r="L560" s="177">
        <f>VLOOKUP(I560,'Price List, Weapons &amp; Items'!B:E,4,0)</f>
        <v>0</v>
      </c>
      <c r="M560" s="542">
        <v>10000</v>
      </c>
      <c r="N560" s="542" t="s">
        <v>270</v>
      </c>
      <c r="O560" s="543">
        <f>VLOOKUP($I560,'Price List, Weapons &amp; Items'!B:G,6,0)</f>
        <v>10</v>
      </c>
      <c r="P560" s="176">
        <f t="shared" si="114"/>
        <v>100000</v>
      </c>
      <c r="Q560" s="176" t="str">
        <f t="shared" si="115"/>
        <v>.</v>
      </c>
      <c r="R560" s="176">
        <f t="shared" si="110"/>
        <v>142996</v>
      </c>
      <c r="S560" s="176">
        <f>IF(AND(AD560=1,R560&lt;&gt;".")=TRUE,R560/VLOOKUP(G560,'Exchange Rates'!B:C,2,0),IF(R560=".",".",""))</f>
        <v>136186.66666666666</v>
      </c>
      <c r="T560" s="176" t="str">
        <f>IF(AD560=1,IF(AF560="Value is not given at all",".",IF(AF560="Value is given by the source",S560,IF(AF560="Value is calculated with prices",(IF(SUMIFS(Q:Q,A:A,A560)&gt;0,SUMIFS(Q:Q,A:A,A560),"."))/VLOOKUP("USD",'Exchange Rates'!B:C,2,0),"Error with coding"))),"")</f>
        <v>.</v>
      </c>
      <c r="U560" s="15" t="s">
        <v>261</v>
      </c>
      <c r="V560" s="547" t="s">
        <v>1707</v>
      </c>
      <c r="W560" s="547" t="s">
        <v>1708</v>
      </c>
      <c r="X560" s="188" t="s">
        <v>260</v>
      </c>
      <c r="Y560" s="188" t="s">
        <v>260</v>
      </c>
      <c r="Z560" s="15">
        <v>0</v>
      </c>
      <c r="AA560" s="180">
        <v>0</v>
      </c>
      <c r="AB560" s="184" t="s">
        <v>260</v>
      </c>
      <c r="AC560" s="544" t="str">
        <f>""</f>
        <v/>
      </c>
      <c r="AD560" s="181">
        <v>1</v>
      </c>
      <c r="AE560" s="181" t="s">
        <v>332</v>
      </c>
      <c r="AF560" s="181" t="s">
        <v>265</v>
      </c>
      <c r="AG560" s="181">
        <v>1</v>
      </c>
      <c r="AH560" s="181">
        <v>3</v>
      </c>
      <c r="AI560" s="181">
        <v>0</v>
      </c>
      <c r="AJ560" s="181">
        <f>VLOOKUP($I560,'Price List, Weapons &amp; Items'!B:F,5,0)</f>
        <v>0</v>
      </c>
      <c r="AK560" s="181">
        <f t="shared" si="116"/>
        <v>0</v>
      </c>
      <c r="AL560" s="181">
        <f t="shared" si="117"/>
        <v>0</v>
      </c>
      <c r="AM560" s="181">
        <f t="shared" si="118"/>
        <v>0</v>
      </c>
      <c r="AN560" s="180" t="str">
        <f>VLOOKUP($I560,'Price List, Weapons &amp; Items'!B:L,COLUMN('Price List, Weapons &amp; Items'!$J$11)-1,0)</f>
        <v>Online marketplaces and stores</v>
      </c>
      <c r="AO560" s="180" t="str">
        <f>IF(I560=".",".",VLOOKUP($I560,'Price List, Weapons &amp; Items'!B:J,3,0))</f>
        <v>Humanitarian</v>
      </c>
      <c r="AP560" s="545" t="e">
        <f t="shared" ca="1" si="113"/>
        <v>#NAME?</v>
      </c>
      <c r="AQ560" s="180">
        <f>VLOOKUP($I560,'Price List, Weapons &amp; Items'!B:L,COLUMN('Price List, Weapons &amp; Items'!$L$11)-1,0)</f>
        <v>0</v>
      </c>
      <c r="AR560" s="180">
        <f t="shared" si="119"/>
        <v>1</v>
      </c>
      <c r="AS560" s="180">
        <f t="shared" si="120"/>
        <v>0</v>
      </c>
      <c r="AT560" s="180">
        <f t="shared" si="109"/>
        <v>1</v>
      </c>
      <c r="AU560" s="180" t="str">
        <f t="shared" si="111"/>
        <v>.</v>
      </c>
      <c r="AV560" s="180" t="str">
        <f t="shared" si="112"/>
        <v>.</v>
      </c>
      <c r="AW560" s="180">
        <f>IFERROR(VLOOKUP(B560,'Share, Heavy Weapons to Ukraine'!B:J,COLUMN('Share, Heavy Weapons to Ukraine'!C572)-1,0),0)</f>
        <v>0</v>
      </c>
      <c r="AX560" s="180">
        <f>VLOOKUP('Bilateral Assistance, MAIN DATA'!B560,'Country Summary'!B:F,COLUMN('Country Summary'!C575)-1,FALSE)</f>
        <v>1</v>
      </c>
      <c r="AY560" s="180" t="str">
        <f>IF(AND(AD560=1,D560="Military",H560&lt;&gt;"Not given")=TRUE,IF(SUMIFS(P:P,A:A,A560)&gt;0,ABS((SUMIFS(P:P,A:A,A560)/VLOOKUP("USD",'Exchange Rates'!B:C,2,0)))/S560,"."),".")</f>
        <v>.</v>
      </c>
      <c r="AZ560" s="182" t="str">
        <f>IF(AND(AD560=1,D560="Military",H560&lt;&gt;"Not given")=TRUE,IF(SUMIFS(P:P,A:A,A560)&gt;0,IF((ABS((SUMIFS(P:P,A:A,A560)/VLOOKUP("USD",'Exchange Rates'!B:C,2,0)))/S560)&gt;1,(SUMIFS(P:P,A:A,A560)-S560)/S560,(S560-SUMIFS(P:P,A:A,A560))/SUMIFS(P:P,A:A,A560)),"."),".")</f>
        <v>.</v>
      </c>
      <c r="BA560" s="182"/>
      <c r="BB560" s="182"/>
      <c r="BC560" s="182"/>
      <c r="BD560" s="182"/>
      <c r="BE560" s="182"/>
      <c r="BF560" s="182"/>
      <c r="BG560" s="182"/>
      <c r="BH560" s="182"/>
      <c r="BI560" s="182"/>
      <c r="BJ560" s="182"/>
      <c r="BK560" s="182"/>
      <c r="BL560" s="182"/>
      <c r="BM560" s="182"/>
      <c r="BN560" s="182"/>
      <c r="BO560" s="182"/>
      <c r="BP560" s="182"/>
      <c r="BQ560" s="182"/>
      <c r="BR560" s="182"/>
      <c r="BS560" s="182"/>
    </row>
    <row r="561" spans="1:71" ht="15.9" customHeight="1" x14ac:dyDescent="0.3">
      <c r="A561" s="5" t="s">
        <v>1709</v>
      </c>
      <c r="B561" s="5" t="s">
        <v>1701</v>
      </c>
      <c r="C561" s="174">
        <v>44631</v>
      </c>
      <c r="D561" s="5" t="s">
        <v>256</v>
      </c>
      <c r="E561" s="5" t="s">
        <v>267</v>
      </c>
      <c r="F561" s="175" t="s">
        <v>1710</v>
      </c>
      <c r="G561" s="15" t="s">
        <v>346</v>
      </c>
      <c r="H561" s="176" t="s">
        <v>341</v>
      </c>
      <c r="I561" s="17" t="s">
        <v>351</v>
      </c>
      <c r="J561" s="113" t="str">
        <f>VLOOKUP($I561,'Price List, Weapons &amp; Items'!B:C,2,0)</f>
        <v>Humanitarian</v>
      </c>
      <c r="K561" s="113" t="str">
        <f>IF(I561=".",I561,VLOOKUP($I561,'Price List, Weapons &amp; Items'!B:D,3,0))</f>
        <v>Humanitarian</v>
      </c>
      <c r="L561" s="177">
        <f>VLOOKUP(I561,'Price List, Weapons &amp; Items'!B:E,4,0)</f>
        <v>0</v>
      </c>
      <c r="M561" s="542">
        <v>50000</v>
      </c>
      <c r="N561" s="542" t="s">
        <v>270</v>
      </c>
      <c r="O561" s="543">
        <f>VLOOKUP($I561,'Price List, Weapons &amp; Items'!B:G,6,0)</f>
        <v>0.24</v>
      </c>
      <c r="P561" s="176">
        <f t="shared" si="114"/>
        <v>12000</v>
      </c>
      <c r="Q561" s="176" t="str">
        <f t="shared" si="115"/>
        <v>.</v>
      </c>
      <c r="R561" s="176" t="str">
        <f t="shared" si="110"/>
        <v/>
      </c>
      <c r="S561" s="176" t="str">
        <f>IF(AND(AD561=1,R561&lt;&gt;".")=TRUE,R561/VLOOKUP(G561,'Exchange Rates'!B:C,2,0),IF(R561=".",".",""))</f>
        <v/>
      </c>
      <c r="T561" s="176" t="str">
        <f>IF(AD561=1,IF(AF561="Value is not given at all",".",IF(AF561="Value is given by the source",S561,IF(AF561="Value is calculated with prices",(IF(SUMIFS(Q:Q,A:A,A561)&gt;0,SUMIFS(Q:Q,A:A,A561),"."))/VLOOKUP("USD",'Exchange Rates'!B:C,2,0),"Error with coding"))),"")</f>
        <v/>
      </c>
      <c r="U561" s="15" t="s">
        <v>261</v>
      </c>
      <c r="V561" s="547" t="s">
        <v>1707</v>
      </c>
      <c r="W561" s="547" t="s">
        <v>1708</v>
      </c>
      <c r="X561" s="188" t="s">
        <v>260</v>
      </c>
      <c r="Y561" s="188" t="s">
        <v>260</v>
      </c>
      <c r="Z561" s="15">
        <v>0</v>
      </c>
      <c r="AA561" s="180">
        <v>0</v>
      </c>
      <c r="AB561" s="184" t="s">
        <v>260</v>
      </c>
      <c r="AC561" s="544" t="str">
        <f>""</f>
        <v/>
      </c>
      <c r="AD561" s="181">
        <v>0</v>
      </c>
      <c r="AE561" s="181" t="s">
        <v>332</v>
      </c>
      <c r="AF561" s="181" t="s">
        <v>265</v>
      </c>
      <c r="AG561" s="181">
        <v>1</v>
      </c>
      <c r="AH561" s="181">
        <v>3</v>
      </c>
      <c r="AI561" s="181">
        <v>0</v>
      </c>
      <c r="AJ561" s="181">
        <f>VLOOKUP($I561,'Price List, Weapons &amp; Items'!B:F,5,0)</f>
        <v>0</v>
      </c>
      <c r="AK561" s="181">
        <f t="shared" si="116"/>
        <v>0</v>
      </c>
      <c r="AL561" s="181">
        <f t="shared" si="117"/>
        <v>0</v>
      </c>
      <c r="AM561" s="181">
        <f t="shared" si="118"/>
        <v>0</v>
      </c>
      <c r="AN561" s="180" t="str">
        <f>VLOOKUP($I561,'Price List, Weapons &amp; Items'!B:L,COLUMN('Price List, Weapons &amp; Items'!$J$11)-1,0)</f>
        <v>Online marketplaces and stores</v>
      </c>
      <c r="AO561" s="180" t="str">
        <f>IF(I561=".",".",VLOOKUP($I561,'Price List, Weapons &amp; Items'!B:J,3,0))</f>
        <v>Humanitarian</v>
      </c>
      <c r="AP561" s="545" t="str">
        <f t="shared" ca="1" si="113"/>
        <v/>
      </c>
      <c r="AQ561" s="180">
        <f>VLOOKUP($I561,'Price List, Weapons &amp; Items'!B:L,COLUMN('Price List, Weapons &amp; Items'!$L$11)-1,0)</f>
        <v>0</v>
      </c>
      <c r="AR561" s="180">
        <f t="shared" si="119"/>
        <v>1</v>
      </c>
      <c r="AS561" s="180">
        <f t="shared" si="120"/>
        <v>0</v>
      </c>
      <c r="AT561" s="180">
        <f t="shared" si="109"/>
        <v>1</v>
      </c>
      <c r="AU561" s="180" t="str">
        <f t="shared" si="111"/>
        <v>.</v>
      </c>
      <c r="AV561" s="180" t="str">
        <f t="shared" si="112"/>
        <v>.</v>
      </c>
      <c r="AW561" s="180">
        <f>IFERROR(VLOOKUP(B561,'Share, Heavy Weapons to Ukraine'!B:J,COLUMN('Share, Heavy Weapons to Ukraine'!C573)-1,0),0)</f>
        <v>0</v>
      </c>
      <c r="AX561" s="180">
        <f>VLOOKUP('Bilateral Assistance, MAIN DATA'!B561,'Country Summary'!B:F,COLUMN('Country Summary'!C576)-1,FALSE)</f>
        <v>1</v>
      </c>
      <c r="AY561" s="180" t="str">
        <f>IF(AND(AD561=1,D561="Military",H561&lt;&gt;"Not given")=TRUE,IF(SUMIFS(P:P,A:A,A561)&gt;0,ABS((SUMIFS(P:P,A:A,A561)/VLOOKUP("USD",'Exchange Rates'!B:C,2,0)))/S561,"."),".")</f>
        <v>.</v>
      </c>
      <c r="AZ561" s="182" t="str">
        <f>IF(AND(AD561=1,D561="Military",H561&lt;&gt;"Not given")=TRUE,IF(SUMIFS(P:P,A:A,A561)&gt;0,IF((ABS((SUMIFS(P:P,A:A,A561)/VLOOKUP("USD",'Exchange Rates'!B:C,2,0)))/S561)&gt;1,(SUMIFS(P:P,A:A,A561)-S561)/S561,(S561-SUMIFS(P:P,A:A,A561))/SUMIFS(P:P,A:A,A561)),"."),".")</f>
        <v>.</v>
      </c>
      <c r="BA561" s="182"/>
      <c r="BB561" s="182"/>
      <c r="BC561" s="182"/>
      <c r="BD561" s="182"/>
      <c r="BE561" s="182"/>
      <c r="BF561" s="182"/>
      <c r="BG561" s="182"/>
      <c r="BH561" s="182"/>
      <c r="BI561" s="182"/>
      <c r="BJ561" s="182"/>
      <c r="BK561" s="182"/>
      <c r="BL561" s="182"/>
      <c r="BM561" s="182"/>
      <c r="BN561" s="182"/>
      <c r="BO561" s="182"/>
      <c r="BP561" s="182"/>
      <c r="BQ561" s="182"/>
      <c r="BR561" s="182"/>
      <c r="BS561" s="182"/>
    </row>
    <row r="562" spans="1:71" ht="15.9" customHeight="1" x14ac:dyDescent="0.3">
      <c r="A562" s="5" t="s">
        <v>1709</v>
      </c>
      <c r="B562" s="5" t="s">
        <v>1701</v>
      </c>
      <c r="C562" s="174">
        <v>44631</v>
      </c>
      <c r="D562" s="5" t="s">
        <v>256</v>
      </c>
      <c r="E562" s="5" t="s">
        <v>267</v>
      </c>
      <c r="F562" s="175" t="s">
        <v>1710</v>
      </c>
      <c r="G562" s="15" t="s">
        <v>346</v>
      </c>
      <c r="H562" s="176" t="s">
        <v>341</v>
      </c>
      <c r="I562" s="17" t="s">
        <v>349</v>
      </c>
      <c r="J562" s="113" t="str">
        <f>VLOOKUP($I562,'Price List, Weapons &amp; Items'!B:C,2,0)</f>
        <v>Humanitarian</v>
      </c>
      <c r="K562" s="113" t="str">
        <f>IF(I562=".",I562,VLOOKUP($I562,'Price List, Weapons &amp; Items'!B:D,3,0))</f>
        <v>Humanitarian</v>
      </c>
      <c r="L562" s="177">
        <f>VLOOKUP(I562,'Price List, Weapons &amp; Items'!B:E,4,0)</f>
        <v>0</v>
      </c>
      <c r="M562" s="542">
        <v>2583</v>
      </c>
      <c r="N562" s="542" t="s">
        <v>270</v>
      </c>
      <c r="O562" s="543">
        <f>VLOOKUP($I562,'Price List, Weapons &amp; Items'!B:G,6,0)</f>
        <v>12</v>
      </c>
      <c r="P562" s="176">
        <f t="shared" si="114"/>
        <v>30996</v>
      </c>
      <c r="Q562" s="176" t="str">
        <f t="shared" si="115"/>
        <v>.</v>
      </c>
      <c r="R562" s="176" t="str">
        <f t="shared" si="110"/>
        <v/>
      </c>
      <c r="S562" s="176" t="str">
        <f>IF(AND(AD562=1,R562&lt;&gt;".")=TRUE,R562/VLOOKUP(G562,'Exchange Rates'!B:C,2,0),IF(R562=".",".",""))</f>
        <v/>
      </c>
      <c r="T562" s="176" t="str">
        <f>IF(AD562=1,IF(AF562="Value is not given at all",".",IF(AF562="Value is given by the source",S562,IF(AF562="Value is calculated with prices",(IF(SUMIFS(Q:Q,A:A,A562)&gt;0,SUMIFS(Q:Q,A:A,A562),"."))/VLOOKUP("USD",'Exchange Rates'!B:C,2,0),"Error with coding"))),"")</f>
        <v/>
      </c>
      <c r="U562" s="15" t="s">
        <v>261</v>
      </c>
      <c r="V562" s="547" t="s">
        <v>1707</v>
      </c>
      <c r="W562" s="547" t="s">
        <v>1708</v>
      </c>
      <c r="X562" s="188" t="s">
        <v>260</v>
      </c>
      <c r="Y562" s="188" t="s">
        <v>260</v>
      </c>
      <c r="Z562" s="15">
        <v>0</v>
      </c>
      <c r="AA562" s="180">
        <v>0</v>
      </c>
      <c r="AB562" s="184" t="s">
        <v>260</v>
      </c>
      <c r="AC562" s="544" t="str">
        <f>""</f>
        <v/>
      </c>
      <c r="AD562" s="181">
        <v>0</v>
      </c>
      <c r="AE562" s="181" t="s">
        <v>332</v>
      </c>
      <c r="AF562" s="181" t="s">
        <v>265</v>
      </c>
      <c r="AG562" s="181">
        <v>1</v>
      </c>
      <c r="AH562" s="181">
        <v>3</v>
      </c>
      <c r="AI562" s="181">
        <v>0</v>
      </c>
      <c r="AJ562" s="181">
        <f>VLOOKUP($I562,'Price List, Weapons &amp; Items'!B:F,5,0)</f>
        <v>0</v>
      </c>
      <c r="AK562" s="181">
        <f t="shared" si="116"/>
        <v>0</v>
      </c>
      <c r="AL562" s="181">
        <f t="shared" si="117"/>
        <v>0</v>
      </c>
      <c r="AM562" s="181">
        <f t="shared" si="118"/>
        <v>0</v>
      </c>
      <c r="AN562" s="180" t="str">
        <f>VLOOKUP($I562,'Price List, Weapons &amp; Items'!B:L,COLUMN('Price List, Weapons &amp; Items'!$J$11)-1,0)</f>
        <v>Online marketplaces and stores</v>
      </c>
      <c r="AO562" s="180" t="str">
        <f>IF(I562=".",".",VLOOKUP($I562,'Price List, Weapons &amp; Items'!B:J,3,0))</f>
        <v>Humanitarian</v>
      </c>
      <c r="AP562" s="545" t="str">
        <f t="shared" ca="1" si="113"/>
        <v/>
      </c>
      <c r="AQ562" s="180">
        <f>VLOOKUP($I562,'Price List, Weapons &amp; Items'!B:L,COLUMN('Price List, Weapons &amp; Items'!$L$11)-1,0)</f>
        <v>0</v>
      </c>
      <c r="AR562" s="180">
        <f t="shared" si="119"/>
        <v>1</v>
      </c>
      <c r="AS562" s="180">
        <f t="shared" si="120"/>
        <v>0</v>
      </c>
      <c r="AT562" s="180">
        <f t="shared" si="109"/>
        <v>1</v>
      </c>
      <c r="AU562" s="180" t="str">
        <f t="shared" si="111"/>
        <v>.</v>
      </c>
      <c r="AV562" s="180" t="str">
        <f t="shared" si="112"/>
        <v>.</v>
      </c>
      <c r="AW562" s="180">
        <f>IFERROR(VLOOKUP(B562,'Share, Heavy Weapons to Ukraine'!B:J,COLUMN('Share, Heavy Weapons to Ukraine'!C574)-1,0),0)</f>
        <v>0</v>
      </c>
      <c r="AX562" s="180">
        <f>VLOOKUP('Bilateral Assistance, MAIN DATA'!B562,'Country Summary'!B:F,COLUMN('Country Summary'!C577)-1,FALSE)</f>
        <v>1</v>
      </c>
      <c r="AY562" s="180" t="str">
        <f>IF(AND(AD562=1,D562="Military",H562&lt;&gt;"Not given")=TRUE,IF(SUMIFS(P:P,A:A,A562)&gt;0,ABS((SUMIFS(P:P,A:A,A562)/VLOOKUP("USD",'Exchange Rates'!B:C,2,0)))/S562,"."),".")</f>
        <v>.</v>
      </c>
      <c r="AZ562" s="182" t="str">
        <f>IF(AND(AD562=1,D562="Military",H562&lt;&gt;"Not given")=TRUE,IF(SUMIFS(P:P,A:A,A562)&gt;0,IF((ABS((SUMIFS(P:P,A:A,A562)/VLOOKUP("USD",'Exchange Rates'!B:C,2,0)))/S562)&gt;1,(SUMIFS(P:P,A:A,A562)-S562)/S562,(S562-SUMIFS(P:P,A:A,A562))/SUMIFS(P:P,A:A,A562)),"."),".")</f>
        <v>.</v>
      </c>
      <c r="BA562" s="182"/>
      <c r="BB562" s="182"/>
      <c r="BC562" s="182"/>
      <c r="BD562" s="182"/>
      <c r="BE562" s="182"/>
      <c r="BF562" s="182"/>
      <c r="BG562" s="182"/>
      <c r="BH562" s="182"/>
      <c r="BI562" s="182"/>
      <c r="BJ562" s="182"/>
      <c r="BK562" s="182"/>
      <c r="BL562" s="182"/>
      <c r="BM562" s="182"/>
      <c r="BN562" s="182"/>
      <c r="BO562" s="182"/>
      <c r="BP562" s="182"/>
      <c r="BQ562" s="182"/>
      <c r="BR562" s="182"/>
      <c r="BS562" s="182"/>
    </row>
    <row r="563" spans="1:71" ht="15.9" customHeight="1" x14ac:dyDescent="0.3">
      <c r="A563" s="17" t="s">
        <v>1712</v>
      </c>
      <c r="B563" s="17" t="s">
        <v>1701</v>
      </c>
      <c r="C563" s="174" t="s">
        <v>1713</v>
      </c>
      <c r="D563" s="5" t="s">
        <v>256</v>
      </c>
      <c r="E563" s="5" t="s">
        <v>267</v>
      </c>
      <c r="F563" s="175" t="s">
        <v>1714</v>
      </c>
      <c r="G563" s="15" t="s">
        <v>346</v>
      </c>
      <c r="H563" s="176" t="s">
        <v>341</v>
      </c>
      <c r="I563" s="17" t="s">
        <v>358</v>
      </c>
      <c r="J563" s="113" t="str">
        <f>VLOOKUP($I563,'Price List, Weapons &amp; Items'!B:C,2,0)</f>
        <v>Humanitarian</v>
      </c>
      <c r="K563" s="113" t="str">
        <f>IF(I563=".",I563,VLOOKUP($I563,'Price List, Weapons &amp; Items'!B:D,3,0))</f>
        <v>Humanitarian</v>
      </c>
      <c r="L563" s="177">
        <f>VLOOKUP(I563,'Price List, Weapons &amp; Items'!B:E,4,0)</f>
        <v>0</v>
      </c>
      <c r="M563" s="542">
        <v>9</v>
      </c>
      <c r="N563" s="542" t="s">
        <v>270</v>
      </c>
      <c r="O563" s="543">
        <f>VLOOKUP($I563,'Price List, Weapons &amp; Items'!B:G,6,0)</f>
        <v>317500</v>
      </c>
      <c r="P563" s="176">
        <f t="shared" si="114"/>
        <v>2857500</v>
      </c>
      <c r="Q563" s="176" t="str">
        <f t="shared" si="115"/>
        <v>.</v>
      </c>
      <c r="R563" s="176">
        <f t="shared" si="110"/>
        <v>2857500</v>
      </c>
      <c r="S563" s="176">
        <f>IF(AND(AD563=1,R563&lt;&gt;".")=TRUE,R563/VLOOKUP(G563,'Exchange Rates'!B:C,2,0),IF(R563=".",".",""))</f>
        <v>2721428.5714285714</v>
      </c>
      <c r="T563" s="176" t="str">
        <f>IF(AD563=1,IF(AF563="Value is not given at all",".",IF(AF563="Value is given by the source",S563,IF(AF563="Value is calculated with prices",(IF(SUMIFS(Q:Q,A:A,A563)&gt;0,SUMIFS(Q:Q,A:A,A563),"."))/VLOOKUP("USD",'Exchange Rates'!B:C,2,0),"Error with coding"))),"")</f>
        <v>.</v>
      </c>
      <c r="U563" s="15" t="s">
        <v>261</v>
      </c>
      <c r="V563" s="300" t="s">
        <v>1715</v>
      </c>
      <c r="W563" s="175" t="s">
        <v>260</v>
      </c>
      <c r="X563" s="175" t="s">
        <v>260</v>
      </c>
      <c r="Y563" s="175" t="s">
        <v>260</v>
      </c>
      <c r="Z563" s="15">
        <v>0</v>
      </c>
      <c r="AA563" s="180">
        <v>0</v>
      </c>
      <c r="AB563" s="184" t="s">
        <v>260</v>
      </c>
      <c r="AC563" s="544" t="str">
        <f>""</f>
        <v/>
      </c>
      <c r="AD563" s="181">
        <v>1</v>
      </c>
      <c r="AE563" s="181" t="s">
        <v>332</v>
      </c>
      <c r="AF563" s="181" t="s">
        <v>265</v>
      </c>
      <c r="AG563" s="181">
        <v>0</v>
      </c>
      <c r="AH563" s="181">
        <v>0</v>
      </c>
      <c r="AI563" s="181">
        <v>0</v>
      </c>
      <c r="AJ563" s="181">
        <f>VLOOKUP($I563,'Price List, Weapons &amp; Items'!B:F,5,0)</f>
        <v>0</v>
      </c>
      <c r="AK563" s="181">
        <f t="shared" si="116"/>
        <v>0</v>
      </c>
      <c r="AL563" s="181">
        <f t="shared" si="117"/>
        <v>0</v>
      </c>
      <c r="AM563" s="181">
        <f t="shared" si="118"/>
        <v>0</v>
      </c>
      <c r="AN563" s="180" t="str">
        <f>VLOOKUP($I563,'Price List, Weapons &amp; Items'!B:L,COLUMN('Price List, Weapons &amp; Items'!$J$11)-1,0)</f>
        <v>Media reports (incl. social media)</v>
      </c>
      <c r="AO563" s="180" t="str">
        <f>IF(I563=".",".",VLOOKUP($I563,'Price List, Weapons &amp; Items'!B:J,3,0))</f>
        <v>Humanitarian</v>
      </c>
      <c r="AP563" s="545" t="e">
        <f t="shared" ca="1" si="113"/>
        <v>#NAME?</v>
      </c>
      <c r="AQ563" s="180">
        <f>VLOOKUP($I563,'Price List, Weapons &amp; Items'!B:L,COLUMN('Price List, Weapons &amp; Items'!$L$11)-1,0)</f>
        <v>0</v>
      </c>
      <c r="AR563" s="180">
        <f t="shared" si="119"/>
        <v>1</v>
      </c>
      <c r="AS563" s="180">
        <f t="shared" si="120"/>
        <v>0</v>
      </c>
      <c r="AT563" s="180" t="str">
        <f t="shared" si="109"/>
        <v>Value is not in date format</v>
      </c>
      <c r="AU563" s="180" t="str">
        <f t="shared" si="111"/>
        <v>.</v>
      </c>
      <c r="AV563" s="180" t="str">
        <f t="shared" si="112"/>
        <v>.</v>
      </c>
      <c r="AW563" s="180">
        <f>IFERROR(VLOOKUP(B563,'Share, Heavy Weapons to Ukraine'!B:J,COLUMN('Share, Heavy Weapons to Ukraine'!C575)-1,0),0)</f>
        <v>0</v>
      </c>
      <c r="AX563" s="180">
        <f>VLOOKUP('Bilateral Assistance, MAIN DATA'!B563,'Country Summary'!B:F,COLUMN('Country Summary'!C578)-1,FALSE)</f>
        <v>1</v>
      </c>
      <c r="AY563" s="180" t="str">
        <f>IF(AND(AD563=1,D563="Military",H563&lt;&gt;"Not given")=TRUE,IF(SUMIFS(P:P,A:A,A563)&gt;0,ABS((SUMIFS(P:P,A:A,A563)/VLOOKUP("USD",'Exchange Rates'!B:C,2,0)))/S563,"."),".")</f>
        <v>.</v>
      </c>
      <c r="AZ563" s="182" t="str">
        <f>IF(AND(AD563=1,D563="Military",H563&lt;&gt;"Not given")=TRUE,IF(SUMIFS(P:P,A:A,A563)&gt;0,IF((ABS((SUMIFS(P:P,A:A,A563)/VLOOKUP("USD",'Exchange Rates'!B:C,2,0)))/S563)&gt;1,(SUMIFS(P:P,A:A,A563)-S563)/S563,(S563-SUMIFS(P:P,A:A,A563))/SUMIFS(P:P,A:A,A563)),"."),".")</f>
        <v>.</v>
      </c>
      <c r="BA563" s="182"/>
      <c r="BB563" s="182"/>
      <c r="BC563" s="182"/>
      <c r="BD563" s="182"/>
      <c r="BE563" s="182"/>
      <c r="BF563" s="182"/>
      <c r="BG563" s="182"/>
      <c r="BH563" s="182"/>
      <c r="BI563" s="182"/>
      <c r="BJ563" s="182"/>
      <c r="BK563" s="182"/>
      <c r="BL563" s="182"/>
      <c r="BM563" s="182"/>
      <c r="BN563" s="182"/>
      <c r="BO563" s="182"/>
      <c r="BP563" s="182"/>
      <c r="BQ563" s="182"/>
      <c r="BR563" s="182"/>
      <c r="BS563" s="182"/>
    </row>
    <row r="564" spans="1:71" ht="15.9" customHeight="1" x14ac:dyDescent="0.3">
      <c r="A564" s="17" t="s">
        <v>1716</v>
      </c>
      <c r="B564" s="17" t="s">
        <v>1701</v>
      </c>
      <c r="C564" s="174">
        <v>44646</v>
      </c>
      <c r="D564" s="5" t="s">
        <v>256</v>
      </c>
      <c r="E564" s="5" t="s">
        <v>267</v>
      </c>
      <c r="F564" s="175" t="s">
        <v>1717</v>
      </c>
      <c r="G564" s="15" t="s">
        <v>260</v>
      </c>
      <c r="H564" s="176" t="s">
        <v>341</v>
      </c>
      <c r="I564" s="17" t="s">
        <v>260</v>
      </c>
      <c r="J564" s="113" t="str">
        <f>VLOOKUP($I564,'Price List, Weapons &amp; Items'!B:C,2,0)</f>
        <v>.</v>
      </c>
      <c r="K564" s="113" t="str">
        <f>IF(I564=".",I564,VLOOKUP($I564,'Price List, Weapons &amp; Items'!B:D,3,0))</f>
        <v>.</v>
      </c>
      <c r="L564" s="177">
        <f>VLOOKUP(I564,'Price List, Weapons &amp; Items'!B:E,4,0)</f>
        <v>0</v>
      </c>
      <c r="M564" s="542" t="s">
        <v>260</v>
      </c>
      <c r="N564" s="542" t="s">
        <v>260</v>
      </c>
      <c r="O564" s="543" t="str">
        <f>VLOOKUP($I564,'Price List, Weapons &amp; Items'!B:G,6,0)</f>
        <v>.</v>
      </c>
      <c r="P564" s="176" t="str">
        <f t="shared" si="114"/>
        <v>.</v>
      </c>
      <c r="Q564" s="176" t="str">
        <f t="shared" si="115"/>
        <v>.</v>
      </c>
      <c r="R564" s="176" t="str">
        <f t="shared" si="110"/>
        <v>.</v>
      </c>
      <c r="S564" s="176" t="str">
        <f>IF(AND(AD564=1,R564&lt;&gt;".")=TRUE,R564/VLOOKUP(G564,'Exchange Rates'!B:C,2,0),IF(R564=".",".",""))</f>
        <v>.</v>
      </c>
      <c r="T564" s="176" t="str">
        <f>IF(AD564=1,IF(AF564="Value is not given at all",".",IF(AF564="Value is given by the source",S564,IF(AF564="Value is calculated with prices",(IF(SUMIFS(Q:Q,A:A,A564)&gt;0,SUMIFS(Q:Q,A:A,A564),"."))/VLOOKUP("USD",'Exchange Rates'!B:C,2,0),"Error with coding"))),"")</f>
        <v>.</v>
      </c>
      <c r="U564" s="15" t="s">
        <v>261</v>
      </c>
      <c r="V564" s="300" t="s">
        <v>1715</v>
      </c>
      <c r="W564" s="175" t="s">
        <v>260</v>
      </c>
      <c r="X564" s="175" t="s">
        <v>260</v>
      </c>
      <c r="Y564" s="175" t="s">
        <v>260</v>
      </c>
      <c r="Z564" s="15">
        <v>0</v>
      </c>
      <c r="AA564" s="180">
        <v>0</v>
      </c>
      <c r="AB564" s="184" t="s">
        <v>260</v>
      </c>
      <c r="AC564" s="544" t="str">
        <f>""</f>
        <v/>
      </c>
      <c r="AD564" s="181">
        <v>1</v>
      </c>
      <c r="AE564" s="181" t="s">
        <v>265</v>
      </c>
      <c r="AF564" s="181" t="s">
        <v>265</v>
      </c>
      <c r="AG564" s="181">
        <v>1</v>
      </c>
      <c r="AH564" s="181">
        <v>3</v>
      </c>
      <c r="AI564" s="181">
        <v>0</v>
      </c>
      <c r="AJ564" s="181">
        <f>VLOOKUP($I564,'Price List, Weapons &amp; Items'!B:F,5,0)</f>
        <v>0</v>
      </c>
      <c r="AK564" s="181">
        <f t="shared" si="116"/>
        <v>0</v>
      </c>
      <c r="AL564" s="181">
        <f t="shared" si="117"/>
        <v>0</v>
      </c>
      <c r="AM564" s="181">
        <f t="shared" si="118"/>
        <v>0</v>
      </c>
      <c r="AN564" s="180" t="str">
        <f>VLOOKUP($I564,'Price List, Weapons &amp; Items'!B:L,COLUMN('Price List, Weapons &amp; Items'!$J$11)-1,0)</f>
        <v>.</v>
      </c>
      <c r="AO564" s="180" t="str">
        <f>IF(I564=".",".",VLOOKUP($I564,'Price List, Weapons &amp; Items'!B:J,3,0))</f>
        <v>.</v>
      </c>
      <c r="AP564" s="545" t="e">
        <f t="shared" ca="1" si="113"/>
        <v>#NAME?</v>
      </c>
      <c r="AQ564" s="180" t="str">
        <f>VLOOKUP($I564,'Price List, Weapons &amp; Items'!B:L,COLUMN('Price List, Weapons &amp; Items'!$L$11)-1,0)</f>
        <v>no price, 0 count</v>
      </c>
      <c r="AR564" s="180">
        <f t="shared" si="119"/>
        <v>1</v>
      </c>
      <c r="AS564" s="180">
        <f t="shared" si="120"/>
        <v>0</v>
      </c>
      <c r="AT564" s="180">
        <f t="shared" si="109"/>
        <v>1</v>
      </c>
      <c r="AU564" s="180" t="str">
        <f t="shared" si="111"/>
        <v>.</v>
      </c>
      <c r="AV564" s="180" t="str">
        <f t="shared" si="112"/>
        <v>.</v>
      </c>
      <c r="AW564" s="180">
        <f>IFERROR(VLOOKUP(B564,'Share, Heavy Weapons to Ukraine'!B:J,COLUMN('Share, Heavy Weapons to Ukraine'!C576)-1,0),0)</f>
        <v>0</v>
      </c>
      <c r="AX564" s="180">
        <f>VLOOKUP('Bilateral Assistance, MAIN DATA'!B564,'Country Summary'!B:F,COLUMN('Country Summary'!C579)-1,FALSE)</f>
        <v>1</v>
      </c>
      <c r="AY564" s="180" t="str">
        <f>IF(AND(AD564=1,D564="Military",H564&lt;&gt;"Not given")=TRUE,IF(SUMIFS(P:P,A:A,A564)&gt;0,ABS((SUMIFS(P:P,A:A,A564)/VLOOKUP("USD",'Exchange Rates'!B:C,2,0)))/S564,"."),".")</f>
        <v>.</v>
      </c>
      <c r="AZ564" s="182" t="str">
        <f>IF(AND(AD564=1,D564="Military",H564&lt;&gt;"Not given")=TRUE,IF(SUMIFS(P:P,A:A,A564)&gt;0,IF((ABS((SUMIFS(P:P,A:A,A564)/VLOOKUP("USD",'Exchange Rates'!B:C,2,0)))/S564)&gt;1,(SUMIFS(P:P,A:A,A564)-S564)/S564,(S564-SUMIFS(P:P,A:A,A564))/SUMIFS(P:P,A:A,A564)),"."),".")</f>
        <v>.</v>
      </c>
      <c r="BA564" s="182"/>
      <c r="BB564" s="182"/>
      <c r="BC564" s="182"/>
      <c r="BD564" s="182"/>
      <c r="BE564" s="182"/>
      <c r="BF564" s="182"/>
      <c r="BG564" s="182"/>
      <c r="BH564" s="182"/>
      <c r="BI564" s="182"/>
      <c r="BJ564" s="182"/>
      <c r="BK564" s="182"/>
      <c r="BL564" s="182"/>
      <c r="BM564" s="182"/>
      <c r="BN564" s="182"/>
      <c r="BO564" s="182"/>
      <c r="BP564" s="182"/>
      <c r="BQ564" s="182"/>
      <c r="BR564" s="182"/>
      <c r="BS564" s="182"/>
    </row>
    <row r="565" spans="1:71" ht="15.9" customHeight="1" x14ac:dyDescent="0.3">
      <c r="A565" s="17" t="s">
        <v>1718</v>
      </c>
      <c r="B565" s="17" t="s">
        <v>1701</v>
      </c>
      <c r="C565" s="174">
        <v>44648</v>
      </c>
      <c r="D565" s="5" t="s">
        <v>256</v>
      </c>
      <c r="E565" s="5" t="s">
        <v>267</v>
      </c>
      <c r="F565" s="175" t="s">
        <v>1719</v>
      </c>
      <c r="G565" s="15" t="s">
        <v>260</v>
      </c>
      <c r="H565" s="176" t="s">
        <v>341</v>
      </c>
      <c r="I565" s="17" t="s">
        <v>260</v>
      </c>
      <c r="J565" s="113" t="str">
        <f>VLOOKUP($I565,'Price List, Weapons &amp; Items'!B:C,2,0)</f>
        <v>.</v>
      </c>
      <c r="K565" s="113" t="str">
        <f>IF(I565=".",I565,VLOOKUP($I565,'Price List, Weapons &amp; Items'!B:D,3,0))</f>
        <v>.</v>
      </c>
      <c r="L565" s="177">
        <f>VLOOKUP(I565,'Price List, Weapons &amp; Items'!B:E,4,0)</f>
        <v>0</v>
      </c>
      <c r="M565" s="542" t="s">
        <v>260</v>
      </c>
      <c r="N565" s="542" t="s">
        <v>260</v>
      </c>
      <c r="O565" s="543" t="str">
        <f>VLOOKUP($I565,'Price List, Weapons &amp; Items'!B:G,6,0)</f>
        <v>.</v>
      </c>
      <c r="P565" s="176" t="str">
        <f t="shared" si="114"/>
        <v>.</v>
      </c>
      <c r="Q565" s="176" t="str">
        <f t="shared" si="115"/>
        <v>.</v>
      </c>
      <c r="R565" s="176" t="str">
        <f t="shared" si="110"/>
        <v>.</v>
      </c>
      <c r="S565" s="176" t="str">
        <f>IF(AND(AD565=1,R565&lt;&gt;".")=TRUE,R565/VLOOKUP(G565,'Exchange Rates'!B:C,2,0),IF(R565=".",".",""))</f>
        <v>.</v>
      </c>
      <c r="T565" s="176" t="str">
        <f>IF(AD565=1,IF(AF565="Value is not given at all",".",IF(AF565="Value is given by the source",S565,IF(AF565="Value is calculated with prices",(IF(SUMIFS(Q:Q,A:A,A565)&gt;0,SUMIFS(Q:Q,A:A,A565),"."))/VLOOKUP("USD",'Exchange Rates'!B:C,2,0),"Error with coding"))),"")</f>
        <v>.</v>
      </c>
      <c r="U565" s="15" t="s">
        <v>261</v>
      </c>
      <c r="V565" s="300" t="s">
        <v>1715</v>
      </c>
      <c r="W565" s="175" t="s">
        <v>260</v>
      </c>
      <c r="X565" s="175" t="s">
        <v>260</v>
      </c>
      <c r="Y565" s="175" t="s">
        <v>260</v>
      </c>
      <c r="Z565" s="15">
        <v>0</v>
      </c>
      <c r="AA565" s="180">
        <v>0</v>
      </c>
      <c r="AB565" s="184" t="s">
        <v>260</v>
      </c>
      <c r="AC565" s="544" t="str">
        <f>""</f>
        <v/>
      </c>
      <c r="AD565" s="181">
        <v>1</v>
      </c>
      <c r="AE565" s="181" t="s">
        <v>265</v>
      </c>
      <c r="AF565" s="181" t="s">
        <v>265</v>
      </c>
      <c r="AG565" s="181">
        <v>1</v>
      </c>
      <c r="AH565" s="181">
        <v>3</v>
      </c>
      <c r="AI565" s="181">
        <v>0</v>
      </c>
      <c r="AJ565" s="181">
        <f>VLOOKUP($I565,'Price List, Weapons &amp; Items'!B:F,5,0)</f>
        <v>0</v>
      </c>
      <c r="AK565" s="181">
        <f t="shared" si="116"/>
        <v>0</v>
      </c>
      <c r="AL565" s="181">
        <f t="shared" si="117"/>
        <v>0</v>
      </c>
      <c r="AM565" s="181">
        <f t="shared" si="118"/>
        <v>0</v>
      </c>
      <c r="AN565" s="180" t="str">
        <f>VLOOKUP($I565,'Price List, Weapons &amp; Items'!B:L,COLUMN('Price List, Weapons &amp; Items'!$J$11)-1,0)</f>
        <v>.</v>
      </c>
      <c r="AO565" s="180" t="str">
        <f>IF(I565=".",".",VLOOKUP($I565,'Price List, Weapons &amp; Items'!B:J,3,0))</f>
        <v>.</v>
      </c>
      <c r="AP565" s="545" t="e">
        <f t="shared" ca="1" si="113"/>
        <v>#NAME?</v>
      </c>
      <c r="AQ565" s="180" t="str">
        <f>VLOOKUP($I565,'Price List, Weapons &amp; Items'!B:L,COLUMN('Price List, Weapons &amp; Items'!$L$11)-1,0)</f>
        <v>no price, 0 count</v>
      </c>
      <c r="AR565" s="180">
        <f t="shared" si="119"/>
        <v>1</v>
      </c>
      <c r="AS565" s="180">
        <f t="shared" si="120"/>
        <v>0</v>
      </c>
      <c r="AT565" s="180">
        <f t="shared" si="109"/>
        <v>1</v>
      </c>
      <c r="AU565" s="180" t="str">
        <f t="shared" si="111"/>
        <v>.</v>
      </c>
      <c r="AV565" s="180" t="str">
        <f t="shared" si="112"/>
        <v>.</v>
      </c>
      <c r="AW565" s="180">
        <f>IFERROR(VLOOKUP(B565,'Share, Heavy Weapons to Ukraine'!B:J,COLUMN('Share, Heavy Weapons to Ukraine'!C577)-1,0),0)</f>
        <v>0</v>
      </c>
      <c r="AX565" s="180">
        <f>VLOOKUP('Bilateral Assistance, MAIN DATA'!B565,'Country Summary'!B:F,COLUMN('Country Summary'!C580)-1,FALSE)</f>
        <v>1</v>
      </c>
      <c r="AY565" s="180" t="str">
        <f>IF(AND(AD565=1,D565="Military",H565&lt;&gt;"Not given")=TRUE,IF(SUMIFS(P:P,A:A,A565)&gt;0,ABS((SUMIFS(P:P,A:A,A565)/VLOOKUP("USD",'Exchange Rates'!B:C,2,0)))/S565,"."),".")</f>
        <v>.</v>
      </c>
      <c r="AZ565" s="182" t="str">
        <f>IF(AND(AD565=1,D565="Military",H565&lt;&gt;"Not given")=TRUE,IF(SUMIFS(P:P,A:A,A565)&gt;0,IF((ABS((SUMIFS(P:P,A:A,A565)/VLOOKUP("USD",'Exchange Rates'!B:C,2,0)))/S565)&gt;1,(SUMIFS(P:P,A:A,A565)-S565)/S565,(S565-SUMIFS(P:P,A:A,A565))/SUMIFS(P:P,A:A,A565)),"."),".")</f>
        <v>.</v>
      </c>
      <c r="BA565" s="182"/>
      <c r="BB565" s="182"/>
      <c r="BC565" s="182"/>
      <c r="BD565" s="182"/>
      <c r="BE565" s="182"/>
      <c r="BF565" s="182"/>
      <c r="BG565" s="182"/>
      <c r="BH565" s="182"/>
      <c r="BI565" s="182"/>
      <c r="BJ565" s="182"/>
      <c r="BK565" s="182"/>
      <c r="BL565" s="182"/>
      <c r="BM565" s="182"/>
      <c r="BN565" s="182"/>
      <c r="BO565" s="182"/>
      <c r="BP565" s="182"/>
      <c r="BQ565" s="182"/>
      <c r="BR565" s="182"/>
      <c r="BS565" s="182"/>
    </row>
    <row r="566" spans="1:71" ht="15.9" customHeight="1" x14ac:dyDescent="0.3">
      <c r="A566" s="17" t="s">
        <v>1720</v>
      </c>
      <c r="B566" s="17" t="s">
        <v>1701</v>
      </c>
      <c r="C566" s="174">
        <v>44660</v>
      </c>
      <c r="D566" s="5" t="s">
        <v>256</v>
      </c>
      <c r="E566" s="5" t="s">
        <v>257</v>
      </c>
      <c r="F566" s="175" t="s">
        <v>1721</v>
      </c>
      <c r="G566" s="15" t="s">
        <v>364</v>
      </c>
      <c r="H566" s="176">
        <v>53000000</v>
      </c>
      <c r="I566" s="17" t="s">
        <v>260</v>
      </c>
      <c r="J566" s="113" t="str">
        <f>VLOOKUP($I566,'Price List, Weapons &amp; Items'!B:C,2,0)</f>
        <v>.</v>
      </c>
      <c r="K566" s="113" t="str">
        <f>IF(I566=".",I566,VLOOKUP($I566,'Price List, Weapons &amp; Items'!B:D,3,0))</f>
        <v>.</v>
      </c>
      <c r="L566" s="177">
        <f>VLOOKUP(I566,'Price List, Weapons &amp; Items'!B:E,4,0)</f>
        <v>0</v>
      </c>
      <c r="M566" s="542" t="s">
        <v>260</v>
      </c>
      <c r="N566" s="542" t="s">
        <v>260</v>
      </c>
      <c r="O566" s="543" t="str">
        <f>VLOOKUP($I566,'Price List, Weapons &amp; Items'!B:G,6,0)</f>
        <v>.</v>
      </c>
      <c r="P566" s="176" t="str">
        <f t="shared" si="114"/>
        <v>.</v>
      </c>
      <c r="Q566" s="176" t="str">
        <f t="shared" si="115"/>
        <v>.</v>
      </c>
      <c r="R566" s="176">
        <f t="shared" si="110"/>
        <v>53000000</v>
      </c>
      <c r="S566" s="176">
        <f>IF(AND(AD566=1,R566&lt;&gt;".")=TRUE,R566/VLOOKUP(G566,'Exchange Rates'!B:C,2,0),IF(R566=".",".",""))</f>
        <v>53000000</v>
      </c>
      <c r="T566" s="176" t="str">
        <f>IF(AD566=1,IF(AF566="Value is not given at all",".",IF(AF566="Value is given by the source",S566,IF(AF566="Value is calculated with prices",(IF(SUMIFS(Q:Q,A:A,A566)&gt;0,SUMIFS(Q:Q,A:A,A566),"."))/VLOOKUP("USD",'Exchange Rates'!B:C,2,0),"Error with coding"))),"")</f>
        <v>.</v>
      </c>
      <c r="U566" s="15" t="s">
        <v>415</v>
      </c>
      <c r="V566" s="300" t="s">
        <v>425</v>
      </c>
      <c r="W566" s="175" t="s">
        <v>260</v>
      </c>
      <c r="X566" s="175" t="s">
        <v>260</v>
      </c>
      <c r="Y566" s="175" t="s">
        <v>260</v>
      </c>
      <c r="Z566" s="15">
        <v>0</v>
      </c>
      <c r="AA566" s="180">
        <v>0</v>
      </c>
      <c r="AB566" s="184" t="s">
        <v>260</v>
      </c>
      <c r="AC566" s="544" t="str">
        <f>""</f>
        <v/>
      </c>
      <c r="AD566" s="181">
        <v>1</v>
      </c>
      <c r="AE566" s="181" t="s">
        <v>264</v>
      </c>
      <c r="AF566" s="181" t="s">
        <v>265</v>
      </c>
      <c r="AG566" s="181">
        <v>1</v>
      </c>
      <c r="AH566" s="181">
        <v>4</v>
      </c>
      <c r="AI566" s="181">
        <v>0</v>
      </c>
      <c r="AJ566" s="181">
        <f>VLOOKUP($I566,'Price List, Weapons &amp; Items'!B:F,5,0)</f>
        <v>0</v>
      </c>
      <c r="AK566" s="181">
        <f t="shared" si="116"/>
        <v>0</v>
      </c>
      <c r="AL566" s="181">
        <f t="shared" si="117"/>
        <v>0</v>
      </c>
      <c r="AM566" s="181">
        <f t="shared" si="118"/>
        <v>0</v>
      </c>
      <c r="AN566" s="180" t="str">
        <f>VLOOKUP($I566,'Price List, Weapons &amp; Items'!B:L,COLUMN('Price List, Weapons &amp; Items'!$J$11)-1,0)</f>
        <v>.</v>
      </c>
      <c r="AO566" s="180" t="str">
        <f>IF(I566=".",".",VLOOKUP($I566,'Price List, Weapons &amp; Items'!B:J,3,0))</f>
        <v>.</v>
      </c>
      <c r="AP566" s="545" t="e">
        <f t="shared" ca="1" si="113"/>
        <v>#NAME?</v>
      </c>
      <c r="AQ566" s="180" t="str">
        <f>VLOOKUP($I566,'Price List, Weapons &amp; Items'!B:L,COLUMN('Price List, Weapons &amp; Items'!$L$11)-1,0)</f>
        <v>no price, 0 count</v>
      </c>
      <c r="AR566" s="180">
        <f t="shared" si="119"/>
        <v>0</v>
      </c>
      <c r="AS566" s="180">
        <f t="shared" si="120"/>
        <v>0</v>
      </c>
      <c r="AT566" s="180">
        <f t="shared" si="109"/>
        <v>1</v>
      </c>
      <c r="AU566" s="180" t="str">
        <f t="shared" si="111"/>
        <v>.</v>
      </c>
      <c r="AV566" s="180" t="str">
        <f t="shared" si="112"/>
        <v>.</v>
      </c>
      <c r="AW566" s="180">
        <f>IFERROR(VLOOKUP(B566,'Share, Heavy Weapons to Ukraine'!B:J,COLUMN('Share, Heavy Weapons to Ukraine'!C578)-1,0),0)</f>
        <v>0</v>
      </c>
      <c r="AX566" s="180">
        <f>VLOOKUP('Bilateral Assistance, MAIN DATA'!B566,'Country Summary'!B:F,COLUMN('Country Summary'!C581)-1,FALSE)</f>
        <v>1</v>
      </c>
      <c r="AY566" s="180" t="str">
        <f>IF(AND(AD566=1,D566="Military",H566&lt;&gt;"Not given")=TRUE,IF(SUMIFS(P:P,A:A,A566)&gt;0,ABS((SUMIFS(P:P,A:A,A566)/VLOOKUP("USD",'Exchange Rates'!B:C,2,0)))/S566,"."),".")</f>
        <v>.</v>
      </c>
      <c r="AZ566" s="182" t="str">
        <f>IF(AND(AD566=1,D566="Military",H566&lt;&gt;"Not given")=TRUE,IF(SUMIFS(P:P,A:A,A566)&gt;0,IF((ABS((SUMIFS(P:P,A:A,A566)/VLOOKUP("USD",'Exchange Rates'!B:C,2,0)))/S566)&gt;1,(SUMIFS(P:P,A:A,A566)-S566)/S566,(S566-SUMIFS(P:P,A:A,A566))/SUMIFS(P:P,A:A,A566)),"."),".")</f>
        <v>.</v>
      </c>
      <c r="BA566" s="182"/>
      <c r="BB566" s="182"/>
      <c r="BC566" s="182"/>
      <c r="BD566" s="182"/>
      <c r="BE566" s="182"/>
      <c r="BF566" s="182"/>
      <c r="BG566" s="182"/>
      <c r="BH566" s="182"/>
      <c r="BI566" s="182"/>
      <c r="BJ566" s="182"/>
      <c r="BK566" s="182"/>
      <c r="BL566" s="182"/>
      <c r="BM566" s="182"/>
      <c r="BN566" s="182"/>
      <c r="BO566" s="182"/>
      <c r="BP566" s="182"/>
      <c r="BQ566" s="182"/>
      <c r="BR566" s="182"/>
      <c r="BS566" s="182"/>
    </row>
    <row r="567" spans="1:71" ht="15.9" customHeight="1" x14ac:dyDescent="0.3">
      <c r="A567" s="17" t="s">
        <v>1722</v>
      </c>
      <c r="B567" s="17" t="s">
        <v>1701</v>
      </c>
      <c r="C567" s="174">
        <v>44701</v>
      </c>
      <c r="D567" s="5" t="s">
        <v>256</v>
      </c>
      <c r="E567" s="5" t="s">
        <v>257</v>
      </c>
      <c r="F567" s="175" t="s">
        <v>1723</v>
      </c>
      <c r="G567" s="15" t="s">
        <v>364</v>
      </c>
      <c r="H567" s="176">
        <v>500000</v>
      </c>
      <c r="I567" s="17" t="s">
        <v>260</v>
      </c>
      <c r="J567" s="113" t="str">
        <f>VLOOKUP($I567,'Price List, Weapons &amp; Items'!B:C,2,0)</f>
        <v>.</v>
      </c>
      <c r="K567" s="113" t="str">
        <f>IF(I567=".",I567,VLOOKUP($I567,'Price List, Weapons &amp; Items'!B:D,3,0))</f>
        <v>.</v>
      </c>
      <c r="L567" s="177">
        <f>VLOOKUP(I567,'Price List, Weapons &amp; Items'!B:E,4,0)</f>
        <v>0</v>
      </c>
      <c r="M567" s="542" t="s">
        <v>260</v>
      </c>
      <c r="N567" s="542" t="s">
        <v>260</v>
      </c>
      <c r="O567" s="543" t="str">
        <f>VLOOKUP($I567,'Price List, Weapons &amp; Items'!B:G,6,0)</f>
        <v>.</v>
      </c>
      <c r="P567" s="176" t="str">
        <f t="shared" si="114"/>
        <v>.</v>
      </c>
      <c r="Q567" s="176" t="str">
        <f t="shared" si="115"/>
        <v>.</v>
      </c>
      <c r="R567" s="176">
        <f t="shared" si="110"/>
        <v>500000</v>
      </c>
      <c r="S567" s="176">
        <f>IF(AND(AD567=1,R567&lt;&gt;".")=TRUE,R567/VLOOKUP(G567,'Exchange Rates'!B:C,2,0),IF(R567=".",".",""))</f>
        <v>500000</v>
      </c>
      <c r="T567" s="176" t="str">
        <f>IF(AD567=1,IF(AF567="Value is not given at all",".",IF(AF567="Value is given by the source",S567,IF(AF567="Value is calculated with prices",(IF(SUMIFS(Q:Q,A:A,A567)&gt;0,SUMIFS(Q:Q,A:A,A567),"."))/VLOOKUP("USD",'Exchange Rates'!B:C,2,0),"Error with coding"))),"")</f>
        <v>.</v>
      </c>
      <c r="U567" s="15" t="s">
        <v>415</v>
      </c>
      <c r="V567" s="300" t="s">
        <v>1724</v>
      </c>
      <c r="W567" s="175" t="s">
        <v>260</v>
      </c>
      <c r="X567" s="175" t="s">
        <v>260</v>
      </c>
      <c r="Y567" s="175" t="s">
        <v>260</v>
      </c>
      <c r="Z567" s="15">
        <v>0</v>
      </c>
      <c r="AA567" s="180">
        <v>0</v>
      </c>
      <c r="AB567" s="17" t="s">
        <v>260</v>
      </c>
      <c r="AC567" s="544" t="str">
        <f>""</f>
        <v/>
      </c>
      <c r="AD567" s="181">
        <v>1</v>
      </c>
      <c r="AE567" s="181" t="s">
        <v>264</v>
      </c>
      <c r="AF567" s="181" t="s">
        <v>265</v>
      </c>
      <c r="AG567" s="181">
        <v>1</v>
      </c>
      <c r="AH567" s="181">
        <v>5</v>
      </c>
      <c r="AI567" s="181">
        <v>0</v>
      </c>
      <c r="AJ567" s="181">
        <f>VLOOKUP($I567,'Price List, Weapons &amp; Items'!B:F,5,0)</f>
        <v>0</v>
      </c>
      <c r="AK567" s="181">
        <f t="shared" si="116"/>
        <v>0</v>
      </c>
      <c r="AL567" s="181">
        <f t="shared" si="117"/>
        <v>0</v>
      </c>
      <c r="AM567" s="181">
        <f t="shared" si="118"/>
        <v>0</v>
      </c>
      <c r="AN567" s="180" t="str">
        <f>VLOOKUP($I567,'Price List, Weapons &amp; Items'!B:L,COLUMN('Price List, Weapons &amp; Items'!$J$11)-1,0)</f>
        <v>.</v>
      </c>
      <c r="AO567" s="180" t="str">
        <f>IF(I567=".",".",VLOOKUP($I567,'Price List, Weapons &amp; Items'!B:J,3,0))</f>
        <v>.</v>
      </c>
      <c r="AP567" s="545" t="e">
        <f t="shared" ca="1" si="113"/>
        <v>#NAME?</v>
      </c>
      <c r="AQ567" s="180" t="str">
        <f>VLOOKUP($I567,'Price List, Weapons &amp; Items'!B:L,COLUMN('Price List, Weapons &amp; Items'!$L$11)-1,0)</f>
        <v>no price, 0 count</v>
      </c>
      <c r="AR567" s="180">
        <f t="shared" si="119"/>
        <v>0</v>
      </c>
      <c r="AS567" s="180">
        <f t="shared" si="120"/>
        <v>0</v>
      </c>
      <c r="AT567" s="180">
        <f t="shared" si="109"/>
        <v>1</v>
      </c>
      <c r="AU567" s="180" t="str">
        <f t="shared" si="111"/>
        <v>.</v>
      </c>
      <c r="AV567" s="180" t="str">
        <f t="shared" si="112"/>
        <v>.</v>
      </c>
      <c r="AW567" s="180">
        <f>IFERROR(VLOOKUP(B567,'Share, Heavy Weapons to Ukraine'!B:J,COLUMN('Share, Heavy Weapons to Ukraine'!C579)-1,0),0)</f>
        <v>0</v>
      </c>
      <c r="AX567" s="180">
        <f>VLOOKUP('Bilateral Assistance, MAIN DATA'!B567,'Country Summary'!B:F,COLUMN('Country Summary'!C582)-1,FALSE)</f>
        <v>1</v>
      </c>
      <c r="AY567" s="180" t="str">
        <f>IF(AND(AD567=1,D567="Military",H567&lt;&gt;"Not given")=TRUE,IF(SUMIFS(P:P,A:A,A567)&gt;0,ABS((SUMIFS(P:P,A:A,A567)/VLOOKUP("USD",'Exchange Rates'!B:C,2,0)))/S567,"."),".")</f>
        <v>.</v>
      </c>
      <c r="AZ567" s="182" t="str">
        <f>IF(AND(AD567=1,D567="Military",H567&lt;&gt;"Not given")=TRUE,IF(SUMIFS(P:P,A:A,A567)&gt;0,IF((ABS((SUMIFS(P:P,A:A,A567)/VLOOKUP("USD",'Exchange Rates'!B:C,2,0)))/S567)&gt;1,(SUMIFS(P:P,A:A,A567)-S567)/S567,(S567-SUMIFS(P:P,A:A,A567))/SUMIFS(P:P,A:A,A567)),"."),".")</f>
        <v>.</v>
      </c>
      <c r="BA567" s="182"/>
      <c r="BB567" s="182"/>
      <c r="BC567" s="182"/>
      <c r="BD567" s="182"/>
      <c r="BE567" s="182"/>
      <c r="BF567" s="182"/>
      <c r="BG567" s="182"/>
      <c r="BH567" s="182"/>
      <c r="BI567" s="182"/>
      <c r="BJ567" s="182"/>
      <c r="BK567" s="182"/>
      <c r="BL567" s="182"/>
      <c r="BM567" s="182"/>
      <c r="BN567" s="182"/>
      <c r="BO567" s="182"/>
      <c r="BP567" s="182"/>
      <c r="BQ567" s="182"/>
      <c r="BR567" s="182"/>
      <c r="BS567" s="182"/>
    </row>
    <row r="568" spans="1:71" ht="15.9" customHeight="1" x14ac:dyDescent="0.3">
      <c r="A568" s="17" t="s">
        <v>1725</v>
      </c>
      <c r="B568" s="17" t="s">
        <v>1701</v>
      </c>
      <c r="C568" s="174">
        <v>44740</v>
      </c>
      <c r="D568" s="5" t="s">
        <v>256</v>
      </c>
      <c r="E568" s="5" t="s">
        <v>267</v>
      </c>
      <c r="F568" s="175" t="s">
        <v>1726</v>
      </c>
      <c r="G568" s="15" t="s">
        <v>364</v>
      </c>
      <c r="H568" s="176">
        <v>2197000</v>
      </c>
      <c r="I568" s="17" t="s">
        <v>358</v>
      </c>
      <c r="J568" s="113" t="str">
        <f>VLOOKUP($I568,'Price List, Weapons &amp; Items'!B:C,2,0)</f>
        <v>Humanitarian</v>
      </c>
      <c r="K568" s="113" t="str">
        <f>IF(I568=".",I568,VLOOKUP($I568,'Price List, Weapons &amp; Items'!B:D,3,0))</f>
        <v>Humanitarian</v>
      </c>
      <c r="L568" s="177">
        <f>VLOOKUP(I568,'Price List, Weapons &amp; Items'!B:E,4,0)</f>
        <v>0</v>
      </c>
      <c r="M568" s="542">
        <v>10</v>
      </c>
      <c r="N568" s="542" t="s">
        <v>270</v>
      </c>
      <c r="O568" s="543">
        <f>VLOOKUP($I568,'Price List, Weapons &amp; Items'!B:G,6,0)</f>
        <v>317500</v>
      </c>
      <c r="P568" s="176">
        <f t="shared" si="114"/>
        <v>3175000</v>
      </c>
      <c r="Q568" s="176" t="str">
        <f t="shared" si="115"/>
        <v>.</v>
      </c>
      <c r="R568" s="176">
        <f t="shared" si="110"/>
        <v>2197000</v>
      </c>
      <c r="S568" s="176">
        <f>IF(AND(AD568=1,R568&lt;&gt;".")=TRUE,R568/VLOOKUP(G568,'Exchange Rates'!B:C,2,0),IF(R568=".",".",""))</f>
        <v>2197000</v>
      </c>
      <c r="T568" s="176" t="str">
        <f>IF(AD568=1,IF(AF568="Value is not given at all",".",IF(AF568="Value is given by the source",S568,IF(AF568="Value is calculated with prices",(IF(SUMIFS(Q:Q,A:A,A568)&gt;0,SUMIFS(Q:Q,A:A,A568),"."))/VLOOKUP("USD",'Exchange Rates'!B:C,2,0),"Error with coding"))),"")</f>
        <v>.</v>
      </c>
      <c r="U568" s="15" t="s">
        <v>261</v>
      </c>
      <c r="V568" s="300" t="s">
        <v>1727</v>
      </c>
      <c r="W568" s="300" t="s">
        <v>1728</v>
      </c>
      <c r="X568" s="175" t="s">
        <v>260</v>
      </c>
      <c r="Y568" s="175" t="s">
        <v>260</v>
      </c>
      <c r="Z568" s="15">
        <v>0</v>
      </c>
      <c r="AA568" s="180">
        <v>0</v>
      </c>
      <c r="AB568" s="17" t="s">
        <v>260</v>
      </c>
      <c r="AC568" s="544" t="str">
        <f>""</f>
        <v/>
      </c>
      <c r="AD568" s="183">
        <v>1</v>
      </c>
      <c r="AE568" s="183" t="s">
        <v>264</v>
      </c>
      <c r="AF568" s="183" t="s">
        <v>265</v>
      </c>
      <c r="AG568" s="183">
        <v>1</v>
      </c>
      <c r="AH568" s="181">
        <v>6</v>
      </c>
      <c r="AI568" s="181">
        <v>0</v>
      </c>
      <c r="AJ568" s="181">
        <f>VLOOKUP($I568,'Price List, Weapons &amp; Items'!B:F,5,0)</f>
        <v>0</v>
      </c>
      <c r="AK568" s="181">
        <f t="shared" si="116"/>
        <v>0</v>
      </c>
      <c r="AL568" s="181">
        <f t="shared" si="117"/>
        <v>0</v>
      </c>
      <c r="AM568" s="181">
        <f t="shared" si="118"/>
        <v>0</v>
      </c>
      <c r="AN568" s="180" t="str">
        <f>VLOOKUP($I568,'Price List, Weapons &amp; Items'!B:L,COLUMN('Price List, Weapons &amp; Items'!$J$11)-1,0)</f>
        <v>Media reports (incl. social media)</v>
      </c>
      <c r="AO568" s="180" t="str">
        <f>IF(I568=".",".",VLOOKUP($I568,'Price List, Weapons &amp; Items'!B:J,3,0))</f>
        <v>Humanitarian</v>
      </c>
      <c r="AP568" s="545" t="e">
        <f t="shared" ca="1" si="113"/>
        <v>#NAME?</v>
      </c>
      <c r="AQ568" s="180">
        <f>VLOOKUP($I568,'Price List, Weapons &amp; Items'!B:L,COLUMN('Price List, Weapons &amp; Items'!$L$11)-1,0)</f>
        <v>0</v>
      </c>
      <c r="AR568" s="180">
        <f t="shared" si="119"/>
        <v>1</v>
      </c>
      <c r="AS568" s="180">
        <f t="shared" si="120"/>
        <v>0</v>
      </c>
      <c r="AT568" s="180">
        <f t="shared" si="109"/>
        <v>1</v>
      </c>
      <c r="AU568" s="180" t="str">
        <f t="shared" si="111"/>
        <v>.</v>
      </c>
      <c r="AV568" s="180" t="str">
        <f t="shared" si="112"/>
        <v>.</v>
      </c>
      <c r="AW568" s="180">
        <f>IFERROR(VLOOKUP(B568,'Share, Heavy Weapons to Ukraine'!B:J,COLUMN('Share, Heavy Weapons to Ukraine'!C580)-1,0),0)</f>
        <v>0</v>
      </c>
      <c r="AX568" s="180">
        <f>VLOOKUP('Bilateral Assistance, MAIN DATA'!B568,'Country Summary'!B:F,COLUMN('Country Summary'!C583)-1,FALSE)</f>
        <v>1</v>
      </c>
      <c r="AY568" s="180" t="str">
        <f>IF(AND(AD568=1,D568="Military",H568&lt;&gt;"Not given")=TRUE,IF(SUMIFS(P:P,A:A,A568)&gt;0,ABS((SUMIFS(P:P,A:A,A568)/VLOOKUP("USD",'Exchange Rates'!B:C,2,0)))/S568,"."),".")</f>
        <v>.</v>
      </c>
      <c r="AZ568" s="182" t="str">
        <f>IF(AND(AD568=1,D568="Military",H568&lt;&gt;"Not given")=TRUE,IF(SUMIFS(P:P,A:A,A568)&gt;0,IF((ABS((SUMIFS(P:P,A:A,A568)/VLOOKUP("USD",'Exchange Rates'!B:C,2,0)))/S568)&gt;1,(SUMIFS(P:P,A:A,A568)-S568)/S568,(S568-SUMIFS(P:P,A:A,A568))/SUMIFS(P:P,A:A,A568)),"."),".")</f>
        <v>.</v>
      </c>
      <c r="BA568" s="182"/>
      <c r="BB568" s="182"/>
      <c r="BC568" s="182"/>
      <c r="BD568" s="182"/>
      <c r="BE568" s="182"/>
      <c r="BF568" s="182"/>
      <c r="BG568" s="182"/>
      <c r="BH568" s="182"/>
      <c r="BI568" s="182"/>
      <c r="BJ568" s="182"/>
      <c r="BK568" s="182"/>
      <c r="BL568" s="182"/>
      <c r="BM568" s="182"/>
      <c r="BN568" s="182"/>
      <c r="BO568" s="182"/>
      <c r="BP568" s="182"/>
      <c r="BQ568" s="182"/>
      <c r="BR568" s="182"/>
      <c r="BS568" s="182"/>
    </row>
    <row r="569" spans="1:71" ht="15.9" customHeight="1" x14ac:dyDescent="0.3">
      <c r="A569" s="17" t="s">
        <v>1729</v>
      </c>
      <c r="B569" s="17" t="s">
        <v>1730</v>
      </c>
      <c r="C569" s="174">
        <v>44616</v>
      </c>
      <c r="D569" s="5" t="s">
        <v>256</v>
      </c>
      <c r="E569" s="5" t="s">
        <v>362</v>
      </c>
      <c r="F569" s="175" t="s">
        <v>1731</v>
      </c>
      <c r="G569" s="15" t="s">
        <v>364</v>
      </c>
      <c r="H569" s="176">
        <v>1000000</v>
      </c>
      <c r="I569" s="17" t="s">
        <v>260</v>
      </c>
      <c r="J569" s="113" t="str">
        <f>VLOOKUP($I569,'Price List, Weapons &amp; Items'!B:C,2,0)</f>
        <v>.</v>
      </c>
      <c r="K569" s="113" t="str">
        <f>IF(I569=".",I569,VLOOKUP($I569,'Price List, Weapons &amp; Items'!B:D,3,0))</f>
        <v>.</v>
      </c>
      <c r="L569" s="177">
        <f>VLOOKUP(I569,'Price List, Weapons &amp; Items'!B:E,4,0)</f>
        <v>0</v>
      </c>
      <c r="M569" s="542" t="s">
        <v>260</v>
      </c>
      <c r="N569" s="542" t="s">
        <v>260</v>
      </c>
      <c r="O569" s="543" t="str">
        <f>VLOOKUP($I569,'Price List, Weapons &amp; Items'!B:G,6,0)</f>
        <v>.</v>
      </c>
      <c r="P569" s="176" t="str">
        <f t="shared" si="114"/>
        <v>.</v>
      </c>
      <c r="Q569" s="176" t="str">
        <f t="shared" si="115"/>
        <v>.</v>
      </c>
      <c r="R569" s="176">
        <f t="shared" si="110"/>
        <v>1000000</v>
      </c>
      <c r="S569" s="176">
        <f>IF(AND(AD569=1,R569&lt;&gt;".")=TRUE,R569/VLOOKUP(G569,'Exchange Rates'!B:C,2,0),IF(R569=".",".",""))</f>
        <v>1000000</v>
      </c>
      <c r="T569" s="176" t="str">
        <f>IF(AD569=1,IF(AF569="Value is not given at all",".",IF(AF569="Value is given by the source",S569,IF(AF569="Value is calculated with prices",(IF(SUMIFS(Q:Q,A:A,A569)&gt;0,SUMIFS(Q:Q,A:A,A569),"."))/VLOOKUP("USD",'Exchange Rates'!B:C,2,0),"Error with coding"))),"")</f>
        <v>.</v>
      </c>
      <c r="U569" s="15" t="s">
        <v>261</v>
      </c>
      <c r="V569" s="300" t="s">
        <v>1732</v>
      </c>
      <c r="W569" s="175" t="s">
        <v>260</v>
      </c>
      <c r="X569" s="175" t="s">
        <v>260</v>
      </c>
      <c r="Y569" s="175" t="s">
        <v>260</v>
      </c>
      <c r="Z569" s="15">
        <v>1</v>
      </c>
      <c r="AA569" s="180">
        <v>0</v>
      </c>
      <c r="AB569" s="17" t="s">
        <v>260</v>
      </c>
      <c r="AC569" s="544" t="str">
        <f>""</f>
        <v/>
      </c>
      <c r="AD569" s="181">
        <v>1</v>
      </c>
      <c r="AE569" s="181" t="s">
        <v>264</v>
      </c>
      <c r="AF569" s="181" t="s">
        <v>265</v>
      </c>
      <c r="AG569" s="181">
        <v>1</v>
      </c>
      <c r="AH569" s="181">
        <v>2</v>
      </c>
      <c r="AI569" s="181">
        <v>0</v>
      </c>
      <c r="AJ569" s="181">
        <f>VLOOKUP($I569,'Price List, Weapons &amp; Items'!B:F,5,0)</f>
        <v>0</v>
      </c>
      <c r="AK569" s="181">
        <f t="shared" si="116"/>
        <v>0</v>
      </c>
      <c r="AL569" s="181">
        <f t="shared" si="117"/>
        <v>0</v>
      </c>
      <c r="AM569" s="181">
        <f t="shared" si="118"/>
        <v>0</v>
      </c>
      <c r="AN569" s="180" t="str">
        <f>VLOOKUP($I569,'Price List, Weapons &amp; Items'!B:L,COLUMN('Price List, Weapons &amp; Items'!$J$11)-1,0)</f>
        <v>.</v>
      </c>
      <c r="AO569" s="180" t="str">
        <f>IF(I569=".",".",VLOOKUP($I569,'Price List, Weapons &amp; Items'!B:J,3,0))</f>
        <v>.</v>
      </c>
      <c r="AP569" s="545" t="e">
        <f t="shared" ca="1" si="113"/>
        <v>#NAME?</v>
      </c>
      <c r="AQ569" s="180" t="str">
        <f>VLOOKUP($I569,'Price List, Weapons &amp; Items'!B:L,COLUMN('Price List, Weapons &amp; Items'!$L$11)-1,0)</f>
        <v>no price, 0 count</v>
      </c>
      <c r="AR569" s="180">
        <f t="shared" si="119"/>
        <v>1</v>
      </c>
      <c r="AS569" s="180">
        <f t="shared" si="120"/>
        <v>0</v>
      </c>
      <c r="AT569" s="180">
        <f t="shared" si="109"/>
        <v>1</v>
      </c>
      <c r="AU569" s="180" t="str">
        <f t="shared" si="111"/>
        <v>.</v>
      </c>
      <c r="AV569" s="180" t="str">
        <f t="shared" si="112"/>
        <v>.</v>
      </c>
      <c r="AW569" s="180">
        <f>IFERROR(VLOOKUP(B569,'Share, Heavy Weapons to Ukraine'!B:J,COLUMN('Share, Heavy Weapons to Ukraine'!C581)-1,0),0)</f>
        <v>0</v>
      </c>
      <c r="AX569" s="180">
        <f>VLOOKUP('Bilateral Assistance, MAIN DATA'!B569,'Country Summary'!B:F,COLUMN('Country Summary'!C584)-1,FALSE)</f>
        <v>1</v>
      </c>
      <c r="AY569" s="180" t="str">
        <f>IF(AND(AD569=1,D569="Military",H569&lt;&gt;"Not given")=TRUE,IF(SUMIFS(P:P,A:A,A569)&gt;0,ABS((SUMIFS(P:P,A:A,A569)/VLOOKUP("USD",'Exchange Rates'!B:C,2,0)))/S569,"."),".")</f>
        <v>.</v>
      </c>
      <c r="AZ569" s="182" t="str">
        <f>IF(AND(AD569=1,D569="Military",H569&lt;&gt;"Not given")=TRUE,IF(SUMIFS(P:P,A:A,A569)&gt;0,IF((ABS((SUMIFS(P:P,A:A,A569)/VLOOKUP("USD",'Exchange Rates'!B:C,2,0)))/S569)&gt;1,(SUMIFS(P:P,A:A,A569)-S569)/S569,(S569-SUMIFS(P:P,A:A,A569))/SUMIFS(P:P,A:A,A569)),"."),".")</f>
        <v>.</v>
      </c>
      <c r="BA569" s="182"/>
      <c r="BB569" s="182"/>
      <c r="BC569" s="182"/>
      <c r="BD569" s="182"/>
      <c r="BE569" s="182"/>
      <c r="BF569" s="182"/>
      <c r="BG569" s="182"/>
      <c r="BH569" s="182"/>
      <c r="BI569" s="182"/>
      <c r="BJ569" s="182"/>
      <c r="BK569" s="182"/>
      <c r="BL569" s="182"/>
      <c r="BM569" s="182"/>
      <c r="BN569" s="182"/>
      <c r="BO569" s="182"/>
      <c r="BP569" s="182"/>
      <c r="BQ569" s="182"/>
      <c r="BR569" s="182"/>
      <c r="BS569" s="182"/>
    </row>
    <row r="570" spans="1:71" ht="15.9" customHeight="1" x14ac:dyDescent="0.3">
      <c r="A570" s="17" t="s">
        <v>1733</v>
      </c>
      <c r="B570" s="17" t="s">
        <v>1730</v>
      </c>
      <c r="C570" s="174">
        <v>44627</v>
      </c>
      <c r="D570" s="5" t="s">
        <v>256</v>
      </c>
      <c r="E570" s="5" t="s">
        <v>267</v>
      </c>
      <c r="F570" s="175" t="s">
        <v>1734</v>
      </c>
      <c r="G570" s="15" t="s">
        <v>346</v>
      </c>
      <c r="H570" s="176" t="s">
        <v>341</v>
      </c>
      <c r="I570" s="17" t="s">
        <v>1670</v>
      </c>
      <c r="J570" s="113" t="str">
        <f>VLOOKUP($I570,'Price List, Weapons &amp; Items'!B:C,2,0)</f>
        <v>Humanitarian</v>
      </c>
      <c r="K570" s="113" t="str">
        <f>IF(I570=".",I570,VLOOKUP($I570,'Price List, Weapons &amp; Items'!B:D,3,0))</f>
        <v>Humanitarian</v>
      </c>
      <c r="L570" s="177">
        <f>VLOOKUP(I570,'Price List, Weapons &amp; Items'!B:E,4,0)</f>
        <v>0</v>
      </c>
      <c r="M570" s="542">
        <v>20</v>
      </c>
      <c r="N570" s="542" t="s">
        <v>270</v>
      </c>
      <c r="O570" s="543">
        <f>VLOOKUP($I570,'Price List, Weapons &amp; Items'!B:G,6,0)</f>
        <v>10000</v>
      </c>
      <c r="P570" s="176">
        <f t="shared" si="114"/>
        <v>200000</v>
      </c>
      <c r="Q570" s="176" t="str">
        <f t="shared" si="115"/>
        <v>.</v>
      </c>
      <c r="R570" s="176">
        <f t="shared" si="110"/>
        <v>200000</v>
      </c>
      <c r="S570" s="176">
        <f>IF(AND(AD570=1,R570&lt;&gt;".")=TRUE,R570/VLOOKUP(G570,'Exchange Rates'!B:C,2,0),IF(R570=".",".",""))</f>
        <v>190476.19047619047</v>
      </c>
      <c r="T570" s="176" t="str">
        <f>IF(AD570=1,IF(AF570="Value is not given at all",".",IF(AF570="Value is given by the source",S570,IF(AF570="Value is calculated with prices",(IF(SUMIFS(Q:Q,A:A,A570)&gt;0,SUMIFS(Q:Q,A:A,A570),"."))/VLOOKUP("USD",'Exchange Rates'!B:C,2,0),"Error with coding"))),"")</f>
        <v>.</v>
      </c>
      <c r="U570" s="15" t="s">
        <v>261</v>
      </c>
      <c r="V570" s="300" t="s">
        <v>1735</v>
      </c>
      <c r="W570" s="175" t="s">
        <v>260</v>
      </c>
      <c r="X570" s="175" t="s">
        <v>260</v>
      </c>
      <c r="Y570" s="175" t="s">
        <v>260</v>
      </c>
      <c r="Z570" s="15">
        <v>0</v>
      </c>
      <c r="AA570" s="180">
        <v>0</v>
      </c>
      <c r="AB570" s="184" t="s">
        <v>260</v>
      </c>
      <c r="AC570" s="544" t="str">
        <f>""</f>
        <v/>
      </c>
      <c r="AD570" s="183">
        <v>1</v>
      </c>
      <c r="AE570" s="183" t="s">
        <v>332</v>
      </c>
      <c r="AF570" s="183" t="s">
        <v>265</v>
      </c>
      <c r="AG570" s="183">
        <v>1</v>
      </c>
      <c r="AH570" s="181">
        <v>3</v>
      </c>
      <c r="AI570" s="181">
        <v>0</v>
      </c>
      <c r="AJ570" s="181">
        <f>VLOOKUP($I570,'Price List, Weapons &amp; Items'!B:F,5,0)</f>
        <v>0</v>
      </c>
      <c r="AK570" s="181">
        <f t="shared" si="116"/>
        <v>0</v>
      </c>
      <c r="AL570" s="181">
        <f t="shared" si="117"/>
        <v>0</v>
      </c>
      <c r="AM570" s="181">
        <f t="shared" si="118"/>
        <v>0</v>
      </c>
      <c r="AN570" s="180" t="str">
        <f>VLOOKUP($I570,'Price List, Weapons &amp; Items'!B:L,COLUMN('Price List, Weapons &amp; Items'!$J$11)-1,0)</f>
        <v>Miscellaneous</v>
      </c>
      <c r="AO570" s="180" t="str">
        <f>IF(I570=".",".",VLOOKUP($I570,'Price List, Weapons &amp; Items'!B:J,3,0))</f>
        <v>Humanitarian</v>
      </c>
      <c r="AP570" s="545" t="e">
        <f t="shared" ca="1" si="113"/>
        <v>#NAME?</v>
      </c>
      <c r="AQ570" s="180">
        <f>VLOOKUP($I570,'Price List, Weapons &amp; Items'!B:L,COLUMN('Price List, Weapons &amp; Items'!$L$11)-1,0)</f>
        <v>0</v>
      </c>
      <c r="AR570" s="180">
        <f t="shared" si="119"/>
        <v>1</v>
      </c>
      <c r="AS570" s="180">
        <f t="shared" si="120"/>
        <v>0</v>
      </c>
      <c r="AT570" s="180">
        <f t="shared" si="109"/>
        <v>1</v>
      </c>
      <c r="AU570" s="180" t="str">
        <f t="shared" si="111"/>
        <v>.</v>
      </c>
      <c r="AV570" s="180" t="str">
        <f t="shared" si="112"/>
        <v>.</v>
      </c>
      <c r="AW570" s="180">
        <f>IFERROR(VLOOKUP(B570,'Share, Heavy Weapons to Ukraine'!B:J,COLUMN('Share, Heavy Weapons to Ukraine'!C582)-1,0),0)</f>
        <v>0</v>
      </c>
      <c r="AX570" s="180">
        <f>VLOOKUP('Bilateral Assistance, MAIN DATA'!B570,'Country Summary'!B:F,COLUMN('Country Summary'!C585)-1,FALSE)</f>
        <v>1</v>
      </c>
      <c r="AY570" s="180" t="str">
        <f>IF(AND(AD570=1,D570="Military",H570&lt;&gt;"Not given")=TRUE,IF(SUMIFS(P:P,A:A,A570)&gt;0,ABS((SUMIFS(P:P,A:A,A570)/VLOOKUP("USD",'Exchange Rates'!B:C,2,0)))/S570,"."),".")</f>
        <v>.</v>
      </c>
      <c r="AZ570" s="182" t="str">
        <f>IF(AND(AD570=1,D570="Military",H570&lt;&gt;"Not given")=TRUE,IF(SUMIFS(P:P,A:A,A570)&gt;0,IF((ABS((SUMIFS(P:P,A:A,A570)/VLOOKUP("USD",'Exchange Rates'!B:C,2,0)))/S570)&gt;1,(SUMIFS(P:P,A:A,A570)-S570)/S570,(S570-SUMIFS(P:P,A:A,A570))/SUMIFS(P:P,A:A,A570)),"."),".")</f>
        <v>.</v>
      </c>
      <c r="BA570" s="182"/>
      <c r="BB570" s="182"/>
      <c r="BC570" s="182"/>
      <c r="BD570" s="182"/>
      <c r="BE570" s="182"/>
      <c r="BF570" s="182"/>
      <c r="BG570" s="182"/>
      <c r="BH570" s="182"/>
      <c r="BI570" s="182"/>
      <c r="BJ570" s="182"/>
      <c r="BK570" s="182"/>
      <c r="BL570" s="182"/>
      <c r="BM570" s="182"/>
      <c r="BN570" s="182"/>
      <c r="BO570" s="182"/>
      <c r="BP570" s="182"/>
      <c r="BQ570" s="182"/>
      <c r="BR570" s="182"/>
      <c r="BS570" s="182"/>
    </row>
    <row r="571" spans="1:71" ht="15.9" customHeight="1" x14ac:dyDescent="0.3">
      <c r="A571" s="5" t="s">
        <v>1736</v>
      </c>
      <c r="B571" s="5" t="s">
        <v>1730</v>
      </c>
      <c r="C571" s="174">
        <v>44634</v>
      </c>
      <c r="D571" s="5" t="s">
        <v>256</v>
      </c>
      <c r="E571" s="5" t="s">
        <v>267</v>
      </c>
      <c r="F571" s="175" t="s">
        <v>1737</v>
      </c>
      <c r="G571" s="15" t="s">
        <v>346</v>
      </c>
      <c r="H571" s="176" t="s">
        <v>341</v>
      </c>
      <c r="I571" s="17" t="s">
        <v>1035</v>
      </c>
      <c r="J571" s="113" t="str">
        <f>VLOOKUP($I571,'Price List, Weapons &amp; Items'!B:C,2,0)</f>
        <v>Humanitarian</v>
      </c>
      <c r="K571" s="113" t="str">
        <f>IF(I571=".",I571,VLOOKUP($I571,'Price List, Weapons &amp; Items'!B:D,3,0))</f>
        <v>Humanitarian</v>
      </c>
      <c r="L571" s="177">
        <f>VLOOKUP(I571,'Price List, Weapons &amp; Items'!B:E,4,0)</f>
        <v>0</v>
      </c>
      <c r="M571" s="542">
        <v>200</v>
      </c>
      <c r="N571" s="542" t="s">
        <v>270</v>
      </c>
      <c r="O571" s="543">
        <f>VLOOKUP($I571,'Price List, Weapons &amp; Items'!B:G,6,0)</f>
        <v>3000</v>
      </c>
      <c r="P571" s="176">
        <f t="shared" si="114"/>
        <v>600000</v>
      </c>
      <c r="Q571" s="176" t="str">
        <f t="shared" si="115"/>
        <v>.</v>
      </c>
      <c r="R571" s="176">
        <f t="shared" si="110"/>
        <v>8267485</v>
      </c>
      <c r="S571" s="176">
        <f>IF(AND(AD571=1,R571&lt;&gt;".")=TRUE,R571/VLOOKUP(G571,'Exchange Rates'!B:C,2,0),IF(R571=".",".",""))</f>
        <v>7873795.2380952379</v>
      </c>
      <c r="T571" s="176" t="str">
        <f>IF(AD571=1,IF(AF571="Value is not given at all",".",IF(AF571="Value is given by the source",S571,IF(AF571="Value is calculated with prices",(IF(SUMIFS(Q:Q,A:A,A571)&gt;0,SUMIFS(Q:Q,A:A,A571),"."))/VLOOKUP("USD",'Exchange Rates'!B:C,2,0),"Error with coding"))),"")</f>
        <v>.</v>
      </c>
      <c r="U571" s="15" t="s">
        <v>261</v>
      </c>
      <c r="V571" s="547" t="s">
        <v>1732</v>
      </c>
      <c r="W571" s="188" t="s">
        <v>260</v>
      </c>
      <c r="X571" s="188" t="s">
        <v>260</v>
      </c>
      <c r="Y571" s="188" t="s">
        <v>260</v>
      </c>
      <c r="Z571" s="15">
        <v>0</v>
      </c>
      <c r="AA571" s="180">
        <v>0</v>
      </c>
      <c r="AB571" s="17" t="s">
        <v>260</v>
      </c>
      <c r="AC571" s="544" t="str">
        <f>""</f>
        <v/>
      </c>
      <c r="AD571" s="183">
        <v>1</v>
      </c>
      <c r="AE571" s="183" t="s">
        <v>332</v>
      </c>
      <c r="AF571" s="183" t="s">
        <v>265</v>
      </c>
      <c r="AG571" s="183">
        <v>1</v>
      </c>
      <c r="AH571" s="183">
        <v>3</v>
      </c>
      <c r="AI571" s="183">
        <v>0</v>
      </c>
      <c r="AJ571" s="181">
        <f>VLOOKUP($I571,'Price List, Weapons &amp; Items'!B:F,5,0)</f>
        <v>0</v>
      </c>
      <c r="AK571" s="181">
        <f t="shared" si="116"/>
        <v>0</v>
      </c>
      <c r="AL571" s="181">
        <f t="shared" si="117"/>
        <v>0</v>
      </c>
      <c r="AM571" s="181">
        <f t="shared" si="118"/>
        <v>0</v>
      </c>
      <c r="AN571" s="180" t="str">
        <f>VLOOKUP($I571,'Price List, Weapons &amp; Items'!B:L,COLUMN('Price List, Weapons &amp; Items'!$J$11)-1,0)</f>
        <v>Online marketplaces and stores</v>
      </c>
      <c r="AO571" s="180" t="str">
        <f>IF(I571=".",".",VLOOKUP($I571,'Price List, Weapons &amp; Items'!B:J,3,0))</f>
        <v>Humanitarian</v>
      </c>
      <c r="AP571" s="545" t="e">
        <f t="shared" ca="1" si="113"/>
        <v>#NAME?</v>
      </c>
      <c r="AQ571" s="180">
        <f>VLOOKUP($I571,'Price List, Weapons &amp; Items'!B:L,COLUMN('Price List, Weapons &amp; Items'!$L$11)-1,0)</f>
        <v>0</v>
      </c>
      <c r="AR571" s="180">
        <f t="shared" si="119"/>
        <v>1</v>
      </c>
      <c r="AS571" s="180">
        <f t="shared" si="120"/>
        <v>0</v>
      </c>
      <c r="AT571" s="180">
        <f t="shared" si="109"/>
        <v>1</v>
      </c>
      <c r="AU571" s="180" t="str">
        <f t="shared" si="111"/>
        <v>.</v>
      </c>
      <c r="AV571" s="180" t="str">
        <f t="shared" si="112"/>
        <v>.</v>
      </c>
      <c r="AW571" s="180">
        <f>IFERROR(VLOOKUP(B571,'Share, Heavy Weapons to Ukraine'!B:J,COLUMN('Share, Heavy Weapons to Ukraine'!C583)-1,0),0)</f>
        <v>0</v>
      </c>
      <c r="AX571" s="180">
        <f>VLOOKUP('Bilateral Assistance, MAIN DATA'!B571,'Country Summary'!B:F,COLUMN('Country Summary'!C586)-1,FALSE)</f>
        <v>1</v>
      </c>
      <c r="AY571" s="180" t="str">
        <f>IF(AND(AD571=1,D571="Military",H571&lt;&gt;"Not given")=TRUE,IF(SUMIFS(P:P,A:A,A571)&gt;0,ABS((SUMIFS(P:P,A:A,A571)/VLOOKUP("USD",'Exchange Rates'!B:C,2,0)))/S571,"."),".")</f>
        <v>.</v>
      </c>
      <c r="AZ571" s="182" t="str">
        <f>IF(AND(AD571=1,D571="Military",H571&lt;&gt;"Not given")=TRUE,IF(SUMIFS(P:P,A:A,A571)&gt;0,IF((ABS((SUMIFS(P:P,A:A,A571)/VLOOKUP("USD",'Exchange Rates'!B:C,2,0)))/S571)&gt;1,(SUMIFS(P:P,A:A,A571)-S571)/S571,(S571-SUMIFS(P:P,A:A,A571))/SUMIFS(P:P,A:A,A571)),"."),".")</f>
        <v>.</v>
      </c>
      <c r="BA571" s="182"/>
      <c r="BB571" s="182"/>
      <c r="BC571" s="182"/>
      <c r="BD571" s="182"/>
      <c r="BE571" s="182"/>
      <c r="BF571" s="182"/>
      <c r="BG571" s="182"/>
      <c r="BH571" s="182"/>
      <c r="BI571" s="182"/>
      <c r="BJ571" s="182"/>
      <c r="BK571" s="182"/>
      <c r="BL571" s="182"/>
      <c r="BM571" s="182"/>
      <c r="BN571" s="182"/>
      <c r="BO571" s="182"/>
      <c r="BP571" s="182"/>
      <c r="BQ571" s="182"/>
      <c r="BR571" s="182"/>
      <c r="BS571" s="182"/>
    </row>
    <row r="572" spans="1:71" ht="15.9" customHeight="1" x14ac:dyDescent="0.3">
      <c r="A572" s="5" t="s">
        <v>1736</v>
      </c>
      <c r="B572" s="5" t="s">
        <v>1730</v>
      </c>
      <c r="C572" s="174">
        <v>44634</v>
      </c>
      <c r="D572" s="5" t="s">
        <v>256</v>
      </c>
      <c r="E572" s="5" t="s">
        <v>267</v>
      </c>
      <c r="F572" s="175" t="s">
        <v>1737</v>
      </c>
      <c r="G572" s="15" t="s">
        <v>346</v>
      </c>
      <c r="H572" s="176" t="s">
        <v>341</v>
      </c>
      <c r="I572" s="17" t="s">
        <v>1738</v>
      </c>
      <c r="J572" s="113" t="str">
        <f>VLOOKUP($I572,'Price List, Weapons &amp; Items'!B:C,2,0)</f>
        <v>Humanitarian</v>
      </c>
      <c r="K572" s="113" t="str">
        <f>IF(I572=".",I572,VLOOKUP($I572,'Price List, Weapons &amp; Items'!B:D,3,0))</f>
        <v>Humanitarian</v>
      </c>
      <c r="L572" s="177">
        <f>VLOOKUP(I572,'Price List, Weapons &amp; Items'!B:E,4,0)</f>
        <v>0</v>
      </c>
      <c r="M572" s="542">
        <v>1000</v>
      </c>
      <c r="N572" s="542" t="s">
        <v>270</v>
      </c>
      <c r="O572" s="543">
        <f>VLOOKUP($I572,'Price List, Weapons &amp; Items'!B:G,6,0)</f>
        <v>200</v>
      </c>
      <c r="P572" s="176">
        <f t="shared" si="114"/>
        <v>200000</v>
      </c>
      <c r="Q572" s="176" t="str">
        <f t="shared" si="115"/>
        <v>.</v>
      </c>
      <c r="R572" s="176" t="str">
        <f t="shared" si="110"/>
        <v/>
      </c>
      <c r="S572" s="176" t="str">
        <f>IF(AND(AD572=1,R572&lt;&gt;".")=TRUE,R572/VLOOKUP(G572,'Exchange Rates'!B:C,2,0),IF(R572=".",".",""))</f>
        <v/>
      </c>
      <c r="T572" s="176" t="str">
        <f>IF(AD572=1,IF(AF572="Value is not given at all",".",IF(AF572="Value is given by the source",S572,IF(AF572="Value is calculated with prices",(IF(SUMIFS(Q:Q,A:A,A572)&gt;0,SUMIFS(Q:Q,A:A,A572),"."))/VLOOKUP("USD",'Exchange Rates'!B:C,2,0),"Error with coding"))),"")</f>
        <v/>
      </c>
      <c r="U572" s="15" t="s">
        <v>261</v>
      </c>
      <c r="V572" s="547" t="s">
        <v>1732</v>
      </c>
      <c r="W572" s="188" t="s">
        <v>260</v>
      </c>
      <c r="X572" s="188" t="s">
        <v>260</v>
      </c>
      <c r="Y572" s="188" t="s">
        <v>260</v>
      </c>
      <c r="Z572" s="15">
        <v>0</v>
      </c>
      <c r="AA572" s="180">
        <v>0</v>
      </c>
      <c r="AB572" s="17" t="s">
        <v>260</v>
      </c>
      <c r="AC572" s="544" t="str">
        <f>""</f>
        <v/>
      </c>
      <c r="AD572" s="183">
        <v>0</v>
      </c>
      <c r="AE572" s="183" t="s">
        <v>332</v>
      </c>
      <c r="AF572" s="183" t="s">
        <v>265</v>
      </c>
      <c r="AG572" s="183">
        <v>1</v>
      </c>
      <c r="AH572" s="183">
        <v>3</v>
      </c>
      <c r="AI572" s="183">
        <v>0</v>
      </c>
      <c r="AJ572" s="181">
        <f>VLOOKUP($I572,'Price List, Weapons &amp; Items'!B:F,5,0)</f>
        <v>0</v>
      </c>
      <c r="AK572" s="181">
        <f t="shared" si="116"/>
        <v>0</v>
      </c>
      <c r="AL572" s="181">
        <f t="shared" si="117"/>
        <v>0</v>
      </c>
      <c r="AM572" s="181">
        <f t="shared" si="118"/>
        <v>0</v>
      </c>
      <c r="AN572" s="180" t="str">
        <f>VLOOKUP($I572,'Price List, Weapons &amp; Items'!B:L,COLUMN('Price List, Weapons &amp; Items'!$J$11)-1,0)</f>
        <v>Online marketplaces and stores</v>
      </c>
      <c r="AO572" s="180" t="str">
        <f>IF(I572=".",".",VLOOKUP($I572,'Price List, Weapons &amp; Items'!B:J,3,0))</f>
        <v>Humanitarian</v>
      </c>
      <c r="AP572" s="545" t="str">
        <f t="shared" ca="1" si="113"/>
        <v/>
      </c>
      <c r="AQ572" s="180">
        <f>VLOOKUP($I572,'Price List, Weapons &amp; Items'!B:L,COLUMN('Price List, Weapons &amp; Items'!$L$11)-1,0)</f>
        <v>0</v>
      </c>
      <c r="AR572" s="180">
        <f t="shared" si="119"/>
        <v>1</v>
      </c>
      <c r="AS572" s="180">
        <f t="shared" si="120"/>
        <v>0</v>
      </c>
      <c r="AT572" s="180">
        <f t="shared" si="109"/>
        <v>1</v>
      </c>
      <c r="AU572" s="180" t="str">
        <f t="shared" si="111"/>
        <v>.</v>
      </c>
      <c r="AV572" s="180" t="str">
        <f t="shared" si="112"/>
        <v>.</v>
      </c>
      <c r="AW572" s="180">
        <f>IFERROR(VLOOKUP(B572,'Share, Heavy Weapons to Ukraine'!B:J,COLUMN('Share, Heavy Weapons to Ukraine'!C584)-1,0),0)</f>
        <v>0</v>
      </c>
      <c r="AX572" s="180">
        <f>VLOOKUP('Bilateral Assistance, MAIN DATA'!B572,'Country Summary'!B:F,COLUMN('Country Summary'!C587)-1,FALSE)</f>
        <v>1</v>
      </c>
      <c r="AY572" s="180" t="str">
        <f>IF(AND(AD572=1,D572="Military",H572&lt;&gt;"Not given")=TRUE,IF(SUMIFS(P:P,A:A,A572)&gt;0,ABS((SUMIFS(P:P,A:A,A572)/VLOOKUP("USD",'Exchange Rates'!B:C,2,0)))/S572,"."),".")</f>
        <v>.</v>
      </c>
      <c r="AZ572" s="182" t="str">
        <f>IF(AND(AD572=1,D572="Military",H572&lt;&gt;"Not given")=TRUE,IF(SUMIFS(P:P,A:A,A572)&gt;0,IF((ABS((SUMIFS(P:P,A:A,A572)/VLOOKUP("USD",'Exchange Rates'!B:C,2,0)))/S572)&gt;1,(SUMIFS(P:P,A:A,A572)-S572)/S572,(S572-SUMIFS(P:P,A:A,A572))/SUMIFS(P:P,A:A,A572)),"."),".")</f>
        <v>.</v>
      </c>
      <c r="BA572" s="182"/>
      <c r="BB572" s="182"/>
      <c r="BC572" s="182"/>
      <c r="BD572" s="182"/>
      <c r="BE572" s="182"/>
      <c r="BF572" s="182"/>
      <c r="BG572" s="182"/>
      <c r="BH572" s="182"/>
      <c r="BI572" s="182"/>
      <c r="BJ572" s="182"/>
      <c r="BK572" s="182"/>
      <c r="BL572" s="182"/>
      <c r="BM572" s="182"/>
      <c r="BN572" s="182"/>
      <c r="BO572" s="182"/>
      <c r="BP572" s="182"/>
      <c r="BQ572" s="182"/>
      <c r="BR572" s="182"/>
      <c r="BS572" s="182"/>
    </row>
    <row r="573" spans="1:71" ht="15.9" customHeight="1" x14ac:dyDescent="0.3">
      <c r="A573" s="5" t="s">
        <v>1736</v>
      </c>
      <c r="B573" s="5" t="s">
        <v>1730</v>
      </c>
      <c r="C573" s="174">
        <v>44634</v>
      </c>
      <c r="D573" s="5" t="s">
        <v>256</v>
      </c>
      <c r="E573" s="5" t="s">
        <v>267</v>
      </c>
      <c r="F573" s="175" t="s">
        <v>1737</v>
      </c>
      <c r="G573" s="15" t="s">
        <v>346</v>
      </c>
      <c r="H573" s="176" t="s">
        <v>341</v>
      </c>
      <c r="I573" s="17" t="s">
        <v>354</v>
      </c>
      <c r="J573" s="113" t="str">
        <f>VLOOKUP($I573,'Price List, Weapons &amp; Items'!B:C,2,0)</f>
        <v>Humanitarian</v>
      </c>
      <c r="K573" s="113" t="str">
        <f>IF(I573=".",I573,VLOOKUP($I573,'Price List, Weapons &amp; Items'!B:D,3,0))</f>
        <v>Humanitarian</v>
      </c>
      <c r="L573" s="177">
        <f>VLOOKUP(I573,'Price List, Weapons &amp; Items'!B:E,4,0)</f>
        <v>0</v>
      </c>
      <c r="M573" s="542">
        <v>1000</v>
      </c>
      <c r="N573" s="542" t="s">
        <v>270</v>
      </c>
      <c r="O573" s="543">
        <f>VLOOKUP($I573,'Price List, Weapons &amp; Items'!B:G,6,0)</f>
        <v>150</v>
      </c>
      <c r="P573" s="176">
        <f t="shared" si="114"/>
        <v>150000</v>
      </c>
      <c r="Q573" s="176" t="str">
        <f t="shared" si="115"/>
        <v>.</v>
      </c>
      <c r="R573" s="176" t="str">
        <f t="shared" si="110"/>
        <v/>
      </c>
      <c r="S573" s="176" t="str">
        <f>IF(AND(AD573=1,R573&lt;&gt;".")=TRUE,R573/VLOOKUP(G573,'Exchange Rates'!B:C,2,0),IF(R573=".",".",""))</f>
        <v/>
      </c>
      <c r="T573" s="176" t="str">
        <f>IF(AD573=1,IF(AF573="Value is not given at all",".",IF(AF573="Value is given by the source",S573,IF(AF573="Value is calculated with prices",(IF(SUMIFS(Q:Q,A:A,A573)&gt;0,SUMIFS(Q:Q,A:A,A573),"."))/VLOOKUP("USD",'Exchange Rates'!B:C,2,0),"Error with coding"))),"")</f>
        <v/>
      </c>
      <c r="U573" s="15" t="s">
        <v>261</v>
      </c>
      <c r="V573" s="547" t="s">
        <v>1732</v>
      </c>
      <c r="W573" s="188" t="s">
        <v>260</v>
      </c>
      <c r="X573" s="188" t="s">
        <v>260</v>
      </c>
      <c r="Y573" s="188" t="s">
        <v>260</v>
      </c>
      <c r="Z573" s="15">
        <v>0</v>
      </c>
      <c r="AA573" s="180">
        <v>0</v>
      </c>
      <c r="AB573" s="17" t="s">
        <v>260</v>
      </c>
      <c r="AC573" s="544" t="str">
        <f>""</f>
        <v/>
      </c>
      <c r="AD573" s="183">
        <v>0</v>
      </c>
      <c r="AE573" s="183" t="s">
        <v>332</v>
      </c>
      <c r="AF573" s="183" t="s">
        <v>265</v>
      </c>
      <c r="AG573" s="183">
        <v>1</v>
      </c>
      <c r="AH573" s="183">
        <v>3</v>
      </c>
      <c r="AI573" s="183">
        <v>0</v>
      </c>
      <c r="AJ573" s="181">
        <f>VLOOKUP($I573,'Price List, Weapons &amp; Items'!B:F,5,0)</f>
        <v>0</v>
      </c>
      <c r="AK573" s="181">
        <f t="shared" si="116"/>
        <v>0</v>
      </c>
      <c r="AL573" s="181">
        <f t="shared" si="117"/>
        <v>0</v>
      </c>
      <c r="AM573" s="181">
        <f t="shared" si="118"/>
        <v>0</v>
      </c>
      <c r="AN573" s="180" t="str">
        <f>VLOOKUP($I573,'Price List, Weapons &amp; Items'!B:L,COLUMN('Price List, Weapons &amp; Items'!$J$11)-1,0)</f>
        <v>Miscellaneous</v>
      </c>
      <c r="AO573" s="180" t="str">
        <f>IF(I573=".",".",VLOOKUP($I573,'Price List, Weapons &amp; Items'!B:J,3,0))</f>
        <v>Humanitarian</v>
      </c>
      <c r="AP573" s="545" t="str">
        <f t="shared" ca="1" si="113"/>
        <v/>
      </c>
      <c r="AQ573" s="180">
        <f>VLOOKUP($I573,'Price List, Weapons &amp; Items'!B:L,COLUMN('Price List, Weapons &amp; Items'!$L$11)-1,0)</f>
        <v>0</v>
      </c>
      <c r="AR573" s="180">
        <f t="shared" si="119"/>
        <v>1</v>
      </c>
      <c r="AS573" s="180">
        <f t="shared" si="120"/>
        <v>0</v>
      </c>
      <c r="AT573" s="180">
        <f t="shared" si="109"/>
        <v>1</v>
      </c>
      <c r="AU573" s="180" t="str">
        <f t="shared" si="111"/>
        <v>.</v>
      </c>
      <c r="AV573" s="180" t="str">
        <f t="shared" si="112"/>
        <v>.</v>
      </c>
      <c r="AW573" s="180">
        <f>IFERROR(VLOOKUP(B573,'Share, Heavy Weapons to Ukraine'!B:J,COLUMN('Share, Heavy Weapons to Ukraine'!C585)-1,0),0)</f>
        <v>0</v>
      </c>
      <c r="AX573" s="180">
        <f>VLOOKUP('Bilateral Assistance, MAIN DATA'!B573,'Country Summary'!B:F,COLUMN('Country Summary'!C588)-1,FALSE)</f>
        <v>1</v>
      </c>
      <c r="AY573" s="180" t="str">
        <f>IF(AND(AD573=1,D573="Military",H573&lt;&gt;"Not given")=TRUE,IF(SUMIFS(P:P,A:A,A573)&gt;0,ABS((SUMIFS(P:P,A:A,A573)/VLOOKUP("USD",'Exchange Rates'!B:C,2,0)))/S573,"."),".")</f>
        <v>.</v>
      </c>
      <c r="AZ573" s="182" t="str">
        <f>IF(AND(AD573=1,D573="Military",H573&lt;&gt;"Not given")=TRUE,IF(SUMIFS(P:P,A:A,A573)&gt;0,IF((ABS((SUMIFS(P:P,A:A,A573)/VLOOKUP("USD",'Exchange Rates'!B:C,2,0)))/S573)&gt;1,(SUMIFS(P:P,A:A,A573)-S573)/S573,(S573-SUMIFS(P:P,A:A,A573))/SUMIFS(P:P,A:A,A573)),"."),".")</f>
        <v>.</v>
      </c>
      <c r="BA573" s="182"/>
      <c r="BB573" s="182"/>
      <c r="BC573" s="182"/>
      <c r="BD573" s="182"/>
      <c r="BE573" s="182"/>
      <c r="BF573" s="182"/>
      <c r="BG573" s="182"/>
      <c r="BH573" s="182"/>
      <c r="BI573" s="182"/>
      <c r="BJ573" s="182"/>
      <c r="BK573" s="182"/>
      <c r="BL573" s="182"/>
      <c r="BM573" s="182"/>
      <c r="BN573" s="182"/>
      <c r="BO573" s="182"/>
      <c r="BP573" s="182"/>
      <c r="BQ573" s="182"/>
      <c r="BR573" s="182"/>
      <c r="BS573" s="182"/>
    </row>
    <row r="574" spans="1:71" ht="15.9" customHeight="1" x14ac:dyDescent="0.3">
      <c r="A574" s="5" t="s">
        <v>1736</v>
      </c>
      <c r="B574" s="5" t="s">
        <v>1730</v>
      </c>
      <c r="C574" s="174">
        <v>44634</v>
      </c>
      <c r="D574" s="5" t="s">
        <v>256</v>
      </c>
      <c r="E574" s="5" t="s">
        <v>267</v>
      </c>
      <c r="F574" s="175" t="s">
        <v>1737</v>
      </c>
      <c r="G574" s="15" t="s">
        <v>346</v>
      </c>
      <c r="H574" s="176" t="s">
        <v>341</v>
      </c>
      <c r="I574" s="17" t="s">
        <v>358</v>
      </c>
      <c r="J574" s="113" t="str">
        <f>VLOOKUP($I574,'Price List, Weapons &amp; Items'!B:C,2,0)</f>
        <v>Humanitarian</v>
      </c>
      <c r="K574" s="113" t="str">
        <f>IF(I574=".",I574,VLOOKUP($I574,'Price List, Weapons &amp; Items'!B:D,3,0))</f>
        <v>Humanitarian</v>
      </c>
      <c r="L574" s="177">
        <f>VLOOKUP(I574,'Price List, Weapons &amp; Items'!B:E,4,0)</f>
        <v>0</v>
      </c>
      <c r="M574" s="542">
        <v>23</v>
      </c>
      <c r="N574" s="542" t="s">
        <v>270</v>
      </c>
      <c r="O574" s="543">
        <f>VLOOKUP($I574,'Price List, Weapons &amp; Items'!B:G,6,0)</f>
        <v>317500</v>
      </c>
      <c r="P574" s="176">
        <f t="shared" si="114"/>
        <v>7302500</v>
      </c>
      <c r="Q574" s="176" t="str">
        <f t="shared" si="115"/>
        <v>.</v>
      </c>
      <c r="R574" s="176" t="str">
        <f t="shared" si="110"/>
        <v/>
      </c>
      <c r="S574" s="176" t="str">
        <f>IF(AND(AD574=1,R574&lt;&gt;".")=TRUE,R574/VLOOKUP(G574,'Exchange Rates'!B:C,2,0),IF(R574=".",".",""))</f>
        <v/>
      </c>
      <c r="T574" s="176" t="str">
        <f>IF(AD574=1,IF(AF574="Value is not given at all",".",IF(AF574="Value is given by the source",S574,IF(AF574="Value is calculated with prices",(IF(SUMIFS(Q:Q,A:A,A574)&gt;0,SUMIFS(Q:Q,A:A,A574),"."))/VLOOKUP("USD",'Exchange Rates'!B:C,2,0),"Error with coding"))),"")</f>
        <v/>
      </c>
      <c r="U574" s="15" t="s">
        <v>261</v>
      </c>
      <c r="V574" s="547" t="s">
        <v>1732</v>
      </c>
      <c r="W574" s="188" t="s">
        <v>260</v>
      </c>
      <c r="X574" s="188" t="s">
        <v>260</v>
      </c>
      <c r="Y574" s="188" t="s">
        <v>260</v>
      </c>
      <c r="Z574" s="15">
        <v>0</v>
      </c>
      <c r="AA574" s="180">
        <v>0</v>
      </c>
      <c r="AB574" s="17" t="s">
        <v>260</v>
      </c>
      <c r="AC574" s="544" t="str">
        <f>""</f>
        <v/>
      </c>
      <c r="AD574" s="183">
        <v>0</v>
      </c>
      <c r="AE574" s="183" t="s">
        <v>332</v>
      </c>
      <c r="AF574" s="183" t="s">
        <v>265</v>
      </c>
      <c r="AG574" s="183">
        <v>1</v>
      </c>
      <c r="AH574" s="183">
        <v>3</v>
      </c>
      <c r="AI574" s="183">
        <v>0</v>
      </c>
      <c r="AJ574" s="181">
        <f>VLOOKUP($I574,'Price List, Weapons &amp; Items'!B:F,5,0)</f>
        <v>0</v>
      </c>
      <c r="AK574" s="181">
        <f t="shared" si="116"/>
        <v>0</v>
      </c>
      <c r="AL574" s="181">
        <f t="shared" si="117"/>
        <v>0</v>
      </c>
      <c r="AM574" s="181">
        <f t="shared" si="118"/>
        <v>0</v>
      </c>
      <c r="AN574" s="180" t="str">
        <f>VLOOKUP($I574,'Price List, Weapons &amp; Items'!B:L,COLUMN('Price List, Weapons &amp; Items'!$J$11)-1,0)</f>
        <v>Media reports (incl. social media)</v>
      </c>
      <c r="AO574" s="180" t="str">
        <f>IF(I574=".",".",VLOOKUP($I574,'Price List, Weapons &amp; Items'!B:J,3,0))</f>
        <v>Humanitarian</v>
      </c>
      <c r="AP574" s="545" t="str">
        <f t="shared" ca="1" si="113"/>
        <v/>
      </c>
      <c r="AQ574" s="180">
        <f>VLOOKUP($I574,'Price List, Weapons &amp; Items'!B:L,COLUMN('Price List, Weapons &amp; Items'!$L$11)-1,0)</f>
        <v>0</v>
      </c>
      <c r="AR574" s="180">
        <f t="shared" si="119"/>
        <v>1</v>
      </c>
      <c r="AS574" s="180">
        <f t="shared" si="120"/>
        <v>0</v>
      </c>
      <c r="AT574" s="180">
        <f t="shared" ref="AT574:AT636" si="121">IFERROR(IF(VALUE(TEXT(C574,"mm"))=AH574,".",IF(TEXT(C574,"mm")="01",".",1)),"Value is not in date format")</f>
        <v>1</v>
      </c>
      <c r="AU574" s="180" t="str">
        <f t="shared" si="111"/>
        <v>.</v>
      </c>
      <c r="AV574" s="180" t="str">
        <f t="shared" si="112"/>
        <v>.</v>
      </c>
      <c r="AW574" s="180">
        <f>IFERROR(VLOOKUP(B574,'Share, Heavy Weapons to Ukraine'!B:J,COLUMN('Share, Heavy Weapons to Ukraine'!C586)-1,0),0)</f>
        <v>0</v>
      </c>
      <c r="AX574" s="180">
        <f>VLOOKUP('Bilateral Assistance, MAIN DATA'!B574,'Country Summary'!B:F,COLUMN('Country Summary'!C589)-1,FALSE)</f>
        <v>1</v>
      </c>
      <c r="AY574" s="180" t="str">
        <f>IF(AND(AD574=1,D574="Military",H574&lt;&gt;"Not given")=TRUE,IF(SUMIFS(P:P,A:A,A574)&gt;0,ABS((SUMIFS(P:P,A:A,A574)/VLOOKUP("USD",'Exchange Rates'!B:C,2,0)))/S574,"."),".")</f>
        <v>.</v>
      </c>
      <c r="AZ574" s="182" t="str">
        <f>IF(AND(AD574=1,D574="Military",H574&lt;&gt;"Not given")=TRUE,IF(SUMIFS(P:P,A:A,A574)&gt;0,IF((ABS((SUMIFS(P:P,A:A,A574)/VLOOKUP("USD",'Exchange Rates'!B:C,2,0)))/S574)&gt;1,(SUMIFS(P:P,A:A,A574)-S574)/S574,(S574-SUMIFS(P:P,A:A,A574))/SUMIFS(P:P,A:A,A574)),"."),".")</f>
        <v>.</v>
      </c>
      <c r="BA574" s="182"/>
      <c r="BB574" s="182"/>
      <c r="BC574" s="182"/>
      <c r="BD574" s="182"/>
      <c r="BE574" s="182"/>
      <c r="BF574" s="182"/>
      <c r="BG574" s="182"/>
      <c r="BH574" s="182"/>
      <c r="BI574" s="182"/>
      <c r="BJ574" s="182"/>
      <c r="BK574" s="182"/>
      <c r="BL574" s="182"/>
      <c r="BM574" s="182"/>
      <c r="BN574" s="182"/>
      <c r="BO574" s="182"/>
      <c r="BP574" s="182"/>
      <c r="BQ574" s="182"/>
      <c r="BR574" s="182"/>
      <c r="BS574" s="182"/>
    </row>
    <row r="575" spans="1:71" ht="15.9" customHeight="1" x14ac:dyDescent="0.3">
      <c r="A575" s="5" t="s">
        <v>1736</v>
      </c>
      <c r="B575" s="5" t="s">
        <v>1730</v>
      </c>
      <c r="C575" s="174">
        <v>44634</v>
      </c>
      <c r="D575" s="5" t="s">
        <v>256</v>
      </c>
      <c r="E575" s="5" t="s">
        <v>267</v>
      </c>
      <c r="F575" s="175" t="s">
        <v>1737</v>
      </c>
      <c r="G575" s="15" t="s">
        <v>346</v>
      </c>
      <c r="H575" s="176" t="s">
        <v>341</v>
      </c>
      <c r="I575" s="17" t="s">
        <v>1033</v>
      </c>
      <c r="J575" s="113" t="str">
        <f>VLOOKUP($I575,'Price List, Weapons &amp; Items'!B:C,2,0)</f>
        <v>Humanitarian</v>
      </c>
      <c r="K575" s="113" t="str">
        <f>IF(I575=".",I575,VLOOKUP($I575,'Price List, Weapons &amp; Items'!B:D,3,0))</f>
        <v>Humanitarian</v>
      </c>
      <c r="L575" s="177">
        <f>VLOOKUP(I575,'Price List, Weapons &amp; Items'!B:E,4,0)</f>
        <v>0</v>
      </c>
      <c r="M575" s="542">
        <v>3</v>
      </c>
      <c r="N575" s="542" t="s">
        <v>270</v>
      </c>
      <c r="O575" s="543">
        <f>VLOOKUP($I575,'Price List, Weapons &amp; Items'!B:G,6,0)</f>
        <v>4995</v>
      </c>
      <c r="P575" s="176">
        <f t="shared" si="114"/>
        <v>14985</v>
      </c>
      <c r="Q575" s="176" t="str">
        <f t="shared" si="115"/>
        <v>.</v>
      </c>
      <c r="R575" s="176" t="str">
        <f t="shared" si="110"/>
        <v/>
      </c>
      <c r="S575" s="176" t="str">
        <f>IF(AND(AD575=1,R575&lt;&gt;".")=TRUE,R575/VLOOKUP(G575,'Exchange Rates'!B:C,2,0),IF(R575=".",".",""))</f>
        <v/>
      </c>
      <c r="T575" s="176" t="str">
        <f>IF(AD575=1,IF(AF575="Value is not given at all",".",IF(AF575="Value is given by the source",S575,IF(AF575="Value is calculated with prices",(IF(SUMIFS(Q:Q,A:A,A575)&gt;0,SUMIFS(Q:Q,A:A,A575),"."))/VLOOKUP("USD",'Exchange Rates'!B:C,2,0),"Error with coding"))),"")</f>
        <v/>
      </c>
      <c r="U575" s="15" t="s">
        <v>261</v>
      </c>
      <c r="V575" s="547" t="s">
        <v>1732</v>
      </c>
      <c r="W575" s="188" t="s">
        <v>260</v>
      </c>
      <c r="X575" s="188" t="s">
        <v>260</v>
      </c>
      <c r="Y575" s="188" t="s">
        <v>260</v>
      </c>
      <c r="Z575" s="15">
        <v>0</v>
      </c>
      <c r="AA575" s="180">
        <v>0</v>
      </c>
      <c r="AB575" s="17" t="s">
        <v>260</v>
      </c>
      <c r="AC575" s="544" t="str">
        <f>""</f>
        <v/>
      </c>
      <c r="AD575" s="183">
        <v>0</v>
      </c>
      <c r="AE575" s="183" t="s">
        <v>332</v>
      </c>
      <c r="AF575" s="183" t="s">
        <v>265</v>
      </c>
      <c r="AG575" s="183">
        <v>1</v>
      </c>
      <c r="AH575" s="183">
        <v>3</v>
      </c>
      <c r="AI575" s="183">
        <v>0</v>
      </c>
      <c r="AJ575" s="181">
        <f>VLOOKUP($I575,'Price List, Weapons &amp; Items'!B:F,5,0)</f>
        <v>0</v>
      </c>
      <c r="AK575" s="181">
        <f t="shared" si="116"/>
        <v>0</v>
      </c>
      <c r="AL575" s="181">
        <f t="shared" si="117"/>
        <v>0</v>
      </c>
      <c r="AM575" s="181">
        <f t="shared" si="118"/>
        <v>0</v>
      </c>
      <c r="AN575" s="180" t="str">
        <f>VLOOKUP($I575,'Price List, Weapons &amp; Items'!B:L,COLUMN('Price List, Weapons &amp; Items'!$J$11)-1,0)</f>
        <v>Online marketplaces and stores</v>
      </c>
      <c r="AO575" s="180" t="str">
        <f>IF(I575=".",".",VLOOKUP($I575,'Price List, Weapons &amp; Items'!B:J,3,0))</f>
        <v>Humanitarian</v>
      </c>
      <c r="AP575" s="545" t="str">
        <f t="shared" ca="1" si="113"/>
        <v/>
      </c>
      <c r="AQ575" s="180">
        <f>VLOOKUP($I575,'Price List, Weapons &amp; Items'!B:L,COLUMN('Price List, Weapons &amp; Items'!$L$11)-1,0)</f>
        <v>0</v>
      </c>
      <c r="AR575" s="180">
        <f t="shared" si="119"/>
        <v>1</v>
      </c>
      <c r="AS575" s="180">
        <f t="shared" si="120"/>
        <v>0</v>
      </c>
      <c r="AT575" s="180">
        <f t="shared" si="121"/>
        <v>1</v>
      </c>
      <c r="AU575" s="180" t="str">
        <f t="shared" ref="AU575:AU638" si="122">IF(AND(A575=A574,C575=C574)=TRUE,IF(F575=F574,".","1"),".")</f>
        <v>.</v>
      </c>
      <c r="AV575" s="180" t="str">
        <f t="shared" ref="AV575:AV638" si="123">IF(T575&lt;&gt;".",IF(T575&gt;S575,1,"."),".")</f>
        <v>.</v>
      </c>
      <c r="AW575" s="180">
        <f>IFERROR(VLOOKUP(B575,'Share, Heavy Weapons to Ukraine'!B:J,COLUMN('Share, Heavy Weapons to Ukraine'!C587)-1,0),0)</f>
        <v>0</v>
      </c>
      <c r="AX575" s="180">
        <f>VLOOKUP('Bilateral Assistance, MAIN DATA'!B575,'Country Summary'!B:F,COLUMN('Country Summary'!C590)-1,FALSE)</f>
        <v>1</v>
      </c>
      <c r="AY575" s="180" t="str">
        <f>IF(AND(AD575=1,D575="Military",H575&lt;&gt;"Not given")=TRUE,IF(SUMIFS(P:P,A:A,A575)&gt;0,ABS((SUMIFS(P:P,A:A,A575)/VLOOKUP("USD",'Exchange Rates'!B:C,2,0)))/S575,"."),".")</f>
        <v>.</v>
      </c>
      <c r="AZ575" s="182" t="str">
        <f>IF(AND(AD575=1,D575="Military",H575&lt;&gt;"Not given")=TRUE,IF(SUMIFS(P:P,A:A,A575)&gt;0,IF((ABS((SUMIFS(P:P,A:A,A575)/VLOOKUP("USD",'Exchange Rates'!B:C,2,0)))/S575)&gt;1,(SUMIFS(P:P,A:A,A575)-S575)/S575,(S575-SUMIFS(P:P,A:A,A575))/SUMIFS(P:P,A:A,A575)),"."),".")</f>
        <v>.</v>
      </c>
      <c r="BA575" s="182"/>
      <c r="BB575" s="182"/>
      <c r="BC575" s="182"/>
      <c r="BD575" s="182"/>
      <c r="BE575" s="182"/>
      <c r="BF575" s="182"/>
      <c r="BG575" s="182"/>
      <c r="BH575" s="182"/>
      <c r="BI575" s="182"/>
      <c r="BJ575" s="182"/>
      <c r="BK575" s="182"/>
      <c r="BL575" s="182"/>
      <c r="BM575" s="182"/>
      <c r="BN575" s="182"/>
      <c r="BO575" s="182"/>
      <c r="BP575" s="182"/>
      <c r="BQ575" s="182"/>
      <c r="BR575" s="182"/>
      <c r="BS575" s="182"/>
    </row>
    <row r="576" spans="1:71" ht="15.9" customHeight="1" x14ac:dyDescent="0.3">
      <c r="A576" s="17" t="s">
        <v>1739</v>
      </c>
      <c r="B576" s="17" t="s">
        <v>1730</v>
      </c>
      <c r="C576" s="174">
        <v>44670</v>
      </c>
      <c r="D576" s="5" t="s">
        <v>256</v>
      </c>
      <c r="E576" s="5" t="s">
        <v>267</v>
      </c>
      <c r="F576" s="175" t="s">
        <v>1740</v>
      </c>
      <c r="G576" s="15" t="s">
        <v>346</v>
      </c>
      <c r="H576" s="176" t="s">
        <v>341</v>
      </c>
      <c r="I576" s="17" t="s">
        <v>1741</v>
      </c>
      <c r="J576" s="113" t="str">
        <f>VLOOKUP($I576,'Price List, Weapons &amp; Items'!B:C,2,0)</f>
        <v>Humanitarian</v>
      </c>
      <c r="K576" s="113" t="str">
        <f>IF(I576=".",I576,VLOOKUP($I576,'Price List, Weapons &amp; Items'!B:D,3,0))</f>
        <v>Humanitarian</v>
      </c>
      <c r="L576" s="177">
        <f>VLOOKUP(I576,'Price List, Weapons &amp; Items'!B:E,4,0)</f>
        <v>0</v>
      </c>
      <c r="M576" s="542">
        <v>45</v>
      </c>
      <c r="N576" s="542" t="s">
        <v>270</v>
      </c>
      <c r="O576" s="543">
        <f>VLOOKUP($I576,'Price List, Weapons &amp; Items'!B:G,6,0)</f>
        <v>400000</v>
      </c>
      <c r="P576" s="176">
        <f t="shared" si="114"/>
        <v>18000000</v>
      </c>
      <c r="Q576" s="176" t="str">
        <f t="shared" si="115"/>
        <v>.</v>
      </c>
      <c r="R576" s="176">
        <f t="shared" si="110"/>
        <v>18000000</v>
      </c>
      <c r="S576" s="176">
        <f>IF(AND(AD576=1,R576&lt;&gt;".")=TRUE,R576/VLOOKUP(G576,'Exchange Rates'!B:C,2,0),IF(R576=".",".",""))</f>
        <v>17142857.142857142</v>
      </c>
      <c r="T576" s="176" t="str">
        <f>IF(AD576=1,IF(AF576="Value is not given at all",".",IF(AF576="Value is given by the source",S576,IF(AF576="Value is calculated with prices",(IF(SUMIFS(Q:Q,A:A,A576)&gt;0,SUMIFS(Q:Q,A:A,A576),"."))/VLOOKUP("USD",'Exchange Rates'!B:C,2,0),"Error with coding"))),"")</f>
        <v>.</v>
      </c>
      <c r="U576" s="15" t="s">
        <v>261</v>
      </c>
      <c r="V576" s="300" t="s">
        <v>1732</v>
      </c>
      <c r="W576" s="300" t="s">
        <v>1742</v>
      </c>
      <c r="X576" s="175" t="s">
        <v>260</v>
      </c>
      <c r="Y576" s="175" t="s">
        <v>260</v>
      </c>
      <c r="Z576" s="15">
        <v>0</v>
      </c>
      <c r="AA576" s="180">
        <v>0</v>
      </c>
      <c r="AB576" s="17" t="s">
        <v>260</v>
      </c>
      <c r="AC576" s="544" t="str">
        <f>""</f>
        <v/>
      </c>
      <c r="AD576" s="183">
        <v>1</v>
      </c>
      <c r="AE576" s="183" t="s">
        <v>332</v>
      </c>
      <c r="AF576" s="183" t="s">
        <v>265</v>
      </c>
      <c r="AG576" s="183">
        <v>1</v>
      </c>
      <c r="AH576" s="181">
        <v>4</v>
      </c>
      <c r="AI576" s="181">
        <v>0</v>
      </c>
      <c r="AJ576" s="181">
        <f>VLOOKUP($I576,'Price List, Weapons &amp; Items'!B:F,5,0)</f>
        <v>0</v>
      </c>
      <c r="AK576" s="181">
        <f t="shared" si="116"/>
        <v>0</v>
      </c>
      <c r="AL576" s="181">
        <f t="shared" si="117"/>
        <v>0</v>
      </c>
      <c r="AM576" s="181">
        <f t="shared" si="118"/>
        <v>0</v>
      </c>
      <c r="AN576" s="180" t="str">
        <f>VLOOKUP($I576,'Price List, Weapons &amp; Items'!B:L,COLUMN('Price List, Weapons &amp; Items'!$J$11)-1,0)</f>
        <v>Media reports (incl. social media)</v>
      </c>
      <c r="AO576" s="180" t="str">
        <f>IF(I576=".",".",VLOOKUP($I576,'Price List, Weapons &amp; Items'!B:J,3,0))</f>
        <v>Humanitarian</v>
      </c>
      <c r="AP576" s="545" t="e">
        <f t="shared" ca="1" si="113"/>
        <v>#NAME?</v>
      </c>
      <c r="AQ576" s="180">
        <f>VLOOKUP($I576,'Price List, Weapons &amp; Items'!B:L,COLUMN('Price List, Weapons &amp; Items'!$L$11)-1,0)</f>
        <v>0</v>
      </c>
      <c r="AR576" s="180">
        <f t="shared" si="119"/>
        <v>1</v>
      </c>
      <c r="AS576" s="180">
        <f t="shared" si="120"/>
        <v>0</v>
      </c>
      <c r="AT576" s="180">
        <f t="shared" si="121"/>
        <v>1</v>
      </c>
      <c r="AU576" s="180" t="str">
        <f t="shared" si="122"/>
        <v>.</v>
      </c>
      <c r="AV576" s="180" t="str">
        <f t="shared" si="123"/>
        <v>.</v>
      </c>
      <c r="AW576" s="180">
        <f>IFERROR(VLOOKUP(B576,'Share, Heavy Weapons to Ukraine'!B:J,COLUMN('Share, Heavy Weapons to Ukraine'!C588)-1,0),0)</f>
        <v>0</v>
      </c>
      <c r="AX576" s="180">
        <f>VLOOKUP('Bilateral Assistance, MAIN DATA'!B576,'Country Summary'!B:F,COLUMN('Country Summary'!C591)-1,FALSE)</f>
        <v>1</v>
      </c>
      <c r="AY576" s="180" t="str">
        <f>IF(AND(AD576=1,D576="Military",H576&lt;&gt;"Not given")=TRUE,IF(SUMIFS(P:P,A:A,A576)&gt;0,ABS((SUMIFS(P:P,A:A,A576)/VLOOKUP("USD",'Exchange Rates'!B:C,2,0)))/S576,"."),".")</f>
        <v>.</v>
      </c>
      <c r="AZ576" s="182" t="str">
        <f>IF(AND(AD576=1,D576="Military",H576&lt;&gt;"Not given")=TRUE,IF(SUMIFS(P:P,A:A,A576)&gt;0,IF((ABS((SUMIFS(P:P,A:A,A576)/VLOOKUP("USD",'Exchange Rates'!B:C,2,0)))/S576)&gt;1,(SUMIFS(P:P,A:A,A576)-S576)/S576,(S576-SUMIFS(P:P,A:A,A576))/SUMIFS(P:P,A:A,A576)),"."),".")</f>
        <v>.</v>
      </c>
      <c r="BA576" s="182"/>
      <c r="BB576" s="182"/>
      <c r="BC576" s="182"/>
      <c r="BD576" s="182"/>
      <c r="BE576" s="182"/>
      <c r="BF576" s="182"/>
      <c r="BG576" s="182"/>
      <c r="BH576" s="182"/>
      <c r="BI576" s="182"/>
      <c r="BJ576" s="182"/>
      <c r="BK576" s="182"/>
      <c r="BL576" s="182"/>
      <c r="BM576" s="182"/>
      <c r="BN576" s="182"/>
      <c r="BO576" s="182"/>
      <c r="BP576" s="182"/>
      <c r="BQ576" s="182"/>
      <c r="BR576" s="182"/>
      <c r="BS576" s="182"/>
    </row>
    <row r="577" spans="1:71" ht="15.9" customHeight="1" x14ac:dyDescent="0.3">
      <c r="A577" s="17" t="s">
        <v>1743</v>
      </c>
      <c r="B577" s="17" t="s">
        <v>1730</v>
      </c>
      <c r="C577" s="174">
        <v>44671</v>
      </c>
      <c r="D577" s="5" t="s">
        <v>256</v>
      </c>
      <c r="E577" s="5" t="s">
        <v>362</v>
      </c>
      <c r="F577" s="175" t="s">
        <v>1744</v>
      </c>
      <c r="G577" s="15" t="s">
        <v>364</v>
      </c>
      <c r="H577" s="176">
        <v>16000000</v>
      </c>
      <c r="I577" s="17" t="s">
        <v>260</v>
      </c>
      <c r="J577" s="113" t="str">
        <f>VLOOKUP($I577,'Price List, Weapons &amp; Items'!B:C,2,0)</f>
        <v>.</v>
      </c>
      <c r="K577" s="113" t="str">
        <f>IF(I577=".",I577,VLOOKUP($I577,'Price List, Weapons &amp; Items'!B:D,3,0))</f>
        <v>.</v>
      </c>
      <c r="L577" s="177">
        <f>VLOOKUP(I577,'Price List, Weapons &amp; Items'!B:E,4,0)</f>
        <v>0</v>
      </c>
      <c r="M577" s="542" t="s">
        <v>260</v>
      </c>
      <c r="N577" s="542" t="s">
        <v>260</v>
      </c>
      <c r="O577" s="543" t="str">
        <f>VLOOKUP($I577,'Price List, Weapons &amp; Items'!B:G,6,0)</f>
        <v>.</v>
      </c>
      <c r="P577" s="176" t="str">
        <f t="shared" si="114"/>
        <v>.</v>
      </c>
      <c r="Q577" s="176" t="str">
        <f t="shared" si="115"/>
        <v>.</v>
      </c>
      <c r="R577" s="176">
        <f t="shared" si="110"/>
        <v>16000000</v>
      </c>
      <c r="S577" s="176">
        <f>IF(AND(AD577=1,R577&lt;&gt;".")=TRUE,R577/VLOOKUP(G577,'Exchange Rates'!B:C,2,0),IF(R577=".",".",""))</f>
        <v>16000000</v>
      </c>
      <c r="T577" s="176" t="str">
        <f>IF(AD577=1,IF(AF577="Value is not given at all",".",IF(AF577="Value is given by the source",S577,IF(AF577="Value is calculated with prices",(IF(SUMIFS(Q:Q,A:A,A577)&gt;0,SUMIFS(Q:Q,A:A,A577),"."))/VLOOKUP("USD",'Exchange Rates'!B:C,2,0),"Error with coding"))),"")</f>
        <v>.</v>
      </c>
      <c r="U577" s="15" t="s">
        <v>415</v>
      </c>
      <c r="V577" s="300" t="s">
        <v>1745</v>
      </c>
      <c r="W577" s="175" t="s">
        <v>260</v>
      </c>
      <c r="X577" s="175" t="s">
        <v>260</v>
      </c>
      <c r="Y577" s="175" t="s">
        <v>260</v>
      </c>
      <c r="Z577" s="15">
        <v>0</v>
      </c>
      <c r="AA577" s="180">
        <v>0</v>
      </c>
      <c r="AB577" s="17" t="s">
        <v>260</v>
      </c>
      <c r="AC577" s="544" t="str">
        <f>""</f>
        <v/>
      </c>
      <c r="AD577" s="183">
        <v>1</v>
      </c>
      <c r="AE577" s="183" t="s">
        <v>264</v>
      </c>
      <c r="AF577" s="183" t="s">
        <v>265</v>
      </c>
      <c r="AG577" s="183">
        <v>1</v>
      </c>
      <c r="AH577" s="181">
        <v>4</v>
      </c>
      <c r="AI577" s="181">
        <v>0</v>
      </c>
      <c r="AJ577" s="181">
        <f>VLOOKUP($I577,'Price List, Weapons &amp; Items'!B:F,5,0)</f>
        <v>0</v>
      </c>
      <c r="AK577" s="181">
        <f t="shared" si="116"/>
        <v>0</v>
      </c>
      <c r="AL577" s="181">
        <f t="shared" si="117"/>
        <v>0</v>
      </c>
      <c r="AM577" s="181">
        <f t="shared" si="118"/>
        <v>0</v>
      </c>
      <c r="AN577" s="180" t="str">
        <f>VLOOKUP($I577,'Price List, Weapons &amp; Items'!B:L,COLUMN('Price List, Weapons &amp; Items'!$J$11)-1,0)</f>
        <v>.</v>
      </c>
      <c r="AO577" s="180" t="str">
        <f>IF(I577=".",".",VLOOKUP($I577,'Price List, Weapons &amp; Items'!B:J,3,0))</f>
        <v>.</v>
      </c>
      <c r="AP577" s="545" t="e">
        <f t="shared" ca="1" si="113"/>
        <v>#NAME?</v>
      </c>
      <c r="AQ577" s="180" t="str">
        <f>VLOOKUP($I577,'Price List, Weapons &amp; Items'!B:L,COLUMN('Price List, Weapons &amp; Items'!$L$11)-1,0)</f>
        <v>no price, 0 count</v>
      </c>
      <c r="AR577" s="180">
        <f t="shared" si="119"/>
        <v>0</v>
      </c>
      <c r="AS577" s="180">
        <f t="shared" si="120"/>
        <v>0</v>
      </c>
      <c r="AT577" s="180">
        <f t="shared" si="121"/>
        <v>1</v>
      </c>
      <c r="AU577" s="180" t="str">
        <f t="shared" si="122"/>
        <v>.</v>
      </c>
      <c r="AV577" s="180" t="str">
        <f t="shared" si="123"/>
        <v>.</v>
      </c>
      <c r="AW577" s="180">
        <f>IFERROR(VLOOKUP(B577,'Share, Heavy Weapons to Ukraine'!B:J,COLUMN('Share, Heavy Weapons to Ukraine'!C589)-1,0),0)</f>
        <v>0</v>
      </c>
      <c r="AX577" s="180">
        <f>VLOOKUP('Bilateral Assistance, MAIN DATA'!B577,'Country Summary'!B:F,COLUMN('Country Summary'!C592)-1,FALSE)</f>
        <v>1</v>
      </c>
      <c r="AY577" s="180" t="str">
        <f>IF(AND(AD577=1,D577="Military",H577&lt;&gt;"Not given")=TRUE,IF(SUMIFS(P:P,A:A,A577)&gt;0,ABS((SUMIFS(P:P,A:A,A577)/VLOOKUP("USD",'Exchange Rates'!B:C,2,0)))/S577,"."),".")</f>
        <v>.</v>
      </c>
      <c r="AZ577" s="182" t="str">
        <f>IF(AND(AD577=1,D577="Military",H577&lt;&gt;"Not given")=TRUE,IF(SUMIFS(P:P,A:A,A577)&gt;0,IF((ABS((SUMIFS(P:P,A:A,A577)/VLOOKUP("USD",'Exchange Rates'!B:C,2,0)))/S577)&gt;1,(SUMIFS(P:P,A:A,A577)-S577)/S577,(S577-SUMIFS(P:P,A:A,A577))/SUMIFS(P:P,A:A,A577)),"."),".")</f>
        <v>.</v>
      </c>
      <c r="BA577" s="182"/>
      <c r="BB577" s="182"/>
      <c r="BC577" s="182"/>
      <c r="BD577" s="182"/>
      <c r="BE577" s="182"/>
      <c r="BF577" s="182"/>
      <c r="BG577" s="182"/>
      <c r="BH577" s="182"/>
      <c r="BI577" s="182"/>
      <c r="BJ577" s="182"/>
      <c r="BK577" s="182"/>
      <c r="BL577" s="182"/>
      <c r="BM577" s="182"/>
      <c r="BN577" s="182"/>
      <c r="BO577" s="182"/>
      <c r="BP577" s="182"/>
      <c r="BQ577" s="182"/>
      <c r="BR577" s="182"/>
      <c r="BS577" s="182"/>
    </row>
    <row r="578" spans="1:71" ht="15.9" customHeight="1" x14ac:dyDescent="0.3">
      <c r="A578" s="17" t="s">
        <v>1746</v>
      </c>
      <c r="B578" s="17" t="s">
        <v>1730</v>
      </c>
      <c r="C578" s="174">
        <v>44908</v>
      </c>
      <c r="D578" s="5" t="s">
        <v>256</v>
      </c>
      <c r="E578" s="5" t="s">
        <v>257</v>
      </c>
      <c r="F578" s="175" t="s">
        <v>1747</v>
      </c>
      <c r="G578" s="15" t="s">
        <v>364</v>
      </c>
      <c r="H578" s="176">
        <v>10000000</v>
      </c>
      <c r="I578" s="17" t="s">
        <v>260</v>
      </c>
      <c r="J578" s="113" t="str">
        <f>VLOOKUP($I578,'Price List, Weapons &amp; Items'!B:C,2,0)</f>
        <v>.</v>
      </c>
      <c r="K578" s="113" t="str">
        <f>IF(I578=".",I578,VLOOKUP($I578,'Price List, Weapons &amp; Items'!B:D,3,0))</f>
        <v>.</v>
      </c>
      <c r="L578" s="177">
        <f>VLOOKUP(I578,'Price List, Weapons &amp; Items'!B:E,4,0)</f>
        <v>0</v>
      </c>
      <c r="M578" s="542" t="s">
        <v>260</v>
      </c>
      <c r="N578" s="542" t="s">
        <v>260</v>
      </c>
      <c r="O578" s="543" t="str">
        <f>VLOOKUP($I578,'Price List, Weapons &amp; Items'!B:G,6,0)</f>
        <v>.</v>
      </c>
      <c r="P578" s="176" t="str">
        <f>IF(TYPE(M578)=1,IF(TYPE(O578)=1,M578*O578,"No price"),".")</f>
        <v>.</v>
      </c>
      <c r="Q578" s="176" t="str">
        <f>IF(TYPE(N578)=1,IF(TYPE(O578)=1,N578*O578,"No price"),".")</f>
        <v>.</v>
      </c>
      <c r="R578" s="176">
        <f t="shared" ref="R578:R594" si="124">IF(AD578=1,IF(H578&lt;&gt;"Not given",H578,IF(TYPE(H578)=2,IF(SUMIFS(P:P,A:A,A578)&gt;0,SUMIFS(P:P,A:A,A578),"."),"Format error")),"")</f>
        <v>10000000</v>
      </c>
      <c r="S578" s="176">
        <f>IF(AND(AD578=1,R578&lt;&gt;".")=TRUE,R578/VLOOKUP(G578,'Exchange Rates'!B:C,2,0),IF(R578=".",".",""))</f>
        <v>10000000</v>
      </c>
      <c r="T578" s="176" t="str">
        <f>IF(AD578=1,IF(AF578="Value is not given at all",".",IF(AF578="Value is given by the source",S578,IF(AF578="Value is calculated with prices",(IF(SUMIFS(Q:Q,A:A,A578)&gt;0,SUMIFS(Q:Q,A:A,A578),"."))/VLOOKUP("USD",'Exchange Rates'!B:C,2,0),"Error with coding"))),"")</f>
        <v>.</v>
      </c>
      <c r="U578" s="15" t="s">
        <v>261</v>
      </c>
      <c r="V578" s="667" t="s">
        <v>1748</v>
      </c>
      <c r="W578" s="665" t="s">
        <v>1749</v>
      </c>
      <c r="X578" s="665" t="s">
        <v>1750</v>
      </c>
      <c r="Y578" s="175" t="s">
        <v>260</v>
      </c>
      <c r="Z578" s="15">
        <v>0</v>
      </c>
      <c r="AA578" s="15">
        <v>1</v>
      </c>
      <c r="AB578" s="17" t="s">
        <v>260</v>
      </c>
      <c r="AC578" s="544"/>
      <c r="AD578" s="183">
        <v>1</v>
      </c>
      <c r="AE578" s="183" t="s">
        <v>264</v>
      </c>
      <c r="AF578" s="183" t="s">
        <v>265</v>
      </c>
      <c r="AG578" s="183">
        <v>1</v>
      </c>
      <c r="AH578" s="181">
        <v>12</v>
      </c>
      <c r="AI578" s="181">
        <v>0</v>
      </c>
      <c r="AJ578" s="181">
        <f>VLOOKUP($I578,'Price List, Weapons &amp; Items'!B:F,5,0)</f>
        <v>0</v>
      </c>
      <c r="AK578" s="181">
        <f>IF(AND(AJ578=1,M578="undisclosed")=TRUE,1,0)</f>
        <v>0</v>
      </c>
      <c r="AL578" s="181">
        <f>IF(AND(AJ578=1,N578="undisclosed")=TRUE,1,0)</f>
        <v>0</v>
      </c>
      <c r="AM578" s="181">
        <f>IFERROR(IF(SEARCH("ammuni",I578,1)&gt;0,1,0),0)</f>
        <v>0</v>
      </c>
      <c r="AN578" s="180" t="str">
        <f>VLOOKUP($I578,'Price List, Weapons &amp; Items'!B:L,COLUMN('Price List, Weapons &amp; Items'!$J$11)-1,0)</f>
        <v>.</v>
      </c>
      <c r="AO578" s="180" t="str">
        <f>IF(I578=".",".",VLOOKUP($I578,'Price List, Weapons &amp; Items'!B:J,3,0))</f>
        <v>.</v>
      </c>
      <c r="AP578" s="545" t="e">
        <f t="shared" ca="1" si="113"/>
        <v>#NAME?</v>
      </c>
      <c r="AQ578" s="180" t="str">
        <f>VLOOKUP($I578,'Price List, Weapons &amp; Items'!B:L,COLUMN('Price List, Weapons &amp; Items'!$L$11)-1,0)</f>
        <v>no price, 0 count</v>
      </c>
      <c r="AR578" s="180">
        <f>IF(U578="Yes",1,0)</f>
        <v>1</v>
      </c>
      <c r="AS578" s="180">
        <f>IF(D578="Military",IF(OR(IFERROR(SEARCH("equipment",E578,1),0)&gt;0,IFERROR(SEARCH("weapons",E578,1),0)&gt;0),1,0),0)</f>
        <v>0</v>
      </c>
      <c r="AT578" s="180">
        <f t="shared" si="121"/>
        <v>1</v>
      </c>
      <c r="AU578" s="180" t="str">
        <f>IF(AND(A578=A579,C578=C579)=TRUE,IF(F578=F579,".","1"),".")</f>
        <v>.</v>
      </c>
      <c r="AV578" s="180" t="str">
        <f>IF(T578&lt;&gt;".",IF(T578&gt;S578,1,"."),".")</f>
        <v>.</v>
      </c>
      <c r="AW578" s="180">
        <f>IFERROR(VLOOKUP(B578,'Share, Heavy Weapons to Ukraine'!B:J,COLUMN('Share, Heavy Weapons to Ukraine'!C590)-1,0),0)</f>
        <v>0</v>
      </c>
      <c r="AX578" s="180">
        <f>VLOOKUP('Bilateral Assistance, MAIN DATA'!B578,'Country Summary'!B:F,COLUMN('Country Summary'!C593)-1,FALSE)</f>
        <v>1</v>
      </c>
      <c r="AY578" s="180" t="str">
        <f>IF(AND(AD578=1,D578="Military",H578&lt;&gt;"Not given")=TRUE,IF(SUMIFS(P:P,A:A,A578)&gt;0,ABS((SUMIFS(P:P,A:A,A578)/VLOOKUP("USD",'Exchange Rates'!B:C,2,0)))/S578,"."),".")</f>
        <v>.</v>
      </c>
      <c r="AZ578" s="182" t="str">
        <f>IF(AND(AD578=1,D578="Military",H578&lt;&gt;"Not given")=TRUE,IF(SUMIFS(P:P,A:A,A578)&gt;0,IF((ABS((SUMIFS(P:P,A:A,A578)/VLOOKUP("USD",'Exchange Rates'!B:C,2,0)))/S578)&gt;1,(SUMIFS(P:P,A:A,A578)-S578)/S578,(S578-SUMIFS(P:P,A:A,A578))/SUMIFS(P:P,A:A,A578)),"."),".")</f>
        <v>.</v>
      </c>
      <c r="BA578" s="182"/>
      <c r="BB578" s="182"/>
      <c r="BC578" s="182"/>
      <c r="BD578" s="182"/>
      <c r="BE578" s="182"/>
      <c r="BF578" s="182"/>
      <c r="BG578" s="182"/>
      <c r="BH578" s="182"/>
      <c r="BI578" s="182"/>
      <c r="BJ578" s="182"/>
      <c r="BK578" s="182"/>
      <c r="BL578" s="182"/>
      <c r="BM578" s="182"/>
      <c r="BN578" s="182"/>
      <c r="BO578" s="182"/>
      <c r="BP578" s="182"/>
      <c r="BQ578" s="182"/>
      <c r="BR578" s="182"/>
      <c r="BS578" s="182"/>
    </row>
    <row r="579" spans="1:71" ht="15.9" customHeight="1" x14ac:dyDescent="0.3">
      <c r="A579" s="17" t="s">
        <v>1751</v>
      </c>
      <c r="B579" s="17" t="s">
        <v>1730</v>
      </c>
      <c r="C579" s="174">
        <v>44937</v>
      </c>
      <c r="D579" s="5" t="s">
        <v>256</v>
      </c>
      <c r="E579" s="5" t="s">
        <v>257</v>
      </c>
      <c r="F579" s="175" t="s">
        <v>1752</v>
      </c>
      <c r="G579" s="15" t="s">
        <v>260</v>
      </c>
      <c r="H579" s="176" t="s">
        <v>341</v>
      </c>
      <c r="I579" s="17" t="s">
        <v>260</v>
      </c>
      <c r="J579" s="113" t="str">
        <f>VLOOKUP($I579,'Price List, Weapons &amp; Items'!B:C,2,0)</f>
        <v>.</v>
      </c>
      <c r="K579" s="113" t="str">
        <f>IF(I579=".",I579,VLOOKUP($I579,'Price List, Weapons &amp; Items'!B:D,3,0))</f>
        <v>.</v>
      </c>
      <c r="L579" s="177">
        <f>VLOOKUP(I579,'Price List, Weapons &amp; Items'!B:E,4,0)</f>
        <v>0</v>
      </c>
      <c r="M579" s="542" t="s">
        <v>260</v>
      </c>
      <c r="N579" s="542" t="s">
        <v>260</v>
      </c>
      <c r="O579" s="543" t="str">
        <f>VLOOKUP($I579,'Price List, Weapons &amp; Items'!B:G,6,0)</f>
        <v>.</v>
      </c>
      <c r="P579" s="176" t="str">
        <f t="shared" si="114"/>
        <v>.</v>
      </c>
      <c r="Q579" s="176" t="str">
        <f t="shared" si="115"/>
        <v>.</v>
      </c>
      <c r="R579" s="176" t="str">
        <f t="shared" si="124"/>
        <v>.</v>
      </c>
      <c r="S579" s="176" t="str">
        <f>IF(AND(AD579=1,R579&lt;&gt;".")=TRUE,R579/VLOOKUP(G579,'Exchange Rates'!B:C,2,0),IF(R579=".",".",""))</f>
        <v>.</v>
      </c>
      <c r="T579" s="176" t="str">
        <f>IF(AD579=1,IF(AF579="Value is not given at all",".",IF(AF579="Value is given by the source",S579,IF(AF579="Value is calculated with prices",(IF(SUMIFS(Q:Q,A:A,A579)&gt;0,SUMIFS(Q:Q,A:A,A579),"."))/VLOOKUP("USD",'Exchange Rates'!B:C,2,0),"Error with coding"))),"")</f>
        <v>.</v>
      </c>
      <c r="U579" s="15" t="s">
        <v>415</v>
      </c>
      <c r="V579" s="300" t="s">
        <v>1753</v>
      </c>
      <c r="W579" s="546" t="s">
        <v>1754</v>
      </c>
      <c r="X579" s="175" t="s">
        <v>260</v>
      </c>
      <c r="Y579" s="175" t="s">
        <v>260</v>
      </c>
      <c r="Z579" s="15">
        <v>0</v>
      </c>
      <c r="AA579" s="15">
        <v>1</v>
      </c>
      <c r="AB579" s="17" t="s">
        <v>260</v>
      </c>
      <c r="AC579" s="544" t="str">
        <f>""</f>
        <v/>
      </c>
      <c r="AD579" s="183">
        <v>1</v>
      </c>
      <c r="AE579" s="183" t="s">
        <v>265</v>
      </c>
      <c r="AF579" s="183" t="s">
        <v>265</v>
      </c>
      <c r="AG579" s="183">
        <v>1</v>
      </c>
      <c r="AH579" s="181">
        <v>13</v>
      </c>
      <c r="AI579" s="181">
        <v>0</v>
      </c>
      <c r="AJ579" s="181">
        <f>VLOOKUP($I579,'Price List, Weapons &amp; Items'!B:F,5,0)</f>
        <v>0</v>
      </c>
      <c r="AK579" s="181">
        <f t="shared" si="116"/>
        <v>0</v>
      </c>
      <c r="AL579" s="181">
        <f t="shared" si="117"/>
        <v>0</v>
      </c>
      <c r="AM579" s="181">
        <f t="shared" si="118"/>
        <v>0</v>
      </c>
      <c r="AN579" s="180" t="str">
        <f>VLOOKUP($I579,'Price List, Weapons &amp; Items'!B:L,COLUMN('Price List, Weapons &amp; Items'!$J$11)-1,0)</f>
        <v>.</v>
      </c>
      <c r="AO579" s="180" t="str">
        <f>IF(I579=".",".",VLOOKUP($I579,'Price List, Weapons &amp; Items'!B:J,3,0))</f>
        <v>.</v>
      </c>
      <c r="AP579" s="545" t="e">
        <f t="shared" ref="AP579:AP594" ca="1" si="125">IF(AD579=1,_xlfn.ARRAYTOTEXT(OFFSET(I579,0,0,COUNTIF(A:A,A579),1)),"")</f>
        <v>#NAME?</v>
      </c>
      <c r="AQ579" s="180" t="str">
        <f>VLOOKUP($I579,'Price List, Weapons &amp; Items'!B:L,COLUMN('Price List, Weapons &amp; Items'!$L$11)-1,0)</f>
        <v>no price, 0 count</v>
      </c>
      <c r="AR579" s="180">
        <f t="shared" si="119"/>
        <v>0</v>
      </c>
      <c r="AS579" s="180">
        <f t="shared" si="120"/>
        <v>0</v>
      </c>
      <c r="AT579" s="180">
        <f t="shared" si="121"/>
        <v>1</v>
      </c>
      <c r="AU579" s="180" t="str">
        <f>IF(AND(A579=A577,C579=C577)=TRUE,IF(F579=F577,".","1"),".")</f>
        <v>.</v>
      </c>
      <c r="AV579" s="180" t="str">
        <f t="shared" si="123"/>
        <v>.</v>
      </c>
      <c r="AW579" s="180">
        <f>IFERROR(VLOOKUP(B579,'Share, Heavy Weapons to Ukraine'!B:J,COLUMN('Share, Heavy Weapons to Ukraine'!C591)-1,0),0)</f>
        <v>0</v>
      </c>
      <c r="AX579" s="180">
        <f>VLOOKUP('Bilateral Assistance, MAIN DATA'!B579,'Country Summary'!B:F,COLUMN('Country Summary'!C594)-1,FALSE)</f>
        <v>1</v>
      </c>
      <c r="AY579" s="180" t="str">
        <f>IF(AND(AD579=1,D579="Military",H579&lt;&gt;"Not given")=TRUE,IF(SUMIFS(P:P,A:A,A579)&gt;0,ABS((SUMIFS(P:P,A:A,A579)/VLOOKUP("USD",'Exchange Rates'!B:C,2,0)))/S579,"."),".")</f>
        <v>.</v>
      </c>
      <c r="AZ579" s="182" t="str">
        <f>IF(AND(AD579=1,D579="Military",H579&lt;&gt;"Not given")=TRUE,IF(SUMIFS(P:P,A:A,A579)&gt;0,IF((ABS((SUMIFS(P:P,A:A,A579)/VLOOKUP("USD",'Exchange Rates'!B:C,2,0)))/S579)&gt;1,(SUMIFS(P:P,A:A,A579)-S579)/S579,(S579-SUMIFS(P:P,A:A,A579))/SUMIFS(P:P,A:A,A579)),"."),".")</f>
        <v>.</v>
      </c>
      <c r="BA579" s="182"/>
      <c r="BB579" s="182"/>
      <c r="BC579" s="182"/>
      <c r="BD579" s="182"/>
      <c r="BE579" s="182"/>
      <c r="BF579" s="182"/>
      <c r="BG579" s="182"/>
      <c r="BH579" s="182"/>
      <c r="BI579" s="182"/>
      <c r="BJ579" s="182"/>
      <c r="BK579" s="182"/>
      <c r="BL579" s="182"/>
      <c r="BM579" s="182"/>
      <c r="BN579" s="182"/>
      <c r="BO579" s="182"/>
      <c r="BP579" s="182"/>
      <c r="BQ579" s="182"/>
      <c r="BR579" s="182"/>
      <c r="BS579" s="182"/>
    </row>
    <row r="580" spans="1:71" ht="15.9" customHeight="1" x14ac:dyDescent="0.3">
      <c r="A580" s="17" t="s">
        <v>1755</v>
      </c>
      <c r="B580" s="17" t="s">
        <v>1730</v>
      </c>
      <c r="C580" s="174">
        <v>44620</v>
      </c>
      <c r="D580" s="5" t="s">
        <v>285</v>
      </c>
      <c r="E580" s="5" t="s">
        <v>286</v>
      </c>
      <c r="F580" s="175" t="s">
        <v>1756</v>
      </c>
      <c r="G580" s="15" t="s">
        <v>364</v>
      </c>
      <c r="H580" s="176">
        <v>150000000</v>
      </c>
      <c r="I580" s="17" t="s">
        <v>260</v>
      </c>
      <c r="J580" s="113" t="str">
        <f>VLOOKUP($I580,'Price List, Weapons &amp; Items'!B:C,2,0)</f>
        <v>.</v>
      </c>
      <c r="K580" s="113" t="str">
        <f>IF(I580=".",I580,VLOOKUP($I580,'Price List, Weapons &amp; Items'!B:D,3,0))</f>
        <v>.</v>
      </c>
      <c r="L580" s="177">
        <f>VLOOKUP(I580,'Price List, Weapons &amp; Items'!B:E,4,0)</f>
        <v>0</v>
      </c>
      <c r="M580" s="542" t="s">
        <v>260</v>
      </c>
      <c r="N580" s="542" t="s">
        <v>260</v>
      </c>
      <c r="O580" s="543" t="str">
        <f>VLOOKUP($I580,'Price List, Weapons &amp; Items'!B:G,6,0)</f>
        <v>.</v>
      </c>
      <c r="P580" s="176" t="str">
        <f t="shared" si="114"/>
        <v>.</v>
      </c>
      <c r="Q580" s="176" t="str">
        <f t="shared" si="115"/>
        <v>.</v>
      </c>
      <c r="R580" s="176">
        <f t="shared" si="124"/>
        <v>150000000</v>
      </c>
      <c r="S580" s="176">
        <f>IF(AND(AD580=1,R580&lt;&gt;".")=TRUE,R580/VLOOKUP(G580,'Exchange Rates'!B:C,2,0),IF(R580=".",".",""))</f>
        <v>150000000</v>
      </c>
      <c r="T580" s="176">
        <f>IF(AD580=1,IF(AF580="Value is not given at all",".",IF(AF580="Value is given by the source",S580,IF(AF580="Value is calculated with prices",(IF(SUMIFS(Q:Q,A:A,A580)&gt;0,SUMIFS(Q:Q,A:A,A580),"."))/VLOOKUP("USD",'Exchange Rates'!B:C,2,0),"Error with coding"))),"")</f>
        <v>150000000</v>
      </c>
      <c r="U580" s="15" t="s">
        <v>415</v>
      </c>
      <c r="V580" s="300" t="s">
        <v>1757</v>
      </c>
      <c r="W580" s="300" t="s">
        <v>1758</v>
      </c>
      <c r="X580" s="300" t="s">
        <v>1759</v>
      </c>
      <c r="Y580" s="175" t="s">
        <v>260</v>
      </c>
      <c r="Z580" s="15">
        <v>0</v>
      </c>
      <c r="AA580" s="180">
        <v>0</v>
      </c>
      <c r="AB580" s="549" t="s">
        <v>1760</v>
      </c>
      <c r="AC580" s="544" t="str">
        <f>""</f>
        <v/>
      </c>
      <c r="AD580" s="181">
        <v>1</v>
      </c>
      <c r="AE580" s="181" t="s">
        <v>264</v>
      </c>
      <c r="AF580" s="181" t="s">
        <v>264</v>
      </c>
      <c r="AG580" s="181">
        <v>1</v>
      </c>
      <c r="AH580" s="181">
        <v>2</v>
      </c>
      <c r="AI580" s="181">
        <v>0</v>
      </c>
      <c r="AJ580" s="181">
        <f>VLOOKUP($I580,'Price List, Weapons &amp; Items'!B:F,5,0)</f>
        <v>0</v>
      </c>
      <c r="AK580" s="181">
        <f t="shared" si="116"/>
        <v>0</v>
      </c>
      <c r="AL580" s="181">
        <f t="shared" si="117"/>
        <v>0</v>
      </c>
      <c r="AM580" s="181">
        <f t="shared" si="118"/>
        <v>0</v>
      </c>
      <c r="AN580" s="180" t="str">
        <f>VLOOKUP($I580,'Price List, Weapons &amp; Items'!B:L,COLUMN('Price List, Weapons &amp; Items'!$J$11)-1,0)</f>
        <v>.</v>
      </c>
      <c r="AO580" s="180" t="str">
        <f>IF(I580=".",".",VLOOKUP($I580,'Price List, Weapons &amp; Items'!B:J,3,0))</f>
        <v>.</v>
      </c>
      <c r="AP580" s="545" t="e">
        <f t="shared" ca="1" si="125"/>
        <v>#NAME?</v>
      </c>
      <c r="AQ580" s="180" t="str">
        <f>VLOOKUP($I580,'Price List, Weapons &amp; Items'!B:L,COLUMN('Price List, Weapons &amp; Items'!$L$11)-1,0)</f>
        <v>no price, 0 count</v>
      </c>
      <c r="AR580" s="180">
        <f t="shared" si="119"/>
        <v>0</v>
      </c>
      <c r="AS580" s="180">
        <f t="shared" si="120"/>
        <v>1</v>
      </c>
      <c r="AT580" s="180">
        <f t="shared" si="121"/>
        <v>1</v>
      </c>
      <c r="AU580" s="180" t="str">
        <f>IF(AND(A580=A579,C580=C579)=TRUE,IF(F580=F579,".","1"),".")</f>
        <v>.</v>
      </c>
      <c r="AV580" s="180" t="str">
        <f t="shared" si="123"/>
        <v>.</v>
      </c>
      <c r="AW580" s="180">
        <f>IFERROR(VLOOKUP(B580,'Share, Heavy Weapons to Ukraine'!B:J,COLUMN('Share, Heavy Weapons to Ukraine'!C592)-1,0),0)</f>
        <v>0</v>
      </c>
      <c r="AX580" s="180">
        <f>VLOOKUP('Bilateral Assistance, MAIN DATA'!B580,'Country Summary'!B:F,COLUMN('Country Summary'!C595)-1,FALSE)</f>
        <v>1</v>
      </c>
      <c r="AY580" s="180" t="str">
        <f>IF(AND(AD580=1,D580="Military",H580&lt;&gt;"Not given")=TRUE,IF(SUMIFS(P:P,A:A,A580)&gt;0,ABS((SUMIFS(P:P,A:A,A580)/VLOOKUP("USD",'Exchange Rates'!B:C,2,0)))/S580,"."),".")</f>
        <v>.</v>
      </c>
      <c r="AZ580" s="182" t="str">
        <f>IF(AND(AD580=1,D580="Military",H580&lt;&gt;"Not given")=TRUE,IF(SUMIFS(P:P,A:A,A580)&gt;0,IF((ABS((SUMIFS(P:P,A:A,A580)/VLOOKUP("USD",'Exchange Rates'!B:C,2,0)))/S580)&gt;1,(SUMIFS(P:P,A:A,A580)-S580)/S580,(S580-SUMIFS(P:P,A:A,A580))/SUMIFS(P:P,A:A,A580)),"."),".")</f>
        <v>.</v>
      </c>
      <c r="BA580" s="182"/>
      <c r="BB580" s="182"/>
      <c r="BC580" s="182"/>
      <c r="BD580" s="182"/>
      <c r="BE580" s="182"/>
      <c r="BF580" s="182"/>
      <c r="BG580" s="182"/>
      <c r="BH580" s="182"/>
      <c r="BI580" s="182"/>
      <c r="BJ580" s="182"/>
      <c r="BK580" s="182"/>
      <c r="BL580" s="182"/>
      <c r="BM580" s="182"/>
      <c r="BN580" s="182"/>
      <c r="BO580" s="182"/>
      <c r="BP580" s="182"/>
      <c r="BQ580" s="182"/>
      <c r="BR580" s="182"/>
      <c r="BS580" s="182"/>
    </row>
    <row r="581" spans="1:71" ht="15.9" customHeight="1" x14ac:dyDescent="0.3">
      <c r="A581" s="17" t="s">
        <v>1761</v>
      </c>
      <c r="B581" s="17" t="s">
        <v>1730</v>
      </c>
      <c r="C581" s="174">
        <v>44673</v>
      </c>
      <c r="D581" s="5" t="s">
        <v>285</v>
      </c>
      <c r="E581" s="5" t="s">
        <v>339</v>
      </c>
      <c r="F581" s="175" t="s">
        <v>1762</v>
      </c>
      <c r="G581" s="15" t="s">
        <v>260</v>
      </c>
      <c r="H581" s="176" t="s">
        <v>341</v>
      </c>
      <c r="I581" s="17" t="s">
        <v>260</v>
      </c>
      <c r="J581" s="113" t="str">
        <f>VLOOKUP($I581,'Price List, Weapons &amp; Items'!B:C,2,0)</f>
        <v>.</v>
      </c>
      <c r="K581" s="113" t="str">
        <f>IF(I581=".",I581,VLOOKUP($I581,'Price List, Weapons &amp; Items'!B:D,3,0))</f>
        <v>.</v>
      </c>
      <c r="L581" s="177">
        <f>VLOOKUP(I581,'Price List, Weapons &amp; Items'!B:E,4,0)</f>
        <v>0</v>
      </c>
      <c r="M581" s="542" t="s">
        <v>260</v>
      </c>
      <c r="N581" s="542" t="s">
        <v>260</v>
      </c>
      <c r="O581" s="543" t="str">
        <f>VLOOKUP($I581,'Price List, Weapons &amp; Items'!B:G,6,0)</f>
        <v>.</v>
      </c>
      <c r="P581" s="176" t="str">
        <f t="shared" si="114"/>
        <v>.</v>
      </c>
      <c r="Q581" s="176" t="str">
        <f t="shared" si="115"/>
        <v>.</v>
      </c>
      <c r="R581" s="176" t="str">
        <f t="shared" si="124"/>
        <v>.</v>
      </c>
      <c r="S581" s="176" t="str">
        <f>IF(AND(AD581=1,R581&lt;&gt;".")=TRUE,R581/VLOOKUP(G581,'Exchange Rates'!B:C,2,0),IF(R581=".",".",""))</f>
        <v>.</v>
      </c>
      <c r="T581" s="176" t="str">
        <f>IF(AD581=1,IF(AF581="Value is not given at all",".",IF(AF581="Value is given by the source",S581,IF(AF581="Value is calculated with prices",(IF(SUMIFS(Q:Q,A:A,A581)&gt;0,SUMIFS(Q:Q,A:A,A581),"."))/VLOOKUP("USD",'Exchange Rates'!B:C,2,0),"Error with coding"))),"")</f>
        <v>.</v>
      </c>
      <c r="U581" s="15" t="s">
        <v>261</v>
      </c>
      <c r="V581" s="300" t="s">
        <v>1763</v>
      </c>
      <c r="W581" s="300" t="s">
        <v>1764</v>
      </c>
      <c r="X581" s="175" t="s">
        <v>260</v>
      </c>
      <c r="Y581" s="175" t="s">
        <v>260</v>
      </c>
      <c r="Z581" s="15">
        <v>0</v>
      </c>
      <c r="AA581" s="180">
        <v>0</v>
      </c>
      <c r="AB581" s="17" t="s">
        <v>260</v>
      </c>
      <c r="AC581" s="544" t="str">
        <f>""</f>
        <v/>
      </c>
      <c r="AD581" s="181">
        <v>1</v>
      </c>
      <c r="AE581" s="181" t="s">
        <v>265</v>
      </c>
      <c r="AF581" s="181" t="s">
        <v>265</v>
      </c>
      <c r="AG581" s="181">
        <v>1</v>
      </c>
      <c r="AH581" s="181">
        <v>4</v>
      </c>
      <c r="AI581" s="181">
        <v>0</v>
      </c>
      <c r="AJ581" s="181">
        <f>VLOOKUP($I581,'Price List, Weapons &amp; Items'!B:F,5,0)</f>
        <v>0</v>
      </c>
      <c r="AK581" s="181">
        <f t="shared" si="116"/>
        <v>0</v>
      </c>
      <c r="AL581" s="181">
        <f t="shared" si="117"/>
        <v>0</v>
      </c>
      <c r="AM581" s="181">
        <f t="shared" si="118"/>
        <v>0</v>
      </c>
      <c r="AN581" s="180" t="str">
        <f>VLOOKUP($I581,'Price List, Weapons &amp; Items'!B:L,COLUMN('Price List, Weapons &amp; Items'!$J$11)-1,0)</f>
        <v>.</v>
      </c>
      <c r="AO581" s="180" t="str">
        <f>IF(I581=".",".",VLOOKUP($I581,'Price List, Weapons &amp; Items'!B:J,3,0))</f>
        <v>.</v>
      </c>
      <c r="AP581" s="545" t="e">
        <f t="shared" ca="1" si="125"/>
        <v>#NAME?</v>
      </c>
      <c r="AQ581" s="180" t="str">
        <f>VLOOKUP($I581,'Price List, Weapons &amp; Items'!B:L,COLUMN('Price List, Weapons &amp; Items'!$L$11)-1,0)</f>
        <v>no price, 0 count</v>
      </c>
      <c r="AR581" s="180">
        <f t="shared" si="119"/>
        <v>1</v>
      </c>
      <c r="AS581" s="180">
        <f t="shared" si="120"/>
        <v>1</v>
      </c>
      <c r="AT581" s="180">
        <f t="shared" si="121"/>
        <v>1</v>
      </c>
      <c r="AU581" s="180" t="str">
        <f t="shared" si="122"/>
        <v>.</v>
      </c>
      <c r="AV581" s="180" t="str">
        <f t="shared" si="123"/>
        <v>.</v>
      </c>
      <c r="AW581" s="180">
        <f>IFERROR(VLOOKUP(B581,'Share, Heavy Weapons to Ukraine'!B:J,COLUMN('Share, Heavy Weapons to Ukraine'!C593)-1,0),0)</f>
        <v>0</v>
      </c>
      <c r="AX581" s="180">
        <f>VLOOKUP('Bilateral Assistance, MAIN DATA'!B581,'Country Summary'!B:F,COLUMN('Country Summary'!C596)-1,FALSE)</f>
        <v>1</v>
      </c>
      <c r="AY581" s="180" t="str">
        <f>IF(AND(AD581=1,D581="Military",H581&lt;&gt;"Not given")=TRUE,IF(SUMIFS(P:P,A:A,A581)&gt;0,ABS((SUMIFS(P:P,A:A,A581)/VLOOKUP("USD",'Exchange Rates'!B:C,2,0)))/S581,"."),".")</f>
        <v>.</v>
      </c>
      <c r="AZ581" s="182" t="str">
        <f>IF(AND(AD581=1,D581="Military",H581&lt;&gt;"Not given")=TRUE,IF(SUMIFS(P:P,A:A,A581)&gt;0,IF((ABS((SUMIFS(P:P,A:A,A581)/VLOOKUP("USD",'Exchange Rates'!B:C,2,0)))/S581)&gt;1,(SUMIFS(P:P,A:A,A581)-S581)/S581,(S581-SUMIFS(P:P,A:A,A581))/SUMIFS(P:P,A:A,A581)),"."),".")</f>
        <v>.</v>
      </c>
      <c r="BA581" s="182"/>
      <c r="BB581" s="182"/>
      <c r="BC581" s="182"/>
      <c r="BD581" s="182"/>
      <c r="BE581" s="182"/>
      <c r="BF581" s="182"/>
      <c r="BG581" s="182"/>
      <c r="BH581" s="182"/>
      <c r="BI581" s="182"/>
      <c r="BJ581" s="182"/>
      <c r="BK581" s="182"/>
      <c r="BL581" s="182"/>
      <c r="BM581" s="182"/>
      <c r="BN581" s="182"/>
      <c r="BO581" s="182"/>
      <c r="BP581" s="182"/>
      <c r="BQ581" s="182"/>
      <c r="BR581" s="182"/>
      <c r="BS581" s="182"/>
    </row>
    <row r="582" spans="1:71" ht="15.9" customHeight="1" x14ac:dyDescent="0.3">
      <c r="A582" s="5" t="s">
        <v>1765</v>
      </c>
      <c r="B582" s="5" t="s">
        <v>1730</v>
      </c>
      <c r="C582" s="174">
        <v>44691</v>
      </c>
      <c r="D582" s="5" t="s">
        <v>285</v>
      </c>
      <c r="E582" s="5" t="s">
        <v>339</v>
      </c>
      <c r="F582" s="175" t="s">
        <v>1766</v>
      </c>
      <c r="G582" s="15" t="s">
        <v>260</v>
      </c>
      <c r="H582" s="176" t="s">
        <v>341</v>
      </c>
      <c r="I582" s="17" t="s">
        <v>1767</v>
      </c>
      <c r="J582" s="113" t="str">
        <f>VLOOKUP($I582,'Price List, Weapons &amp; Items'!B:C,2,0)</f>
        <v>Heavy weapon</v>
      </c>
      <c r="K582" s="113" t="str">
        <f>IF(I582=".",I582,VLOOKUP($I582,'Price List, Weapons &amp; Items'!B:D,3,0))</f>
        <v>155mm howitzer</v>
      </c>
      <c r="L582" s="177">
        <f>VLOOKUP(I582,'Price List, Weapons &amp; Items'!B:E,4,0)</f>
        <v>0</v>
      </c>
      <c r="M582" s="542" t="s">
        <v>270</v>
      </c>
      <c r="N582" s="542" t="s">
        <v>270</v>
      </c>
      <c r="O582" s="543">
        <f>VLOOKUP($I582,'Price List, Weapons &amp; Items'!B:G,6,0)</f>
        <v>895040.34</v>
      </c>
      <c r="P582" s="176" t="str">
        <f t="shared" si="114"/>
        <v>.</v>
      </c>
      <c r="Q582" s="176" t="str">
        <f t="shared" si="115"/>
        <v>.</v>
      </c>
      <c r="R582" s="176" t="str">
        <f t="shared" si="124"/>
        <v>.</v>
      </c>
      <c r="S582" s="176" t="str">
        <f>IF(AND(AD582=1,R582&lt;&gt;".")=TRUE,R582/VLOOKUP(G582,'Exchange Rates'!B:C,2,0),IF(R582=".",".",""))</f>
        <v>.</v>
      </c>
      <c r="T582" s="176" t="str">
        <f>IF(AD582=1,IF(AF582="Value is not given at all",".",IF(AF582="Value is given by the source",S582,IF(AF582="Value is calculated with prices",(IF(SUMIFS(Q:Q,A:A,A582)&gt;0,SUMIFS(Q:Q,A:A,A582),"."))/VLOOKUP("USD",'Exchange Rates'!B:C,2,0),"Error with coding"))),"")</f>
        <v>.</v>
      </c>
      <c r="U582" s="15" t="s">
        <v>261</v>
      </c>
      <c r="V582" s="547" t="s">
        <v>1768</v>
      </c>
      <c r="W582" s="547" t="s">
        <v>1769</v>
      </c>
      <c r="X582" s="547" t="s">
        <v>1770</v>
      </c>
      <c r="Y582" s="547" t="s">
        <v>1771</v>
      </c>
      <c r="Z582" s="15">
        <v>0</v>
      </c>
      <c r="AA582" s="180">
        <v>0</v>
      </c>
      <c r="AB582" s="550" t="s">
        <v>1772</v>
      </c>
      <c r="AC582" s="544" t="str">
        <f>""</f>
        <v/>
      </c>
      <c r="AD582" s="181">
        <v>1</v>
      </c>
      <c r="AE582" s="181" t="s">
        <v>265</v>
      </c>
      <c r="AF582" s="181" t="s">
        <v>265</v>
      </c>
      <c r="AG582" s="181">
        <v>1</v>
      </c>
      <c r="AH582" s="181">
        <v>5</v>
      </c>
      <c r="AI582" s="181">
        <v>0</v>
      </c>
      <c r="AJ582" s="181">
        <f>VLOOKUP($I582,'Price List, Weapons &amp; Items'!B:F,5,0)</f>
        <v>1</v>
      </c>
      <c r="AK582" s="181">
        <f t="shared" si="116"/>
        <v>1</v>
      </c>
      <c r="AL582" s="181">
        <f t="shared" si="117"/>
        <v>1</v>
      </c>
      <c r="AM582" s="181">
        <f t="shared" si="118"/>
        <v>0</v>
      </c>
      <c r="AN582" s="180" t="str">
        <f>VLOOKUP($I582,'Price List, Weapons &amp; Items'!B:L,COLUMN('Price List, Weapons &amp; Items'!$J$11)-1,0)</f>
        <v>Military media (incl. websites)</v>
      </c>
      <c r="AO582" s="180" t="str">
        <f>IF(I582=".",".",VLOOKUP($I582,'Price List, Weapons &amp; Items'!B:J,3,0))</f>
        <v>155mm howitzer</v>
      </c>
      <c r="AP582" s="545" t="e">
        <f t="shared" ca="1" si="125"/>
        <v>#NAME?</v>
      </c>
      <c r="AQ582" s="180" t="str">
        <f>VLOOKUP($I582,'Price List, Weapons &amp; Items'!B:L,COLUMN('Price List, Weapons &amp; Items'!$L$11)-1,0)</f>
        <v>no price, 0 count</v>
      </c>
      <c r="AR582" s="180">
        <f t="shared" si="119"/>
        <v>1</v>
      </c>
      <c r="AS582" s="180">
        <f t="shared" si="120"/>
        <v>1</v>
      </c>
      <c r="AT582" s="180">
        <f t="shared" si="121"/>
        <v>1</v>
      </c>
      <c r="AU582" s="180" t="str">
        <f t="shared" si="122"/>
        <v>.</v>
      </c>
      <c r="AV582" s="180" t="str">
        <f t="shared" si="123"/>
        <v>.</v>
      </c>
      <c r="AW582" s="180">
        <f>IFERROR(VLOOKUP(B582,'Share, Heavy Weapons to Ukraine'!B:J,COLUMN('Share, Heavy Weapons to Ukraine'!C594)-1,0),0)</f>
        <v>0</v>
      </c>
      <c r="AX582" s="180">
        <f>VLOOKUP('Bilateral Assistance, MAIN DATA'!B582,'Country Summary'!B:F,COLUMN('Country Summary'!C597)-1,FALSE)</f>
        <v>1</v>
      </c>
      <c r="AY582" s="180" t="str">
        <f>IF(AND(AD582=1,D582="Military",H582&lt;&gt;"Not given")=TRUE,IF(SUMIFS(P:P,A:A,A582)&gt;0,ABS((SUMIFS(P:P,A:A,A582)/VLOOKUP("USD",'Exchange Rates'!B:C,2,0)))/S582,"."),".")</f>
        <v>.</v>
      </c>
      <c r="AZ582" s="182" t="str">
        <f>IF(AND(AD582=1,D582="Military",H582&lt;&gt;"Not given")=TRUE,IF(SUMIFS(P:P,A:A,A582)&gt;0,IF((ABS((SUMIFS(P:P,A:A,A582)/VLOOKUP("USD",'Exchange Rates'!B:C,2,0)))/S582)&gt;1,(SUMIFS(P:P,A:A,A582)-S582)/S582,(S582-SUMIFS(P:P,A:A,A582))/SUMIFS(P:P,A:A,A582)),"."),".")</f>
        <v>.</v>
      </c>
      <c r="BA582" s="182"/>
      <c r="BB582" s="182"/>
      <c r="BC582" s="182"/>
      <c r="BD582" s="182"/>
      <c r="BE582" s="182"/>
      <c r="BF582" s="182"/>
      <c r="BG582" s="182"/>
      <c r="BH582" s="182"/>
      <c r="BI582" s="182"/>
      <c r="BJ582" s="182"/>
      <c r="BK582" s="182"/>
      <c r="BL582" s="182"/>
      <c r="BM582" s="182"/>
      <c r="BN582" s="182"/>
      <c r="BO582" s="182"/>
      <c r="BP582" s="182"/>
      <c r="BQ582" s="182"/>
      <c r="BR582" s="182"/>
      <c r="BS582" s="182"/>
    </row>
    <row r="583" spans="1:71" ht="15.9" customHeight="1" x14ac:dyDescent="0.3">
      <c r="A583" s="5" t="s">
        <v>1765</v>
      </c>
      <c r="B583" s="5" t="s">
        <v>1730</v>
      </c>
      <c r="C583" s="174">
        <v>44691</v>
      </c>
      <c r="D583" s="5" t="s">
        <v>285</v>
      </c>
      <c r="E583" s="5" t="s">
        <v>339</v>
      </c>
      <c r="F583" s="175" t="s">
        <v>1766</v>
      </c>
      <c r="G583" s="15" t="s">
        <v>260</v>
      </c>
      <c r="H583" s="176" t="s">
        <v>341</v>
      </c>
      <c r="I583" s="17" t="s">
        <v>1773</v>
      </c>
      <c r="J583" s="113" t="str">
        <f>VLOOKUP($I583,'Price List, Weapons &amp; Items'!B:C,2,0)</f>
        <v>Heavy weapon</v>
      </c>
      <c r="K583" s="113" t="str">
        <f>IF(I583=".",I583,VLOOKUP($I583,'Price List, Weapons &amp; Items'!B:D,3,0))</f>
        <v>Armoured Personnel Carrier (APC)</v>
      </c>
      <c r="L583" s="177">
        <f>VLOOKUP(I583,'Price List, Weapons &amp; Items'!B:E,4,0)</f>
        <v>0</v>
      </c>
      <c r="M583" s="542" t="s">
        <v>270</v>
      </c>
      <c r="N583" s="542" t="s">
        <v>270</v>
      </c>
      <c r="O583" s="543">
        <f>VLOOKUP($I583,'Price List, Weapons &amp; Items'!B:G,6,0)</f>
        <v>300000</v>
      </c>
      <c r="P583" s="176" t="str">
        <f t="shared" si="114"/>
        <v>.</v>
      </c>
      <c r="Q583" s="176" t="str">
        <f t="shared" si="115"/>
        <v>.</v>
      </c>
      <c r="R583" s="176" t="str">
        <f t="shared" si="124"/>
        <v/>
      </c>
      <c r="S583" s="176" t="str">
        <f>IF(AND(AD583=1,R583&lt;&gt;".")=TRUE,R583/VLOOKUP(G583,'Exchange Rates'!B:C,2,0),IF(R583=".",".",""))</f>
        <v/>
      </c>
      <c r="T583" s="176" t="str">
        <f>IF(AD583=1,IF(AF583="Value is not given at all",".",IF(AF583="Value is given by the source",S583,IF(AF583="Value is calculated with prices",(IF(SUMIFS(Q:Q,A:A,A583)&gt;0,SUMIFS(Q:Q,A:A,A583),"."))/VLOOKUP("USD",'Exchange Rates'!B:C,2,0),"Error with coding"))),"")</f>
        <v/>
      </c>
      <c r="U583" s="15" t="s">
        <v>261</v>
      </c>
      <c r="V583" s="547" t="s">
        <v>1768</v>
      </c>
      <c r="W583" s="547" t="s">
        <v>1769</v>
      </c>
      <c r="X583" s="547" t="s">
        <v>1770</v>
      </c>
      <c r="Y583" s="547" t="s">
        <v>1771</v>
      </c>
      <c r="Z583" s="15">
        <v>0</v>
      </c>
      <c r="AA583" s="180">
        <v>0</v>
      </c>
      <c r="AB583" s="550" t="s">
        <v>1772</v>
      </c>
      <c r="AC583" s="544" t="str">
        <f>""</f>
        <v/>
      </c>
      <c r="AD583" s="181">
        <v>0</v>
      </c>
      <c r="AE583" s="181" t="s">
        <v>265</v>
      </c>
      <c r="AF583" s="181" t="s">
        <v>265</v>
      </c>
      <c r="AG583" s="181">
        <v>1</v>
      </c>
      <c r="AH583" s="181">
        <v>5</v>
      </c>
      <c r="AI583" s="181">
        <v>0</v>
      </c>
      <c r="AJ583" s="181">
        <f>VLOOKUP($I583,'Price List, Weapons &amp; Items'!B:F,5,0)</f>
        <v>1</v>
      </c>
      <c r="AK583" s="181">
        <f t="shared" si="116"/>
        <v>1</v>
      </c>
      <c r="AL583" s="181">
        <f t="shared" si="117"/>
        <v>1</v>
      </c>
      <c r="AM583" s="181">
        <f t="shared" si="118"/>
        <v>0</v>
      </c>
      <c r="AN583" s="180" t="str">
        <f>VLOOKUP($I583,'Price List, Weapons &amp; Items'!B:L,COLUMN('Price List, Weapons &amp; Items'!$J$11)-1,0)</f>
        <v>Miscellaneous</v>
      </c>
      <c r="AO583" s="180" t="str">
        <f>IF(I583=".",".",VLOOKUP($I583,'Price List, Weapons &amp; Items'!B:J,3,0))</f>
        <v>Armoured Personnel Carrier (APC)</v>
      </c>
      <c r="AP583" s="545" t="str">
        <f t="shared" ca="1" si="125"/>
        <v/>
      </c>
      <c r="AQ583" s="180" t="str">
        <f>VLOOKUP($I583,'Price List, Weapons &amp; Items'!B:L,COLUMN('Price List, Weapons &amp; Items'!$L$11)-1,0)</f>
        <v>no price, 0 count</v>
      </c>
      <c r="AR583" s="180">
        <f t="shared" si="119"/>
        <v>1</v>
      </c>
      <c r="AS583" s="180">
        <f t="shared" si="120"/>
        <v>1</v>
      </c>
      <c r="AT583" s="180">
        <f t="shared" si="121"/>
        <v>1</v>
      </c>
      <c r="AU583" s="180" t="str">
        <f t="shared" si="122"/>
        <v>.</v>
      </c>
      <c r="AV583" s="180" t="str">
        <f t="shared" si="123"/>
        <v>.</v>
      </c>
      <c r="AW583" s="180">
        <f>IFERROR(VLOOKUP(B583,'Share, Heavy Weapons to Ukraine'!B:J,COLUMN('Share, Heavy Weapons to Ukraine'!C595)-1,0),0)</f>
        <v>0</v>
      </c>
      <c r="AX583" s="180">
        <f>VLOOKUP('Bilateral Assistance, MAIN DATA'!B583,'Country Summary'!B:F,COLUMN('Country Summary'!C598)-1,FALSE)</f>
        <v>1</v>
      </c>
      <c r="AY583" s="180" t="str">
        <f>IF(AND(AD583=1,D583="Military",H583&lt;&gt;"Not given")=TRUE,IF(SUMIFS(P:P,A:A,A583)&gt;0,ABS((SUMIFS(P:P,A:A,A583)/VLOOKUP("USD",'Exchange Rates'!B:C,2,0)))/S583,"."),".")</f>
        <v>.</v>
      </c>
      <c r="AZ583" s="182" t="str">
        <f>IF(AND(AD583=1,D583="Military",H583&lt;&gt;"Not given")=TRUE,IF(SUMIFS(P:P,A:A,A583)&gt;0,IF((ABS((SUMIFS(P:P,A:A,A583)/VLOOKUP("USD",'Exchange Rates'!B:C,2,0)))/S583)&gt;1,(SUMIFS(P:P,A:A,A583)-S583)/S583,(S583-SUMIFS(P:P,A:A,A583))/SUMIFS(P:P,A:A,A583)),"."),".")</f>
        <v>.</v>
      </c>
      <c r="BA583" s="182"/>
      <c r="BB583" s="182"/>
      <c r="BC583" s="182"/>
      <c r="BD583" s="182"/>
      <c r="BE583" s="182"/>
      <c r="BF583" s="182"/>
      <c r="BG583" s="182"/>
      <c r="BH583" s="182"/>
      <c r="BI583" s="182"/>
      <c r="BJ583" s="182"/>
      <c r="BK583" s="182"/>
      <c r="BL583" s="182"/>
      <c r="BM583" s="182"/>
      <c r="BN583" s="182"/>
      <c r="BO583" s="182"/>
      <c r="BP583" s="182"/>
      <c r="BQ583" s="182"/>
      <c r="BR583" s="182"/>
      <c r="BS583" s="182"/>
    </row>
    <row r="584" spans="1:71" ht="15.9" customHeight="1" x14ac:dyDescent="0.3">
      <c r="A584" s="5" t="s">
        <v>1765</v>
      </c>
      <c r="B584" s="5" t="s">
        <v>1730</v>
      </c>
      <c r="C584" s="174">
        <v>44691</v>
      </c>
      <c r="D584" s="5" t="s">
        <v>285</v>
      </c>
      <c r="E584" s="5" t="s">
        <v>339</v>
      </c>
      <c r="F584" s="175" t="s">
        <v>1766</v>
      </c>
      <c r="G584" s="15" t="s">
        <v>260</v>
      </c>
      <c r="H584" s="176" t="s">
        <v>341</v>
      </c>
      <c r="I584" s="17" t="s">
        <v>1774</v>
      </c>
      <c r="J584" s="113" t="str">
        <f>VLOOKUP($I584,'Price List, Weapons &amp; Items'!B:C,2,0)</f>
        <v>Heavy weapon</v>
      </c>
      <c r="K584" s="113" t="str">
        <f>IF(I584=".",I584,VLOOKUP($I584,'Price List, Weapons &amp; Items'!B:D,3,0))</f>
        <v>Armoured Utility Vehicle (AUV)</v>
      </c>
      <c r="L584" s="177">
        <f>VLOOKUP(I584,'Price List, Weapons &amp; Items'!B:E,4,0)</f>
        <v>0</v>
      </c>
      <c r="M584" s="542" t="s">
        <v>270</v>
      </c>
      <c r="N584" s="542" t="s">
        <v>270</v>
      </c>
      <c r="O584" s="543">
        <f>VLOOKUP($I584,'Price List, Weapons &amp; Items'!B:G,6,0)</f>
        <v>533100</v>
      </c>
      <c r="P584" s="176" t="str">
        <f t="shared" si="114"/>
        <v>.</v>
      </c>
      <c r="Q584" s="176" t="str">
        <f t="shared" si="115"/>
        <v>.</v>
      </c>
      <c r="R584" s="176" t="str">
        <f t="shared" si="124"/>
        <v/>
      </c>
      <c r="S584" s="176" t="str">
        <f>IF(AND(AD584=1,R584&lt;&gt;".")=TRUE,R584/VLOOKUP(G584,'Exchange Rates'!B:C,2,0),IF(R584=".",".",""))</f>
        <v/>
      </c>
      <c r="T584" s="176" t="str">
        <f>IF(AD584=1,IF(AF584="Value is not given at all",".",IF(AF584="Value is given by the source",S584,IF(AF584="Value is calculated with prices",(IF(SUMIFS(Q:Q,A:A,A584)&gt;0,SUMIFS(Q:Q,A:A,A584),"."))/VLOOKUP("USD",'Exchange Rates'!B:C,2,0),"Error with coding"))),"")</f>
        <v/>
      </c>
      <c r="U584" s="15" t="s">
        <v>261</v>
      </c>
      <c r="V584" s="547" t="s">
        <v>1768</v>
      </c>
      <c r="W584" s="547" t="s">
        <v>1769</v>
      </c>
      <c r="X584" s="547" t="s">
        <v>1770</v>
      </c>
      <c r="Y584" s="547" t="s">
        <v>1771</v>
      </c>
      <c r="Z584" s="15">
        <v>0</v>
      </c>
      <c r="AA584" s="180">
        <v>0</v>
      </c>
      <c r="AB584" s="17" t="s">
        <v>260</v>
      </c>
      <c r="AC584" s="544" t="str">
        <f>""</f>
        <v/>
      </c>
      <c r="AD584" s="181">
        <v>0</v>
      </c>
      <c r="AE584" s="181" t="s">
        <v>265</v>
      </c>
      <c r="AF584" s="181" t="s">
        <v>265</v>
      </c>
      <c r="AG584" s="181">
        <v>1</v>
      </c>
      <c r="AH584" s="181">
        <v>5</v>
      </c>
      <c r="AI584" s="181">
        <v>0</v>
      </c>
      <c r="AJ584" s="181">
        <f>VLOOKUP($I584,'Price List, Weapons &amp; Items'!B:F,5,0)</f>
        <v>1</v>
      </c>
      <c r="AK584" s="181">
        <f t="shared" si="116"/>
        <v>1</v>
      </c>
      <c r="AL584" s="181">
        <f t="shared" si="117"/>
        <v>1</v>
      </c>
      <c r="AM584" s="181">
        <f t="shared" si="118"/>
        <v>0</v>
      </c>
      <c r="AN584" s="180" t="str">
        <f>VLOOKUP($I584,'Price List, Weapons &amp; Items'!B:L,COLUMN('Price List, Weapons &amp; Items'!$J$11)-1,0)</f>
        <v>Contracts</v>
      </c>
      <c r="AO584" s="180" t="str">
        <f>IF(I584=".",".",VLOOKUP($I584,'Price List, Weapons &amp; Items'!B:J,3,0))</f>
        <v>Armoured Utility Vehicle (AUV)</v>
      </c>
      <c r="AP584" s="545" t="str">
        <f t="shared" ca="1" si="125"/>
        <v/>
      </c>
      <c r="AQ584" s="180" t="str">
        <f>VLOOKUP($I584,'Price List, Weapons &amp; Items'!B:L,COLUMN('Price List, Weapons &amp; Items'!$L$11)-1,0)</f>
        <v>no price, 0 count</v>
      </c>
      <c r="AR584" s="180">
        <f t="shared" si="119"/>
        <v>1</v>
      </c>
      <c r="AS584" s="180">
        <f t="shared" si="120"/>
        <v>1</v>
      </c>
      <c r="AT584" s="180">
        <f t="shared" si="121"/>
        <v>1</v>
      </c>
      <c r="AU584" s="180" t="str">
        <f t="shared" si="122"/>
        <v>.</v>
      </c>
      <c r="AV584" s="180" t="str">
        <f t="shared" si="123"/>
        <v>.</v>
      </c>
      <c r="AW584" s="180">
        <f>IFERROR(VLOOKUP(B584,'Share, Heavy Weapons to Ukraine'!B:J,COLUMN('Share, Heavy Weapons to Ukraine'!C596)-1,0),0)</f>
        <v>0</v>
      </c>
      <c r="AX584" s="180">
        <f>VLOOKUP('Bilateral Assistance, MAIN DATA'!B584,'Country Summary'!B:F,COLUMN('Country Summary'!C599)-1,FALSE)</f>
        <v>1</v>
      </c>
      <c r="AY584" s="180" t="str">
        <f>IF(AND(AD584=1,D584="Military",H584&lt;&gt;"Not given")=TRUE,IF(SUMIFS(P:P,A:A,A584)&gt;0,ABS((SUMIFS(P:P,A:A,A584)/VLOOKUP("USD",'Exchange Rates'!B:C,2,0)))/S584,"."),".")</f>
        <v>.</v>
      </c>
      <c r="AZ584" s="182" t="str">
        <f>IF(AND(AD584=1,D584="Military",H584&lt;&gt;"Not given")=TRUE,IF(SUMIFS(P:P,A:A,A584)&gt;0,IF((ABS((SUMIFS(P:P,A:A,A584)/VLOOKUP("USD",'Exchange Rates'!B:C,2,0)))/S584)&gt;1,(SUMIFS(P:P,A:A,A584)-S584)/S584,(S584-SUMIFS(P:P,A:A,A584))/SUMIFS(P:P,A:A,A584)),"."),".")</f>
        <v>.</v>
      </c>
      <c r="BA584" s="182"/>
      <c r="BB584" s="182"/>
      <c r="BC584" s="182"/>
      <c r="BD584" s="182"/>
      <c r="BE584" s="182"/>
      <c r="BF584" s="182"/>
      <c r="BG584" s="182"/>
      <c r="BH584" s="182"/>
      <c r="BI584" s="182"/>
      <c r="BJ584" s="182"/>
      <c r="BK584" s="182"/>
      <c r="BL584" s="182"/>
      <c r="BM584" s="182"/>
      <c r="BN584" s="182"/>
      <c r="BO584" s="182"/>
      <c r="BP584" s="182"/>
      <c r="BQ584" s="182"/>
      <c r="BR584" s="182"/>
      <c r="BS584" s="182"/>
    </row>
    <row r="585" spans="1:71" ht="15.9" customHeight="1" x14ac:dyDescent="0.3">
      <c r="A585" s="5" t="s">
        <v>1765</v>
      </c>
      <c r="B585" s="5" t="s">
        <v>1730</v>
      </c>
      <c r="C585" s="174">
        <v>44691</v>
      </c>
      <c r="D585" s="5" t="s">
        <v>285</v>
      </c>
      <c r="E585" s="5" t="s">
        <v>339</v>
      </c>
      <c r="F585" s="175" t="s">
        <v>1766</v>
      </c>
      <c r="G585" s="15" t="s">
        <v>260</v>
      </c>
      <c r="H585" s="176" t="s">
        <v>341</v>
      </c>
      <c r="I585" s="17" t="s">
        <v>1775</v>
      </c>
      <c r="J585" s="113" t="str">
        <f>VLOOKUP($I585,'Price List, Weapons &amp; Items'!B:C,2,0)</f>
        <v>Ammunition for heavy weapon</v>
      </c>
      <c r="K585" s="113" t="str">
        <f>IF(I585=".",I585,VLOOKUP($I585,'Price List, Weapons &amp; Items'!B:D,3,0))</f>
        <v>105mm</v>
      </c>
      <c r="L585" s="177">
        <f>VLOOKUP(I585,'Price List, Weapons &amp; Items'!B:E,4,0)</f>
        <v>0</v>
      </c>
      <c r="M585" s="542" t="s">
        <v>270</v>
      </c>
      <c r="N585" s="542" t="s">
        <v>270</v>
      </c>
      <c r="O585" s="543">
        <f>VLOOKUP($I585,'Price List, Weapons &amp; Items'!B:G,6,0)</f>
        <v>400</v>
      </c>
      <c r="P585" s="176" t="str">
        <f t="shared" si="114"/>
        <v>.</v>
      </c>
      <c r="Q585" s="176" t="str">
        <f t="shared" si="115"/>
        <v>.</v>
      </c>
      <c r="R585" s="176" t="str">
        <f t="shared" si="124"/>
        <v/>
      </c>
      <c r="S585" s="176" t="str">
        <f>IF(AND(AD585=1,R585&lt;&gt;".")=TRUE,R585/VLOOKUP(G585,'Exchange Rates'!B:C,2,0),IF(R585=".",".",""))</f>
        <v/>
      </c>
      <c r="T585" s="176" t="str">
        <f>IF(AD585=1,IF(AF585="Value is not given at all",".",IF(AF585="Value is given by the source",S585,IF(AF585="Value is calculated with prices",(IF(SUMIFS(Q:Q,A:A,A585)&gt;0,SUMIFS(Q:Q,A:A,A585),"."))/VLOOKUP("USD",'Exchange Rates'!B:C,2,0),"Error with coding"))),"")</f>
        <v/>
      </c>
      <c r="U585" s="15" t="s">
        <v>261</v>
      </c>
      <c r="V585" s="547" t="s">
        <v>1768</v>
      </c>
      <c r="W585" s="547" t="s">
        <v>1769</v>
      </c>
      <c r="X585" s="547" t="s">
        <v>1770</v>
      </c>
      <c r="Y585" s="547" t="s">
        <v>1771</v>
      </c>
      <c r="Z585" s="15">
        <v>0</v>
      </c>
      <c r="AA585" s="180">
        <v>0</v>
      </c>
      <c r="AB585" s="17" t="s">
        <v>260</v>
      </c>
      <c r="AC585" s="544" t="str">
        <f>""</f>
        <v/>
      </c>
      <c r="AD585" s="181">
        <v>0</v>
      </c>
      <c r="AE585" s="181" t="s">
        <v>265</v>
      </c>
      <c r="AF585" s="181" t="s">
        <v>265</v>
      </c>
      <c r="AG585" s="181">
        <v>1</v>
      </c>
      <c r="AH585" s="181">
        <v>5</v>
      </c>
      <c r="AI585" s="181">
        <v>0</v>
      </c>
      <c r="AJ585" s="181">
        <f>VLOOKUP($I585,'Price List, Weapons &amp; Items'!B:F,5,0)</f>
        <v>0</v>
      </c>
      <c r="AK585" s="181">
        <f t="shared" si="116"/>
        <v>0</v>
      </c>
      <c r="AL585" s="181">
        <f t="shared" si="117"/>
        <v>0</v>
      </c>
      <c r="AM585" s="181">
        <f t="shared" si="118"/>
        <v>1</v>
      </c>
      <c r="AN585" s="180" t="str">
        <f>VLOOKUP($I585,'Price List, Weapons &amp; Items'!B:L,COLUMN('Price List, Weapons &amp; Items'!$J$11)-1,0)</f>
        <v>Military media (incl. websites)</v>
      </c>
      <c r="AO585" s="180" t="str">
        <f>IF(I585=".",".",VLOOKUP($I585,'Price List, Weapons &amp; Items'!B:J,3,0))</f>
        <v>105mm</v>
      </c>
      <c r="AP585" s="545" t="str">
        <f t="shared" ca="1" si="125"/>
        <v/>
      </c>
      <c r="AQ585" s="180">
        <f>VLOOKUP($I585,'Price List, Weapons &amp; Items'!B:L,COLUMN('Price List, Weapons &amp; Items'!$L$11)-1,0)</f>
        <v>2</v>
      </c>
      <c r="AR585" s="180">
        <f t="shared" si="119"/>
        <v>1</v>
      </c>
      <c r="AS585" s="180">
        <f t="shared" si="120"/>
        <v>1</v>
      </c>
      <c r="AT585" s="180">
        <f t="shared" si="121"/>
        <v>1</v>
      </c>
      <c r="AU585" s="180" t="str">
        <f t="shared" si="122"/>
        <v>.</v>
      </c>
      <c r="AV585" s="180" t="str">
        <f t="shared" si="123"/>
        <v>.</v>
      </c>
      <c r="AW585" s="180">
        <f>IFERROR(VLOOKUP(B585,'Share, Heavy Weapons to Ukraine'!B:J,COLUMN('Share, Heavy Weapons to Ukraine'!C597)-1,0),0)</f>
        <v>0</v>
      </c>
      <c r="AX585" s="180">
        <f>VLOOKUP('Bilateral Assistance, MAIN DATA'!B585,'Country Summary'!B:F,COLUMN('Country Summary'!C600)-1,FALSE)</f>
        <v>1</v>
      </c>
      <c r="AY585" s="180" t="str">
        <f>IF(AND(AD585=1,D585="Military",H585&lt;&gt;"Not given")=TRUE,IF(SUMIFS(P:P,A:A,A585)&gt;0,ABS((SUMIFS(P:P,A:A,A585)/VLOOKUP("USD",'Exchange Rates'!B:C,2,0)))/S585,"."),".")</f>
        <v>.</v>
      </c>
      <c r="AZ585" s="182" t="str">
        <f>IF(AND(AD585=1,D585="Military",H585&lt;&gt;"Not given")=TRUE,IF(SUMIFS(P:P,A:A,A585)&gt;0,IF((ABS((SUMIFS(P:P,A:A,A585)/VLOOKUP("USD",'Exchange Rates'!B:C,2,0)))/S585)&gt;1,(SUMIFS(P:P,A:A,A585)-S585)/S585,(S585-SUMIFS(P:P,A:A,A585))/SUMIFS(P:P,A:A,A585)),"."),".")</f>
        <v>.</v>
      </c>
      <c r="BA585" s="182"/>
      <c r="BB585" s="182"/>
      <c r="BC585" s="182"/>
      <c r="BD585" s="182"/>
      <c r="BE585" s="182"/>
      <c r="BF585" s="182"/>
      <c r="BG585" s="182"/>
      <c r="BH585" s="182"/>
      <c r="BI585" s="182"/>
      <c r="BJ585" s="182"/>
      <c r="BK585" s="182"/>
      <c r="BL585" s="182"/>
      <c r="BM585" s="182"/>
      <c r="BN585" s="182"/>
      <c r="BO585" s="182"/>
      <c r="BP585" s="182"/>
      <c r="BQ585" s="182"/>
      <c r="BR585" s="182"/>
      <c r="BS585" s="182"/>
    </row>
    <row r="586" spans="1:71" ht="15.9" customHeight="1" x14ac:dyDescent="0.3">
      <c r="A586" s="17" t="s">
        <v>1776</v>
      </c>
      <c r="B586" s="17" t="s">
        <v>1730</v>
      </c>
      <c r="C586" s="174">
        <v>44769</v>
      </c>
      <c r="D586" s="5" t="s">
        <v>285</v>
      </c>
      <c r="E586" s="5" t="s">
        <v>339</v>
      </c>
      <c r="F586" s="175" t="s">
        <v>1777</v>
      </c>
      <c r="G586" s="15" t="s">
        <v>260</v>
      </c>
      <c r="H586" s="176" t="s">
        <v>341</v>
      </c>
      <c r="I586" s="17" t="s">
        <v>260</v>
      </c>
      <c r="J586" s="113" t="str">
        <f>VLOOKUP($I586,'Price List, Weapons &amp; Items'!B:C,2,0)</f>
        <v>.</v>
      </c>
      <c r="K586" s="113" t="str">
        <f>IF(I586=".",I586,VLOOKUP($I586,'Price List, Weapons &amp; Items'!B:D,3,0))</f>
        <v>.</v>
      </c>
      <c r="L586" s="177">
        <f>VLOOKUP(I586,'Price List, Weapons &amp; Items'!B:E,4,0)</f>
        <v>0</v>
      </c>
      <c r="M586" s="542" t="s">
        <v>260</v>
      </c>
      <c r="N586" s="542" t="s">
        <v>260</v>
      </c>
      <c r="O586" s="543" t="str">
        <f>VLOOKUP($I586,'Price List, Weapons &amp; Items'!B:G,6,0)</f>
        <v>.</v>
      </c>
      <c r="P586" s="176" t="str">
        <f t="shared" si="114"/>
        <v>.</v>
      </c>
      <c r="Q586" s="176" t="str">
        <f t="shared" si="115"/>
        <v>.</v>
      </c>
      <c r="R586" s="176" t="str">
        <f t="shared" si="124"/>
        <v>.</v>
      </c>
      <c r="S586" s="176" t="str">
        <f>IF(AND(AD586=1,R586&lt;&gt;".")=TRUE,R586/VLOOKUP(G586,'Exchange Rates'!B:C,2,0),IF(R586=".",".",""))</f>
        <v>.</v>
      </c>
      <c r="T586" s="176" t="str">
        <f>IF(AD586=1,IF(AF586="Value is not given at all",".",IF(AF586="Value is given by the source",S586,IF(AF586="Value is calculated with prices",(IF(SUMIFS(Q:Q,A:A,A586)&gt;0,SUMIFS(Q:Q,A:A,A586),"."))/VLOOKUP("USD",'Exchange Rates'!B:C,2,0),"Error with coding"))),"")</f>
        <v>.</v>
      </c>
      <c r="U586" s="15" t="s">
        <v>261</v>
      </c>
      <c r="V586" s="300" t="s">
        <v>1778</v>
      </c>
      <c r="W586" s="300" t="s">
        <v>1779</v>
      </c>
      <c r="X586" s="144" t="s">
        <v>260</v>
      </c>
      <c r="Y586" s="144" t="s">
        <v>260</v>
      </c>
      <c r="Z586" s="15">
        <v>0</v>
      </c>
      <c r="AA586" s="180">
        <v>0</v>
      </c>
      <c r="AB586" s="17" t="s">
        <v>260</v>
      </c>
      <c r="AC586" s="544" t="str">
        <f>""</f>
        <v/>
      </c>
      <c r="AD586" s="181">
        <v>1</v>
      </c>
      <c r="AE586" s="181" t="s">
        <v>265</v>
      </c>
      <c r="AF586" s="181" t="s">
        <v>265</v>
      </c>
      <c r="AG586" s="181">
        <v>1</v>
      </c>
      <c r="AH586" s="181">
        <v>7</v>
      </c>
      <c r="AI586" s="181">
        <v>0</v>
      </c>
      <c r="AJ586" s="181">
        <f>VLOOKUP($I586,'Price List, Weapons &amp; Items'!B:F,5,0)</f>
        <v>0</v>
      </c>
      <c r="AK586" s="181">
        <f t="shared" si="116"/>
        <v>0</v>
      </c>
      <c r="AL586" s="181">
        <f t="shared" si="117"/>
        <v>0</v>
      </c>
      <c r="AM586" s="181">
        <f t="shared" si="118"/>
        <v>0</v>
      </c>
      <c r="AN586" s="180" t="str">
        <f>VLOOKUP($I586,'Price List, Weapons &amp; Items'!B:L,COLUMN('Price List, Weapons &amp; Items'!$J$11)-1,0)</f>
        <v>.</v>
      </c>
      <c r="AO586" s="180" t="str">
        <f>IF(I586=".",".",VLOOKUP($I586,'Price List, Weapons &amp; Items'!B:J,3,0))</f>
        <v>.</v>
      </c>
      <c r="AP586" s="545" t="e">
        <f t="shared" ca="1" si="125"/>
        <v>#NAME?</v>
      </c>
      <c r="AQ586" s="180" t="str">
        <f>VLOOKUP($I586,'Price List, Weapons &amp; Items'!B:L,COLUMN('Price List, Weapons &amp; Items'!$L$11)-1,0)</f>
        <v>no price, 0 count</v>
      </c>
      <c r="AR586" s="180">
        <f t="shared" si="119"/>
        <v>1</v>
      </c>
      <c r="AS586" s="180">
        <f t="shared" si="120"/>
        <v>1</v>
      </c>
      <c r="AT586" s="180">
        <f t="shared" si="121"/>
        <v>1</v>
      </c>
      <c r="AU586" s="180" t="str">
        <f t="shared" si="122"/>
        <v>.</v>
      </c>
      <c r="AV586" s="180" t="str">
        <f t="shared" si="123"/>
        <v>.</v>
      </c>
      <c r="AW586" s="180">
        <f>IFERROR(VLOOKUP(B586,'Share, Heavy Weapons to Ukraine'!B:J,COLUMN('Share, Heavy Weapons to Ukraine'!C598)-1,0),0)</f>
        <v>0</v>
      </c>
      <c r="AX586" s="180">
        <f>VLOOKUP('Bilateral Assistance, MAIN DATA'!B586,'Country Summary'!B:F,COLUMN('Country Summary'!C601)-1,FALSE)</f>
        <v>1</v>
      </c>
      <c r="AY586" s="180" t="str">
        <f>IF(AND(AD586=1,D586="Military",H586&lt;&gt;"Not given")=TRUE,IF(SUMIFS(P:P,A:A,A586)&gt;0,ABS((SUMIFS(P:P,A:A,A586)/VLOOKUP("USD",'Exchange Rates'!B:C,2,0)))/S586,"."),".")</f>
        <v>.</v>
      </c>
      <c r="AZ586" s="182" t="str">
        <f>IF(AND(AD586=1,D586="Military",H586&lt;&gt;"Not given")=TRUE,IF(SUMIFS(P:P,A:A,A586)&gt;0,IF((ABS((SUMIFS(P:P,A:A,A586)/VLOOKUP("USD",'Exchange Rates'!B:C,2,0)))/S586)&gt;1,(SUMIFS(P:P,A:A,A586)-S586)/S586,(S586-SUMIFS(P:P,A:A,A586))/SUMIFS(P:P,A:A,A586)),"."),".")</f>
        <v>.</v>
      </c>
      <c r="BA586" s="182"/>
      <c r="BB586" s="182"/>
      <c r="BC586" s="182"/>
      <c r="BD586" s="182"/>
      <c r="BE586" s="182"/>
      <c r="BF586" s="182"/>
      <c r="BG586" s="182"/>
      <c r="BH586" s="182"/>
      <c r="BI586" s="182"/>
      <c r="BJ586" s="182"/>
      <c r="BK586" s="182"/>
      <c r="BL586" s="182"/>
      <c r="BM586" s="182"/>
      <c r="BN586" s="182"/>
      <c r="BO586" s="182"/>
      <c r="BP586" s="182"/>
      <c r="BQ586" s="182"/>
      <c r="BR586" s="182"/>
      <c r="BS586" s="182"/>
    </row>
    <row r="587" spans="1:71" ht="15.9" customHeight="1" x14ac:dyDescent="0.3">
      <c r="A587" s="17" t="s">
        <v>1780</v>
      </c>
      <c r="B587" s="17" t="s">
        <v>1730</v>
      </c>
      <c r="C587" s="174">
        <v>44851</v>
      </c>
      <c r="D587" s="5" t="s">
        <v>285</v>
      </c>
      <c r="E587" s="5" t="s">
        <v>339</v>
      </c>
      <c r="F587" s="175" t="s">
        <v>1781</v>
      </c>
      <c r="G587" s="15" t="s">
        <v>364</v>
      </c>
      <c r="H587" s="176" t="s">
        <v>341</v>
      </c>
      <c r="I587" s="17" t="s">
        <v>260</v>
      </c>
      <c r="J587" s="113" t="str">
        <f>VLOOKUP($I587,'Price List, Weapons &amp; Items'!B:C,2,0)</f>
        <v>.</v>
      </c>
      <c r="K587" s="113" t="str">
        <f>IF(I587=".",I587,VLOOKUP($I587,'Price List, Weapons &amp; Items'!B:D,3,0))</f>
        <v>.</v>
      </c>
      <c r="L587" s="177">
        <f>VLOOKUP(I587,'Price List, Weapons &amp; Items'!B:E,4,0)</f>
        <v>0</v>
      </c>
      <c r="M587" s="542" t="s">
        <v>260</v>
      </c>
      <c r="N587" s="542" t="s">
        <v>260</v>
      </c>
      <c r="O587" s="543" t="str">
        <f>VLOOKUP($I587,'Price List, Weapons &amp; Items'!B:G,6,0)</f>
        <v>.</v>
      </c>
      <c r="P587" s="176" t="str">
        <f t="shared" si="114"/>
        <v>.</v>
      </c>
      <c r="Q587" s="176" t="str">
        <f t="shared" si="115"/>
        <v>.</v>
      </c>
      <c r="R587" s="176" t="str">
        <f t="shared" si="124"/>
        <v>.</v>
      </c>
      <c r="S587" s="176" t="str">
        <f>IF(AND(AD587=1,R587&lt;&gt;".")=TRUE,R587/VLOOKUP(G587,'Exchange Rates'!B:C,2,0),IF(R587=".",".",""))</f>
        <v>.</v>
      </c>
      <c r="T587" s="176" t="str">
        <f>IF(AD587=1,IF(AF587="Value is not given at all",".",IF(AF587="Value is given by the source",S587,IF(AF587="Value is calculated with prices",(IF(SUMIFS(Q:Q,A:A,A587)&gt;0,SUMIFS(Q:Q,A:A,A587),"."))/VLOOKUP("USD",'Exchange Rates'!B:C,2,0),"Error with coding"))),"")</f>
        <v>.</v>
      </c>
      <c r="U587" s="15" t="s">
        <v>415</v>
      </c>
      <c r="V587" s="303" t="s">
        <v>1782</v>
      </c>
      <c r="W587" s="144" t="s">
        <v>260</v>
      </c>
      <c r="X587" s="144" t="s">
        <v>260</v>
      </c>
      <c r="Y587" s="668" t="s">
        <v>260</v>
      </c>
      <c r="Z587" s="15">
        <v>0</v>
      </c>
      <c r="AA587" s="180">
        <v>0</v>
      </c>
      <c r="AB587" s="669" t="s">
        <v>260</v>
      </c>
      <c r="AC587" s="544" t="str">
        <f>""</f>
        <v/>
      </c>
      <c r="AD587" s="181">
        <v>1</v>
      </c>
      <c r="AE587" s="181" t="s">
        <v>265</v>
      </c>
      <c r="AF587" s="181" t="s">
        <v>265</v>
      </c>
      <c r="AG587" s="181">
        <v>1</v>
      </c>
      <c r="AH587" s="181">
        <v>10</v>
      </c>
      <c r="AI587" s="181">
        <v>0</v>
      </c>
      <c r="AJ587" s="181">
        <f>VLOOKUP($I587,'Price List, Weapons &amp; Items'!B:F,5,0)</f>
        <v>0</v>
      </c>
      <c r="AK587" s="181">
        <f t="shared" si="116"/>
        <v>0</v>
      </c>
      <c r="AL587" s="181">
        <f t="shared" si="117"/>
        <v>0</v>
      </c>
      <c r="AM587" s="181">
        <f t="shared" si="118"/>
        <v>0</v>
      </c>
      <c r="AN587" s="180" t="str">
        <f>VLOOKUP($I587,'Price List, Weapons &amp; Items'!B:L,COLUMN('Price List, Weapons &amp; Items'!$J$11)-1,0)</f>
        <v>.</v>
      </c>
      <c r="AO587" s="180" t="str">
        <f>IF(I587=".",".",VLOOKUP($I587,'Price List, Weapons &amp; Items'!B:J,3,0))</f>
        <v>.</v>
      </c>
      <c r="AP587" s="545" t="e">
        <f t="shared" ca="1" si="125"/>
        <v>#NAME?</v>
      </c>
      <c r="AQ587" s="180" t="str">
        <f>VLOOKUP($I587,'Price List, Weapons &amp; Items'!B:L,COLUMN('Price List, Weapons &amp; Items'!$L$11)-1,0)</f>
        <v>no price, 0 count</v>
      </c>
      <c r="AR587" s="180">
        <f t="shared" si="119"/>
        <v>0</v>
      </c>
      <c r="AS587" s="180">
        <f t="shared" si="120"/>
        <v>1</v>
      </c>
      <c r="AT587" s="180">
        <f t="shared" si="121"/>
        <v>1</v>
      </c>
      <c r="AU587" s="180" t="str">
        <f t="shared" si="122"/>
        <v>.</v>
      </c>
      <c r="AV587" s="180" t="str">
        <f t="shared" si="123"/>
        <v>.</v>
      </c>
      <c r="AW587" s="180">
        <f>IFERROR(VLOOKUP(B587,'Share, Heavy Weapons to Ukraine'!B:J,COLUMN('Share, Heavy Weapons to Ukraine'!C599)-1,0),0)</f>
        <v>0</v>
      </c>
      <c r="AX587" s="180">
        <f>VLOOKUP('Bilateral Assistance, MAIN DATA'!B587,'Country Summary'!B:F,COLUMN('Country Summary'!C602)-1,FALSE)</f>
        <v>1</v>
      </c>
      <c r="AY587" s="180" t="str">
        <f>IF(AND(AD587=1,D587="Military",H587&lt;&gt;"Not given")=TRUE,IF(SUMIFS(P:P,A:A,A587)&gt;0,ABS((SUMIFS(P:P,A:A,A587)/VLOOKUP("USD",'Exchange Rates'!B:C,2,0)))/S587,"."),".")</f>
        <v>.</v>
      </c>
      <c r="AZ587" s="182" t="str">
        <f>IF(AND(AD587=1,D587="Military",H587&lt;&gt;"Not given")=TRUE,IF(SUMIFS(P:P,A:A,A587)&gt;0,IF((ABS((SUMIFS(P:P,A:A,A587)/VLOOKUP("USD",'Exchange Rates'!B:C,2,0)))/S587)&gt;1,(SUMIFS(P:P,A:A,A587)-S587)/S587,(S587-SUMIFS(P:P,A:A,A587))/SUMIFS(P:P,A:A,A587)),"."),".")</f>
        <v>.</v>
      </c>
      <c r="BA587" s="182"/>
      <c r="BB587" s="182"/>
      <c r="BC587" s="182"/>
      <c r="BD587" s="182"/>
      <c r="BE587" s="182"/>
      <c r="BF587" s="182"/>
      <c r="BG587" s="182"/>
      <c r="BH587" s="182"/>
      <c r="BI587" s="182"/>
      <c r="BJ587" s="182"/>
      <c r="BK587" s="182"/>
      <c r="BL587" s="182"/>
      <c r="BM587" s="182"/>
      <c r="BN587" s="182"/>
      <c r="BO587" s="182"/>
      <c r="BP587" s="182"/>
      <c r="BQ587" s="182"/>
      <c r="BR587" s="182"/>
      <c r="BS587" s="182"/>
    </row>
    <row r="588" spans="1:71" ht="15.9" customHeight="1" x14ac:dyDescent="0.3">
      <c r="A588" s="17" t="s">
        <v>1783</v>
      </c>
      <c r="B588" s="17" t="s">
        <v>1730</v>
      </c>
      <c r="C588" s="174" t="s">
        <v>1065</v>
      </c>
      <c r="D588" s="5" t="s">
        <v>285</v>
      </c>
      <c r="E588" s="5" t="s">
        <v>339</v>
      </c>
      <c r="F588" s="1139" t="s">
        <v>1784</v>
      </c>
      <c r="G588" s="15" t="s">
        <v>364</v>
      </c>
      <c r="H588" s="176" t="s">
        <v>341</v>
      </c>
      <c r="I588" s="159" t="s">
        <v>1273</v>
      </c>
      <c r="J588" s="113" t="str">
        <f>VLOOKUP($I588,'Price List, Weapons &amp; Items'!B:C,2,0)</f>
        <v>Heavy weapon</v>
      </c>
      <c r="K588" s="113" t="str">
        <f>IF(I588=".",I588,VLOOKUP($I588,'Price List, Weapons &amp; Items'!B:D,3,0))</f>
        <v>227mm MLRS</v>
      </c>
      <c r="L588" s="177">
        <f>VLOOKUP(I588,'Price List, Weapons &amp; Items'!B:E,4,0)</f>
        <v>0</v>
      </c>
      <c r="M588" s="542">
        <v>2</v>
      </c>
      <c r="N588" s="542" t="s">
        <v>270</v>
      </c>
      <c r="O588" s="543">
        <f>VLOOKUP($I588,'Price List, Weapons &amp; Items'!B:G,6,0)</f>
        <v>13615659.128881287</v>
      </c>
      <c r="P588" s="176">
        <f t="shared" si="114"/>
        <v>27231318.257762574</v>
      </c>
      <c r="Q588" s="176" t="str">
        <f t="shared" si="115"/>
        <v>.</v>
      </c>
      <c r="R588" s="176">
        <f t="shared" si="124"/>
        <v>169148380.62565362</v>
      </c>
      <c r="S588" s="176">
        <f>IF(AND(AD588=1,R588&lt;&gt;".")=TRUE,R588/VLOOKUP(G588,'Exchange Rates'!B:C,2,0),IF(R588=".",".",""))</f>
        <v>169148380.62565362</v>
      </c>
      <c r="T588" s="176" t="str">
        <f>IF(AD588=1,IF(AF588="Value is not given at all",".",IF(AF588="Value is given by the source",S588,IF(AF588="Value is calculated with prices",(IF(SUMIFS(Q:Q,A:A,A588)&gt;0,SUMIFS(Q:Q,A:A,A588),"."))/VLOOKUP("USD",'Exchange Rates'!B:C,2,0),"Error with coding"))),"")</f>
        <v>.</v>
      </c>
      <c r="U588" s="15" t="s">
        <v>415</v>
      </c>
      <c r="V588" s="560" t="s">
        <v>1782</v>
      </c>
      <c r="W588" s="560" t="s">
        <v>1785</v>
      </c>
      <c r="X588" s="560" t="s">
        <v>1786</v>
      </c>
      <c r="Y588" s="560" t="s">
        <v>1787</v>
      </c>
      <c r="Z588" s="15">
        <v>0</v>
      </c>
      <c r="AA588" s="180">
        <v>0</v>
      </c>
      <c r="AB588" s="574" t="s">
        <v>260</v>
      </c>
      <c r="AC588" s="544" t="str">
        <f>""</f>
        <v/>
      </c>
      <c r="AD588" s="181">
        <v>1</v>
      </c>
      <c r="AE588" s="181" t="s">
        <v>332</v>
      </c>
      <c r="AF588" s="181" t="s">
        <v>265</v>
      </c>
      <c r="AG588" s="183">
        <v>1</v>
      </c>
      <c r="AH588" s="181">
        <v>10</v>
      </c>
      <c r="AI588" s="181">
        <v>0</v>
      </c>
      <c r="AJ588" s="181">
        <f>VLOOKUP($I588,'Price List, Weapons &amp; Items'!B:F,5,0)</f>
        <v>1</v>
      </c>
      <c r="AK588" s="181">
        <f t="shared" si="116"/>
        <v>0</v>
      </c>
      <c r="AL588" s="181">
        <f t="shared" si="117"/>
        <v>1</v>
      </c>
      <c r="AM588" s="181">
        <f t="shared" si="118"/>
        <v>0</v>
      </c>
      <c r="AN588" s="180" t="str">
        <f>VLOOKUP($I588,'Price List, Weapons &amp; Items'!B:L,COLUMN('Price List, Weapons &amp; Items'!$J$11)-1,0)</f>
        <v>Contracts</v>
      </c>
      <c r="AO588" s="180" t="str">
        <f>IF(I588=".",".",VLOOKUP($I588,'Price List, Weapons &amp; Items'!B:J,3,0))</f>
        <v>227mm MLRS</v>
      </c>
      <c r="AP588" s="545" t="e">
        <f t="shared" ca="1" si="125"/>
        <v>#NAME?</v>
      </c>
      <c r="AQ588" s="180">
        <f>VLOOKUP($I588,'Price List, Weapons &amp; Items'!B:L,COLUMN('Price List, Weapons &amp; Items'!$L$11)-1,0)</f>
        <v>2</v>
      </c>
      <c r="AR588" s="180">
        <f t="shared" si="119"/>
        <v>0</v>
      </c>
      <c r="AS588" s="180">
        <f t="shared" si="120"/>
        <v>1</v>
      </c>
      <c r="AT588" s="180" t="str">
        <f t="shared" si="121"/>
        <v>Value is not in date format</v>
      </c>
      <c r="AU588" s="180" t="str">
        <f t="shared" si="122"/>
        <v>.</v>
      </c>
      <c r="AV588" s="180" t="str">
        <f t="shared" si="123"/>
        <v>.</v>
      </c>
      <c r="AW588" s="180">
        <f>IFERROR(VLOOKUP(B588,'Share, Heavy Weapons to Ukraine'!B:J,COLUMN('Share, Heavy Weapons to Ukraine'!C600)-1,0),0)</f>
        <v>0</v>
      </c>
      <c r="AX588" s="180">
        <f>VLOOKUP('Bilateral Assistance, MAIN DATA'!B588,'Country Summary'!B:F,COLUMN('Country Summary'!C603)-1,FALSE)</f>
        <v>1</v>
      </c>
      <c r="AY588" s="180" t="str">
        <f>IF(AND(AD588=1,D588="Military",H588&lt;&gt;"Not given")=TRUE,IF(SUMIFS(P:P,A:A,A588)&gt;0,ABS((SUMIFS(P:P,A:A,A588)/VLOOKUP("USD",'Exchange Rates'!B:C,2,0)))/S588,"."),".")</f>
        <v>.</v>
      </c>
      <c r="AZ588" s="182" t="str">
        <f>IF(AND(AD588=1,D588="Military",H588&lt;&gt;"Not given")=TRUE,IF(SUMIFS(P:P,A:A,A588)&gt;0,IF((ABS((SUMIFS(P:P,A:A,A588)/VLOOKUP("USD",'Exchange Rates'!B:C,2,0)))/S588)&gt;1,(SUMIFS(P:P,A:A,A588)-S588)/S588,(S588-SUMIFS(P:P,A:A,A588))/SUMIFS(P:P,A:A,A588)),"."),".")</f>
        <v>.</v>
      </c>
      <c r="BA588" s="182"/>
      <c r="BB588" s="182"/>
      <c r="BC588" s="182"/>
      <c r="BD588" s="182"/>
      <c r="BE588" s="182"/>
      <c r="BF588" s="182"/>
      <c r="BG588" s="182"/>
      <c r="BH588" s="182"/>
      <c r="BI588" s="182"/>
      <c r="BJ588" s="182"/>
      <c r="BK588" s="182"/>
      <c r="BL588" s="182"/>
      <c r="BM588" s="182"/>
      <c r="BN588" s="182"/>
      <c r="BO588" s="182"/>
      <c r="BP588" s="182"/>
      <c r="BQ588" s="182"/>
      <c r="BR588" s="182"/>
      <c r="BS588" s="182"/>
    </row>
    <row r="589" spans="1:71" ht="15.9" customHeight="1" x14ac:dyDescent="0.3">
      <c r="A589" s="17" t="s">
        <v>1783</v>
      </c>
      <c r="B589" s="17" t="s">
        <v>1730</v>
      </c>
      <c r="C589" s="174" t="s">
        <v>1065</v>
      </c>
      <c r="D589" s="5" t="s">
        <v>285</v>
      </c>
      <c r="E589" s="5" t="s">
        <v>339</v>
      </c>
      <c r="F589" s="1139" t="s">
        <v>1784</v>
      </c>
      <c r="G589" s="15" t="s">
        <v>364</v>
      </c>
      <c r="H589" s="176" t="s">
        <v>341</v>
      </c>
      <c r="I589" s="17" t="s">
        <v>1477</v>
      </c>
      <c r="J589" s="113" t="str">
        <f>VLOOKUP($I589,'Price List, Weapons &amp; Items'!B:C,2,0)</f>
        <v>Heavy weapon</v>
      </c>
      <c r="K589" s="113" t="str">
        <f>IF(I589=".",I589,VLOOKUP($I589,'Price List, Weapons &amp; Items'!B:D,3,0))</f>
        <v>155mm howitzer</v>
      </c>
      <c r="L589" s="177">
        <f>VLOOKUP(I589,'Price List, Weapons &amp; Items'!B:E,4,0)</f>
        <v>0</v>
      </c>
      <c r="M589" s="542">
        <v>6</v>
      </c>
      <c r="N589" s="542" t="s">
        <v>270</v>
      </c>
      <c r="O589" s="543">
        <f>VLOOKUP($I589,'Price List, Weapons &amp; Items'!B:G,6,0)</f>
        <v>13778907.188501142</v>
      </c>
      <c r="P589" s="176">
        <f t="shared" si="114"/>
        <v>82673443.131006852</v>
      </c>
      <c r="Q589" s="176" t="str">
        <f t="shared" si="115"/>
        <v>.</v>
      </c>
      <c r="R589" s="176" t="str">
        <f t="shared" si="124"/>
        <v/>
      </c>
      <c r="S589" s="176" t="str">
        <f>IF(AND(AD589=1,R589&lt;&gt;".")=TRUE,R589/VLOOKUP(G589,'Exchange Rates'!B:C,2,0),IF(R589=".",".",""))</f>
        <v/>
      </c>
      <c r="T589" s="176" t="str">
        <f>IF(AD589=1,IF(AF589="Value is not given at all",".",IF(AF589="Value is given by the source",S589,IF(AF589="Value is calculated with prices",(IF(SUMIFS(Q:Q,A:A,A589)&gt;0,SUMIFS(Q:Q,A:A,A589),"."))/VLOOKUP("USD",'Exchange Rates'!B:C,2,0),"Error with coding"))),"")</f>
        <v/>
      </c>
      <c r="U589" s="15" t="s">
        <v>261</v>
      </c>
      <c r="V589" s="560" t="s">
        <v>1782</v>
      </c>
      <c r="W589" s="560" t="s">
        <v>1787</v>
      </c>
      <c r="X589" s="144" t="s">
        <v>260</v>
      </c>
      <c r="Y589" s="668" t="s">
        <v>260</v>
      </c>
      <c r="Z589" s="15">
        <v>0</v>
      </c>
      <c r="AA589" s="180">
        <v>0</v>
      </c>
      <c r="AB589" s="574" t="s">
        <v>260</v>
      </c>
      <c r="AC589" s="544" t="str">
        <f>""</f>
        <v/>
      </c>
      <c r="AD589" s="181">
        <v>0</v>
      </c>
      <c r="AE589" s="181" t="s">
        <v>332</v>
      </c>
      <c r="AF589" s="181" t="s">
        <v>265</v>
      </c>
      <c r="AG589" s="183">
        <v>1</v>
      </c>
      <c r="AH589" s="181">
        <v>10</v>
      </c>
      <c r="AI589" s="181">
        <v>0</v>
      </c>
      <c r="AJ589" s="181">
        <f>VLOOKUP($I589,'Price List, Weapons &amp; Items'!B:F,5,0)</f>
        <v>1</v>
      </c>
      <c r="AK589" s="181">
        <f t="shared" si="116"/>
        <v>0</v>
      </c>
      <c r="AL589" s="181">
        <f t="shared" si="117"/>
        <v>1</v>
      </c>
      <c r="AM589" s="181">
        <f t="shared" si="118"/>
        <v>0</v>
      </c>
      <c r="AN589" s="180" t="str">
        <f>VLOOKUP($I589,'Price List, Weapons &amp; Items'!B:L,COLUMN('Price List, Weapons &amp; Items'!$J$11)-1,0)</f>
        <v>Contracts</v>
      </c>
      <c r="AO589" s="180" t="str">
        <f>IF(I589=".",".",VLOOKUP($I589,'Price List, Weapons &amp; Items'!B:J,3,0))</f>
        <v>155mm howitzer</v>
      </c>
      <c r="AP589" s="545" t="str">
        <f t="shared" ca="1" si="125"/>
        <v/>
      </c>
      <c r="AQ589" s="180">
        <f>VLOOKUP($I589,'Price List, Weapons &amp; Items'!B:L,COLUMN('Price List, Weapons &amp; Items'!$L$11)-1,0)</f>
        <v>2</v>
      </c>
      <c r="AR589" s="180">
        <f t="shared" si="119"/>
        <v>1</v>
      </c>
      <c r="AS589" s="180">
        <f t="shared" si="120"/>
        <v>1</v>
      </c>
      <c r="AT589" s="180" t="str">
        <f t="shared" si="121"/>
        <v>Value is not in date format</v>
      </c>
      <c r="AU589" s="180" t="str">
        <f t="shared" si="122"/>
        <v>.</v>
      </c>
      <c r="AV589" s="180" t="str">
        <f t="shared" si="123"/>
        <v>.</v>
      </c>
      <c r="AW589" s="180">
        <f>IFERROR(VLOOKUP(B589,'Share, Heavy Weapons to Ukraine'!B:J,COLUMN('Share, Heavy Weapons to Ukraine'!C601)-1,0),0)</f>
        <v>0</v>
      </c>
      <c r="AX589" s="180">
        <f>VLOOKUP('Bilateral Assistance, MAIN DATA'!B589,'Country Summary'!B:F,COLUMN('Country Summary'!C604)-1,FALSE)</f>
        <v>1</v>
      </c>
      <c r="AY589" s="180" t="str">
        <f>IF(AND(AD589=1,D589="Military",H589&lt;&gt;"Not given")=TRUE,IF(SUMIFS(P:P,A:A,A589)&gt;0,ABS((SUMIFS(P:P,A:A,A589)/VLOOKUP("USD",'Exchange Rates'!B:C,2,0)))/S589,"."),".")</f>
        <v>.</v>
      </c>
      <c r="AZ589" s="182" t="str">
        <f>IF(AND(AD589=1,D589="Military",H589&lt;&gt;"Not given")=TRUE,IF(SUMIFS(P:P,A:A,A589)&gt;0,IF((ABS((SUMIFS(P:P,A:A,A589)/VLOOKUP("USD",'Exchange Rates'!B:C,2,0)))/S589)&gt;1,(SUMIFS(P:P,A:A,A589)-S589)/S589,(S589-SUMIFS(P:P,A:A,A589))/SUMIFS(P:P,A:A,A589)),"."),".")</f>
        <v>.</v>
      </c>
      <c r="BA589" s="182"/>
      <c r="BB589" s="182"/>
      <c r="BC589" s="182"/>
      <c r="BD589" s="182"/>
      <c r="BE589" s="182"/>
      <c r="BF589" s="182"/>
      <c r="BG589" s="182"/>
      <c r="BH589" s="182"/>
      <c r="BI589" s="182"/>
      <c r="BJ589" s="182"/>
      <c r="BK589" s="182"/>
      <c r="BL589" s="182"/>
      <c r="BM589" s="182"/>
      <c r="BN589" s="182"/>
      <c r="BO589" s="182"/>
      <c r="BP589" s="182"/>
      <c r="BQ589" s="182"/>
      <c r="BR589" s="182"/>
      <c r="BS589" s="182"/>
    </row>
    <row r="590" spans="1:71" ht="15.9" customHeight="1" x14ac:dyDescent="0.3">
      <c r="A590" s="17" t="s">
        <v>1783</v>
      </c>
      <c r="B590" s="17" t="s">
        <v>1730</v>
      </c>
      <c r="C590" s="174" t="s">
        <v>1065</v>
      </c>
      <c r="D590" s="5" t="s">
        <v>285</v>
      </c>
      <c r="E590" s="5" t="s">
        <v>339</v>
      </c>
      <c r="F590" s="1139" t="s">
        <v>1784</v>
      </c>
      <c r="G590" s="15" t="s">
        <v>364</v>
      </c>
      <c r="H590" s="176" t="s">
        <v>341</v>
      </c>
      <c r="I590" s="17" t="s">
        <v>1788</v>
      </c>
      <c r="J590" s="113" t="str">
        <f>VLOOKUP($I590,'Price List, Weapons &amp; Items'!B:C,2,0)</f>
        <v>Heavy weapon</v>
      </c>
      <c r="K590" s="113" t="str">
        <f>IF(I590=".",I590,VLOOKUP($I590,'Price List, Weapons &amp; Items'!B:D,3,0))</f>
        <v>155mm howitzer</v>
      </c>
      <c r="L590" s="177">
        <f>VLOOKUP(I590,'Price List, Weapons &amp; Items'!B:E,4,0)</f>
        <v>0</v>
      </c>
      <c r="M590" s="542">
        <v>30</v>
      </c>
      <c r="N590" s="542" t="s">
        <v>270</v>
      </c>
      <c r="O590" s="543">
        <f>VLOOKUP($I590,'Price List, Weapons &amp; Items'!B:G,6,0)</f>
        <v>1734787.30789614</v>
      </c>
      <c r="P590" s="176">
        <f t="shared" si="114"/>
        <v>52043619.236884199</v>
      </c>
      <c r="Q590" s="176" t="str">
        <f t="shared" si="115"/>
        <v>.</v>
      </c>
      <c r="R590" s="176" t="str">
        <f t="shared" si="124"/>
        <v/>
      </c>
      <c r="S590" s="176" t="str">
        <f>IF(AND(AD590=1,R590&lt;&gt;".")=TRUE,R590/VLOOKUP(G590,'Exchange Rates'!B:C,2,0),IF(R590=".",".",""))</f>
        <v/>
      </c>
      <c r="T590" s="176" t="str">
        <f>IF(AD590=1,IF(AF590="Value is not given at all",".",IF(AF590="Value is given by the source",S590,IF(AF590="Value is calculated with prices",(IF(SUMIFS(Q:Q,A:A,A590)&gt;0,SUMIFS(Q:Q,A:A,A590),"."))/VLOOKUP("USD",'Exchange Rates'!B:C,2,0),"Error with coding"))),"")</f>
        <v/>
      </c>
      <c r="U590" s="15" t="s">
        <v>261</v>
      </c>
      <c r="V590" s="560" t="s">
        <v>1782</v>
      </c>
      <c r="W590" s="560" t="s">
        <v>1787</v>
      </c>
      <c r="X590" s="144" t="s">
        <v>260</v>
      </c>
      <c r="Y590" s="668" t="s">
        <v>260</v>
      </c>
      <c r="Z590" s="15">
        <v>0</v>
      </c>
      <c r="AA590" s="180">
        <v>0</v>
      </c>
      <c r="AB590" s="574" t="s">
        <v>260</v>
      </c>
      <c r="AC590" s="544" t="str">
        <f>""</f>
        <v/>
      </c>
      <c r="AD590" s="181">
        <v>0</v>
      </c>
      <c r="AE590" s="181" t="s">
        <v>332</v>
      </c>
      <c r="AF590" s="181" t="s">
        <v>265</v>
      </c>
      <c r="AG590" s="183">
        <v>1</v>
      </c>
      <c r="AH590" s="181">
        <v>10</v>
      </c>
      <c r="AI590" s="181">
        <v>0</v>
      </c>
      <c r="AJ590" s="181">
        <f>VLOOKUP($I590,'Price List, Weapons &amp; Items'!B:F,5,0)</f>
        <v>1</v>
      </c>
      <c r="AK590" s="181">
        <f t="shared" si="116"/>
        <v>0</v>
      </c>
      <c r="AL590" s="181">
        <f t="shared" si="117"/>
        <v>1</v>
      </c>
      <c r="AM590" s="181">
        <f t="shared" si="118"/>
        <v>0</v>
      </c>
      <c r="AN590" s="180" t="str">
        <f>VLOOKUP($I590,'Price List, Weapons &amp; Items'!B:L,COLUMN('Price List, Weapons &amp; Items'!$J$11)-1,0)</f>
        <v>Contracts</v>
      </c>
      <c r="AO590" s="180" t="str">
        <f>IF(I590=".",".",VLOOKUP($I590,'Price List, Weapons &amp; Items'!B:J,3,0))</f>
        <v>155mm howitzer</v>
      </c>
      <c r="AP590" s="545" t="str">
        <f t="shared" ca="1" si="125"/>
        <v/>
      </c>
      <c r="AQ590" s="180">
        <f>VLOOKUP($I590,'Price List, Weapons &amp; Items'!B:L,COLUMN('Price List, Weapons &amp; Items'!$L$11)-1,0)</f>
        <v>2</v>
      </c>
      <c r="AR590" s="180">
        <f t="shared" si="119"/>
        <v>1</v>
      </c>
      <c r="AS590" s="180">
        <f t="shared" si="120"/>
        <v>1</v>
      </c>
      <c r="AT590" s="180" t="str">
        <f t="shared" si="121"/>
        <v>Value is not in date format</v>
      </c>
      <c r="AU590" s="180" t="str">
        <f t="shared" si="122"/>
        <v>.</v>
      </c>
      <c r="AV590" s="180" t="str">
        <f t="shared" si="123"/>
        <v>.</v>
      </c>
      <c r="AW590" s="180">
        <f>IFERROR(VLOOKUP(B590,'Share, Heavy Weapons to Ukraine'!B:J,COLUMN('Share, Heavy Weapons to Ukraine'!C602)-1,0),0)</f>
        <v>0</v>
      </c>
      <c r="AX590" s="180">
        <f>VLOOKUP('Bilateral Assistance, MAIN DATA'!B590,'Country Summary'!B:F,COLUMN('Country Summary'!C605)-1,FALSE)</f>
        <v>1</v>
      </c>
      <c r="AY590" s="180" t="str">
        <f>IF(AND(AD590=1,D590="Military",H590&lt;&gt;"Not given")=TRUE,IF(SUMIFS(P:P,A:A,A590)&gt;0,ABS((SUMIFS(P:P,A:A,A590)/VLOOKUP("USD",'Exchange Rates'!B:C,2,0)))/S590,"."),".")</f>
        <v>.</v>
      </c>
      <c r="AZ590" s="182" t="str">
        <f>IF(AND(AD590=1,D590="Military",H590&lt;&gt;"Not given")=TRUE,IF(SUMIFS(P:P,A:A,A590)&gt;0,IF((ABS((SUMIFS(P:P,A:A,A590)/VLOOKUP("USD",'Exchange Rates'!B:C,2,0)))/S590)&gt;1,(SUMIFS(P:P,A:A,A590)-S590)/S590,(S590-SUMIFS(P:P,A:A,A590))/SUMIFS(P:P,A:A,A590)),"."),".")</f>
        <v>.</v>
      </c>
      <c r="BA590" s="182"/>
      <c r="BB590" s="182"/>
      <c r="BC590" s="182"/>
      <c r="BD590" s="182"/>
      <c r="BE590" s="182"/>
      <c r="BF590" s="182"/>
      <c r="BG590" s="182"/>
      <c r="BH590" s="182"/>
      <c r="BI590" s="182"/>
      <c r="BJ590" s="182"/>
      <c r="BK590" s="182"/>
      <c r="BL590" s="182"/>
      <c r="BM590" s="182"/>
      <c r="BN590" s="182"/>
      <c r="BO590" s="182"/>
      <c r="BP590" s="182"/>
      <c r="BQ590" s="182"/>
      <c r="BR590" s="182"/>
      <c r="BS590" s="182"/>
    </row>
    <row r="591" spans="1:71" ht="15.9" customHeight="1" x14ac:dyDescent="0.3">
      <c r="A591" s="17" t="s">
        <v>1783</v>
      </c>
      <c r="B591" s="17" t="s">
        <v>1730</v>
      </c>
      <c r="C591" s="174" t="s">
        <v>1065</v>
      </c>
      <c r="D591" s="5" t="s">
        <v>285</v>
      </c>
      <c r="E591" s="5" t="s">
        <v>339</v>
      </c>
      <c r="F591" s="1139" t="s">
        <v>1784</v>
      </c>
      <c r="G591" s="15" t="s">
        <v>364</v>
      </c>
      <c r="H591" s="176" t="s">
        <v>341</v>
      </c>
      <c r="I591" s="17" t="s">
        <v>324</v>
      </c>
      <c r="J591" s="113" t="str">
        <f>VLOOKUP($I591,'Price List, Weapons &amp; Items'!B:C,2,0)</f>
        <v>Heavy weapon</v>
      </c>
      <c r="K591" s="113" t="str">
        <f>IF(I591=".",I591,VLOOKUP($I591,'Price List, Weapons &amp; Items'!B:D,3,0))</f>
        <v>Armoured Personnel Carrier (APC)</v>
      </c>
      <c r="L591" s="177">
        <f>VLOOKUP(I591,'Price List, Weapons &amp; Items'!B:E,4,0)</f>
        <v>0</v>
      </c>
      <c r="M591" s="542">
        <v>24</v>
      </c>
      <c r="N591" s="542" t="s">
        <v>270</v>
      </c>
      <c r="O591" s="543">
        <f>VLOOKUP($I591,'Price List, Weapons &amp; Items'!B:G,6,0)</f>
        <v>300000</v>
      </c>
      <c r="P591" s="176">
        <f t="shared" si="114"/>
        <v>7200000</v>
      </c>
      <c r="Q591" s="176" t="str">
        <f t="shared" si="115"/>
        <v>.</v>
      </c>
      <c r="R591" s="176" t="str">
        <f t="shared" si="124"/>
        <v/>
      </c>
      <c r="S591" s="176" t="str">
        <f>IF(AND(AD591=1,R591&lt;&gt;".")=TRUE,R591/VLOOKUP(G591,'Exchange Rates'!B:C,2,0),IF(R591=".",".",""))</f>
        <v/>
      </c>
      <c r="T591" s="176" t="str">
        <f>IF(AD591=1,IF(AF591="Value is not given at all",".",IF(AF591="Value is given by the source",S591,IF(AF591="Value is calculated with prices",(IF(SUMIFS(Q:Q,A:A,A591)&gt;0,SUMIFS(Q:Q,A:A,A591),"."))/VLOOKUP("USD",'Exchange Rates'!B:C,2,0),"Error with coding"))),"")</f>
        <v/>
      </c>
      <c r="U591" s="15" t="s">
        <v>261</v>
      </c>
      <c r="V591" s="560" t="s">
        <v>1782</v>
      </c>
      <c r="W591" s="560" t="s">
        <v>1787</v>
      </c>
      <c r="X591" s="144" t="s">
        <v>260</v>
      </c>
      <c r="Y591" s="668" t="s">
        <v>260</v>
      </c>
      <c r="Z591" s="15">
        <v>0</v>
      </c>
      <c r="AA591" s="180">
        <v>0</v>
      </c>
      <c r="AB591" s="574" t="s">
        <v>260</v>
      </c>
      <c r="AC591" s="544" t="str">
        <f>""</f>
        <v/>
      </c>
      <c r="AD591" s="181">
        <v>0</v>
      </c>
      <c r="AE591" s="181" t="s">
        <v>332</v>
      </c>
      <c r="AF591" s="181" t="s">
        <v>265</v>
      </c>
      <c r="AG591" s="183">
        <v>1</v>
      </c>
      <c r="AH591" s="181">
        <v>10</v>
      </c>
      <c r="AI591" s="181">
        <v>0</v>
      </c>
      <c r="AJ591" s="181">
        <f>VLOOKUP($I591,'Price List, Weapons &amp; Items'!B:F,5,0)</f>
        <v>1</v>
      </c>
      <c r="AK591" s="181">
        <f t="shared" si="116"/>
        <v>0</v>
      </c>
      <c r="AL591" s="181">
        <f t="shared" si="117"/>
        <v>1</v>
      </c>
      <c r="AM591" s="181">
        <f t="shared" si="118"/>
        <v>0</v>
      </c>
      <c r="AN591" s="180" t="str">
        <f>VLOOKUP($I591,'Price List, Weapons &amp; Items'!B:L,COLUMN('Price List, Weapons &amp; Items'!$J$11)-1,0)</f>
        <v>Military media (incl. websites)</v>
      </c>
      <c r="AO591" s="180" t="str">
        <f>IF(I591=".",".",VLOOKUP($I591,'Price List, Weapons &amp; Items'!B:J,3,0))</f>
        <v>Armoured Personnel Carrier (APC)</v>
      </c>
      <c r="AP591" s="545" t="str">
        <f t="shared" ca="1" si="125"/>
        <v/>
      </c>
      <c r="AQ591" s="180">
        <f>VLOOKUP($I591,'Price List, Weapons &amp; Items'!B:L,COLUMN('Price List, Weapons &amp; Items'!$L$11)-1,0)</f>
        <v>2</v>
      </c>
      <c r="AR591" s="180">
        <f t="shared" si="119"/>
        <v>1</v>
      </c>
      <c r="AS591" s="180">
        <f t="shared" si="120"/>
        <v>1</v>
      </c>
      <c r="AT591" s="180" t="str">
        <f t="shared" si="121"/>
        <v>Value is not in date format</v>
      </c>
      <c r="AU591" s="180" t="str">
        <f t="shared" si="122"/>
        <v>.</v>
      </c>
      <c r="AV591" s="180" t="str">
        <f t="shared" si="123"/>
        <v>.</v>
      </c>
      <c r="AW591" s="180">
        <f>IFERROR(VLOOKUP(B591,'Share, Heavy Weapons to Ukraine'!B:J,COLUMN('Share, Heavy Weapons to Ukraine'!C603)-1,0),0)</f>
        <v>0</v>
      </c>
      <c r="AX591" s="180">
        <f>VLOOKUP('Bilateral Assistance, MAIN DATA'!B591,'Country Summary'!B:F,COLUMN('Country Summary'!C606)-1,FALSE)</f>
        <v>1</v>
      </c>
      <c r="AY591" s="180" t="str">
        <f>IF(AND(AD591=1,D591="Military",H591&lt;&gt;"Not given")=TRUE,IF(SUMIFS(P:P,A:A,A591)&gt;0,ABS((SUMIFS(P:P,A:A,A591)/VLOOKUP("USD",'Exchange Rates'!B:C,2,0)))/S591,"."),".")</f>
        <v>.</v>
      </c>
      <c r="AZ591" s="182" t="str">
        <f>IF(AND(AD591=1,D591="Military",H591&lt;&gt;"Not given")=TRUE,IF(SUMIFS(P:P,A:A,A591)&gt;0,IF((ABS((SUMIFS(P:P,A:A,A591)/VLOOKUP("USD",'Exchange Rates'!B:C,2,0)))/S591)&gt;1,(SUMIFS(P:P,A:A,A591)-S591)/S591,(S591-SUMIFS(P:P,A:A,A591))/SUMIFS(P:P,A:A,A591)),"."),".")</f>
        <v>.</v>
      </c>
      <c r="BA591" s="182"/>
      <c r="BB591" s="182"/>
      <c r="BC591" s="182"/>
      <c r="BD591" s="182"/>
      <c r="BE591" s="182"/>
      <c r="BF591" s="182"/>
      <c r="BG591" s="182"/>
      <c r="BH591" s="182"/>
      <c r="BI591" s="182"/>
      <c r="BJ591" s="182"/>
      <c r="BK591" s="182"/>
      <c r="BL591" s="182"/>
      <c r="BM591" s="182"/>
      <c r="BN591" s="182"/>
      <c r="BO591" s="182"/>
      <c r="BP591" s="182"/>
      <c r="BQ591" s="182"/>
      <c r="BR591" s="182"/>
      <c r="BS591" s="182"/>
    </row>
    <row r="592" spans="1:71" ht="15.9" customHeight="1" x14ac:dyDescent="0.3">
      <c r="A592" s="17" t="s">
        <v>1789</v>
      </c>
      <c r="B592" s="17" t="s">
        <v>1730</v>
      </c>
      <c r="C592" s="174">
        <v>44939</v>
      </c>
      <c r="D592" s="5" t="s">
        <v>285</v>
      </c>
      <c r="E592" s="5" t="s">
        <v>1328</v>
      </c>
      <c r="F592" s="175" t="s">
        <v>1790</v>
      </c>
      <c r="G592" s="15" t="s">
        <v>364</v>
      </c>
      <c r="H592" s="176" t="s">
        <v>341</v>
      </c>
      <c r="I592" s="155" t="s">
        <v>1791</v>
      </c>
      <c r="J592" s="113" t="str">
        <f>VLOOKUP($I592,'Price List, Weapons &amp; Items'!B:C,2,0)</f>
        <v>Heavy weapon</v>
      </c>
      <c r="K592" s="113" t="str">
        <f>IF(I592=".",I592,VLOOKUP($I592,'Price List, Weapons &amp; Items'!B:D,3,0))</f>
        <v>Anti-aircraft surface-to-air missile (SAM) system (long-range)</v>
      </c>
      <c r="L592" s="177">
        <f>VLOOKUP(I592,'Price List, Weapons &amp; Items'!B:E,4,0)</f>
        <v>0</v>
      </c>
      <c r="M592" s="542">
        <v>1</v>
      </c>
      <c r="N592" s="542" t="s">
        <v>270</v>
      </c>
      <c r="O592" s="543">
        <f>VLOOKUP($I592,'Price List, Weapons &amp; Items'!B:G,6,0)</f>
        <v>341770000</v>
      </c>
      <c r="P592" s="176">
        <f t="shared" si="114"/>
        <v>341770000</v>
      </c>
      <c r="Q592" s="176" t="str">
        <f t="shared" si="115"/>
        <v>.</v>
      </c>
      <c r="R592" s="176">
        <f t="shared" si="124"/>
        <v>341770000</v>
      </c>
      <c r="S592" s="176">
        <f>IF(AND(AD592=1,R592&lt;&gt;".")=TRUE,R592/VLOOKUP(G592,'Exchange Rates'!B:C,2,0),IF(R592=".",".",""))</f>
        <v>341770000</v>
      </c>
      <c r="T592" s="176" t="str">
        <f>IF(AD592=1,IF(AF592="Value is not given at all",".",IF(AF592="Value is given by the source",S592,IF(AF592="Value is calculated with prices",(IF(SUMIFS(Q:Q,A:A,A592)&gt;0,SUMIFS(Q:Q,A:A,A592),"."))/VLOOKUP("USD",'Exchange Rates'!B:C,2,0),"Error with coding"))),"")</f>
        <v>.</v>
      </c>
      <c r="U592" s="15" t="s">
        <v>415</v>
      </c>
      <c r="V592" s="305" t="s">
        <v>1792</v>
      </c>
      <c r="W592" s="305" t="s">
        <v>1793</v>
      </c>
      <c r="X592" s="667" t="s">
        <v>1794</v>
      </c>
      <c r="Y592" s="665" t="s">
        <v>1795</v>
      </c>
      <c r="Z592" s="15">
        <v>0</v>
      </c>
      <c r="AA592" s="180">
        <v>1</v>
      </c>
      <c r="AB592" s="692" t="s">
        <v>260</v>
      </c>
      <c r="AC592" s="544" t="str">
        <f>""</f>
        <v/>
      </c>
      <c r="AD592" s="181">
        <v>1</v>
      </c>
      <c r="AE592" s="181" t="s">
        <v>332</v>
      </c>
      <c r="AF592" s="181" t="s">
        <v>265</v>
      </c>
      <c r="AG592" s="183">
        <v>1</v>
      </c>
      <c r="AH592" s="181">
        <v>13</v>
      </c>
      <c r="AI592" s="181">
        <v>0</v>
      </c>
      <c r="AJ592" s="181">
        <f>VLOOKUP($I592,'Price List, Weapons &amp; Items'!B:F,5,0)</f>
        <v>0</v>
      </c>
      <c r="AK592" s="181">
        <f t="shared" si="116"/>
        <v>0</v>
      </c>
      <c r="AL592" s="181">
        <f t="shared" si="117"/>
        <v>0</v>
      </c>
      <c r="AM592" s="181">
        <f t="shared" si="118"/>
        <v>0</v>
      </c>
      <c r="AN592" s="180" t="str">
        <f>VLOOKUP($I592,'Price List, Weapons &amp; Items'!B:L,COLUMN('Price List, Weapons &amp; Items'!$J$11)-1,0)</f>
        <v>Contracts</v>
      </c>
      <c r="AO592" s="180" t="str">
        <f>IF(I592=".",".",VLOOKUP($I592,'Price List, Weapons &amp; Items'!B:J,3,0))</f>
        <v>Anti-aircraft surface-to-air missile (SAM) system (long-range)</v>
      </c>
      <c r="AP592" s="545" t="e">
        <f t="shared" ca="1" si="125"/>
        <v>#NAME?</v>
      </c>
      <c r="AQ592" s="180">
        <f>VLOOKUP($I592,'Price List, Weapons &amp; Items'!B:L,COLUMN('Price List, Weapons &amp; Items'!$L$11)-1,0)</f>
        <v>2</v>
      </c>
      <c r="AR592" s="180">
        <f t="shared" si="119"/>
        <v>0</v>
      </c>
      <c r="AS592" s="180">
        <f t="shared" si="120"/>
        <v>1</v>
      </c>
      <c r="AT592" s="180">
        <f t="shared" si="121"/>
        <v>1</v>
      </c>
      <c r="AU592" s="180" t="str">
        <f t="shared" si="122"/>
        <v>.</v>
      </c>
      <c r="AV592" s="180" t="str">
        <f t="shared" si="123"/>
        <v>.</v>
      </c>
      <c r="AW592" s="180">
        <f>IFERROR(VLOOKUP(B592,'Share, Heavy Weapons to Ukraine'!B:J,COLUMN('Share, Heavy Weapons to Ukraine'!C604)-1,0),0)</f>
        <v>0</v>
      </c>
      <c r="AX592" s="180">
        <f>VLOOKUP('Bilateral Assistance, MAIN DATA'!B592,'Country Summary'!B:F,COLUMN('Country Summary'!C607)-1,FALSE)</f>
        <v>1</v>
      </c>
      <c r="AY592" s="180" t="str">
        <f>IF(AND(AD592=1,D592="Military",H592&lt;&gt;"Not given")=TRUE,IF(SUMIFS(P:P,A:A,A592)&gt;0,ABS((SUMIFS(P:P,A:A,A592)/VLOOKUP("USD",'Exchange Rates'!B:C,2,0)))/S592,"."),".")</f>
        <v>.</v>
      </c>
      <c r="AZ592" s="182" t="str">
        <f>IF(AND(AD592=1,D592="Military",H592&lt;&gt;"Not given")=TRUE,IF(SUMIFS(P:P,A:A,A592)&gt;0,IF((ABS((SUMIFS(P:P,A:A,A592)/VLOOKUP("USD",'Exchange Rates'!B:C,2,0)))/S592)&gt;1,(SUMIFS(P:P,A:A,A592)-S592)/S592,(S592-SUMIFS(P:P,A:A,A592))/SUMIFS(P:P,A:A,A592)),"."),".")</f>
        <v>.</v>
      </c>
      <c r="BA592" s="182"/>
      <c r="BB592" s="182"/>
      <c r="BC592" s="182"/>
      <c r="BD592" s="182"/>
      <c r="BE592" s="182"/>
      <c r="BF592" s="182"/>
      <c r="BG592" s="182"/>
      <c r="BH592" s="182"/>
      <c r="BI592" s="182"/>
      <c r="BJ592" s="182"/>
      <c r="BK592" s="182"/>
      <c r="BL592" s="182"/>
      <c r="BM592" s="182"/>
      <c r="BN592" s="182"/>
      <c r="BO592" s="182"/>
      <c r="BP592" s="182"/>
      <c r="BQ592" s="182"/>
      <c r="BR592" s="182"/>
      <c r="BS592" s="182"/>
    </row>
    <row r="593" spans="1:71" ht="15.9" customHeight="1" x14ac:dyDescent="0.3">
      <c r="A593" s="17" t="s">
        <v>1796</v>
      </c>
      <c r="B593" s="17" t="s">
        <v>1730</v>
      </c>
      <c r="C593" s="174">
        <v>44619</v>
      </c>
      <c r="D593" s="5" t="s">
        <v>405</v>
      </c>
      <c r="E593" s="5" t="s">
        <v>362</v>
      </c>
      <c r="F593" s="175" t="s">
        <v>1797</v>
      </c>
      <c r="G593" s="15" t="s">
        <v>364</v>
      </c>
      <c r="H593" s="176">
        <v>110000000</v>
      </c>
      <c r="I593" s="17" t="s">
        <v>260</v>
      </c>
      <c r="J593" s="113" t="str">
        <f>VLOOKUP($I593,'Price List, Weapons &amp; Items'!B:C,2,0)</f>
        <v>.</v>
      </c>
      <c r="K593" s="113" t="str">
        <f>IF(I593=".",I593,VLOOKUP($I593,'Price List, Weapons &amp; Items'!B:D,3,0))</f>
        <v>.</v>
      </c>
      <c r="L593" s="177">
        <f>VLOOKUP(I593,'Price List, Weapons &amp; Items'!B:E,4,0)</f>
        <v>0</v>
      </c>
      <c r="M593" s="542" t="s">
        <v>260</v>
      </c>
      <c r="N593" s="542" t="s">
        <v>260</v>
      </c>
      <c r="O593" s="543" t="str">
        <f>VLOOKUP($I593,'Price List, Weapons &amp; Items'!B:G,6,0)</f>
        <v>.</v>
      </c>
      <c r="P593" s="176" t="str">
        <f t="shared" si="114"/>
        <v>.</v>
      </c>
      <c r="Q593" s="176" t="str">
        <f t="shared" si="115"/>
        <v>.</v>
      </c>
      <c r="R593" s="176">
        <f t="shared" si="124"/>
        <v>110000000</v>
      </c>
      <c r="S593" s="176">
        <f>IF(AND(AD593=1,R593&lt;&gt;".")=TRUE,R593/VLOOKUP(G593,'Exchange Rates'!B:C,2,0),IF(R593=".",".",""))</f>
        <v>110000000</v>
      </c>
      <c r="T593" s="176" t="str">
        <f>IF(AD593=1,IF(AF593="Value is not given at all",".",IF(AF593="Value is given by the source",S593,IF(AF593="Value is calculated with prices",(IF(SUMIFS(Q:Q,A:A,A593)&gt;0,SUMIFS(Q:Q,A:A,A593),"."))/VLOOKUP("USD",'Exchange Rates'!B:C,2,0),"Error with coding"))),"")</f>
        <v>.</v>
      </c>
      <c r="U593" s="15" t="s">
        <v>415</v>
      </c>
      <c r="V593" s="300" t="s">
        <v>1798</v>
      </c>
      <c r="W593" s="300" t="s">
        <v>1799</v>
      </c>
      <c r="X593" s="175" t="s">
        <v>260</v>
      </c>
      <c r="Y593" s="175" t="s">
        <v>260</v>
      </c>
      <c r="Z593" s="15">
        <v>0</v>
      </c>
      <c r="AA593" s="180">
        <v>0</v>
      </c>
      <c r="AB593" s="184" t="s">
        <v>260</v>
      </c>
      <c r="AC593" s="544" t="str">
        <f>""</f>
        <v/>
      </c>
      <c r="AD593" s="181">
        <v>1</v>
      </c>
      <c r="AE593" s="181" t="s">
        <v>264</v>
      </c>
      <c r="AF593" s="181" t="s">
        <v>265</v>
      </c>
      <c r="AG593" s="181">
        <v>1</v>
      </c>
      <c r="AH593" s="181">
        <v>2</v>
      </c>
      <c r="AI593" s="181">
        <v>0</v>
      </c>
      <c r="AJ593" s="181">
        <f>VLOOKUP($I593,'Price List, Weapons &amp; Items'!B:F,5,0)</f>
        <v>0</v>
      </c>
      <c r="AK593" s="181">
        <f t="shared" si="116"/>
        <v>0</v>
      </c>
      <c r="AL593" s="181">
        <f t="shared" si="117"/>
        <v>0</v>
      </c>
      <c r="AM593" s="181">
        <f t="shared" si="118"/>
        <v>0</v>
      </c>
      <c r="AN593" s="180" t="str">
        <f>VLOOKUP($I593,'Price List, Weapons &amp; Items'!B:L,COLUMN('Price List, Weapons &amp; Items'!$J$11)-1,0)</f>
        <v>.</v>
      </c>
      <c r="AO593" s="180" t="str">
        <f>IF(I593=".",".",VLOOKUP($I593,'Price List, Weapons &amp; Items'!B:J,3,0))</f>
        <v>.</v>
      </c>
      <c r="AP593" s="545" t="e">
        <f t="shared" ca="1" si="125"/>
        <v>#NAME?</v>
      </c>
      <c r="AQ593" s="180" t="str">
        <f>VLOOKUP($I593,'Price List, Weapons &amp; Items'!B:L,COLUMN('Price List, Weapons &amp; Items'!$L$11)-1,0)</f>
        <v>no price, 0 count</v>
      </c>
      <c r="AR593" s="180">
        <f t="shared" si="119"/>
        <v>0</v>
      </c>
      <c r="AS593" s="180">
        <f t="shared" si="120"/>
        <v>0</v>
      </c>
      <c r="AT593" s="180">
        <f t="shared" si="121"/>
        <v>1</v>
      </c>
      <c r="AU593" s="180" t="str">
        <f t="shared" si="122"/>
        <v>.</v>
      </c>
      <c r="AV593" s="180" t="str">
        <f t="shared" si="123"/>
        <v>.</v>
      </c>
      <c r="AW593" s="180">
        <f>IFERROR(VLOOKUP(B593,'Share, Heavy Weapons to Ukraine'!B:J,COLUMN('Share, Heavy Weapons to Ukraine'!C605)-1,0),0)</f>
        <v>0</v>
      </c>
      <c r="AX593" s="180">
        <f>VLOOKUP('Bilateral Assistance, MAIN DATA'!B593,'Country Summary'!B:F,COLUMN('Country Summary'!C608)-1,FALSE)</f>
        <v>1</v>
      </c>
      <c r="AY593" s="180" t="str">
        <f>IF(AND(AD593=1,D593="Military",H593&lt;&gt;"Not given")=TRUE,IF(SUMIFS(P:P,A:A,A593)&gt;0,ABS((SUMIFS(P:P,A:A,A593)/VLOOKUP("USD",'Exchange Rates'!B:C,2,0)))/S593,"."),".")</f>
        <v>.</v>
      </c>
      <c r="AZ593" s="182" t="str">
        <f>IF(AND(AD593=1,D593="Military",H593&lt;&gt;"Not given")=TRUE,IF(SUMIFS(P:P,A:A,A593)&gt;0,IF((ABS((SUMIFS(P:P,A:A,A593)/VLOOKUP("USD",'Exchange Rates'!B:C,2,0)))/S593)&gt;1,(SUMIFS(P:P,A:A,A593)-S593)/S593,(S593-SUMIFS(P:P,A:A,A593))/SUMIFS(P:P,A:A,A593)),"."),".")</f>
        <v>.</v>
      </c>
      <c r="BA593" s="182"/>
      <c r="BB593" s="182"/>
      <c r="BC593" s="182"/>
      <c r="BD593" s="182"/>
      <c r="BE593" s="182"/>
      <c r="BF593" s="182"/>
      <c r="BG593" s="182"/>
      <c r="BH593" s="182"/>
      <c r="BI593" s="182"/>
      <c r="BJ593" s="182"/>
      <c r="BK593" s="182"/>
      <c r="BL593" s="182"/>
      <c r="BM593" s="182"/>
      <c r="BN593" s="182"/>
      <c r="BO593" s="182"/>
      <c r="BP593" s="182"/>
      <c r="BQ593" s="182"/>
      <c r="BR593" s="182"/>
      <c r="BS593" s="182"/>
    </row>
    <row r="594" spans="1:71" ht="15.9" customHeight="1" x14ac:dyDescent="0.3">
      <c r="A594" s="17" t="s">
        <v>1800</v>
      </c>
      <c r="B594" s="17" t="s">
        <v>1730</v>
      </c>
      <c r="C594" s="174">
        <v>44778</v>
      </c>
      <c r="D594" s="5" t="s">
        <v>405</v>
      </c>
      <c r="E594" s="19" t="s">
        <v>518</v>
      </c>
      <c r="F594" s="19" t="s">
        <v>1801</v>
      </c>
      <c r="G594" s="15" t="s">
        <v>364</v>
      </c>
      <c r="H594" s="176">
        <v>200000000</v>
      </c>
      <c r="I594" s="17" t="s">
        <v>260</v>
      </c>
      <c r="J594" s="113" t="str">
        <f>VLOOKUP($I594,'Price List, Weapons &amp; Items'!B:C,2,0)</f>
        <v>.</v>
      </c>
      <c r="K594" s="113" t="str">
        <f>IF(I594=".",I594,VLOOKUP($I594,'Price List, Weapons &amp; Items'!B:D,3,0))</f>
        <v>.</v>
      </c>
      <c r="L594" s="177">
        <f>VLOOKUP(I594,'Price List, Weapons &amp; Items'!B:E,4,0)</f>
        <v>0</v>
      </c>
      <c r="M594" s="542" t="s">
        <v>260</v>
      </c>
      <c r="N594" s="542" t="s">
        <v>260</v>
      </c>
      <c r="O594" s="543" t="str">
        <f>VLOOKUP($I594,'Price List, Weapons &amp; Items'!B:G,6,0)</f>
        <v>.</v>
      </c>
      <c r="P594" s="176" t="str">
        <f t="shared" si="114"/>
        <v>.</v>
      </c>
      <c r="Q594" s="176" t="str">
        <f t="shared" si="115"/>
        <v>.</v>
      </c>
      <c r="R594" s="176">
        <f t="shared" si="124"/>
        <v>200000000</v>
      </c>
      <c r="S594" s="176">
        <f>IF(AND(AD594=1,R594&lt;&gt;".")=TRUE,R594/VLOOKUP(G594,'Exchange Rates'!B:C,2,0),IF(R594=".",".",""))</f>
        <v>200000000</v>
      </c>
      <c r="T594" s="176" t="str">
        <f>IF(AD594=1,IF(AF594="Value is not given at all",".",IF(AF594="Value is given by the source",S594,IF(AF594="Value is calculated with prices",(IF(SUMIFS(Q:Q,A:A,A594)&gt;0,SUMIFS(Q:Q,A:A,A594),"."))/VLOOKUP("USD",'Exchange Rates'!B:C,2,0),"Error with coding"))),"")</f>
        <v>.</v>
      </c>
      <c r="U594" s="15" t="s">
        <v>261</v>
      </c>
      <c r="V594" s="300" t="s">
        <v>1802</v>
      </c>
      <c r="W594" s="175" t="s">
        <v>260</v>
      </c>
      <c r="X594" s="175" t="s">
        <v>260</v>
      </c>
      <c r="Y594" s="175" t="s">
        <v>260</v>
      </c>
      <c r="Z594" s="15">
        <v>0</v>
      </c>
      <c r="AA594" s="180">
        <v>0</v>
      </c>
      <c r="AB594" s="184" t="s">
        <v>260</v>
      </c>
      <c r="AC594" s="544" t="str">
        <f>""</f>
        <v/>
      </c>
      <c r="AD594" s="181">
        <v>1</v>
      </c>
      <c r="AE594" s="181" t="s">
        <v>264</v>
      </c>
      <c r="AF594" s="181" t="s">
        <v>265</v>
      </c>
      <c r="AG594" s="181">
        <v>1</v>
      </c>
      <c r="AH594" s="181">
        <v>8</v>
      </c>
      <c r="AI594" s="181">
        <v>0</v>
      </c>
      <c r="AJ594" s="181">
        <f>VLOOKUP($I594,'Price List, Weapons &amp; Items'!B:F,5,0)</f>
        <v>0</v>
      </c>
      <c r="AK594" s="181">
        <f t="shared" si="116"/>
        <v>0</v>
      </c>
      <c r="AL594" s="181">
        <f t="shared" si="117"/>
        <v>0</v>
      </c>
      <c r="AM594" s="181">
        <f t="shared" si="118"/>
        <v>0</v>
      </c>
      <c r="AN594" s="180" t="str">
        <f>VLOOKUP($I594,'Price List, Weapons &amp; Items'!B:L,COLUMN('Price List, Weapons &amp; Items'!$J$11)-1,0)</f>
        <v>.</v>
      </c>
      <c r="AO594" s="180" t="str">
        <f>IF(I594=".",".",VLOOKUP($I594,'Price List, Weapons &amp; Items'!B:J,3,0))</f>
        <v>.</v>
      </c>
      <c r="AP594" s="545" t="e">
        <f t="shared" ca="1" si="125"/>
        <v>#NAME?</v>
      </c>
      <c r="AQ594" s="180" t="str">
        <f>VLOOKUP($I594,'Price List, Weapons &amp; Items'!B:L,COLUMN('Price List, Weapons &amp; Items'!$L$11)-1,0)</f>
        <v>no price, 0 count</v>
      </c>
      <c r="AR594" s="180">
        <f t="shared" si="119"/>
        <v>1</v>
      </c>
      <c r="AS594" s="180">
        <f t="shared" si="120"/>
        <v>0</v>
      </c>
      <c r="AT594" s="180">
        <f t="shared" si="121"/>
        <v>1</v>
      </c>
      <c r="AU594" s="180" t="str">
        <f t="shared" si="122"/>
        <v>.</v>
      </c>
      <c r="AV594" s="180" t="str">
        <f t="shared" si="123"/>
        <v>.</v>
      </c>
      <c r="AW594" s="180">
        <f>IFERROR(VLOOKUP(B594,'Share, Heavy Weapons to Ukraine'!B:J,COLUMN('Share, Heavy Weapons to Ukraine'!C606)-1,0),0)</f>
        <v>0</v>
      </c>
      <c r="AX594" s="180">
        <f>VLOOKUP('Bilateral Assistance, MAIN DATA'!B594,'Country Summary'!B:F,COLUMN('Country Summary'!C609)-1,FALSE)</f>
        <v>1</v>
      </c>
      <c r="AY594" s="180" t="str">
        <f>IF(AND(AD594=1,D594="Military",H594&lt;&gt;"Not given")=TRUE,IF(SUMIFS(P:P,A:A,A594)&gt;0,ABS((SUMIFS(P:P,A:A,A594)/VLOOKUP("USD",'Exchange Rates'!B:C,2,0)))/S594,"."),".")</f>
        <v>.</v>
      </c>
      <c r="AZ594" s="182" t="str">
        <f>IF(AND(AD594=1,D594="Military",H594&lt;&gt;"Not given")=TRUE,IF(SUMIFS(P:P,A:A,A594)&gt;0,IF((ABS((SUMIFS(P:P,A:A,A594)/VLOOKUP("USD",'Exchange Rates'!B:C,2,0)))/S594)&gt;1,(SUMIFS(P:P,A:A,A594)-S594)/S594,(S594-SUMIFS(P:P,A:A,A594))/SUMIFS(P:P,A:A,A594)),"."),".")</f>
        <v>.</v>
      </c>
      <c r="BA594" s="182"/>
      <c r="BB594" s="182"/>
      <c r="BC594" s="182"/>
      <c r="BD594" s="182"/>
      <c r="BE594" s="182"/>
      <c r="BF594" s="182"/>
      <c r="BG594" s="182"/>
      <c r="BH594" s="182"/>
      <c r="BI594" s="182"/>
      <c r="BJ594" s="182"/>
      <c r="BK594" s="182"/>
      <c r="BL594" s="182"/>
      <c r="BM594" s="182"/>
      <c r="BN594" s="182"/>
      <c r="BO594" s="182"/>
      <c r="BP594" s="182"/>
      <c r="BQ594" s="182"/>
      <c r="BR594" s="182"/>
      <c r="BS594" s="182"/>
    </row>
    <row r="595" spans="1:71" ht="15.9" customHeight="1" x14ac:dyDescent="0.3">
      <c r="A595" s="17" t="s">
        <v>1803</v>
      </c>
      <c r="B595" s="17" t="s">
        <v>1804</v>
      </c>
      <c r="C595" s="174">
        <v>44619</v>
      </c>
      <c r="D595" s="5" t="s">
        <v>256</v>
      </c>
      <c r="E595" s="19" t="s">
        <v>257</v>
      </c>
      <c r="F595" s="19" t="s">
        <v>1805</v>
      </c>
      <c r="G595" s="15" t="s">
        <v>346</v>
      </c>
      <c r="H595" s="176">
        <v>59300000</v>
      </c>
      <c r="I595" s="17" t="s">
        <v>260</v>
      </c>
      <c r="J595" s="113"/>
      <c r="K595" s="113"/>
      <c r="L595" s="177"/>
      <c r="M595" s="542"/>
      <c r="N595" s="542"/>
      <c r="O595" s="543"/>
      <c r="P595" s="176"/>
      <c r="Q595" s="176"/>
      <c r="R595" s="176"/>
      <c r="S595" s="176"/>
      <c r="T595" s="176"/>
      <c r="U595" s="15" t="s">
        <v>261</v>
      </c>
      <c r="V595" s="1133" t="s">
        <v>1806</v>
      </c>
      <c r="W595" s="1134" t="s">
        <v>1807</v>
      </c>
      <c r="X595" s="175" t="s">
        <v>260</v>
      </c>
      <c r="Y595" s="175" t="s">
        <v>260</v>
      </c>
      <c r="Z595" s="15">
        <v>0</v>
      </c>
      <c r="AA595" s="180">
        <v>1</v>
      </c>
      <c r="AB595" s="184" t="s">
        <v>260</v>
      </c>
      <c r="AC595" s="544"/>
      <c r="AD595" s="181">
        <v>1</v>
      </c>
      <c r="AE595" s="181" t="s">
        <v>264</v>
      </c>
      <c r="AF595" s="181" t="s">
        <v>265</v>
      </c>
      <c r="AG595" s="181">
        <v>1</v>
      </c>
      <c r="AH595" s="181">
        <v>2</v>
      </c>
      <c r="AI595" s="181">
        <v>0</v>
      </c>
      <c r="AJ595" s="181"/>
      <c r="AK595" s="181"/>
      <c r="AL595" s="181"/>
      <c r="AM595" s="181"/>
      <c r="AN595" s="180"/>
      <c r="AO595" s="180"/>
      <c r="AP595" s="545"/>
      <c r="AQ595" s="180"/>
      <c r="AR595" s="180"/>
      <c r="AS595" s="180"/>
      <c r="AT595" s="180"/>
      <c r="AU595" s="180"/>
      <c r="AV595" s="180"/>
      <c r="AW595" s="180"/>
      <c r="AX595" s="180"/>
      <c r="AY595" s="180"/>
      <c r="AZ595" s="182"/>
      <c r="BA595" s="182"/>
      <c r="BB595" s="182"/>
      <c r="BC595" s="182"/>
      <c r="BD595" s="182"/>
      <c r="BE595" s="182"/>
      <c r="BF595" s="182"/>
      <c r="BG595" s="182"/>
      <c r="BH595" s="182"/>
      <c r="BI595" s="182"/>
      <c r="BJ595" s="182"/>
      <c r="BK595" s="182"/>
      <c r="BL595" s="182"/>
      <c r="BM595" s="182"/>
      <c r="BN595" s="182"/>
      <c r="BO595" s="182"/>
      <c r="BP595" s="182"/>
      <c r="BQ595" s="182"/>
      <c r="BR595" s="182"/>
      <c r="BS595" s="182"/>
    </row>
    <row r="596" spans="1:71" ht="15.9" customHeight="1" x14ac:dyDescent="0.3">
      <c r="A596" s="17" t="s">
        <v>1808</v>
      </c>
      <c r="B596" s="17" t="s">
        <v>1804</v>
      </c>
      <c r="C596" s="174">
        <v>44644</v>
      </c>
      <c r="D596" s="5" t="s">
        <v>256</v>
      </c>
      <c r="E596" s="19" t="s">
        <v>257</v>
      </c>
      <c r="F596" s="19" t="s">
        <v>1809</v>
      </c>
      <c r="G596" s="15" t="s">
        <v>346</v>
      </c>
      <c r="H596" s="176">
        <v>53870000</v>
      </c>
      <c r="I596" s="17" t="s">
        <v>260</v>
      </c>
      <c r="J596" s="113"/>
      <c r="K596" s="113"/>
      <c r="L596" s="177"/>
      <c r="M596" s="542"/>
      <c r="N596" s="542"/>
      <c r="O596" s="543"/>
      <c r="P596" s="176"/>
      <c r="Q596" s="176"/>
      <c r="R596" s="176"/>
      <c r="S596" s="176"/>
      <c r="T596" s="176"/>
      <c r="U596" s="15" t="s">
        <v>261</v>
      </c>
      <c r="V596" s="1133" t="s">
        <v>1806</v>
      </c>
      <c r="W596" s="1134" t="s">
        <v>1807</v>
      </c>
      <c r="X596" s="175" t="s">
        <v>260</v>
      </c>
      <c r="Y596" s="175" t="s">
        <v>260</v>
      </c>
      <c r="Z596" s="15">
        <v>0</v>
      </c>
      <c r="AA596" s="180">
        <v>1</v>
      </c>
      <c r="AB596" s="184" t="s">
        <v>260</v>
      </c>
      <c r="AC596" s="544"/>
      <c r="AD596" s="181">
        <v>1</v>
      </c>
      <c r="AE596" s="181" t="s">
        <v>264</v>
      </c>
      <c r="AF596" s="181" t="s">
        <v>265</v>
      </c>
      <c r="AG596" s="181">
        <v>1</v>
      </c>
      <c r="AH596" s="181">
        <v>3</v>
      </c>
      <c r="AI596" s="181">
        <v>0</v>
      </c>
      <c r="AJ596" s="181"/>
      <c r="AK596" s="181"/>
      <c r="AL596" s="181"/>
      <c r="AM596" s="181"/>
      <c r="AN596" s="180"/>
      <c r="AO596" s="180"/>
      <c r="AP596" s="545"/>
      <c r="AQ596" s="180"/>
      <c r="AR596" s="180"/>
      <c r="AS596" s="180"/>
      <c r="AT596" s="180"/>
      <c r="AU596" s="180"/>
      <c r="AV596" s="180"/>
      <c r="AW596" s="180"/>
      <c r="AX596" s="180"/>
      <c r="AY596" s="180"/>
      <c r="AZ596" s="182"/>
      <c r="BA596" s="182"/>
      <c r="BB596" s="182"/>
      <c r="BC596" s="182"/>
      <c r="BD596" s="182"/>
      <c r="BE596" s="182"/>
      <c r="BF596" s="182"/>
      <c r="BG596" s="182"/>
      <c r="BH596" s="182"/>
      <c r="BI596" s="182"/>
      <c r="BJ596" s="182"/>
      <c r="BK596" s="182"/>
      <c r="BL596" s="182"/>
      <c r="BM596" s="182"/>
      <c r="BN596" s="182"/>
      <c r="BO596" s="182"/>
      <c r="BP596" s="182"/>
      <c r="BQ596" s="182"/>
      <c r="BR596" s="182"/>
      <c r="BS596" s="182"/>
    </row>
    <row r="597" spans="1:71" s="505" customFormat="1" ht="15.9" customHeight="1" x14ac:dyDescent="0.3">
      <c r="A597" s="17" t="s">
        <v>1810</v>
      </c>
      <c r="B597" s="17" t="s">
        <v>1804</v>
      </c>
      <c r="C597" s="174">
        <v>44679</v>
      </c>
      <c r="D597" s="5" t="s">
        <v>256</v>
      </c>
      <c r="E597" s="5" t="s">
        <v>257</v>
      </c>
      <c r="F597" s="175" t="s">
        <v>1811</v>
      </c>
      <c r="G597" s="15" t="s">
        <v>346</v>
      </c>
      <c r="H597" s="176">
        <v>2300000</v>
      </c>
      <c r="I597" s="17" t="s">
        <v>260</v>
      </c>
      <c r="J597" s="113" t="str">
        <f>VLOOKUP($I597,'Price List, Weapons &amp; Items'!B:C,2,0)</f>
        <v>.</v>
      </c>
      <c r="K597" s="113" t="str">
        <f>IF(I597=".",I597,VLOOKUP($I597,'Price List, Weapons &amp; Items'!B:D,3,0))</f>
        <v>.</v>
      </c>
      <c r="L597" s="177">
        <f>VLOOKUP(I597,'Price List, Weapons &amp; Items'!B:E,4,0)</f>
        <v>0</v>
      </c>
      <c r="M597" s="542" t="s">
        <v>260</v>
      </c>
      <c r="N597" s="542" t="s">
        <v>260</v>
      </c>
      <c r="O597" s="543" t="str">
        <f>VLOOKUP($I597,'Price List, Weapons &amp; Items'!B:G,6,0)</f>
        <v>.</v>
      </c>
      <c r="P597" s="176" t="str">
        <f t="shared" si="114"/>
        <v>.</v>
      </c>
      <c r="Q597" s="176" t="str">
        <f t="shared" si="115"/>
        <v>.</v>
      </c>
      <c r="R597" s="176">
        <f t="shared" ref="R597:R660" si="126">IF(AD597=1,IF(H597&lt;&gt;"Not given",H597,IF(TYPE(H597)=2,IF(SUMIFS(P:P,A:A,A597)&gt;0,SUMIFS(P:P,A:A,A597),"."),"Format error")),"")</f>
        <v>2300000</v>
      </c>
      <c r="S597" s="176">
        <f>IF(AND(AD597=1,R597&lt;&gt;".")=TRUE,R597/VLOOKUP(G597,'Exchange Rates'!B:C,2,0),IF(R597=".",".",""))</f>
        <v>2190476.1904761903</v>
      </c>
      <c r="T597" s="176" t="str">
        <f>IF(AD597=1,IF(AF597="Value is not given at all",".",IF(AF597="Value is given by the source",S597,IF(AF597="Value is calculated with prices",(IF(SUMIFS(Q:Q,A:A,A597)&gt;0,SUMIFS(Q:Q,A:A,A597),"."))/VLOOKUP("USD",'Exchange Rates'!B:C,2,0),"Error with coding"))),"")</f>
        <v>.</v>
      </c>
      <c r="U597" s="15" t="s">
        <v>261</v>
      </c>
      <c r="V597" s="300" t="s">
        <v>1812</v>
      </c>
      <c r="W597" s="300" t="s">
        <v>1813</v>
      </c>
      <c r="X597" s="175" t="s">
        <v>260</v>
      </c>
      <c r="Y597" s="175" t="s">
        <v>260</v>
      </c>
      <c r="Z597" s="15">
        <v>0</v>
      </c>
      <c r="AA597" s="180">
        <v>0</v>
      </c>
      <c r="AB597" s="17" t="s">
        <v>260</v>
      </c>
      <c r="AC597" s="544" t="str">
        <f>""</f>
        <v/>
      </c>
      <c r="AD597" s="183">
        <v>1</v>
      </c>
      <c r="AE597" s="183" t="s">
        <v>264</v>
      </c>
      <c r="AF597" s="183" t="s">
        <v>265</v>
      </c>
      <c r="AG597" s="183">
        <v>1</v>
      </c>
      <c r="AH597" s="181">
        <v>4</v>
      </c>
      <c r="AI597" s="181">
        <v>0</v>
      </c>
      <c r="AJ597" s="181">
        <f>VLOOKUP($I597,'Price List, Weapons &amp; Items'!B:F,5,0)</f>
        <v>0</v>
      </c>
      <c r="AK597" s="181">
        <f t="shared" si="116"/>
        <v>0</v>
      </c>
      <c r="AL597" s="181">
        <f t="shared" si="117"/>
        <v>0</v>
      </c>
      <c r="AM597" s="181">
        <f t="shared" si="118"/>
        <v>0</v>
      </c>
      <c r="AN597" s="180" t="str">
        <f>VLOOKUP($I597,'Price List, Weapons &amp; Items'!B:L,COLUMN('Price List, Weapons &amp; Items'!$J$11)-1,0)</f>
        <v>.</v>
      </c>
      <c r="AO597" s="180" t="str">
        <f>IF(I597=".",".",VLOOKUP($I597,'Price List, Weapons &amp; Items'!B:J,3,0))</f>
        <v>.</v>
      </c>
      <c r="AP597" s="545" t="e">
        <f t="shared" ref="AP597:AP660" ca="1" si="127">IF(AD597=1,_xlfn.ARRAYTOTEXT(OFFSET(I597,0,0,COUNTIF(A:A,A597),1)),"")</f>
        <v>#NAME?</v>
      </c>
      <c r="AQ597" s="180" t="str">
        <f>VLOOKUP($I597,'Price List, Weapons &amp; Items'!B:L,COLUMN('Price List, Weapons &amp; Items'!$L$11)-1,0)</f>
        <v>no price, 0 count</v>
      </c>
      <c r="AR597" s="180">
        <f t="shared" si="119"/>
        <v>1</v>
      </c>
      <c r="AS597" s="180">
        <f t="shared" si="120"/>
        <v>0</v>
      </c>
      <c r="AT597" s="180">
        <f t="shared" si="121"/>
        <v>1</v>
      </c>
      <c r="AU597" s="180" t="str">
        <f>IF(AND(A597=A594,C597=C594)=TRUE,IF(F597=F594,".","1"),".")</f>
        <v>.</v>
      </c>
      <c r="AV597" s="180" t="str">
        <f t="shared" si="123"/>
        <v>.</v>
      </c>
      <c r="AW597" s="180">
        <f>IFERROR(VLOOKUP(B597,'Share, Heavy Weapons to Ukraine'!B:J,COLUMN('Share, Heavy Weapons to Ukraine'!C607)-1,0),0)</f>
        <v>0</v>
      </c>
      <c r="AX597" s="180">
        <f>VLOOKUP('Bilateral Assistance, MAIN DATA'!B597,'Country Summary'!B:F,COLUMN('Country Summary'!C610)-1,FALSE)</f>
        <v>0</v>
      </c>
      <c r="AY597" s="180" t="str">
        <f>IF(AND(AD597=1,D597="Military",H597&lt;&gt;"Not given")=TRUE,IF(SUMIFS(P:P,A:A,A597)&gt;0,ABS((SUMIFS(P:P,A:A,A597)/VLOOKUP("USD",'Exchange Rates'!B:C,2,0)))/S597,"."),".")</f>
        <v>.</v>
      </c>
      <c r="AZ597" s="182" t="str">
        <f>IF(AND(AD597=1,D597="Military",H597&lt;&gt;"Not given")=TRUE,IF(SUMIFS(P:P,A:A,A597)&gt;0,IF((ABS((SUMIFS(P:P,A:A,A597)/VLOOKUP("USD",'Exchange Rates'!B:C,2,0)))/S597)&gt;1,(SUMIFS(P:P,A:A,A597)-S597)/S597,(S597-SUMIFS(P:P,A:A,A597))/SUMIFS(P:P,A:A,A597)),"."),".")</f>
        <v>.</v>
      </c>
      <c r="BA597" s="17"/>
      <c r="BB597" s="17"/>
      <c r="BC597" s="17"/>
      <c r="BD597" s="17"/>
      <c r="BE597" s="17"/>
      <c r="BF597" s="17"/>
      <c r="BG597" s="17"/>
      <c r="BH597" s="17"/>
      <c r="BI597" s="17"/>
      <c r="BJ597" s="17"/>
      <c r="BK597" s="17"/>
      <c r="BL597" s="17"/>
      <c r="BM597" s="17"/>
      <c r="BN597" s="17"/>
      <c r="BO597" s="17"/>
      <c r="BP597" s="17"/>
      <c r="BQ597" s="17"/>
      <c r="BR597" s="17"/>
      <c r="BS597" s="17"/>
    </row>
    <row r="598" spans="1:71" s="505" customFormat="1" ht="15.9" customHeight="1" x14ac:dyDescent="0.3">
      <c r="A598" s="17" t="s">
        <v>1814</v>
      </c>
      <c r="B598" s="17" t="s">
        <v>1804</v>
      </c>
      <c r="C598" s="174">
        <v>44708</v>
      </c>
      <c r="D598" s="5" t="s">
        <v>256</v>
      </c>
      <c r="E598" s="5" t="s">
        <v>257</v>
      </c>
      <c r="F598" s="175" t="s">
        <v>1815</v>
      </c>
      <c r="G598" s="15" t="s">
        <v>346</v>
      </c>
      <c r="H598" s="176">
        <v>1660000</v>
      </c>
      <c r="I598" s="17" t="s">
        <v>260</v>
      </c>
      <c r="J598" s="113" t="str">
        <f>VLOOKUP($I598,'Price List, Weapons &amp; Items'!B:C,2,0)</f>
        <v>.</v>
      </c>
      <c r="K598" s="113" t="str">
        <f>IF(I598=".",I598,VLOOKUP($I598,'Price List, Weapons &amp; Items'!B:D,3,0))</f>
        <v>.</v>
      </c>
      <c r="L598" s="177">
        <f>VLOOKUP(I598,'Price List, Weapons &amp; Items'!B:E,4,0)</f>
        <v>0</v>
      </c>
      <c r="M598" s="542" t="s">
        <v>260</v>
      </c>
      <c r="N598" s="542" t="s">
        <v>260</v>
      </c>
      <c r="O598" s="543" t="str">
        <f>VLOOKUP($I598,'Price List, Weapons &amp; Items'!B:G,6,0)</f>
        <v>.</v>
      </c>
      <c r="P598" s="176" t="str">
        <f t="shared" si="114"/>
        <v>.</v>
      </c>
      <c r="Q598" s="176" t="str">
        <f t="shared" si="115"/>
        <v>.</v>
      </c>
      <c r="R598" s="176">
        <f t="shared" si="126"/>
        <v>1660000</v>
      </c>
      <c r="S598" s="176">
        <f>IF(AND(AD598=1,R598&lt;&gt;".")=TRUE,R598/VLOOKUP(G598,'Exchange Rates'!B:C,2,0),IF(R598=".",".",""))</f>
        <v>1580952.3809523808</v>
      </c>
      <c r="T598" s="176" t="str">
        <f>IF(AD598=1,IF(AF598="Value is not given at all",".",IF(AF598="Value is given by the source",S598,IF(AF598="Value is calculated with prices",(IF(SUMIFS(Q:Q,A:A,A598)&gt;0,SUMIFS(Q:Q,A:A,A598),"."))/VLOOKUP("USD",'Exchange Rates'!B:C,2,0),"Error with coding"))),"")</f>
        <v>.</v>
      </c>
      <c r="U598" s="15" t="s">
        <v>261</v>
      </c>
      <c r="V598" s="300" t="s">
        <v>1816</v>
      </c>
      <c r="W598" s="144" t="s">
        <v>260</v>
      </c>
      <c r="X598" s="175" t="s">
        <v>260</v>
      </c>
      <c r="Y598" s="175" t="s">
        <v>260</v>
      </c>
      <c r="Z598" s="15">
        <v>0</v>
      </c>
      <c r="AA598" s="180">
        <v>0</v>
      </c>
      <c r="AB598" s="17" t="s">
        <v>260</v>
      </c>
      <c r="AC598" s="544" t="str">
        <f>""</f>
        <v/>
      </c>
      <c r="AD598" s="183">
        <v>1</v>
      </c>
      <c r="AE598" s="183" t="s">
        <v>264</v>
      </c>
      <c r="AF598" s="183" t="s">
        <v>265</v>
      </c>
      <c r="AG598" s="183">
        <v>1</v>
      </c>
      <c r="AH598" s="181">
        <v>5</v>
      </c>
      <c r="AI598" s="181">
        <v>0</v>
      </c>
      <c r="AJ598" s="181">
        <f>VLOOKUP($I598,'Price List, Weapons &amp; Items'!B:F,5,0)</f>
        <v>0</v>
      </c>
      <c r="AK598" s="181">
        <f t="shared" si="116"/>
        <v>0</v>
      </c>
      <c r="AL598" s="181">
        <f t="shared" si="117"/>
        <v>0</v>
      </c>
      <c r="AM598" s="181">
        <f t="shared" si="118"/>
        <v>0</v>
      </c>
      <c r="AN598" s="180" t="str">
        <f>VLOOKUP($I598,'Price List, Weapons &amp; Items'!B:L,COLUMN('Price List, Weapons &amp; Items'!$J$11)-1,0)</f>
        <v>.</v>
      </c>
      <c r="AO598" s="180" t="str">
        <f>IF(I598=".",".",VLOOKUP($I598,'Price List, Weapons &amp; Items'!B:J,3,0))</f>
        <v>.</v>
      </c>
      <c r="AP598" s="545" t="e">
        <f t="shared" ca="1" si="127"/>
        <v>#NAME?</v>
      </c>
      <c r="AQ598" s="180" t="str">
        <f>VLOOKUP($I598,'Price List, Weapons &amp; Items'!B:L,COLUMN('Price List, Weapons &amp; Items'!$L$11)-1,0)</f>
        <v>no price, 0 count</v>
      </c>
      <c r="AR598" s="180">
        <f t="shared" si="119"/>
        <v>1</v>
      </c>
      <c r="AS598" s="180">
        <f t="shared" si="120"/>
        <v>0</v>
      </c>
      <c r="AT598" s="180">
        <f t="shared" si="121"/>
        <v>1</v>
      </c>
      <c r="AU598" s="180" t="str">
        <f t="shared" si="122"/>
        <v>.</v>
      </c>
      <c r="AV598" s="180" t="str">
        <f t="shared" si="123"/>
        <v>.</v>
      </c>
      <c r="AW598" s="180">
        <f>IFERROR(VLOOKUP(B598,'Share, Heavy Weapons to Ukraine'!B:J,COLUMN('Share, Heavy Weapons to Ukraine'!C608)-1,0),0)</f>
        <v>0</v>
      </c>
      <c r="AX598" s="180">
        <f>VLOOKUP('Bilateral Assistance, MAIN DATA'!B598,'Country Summary'!B:F,COLUMN('Country Summary'!C611)-1,FALSE)</f>
        <v>0</v>
      </c>
      <c r="AY598" s="180" t="str">
        <f>IF(AND(AD598=1,D598="Military",H598&lt;&gt;"Not given")=TRUE,IF(SUMIFS(P:P,A:A,A598)&gt;0,ABS((SUMIFS(P:P,A:A,A598)/VLOOKUP("USD",'Exchange Rates'!B:C,2,0)))/S598,"."),".")</f>
        <v>.</v>
      </c>
      <c r="AZ598" s="182" t="str">
        <f>IF(AND(AD598=1,D598="Military",H598&lt;&gt;"Not given")=TRUE,IF(SUMIFS(P:P,A:A,A598)&gt;0,IF((ABS((SUMIFS(P:P,A:A,A598)/VLOOKUP("USD",'Exchange Rates'!B:C,2,0)))/S598)&gt;1,(SUMIFS(P:P,A:A,A598)-S598)/S598,(S598-SUMIFS(P:P,A:A,A598))/SUMIFS(P:P,A:A,A598)),"."),".")</f>
        <v>.</v>
      </c>
      <c r="BA598" s="17"/>
      <c r="BB598" s="17"/>
      <c r="BC598" s="17"/>
      <c r="BD598" s="17"/>
      <c r="BE598" s="17"/>
      <c r="BF598" s="17"/>
      <c r="BG598" s="17"/>
      <c r="BH598" s="17"/>
      <c r="BI598" s="17"/>
      <c r="BJ598" s="17"/>
      <c r="BK598" s="17"/>
      <c r="BL598" s="17"/>
      <c r="BM598" s="17"/>
      <c r="BN598" s="17"/>
      <c r="BO598" s="17"/>
      <c r="BP598" s="17"/>
      <c r="BQ598" s="17"/>
      <c r="BR598" s="17"/>
      <c r="BS598" s="17"/>
    </row>
    <row r="599" spans="1:71" s="505" customFormat="1" ht="15.9" customHeight="1" x14ac:dyDescent="0.3">
      <c r="A599" s="17" t="s">
        <v>1817</v>
      </c>
      <c r="B599" s="17" t="s">
        <v>1804</v>
      </c>
      <c r="C599" s="174">
        <v>44777</v>
      </c>
      <c r="D599" s="5" t="s">
        <v>256</v>
      </c>
      <c r="E599" s="5" t="s">
        <v>257</v>
      </c>
      <c r="F599" s="175" t="s">
        <v>1818</v>
      </c>
      <c r="G599" s="15" t="s">
        <v>346</v>
      </c>
      <c r="H599" s="176" t="s">
        <v>341</v>
      </c>
      <c r="I599" s="17" t="s">
        <v>1819</v>
      </c>
      <c r="J599" s="113" t="str">
        <f>VLOOKUP($I599,'Price List, Weapons &amp; Items'!B:C,2,0)</f>
        <v>Humanitarian</v>
      </c>
      <c r="K599" s="113" t="str">
        <f>IF(I599=".",I599,VLOOKUP($I599,'Price List, Weapons &amp; Items'!B:D,3,0))</f>
        <v>Humanitarian</v>
      </c>
      <c r="L599" s="177">
        <f>VLOOKUP(I599,'Price List, Weapons &amp; Items'!B:E,4,0)</f>
        <v>0</v>
      </c>
      <c r="M599" s="542" t="s">
        <v>270</v>
      </c>
      <c r="N599" s="542" t="s">
        <v>270</v>
      </c>
      <c r="O599" s="543" t="str">
        <f>VLOOKUP($I599,'Price List, Weapons &amp; Items'!B:G,6,0)</f>
        <v>.</v>
      </c>
      <c r="P599" s="176" t="str">
        <f t="shared" si="114"/>
        <v>.</v>
      </c>
      <c r="Q599" s="176" t="str">
        <f t="shared" si="115"/>
        <v>.</v>
      </c>
      <c r="R599" s="176" t="str">
        <f t="shared" si="126"/>
        <v/>
      </c>
      <c r="S599" s="176" t="str">
        <f>IF(AND(AD599=1,R599&lt;&gt;".")=TRUE,R599/VLOOKUP(G599,'Exchange Rates'!B:C,2,0),IF(R599=".",".",""))</f>
        <v/>
      </c>
      <c r="T599" s="176" t="str">
        <f>IF(AD599=1,IF(AF599="Value is not given at all",".",IF(AF599="Value is given by the source",S599,IF(AF599="Value is calculated with prices",(IF(SUMIFS(Q:Q,A:A,A599)&gt;0,SUMIFS(Q:Q,A:A,A599),"."))/VLOOKUP("USD",'Exchange Rates'!B:C,2,0),"Error with coding"))),"")</f>
        <v/>
      </c>
      <c r="U599" s="15" t="s">
        <v>261</v>
      </c>
      <c r="V599" s="547" t="s">
        <v>1820</v>
      </c>
      <c r="W599" s="569" t="s">
        <v>1821</v>
      </c>
      <c r="X599" s="569" t="s">
        <v>1822</v>
      </c>
      <c r="Y599" s="668" t="s">
        <v>260</v>
      </c>
      <c r="Z599" s="15">
        <v>0</v>
      </c>
      <c r="AA599" s="180">
        <v>0</v>
      </c>
      <c r="AB599" s="184" t="s">
        <v>260</v>
      </c>
      <c r="AC599" s="544" t="str">
        <f>""</f>
        <v/>
      </c>
      <c r="AD599" s="183">
        <v>0</v>
      </c>
      <c r="AE599" s="183" t="s">
        <v>264</v>
      </c>
      <c r="AF599" s="183" t="s">
        <v>265</v>
      </c>
      <c r="AG599" s="183">
        <v>1</v>
      </c>
      <c r="AH599" s="181">
        <v>8</v>
      </c>
      <c r="AI599" s="181">
        <v>0</v>
      </c>
      <c r="AJ599" s="181">
        <f>VLOOKUP($I599,'Price List, Weapons &amp; Items'!B:F,5,0)</f>
        <v>0</v>
      </c>
      <c r="AK599" s="181">
        <f t="shared" si="116"/>
        <v>0</v>
      </c>
      <c r="AL599" s="181">
        <f t="shared" si="117"/>
        <v>0</v>
      </c>
      <c r="AM599" s="181">
        <f t="shared" si="118"/>
        <v>0</v>
      </c>
      <c r="AN599" s="180" t="str">
        <f>VLOOKUP($I599,'Price List, Weapons &amp; Items'!B:L,COLUMN('Price List, Weapons &amp; Items'!$J$11)-1,0)</f>
        <v>.</v>
      </c>
      <c r="AO599" s="180" t="str">
        <f>IF(I599=".",".",VLOOKUP($I599,'Price List, Weapons &amp; Items'!B:J,3,0))</f>
        <v>Humanitarian</v>
      </c>
      <c r="AP599" s="545" t="str">
        <f t="shared" ca="1" si="127"/>
        <v/>
      </c>
      <c r="AQ599" s="180">
        <f>VLOOKUP($I599,'Price List, Weapons &amp; Items'!B:L,COLUMN('Price List, Weapons &amp; Items'!$L$11)-1,0)</f>
        <v>0</v>
      </c>
      <c r="AR599" s="180">
        <f t="shared" si="119"/>
        <v>1</v>
      </c>
      <c r="AS599" s="180">
        <f t="shared" si="120"/>
        <v>0</v>
      </c>
      <c r="AT599" s="180">
        <f t="shared" si="121"/>
        <v>1</v>
      </c>
      <c r="AU599" s="180" t="e">
        <f>IF(AND(A599=#REF!,C599=#REF!)=TRUE,IF(F599=#REF!,".","1"),".")</f>
        <v>#REF!</v>
      </c>
      <c r="AV599" s="180" t="str">
        <f t="shared" si="123"/>
        <v>.</v>
      </c>
      <c r="AW599" s="180">
        <f>IFERROR(VLOOKUP(B599,'Share, Heavy Weapons to Ukraine'!B:J,COLUMN('Share, Heavy Weapons to Ukraine'!C610)-1,0),0)</f>
        <v>0</v>
      </c>
      <c r="AX599" s="180">
        <f>VLOOKUP('Bilateral Assistance, MAIN DATA'!B599,'Country Summary'!B:F,COLUMN('Country Summary'!C613)-1,FALSE)</f>
        <v>0</v>
      </c>
      <c r="AY599" s="180" t="str">
        <f>IF(AND(AD599=1,D599="Military",H599&lt;&gt;"Not given")=TRUE,IF(SUMIFS(P:P,A:A,A599)&gt;0,ABS((SUMIFS(P:P,A:A,A599)/VLOOKUP("USD",'Exchange Rates'!B:C,2,0)))/S599,"."),".")</f>
        <v>.</v>
      </c>
      <c r="AZ599" s="182" t="str">
        <f>IF(AND(AD599=1,D599="Military",H599&lt;&gt;"Not given")=TRUE,IF(SUMIFS(P:P,A:A,A599)&gt;0,IF((ABS((SUMIFS(P:P,A:A,A599)/VLOOKUP("USD",'Exchange Rates'!B:C,2,0)))/S599)&gt;1,(SUMIFS(P:P,A:A,A599)-S599)/S599,(S599-SUMIFS(P:P,A:A,A599))/SUMIFS(P:P,A:A,A599)),"."),".")</f>
        <v>.</v>
      </c>
      <c r="BA599" s="17"/>
      <c r="BB599" s="17"/>
      <c r="BC599" s="17"/>
      <c r="BD599" s="17"/>
      <c r="BE599" s="17"/>
      <c r="BF599" s="17"/>
      <c r="BG599" s="17"/>
      <c r="BH599" s="17"/>
      <c r="BI599" s="17"/>
      <c r="BJ599" s="17"/>
      <c r="BK599" s="17"/>
      <c r="BL599" s="17"/>
      <c r="BM599" s="17"/>
      <c r="BN599" s="17"/>
      <c r="BO599" s="17"/>
      <c r="BP599" s="17"/>
      <c r="BQ599" s="17"/>
      <c r="BR599" s="17"/>
      <c r="BS599" s="17"/>
    </row>
    <row r="600" spans="1:71" s="505" customFormat="1" ht="15.9" customHeight="1" x14ac:dyDescent="0.3">
      <c r="A600" s="19" t="s">
        <v>1823</v>
      </c>
      <c r="B600" s="19" t="s">
        <v>1804</v>
      </c>
      <c r="C600" s="555">
        <v>44887</v>
      </c>
      <c r="D600" s="19" t="s">
        <v>256</v>
      </c>
      <c r="E600" s="19" t="s">
        <v>257</v>
      </c>
      <c r="F600" s="19" t="s">
        <v>1824</v>
      </c>
      <c r="G600" s="199" t="s">
        <v>346</v>
      </c>
      <c r="H600" s="70">
        <v>2570000</v>
      </c>
      <c r="I600" s="19" t="s">
        <v>260</v>
      </c>
      <c r="J600" s="113" t="str">
        <f>VLOOKUP($I600,'Price List, Weapons &amp; Items'!B:C,2,0)</f>
        <v>.</v>
      </c>
      <c r="K600" s="113" t="str">
        <f>IF(I600=".",I600,VLOOKUP($I600,'Price List, Weapons &amp; Items'!B:D,3,0))</f>
        <v>.</v>
      </c>
      <c r="L600" s="177">
        <f>VLOOKUP(I600,'Price List, Weapons &amp; Items'!B:E,4,0)</f>
        <v>0</v>
      </c>
      <c r="M600" s="247" t="s">
        <v>260</v>
      </c>
      <c r="N600" s="247" t="s">
        <v>260</v>
      </c>
      <c r="O600" s="543" t="str">
        <f>VLOOKUP($I600,'Price List, Weapons &amp; Items'!B:G,6,0)</f>
        <v>.</v>
      </c>
      <c r="P600" s="176" t="str">
        <f t="shared" si="114"/>
        <v>.</v>
      </c>
      <c r="Q600" s="176" t="str">
        <f t="shared" si="115"/>
        <v>.</v>
      </c>
      <c r="R600" s="176">
        <f t="shared" si="126"/>
        <v>2570000</v>
      </c>
      <c r="S600" s="176">
        <f>IF(AND(AD600=1,R600&lt;&gt;".")=TRUE,R600/VLOOKUP(G600,'Exchange Rates'!B:C,2,0),IF(R600=".",".",""))</f>
        <v>2447619.0476190476</v>
      </c>
      <c r="T600" s="176" t="str">
        <f>IF(AD600=1,IF(AF600="Value is not given at all",".",IF(AF600="Value is given by the source",S600,IF(AF600="Value is calculated with prices",(IF(SUMIFS(Q:Q,A:A,A600)&gt;0,SUMIFS(Q:Q,A:A,A600),"."))/VLOOKUP("USD",'Exchange Rates'!B:C,2,0),"Error with coding"))),"")</f>
        <v>.</v>
      </c>
      <c r="U600" s="199" t="s">
        <v>261</v>
      </c>
      <c r="V600" s="304" t="s">
        <v>1806</v>
      </c>
      <c r="W600" s="304" t="s">
        <v>1825</v>
      </c>
      <c r="X600" s="19" t="s">
        <v>260</v>
      </c>
      <c r="Y600" s="19" t="s">
        <v>260</v>
      </c>
      <c r="Z600" s="199">
        <v>0</v>
      </c>
      <c r="AA600" s="199">
        <v>1</v>
      </c>
      <c r="AB600" s="19" t="s">
        <v>260</v>
      </c>
      <c r="AC600" s="544" t="str">
        <f>""</f>
        <v/>
      </c>
      <c r="AD600" s="199">
        <v>1</v>
      </c>
      <c r="AE600" s="199" t="s">
        <v>264</v>
      </c>
      <c r="AF600" s="199" t="s">
        <v>265</v>
      </c>
      <c r="AG600" s="199">
        <v>1</v>
      </c>
      <c r="AH600" s="199">
        <v>11</v>
      </c>
      <c r="AI600" s="199">
        <v>0</v>
      </c>
      <c r="AJ600" s="181">
        <f>VLOOKUP($I600,'Price List, Weapons &amp; Items'!B:F,5,0)</f>
        <v>0</v>
      </c>
      <c r="AK600" s="181">
        <f t="shared" si="116"/>
        <v>0</v>
      </c>
      <c r="AL600" s="181">
        <f t="shared" si="117"/>
        <v>0</v>
      </c>
      <c r="AM600" s="181">
        <f t="shared" si="118"/>
        <v>0</v>
      </c>
      <c r="AN600" s="180" t="str">
        <f>VLOOKUP($I600,'Price List, Weapons &amp; Items'!B:L,COLUMN('Price List, Weapons &amp; Items'!$J$11)-1,0)</f>
        <v>.</v>
      </c>
      <c r="AO600" s="180" t="str">
        <f>IF(I600=".",".",VLOOKUP($I600,'Price List, Weapons &amp; Items'!B:J,3,0))</f>
        <v>.</v>
      </c>
      <c r="AP600" s="545" t="e">
        <f t="shared" ca="1" si="127"/>
        <v>#NAME?</v>
      </c>
      <c r="AQ600" s="180" t="str">
        <f>VLOOKUP($I600,'Price List, Weapons &amp; Items'!B:L,COLUMN('Price List, Weapons &amp; Items'!$L$11)-1,0)</f>
        <v>no price, 0 count</v>
      </c>
      <c r="AR600" s="180">
        <f t="shared" si="119"/>
        <v>1</v>
      </c>
      <c r="AS600" s="180">
        <f t="shared" si="120"/>
        <v>0</v>
      </c>
      <c r="AT600" s="180">
        <f t="shared" si="121"/>
        <v>1</v>
      </c>
      <c r="AU600" s="180" t="str">
        <f>IF(AND(A600=A599,C600=C599)=TRUE,IF(F600=F599,".","1"),".")</f>
        <v>.</v>
      </c>
      <c r="AV600" s="180" t="str">
        <f t="shared" si="123"/>
        <v>.</v>
      </c>
      <c r="AW600" s="180">
        <f>IFERROR(VLOOKUP(B600,'Share, Heavy Weapons to Ukraine'!B:J,COLUMN('Share, Heavy Weapons to Ukraine'!C611)-1,0),0)</f>
        <v>0</v>
      </c>
      <c r="AX600" s="180">
        <f>VLOOKUP('Bilateral Assistance, MAIN DATA'!B600,'Country Summary'!B:F,COLUMN('Country Summary'!C614)-1,FALSE)</f>
        <v>0</v>
      </c>
      <c r="AY600" s="180" t="str">
        <f>IF(AND(AD600=1,D600="Military",H600&lt;&gt;"Not given")=TRUE,IF(SUMIFS(P:P,A:A,A600)&gt;0,ABS((SUMIFS(P:P,A:A,A600)/VLOOKUP("USD",'Exchange Rates'!B:C,2,0)))/S600,"."),".")</f>
        <v>.</v>
      </c>
      <c r="AZ600" s="182" t="str">
        <f>IF(AND(AD600=1,D600="Military",H600&lt;&gt;"Not given")=TRUE,IF(SUMIFS(P:P,A:A,A600)&gt;0,IF((ABS((SUMIFS(P:P,A:A,A600)/VLOOKUP("USD",'Exchange Rates'!B:C,2,0)))/S600)&gt;1,(SUMIFS(P:P,A:A,A600)-S600)/S600,(S600-SUMIFS(P:P,A:A,A600))/SUMIFS(P:P,A:A,A600)),"."),".")</f>
        <v>.</v>
      </c>
      <c r="BA600" s="17"/>
      <c r="BB600" s="17"/>
      <c r="BC600" s="17"/>
      <c r="BD600" s="17"/>
      <c r="BE600" s="17"/>
      <c r="BF600" s="17"/>
      <c r="BG600" s="17"/>
      <c r="BH600" s="17"/>
      <c r="BI600" s="17"/>
      <c r="BJ600" s="17"/>
      <c r="BK600" s="17"/>
      <c r="BL600" s="17"/>
      <c r="BM600" s="17"/>
      <c r="BN600" s="17"/>
      <c r="BO600" s="17"/>
      <c r="BP600" s="17"/>
      <c r="BQ600" s="17"/>
      <c r="BR600" s="17"/>
      <c r="BS600" s="17"/>
    </row>
    <row r="601" spans="1:71" ht="15.9" customHeight="1" x14ac:dyDescent="0.3">
      <c r="A601" s="19" t="s">
        <v>1826</v>
      </c>
      <c r="B601" s="19" t="s">
        <v>1804</v>
      </c>
      <c r="C601" s="555">
        <v>44901</v>
      </c>
      <c r="D601" s="19" t="s">
        <v>256</v>
      </c>
      <c r="E601" s="19" t="s">
        <v>257</v>
      </c>
      <c r="F601" s="19" t="s">
        <v>1827</v>
      </c>
      <c r="G601" s="199" t="s">
        <v>346</v>
      </c>
      <c r="H601" s="70">
        <v>495370370</v>
      </c>
      <c r="I601" s="19" t="s">
        <v>260</v>
      </c>
      <c r="J601" s="113" t="str">
        <f>VLOOKUP($I601,'Price List, Weapons &amp; Items'!B:C,2,0)</f>
        <v>.</v>
      </c>
      <c r="K601" s="113" t="str">
        <f>IF(I601=".",I601,VLOOKUP($I601,'Price List, Weapons &amp; Items'!B:D,3,0))</f>
        <v>.</v>
      </c>
      <c r="L601" s="177">
        <f>VLOOKUP(I601,'Price List, Weapons &amp; Items'!B:E,4,0)</f>
        <v>0</v>
      </c>
      <c r="M601" s="247" t="s">
        <v>260</v>
      </c>
      <c r="N601" s="247" t="s">
        <v>260</v>
      </c>
      <c r="O601" s="543" t="str">
        <f>VLOOKUP($I601,'Price List, Weapons &amp; Items'!B:G,6,0)</f>
        <v>.</v>
      </c>
      <c r="P601" s="176" t="str">
        <f>IF(TYPE(M601)=1,IF(TYPE(O601)=1,M601*O601,"No price"),".")</f>
        <v>.</v>
      </c>
      <c r="Q601" s="176" t="str">
        <f>IF(TYPE(N601)=1,IF(TYPE(O601)=1,N601*O601,"No price"),".")</f>
        <v>.</v>
      </c>
      <c r="R601" s="176">
        <f t="shared" si="126"/>
        <v>495370370</v>
      </c>
      <c r="S601" s="176">
        <f>IF(AND(AD601=1,R601&lt;&gt;".")=TRUE,R601/VLOOKUP(G601,'Exchange Rates'!B:C,2,0),IF(R601=".",".",""))</f>
        <v>471781304.76190472</v>
      </c>
      <c r="T601" s="176" t="str">
        <f>IF(AD601=1,IF(AF601="Value is not given at all",".",IF(AF601="Value is given by the source",S601,IF(AF601="Value is calculated with prices",(IF(SUMIFS(Q:Q,A:A,A601)&gt;0,SUMIFS(Q:Q,A:A,A601),"."))/VLOOKUP("USD",'Exchange Rates'!B:C,2,0),"Error with coding"))),"")</f>
        <v>.</v>
      </c>
      <c r="U601" s="199" t="s">
        <v>261</v>
      </c>
      <c r="V601" s="304" t="s">
        <v>1806</v>
      </c>
      <c r="W601" s="304" t="s">
        <v>1828</v>
      </c>
      <c r="X601" s="304" t="s">
        <v>1829</v>
      </c>
      <c r="Y601" s="19" t="s">
        <v>260</v>
      </c>
      <c r="Z601" s="199">
        <v>0</v>
      </c>
      <c r="AA601" s="199">
        <v>1</v>
      </c>
      <c r="AB601" s="19" t="s">
        <v>260</v>
      </c>
      <c r="AC601" s="544" t="str">
        <f>""</f>
        <v/>
      </c>
      <c r="AD601" s="199">
        <v>1</v>
      </c>
      <c r="AE601" s="199" t="s">
        <v>264</v>
      </c>
      <c r="AF601" s="199" t="s">
        <v>265</v>
      </c>
      <c r="AG601" s="199">
        <v>1</v>
      </c>
      <c r="AH601" s="199">
        <v>12</v>
      </c>
      <c r="AI601" s="199">
        <v>0</v>
      </c>
      <c r="AJ601" s="181">
        <f>VLOOKUP($I601,'Price List, Weapons &amp; Items'!B:F,5,0)</f>
        <v>0</v>
      </c>
      <c r="AK601" s="181">
        <f>IF(AND(AJ601=1,M601="undisclosed")=TRUE,1,0)</f>
        <v>0</v>
      </c>
      <c r="AL601" s="181">
        <f>IF(AND(AJ601=1,N601="undisclosed")=TRUE,1,0)</f>
        <v>0</v>
      </c>
      <c r="AM601" s="181">
        <f>IFERROR(IF(SEARCH("ammuni",I601,1)&gt;0,1,0),0)</f>
        <v>0</v>
      </c>
      <c r="AN601" s="180" t="str">
        <f>VLOOKUP($I601,'Price List, Weapons &amp; Items'!B:L,COLUMN('Price List, Weapons &amp; Items'!$J$11)-1,0)</f>
        <v>.</v>
      </c>
      <c r="AO601" s="180" t="str">
        <f>IF(I601=".",".",VLOOKUP($I601,'Price List, Weapons &amp; Items'!B:J,3,0))</f>
        <v>.</v>
      </c>
      <c r="AP601" s="545" t="e">
        <f t="shared" ca="1" si="127"/>
        <v>#NAME?</v>
      </c>
      <c r="AQ601" s="180" t="str">
        <f>VLOOKUP($I601,'Price List, Weapons &amp; Items'!B:L,COLUMN('Price List, Weapons &amp; Items'!$L$11)-1,0)</f>
        <v>no price, 0 count</v>
      </c>
      <c r="AR601" s="180">
        <f>IF(U601="Yes",1,0)</f>
        <v>1</v>
      </c>
      <c r="AS601" s="180">
        <f>IF(D601="Military",IF(OR(IFERROR(SEARCH("equipment",E601,1),0)&gt;0,IFERROR(SEARCH("weapons",E601,1),0)&gt;0),1,0),0)</f>
        <v>0</v>
      </c>
      <c r="AT601" s="180">
        <f>IFERROR(IF(VALUE(TEXT(C601,"mm"))=AH601,".",IF(TEXT(C601,"mm")="01",".",1)),"Value is not in date format")</f>
        <v>1</v>
      </c>
      <c r="AU601" s="180" t="str">
        <f>IF(AND(A601=A616,C601=C616)=TRUE,IF(F601=F616,".","1"),".")</f>
        <v>.</v>
      </c>
      <c r="AV601" s="180" t="str">
        <f>IF(T601&lt;&gt;".",IF(T601&gt;S601,1,"."),".")</f>
        <v>.</v>
      </c>
      <c r="AW601" s="180">
        <f>IFERROR(VLOOKUP(B601,'Share, Heavy Weapons to Ukraine'!B:J,COLUMN('Share, Heavy Weapons to Ukraine'!C628)-1,0),0)</f>
        <v>0</v>
      </c>
      <c r="AX601" s="180">
        <f>VLOOKUP('Bilateral Assistance, MAIN DATA'!B601,'Country Summary'!B:F,COLUMN('Country Summary'!C631)-1,FALSE)</f>
        <v>0</v>
      </c>
      <c r="AY601" s="180" t="str">
        <f>IF(AND(AD601=1,D601="Military",H601&lt;&gt;"Not given")=TRUE,IF(SUMIFS(P:P,A:A,A601)&gt;0,ABS((SUMIFS(P:P,A:A,A601)/VLOOKUP("USD",'Exchange Rates'!B:C,2,0)))/S601,"."),".")</f>
        <v>.</v>
      </c>
      <c r="AZ601" s="182" t="str">
        <f>IF(AND(AD601=1,D601="Military",H601&lt;&gt;"Not given")=TRUE,IF(SUMIFS(P:P,A:A,A601)&gt;0,IF((ABS((SUMIFS(P:P,A:A,A601)/VLOOKUP("USD",'Exchange Rates'!B:C,2,0)))/S601)&gt;1,(SUMIFS(P:P,A:A,A601)-S601)/S601,(S601-SUMIFS(P:P,A:A,A601))/SUMIFS(P:P,A:A,A601)),"."),".")</f>
        <v>.</v>
      </c>
      <c r="BA601" s="182"/>
      <c r="BB601" s="182"/>
      <c r="BC601" s="182"/>
      <c r="BD601" s="182"/>
      <c r="BE601" s="182"/>
      <c r="BF601" s="182"/>
      <c r="BG601" s="182"/>
      <c r="BH601" s="182"/>
      <c r="BI601" s="182"/>
      <c r="BJ601" s="182"/>
      <c r="BK601" s="182"/>
      <c r="BL601" s="182"/>
      <c r="BM601" s="182"/>
      <c r="BN601" s="182"/>
      <c r="BO601" s="182"/>
      <c r="BP601" s="182"/>
      <c r="BQ601" s="182"/>
      <c r="BR601" s="182"/>
      <c r="BS601" s="182"/>
    </row>
    <row r="602" spans="1:71" ht="15.9" customHeight="1" x14ac:dyDescent="0.3">
      <c r="A602" s="5" t="s">
        <v>1830</v>
      </c>
      <c r="B602" s="5" t="s">
        <v>1804</v>
      </c>
      <c r="C602" s="174">
        <v>44624</v>
      </c>
      <c r="D602" s="5" t="s">
        <v>285</v>
      </c>
      <c r="E602" s="5" t="s">
        <v>294</v>
      </c>
      <c r="F602" s="175" t="s">
        <v>1831</v>
      </c>
      <c r="G602" s="191" t="s">
        <v>346</v>
      </c>
      <c r="H602" s="176" t="s">
        <v>341</v>
      </c>
      <c r="I602" s="192" t="s">
        <v>499</v>
      </c>
      <c r="J602" s="113" t="str">
        <f>VLOOKUP($I602,'Price List, Weapons &amp; Items'!B:C,2,0)</f>
        <v>Military equipment</v>
      </c>
      <c r="K602" s="113" t="str">
        <f>IF(I602=".",I602,VLOOKUP($I602,'Price List, Weapons &amp; Items'!B:D,3,0))</f>
        <v>Military equipment</v>
      </c>
      <c r="L602" s="177">
        <f>VLOOKUP(I602,'Price List, Weapons &amp; Items'!B:E,4,0)</f>
        <v>0</v>
      </c>
      <c r="M602" s="542" t="s">
        <v>270</v>
      </c>
      <c r="N602" s="542" t="s">
        <v>270</v>
      </c>
      <c r="O602" s="543">
        <f>VLOOKUP($I602,'Price List, Weapons &amp; Items'!B:G,6,0)</f>
        <v>500</v>
      </c>
      <c r="P602" s="176" t="str">
        <f t="shared" si="114"/>
        <v>.</v>
      </c>
      <c r="Q602" s="176" t="str">
        <f t="shared" si="115"/>
        <v>.</v>
      </c>
      <c r="R602" s="176">
        <f t="shared" si="126"/>
        <v>2200000</v>
      </c>
      <c r="S602" s="176">
        <f>IF(AND(AD602=1,R602&lt;&gt;".")=TRUE,R602/VLOOKUP(G602,'Exchange Rates'!B:C,2,0),IF(R602=".",".",""))</f>
        <v>2095238.0952380951</v>
      </c>
      <c r="T602" s="176">
        <f>IF(AD602=1,IF(AF602="Value is not given at all",".",IF(AF602="Value is given by the source",S602,IF(AF602="Value is calculated with prices",(IF(SUMIFS(Q:Q,A:A,A602)&gt;0,SUMIFS(Q:Q,A:A,A602),"."))/VLOOKUP("USD",'Exchange Rates'!B:C,2,0),"Error with coding"))),"")</f>
        <v>2095238.0952380951</v>
      </c>
      <c r="U602" s="15" t="s">
        <v>261</v>
      </c>
      <c r="V602" s="547" t="s">
        <v>1832</v>
      </c>
      <c r="W602" s="547" t="s">
        <v>1833</v>
      </c>
      <c r="X602" s="547" t="s">
        <v>1834</v>
      </c>
      <c r="Y602" s="188" t="s">
        <v>260</v>
      </c>
      <c r="Z602" s="15">
        <v>0</v>
      </c>
      <c r="AA602" s="180">
        <v>0</v>
      </c>
      <c r="AB602" s="549" t="s">
        <v>1835</v>
      </c>
      <c r="AC602" s="544" t="str">
        <f>""</f>
        <v/>
      </c>
      <c r="AD602" s="181">
        <v>1</v>
      </c>
      <c r="AE602" s="181" t="s">
        <v>332</v>
      </c>
      <c r="AF602" s="181" t="s">
        <v>332</v>
      </c>
      <c r="AG602" s="181">
        <v>1</v>
      </c>
      <c r="AH602" s="181">
        <v>3</v>
      </c>
      <c r="AI602" s="181">
        <v>0</v>
      </c>
      <c r="AJ602" s="181">
        <f>VLOOKUP($I602,'Price List, Weapons &amp; Items'!B:F,5,0)</f>
        <v>0</v>
      </c>
      <c r="AK602" s="181">
        <f t="shared" si="116"/>
        <v>0</v>
      </c>
      <c r="AL602" s="181">
        <f t="shared" si="117"/>
        <v>0</v>
      </c>
      <c r="AM602" s="181">
        <f t="shared" si="118"/>
        <v>0</v>
      </c>
      <c r="AN602" s="180" t="str">
        <f>VLOOKUP($I602,'Price List, Weapons &amp; Items'!B:L,COLUMN('Price List, Weapons &amp; Items'!$J$11)-1,0)</f>
        <v>Military media (incl. websites)</v>
      </c>
      <c r="AO602" s="180" t="str">
        <f>IF(I602=".",".",VLOOKUP($I602,'Price List, Weapons &amp; Items'!B:J,3,0))</f>
        <v>Military equipment</v>
      </c>
      <c r="AP602" s="545" t="e">
        <f t="shared" ca="1" si="127"/>
        <v>#NAME?</v>
      </c>
      <c r="AQ602" s="180">
        <f>VLOOKUP($I602,'Price List, Weapons &amp; Items'!B:L,COLUMN('Price List, Weapons &amp; Items'!$L$11)-1,0)</f>
        <v>2</v>
      </c>
      <c r="AR602" s="180">
        <f t="shared" si="119"/>
        <v>1</v>
      </c>
      <c r="AS602" s="180">
        <f t="shared" si="120"/>
        <v>1</v>
      </c>
      <c r="AT602" s="180">
        <f t="shared" si="121"/>
        <v>1</v>
      </c>
      <c r="AU602" s="180" t="e">
        <f>IF(AND(A602=#REF!,C602=#REF!)=TRUE,IF(F602=#REF!,".","1"),".")</f>
        <v>#REF!</v>
      </c>
      <c r="AV602" s="180" t="str">
        <f t="shared" si="123"/>
        <v>.</v>
      </c>
      <c r="AW602" s="180">
        <f>IFERROR(VLOOKUP(B602,'Share, Heavy Weapons to Ukraine'!B:J,COLUMN('Share, Heavy Weapons to Ukraine'!C613)-1,0),0)</f>
        <v>0</v>
      </c>
      <c r="AX602" s="180">
        <f>VLOOKUP('Bilateral Assistance, MAIN DATA'!B602,'Country Summary'!B:F,COLUMN('Country Summary'!C616)-1,FALSE)</f>
        <v>0</v>
      </c>
      <c r="AY602" s="180" t="str">
        <f>IF(AND(AD602=1,D602="Military",H602&lt;&gt;"Not given")=TRUE,IF(SUMIFS(P:P,A:A,A602)&gt;0,ABS((SUMIFS(P:P,A:A,A602)/VLOOKUP("USD",'Exchange Rates'!B:C,2,0)))/S602,"."),".")</f>
        <v>.</v>
      </c>
      <c r="AZ602" s="182" t="str">
        <f>IF(AND(AD602=1,D602="Military",H602&lt;&gt;"Not given")=TRUE,IF(SUMIFS(P:P,A:A,A602)&gt;0,IF((ABS((SUMIFS(P:P,A:A,A602)/VLOOKUP("USD",'Exchange Rates'!B:C,2,0)))/S602)&gt;1,(SUMIFS(P:P,A:A,A602)-S602)/S602,(S602-SUMIFS(P:P,A:A,A602))/SUMIFS(P:P,A:A,A602)),"."),".")</f>
        <v>.</v>
      </c>
      <c r="BA602" s="182"/>
      <c r="BB602" s="182"/>
      <c r="BC602" s="182"/>
      <c r="BD602" s="182"/>
      <c r="BE602" s="182"/>
      <c r="BF602" s="182"/>
      <c r="BG602" s="182"/>
      <c r="BH602" s="182"/>
      <c r="BI602" s="182"/>
      <c r="BJ602" s="182"/>
      <c r="BK602" s="182"/>
      <c r="BL602" s="182"/>
      <c r="BM602" s="182"/>
      <c r="BN602" s="182"/>
      <c r="BO602" s="182"/>
      <c r="BP602" s="182"/>
      <c r="BQ602" s="182"/>
      <c r="BR602" s="182"/>
      <c r="BS602" s="182"/>
    </row>
    <row r="603" spans="1:71" ht="15.9" customHeight="1" x14ac:dyDescent="0.3">
      <c r="A603" s="5" t="s">
        <v>1830</v>
      </c>
      <c r="B603" s="5" t="s">
        <v>1804</v>
      </c>
      <c r="C603" s="174">
        <v>44624</v>
      </c>
      <c r="D603" s="5" t="s">
        <v>285</v>
      </c>
      <c r="E603" s="5" t="s">
        <v>294</v>
      </c>
      <c r="F603" s="175" t="s">
        <v>1831</v>
      </c>
      <c r="G603" s="191" t="s">
        <v>346</v>
      </c>
      <c r="H603" s="176" t="s">
        <v>341</v>
      </c>
      <c r="I603" s="17" t="s">
        <v>463</v>
      </c>
      <c r="J603" s="113" t="str">
        <f>VLOOKUP($I603,'Price List, Weapons &amp; Items'!B:C,2,0)</f>
        <v>Military equipment</v>
      </c>
      <c r="K603" s="113" t="str">
        <f>IF(I603=".",I603,VLOOKUP($I603,'Price List, Weapons &amp; Items'!B:D,3,0))</f>
        <v>Military equipment</v>
      </c>
      <c r="L603" s="177">
        <f>VLOOKUP(I603,'Price List, Weapons &amp; Items'!B:E,4,0)</f>
        <v>0</v>
      </c>
      <c r="M603" s="542" t="s">
        <v>270</v>
      </c>
      <c r="N603" s="542" t="s">
        <v>270</v>
      </c>
      <c r="O603" s="543">
        <f>VLOOKUP($I603,'Price List, Weapons &amp; Items'!B:G,6,0)</f>
        <v>1400</v>
      </c>
      <c r="P603" s="176" t="str">
        <f t="shared" si="114"/>
        <v>.</v>
      </c>
      <c r="Q603" s="176" t="str">
        <f t="shared" si="115"/>
        <v>.</v>
      </c>
      <c r="R603" s="176" t="str">
        <f t="shared" si="126"/>
        <v/>
      </c>
      <c r="S603" s="176" t="str">
        <f>IF(AND(AD603=1,R603&lt;&gt;".")=TRUE,R603/VLOOKUP(G603,'Exchange Rates'!B:C,2,0),IF(R603=".",".",""))</f>
        <v/>
      </c>
      <c r="T603" s="176" t="str">
        <f>IF(AD603=1,IF(AF603="Value is not given at all",".",IF(AF603="Value is given by the source",S603,IF(AF603="Value is calculated with prices",(IF(SUMIFS(Q:Q,A:A,A603)&gt;0,SUMIFS(Q:Q,A:A,A603),"."))/VLOOKUP("USD",'Exchange Rates'!B:C,2,0),"Error with coding"))),"")</f>
        <v/>
      </c>
      <c r="U603" s="15" t="s">
        <v>261</v>
      </c>
      <c r="V603" s="547" t="s">
        <v>1832</v>
      </c>
      <c r="W603" s="547" t="s">
        <v>1833</v>
      </c>
      <c r="X603" s="547" t="s">
        <v>1834</v>
      </c>
      <c r="Y603" s="188" t="s">
        <v>260</v>
      </c>
      <c r="Z603" s="15">
        <v>0</v>
      </c>
      <c r="AA603" s="180">
        <v>0</v>
      </c>
      <c r="AB603" s="549" t="s">
        <v>1835</v>
      </c>
      <c r="AC603" s="544" t="str">
        <f>""</f>
        <v/>
      </c>
      <c r="AD603" s="181">
        <v>0</v>
      </c>
      <c r="AE603" s="181" t="s">
        <v>332</v>
      </c>
      <c r="AF603" s="181" t="s">
        <v>332</v>
      </c>
      <c r="AG603" s="181">
        <v>1</v>
      </c>
      <c r="AH603" s="181">
        <v>3</v>
      </c>
      <c r="AI603" s="181">
        <v>0</v>
      </c>
      <c r="AJ603" s="181">
        <f>VLOOKUP($I603,'Price List, Weapons &amp; Items'!B:F,5,0)</f>
        <v>0</v>
      </c>
      <c r="AK603" s="181">
        <f t="shared" si="116"/>
        <v>0</v>
      </c>
      <c r="AL603" s="181">
        <f t="shared" si="117"/>
        <v>0</v>
      </c>
      <c r="AM603" s="181">
        <f t="shared" si="118"/>
        <v>0</v>
      </c>
      <c r="AN603" s="180" t="str">
        <f>VLOOKUP($I603,'Price List, Weapons &amp; Items'!B:L,COLUMN('Price List, Weapons &amp; Items'!$J$11)-1,0)</f>
        <v>Military media (incl. websites)</v>
      </c>
      <c r="AO603" s="180" t="str">
        <f>IF(I603=".",".",VLOOKUP($I603,'Price List, Weapons &amp; Items'!B:J,3,0))</f>
        <v>Military equipment</v>
      </c>
      <c r="AP603" s="545" t="str">
        <f t="shared" ca="1" si="127"/>
        <v/>
      </c>
      <c r="AQ603" s="180">
        <f>VLOOKUP($I603,'Price List, Weapons &amp; Items'!B:L,COLUMN('Price List, Weapons &amp; Items'!$L$11)-1,0)</f>
        <v>2</v>
      </c>
      <c r="AR603" s="180">
        <f t="shared" si="119"/>
        <v>1</v>
      </c>
      <c r="AS603" s="180">
        <f t="shared" si="120"/>
        <v>1</v>
      </c>
      <c r="AT603" s="180">
        <f t="shared" si="121"/>
        <v>1</v>
      </c>
      <c r="AU603" s="180" t="str">
        <f t="shared" si="122"/>
        <v>.</v>
      </c>
      <c r="AV603" s="180" t="str">
        <f t="shared" si="123"/>
        <v>.</v>
      </c>
      <c r="AW603" s="180">
        <f>IFERROR(VLOOKUP(B603,'Share, Heavy Weapons to Ukraine'!B:J,COLUMN('Share, Heavy Weapons to Ukraine'!C614)-1,0),0)</f>
        <v>0</v>
      </c>
      <c r="AX603" s="180">
        <f>VLOOKUP('Bilateral Assistance, MAIN DATA'!B603,'Country Summary'!B:F,COLUMN('Country Summary'!C617)-1,FALSE)</f>
        <v>0</v>
      </c>
      <c r="AY603" s="180" t="str">
        <f>IF(AND(AD603=1,D603="Military",H603&lt;&gt;"Not given")=TRUE,IF(SUMIFS(P:P,A:A,A603)&gt;0,ABS((SUMIFS(P:P,A:A,A603)/VLOOKUP("USD",'Exchange Rates'!B:C,2,0)))/S603,"."),".")</f>
        <v>.</v>
      </c>
      <c r="AZ603" s="182" t="str">
        <f>IF(AND(AD603=1,D603="Military",H603&lt;&gt;"Not given")=TRUE,IF(SUMIFS(P:P,A:A,A603)&gt;0,IF((ABS((SUMIFS(P:P,A:A,A603)/VLOOKUP("USD",'Exchange Rates'!B:C,2,0)))/S603)&gt;1,(SUMIFS(P:P,A:A,A603)-S603)/S603,(S603-SUMIFS(P:P,A:A,A603))/SUMIFS(P:P,A:A,A603)),"."),".")</f>
        <v>.</v>
      </c>
      <c r="BA603" s="182"/>
      <c r="BB603" s="182"/>
      <c r="BC603" s="182"/>
      <c r="BD603" s="182"/>
      <c r="BE603" s="182"/>
      <c r="BF603" s="182"/>
      <c r="BG603" s="182"/>
      <c r="BH603" s="182"/>
      <c r="BI603" s="182"/>
      <c r="BJ603" s="182"/>
      <c r="BK603" s="182"/>
      <c r="BL603" s="182"/>
      <c r="BM603" s="182"/>
      <c r="BN603" s="182"/>
      <c r="BO603" s="182"/>
      <c r="BP603" s="182"/>
      <c r="BQ603" s="182"/>
      <c r="BR603" s="182"/>
      <c r="BS603" s="182"/>
    </row>
    <row r="604" spans="1:71" ht="15.9" customHeight="1" x14ac:dyDescent="0.3">
      <c r="A604" s="5" t="s">
        <v>1830</v>
      </c>
      <c r="B604" s="5" t="s">
        <v>1804</v>
      </c>
      <c r="C604" s="174">
        <v>44624</v>
      </c>
      <c r="D604" s="5" t="s">
        <v>285</v>
      </c>
      <c r="E604" s="5" t="s">
        <v>294</v>
      </c>
      <c r="F604" s="175" t="s">
        <v>1831</v>
      </c>
      <c r="G604" s="191" t="s">
        <v>346</v>
      </c>
      <c r="H604" s="176" t="s">
        <v>341</v>
      </c>
      <c r="I604" s="17" t="s">
        <v>353</v>
      </c>
      <c r="J604" s="113" t="str">
        <f>VLOOKUP($I604,'Price List, Weapons &amp; Items'!B:C,2,0)</f>
        <v>Humanitarian</v>
      </c>
      <c r="K604" s="113" t="str">
        <f>IF(I604=".",I604,VLOOKUP($I604,'Price List, Weapons &amp; Items'!B:D,3,0))</f>
        <v>Humanitarian</v>
      </c>
      <c r="L604" s="177">
        <f>VLOOKUP(I604,'Price List, Weapons &amp; Items'!B:E,4,0)</f>
        <v>0</v>
      </c>
      <c r="M604" s="542" t="s">
        <v>270</v>
      </c>
      <c r="N604" s="542" t="s">
        <v>270</v>
      </c>
      <c r="O604" s="543" t="str">
        <f>VLOOKUP($I604,'Price List, Weapons &amp; Items'!B:G,6,0)</f>
        <v>.</v>
      </c>
      <c r="P604" s="176" t="str">
        <f t="shared" si="114"/>
        <v>.</v>
      </c>
      <c r="Q604" s="176" t="str">
        <f t="shared" si="115"/>
        <v>.</v>
      </c>
      <c r="R604" s="176" t="str">
        <f t="shared" si="126"/>
        <v/>
      </c>
      <c r="S604" s="176" t="str">
        <f>IF(AND(AD604=1,R604&lt;&gt;".")=TRUE,R604/VLOOKUP(G604,'Exchange Rates'!B:C,2,0),IF(R604=".",".",""))</f>
        <v/>
      </c>
      <c r="T604" s="176" t="str">
        <f>IF(AD604=1,IF(AF604="Value is not given at all",".",IF(AF604="Value is given by the source",S604,IF(AF604="Value is calculated with prices",(IF(SUMIFS(Q:Q,A:A,A604)&gt;0,SUMIFS(Q:Q,A:A,A604),"."))/VLOOKUP("USD",'Exchange Rates'!B:C,2,0),"Error with coding"))),"")</f>
        <v/>
      </c>
      <c r="U604" s="15" t="s">
        <v>261</v>
      </c>
      <c r="V604" s="547" t="s">
        <v>1832</v>
      </c>
      <c r="W604" s="547" t="s">
        <v>1833</v>
      </c>
      <c r="X604" s="547" t="s">
        <v>1834</v>
      </c>
      <c r="Y604" s="188" t="s">
        <v>260</v>
      </c>
      <c r="Z604" s="15">
        <v>0</v>
      </c>
      <c r="AA604" s="180">
        <v>0</v>
      </c>
      <c r="AB604" s="549" t="s">
        <v>1835</v>
      </c>
      <c r="AC604" s="544" t="str">
        <f>""</f>
        <v/>
      </c>
      <c r="AD604" s="181">
        <v>0</v>
      </c>
      <c r="AE604" s="181" t="s">
        <v>332</v>
      </c>
      <c r="AF604" s="181" t="s">
        <v>332</v>
      </c>
      <c r="AG604" s="181">
        <v>1</v>
      </c>
      <c r="AH604" s="181">
        <v>3</v>
      </c>
      <c r="AI604" s="181">
        <v>0</v>
      </c>
      <c r="AJ604" s="181">
        <f>VLOOKUP($I604,'Price List, Weapons &amp; Items'!B:F,5,0)</f>
        <v>0</v>
      </c>
      <c r="AK604" s="181">
        <f t="shared" si="116"/>
        <v>0</v>
      </c>
      <c r="AL604" s="181">
        <f t="shared" si="117"/>
        <v>0</v>
      </c>
      <c r="AM604" s="181">
        <f t="shared" si="118"/>
        <v>0</v>
      </c>
      <c r="AN604" s="180" t="str">
        <f>VLOOKUP($I604,'Price List, Weapons &amp; Items'!B:L,COLUMN('Price List, Weapons &amp; Items'!$J$11)-1,0)</f>
        <v>Media reports (incl. social media)</v>
      </c>
      <c r="AO604" s="180" t="str">
        <f>IF(I604=".",".",VLOOKUP($I604,'Price List, Weapons &amp; Items'!B:J,3,0))</f>
        <v>Humanitarian</v>
      </c>
      <c r="AP604" s="545" t="str">
        <f t="shared" ca="1" si="127"/>
        <v/>
      </c>
      <c r="AQ604" s="180">
        <f>VLOOKUP($I604,'Price List, Weapons &amp; Items'!B:L,COLUMN('Price List, Weapons &amp; Items'!$L$11)-1,0)</f>
        <v>0</v>
      </c>
      <c r="AR604" s="180">
        <f t="shared" si="119"/>
        <v>1</v>
      </c>
      <c r="AS604" s="180">
        <f t="shared" si="120"/>
        <v>1</v>
      </c>
      <c r="AT604" s="180">
        <f t="shared" si="121"/>
        <v>1</v>
      </c>
      <c r="AU604" s="180" t="str">
        <f t="shared" si="122"/>
        <v>.</v>
      </c>
      <c r="AV604" s="180" t="str">
        <f t="shared" si="123"/>
        <v>.</v>
      </c>
      <c r="AW604" s="180">
        <f>IFERROR(VLOOKUP(B604,'Share, Heavy Weapons to Ukraine'!B:J,COLUMN('Share, Heavy Weapons to Ukraine'!C615)-1,0),0)</f>
        <v>0</v>
      </c>
      <c r="AX604" s="180">
        <f>VLOOKUP('Bilateral Assistance, MAIN DATA'!B604,'Country Summary'!B:F,COLUMN('Country Summary'!C618)-1,FALSE)</f>
        <v>0</v>
      </c>
      <c r="AY604" s="180" t="str">
        <f>IF(AND(AD604=1,D604="Military",H604&lt;&gt;"Not given")=TRUE,IF(SUMIFS(P:P,A:A,A604)&gt;0,ABS((SUMIFS(P:P,A:A,A604)/VLOOKUP("USD",'Exchange Rates'!B:C,2,0)))/S604,"."),".")</f>
        <v>.</v>
      </c>
      <c r="AZ604" s="182" t="str">
        <f>IF(AND(AD604=1,D604="Military",H604&lt;&gt;"Not given")=TRUE,IF(SUMIFS(P:P,A:A,A604)&gt;0,IF((ABS((SUMIFS(P:P,A:A,A604)/VLOOKUP("USD",'Exchange Rates'!B:C,2,0)))/S604)&gt;1,(SUMIFS(P:P,A:A,A604)-S604)/S604,(S604-SUMIFS(P:P,A:A,A604))/SUMIFS(P:P,A:A,A604)),"."),".")</f>
        <v>.</v>
      </c>
      <c r="BA604" s="182"/>
      <c r="BB604" s="182"/>
      <c r="BC604" s="182"/>
      <c r="BD604" s="182"/>
      <c r="BE604" s="182"/>
      <c r="BF604" s="182"/>
      <c r="BG604" s="182"/>
      <c r="BH604" s="182"/>
      <c r="BI604" s="182"/>
      <c r="BJ604" s="182"/>
      <c r="BK604" s="182"/>
      <c r="BL604" s="182"/>
      <c r="BM604" s="182"/>
      <c r="BN604" s="182"/>
      <c r="BO604" s="182"/>
      <c r="BP604" s="182"/>
      <c r="BQ604" s="182"/>
      <c r="BR604" s="182"/>
      <c r="BS604" s="182"/>
    </row>
    <row r="605" spans="1:71" ht="15.9" customHeight="1" x14ac:dyDescent="0.3">
      <c r="A605" s="5" t="s">
        <v>1830</v>
      </c>
      <c r="B605" s="5" t="s">
        <v>1804</v>
      </c>
      <c r="C605" s="174">
        <v>44624</v>
      </c>
      <c r="D605" s="5" t="s">
        <v>285</v>
      </c>
      <c r="E605" s="5" t="s">
        <v>294</v>
      </c>
      <c r="F605" s="175" t="s">
        <v>1831</v>
      </c>
      <c r="G605" s="191" t="s">
        <v>346</v>
      </c>
      <c r="H605" s="176" t="s">
        <v>341</v>
      </c>
      <c r="I605" s="17" t="s">
        <v>940</v>
      </c>
      <c r="J605" s="113" t="str">
        <f>VLOOKUP($I605,'Price List, Weapons &amp; Items'!B:C,2,0)</f>
        <v>Military equipment</v>
      </c>
      <c r="K605" s="113" t="str">
        <f>IF(I605=".",I605,VLOOKUP($I605,'Price List, Weapons &amp; Items'!B:D,3,0))</f>
        <v>Military equipment</v>
      </c>
      <c r="L605" s="177">
        <f>VLOOKUP(I605,'Price List, Weapons &amp; Items'!B:E,4,0)</f>
        <v>0</v>
      </c>
      <c r="M605" s="542">
        <v>100000</v>
      </c>
      <c r="N605" s="542">
        <v>100000</v>
      </c>
      <c r="O605" s="543">
        <f>VLOOKUP($I605,'Price List, Weapons &amp; Items'!B:G,6,0)</f>
        <v>22</v>
      </c>
      <c r="P605" s="176">
        <f t="shared" si="114"/>
        <v>2200000</v>
      </c>
      <c r="Q605" s="176">
        <f t="shared" si="115"/>
        <v>2200000</v>
      </c>
      <c r="R605" s="176" t="str">
        <f t="shared" si="126"/>
        <v/>
      </c>
      <c r="S605" s="176" t="str">
        <f>IF(AND(AD605=1,R605&lt;&gt;".")=TRUE,R605/VLOOKUP(G605,'Exchange Rates'!B:C,2,0),IF(R605=".",".",""))</f>
        <v/>
      </c>
      <c r="T605" s="176" t="str">
        <f>IF(AD605=1,IF(AF605="Value is not given at all",".",IF(AF605="Value is given by the source",S605,IF(AF605="Value is calculated with prices",(IF(SUMIFS(Q:Q,A:A,A605)&gt;0,SUMIFS(Q:Q,A:A,A605),"."))/VLOOKUP("USD",'Exchange Rates'!B:C,2,0),"Error with coding"))),"")</f>
        <v/>
      </c>
      <c r="U605" s="15" t="s">
        <v>261</v>
      </c>
      <c r="V605" s="547" t="s">
        <v>1832</v>
      </c>
      <c r="W605" s="547" t="s">
        <v>1833</v>
      </c>
      <c r="X605" s="547" t="s">
        <v>1834</v>
      </c>
      <c r="Y605" s="569" t="s">
        <v>1836</v>
      </c>
      <c r="Z605" s="15">
        <v>0</v>
      </c>
      <c r="AA605" s="180">
        <v>0</v>
      </c>
      <c r="AB605" s="549" t="s">
        <v>1835</v>
      </c>
      <c r="AC605" s="544" t="str">
        <f>""</f>
        <v/>
      </c>
      <c r="AD605" s="181">
        <v>0</v>
      </c>
      <c r="AE605" s="181" t="s">
        <v>332</v>
      </c>
      <c r="AF605" s="181" t="s">
        <v>332</v>
      </c>
      <c r="AG605" s="181">
        <v>1</v>
      </c>
      <c r="AH605" s="181">
        <v>3</v>
      </c>
      <c r="AI605" s="181">
        <v>0</v>
      </c>
      <c r="AJ605" s="181">
        <f>VLOOKUP($I605,'Price List, Weapons &amp; Items'!B:F,5,0)</f>
        <v>0</v>
      </c>
      <c r="AK605" s="181">
        <f t="shared" si="116"/>
        <v>0</v>
      </c>
      <c r="AL605" s="181">
        <f t="shared" si="117"/>
        <v>0</v>
      </c>
      <c r="AM605" s="181">
        <f t="shared" si="118"/>
        <v>0</v>
      </c>
      <c r="AN605" s="180" t="str">
        <f>VLOOKUP($I605,'Price List, Weapons &amp; Items'!B:L,COLUMN('Price List, Weapons &amp; Items'!$J$11)-1,0)</f>
        <v>Online marketplaces and stores</v>
      </c>
      <c r="AO605" s="180" t="str">
        <f>IF(I605=".",".",VLOOKUP($I605,'Price List, Weapons &amp; Items'!B:J,3,0))</f>
        <v>Military equipment</v>
      </c>
      <c r="AP605" s="545" t="str">
        <f t="shared" ca="1" si="127"/>
        <v/>
      </c>
      <c r="AQ605" s="180">
        <f>VLOOKUP($I605,'Price List, Weapons &amp; Items'!B:L,COLUMN('Price List, Weapons &amp; Items'!$L$11)-1,0)</f>
        <v>2</v>
      </c>
      <c r="AR605" s="180">
        <f t="shared" si="119"/>
        <v>1</v>
      </c>
      <c r="AS605" s="180">
        <f t="shared" si="120"/>
        <v>1</v>
      </c>
      <c r="AT605" s="180">
        <f t="shared" si="121"/>
        <v>1</v>
      </c>
      <c r="AU605" s="180" t="str">
        <f t="shared" si="122"/>
        <v>.</v>
      </c>
      <c r="AV605" s="180" t="str">
        <f t="shared" si="123"/>
        <v>.</v>
      </c>
      <c r="AW605" s="180">
        <f>IFERROR(VLOOKUP(B605,'Share, Heavy Weapons to Ukraine'!B:J,COLUMN('Share, Heavy Weapons to Ukraine'!C616)-1,0),0)</f>
        <v>0</v>
      </c>
      <c r="AX605" s="180">
        <f>VLOOKUP('Bilateral Assistance, MAIN DATA'!B605,'Country Summary'!B:F,COLUMN('Country Summary'!C619)-1,FALSE)</f>
        <v>0</v>
      </c>
      <c r="AY605" s="180" t="str">
        <f>IF(AND(AD605=1,D605="Military",H605&lt;&gt;"Not given")=TRUE,IF(SUMIFS(P:P,A:A,A605)&gt;0,ABS((SUMIFS(P:P,A:A,A605)/VLOOKUP("USD",'Exchange Rates'!B:C,2,0)))/S605,"."),".")</f>
        <v>.</v>
      </c>
      <c r="AZ605" s="182" t="str">
        <f>IF(AND(AD605=1,D605="Military",H605&lt;&gt;"Not given")=TRUE,IF(SUMIFS(P:P,A:A,A605)&gt;0,IF((ABS((SUMIFS(P:P,A:A,A605)/VLOOKUP("USD",'Exchange Rates'!B:C,2,0)))/S605)&gt;1,(SUMIFS(P:P,A:A,A605)-S605)/S605,(S605-SUMIFS(P:P,A:A,A605))/SUMIFS(P:P,A:A,A605)),"."),".")</f>
        <v>.</v>
      </c>
      <c r="BA605" s="182"/>
      <c r="BB605" s="182"/>
      <c r="BC605" s="182"/>
      <c r="BD605" s="182"/>
      <c r="BE605" s="182"/>
      <c r="BF605" s="182"/>
      <c r="BG605" s="182"/>
      <c r="BH605" s="182"/>
      <c r="BI605" s="182"/>
      <c r="BJ605" s="182"/>
      <c r="BK605" s="182"/>
      <c r="BL605" s="182"/>
      <c r="BM605" s="182"/>
      <c r="BN605" s="182"/>
      <c r="BO605" s="182"/>
      <c r="BP605" s="182"/>
      <c r="BQ605" s="182"/>
      <c r="BR605" s="182"/>
      <c r="BS605" s="182"/>
    </row>
    <row r="606" spans="1:71" ht="15.9" customHeight="1" x14ac:dyDescent="0.3">
      <c r="A606" s="5" t="s">
        <v>1830</v>
      </c>
      <c r="B606" s="5" t="s">
        <v>1804</v>
      </c>
      <c r="C606" s="174">
        <v>44624</v>
      </c>
      <c r="D606" s="5" t="s">
        <v>285</v>
      </c>
      <c r="E606" s="5" t="s">
        <v>294</v>
      </c>
      <c r="F606" s="175" t="s">
        <v>1831</v>
      </c>
      <c r="G606" s="191" t="s">
        <v>346</v>
      </c>
      <c r="H606" s="176" t="s">
        <v>341</v>
      </c>
      <c r="I606" s="17" t="s">
        <v>453</v>
      </c>
      <c r="J606" s="113" t="str">
        <f>VLOOKUP($I606,'Price List, Weapons &amp; Items'!B:C,2,0)</f>
        <v>Military equipment</v>
      </c>
      <c r="K606" s="113" t="str">
        <f>IF(I606=".",I606,VLOOKUP($I606,'Price List, Weapons &amp; Items'!B:D,3,0))</f>
        <v>Military equipment</v>
      </c>
      <c r="L606" s="177">
        <f>VLOOKUP(I606,'Price List, Weapons &amp; Items'!B:E,4,0)</f>
        <v>0</v>
      </c>
      <c r="M606" s="542" t="s">
        <v>270</v>
      </c>
      <c r="N606" s="542" t="s">
        <v>270</v>
      </c>
      <c r="O606" s="543">
        <f>VLOOKUP($I606,'Price List, Weapons &amp; Items'!B:G,6,0)</f>
        <v>59.234999999999999</v>
      </c>
      <c r="P606" s="176" t="str">
        <f t="shared" si="114"/>
        <v>.</v>
      </c>
      <c r="Q606" s="176" t="str">
        <f t="shared" si="115"/>
        <v>.</v>
      </c>
      <c r="R606" s="176" t="str">
        <f t="shared" si="126"/>
        <v/>
      </c>
      <c r="S606" s="176" t="str">
        <f>IF(AND(AD606=1,R606&lt;&gt;".")=TRUE,R606/VLOOKUP(G606,'Exchange Rates'!B:C,2,0),IF(R606=".",".",""))</f>
        <v/>
      </c>
      <c r="T606" s="176" t="str">
        <f>IF(AD606=1,IF(AF606="Value is not given at all",".",IF(AF606="Value is given by the source",S606,IF(AF606="Value is calculated with prices",(IF(SUMIFS(Q:Q,A:A,A606)&gt;0,SUMIFS(Q:Q,A:A,A606),"."))/VLOOKUP("USD",'Exchange Rates'!B:C,2,0),"Error with coding"))),"")</f>
        <v/>
      </c>
      <c r="U606" s="15" t="s">
        <v>261</v>
      </c>
      <c r="V606" s="547" t="s">
        <v>1832</v>
      </c>
      <c r="W606" s="547" t="s">
        <v>1833</v>
      </c>
      <c r="X606" s="547" t="s">
        <v>1834</v>
      </c>
      <c r="Y606" s="569" t="s">
        <v>1836</v>
      </c>
      <c r="Z606" s="15">
        <v>0</v>
      </c>
      <c r="AA606" s="180">
        <v>0</v>
      </c>
      <c r="AB606" s="549" t="s">
        <v>1835</v>
      </c>
      <c r="AC606" s="544" t="str">
        <f>""</f>
        <v/>
      </c>
      <c r="AD606" s="181">
        <v>0</v>
      </c>
      <c r="AE606" s="181" t="s">
        <v>332</v>
      </c>
      <c r="AF606" s="181" t="s">
        <v>332</v>
      </c>
      <c r="AG606" s="181">
        <v>1</v>
      </c>
      <c r="AH606" s="181">
        <v>3</v>
      </c>
      <c r="AI606" s="181">
        <v>0</v>
      </c>
      <c r="AJ606" s="181">
        <f>VLOOKUP($I606,'Price List, Weapons &amp; Items'!B:F,5,0)</f>
        <v>0</v>
      </c>
      <c r="AK606" s="181">
        <f t="shared" si="116"/>
        <v>0</v>
      </c>
      <c r="AL606" s="181">
        <f t="shared" si="117"/>
        <v>0</v>
      </c>
      <c r="AM606" s="181">
        <f t="shared" si="118"/>
        <v>0</v>
      </c>
      <c r="AN606" s="180" t="str">
        <f>VLOOKUP($I606,'Price List, Weapons &amp; Items'!B:L,COLUMN('Price List, Weapons &amp; Items'!$J$11)-1,0)</f>
        <v>Government information</v>
      </c>
      <c r="AO606" s="180" t="str">
        <f>IF(I606=".",".",VLOOKUP($I606,'Price List, Weapons &amp; Items'!B:J,3,0))</f>
        <v>Military equipment</v>
      </c>
      <c r="AP606" s="545" t="str">
        <f t="shared" ca="1" si="127"/>
        <v/>
      </c>
      <c r="AQ606" s="180">
        <f>VLOOKUP($I606,'Price List, Weapons &amp; Items'!B:L,COLUMN('Price List, Weapons &amp; Items'!$L$11)-1,0)</f>
        <v>2</v>
      </c>
      <c r="AR606" s="180">
        <f t="shared" si="119"/>
        <v>1</v>
      </c>
      <c r="AS606" s="180">
        <f t="shared" si="120"/>
        <v>1</v>
      </c>
      <c r="AT606" s="180">
        <f t="shared" si="121"/>
        <v>1</v>
      </c>
      <c r="AU606" s="180" t="str">
        <f t="shared" si="122"/>
        <v>.</v>
      </c>
      <c r="AV606" s="180" t="str">
        <f t="shared" si="123"/>
        <v>.</v>
      </c>
      <c r="AW606" s="180">
        <f>IFERROR(VLOOKUP(B606,'Share, Heavy Weapons to Ukraine'!B:J,COLUMN('Share, Heavy Weapons to Ukraine'!C617)-1,0),0)</f>
        <v>0</v>
      </c>
      <c r="AX606" s="180">
        <f>VLOOKUP('Bilateral Assistance, MAIN DATA'!B606,'Country Summary'!B:F,COLUMN('Country Summary'!C620)-1,FALSE)</f>
        <v>0</v>
      </c>
      <c r="AY606" s="180" t="str">
        <f>IF(AND(AD606=1,D606="Military",H606&lt;&gt;"Not given")=TRUE,IF(SUMIFS(P:P,A:A,A606)&gt;0,ABS((SUMIFS(P:P,A:A,A606)/VLOOKUP("USD",'Exchange Rates'!B:C,2,0)))/S606,"."),".")</f>
        <v>.</v>
      </c>
      <c r="AZ606" s="182" t="str">
        <f>IF(AND(AD606=1,D606="Military",H606&lt;&gt;"Not given")=TRUE,IF(SUMIFS(P:P,A:A,A606)&gt;0,IF((ABS((SUMIFS(P:P,A:A,A606)/VLOOKUP("USD",'Exchange Rates'!B:C,2,0)))/S606)&gt;1,(SUMIFS(P:P,A:A,A606)-S606)/S606,(S606-SUMIFS(P:P,A:A,A606))/SUMIFS(P:P,A:A,A606)),"."),".")</f>
        <v>.</v>
      </c>
      <c r="BA606" s="182"/>
      <c r="BB606" s="182"/>
      <c r="BC606" s="182"/>
      <c r="BD606" s="182"/>
      <c r="BE606" s="182"/>
      <c r="BF606" s="182"/>
      <c r="BG606" s="182"/>
      <c r="BH606" s="182"/>
      <c r="BI606" s="182"/>
      <c r="BJ606" s="182"/>
      <c r="BK606" s="182"/>
      <c r="BL606" s="182"/>
      <c r="BM606" s="182"/>
      <c r="BN606" s="182"/>
      <c r="BO606" s="182"/>
      <c r="BP606" s="182"/>
      <c r="BQ606" s="182"/>
      <c r="BR606" s="182"/>
      <c r="BS606" s="182"/>
    </row>
    <row r="607" spans="1:71" ht="15.9" customHeight="1" x14ac:dyDescent="0.3">
      <c r="A607" s="5" t="s">
        <v>1830</v>
      </c>
      <c r="B607" s="5" t="s">
        <v>1804</v>
      </c>
      <c r="C607" s="174">
        <v>44624</v>
      </c>
      <c r="D607" s="5" t="s">
        <v>285</v>
      </c>
      <c r="E607" s="5" t="s">
        <v>294</v>
      </c>
      <c r="F607" s="175" t="s">
        <v>1831</v>
      </c>
      <c r="G607" s="191" t="s">
        <v>346</v>
      </c>
      <c r="H607" s="176" t="s">
        <v>341</v>
      </c>
      <c r="I607" s="17" t="s">
        <v>303</v>
      </c>
      <c r="J607" s="113" t="str">
        <f>VLOOKUP($I607,'Price List, Weapons &amp; Items'!B:C,2,0)</f>
        <v>Humanitarian</v>
      </c>
      <c r="K607" s="113" t="str">
        <f>IF(I607=".",I607,VLOOKUP($I607,'Price List, Weapons &amp; Items'!B:D,3,0))</f>
        <v>Humanitarian</v>
      </c>
      <c r="L607" s="177">
        <f>VLOOKUP(I607,'Price List, Weapons &amp; Items'!B:E,4,0)</f>
        <v>0</v>
      </c>
      <c r="M607" s="542" t="s">
        <v>270</v>
      </c>
      <c r="N607" s="542" t="s">
        <v>270</v>
      </c>
      <c r="O607" s="543" t="str">
        <f>VLOOKUP($I607,'Price List, Weapons &amp; Items'!B:G,6,0)</f>
        <v>.</v>
      </c>
      <c r="P607" s="176" t="str">
        <f t="shared" si="114"/>
        <v>.</v>
      </c>
      <c r="Q607" s="176" t="str">
        <f t="shared" si="115"/>
        <v>.</v>
      </c>
      <c r="R607" s="176" t="str">
        <f t="shared" si="126"/>
        <v/>
      </c>
      <c r="S607" s="176" t="str">
        <f>IF(AND(AD607=1,R607&lt;&gt;".")=TRUE,R607/VLOOKUP(G607,'Exchange Rates'!B:C,2,0),IF(R607=".",".",""))</f>
        <v/>
      </c>
      <c r="T607" s="176" t="str">
        <f>IF(AD607=1,IF(AF607="Value is not given at all",".",IF(AF607="Value is given by the source",S607,IF(AF607="Value is calculated with prices",(IF(SUMIFS(Q:Q,A:A,A607)&gt;0,SUMIFS(Q:Q,A:A,A607),"."))/VLOOKUP("USD",'Exchange Rates'!B:C,2,0),"Error with coding"))),"")</f>
        <v/>
      </c>
      <c r="U607" s="15" t="s">
        <v>261</v>
      </c>
      <c r="V607" s="547" t="s">
        <v>1832</v>
      </c>
      <c r="W607" s="547" t="s">
        <v>1833</v>
      </c>
      <c r="X607" s="547" t="s">
        <v>1834</v>
      </c>
      <c r="Y607" s="569" t="s">
        <v>1836</v>
      </c>
      <c r="Z607" s="15">
        <v>0</v>
      </c>
      <c r="AA607" s="180">
        <v>0</v>
      </c>
      <c r="AB607" s="549" t="s">
        <v>1835</v>
      </c>
      <c r="AC607" s="544" t="str">
        <f>""</f>
        <v/>
      </c>
      <c r="AD607" s="181">
        <v>0</v>
      </c>
      <c r="AE607" s="181" t="s">
        <v>332</v>
      </c>
      <c r="AF607" s="181" t="s">
        <v>332</v>
      </c>
      <c r="AG607" s="181">
        <v>1</v>
      </c>
      <c r="AH607" s="181">
        <v>3</v>
      </c>
      <c r="AI607" s="181">
        <v>0</v>
      </c>
      <c r="AJ607" s="181">
        <f>VLOOKUP($I607,'Price List, Weapons &amp; Items'!B:F,5,0)</f>
        <v>0</v>
      </c>
      <c r="AK607" s="181">
        <f t="shared" si="116"/>
        <v>0</v>
      </c>
      <c r="AL607" s="181">
        <f t="shared" si="117"/>
        <v>0</v>
      </c>
      <c r="AM607" s="181">
        <f t="shared" si="118"/>
        <v>0</v>
      </c>
      <c r="AN607" s="180" t="str">
        <f>VLOOKUP($I607,'Price List, Weapons &amp; Items'!B:L,COLUMN('Price List, Weapons &amp; Items'!$J$11)-1,0)</f>
        <v>.</v>
      </c>
      <c r="AO607" s="180" t="str">
        <f>IF(I607=".",".",VLOOKUP($I607,'Price List, Weapons &amp; Items'!B:J,3,0))</f>
        <v>Humanitarian</v>
      </c>
      <c r="AP607" s="545" t="str">
        <f t="shared" ca="1" si="127"/>
        <v/>
      </c>
      <c r="AQ607" s="180">
        <f>VLOOKUP($I607,'Price List, Weapons &amp; Items'!B:L,COLUMN('Price List, Weapons &amp; Items'!$L$11)-1,0)</f>
        <v>0</v>
      </c>
      <c r="AR607" s="180">
        <f t="shared" si="119"/>
        <v>1</v>
      </c>
      <c r="AS607" s="180">
        <f t="shared" si="120"/>
        <v>1</v>
      </c>
      <c r="AT607" s="180">
        <f t="shared" si="121"/>
        <v>1</v>
      </c>
      <c r="AU607" s="180" t="str">
        <f t="shared" si="122"/>
        <v>.</v>
      </c>
      <c r="AV607" s="180" t="str">
        <f t="shared" si="123"/>
        <v>.</v>
      </c>
      <c r="AW607" s="180">
        <f>IFERROR(VLOOKUP(B607,'Share, Heavy Weapons to Ukraine'!B:J,COLUMN('Share, Heavy Weapons to Ukraine'!C618)-1,0),0)</f>
        <v>0</v>
      </c>
      <c r="AX607" s="180">
        <f>VLOOKUP('Bilateral Assistance, MAIN DATA'!B607,'Country Summary'!B:F,COLUMN('Country Summary'!C621)-1,FALSE)</f>
        <v>0</v>
      </c>
      <c r="AY607" s="180" t="str">
        <f>IF(AND(AD607=1,D607="Military",H607&lt;&gt;"Not given")=TRUE,IF(SUMIFS(P:P,A:A,A607)&gt;0,ABS((SUMIFS(P:P,A:A,A607)/VLOOKUP("USD",'Exchange Rates'!B:C,2,0)))/S607,"."),".")</f>
        <v>.</v>
      </c>
      <c r="AZ607" s="182" t="str">
        <f>IF(AND(AD607=1,D607="Military",H607&lt;&gt;"Not given")=TRUE,IF(SUMIFS(P:P,A:A,A607)&gt;0,IF((ABS((SUMIFS(P:P,A:A,A607)/VLOOKUP("USD",'Exchange Rates'!B:C,2,0)))/S607)&gt;1,(SUMIFS(P:P,A:A,A607)-S607)/S607,(S607-SUMIFS(P:P,A:A,A607))/SUMIFS(P:P,A:A,A607)),"."),".")</f>
        <v>.</v>
      </c>
      <c r="BA607" s="182"/>
      <c r="BB607" s="182"/>
      <c r="BC607" s="182"/>
      <c r="BD607" s="182"/>
      <c r="BE607" s="182"/>
      <c r="BF607" s="182"/>
      <c r="BG607" s="182"/>
      <c r="BH607" s="182"/>
      <c r="BI607" s="182"/>
      <c r="BJ607" s="182"/>
      <c r="BK607" s="182"/>
      <c r="BL607" s="182"/>
      <c r="BM607" s="182"/>
      <c r="BN607" s="182"/>
      <c r="BO607" s="182"/>
      <c r="BP607" s="182"/>
      <c r="BQ607" s="182"/>
      <c r="BR607" s="182"/>
      <c r="BS607" s="182"/>
    </row>
    <row r="608" spans="1:71" ht="15.9" customHeight="1" x14ac:dyDescent="0.3">
      <c r="A608" s="5" t="s">
        <v>1830</v>
      </c>
      <c r="B608" s="5" t="s">
        <v>1804</v>
      </c>
      <c r="C608" s="174">
        <v>44624</v>
      </c>
      <c r="D608" s="5" t="s">
        <v>285</v>
      </c>
      <c r="E608" s="5" t="s">
        <v>294</v>
      </c>
      <c r="F608" s="175" t="s">
        <v>1831</v>
      </c>
      <c r="G608" s="191" t="s">
        <v>346</v>
      </c>
      <c r="H608" s="176" t="s">
        <v>341</v>
      </c>
      <c r="I608" s="17" t="s">
        <v>1427</v>
      </c>
      <c r="J608" s="113" t="str">
        <f>VLOOKUP($I608,'Price List, Weapons &amp; Items'!B:C,2,0)</f>
        <v>Military equipment</v>
      </c>
      <c r="K608" s="113" t="str">
        <f>IF(I608=".",I608,VLOOKUP($I608,'Price List, Weapons &amp; Items'!B:D,3,0))</f>
        <v>Military equipment</v>
      </c>
      <c r="L608" s="177">
        <f>VLOOKUP(I608,'Price List, Weapons &amp; Items'!B:E,4,0)</f>
        <v>0</v>
      </c>
      <c r="M608" s="542" t="s">
        <v>270</v>
      </c>
      <c r="N608" s="542" t="s">
        <v>270</v>
      </c>
      <c r="O608" s="543">
        <f>VLOOKUP($I608,'Price List, Weapons &amp; Items'!B:G,6,0)</f>
        <v>5000</v>
      </c>
      <c r="P608" s="176" t="str">
        <f t="shared" si="114"/>
        <v>.</v>
      </c>
      <c r="Q608" s="176" t="str">
        <f t="shared" si="115"/>
        <v>.</v>
      </c>
      <c r="R608" s="176" t="str">
        <f t="shared" si="126"/>
        <v/>
      </c>
      <c r="S608" s="176" t="str">
        <f>IF(AND(AD608=1,R608&lt;&gt;".")=TRUE,R608/VLOOKUP(G608,'Exchange Rates'!B:C,2,0),IF(R608=".",".",""))</f>
        <v/>
      </c>
      <c r="T608" s="176" t="str">
        <f>IF(AD608=1,IF(AF608="Value is not given at all",".",IF(AF608="Value is given by the source",S608,IF(AF608="Value is calculated with prices",(IF(SUMIFS(Q:Q,A:A,A608)&gt;0,SUMIFS(Q:Q,A:A,A608),"."))/VLOOKUP("USD",'Exchange Rates'!B:C,2,0),"Error with coding"))),"")</f>
        <v/>
      </c>
      <c r="U608" s="15" t="s">
        <v>261</v>
      </c>
      <c r="V608" s="547" t="s">
        <v>1832</v>
      </c>
      <c r="W608" s="547" t="s">
        <v>1833</v>
      </c>
      <c r="X608" s="547" t="s">
        <v>1834</v>
      </c>
      <c r="Y608" s="569" t="s">
        <v>1836</v>
      </c>
      <c r="Z608" s="15">
        <v>0</v>
      </c>
      <c r="AA608" s="180">
        <v>0</v>
      </c>
      <c r="AB608" s="549" t="s">
        <v>1835</v>
      </c>
      <c r="AC608" s="544" t="str">
        <f>""</f>
        <v/>
      </c>
      <c r="AD608" s="181">
        <v>0</v>
      </c>
      <c r="AE608" s="181" t="s">
        <v>332</v>
      </c>
      <c r="AF608" s="181" t="s">
        <v>332</v>
      </c>
      <c r="AG608" s="181">
        <v>1</v>
      </c>
      <c r="AH608" s="181">
        <v>3</v>
      </c>
      <c r="AI608" s="181">
        <v>0</v>
      </c>
      <c r="AJ608" s="181">
        <f>VLOOKUP($I608,'Price List, Weapons &amp; Items'!B:F,5,0)</f>
        <v>0</v>
      </c>
      <c r="AK608" s="181">
        <f t="shared" si="116"/>
        <v>0</v>
      </c>
      <c r="AL608" s="181">
        <f t="shared" si="117"/>
        <v>0</v>
      </c>
      <c r="AM608" s="181">
        <f t="shared" si="118"/>
        <v>0</v>
      </c>
      <c r="AN608" s="180" t="str">
        <f>VLOOKUP($I608,'Price List, Weapons &amp; Items'!B:L,COLUMN('Price List, Weapons &amp; Items'!$J$11)-1,0)</f>
        <v>Miscellaneous</v>
      </c>
      <c r="AO608" s="180" t="str">
        <f>IF(I608=".",".",VLOOKUP($I608,'Price List, Weapons &amp; Items'!B:J,3,0))</f>
        <v>Military equipment</v>
      </c>
      <c r="AP608" s="545" t="str">
        <f t="shared" ca="1" si="127"/>
        <v/>
      </c>
      <c r="AQ608" s="180">
        <f>VLOOKUP($I608,'Price List, Weapons &amp; Items'!B:L,COLUMN('Price List, Weapons &amp; Items'!$L$11)-1,0)</f>
        <v>1</v>
      </c>
      <c r="AR608" s="180">
        <f t="shared" si="119"/>
        <v>1</v>
      </c>
      <c r="AS608" s="180">
        <f t="shared" si="120"/>
        <v>1</v>
      </c>
      <c r="AT608" s="180">
        <f t="shared" si="121"/>
        <v>1</v>
      </c>
      <c r="AU608" s="180" t="str">
        <f t="shared" si="122"/>
        <v>.</v>
      </c>
      <c r="AV608" s="180" t="str">
        <f t="shared" si="123"/>
        <v>.</v>
      </c>
      <c r="AW608" s="180">
        <f>IFERROR(VLOOKUP(B608,'Share, Heavy Weapons to Ukraine'!B:J,COLUMN('Share, Heavy Weapons to Ukraine'!C619)-1,0),0)</f>
        <v>0</v>
      </c>
      <c r="AX608" s="180">
        <f>VLOOKUP('Bilateral Assistance, MAIN DATA'!B608,'Country Summary'!B:F,COLUMN('Country Summary'!C622)-1,FALSE)</f>
        <v>0</v>
      </c>
      <c r="AY608" s="180" t="str">
        <f>IF(AND(AD608=1,D608="Military",H608&lt;&gt;"Not given")=TRUE,IF(SUMIFS(P:P,A:A,A608)&gt;0,ABS((SUMIFS(P:P,A:A,A608)/VLOOKUP("USD",'Exchange Rates'!B:C,2,0)))/S608,"."),".")</f>
        <v>.</v>
      </c>
      <c r="AZ608" s="182" t="str">
        <f>IF(AND(AD608=1,D608="Military",H608&lt;&gt;"Not given")=TRUE,IF(SUMIFS(P:P,A:A,A608)&gt;0,IF((ABS((SUMIFS(P:P,A:A,A608)/VLOOKUP("USD",'Exchange Rates'!B:C,2,0)))/S608)&gt;1,(SUMIFS(P:P,A:A,A608)-S608)/S608,(S608-SUMIFS(P:P,A:A,A608))/SUMIFS(P:P,A:A,A608)),"."),".")</f>
        <v>.</v>
      </c>
      <c r="BA608" s="182"/>
      <c r="BB608" s="182"/>
      <c r="BC608" s="182"/>
      <c r="BD608" s="182"/>
      <c r="BE608" s="182"/>
      <c r="BF608" s="182"/>
      <c r="BG608" s="182"/>
      <c r="BH608" s="182"/>
      <c r="BI608" s="182"/>
      <c r="BJ608" s="182"/>
      <c r="BK608" s="182"/>
      <c r="BL608" s="182"/>
      <c r="BM608" s="182"/>
      <c r="BN608" s="182"/>
      <c r="BO608" s="182"/>
      <c r="BP608" s="182"/>
      <c r="BQ608" s="182"/>
      <c r="BR608" s="182"/>
      <c r="BS608" s="182"/>
    </row>
    <row r="609" spans="1:71" ht="15.9" customHeight="1" x14ac:dyDescent="0.3">
      <c r="A609" s="5" t="s">
        <v>1830</v>
      </c>
      <c r="B609" s="5" t="s">
        <v>1804</v>
      </c>
      <c r="C609" s="174">
        <v>44624</v>
      </c>
      <c r="D609" s="5" t="s">
        <v>285</v>
      </c>
      <c r="E609" s="5" t="s">
        <v>294</v>
      </c>
      <c r="F609" s="175" t="s">
        <v>1831</v>
      </c>
      <c r="G609" s="191" t="s">
        <v>346</v>
      </c>
      <c r="H609" s="176" t="s">
        <v>341</v>
      </c>
      <c r="I609" s="17" t="s">
        <v>1482</v>
      </c>
      <c r="J609" s="113" t="str">
        <f>VLOOKUP($I609,'Price List, Weapons &amp; Items'!B:C,2,0)</f>
        <v>Military equipment</v>
      </c>
      <c r="K609" s="113" t="str">
        <f>IF(I609=".",I609,VLOOKUP($I609,'Price List, Weapons &amp; Items'!B:D,3,0))</f>
        <v>Military equipment</v>
      </c>
      <c r="L609" s="177">
        <f>VLOOKUP(I609,'Price List, Weapons &amp; Items'!B:E,4,0)</f>
        <v>0</v>
      </c>
      <c r="M609" s="542" t="s">
        <v>270</v>
      </c>
      <c r="N609" s="542" t="s">
        <v>270</v>
      </c>
      <c r="O609" s="543">
        <f>VLOOKUP($I609,'Price List, Weapons &amp; Items'!B:G,6,0)</f>
        <v>70</v>
      </c>
      <c r="P609" s="176" t="str">
        <f t="shared" si="114"/>
        <v>.</v>
      </c>
      <c r="Q609" s="176" t="str">
        <f t="shared" si="115"/>
        <v>.</v>
      </c>
      <c r="R609" s="176" t="str">
        <f t="shared" si="126"/>
        <v/>
      </c>
      <c r="S609" s="176" t="str">
        <f>IF(AND(AD609=1,R609&lt;&gt;".")=TRUE,R609/VLOOKUP(G609,'Exchange Rates'!B:C,2,0),IF(R609=".",".",""))</f>
        <v/>
      </c>
      <c r="T609" s="176" t="str">
        <f>IF(AD609=1,IF(AF609="Value is not given at all",".",IF(AF609="Value is given by the source",S609,IF(AF609="Value is calculated with prices",(IF(SUMIFS(Q:Q,A:A,A609)&gt;0,SUMIFS(Q:Q,A:A,A609),"."))/VLOOKUP("USD",'Exchange Rates'!B:C,2,0),"Error with coding"))),"")</f>
        <v/>
      </c>
      <c r="U609" s="15" t="s">
        <v>261</v>
      </c>
      <c r="V609" s="547" t="s">
        <v>1832</v>
      </c>
      <c r="W609" s="547" t="s">
        <v>1833</v>
      </c>
      <c r="X609" s="547" t="s">
        <v>1834</v>
      </c>
      <c r="Y609" s="569" t="s">
        <v>1836</v>
      </c>
      <c r="Z609" s="15">
        <v>0</v>
      </c>
      <c r="AA609" s="180">
        <v>0</v>
      </c>
      <c r="AB609" s="549" t="s">
        <v>1835</v>
      </c>
      <c r="AC609" s="544" t="str">
        <f>""</f>
        <v/>
      </c>
      <c r="AD609" s="181">
        <v>0</v>
      </c>
      <c r="AE609" s="181" t="s">
        <v>332</v>
      </c>
      <c r="AF609" s="181" t="s">
        <v>332</v>
      </c>
      <c r="AG609" s="181">
        <v>1</v>
      </c>
      <c r="AH609" s="181">
        <v>3</v>
      </c>
      <c r="AI609" s="181">
        <v>0</v>
      </c>
      <c r="AJ609" s="181">
        <f>VLOOKUP($I609,'Price List, Weapons &amp; Items'!B:F,5,0)</f>
        <v>0</v>
      </c>
      <c r="AK609" s="181">
        <f t="shared" si="116"/>
        <v>0</v>
      </c>
      <c r="AL609" s="181">
        <f t="shared" si="117"/>
        <v>0</v>
      </c>
      <c r="AM609" s="181">
        <f t="shared" si="118"/>
        <v>0</v>
      </c>
      <c r="AN609" s="180" t="str">
        <f>VLOOKUP($I609,'Price List, Weapons &amp; Items'!B:L,COLUMN('Price List, Weapons &amp; Items'!$J$11)-1,0)</f>
        <v>Online marketplaces and stores</v>
      </c>
      <c r="AO609" s="180" t="str">
        <f>IF(I609=".",".",VLOOKUP($I609,'Price List, Weapons &amp; Items'!B:J,3,0))</f>
        <v>Military equipment</v>
      </c>
      <c r="AP609" s="545" t="str">
        <f t="shared" ca="1" si="127"/>
        <v/>
      </c>
      <c r="AQ609" s="180">
        <f>VLOOKUP($I609,'Price List, Weapons &amp; Items'!B:L,COLUMN('Price List, Weapons &amp; Items'!$L$11)-1,0)</f>
        <v>1</v>
      </c>
      <c r="AR609" s="180">
        <f t="shared" si="119"/>
        <v>1</v>
      </c>
      <c r="AS609" s="180">
        <f t="shared" si="120"/>
        <v>1</v>
      </c>
      <c r="AT609" s="180">
        <f t="shared" si="121"/>
        <v>1</v>
      </c>
      <c r="AU609" s="180" t="str">
        <f t="shared" si="122"/>
        <v>.</v>
      </c>
      <c r="AV609" s="180" t="str">
        <f t="shared" si="123"/>
        <v>.</v>
      </c>
      <c r="AW609" s="180">
        <f>IFERROR(VLOOKUP(B609,'Share, Heavy Weapons to Ukraine'!B:J,COLUMN('Share, Heavy Weapons to Ukraine'!C620)-1,0),0)</f>
        <v>0</v>
      </c>
      <c r="AX609" s="180">
        <f>VLOOKUP('Bilateral Assistance, MAIN DATA'!B609,'Country Summary'!B:F,COLUMN('Country Summary'!C623)-1,FALSE)</f>
        <v>0</v>
      </c>
      <c r="AY609" s="180" t="str">
        <f>IF(AND(AD609=1,D609="Military",H609&lt;&gt;"Not given")=TRUE,IF(SUMIFS(P:P,A:A,A609)&gt;0,ABS((SUMIFS(P:P,A:A,A609)/VLOOKUP("USD",'Exchange Rates'!B:C,2,0)))/S609,"."),".")</f>
        <v>.</v>
      </c>
      <c r="AZ609" s="182" t="str">
        <f>IF(AND(AD609=1,D609="Military",H609&lt;&gt;"Not given")=TRUE,IF(SUMIFS(P:P,A:A,A609)&gt;0,IF((ABS((SUMIFS(P:P,A:A,A609)/VLOOKUP("USD",'Exchange Rates'!B:C,2,0)))/S609)&gt;1,(SUMIFS(P:P,A:A,A609)-S609)/S609,(S609-SUMIFS(P:P,A:A,A609))/SUMIFS(P:P,A:A,A609)),"."),".")</f>
        <v>.</v>
      </c>
      <c r="BA609" s="182"/>
      <c r="BB609" s="182"/>
      <c r="BC609" s="182"/>
      <c r="BD609" s="182"/>
      <c r="BE609" s="182"/>
      <c r="BF609" s="182"/>
      <c r="BG609" s="182"/>
      <c r="BH609" s="182"/>
      <c r="BI609" s="182"/>
      <c r="BJ609" s="182"/>
      <c r="BK609" s="182"/>
      <c r="BL609" s="182"/>
      <c r="BM609" s="182"/>
      <c r="BN609" s="182"/>
      <c r="BO609" s="182"/>
      <c r="BP609" s="182"/>
      <c r="BQ609" s="182"/>
      <c r="BR609" s="182"/>
      <c r="BS609" s="182"/>
    </row>
    <row r="610" spans="1:71" ht="15.9" customHeight="1" x14ac:dyDescent="0.3">
      <c r="A610" s="5" t="s">
        <v>1837</v>
      </c>
      <c r="B610" s="5" t="s">
        <v>1804</v>
      </c>
      <c r="C610" s="174">
        <v>44670</v>
      </c>
      <c r="D610" s="5" t="s">
        <v>285</v>
      </c>
      <c r="E610" s="5" t="s">
        <v>294</v>
      </c>
      <c r="F610" s="175" t="s">
        <v>1838</v>
      </c>
      <c r="G610" s="191" t="s">
        <v>346</v>
      </c>
      <c r="H610" s="176" t="s">
        <v>341</v>
      </c>
      <c r="I610" s="190" t="s">
        <v>1839</v>
      </c>
      <c r="J610" s="113" t="str">
        <f>VLOOKUP($I610,'Price List, Weapons &amp; Items'!B:C,2,0)</f>
        <v>Military equipment</v>
      </c>
      <c r="K610" s="113" t="str">
        <f>IF(I610=".",I610,VLOOKUP($I610,'Price List, Weapons &amp; Items'!B:D,3,0))</f>
        <v>Military equipment</v>
      </c>
      <c r="L610" s="177">
        <f>VLOOKUP(I610,'Price List, Weapons &amp; Items'!B:E,4,0)</f>
        <v>0</v>
      </c>
      <c r="M610" s="542" t="s">
        <v>270</v>
      </c>
      <c r="N610" s="542" t="s">
        <v>270</v>
      </c>
      <c r="O610" s="543">
        <f>VLOOKUP($I610,'Price List, Weapons &amp; Items'!B:G,6,0)</f>
        <v>0.4</v>
      </c>
      <c r="P610" s="176" t="str">
        <f t="shared" si="114"/>
        <v>.</v>
      </c>
      <c r="Q610" s="176" t="str">
        <f t="shared" si="115"/>
        <v>.</v>
      </c>
      <c r="R610" s="176">
        <f t="shared" si="126"/>
        <v>180000</v>
      </c>
      <c r="S610" s="176">
        <f>IF(AND(AD610=1,R610&lt;&gt;".")=TRUE,R610/VLOOKUP(G610,'Exchange Rates'!B:C,2,0),IF(R610=".",".",""))</f>
        <v>171428.57142857142</v>
      </c>
      <c r="T610" s="176" t="str">
        <f>IF(AD610=1,IF(AF610="Value is not given at all",".",IF(AF610="Value is given by the source",S610,IF(AF610="Value is calculated with prices",(IF(SUMIFS(Q:Q,A:A,A610)&gt;0,SUMIFS(Q:Q,A:A,A610),"."))/VLOOKUP("USD",'Exchange Rates'!B:C,2,0),"Error with coding"))),"")</f>
        <v>.</v>
      </c>
      <c r="U610" s="15" t="s">
        <v>415</v>
      </c>
      <c r="V610" s="547" t="s">
        <v>1840</v>
      </c>
      <c r="W610" s="188" t="s">
        <v>260</v>
      </c>
      <c r="X610" s="188" t="s">
        <v>260</v>
      </c>
      <c r="Y610" s="188" t="s">
        <v>260</v>
      </c>
      <c r="Z610" s="15">
        <v>0</v>
      </c>
      <c r="AA610" s="180">
        <v>0</v>
      </c>
      <c r="AB610" s="549" t="s">
        <v>1841</v>
      </c>
      <c r="AC610" s="544" t="str">
        <f>""</f>
        <v/>
      </c>
      <c r="AD610" s="181">
        <v>1</v>
      </c>
      <c r="AE610" s="181" t="s">
        <v>332</v>
      </c>
      <c r="AF610" s="181" t="s">
        <v>265</v>
      </c>
      <c r="AG610" s="181">
        <v>1</v>
      </c>
      <c r="AH610" s="181">
        <v>4</v>
      </c>
      <c r="AI610" s="181">
        <v>0</v>
      </c>
      <c r="AJ610" s="181">
        <f>VLOOKUP($I610,'Price List, Weapons &amp; Items'!B:F,5,0)</f>
        <v>0</v>
      </c>
      <c r="AK610" s="181">
        <f t="shared" si="116"/>
        <v>0</v>
      </c>
      <c r="AL610" s="181">
        <f t="shared" si="117"/>
        <v>0</v>
      </c>
      <c r="AM610" s="181">
        <f t="shared" si="118"/>
        <v>0</v>
      </c>
      <c r="AN610" s="180" t="str">
        <f>VLOOKUP($I610,'Price List, Weapons &amp; Items'!B:L,COLUMN('Price List, Weapons &amp; Items'!$J$11)-1,0)</f>
        <v>Online marketplaces and stores</v>
      </c>
      <c r="AO610" s="180" t="str">
        <f>IF(I610=".",".",VLOOKUP($I610,'Price List, Weapons &amp; Items'!B:J,3,0))</f>
        <v>Military equipment</v>
      </c>
      <c r="AP610" s="545" t="e">
        <f t="shared" ca="1" si="127"/>
        <v>#NAME?</v>
      </c>
      <c r="AQ610" s="180">
        <f>VLOOKUP($I610,'Price List, Weapons &amp; Items'!B:L,COLUMN('Price List, Weapons &amp; Items'!$L$11)-1,0)</f>
        <v>1</v>
      </c>
      <c r="AR610" s="180">
        <f t="shared" si="119"/>
        <v>0</v>
      </c>
      <c r="AS610" s="180">
        <f t="shared" si="120"/>
        <v>1</v>
      </c>
      <c r="AT610" s="180">
        <f t="shared" si="121"/>
        <v>1</v>
      </c>
      <c r="AU610" s="180" t="str">
        <f t="shared" si="122"/>
        <v>.</v>
      </c>
      <c r="AV610" s="180" t="str">
        <f t="shared" si="123"/>
        <v>.</v>
      </c>
      <c r="AW610" s="180">
        <f>IFERROR(VLOOKUP(B610,'Share, Heavy Weapons to Ukraine'!B:J,COLUMN('Share, Heavy Weapons to Ukraine'!C621)-1,0),0)</f>
        <v>0</v>
      </c>
      <c r="AX610" s="180">
        <f>VLOOKUP('Bilateral Assistance, MAIN DATA'!B610,'Country Summary'!B:F,COLUMN('Country Summary'!C624)-1,FALSE)</f>
        <v>0</v>
      </c>
      <c r="AY610" s="180" t="str">
        <f>IF(AND(AD610=1,D610="Military",H610&lt;&gt;"Not given")=TRUE,IF(SUMIFS(P:P,A:A,A610)&gt;0,ABS((SUMIFS(P:P,A:A,A610)/VLOOKUP("USD",'Exchange Rates'!B:C,2,0)))/S610,"."),".")</f>
        <v>.</v>
      </c>
      <c r="AZ610" s="182" t="str">
        <f>IF(AND(AD610=1,D610="Military",H610&lt;&gt;"Not given")=TRUE,IF(SUMIFS(P:P,A:A,A610)&gt;0,IF((ABS((SUMIFS(P:P,A:A,A610)/VLOOKUP("USD",'Exchange Rates'!B:C,2,0)))/S610)&gt;1,(SUMIFS(P:P,A:A,A610)-S610)/S610,(S610-SUMIFS(P:P,A:A,A610))/SUMIFS(P:P,A:A,A610)),"."),".")</f>
        <v>.</v>
      </c>
      <c r="BA610" s="182"/>
      <c r="BB610" s="182"/>
      <c r="BC610" s="182"/>
      <c r="BD610" s="182"/>
      <c r="BE610" s="182"/>
      <c r="BF610" s="182"/>
      <c r="BG610" s="182"/>
      <c r="BH610" s="182"/>
      <c r="BI610" s="182"/>
      <c r="BJ610" s="182"/>
      <c r="BK610" s="182"/>
      <c r="BL610" s="182"/>
      <c r="BM610" s="182"/>
      <c r="BN610" s="182"/>
      <c r="BO610" s="182"/>
      <c r="BP610" s="182"/>
      <c r="BQ610" s="182"/>
      <c r="BR610" s="182"/>
      <c r="BS610" s="182"/>
    </row>
    <row r="611" spans="1:71" ht="15.9" customHeight="1" x14ac:dyDescent="0.3">
      <c r="A611" s="5" t="s">
        <v>1837</v>
      </c>
      <c r="B611" s="5" t="s">
        <v>1804</v>
      </c>
      <c r="C611" s="174">
        <v>44670</v>
      </c>
      <c r="D611" s="5" t="s">
        <v>285</v>
      </c>
      <c r="E611" s="5" t="s">
        <v>294</v>
      </c>
      <c r="F611" s="175" t="s">
        <v>1838</v>
      </c>
      <c r="G611" s="191" t="s">
        <v>346</v>
      </c>
      <c r="H611" s="176" t="s">
        <v>341</v>
      </c>
      <c r="I611" s="190" t="s">
        <v>1842</v>
      </c>
      <c r="J611" s="113" t="str">
        <f>VLOOKUP($I611,'Price List, Weapons &amp; Items'!B:C,2,0)</f>
        <v>Military equipment</v>
      </c>
      <c r="K611" s="113" t="str">
        <f>IF(I611=".",I611,VLOOKUP($I611,'Price List, Weapons &amp; Items'!B:D,3,0))</f>
        <v>Military equipment</v>
      </c>
      <c r="L611" s="177">
        <f>VLOOKUP(I611,'Price List, Weapons &amp; Items'!B:E,4,0)</f>
        <v>0</v>
      </c>
      <c r="M611" s="542" t="s">
        <v>270</v>
      </c>
      <c r="N611" s="542" t="s">
        <v>270</v>
      </c>
      <c r="O611" s="543" t="str">
        <f>VLOOKUP($I611,'Price List, Weapons &amp; Items'!B:G,6,0)</f>
        <v>.</v>
      </c>
      <c r="P611" s="176" t="str">
        <f t="shared" si="114"/>
        <v>.</v>
      </c>
      <c r="Q611" s="176" t="str">
        <f t="shared" si="115"/>
        <v>.</v>
      </c>
      <c r="R611" s="176" t="str">
        <f t="shared" si="126"/>
        <v/>
      </c>
      <c r="S611" s="176" t="str">
        <f>IF(AND(AD611=1,R611&lt;&gt;".")=TRUE,R611/VLOOKUP(G611,'Exchange Rates'!B:C,2,0),IF(R611=".",".",""))</f>
        <v/>
      </c>
      <c r="T611" s="176" t="str">
        <f>IF(AD611=1,IF(AF611="Value is not given at all",".",IF(AF611="Value is given by the source",S611,IF(AF611="Value is calculated with prices",(IF(SUMIFS(Q:Q,A:A,A611)&gt;0,SUMIFS(Q:Q,A:A,A611),"."))/VLOOKUP("USD",'Exchange Rates'!B:C,2,0),"Error with coding"))),"")</f>
        <v/>
      </c>
      <c r="U611" s="15" t="s">
        <v>415</v>
      </c>
      <c r="V611" s="547" t="s">
        <v>1840</v>
      </c>
      <c r="W611" s="188" t="s">
        <v>260</v>
      </c>
      <c r="X611" s="188" t="s">
        <v>260</v>
      </c>
      <c r="Y611" s="188" t="s">
        <v>260</v>
      </c>
      <c r="Z611" s="15">
        <v>0</v>
      </c>
      <c r="AA611" s="180">
        <v>0</v>
      </c>
      <c r="AB611" s="549" t="s">
        <v>1841</v>
      </c>
      <c r="AC611" s="544" t="str">
        <f>""</f>
        <v/>
      </c>
      <c r="AD611" s="181">
        <v>0</v>
      </c>
      <c r="AE611" s="181" t="s">
        <v>265</v>
      </c>
      <c r="AF611" s="181" t="s">
        <v>265</v>
      </c>
      <c r="AG611" s="181">
        <v>1</v>
      </c>
      <c r="AH611" s="181">
        <v>4</v>
      </c>
      <c r="AI611" s="181">
        <v>0</v>
      </c>
      <c r="AJ611" s="181">
        <f>VLOOKUP($I611,'Price List, Weapons &amp; Items'!B:F,5,0)</f>
        <v>0</v>
      </c>
      <c r="AK611" s="181">
        <f t="shared" si="116"/>
        <v>0</v>
      </c>
      <c r="AL611" s="181">
        <f t="shared" si="117"/>
        <v>0</v>
      </c>
      <c r="AM611" s="181">
        <f t="shared" si="118"/>
        <v>0</v>
      </c>
      <c r="AN611" s="180" t="str">
        <f>VLOOKUP($I611,'Price List, Weapons &amp; Items'!B:L,COLUMN('Price List, Weapons &amp; Items'!$J$11)-1,0)</f>
        <v>.</v>
      </c>
      <c r="AO611" s="180" t="str">
        <f>IF(I611=".",".",VLOOKUP($I611,'Price List, Weapons &amp; Items'!B:J,3,0))</f>
        <v>Military equipment</v>
      </c>
      <c r="AP611" s="545" t="str">
        <f t="shared" ca="1" si="127"/>
        <v/>
      </c>
      <c r="AQ611" s="180" t="str">
        <f>VLOOKUP($I611,'Price List, Weapons &amp; Items'!B:L,COLUMN('Price List, Weapons &amp; Items'!$L$11)-1,0)</f>
        <v>no price, 0 count</v>
      </c>
      <c r="AR611" s="180">
        <f t="shared" si="119"/>
        <v>0</v>
      </c>
      <c r="AS611" s="180">
        <f t="shared" si="120"/>
        <v>1</v>
      </c>
      <c r="AT611" s="180">
        <f t="shared" si="121"/>
        <v>1</v>
      </c>
      <c r="AU611" s="180" t="str">
        <f t="shared" si="122"/>
        <v>.</v>
      </c>
      <c r="AV611" s="180" t="str">
        <f t="shared" si="123"/>
        <v>.</v>
      </c>
      <c r="AW611" s="180">
        <f>IFERROR(VLOOKUP(B611,'Share, Heavy Weapons to Ukraine'!B:J,COLUMN('Share, Heavy Weapons to Ukraine'!C622)-1,0),0)</f>
        <v>0</v>
      </c>
      <c r="AX611" s="180">
        <f>VLOOKUP('Bilateral Assistance, MAIN DATA'!B611,'Country Summary'!B:F,COLUMN('Country Summary'!C625)-1,FALSE)</f>
        <v>0</v>
      </c>
      <c r="AY611" s="180" t="str">
        <f>IF(AND(AD611=1,D611="Military",H611&lt;&gt;"Not given")=TRUE,IF(SUMIFS(P:P,A:A,A611)&gt;0,ABS((SUMIFS(P:P,A:A,A611)/VLOOKUP("USD",'Exchange Rates'!B:C,2,0)))/S611,"."),".")</f>
        <v>.</v>
      </c>
      <c r="AZ611" s="182" t="str">
        <f>IF(AND(AD611=1,D611="Military",H611&lt;&gt;"Not given")=TRUE,IF(SUMIFS(P:P,A:A,A611)&gt;0,IF((ABS((SUMIFS(P:P,A:A,A611)/VLOOKUP("USD",'Exchange Rates'!B:C,2,0)))/S611)&gt;1,(SUMIFS(P:P,A:A,A611)-S611)/S611,(S611-SUMIFS(P:P,A:A,A611))/SUMIFS(P:P,A:A,A611)),"."),".")</f>
        <v>.</v>
      </c>
      <c r="BA611" s="182"/>
      <c r="BB611" s="182"/>
      <c r="BC611" s="182"/>
      <c r="BD611" s="182"/>
      <c r="BE611" s="182"/>
      <c r="BF611" s="182"/>
      <c r="BG611" s="182"/>
      <c r="BH611" s="182"/>
      <c r="BI611" s="182"/>
      <c r="BJ611" s="182"/>
      <c r="BK611" s="182"/>
      <c r="BL611" s="182"/>
      <c r="BM611" s="182"/>
      <c r="BN611" s="182"/>
      <c r="BO611" s="182"/>
      <c r="BP611" s="182"/>
      <c r="BQ611" s="182"/>
      <c r="BR611" s="182"/>
      <c r="BS611" s="182"/>
    </row>
    <row r="612" spans="1:71" ht="15.9" customHeight="1" x14ac:dyDescent="0.3">
      <c r="A612" s="5" t="s">
        <v>1837</v>
      </c>
      <c r="B612" s="5" t="s">
        <v>1804</v>
      </c>
      <c r="C612" s="174">
        <v>44670</v>
      </c>
      <c r="D612" s="5" t="s">
        <v>285</v>
      </c>
      <c r="E612" s="5" t="s">
        <v>294</v>
      </c>
      <c r="F612" s="175" t="s">
        <v>1838</v>
      </c>
      <c r="G612" s="191" t="s">
        <v>346</v>
      </c>
      <c r="H612" s="176" t="s">
        <v>341</v>
      </c>
      <c r="I612" s="190" t="s">
        <v>956</v>
      </c>
      <c r="J612" s="113" t="str">
        <f>VLOOKUP($I612,'Price List, Weapons &amp; Items'!B:C,2,0)</f>
        <v>Aviation and drones</v>
      </c>
      <c r="K612" s="113" t="str">
        <f>IF(I612=".",I612,VLOOKUP($I612,'Price List, Weapons &amp; Items'!B:D,3,0))</f>
        <v>drone</v>
      </c>
      <c r="L612" s="177">
        <f>VLOOKUP(I612,'Price List, Weapons &amp; Items'!B:E,4,0)</f>
        <v>0</v>
      </c>
      <c r="M612" s="542">
        <v>30</v>
      </c>
      <c r="N612" s="542">
        <v>30</v>
      </c>
      <c r="O612" s="543">
        <f>VLOOKUP($I612,'Price List, Weapons &amp; Items'!B:G,6,0)</f>
        <v>6000</v>
      </c>
      <c r="P612" s="176">
        <f t="shared" si="114"/>
        <v>180000</v>
      </c>
      <c r="Q612" s="176">
        <f t="shared" si="115"/>
        <v>180000</v>
      </c>
      <c r="R612" s="176" t="str">
        <f t="shared" si="126"/>
        <v/>
      </c>
      <c r="S612" s="176" t="str">
        <f>IF(AND(AD612=1,R612&lt;&gt;".")=TRUE,R612/VLOOKUP(G612,'Exchange Rates'!B:C,2,0),IF(R612=".",".",""))</f>
        <v/>
      </c>
      <c r="T612" s="176" t="str">
        <f>IF(AD612=1,IF(AF612="Value is not given at all",".",IF(AF612="Value is given by the source",S612,IF(AF612="Value is calculated with prices",(IF(SUMIFS(Q:Q,A:A,A612)&gt;0,SUMIFS(Q:Q,A:A,A612),"."))/VLOOKUP("USD",'Exchange Rates'!B:C,2,0),"Error with coding"))),"")</f>
        <v/>
      </c>
      <c r="U612" s="15" t="s">
        <v>415</v>
      </c>
      <c r="V612" s="547" t="s">
        <v>1840</v>
      </c>
      <c r="W612" s="569" t="s">
        <v>1843</v>
      </c>
      <c r="X612" s="188" t="s">
        <v>260</v>
      </c>
      <c r="Y612" s="188" t="s">
        <v>260</v>
      </c>
      <c r="Z612" s="15">
        <v>0</v>
      </c>
      <c r="AA612" s="180">
        <v>0</v>
      </c>
      <c r="AB612" s="549" t="s">
        <v>1843</v>
      </c>
      <c r="AC612" s="544" t="str">
        <f>""</f>
        <v/>
      </c>
      <c r="AD612" s="181">
        <v>0</v>
      </c>
      <c r="AE612" s="181" t="s">
        <v>265</v>
      </c>
      <c r="AF612" s="181" t="s">
        <v>265</v>
      </c>
      <c r="AG612" s="181">
        <v>1</v>
      </c>
      <c r="AH612" s="181">
        <v>4</v>
      </c>
      <c r="AI612" s="181">
        <v>0</v>
      </c>
      <c r="AJ612" s="181">
        <f>VLOOKUP($I612,'Price List, Weapons &amp; Items'!B:F,5,0)</f>
        <v>0</v>
      </c>
      <c r="AK612" s="181">
        <f t="shared" si="116"/>
        <v>0</v>
      </c>
      <c r="AL612" s="181">
        <f t="shared" si="117"/>
        <v>0</v>
      </c>
      <c r="AM612" s="181">
        <f t="shared" si="118"/>
        <v>0</v>
      </c>
      <c r="AN612" s="180" t="str">
        <f>VLOOKUP($I612,'Price List, Weapons &amp; Items'!B:L,COLUMN('Price List, Weapons &amp; Items'!$J$11)-1,0)</f>
        <v>Miscellaneous</v>
      </c>
      <c r="AO612" s="180" t="str">
        <f>IF(I612=".",".",VLOOKUP($I612,'Price List, Weapons &amp; Items'!B:J,3,0))</f>
        <v>drone</v>
      </c>
      <c r="AP612" s="545" t="str">
        <f t="shared" ca="1" si="127"/>
        <v/>
      </c>
      <c r="AQ612" s="180">
        <f>VLOOKUP($I612,'Price List, Weapons &amp; Items'!B:L,COLUMN('Price List, Weapons &amp; Items'!$L$11)-1,0)</f>
        <v>1</v>
      </c>
      <c r="AR612" s="180">
        <f t="shared" si="119"/>
        <v>0</v>
      </c>
      <c r="AS612" s="180">
        <f t="shared" si="120"/>
        <v>1</v>
      </c>
      <c r="AT612" s="180">
        <f t="shared" si="121"/>
        <v>1</v>
      </c>
      <c r="AU612" s="180" t="str">
        <f t="shared" si="122"/>
        <v>.</v>
      </c>
      <c r="AV612" s="180" t="str">
        <f t="shared" si="123"/>
        <v>.</v>
      </c>
      <c r="AW612" s="180">
        <f>IFERROR(VLOOKUP(B612,'Share, Heavy Weapons to Ukraine'!B:J,COLUMN('Share, Heavy Weapons to Ukraine'!C623)-1,0),0)</f>
        <v>0</v>
      </c>
      <c r="AX612" s="180">
        <f>VLOOKUP('Bilateral Assistance, MAIN DATA'!B612,'Country Summary'!B:F,COLUMN('Country Summary'!C626)-1,FALSE)</f>
        <v>0</v>
      </c>
      <c r="AY612" s="180" t="str">
        <f>IF(AND(AD612=1,D612="Military",H612&lt;&gt;"Not given")=TRUE,IF(SUMIFS(P:P,A:A,A612)&gt;0,ABS((SUMIFS(P:P,A:A,A612)/VLOOKUP("USD",'Exchange Rates'!B:C,2,0)))/S612,"."),".")</f>
        <v>.</v>
      </c>
      <c r="AZ612" s="182" t="str">
        <f>IF(AND(AD612=1,D612="Military",H612&lt;&gt;"Not given")=TRUE,IF(SUMIFS(P:P,A:A,A612)&gt;0,IF((ABS((SUMIFS(P:P,A:A,A612)/VLOOKUP("USD",'Exchange Rates'!B:C,2,0)))/S612)&gt;1,(SUMIFS(P:P,A:A,A612)-S612)/S612,(S612-SUMIFS(P:P,A:A,A612))/SUMIFS(P:P,A:A,A612)),"."),".")</f>
        <v>.</v>
      </c>
      <c r="BA612" s="182"/>
      <c r="BB612" s="182"/>
      <c r="BC612" s="182"/>
      <c r="BD612" s="182"/>
      <c r="BE612" s="182"/>
      <c r="BF612" s="182"/>
      <c r="BG612" s="182"/>
      <c r="BH612" s="182"/>
      <c r="BI612" s="182"/>
      <c r="BJ612" s="182"/>
      <c r="BK612" s="182"/>
      <c r="BL612" s="182"/>
      <c r="BM612" s="182"/>
      <c r="BN612" s="182"/>
      <c r="BO612" s="182"/>
      <c r="BP612" s="182"/>
      <c r="BQ612" s="182"/>
      <c r="BR612" s="182"/>
      <c r="BS612" s="182"/>
    </row>
    <row r="613" spans="1:71" ht="15.9" customHeight="1" x14ac:dyDescent="0.3">
      <c r="A613" s="5" t="s">
        <v>1844</v>
      </c>
      <c r="B613" s="5" t="s">
        <v>1804</v>
      </c>
      <c r="C613" s="174">
        <v>44777</v>
      </c>
      <c r="D613" s="5" t="s">
        <v>285</v>
      </c>
      <c r="E613" s="5" t="s">
        <v>294</v>
      </c>
      <c r="F613" s="175" t="s">
        <v>1845</v>
      </c>
      <c r="G613" s="191" t="s">
        <v>346</v>
      </c>
      <c r="H613" s="176" t="s">
        <v>341</v>
      </c>
      <c r="I613" s="190" t="s">
        <v>956</v>
      </c>
      <c r="J613" s="113" t="str">
        <f>VLOOKUP($I613,'Price List, Weapons &amp; Items'!B:C,2,0)</f>
        <v>Aviation and drones</v>
      </c>
      <c r="K613" s="113" t="str">
        <f>IF(I613=".",I613,VLOOKUP($I613,'Price List, Weapons &amp; Items'!B:D,3,0))</f>
        <v>drone</v>
      </c>
      <c r="L613" s="177">
        <f>VLOOKUP(I613,'Price List, Weapons &amp; Items'!B:E,4,0)</f>
        <v>0</v>
      </c>
      <c r="M613" s="542">
        <v>12</v>
      </c>
      <c r="N613" s="542" t="s">
        <v>270</v>
      </c>
      <c r="O613" s="543">
        <f>VLOOKUP($I613,'Price List, Weapons &amp; Items'!B:G,6,0)</f>
        <v>6000</v>
      </c>
      <c r="P613" s="176">
        <f t="shared" si="114"/>
        <v>72000</v>
      </c>
      <c r="Q613" s="176" t="str">
        <f t="shared" si="115"/>
        <v>.</v>
      </c>
      <c r="R613" s="176">
        <f t="shared" si="126"/>
        <v>72000</v>
      </c>
      <c r="S613" s="176">
        <f>IF(AND(AD613=1,R613&lt;&gt;".")=TRUE,R613/VLOOKUP(G613,'Exchange Rates'!B:C,2,0),IF(R613=".",".",""))</f>
        <v>68571.428571428565</v>
      </c>
      <c r="T613" s="176" t="str">
        <f>IF(AD613=1,IF(AF613="Value is not given at all",".",IF(AF613="Value is given by the source",S613,IF(AF613="Value is calculated with prices",(IF(SUMIFS(Q:Q,A:A,A613)&gt;0,SUMIFS(Q:Q,A:A,A613),"."))/VLOOKUP("USD",'Exchange Rates'!B:C,2,0),"Error with coding"))),"")</f>
        <v>.</v>
      </c>
      <c r="U613" s="15" t="s">
        <v>261</v>
      </c>
      <c r="V613" s="547" t="s">
        <v>1820</v>
      </c>
      <c r="W613" s="569" t="s">
        <v>1821</v>
      </c>
      <c r="X613" s="569" t="s">
        <v>1822</v>
      </c>
      <c r="Y613" s="569" t="s">
        <v>1843</v>
      </c>
      <c r="Z613" s="15">
        <v>0</v>
      </c>
      <c r="AA613" s="180">
        <v>0</v>
      </c>
      <c r="AB613" s="184" t="s">
        <v>260</v>
      </c>
      <c r="AC613" s="544" t="str">
        <f>""</f>
        <v/>
      </c>
      <c r="AD613" s="181">
        <v>1</v>
      </c>
      <c r="AE613" s="181" t="s">
        <v>265</v>
      </c>
      <c r="AF613" s="181" t="s">
        <v>265</v>
      </c>
      <c r="AG613" s="181">
        <v>1</v>
      </c>
      <c r="AH613" s="181">
        <v>8</v>
      </c>
      <c r="AI613" s="181">
        <v>0</v>
      </c>
      <c r="AJ613" s="181">
        <f>VLOOKUP($I613,'Price List, Weapons &amp; Items'!B:F,5,0)</f>
        <v>0</v>
      </c>
      <c r="AK613" s="181">
        <f t="shared" si="116"/>
        <v>0</v>
      </c>
      <c r="AL613" s="181">
        <f t="shared" si="117"/>
        <v>0</v>
      </c>
      <c r="AM613" s="181">
        <f t="shared" si="118"/>
        <v>0</v>
      </c>
      <c r="AN613" s="180" t="str">
        <f>VLOOKUP($I613,'Price List, Weapons &amp; Items'!B:L,COLUMN('Price List, Weapons &amp; Items'!$J$11)-1,0)</f>
        <v>Miscellaneous</v>
      </c>
      <c r="AO613" s="180" t="str">
        <f>IF(I613=".",".",VLOOKUP($I613,'Price List, Weapons &amp; Items'!B:J,3,0))</f>
        <v>drone</v>
      </c>
      <c r="AP613" s="545" t="e">
        <f t="shared" ca="1" si="127"/>
        <v>#NAME?</v>
      </c>
      <c r="AQ613" s="180">
        <f>VLOOKUP($I613,'Price List, Weapons &amp; Items'!B:L,COLUMN('Price List, Weapons &amp; Items'!$L$11)-1,0)</f>
        <v>1</v>
      </c>
      <c r="AR613" s="180">
        <f t="shared" si="119"/>
        <v>1</v>
      </c>
      <c r="AS613" s="180">
        <f t="shared" si="120"/>
        <v>1</v>
      </c>
      <c r="AT613" s="180">
        <f t="shared" si="121"/>
        <v>1</v>
      </c>
      <c r="AU613" s="180" t="str">
        <f t="shared" si="122"/>
        <v>.</v>
      </c>
      <c r="AV613" s="180" t="str">
        <f t="shared" si="123"/>
        <v>.</v>
      </c>
      <c r="AW613" s="180">
        <f>IFERROR(VLOOKUP(B613,'Share, Heavy Weapons to Ukraine'!B:J,COLUMN('Share, Heavy Weapons to Ukraine'!C624)-1,0),0)</f>
        <v>0</v>
      </c>
      <c r="AX613" s="180">
        <f>VLOOKUP('Bilateral Assistance, MAIN DATA'!B613,'Country Summary'!B:F,COLUMN('Country Summary'!C627)-1,FALSE)</f>
        <v>0</v>
      </c>
      <c r="AY613" s="180" t="str">
        <f>IF(AND(AD613=1,D613="Military",H613&lt;&gt;"Not given")=TRUE,IF(SUMIFS(P:P,A:A,A613)&gt;0,ABS((SUMIFS(P:P,A:A,A613)/VLOOKUP("USD",'Exchange Rates'!B:C,2,0)))/S613,"."),".")</f>
        <v>.</v>
      </c>
      <c r="AZ613" s="182" t="str">
        <f>IF(AND(AD613=1,D613="Military",H613&lt;&gt;"Not given")=TRUE,IF(SUMIFS(P:P,A:A,A613)&gt;0,IF((ABS((SUMIFS(P:P,A:A,A613)/VLOOKUP("USD",'Exchange Rates'!B:C,2,0)))/S613)&gt;1,(SUMIFS(P:P,A:A,A613)-S613)/S613,(S613-SUMIFS(P:P,A:A,A613))/SUMIFS(P:P,A:A,A613)),"."),".")</f>
        <v>.</v>
      </c>
      <c r="BA613" s="182"/>
      <c r="BB613" s="182"/>
      <c r="BC613" s="182"/>
      <c r="BD613" s="182"/>
      <c r="BE613" s="182"/>
      <c r="BF613" s="182"/>
      <c r="BG613" s="182"/>
      <c r="BH613" s="182"/>
      <c r="BI613" s="182"/>
      <c r="BJ613" s="182"/>
      <c r="BK613" s="182"/>
      <c r="BL613" s="182"/>
      <c r="BM613" s="182"/>
      <c r="BN613" s="182"/>
      <c r="BO613" s="182"/>
      <c r="BP613" s="182"/>
      <c r="BQ613" s="182"/>
      <c r="BR613" s="182"/>
      <c r="BS613" s="182"/>
    </row>
    <row r="614" spans="1:71" ht="15.9" customHeight="1" x14ac:dyDescent="0.3">
      <c r="A614" s="17" t="s">
        <v>1846</v>
      </c>
      <c r="B614" s="17" t="s">
        <v>1804</v>
      </c>
      <c r="C614" s="174">
        <v>44645</v>
      </c>
      <c r="D614" s="5" t="s">
        <v>405</v>
      </c>
      <c r="E614" s="5" t="s">
        <v>518</v>
      </c>
      <c r="F614" s="175" t="s">
        <v>1847</v>
      </c>
      <c r="G614" s="15" t="s">
        <v>346</v>
      </c>
      <c r="H614" s="176">
        <v>100000000</v>
      </c>
      <c r="I614" s="17" t="s">
        <v>260</v>
      </c>
      <c r="J614" s="113" t="str">
        <f>VLOOKUP($I614,'Price List, Weapons &amp; Items'!B:C,2,0)</f>
        <v>.</v>
      </c>
      <c r="K614" s="113" t="str">
        <f>IF(I614=".",I614,VLOOKUP($I614,'Price List, Weapons &amp; Items'!B:D,3,0))</f>
        <v>.</v>
      </c>
      <c r="L614" s="177">
        <f>VLOOKUP(I614,'Price List, Weapons &amp; Items'!B:E,4,0)</f>
        <v>0</v>
      </c>
      <c r="M614" s="542" t="s">
        <v>260</v>
      </c>
      <c r="N614" s="542" t="s">
        <v>260</v>
      </c>
      <c r="O614" s="543" t="str">
        <f>VLOOKUP($I614,'Price List, Weapons &amp; Items'!B:G,6,0)</f>
        <v>.</v>
      </c>
      <c r="P614" s="176" t="str">
        <f t="shared" si="114"/>
        <v>.</v>
      </c>
      <c r="Q614" s="176" t="str">
        <f t="shared" si="115"/>
        <v>.</v>
      </c>
      <c r="R614" s="176">
        <f t="shared" si="126"/>
        <v>100000000</v>
      </c>
      <c r="S614" s="176">
        <f>IF(AND(AD614=1,R614&lt;&gt;".")=TRUE,R614/VLOOKUP(G614,'Exchange Rates'!B:C,2,0),IF(R614=".",".",""))</f>
        <v>95238095.238095239</v>
      </c>
      <c r="T614" s="176" t="str">
        <f>IF(AD614=1,IF(AF614="Value is not given at all",".",IF(AF614="Value is given by the source",S614,IF(AF614="Value is calculated with prices",(IF(SUMIFS(Q:Q,A:A,A614)&gt;0,SUMIFS(Q:Q,A:A,A614),"."))/VLOOKUP("USD",'Exchange Rates'!B:C,2,0),"Error with coding"))),"")</f>
        <v>.</v>
      </c>
      <c r="U614" s="15" t="s">
        <v>261</v>
      </c>
      <c r="V614" s="300" t="s">
        <v>1806</v>
      </c>
      <c r="W614" s="300" t="s">
        <v>1848</v>
      </c>
      <c r="X614" s="300" t="s">
        <v>1849</v>
      </c>
      <c r="Y614" s="175" t="s">
        <v>260</v>
      </c>
      <c r="Z614" s="15">
        <v>1</v>
      </c>
      <c r="AA614" s="180">
        <v>0</v>
      </c>
      <c r="AB614" s="184" t="s">
        <v>260</v>
      </c>
      <c r="AC614" s="544" t="str">
        <f>""</f>
        <v/>
      </c>
      <c r="AD614" s="181">
        <v>1</v>
      </c>
      <c r="AE614" s="181" t="s">
        <v>264</v>
      </c>
      <c r="AF614" s="181" t="s">
        <v>265</v>
      </c>
      <c r="AG614" s="181">
        <v>1</v>
      </c>
      <c r="AH614" s="181">
        <v>3</v>
      </c>
      <c r="AI614" s="181">
        <v>0</v>
      </c>
      <c r="AJ614" s="181">
        <f>VLOOKUP($I614,'Price List, Weapons &amp; Items'!B:F,5,0)</f>
        <v>0</v>
      </c>
      <c r="AK614" s="181">
        <f t="shared" si="116"/>
        <v>0</v>
      </c>
      <c r="AL614" s="181">
        <f t="shared" si="117"/>
        <v>0</v>
      </c>
      <c r="AM614" s="181">
        <f t="shared" si="118"/>
        <v>0</v>
      </c>
      <c r="AN614" s="180" t="str">
        <f>VLOOKUP($I614,'Price List, Weapons &amp; Items'!B:L,COLUMN('Price List, Weapons &amp; Items'!$J$11)-1,0)</f>
        <v>.</v>
      </c>
      <c r="AO614" s="180" t="str">
        <f>IF(I614=".",".",VLOOKUP($I614,'Price List, Weapons &amp; Items'!B:J,3,0))</f>
        <v>.</v>
      </c>
      <c r="AP614" s="545" t="e">
        <f t="shared" ca="1" si="127"/>
        <v>#NAME?</v>
      </c>
      <c r="AQ614" s="180" t="str">
        <f>VLOOKUP($I614,'Price List, Weapons &amp; Items'!B:L,COLUMN('Price List, Weapons &amp; Items'!$L$11)-1,0)</f>
        <v>no price, 0 count</v>
      </c>
      <c r="AR614" s="180">
        <f t="shared" si="119"/>
        <v>1</v>
      </c>
      <c r="AS614" s="180">
        <f t="shared" si="120"/>
        <v>0</v>
      </c>
      <c r="AT614" s="180">
        <f t="shared" si="121"/>
        <v>1</v>
      </c>
      <c r="AU614" s="180" t="str">
        <f t="shared" si="122"/>
        <v>.</v>
      </c>
      <c r="AV614" s="180" t="str">
        <f t="shared" si="123"/>
        <v>.</v>
      </c>
      <c r="AW614" s="180">
        <f>IFERROR(VLOOKUP(B614,'Share, Heavy Weapons to Ukraine'!B:J,COLUMN('Share, Heavy Weapons to Ukraine'!C625)-1,0),0)</f>
        <v>0</v>
      </c>
      <c r="AX614" s="180">
        <f>VLOOKUP('Bilateral Assistance, MAIN DATA'!B614,'Country Summary'!B:F,COLUMN('Country Summary'!C628)-1,FALSE)</f>
        <v>0</v>
      </c>
      <c r="AY614" s="180" t="str">
        <f>IF(AND(AD614=1,D614="Military",H614&lt;&gt;"Not given")=TRUE,IF(SUMIFS(P:P,A:A,A614)&gt;0,ABS((SUMIFS(P:P,A:A,A614)/VLOOKUP("USD",'Exchange Rates'!B:C,2,0)))/S614,"."),".")</f>
        <v>.</v>
      </c>
      <c r="AZ614" s="182" t="str">
        <f>IF(AND(AD614=1,D614="Military",H614&lt;&gt;"Not given")=TRUE,IF(SUMIFS(P:P,A:A,A614)&gt;0,IF((ABS((SUMIFS(P:P,A:A,A614)/VLOOKUP("USD",'Exchange Rates'!B:C,2,0)))/S614)&gt;1,(SUMIFS(P:P,A:A,A614)-S614)/S614,(S614-SUMIFS(P:P,A:A,A614))/SUMIFS(P:P,A:A,A614)),"."),".")</f>
        <v>.</v>
      </c>
      <c r="BA614" s="182"/>
      <c r="BB614" s="182"/>
      <c r="BC614" s="182"/>
      <c r="BD614" s="182"/>
      <c r="BE614" s="182"/>
      <c r="BF614" s="182"/>
      <c r="BG614" s="182"/>
      <c r="BH614" s="182"/>
      <c r="BI614" s="182"/>
      <c r="BJ614" s="182"/>
      <c r="BK614" s="182"/>
      <c r="BL614" s="182"/>
      <c r="BM614" s="182"/>
      <c r="BN614" s="182"/>
      <c r="BO614" s="182"/>
      <c r="BP614" s="182"/>
      <c r="BQ614" s="182"/>
      <c r="BR614" s="182"/>
      <c r="BS614" s="182"/>
    </row>
    <row r="615" spans="1:71" ht="15.9" customHeight="1" x14ac:dyDescent="0.3">
      <c r="A615" s="17" t="s">
        <v>1850</v>
      </c>
      <c r="B615" s="17" t="s">
        <v>1804</v>
      </c>
      <c r="C615" s="174">
        <v>44670</v>
      </c>
      <c r="D615" s="5" t="s">
        <v>405</v>
      </c>
      <c r="E615" s="5" t="s">
        <v>518</v>
      </c>
      <c r="F615" s="175" t="s">
        <v>1851</v>
      </c>
      <c r="G615" s="15" t="s">
        <v>346</v>
      </c>
      <c r="H615" s="176">
        <v>200000000</v>
      </c>
      <c r="I615" s="17" t="s">
        <v>260</v>
      </c>
      <c r="J615" s="113" t="str">
        <f>VLOOKUP($I615,'Price List, Weapons &amp; Items'!B:C,2,0)</f>
        <v>.</v>
      </c>
      <c r="K615" s="113" t="str">
        <f>IF(I615=".",I615,VLOOKUP($I615,'Price List, Weapons &amp; Items'!B:D,3,0))</f>
        <v>.</v>
      </c>
      <c r="L615" s="177">
        <f>VLOOKUP(I615,'Price List, Weapons &amp; Items'!B:E,4,0)</f>
        <v>0</v>
      </c>
      <c r="M615" s="542" t="s">
        <v>260</v>
      </c>
      <c r="N615" s="542" t="s">
        <v>260</v>
      </c>
      <c r="O615" s="543" t="str">
        <f>VLOOKUP($I615,'Price List, Weapons &amp; Items'!B:G,6,0)</f>
        <v>.</v>
      </c>
      <c r="P615" s="176" t="str">
        <f t="shared" si="114"/>
        <v>.</v>
      </c>
      <c r="Q615" s="176" t="str">
        <f t="shared" si="115"/>
        <v>.</v>
      </c>
      <c r="R615" s="176">
        <f t="shared" si="126"/>
        <v>200000000</v>
      </c>
      <c r="S615" s="176">
        <f>IF(AND(AD615=1,R615&lt;&gt;".")=TRUE,R615/VLOOKUP(G615,'Exchange Rates'!B:C,2,0),IF(R615=".",".",""))</f>
        <v>190476190.47619048</v>
      </c>
      <c r="T615" s="176" t="str">
        <f>IF(AD615=1,IF(AF615="Value is not given at all",".",IF(AF615="Value is given by the source",S615,IF(AF615="Value is calculated with prices",(IF(SUMIFS(Q:Q,A:A,A615)&gt;0,SUMIFS(Q:Q,A:A,A615),"."))/VLOOKUP("USD",'Exchange Rates'!B:C,2,0),"Error with coding"))),"")</f>
        <v>.</v>
      </c>
      <c r="U615" s="15" t="s">
        <v>415</v>
      </c>
      <c r="V615" s="300" t="s">
        <v>1852</v>
      </c>
      <c r="W615" s="300" t="s">
        <v>1853</v>
      </c>
      <c r="X615" s="300" t="s">
        <v>1854</v>
      </c>
      <c r="Y615" s="175" t="s">
        <v>260</v>
      </c>
      <c r="Z615" s="15">
        <v>0</v>
      </c>
      <c r="AA615" s="180">
        <v>0</v>
      </c>
      <c r="AB615" s="184" t="s">
        <v>260</v>
      </c>
      <c r="AC615" s="544" t="str">
        <f>""</f>
        <v/>
      </c>
      <c r="AD615" s="181">
        <v>1</v>
      </c>
      <c r="AE615" s="181" t="s">
        <v>264</v>
      </c>
      <c r="AF615" s="181" t="s">
        <v>265</v>
      </c>
      <c r="AG615" s="181">
        <v>1</v>
      </c>
      <c r="AH615" s="181">
        <v>4</v>
      </c>
      <c r="AI615" s="181">
        <v>0</v>
      </c>
      <c r="AJ615" s="181">
        <f>VLOOKUP($I615,'Price List, Weapons &amp; Items'!B:F,5,0)</f>
        <v>0</v>
      </c>
      <c r="AK615" s="181">
        <f t="shared" si="116"/>
        <v>0</v>
      </c>
      <c r="AL615" s="181">
        <f t="shared" si="117"/>
        <v>0</v>
      </c>
      <c r="AM615" s="181">
        <f t="shared" si="118"/>
        <v>0</v>
      </c>
      <c r="AN615" s="180" t="str">
        <f>VLOOKUP($I615,'Price List, Weapons &amp; Items'!B:L,COLUMN('Price List, Weapons &amp; Items'!$J$11)-1,0)</f>
        <v>.</v>
      </c>
      <c r="AO615" s="180" t="str">
        <f>IF(I615=".",".",VLOOKUP($I615,'Price List, Weapons &amp; Items'!B:J,3,0))</f>
        <v>.</v>
      </c>
      <c r="AP615" s="545" t="e">
        <f t="shared" ca="1" si="127"/>
        <v>#NAME?</v>
      </c>
      <c r="AQ615" s="180" t="str">
        <f>VLOOKUP($I615,'Price List, Weapons &amp; Items'!B:L,COLUMN('Price List, Weapons &amp; Items'!$L$11)-1,0)</f>
        <v>no price, 0 count</v>
      </c>
      <c r="AR615" s="180">
        <f t="shared" si="119"/>
        <v>0</v>
      </c>
      <c r="AS615" s="180">
        <f t="shared" si="120"/>
        <v>0</v>
      </c>
      <c r="AT615" s="180">
        <f t="shared" si="121"/>
        <v>1</v>
      </c>
      <c r="AU615" s="180" t="str">
        <f t="shared" si="122"/>
        <v>.</v>
      </c>
      <c r="AV615" s="180" t="str">
        <f t="shared" si="123"/>
        <v>.</v>
      </c>
      <c r="AW615" s="180">
        <f>IFERROR(VLOOKUP(B615,'Share, Heavy Weapons to Ukraine'!B:J,COLUMN('Share, Heavy Weapons to Ukraine'!C626)-1,0),0)</f>
        <v>0</v>
      </c>
      <c r="AX615" s="180">
        <f>VLOOKUP('Bilateral Assistance, MAIN DATA'!B615,'Country Summary'!B:F,COLUMN('Country Summary'!C629)-1,FALSE)</f>
        <v>0</v>
      </c>
      <c r="AY615" s="180" t="str">
        <f>IF(AND(AD615=1,D615="Military",H615&lt;&gt;"Not given")=TRUE,IF(SUMIFS(P:P,A:A,A615)&gt;0,ABS((SUMIFS(P:P,A:A,A615)/VLOOKUP("USD",'Exchange Rates'!B:C,2,0)))/S615,"."),".")</f>
        <v>.</v>
      </c>
      <c r="AZ615" s="182" t="str">
        <f>IF(AND(AD615=1,D615="Military",H615&lt;&gt;"Not given")=TRUE,IF(SUMIFS(P:P,A:A,A615)&gt;0,IF((ABS((SUMIFS(P:P,A:A,A615)/VLOOKUP("USD",'Exchange Rates'!B:C,2,0)))/S615)&gt;1,(SUMIFS(P:P,A:A,A615)-S615)/S615,(S615-SUMIFS(P:P,A:A,A615))/SUMIFS(P:P,A:A,A615)),"."),".")</f>
        <v>.</v>
      </c>
      <c r="BA615" s="182"/>
      <c r="BB615" s="182"/>
      <c r="BC615" s="182"/>
      <c r="BD615" s="182"/>
      <c r="BE615" s="182"/>
      <c r="BF615" s="182"/>
      <c r="BG615" s="182"/>
      <c r="BH615" s="182"/>
      <c r="BI615" s="182"/>
      <c r="BJ615" s="182"/>
      <c r="BK615" s="182"/>
      <c r="BL615" s="182"/>
      <c r="BM615" s="182"/>
      <c r="BN615" s="182"/>
      <c r="BO615" s="182"/>
      <c r="BP615" s="182"/>
      <c r="BQ615" s="182"/>
      <c r="BR615" s="182"/>
      <c r="BS615" s="182"/>
    </row>
    <row r="616" spans="1:71" ht="15.9" customHeight="1" x14ac:dyDescent="0.3">
      <c r="A616" s="17" t="s">
        <v>1855</v>
      </c>
      <c r="B616" s="17" t="s">
        <v>1804</v>
      </c>
      <c r="C616" s="174">
        <v>44700</v>
      </c>
      <c r="D616" s="5" t="s">
        <v>405</v>
      </c>
      <c r="E616" s="5" t="s">
        <v>518</v>
      </c>
      <c r="F616" s="175" t="s">
        <v>1856</v>
      </c>
      <c r="G616" s="15" t="s">
        <v>346</v>
      </c>
      <c r="H616" s="176">
        <v>300000000</v>
      </c>
      <c r="I616" s="17" t="s">
        <v>260</v>
      </c>
      <c r="J616" s="113" t="str">
        <f>VLOOKUP($I616,'Price List, Weapons &amp; Items'!B:C,2,0)</f>
        <v>.</v>
      </c>
      <c r="K616" s="113" t="str">
        <f>IF(I616=".",I616,VLOOKUP($I616,'Price List, Weapons &amp; Items'!B:D,3,0))</f>
        <v>.</v>
      </c>
      <c r="L616" s="177">
        <f>VLOOKUP(I616,'Price List, Weapons &amp; Items'!B:E,4,0)</f>
        <v>0</v>
      </c>
      <c r="M616" s="542" t="s">
        <v>260</v>
      </c>
      <c r="N616" s="542" t="s">
        <v>260</v>
      </c>
      <c r="O616" s="543" t="str">
        <f>VLOOKUP($I616,'Price List, Weapons &amp; Items'!B:G,6,0)</f>
        <v>.</v>
      </c>
      <c r="P616" s="176" t="str">
        <f t="shared" si="114"/>
        <v>.</v>
      </c>
      <c r="Q616" s="176" t="str">
        <f t="shared" si="115"/>
        <v>.</v>
      </c>
      <c r="R616" s="176">
        <f t="shared" si="126"/>
        <v>300000000</v>
      </c>
      <c r="S616" s="176">
        <f>IF(AND(AD616=1,R616&lt;&gt;".")=TRUE,R616/VLOOKUP(G616,'Exchange Rates'!B:C,2,0),IF(R616=".",".",""))</f>
        <v>285714285.71428573</v>
      </c>
      <c r="T616" s="176" t="str">
        <f>IF(AD616=1,IF(AF616="Value is not given at all",".",IF(AF616="Value is given by the source",S616,IF(AF616="Value is calculated with prices",(IF(SUMIFS(Q:Q,A:A,A616)&gt;0,SUMIFS(Q:Q,A:A,A616),"."))/VLOOKUP("USD",'Exchange Rates'!B:C,2,0),"Error with coding"))),"")</f>
        <v>.</v>
      </c>
      <c r="U616" s="15" t="s">
        <v>415</v>
      </c>
      <c r="V616" s="300" t="s">
        <v>1857</v>
      </c>
      <c r="W616" s="300" t="s">
        <v>1858</v>
      </c>
      <c r="X616" s="300" t="s">
        <v>1859</v>
      </c>
      <c r="Y616" s="175" t="s">
        <v>260</v>
      </c>
      <c r="Z616" s="15">
        <v>1</v>
      </c>
      <c r="AA616" s="180">
        <v>0</v>
      </c>
      <c r="AB616" s="17" t="s">
        <v>260</v>
      </c>
      <c r="AC616" s="544" t="str">
        <f>""</f>
        <v/>
      </c>
      <c r="AD616" s="181">
        <v>1</v>
      </c>
      <c r="AE616" s="181" t="s">
        <v>264</v>
      </c>
      <c r="AF616" s="181" t="s">
        <v>265</v>
      </c>
      <c r="AG616" s="181">
        <v>1</v>
      </c>
      <c r="AH616" s="181">
        <v>5</v>
      </c>
      <c r="AI616" s="181">
        <v>0</v>
      </c>
      <c r="AJ616" s="181">
        <f>VLOOKUP($I616,'Price List, Weapons &amp; Items'!B:F,5,0)</f>
        <v>0</v>
      </c>
      <c r="AK616" s="181">
        <f t="shared" si="116"/>
        <v>0</v>
      </c>
      <c r="AL616" s="181">
        <f t="shared" si="117"/>
        <v>0</v>
      </c>
      <c r="AM616" s="181">
        <f t="shared" si="118"/>
        <v>0</v>
      </c>
      <c r="AN616" s="180" t="str">
        <f>VLOOKUP($I616,'Price List, Weapons &amp; Items'!B:L,COLUMN('Price List, Weapons &amp; Items'!$J$11)-1,0)</f>
        <v>.</v>
      </c>
      <c r="AO616" s="180" t="str">
        <f>IF(I616=".",".",VLOOKUP($I616,'Price List, Weapons &amp; Items'!B:J,3,0))</f>
        <v>.</v>
      </c>
      <c r="AP616" s="545" t="e">
        <f t="shared" ca="1" si="127"/>
        <v>#NAME?</v>
      </c>
      <c r="AQ616" s="180" t="str">
        <f>VLOOKUP($I616,'Price List, Weapons &amp; Items'!B:L,COLUMN('Price List, Weapons &amp; Items'!$L$11)-1,0)</f>
        <v>no price, 0 count</v>
      </c>
      <c r="AR616" s="180">
        <f t="shared" si="119"/>
        <v>0</v>
      </c>
      <c r="AS616" s="180">
        <f t="shared" si="120"/>
        <v>0</v>
      </c>
      <c r="AT616" s="180">
        <f t="shared" si="121"/>
        <v>1</v>
      </c>
      <c r="AU616" s="180" t="str">
        <f t="shared" si="122"/>
        <v>.</v>
      </c>
      <c r="AV616" s="180" t="str">
        <f t="shared" si="123"/>
        <v>.</v>
      </c>
      <c r="AW616" s="180">
        <f>IFERROR(VLOOKUP(B616,'Share, Heavy Weapons to Ukraine'!B:J,COLUMN('Share, Heavy Weapons to Ukraine'!C627)-1,0),0)</f>
        <v>0</v>
      </c>
      <c r="AX616" s="180">
        <f>VLOOKUP('Bilateral Assistance, MAIN DATA'!B616,'Country Summary'!B:F,COLUMN('Country Summary'!C630)-1,FALSE)</f>
        <v>0</v>
      </c>
      <c r="AY616" s="180" t="str">
        <f>IF(AND(AD616=1,D616="Military",H616&lt;&gt;"Not given")=TRUE,IF(SUMIFS(P:P,A:A,A616)&gt;0,ABS((SUMIFS(P:P,A:A,A616)/VLOOKUP("USD",'Exchange Rates'!B:C,2,0)))/S616,"."),".")</f>
        <v>.</v>
      </c>
      <c r="AZ616" s="182" t="str">
        <f>IF(AND(AD616=1,D616="Military",H616&lt;&gt;"Not given")=TRUE,IF(SUMIFS(P:P,A:A,A616)&gt;0,IF((ABS((SUMIFS(P:P,A:A,A616)/VLOOKUP("USD",'Exchange Rates'!B:C,2,0)))/S616)&gt;1,(SUMIFS(P:P,A:A,A616)-S616)/S616,(S616-SUMIFS(P:P,A:A,A616))/SUMIFS(P:P,A:A,A616)),"."),".")</f>
        <v>.</v>
      </c>
      <c r="BA616" s="182"/>
      <c r="BB616" s="182"/>
      <c r="BC616" s="182"/>
      <c r="BD616" s="182"/>
      <c r="BE616" s="182"/>
      <c r="BF616" s="182"/>
      <c r="BG616" s="182"/>
      <c r="BH616" s="182"/>
      <c r="BI616" s="182"/>
      <c r="BJ616" s="182"/>
      <c r="BK616" s="182"/>
      <c r="BL616" s="182"/>
      <c r="BM616" s="182"/>
      <c r="BN616" s="182"/>
      <c r="BO616" s="182"/>
      <c r="BP616" s="182"/>
      <c r="BQ616" s="182"/>
      <c r="BR616" s="182"/>
      <c r="BS616" s="182"/>
    </row>
    <row r="617" spans="1:71" ht="15.9" customHeight="1" x14ac:dyDescent="0.3">
      <c r="A617" s="17" t="s">
        <v>1860</v>
      </c>
      <c r="B617" s="17" t="s">
        <v>1861</v>
      </c>
      <c r="C617" s="174">
        <v>44621</v>
      </c>
      <c r="D617" s="5" t="s">
        <v>256</v>
      </c>
      <c r="E617" s="5" t="s">
        <v>554</v>
      </c>
      <c r="F617" s="144" t="s">
        <v>1862</v>
      </c>
      <c r="G617" s="15" t="s">
        <v>364</v>
      </c>
      <c r="H617" s="176">
        <f>560000</f>
        <v>560000</v>
      </c>
      <c r="I617" s="17" t="s">
        <v>260</v>
      </c>
      <c r="J617" s="113" t="str">
        <f>VLOOKUP($I617,'Price List, Weapons &amp; Items'!B:C,2,0)</f>
        <v>.</v>
      </c>
      <c r="K617" s="113" t="str">
        <f>IF(I617=".",I617,VLOOKUP($I617,'Price List, Weapons &amp; Items'!B:D,3,0))</f>
        <v>.</v>
      </c>
      <c r="L617" s="177">
        <f>VLOOKUP(I617,'Price List, Weapons &amp; Items'!B:E,4,0)</f>
        <v>0</v>
      </c>
      <c r="M617" s="542" t="s">
        <v>260</v>
      </c>
      <c r="N617" s="542" t="s">
        <v>260</v>
      </c>
      <c r="O617" s="543" t="str">
        <f>VLOOKUP($I617,'Price List, Weapons &amp; Items'!B:G,6,0)</f>
        <v>.</v>
      </c>
      <c r="P617" s="176" t="str">
        <f t="shared" si="114"/>
        <v>.</v>
      </c>
      <c r="Q617" s="176" t="str">
        <f t="shared" si="115"/>
        <v>.</v>
      </c>
      <c r="R617" s="176">
        <f t="shared" si="126"/>
        <v>560000</v>
      </c>
      <c r="S617" s="176">
        <f>IF(AND(AD617=1,R617&lt;&gt;".")=TRUE,R617/VLOOKUP(G617,'Exchange Rates'!B:C,2,0),IF(R617=".",".",""))</f>
        <v>560000</v>
      </c>
      <c r="T617" s="176" t="str">
        <f>IF(AD617=1,IF(AF617="Value is not given at all",".",IF(AF617="Value is given by the source",S617,IF(AF617="Value is calculated with prices",(IF(SUMIFS(Q:Q,A:A,A617)&gt;0,SUMIFS(Q:Q,A:A,A617),"."))/VLOOKUP("USD",'Exchange Rates'!B:C,2,0),"Error with coding"))),"")</f>
        <v>.</v>
      </c>
      <c r="U617" s="15" t="s">
        <v>261</v>
      </c>
      <c r="V617" s="300" t="s">
        <v>1863</v>
      </c>
      <c r="W617" s="300" t="s">
        <v>1864</v>
      </c>
      <c r="X617" s="300" t="s">
        <v>1865</v>
      </c>
      <c r="Y617" s="569" t="s">
        <v>1866</v>
      </c>
      <c r="Z617" s="15">
        <v>0</v>
      </c>
      <c r="AA617" s="180">
        <v>1</v>
      </c>
      <c r="AB617" s="184" t="s">
        <v>260</v>
      </c>
      <c r="AC617" s="544" t="str">
        <f>""</f>
        <v/>
      </c>
      <c r="AD617" s="181">
        <v>1</v>
      </c>
      <c r="AE617" s="181" t="s">
        <v>264</v>
      </c>
      <c r="AF617" s="181" t="s">
        <v>265</v>
      </c>
      <c r="AG617" s="181">
        <v>1</v>
      </c>
      <c r="AH617" s="181">
        <v>3</v>
      </c>
      <c r="AI617" s="181">
        <v>0</v>
      </c>
      <c r="AJ617" s="181">
        <f>VLOOKUP($I617,'Price List, Weapons &amp; Items'!B:F,5,0)</f>
        <v>0</v>
      </c>
      <c r="AK617" s="181">
        <f t="shared" si="116"/>
        <v>0</v>
      </c>
      <c r="AL617" s="181">
        <f t="shared" si="117"/>
        <v>0</v>
      </c>
      <c r="AM617" s="181">
        <f t="shared" si="118"/>
        <v>0</v>
      </c>
      <c r="AN617" s="180" t="str">
        <f>VLOOKUP($I617,'Price List, Weapons &amp; Items'!B:L,COLUMN('Price List, Weapons &amp; Items'!$J$11)-1,0)</f>
        <v>.</v>
      </c>
      <c r="AO617" s="180" t="str">
        <f>IF(I617=".",".",VLOOKUP($I617,'Price List, Weapons &amp; Items'!B:J,3,0))</f>
        <v>.</v>
      </c>
      <c r="AP617" s="545" t="e">
        <f t="shared" ca="1" si="127"/>
        <v>#NAME?</v>
      </c>
      <c r="AQ617" s="180" t="str">
        <f>VLOOKUP($I617,'Price List, Weapons &amp; Items'!B:L,COLUMN('Price List, Weapons &amp; Items'!$L$11)-1,0)</f>
        <v>no price, 0 count</v>
      </c>
      <c r="AR617" s="180">
        <f t="shared" si="119"/>
        <v>1</v>
      </c>
      <c r="AS617" s="180">
        <f t="shared" si="120"/>
        <v>0</v>
      </c>
      <c r="AT617" s="180">
        <f t="shared" si="121"/>
        <v>1</v>
      </c>
      <c r="AU617" s="180" t="e">
        <f>IF(AND(A617=#REF!,C617=#REF!)=TRUE,IF(F617=#REF!,".","1"),".")</f>
        <v>#REF!</v>
      </c>
      <c r="AV617" s="180" t="str">
        <f t="shared" si="123"/>
        <v>.</v>
      </c>
      <c r="AW617" s="180">
        <f>IFERROR(VLOOKUP(B617,'Share, Heavy Weapons to Ukraine'!B:J,COLUMN('Share, Heavy Weapons to Ukraine'!C630)-1,0),0)</f>
        <v>0</v>
      </c>
      <c r="AX617" s="180">
        <f>VLOOKUP('Bilateral Assistance, MAIN DATA'!B617,'Country Summary'!B:F,COLUMN('Country Summary'!C633)-1,FALSE)</f>
        <v>1</v>
      </c>
      <c r="AY617" s="180" t="str">
        <f>IF(AND(AD617=1,D617="Military",H617&lt;&gt;"Not given")=TRUE,IF(SUMIFS(P:P,A:A,A617)&gt;0,ABS((SUMIFS(P:P,A:A,A617)/VLOOKUP("USD",'Exchange Rates'!B:C,2,0)))/S617,"."),".")</f>
        <v>.</v>
      </c>
      <c r="AZ617" s="182" t="str">
        <f>IF(AND(AD617=1,D617="Military",H617&lt;&gt;"Not given")=TRUE,IF(SUMIFS(P:P,A:A,A617)&gt;0,IF((ABS((SUMIFS(P:P,A:A,A617)/VLOOKUP("USD",'Exchange Rates'!B:C,2,0)))/S617)&gt;1,(SUMIFS(P:P,A:A,A617)-S617)/S617,(S617-SUMIFS(P:P,A:A,A617))/SUMIFS(P:P,A:A,A617)),"."),".")</f>
        <v>.</v>
      </c>
      <c r="BA617" s="182"/>
      <c r="BB617" s="182"/>
      <c r="BC617" s="182"/>
      <c r="BD617" s="182"/>
      <c r="BE617" s="182"/>
      <c r="BF617" s="182"/>
      <c r="BG617" s="182"/>
      <c r="BH617" s="182"/>
      <c r="BI617" s="182"/>
      <c r="BJ617" s="182"/>
      <c r="BK617" s="182"/>
      <c r="BL617" s="182"/>
      <c r="BM617" s="182"/>
      <c r="BN617" s="182"/>
      <c r="BO617" s="182"/>
      <c r="BP617" s="182"/>
      <c r="BQ617" s="182"/>
      <c r="BR617" s="182"/>
      <c r="BS617" s="182"/>
    </row>
    <row r="618" spans="1:71" ht="15.9" customHeight="1" x14ac:dyDescent="0.3">
      <c r="A618" s="5" t="s">
        <v>1867</v>
      </c>
      <c r="B618" s="5" t="s">
        <v>1861</v>
      </c>
      <c r="C618" s="174">
        <v>44649</v>
      </c>
      <c r="D618" s="5" t="s">
        <v>256</v>
      </c>
      <c r="E618" s="5" t="s">
        <v>267</v>
      </c>
      <c r="F618" s="144" t="s">
        <v>1868</v>
      </c>
      <c r="G618" s="15" t="s">
        <v>364</v>
      </c>
      <c r="H618" s="176">
        <v>167417</v>
      </c>
      <c r="I618" s="17" t="s">
        <v>1869</v>
      </c>
      <c r="J618" s="113" t="str">
        <f>VLOOKUP($I618,'Price List, Weapons &amp; Items'!B:C,2,0)</f>
        <v>Humanitarian</v>
      </c>
      <c r="K618" s="113" t="str">
        <f>IF(I618=".",I618,VLOOKUP($I618,'Price List, Weapons &amp; Items'!B:D,3,0))</f>
        <v>Humanitarian</v>
      </c>
      <c r="L618" s="177">
        <f>VLOOKUP(I618,'Price List, Weapons &amp; Items'!B:E,4,0)</f>
        <v>0</v>
      </c>
      <c r="M618" s="542">
        <v>2</v>
      </c>
      <c r="N618" s="542">
        <v>2</v>
      </c>
      <c r="O618" s="543">
        <f>VLOOKUP($I618,'Price List, Weapons &amp; Items'!B:G,6,0)</f>
        <v>88347.31</v>
      </c>
      <c r="P618" s="176">
        <f t="shared" si="114"/>
        <v>176694.62</v>
      </c>
      <c r="Q618" s="176">
        <f t="shared" si="115"/>
        <v>176694.62</v>
      </c>
      <c r="R618" s="176">
        <f t="shared" si="126"/>
        <v>167417</v>
      </c>
      <c r="S618" s="176">
        <f>IF(AND(AD618=1,R618&lt;&gt;".")=TRUE,R618/VLOOKUP(G618,'Exchange Rates'!B:C,2,0),IF(R618=".",".",""))</f>
        <v>167417</v>
      </c>
      <c r="T618" s="176" t="str">
        <f>IF(AD618=1,IF(AF618="Value is not given at all",".",IF(AF618="Value is given by the source",S618,IF(AF618="Value is calculated with prices",(IF(SUMIFS(Q:Q,A:A,A618)&gt;0,SUMIFS(Q:Q,A:A,A618),"."))/VLOOKUP("USD",'Exchange Rates'!B:C,2,0),"Error with coding"))),"")</f>
        <v>.</v>
      </c>
      <c r="U618" s="15" t="s">
        <v>261</v>
      </c>
      <c r="V618" s="547" t="s">
        <v>1870</v>
      </c>
      <c r="W618" s="188" t="s">
        <v>260</v>
      </c>
      <c r="X618" s="188" t="s">
        <v>260</v>
      </c>
      <c r="Y618" s="188" t="s">
        <v>260</v>
      </c>
      <c r="Z618" s="15">
        <v>0</v>
      </c>
      <c r="AA618" s="180">
        <v>0</v>
      </c>
      <c r="AB618" s="184" t="s">
        <v>260</v>
      </c>
      <c r="AC618" s="544" t="str">
        <f>""</f>
        <v/>
      </c>
      <c r="AD618" s="181">
        <v>1</v>
      </c>
      <c r="AE618" s="181" t="s">
        <v>264</v>
      </c>
      <c r="AF618" s="181" t="s">
        <v>265</v>
      </c>
      <c r="AG618" s="181">
        <v>1</v>
      </c>
      <c r="AH618" s="181">
        <v>3</v>
      </c>
      <c r="AI618" s="181">
        <v>0</v>
      </c>
      <c r="AJ618" s="181">
        <f>VLOOKUP($I618,'Price List, Weapons &amp; Items'!B:F,5,0)</f>
        <v>0</v>
      </c>
      <c r="AK618" s="181">
        <f t="shared" si="116"/>
        <v>0</v>
      </c>
      <c r="AL618" s="181">
        <f t="shared" si="117"/>
        <v>0</v>
      </c>
      <c r="AM618" s="181">
        <f t="shared" si="118"/>
        <v>0</v>
      </c>
      <c r="AN618" s="180" t="str">
        <f>VLOOKUP($I618,'Price List, Weapons &amp; Items'!B:L,COLUMN('Price List, Weapons &amp; Items'!$J$11)-1,0)</f>
        <v>Government information</v>
      </c>
      <c r="AO618" s="180" t="str">
        <f>IF(I618=".",".",VLOOKUP($I618,'Price List, Weapons &amp; Items'!B:J,3,0))</f>
        <v>Humanitarian</v>
      </c>
      <c r="AP618" s="545" t="e">
        <f t="shared" ca="1" si="127"/>
        <v>#NAME?</v>
      </c>
      <c r="AQ618" s="180">
        <f>VLOOKUP($I618,'Price List, Weapons &amp; Items'!B:L,COLUMN('Price List, Weapons &amp; Items'!$L$11)-1,0)</f>
        <v>0</v>
      </c>
      <c r="AR618" s="180">
        <f t="shared" si="119"/>
        <v>1</v>
      </c>
      <c r="AS618" s="180">
        <f t="shared" si="120"/>
        <v>0</v>
      </c>
      <c r="AT618" s="180">
        <f t="shared" si="121"/>
        <v>1</v>
      </c>
      <c r="AU618" s="180" t="str">
        <f t="shared" si="122"/>
        <v>.</v>
      </c>
      <c r="AV618" s="180" t="str">
        <f t="shared" si="123"/>
        <v>.</v>
      </c>
      <c r="AW618" s="180">
        <f>IFERROR(VLOOKUP(B618,'Share, Heavy Weapons to Ukraine'!B:J,COLUMN('Share, Heavy Weapons to Ukraine'!C631)-1,0),0)</f>
        <v>0</v>
      </c>
      <c r="AX618" s="180">
        <f>VLOOKUP('Bilateral Assistance, MAIN DATA'!B618,'Country Summary'!B:F,COLUMN('Country Summary'!C634)-1,FALSE)</f>
        <v>1</v>
      </c>
      <c r="AY618" s="180" t="str">
        <f>IF(AND(AD618=1,D618="Military",H618&lt;&gt;"Not given")=TRUE,IF(SUMIFS(P:P,A:A,A618)&gt;0,ABS((SUMIFS(P:P,A:A,A618)/VLOOKUP("USD",'Exchange Rates'!B:C,2,0)))/S618,"."),".")</f>
        <v>.</v>
      </c>
      <c r="AZ618" s="182" t="str">
        <f>IF(AND(AD618=1,D618="Military",H618&lt;&gt;"Not given")=TRUE,IF(SUMIFS(P:P,A:A,A618)&gt;0,IF((ABS((SUMIFS(P:P,A:A,A618)/VLOOKUP("USD",'Exchange Rates'!B:C,2,0)))/S618)&gt;1,(SUMIFS(P:P,A:A,A618)-S618)/S618,(S618-SUMIFS(P:P,A:A,A618))/SUMIFS(P:P,A:A,A618)),"."),".")</f>
        <v>.</v>
      </c>
      <c r="BA618" s="182"/>
      <c r="BB618" s="182"/>
      <c r="BC618" s="182"/>
      <c r="BD618" s="182"/>
      <c r="BE618" s="182"/>
      <c r="BF618" s="182"/>
      <c r="BG618" s="182"/>
      <c r="BH618" s="182"/>
      <c r="BI618" s="182"/>
      <c r="BJ618" s="182"/>
      <c r="BK618" s="182"/>
      <c r="BL618" s="182"/>
      <c r="BM618" s="182"/>
      <c r="BN618" s="182"/>
      <c r="BO618" s="182"/>
      <c r="BP618" s="182"/>
      <c r="BQ618" s="182"/>
      <c r="BR618" s="182"/>
      <c r="BS618" s="182"/>
    </row>
    <row r="619" spans="1:71" ht="15.6" customHeight="1" x14ac:dyDescent="0.3">
      <c r="A619" s="5" t="s">
        <v>1867</v>
      </c>
      <c r="B619" s="5" t="s">
        <v>1861</v>
      </c>
      <c r="C619" s="174">
        <v>44649</v>
      </c>
      <c r="D619" s="5" t="s">
        <v>256</v>
      </c>
      <c r="E619" s="5" t="s">
        <v>267</v>
      </c>
      <c r="F619" s="144" t="s">
        <v>1868</v>
      </c>
      <c r="G619" s="15" t="s">
        <v>364</v>
      </c>
      <c r="H619" s="176">
        <v>167417</v>
      </c>
      <c r="I619" s="17" t="s">
        <v>1871</v>
      </c>
      <c r="J619" s="113" t="str">
        <f>VLOOKUP($I619,'Price List, Weapons &amp; Items'!B:C,2,0)</f>
        <v>Humanitarian</v>
      </c>
      <c r="K619" s="113" t="str">
        <f>IF(I619=".",I619,VLOOKUP($I619,'Price List, Weapons &amp; Items'!B:D,3,0))</f>
        <v>Humanitarian</v>
      </c>
      <c r="L619" s="177">
        <f>VLOOKUP(I619,'Price List, Weapons &amp; Items'!B:E,4,0)</f>
        <v>0</v>
      </c>
      <c r="M619" s="542">
        <v>200</v>
      </c>
      <c r="N619" s="542">
        <v>200</v>
      </c>
      <c r="O619" s="543">
        <f>VLOOKUP($I619,'Price List, Weapons &amp; Items'!B:G,6,0)</f>
        <v>31.54</v>
      </c>
      <c r="P619" s="176">
        <f t="shared" si="114"/>
        <v>6308</v>
      </c>
      <c r="Q619" s="176">
        <f t="shared" si="115"/>
        <v>6308</v>
      </c>
      <c r="R619" s="176" t="str">
        <f t="shared" si="126"/>
        <v/>
      </c>
      <c r="S619" s="176" t="str">
        <f>IF(AND(AD619=1,R619&lt;&gt;".")=TRUE,R619/VLOOKUP(G619,'Exchange Rates'!B:C,2,0),IF(R619=".",".",""))</f>
        <v/>
      </c>
      <c r="T619" s="176" t="str">
        <f>IF(AD619=1,IF(AF619="Value is not given at all",".",IF(AF619="Value is given by the source",S619,IF(AF619="Value is calculated with prices",(IF(SUMIFS(Q:Q,A:A,A619)&gt;0,SUMIFS(Q:Q,A:A,A619),"."))/VLOOKUP("USD",'Exchange Rates'!B:C,2,0),"Error with coding"))),"")</f>
        <v/>
      </c>
      <c r="U619" s="15" t="s">
        <v>261</v>
      </c>
      <c r="V619" s="547" t="s">
        <v>1870</v>
      </c>
      <c r="W619" s="188" t="s">
        <v>260</v>
      </c>
      <c r="X619" s="188" t="s">
        <v>260</v>
      </c>
      <c r="Y619" s="188" t="s">
        <v>260</v>
      </c>
      <c r="Z619" s="15">
        <v>0</v>
      </c>
      <c r="AA619" s="180">
        <v>0</v>
      </c>
      <c r="AB619" s="184" t="s">
        <v>260</v>
      </c>
      <c r="AC619" s="544" t="str">
        <f>""</f>
        <v/>
      </c>
      <c r="AD619" s="181">
        <v>0</v>
      </c>
      <c r="AE619" s="181" t="s">
        <v>264</v>
      </c>
      <c r="AF619" s="181" t="s">
        <v>265</v>
      </c>
      <c r="AG619" s="181">
        <v>1</v>
      </c>
      <c r="AH619" s="181">
        <v>3</v>
      </c>
      <c r="AI619" s="181">
        <v>0</v>
      </c>
      <c r="AJ619" s="181">
        <f>VLOOKUP($I619,'Price List, Weapons &amp; Items'!B:F,5,0)</f>
        <v>0</v>
      </c>
      <c r="AK619" s="181">
        <f t="shared" si="116"/>
        <v>0</v>
      </c>
      <c r="AL619" s="181">
        <f t="shared" si="117"/>
        <v>0</v>
      </c>
      <c r="AM619" s="181">
        <f t="shared" si="118"/>
        <v>0</v>
      </c>
      <c r="AN619" s="180" t="str">
        <f>VLOOKUP($I619,'Price List, Weapons &amp; Items'!B:L,COLUMN('Price List, Weapons &amp; Items'!$J$11)-1,0)</f>
        <v>Government information</v>
      </c>
      <c r="AO619" s="180" t="str">
        <f>IF(I619=".",".",VLOOKUP($I619,'Price List, Weapons &amp; Items'!B:J,3,0))</f>
        <v>Humanitarian</v>
      </c>
      <c r="AP619" s="545" t="str">
        <f t="shared" ca="1" si="127"/>
        <v/>
      </c>
      <c r="AQ619" s="180">
        <f>VLOOKUP($I619,'Price List, Weapons &amp; Items'!B:L,COLUMN('Price List, Weapons &amp; Items'!$L$11)-1,0)</f>
        <v>0</v>
      </c>
      <c r="AR619" s="180">
        <f t="shared" si="119"/>
        <v>1</v>
      </c>
      <c r="AS619" s="180">
        <f t="shared" si="120"/>
        <v>0</v>
      </c>
      <c r="AT619" s="180">
        <f t="shared" si="121"/>
        <v>1</v>
      </c>
      <c r="AU619" s="180" t="str">
        <f t="shared" si="122"/>
        <v>.</v>
      </c>
      <c r="AV619" s="180" t="str">
        <f t="shared" si="123"/>
        <v>.</v>
      </c>
      <c r="AW619" s="180">
        <f>IFERROR(VLOOKUP(B619,'Share, Heavy Weapons to Ukraine'!B:J,COLUMN('Share, Heavy Weapons to Ukraine'!C632)-1,0),0)</f>
        <v>0</v>
      </c>
      <c r="AX619" s="180">
        <f>VLOOKUP('Bilateral Assistance, MAIN DATA'!B619,'Country Summary'!B:F,COLUMN('Country Summary'!C635)-1,FALSE)</f>
        <v>1</v>
      </c>
      <c r="AY619" s="180" t="str">
        <f>IF(AND(AD619=1,D619="Military",H619&lt;&gt;"Not given")=TRUE,IF(SUMIFS(P:P,A:A,A619)&gt;0,ABS((SUMIFS(P:P,A:A,A619)/VLOOKUP("USD",'Exchange Rates'!B:C,2,0)))/S619,"."),".")</f>
        <v>.</v>
      </c>
      <c r="AZ619" s="182" t="str">
        <f>IF(AND(AD619=1,D619="Military",H619&lt;&gt;"Not given")=TRUE,IF(SUMIFS(P:P,A:A,A619)&gt;0,IF((ABS((SUMIFS(P:P,A:A,A619)/VLOOKUP("USD",'Exchange Rates'!B:C,2,0)))/S619)&gt;1,(SUMIFS(P:P,A:A,A619)-S619)/S619,(S619-SUMIFS(P:P,A:A,A619))/SUMIFS(P:P,A:A,A619)),"."),".")</f>
        <v>.</v>
      </c>
      <c r="BA619" s="182"/>
      <c r="BB619" s="182"/>
      <c r="BC619" s="182"/>
      <c r="BD619" s="182"/>
      <c r="BE619" s="182"/>
      <c r="BF619" s="182"/>
      <c r="BG619" s="182"/>
      <c r="BH619" s="182"/>
      <c r="BI619" s="182"/>
      <c r="BJ619" s="182"/>
      <c r="BK619" s="182"/>
      <c r="BL619" s="182"/>
      <c r="BM619" s="182"/>
      <c r="BN619" s="182"/>
      <c r="BO619" s="182"/>
      <c r="BP619" s="182"/>
      <c r="BQ619" s="182"/>
      <c r="BR619" s="182"/>
      <c r="BS619" s="182"/>
    </row>
    <row r="620" spans="1:71" ht="15.9" customHeight="1" x14ac:dyDescent="0.3">
      <c r="A620" s="5" t="s">
        <v>1872</v>
      </c>
      <c r="B620" s="5" t="s">
        <v>1861</v>
      </c>
      <c r="C620" s="174">
        <v>44677</v>
      </c>
      <c r="D620" s="5" t="s">
        <v>256</v>
      </c>
      <c r="E620" s="5" t="s">
        <v>257</v>
      </c>
      <c r="F620" s="144" t="s">
        <v>1873</v>
      </c>
      <c r="G620" s="15" t="s">
        <v>364</v>
      </c>
      <c r="H620" s="176">
        <v>29996</v>
      </c>
      <c r="I620" s="17" t="s">
        <v>260</v>
      </c>
      <c r="J620" s="113" t="str">
        <f>VLOOKUP($I620,'Price List, Weapons &amp; Items'!B:C,2,0)</f>
        <v>.</v>
      </c>
      <c r="K620" s="113" t="str">
        <f>IF(I620=".",I620,VLOOKUP($I620,'Price List, Weapons &amp; Items'!B:D,3,0))</f>
        <v>.</v>
      </c>
      <c r="L620" s="177">
        <f>VLOOKUP(I620,'Price List, Weapons &amp; Items'!B:E,4,0)</f>
        <v>0</v>
      </c>
      <c r="M620" s="542" t="s">
        <v>260</v>
      </c>
      <c r="N620" s="542" t="s">
        <v>260</v>
      </c>
      <c r="O620" s="543" t="str">
        <f>VLOOKUP($I620,'Price List, Weapons &amp; Items'!B:G,6,0)</f>
        <v>.</v>
      </c>
      <c r="P620" s="176" t="str">
        <f t="shared" si="114"/>
        <v>.</v>
      </c>
      <c r="Q620" s="176" t="str">
        <f t="shared" si="115"/>
        <v>.</v>
      </c>
      <c r="R620" s="176">
        <f t="shared" si="126"/>
        <v>29996</v>
      </c>
      <c r="S620" s="176">
        <f>IF(AND(AD620=1,R620&lt;&gt;".")=TRUE,R620/VLOOKUP(G620,'Exchange Rates'!B:C,2,0),IF(R620=".",".",""))</f>
        <v>29996</v>
      </c>
      <c r="T620" s="176" t="str">
        <f>IF(AD620=1,IF(AF620="Value is not given at all",".",IF(AF620="Value is given by the source",S620,IF(AF620="Value is calculated with prices",(IF(SUMIFS(Q:Q,A:A,A620)&gt;0,SUMIFS(Q:Q,A:A,A620),"."))/VLOOKUP("USD",'Exchange Rates'!B:C,2,0),"Error with coding"))),"")</f>
        <v>.</v>
      </c>
      <c r="U620" s="15" t="s">
        <v>261</v>
      </c>
      <c r="V620" s="547" t="s">
        <v>1874</v>
      </c>
      <c r="W620" s="569" t="s">
        <v>1866</v>
      </c>
      <c r="X620" s="188" t="s">
        <v>260</v>
      </c>
      <c r="Y620" s="188" t="s">
        <v>260</v>
      </c>
      <c r="Z620" s="15">
        <v>0</v>
      </c>
      <c r="AA620" s="199">
        <v>1</v>
      </c>
      <c r="AB620" s="184" t="s">
        <v>260</v>
      </c>
      <c r="AC620" s="544" t="str">
        <f>""</f>
        <v/>
      </c>
      <c r="AD620" s="181">
        <v>1</v>
      </c>
      <c r="AE620" s="181" t="s">
        <v>264</v>
      </c>
      <c r="AF620" s="181" t="s">
        <v>265</v>
      </c>
      <c r="AG620" s="181">
        <v>1</v>
      </c>
      <c r="AH620" s="181">
        <v>4</v>
      </c>
      <c r="AI620" s="181">
        <v>0</v>
      </c>
      <c r="AJ620" s="181">
        <f>VLOOKUP($I620,'Price List, Weapons &amp; Items'!B:F,5,0)</f>
        <v>0</v>
      </c>
      <c r="AK620" s="181">
        <f t="shared" si="116"/>
        <v>0</v>
      </c>
      <c r="AL620" s="181">
        <f t="shared" si="117"/>
        <v>0</v>
      </c>
      <c r="AM620" s="181">
        <f t="shared" si="118"/>
        <v>0</v>
      </c>
      <c r="AN620" s="180" t="str">
        <f>VLOOKUP($I620,'Price List, Weapons &amp; Items'!B:L,COLUMN('Price List, Weapons &amp; Items'!$J$11)-1,0)</f>
        <v>.</v>
      </c>
      <c r="AO620" s="180" t="str">
        <f>IF(I620=".",".",VLOOKUP($I620,'Price List, Weapons &amp; Items'!B:J,3,0))</f>
        <v>.</v>
      </c>
      <c r="AP620" s="545" t="e">
        <f t="shared" ca="1" si="127"/>
        <v>#NAME?</v>
      </c>
      <c r="AQ620" s="180" t="str">
        <f>VLOOKUP($I620,'Price List, Weapons &amp; Items'!B:L,COLUMN('Price List, Weapons &amp; Items'!$L$11)-1,0)</f>
        <v>no price, 0 count</v>
      </c>
      <c r="AR620" s="180">
        <f t="shared" si="119"/>
        <v>1</v>
      </c>
      <c r="AS620" s="180">
        <f t="shared" si="120"/>
        <v>0</v>
      </c>
      <c r="AT620" s="180">
        <f t="shared" si="121"/>
        <v>1</v>
      </c>
      <c r="AU620" s="180" t="str">
        <f t="shared" si="122"/>
        <v>.</v>
      </c>
      <c r="AV620" s="180" t="str">
        <f t="shared" si="123"/>
        <v>.</v>
      </c>
      <c r="AW620" s="180">
        <f>IFERROR(VLOOKUP(B620,'Share, Heavy Weapons to Ukraine'!B:J,COLUMN('Share, Heavy Weapons to Ukraine'!C633)-1,0),0)</f>
        <v>0</v>
      </c>
      <c r="AX620" s="180">
        <f>VLOOKUP('Bilateral Assistance, MAIN DATA'!B620,'Country Summary'!B:F,COLUMN('Country Summary'!C636)-1,FALSE)</f>
        <v>1</v>
      </c>
      <c r="AY620" s="180" t="str">
        <f>IF(AND(AD620=1,D620="Military",H620&lt;&gt;"Not given")=TRUE,IF(SUMIFS(P:P,A:A,A620)&gt;0,ABS((SUMIFS(P:P,A:A,A620)/VLOOKUP("USD",'Exchange Rates'!B:C,2,0)))/S620,"."),".")</f>
        <v>.</v>
      </c>
      <c r="AZ620" s="182" t="str">
        <f>IF(AND(AD620=1,D620="Military",H620&lt;&gt;"Not given")=TRUE,IF(SUMIFS(P:P,A:A,A620)&gt;0,IF((ABS((SUMIFS(P:P,A:A,A620)/VLOOKUP("USD",'Exchange Rates'!B:C,2,0)))/S620)&gt;1,(SUMIFS(P:P,A:A,A620)-S620)/S620,(S620-SUMIFS(P:P,A:A,A620))/SUMIFS(P:P,A:A,A620)),"."),".")</f>
        <v>.</v>
      </c>
      <c r="BA620" s="182"/>
      <c r="BB620" s="182"/>
      <c r="BC620" s="182"/>
      <c r="BD620" s="182"/>
      <c r="BE620" s="182"/>
      <c r="BF620" s="182"/>
      <c r="BG620" s="182"/>
      <c r="BH620" s="182"/>
      <c r="BI620" s="182"/>
      <c r="BJ620" s="182"/>
      <c r="BK620" s="182"/>
      <c r="BL620" s="182"/>
      <c r="BM620" s="182"/>
      <c r="BN620" s="182"/>
      <c r="BO620" s="182"/>
      <c r="BP620" s="182"/>
      <c r="BQ620" s="182"/>
      <c r="BR620" s="182"/>
      <c r="BS620" s="182"/>
    </row>
    <row r="621" spans="1:71" ht="15.9" customHeight="1" x14ac:dyDescent="0.3">
      <c r="A621" s="5" t="s">
        <v>1875</v>
      </c>
      <c r="B621" s="5" t="s">
        <v>1861</v>
      </c>
      <c r="C621" s="174">
        <v>44688</v>
      </c>
      <c r="D621" s="5" t="s">
        <v>256</v>
      </c>
      <c r="E621" s="5" t="s">
        <v>257</v>
      </c>
      <c r="F621" s="144" t="s">
        <v>1876</v>
      </c>
      <c r="G621" s="15" t="s">
        <v>364</v>
      </c>
      <c r="H621" s="176">
        <v>1400000</v>
      </c>
      <c r="I621" s="17" t="s">
        <v>260</v>
      </c>
      <c r="J621" s="113" t="str">
        <f>VLOOKUP($I621,'Price List, Weapons &amp; Items'!B:C,2,0)</f>
        <v>.</v>
      </c>
      <c r="K621" s="113" t="str">
        <f>IF(I621=".",I621,VLOOKUP($I621,'Price List, Weapons &amp; Items'!B:D,3,0))</f>
        <v>.</v>
      </c>
      <c r="L621" s="177">
        <f>VLOOKUP(I621,'Price List, Weapons &amp; Items'!B:E,4,0)</f>
        <v>0</v>
      </c>
      <c r="M621" s="542" t="s">
        <v>260</v>
      </c>
      <c r="N621" s="542" t="s">
        <v>260</v>
      </c>
      <c r="O621" s="543" t="str">
        <f>VLOOKUP($I621,'Price List, Weapons &amp; Items'!B:G,6,0)</f>
        <v>.</v>
      </c>
      <c r="P621" s="176" t="str">
        <f t="shared" si="114"/>
        <v>.</v>
      </c>
      <c r="Q621" s="176" t="str">
        <f t="shared" si="115"/>
        <v>.</v>
      </c>
      <c r="R621" s="176">
        <f t="shared" si="126"/>
        <v>1400000</v>
      </c>
      <c r="S621" s="176">
        <f>IF(AND(AD621=1,R621&lt;&gt;".")=TRUE,R621/VLOOKUP(G621,'Exchange Rates'!B:C,2,0),IF(R621=".",".",""))</f>
        <v>1400000</v>
      </c>
      <c r="T621" s="176" t="str">
        <f>IF(AD621=1,IF(AF621="Value is not given at all",".",IF(AF621="Value is given by the source",S621,IF(AF621="Value is calculated with prices",(IF(SUMIFS(Q:Q,A:A,A621)&gt;0,SUMIFS(Q:Q,A:A,A621),"."))/VLOOKUP("USD",'Exchange Rates'!B:C,2,0),"Error with coding"))),"")</f>
        <v>.</v>
      </c>
      <c r="U621" s="15" t="s">
        <v>261</v>
      </c>
      <c r="V621" s="547" t="s">
        <v>1877</v>
      </c>
      <c r="W621" s="569" t="s">
        <v>1866</v>
      </c>
      <c r="X621" s="188" t="s">
        <v>260</v>
      </c>
      <c r="Y621" s="188" t="s">
        <v>260</v>
      </c>
      <c r="Z621" s="15">
        <v>0</v>
      </c>
      <c r="AA621" s="199">
        <v>1</v>
      </c>
      <c r="AB621" s="184" t="s">
        <v>260</v>
      </c>
      <c r="AC621" s="544" t="str">
        <f>""</f>
        <v/>
      </c>
      <c r="AD621" s="181">
        <v>1</v>
      </c>
      <c r="AE621" s="181" t="s">
        <v>264</v>
      </c>
      <c r="AF621" s="181" t="s">
        <v>265</v>
      </c>
      <c r="AG621" s="181">
        <v>1</v>
      </c>
      <c r="AH621" s="181">
        <v>5</v>
      </c>
      <c r="AI621" s="181">
        <v>0</v>
      </c>
      <c r="AJ621" s="181">
        <f>VLOOKUP($I621,'Price List, Weapons &amp; Items'!B:F,5,0)</f>
        <v>0</v>
      </c>
      <c r="AK621" s="181">
        <f t="shared" si="116"/>
        <v>0</v>
      </c>
      <c r="AL621" s="181">
        <f t="shared" si="117"/>
        <v>0</v>
      </c>
      <c r="AM621" s="181">
        <f t="shared" si="118"/>
        <v>0</v>
      </c>
      <c r="AN621" s="180" t="str">
        <f>VLOOKUP($I621,'Price List, Weapons &amp; Items'!B:L,COLUMN('Price List, Weapons &amp; Items'!$J$11)-1,0)</f>
        <v>.</v>
      </c>
      <c r="AO621" s="180" t="str">
        <f>IF(I621=".",".",VLOOKUP($I621,'Price List, Weapons &amp; Items'!B:J,3,0))</f>
        <v>.</v>
      </c>
      <c r="AP621" s="545" t="e">
        <f t="shared" ca="1" si="127"/>
        <v>#NAME?</v>
      </c>
      <c r="AQ621" s="180" t="str">
        <f>VLOOKUP($I621,'Price List, Weapons &amp; Items'!B:L,COLUMN('Price List, Weapons &amp; Items'!$L$11)-1,0)</f>
        <v>no price, 0 count</v>
      </c>
      <c r="AR621" s="180">
        <f t="shared" si="119"/>
        <v>1</v>
      </c>
      <c r="AS621" s="180">
        <f t="shared" si="120"/>
        <v>0</v>
      </c>
      <c r="AT621" s="180">
        <f t="shared" si="121"/>
        <v>1</v>
      </c>
      <c r="AU621" s="180" t="str">
        <f t="shared" si="122"/>
        <v>.</v>
      </c>
      <c r="AV621" s="180" t="str">
        <f t="shared" si="123"/>
        <v>.</v>
      </c>
      <c r="AW621" s="180">
        <f>IFERROR(VLOOKUP(B621,'Share, Heavy Weapons to Ukraine'!B:J,COLUMN('Share, Heavy Weapons to Ukraine'!C634)-1,0),0)</f>
        <v>0</v>
      </c>
      <c r="AX621" s="180">
        <f>VLOOKUP('Bilateral Assistance, MAIN DATA'!B621,'Country Summary'!B:F,COLUMN('Country Summary'!C637)-1,FALSE)</f>
        <v>1</v>
      </c>
      <c r="AY621" s="180" t="str">
        <f>IF(AND(AD621=1,D621="Military",H621&lt;&gt;"Not given")=TRUE,IF(SUMIFS(P:P,A:A,A621)&gt;0,ABS((SUMIFS(P:P,A:A,A621)/VLOOKUP("USD",'Exchange Rates'!B:C,2,0)))/S621,"."),".")</f>
        <v>.</v>
      </c>
      <c r="AZ621" s="182" t="str">
        <f>IF(AND(AD621=1,D621="Military",H621&lt;&gt;"Not given")=TRUE,IF(SUMIFS(P:P,A:A,A621)&gt;0,IF((ABS((SUMIFS(P:P,A:A,A621)/VLOOKUP("USD",'Exchange Rates'!B:C,2,0)))/S621)&gt;1,(SUMIFS(P:P,A:A,A621)-S621)/S621,(S621-SUMIFS(P:P,A:A,A621))/SUMIFS(P:P,A:A,A621)),"."),".")</f>
        <v>.</v>
      </c>
      <c r="BA621" s="182"/>
      <c r="BB621" s="182"/>
      <c r="BC621" s="182"/>
      <c r="BD621" s="182"/>
      <c r="BE621" s="182"/>
      <c r="BF621" s="182"/>
      <c r="BG621" s="182"/>
      <c r="BH621" s="182"/>
      <c r="BI621" s="182"/>
      <c r="BJ621" s="182"/>
      <c r="BK621" s="182"/>
      <c r="BL621" s="182"/>
      <c r="BM621" s="182"/>
      <c r="BN621" s="182"/>
      <c r="BO621" s="182"/>
      <c r="BP621" s="182"/>
      <c r="BQ621" s="182"/>
      <c r="BR621" s="182"/>
      <c r="BS621" s="182"/>
    </row>
    <row r="622" spans="1:71" ht="15.9" customHeight="1" x14ac:dyDescent="0.3">
      <c r="A622" s="5" t="s">
        <v>1878</v>
      </c>
      <c r="B622" s="5" t="s">
        <v>1861</v>
      </c>
      <c r="C622" s="174">
        <v>44688</v>
      </c>
      <c r="D622" s="5" t="s">
        <v>256</v>
      </c>
      <c r="E622" s="5" t="s">
        <v>554</v>
      </c>
      <c r="F622" s="144" t="s">
        <v>1879</v>
      </c>
      <c r="G622" s="15" t="s">
        <v>364</v>
      </c>
      <c r="H622" s="176">
        <v>24000</v>
      </c>
      <c r="I622" s="17" t="s">
        <v>260</v>
      </c>
      <c r="J622" s="113" t="str">
        <f>VLOOKUP($I622,'Price List, Weapons &amp; Items'!B:C,2,0)</f>
        <v>.</v>
      </c>
      <c r="K622" s="113" t="str">
        <f>IF(I622=".",I622,VLOOKUP($I622,'Price List, Weapons &amp; Items'!B:D,3,0))</f>
        <v>.</v>
      </c>
      <c r="L622" s="177">
        <f>VLOOKUP(I622,'Price List, Weapons &amp; Items'!B:E,4,0)</f>
        <v>0</v>
      </c>
      <c r="M622" s="542" t="s">
        <v>260</v>
      </c>
      <c r="N622" s="542" t="s">
        <v>260</v>
      </c>
      <c r="O622" s="543" t="str">
        <f>VLOOKUP($I622,'Price List, Weapons &amp; Items'!B:G,6,0)</f>
        <v>.</v>
      </c>
      <c r="P622" s="176" t="str">
        <f t="shared" ref="P622:P685" si="128">IF(TYPE(M622)=1,IF(TYPE(O622)=1,M622*O622,"No price"),".")</f>
        <v>.</v>
      </c>
      <c r="Q622" s="176" t="str">
        <f t="shared" ref="Q622:Q685" si="129">IF(TYPE(N622)=1,IF(TYPE(O622)=1,N622*O622,"No price"),".")</f>
        <v>.</v>
      </c>
      <c r="R622" s="176">
        <f t="shared" si="126"/>
        <v>24000</v>
      </c>
      <c r="S622" s="176">
        <f>IF(AND(AD622=1,R622&lt;&gt;".")=TRUE,R622/VLOOKUP(G622,'Exchange Rates'!B:C,2,0),IF(R622=".",".",""))</f>
        <v>24000</v>
      </c>
      <c r="T622" s="176" t="str">
        <f>IF(AD622=1,IF(AF622="Value is not given at all",".",IF(AF622="Value is given by the source",S622,IF(AF622="Value is calculated with prices",(IF(SUMIFS(Q:Q,A:A,A622)&gt;0,SUMIFS(Q:Q,A:A,A622),"."))/VLOOKUP("USD",'Exchange Rates'!B:C,2,0),"Error with coding"))),"")</f>
        <v>.</v>
      </c>
      <c r="U622" s="15" t="s">
        <v>261</v>
      </c>
      <c r="V622" s="547" t="s">
        <v>1880</v>
      </c>
      <c r="W622" s="569" t="s">
        <v>1866</v>
      </c>
      <c r="X622" s="188" t="s">
        <v>260</v>
      </c>
      <c r="Y622" s="188" t="s">
        <v>260</v>
      </c>
      <c r="Z622" s="15">
        <v>0</v>
      </c>
      <c r="AA622" s="199">
        <v>1</v>
      </c>
      <c r="AB622" s="184" t="s">
        <v>260</v>
      </c>
      <c r="AC622" s="544" t="str">
        <f>""</f>
        <v/>
      </c>
      <c r="AD622" s="181">
        <v>1</v>
      </c>
      <c r="AE622" s="181" t="s">
        <v>264</v>
      </c>
      <c r="AF622" s="181" t="s">
        <v>265</v>
      </c>
      <c r="AG622" s="181">
        <v>1</v>
      </c>
      <c r="AH622" s="181">
        <v>5</v>
      </c>
      <c r="AI622" s="181">
        <v>0</v>
      </c>
      <c r="AJ622" s="181">
        <f>VLOOKUP($I622,'Price List, Weapons &amp; Items'!B:F,5,0)</f>
        <v>0</v>
      </c>
      <c r="AK622" s="181">
        <f t="shared" ref="AK622:AK685" si="130">IF(AND(AJ622=1,M622="undisclosed")=TRUE,1,0)</f>
        <v>0</v>
      </c>
      <c r="AL622" s="181">
        <f t="shared" ref="AL622:AL685" si="131">IF(AND(AJ622=1,N622="undisclosed")=TRUE,1,0)</f>
        <v>0</v>
      </c>
      <c r="AM622" s="181">
        <f t="shared" ref="AM622:AM685" si="132">IFERROR(IF(SEARCH("ammuni",I622,1)&gt;0,1,0),0)</f>
        <v>0</v>
      </c>
      <c r="AN622" s="180" t="str">
        <f>VLOOKUP($I622,'Price List, Weapons &amp; Items'!B:L,COLUMN('Price List, Weapons &amp; Items'!$J$11)-1,0)</f>
        <v>.</v>
      </c>
      <c r="AO622" s="180" t="str">
        <f>IF(I622=".",".",VLOOKUP($I622,'Price List, Weapons &amp; Items'!B:J,3,0))</f>
        <v>.</v>
      </c>
      <c r="AP622" s="545" t="e">
        <f t="shared" ca="1" si="127"/>
        <v>#NAME?</v>
      </c>
      <c r="AQ622" s="180" t="str">
        <f>VLOOKUP($I622,'Price List, Weapons &amp; Items'!B:L,COLUMN('Price List, Weapons &amp; Items'!$L$11)-1,0)</f>
        <v>no price, 0 count</v>
      </c>
      <c r="AR622" s="180">
        <f t="shared" ref="AR622:AR685" si="133">IF(U622="Yes",1,0)</f>
        <v>1</v>
      </c>
      <c r="AS622" s="180">
        <f t="shared" ref="AS622:AS685" si="134">IF(D622="Military",IF(OR(IFERROR(SEARCH("equipment",E622,1),0)&gt;0,IFERROR(SEARCH("weapons",E622,1),0)&gt;0),1,0),0)</f>
        <v>0</v>
      </c>
      <c r="AT622" s="180">
        <f t="shared" si="121"/>
        <v>1</v>
      </c>
      <c r="AU622" s="180" t="str">
        <f t="shared" si="122"/>
        <v>.</v>
      </c>
      <c r="AV622" s="180" t="str">
        <f t="shared" si="123"/>
        <v>.</v>
      </c>
      <c r="AW622" s="180">
        <f>IFERROR(VLOOKUP(B622,'Share, Heavy Weapons to Ukraine'!B:J,COLUMN('Share, Heavy Weapons to Ukraine'!C635)-1,0),0)</f>
        <v>0</v>
      </c>
      <c r="AX622" s="180">
        <f>VLOOKUP('Bilateral Assistance, MAIN DATA'!B622,'Country Summary'!B:F,COLUMN('Country Summary'!C638)-1,FALSE)</f>
        <v>1</v>
      </c>
      <c r="AY622" s="180" t="str">
        <f>IF(AND(AD622=1,D622="Military",H622&lt;&gt;"Not given")=TRUE,IF(SUMIFS(P:P,A:A,A622)&gt;0,ABS((SUMIFS(P:P,A:A,A622)/VLOOKUP("USD",'Exchange Rates'!B:C,2,0)))/S622,"."),".")</f>
        <v>.</v>
      </c>
      <c r="AZ622" s="182" t="str">
        <f>IF(AND(AD622=1,D622="Military",H622&lt;&gt;"Not given")=TRUE,IF(SUMIFS(P:P,A:A,A622)&gt;0,IF((ABS((SUMIFS(P:P,A:A,A622)/VLOOKUP("USD",'Exchange Rates'!B:C,2,0)))/S622)&gt;1,(SUMIFS(P:P,A:A,A622)-S622)/S622,(S622-SUMIFS(P:P,A:A,A622))/SUMIFS(P:P,A:A,A622)),"."),".")</f>
        <v>.</v>
      </c>
      <c r="BA622" s="182"/>
      <c r="BB622" s="182"/>
      <c r="BC622" s="182"/>
      <c r="BD622" s="182"/>
      <c r="BE622" s="182"/>
      <c r="BF622" s="182"/>
      <c r="BG622" s="182"/>
      <c r="BH622" s="182"/>
      <c r="BI622" s="182"/>
      <c r="BJ622" s="182"/>
      <c r="BK622" s="182"/>
      <c r="BL622" s="182"/>
      <c r="BM622" s="182"/>
      <c r="BN622" s="182"/>
      <c r="BO622" s="182"/>
      <c r="BP622" s="182"/>
      <c r="BQ622" s="182"/>
      <c r="BR622" s="182"/>
      <c r="BS622" s="182"/>
    </row>
    <row r="623" spans="1:71" ht="15.9" customHeight="1" x14ac:dyDescent="0.3">
      <c r="A623" s="5" t="s">
        <v>1881</v>
      </c>
      <c r="B623" s="5" t="s">
        <v>1861</v>
      </c>
      <c r="C623" s="174">
        <v>44743</v>
      </c>
      <c r="D623" s="5" t="s">
        <v>256</v>
      </c>
      <c r="E623" s="5" t="s">
        <v>362</v>
      </c>
      <c r="F623" s="144" t="s">
        <v>1882</v>
      </c>
      <c r="G623" s="15" t="s">
        <v>364</v>
      </c>
      <c r="H623" s="176">
        <v>356000</v>
      </c>
      <c r="I623" s="17" t="s">
        <v>260</v>
      </c>
      <c r="J623" s="113" t="str">
        <f>VLOOKUP($I623,'Price List, Weapons &amp; Items'!B:C,2,0)</f>
        <v>.</v>
      </c>
      <c r="K623" s="113" t="str">
        <f>IF(I623=".",I623,VLOOKUP($I623,'Price List, Weapons &amp; Items'!B:D,3,0))</f>
        <v>.</v>
      </c>
      <c r="L623" s="177">
        <f>VLOOKUP(I623,'Price List, Weapons &amp; Items'!B:E,4,0)</f>
        <v>0</v>
      </c>
      <c r="M623" s="542" t="s">
        <v>260</v>
      </c>
      <c r="N623" s="542" t="s">
        <v>260</v>
      </c>
      <c r="O623" s="543" t="str">
        <f>VLOOKUP($I623,'Price List, Weapons &amp; Items'!B:G,6,0)</f>
        <v>.</v>
      </c>
      <c r="P623" s="176" t="str">
        <f t="shared" si="128"/>
        <v>.</v>
      </c>
      <c r="Q623" s="176" t="str">
        <f t="shared" si="129"/>
        <v>.</v>
      </c>
      <c r="R623" s="176">
        <f t="shared" si="126"/>
        <v>356000</v>
      </c>
      <c r="S623" s="176">
        <f>IF(AND(AD623=1,R623&lt;&gt;".")=TRUE,R623/VLOOKUP(G623,'Exchange Rates'!B:C,2,0),IF(R623=".",".",""))</f>
        <v>356000</v>
      </c>
      <c r="T623" s="176" t="str">
        <f>IF(AD623=1,IF(AF623="Value is not given at all",".",IF(AF623="Value is given by the source",S623,IF(AF623="Value is calculated with prices",(IF(SUMIFS(Q:Q,A:A,A623)&gt;0,SUMIFS(Q:Q,A:A,A623),"."))/VLOOKUP("USD",'Exchange Rates'!B:C,2,0),"Error with coding"))),"")</f>
        <v>.</v>
      </c>
      <c r="U623" s="15" t="s">
        <v>261</v>
      </c>
      <c r="V623" s="547" t="s">
        <v>1883</v>
      </c>
      <c r="W623" s="569" t="s">
        <v>1866</v>
      </c>
      <c r="X623" s="188" t="s">
        <v>260</v>
      </c>
      <c r="Y623" s="188" t="s">
        <v>260</v>
      </c>
      <c r="Z623" s="15">
        <v>0</v>
      </c>
      <c r="AA623" s="199">
        <v>1</v>
      </c>
      <c r="AB623" s="184" t="s">
        <v>260</v>
      </c>
      <c r="AC623" s="544" t="str">
        <f>""</f>
        <v/>
      </c>
      <c r="AD623" s="181">
        <v>1</v>
      </c>
      <c r="AE623" s="181" t="s">
        <v>264</v>
      </c>
      <c r="AF623" s="181" t="s">
        <v>265</v>
      </c>
      <c r="AG623" s="181">
        <v>1</v>
      </c>
      <c r="AH623" s="181">
        <v>7</v>
      </c>
      <c r="AI623" s="181">
        <v>0</v>
      </c>
      <c r="AJ623" s="181">
        <f>VLOOKUP($I623,'Price List, Weapons &amp; Items'!B:F,5,0)</f>
        <v>0</v>
      </c>
      <c r="AK623" s="181">
        <f t="shared" si="130"/>
        <v>0</v>
      </c>
      <c r="AL623" s="181">
        <f t="shared" si="131"/>
        <v>0</v>
      </c>
      <c r="AM623" s="181">
        <f t="shared" si="132"/>
        <v>0</v>
      </c>
      <c r="AN623" s="180" t="str">
        <f>VLOOKUP($I623,'Price List, Weapons &amp; Items'!B:L,COLUMN('Price List, Weapons &amp; Items'!$J$11)-1,0)</f>
        <v>.</v>
      </c>
      <c r="AO623" s="180" t="str">
        <f>IF(I623=".",".",VLOOKUP($I623,'Price List, Weapons &amp; Items'!B:J,3,0))</f>
        <v>.</v>
      </c>
      <c r="AP623" s="545" t="e">
        <f t="shared" ca="1" si="127"/>
        <v>#NAME?</v>
      </c>
      <c r="AQ623" s="180" t="str">
        <f>VLOOKUP($I623,'Price List, Weapons &amp; Items'!B:L,COLUMN('Price List, Weapons &amp; Items'!$L$11)-1,0)</f>
        <v>no price, 0 count</v>
      </c>
      <c r="AR623" s="180">
        <f t="shared" si="133"/>
        <v>1</v>
      </c>
      <c r="AS623" s="180">
        <f t="shared" si="134"/>
        <v>0</v>
      </c>
      <c r="AT623" s="180">
        <f t="shared" si="121"/>
        <v>1</v>
      </c>
      <c r="AU623" s="180" t="str">
        <f t="shared" si="122"/>
        <v>.</v>
      </c>
      <c r="AV623" s="180" t="str">
        <f t="shared" si="123"/>
        <v>.</v>
      </c>
      <c r="AW623" s="180">
        <f>IFERROR(VLOOKUP(B623,'Share, Heavy Weapons to Ukraine'!B:J,COLUMN('Share, Heavy Weapons to Ukraine'!C636)-1,0),0)</f>
        <v>0</v>
      </c>
      <c r="AX623" s="180">
        <f>VLOOKUP('Bilateral Assistance, MAIN DATA'!B623,'Country Summary'!B:F,COLUMN('Country Summary'!C639)-1,FALSE)</f>
        <v>1</v>
      </c>
      <c r="AY623" s="180" t="str">
        <f>IF(AND(AD623=1,D623="Military",H623&lt;&gt;"Not given")=TRUE,IF(SUMIFS(P:P,A:A,A623)&gt;0,ABS((SUMIFS(P:P,A:A,A623)/VLOOKUP("USD",'Exchange Rates'!B:C,2,0)))/S623,"."),".")</f>
        <v>.</v>
      </c>
      <c r="AZ623" s="182" t="str">
        <f>IF(AND(AD623=1,D623="Military",H623&lt;&gt;"Not given")=TRUE,IF(SUMIFS(P:P,A:A,A623)&gt;0,IF((ABS((SUMIFS(P:P,A:A,A623)/VLOOKUP("USD",'Exchange Rates'!B:C,2,0)))/S623)&gt;1,(SUMIFS(P:P,A:A,A623)-S623)/S623,(S623-SUMIFS(P:P,A:A,A623))/SUMIFS(P:P,A:A,A623)),"."),".")</f>
        <v>.</v>
      </c>
      <c r="BA623" s="182"/>
      <c r="BB623" s="182"/>
      <c r="BC623" s="182"/>
      <c r="BD623" s="182"/>
      <c r="BE623" s="182"/>
      <c r="BF623" s="182"/>
      <c r="BG623" s="182"/>
      <c r="BH623" s="182"/>
      <c r="BI623" s="182"/>
      <c r="BJ623" s="182"/>
      <c r="BK623" s="182"/>
      <c r="BL623" s="182"/>
      <c r="BM623" s="182"/>
      <c r="BN623" s="182"/>
      <c r="BO623" s="182"/>
      <c r="BP623" s="182"/>
      <c r="BQ623" s="182"/>
      <c r="BR623" s="182"/>
      <c r="BS623" s="182"/>
    </row>
    <row r="624" spans="1:71" ht="15.9" customHeight="1" x14ac:dyDescent="0.3">
      <c r="A624" s="5" t="s">
        <v>1884</v>
      </c>
      <c r="B624" s="5" t="s">
        <v>1861</v>
      </c>
      <c r="C624" s="174">
        <v>44894</v>
      </c>
      <c r="D624" s="5" t="s">
        <v>256</v>
      </c>
      <c r="E624" s="5" t="s">
        <v>267</v>
      </c>
      <c r="F624" s="144" t="s">
        <v>1885</v>
      </c>
      <c r="G624" s="15" t="s">
        <v>364</v>
      </c>
      <c r="H624" s="176">
        <v>559640</v>
      </c>
      <c r="I624" s="17" t="s">
        <v>1457</v>
      </c>
      <c r="J624" s="113" t="str">
        <f>VLOOKUP($I624,'Price List, Weapons &amp; Items'!B:C,2,0)</f>
        <v>Military equipment</v>
      </c>
      <c r="K624" s="113" t="str">
        <f>IF(I624=".",I624,VLOOKUP($I624,'Price List, Weapons &amp; Items'!B:D,3,0))</f>
        <v>Military equipment</v>
      </c>
      <c r="L624" s="177">
        <f>VLOOKUP(I624,'Price List, Weapons &amp; Items'!B:E,4,0)</f>
        <v>0</v>
      </c>
      <c r="M624" s="542" t="s">
        <v>270</v>
      </c>
      <c r="N624" s="542" t="s">
        <v>270</v>
      </c>
      <c r="O624" s="543">
        <f>VLOOKUP($I624,'Price List, Weapons &amp; Items'!B:G,6,0)</f>
        <v>22216</v>
      </c>
      <c r="P624" s="176" t="str">
        <f t="shared" si="128"/>
        <v>.</v>
      </c>
      <c r="Q624" s="176" t="str">
        <f t="shared" si="129"/>
        <v>.</v>
      </c>
      <c r="R624" s="176">
        <f t="shared" si="126"/>
        <v>559640</v>
      </c>
      <c r="S624" s="176">
        <f>IF(AND(AD624=1,R624&lt;&gt;".")=TRUE,R624/VLOOKUP(G624,'Exchange Rates'!B:C,2,0),IF(R624=".",".",""))</f>
        <v>559640</v>
      </c>
      <c r="T624" s="176" t="str">
        <f>IF(AD624=1,IF(AF624="Value is not given at all",".",IF(AF624="Value is given by the source",S624,IF(AF624="Value is calculated with prices",(IF(SUMIFS(Q:Q,A:A,A624)&gt;0,SUMIFS(Q:Q,A:A,A624),"."))/VLOOKUP("USD",'Exchange Rates'!B:C,2,0),"Error with coding"))),"")</f>
        <v>.</v>
      </c>
      <c r="U624" s="15" t="s">
        <v>261</v>
      </c>
      <c r="V624" s="547" t="s">
        <v>1886</v>
      </c>
      <c r="W624" s="569" t="s">
        <v>1887</v>
      </c>
      <c r="X624" s="569" t="s">
        <v>1866</v>
      </c>
      <c r="Y624" s="188" t="s">
        <v>260</v>
      </c>
      <c r="Z624" s="15">
        <v>0</v>
      </c>
      <c r="AA624" s="199">
        <v>1</v>
      </c>
      <c r="AB624" s="184" t="s">
        <v>260</v>
      </c>
      <c r="AC624" s="544" t="str">
        <f>""</f>
        <v/>
      </c>
      <c r="AD624" s="181">
        <v>1</v>
      </c>
      <c r="AE624" s="181" t="s">
        <v>264</v>
      </c>
      <c r="AF624" s="181" t="s">
        <v>265</v>
      </c>
      <c r="AG624" s="181">
        <v>1</v>
      </c>
      <c r="AH624" s="181">
        <v>11</v>
      </c>
      <c r="AI624" s="181">
        <v>0</v>
      </c>
      <c r="AJ624" s="181">
        <f>VLOOKUP($I624,'Price List, Weapons &amp; Items'!B:F,5,0)</f>
        <v>0</v>
      </c>
      <c r="AK624" s="181">
        <f t="shared" si="130"/>
        <v>0</v>
      </c>
      <c r="AL624" s="181">
        <f t="shared" si="131"/>
        <v>0</v>
      </c>
      <c r="AM624" s="181">
        <f t="shared" si="132"/>
        <v>0</v>
      </c>
      <c r="AN624" s="180" t="str">
        <f>VLOOKUP($I624,'Price List, Weapons &amp; Items'!B:L,COLUMN('Price List, Weapons &amp; Items'!$J$11)-1,0)</f>
        <v>Government information</v>
      </c>
      <c r="AO624" s="180" t="str">
        <f>IF(I624=".",".",VLOOKUP($I624,'Price List, Weapons &amp; Items'!B:J,3,0))</f>
        <v>Military equipment</v>
      </c>
      <c r="AP624" s="545" t="e">
        <f t="shared" ca="1" si="127"/>
        <v>#NAME?</v>
      </c>
      <c r="AQ624" s="180">
        <f>VLOOKUP($I624,'Price List, Weapons &amp; Items'!B:L,COLUMN('Price List, Weapons &amp; Items'!$L$11)-1,0)</f>
        <v>2</v>
      </c>
      <c r="AR624" s="180">
        <f t="shared" si="133"/>
        <v>1</v>
      </c>
      <c r="AS624" s="180">
        <f t="shared" si="134"/>
        <v>0</v>
      </c>
      <c r="AT624" s="180">
        <f t="shared" si="121"/>
        <v>1</v>
      </c>
      <c r="AU624" s="180" t="str">
        <f t="shared" si="122"/>
        <v>.</v>
      </c>
      <c r="AV624" s="180" t="str">
        <f t="shared" si="123"/>
        <v>.</v>
      </c>
      <c r="AW624" s="180">
        <f>IFERROR(VLOOKUP(B624,'Share, Heavy Weapons to Ukraine'!B:J,COLUMN('Share, Heavy Weapons to Ukraine'!C637)-1,0),0)</f>
        <v>0</v>
      </c>
      <c r="AX624" s="180">
        <f>VLOOKUP('Bilateral Assistance, MAIN DATA'!B624,'Country Summary'!B:F,COLUMN('Country Summary'!C640)-1,FALSE)</f>
        <v>1</v>
      </c>
      <c r="AY624" s="180" t="str">
        <f>IF(AND(AD624=1,D624="Military",H624&lt;&gt;"Not given")=TRUE,IF(SUMIFS(P:P,A:A,A624)&gt;0,ABS((SUMIFS(P:P,A:A,A624)/VLOOKUP("USD",'Exchange Rates'!B:C,2,0)))/S624,"."),".")</f>
        <v>.</v>
      </c>
      <c r="AZ624" s="182" t="str">
        <f>IF(AND(AD624=1,D624="Military",H624&lt;&gt;"Not given")=TRUE,IF(SUMIFS(P:P,A:A,A624)&gt;0,IF((ABS((SUMIFS(P:P,A:A,A624)/VLOOKUP("USD",'Exchange Rates'!B:C,2,0)))/S624)&gt;1,(SUMIFS(P:P,A:A,A624)-S624)/S624,(S624-SUMIFS(P:P,A:A,A624))/SUMIFS(P:P,A:A,A624)),"."),".")</f>
        <v>.</v>
      </c>
      <c r="BA624" s="182"/>
      <c r="BB624" s="182"/>
      <c r="BC624" s="182"/>
      <c r="BD624" s="182"/>
      <c r="BE624" s="182"/>
      <c r="BF624" s="182"/>
      <c r="BG624" s="182"/>
      <c r="BH624" s="182"/>
      <c r="BI624" s="182"/>
      <c r="BJ624" s="182"/>
      <c r="BK624" s="182"/>
      <c r="BL624" s="182"/>
      <c r="BM624" s="182"/>
      <c r="BN624" s="182"/>
      <c r="BO624" s="182"/>
      <c r="BP624" s="182"/>
      <c r="BQ624" s="182"/>
      <c r="BR624" s="182"/>
      <c r="BS624" s="182"/>
    </row>
    <row r="625" spans="1:71" ht="15.9" customHeight="1" x14ac:dyDescent="0.3">
      <c r="A625" s="5" t="s">
        <v>1888</v>
      </c>
      <c r="B625" s="5" t="s">
        <v>1861</v>
      </c>
      <c r="C625" s="174" t="s">
        <v>1889</v>
      </c>
      <c r="D625" s="5" t="s">
        <v>285</v>
      </c>
      <c r="E625" s="5" t="s">
        <v>286</v>
      </c>
      <c r="F625" s="144" t="s">
        <v>1890</v>
      </c>
      <c r="G625" s="15" t="s">
        <v>364</v>
      </c>
      <c r="H625" s="176">
        <v>218800000</v>
      </c>
      <c r="I625" s="155" t="s">
        <v>1891</v>
      </c>
      <c r="J625" s="113" t="str">
        <f>VLOOKUP($I625,'Price List, Weapons &amp; Items'!B:C,2,0)</f>
        <v>Military equipment</v>
      </c>
      <c r="K625" s="113" t="str">
        <f>IF(I625=".",I625,VLOOKUP($I625,'Price List, Weapons &amp; Items'!B:D,3,0))</f>
        <v>Military equipment</v>
      </c>
      <c r="L625" s="177">
        <f>VLOOKUP(I625,'Price List, Weapons &amp; Items'!B:E,4,0)</f>
        <v>0</v>
      </c>
      <c r="M625" s="542" t="s">
        <v>270</v>
      </c>
      <c r="N625" s="542" t="s">
        <v>270</v>
      </c>
      <c r="O625" s="543">
        <f>VLOOKUP($I625,'Price List, Weapons &amp; Items'!B:G,6,0)</f>
        <v>29866200</v>
      </c>
      <c r="P625" s="176" t="str">
        <f t="shared" si="128"/>
        <v>.</v>
      </c>
      <c r="Q625" s="176" t="str">
        <f t="shared" si="129"/>
        <v>.</v>
      </c>
      <c r="R625" s="176">
        <f t="shared" si="126"/>
        <v>218800000</v>
      </c>
      <c r="S625" s="176">
        <f>IF(AND(AD625=1,R625&lt;&gt;".")=TRUE,R625/VLOOKUP(G625,'Exchange Rates'!B:C,2,0),IF(R625=".",".",""))</f>
        <v>218800000</v>
      </c>
      <c r="T625" s="176">
        <f>IF(AD625=1,IF(AF625="Value is not given at all",".",IF(AF625="Value is given by the source",S625,IF(AF625="Value is calculated with prices",(IF(SUMIFS(Q:Q,A:A,A625)&gt;0,SUMIFS(Q:Q,A:A,A625),"."))/VLOOKUP("USD",'Exchange Rates'!B:C,2,0),"Error with coding"))),"")</f>
        <v>218800000</v>
      </c>
      <c r="U625" s="15" t="s">
        <v>261</v>
      </c>
      <c r="V625" s="547" t="s">
        <v>1892</v>
      </c>
      <c r="W625" s="547" t="s">
        <v>1893</v>
      </c>
      <c r="X625" s="547" t="s">
        <v>1863</v>
      </c>
      <c r="Y625" s="547" t="s">
        <v>1894</v>
      </c>
      <c r="Z625" s="15">
        <v>0</v>
      </c>
      <c r="AA625" s="180">
        <v>0</v>
      </c>
      <c r="AB625" s="550" t="s">
        <v>1893</v>
      </c>
      <c r="AC625" s="544" t="str">
        <f>""</f>
        <v/>
      </c>
      <c r="AD625" s="181">
        <v>1</v>
      </c>
      <c r="AE625" s="181" t="s">
        <v>264</v>
      </c>
      <c r="AF625" s="181" t="s">
        <v>264</v>
      </c>
      <c r="AG625" s="181">
        <v>1</v>
      </c>
      <c r="AH625" s="181">
        <v>4</v>
      </c>
      <c r="AI625" s="181">
        <v>0</v>
      </c>
      <c r="AJ625" s="181">
        <f>VLOOKUP($I625,'Price List, Weapons &amp; Items'!B:F,5,0)</f>
        <v>0</v>
      </c>
      <c r="AK625" s="181">
        <f t="shared" si="130"/>
        <v>0</v>
      </c>
      <c r="AL625" s="181">
        <f t="shared" si="131"/>
        <v>0</v>
      </c>
      <c r="AM625" s="181">
        <f t="shared" si="132"/>
        <v>0</v>
      </c>
      <c r="AN625" s="180" t="str">
        <f>VLOOKUP($I625,'Price List, Weapons &amp; Items'!B:L,COLUMN('Price List, Weapons &amp; Items'!$J$11)-1,0)</f>
        <v>Calculated according with the E-Mail from the Ministry of Defence of the Republic of Latvia, since 13% of 220 million EUR went on armament</v>
      </c>
      <c r="AO625" s="180" t="str">
        <f>IF(I625=".",".",VLOOKUP($I625,'Price List, Weapons &amp; Items'!B:J,3,0))</f>
        <v>Military equipment</v>
      </c>
      <c r="AP625" s="545" t="e">
        <f t="shared" ca="1" si="127"/>
        <v>#NAME?</v>
      </c>
      <c r="AQ625" s="180" t="str">
        <f>VLOOKUP($I625,'Price List, Weapons &amp; Items'!B:L,COLUMN('Price List, Weapons &amp; Items'!$L$11)-1,0)</f>
        <v>no price, 0 count</v>
      </c>
      <c r="AR625" s="180">
        <f t="shared" si="133"/>
        <v>1</v>
      </c>
      <c r="AS625" s="180">
        <f t="shared" si="134"/>
        <v>1</v>
      </c>
      <c r="AT625" s="180" t="str">
        <f t="shared" si="121"/>
        <v>Value is not in date format</v>
      </c>
      <c r="AU625" s="180" t="str">
        <f t="shared" si="122"/>
        <v>.</v>
      </c>
      <c r="AV625" s="180" t="str">
        <f t="shared" si="123"/>
        <v>.</v>
      </c>
      <c r="AW625" s="180">
        <f>IFERROR(VLOOKUP(B625,'Share, Heavy Weapons to Ukraine'!B:J,COLUMN('Share, Heavy Weapons to Ukraine'!C638)-1,0),0)</f>
        <v>0</v>
      </c>
      <c r="AX625" s="180">
        <f>VLOOKUP('Bilateral Assistance, MAIN DATA'!B625,'Country Summary'!B:F,COLUMN('Country Summary'!C641)-1,FALSE)</f>
        <v>1</v>
      </c>
      <c r="AY625" s="180" t="str">
        <f>IF(AND(AD625=1,D625="Military",H625&lt;&gt;"Not given")=TRUE,IF(SUMIFS(P:P,A:A,A625)&gt;0,ABS((SUMIFS(P:P,A:A,A625)/VLOOKUP("USD",'Exchange Rates'!B:C,2,0)))/S625,"."),".")</f>
        <v>.</v>
      </c>
      <c r="AZ625" s="182" t="str">
        <f>IF(AND(AD625=1,D625="Military",H625&lt;&gt;"Not given")=TRUE,IF(SUMIFS(P:P,A:A,A625)&gt;0,IF((ABS((SUMIFS(P:P,A:A,A625)/VLOOKUP("USD",'Exchange Rates'!B:C,2,0)))/S625)&gt;1,(SUMIFS(P:P,A:A,A625)-S625)/S625,(S625-SUMIFS(P:P,A:A,A625))/SUMIFS(P:P,A:A,A625)),"."),".")</f>
        <v>.</v>
      </c>
      <c r="BA625" s="182"/>
      <c r="BB625" s="182"/>
      <c r="BC625" s="182"/>
      <c r="BD625" s="182"/>
      <c r="BE625" s="182"/>
      <c r="BF625" s="182"/>
      <c r="BG625" s="182"/>
      <c r="BH625" s="182"/>
      <c r="BI625" s="182"/>
      <c r="BJ625" s="182"/>
      <c r="BK625" s="182"/>
      <c r="BL625" s="182"/>
      <c r="BM625" s="182"/>
      <c r="BN625" s="182"/>
      <c r="BO625" s="182"/>
      <c r="BP625" s="182"/>
      <c r="BQ625" s="182"/>
      <c r="BR625" s="182"/>
      <c r="BS625" s="182"/>
    </row>
    <row r="626" spans="1:71" ht="15.9" customHeight="1" x14ac:dyDescent="0.3">
      <c r="A626" s="5" t="s">
        <v>1888</v>
      </c>
      <c r="B626" s="5" t="s">
        <v>1861</v>
      </c>
      <c r="C626" s="174" t="s">
        <v>1889</v>
      </c>
      <c r="D626" s="5" t="s">
        <v>285</v>
      </c>
      <c r="E626" s="5" t="s">
        <v>286</v>
      </c>
      <c r="F626" s="144" t="s">
        <v>1890</v>
      </c>
      <c r="G626" s="15" t="s">
        <v>364</v>
      </c>
      <c r="H626" s="176">
        <v>218800000</v>
      </c>
      <c r="I626" s="155" t="s">
        <v>1895</v>
      </c>
      <c r="J626" s="113" t="str">
        <f>VLOOKUP($I626,'Price List, Weapons &amp; Items'!B:C,2,0)</f>
        <v>Portable defence system</v>
      </c>
      <c r="K626" s="113" t="str">
        <f>IF(I626=".",I626,VLOOKUP($I626,'Price List, Weapons &amp; Items'!B:D,3,0))</f>
        <v>MANPADS</v>
      </c>
      <c r="L626" s="177">
        <f>VLOOKUP(I626,'Price List, Weapons &amp; Items'!B:E,4,0)</f>
        <v>0</v>
      </c>
      <c r="M626" s="542" t="s">
        <v>270</v>
      </c>
      <c r="N626" s="542" t="s">
        <v>270</v>
      </c>
      <c r="O626" s="543">
        <f>VLOOKUP($I626,'Price List, Weapons &amp; Items'!B:G,6,0)</f>
        <v>128654400.00000001</v>
      </c>
      <c r="P626" s="176" t="str">
        <f t="shared" si="128"/>
        <v>.</v>
      </c>
      <c r="Q626" s="176" t="str">
        <f t="shared" si="129"/>
        <v>.</v>
      </c>
      <c r="R626" s="176" t="str">
        <f t="shared" si="126"/>
        <v/>
      </c>
      <c r="S626" s="176" t="str">
        <f>IF(AND(AD626=1,R626&lt;&gt;".")=TRUE,R626/VLOOKUP(G626,'Exchange Rates'!B:C,2,0),IF(R626=".",".",""))</f>
        <v/>
      </c>
      <c r="T626" s="176" t="str">
        <f>IF(AD626=1,IF(AF626="Value is not given at all",".",IF(AF626="Value is given by the source",S626,IF(AF626="Value is calculated with prices",(IF(SUMIFS(Q:Q,A:A,A626)&gt;0,SUMIFS(Q:Q,A:A,A626),"."))/VLOOKUP("USD",'Exchange Rates'!B:C,2,0),"Error with coding"))),"")</f>
        <v/>
      </c>
      <c r="U626" s="15" t="s">
        <v>261</v>
      </c>
      <c r="V626" s="547" t="s">
        <v>1892</v>
      </c>
      <c r="W626" s="547" t="s">
        <v>1893</v>
      </c>
      <c r="X626" s="547" t="s">
        <v>1863</v>
      </c>
      <c r="Y626" s="547" t="s">
        <v>1894</v>
      </c>
      <c r="Z626" s="15">
        <v>0</v>
      </c>
      <c r="AA626" s="180">
        <v>0</v>
      </c>
      <c r="AB626" s="550" t="s">
        <v>1893</v>
      </c>
      <c r="AC626" s="544" t="str">
        <f>""</f>
        <v/>
      </c>
      <c r="AD626" s="181">
        <v>0</v>
      </c>
      <c r="AE626" s="181" t="s">
        <v>264</v>
      </c>
      <c r="AF626" s="181" t="s">
        <v>264</v>
      </c>
      <c r="AG626" s="181">
        <v>1</v>
      </c>
      <c r="AH626" s="181">
        <v>4</v>
      </c>
      <c r="AI626" s="181">
        <v>0</v>
      </c>
      <c r="AJ626" s="181">
        <f>VLOOKUP($I626,'Price List, Weapons &amp; Items'!B:F,5,0)</f>
        <v>0</v>
      </c>
      <c r="AK626" s="181">
        <f t="shared" si="130"/>
        <v>0</v>
      </c>
      <c r="AL626" s="181">
        <f t="shared" si="131"/>
        <v>0</v>
      </c>
      <c r="AM626" s="181">
        <f t="shared" si="132"/>
        <v>0</v>
      </c>
      <c r="AN626" s="180" t="str">
        <f>VLOOKUP($I626,'Price List, Weapons &amp; Items'!B:L,COLUMN('Price List, Weapons &amp; Items'!$J$11)-1,0)</f>
        <v>.</v>
      </c>
      <c r="AO626" s="180" t="str">
        <f>IF(I626=".",".",VLOOKUP($I626,'Price List, Weapons &amp; Items'!B:J,3,0))</f>
        <v>MANPADS</v>
      </c>
      <c r="AP626" s="545" t="str">
        <f t="shared" ca="1" si="127"/>
        <v/>
      </c>
      <c r="AQ626" s="180" t="str">
        <f>VLOOKUP($I626,'Price List, Weapons &amp; Items'!B:L,COLUMN('Price List, Weapons &amp; Items'!$L$11)-1,0)</f>
        <v>no price, 0 count</v>
      </c>
      <c r="AR626" s="180">
        <f t="shared" si="133"/>
        <v>1</v>
      </c>
      <c r="AS626" s="180">
        <f t="shared" si="134"/>
        <v>1</v>
      </c>
      <c r="AT626" s="180" t="str">
        <f t="shared" si="121"/>
        <v>Value is not in date format</v>
      </c>
      <c r="AU626" s="180" t="str">
        <f t="shared" si="122"/>
        <v>.</v>
      </c>
      <c r="AV626" s="180" t="str">
        <f t="shared" si="123"/>
        <v>.</v>
      </c>
      <c r="AW626" s="180">
        <f>IFERROR(VLOOKUP(B626,'Share, Heavy Weapons to Ukraine'!B:J,COLUMN('Share, Heavy Weapons to Ukraine'!C639)-1,0),0)</f>
        <v>0</v>
      </c>
      <c r="AX626" s="180">
        <f>VLOOKUP('Bilateral Assistance, MAIN DATA'!B626,'Country Summary'!B:F,COLUMN('Country Summary'!C642)-1,FALSE)</f>
        <v>1</v>
      </c>
      <c r="AY626" s="180" t="str">
        <f>IF(AND(AD626=1,D626="Military",H626&lt;&gt;"Not given")=TRUE,IF(SUMIFS(P:P,A:A,A626)&gt;0,ABS((SUMIFS(P:P,A:A,A626)/VLOOKUP("USD",'Exchange Rates'!B:C,2,0)))/S626,"."),".")</f>
        <v>.</v>
      </c>
      <c r="AZ626" s="182" t="str">
        <f>IF(AND(AD626=1,D626="Military",H626&lt;&gt;"Not given")=TRUE,IF(SUMIFS(P:P,A:A,A626)&gt;0,IF((ABS((SUMIFS(P:P,A:A,A626)/VLOOKUP("USD",'Exchange Rates'!B:C,2,0)))/S626)&gt;1,(SUMIFS(P:P,A:A,A626)-S626)/S626,(S626-SUMIFS(P:P,A:A,A626))/SUMIFS(P:P,A:A,A626)),"."),".")</f>
        <v>.</v>
      </c>
      <c r="BA626" s="182"/>
      <c r="BB626" s="182"/>
      <c r="BC626" s="182"/>
      <c r="BD626" s="182"/>
      <c r="BE626" s="182"/>
      <c r="BF626" s="182"/>
      <c r="BG626" s="182"/>
      <c r="BH626" s="182"/>
      <c r="BI626" s="182"/>
      <c r="BJ626" s="182"/>
      <c r="BK626" s="182"/>
      <c r="BL626" s="182"/>
      <c r="BM626" s="182"/>
      <c r="BN626" s="182"/>
      <c r="BO626" s="182"/>
      <c r="BP626" s="182"/>
      <c r="BQ626" s="182"/>
      <c r="BR626" s="182"/>
      <c r="BS626" s="182"/>
    </row>
    <row r="627" spans="1:71" ht="15.9" customHeight="1" x14ac:dyDescent="0.3">
      <c r="A627" s="5" t="s">
        <v>1888</v>
      </c>
      <c r="B627" s="5" t="s">
        <v>1861</v>
      </c>
      <c r="C627" s="174" t="s">
        <v>1889</v>
      </c>
      <c r="D627" s="5" t="s">
        <v>285</v>
      </c>
      <c r="E627" s="5" t="s">
        <v>286</v>
      </c>
      <c r="F627" s="144" t="s">
        <v>1890</v>
      </c>
      <c r="G627" s="15" t="s">
        <v>364</v>
      </c>
      <c r="H627" s="176">
        <v>218800000</v>
      </c>
      <c r="I627" s="155" t="s">
        <v>1896</v>
      </c>
      <c r="J627" s="113" t="str">
        <f>VLOOKUP($I627,'Price List, Weapons &amp; Items'!B:C,2,0)</f>
        <v>Aviation and drones</v>
      </c>
      <c r="K627" s="113" t="str">
        <f>IF(I627=".",I627,VLOOKUP($I627,'Price List, Weapons &amp; Items'!B:D,3,0))</f>
        <v>Drone</v>
      </c>
      <c r="L627" s="177">
        <f>VLOOKUP(I627,'Price List, Weapons &amp; Items'!B:E,4,0)</f>
        <v>0</v>
      </c>
      <c r="M627" s="542" t="s">
        <v>270</v>
      </c>
      <c r="N627" s="542" t="s">
        <v>270</v>
      </c>
      <c r="O627" s="543">
        <f>VLOOKUP($I627,'Price List, Weapons &amp; Items'!B:G,6,0)</f>
        <v>11487000</v>
      </c>
      <c r="P627" s="176" t="str">
        <f t="shared" si="128"/>
        <v>.</v>
      </c>
      <c r="Q627" s="176" t="str">
        <f t="shared" si="129"/>
        <v>.</v>
      </c>
      <c r="R627" s="176" t="str">
        <f t="shared" si="126"/>
        <v/>
      </c>
      <c r="S627" s="176" t="str">
        <f>IF(AND(AD627=1,R627&lt;&gt;".")=TRUE,R627/VLOOKUP(G627,'Exchange Rates'!B:C,2,0),IF(R627=".",".",""))</f>
        <v/>
      </c>
      <c r="T627" s="176" t="str">
        <f>IF(AD627=1,IF(AF627="Value is not given at all",".",IF(AF627="Value is given by the source",S627,IF(AF627="Value is calculated with prices",(IF(SUMIFS(Q:Q,A:A,A627)&gt;0,SUMIFS(Q:Q,A:A,A627),"."))/VLOOKUP("USD",'Exchange Rates'!B:C,2,0),"Error with coding"))),"")</f>
        <v/>
      </c>
      <c r="U627" s="15" t="s">
        <v>261</v>
      </c>
      <c r="V627" s="547" t="s">
        <v>1892</v>
      </c>
      <c r="W627" s="547" t="s">
        <v>1893</v>
      </c>
      <c r="X627" s="547" t="s">
        <v>1863</v>
      </c>
      <c r="Y627" s="547" t="s">
        <v>1894</v>
      </c>
      <c r="Z627" s="15">
        <v>0</v>
      </c>
      <c r="AA627" s="180">
        <v>0</v>
      </c>
      <c r="AB627" s="550" t="s">
        <v>1893</v>
      </c>
      <c r="AC627" s="544" t="str">
        <f>""</f>
        <v/>
      </c>
      <c r="AD627" s="181">
        <v>0</v>
      </c>
      <c r="AE627" s="181" t="s">
        <v>264</v>
      </c>
      <c r="AF627" s="181" t="s">
        <v>264</v>
      </c>
      <c r="AG627" s="181">
        <v>1</v>
      </c>
      <c r="AH627" s="181">
        <v>4</v>
      </c>
      <c r="AI627" s="181">
        <v>0</v>
      </c>
      <c r="AJ627" s="181">
        <f>VLOOKUP($I627,'Price List, Weapons &amp; Items'!B:F,5,0)</f>
        <v>0</v>
      </c>
      <c r="AK627" s="181">
        <f t="shared" si="130"/>
        <v>0</v>
      </c>
      <c r="AL627" s="181">
        <f t="shared" si="131"/>
        <v>0</v>
      </c>
      <c r="AM627" s="181">
        <f t="shared" si="132"/>
        <v>0</v>
      </c>
      <c r="AN627" s="180" t="str">
        <f>VLOOKUP($I627,'Price List, Weapons &amp; Items'!B:L,COLUMN('Price List, Weapons &amp; Items'!$J$11)-1,0)</f>
        <v>.</v>
      </c>
      <c r="AO627" s="180" t="str">
        <f>IF(I627=".",".",VLOOKUP($I627,'Price List, Weapons &amp; Items'!B:J,3,0))</f>
        <v>Drone</v>
      </c>
      <c r="AP627" s="545" t="str">
        <f t="shared" ca="1" si="127"/>
        <v/>
      </c>
      <c r="AQ627" s="180" t="str">
        <f>VLOOKUP($I627,'Price List, Weapons &amp; Items'!B:L,COLUMN('Price List, Weapons &amp; Items'!$L$11)-1,0)</f>
        <v>no price, 0 count</v>
      </c>
      <c r="AR627" s="180">
        <f t="shared" si="133"/>
        <v>1</v>
      </c>
      <c r="AS627" s="180">
        <f t="shared" si="134"/>
        <v>1</v>
      </c>
      <c r="AT627" s="180" t="str">
        <f t="shared" si="121"/>
        <v>Value is not in date format</v>
      </c>
      <c r="AU627" s="180" t="str">
        <f t="shared" si="122"/>
        <v>.</v>
      </c>
      <c r="AV627" s="180" t="str">
        <f t="shared" si="123"/>
        <v>.</v>
      </c>
      <c r="AW627" s="180">
        <f>IFERROR(VLOOKUP(B627,'Share, Heavy Weapons to Ukraine'!B:J,COLUMN('Share, Heavy Weapons to Ukraine'!C640)-1,0),0)</f>
        <v>0</v>
      </c>
      <c r="AX627" s="180">
        <f>VLOOKUP('Bilateral Assistance, MAIN DATA'!B627,'Country Summary'!B:F,COLUMN('Country Summary'!C643)-1,FALSE)</f>
        <v>1</v>
      </c>
      <c r="AY627" s="180" t="str">
        <f>IF(AND(AD627=1,D627="Military",H627&lt;&gt;"Not given")=TRUE,IF(SUMIFS(P:P,A:A,A627)&gt;0,ABS((SUMIFS(P:P,A:A,A627)/VLOOKUP("USD",'Exchange Rates'!B:C,2,0)))/S627,"."),".")</f>
        <v>.</v>
      </c>
      <c r="AZ627" s="182" t="str">
        <f>IF(AND(AD627=1,D627="Military",H627&lt;&gt;"Not given")=TRUE,IF(SUMIFS(P:P,A:A,A627)&gt;0,IF((ABS((SUMIFS(P:P,A:A,A627)/VLOOKUP("USD",'Exchange Rates'!B:C,2,0)))/S627)&gt;1,(SUMIFS(P:P,A:A,A627)-S627)/S627,(S627-SUMIFS(P:P,A:A,A627))/SUMIFS(P:P,A:A,A627)),"."),".")</f>
        <v>.</v>
      </c>
      <c r="BA627" s="182"/>
      <c r="BB627" s="182"/>
      <c r="BC627" s="182"/>
      <c r="BD627" s="182"/>
      <c r="BE627" s="182"/>
      <c r="BF627" s="182"/>
      <c r="BG627" s="182"/>
      <c r="BH627" s="182"/>
      <c r="BI627" s="182"/>
      <c r="BJ627" s="182"/>
      <c r="BK627" s="182"/>
      <c r="BL627" s="182"/>
      <c r="BM627" s="182"/>
      <c r="BN627" s="182"/>
      <c r="BO627" s="182"/>
      <c r="BP627" s="182"/>
      <c r="BQ627" s="182"/>
      <c r="BR627" s="182"/>
      <c r="BS627" s="182"/>
    </row>
    <row r="628" spans="1:71" ht="15.9" customHeight="1" x14ac:dyDescent="0.3">
      <c r="A628" s="5" t="s">
        <v>1888</v>
      </c>
      <c r="B628" s="5" t="s">
        <v>1861</v>
      </c>
      <c r="C628" s="174" t="s">
        <v>1889</v>
      </c>
      <c r="D628" s="5" t="s">
        <v>285</v>
      </c>
      <c r="E628" s="5" t="s">
        <v>286</v>
      </c>
      <c r="F628" s="144" t="s">
        <v>1890</v>
      </c>
      <c r="G628" s="15" t="s">
        <v>364</v>
      </c>
      <c r="H628" s="176">
        <v>218800000</v>
      </c>
      <c r="I628" s="17" t="s">
        <v>1897</v>
      </c>
      <c r="J628" s="113" t="str">
        <f>VLOOKUP($I628,'Price List, Weapons &amp; Items'!B:C,2,0)</f>
        <v>Aviation and drones</v>
      </c>
      <c r="K628" s="113" t="str">
        <f>IF(I628=".",I628,VLOOKUP($I628,'Price List, Weapons &amp; Items'!B:D,3,0))</f>
        <v>spare parts</v>
      </c>
      <c r="L628" s="177">
        <f>VLOOKUP(I628,'Price List, Weapons &amp; Items'!B:E,4,0)</f>
        <v>0</v>
      </c>
      <c r="M628" s="542" t="s">
        <v>270</v>
      </c>
      <c r="N628" s="542" t="s">
        <v>270</v>
      </c>
      <c r="O628" s="543">
        <f>VLOOKUP($I628,'Price List, Weapons &amp; Items'!B:G,6,0)</f>
        <v>55137600</v>
      </c>
      <c r="P628" s="176" t="str">
        <f t="shared" si="128"/>
        <v>.</v>
      </c>
      <c r="Q628" s="176" t="str">
        <f t="shared" si="129"/>
        <v>.</v>
      </c>
      <c r="R628" s="176" t="str">
        <f t="shared" si="126"/>
        <v/>
      </c>
      <c r="S628" s="176" t="str">
        <f>IF(AND(AD628=1,R628&lt;&gt;".")=TRUE,R628/VLOOKUP(G628,'Exchange Rates'!B:C,2,0),IF(R628=".",".",""))</f>
        <v/>
      </c>
      <c r="T628" s="176" t="str">
        <f>IF(AD628=1,IF(AF628="Value is not given at all",".",IF(AF628="Value is given by the source",S628,IF(AF628="Value is calculated with prices",(IF(SUMIFS(Q:Q,A:A,A628)&gt;0,SUMIFS(Q:Q,A:A,A628),"."))/VLOOKUP("USD",'Exchange Rates'!B:C,2,0),"Error with coding"))),"")</f>
        <v/>
      </c>
      <c r="U628" s="15" t="s">
        <v>261</v>
      </c>
      <c r="V628" s="547" t="s">
        <v>1892</v>
      </c>
      <c r="W628" s="547" t="s">
        <v>1893</v>
      </c>
      <c r="X628" s="547" t="s">
        <v>1863</v>
      </c>
      <c r="Y628" s="547" t="s">
        <v>1894</v>
      </c>
      <c r="Z628" s="15">
        <v>0</v>
      </c>
      <c r="AA628" s="180">
        <v>0</v>
      </c>
      <c r="AB628" s="550" t="s">
        <v>1893</v>
      </c>
      <c r="AC628" s="544" t="str">
        <f>""</f>
        <v/>
      </c>
      <c r="AD628" s="181">
        <v>0</v>
      </c>
      <c r="AE628" s="181" t="s">
        <v>264</v>
      </c>
      <c r="AF628" s="181" t="s">
        <v>264</v>
      </c>
      <c r="AG628" s="181">
        <v>1</v>
      </c>
      <c r="AH628" s="181">
        <v>4</v>
      </c>
      <c r="AI628" s="181">
        <v>0</v>
      </c>
      <c r="AJ628" s="181">
        <f>VLOOKUP($I628,'Price List, Weapons &amp; Items'!B:F,5,0)</f>
        <v>0</v>
      </c>
      <c r="AK628" s="181">
        <f t="shared" si="130"/>
        <v>0</v>
      </c>
      <c r="AL628" s="181">
        <f t="shared" si="131"/>
        <v>0</v>
      </c>
      <c r="AM628" s="181">
        <f t="shared" si="132"/>
        <v>0</v>
      </c>
      <c r="AN628" s="180" t="str">
        <f>VLOOKUP($I628,'Price List, Weapons &amp; Items'!B:L,COLUMN('Price List, Weapons &amp; Items'!$J$11)-1,0)</f>
        <v>.</v>
      </c>
      <c r="AO628" s="180" t="str">
        <f>IF(I628=".",".",VLOOKUP($I628,'Price List, Weapons &amp; Items'!B:J,3,0))</f>
        <v>spare parts</v>
      </c>
      <c r="AP628" s="545" t="str">
        <f t="shared" ca="1" si="127"/>
        <v/>
      </c>
      <c r="AQ628" s="180" t="str">
        <f>VLOOKUP($I628,'Price List, Weapons &amp; Items'!B:L,COLUMN('Price List, Weapons &amp; Items'!$L$11)-1,0)</f>
        <v>no price, 0 count</v>
      </c>
      <c r="AR628" s="180">
        <f t="shared" si="133"/>
        <v>1</v>
      </c>
      <c r="AS628" s="180">
        <f t="shared" si="134"/>
        <v>1</v>
      </c>
      <c r="AT628" s="180" t="str">
        <f t="shared" si="121"/>
        <v>Value is not in date format</v>
      </c>
      <c r="AU628" s="180" t="str">
        <f t="shared" si="122"/>
        <v>.</v>
      </c>
      <c r="AV628" s="180" t="str">
        <f t="shared" si="123"/>
        <v>.</v>
      </c>
      <c r="AW628" s="180">
        <f>IFERROR(VLOOKUP(B628,'Share, Heavy Weapons to Ukraine'!B:J,COLUMN('Share, Heavy Weapons to Ukraine'!C641)-1,0),0)</f>
        <v>0</v>
      </c>
      <c r="AX628" s="180">
        <f>VLOOKUP('Bilateral Assistance, MAIN DATA'!B628,'Country Summary'!B:F,COLUMN('Country Summary'!C644)-1,FALSE)</f>
        <v>1</v>
      </c>
      <c r="AY628" s="180" t="str">
        <f>IF(AND(AD628=1,D628="Military",H628&lt;&gt;"Not given")=TRUE,IF(SUMIFS(P:P,A:A,A628)&gt;0,ABS((SUMIFS(P:P,A:A,A628)/VLOOKUP("USD",'Exchange Rates'!B:C,2,0)))/S628,"."),".")</f>
        <v>.</v>
      </c>
      <c r="AZ628" s="182" t="str">
        <f>IF(AND(AD628=1,D628="Military",H628&lt;&gt;"Not given")=TRUE,IF(SUMIFS(P:P,A:A,A628)&gt;0,IF((ABS((SUMIFS(P:P,A:A,A628)/VLOOKUP("USD",'Exchange Rates'!B:C,2,0)))/S628)&gt;1,(SUMIFS(P:P,A:A,A628)-S628)/S628,(S628-SUMIFS(P:P,A:A,A628))/SUMIFS(P:P,A:A,A628)),"."),".")</f>
        <v>.</v>
      </c>
      <c r="BA628" s="182"/>
      <c r="BB628" s="182"/>
      <c r="BC628" s="182"/>
      <c r="BD628" s="182"/>
      <c r="BE628" s="182"/>
      <c r="BF628" s="182"/>
      <c r="BG628" s="182"/>
      <c r="BH628" s="182"/>
      <c r="BI628" s="182"/>
      <c r="BJ628" s="182"/>
      <c r="BK628" s="182"/>
      <c r="BL628" s="182"/>
      <c r="BM628" s="182"/>
      <c r="BN628" s="182"/>
      <c r="BO628" s="182"/>
      <c r="BP628" s="182"/>
      <c r="BQ628" s="182"/>
      <c r="BR628" s="182"/>
      <c r="BS628" s="182"/>
    </row>
    <row r="629" spans="1:71" ht="15.9" customHeight="1" x14ac:dyDescent="0.3">
      <c r="A629" s="5" t="s">
        <v>1888</v>
      </c>
      <c r="B629" s="5" t="s">
        <v>1861</v>
      </c>
      <c r="C629" s="174" t="s">
        <v>1889</v>
      </c>
      <c r="D629" s="5" t="s">
        <v>285</v>
      </c>
      <c r="E629" s="5" t="s">
        <v>286</v>
      </c>
      <c r="F629" s="144" t="s">
        <v>1890</v>
      </c>
      <c r="G629" s="15" t="s">
        <v>364</v>
      </c>
      <c r="H629" s="176">
        <v>218800000</v>
      </c>
      <c r="I629" s="17" t="s">
        <v>1068</v>
      </c>
      <c r="J629" s="113" t="str">
        <f>VLOOKUP($I629,'Price List, Weapons &amp; Items'!B:C,2,0)</f>
        <v>Military equipment</v>
      </c>
      <c r="K629" s="113" t="str">
        <f>IF(I629=".",I629,VLOOKUP($I629,'Price List, Weapons &amp; Items'!B:D,3,0))</f>
        <v>Military equipment</v>
      </c>
      <c r="L629" s="177">
        <f>VLOOKUP(I629,'Price List, Weapons &amp; Items'!B:E,4,0)</f>
        <v>0</v>
      </c>
      <c r="M629" s="542" t="s">
        <v>270</v>
      </c>
      <c r="N629" s="542" t="s">
        <v>270</v>
      </c>
      <c r="O629" s="543" t="str">
        <f>VLOOKUP($I629,'Price List, Weapons &amp; Items'!B:G,6,0)</f>
        <v>.</v>
      </c>
      <c r="P629" s="176" t="str">
        <f t="shared" si="128"/>
        <v>.</v>
      </c>
      <c r="Q629" s="176" t="str">
        <f t="shared" si="129"/>
        <v>.</v>
      </c>
      <c r="R629" s="176" t="str">
        <f t="shared" si="126"/>
        <v/>
      </c>
      <c r="S629" s="176" t="str">
        <f>IF(AND(AD629=1,R629&lt;&gt;".")=TRUE,R629/VLOOKUP(G629,'Exchange Rates'!B:C,2,0),IF(R629=".",".",""))</f>
        <v/>
      </c>
      <c r="T629" s="176" t="str">
        <f>IF(AD629=1,IF(AF629="Value is not given at all",".",IF(AF629="Value is given by the source",S629,IF(AF629="Value is calculated with prices",(IF(SUMIFS(Q:Q,A:A,A629)&gt;0,SUMIFS(Q:Q,A:A,A629),"."))/VLOOKUP("USD",'Exchange Rates'!B:C,2,0),"Error with coding"))),"")</f>
        <v/>
      </c>
      <c r="U629" s="15" t="s">
        <v>261</v>
      </c>
      <c r="V629" s="547" t="s">
        <v>1892</v>
      </c>
      <c r="W629" s="547" t="s">
        <v>1893</v>
      </c>
      <c r="X629" s="547" t="s">
        <v>1863</v>
      </c>
      <c r="Y629" s="547" t="s">
        <v>1894</v>
      </c>
      <c r="Z629" s="15">
        <v>0</v>
      </c>
      <c r="AA629" s="180">
        <v>0</v>
      </c>
      <c r="AB629" s="550" t="s">
        <v>1893</v>
      </c>
      <c r="AC629" s="544" t="str">
        <f>""</f>
        <v/>
      </c>
      <c r="AD629" s="181">
        <v>0</v>
      </c>
      <c r="AE629" s="181" t="s">
        <v>264</v>
      </c>
      <c r="AF629" s="181" t="s">
        <v>264</v>
      </c>
      <c r="AG629" s="181">
        <v>1</v>
      </c>
      <c r="AH629" s="181">
        <v>4</v>
      </c>
      <c r="AI629" s="181">
        <v>0</v>
      </c>
      <c r="AJ629" s="181">
        <f>VLOOKUP($I629,'Price List, Weapons &amp; Items'!B:F,5,0)</f>
        <v>0</v>
      </c>
      <c r="AK629" s="181">
        <f t="shared" si="130"/>
        <v>0</v>
      </c>
      <c r="AL629" s="181">
        <f t="shared" si="131"/>
        <v>0</v>
      </c>
      <c r="AM629" s="181">
        <f t="shared" si="132"/>
        <v>0</v>
      </c>
      <c r="AN629" s="180" t="str">
        <f>VLOOKUP($I629,'Price List, Weapons &amp; Items'!B:L,COLUMN('Price List, Weapons &amp; Items'!$J$11)-1,0)</f>
        <v>.</v>
      </c>
      <c r="AO629" s="180" t="str">
        <f>IF(I629=".",".",VLOOKUP($I629,'Price List, Weapons &amp; Items'!B:J,3,0))</f>
        <v>Military equipment</v>
      </c>
      <c r="AP629" s="545" t="str">
        <f t="shared" ca="1" si="127"/>
        <v/>
      </c>
      <c r="AQ629" s="180" t="str">
        <f>VLOOKUP($I629,'Price List, Weapons &amp; Items'!B:L,COLUMN('Price List, Weapons &amp; Items'!$L$11)-1,0)</f>
        <v>no price, 0 count</v>
      </c>
      <c r="AR629" s="180">
        <f t="shared" si="133"/>
        <v>1</v>
      </c>
      <c r="AS629" s="180">
        <f t="shared" si="134"/>
        <v>1</v>
      </c>
      <c r="AT629" s="180" t="str">
        <f t="shared" si="121"/>
        <v>Value is not in date format</v>
      </c>
      <c r="AU629" s="180" t="str">
        <f t="shared" si="122"/>
        <v>.</v>
      </c>
      <c r="AV629" s="180" t="str">
        <f t="shared" si="123"/>
        <v>.</v>
      </c>
      <c r="AW629" s="180">
        <f>IFERROR(VLOOKUP(B629,'Share, Heavy Weapons to Ukraine'!B:J,COLUMN('Share, Heavy Weapons to Ukraine'!C642)-1,0),0)</f>
        <v>0</v>
      </c>
      <c r="AX629" s="180">
        <f>VLOOKUP('Bilateral Assistance, MAIN DATA'!B629,'Country Summary'!B:F,COLUMN('Country Summary'!C645)-1,FALSE)</f>
        <v>1</v>
      </c>
      <c r="AY629" s="180" t="str">
        <f>IF(AND(AD629=1,D629="Military",H629&lt;&gt;"Not given")=TRUE,IF(SUMIFS(P:P,A:A,A629)&gt;0,ABS((SUMIFS(P:P,A:A,A629)/VLOOKUP("USD",'Exchange Rates'!B:C,2,0)))/S629,"."),".")</f>
        <v>.</v>
      </c>
      <c r="AZ629" s="182" t="str">
        <f>IF(AND(AD629=1,D629="Military",H629&lt;&gt;"Not given")=TRUE,IF(SUMIFS(P:P,A:A,A629)&gt;0,IF((ABS((SUMIFS(P:P,A:A,A629)/VLOOKUP("USD",'Exchange Rates'!B:C,2,0)))/S629)&gt;1,(SUMIFS(P:P,A:A,A629)-S629)/S629,(S629-SUMIFS(P:P,A:A,A629))/SUMIFS(P:P,A:A,A629)),"."),".")</f>
        <v>.</v>
      </c>
      <c r="BA629" s="182"/>
      <c r="BB629" s="182"/>
      <c r="BC629" s="182"/>
      <c r="BD629" s="182"/>
      <c r="BE629" s="182"/>
      <c r="BF629" s="182"/>
      <c r="BG629" s="182"/>
      <c r="BH629" s="182"/>
      <c r="BI629" s="182"/>
      <c r="BJ629" s="182"/>
      <c r="BK629" s="182"/>
      <c r="BL629" s="182"/>
      <c r="BM629" s="182"/>
      <c r="BN629" s="182"/>
      <c r="BO629" s="182"/>
      <c r="BP629" s="182"/>
      <c r="BQ629" s="182"/>
      <c r="BR629" s="182"/>
      <c r="BS629" s="182"/>
    </row>
    <row r="630" spans="1:71" ht="15.9" customHeight="1" x14ac:dyDescent="0.3">
      <c r="A630" s="5" t="s">
        <v>1888</v>
      </c>
      <c r="B630" s="5" t="s">
        <v>1861</v>
      </c>
      <c r="C630" s="174" t="s">
        <v>1889</v>
      </c>
      <c r="D630" s="5" t="s">
        <v>285</v>
      </c>
      <c r="E630" s="5" t="s">
        <v>286</v>
      </c>
      <c r="F630" s="144" t="s">
        <v>1890</v>
      </c>
      <c r="G630" s="15" t="s">
        <v>364</v>
      </c>
      <c r="H630" s="176">
        <v>218800000</v>
      </c>
      <c r="I630" s="17" t="s">
        <v>1898</v>
      </c>
      <c r="J630" s="113" t="str">
        <f>VLOOKUP($I630,'Price List, Weapons &amp; Items'!B:C,2,0)</f>
        <v>Military equipment</v>
      </c>
      <c r="K630" s="113" t="str">
        <f>IF(I630=".",I630,VLOOKUP($I630,'Price List, Weapons &amp; Items'!B:D,3,0))</f>
        <v>Military equipment</v>
      </c>
      <c r="L630" s="177">
        <f>VLOOKUP(I630,'Price List, Weapons &amp; Items'!B:E,4,0)</f>
        <v>0</v>
      </c>
      <c r="M630" s="542" t="s">
        <v>270</v>
      </c>
      <c r="N630" s="542" t="s">
        <v>270</v>
      </c>
      <c r="O630" s="543" t="str">
        <f>VLOOKUP($I630,'Price List, Weapons &amp; Items'!B:G,6,0)</f>
        <v>.</v>
      </c>
      <c r="P630" s="176" t="str">
        <f t="shared" si="128"/>
        <v>.</v>
      </c>
      <c r="Q630" s="176" t="str">
        <f t="shared" si="129"/>
        <v>.</v>
      </c>
      <c r="R630" s="176" t="str">
        <f t="shared" si="126"/>
        <v/>
      </c>
      <c r="S630" s="176" t="str">
        <f>IF(AND(AD630=1,R630&lt;&gt;".")=TRUE,R630/VLOOKUP(G630,'Exchange Rates'!B:C,2,0),IF(R630=".",".",""))</f>
        <v/>
      </c>
      <c r="T630" s="176" t="str">
        <f>IF(AD630=1,IF(AF630="Value is not given at all",".",IF(AF630="Value is given by the source",S630,IF(AF630="Value is calculated with prices",(IF(SUMIFS(Q:Q,A:A,A630)&gt;0,SUMIFS(Q:Q,A:A,A630),"."))/VLOOKUP("USD",'Exchange Rates'!B:C,2,0),"Error with coding"))),"")</f>
        <v/>
      </c>
      <c r="U630" s="15" t="s">
        <v>261</v>
      </c>
      <c r="V630" s="547" t="s">
        <v>1892</v>
      </c>
      <c r="W630" s="547" t="s">
        <v>1893</v>
      </c>
      <c r="X630" s="547" t="s">
        <v>1863</v>
      </c>
      <c r="Y630" s="547" t="s">
        <v>1894</v>
      </c>
      <c r="Z630" s="15">
        <v>0</v>
      </c>
      <c r="AA630" s="180">
        <v>0</v>
      </c>
      <c r="AB630" s="550" t="s">
        <v>1893</v>
      </c>
      <c r="AC630" s="544" t="str">
        <f>""</f>
        <v/>
      </c>
      <c r="AD630" s="181">
        <v>0</v>
      </c>
      <c r="AE630" s="181" t="s">
        <v>264</v>
      </c>
      <c r="AF630" s="181" t="s">
        <v>264</v>
      </c>
      <c r="AG630" s="181">
        <v>1</v>
      </c>
      <c r="AH630" s="181">
        <v>4</v>
      </c>
      <c r="AI630" s="181">
        <v>0</v>
      </c>
      <c r="AJ630" s="181">
        <f>VLOOKUP($I630,'Price List, Weapons &amp; Items'!B:F,5,0)</f>
        <v>0</v>
      </c>
      <c r="AK630" s="181">
        <f t="shared" si="130"/>
        <v>0</v>
      </c>
      <c r="AL630" s="181">
        <f t="shared" si="131"/>
        <v>0</v>
      </c>
      <c r="AM630" s="181">
        <f t="shared" si="132"/>
        <v>0</v>
      </c>
      <c r="AN630" s="180" t="str">
        <f>VLOOKUP($I630,'Price List, Weapons &amp; Items'!B:L,COLUMN('Price List, Weapons &amp; Items'!$J$11)-1,0)</f>
        <v>.</v>
      </c>
      <c r="AO630" s="180" t="str">
        <f>IF(I630=".",".",VLOOKUP($I630,'Price List, Weapons &amp; Items'!B:J,3,0))</f>
        <v>Military equipment</v>
      </c>
      <c r="AP630" s="545" t="str">
        <f t="shared" ca="1" si="127"/>
        <v/>
      </c>
      <c r="AQ630" s="180" t="str">
        <f>VLOOKUP($I630,'Price List, Weapons &amp; Items'!B:L,COLUMN('Price List, Weapons &amp; Items'!$L$11)-1,0)</f>
        <v>no price, 0 count</v>
      </c>
      <c r="AR630" s="180">
        <f t="shared" si="133"/>
        <v>1</v>
      </c>
      <c r="AS630" s="180">
        <f t="shared" si="134"/>
        <v>1</v>
      </c>
      <c r="AT630" s="180" t="str">
        <f t="shared" si="121"/>
        <v>Value is not in date format</v>
      </c>
      <c r="AU630" s="180" t="str">
        <f t="shared" si="122"/>
        <v>.</v>
      </c>
      <c r="AV630" s="180" t="str">
        <f t="shared" si="123"/>
        <v>.</v>
      </c>
      <c r="AW630" s="180">
        <f>IFERROR(VLOOKUP(B630,'Share, Heavy Weapons to Ukraine'!B:J,COLUMN('Share, Heavy Weapons to Ukraine'!C643)-1,0),0)</f>
        <v>0</v>
      </c>
      <c r="AX630" s="180">
        <f>VLOOKUP('Bilateral Assistance, MAIN DATA'!B630,'Country Summary'!B:F,COLUMN('Country Summary'!C646)-1,FALSE)</f>
        <v>1</v>
      </c>
      <c r="AY630" s="180" t="str">
        <f>IF(AND(AD630=1,D630="Military",H630&lt;&gt;"Not given")=TRUE,IF(SUMIFS(P:P,A:A,A630)&gt;0,ABS((SUMIFS(P:P,A:A,A630)/VLOOKUP("USD",'Exchange Rates'!B:C,2,0)))/S630,"."),".")</f>
        <v>.</v>
      </c>
      <c r="AZ630" s="182" t="str">
        <f>IF(AND(AD630=1,D630="Military",H630&lt;&gt;"Not given")=TRUE,IF(SUMIFS(P:P,A:A,A630)&gt;0,IF((ABS((SUMIFS(P:P,A:A,A630)/VLOOKUP("USD",'Exchange Rates'!B:C,2,0)))/S630)&gt;1,(SUMIFS(P:P,A:A,A630)-S630)/S630,(S630-SUMIFS(P:P,A:A,A630))/SUMIFS(P:P,A:A,A630)),"."),".")</f>
        <v>.</v>
      </c>
      <c r="BA630" s="182"/>
      <c r="BB630" s="182"/>
      <c r="BC630" s="182"/>
      <c r="BD630" s="182"/>
      <c r="BE630" s="182"/>
      <c r="BF630" s="182"/>
      <c r="BG630" s="182"/>
      <c r="BH630" s="182"/>
      <c r="BI630" s="182"/>
      <c r="BJ630" s="182"/>
      <c r="BK630" s="182"/>
      <c r="BL630" s="182"/>
      <c r="BM630" s="182"/>
      <c r="BN630" s="182"/>
      <c r="BO630" s="182"/>
      <c r="BP630" s="182"/>
      <c r="BQ630" s="182"/>
      <c r="BR630" s="182"/>
      <c r="BS630" s="182"/>
    </row>
    <row r="631" spans="1:71" ht="15.9" customHeight="1" x14ac:dyDescent="0.3">
      <c r="A631" s="17" t="s">
        <v>1899</v>
      </c>
      <c r="B631" s="17" t="s">
        <v>1861</v>
      </c>
      <c r="C631" s="174" t="s">
        <v>1900</v>
      </c>
      <c r="D631" s="5" t="s">
        <v>285</v>
      </c>
      <c r="E631" s="5" t="s">
        <v>286</v>
      </c>
      <c r="F631" s="144" t="s">
        <v>1901</v>
      </c>
      <c r="G631" s="15" t="s">
        <v>364</v>
      </c>
      <c r="H631" s="176">
        <v>30000000</v>
      </c>
      <c r="I631" s="17" t="s">
        <v>260</v>
      </c>
      <c r="J631" s="113" t="str">
        <f>VLOOKUP($I631,'Price List, Weapons &amp; Items'!B:C,2,0)</f>
        <v>.</v>
      </c>
      <c r="K631" s="113" t="str">
        <f>IF(I631=".",I631,VLOOKUP($I631,'Price List, Weapons &amp; Items'!B:D,3,0))</f>
        <v>.</v>
      </c>
      <c r="L631" s="177">
        <f>VLOOKUP(I631,'Price List, Weapons &amp; Items'!B:E,4,0)</f>
        <v>0</v>
      </c>
      <c r="M631" s="542" t="s">
        <v>260</v>
      </c>
      <c r="N631" s="542" t="s">
        <v>260</v>
      </c>
      <c r="O631" s="543" t="str">
        <f>VLOOKUP($I631,'Price List, Weapons &amp; Items'!B:G,6,0)</f>
        <v>.</v>
      </c>
      <c r="P631" s="176" t="str">
        <f t="shared" si="128"/>
        <v>.</v>
      </c>
      <c r="Q631" s="176" t="str">
        <f t="shared" si="129"/>
        <v>.</v>
      </c>
      <c r="R631" s="176">
        <f t="shared" si="126"/>
        <v>30000000</v>
      </c>
      <c r="S631" s="176">
        <f>IF(AND(AD631=1,R631&lt;&gt;".")=TRUE,R631/VLOOKUP(G631,'Exchange Rates'!B:C,2,0),IF(R631=".",".",""))</f>
        <v>30000000</v>
      </c>
      <c r="T631" s="176">
        <f>IF(AD631=1,IF(AF631="Value is not given at all",".",IF(AF631="Value is given by the source",S631,IF(AF631="Value is calculated with prices",(IF(SUMIFS(Q:Q,A:A,A631)&gt;0,SUMIFS(Q:Q,A:A,A631),"."))/VLOOKUP("USD",'Exchange Rates'!B:C,2,0),"Error with coding"))),"")</f>
        <v>30000000</v>
      </c>
      <c r="U631" s="15" t="s">
        <v>415</v>
      </c>
      <c r="V631" s="300" t="s">
        <v>1902</v>
      </c>
      <c r="W631" s="144" t="s">
        <v>260</v>
      </c>
      <c r="X631" s="144" t="s">
        <v>260</v>
      </c>
      <c r="Y631" s="531" t="s">
        <v>260</v>
      </c>
      <c r="Z631" s="15">
        <v>0</v>
      </c>
      <c r="AA631" s="180">
        <v>0</v>
      </c>
      <c r="AB631" s="550" t="s">
        <v>1902</v>
      </c>
      <c r="AC631" s="544" t="str">
        <f>""</f>
        <v/>
      </c>
      <c r="AD631" s="181">
        <v>1</v>
      </c>
      <c r="AE631" s="181" t="s">
        <v>264</v>
      </c>
      <c r="AF631" s="181" t="s">
        <v>264</v>
      </c>
      <c r="AG631" s="181">
        <v>1</v>
      </c>
      <c r="AH631" s="181">
        <v>7</v>
      </c>
      <c r="AI631" s="181">
        <v>0</v>
      </c>
      <c r="AJ631" s="181">
        <f>VLOOKUP($I631,'Price List, Weapons &amp; Items'!B:F,5,0)</f>
        <v>0</v>
      </c>
      <c r="AK631" s="181">
        <f t="shared" si="130"/>
        <v>0</v>
      </c>
      <c r="AL631" s="181">
        <f t="shared" si="131"/>
        <v>0</v>
      </c>
      <c r="AM631" s="181">
        <f t="shared" si="132"/>
        <v>0</v>
      </c>
      <c r="AN631" s="180" t="str">
        <f>VLOOKUP($I631,'Price List, Weapons &amp; Items'!B:L,COLUMN('Price List, Weapons &amp; Items'!$J$11)-1,0)</f>
        <v>.</v>
      </c>
      <c r="AO631" s="180" t="str">
        <f>IF(I631=".",".",VLOOKUP($I631,'Price List, Weapons &amp; Items'!B:J,3,0))</f>
        <v>.</v>
      </c>
      <c r="AP631" s="545" t="e">
        <f t="shared" ca="1" si="127"/>
        <v>#NAME?</v>
      </c>
      <c r="AQ631" s="180" t="str">
        <f>VLOOKUP($I631,'Price List, Weapons &amp; Items'!B:L,COLUMN('Price List, Weapons &amp; Items'!$L$11)-1,0)</f>
        <v>no price, 0 count</v>
      </c>
      <c r="AR631" s="180">
        <f t="shared" si="133"/>
        <v>0</v>
      </c>
      <c r="AS631" s="180">
        <f t="shared" si="134"/>
        <v>1</v>
      </c>
      <c r="AT631" s="180" t="str">
        <f t="shared" si="121"/>
        <v>Value is not in date format</v>
      </c>
      <c r="AU631" s="180" t="str">
        <f t="shared" si="122"/>
        <v>.</v>
      </c>
      <c r="AV631" s="180" t="str">
        <f t="shared" si="123"/>
        <v>.</v>
      </c>
      <c r="AW631" s="180">
        <f>IFERROR(VLOOKUP(B631,'Share, Heavy Weapons to Ukraine'!B:J,COLUMN('Share, Heavy Weapons to Ukraine'!C644)-1,0),0)</f>
        <v>0</v>
      </c>
      <c r="AX631" s="180">
        <f>VLOOKUP('Bilateral Assistance, MAIN DATA'!B631,'Country Summary'!B:F,COLUMN('Country Summary'!C647)-1,FALSE)</f>
        <v>1</v>
      </c>
      <c r="AY631" s="180" t="str">
        <f>IF(AND(AD631=1,D631="Military",H631&lt;&gt;"Not given")=TRUE,IF(SUMIFS(P:P,A:A,A631)&gt;0,ABS((SUMIFS(P:P,A:A,A631)/VLOOKUP("USD",'Exchange Rates'!B:C,2,0)))/S631,"."),".")</f>
        <v>.</v>
      </c>
      <c r="AZ631" s="182" t="str">
        <f>IF(AND(AD631=1,D631="Military",H631&lt;&gt;"Not given")=TRUE,IF(SUMIFS(P:P,A:A,A631)&gt;0,IF((ABS((SUMIFS(P:P,A:A,A631)/VLOOKUP("USD",'Exchange Rates'!B:C,2,0)))/S631)&gt;1,(SUMIFS(P:P,A:A,A631)-S631)/S631,(S631-SUMIFS(P:P,A:A,A631))/SUMIFS(P:P,A:A,A631)),"."),".")</f>
        <v>.</v>
      </c>
      <c r="BA631" s="182"/>
      <c r="BB631" s="182"/>
      <c r="BC631" s="182"/>
      <c r="BD631" s="182"/>
      <c r="BE631" s="182"/>
      <c r="BF631" s="182"/>
      <c r="BG631" s="182"/>
      <c r="BH631" s="182"/>
      <c r="BI631" s="182"/>
      <c r="BJ631" s="182"/>
      <c r="BK631" s="182"/>
      <c r="BL631" s="182"/>
      <c r="BM631" s="182"/>
      <c r="BN631" s="182"/>
      <c r="BO631" s="182"/>
      <c r="BP631" s="182"/>
      <c r="BQ631" s="182"/>
      <c r="BR631" s="182"/>
      <c r="BS631" s="182"/>
    </row>
    <row r="632" spans="1:71" ht="15.9" customHeight="1" x14ac:dyDescent="0.3">
      <c r="A632" s="17" t="s">
        <v>1903</v>
      </c>
      <c r="B632" s="17" t="s">
        <v>1861</v>
      </c>
      <c r="C632" s="174">
        <v>44788</v>
      </c>
      <c r="D632" s="5" t="s">
        <v>285</v>
      </c>
      <c r="E632" s="5" t="s">
        <v>339</v>
      </c>
      <c r="F632" s="144" t="s">
        <v>1904</v>
      </c>
      <c r="G632" s="15" t="s">
        <v>346</v>
      </c>
      <c r="H632" s="176" t="s">
        <v>341</v>
      </c>
      <c r="I632" s="17" t="s">
        <v>1905</v>
      </c>
      <c r="J632" s="113" t="str">
        <f>VLOOKUP($I632,'Price List, Weapons &amp; Items'!B:C,2,0)</f>
        <v>Aviation and drones</v>
      </c>
      <c r="K632" s="113" t="str">
        <f>IF(I632=".",I632,VLOOKUP($I632,'Price List, Weapons &amp; Items'!B:D,3,0))</f>
        <v>Combat aircraft</v>
      </c>
      <c r="L632" s="177">
        <f>VLOOKUP(I632,'Price List, Weapons &amp; Items'!B:E,4,0)</f>
        <v>1</v>
      </c>
      <c r="M632" s="542">
        <v>2</v>
      </c>
      <c r="N632" s="542">
        <v>2</v>
      </c>
      <c r="O632" s="543">
        <f>VLOOKUP($I632,'Price List, Weapons &amp; Items'!B:G,6,0)</f>
        <v>18400000</v>
      </c>
      <c r="P632" s="176">
        <f t="shared" si="128"/>
        <v>36800000</v>
      </c>
      <c r="Q632" s="176">
        <f t="shared" si="129"/>
        <v>36800000</v>
      </c>
      <c r="R632" s="176">
        <f t="shared" si="126"/>
        <v>38100000</v>
      </c>
      <c r="S632" s="176">
        <f>IF(AND(AD632=1,R632&lt;&gt;".")=TRUE,R632/VLOOKUP(G632,'Exchange Rates'!B:C,2,0),IF(R632=".",".",""))</f>
        <v>36285714.285714284</v>
      </c>
      <c r="T632" s="176">
        <f>IF(AD632=1,IF(AF632="Value is not given at all",".",IF(AF632="Value is given by the source",S632,IF(AF632="Value is calculated with prices",(IF(SUMIFS(Q:Q,A:A,A632)&gt;0,SUMIFS(Q:Q,A:A,A632),"."))/VLOOKUP("USD",'Exchange Rates'!B:C,2,0),"Error with coding"))),"")</f>
        <v>36285714.285714284</v>
      </c>
      <c r="U632" s="15" t="s">
        <v>261</v>
      </c>
      <c r="V632" s="300" t="s">
        <v>1906</v>
      </c>
      <c r="W632" s="300" t="s">
        <v>1907</v>
      </c>
      <c r="X632" s="144" t="s">
        <v>260</v>
      </c>
      <c r="Y632" s="531" t="s">
        <v>260</v>
      </c>
      <c r="Z632" s="15">
        <v>0</v>
      </c>
      <c r="AA632" s="180">
        <v>0</v>
      </c>
      <c r="AB632" s="550" t="s">
        <v>1906</v>
      </c>
      <c r="AC632" s="544" t="str">
        <f>""</f>
        <v/>
      </c>
      <c r="AD632" s="181">
        <v>1</v>
      </c>
      <c r="AE632" s="181" t="s">
        <v>332</v>
      </c>
      <c r="AF632" s="181" t="s">
        <v>332</v>
      </c>
      <c r="AG632" s="181">
        <v>1</v>
      </c>
      <c r="AH632" s="181">
        <v>8</v>
      </c>
      <c r="AI632" s="181">
        <v>0</v>
      </c>
      <c r="AJ632" s="181">
        <f>VLOOKUP($I632,'Price List, Weapons &amp; Items'!B:F,5,0)</f>
        <v>0</v>
      </c>
      <c r="AK632" s="181">
        <f t="shared" si="130"/>
        <v>0</v>
      </c>
      <c r="AL632" s="181">
        <f t="shared" si="131"/>
        <v>0</v>
      </c>
      <c r="AM632" s="181">
        <f t="shared" si="132"/>
        <v>0</v>
      </c>
      <c r="AN632" s="180" t="str">
        <f>VLOOKUP($I632,'Price List, Weapons &amp; Items'!B:L,COLUMN('Price List, Weapons &amp; Items'!$J$11)-1,0)</f>
        <v>Media reports (incl. social media)</v>
      </c>
      <c r="AO632" s="180" t="str">
        <f>IF(I632=".",".",VLOOKUP($I632,'Price List, Weapons &amp; Items'!B:J,3,0))</f>
        <v>Combat aircraft</v>
      </c>
      <c r="AP632" s="545" t="e">
        <f t="shared" ca="1" si="127"/>
        <v>#NAME?</v>
      </c>
      <c r="AQ632" s="180">
        <f>VLOOKUP($I632,'Price List, Weapons &amp; Items'!B:L,COLUMN('Price List, Weapons &amp; Items'!$L$11)-1,0)</f>
        <v>2</v>
      </c>
      <c r="AR632" s="180">
        <f t="shared" si="133"/>
        <v>1</v>
      </c>
      <c r="AS632" s="180">
        <f t="shared" si="134"/>
        <v>1</v>
      </c>
      <c r="AT632" s="180">
        <f t="shared" si="121"/>
        <v>1</v>
      </c>
      <c r="AU632" s="180" t="str">
        <f t="shared" si="122"/>
        <v>.</v>
      </c>
      <c r="AV632" s="180" t="str">
        <f t="shared" si="123"/>
        <v>.</v>
      </c>
      <c r="AW632" s="180">
        <f>IFERROR(VLOOKUP(B632,'Share, Heavy Weapons to Ukraine'!B:J,COLUMN('Share, Heavy Weapons to Ukraine'!C645)-1,0),0)</f>
        <v>0</v>
      </c>
      <c r="AX632" s="180">
        <f>VLOOKUP('Bilateral Assistance, MAIN DATA'!B632,'Country Summary'!B:F,COLUMN('Country Summary'!C648)-1,FALSE)</f>
        <v>1</v>
      </c>
      <c r="AY632" s="180" t="str">
        <f>IF(AND(AD632=1,D632="Military",H632&lt;&gt;"Not given")=TRUE,IF(SUMIFS(P:P,A:A,A632)&gt;0,ABS((SUMIFS(P:P,A:A,A632)/VLOOKUP("USD",'Exchange Rates'!B:C,2,0)))/S632,"."),".")</f>
        <v>.</v>
      </c>
      <c r="AZ632" s="182" t="str">
        <f>IF(AND(AD632=1,D632="Military",H632&lt;&gt;"Not given")=TRUE,IF(SUMIFS(P:P,A:A,A632)&gt;0,IF((ABS((SUMIFS(P:P,A:A,A632)/VLOOKUP("USD",'Exchange Rates'!B:C,2,0)))/S632)&gt;1,(SUMIFS(P:P,A:A,A632)-S632)/S632,(S632-SUMIFS(P:P,A:A,A632))/SUMIFS(P:P,A:A,A632)),"."),".")</f>
        <v>.</v>
      </c>
      <c r="BA632" s="182"/>
      <c r="BB632" s="182"/>
      <c r="BC632" s="182"/>
      <c r="BD632" s="182"/>
      <c r="BE632" s="182"/>
      <c r="BF632" s="182"/>
      <c r="BG632" s="182"/>
      <c r="BH632" s="182"/>
      <c r="BI632" s="182"/>
      <c r="BJ632" s="182"/>
      <c r="BK632" s="182"/>
      <c r="BL632" s="182"/>
      <c r="BM632" s="182"/>
      <c r="BN632" s="182"/>
      <c r="BO632" s="182"/>
      <c r="BP632" s="182"/>
      <c r="BQ632" s="182"/>
      <c r="BR632" s="182"/>
      <c r="BS632" s="182"/>
    </row>
    <row r="633" spans="1:71" ht="15.9" customHeight="1" x14ac:dyDescent="0.3">
      <c r="A633" s="17" t="s">
        <v>1903</v>
      </c>
      <c r="B633" s="17" t="s">
        <v>1861</v>
      </c>
      <c r="C633" s="174">
        <v>44788</v>
      </c>
      <c r="D633" s="5" t="s">
        <v>285</v>
      </c>
      <c r="E633" s="5" t="s">
        <v>339</v>
      </c>
      <c r="F633" s="144" t="s">
        <v>1904</v>
      </c>
      <c r="G633" s="15" t="s">
        <v>346</v>
      </c>
      <c r="H633" s="176" t="s">
        <v>341</v>
      </c>
      <c r="I633" s="17" t="s">
        <v>1908</v>
      </c>
      <c r="J633" s="113" t="str">
        <f>VLOOKUP($I633,'Price List, Weapons &amp; Items'!B:C,2,0)</f>
        <v>Aviation and drones</v>
      </c>
      <c r="K633" s="113" t="str">
        <f>IF(I633=".",I633,VLOOKUP($I633,'Price List, Weapons &amp; Items'!B:D,3,0))</f>
        <v>Transport aircraft</v>
      </c>
      <c r="L633" s="177">
        <f>VLOOKUP(I633,'Price List, Weapons &amp; Items'!B:E,4,0)</f>
        <v>1</v>
      </c>
      <c r="M633" s="542">
        <v>2</v>
      </c>
      <c r="N633" s="542">
        <v>2</v>
      </c>
      <c r="O633" s="543">
        <f>VLOOKUP($I633,'Price List, Weapons &amp; Items'!B:G,6,0)</f>
        <v>650000</v>
      </c>
      <c r="P633" s="176">
        <f t="shared" si="128"/>
        <v>1300000</v>
      </c>
      <c r="Q633" s="176">
        <f t="shared" si="129"/>
        <v>1300000</v>
      </c>
      <c r="R633" s="176" t="str">
        <f t="shared" si="126"/>
        <v/>
      </c>
      <c r="S633" s="176" t="str">
        <f>IF(AND(AD633=1,R633&lt;&gt;".")=TRUE,R633/VLOOKUP(G633,'Exchange Rates'!B:C,2,0),IF(R633=".",".",""))</f>
        <v/>
      </c>
      <c r="T633" s="176" t="str">
        <f>IF(AD633=1,IF(AF633="Value is not given at all",".",IF(AF633="Value is given by the source",S633,IF(AF633="Value is calculated with prices",(IF(SUMIFS(Q:Q,A:A,A633)&gt;0,SUMIFS(Q:Q,A:A,A633),"."))/VLOOKUP("USD",'Exchange Rates'!B:C,2,0),"Error with coding"))),"")</f>
        <v/>
      </c>
      <c r="U633" s="15" t="s">
        <v>261</v>
      </c>
      <c r="V633" s="300" t="s">
        <v>1906</v>
      </c>
      <c r="W633" s="300" t="s">
        <v>1907</v>
      </c>
      <c r="X633" s="144" t="s">
        <v>260</v>
      </c>
      <c r="Y633" s="531" t="s">
        <v>260</v>
      </c>
      <c r="Z633" s="15">
        <v>0</v>
      </c>
      <c r="AA633" s="180">
        <v>0</v>
      </c>
      <c r="AB633" s="550" t="s">
        <v>1906</v>
      </c>
      <c r="AC633" s="544" t="str">
        <f>""</f>
        <v/>
      </c>
      <c r="AD633" s="181">
        <v>0</v>
      </c>
      <c r="AE633" s="181" t="s">
        <v>332</v>
      </c>
      <c r="AF633" s="181" t="s">
        <v>332</v>
      </c>
      <c r="AG633" s="181">
        <v>1</v>
      </c>
      <c r="AH633" s="181">
        <v>8</v>
      </c>
      <c r="AI633" s="181">
        <v>0</v>
      </c>
      <c r="AJ633" s="181">
        <f>VLOOKUP($I633,'Price List, Weapons &amp; Items'!B:F,5,0)</f>
        <v>0</v>
      </c>
      <c r="AK633" s="181">
        <f t="shared" si="130"/>
        <v>0</v>
      </c>
      <c r="AL633" s="181">
        <f t="shared" si="131"/>
        <v>0</v>
      </c>
      <c r="AM633" s="181">
        <f t="shared" si="132"/>
        <v>0</v>
      </c>
      <c r="AN633" s="180" t="str">
        <f>VLOOKUP($I633,'Price List, Weapons &amp; Items'!B:L,COLUMN('Price List, Weapons &amp; Items'!$J$11)-1,0)</f>
        <v>Online marketplaces and stores</v>
      </c>
      <c r="AO633" s="180" t="str">
        <f>IF(I633=".",".",VLOOKUP($I633,'Price List, Weapons &amp; Items'!B:J,3,0))</f>
        <v>Transport aircraft</v>
      </c>
      <c r="AP633" s="545" t="str">
        <f t="shared" ca="1" si="127"/>
        <v/>
      </c>
      <c r="AQ633" s="180">
        <f>VLOOKUP($I633,'Price List, Weapons &amp; Items'!B:L,COLUMN('Price List, Weapons &amp; Items'!$L$11)-1,0)</f>
        <v>2</v>
      </c>
      <c r="AR633" s="180">
        <f t="shared" si="133"/>
        <v>1</v>
      </c>
      <c r="AS633" s="180">
        <f t="shared" si="134"/>
        <v>1</v>
      </c>
      <c r="AT633" s="180">
        <f t="shared" si="121"/>
        <v>1</v>
      </c>
      <c r="AU633" s="180" t="str">
        <f t="shared" si="122"/>
        <v>.</v>
      </c>
      <c r="AV633" s="180" t="str">
        <f t="shared" si="123"/>
        <v>.</v>
      </c>
      <c r="AW633" s="180">
        <f>IFERROR(VLOOKUP(B633,'Share, Heavy Weapons to Ukraine'!B:J,COLUMN('Share, Heavy Weapons to Ukraine'!C646)-1,0),0)</f>
        <v>0</v>
      </c>
      <c r="AX633" s="180">
        <f>VLOOKUP('Bilateral Assistance, MAIN DATA'!B633,'Country Summary'!B:F,COLUMN('Country Summary'!C649)-1,FALSE)</f>
        <v>1</v>
      </c>
      <c r="AY633" s="180" t="str">
        <f>IF(AND(AD633=1,D633="Military",H633&lt;&gt;"Not given")=TRUE,IF(SUMIFS(P:P,A:A,A633)&gt;0,ABS((SUMIFS(P:P,A:A,A633)/VLOOKUP("USD",'Exchange Rates'!B:C,2,0)))/S633,"."),".")</f>
        <v>.</v>
      </c>
      <c r="AZ633" s="182" t="str">
        <f>IF(AND(AD633=1,D633="Military",H633&lt;&gt;"Not given")=TRUE,IF(SUMIFS(P:P,A:A,A633)&gt;0,IF((ABS((SUMIFS(P:P,A:A,A633)/VLOOKUP("USD",'Exchange Rates'!B:C,2,0)))/S633)&gt;1,(SUMIFS(P:P,A:A,A633)-S633)/S633,(S633-SUMIFS(P:P,A:A,A633))/SUMIFS(P:P,A:A,A633)),"."),".")</f>
        <v>.</v>
      </c>
      <c r="BA633" s="182"/>
      <c r="BB633" s="182"/>
      <c r="BC633" s="182"/>
      <c r="BD633" s="182"/>
      <c r="BE633" s="182"/>
      <c r="BF633" s="182"/>
      <c r="BG633" s="182"/>
      <c r="BH633" s="182"/>
      <c r="BI633" s="182"/>
      <c r="BJ633" s="182"/>
      <c r="BK633" s="182"/>
      <c r="BL633" s="182"/>
      <c r="BM633" s="182"/>
      <c r="BN633" s="182"/>
      <c r="BO633" s="182"/>
      <c r="BP633" s="182"/>
      <c r="BQ633" s="182"/>
      <c r="BR633" s="182"/>
      <c r="BS633" s="182"/>
    </row>
    <row r="634" spans="1:71" ht="15.9" customHeight="1" x14ac:dyDescent="0.3">
      <c r="A634" s="17" t="s">
        <v>1909</v>
      </c>
      <c r="B634" s="17" t="s">
        <v>1861</v>
      </c>
      <c r="C634" s="174">
        <v>44788</v>
      </c>
      <c r="D634" s="5" t="s">
        <v>285</v>
      </c>
      <c r="E634" s="5" t="s">
        <v>339</v>
      </c>
      <c r="F634" s="144" t="s">
        <v>1910</v>
      </c>
      <c r="G634" s="15" t="s">
        <v>346</v>
      </c>
      <c r="H634" s="176" t="s">
        <v>341</v>
      </c>
      <c r="I634" s="17" t="s">
        <v>1788</v>
      </c>
      <c r="J634" s="113" t="str">
        <f>VLOOKUP($I634,'Price List, Weapons &amp; Items'!B:C,2,0)</f>
        <v>Heavy weapon</v>
      </c>
      <c r="K634" s="113" t="str">
        <f>IF(I634=".",I634,VLOOKUP($I634,'Price List, Weapons &amp; Items'!B:D,3,0))</f>
        <v>155mm howitzer</v>
      </c>
      <c r="L634" s="177">
        <f>VLOOKUP(I634,'Price List, Weapons &amp; Items'!B:E,4,0)</f>
        <v>0</v>
      </c>
      <c r="M634" s="542">
        <v>6</v>
      </c>
      <c r="N634" s="542">
        <v>6</v>
      </c>
      <c r="O634" s="543">
        <f>VLOOKUP($I634,'Price List, Weapons &amp; Items'!B:G,6,0)</f>
        <v>1734787.30789614</v>
      </c>
      <c r="P634" s="176">
        <f t="shared" si="128"/>
        <v>10408723.84737684</v>
      </c>
      <c r="Q634" s="176">
        <f t="shared" si="129"/>
        <v>10408723.84737684</v>
      </c>
      <c r="R634" s="176">
        <f t="shared" si="126"/>
        <v>10408723.84737684</v>
      </c>
      <c r="S634" s="176">
        <f>IF(AND(AD634=1,R634&lt;&gt;".")=TRUE,R634/VLOOKUP(G634,'Exchange Rates'!B:C,2,0),IF(R634=".",".",""))</f>
        <v>9913070.3308350854</v>
      </c>
      <c r="T634" s="176">
        <f>IF(AD634=1,IF(AF634="Value is not given at all",".",IF(AF634="Value is given by the source",S634,IF(AF634="Value is calculated with prices",(IF(SUMIFS(Q:Q,A:A,A634)&gt;0,SUMIFS(Q:Q,A:A,A634),"."))/VLOOKUP("USD",'Exchange Rates'!B:C,2,0),"Error with coding"))),"")</f>
        <v>9913070.3308350854</v>
      </c>
      <c r="U634" s="15" t="s">
        <v>261</v>
      </c>
      <c r="V634" s="300" t="s">
        <v>1911</v>
      </c>
      <c r="W634" s="144" t="s">
        <v>260</v>
      </c>
      <c r="X634" s="144" t="s">
        <v>260</v>
      </c>
      <c r="Y634" s="531" t="s">
        <v>260</v>
      </c>
      <c r="Z634" s="15">
        <v>0</v>
      </c>
      <c r="AA634" s="180">
        <v>0</v>
      </c>
      <c r="AB634" s="550" t="s">
        <v>1911</v>
      </c>
      <c r="AC634" s="544" t="str">
        <f>""</f>
        <v/>
      </c>
      <c r="AD634" s="181">
        <v>1</v>
      </c>
      <c r="AE634" s="181" t="s">
        <v>332</v>
      </c>
      <c r="AF634" s="181" t="s">
        <v>332</v>
      </c>
      <c r="AG634" s="181">
        <v>1</v>
      </c>
      <c r="AH634" s="181">
        <v>8</v>
      </c>
      <c r="AI634" s="181">
        <v>0</v>
      </c>
      <c r="AJ634" s="181">
        <f>VLOOKUP($I634,'Price List, Weapons &amp; Items'!B:F,5,0)</f>
        <v>1</v>
      </c>
      <c r="AK634" s="181">
        <f t="shared" si="130"/>
        <v>0</v>
      </c>
      <c r="AL634" s="181">
        <f t="shared" si="131"/>
        <v>0</v>
      </c>
      <c r="AM634" s="181">
        <f t="shared" si="132"/>
        <v>0</v>
      </c>
      <c r="AN634" s="180" t="str">
        <f>VLOOKUP($I634,'Price List, Weapons &amp; Items'!B:L,COLUMN('Price List, Weapons &amp; Items'!$J$11)-1,0)</f>
        <v>Contracts</v>
      </c>
      <c r="AO634" s="180" t="str">
        <f>IF(I634=".",".",VLOOKUP($I634,'Price List, Weapons &amp; Items'!B:J,3,0))</f>
        <v>155mm howitzer</v>
      </c>
      <c r="AP634" s="545" t="e">
        <f t="shared" ca="1" si="127"/>
        <v>#NAME?</v>
      </c>
      <c r="AQ634" s="180">
        <f>VLOOKUP($I634,'Price List, Weapons &amp; Items'!B:L,COLUMN('Price List, Weapons &amp; Items'!$L$11)-1,0)</f>
        <v>2</v>
      </c>
      <c r="AR634" s="180">
        <f t="shared" si="133"/>
        <v>1</v>
      </c>
      <c r="AS634" s="180">
        <f t="shared" si="134"/>
        <v>1</v>
      </c>
      <c r="AT634" s="180">
        <f t="shared" si="121"/>
        <v>1</v>
      </c>
      <c r="AU634" s="180" t="str">
        <f t="shared" si="122"/>
        <v>.</v>
      </c>
      <c r="AV634" s="180" t="str">
        <f t="shared" si="123"/>
        <v>.</v>
      </c>
      <c r="AW634" s="180">
        <f>IFERROR(VLOOKUP(B634,'Share, Heavy Weapons to Ukraine'!B:J,COLUMN('Share, Heavy Weapons to Ukraine'!C647)-1,0),0)</f>
        <v>0</v>
      </c>
      <c r="AX634" s="180">
        <f>VLOOKUP('Bilateral Assistance, MAIN DATA'!B634,'Country Summary'!B:F,COLUMN('Country Summary'!C650)-1,FALSE)</f>
        <v>1</v>
      </c>
      <c r="AY634" s="180" t="str">
        <f>IF(AND(AD634=1,D634="Military",H634&lt;&gt;"Not given")=TRUE,IF(SUMIFS(P:P,A:A,A634)&gt;0,ABS((SUMIFS(P:P,A:A,A634)/VLOOKUP("USD",'Exchange Rates'!B:C,2,0)))/S634,"."),".")</f>
        <v>.</v>
      </c>
      <c r="AZ634" s="182" t="str">
        <f>IF(AND(AD634=1,D634="Military",H634&lt;&gt;"Not given")=TRUE,IF(SUMIFS(P:P,A:A,A634)&gt;0,IF((ABS((SUMIFS(P:P,A:A,A634)/VLOOKUP("USD",'Exchange Rates'!B:C,2,0)))/S634)&gt;1,(SUMIFS(P:P,A:A,A634)-S634)/S634,(S634-SUMIFS(P:P,A:A,A634))/SUMIFS(P:P,A:A,A634)),"."),".")</f>
        <v>.</v>
      </c>
      <c r="BA634" s="182"/>
      <c r="BB634" s="182"/>
      <c r="BC634" s="182"/>
      <c r="BD634" s="182"/>
      <c r="BE634" s="182"/>
      <c r="BF634" s="182"/>
      <c r="BG634" s="182"/>
      <c r="BH634" s="182"/>
      <c r="BI634" s="182"/>
      <c r="BJ634" s="182"/>
      <c r="BK634" s="182"/>
      <c r="BL634" s="182"/>
      <c r="BM634" s="182"/>
      <c r="BN634" s="182"/>
      <c r="BO634" s="182"/>
      <c r="BP634" s="182"/>
      <c r="BQ634" s="182"/>
      <c r="BR634" s="182"/>
      <c r="BS634" s="182"/>
    </row>
    <row r="635" spans="1:71" ht="15.9" customHeight="1" x14ac:dyDescent="0.3">
      <c r="A635" s="17" t="s">
        <v>1912</v>
      </c>
      <c r="B635" s="17" t="s">
        <v>1861</v>
      </c>
      <c r="C635" s="174">
        <v>44628</v>
      </c>
      <c r="D635" s="5" t="s">
        <v>405</v>
      </c>
      <c r="E635" s="5" t="s">
        <v>362</v>
      </c>
      <c r="F635" s="175" t="s">
        <v>1913</v>
      </c>
      <c r="G635" s="15" t="s">
        <v>364</v>
      </c>
      <c r="H635" s="176">
        <v>5000000</v>
      </c>
      <c r="I635" s="17" t="s">
        <v>260</v>
      </c>
      <c r="J635" s="113" t="str">
        <f>VLOOKUP($I635,'Price List, Weapons &amp; Items'!B:C,2,0)</f>
        <v>.</v>
      </c>
      <c r="K635" s="113" t="str">
        <f>IF(I635=".",I635,VLOOKUP($I635,'Price List, Weapons &amp; Items'!B:D,3,0))</f>
        <v>.</v>
      </c>
      <c r="L635" s="177">
        <f>VLOOKUP(I635,'Price List, Weapons &amp; Items'!B:E,4,0)</f>
        <v>0</v>
      </c>
      <c r="M635" s="542" t="s">
        <v>260</v>
      </c>
      <c r="N635" s="542" t="s">
        <v>260</v>
      </c>
      <c r="O635" s="543" t="str">
        <f>VLOOKUP($I635,'Price List, Weapons &amp; Items'!B:G,6,0)</f>
        <v>.</v>
      </c>
      <c r="P635" s="176" t="str">
        <f t="shared" si="128"/>
        <v>.</v>
      </c>
      <c r="Q635" s="176" t="str">
        <f t="shared" si="129"/>
        <v>.</v>
      </c>
      <c r="R635" s="176">
        <f t="shared" si="126"/>
        <v>5000000</v>
      </c>
      <c r="S635" s="176">
        <f>IF(AND(AD635=1,R635&lt;&gt;".")=TRUE,R635/VLOOKUP(G635,'Exchange Rates'!B:C,2,0),IF(R635=".",".",""))</f>
        <v>5000000</v>
      </c>
      <c r="T635" s="176" t="str">
        <f>IF(AD635=1,IF(AF635="Value is not given at all",".",IF(AF635="Value is given by the source",S635,IF(AF635="Value is calculated with prices",(IF(SUMIFS(Q:Q,A:A,A635)&gt;0,SUMIFS(Q:Q,A:A,A635),"."))/VLOOKUP("USD",'Exchange Rates'!B:C,2,0),"Error with coding"))),"")</f>
        <v>.</v>
      </c>
      <c r="U635" s="15" t="s">
        <v>261</v>
      </c>
      <c r="V635" s="300" t="s">
        <v>1914</v>
      </c>
      <c r="W635" s="300" t="s">
        <v>930</v>
      </c>
      <c r="X635" s="175" t="s">
        <v>260</v>
      </c>
      <c r="Y635" s="529" t="s">
        <v>260</v>
      </c>
      <c r="Z635" s="15">
        <v>1</v>
      </c>
      <c r="AA635" s="180">
        <v>0</v>
      </c>
      <c r="AB635" s="534" t="s">
        <v>260</v>
      </c>
      <c r="AC635" s="544" t="str">
        <f>""</f>
        <v/>
      </c>
      <c r="AD635" s="181">
        <v>1</v>
      </c>
      <c r="AE635" s="181" t="s">
        <v>264</v>
      </c>
      <c r="AF635" s="181" t="s">
        <v>265</v>
      </c>
      <c r="AG635" s="181">
        <v>1</v>
      </c>
      <c r="AH635" s="181">
        <v>3</v>
      </c>
      <c r="AI635" s="181">
        <v>0</v>
      </c>
      <c r="AJ635" s="181">
        <f>VLOOKUP($I635,'Price List, Weapons &amp; Items'!B:F,5,0)</f>
        <v>0</v>
      </c>
      <c r="AK635" s="181">
        <f t="shared" si="130"/>
        <v>0</v>
      </c>
      <c r="AL635" s="181">
        <f t="shared" si="131"/>
        <v>0</v>
      </c>
      <c r="AM635" s="181">
        <f t="shared" si="132"/>
        <v>0</v>
      </c>
      <c r="AN635" s="180" t="str">
        <f>VLOOKUP($I635,'Price List, Weapons &amp; Items'!B:L,COLUMN('Price List, Weapons &amp; Items'!$J$11)-1,0)</f>
        <v>.</v>
      </c>
      <c r="AO635" s="180" t="str">
        <f>IF(I635=".",".",VLOOKUP($I635,'Price List, Weapons &amp; Items'!B:J,3,0))</f>
        <v>.</v>
      </c>
      <c r="AP635" s="545" t="e">
        <f t="shared" ca="1" si="127"/>
        <v>#NAME?</v>
      </c>
      <c r="AQ635" s="180" t="str">
        <f>VLOOKUP($I635,'Price List, Weapons &amp; Items'!B:L,COLUMN('Price List, Weapons &amp; Items'!$L$11)-1,0)</f>
        <v>no price, 0 count</v>
      </c>
      <c r="AR635" s="180">
        <f t="shared" si="133"/>
        <v>1</v>
      </c>
      <c r="AS635" s="180">
        <f t="shared" si="134"/>
        <v>0</v>
      </c>
      <c r="AT635" s="180">
        <f t="shared" si="121"/>
        <v>1</v>
      </c>
      <c r="AU635" s="180" t="str">
        <f t="shared" si="122"/>
        <v>.</v>
      </c>
      <c r="AV635" s="180" t="str">
        <f t="shared" si="123"/>
        <v>.</v>
      </c>
      <c r="AW635" s="180">
        <f>IFERROR(VLOOKUP(B635,'Share, Heavy Weapons to Ukraine'!B:J,COLUMN('Share, Heavy Weapons to Ukraine'!C648)-1,0),0)</f>
        <v>0</v>
      </c>
      <c r="AX635" s="180">
        <f>VLOOKUP('Bilateral Assistance, MAIN DATA'!B635,'Country Summary'!B:F,COLUMN('Country Summary'!C651)-1,FALSE)</f>
        <v>1</v>
      </c>
      <c r="AY635" s="180" t="str">
        <f>IF(AND(AD635=1,D635="Military",H635&lt;&gt;"Not given")=TRUE,IF(SUMIFS(P:P,A:A,A635)&gt;0,ABS((SUMIFS(P:P,A:A,A635)/VLOOKUP("USD",'Exchange Rates'!B:C,2,0)))/S635,"."),".")</f>
        <v>.</v>
      </c>
      <c r="AZ635" s="182" t="str">
        <f>IF(AND(AD635=1,D635="Military",H635&lt;&gt;"Not given")=TRUE,IF(SUMIFS(P:P,A:A,A635)&gt;0,IF((ABS((SUMIFS(P:P,A:A,A635)/VLOOKUP("USD",'Exchange Rates'!B:C,2,0)))/S635)&gt;1,(SUMIFS(P:P,A:A,A635)-S635)/S635,(S635-SUMIFS(P:P,A:A,A635))/SUMIFS(P:P,A:A,A635)),"."),".")</f>
        <v>.</v>
      </c>
      <c r="BA635" s="182"/>
      <c r="BB635" s="182"/>
      <c r="BC635" s="182"/>
      <c r="BD635" s="182"/>
      <c r="BE635" s="182"/>
      <c r="BF635" s="182"/>
      <c r="BG635" s="182"/>
      <c r="BH635" s="182"/>
      <c r="BI635" s="182"/>
      <c r="BJ635" s="182"/>
      <c r="BK635" s="182"/>
      <c r="BL635" s="182"/>
      <c r="BM635" s="182"/>
      <c r="BN635" s="182"/>
      <c r="BO635" s="182"/>
      <c r="BP635" s="182"/>
      <c r="BQ635" s="182"/>
      <c r="BR635" s="182"/>
      <c r="BS635" s="182"/>
    </row>
    <row r="636" spans="1:71" ht="15.9" customHeight="1" x14ac:dyDescent="0.3">
      <c r="A636" s="17" t="s">
        <v>1915</v>
      </c>
      <c r="B636" s="17" t="s">
        <v>1861</v>
      </c>
      <c r="C636" s="174">
        <v>44686</v>
      </c>
      <c r="D636" s="5" t="s">
        <v>405</v>
      </c>
      <c r="E636" s="5" t="s">
        <v>518</v>
      </c>
      <c r="F636" s="175" t="s">
        <v>1916</v>
      </c>
      <c r="G636" s="15" t="s">
        <v>364</v>
      </c>
      <c r="H636" s="176">
        <v>10000000</v>
      </c>
      <c r="I636" s="17" t="s">
        <v>260</v>
      </c>
      <c r="J636" s="113" t="str">
        <f>VLOOKUP($I636,'Price List, Weapons &amp; Items'!B:C,2,0)</f>
        <v>.</v>
      </c>
      <c r="K636" s="113" t="str">
        <f>IF(I636=".",I636,VLOOKUP($I636,'Price List, Weapons &amp; Items'!B:D,3,0))</f>
        <v>.</v>
      </c>
      <c r="L636" s="177">
        <f>VLOOKUP(I636,'Price List, Weapons &amp; Items'!B:E,4,0)</f>
        <v>0</v>
      </c>
      <c r="M636" s="542" t="s">
        <v>260</v>
      </c>
      <c r="N636" s="542" t="s">
        <v>260</v>
      </c>
      <c r="O636" s="543" t="str">
        <f>VLOOKUP($I636,'Price List, Weapons &amp; Items'!B:G,6,0)</f>
        <v>.</v>
      </c>
      <c r="P636" s="176" t="str">
        <f t="shared" si="128"/>
        <v>.</v>
      </c>
      <c r="Q636" s="176" t="str">
        <f t="shared" si="129"/>
        <v>.</v>
      </c>
      <c r="R636" s="176">
        <f t="shared" si="126"/>
        <v>10000000</v>
      </c>
      <c r="S636" s="176">
        <f>IF(AND(AD636=1,R636&lt;&gt;".")=TRUE,R636/VLOOKUP(G636,'Exchange Rates'!B:C,2,0),IF(R636=".",".",""))</f>
        <v>10000000</v>
      </c>
      <c r="T636" s="176" t="str">
        <f>IF(AD636=1,IF(AF636="Value is not given at all",".",IF(AF636="Value is given by the source",S636,IF(AF636="Value is calculated with prices",(IF(SUMIFS(Q:Q,A:A,A636)&gt;0,SUMIFS(Q:Q,A:A,A636),"."))/VLOOKUP("USD",'Exchange Rates'!B:C,2,0),"Error with coding"))),"")</f>
        <v>.</v>
      </c>
      <c r="U636" s="15" t="s">
        <v>261</v>
      </c>
      <c r="V636" s="300" t="s">
        <v>429</v>
      </c>
      <c r="W636" s="300" t="s">
        <v>1917</v>
      </c>
      <c r="X636" s="175" t="s">
        <v>260</v>
      </c>
      <c r="Y636" s="529" t="s">
        <v>260</v>
      </c>
      <c r="Z636" s="15">
        <v>1</v>
      </c>
      <c r="AA636" s="180">
        <v>0</v>
      </c>
      <c r="AB636" s="534" t="s">
        <v>260</v>
      </c>
      <c r="AC636" s="544" t="str">
        <f>""</f>
        <v/>
      </c>
      <c r="AD636" s="181">
        <v>1</v>
      </c>
      <c r="AE636" s="181" t="s">
        <v>264</v>
      </c>
      <c r="AF636" s="181" t="s">
        <v>265</v>
      </c>
      <c r="AG636" s="181">
        <v>1</v>
      </c>
      <c r="AH636" s="181">
        <v>5</v>
      </c>
      <c r="AI636" s="181">
        <v>0</v>
      </c>
      <c r="AJ636" s="181">
        <f>VLOOKUP($I636,'Price List, Weapons &amp; Items'!B:F,5,0)</f>
        <v>0</v>
      </c>
      <c r="AK636" s="181">
        <f t="shared" si="130"/>
        <v>0</v>
      </c>
      <c r="AL636" s="181">
        <f t="shared" si="131"/>
        <v>0</v>
      </c>
      <c r="AM636" s="181">
        <f t="shared" si="132"/>
        <v>0</v>
      </c>
      <c r="AN636" s="180" t="str">
        <f>VLOOKUP($I636,'Price List, Weapons &amp; Items'!B:L,COLUMN('Price List, Weapons &amp; Items'!$J$11)-1,0)</f>
        <v>.</v>
      </c>
      <c r="AO636" s="180" t="str">
        <f>IF(I636=".",".",VLOOKUP($I636,'Price List, Weapons &amp; Items'!B:J,3,0))</f>
        <v>.</v>
      </c>
      <c r="AP636" s="545" t="e">
        <f t="shared" ca="1" si="127"/>
        <v>#NAME?</v>
      </c>
      <c r="AQ636" s="180" t="str">
        <f>VLOOKUP($I636,'Price List, Weapons &amp; Items'!B:L,COLUMN('Price List, Weapons &amp; Items'!$L$11)-1,0)</f>
        <v>no price, 0 count</v>
      </c>
      <c r="AR636" s="180">
        <f t="shared" si="133"/>
        <v>1</v>
      </c>
      <c r="AS636" s="180">
        <f t="shared" si="134"/>
        <v>0</v>
      </c>
      <c r="AT636" s="180">
        <f t="shared" si="121"/>
        <v>1</v>
      </c>
      <c r="AU636" s="180" t="str">
        <f t="shared" si="122"/>
        <v>.</v>
      </c>
      <c r="AV636" s="180" t="str">
        <f t="shared" si="123"/>
        <v>.</v>
      </c>
      <c r="AW636" s="180">
        <f>IFERROR(VLOOKUP(B636,'Share, Heavy Weapons to Ukraine'!B:J,COLUMN('Share, Heavy Weapons to Ukraine'!C649)-1,0),0)</f>
        <v>0</v>
      </c>
      <c r="AX636" s="180">
        <f>VLOOKUP('Bilateral Assistance, MAIN DATA'!B636,'Country Summary'!B:F,COLUMN('Country Summary'!C652)-1,FALSE)</f>
        <v>1</v>
      </c>
      <c r="AY636" s="180" t="str">
        <f>IF(AND(AD636=1,D636="Military",H636&lt;&gt;"Not given")=TRUE,IF(SUMIFS(P:P,A:A,A636)&gt;0,ABS((SUMIFS(P:P,A:A,A636)/VLOOKUP("USD",'Exchange Rates'!B:C,2,0)))/S636,"."),".")</f>
        <v>.</v>
      </c>
      <c r="AZ636" s="182" t="str">
        <f>IF(AND(AD636=1,D636="Military",H636&lt;&gt;"Not given")=TRUE,IF(SUMIFS(P:P,A:A,A636)&gt;0,IF((ABS((SUMIFS(P:P,A:A,A636)/VLOOKUP("USD",'Exchange Rates'!B:C,2,0)))/S636)&gt;1,(SUMIFS(P:P,A:A,A636)-S636)/S636,(S636-SUMIFS(P:P,A:A,A636))/SUMIFS(P:P,A:A,A636)),"."),".")</f>
        <v>.</v>
      </c>
      <c r="BA636" s="182"/>
      <c r="BB636" s="182"/>
      <c r="BC636" s="182"/>
      <c r="BD636" s="182"/>
      <c r="BE636" s="182"/>
      <c r="BF636" s="182"/>
      <c r="BG636" s="182"/>
      <c r="BH636" s="182"/>
      <c r="BI636" s="182"/>
      <c r="BJ636" s="182"/>
      <c r="BK636" s="182"/>
      <c r="BL636" s="182"/>
      <c r="BM636" s="182"/>
      <c r="BN636" s="182"/>
      <c r="BO636" s="182"/>
      <c r="BP636" s="182"/>
      <c r="BQ636" s="182"/>
      <c r="BR636" s="182"/>
      <c r="BS636" s="182"/>
    </row>
    <row r="637" spans="1:71" ht="15.9" customHeight="1" x14ac:dyDescent="0.3">
      <c r="A637" s="17" t="s">
        <v>1918</v>
      </c>
      <c r="B637" s="17" t="s">
        <v>1919</v>
      </c>
      <c r="C637" s="174" t="s">
        <v>1920</v>
      </c>
      <c r="D637" s="5" t="s">
        <v>285</v>
      </c>
      <c r="E637" s="5" t="s">
        <v>286</v>
      </c>
      <c r="F637" s="175" t="s">
        <v>1921</v>
      </c>
      <c r="G637" s="15" t="s">
        <v>364</v>
      </c>
      <c r="H637" s="176">
        <v>29000000</v>
      </c>
      <c r="I637" s="17" t="s">
        <v>895</v>
      </c>
      <c r="J637" s="113" t="str">
        <f>VLOOKUP($I637,'Price List, Weapons &amp; Items'!B:C,2,0)</f>
        <v>Portable defence system</v>
      </c>
      <c r="K637" s="113" t="str">
        <f>IF(I637=".",I637,VLOOKUP($I637,'Price List, Weapons &amp; Items'!B:D,3,0))</f>
        <v>MANPADS</v>
      </c>
      <c r="L637" s="177">
        <f>VLOOKUP(I637,'Price List, Weapons &amp; Items'!B:E,4,0)</f>
        <v>0</v>
      </c>
      <c r="M637" s="542" t="s">
        <v>270</v>
      </c>
      <c r="N637" s="542" t="s">
        <v>270</v>
      </c>
      <c r="O637" s="543">
        <f>VLOOKUP($I637,'Price List, Weapons &amp; Items'!B:G,6,0)</f>
        <v>119000</v>
      </c>
      <c r="P637" s="176" t="str">
        <f t="shared" si="128"/>
        <v>.</v>
      </c>
      <c r="Q637" s="176" t="str">
        <f t="shared" si="129"/>
        <v>.</v>
      </c>
      <c r="R637" s="176">
        <f t="shared" si="126"/>
        <v>29000000</v>
      </c>
      <c r="S637" s="176">
        <f>IF(AND(AD637=1,R637&lt;&gt;".")=TRUE,R637/VLOOKUP(G637,'Exchange Rates'!B:C,2,0),IF(R637=".",".",""))</f>
        <v>29000000</v>
      </c>
      <c r="T637" s="176">
        <f>IF(AD637=1,IF(AF637="Value is not given at all",".",IF(AF637="Value is given by the source",S637,IF(AF637="Value is calculated with prices",(IF(SUMIFS(Q:Q,A:A,A637)&gt;0,SUMIFS(Q:Q,A:A,A637),"."))/VLOOKUP("USD",'Exchange Rates'!B:C,2,0),"Error with coding"))),"")</f>
        <v>29000000</v>
      </c>
      <c r="U637" s="15" t="s">
        <v>415</v>
      </c>
      <c r="V637" s="300" t="s">
        <v>1922</v>
      </c>
      <c r="W637" s="175" t="s">
        <v>260</v>
      </c>
      <c r="X637" s="175" t="s">
        <v>260</v>
      </c>
      <c r="Y637" s="529" t="s">
        <v>260</v>
      </c>
      <c r="Z637" s="15">
        <v>0</v>
      </c>
      <c r="AA637" s="180">
        <v>0</v>
      </c>
      <c r="AB637" s="549" t="s">
        <v>1923</v>
      </c>
      <c r="AC637" s="544" t="str">
        <f>""</f>
        <v/>
      </c>
      <c r="AD637" s="181">
        <v>1</v>
      </c>
      <c r="AE637" s="181" t="s">
        <v>264</v>
      </c>
      <c r="AF637" s="181" t="s">
        <v>264</v>
      </c>
      <c r="AG637" s="181">
        <v>1</v>
      </c>
      <c r="AH637" s="181">
        <v>3</v>
      </c>
      <c r="AI637" s="181">
        <v>0</v>
      </c>
      <c r="AJ637" s="181">
        <f>VLOOKUP($I637,'Price List, Weapons &amp; Items'!B:F,5,0)</f>
        <v>0</v>
      </c>
      <c r="AK637" s="181">
        <f t="shared" si="130"/>
        <v>0</v>
      </c>
      <c r="AL637" s="181">
        <f t="shared" si="131"/>
        <v>0</v>
      </c>
      <c r="AM637" s="181">
        <f t="shared" si="132"/>
        <v>0</v>
      </c>
      <c r="AN637" s="180" t="str">
        <f>VLOOKUP($I637,'Price List, Weapons &amp; Items'!B:L,COLUMN('Price List, Weapons &amp; Items'!$J$11)-1,0)</f>
        <v>Miscellaneous</v>
      </c>
      <c r="AO637" s="180" t="str">
        <f>IF(I637=".",".",VLOOKUP($I637,'Price List, Weapons &amp; Items'!B:J,3,0))</f>
        <v>MANPADS</v>
      </c>
      <c r="AP637" s="545" t="e">
        <f t="shared" ca="1" si="127"/>
        <v>#NAME?</v>
      </c>
      <c r="AQ637" s="180">
        <f>VLOOKUP($I637,'Price List, Weapons &amp; Items'!B:L,COLUMN('Price List, Weapons &amp; Items'!$L$11)-1,0)</f>
        <v>2</v>
      </c>
      <c r="AR637" s="180">
        <f t="shared" si="133"/>
        <v>0</v>
      </c>
      <c r="AS637" s="180">
        <f t="shared" si="134"/>
        <v>1</v>
      </c>
      <c r="AT637" s="180" t="str">
        <f t="shared" ref="AT637:AT700" si="135">IFERROR(IF(VALUE(TEXT(C637,"mm"))=AH637,".",IF(TEXT(C637,"mm")="01",".",1)),"Value is not in date format")</f>
        <v>Value is not in date format</v>
      </c>
      <c r="AU637" s="180" t="str">
        <f t="shared" si="122"/>
        <v>.</v>
      </c>
      <c r="AV637" s="180" t="str">
        <f t="shared" si="123"/>
        <v>.</v>
      </c>
      <c r="AW637" s="180">
        <f>IFERROR(VLOOKUP(B637,'Share, Heavy Weapons to Ukraine'!B:J,COLUMN('Share, Heavy Weapons to Ukraine'!C650)-1,0),0)</f>
        <v>0</v>
      </c>
      <c r="AX637" s="180">
        <f>VLOOKUP('Bilateral Assistance, MAIN DATA'!B637,'Country Summary'!B:F,COLUMN('Country Summary'!C653)-1,FALSE)</f>
        <v>1</v>
      </c>
      <c r="AY637" s="180" t="str">
        <f>IF(AND(AD637=1,D637="Military",H637&lt;&gt;"Not given")=TRUE,IF(SUMIFS(P:P,A:A,A637)&gt;0,ABS((SUMIFS(P:P,A:A,A637)/VLOOKUP("USD",'Exchange Rates'!B:C,2,0)))/S637,"."),".")</f>
        <v>.</v>
      </c>
      <c r="AZ637" s="182" t="str">
        <f>IF(AND(AD637=1,D637="Military",H637&lt;&gt;"Not given")=TRUE,IF(SUMIFS(P:P,A:A,A637)&gt;0,IF((ABS((SUMIFS(P:P,A:A,A637)/VLOOKUP("USD",'Exchange Rates'!B:C,2,0)))/S637)&gt;1,(SUMIFS(P:P,A:A,A637)-S637)/S637,(S637-SUMIFS(P:P,A:A,A637))/SUMIFS(P:P,A:A,A637)),"."),".")</f>
        <v>.</v>
      </c>
      <c r="BA637" s="182"/>
      <c r="BB637" s="182"/>
      <c r="BC637" s="182"/>
      <c r="BD637" s="182"/>
      <c r="BE637" s="182"/>
      <c r="BF637" s="182"/>
      <c r="BG637" s="182"/>
      <c r="BH637" s="182"/>
      <c r="BI637" s="182"/>
      <c r="BJ637" s="182"/>
      <c r="BK637" s="182"/>
      <c r="BL637" s="182"/>
      <c r="BM637" s="182"/>
      <c r="BN637" s="182"/>
      <c r="BO637" s="182"/>
      <c r="BP637" s="182"/>
      <c r="BQ637" s="182"/>
      <c r="BR637" s="182"/>
      <c r="BS637" s="182"/>
    </row>
    <row r="638" spans="1:71" ht="15.9" customHeight="1" x14ac:dyDescent="0.3">
      <c r="A638" s="5" t="s">
        <v>1924</v>
      </c>
      <c r="B638" s="5" t="s">
        <v>1919</v>
      </c>
      <c r="C638" s="174">
        <v>44643</v>
      </c>
      <c r="D638" s="5" t="s">
        <v>285</v>
      </c>
      <c r="E638" s="5" t="s">
        <v>294</v>
      </c>
      <c r="F638" s="175" t="s">
        <v>1925</v>
      </c>
      <c r="G638" s="15" t="s">
        <v>364</v>
      </c>
      <c r="H638" s="176">
        <v>10000000</v>
      </c>
      <c r="I638" s="17" t="s">
        <v>598</v>
      </c>
      <c r="J638" s="113" t="str">
        <f>VLOOKUP($I638,'Price List, Weapons &amp; Items'!B:C,2,0)</f>
        <v>Military equipment</v>
      </c>
      <c r="K638" s="113" t="str">
        <f>IF(I638=".",I638,VLOOKUP($I638,'Price List, Weapons &amp; Items'!B:D,3,0))</f>
        <v>Military equipment</v>
      </c>
      <c r="L638" s="177">
        <f>VLOOKUP(I638,'Price List, Weapons &amp; Items'!B:E,4,0)</f>
        <v>0</v>
      </c>
      <c r="M638" s="542" t="s">
        <v>270</v>
      </c>
      <c r="N638" s="542" t="s">
        <v>270</v>
      </c>
      <c r="O638" s="543">
        <f>VLOOKUP($I638,'Price List, Weapons &amp; Items'!B:G,6,0)</f>
        <v>2320</v>
      </c>
      <c r="P638" s="176" t="str">
        <f t="shared" si="128"/>
        <v>.</v>
      </c>
      <c r="Q638" s="176" t="str">
        <f t="shared" si="129"/>
        <v>.</v>
      </c>
      <c r="R638" s="176">
        <f t="shared" si="126"/>
        <v>10000000</v>
      </c>
      <c r="S638" s="176">
        <f>IF(AND(AD638=1,R638&lt;&gt;".")=TRUE,R638/VLOOKUP(G638,'Exchange Rates'!B:C,2,0),IF(R638=".",".",""))</f>
        <v>10000000</v>
      </c>
      <c r="T638" s="176">
        <f>IF(AD638=1,IF(AF638="Value is not given at all",".",IF(AF638="Value is given by the source",S638,IF(AF638="Value is calculated with prices",(IF(SUMIFS(Q:Q,A:A,A638)&gt;0,SUMIFS(Q:Q,A:A,A638),"."))/VLOOKUP("USD",'Exchange Rates'!B:C,2,0),"Error with coding"))),"")</f>
        <v>10000000</v>
      </c>
      <c r="U638" s="15" t="s">
        <v>415</v>
      </c>
      <c r="V638" s="547" t="s">
        <v>1926</v>
      </c>
      <c r="W638" s="547" t="s">
        <v>1927</v>
      </c>
      <c r="X638" s="188" t="s">
        <v>260</v>
      </c>
      <c r="Y638" s="530" t="s">
        <v>260</v>
      </c>
      <c r="Z638" s="15">
        <v>0</v>
      </c>
      <c r="AA638" s="180">
        <v>0</v>
      </c>
      <c r="AB638" s="549" t="s">
        <v>633</v>
      </c>
      <c r="AC638" s="544" t="str">
        <f>""</f>
        <v/>
      </c>
      <c r="AD638" s="181">
        <v>1</v>
      </c>
      <c r="AE638" s="181" t="s">
        <v>264</v>
      </c>
      <c r="AF638" s="181" t="s">
        <v>264</v>
      </c>
      <c r="AG638" s="181">
        <v>1</v>
      </c>
      <c r="AH638" s="181">
        <v>3</v>
      </c>
      <c r="AI638" s="181">
        <v>0</v>
      </c>
      <c r="AJ638" s="181">
        <f>VLOOKUP($I638,'Price List, Weapons &amp; Items'!B:F,5,0)</f>
        <v>0</v>
      </c>
      <c r="AK638" s="181">
        <f t="shared" si="130"/>
        <v>0</v>
      </c>
      <c r="AL638" s="181">
        <f t="shared" si="131"/>
        <v>0</v>
      </c>
      <c r="AM638" s="181">
        <f t="shared" si="132"/>
        <v>0</v>
      </c>
      <c r="AN638" s="180" t="str">
        <f>VLOOKUP($I638,'Price List, Weapons &amp; Items'!B:L,COLUMN('Price List, Weapons &amp; Items'!$J$11)-1,0)</f>
        <v>Media reports (incl. social media)</v>
      </c>
      <c r="AO638" s="180" t="str">
        <f>IF(I638=".",".",VLOOKUP($I638,'Price List, Weapons &amp; Items'!B:J,3,0))</f>
        <v>Military equipment</v>
      </c>
      <c r="AP638" s="545" t="e">
        <f t="shared" ca="1" si="127"/>
        <v>#NAME?</v>
      </c>
      <c r="AQ638" s="180">
        <f>VLOOKUP($I638,'Price List, Weapons &amp; Items'!B:L,COLUMN('Price List, Weapons &amp; Items'!$L$11)-1,0)</f>
        <v>2</v>
      </c>
      <c r="AR638" s="180">
        <f t="shared" si="133"/>
        <v>0</v>
      </c>
      <c r="AS638" s="180">
        <f t="shared" si="134"/>
        <v>1</v>
      </c>
      <c r="AT638" s="180">
        <f t="shared" si="135"/>
        <v>1</v>
      </c>
      <c r="AU638" s="180" t="str">
        <f t="shared" si="122"/>
        <v>.</v>
      </c>
      <c r="AV638" s="180" t="str">
        <f t="shared" si="123"/>
        <v>.</v>
      </c>
      <c r="AW638" s="180">
        <f>IFERROR(VLOOKUP(B638,'Share, Heavy Weapons to Ukraine'!B:J,COLUMN('Share, Heavy Weapons to Ukraine'!C651)-1,0),0)</f>
        <v>0</v>
      </c>
      <c r="AX638" s="180">
        <f>VLOOKUP('Bilateral Assistance, MAIN DATA'!B638,'Country Summary'!B:F,COLUMN('Country Summary'!C654)-1,FALSE)</f>
        <v>1</v>
      </c>
      <c r="AY638" s="180" t="str">
        <f>IF(AND(AD638=1,D638="Military",H638&lt;&gt;"Not given")=TRUE,IF(SUMIFS(P:P,A:A,A638)&gt;0,ABS((SUMIFS(P:P,A:A,A638)/VLOOKUP("USD",'Exchange Rates'!B:C,2,0)))/S638,"."),".")</f>
        <v>.</v>
      </c>
      <c r="AZ638" s="182" t="str">
        <f>IF(AND(AD638=1,D638="Military",H638&lt;&gt;"Not given")=TRUE,IF(SUMIFS(P:P,A:A,A638)&gt;0,IF((ABS((SUMIFS(P:P,A:A,A638)/VLOOKUP("USD",'Exchange Rates'!B:C,2,0)))/S638)&gt;1,(SUMIFS(P:P,A:A,A638)-S638)/S638,(S638-SUMIFS(P:P,A:A,A638))/SUMIFS(P:P,A:A,A638)),"."),".")</f>
        <v>.</v>
      </c>
      <c r="BA638" s="182"/>
      <c r="BB638" s="182"/>
      <c r="BC638" s="182"/>
      <c r="BD638" s="182"/>
      <c r="BE638" s="182"/>
      <c r="BF638" s="182"/>
      <c r="BG638" s="182"/>
      <c r="BH638" s="182"/>
      <c r="BI638" s="182"/>
      <c r="BJ638" s="182"/>
      <c r="BK638" s="182"/>
      <c r="BL638" s="182"/>
      <c r="BM638" s="182"/>
      <c r="BN638" s="182"/>
      <c r="BO638" s="182"/>
      <c r="BP638" s="182"/>
      <c r="BQ638" s="182"/>
      <c r="BR638" s="182"/>
      <c r="BS638" s="182"/>
    </row>
    <row r="639" spans="1:71" ht="15.9" customHeight="1" x14ac:dyDescent="0.3">
      <c r="A639" s="5" t="s">
        <v>1924</v>
      </c>
      <c r="B639" s="5" t="s">
        <v>1919</v>
      </c>
      <c r="C639" s="174">
        <v>44643</v>
      </c>
      <c r="D639" s="5" t="s">
        <v>285</v>
      </c>
      <c r="E639" s="5" t="s">
        <v>294</v>
      </c>
      <c r="F639" s="175" t="s">
        <v>1925</v>
      </c>
      <c r="G639" s="15" t="s">
        <v>364</v>
      </c>
      <c r="H639" s="176">
        <v>10000000</v>
      </c>
      <c r="I639" s="17" t="s">
        <v>1928</v>
      </c>
      <c r="J639" s="113" t="str">
        <f>VLOOKUP($I639,'Price List, Weapons &amp; Items'!B:C,2,0)</f>
        <v>Portable defence system</v>
      </c>
      <c r="K639" s="113" t="str">
        <f>IF(I639=".",I639,VLOOKUP($I639,'Price List, Weapons &amp; Items'!B:D,3,0))</f>
        <v>Anti-drone</v>
      </c>
      <c r="L639" s="177">
        <f>VLOOKUP(I639,'Price List, Weapons &amp; Items'!B:E,4,0)</f>
        <v>0</v>
      </c>
      <c r="M639" s="542" t="s">
        <v>270</v>
      </c>
      <c r="N639" s="542" t="s">
        <v>270</v>
      </c>
      <c r="O639" s="543">
        <f>VLOOKUP($I639,'Price List, Weapons &amp; Items'!B:G,6,0)</f>
        <v>12000</v>
      </c>
      <c r="P639" s="176" t="str">
        <f t="shared" si="128"/>
        <v>.</v>
      </c>
      <c r="Q639" s="176" t="str">
        <f t="shared" si="129"/>
        <v>.</v>
      </c>
      <c r="R639" s="176" t="str">
        <f t="shared" si="126"/>
        <v/>
      </c>
      <c r="S639" s="176" t="str">
        <f>IF(AND(AD639=1,R639&lt;&gt;".")=TRUE,R639/VLOOKUP(G639,'Exchange Rates'!B:C,2,0),IF(R639=".",".",""))</f>
        <v/>
      </c>
      <c r="T639" s="176" t="str">
        <f>IF(AD639=1,IF(AF639="Value is not given at all",".",IF(AF639="Value is given by the source",S639,IF(AF639="Value is calculated with prices",(IF(SUMIFS(Q:Q,A:A,A639)&gt;0,SUMIFS(Q:Q,A:A,A639),"."))/VLOOKUP("USD",'Exchange Rates'!B:C,2,0),"Error with coding"))),"")</f>
        <v/>
      </c>
      <c r="U639" s="15" t="s">
        <v>415</v>
      </c>
      <c r="V639" s="547" t="s">
        <v>1926</v>
      </c>
      <c r="W639" s="547" t="s">
        <v>1927</v>
      </c>
      <c r="X639" s="188" t="s">
        <v>260</v>
      </c>
      <c r="Y639" s="530" t="s">
        <v>260</v>
      </c>
      <c r="Z639" s="15">
        <v>0</v>
      </c>
      <c r="AA639" s="180">
        <v>0</v>
      </c>
      <c r="AB639" s="549" t="s">
        <v>633</v>
      </c>
      <c r="AC639" s="544" t="str">
        <f>""</f>
        <v/>
      </c>
      <c r="AD639" s="181">
        <v>0</v>
      </c>
      <c r="AE639" s="181" t="s">
        <v>264</v>
      </c>
      <c r="AF639" s="181" t="s">
        <v>264</v>
      </c>
      <c r="AG639" s="181">
        <v>1</v>
      </c>
      <c r="AH639" s="181">
        <v>3</v>
      </c>
      <c r="AI639" s="181">
        <v>0</v>
      </c>
      <c r="AJ639" s="181">
        <f>VLOOKUP($I639,'Price List, Weapons &amp; Items'!B:F,5,0)</f>
        <v>0</v>
      </c>
      <c r="AK639" s="181">
        <f t="shared" si="130"/>
        <v>0</v>
      </c>
      <c r="AL639" s="181">
        <f t="shared" si="131"/>
        <v>0</v>
      </c>
      <c r="AM639" s="181">
        <f t="shared" si="132"/>
        <v>0</v>
      </c>
      <c r="AN639" s="180" t="str">
        <f>VLOOKUP($I639,'Price List, Weapons &amp; Items'!B:L,COLUMN('Price List, Weapons &amp; Items'!$J$11)-1,0)</f>
        <v>Media reports (incl. social media)</v>
      </c>
      <c r="AO639" s="180" t="str">
        <f>IF(I639=".",".",VLOOKUP($I639,'Price List, Weapons &amp; Items'!B:J,3,0))</f>
        <v>Anti-drone</v>
      </c>
      <c r="AP639" s="545" t="str">
        <f t="shared" ca="1" si="127"/>
        <v/>
      </c>
      <c r="AQ639" s="180" t="str">
        <f>VLOOKUP($I639,'Price List, Weapons &amp; Items'!B:L,COLUMN('Price List, Weapons &amp; Items'!$L$11)-1,0)</f>
        <v>no price, 0 count</v>
      </c>
      <c r="AR639" s="180">
        <f t="shared" si="133"/>
        <v>0</v>
      </c>
      <c r="AS639" s="180">
        <f t="shared" si="134"/>
        <v>1</v>
      </c>
      <c r="AT639" s="180">
        <f t="shared" si="135"/>
        <v>1</v>
      </c>
      <c r="AU639" s="180" t="str">
        <f t="shared" ref="AU639:AU702" si="136">IF(AND(A639=A638,C639=C638)=TRUE,IF(F639=F638,".","1"),".")</f>
        <v>.</v>
      </c>
      <c r="AV639" s="180" t="str">
        <f t="shared" ref="AV639:AV702" si="137">IF(T639&lt;&gt;".",IF(T639&gt;S639,1,"."),".")</f>
        <v>.</v>
      </c>
      <c r="AW639" s="180">
        <f>IFERROR(VLOOKUP(B639,'Share, Heavy Weapons to Ukraine'!B:J,COLUMN('Share, Heavy Weapons to Ukraine'!C652)-1,0),0)</f>
        <v>0</v>
      </c>
      <c r="AX639" s="180">
        <f>VLOOKUP('Bilateral Assistance, MAIN DATA'!B639,'Country Summary'!B:F,COLUMN('Country Summary'!C655)-1,FALSE)</f>
        <v>1</v>
      </c>
      <c r="AY639" s="180" t="str">
        <f>IF(AND(AD639=1,D639="Military",H639&lt;&gt;"Not given")=TRUE,IF(SUMIFS(P:P,A:A,A639)&gt;0,ABS((SUMIFS(P:P,A:A,A639)/VLOOKUP("USD",'Exchange Rates'!B:C,2,0)))/S639,"."),".")</f>
        <v>.</v>
      </c>
      <c r="AZ639" s="182" t="str">
        <f>IF(AND(AD639=1,D639="Military",H639&lt;&gt;"Not given")=TRUE,IF(SUMIFS(P:P,A:A,A639)&gt;0,IF((ABS((SUMIFS(P:P,A:A,A639)/VLOOKUP("USD",'Exchange Rates'!B:C,2,0)))/S639)&gt;1,(SUMIFS(P:P,A:A,A639)-S639)/S639,(S639-SUMIFS(P:P,A:A,A639))/SUMIFS(P:P,A:A,A639)),"."),".")</f>
        <v>.</v>
      </c>
      <c r="BA639" s="182"/>
      <c r="BB639" s="182"/>
      <c r="BC639" s="182"/>
      <c r="BD639" s="182"/>
      <c r="BE639" s="182"/>
      <c r="BF639" s="182"/>
      <c r="BG639" s="182"/>
      <c r="BH639" s="182"/>
      <c r="BI639" s="182"/>
      <c r="BJ639" s="182"/>
      <c r="BK639" s="182"/>
      <c r="BL639" s="182"/>
      <c r="BM639" s="182"/>
      <c r="BN639" s="182"/>
      <c r="BO639" s="182"/>
      <c r="BP639" s="182"/>
      <c r="BQ639" s="182"/>
      <c r="BR639" s="182"/>
      <c r="BS639" s="182"/>
    </row>
    <row r="640" spans="1:71" ht="15.9" customHeight="1" x14ac:dyDescent="0.3">
      <c r="A640" s="17" t="s">
        <v>1929</v>
      </c>
      <c r="B640" s="17" t="s">
        <v>1919</v>
      </c>
      <c r="C640" s="174">
        <v>44672</v>
      </c>
      <c r="D640" s="5" t="s">
        <v>285</v>
      </c>
      <c r="E640" s="5" t="s">
        <v>339</v>
      </c>
      <c r="F640" s="175" t="s">
        <v>1930</v>
      </c>
      <c r="G640" s="15" t="s">
        <v>364</v>
      </c>
      <c r="H640" s="176">
        <v>61000000</v>
      </c>
      <c r="I640" s="17" t="s">
        <v>1931</v>
      </c>
      <c r="J640" s="113" t="str">
        <f>VLOOKUP($I640,'Price List, Weapons &amp; Items'!B:C,2,0)</f>
        <v>Heavy weapon</v>
      </c>
      <c r="K640" s="113" t="str">
        <f>IF(I640=".",I640,VLOOKUP($I640,'Price List, Weapons &amp; Items'!B:D,3,0))</f>
        <v>Mortar</v>
      </c>
      <c r="L640" s="177">
        <f>VLOOKUP(I640,'Price List, Weapons &amp; Items'!B:E,4,0)</f>
        <v>0</v>
      </c>
      <c r="M640" s="542" t="s">
        <v>270</v>
      </c>
      <c r="N640" s="542" t="s">
        <v>270</v>
      </c>
      <c r="O640" s="543">
        <f>VLOOKUP($I640,'Price List, Weapons &amp; Items'!B:G,6,0)</f>
        <v>463188.2</v>
      </c>
      <c r="P640" s="176" t="str">
        <f t="shared" si="128"/>
        <v>.</v>
      </c>
      <c r="Q640" s="176" t="str">
        <f t="shared" si="129"/>
        <v>.</v>
      </c>
      <c r="R640" s="176">
        <f t="shared" si="126"/>
        <v>61000000</v>
      </c>
      <c r="S640" s="176">
        <f>IF(AND(AD640=1,R640&lt;&gt;".")=TRUE,R640/VLOOKUP(G640,'Exchange Rates'!B:C,2,0),IF(R640=".",".",""))</f>
        <v>61000000</v>
      </c>
      <c r="T640" s="176">
        <f>IF(AD640=1,IF(AF640="Value is not given at all",".",IF(AF640="Value is given by the source",S640,IF(AF640="Value is calculated with prices",(IF(SUMIFS(Q:Q,A:A,A640)&gt;0,SUMIFS(Q:Q,A:A,A640),"."))/VLOOKUP("USD",'Exchange Rates'!B:C,2,0),"Error with coding"))),"")</f>
        <v>61000000</v>
      </c>
      <c r="U640" s="15" t="s">
        <v>415</v>
      </c>
      <c r="V640" s="300" t="s">
        <v>1932</v>
      </c>
      <c r="W640" s="300" t="s">
        <v>1933</v>
      </c>
      <c r="X640" s="300" t="s">
        <v>1934</v>
      </c>
      <c r="Y640" s="300" t="s">
        <v>1935</v>
      </c>
      <c r="Z640" s="15">
        <v>0</v>
      </c>
      <c r="AA640" s="180">
        <v>0</v>
      </c>
      <c r="AB640" s="549" t="s">
        <v>633</v>
      </c>
      <c r="AC640" s="544" t="str">
        <f>""</f>
        <v/>
      </c>
      <c r="AD640" s="181">
        <v>1</v>
      </c>
      <c r="AE640" s="181" t="s">
        <v>264</v>
      </c>
      <c r="AF640" s="181" t="s">
        <v>264</v>
      </c>
      <c r="AG640" s="181">
        <v>1</v>
      </c>
      <c r="AH640" s="181">
        <v>4</v>
      </c>
      <c r="AI640" s="181">
        <v>0</v>
      </c>
      <c r="AJ640" s="181">
        <f>VLOOKUP($I640,'Price List, Weapons &amp; Items'!B:F,5,0)</f>
        <v>0</v>
      </c>
      <c r="AK640" s="181">
        <f t="shared" si="130"/>
        <v>0</v>
      </c>
      <c r="AL640" s="181">
        <f t="shared" si="131"/>
        <v>0</v>
      </c>
      <c r="AM640" s="181">
        <f t="shared" si="132"/>
        <v>0</v>
      </c>
      <c r="AN640" s="180" t="str">
        <f>VLOOKUP($I640,'Price List, Weapons &amp; Items'!B:L,COLUMN('Price List, Weapons &amp; Items'!$J$11)-1,0)</f>
        <v>Military media (incl. websites)</v>
      </c>
      <c r="AO640" s="180" t="str">
        <f>IF(I640=".",".",VLOOKUP($I640,'Price List, Weapons &amp; Items'!B:J,3,0))</f>
        <v>Mortar</v>
      </c>
      <c r="AP640" s="545" t="e">
        <f t="shared" ca="1" si="127"/>
        <v>#NAME?</v>
      </c>
      <c r="AQ640" s="180">
        <f>VLOOKUP($I640,'Price List, Weapons &amp; Items'!B:L,COLUMN('Price List, Weapons &amp; Items'!$L$11)-1,0)</f>
        <v>2</v>
      </c>
      <c r="AR640" s="180">
        <f t="shared" si="133"/>
        <v>0</v>
      </c>
      <c r="AS640" s="180">
        <f t="shared" si="134"/>
        <v>1</v>
      </c>
      <c r="AT640" s="180">
        <f t="shared" si="135"/>
        <v>1</v>
      </c>
      <c r="AU640" s="180" t="str">
        <f t="shared" si="136"/>
        <v>.</v>
      </c>
      <c r="AV640" s="180" t="str">
        <f t="shared" si="137"/>
        <v>.</v>
      </c>
      <c r="AW640" s="180">
        <f>IFERROR(VLOOKUP(B640,'Share, Heavy Weapons to Ukraine'!B:J,COLUMN('Share, Heavy Weapons to Ukraine'!C653)-1,0),0)</f>
        <v>0</v>
      </c>
      <c r="AX640" s="180">
        <f>VLOOKUP('Bilateral Assistance, MAIN DATA'!B640,'Country Summary'!B:F,COLUMN('Country Summary'!C656)-1,FALSE)</f>
        <v>1</v>
      </c>
      <c r="AY640" s="180" t="str">
        <f>IF(AND(AD640=1,D640="Military",H640&lt;&gt;"Not given")=TRUE,IF(SUMIFS(P:P,A:A,A640)&gt;0,ABS((SUMIFS(P:P,A:A,A640)/VLOOKUP("USD",'Exchange Rates'!B:C,2,0)))/S640,"."),".")</f>
        <v>.</v>
      </c>
      <c r="AZ640" s="182" t="str">
        <f>IF(AND(AD640=1,D640="Military",H640&lt;&gt;"Not given")=TRUE,IF(SUMIFS(P:P,A:A,A640)&gt;0,IF((ABS((SUMIFS(P:P,A:A,A640)/VLOOKUP("USD",'Exchange Rates'!B:C,2,0)))/S640)&gt;1,(SUMIFS(P:P,A:A,A640)-S640)/S640,(S640-SUMIFS(P:P,A:A,A640))/SUMIFS(P:P,A:A,A640)),"."),".")</f>
        <v>.</v>
      </c>
      <c r="BA640" s="182"/>
      <c r="BB640" s="182"/>
      <c r="BC640" s="182"/>
      <c r="BD640" s="182"/>
      <c r="BE640" s="182"/>
      <c r="BF640" s="182"/>
      <c r="BG640" s="182"/>
      <c r="BH640" s="182"/>
      <c r="BI640" s="182"/>
      <c r="BJ640" s="182"/>
      <c r="BK640" s="182"/>
      <c r="BL640" s="182"/>
      <c r="BM640" s="182"/>
      <c r="BN640" s="182"/>
      <c r="BO640" s="182"/>
      <c r="BP640" s="182"/>
      <c r="BQ640" s="182"/>
      <c r="BR640" s="182"/>
      <c r="BS640" s="182"/>
    </row>
    <row r="641" spans="1:71" ht="15.9" customHeight="1" x14ac:dyDescent="0.3">
      <c r="A641" s="5" t="s">
        <v>1936</v>
      </c>
      <c r="B641" s="5" t="s">
        <v>1919</v>
      </c>
      <c r="C641" s="174">
        <v>44706</v>
      </c>
      <c r="D641" s="5" t="s">
        <v>285</v>
      </c>
      <c r="E641" s="5" t="s">
        <v>294</v>
      </c>
      <c r="F641" s="175" t="s">
        <v>1937</v>
      </c>
      <c r="G641" s="15" t="s">
        <v>364</v>
      </c>
      <c r="H641" s="176">
        <v>15500000</v>
      </c>
      <c r="I641" s="17" t="s">
        <v>324</v>
      </c>
      <c r="J641" s="113" t="str">
        <f>VLOOKUP($I641,'Price List, Weapons &amp; Items'!B:C,2,0)</f>
        <v>Heavy weapon</v>
      </c>
      <c r="K641" s="113" t="str">
        <f>IF(I641=".",I641,VLOOKUP($I641,'Price List, Weapons &amp; Items'!B:D,3,0))</f>
        <v>Armoured Personnel Carrier (APC)</v>
      </c>
      <c r="L641" s="177">
        <f>VLOOKUP(I641,'Price List, Weapons &amp; Items'!B:E,4,0)</f>
        <v>0</v>
      </c>
      <c r="M641" s="542">
        <v>20</v>
      </c>
      <c r="N641" s="542">
        <v>20</v>
      </c>
      <c r="O641" s="543">
        <f>VLOOKUP($I641,'Price List, Weapons &amp; Items'!B:G,6,0)</f>
        <v>300000</v>
      </c>
      <c r="P641" s="176">
        <f t="shared" si="128"/>
        <v>6000000</v>
      </c>
      <c r="Q641" s="176">
        <f t="shared" si="129"/>
        <v>6000000</v>
      </c>
      <c r="R641" s="176">
        <f t="shared" si="126"/>
        <v>15500000</v>
      </c>
      <c r="S641" s="176">
        <f>IF(AND(AD641=1,R641&lt;&gt;".")=TRUE,R641/VLOOKUP(G641,'Exchange Rates'!B:C,2,0),IF(R641=".",".",""))</f>
        <v>15500000</v>
      </c>
      <c r="T641" s="176">
        <f>IF(AD641=1,IF(AF641="Value is not given at all",".",IF(AF641="Value is given by the source",S641,IF(AF641="Value is calculated with prices",(IF(SUMIFS(Q:Q,A:A,A641)&gt;0,SUMIFS(Q:Q,A:A,A641),"."))/VLOOKUP("USD",'Exchange Rates'!B:C,2,0),"Error with coding"))),"")</f>
        <v>9357523.8095238097</v>
      </c>
      <c r="U641" s="15" t="s">
        <v>415</v>
      </c>
      <c r="V641" s="547" t="s">
        <v>1938</v>
      </c>
      <c r="W641" s="547" t="s">
        <v>1939</v>
      </c>
      <c r="X641" s="547" t="s">
        <v>1940</v>
      </c>
      <c r="Y641" s="547" t="s">
        <v>1941</v>
      </c>
      <c r="Z641" s="15">
        <v>0</v>
      </c>
      <c r="AA641" s="180">
        <v>0</v>
      </c>
      <c r="AB641" s="550" t="s">
        <v>1942</v>
      </c>
      <c r="AC641" s="544" t="str">
        <f>""</f>
        <v/>
      </c>
      <c r="AD641" s="181">
        <v>1</v>
      </c>
      <c r="AE641" s="181" t="s">
        <v>264</v>
      </c>
      <c r="AF641" s="181" t="s">
        <v>332</v>
      </c>
      <c r="AG641" s="181">
        <v>1</v>
      </c>
      <c r="AH641" s="181">
        <v>5</v>
      </c>
      <c r="AI641" s="181">
        <v>0</v>
      </c>
      <c r="AJ641" s="181">
        <f>VLOOKUP($I641,'Price List, Weapons &amp; Items'!B:F,5,0)</f>
        <v>1</v>
      </c>
      <c r="AK641" s="181">
        <f t="shared" si="130"/>
        <v>0</v>
      </c>
      <c r="AL641" s="181">
        <f t="shared" si="131"/>
        <v>0</v>
      </c>
      <c r="AM641" s="181">
        <f t="shared" si="132"/>
        <v>0</v>
      </c>
      <c r="AN641" s="180" t="str">
        <f>VLOOKUP($I641,'Price List, Weapons &amp; Items'!B:L,COLUMN('Price List, Weapons &amp; Items'!$J$11)-1,0)</f>
        <v>Military media (incl. websites)</v>
      </c>
      <c r="AO641" s="180" t="str">
        <f>IF(I641=".",".",VLOOKUP($I641,'Price List, Weapons &amp; Items'!B:J,3,0))</f>
        <v>Armoured Personnel Carrier (APC)</v>
      </c>
      <c r="AP641" s="545" t="e">
        <f t="shared" ca="1" si="127"/>
        <v>#NAME?</v>
      </c>
      <c r="AQ641" s="180">
        <f>VLOOKUP($I641,'Price List, Weapons &amp; Items'!B:L,COLUMN('Price List, Weapons &amp; Items'!$L$11)-1,0)</f>
        <v>2</v>
      </c>
      <c r="AR641" s="180">
        <f t="shared" si="133"/>
        <v>0</v>
      </c>
      <c r="AS641" s="180">
        <f t="shared" si="134"/>
        <v>1</v>
      </c>
      <c r="AT641" s="180">
        <f t="shared" si="135"/>
        <v>1</v>
      </c>
      <c r="AU641" s="180" t="str">
        <f t="shared" si="136"/>
        <v>.</v>
      </c>
      <c r="AV641" s="180" t="str">
        <f t="shared" si="137"/>
        <v>.</v>
      </c>
      <c r="AW641" s="180">
        <f>IFERROR(VLOOKUP(B641,'Share, Heavy Weapons to Ukraine'!B:J,COLUMN('Share, Heavy Weapons to Ukraine'!C654)-1,0),0)</f>
        <v>0</v>
      </c>
      <c r="AX641" s="180">
        <f>VLOOKUP('Bilateral Assistance, MAIN DATA'!B641,'Country Summary'!B:F,COLUMN('Country Summary'!C657)-1,FALSE)</f>
        <v>1</v>
      </c>
      <c r="AY641" s="180">
        <f>IF(AND(AD641=1,D641="Military",H641&lt;&gt;"Not given")=TRUE,IF(SUMIFS(P:P,A:A,A641)&gt;0,ABS((SUMIFS(P:P,A:A,A641)/VLOOKUP("USD",'Exchange Rates'!B:C,2,0)))/S641,"."),".")</f>
        <v>0.6037112135176651</v>
      </c>
      <c r="AZ641" s="182">
        <f>IF(AND(AD641=1,D641="Military",H641&lt;&gt;"Not given")=TRUE,IF(SUMIFS(P:P,A:A,A641)&gt;0,IF((ABS((SUMIFS(P:P,A:A,A641)/VLOOKUP("USD",'Exchange Rates'!B:C,2,0)))/S641)&gt;1,(SUMIFS(P:P,A:A,A641)-S641)/S641,(S641-SUMIFS(P:P,A:A,A641))/SUMIFS(P:P,A:A,A641)),"."),".")</f>
        <v>0.57754391678710282</v>
      </c>
      <c r="BA641" s="182"/>
      <c r="BB641" s="182"/>
      <c r="BC641" s="182"/>
      <c r="BD641" s="182"/>
      <c r="BE641" s="182"/>
      <c r="BF641" s="182"/>
      <c r="BG641" s="182"/>
      <c r="BH641" s="182"/>
      <c r="BI641" s="182"/>
      <c r="BJ641" s="182"/>
      <c r="BK641" s="182"/>
      <c r="BL641" s="182"/>
      <c r="BM641" s="182"/>
      <c r="BN641" s="182"/>
      <c r="BO641" s="182"/>
      <c r="BP641" s="182"/>
      <c r="BQ641" s="182"/>
      <c r="BR641" s="182"/>
      <c r="BS641" s="182"/>
    </row>
    <row r="642" spans="1:71" ht="15.9" customHeight="1" x14ac:dyDescent="0.3">
      <c r="A642" s="5" t="s">
        <v>1936</v>
      </c>
      <c r="B642" s="5" t="s">
        <v>1919</v>
      </c>
      <c r="C642" s="174">
        <v>44706</v>
      </c>
      <c r="D642" s="5" t="s">
        <v>285</v>
      </c>
      <c r="E642" s="5" t="s">
        <v>294</v>
      </c>
      <c r="F642" s="175" t="s">
        <v>1937</v>
      </c>
      <c r="G642" s="15" t="s">
        <v>364</v>
      </c>
      <c r="H642" s="176">
        <v>15500000</v>
      </c>
      <c r="I642" s="219" t="s">
        <v>1943</v>
      </c>
      <c r="J642" s="113" t="str">
        <f>VLOOKUP($I642,'Price List, Weapons &amp; Items'!B:C,2,0)</f>
        <v>Military equipment</v>
      </c>
      <c r="K642" s="113" t="str">
        <f>IF(I642=".",I642,VLOOKUP($I642,'Price List, Weapons &amp; Items'!B:D,3,0))</f>
        <v>Military equipment</v>
      </c>
      <c r="L642" s="177">
        <f>VLOOKUP(I642,'Price List, Weapons &amp; Items'!B:E,4,0)</f>
        <v>0</v>
      </c>
      <c r="M642" s="542">
        <v>10</v>
      </c>
      <c r="N642" s="542">
        <v>10</v>
      </c>
      <c r="O642" s="543">
        <f>VLOOKUP($I642,'Price List, Weapons &amp; Items'!B:G,6,0)</f>
        <v>350000</v>
      </c>
      <c r="P642" s="176">
        <f t="shared" si="128"/>
        <v>3500000</v>
      </c>
      <c r="Q642" s="176">
        <f t="shared" si="129"/>
        <v>3500000</v>
      </c>
      <c r="R642" s="176" t="str">
        <f t="shared" si="126"/>
        <v/>
      </c>
      <c r="S642" s="176" t="str">
        <f>IF(AND(AD642=1,R642&lt;&gt;".")=TRUE,R642/VLOOKUP(G642,'Exchange Rates'!B:C,2,0),IF(R642=".",".",""))</f>
        <v/>
      </c>
      <c r="T642" s="176" t="str">
        <f>IF(AD642=1,IF(AF642="Value is not given at all",".",IF(AF642="Value is given by the source",S642,IF(AF642="Value is calculated with prices",(IF(SUMIFS(Q:Q,A:A,A642)&gt;0,SUMIFS(Q:Q,A:A,A642),"."))/VLOOKUP("USD",'Exchange Rates'!B:C,2,0),"Error with coding"))),"")</f>
        <v/>
      </c>
      <c r="U642" s="15" t="s">
        <v>415</v>
      </c>
      <c r="V642" s="547" t="s">
        <v>1938</v>
      </c>
      <c r="W642" s="547" t="s">
        <v>1939</v>
      </c>
      <c r="X642" s="547" t="s">
        <v>1940</v>
      </c>
      <c r="Y642" s="547" t="s">
        <v>1941</v>
      </c>
      <c r="Z642" s="15">
        <v>0</v>
      </c>
      <c r="AA642" s="180">
        <v>0</v>
      </c>
      <c r="AB642" s="550" t="s">
        <v>1942</v>
      </c>
      <c r="AC642" s="544" t="str">
        <f>""</f>
        <v/>
      </c>
      <c r="AD642" s="181">
        <v>0</v>
      </c>
      <c r="AE642" s="181" t="s">
        <v>264</v>
      </c>
      <c r="AF642" s="181" t="s">
        <v>332</v>
      </c>
      <c r="AG642" s="181">
        <v>1</v>
      </c>
      <c r="AH642" s="181">
        <v>5</v>
      </c>
      <c r="AI642" s="181">
        <v>0</v>
      </c>
      <c r="AJ642" s="181">
        <f>VLOOKUP($I642,'Price List, Weapons &amp; Items'!B:F,5,0)</f>
        <v>0</v>
      </c>
      <c r="AK642" s="181">
        <f t="shared" si="130"/>
        <v>0</v>
      </c>
      <c r="AL642" s="181">
        <f t="shared" si="131"/>
        <v>0</v>
      </c>
      <c r="AM642" s="181">
        <f t="shared" si="132"/>
        <v>0</v>
      </c>
      <c r="AN642" s="180" t="str">
        <f>VLOOKUP($I642,'Price List, Weapons &amp; Items'!B:L,COLUMN('Price List, Weapons &amp; Items'!$J$11)-1,0)</f>
        <v>Media reports (incl. social media)</v>
      </c>
      <c r="AO642" s="180" t="str">
        <f>IF(I642=".",".",VLOOKUP($I642,'Price List, Weapons &amp; Items'!B:J,3,0))</f>
        <v>Military equipment</v>
      </c>
      <c r="AP642" s="545" t="str">
        <f t="shared" ca="1" si="127"/>
        <v/>
      </c>
      <c r="AQ642" s="180">
        <f>VLOOKUP($I642,'Price List, Weapons &amp; Items'!B:L,COLUMN('Price List, Weapons &amp; Items'!$L$11)-1,0)</f>
        <v>2</v>
      </c>
      <c r="AR642" s="180">
        <f t="shared" si="133"/>
        <v>0</v>
      </c>
      <c r="AS642" s="180">
        <f t="shared" si="134"/>
        <v>1</v>
      </c>
      <c r="AT642" s="180">
        <f t="shared" si="135"/>
        <v>1</v>
      </c>
      <c r="AU642" s="180" t="str">
        <f t="shared" si="136"/>
        <v>.</v>
      </c>
      <c r="AV642" s="180" t="str">
        <f t="shared" si="137"/>
        <v>.</v>
      </c>
      <c r="AW642" s="180">
        <f>IFERROR(VLOOKUP(B642,'Share, Heavy Weapons to Ukraine'!B:J,COLUMN('Share, Heavy Weapons to Ukraine'!C655)-1,0),0)</f>
        <v>0</v>
      </c>
      <c r="AX642" s="180">
        <f>VLOOKUP('Bilateral Assistance, MAIN DATA'!B642,'Country Summary'!B:F,COLUMN('Country Summary'!C658)-1,FALSE)</f>
        <v>1</v>
      </c>
      <c r="AY642" s="180" t="str">
        <f>IF(AND(AD642=1,D642="Military",H642&lt;&gt;"Not given")=TRUE,IF(SUMIFS(P:P,A:A,A642)&gt;0,ABS((SUMIFS(P:P,A:A,A642)/VLOOKUP("USD",'Exchange Rates'!B:C,2,0)))/S642,"."),".")</f>
        <v>.</v>
      </c>
      <c r="AZ642" s="182" t="str">
        <f>IF(AND(AD642=1,D642="Military",H642&lt;&gt;"Not given")=TRUE,IF(SUMIFS(P:P,A:A,A642)&gt;0,IF((ABS((SUMIFS(P:P,A:A,A642)/VLOOKUP("USD",'Exchange Rates'!B:C,2,0)))/S642)&gt;1,(SUMIFS(P:P,A:A,A642)-S642)/S642,(S642-SUMIFS(P:P,A:A,A642))/SUMIFS(P:P,A:A,A642)),"."),".")</f>
        <v>.</v>
      </c>
      <c r="BA642" s="182"/>
      <c r="BB642" s="182"/>
      <c r="BC642" s="182"/>
      <c r="BD642" s="182"/>
      <c r="BE642" s="182"/>
      <c r="BF642" s="182"/>
      <c r="BG642" s="182"/>
      <c r="BH642" s="182"/>
      <c r="BI642" s="182"/>
      <c r="BJ642" s="182"/>
      <c r="BK642" s="182"/>
      <c r="BL642" s="182"/>
      <c r="BM642" s="182"/>
      <c r="BN642" s="182"/>
      <c r="BO642" s="182"/>
      <c r="BP642" s="182"/>
      <c r="BQ642" s="182"/>
      <c r="BR642" s="182"/>
      <c r="BS642" s="182"/>
    </row>
    <row r="643" spans="1:71" ht="15.9" customHeight="1" x14ac:dyDescent="0.3">
      <c r="A643" s="5" t="s">
        <v>1936</v>
      </c>
      <c r="B643" s="5" t="s">
        <v>1919</v>
      </c>
      <c r="C643" s="174">
        <v>44706</v>
      </c>
      <c r="D643" s="5" t="s">
        <v>285</v>
      </c>
      <c r="E643" s="5" t="s">
        <v>294</v>
      </c>
      <c r="F643" s="175" t="s">
        <v>1937</v>
      </c>
      <c r="G643" s="15" t="s">
        <v>364</v>
      </c>
      <c r="H643" s="176">
        <v>15500000</v>
      </c>
      <c r="I643" s="17" t="s">
        <v>1944</v>
      </c>
      <c r="J643" s="113" t="str">
        <f>VLOOKUP($I643,'Price List, Weapons &amp; Items'!B:C,2,0)</f>
        <v>Military equipment</v>
      </c>
      <c r="K643" s="113" t="str">
        <f>IF(I643=".",I643,VLOOKUP($I643,'Price List, Weapons &amp; Items'!B:D,3,0))</f>
        <v>non combat military vehicle</v>
      </c>
      <c r="L643" s="177">
        <f>VLOOKUP(I643,'Price List, Weapons &amp; Items'!B:E,4,0)</f>
        <v>0</v>
      </c>
      <c r="M643" s="542">
        <v>10</v>
      </c>
      <c r="N643" s="542">
        <v>10</v>
      </c>
      <c r="O643" s="543">
        <f>VLOOKUP($I643,'Price List, Weapons &amp; Items'!B:G,6,0)</f>
        <v>32540</v>
      </c>
      <c r="P643" s="176">
        <f t="shared" si="128"/>
        <v>325400</v>
      </c>
      <c r="Q643" s="176">
        <f t="shared" si="129"/>
        <v>325400</v>
      </c>
      <c r="R643" s="176" t="str">
        <f t="shared" si="126"/>
        <v/>
      </c>
      <c r="S643" s="176" t="str">
        <f>IF(AND(AD643=1,R643&lt;&gt;".")=TRUE,R643/VLOOKUP(G643,'Exchange Rates'!B:C,2,0),IF(R643=".",".",""))</f>
        <v/>
      </c>
      <c r="T643" s="176" t="str">
        <f>IF(AD643=1,IF(AF643="Value is not given at all",".",IF(AF643="Value is given by the source",S643,IF(AF643="Value is calculated with prices",(IF(SUMIFS(Q:Q,A:A,A643)&gt;0,SUMIFS(Q:Q,A:A,A643),"."))/VLOOKUP("USD",'Exchange Rates'!B:C,2,0),"Error with coding"))),"")</f>
        <v/>
      </c>
      <c r="U643" s="15" t="s">
        <v>415</v>
      </c>
      <c r="V643" s="547" t="s">
        <v>1938</v>
      </c>
      <c r="W643" s="547" t="s">
        <v>1939</v>
      </c>
      <c r="X643" s="547" t="s">
        <v>1940</v>
      </c>
      <c r="Y643" s="547" t="s">
        <v>1941</v>
      </c>
      <c r="Z643" s="15">
        <v>0</v>
      </c>
      <c r="AA643" s="180">
        <v>0</v>
      </c>
      <c r="AB643" s="550" t="s">
        <v>1942</v>
      </c>
      <c r="AC643" s="544" t="str">
        <f>""</f>
        <v/>
      </c>
      <c r="AD643" s="181">
        <v>0</v>
      </c>
      <c r="AE643" s="181" t="s">
        <v>264</v>
      </c>
      <c r="AF643" s="181" t="s">
        <v>332</v>
      </c>
      <c r="AG643" s="181">
        <v>1</v>
      </c>
      <c r="AH643" s="181">
        <v>5</v>
      </c>
      <c r="AI643" s="181">
        <v>0</v>
      </c>
      <c r="AJ643" s="181">
        <f>VLOOKUP($I643,'Price List, Weapons &amp; Items'!B:F,5,0)</f>
        <v>0</v>
      </c>
      <c r="AK643" s="181">
        <f t="shared" si="130"/>
        <v>0</v>
      </c>
      <c r="AL643" s="181">
        <f t="shared" si="131"/>
        <v>0</v>
      </c>
      <c r="AM643" s="181">
        <f t="shared" si="132"/>
        <v>0</v>
      </c>
      <c r="AN643" s="180" t="str">
        <f>VLOOKUP($I643,'Price List, Weapons &amp; Items'!B:L,COLUMN('Price List, Weapons &amp; Items'!$J$11)-1,0)</f>
        <v>Miscellaneous</v>
      </c>
      <c r="AO643" s="180" t="str">
        <f>IF(I643=".",".",VLOOKUP($I643,'Price List, Weapons &amp; Items'!B:J,3,0))</f>
        <v>non combat military vehicle</v>
      </c>
      <c r="AP643" s="545" t="str">
        <f t="shared" ca="1" si="127"/>
        <v/>
      </c>
      <c r="AQ643" s="180">
        <f>VLOOKUP($I643,'Price List, Weapons &amp; Items'!B:L,COLUMN('Price List, Weapons &amp; Items'!$L$11)-1,0)</f>
        <v>1</v>
      </c>
      <c r="AR643" s="180">
        <f t="shared" si="133"/>
        <v>0</v>
      </c>
      <c r="AS643" s="180">
        <f t="shared" si="134"/>
        <v>1</v>
      </c>
      <c r="AT643" s="180">
        <f t="shared" si="135"/>
        <v>1</v>
      </c>
      <c r="AU643" s="180" t="str">
        <f t="shared" si="136"/>
        <v>.</v>
      </c>
      <c r="AV643" s="180" t="str">
        <f t="shared" si="137"/>
        <v>.</v>
      </c>
      <c r="AW643" s="180">
        <f>IFERROR(VLOOKUP(B643,'Share, Heavy Weapons to Ukraine'!B:J,COLUMN('Share, Heavy Weapons to Ukraine'!C656)-1,0),0)</f>
        <v>0</v>
      </c>
      <c r="AX643" s="180">
        <f>VLOOKUP('Bilateral Assistance, MAIN DATA'!B643,'Country Summary'!B:F,COLUMN('Country Summary'!C659)-1,FALSE)</f>
        <v>1</v>
      </c>
      <c r="AY643" s="180" t="str">
        <f>IF(AND(AD643=1,D643="Military",H643&lt;&gt;"Not given")=TRUE,IF(SUMIFS(P:P,A:A,A643)&gt;0,ABS((SUMIFS(P:P,A:A,A643)/VLOOKUP("USD",'Exchange Rates'!B:C,2,0)))/S643,"."),".")</f>
        <v>.</v>
      </c>
      <c r="AZ643" s="182" t="str">
        <f>IF(AND(AD643=1,D643="Military",H643&lt;&gt;"Not given")=TRUE,IF(SUMIFS(P:P,A:A,A643)&gt;0,IF((ABS((SUMIFS(P:P,A:A,A643)/VLOOKUP("USD",'Exchange Rates'!B:C,2,0)))/S643)&gt;1,(SUMIFS(P:P,A:A,A643)-S643)/S643,(S643-SUMIFS(P:P,A:A,A643))/SUMIFS(P:P,A:A,A643)),"."),".")</f>
        <v>.</v>
      </c>
      <c r="BA643" s="182"/>
      <c r="BB643" s="182"/>
      <c r="BC643" s="182"/>
      <c r="BD643" s="182"/>
      <c r="BE643" s="182"/>
      <c r="BF643" s="182"/>
      <c r="BG643" s="182"/>
      <c r="BH643" s="182"/>
      <c r="BI643" s="182"/>
      <c r="BJ643" s="182"/>
      <c r="BK643" s="182"/>
      <c r="BL643" s="182"/>
      <c r="BM643" s="182"/>
      <c r="BN643" s="182"/>
      <c r="BO643" s="182"/>
      <c r="BP643" s="182"/>
      <c r="BQ643" s="182"/>
      <c r="BR643" s="182"/>
      <c r="BS643" s="182"/>
    </row>
    <row r="644" spans="1:71" ht="15.9" customHeight="1" x14ac:dyDescent="0.3">
      <c r="A644" s="5" t="s">
        <v>1945</v>
      </c>
      <c r="B644" s="5" t="s">
        <v>1919</v>
      </c>
      <c r="C644" s="174">
        <v>44752</v>
      </c>
      <c r="D644" s="5" t="s">
        <v>285</v>
      </c>
      <c r="E644" s="5" t="s">
        <v>294</v>
      </c>
      <c r="F644" s="175" t="s">
        <v>1946</v>
      </c>
      <c r="G644" s="15" t="s">
        <v>364</v>
      </c>
      <c r="H644" s="176">
        <v>2000000</v>
      </c>
      <c r="I644" s="17" t="s">
        <v>983</v>
      </c>
      <c r="J644" s="113" t="str">
        <f>VLOOKUP($I644,'Price List, Weapons &amp; Items'!B:C,2,0)</f>
        <v>Portable defence system</v>
      </c>
      <c r="K644" s="113" t="str">
        <f>IF(I644=".",I644,VLOOKUP($I644,'Price List, Weapons &amp; Items'!B:D,3,0))</f>
        <v>Light Anti-armor Weapon (LAW)</v>
      </c>
      <c r="L644" s="177">
        <f>VLOOKUP(I644,'Price List, Weapons &amp; Items'!B:E,4,0)</f>
        <v>0</v>
      </c>
      <c r="M644" s="542" t="s">
        <v>270</v>
      </c>
      <c r="N644" s="542" t="s">
        <v>270</v>
      </c>
      <c r="O644" s="543">
        <f>VLOOKUP($I644,'Price List, Weapons &amp; Items'!B:G,6,0)</f>
        <v>40000</v>
      </c>
      <c r="P644" s="176" t="str">
        <f t="shared" si="128"/>
        <v>.</v>
      </c>
      <c r="Q644" s="176" t="str">
        <f t="shared" si="129"/>
        <v>.</v>
      </c>
      <c r="R644" s="176">
        <f t="shared" si="126"/>
        <v>2000000</v>
      </c>
      <c r="S644" s="176">
        <f>IF(AND(AD644=1,R644&lt;&gt;".")=TRUE,R644/VLOOKUP(G644,'Exchange Rates'!B:C,2,0),IF(R644=".",".",""))</f>
        <v>2000000</v>
      </c>
      <c r="T644" s="176">
        <f>IF(AD644=1,IF(AF644="Value is not given at all",".",IF(AF644="Value is given by the source",S644,IF(AF644="Value is calculated with prices",(IF(SUMIFS(Q:Q,A:A,A644)&gt;0,SUMIFS(Q:Q,A:A,A644),"."))/VLOOKUP("USD",'Exchange Rates'!B:C,2,0),"Error with coding"))),"")</f>
        <v>2000000</v>
      </c>
      <c r="U644" s="15" t="s">
        <v>261</v>
      </c>
      <c r="V644" s="547" t="s">
        <v>1935</v>
      </c>
      <c r="W644" s="547" t="s">
        <v>1947</v>
      </c>
      <c r="X644" s="547" t="s">
        <v>1940</v>
      </c>
      <c r="Y644" s="547" t="s">
        <v>1941</v>
      </c>
      <c r="Z644" s="15">
        <v>0</v>
      </c>
      <c r="AA644" s="180">
        <v>0</v>
      </c>
      <c r="AB644" s="550" t="s">
        <v>1935</v>
      </c>
      <c r="AC644" s="544" t="str">
        <f>""</f>
        <v/>
      </c>
      <c r="AD644" s="181">
        <v>1</v>
      </c>
      <c r="AE644" s="181" t="s">
        <v>264</v>
      </c>
      <c r="AF644" s="181" t="s">
        <v>264</v>
      </c>
      <c r="AG644" s="181">
        <v>1</v>
      </c>
      <c r="AH644" s="181">
        <v>7</v>
      </c>
      <c r="AI644" s="181">
        <v>0</v>
      </c>
      <c r="AJ644" s="181">
        <f>VLOOKUP($I644,'Price List, Weapons &amp; Items'!B:F,5,0)</f>
        <v>0</v>
      </c>
      <c r="AK644" s="181">
        <f t="shared" si="130"/>
        <v>0</v>
      </c>
      <c r="AL644" s="181">
        <f t="shared" si="131"/>
        <v>0</v>
      </c>
      <c r="AM644" s="181">
        <f t="shared" si="132"/>
        <v>0</v>
      </c>
      <c r="AN644" s="180" t="str">
        <f>VLOOKUP($I644,'Price List, Weapons &amp; Items'!B:L,COLUMN('Price List, Weapons &amp; Items'!$J$11)-1,0)</f>
        <v>Media reports (incl. social media)</v>
      </c>
      <c r="AO644" s="180" t="str">
        <f>IF(I644=".",".",VLOOKUP($I644,'Price List, Weapons &amp; Items'!B:J,3,0))</f>
        <v>Light Anti-armor Weapon (LAW)</v>
      </c>
      <c r="AP644" s="545" t="e">
        <f t="shared" ca="1" si="127"/>
        <v>#NAME?</v>
      </c>
      <c r="AQ644" s="180">
        <f>VLOOKUP($I644,'Price List, Weapons &amp; Items'!B:L,COLUMN('Price List, Weapons &amp; Items'!$L$11)-1,0)</f>
        <v>2</v>
      </c>
      <c r="AR644" s="180">
        <f t="shared" si="133"/>
        <v>1</v>
      </c>
      <c r="AS644" s="180">
        <f t="shared" si="134"/>
        <v>1</v>
      </c>
      <c r="AT644" s="180">
        <f t="shared" si="135"/>
        <v>1</v>
      </c>
      <c r="AU644" s="180" t="str">
        <f t="shared" si="136"/>
        <v>.</v>
      </c>
      <c r="AV644" s="180" t="str">
        <f t="shared" si="137"/>
        <v>.</v>
      </c>
      <c r="AW644" s="180">
        <f>IFERROR(VLOOKUP(B644,'Share, Heavy Weapons to Ukraine'!B:J,COLUMN('Share, Heavy Weapons to Ukraine'!C657)-1,0),0)</f>
        <v>0</v>
      </c>
      <c r="AX644" s="180">
        <f>VLOOKUP('Bilateral Assistance, MAIN DATA'!B644,'Country Summary'!B:F,COLUMN('Country Summary'!C660)-1,FALSE)</f>
        <v>1</v>
      </c>
      <c r="AY644" s="180" t="str">
        <f>IF(AND(AD644=1,D644="Military",H644&lt;&gt;"Not given")=TRUE,IF(SUMIFS(P:P,A:A,A644)&gt;0,ABS((SUMIFS(P:P,A:A,A644)/VLOOKUP("USD",'Exchange Rates'!B:C,2,0)))/S644,"."),".")</f>
        <v>.</v>
      </c>
      <c r="AZ644" s="182" t="str">
        <f>IF(AND(AD644=1,D644="Military",H644&lt;&gt;"Not given")=TRUE,IF(SUMIFS(P:P,A:A,A644)&gt;0,IF((ABS((SUMIFS(P:P,A:A,A644)/VLOOKUP("USD",'Exchange Rates'!B:C,2,0)))/S644)&gt;1,(SUMIFS(P:P,A:A,A644)-S644)/S644,(S644-SUMIFS(P:P,A:A,A644))/SUMIFS(P:P,A:A,A644)),"."),".")</f>
        <v>.</v>
      </c>
      <c r="BA644" s="182"/>
      <c r="BB644" s="182"/>
      <c r="BC644" s="182"/>
      <c r="BD644" s="182"/>
      <c r="BE644" s="182"/>
      <c r="BF644" s="182"/>
      <c r="BG644" s="182"/>
      <c r="BH644" s="182"/>
      <c r="BI644" s="182"/>
      <c r="BJ644" s="182"/>
      <c r="BK644" s="182"/>
      <c r="BL644" s="182"/>
      <c r="BM644" s="182"/>
      <c r="BN644" s="182"/>
      <c r="BO644" s="182"/>
      <c r="BP644" s="182"/>
      <c r="BQ644" s="182"/>
      <c r="BR644" s="182"/>
      <c r="BS644" s="182"/>
    </row>
    <row r="645" spans="1:71" ht="15.9" customHeight="1" x14ac:dyDescent="0.3">
      <c r="A645" s="5" t="s">
        <v>1945</v>
      </c>
      <c r="B645" s="5" t="s">
        <v>1919</v>
      </c>
      <c r="C645" s="174">
        <v>44752</v>
      </c>
      <c r="D645" s="5" t="s">
        <v>285</v>
      </c>
      <c r="E645" s="5" t="s">
        <v>294</v>
      </c>
      <c r="F645" s="175" t="s">
        <v>1946</v>
      </c>
      <c r="G645" s="15" t="s">
        <v>364</v>
      </c>
      <c r="H645" s="176">
        <v>2000000</v>
      </c>
      <c r="I645" s="17" t="s">
        <v>499</v>
      </c>
      <c r="J645" s="113" t="str">
        <f>VLOOKUP($I645,'Price List, Weapons &amp; Items'!B:C,2,0)</f>
        <v>Military equipment</v>
      </c>
      <c r="K645" s="113" t="str">
        <f>IF(I645=".",I645,VLOOKUP($I645,'Price List, Weapons &amp; Items'!B:D,3,0))</f>
        <v>Military equipment</v>
      </c>
      <c r="L645" s="177">
        <f>VLOOKUP(I645,'Price List, Weapons &amp; Items'!B:E,4,0)</f>
        <v>0</v>
      </c>
      <c r="M645" s="542" t="s">
        <v>270</v>
      </c>
      <c r="N645" s="542" t="s">
        <v>270</v>
      </c>
      <c r="O645" s="543">
        <f>VLOOKUP($I645,'Price List, Weapons &amp; Items'!B:G,6,0)</f>
        <v>500</v>
      </c>
      <c r="P645" s="176" t="str">
        <f t="shared" si="128"/>
        <v>.</v>
      </c>
      <c r="Q645" s="176" t="str">
        <f t="shared" si="129"/>
        <v>.</v>
      </c>
      <c r="R645" s="176" t="str">
        <f t="shared" si="126"/>
        <v/>
      </c>
      <c r="S645" s="176" t="str">
        <f>IF(AND(AD645=1,R645&lt;&gt;".")=TRUE,R645/VLOOKUP(G645,'Exchange Rates'!B:C,2,0),IF(R645=".",".",""))</f>
        <v/>
      </c>
      <c r="T645" s="176" t="str">
        <f>IF(AD645=1,IF(AF645="Value is not given at all",".",IF(AF645="Value is given by the source",S645,IF(AF645="Value is calculated with prices",(IF(SUMIFS(Q:Q,A:A,A645)&gt;0,SUMIFS(Q:Q,A:A,A645),"."))/VLOOKUP("USD",'Exchange Rates'!B:C,2,0),"Error with coding"))),"")</f>
        <v/>
      </c>
      <c r="U645" s="15" t="s">
        <v>261</v>
      </c>
      <c r="V645" s="547" t="s">
        <v>1935</v>
      </c>
      <c r="W645" s="547" t="s">
        <v>1947</v>
      </c>
      <c r="X645" s="547" t="s">
        <v>1940</v>
      </c>
      <c r="Y645" s="547" t="s">
        <v>1941</v>
      </c>
      <c r="Z645" s="15">
        <v>0</v>
      </c>
      <c r="AA645" s="180">
        <v>0</v>
      </c>
      <c r="AB645" s="561" t="s">
        <v>1935</v>
      </c>
      <c r="AC645" s="544" t="str">
        <f>""</f>
        <v/>
      </c>
      <c r="AD645" s="181">
        <v>0</v>
      </c>
      <c r="AE645" s="181" t="s">
        <v>264</v>
      </c>
      <c r="AF645" s="181" t="s">
        <v>264</v>
      </c>
      <c r="AG645" s="181">
        <v>1</v>
      </c>
      <c r="AH645" s="181">
        <v>7</v>
      </c>
      <c r="AI645" s="181">
        <v>0</v>
      </c>
      <c r="AJ645" s="181">
        <f>VLOOKUP($I645,'Price List, Weapons &amp; Items'!B:F,5,0)</f>
        <v>0</v>
      </c>
      <c r="AK645" s="181">
        <f t="shared" si="130"/>
        <v>0</v>
      </c>
      <c r="AL645" s="181">
        <f t="shared" si="131"/>
        <v>0</v>
      </c>
      <c r="AM645" s="181">
        <f t="shared" si="132"/>
        <v>0</v>
      </c>
      <c r="AN645" s="180" t="str">
        <f>VLOOKUP($I645,'Price List, Weapons &amp; Items'!B:L,COLUMN('Price List, Weapons &amp; Items'!$J$11)-1,0)</f>
        <v>Military media (incl. websites)</v>
      </c>
      <c r="AO645" s="180" t="str">
        <f>IF(I645=".",".",VLOOKUP($I645,'Price List, Weapons &amp; Items'!B:J,3,0))</f>
        <v>Military equipment</v>
      </c>
      <c r="AP645" s="545" t="str">
        <f t="shared" ca="1" si="127"/>
        <v/>
      </c>
      <c r="AQ645" s="180">
        <f>VLOOKUP($I645,'Price List, Weapons &amp; Items'!B:L,COLUMN('Price List, Weapons &amp; Items'!$L$11)-1,0)</f>
        <v>2</v>
      </c>
      <c r="AR645" s="180">
        <f t="shared" si="133"/>
        <v>1</v>
      </c>
      <c r="AS645" s="180">
        <f t="shared" si="134"/>
        <v>1</v>
      </c>
      <c r="AT645" s="180">
        <f t="shared" si="135"/>
        <v>1</v>
      </c>
      <c r="AU645" s="180" t="str">
        <f t="shared" si="136"/>
        <v>.</v>
      </c>
      <c r="AV645" s="180" t="str">
        <f t="shared" si="137"/>
        <v>.</v>
      </c>
      <c r="AW645" s="180">
        <f>IFERROR(VLOOKUP(B645,'Share, Heavy Weapons to Ukraine'!B:J,COLUMN('Share, Heavy Weapons to Ukraine'!C658)-1,0),0)</f>
        <v>0</v>
      </c>
      <c r="AX645" s="180">
        <f>VLOOKUP('Bilateral Assistance, MAIN DATA'!B645,'Country Summary'!B:F,COLUMN('Country Summary'!C661)-1,FALSE)</f>
        <v>1</v>
      </c>
      <c r="AY645" s="180" t="str">
        <f>IF(AND(AD645=1,D645="Military",H645&lt;&gt;"Not given")=TRUE,IF(SUMIFS(P:P,A:A,A645)&gt;0,ABS((SUMIFS(P:P,A:A,A645)/VLOOKUP("USD",'Exchange Rates'!B:C,2,0)))/S645,"."),".")</f>
        <v>.</v>
      </c>
      <c r="AZ645" s="182" t="str">
        <f>IF(AND(AD645=1,D645="Military",H645&lt;&gt;"Not given")=TRUE,IF(SUMIFS(P:P,A:A,A645)&gt;0,IF((ABS((SUMIFS(P:P,A:A,A645)/VLOOKUP("USD",'Exchange Rates'!B:C,2,0)))/S645)&gt;1,(SUMIFS(P:P,A:A,A645)-S645)/S645,(S645-SUMIFS(P:P,A:A,A645))/SUMIFS(P:P,A:A,A645)),"."),".")</f>
        <v>.</v>
      </c>
      <c r="BA645" s="182"/>
      <c r="BB645" s="182"/>
      <c r="BC645" s="182"/>
      <c r="BD645" s="182"/>
      <c r="BE645" s="182"/>
      <c r="BF645" s="182"/>
      <c r="BG645" s="182"/>
      <c r="BH645" s="182"/>
      <c r="BI645" s="182"/>
      <c r="BJ645" s="182"/>
      <c r="BK645" s="182"/>
      <c r="BL645" s="182"/>
      <c r="BM645" s="182"/>
      <c r="BN645" s="182"/>
      <c r="BO645" s="182"/>
      <c r="BP645" s="182"/>
      <c r="BQ645" s="182"/>
      <c r="BR645" s="182"/>
      <c r="BS645" s="182"/>
    </row>
    <row r="646" spans="1:71" ht="15.9" customHeight="1" x14ac:dyDescent="0.3">
      <c r="A646" s="5" t="s">
        <v>1945</v>
      </c>
      <c r="B646" s="5" t="s">
        <v>1919</v>
      </c>
      <c r="C646" s="174">
        <v>44752</v>
      </c>
      <c r="D646" s="5" t="s">
        <v>285</v>
      </c>
      <c r="E646" s="5" t="s">
        <v>294</v>
      </c>
      <c r="F646" s="175" t="s">
        <v>1946</v>
      </c>
      <c r="G646" s="15" t="s">
        <v>364</v>
      </c>
      <c r="H646" s="176">
        <v>2000000</v>
      </c>
      <c r="I646" s="17" t="s">
        <v>463</v>
      </c>
      <c r="J646" s="113" t="str">
        <f>VLOOKUP($I646,'Price List, Weapons &amp; Items'!B:C,2,0)</f>
        <v>Military equipment</v>
      </c>
      <c r="K646" s="113" t="str">
        <f>IF(I646=".",I646,VLOOKUP($I646,'Price List, Weapons &amp; Items'!B:D,3,0))</f>
        <v>Military equipment</v>
      </c>
      <c r="L646" s="177">
        <f>VLOOKUP(I646,'Price List, Weapons &amp; Items'!B:E,4,0)</f>
        <v>0</v>
      </c>
      <c r="M646" s="542" t="s">
        <v>270</v>
      </c>
      <c r="N646" s="542" t="s">
        <v>270</v>
      </c>
      <c r="O646" s="543">
        <f>VLOOKUP($I646,'Price List, Weapons &amp; Items'!B:G,6,0)</f>
        <v>1400</v>
      </c>
      <c r="P646" s="176" t="str">
        <f t="shared" si="128"/>
        <v>.</v>
      </c>
      <c r="Q646" s="176" t="str">
        <f t="shared" si="129"/>
        <v>.</v>
      </c>
      <c r="R646" s="176" t="str">
        <f t="shared" si="126"/>
        <v/>
      </c>
      <c r="S646" s="176" t="str">
        <f>IF(AND(AD646=1,R646&lt;&gt;".")=TRUE,R646/VLOOKUP(G646,'Exchange Rates'!B:C,2,0),IF(R646=".",".",""))</f>
        <v/>
      </c>
      <c r="T646" s="176" t="str">
        <f>IF(AD646=1,IF(AF646="Value is not given at all",".",IF(AF646="Value is given by the source",S646,IF(AF646="Value is calculated with prices",(IF(SUMIFS(Q:Q,A:A,A646)&gt;0,SUMIFS(Q:Q,A:A,A646),"."))/VLOOKUP("USD",'Exchange Rates'!B:C,2,0),"Error with coding"))),"")</f>
        <v/>
      </c>
      <c r="U646" s="15" t="s">
        <v>261</v>
      </c>
      <c r="V646" s="547" t="s">
        <v>1935</v>
      </c>
      <c r="W646" s="547" t="s">
        <v>1947</v>
      </c>
      <c r="X646" s="547" t="s">
        <v>1940</v>
      </c>
      <c r="Y646" s="547" t="s">
        <v>1941</v>
      </c>
      <c r="Z646" s="15">
        <v>0</v>
      </c>
      <c r="AA646" s="180">
        <v>0</v>
      </c>
      <c r="AB646" s="561" t="s">
        <v>1935</v>
      </c>
      <c r="AC646" s="544" t="str">
        <f>""</f>
        <v/>
      </c>
      <c r="AD646" s="181">
        <v>0</v>
      </c>
      <c r="AE646" s="181" t="s">
        <v>264</v>
      </c>
      <c r="AF646" s="181" t="s">
        <v>264</v>
      </c>
      <c r="AG646" s="181">
        <v>1</v>
      </c>
      <c r="AH646" s="181">
        <v>7</v>
      </c>
      <c r="AI646" s="181">
        <v>0</v>
      </c>
      <c r="AJ646" s="181">
        <f>VLOOKUP($I646,'Price List, Weapons &amp; Items'!B:F,5,0)</f>
        <v>0</v>
      </c>
      <c r="AK646" s="181">
        <f t="shared" si="130"/>
        <v>0</v>
      </c>
      <c r="AL646" s="181">
        <f t="shared" si="131"/>
        <v>0</v>
      </c>
      <c r="AM646" s="181">
        <f t="shared" si="132"/>
        <v>0</v>
      </c>
      <c r="AN646" s="180" t="str">
        <f>VLOOKUP($I646,'Price List, Weapons &amp; Items'!B:L,COLUMN('Price List, Weapons &amp; Items'!$J$11)-1,0)</f>
        <v>Military media (incl. websites)</v>
      </c>
      <c r="AO646" s="180" t="str">
        <f>IF(I646=".",".",VLOOKUP($I646,'Price List, Weapons &amp; Items'!B:J,3,0))</f>
        <v>Military equipment</v>
      </c>
      <c r="AP646" s="545" t="str">
        <f t="shared" ca="1" si="127"/>
        <v/>
      </c>
      <c r="AQ646" s="180">
        <f>VLOOKUP($I646,'Price List, Weapons &amp; Items'!B:L,COLUMN('Price List, Weapons &amp; Items'!$L$11)-1,0)</f>
        <v>2</v>
      </c>
      <c r="AR646" s="180">
        <f t="shared" si="133"/>
        <v>1</v>
      </c>
      <c r="AS646" s="180">
        <f t="shared" si="134"/>
        <v>1</v>
      </c>
      <c r="AT646" s="180">
        <f t="shared" si="135"/>
        <v>1</v>
      </c>
      <c r="AU646" s="180" t="str">
        <f t="shared" si="136"/>
        <v>.</v>
      </c>
      <c r="AV646" s="180" t="str">
        <f t="shared" si="137"/>
        <v>.</v>
      </c>
      <c r="AW646" s="180">
        <f>IFERROR(VLOOKUP(B646,'Share, Heavy Weapons to Ukraine'!B:J,COLUMN('Share, Heavy Weapons to Ukraine'!C659)-1,0),0)</f>
        <v>0</v>
      </c>
      <c r="AX646" s="180">
        <f>VLOOKUP('Bilateral Assistance, MAIN DATA'!B646,'Country Summary'!B:F,COLUMN('Country Summary'!C662)-1,FALSE)</f>
        <v>1</v>
      </c>
      <c r="AY646" s="180" t="str">
        <f>IF(AND(AD646=1,D646="Military",H646&lt;&gt;"Not given")=TRUE,IF(SUMIFS(P:P,A:A,A646)&gt;0,ABS((SUMIFS(P:P,A:A,A646)/VLOOKUP("USD",'Exchange Rates'!B:C,2,0)))/S646,"."),".")</f>
        <v>.</v>
      </c>
      <c r="AZ646" s="182" t="str">
        <f>IF(AND(AD646=1,D646="Military",H646&lt;&gt;"Not given")=TRUE,IF(SUMIFS(P:P,A:A,A646)&gt;0,IF((ABS((SUMIFS(P:P,A:A,A646)/VLOOKUP("USD",'Exchange Rates'!B:C,2,0)))/S646)&gt;1,(SUMIFS(P:P,A:A,A646)-S646)/S646,(S646-SUMIFS(P:P,A:A,A646))/SUMIFS(P:P,A:A,A646)),"."),".")</f>
        <v>.</v>
      </c>
      <c r="BA646" s="182"/>
      <c r="BB646" s="182"/>
      <c r="BC646" s="182"/>
      <c r="BD646" s="182"/>
      <c r="BE646" s="182"/>
      <c r="BF646" s="182"/>
      <c r="BG646" s="182"/>
      <c r="BH646" s="182"/>
      <c r="BI646" s="182"/>
      <c r="BJ646" s="182"/>
      <c r="BK646" s="182"/>
      <c r="BL646" s="182"/>
      <c r="BM646" s="182"/>
      <c r="BN646" s="182"/>
      <c r="BO646" s="182"/>
      <c r="BP646" s="182"/>
      <c r="BQ646" s="182"/>
      <c r="BR646" s="182"/>
      <c r="BS646" s="182"/>
    </row>
    <row r="647" spans="1:71" ht="15.9" customHeight="1" x14ac:dyDescent="0.3">
      <c r="A647" s="5" t="s">
        <v>1948</v>
      </c>
      <c r="B647" s="5" t="s">
        <v>1919</v>
      </c>
      <c r="C647" s="174">
        <v>44762</v>
      </c>
      <c r="D647" s="5" t="s">
        <v>285</v>
      </c>
      <c r="E647" s="5" t="s">
        <v>339</v>
      </c>
      <c r="F647" s="175" t="s">
        <v>1949</v>
      </c>
      <c r="G647" s="15" t="s">
        <v>364</v>
      </c>
      <c r="H647" s="176">
        <f>(200000000-8000000-SUM(S649,S644,S641,S640,S638,S637))/2</f>
        <v>35821428.571428567</v>
      </c>
      <c r="I647" s="17" t="s">
        <v>324</v>
      </c>
      <c r="J647" s="113" t="str">
        <f>VLOOKUP($I647,'Price List, Weapons &amp; Items'!B:C,2,0)</f>
        <v>Heavy weapon</v>
      </c>
      <c r="K647" s="113" t="str">
        <f>IF(I647=".",I647,VLOOKUP($I647,'Price List, Weapons &amp; Items'!B:D,3,0))</f>
        <v>Armoured Personnel Carrier (APC)</v>
      </c>
      <c r="L647" s="177">
        <f>VLOOKUP(I647,'Price List, Weapons &amp; Items'!B:E,4,0)</f>
        <v>0</v>
      </c>
      <c r="M647" s="542">
        <v>20</v>
      </c>
      <c r="N647" s="542">
        <v>20</v>
      </c>
      <c r="O647" s="543">
        <f>VLOOKUP($I647,'Price List, Weapons &amp; Items'!B:G,6,0)</f>
        <v>300000</v>
      </c>
      <c r="P647" s="176">
        <f t="shared" si="128"/>
        <v>6000000</v>
      </c>
      <c r="Q647" s="176">
        <f t="shared" si="129"/>
        <v>6000000</v>
      </c>
      <c r="R647" s="176">
        <f t="shared" si="126"/>
        <v>35821428.571428567</v>
      </c>
      <c r="S647" s="176">
        <f>IF(AND(AD647=1,R647&lt;&gt;".")=TRUE,R647/VLOOKUP(G647,'Exchange Rates'!B:C,2,0),IF(R647=".",".",""))</f>
        <v>35821428.571428567</v>
      </c>
      <c r="T647" s="176">
        <f>IF(AD647=1,IF(AF647="Value is not given at all",".",IF(AF647="Value is given by the source",S647,IF(AF647="Value is calculated with prices",(IF(SUMIFS(Q:Q,A:A,A647)&gt;0,SUMIFS(Q:Q,A:A,A647),"."))/VLOOKUP("USD",'Exchange Rates'!B:C,2,0),"Error with coding"))),"")</f>
        <v>35821428.571428567</v>
      </c>
      <c r="U647" s="15" t="s">
        <v>261</v>
      </c>
      <c r="V647" s="547" t="s">
        <v>1950</v>
      </c>
      <c r="W647" s="547" t="s">
        <v>1951</v>
      </c>
      <c r="X647" s="188" t="s">
        <v>260</v>
      </c>
      <c r="Y647" s="188" t="s">
        <v>260</v>
      </c>
      <c r="Z647" s="180">
        <v>0</v>
      </c>
      <c r="AA647" s="180">
        <v>1</v>
      </c>
      <c r="AB647" s="561" t="s">
        <v>1952</v>
      </c>
      <c r="AC647" s="544" t="str">
        <f>""</f>
        <v/>
      </c>
      <c r="AD647" s="181">
        <v>1</v>
      </c>
      <c r="AE647" s="181" t="s">
        <v>264</v>
      </c>
      <c r="AF647" s="181" t="s">
        <v>264</v>
      </c>
      <c r="AG647" s="181">
        <v>1</v>
      </c>
      <c r="AH647" s="181">
        <v>7</v>
      </c>
      <c r="AI647" s="181">
        <v>0</v>
      </c>
      <c r="AJ647" s="181">
        <f>VLOOKUP($I647,'Price List, Weapons &amp; Items'!B:F,5,0)</f>
        <v>1</v>
      </c>
      <c r="AK647" s="181">
        <f t="shared" si="130"/>
        <v>0</v>
      </c>
      <c r="AL647" s="181">
        <f t="shared" si="131"/>
        <v>0</v>
      </c>
      <c r="AM647" s="181">
        <f t="shared" si="132"/>
        <v>0</v>
      </c>
      <c r="AN647" s="180" t="str">
        <f>VLOOKUP($I647,'Price List, Weapons &amp; Items'!B:L,COLUMN('Price List, Weapons &amp; Items'!$J$11)-1,0)</f>
        <v>Military media (incl. websites)</v>
      </c>
      <c r="AO647" s="180" t="str">
        <f>IF(I647=".",".",VLOOKUP($I647,'Price List, Weapons &amp; Items'!B:J,3,0))</f>
        <v>Armoured Personnel Carrier (APC)</v>
      </c>
      <c r="AP647" s="545" t="e">
        <f t="shared" ca="1" si="127"/>
        <v>#NAME?</v>
      </c>
      <c r="AQ647" s="180">
        <f>VLOOKUP($I647,'Price List, Weapons &amp; Items'!B:L,COLUMN('Price List, Weapons &amp; Items'!$L$11)-1,0)</f>
        <v>2</v>
      </c>
      <c r="AR647" s="180">
        <f t="shared" si="133"/>
        <v>1</v>
      </c>
      <c r="AS647" s="180">
        <f t="shared" si="134"/>
        <v>1</v>
      </c>
      <c r="AT647" s="180">
        <f t="shared" si="135"/>
        <v>1</v>
      </c>
      <c r="AU647" s="180" t="str">
        <f t="shared" si="136"/>
        <v>.</v>
      </c>
      <c r="AV647" s="180" t="str">
        <f t="shared" si="137"/>
        <v>.</v>
      </c>
      <c r="AW647" s="180">
        <f>IFERROR(VLOOKUP(B647,'Share, Heavy Weapons to Ukraine'!B:J,COLUMN('Share, Heavy Weapons to Ukraine'!C660)-1,0),0)</f>
        <v>0</v>
      </c>
      <c r="AX647" s="180">
        <f>VLOOKUP('Bilateral Assistance, MAIN DATA'!B647,'Country Summary'!B:F,COLUMN('Country Summary'!C663)-1,FALSE)</f>
        <v>1</v>
      </c>
      <c r="AY647" s="180">
        <f>IF(AND(AD647=1,D647="Military",H647&lt;&gt;"Not given")=TRUE,IF(SUMIFS(P:P,A:A,A647)&gt;0,ABS((SUMIFS(P:P,A:A,A647)/VLOOKUP("USD",'Exchange Rates'!B:C,2,0)))/S647,"."),".")</f>
        <v>0.15952143569292124</v>
      </c>
      <c r="AZ647" s="182">
        <f>IF(AND(AD647=1,D647="Military",H647&lt;&gt;"Not given")=TRUE,IF(SUMIFS(P:P,A:A,A647)&gt;0,IF((ABS((SUMIFS(P:P,A:A,A647)/VLOOKUP("USD",'Exchange Rates'!B:C,2,0)))/S647)&gt;1,(SUMIFS(P:P,A:A,A647)-S647)/S647,(S647-SUMIFS(P:P,A:A,A647))/SUMIFS(P:P,A:A,A647)),"."),".")</f>
        <v>4.9702380952380949</v>
      </c>
      <c r="BA647" s="182"/>
      <c r="BB647" s="182"/>
      <c r="BC647" s="182"/>
      <c r="BD647" s="182"/>
      <c r="BE647" s="182"/>
      <c r="BF647" s="182"/>
      <c r="BG647" s="182"/>
      <c r="BH647" s="182"/>
      <c r="BI647" s="182"/>
      <c r="BJ647" s="182"/>
      <c r="BK647" s="182"/>
      <c r="BL647" s="182"/>
      <c r="BM647" s="182"/>
      <c r="BN647" s="182"/>
      <c r="BO647" s="182"/>
      <c r="BP647" s="182"/>
      <c r="BQ647" s="182"/>
      <c r="BR647" s="182"/>
      <c r="BS647" s="182"/>
    </row>
    <row r="648" spans="1:71" ht="15.9" customHeight="1" x14ac:dyDescent="0.3">
      <c r="A648" s="5" t="s">
        <v>1948</v>
      </c>
      <c r="B648" s="5" t="s">
        <v>1919</v>
      </c>
      <c r="C648" s="174">
        <v>44762</v>
      </c>
      <c r="D648" s="5" t="s">
        <v>285</v>
      </c>
      <c r="E648" s="5" t="s">
        <v>339</v>
      </c>
      <c r="F648" s="175" t="s">
        <v>1949</v>
      </c>
      <c r="G648" s="15" t="s">
        <v>364</v>
      </c>
      <c r="H648" s="176">
        <f>(200000000-8000000-SUM(S649,S644,S641,S640,S638,S637))/2</f>
        <v>35821428.571428567</v>
      </c>
      <c r="I648" s="17" t="s">
        <v>1953</v>
      </c>
      <c r="J648" s="113" t="str">
        <f>VLOOKUP($I648,'Price List, Weapons &amp; Items'!B:C,2,0)</f>
        <v>Heavy weapon</v>
      </c>
      <c r="K648" s="113" t="str">
        <f>IF(I648=".",I648,VLOOKUP($I648,'Price List, Weapons &amp; Items'!B:D,3,0))</f>
        <v>Armoured Personnel Carrier (APC)</v>
      </c>
      <c r="L648" s="177">
        <f>VLOOKUP(I648,'Price List, Weapons &amp; Items'!B:E,4,0)</f>
        <v>0</v>
      </c>
      <c r="M648" s="542" t="s">
        <v>270</v>
      </c>
      <c r="N648" s="542" t="s">
        <v>270</v>
      </c>
      <c r="O648" s="543">
        <f>VLOOKUP($I648,'Price List, Weapons &amp; Items'!B:G,6,0)</f>
        <v>326778</v>
      </c>
      <c r="P648" s="176" t="str">
        <f t="shared" si="128"/>
        <v>.</v>
      </c>
      <c r="Q648" s="176" t="str">
        <f t="shared" si="129"/>
        <v>.</v>
      </c>
      <c r="R648" s="176" t="str">
        <f t="shared" si="126"/>
        <v/>
      </c>
      <c r="S648" s="176" t="str">
        <f>IF(AND(AD648=1,R648&lt;&gt;".")=TRUE,R648/VLOOKUP(G648,'Exchange Rates'!B:C,2,0),IF(R648=".",".",""))</f>
        <v/>
      </c>
      <c r="T648" s="176" t="str">
        <f>IF(AD648=1,IF(AF648="Value is not given at all",".",IF(AF648="Value is given by the source",S648,IF(AF648="Value is calculated with prices",(IF(SUMIFS(Q:Q,A:A,A648)&gt;0,SUMIFS(Q:Q,A:A,A648),"."))/VLOOKUP("USD",'Exchange Rates'!B:C,2,0),"Error with coding"))),"")</f>
        <v/>
      </c>
      <c r="U648" s="15" t="s">
        <v>261</v>
      </c>
      <c r="V648" s="569" t="s">
        <v>1954</v>
      </c>
      <c r="W648" s="569" t="s">
        <v>1955</v>
      </c>
      <c r="X648" s="188" t="s">
        <v>260</v>
      </c>
      <c r="Y648" s="188" t="s">
        <v>260</v>
      </c>
      <c r="Z648" s="180">
        <v>0</v>
      </c>
      <c r="AA648" s="180">
        <v>1</v>
      </c>
      <c r="AB648" s="561" t="s">
        <v>1952</v>
      </c>
      <c r="AC648" s="544" t="str">
        <f>""</f>
        <v/>
      </c>
      <c r="AD648" s="181">
        <v>0</v>
      </c>
      <c r="AE648" s="181" t="s">
        <v>264</v>
      </c>
      <c r="AF648" s="181" t="s">
        <v>265</v>
      </c>
      <c r="AG648" s="181">
        <v>1</v>
      </c>
      <c r="AH648" s="181">
        <v>7</v>
      </c>
      <c r="AI648" s="181">
        <v>0</v>
      </c>
      <c r="AJ648" s="181">
        <f>VLOOKUP($I648,'Price List, Weapons &amp; Items'!B:F,5,0)</f>
        <v>1</v>
      </c>
      <c r="AK648" s="181">
        <f t="shared" si="130"/>
        <v>1</v>
      </c>
      <c r="AL648" s="181">
        <f t="shared" si="131"/>
        <v>1</v>
      </c>
      <c r="AM648" s="181">
        <f t="shared" si="132"/>
        <v>0</v>
      </c>
      <c r="AN648" s="180" t="str">
        <f>VLOOKUP($I648,'Price List, Weapons &amp; Items'!B:L,COLUMN('Price List, Weapons &amp; Items'!$J$11)-1,0)</f>
        <v>Contracts</v>
      </c>
      <c r="AO648" s="180" t="str">
        <f>IF(I648=".",".",VLOOKUP($I648,'Price List, Weapons &amp; Items'!B:J,3,0))</f>
        <v>Armoured Personnel Carrier (APC)</v>
      </c>
      <c r="AP648" s="545" t="str">
        <f t="shared" ca="1" si="127"/>
        <v/>
      </c>
      <c r="AQ648" s="180" t="str">
        <f>VLOOKUP($I648,'Price List, Weapons &amp; Items'!B:L,COLUMN('Price List, Weapons &amp; Items'!$L$11)-1,0)</f>
        <v>no price, 0 count</v>
      </c>
      <c r="AR648" s="180">
        <f t="shared" si="133"/>
        <v>1</v>
      </c>
      <c r="AS648" s="180">
        <f t="shared" si="134"/>
        <v>1</v>
      </c>
      <c r="AT648" s="180">
        <f t="shared" si="135"/>
        <v>1</v>
      </c>
      <c r="AU648" s="180" t="str">
        <f t="shared" si="136"/>
        <v>.</v>
      </c>
      <c r="AV648" s="180" t="str">
        <f t="shared" si="137"/>
        <v>.</v>
      </c>
      <c r="AW648" s="180">
        <f>IFERROR(VLOOKUP(B648,'Share, Heavy Weapons to Ukraine'!B:J,COLUMN('Share, Heavy Weapons to Ukraine'!C661)-1,0),0)</f>
        <v>0</v>
      </c>
      <c r="AX648" s="180">
        <f>VLOOKUP('Bilateral Assistance, MAIN DATA'!B648,'Country Summary'!B:F,COLUMN('Country Summary'!C664)-1,FALSE)</f>
        <v>1</v>
      </c>
      <c r="AY648" s="180" t="str">
        <f>IF(AND(AD648=1,D648="Military",H648&lt;&gt;"Not given")=TRUE,IF(SUMIFS(P:P,A:A,A648)&gt;0,ABS((SUMIFS(P:P,A:A,A648)/VLOOKUP("USD",'Exchange Rates'!B:C,2,0)))/S648,"."),".")</f>
        <v>.</v>
      </c>
      <c r="AZ648" s="182" t="str">
        <f>IF(AND(AD648=1,D648="Military",H648&lt;&gt;"Not given")=TRUE,IF(SUMIFS(P:P,A:A,A648)&gt;0,IF((ABS((SUMIFS(P:P,A:A,A648)/VLOOKUP("USD",'Exchange Rates'!B:C,2,0)))/S648)&gt;1,(SUMIFS(P:P,A:A,A648)-S648)/S648,(S648-SUMIFS(P:P,A:A,A648))/SUMIFS(P:P,A:A,A648)),"."),".")</f>
        <v>.</v>
      </c>
      <c r="BA648" s="182"/>
      <c r="BB648" s="182"/>
      <c r="BC648" s="182"/>
      <c r="BD648" s="182"/>
      <c r="BE648" s="182"/>
      <c r="BF648" s="182"/>
      <c r="BG648" s="182"/>
      <c r="BH648" s="182"/>
      <c r="BI648" s="182"/>
      <c r="BJ648" s="182"/>
      <c r="BK648" s="182"/>
      <c r="BL648" s="182"/>
      <c r="BM648" s="182"/>
      <c r="BN648" s="182"/>
      <c r="BO648" s="182"/>
      <c r="BP648" s="182"/>
      <c r="BQ648" s="182"/>
      <c r="BR648" s="182"/>
      <c r="BS648" s="182"/>
    </row>
    <row r="649" spans="1:71" ht="15.9" customHeight="1" x14ac:dyDescent="0.3">
      <c r="A649" s="5" t="s">
        <v>1956</v>
      </c>
      <c r="B649" s="5" t="s">
        <v>1919</v>
      </c>
      <c r="C649" s="174">
        <v>44770</v>
      </c>
      <c r="D649" s="5" t="s">
        <v>285</v>
      </c>
      <c r="E649" s="5" t="s">
        <v>339</v>
      </c>
      <c r="F649" s="175" t="s">
        <v>1957</v>
      </c>
      <c r="G649" s="15" t="s">
        <v>346</v>
      </c>
      <c r="H649" s="176" t="s">
        <v>341</v>
      </c>
      <c r="I649" s="185" t="s">
        <v>324</v>
      </c>
      <c r="J649" s="113" t="str">
        <f>VLOOKUP($I649,'Price List, Weapons &amp; Items'!B:C,2,0)</f>
        <v>Heavy weapon</v>
      </c>
      <c r="K649" s="113" t="str">
        <f>IF(I649=".",I649,VLOOKUP($I649,'Price List, Weapons &amp; Items'!B:D,3,0))</f>
        <v>Armoured Personnel Carrier (APC)</v>
      </c>
      <c r="L649" s="177">
        <f>VLOOKUP(I649,'Price List, Weapons &amp; Items'!B:E,4,0)</f>
        <v>0</v>
      </c>
      <c r="M649" s="187">
        <v>10</v>
      </c>
      <c r="N649" s="187">
        <v>10</v>
      </c>
      <c r="O649" s="543">
        <f>VLOOKUP($I649,'Price List, Weapons &amp; Items'!B:G,6,0)</f>
        <v>300000</v>
      </c>
      <c r="P649" s="176">
        <f t="shared" si="128"/>
        <v>3000000</v>
      </c>
      <c r="Q649" s="176">
        <f t="shared" si="129"/>
        <v>3000000</v>
      </c>
      <c r="R649" s="176">
        <f t="shared" si="126"/>
        <v>3000000</v>
      </c>
      <c r="S649" s="176">
        <f>IF(AND(AD649=1,R649&lt;&gt;".")=TRUE,R649/VLOOKUP(G649,'Exchange Rates'!B:C,2,0),IF(R649=".",".",""))</f>
        <v>2857142.8571428568</v>
      </c>
      <c r="T649" s="176">
        <f>IF(AD649=1,IF(AF649="Value is not given at all",".",IF(AF649="Value is given by the source",S649,IF(AF649="Value is calculated with prices",(IF(SUMIFS(Q:Q,A:A,A649)&gt;0,SUMIFS(Q:Q,A:A,A649),"."))/VLOOKUP("USD",'Exchange Rates'!B:C,2,0),"Error with coding"))),"")</f>
        <v>2857142.8571428568</v>
      </c>
      <c r="U649" s="15" t="s">
        <v>415</v>
      </c>
      <c r="V649" s="547" t="s">
        <v>1958</v>
      </c>
      <c r="W649" s="188" t="s">
        <v>260</v>
      </c>
      <c r="X649" s="188" t="s">
        <v>260</v>
      </c>
      <c r="Y649" s="188" t="s">
        <v>260</v>
      </c>
      <c r="Z649" s="15">
        <v>0</v>
      </c>
      <c r="AA649" s="180">
        <v>0</v>
      </c>
      <c r="AB649" s="561" t="s">
        <v>1952</v>
      </c>
      <c r="AC649" s="544" t="str">
        <f>""</f>
        <v/>
      </c>
      <c r="AD649" s="183">
        <v>1</v>
      </c>
      <c r="AE649" s="183" t="s">
        <v>332</v>
      </c>
      <c r="AF649" s="183" t="s">
        <v>332</v>
      </c>
      <c r="AG649" s="183">
        <v>1</v>
      </c>
      <c r="AH649" s="183">
        <v>7</v>
      </c>
      <c r="AI649" s="183">
        <v>0</v>
      </c>
      <c r="AJ649" s="181">
        <f>VLOOKUP($I649,'Price List, Weapons &amp; Items'!B:F,5,0)</f>
        <v>1</v>
      </c>
      <c r="AK649" s="181">
        <f t="shared" si="130"/>
        <v>0</v>
      </c>
      <c r="AL649" s="181">
        <f t="shared" si="131"/>
        <v>0</v>
      </c>
      <c r="AM649" s="181">
        <f t="shared" si="132"/>
        <v>0</v>
      </c>
      <c r="AN649" s="180" t="str">
        <f>VLOOKUP($I649,'Price List, Weapons &amp; Items'!B:L,COLUMN('Price List, Weapons &amp; Items'!$J$11)-1,0)</f>
        <v>Military media (incl. websites)</v>
      </c>
      <c r="AO649" s="180" t="str">
        <f>IF(I649=".",".",VLOOKUP($I649,'Price List, Weapons &amp; Items'!B:J,3,0))</f>
        <v>Armoured Personnel Carrier (APC)</v>
      </c>
      <c r="AP649" s="545" t="e">
        <f t="shared" ca="1" si="127"/>
        <v>#NAME?</v>
      </c>
      <c r="AQ649" s="180">
        <f>VLOOKUP($I649,'Price List, Weapons &amp; Items'!B:L,COLUMN('Price List, Weapons &amp; Items'!$L$11)-1,0)</f>
        <v>2</v>
      </c>
      <c r="AR649" s="180">
        <f t="shared" si="133"/>
        <v>0</v>
      </c>
      <c r="AS649" s="180">
        <f t="shared" si="134"/>
        <v>1</v>
      </c>
      <c r="AT649" s="180">
        <f t="shared" si="135"/>
        <v>1</v>
      </c>
      <c r="AU649" s="180" t="str">
        <f t="shared" si="136"/>
        <v>.</v>
      </c>
      <c r="AV649" s="180" t="str">
        <f t="shared" si="137"/>
        <v>.</v>
      </c>
      <c r="AW649" s="180">
        <f>IFERROR(VLOOKUP(B649,'Share, Heavy Weapons to Ukraine'!B:J,COLUMN('Share, Heavy Weapons to Ukraine'!C662)-1,0),0)</f>
        <v>0</v>
      </c>
      <c r="AX649" s="180">
        <f>VLOOKUP('Bilateral Assistance, MAIN DATA'!B649,'Country Summary'!B:F,COLUMN('Country Summary'!C665)-1,FALSE)</f>
        <v>1</v>
      </c>
      <c r="AY649" s="180" t="str">
        <f>IF(AND(AD649=1,D649="Military",H649&lt;&gt;"Not given")=TRUE,IF(SUMIFS(P:P,A:A,A649)&gt;0,ABS((SUMIFS(P:P,A:A,A649)/VLOOKUP("USD",'Exchange Rates'!B:C,2,0)))/S649,"."),".")</f>
        <v>.</v>
      </c>
      <c r="AZ649" s="182" t="str">
        <f>IF(AND(AD649=1,D649="Military",H649&lt;&gt;"Not given")=TRUE,IF(SUMIFS(P:P,A:A,A649)&gt;0,IF((ABS((SUMIFS(P:P,A:A,A649)/VLOOKUP("USD",'Exchange Rates'!B:C,2,0)))/S649)&gt;1,(SUMIFS(P:P,A:A,A649)-S649)/S649,(S649-SUMIFS(P:P,A:A,A649))/SUMIFS(P:P,A:A,A649)),"."),".")</f>
        <v>.</v>
      </c>
      <c r="BA649" s="182"/>
      <c r="BB649" s="182"/>
      <c r="BC649" s="182"/>
      <c r="BD649" s="182"/>
      <c r="BE649" s="182"/>
      <c r="BF649" s="182"/>
      <c r="BG649" s="182"/>
      <c r="BH649" s="182"/>
      <c r="BI649" s="182"/>
      <c r="BJ649" s="182"/>
      <c r="BK649" s="182"/>
      <c r="BL649" s="182"/>
      <c r="BM649" s="182"/>
      <c r="BN649" s="182"/>
      <c r="BO649" s="182"/>
      <c r="BP649" s="182"/>
      <c r="BQ649" s="182"/>
      <c r="BR649" s="182"/>
      <c r="BS649" s="182"/>
    </row>
    <row r="650" spans="1:71" ht="15.9" customHeight="1" x14ac:dyDescent="0.3">
      <c r="A650" s="5" t="s">
        <v>1956</v>
      </c>
      <c r="B650" s="5" t="s">
        <v>1919</v>
      </c>
      <c r="C650" s="174">
        <v>44770</v>
      </c>
      <c r="D650" s="5" t="s">
        <v>285</v>
      </c>
      <c r="E650" s="5" t="s">
        <v>339</v>
      </c>
      <c r="F650" s="175" t="s">
        <v>1957</v>
      </c>
      <c r="G650" s="15" t="s">
        <v>346</v>
      </c>
      <c r="H650" s="176" t="s">
        <v>341</v>
      </c>
      <c r="I650" s="185" t="s">
        <v>1959</v>
      </c>
      <c r="J650" s="113" t="str">
        <f>VLOOKUP($I650,'Price List, Weapons &amp; Items'!B:C,2,0)</f>
        <v>Light armaments &amp; infantry</v>
      </c>
      <c r="K650" s="113" t="str">
        <f>IF(I650=".",I650,VLOOKUP($I650,'Price List, Weapons &amp; Items'!B:D,3,0))</f>
        <v>Small Arms and Light Weapons (SALW) ammunition</v>
      </c>
      <c r="L650" s="177">
        <f>VLOOKUP(I650,'Price List, Weapons &amp; Items'!B:E,4,0)</f>
        <v>0</v>
      </c>
      <c r="M650" s="187" t="s">
        <v>270</v>
      </c>
      <c r="N650" s="187" t="s">
        <v>270</v>
      </c>
      <c r="O650" s="543" t="str">
        <f>VLOOKUP($I650,'Price List, Weapons &amp; Items'!B:G,6,0)</f>
        <v>.</v>
      </c>
      <c r="P650" s="176" t="str">
        <f t="shared" si="128"/>
        <v>.</v>
      </c>
      <c r="Q650" s="176" t="str">
        <f t="shared" si="129"/>
        <v>.</v>
      </c>
      <c r="R650" s="176" t="str">
        <f t="shared" si="126"/>
        <v/>
      </c>
      <c r="S650" s="176" t="str">
        <f>IF(AND(AD650=1,R650&lt;&gt;".")=TRUE,R650/VLOOKUP(G650,'Exchange Rates'!B:C,2,0),IF(R650=".",".",""))</f>
        <v/>
      </c>
      <c r="T650" s="176" t="str">
        <f>IF(AD650=1,IF(AF650="Value is not given at all",".",IF(AF650="Value is given by the source",S650,IF(AF650="Value is calculated with prices",(IF(SUMIFS(Q:Q,A:A,A650)&gt;0,SUMIFS(Q:Q,A:A,A650),"."))/VLOOKUP("USD",'Exchange Rates'!B:C,2,0),"Error with coding"))),"")</f>
        <v/>
      </c>
      <c r="U650" s="15" t="s">
        <v>415</v>
      </c>
      <c r="V650" s="547" t="s">
        <v>1958</v>
      </c>
      <c r="W650" s="188" t="s">
        <v>260</v>
      </c>
      <c r="X650" s="188" t="s">
        <v>260</v>
      </c>
      <c r="Y650" s="188" t="s">
        <v>260</v>
      </c>
      <c r="Z650" s="15">
        <v>0</v>
      </c>
      <c r="AA650" s="180">
        <v>0</v>
      </c>
      <c r="AB650" s="561" t="s">
        <v>1952</v>
      </c>
      <c r="AC650" s="544" t="str">
        <f>""</f>
        <v/>
      </c>
      <c r="AD650" s="183">
        <v>0</v>
      </c>
      <c r="AE650" s="183" t="s">
        <v>332</v>
      </c>
      <c r="AF650" s="183" t="s">
        <v>332</v>
      </c>
      <c r="AG650" s="183">
        <v>1</v>
      </c>
      <c r="AH650" s="183">
        <v>7</v>
      </c>
      <c r="AI650" s="183">
        <v>0</v>
      </c>
      <c r="AJ650" s="181">
        <f>VLOOKUP($I650,'Price List, Weapons &amp; Items'!B:F,5,0)</f>
        <v>0</v>
      </c>
      <c r="AK650" s="181">
        <f t="shared" si="130"/>
        <v>0</v>
      </c>
      <c r="AL650" s="181">
        <f t="shared" si="131"/>
        <v>0</v>
      </c>
      <c r="AM650" s="181">
        <f t="shared" si="132"/>
        <v>1</v>
      </c>
      <c r="AN650" s="180" t="str">
        <f>VLOOKUP($I650,'Price List, Weapons &amp; Items'!B:L,COLUMN('Price List, Weapons &amp; Items'!$J$11)-1,0)</f>
        <v>.</v>
      </c>
      <c r="AO650" s="180" t="str">
        <f>IF(I650=".",".",VLOOKUP($I650,'Price List, Weapons &amp; Items'!B:J,3,0))</f>
        <v>Small Arms and Light Weapons (SALW) ammunition</v>
      </c>
      <c r="AP650" s="545" t="str">
        <f t="shared" ca="1" si="127"/>
        <v/>
      </c>
      <c r="AQ650" s="180" t="str">
        <f>VLOOKUP($I650,'Price List, Weapons &amp; Items'!B:L,COLUMN('Price List, Weapons &amp; Items'!$L$11)-1,0)</f>
        <v>no price, 0 count</v>
      </c>
      <c r="AR650" s="180">
        <f t="shared" si="133"/>
        <v>0</v>
      </c>
      <c r="AS650" s="180">
        <f t="shared" si="134"/>
        <v>1</v>
      </c>
      <c r="AT650" s="180">
        <f t="shared" si="135"/>
        <v>1</v>
      </c>
      <c r="AU650" s="180" t="str">
        <f t="shared" si="136"/>
        <v>.</v>
      </c>
      <c r="AV650" s="180" t="str">
        <f t="shared" si="137"/>
        <v>.</v>
      </c>
      <c r="AW650" s="180">
        <f>IFERROR(VLOOKUP(B650,'Share, Heavy Weapons to Ukraine'!B:J,COLUMN('Share, Heavy Weapons to Ukraine'!C663)-1,0),0)</f>
        <v>0</v>
      </c>
      <c r="AX650" s="180">
        <f>VLOOKUP('Bilateral Assistance, MAIN DATA'!B650,'Country Summary'!B:F,COLUMN('Country Summary'!C666)-1,FALSE)</f>
        <v>1</v>
      </c>
      <c r="AY650" s="180" t="str">
        <f>IF(AND(AD650=1,D650="Military",H650&lt;&gt;"Not given")=TRUE,IF(SUMIFS(P:P,A:A,A650)&gt;0,ABS((SUMIFS(P:P,A:A,A650)/VLOOKUP("USD",'Exchange Rates'!B:C,2,0)))/S650,"."),".")</f>
        <v>.</v>
      </c>
      <c r="AZ650" s="182" t="str">
        <f>IF(AND(AD650=1,D650="Military",H650&lt;&gt;"Not given")=TRUE,IF(SUMIFS(P:P,A:A,A650)&gt;0,IF((ABS((SUMIFS(P:P,A:A,A650)/VLOOKUP("USD",'Exchange Rates'!B:C,2,0)))/S650)&gt;1,(SUMIFS(P:P,A:A,A650)-S650)/S650,(S650-SUMIFS(P:P,A:A,A650))/SUMIFS(P:P,A:A,A650)),"."),".")</f>
        <v>.</v>
      </c>
      <c r="BA650" s="182"/>
      <c r="BB650" s="182"/>
      <c r="BC650" s="182"/>
      <c r="BD650" s="182"/>
      <c r="BE650" s="182"/>
      <c r="BF650" s="182"/>
      <c r="BG650" s="182"/>
      <c r="BH650" s="182"/>
      <c r="BI650" s="182"/>
      <c r="BJ650" s="182"/>
      <c r="BK650" s="182"/>
      <c r="BL650" s="182"/>
      <c r="BM650" s="182"/>
      <c r="BN650" s="182"/>
      <c r="BO650" s="182"/>
      <c r="BP650" s="182"/>
      <c r="BQ650" s="182"/>
      <c r="BR650" s="182"/>
      <c r="BS650" s="182"/>
    </row>
    <row r="651" spans="1:71" ht="15.9" customHeight="1" x14ac:dyDescent="0.3">
      <c r="A651" s="5" t="s">
        <v>1960</v>
      </c>
      <c r="B651" s="5" t="s">
        <v>1919</v>
      </c>
      <c r="C651" s="174">
        <v>44811</v>
      </c>
      <c r="D651" s="5" t="s">
        <v>285</v>
      </c>
      <c r="E651" s="5" t="s">
        <v>339</v>
      </c>
      <c r="F651" s="175" t="s">
        <v>1961</v>
      </c>
      <c r="G651" s="15" t="s">
        <v>364</v>
      </c>
      <c r="H651" s="176">
        <f>(200000000-8000000-SUM(S649,S644,S641,S640,S638,S637))/2</f>
        <v>35821428.571428567</v>
      </c>
      <c r="I651" s="185" t="s">
        <v>1962</v>
      </c>
      <c r="J651" s="113" t="str">
        <f>VLOOKUP($I651,'Price List, Weapons &amp; Items'!B:C,2,0)</f>
        <v>Heavy weapon</v>
      </c>
      <c r="K651" s="113" t="str">
        <f>IF(I651=".",I651,VLOOKUP($I651,'Price List, Weapons &amp; Items'!B:D,3,0))</f>
        <v>105mm howitzer</v>
      </c>
      <c r="L651" s="177">
        <f>VLOOKUP(I651,'Price List, Weapons &amp; Items'!B:E,4,0)</f>
        <v>0</v>
      </c>
      <c r="M651" s="187" t="s">
        <v>270</v>
      </c>
      <c r="N651" s="187" t="s">
        <v>270</v>
      </c>
      <c r="O651" s="543">
        <f>VLOOKUP($I651,'Price List, Weapons &amp; Items'!B:G,6,0)</f>
        <v>291771.32972527831</v>
      </c>
      <c r="P651" s="176" t="str">
        <f t="shared" si="128"/>
        <v>.</v>
      </c>
      <c r="Q651" s="176" t="str">
        <f t="shared" si="129"/>
        <v>.</v>
      </c>
      <c r="R651" s="176">
        <f t="shared" si="126"/>
        <v>35821428.571428567</v>
      </c>
      <c r="S651" s="176">
        <f>IF(AND(AD651=1,R651&lt;&gt;".")=TRUE,R651/VLOOKUP(G651,'Exchange Rates'!B:C,2,0),IF(R651=".",".",""))</f>
        <v>35821428.571428567</v>
      </c>
      <c r="T651" s="176">
        <f>IF(AD651=1,IF(AF651="Value is not given at all",".",IF(AF651="Value is given by the source",S651,IF(AF651="Value is calculated with prices",(IF(SUMIFS(Q:Q,A:A,A651)&gt;0,SUMIFS(Q:Q,A:A,A651),"."))/VLOOKUP("USD",'Exchange Rates'!B:C,2,0),"Error with coding"))),"")</f>
        <v>35821428.571428567</v>
      </c>
      <c r="U651" s="15" t="s">
        <v>261</v>
      </c>
      <c r="V651" s="547" t="s">
        <v>1963</v>
      </c>
      <c r="W651" s="569" t="s">
        <v>1964</v>
      </c>
      <c r="X651" s="188" t="s">
        <v>260</v>
      </c>
      <c r="Y651" s="175" t="s">
        <v>260</v>
      </c>
      <c r="Z651" s="15">
        <v>0</v>
      </c>
      <c r="AA651" s="180">
        <v>0</v>
      </c>
      <c r="AB651" s="569" t="s">
        <v>1964</v>
      </c>
      <c r="AC651" s="544" t="str">
        <f>""</f>
        <v/>
      </c>
      <c r="AD651" s="183">
        <v>1</v>
      </c>
      <c r="AE651" s="181" t="s">
        <v>264</v>
      </c>
      <c r="AF651" s="181" t="s">
        <v>264</v>
      </c>
      <c r="AG651" s="183">
        <v>1</v>
      </c>
      <c r="AH651" s="183">
        <v>9</v>
      </c>
      <c r="AI651" s="183">
        <v>0</v>
      </c>
      <c r="AJ651" s="181">
        <f>VLOOKUP($I651,'Price List, Weapons &amp; Items'!B:F,5,0)</f>
        <v>0</v>
      </c>
      <c r="AK651" s="181">
        <f t="shared" si="130"/>
        <v>0</v>
      </c>
      <c r="AL651" s="181">
        <f t="shared" si="131"/>
        <v>0</v>
      </c>
      <c r="AM651" s="181">
        <f t="shared" si="132"/>
        <v>0</v>
      </c>
      <c r="AN651" s="180" t="str">
        <f>VLOOKUP($I651,'Price List, Weapons &amp; Items'!B:L,COLUMN('Price List, Weapons &amp; Items'!$J$11)-1,0)</f>
        <v>Contracts</v>
      </c>
      <c r="AO651" s="180" t="str">
        <f>IF(I651=".",".",VLOOKUP($I651,'Price List, Weapons &amp; Items'!B:J,3,0))</f>
        <v>105mm howitzer</v>
      </c>
      <c r="AP651" s="545" t="e">
        <f t="shared" ca="1" si="127"/>
        <v>#NAME?</v>
      </c>
      <c r="AQ651" s="180" t="str">
        <f>VLOOKUP($I651,'Price List, Weapons &amp; Items'!B:L,COLUMN('Price List, Weapons &amp; Items'!$L$11)-1,0)</f>
        <v>no price, 0 count</v>
      </c>
      <c r="AR651" s="180">
        <f t="shared" si="133"/>
        <v>1</v>
      </c>
      <c r="AS651" s="180">
        <f t="shared" si="134"/>
        <v>1</v>
      </c>
      <c r="AT651" s="180">
        <f t="shared" si="135"/>
        <v>1</v>
      </c>
      <c r="AU651" s="180" t="str">
        <f t="shared" si="136"/>
        <v>.</v>
      </c>
      <c r="AV651" s="180" t="str">
        <f t="shared" si="137"/>
        <v>.</v>
      </c>
      <c r="AW651" s="180">
        <f>IFERROR(VLOOKUP(B651,'Share, Heavy Weapons to Ukraine'!B:J,COLUMN('Share, Heavy Weapons to Ukraine'!C664)-1,0),0)</f>
        <v>0</v>
      </c>
      <c r="AX651" s="180">
        <f>VLOOKUP('Bilateral Assistance, MAIN DATA'!B651,'Country Summary'!B:F,COLUMN('Country Summary'!C667)-1,FALSE)</f>
        <v>1</v>
      </c>
      <c r="AY651" s="180" t="str">
        <f>IF(AND(AD651=1,D651="Military",H651&lt;&gt;"Not given")=TRUE,IF(SUMIFS(P:P,A:A,A651)&gt;0,ABS((SUMIFS(P:P,A:A,A651)/VLOOKUP("USD",'Exchange Rates'!B:C,2,0)))/S651,"."),".")</f>
        <v>.</v>
      </c>
      <c r="AZ651" s="182" t="str">
        <f>IF(AND(AD651=1,D651="Military",H651&lt;&gt;"Not given")=TRUE,IF(SUMIFS(P:P,A:A,A651)&gt;0,IF((ABS((SUMIFS(P:P,A:A,A651)/VLOOKUP("USD",'Exchange Rates'!B:C,2,0)))/S651)&gt;1,(SUMIFS(P:P,A:A,A651)-S651)/S651,(S651-SUMIFS(P:P,A:A,A651))/SUMIFS(P:P,A:A,A651)),"."),".")</f>
        <v>.</v>
      </c>
      <c r="BA651" s="182"/>
      <c r="BB651" s="182"/>
      <c r="BC651" s="182"/>
      <c r="BD651" s="182"/>
      <c r="BE651" s="182"/>
      <c r="BF651" s="182"/>
      <c r="BG651" s="182"/>
      <c r="BH651" s="182"/>
      <c r="BI651" s="182"/>
      <c r="BJ651" s="182"/>
      <c r="BK651" s="182"/>
      <c r="BL651" s="182"/>
      <c r="BM651" s="182"/>
      <c r="BN651" s="182"/>
      <c r="BO651" s="182"/>
      <c r="BP651" s="182"/>
      <c r="BQ651" s="182"/>
      <c r="BR651" s="182"/>
      <c r="BS651" s="182"/>
    </row>
    <row r="652" spans="1:71" ht="15.9" customHeight="1" x14ac:dyDescent="0.3">
      <c r="A652" s="5" t="s">
        <v>1960</v>
      </c>
      <c r="B652" s="5" t="s">
        <v>1919</v>
      </c>
      <c r="C652" s="174">
        <v>44811</v>
      </c>
      <c r="D652" s="5" t="s">
        <v>285</v>
      </c>
      <c r="E652" s="5" t="s">
        <v>339</v>
      </c>
      <c r="F652" s="175" t="s">
        <v>1961</v>
      </c>
      <c r="G652" s="15" t="s">
        <v>364</v>
      </c>
      <c r="H652" s="176">
        <f>(200000000-8000000-SUM(S649,S644,S641,S640,S638,S637))/2</f>
        <v>35821428.571428567</v>
      </c>
      <c r="I652" s="185" t="s">
        <v>1965</v>
      </c>
      <c r="J652" s="113" t="str">
        <f>VLOOKUP($I652,'Price List, Weapons &amp; Items'!B:C,2,0)</f>
        <v>Heavy weapon</v>
      </c>
      <c r="K652" s="113" t="str">
        <f>IF(I652=".",I652,VLOOKUP($I652,'Price List, Weapons &amp; Items'!B:D,3,0))</f>
        <v>105mm howitzer</v>
      </c>
      <c r="L652" s="177">
        <f>VLOOKUP(I652,'Price List, Weapons &amp; Items'!B:E,4,0)</f>
        <v>0</v>
      </c>
      <c r="M652" s="187" t="s">
        <v>270</v>
      </c>
      <c r="N652" s="187" t="s">
        <v>270</v>
      </c>
      <c r="O652" s="543">
        <f>VLOOKUP($I652,'Price List, Weapons &amp; Items'!B:G,6,0)</f>
        <v>291771.32972527831</v>
      </c>
      <c r="P652" s="176" t="str">
        <f t="shared" si="128"/>
        <v>.</v>
      </c>
      <c r="Q652" s="176" t="str">
        <f t="shared" si="129"/>
        <v>.</v>
      </c>
      <c r="R652" s="176" t="str">
        <f t="shared" si="126"/>
        <v/>
      </c>
      <c r="S652" s="176" t="str">
        <f>IF(AND(AD652=1,R652&lt;&gt;".")=TRUE,R652/VLOOKUP(G652,'Exchange Rates'!B:C,2,0),IF(R652=".",".",""))</f>
        <v/>
      </c>
      <c r="T652" s="176" t="str">
        <f>IF(AD652=1,IF(AF652="Value is not given at all",".",IF(AF652="Value is given by the source",S652,IF(AF652="Value is calculated with prices",(IF(SUMIFS(Q:Q,A:A,A652)&gt;0,SUMIFS(Q:Q,A:A,A652),"."))/VLOOKUP("USD",'Exchange Rates'!B:C,2,0),"Error with coding"))),"")</f>
        <v/>
      </c>
      <c r="U652" s="15" t="s">
        <v>261</v>
      </c>
      <c r="V652" s="547" t="s">
        <v>1966</v>
      </c>
      <c r="W652" s="569" t="s">
        <v>1967</v>
      </c>
      <c r="X652" s="188" t="s">
        <v>260</v>
      </c>
      <c r="Y652" s="175" t="s">
        <v>260</v>
      </c>
      <c r="Z652" s="15">
        <v>0</v>
      </c>
      <c r="AA652" s="180">
        <v>0</v>
      </c>
      <c r="AB652" s="569" t="s">
        <v>1964</v>
      </c>
      <c r="AC652" s="544" t="str">
        <f>""</f>
        <v/>
      </c>
      <c r="AD652" s="183">
        <v>0</v>
      </c>
      <c r="AE652" s="181" t="s">
        <v>264</v>
      </c>
      <c r="AF652" s="181" t="s">
        <v>264</v>
      </c>
      <c r="AG652" s="183">
        <v>1</v>
      </c>
      <c r="AH652" s="183">
        <v>9</v>
      </c>
      <c r="AI652" s="183">
        <v>0</v>
      </c>
      <c r="AJ652" s="181">
        <f>VLOOKUP($I652,'Price List, Weapons &amp; Items'!B:F,5,0)</f>
        <v>0</v>
      </c>
      <c r="AK652" s="181">
        <f t="shared" si="130"/>
        <v>0</v>
      </c>
      <c r="AL652" s="181">
        <f t="shared" si="131"/>
        <v>0</v>
      </c>
      <c r="AM652" s="181">
        <f t="shared" si="132"/>
        <v>0</v>
      </c>
      <c r="AN652" s="180" t="str">
        <f>VLOOKUP($I652,'Price List, Weapons &amp; Items'!B:L,COLUMN('Price List, Weapons &amp; Items'!$J$11)-1,0)</f>
        <v>Contracts</v>
      </c>
      <c r="AO652" s="180" t="str">
        <f>IF(I652=".",".",VLOOKUP($I652,'Price List, Weapons &amp; Items'!B:J,3,0))</f>
        <v>105mm howitzer</v>
      </c>
      <c r="AP652" s="545" t="str">
        <f t="shared" ca="1" si="127"/>
        <v/>
      </c>
      <c r="AQ652" s="180" t="str">
        <f>VLOOKUP($I652,'Price List, Weapons &amp; Items'!B:L,COLUMN('Price List, Weapons &amp; Items'!$L$11)-1,0)</f>
        <v>no price, 0 count</v>
      </c>
      <c r="AR652" s="180">
        <f t="shared" si="133"/>
        <v>1</v>
      </c>
      <c r="AS652" s="180">
        <f t="shared" si="134"/>
        <v>1</v>
      </c>
      <c r="AT652" s="180">
        <f t="shared" si="135"/>
        <v>1</v>
      </c>
      <c r="AU652" s="180" t="str">
        <f t="shared" si="136"/>
        <v>.</v>
      </c>
      <c r="AV652" s="180" t="str">
        <f t="shared" si="137"/>
        <v>.</v>
      </c>
      <c r="AW652" s="180">
        <f>IFERROR(VLOOKUP(B652,'Share, Heavy Weapons to Ukraine'!B:J,COLUMN('Share, Heavy Weapons to Ukraine'!C665)-1,0),0)</f>
        <v>0</v>
      </c>
      <c r="AX652" s="180">
        <f>VLOOKUP('Bilateral Assistance, MAIN DATA'!B652,'Country Summary'!B:F,COLUMN('Country Summary'!C668)-1,FALSE)</f>
        <v>1</v>
      </c>
      <c r="AY652" s="180" t="str">
        <f>IF(AND(AD652=1,D652="Military",H652&lt;&gt;"Not given")=TRUE,IF(SUMIFS(P:P,A:A,A652)&gt;0,ABS((SUMIFS(P:P,A:A,A652)/VLOOKUP("USD",'Exchange Rates'!B:C,2,0)))/S652,"."),".")</f>
        <v>.</v>
      </c>
      <c r="AZ652" s="182" t="str">
        <f>IF(AND(AD652=1,D652="Military",H652&lt;&gt;"Not given")=TRUE,IF(SUMIFS(P:P,A:A,A652)&gt;0,IF((ABS((SUMIFS(P:P,A:A,A652)/VLOOKUP("USD",'Exchange Rates'!B:C,2,0)))/S652)&gt;1,(SUMIFS(P:P,A:A,A652)-S652)/S652,(S652-SUMIFS(P:P,A:A,A652))/SUMIFS(P:P,A:A,A652)),"."),".")</f>
        <v>.</v>
      </c>
      <c r="BA652" s="182"/>
      <c r="BB652" s="182"/>
      <c r="BC652" s="182"/>
      <c r="BD652" s="182"/>
      <c r="BE652" s="182"/>
      <c r="BF652" s="182"/>
      <c r="BG652" s="182"/>
      <c r="BH652" s="182"/>
      <c r="BI652" s="182"/>
      <c r="BJ652" s="182"/>
      <c r="BK652" s="182"/>
      <c r="BL652" s="182"/>
      <c r="BM652" s="182"/>
      <c r="BN652" s="182"/>
      <c r="BO652" s="182"/>
      <c r="BP652" s="182"/>
      <c r="BQ652" s="182"/>
      <c r="BR652" s="182"/>
      <c r="BS652" s="182"/>
    </row>
    <row r="653" spans="1:71" ht="15.9" customHeight="1" x14ac:dyDescent="0.3">
      <c r="A653" s="5" t="s">
        <v>1968</v>
      </c>
      <c r="B653" s="5" t="s">
        <v>1919</v>
      </c>
      <c r="C653" s="174">
        <v>44845</v>
      </c>
      <c r="D653" s="5" t="s">
        <v>285</v>
      </c>
      <c r="E653" s="5" t="s">
        <v>257</v>
      </c>
      <c r="F653" s="175" t="s">
        <v>1969</v>
      </c>
      <c r="G653" s="15" t="s">
        <v>346</v>
      </c>
      <c r="H653" s="176" t="s">
        <v>341</v>
      </c>
      <c r="I653" s="185" t="s">
        <v>260</v>
      </c>
      <c r="J653" s="113" t="str">
        <f>VLOOKUP($I653,'Price List, Weapons &amp; Items'!B:C,2,0)</f>
        <v>.</v>
      </c>
      <c r="K653" s="113" t="str">
        <f>IF(I653=".",I653,VLOOKUP($I653,'Price List, Weapons &amp; Items'!B:D,3,0))</f>
        <v>.</v>
      </c>
      <c r="L653" s="177">
        <f>VLOOKUP(I653,'Price List, Weapons &amp; Items'!B:E,4,0)</f>
        <v>0</v>
      </c>
      <c r="M653" s="187" t="s">
        <v>260</v>
      </c>
      <c r="N653" s="187" t="s">
        <v>260</v>
      </c>
      <c r="O653" s="543" t="str">
        <f>VLOOKUP($I653,'Price List, Weapons &amp; Items'!B:G,6,0)</f>
        <v>.</v>
      </c>
      <c r="P653" s="176" t="str">
        <f t="shared" si="128"/>
        <v>.</v>
      </c>
      <c r="Q653" s="176" t="str">
        <f t="shared" si="129"/>
        <v>.</v>
      </c>
      <c r="R653" s="176" t="str">
        <f t="shared" si="126"/>
        <v>.</v>
      </c>
      <c r="S653" s="176" t="str">
        <f>IF(AND(AD653=1,R653&lt;&gt;".")=TRUE,R653/VLOOKUP(G653,'Exchange Rates'!B:C,2,0),IF(R653=".",".",""))</f>
        <v>.</v>
      </c>
      <c r="T653" s="176" t="str">
        <f>IF(AD653=1,IF(AF653="Value is not given at all",".",IF(AF653="Value is given by the source",S653,IF(AF653="Value is calculated with prices",(IF(SUMIFS(Q:Q,A:A,A653)&gt;0,SUMIFS(Q:Q,A:A,A653),"."))/VLOOKUP("USD",'Exchange Rates'!B:C,2,0),"Error with coding"))),"")</f>
        <v>.</v>
      </c>
      <c r="U653" s="15" t="s">
        <v>261</v>
      </c>
      <c r="V653" s="547" t="s">
        <v>1970</v>
      </c>
      <c r="W653" s="687" t="s">
        <v>260</v>
      </c>
      <c r="X653" s="687" t="s">
        <v>260</v>
      </c>
      <c r="Y653" s="188" t="s">
        <v>260</v>
      </c>
      <c r="Z653" s="15">
        <v>0</v>
      </c>
      <c r="AA653" s="180">
        <v>0</v>
      </c>
      <c r="AB653" s="184" t="s">
        <v>260</v>
      </c>
      <c r="AC653" s="544" t="str">
        <f>""</f>
        <v/>
      </c>
      <c r="AD653" s="183">
        <v>1</v>
      </c>
      <c r="AE653" s="181" t="s">
        <v>265</v>
      </c>
      <c r="AF653" s="181" t="s">
        <v>265</v>
      </c>
      <c r="AG653" s="183">
        <v>1</v>
      </c>
      <c r="AH653" s="183">
        <v>10</v>
      </c>
      <c r="AI653" s="183">
        <v>0</v>
      </c>
      <c r="AJ653" s="181">
        <f>VLOOKUP($I653,'Price List, Weapons &amp; Items'!B:F,5,0)</f>
        <v>0</v>
      </c>
      <c r="AK653" s="181">
        <f t="shared" si="130"/>
        <v>0</v>
      </c>
      <c r="AL653" s="181">
        <f t="shared" si="131"/>
        <v>0</v>
      </c>
      <c r="AM653" s="181">
        <f t="shared" si="132"/>
        <v>0</v>
      </c>
      <c r="AN653" s="180" t="str">
        <f>VLOOKUP($I653,'Price List, Weapons &amp; Items'!B:L,COLUMN('Price List, Weapons &amp; Items'!$J$11)-1,0)</f>
        <v>.</v>
      </c>
      <c r="AO653" s="180" t="str">
        <f>IF(I653=".",".",VLOOKUP($I653,'Price List, Weapons &amp; Items'!B:J,3,0))</f>
        <v>.</v>
      </c>
      <c r="AP653" s="545" t="e">
        <f t="shared" ca="1" si="127"/>
        <v>#NAME?</v>
      </c>
      <c r="AQ653" s="180" t="str">
        <f>VLOOKUP($I653,'Price List, Weapons &amp; Items'!B:L,COLUMN('Price List, Weapons &amp; Items'!$L$11)-1,0)</f>
        <v>no price, 0 count</v>
      </c>
      <c r="AR653" s="180">
        <f t="shared" si="133"/>
        <v>1</v>
      </c>
      <c r="AS653" s="180">
        <f t="shared" si="134"/>
        <v>0</v>
      </c>
      <c r="AT653" s="180">
        <f t="shared" si="135"/>
        <v>1</v>
      </c>
      <c r="AU653" s="180" t="str">
        <f t="shared" si="136"/>
        <v>.</v>
      </c>
      <c r="AV653" s="180" t="str">
        <f t="shared" si="137"/>
        <v>.</v>
      </c>
      <c r="AW653" s="180">
        <f>IFERROR(VLOOKUP(B653,'Share, Heavy Weapons to Ukraine'!B:J,COLUMN('Share, Heavy Weapons to Ukraine'!C666)-1,0),0)</f>
        <v>0</v>
      </c>
      <c r="AX653" s="180">
        <f>VLOOKUP('Bilateral Assistance, MAIN DATA'!B653,'Country Summary'!B:F,COLUMN('Country Summary'!C669)-1,FALSE)</f>
        <v>1</v>
      </c>
      <c r="AY653" s="180" t="str">
        <f>IF(AND(AD653=1,D653="Military",H653&lt;&gt;"Not given")=TRUE,IF(SUMIFS(P:P,A:A,A653)&gt;0,ABS((SUMIFS(P:P,A:A,A653)/VLOOKUP("USD",'Exchange Rates'!B:C,2,0)))/S653,"."),".")</f>
        <v>.</v>
      </c>
      <c r="AZ653" s="182" t="str">
        <f>IF(AND(AD653=1,D653="Military",H653&lt;&gt;"Not given")=TRUE,IF(SUMIFS(P:P,A:A,A653)&gt;0,IF((ABS((SUMIFS(P:P,A:A,A653)/VLOOKUP("USD",'Exchange Rates'!B:C,2,0)))/S653)&gt;1,(SUMIFS(P:P,A:A,A653)-S653)/S653,(S653-SUMIFS(P:P,A:A,A653))/SUMIFS(P:P,A:A,A653)),"."),".")</f>
        <v>.</v>
      </c>
      <c r="BA653" s="182"/>
      <c r="BB653" s="182"/>
      <c r="BC653" s="182"/>
      <c r="BD653" s="182"/>
      <c r="BE653" s="182"/>
      <c r="BF653" s="182"/>
      <c r="BG653" s="182"/>
      <c r="BH653" s="182"/>
      <c r="BI653" s="182"/>
      <c r="BJ653" s="182"/>
      <c r="BK653" s="182"/>
      <c r="BL653" s="182"/>
      <c r="BM653" s="182"/>
      <c r="BN653" s="182"/>
      <c r="BO653" s="182"/>
      <c r="BP653" s="182"/>
      <c r="BQ653" s="182"/>
      <c r="BR653" s="182"/>
      <c r="BS653" s="182"/>
    </row>
    <row r="654" spans="1:71" ht="15.9" customHeight="1" x14ac:dyDescent="0.3">
      <c r="A654" s="5" t="s">
        <v>1971</v>
      </c>
      <c r="B654" s="5" t="s">
        <v>1919</v>
      </c>
      <c r="C654" s="174">
        <v>44845</v>
      </c>
      <c r="D654" s="5" t="s">
        <v>285</v>
      </c>
      <c r="E654" s="5" t="s">
        <v>286</v>
      </c>
      <c r="F654" s="175" t="s">
        <v>1972</v>
      </c>
      <c r="G654" s="15" t="s">
        <v>346</v>
      </c>
      <c r="H654" s="176" t="s">
        <v>341</v>
      </c>
      <c r="I654" s="185" t="s">
        <v>1973</v>
      </c>
      <c r="J654" s="113" t="str">
        <f>VLOOKUP($I654,'Price List, Weapons &amp; Items'!B:C,2,0)</f>
        <v>Humanitarian</v>
      </c>
      <c r="K654" s="113" t="str">
        <f>IF(I654=".",I654,VLOOKUP($I654,'Price List, Weapons &amp; Items'!B:D,3,0))</f>
        <v>Humanitarian</v>
      </c>
      <c r="L654" s="177">
        <f>VLOOKUP(I654,'Price List, Weapons &amp; Items'!B:E,4,0)</f>
        <v>0</v>
      </c>
      <c r="M654" s="187">
        <v>35000</v>
      </c>
      <c r="N654" s="187">
        <v>35000</v>
      </c>
      <c r="O654" s="543">
        <f>VLOOKUP($I654,'Price List, Weapons &amp; Items'!B:G,6,0)</f>
        <v>89.399999999999991</v>
      </c>
      <c r="P654" s="176">
        <f t="shared" si="128"/>
        <v>3128999.9999999995</v>
      </c>
      <c r="Q654" s="176">
        <f t="shared" si="129"/>
        <v>3128999.9999999995</v>
      </c>
      <c r="R654" s="176">
        <f t="shared" si="126"/>
        <v>11780882</v>
      </c>
      <c r="S654" s="176">
        <f>IF(AND(AD654=1,R654&lt;&gt;".")=TRUE,R654/VLOOKUP(G654,'Exchange Rates'!B:C,2,0),IF(R654=".",".",""))</f>
        <v>11219887.619047619</v>
      </c>
      <c r="T654" s="176">
        <f>IF(AD654=1,IF(AF654="Value is not given at all",".",IF(AF654="Value is given by the source",S654,IF(AF654="Value is calculated with prices",(IF(SUMIFS(Q:Q,A:A,A654)&gt;0,SUMIFS(Q:Q,A:A,A654),"."))/VLOOKUP("USD",'Exchange Rates'!B:C,2,0),"Error with coding"))),"")</f>
        <v>11219887.619047619</v>
      </c>
      <c r="U654" s="15" t="s">
        <v>261</v>
      </c>
      <c r="V654" s="547" t="s">
        <v>1974</v>
      </c>
      <c r="W654" s="569" t="s">
        <v>1975</v>
      </c>
      <c r="X654" s="569" t="s">
        <v>1976</v>
      </c>
      <c r="Y654" s="569" t="s">
        <v>1977</v>
      </c>
      <c r="Z654" s="15">
        <v>0</v>
      </c>
      <c r="AA654" s="180">
        <v>0</v>
      </c>
      <c r="AB654" s="184" t="s">
        <v>260</v>
      </c>
      <c r="AC654" s="544" t="str">
        <f>""</f>
        <v/>
      </c>
      <c r="AD654" s="183">
        <v>1</v>
      </c>
      <c r="AE654" s="183" t="s">
        <v>332</v>
      </c>
      <c r="AF654" s="183" t="s">
        <v>332</v>
      </c>
      <c r="AG654" s="183">
        <v>1</v>
      </c>
      <c r="AH654" s="183">
        <v>10</v>
      </c>
      <c r="AI654" s="183">
        <v>0</v>
      </c>
      <c r="AJ654" s="181">
        <f>VLOOKUP($I654,'Price List, Weapons &amp; Items'!B:F,5,0)</f>
        <v>0</v>
      </c>
      <c r="AK654" s="181">
        <f t="shared" si="130"/>
        <v>0</v>
      </c>
      <c r="AL654" s="181">
        <f t="shared" si="131"/>
        <v>0</v>
      </c>
      <c r="AM654" s="181">
        <f t="shared" si="132"/>
        <v>0</v>
      </c>
      <c r="AN654" s="180" t="str">
        <f>VLOOKUP($I654,'Price List, Weapons &amp; Items'!B:L,COLUMN('Price List, Weapons &amp; Items'!$J$11)-1,0)</f>
        <v>Government information</v>
      </c>
      <c r="AO654" s="180" t="str">
        <f>IF(I654=".",".",VLOOKUP($I654,'Price List, Weapons &amp; Items'!B:J,3,0))</f>
        <v>Humanitarian</v>
      </c>
      <c r="AP654" s="545" t="e">
        <f t="shared" ca="1" si="127"/>
        <v>#NAME?</v>
      </c>
      <c r="AQ654" s="180">
        <f>VLOOKUP($I654,'Price List, Weapons &amp; Items'!B:L,COLUMN('Price List, Weapons &amp; Items'!$L$11)-1,0)</f>
        <v>0</v>
      </c>
      <c r="AR654" s="180">
        <f t="shared" si="133"/>
        <v>1</v>
      </c>
      <c r="AS654" s="180">
        <f t="shared" si="134"/>
        <v>1</v>
      </c>
      <c r="AT654" s="180">
        <f t="shared" si="135"/>
        <v>1</v>
      </c>
      <c r="AU654" s="180" t="str">
        <f t="shared" si="136"/>
        <v>.</v>
      </c>
      <c r="AV654" s="180" t="str">
        <f t="shared" si="137"/>
        <v>.</v>
      </c>
      <c r="AW654" s="180">
        <f>IFERROR(VLOOKUP(B654,'Share, Heavy Weapons to Ukraine'!B:J,COLUMN('Share, Heavy Weapons to Ukraine'!C667)-1,0),0)</f>
        <v>0</v>
      </c>
      <c r="AX654" s="180">
        <f>VLOOKUP('Bilateral Assistance, MAIN DATA'!B654,'Country Summary'!B:F,COLUMN('Country Summary'!C670)-1,FALSE)</f>
        <v>1</v>
      </c>
      <c r="AY654" s="180" t="str">
        <f>IF(AND(AD654=1,D654="Military",H654&lt;&gt;"Not given")=TRUE,IF(SUMIFS(P:P,A:A,A654)&gt;0,ABS((SUMIFS(P:P,A:A,A654)/VLOOKUP("USD",'Exchange Rates'!B:C,2,0)))/S654,"."),".")</f>
        <v>.</v>
      </c>
      <c r="AZ654" s="182" t="str">
        <f>IF(AND(AD654=1,D654="Military",H654&lt;&gt;"Not given")=TRUE,IF(SUMIFS(P:P,A:A,A654)&gt;0,IF((ABS((SUMIFS(P:P,A:A,A654)/VLOOKUP("USD",'Exchange Rates'!B:C,2,0)))/S654)&gt;1,(SUMIFS(P:P,A:A,A654)-S654)/S654,(S654-SUMIFS(P:P,A:A,A654))/SUMIFS(P:P,A:A,A654)),"."),".")</f>
        <v>.</v>
      </c>
      <c r="BA654" s="182"/>
      <c r="BB654" s="182"/>
      <c r="BC654" s="182"/>
      <c r="BD654" s="182"/>
      <c r="BE654" s="182"/>
      <c r="BF654" s="182"/>
      <c r="BG654" s="182"/>
      <c r="BH654" s="182"/>
      <c r="BI654" s="182"/>
      <c r="BJ654" s="182"/>
      <c r="BK654" s="182"/>
      <c r="BL654" s="182"/>
      <c r="BM654" s="182"/>
      <c r="BN654" s="182"/>
      <c r="BO654" s="182"/>
      <c r="BP654" s="182"/>
      <c r="BQ654" s="182"/>
      <c r="BR654" s="182"/>
      <c r="BS654" s="182"/>
    </row>
    <row r="655" spans="1:71" ht="15.9" customHeight="1" x14ac:dyDescent="0.3">
      <c r="A655" s="5" t="s">
        <v>1971</v>
      </c>
      <c r="B655" s="5" t="s">
        <v>1919</v>
      </c>
      <c r="C655" s="174">
        <v>44846</v>
      </c>
      <c r="D655" s="5" t="s">
        <v>285</v>
      </c>
      <c r="E655" s="5" t="s">
        <v>286</v>
      </c>
      <c r="F655" s="175" t="s">
        <v>1972</v>
      </c>
      <c r="G655" s="15" t="s">
        <v>346</v>
      </c>
      <c r="H655" s="176" t="s">
        <v>341</v>
      </c>
      <c r="I655" s="185" t="s">
        <v>324</v>
      </c>
      <c r="J655" s="113" t="str">
        <f>VLOOKUP($I655,'Price List, Weapons &amp; Items'!B:C,2,0)</f>
        <v>Heavy weapon</v>
      </c>
      <c r="K655" s="113" t="str">
        <f>IF(I655=".",I655,VLOOKUP($I655,'Price List, Weapons &amp; Items'!B:D,3,0))</f>
        <v>Armoured Personnel Carrier (APC)</v>
      </c>
      <c r="L655" s="177">
        <f>VLOOKUP(I655,'Price List, Weapons &amp; Items'!B:E,4,0)</f>
        <v>0</v>
      </c>
      <c r="M655" s="187">
        <v>12</v>
      </c>
      <c r="N655" s="187">
        <v>12</v>
      </c>
      <c r="O655" s="543">
        <f>VLOOKUP($I655,'Price List, Weapons &amp; Items'!B:G,6,0)</f>
        <v>300000</v>
      </c>
      <c r="P655" s="176">
        <f t="shared" si="128"/>
        <v>3600000</v>
      </c>
      <c r="Q655" s="176">
        <f t="shared" si="129"/>
        <v>3600000</v>
      </c>
      <c r="R655" s="176" t="str">
        <f t="shared" si="126"/>
        <v/>
      </c>
      <c r="S655" s="176" t="str">
        <f>IF(AND(AD655=1,R655&lt;&gt;".")=TRUE,R655/VLOOKUP(G655,'Exchange Rates'!B:C,2,0),IF(R655=".",".",""))</f>
        <v/>
      </c>
      <c r="T655" s="176" t="str">
        <f>IF(AD655=1,IF(AF655="Value is not given at all",".",IF(AF655="Value is given by the source",S655,IF(AF655="Value is calculated with prices",(IF(SUMIFS(Q:Q,A:A,A655)&gt;0,SUMIFS(Q:Q,A:A,A655),"."))/VLOOKUP("USD",'Exchange Rates'!B:C,2,0),"Error with coding"))),"")</f>
        <v/>
      </c>
      <c r="U655" s="15" t="s">
        <v>261</v>
      </c>
      <c r="V655" s="547" t="s">
        <v>1974</v>
      </c>
      <c r="W655" s="569" t="s">
        <v>1975</v>
      </c>
      <c r="X655" s="569" t="s">
        <v>1976</v>
      </c>
      <c r="Y655" s="188" t="s">
        <v>260</v>
      </c>
      <c r="Z655" s="15">
        <v>0</v>
      </c>
      <c r="AA655" s="180">
        <v>0</v>
      </c>
      <c r="AB655" s="576" t="s">
        <v>1976</v>
      </c>
      <c r="AC655" s="544" t="str">
        <f>""</f>
        <v/>
      </c>
      <c r="AD655" s="183">
        <v>0</v>
      </c>
      <c r="AE655" s="183" t="s">
        <v>332</v>
      </c>
      <c r="AF655" s="183" t="s">
        <v>332</v>
      </c>
      <c r="AG655" s="183">
        <v>1</v>
      </c>
      <c r="AH655" s="183">
        <v>10</v>
      </c>
      <c r="AI655" s="183">
        <v>0</v>
      </c>
      <c r="AJ655" s="181">
        <f>VLOOKUP($I655,'Price List, Weapons &amp; Items'!B:F,5,0)</f>
        <v>1</v>
      </c>
      <c r="AK655" s="181">
        <f t="shared" si="130"/>
        <v>0</v>
      </c>
      <c r="AL655" s="181">
        <f t="shared" si="131"/>
        <v>0</v>
      </c>
      <c r="AM655" s="181">
        <f t="shared" si="132"/>
        <v>0</v>
      </c>
      <c r="AN655" s="180" t="str">
        <f>VLOOKUP($I655,'Price List, Weapons &amp; Items'!B:L,COLUMN('Price List, Weapons &amp; Items'!$J$11)-1,0)</f>
        <v>Military media (incl. websites)</v>
      </c>
      <c r="AO655" s="180" t="str">
        <f>IF(I655=".",".",VLOOKUP($I655,'Price List, Weapons &amp; Items'!B:J,3,0))</f>
        <v>Armoured Personnel Carrier (APC)</v>
      </c>
      <c r="AP655" s="545" t="str">
        <f t="shared" ca="1" si="127"/>
        <v/>
      </c>
      <c r="AQ655" s="180">
        <f>VLOOKUP($I655,'Price List, Weapons &amp; Items'!B:L,COLUMN('Price List, Weapons &amp; Items'!$L$11)-1,0)</f>
        <v>2</v>
      </c>
      <c r="AR655" s="180">
        <f t="shared" si="133"/>
        <v>1</v>
      </c>
      <c r="AS655" s="180">
        <f t="shared" si="134"/>
        <v>1</v>
      </c>
      <c r="AT655" s="180">
        <f t="shared" si="135"/>
        <v>1</v>
      </c>
      <c r="AU655" s="180" t="str">
        <f t="shared" si="136"/>
        <v>.</v>
      </c>
      <c r="AV655" s="180" t="str">
        <f t="shared" si="137"/>
        <v>.</v>
      </c>
      <c r="AW655" s="180">
        <f>IFERROR(VLOOKUP(B655,'Share, Heavy Weapons to Ukraine'!B:J,COLUMN('Share, Heavy Weapons to Ukraine'!C668)-1,0),0)</f>
        <v>0</v>
      </c>
      <c r="AX655" s="180">
        <f>VLOOKUP('Bilateral Assistance, MAIN DATA'!B655,'Country Summary'!B:F,COLUMN('Country Summary'!C671)-1,FALSE)</f>
        <v>1</v>
      </c>
      <c r="AY655" s="180" t="str">
        <f>IF(AND(AD655=1,D655="Military",H655&lt;&gt;"Not given")=TRUE,IF(SUMIFS(P:P,A:A,A655)&gt;0,ABS((SUMIFS(P:P,A:A,A655)/VLOOKUP("USD",'Exchange Rates'!B:C,2,0)))/S655,"."),".")</f>
        <v>.</v>
      </c>
      <c r="AZ655" s="182" t="str">
        <f>IF(AND(AD655=1,D655="Military",H655&lt;&gt;"Not given")=TRUE,IF(SUMIFS(P:P,A:A,A655)&gt;0,IF((ABS((SUMIFS(P:P,A:A,A655)/VLOOKUP("USD",'Exchange Rates'!B:C,2,0)))/S655)&gt;1,(SUMIFS(P:P,A:A,A655)-S655)/S655,(S655-SUMIFS(P:P,A:A,A655))/SUMIFS(P:P,A:A,A655)),"."),".")</f>
        <v>.</v>
      </c>
      <c r="BA655" s="182"/>
      <c r="BB655" s="182"/>
      <c r="BC655" s="182"/>
      <c r="BD655" s="182"/>
      <c r="BE655" s="182"/>
      <c r="BF655" s="182"/>
      <c r="BG655" s="182"/>
      <c r="BH655" s="182"/>
      <c r="BI655" s="182"/>
      <c r="BJ655" s="182"/>
      <c r="BK655" s="182"/>
      <c r="BL655" s="182"/>
      <c r="BM655" s="182"/>
      <c r="BN655" s="182"/>
      <c r="BO655" s="182"/>
      <c r="BP655" s="182"/>
      <c r="BQ655" s="182"/>
      <c r="BR655" s="182"/>
      <c r="BS655" s="182"/>
    </row>
    <row r="656" spans="1:71" ht="15.9" customHeight="1" x14ac:dyDescent="0.3">
      <c r="A656" s="5" t="s">
        <v>1971</v>
      </c>
      <c r="B656" s="5" t="s">
        <v>1919</v>
      </c>
      <c r="C656" s="174">
        <v>44846</v>
      </c>
      <c r="D656" s="5" t="s">
        <v>285</v>
      </c>
      <c r="E656" s="5" t="s">
        <v>286</v>
      </c>
      <c r="F656" s="175" t="s">
        <v>1972</v>
      </c>
      <c r="G656" s="15" t="s">
        <v>346</v>
      </c>
      <c r="H656" s="176" t="s">
        <v>341</v>
      </c>
      <c r="I656" s="156" t="s">
        <v>1931</v>
      </c>
      <c r="J656" s="113" t="str">
        <f>VLOOKUP($I656,'Price List, Weapons &amp; Items'!B:C,2,0)</f>
        <v>Heavy weapon</v>
      </c>
      <c r="K656" s="113" t="str">
        <f>IF(I656=".",I656,VLOOKUP($I656,'Price List, Weapons &amp; Items'!B:D,3,0))</f>
        <v>Mortar</v>
      </c>
      <c r="L656" s="177">
        <f>VLOOKUP(I656,'Price List, Weapons &amp; Items'!B:E,4,0)</f>
        <v>0</v>
      </c>
      <c r="M656" s="187">
        <v>10</v>
      </c>
      <c r="N656" s="187">
        <v>10</v>
      </c>
      <c r="O656" s="543">
        <f>VLOOKUP($I656,'Price List, Weapons &amp; Items'!B:G,6,0)</f>
        <v>463188.2</v>
      </c>
      <c r="P656" s="176">
        <f t="shared" si="128"/>
        <v>4631882</v>
      </c>
      <c r="Q656" s="176">
        <f t="shared" si="129"/>
        <v>4631882</v>
      </c>
      <c r="R656" s="176" t="str">
        <f t="shared" si="126"/>
        <v/>
      </c>
      <c r="S656" s="176" t="str">
        <f>IF(AND(AD656=1,R656&lt;&gt;".")=TRUE,R656/VLOOKUP(G656,'Exchange Rates'!B:C,2,0),IF(R656=".",".",""))</f>
        <v/>
      </c>
      <c r="T656" s="176" t="str">
        <f>IF(AD656=1,IF(AF656="Value is not given at all",".",IF(AF656="Value is given by the source",S656,IF(AF656="Value is calculated with prices",(IF(SUMIFS(Q:Q,A:A,A656)&gt;0,SUMIFS(Q:Q,A:A,A656),"."))/VLOOKUP("USD",'Exchange Rates'!B:C,2,0),"Error with coding"))),"")</f>
        <v/>
      </c>
      <c r="U656" s="15" t="s">
        <v>261</v>
      </c>
      <c r="V656" s="547" t="s">
        <v>1974</v>
      </c>
      <c r="W656" s="569" t="s">
        <v>1975</v>
      </c>
      <c r="X656" s="569" t="s">
        <v>1976</v>
      </c>
      <c r="Y656" s="188" t="s">
        <v>260</v>
      </c>
      <c r="Z656" s="15">
        <v>0</v>
      </c>
      <c r="AA656" s="180">
        <v>0</v>
      </c>
      <c r="AB656" s="576" t="s">
        <v>1976</v>
      </c>
      <c r="AC656" s="544" t="str">
        <f>""</f>
        <v/>
      </c>
      <c r="AD656" s="183">
        <v>0</v>
      </c>
      <c r="AE656" s="183" t="s">
        <v>332</v>
      </c>
      <c r="AF656" s="183" t="s">
        <v>332</v>
      </c>
      <c r="AG656" s="183">
        <v>1</v>
      </c>
      <c r="AH656" s="183">
        <v>10</v>
      </c>
      <c r="AI656" s="183">
        <v>0</v>
      </c>
      <c r="AJ656" s="181">
        <f>VLOOKUP($I656,'Price List, Weapons &amp; Items'!B:F,5,0)</f>
        <v>0</v>
      </c>
      <c r="AK656" s="181">
        <f t="shared" si="130"/>
        <v>0</v>
      </c>
      <c r="AL656" s="181">
        <f t="shared" si="131"/>
        <v>0</v>
      </c>
      <c r="AM656" s="181">
        <f t="shared" si="132"/>
        <v>0</v>
      </c>
      <c r="AN656" s="180" t="str">
        <f>VLOOKUP($I656,'Price List, Weapons &amp; Items'!B:L,COLUMN('Price List, Weapons &amp; Items'!$J$11)-1,0)</f>
        <v>Military media (incl. websites)</v>
      </c>
      <c r="AO656" s="180" t="str">
        <f>IF(I656=".",".",VLOOKUP($I656,'Price List, Weapons &amp; Items'!B:J,3,0))</f>
        <v>Mortar</v>
      </c>
      <c r="AP656" s="545" t="str">
        <f t="shared" ca="1" si="127"/>
        <v/>
      </c>
      <c r="AQ656" s="180">
        <f>VLOOKUP($I656,'Price List, Weapons &amp; Items'!B:L,COLUMN('Price List, Weapons &amp; Items'!$L$11)-1,0)</f>
        <v>2</v>
      </c>
      <c r="AR656" s="180">
        <f t="shared" si="133"/>
        <v>1</v>
      </c>
      <c r="AS656" s="180">
        <f t="shared" si="134"/>
        <v>1</v>
      </c>
      <c r="AT656" s="180">
        <f t="shared" si="135"/>
        <v>1</v>
      </c>
      <c r="AU656" s="180" t="str">
        <f t="shared" si="136"/>
        <v>.</v>
      </c>
      <c r="AV656" s="180" t="str">
        <f t="shared" si="137"/>
        <v>.</v>
      </c>
      <c r="AW656" s="180">
        <f>IFERROR(VLOOKUP(B656,'Share, Heavy Weapons to Ukraine'!B:J,COLUMN('Share, Heavy Weapons to Ukraine'!C669)-1,0),0)</f>
        <v>0</v>
      </c>
      <c r="AX656" s="180">
        <f>VLOOKUP('Bilateral Assistance, MAIN DATA'!B656,'Country Summary'!B:F,COLUMN('Country Summary'!C672)-1,FALSE)</f>
        <v>1</v>
      </c>
      <c r="AY656" s="180" t="str">
        <f>IF(AND(AD656=1,D656="Military",H656&lt;&gt;"Not given")=TRUE,IF(SUMIFS(P:P,A:A,A656)&gt;0,ABS((SUMIFS(P:P,A:A,A656)/VLOOKUP("USD",'Exchange Rates'!B:C,2,0)))/S656,"."),".")</f>
        <v>.</v>
      </c>
      <c r="AZ656" s="182" t="str">
        <f>IF(AND(AD656=1,D656="Military",H656&lt;&gt;"Not given")=TRUE,IF(SUMIFS(P:P,A:A,A656)&gt;0,IF((ABS((SUMIFS(P:P,A:A,A656)/VLOOKUP("USD",'Exchange Rates'!B:C,2,0)))/S656)&gt;1,(SUMIFS(P:P,A:A,A656)-S656)/S656,(S656-SUMIFS(P:P,A:A,A656))/SUMIFS(P:P,A:A,A656)),"."),".")</f>
        <v>.</v>
      </c>
      <c r="BA656" s="182"/>
      <c r="BB656" s="182"/>
      <c r="BC656" s="182"/>
      <c r="BD656" s="182"/>
      <c r="BE656" s="182"/>
      <c r="BF656" s="182"/>
      <c r="BG656" s="182"/>
      <c r="BH656" s="182"/>
      <c r="BI656" s="182"/>
      <c r="BJ656" s="182"/>
      <c r="BK656" s="182"/>
      <c r="BL656" s="182"/>
      <c r="BM656" s="182"/>
      <c r="BN656" s="182"/>
      <c r="BO656" s="182"/>
      <c r="BP656" s="182"/>
      <c r="BQ656" s="182"/>
      <c r="BR656" s="182"/>
      <c r="BS656" s="182"/>
    </row>
    <row r="657" spans="1:71" ht="15.9" customHeight="1" x14ac:dyDescent="0.3">
      <c r="A657" s="5" t="s">
        <v>1971</v>
      </c>
      <c r="B657" s="5" t="s">
        <v>1919</v>
      </c>
      <c r="C657" s="174">
        <v>44846</v>
      </c>
      <c r="D657" s="5" t="s">
        <v>285</v>
      </c>
      <c r="E657" s="5" t="s">
        <v>286</v>
      </c>
      <c r="F657" s="175" t="s">
        <v>1972</v>
      </c>
      <c r="G657" s="15" t="s">
        <v>346</v>
      </c>
      <c r="H657" s="176" t="s">
        <v>341</v>
      </c>
      <c r="I657" s="185" t="s">
        <v>1978</v>
      </c>
      <c r="J657" s="113" t="str">
        <f>VLOOKUP($I657,'Price List, Weapons &amp; Items'!B:C,2,0)</f>
        <v>Military equipment</v>
      </c>
      <c r="K657" s="113" t="str">
        <f>IF(I657=".",I657,VLOOKUP($I657,'Price List, Weapons &amp; Items'!B:D,3,0))</f>
        <v>Armoured Utility Vehicle (AUV)</v>
      </c>
      <c r="L657" s="177">
        <f>VLOOKUP(I657,'Price List, Weapons &amp; Items'!B:E,4,0)</f>
        <v>0</v>
      </c>
      <c r="M657" s="187">
        <v>7</v>
      </c>
      <c r="N657" s="187">
        <v>7</v>
      </c>
      <c r="O657" s="543">
        <f>VLOOKUP($I657,'Price List, Weapons &amp; Items'!B:G,6,0)</f>
        <v>60000</v>
      </c>
      <c r="P657" s="176">
        <f t="shared" si="128"/>
        <v>420000</v>
      </c>
      <c r="Q657" s="176">
        <f t="shared" si="129"/>
        <v>420000</v>
      </c>
      <c r="R657" s="176" t="str">
        <f t="shared" si="126"/>
        <v/>
      </c>
      <c r="S657" s="176" t="str">
        <f>IF(AND(AD657=1,R657&lt;&gt;".")=TRUE,R657/VLOOKUP(G657,'Exchange Rates'!B:C,2,0),IF(R657=".",".",""))</f>
        <v/>
      </c>
      <c r="T657" s="176" t="str">
        <f>IF(AD657=1,IF(AF657="Value is not given at all",".",IF(AF657="Value is given by the source",S657,IF(AF657="Value is calculated with prices",(IF(SUMIFS(Q:Q,A:A,A657)&gt;0,SUMIFS(Q:Q,A:A,A657),"."))/VLOOKUP("USD",'Exchange Rates'!B:C,2,0),"Error with coding"))),"")</f>
        <v/>
      </c>
      <c r="U657" s="15" t="s">
        <v>261</v>
      </c>
      <c r="V657" s="547" t="s">
        <v>1974</v>
      </c>
      <c r="W657" s="569" t="s">
        <v>1975</v>
      </c>
      <c r="X657" s="569" t="s">
        <v>1976</v>
      </c>
      <c r="Y657" s="188" t="s">
        <v>260</v>
      </c>
      <c r="Z657" s="15">
        <v>0</v>
      </c>
      <c r="AA657" s="180">
        <v>0</v>
      </c>
      <c r="AB657" s="576" t="s">
        <v>1976</v>
      </c>
      <c r="AC657" s="544" t="str">
        <f>""</f>
        <v/>
      </c>
      <c r="AD657" s="183">
        <v>0</v>
      </c>
      <c r="AE657" s="183" t="s">
        <v>332</v>
      </c>
      <c r="AF657" s="183" t="s">
        <v>332</v>
      </c>
      <c r="AG657" s="183">
        <v>1</v>
      </c>
      <c r="AH657" s="183">
        <v>10</v>
      </c>
      <c r="AI657" s="183">
        <v>0</v>
      </c>
      <c r="AJ657" s="181">
        <f>VLOOKUP($I657,'Price List, Weapons &amp; Items'!B:F,5,0)</f>
        <v>1</v>
      </c>
      <c r="AK657" s="181">
        <f t="shared" si="130"/>
        <v>0</v>
      </c>
      <c r="AL657" s="181">
        <f t="shared" si="131"/>
        <v>0</v>
      </c>
      <c r="AM657" s="181">
        <f t="shared" si="132"/>
        <v>0</v>
      </c>
      <c r="AN657" s="180" t="str">
        <f>VLOOKUP($I657,'Price List, Weapons &amp; Items'!B:L,COLUMN('Price List, Weapons &amp; Items'!$J$11)-1,0)</f>
        <v>Media reports (incl. social media)</v>
      </c>
      <c r="AO657" s="180" t="str">
        <f>IF(I657=".",".",VLOOKUP($I657,'Price List, Weapons &amp; Items'!B:J,3,0))</f>
        <v>Armoured Utility Vehicle (AUV)</v>
      </c>
      <c r="AP657" s="545" t="str">
        <f t="shared" ca="1" si="127"/>
        <v/>
      </c>
      <c r="AQ657" s="180">
        <f>VLOOKUP($I657,'Price List, Weapons &amp; Items'!B:L,COLUMN('Price List, Weapons &amp; Items'!$L$11)-1,0)</f>
        <v>1</v>
      </c>
      <c r="AR657" s="180">
        <f t="shared" si="133"/>
        <v>1</v>
      </c>
      <c r="AS657" s="180">
        <f t="shared" si="134"/>
        <v>1</v>
      </c>
      <c r="AT657" s="180">
        <f t="shared" si="135"/>
        <v>1</v>
      </c>
      <c r="AU657" s="180" t="str">
        <f t="shared" si="136"/>
        <v>.</v>
      </c>
      <c r="AV657" s="180" t="str">
        <f t="shared" si="137"/>
        <v>.</v>
      </c>
      <c r="AW657" s="180">
        <f>IFERROR(VLOOKUP(B657,'Share, Heavy Weapons to Ukraine'!B:J,COLUMN('Share, Heavy Weapons to Ukraine'!C670)-1,0),0)</f>
        <v>0</v>
      </c>
      <c r="AX657" s="180">
        <f>VLOOKUP('Bilateral Assistance, MAIN DATA'!B657,'Country Summary'!B:F,COLUMN('Country Summary'!C673)-1,FALSE)</f>
        <v>1</v>
      </c>
      <c r="AY657" s="180" t="str">
        <f>IF(AND(AD657=1,D657="Military",H657&lt;&gt;"Not given")=TRUE,IF(SUMIFS(P:P,A:A,A657)&gt;0,ABS((SUMIFS(P:P,A:A,A657)/VLOOKUP("USD",'Exchange Rates'!B:C,2,0)))/S657,"."),".")</f>
        <v>.</v>
      </c>
      <c r="AZ657" s="182" t="str">
        <f>IF(AND(AD657=1,D657="Military",H657&lt;&gt;"Not given")=TRUE,IF(SUMIFS(P:P,A:A,A657)&gt;0,IF((ABS((SUMIFS(P:P,A:A,A657)/VLOOKUP("USD",'Exchange Rates'!B:C,2,0)))/S657)&gt;1,(SUMIFS(P:P,A:A,A657)-S657)/S657,(S657-SUMIFS(P:P,A:A,A657))/SUMIFS(P:P,A:A,A657)),"."),".")</f>
        <v>.</v>
      </c>
      <c r="BA657" s="182"/>
      <c r="BB657" s="182"/>
      <c r="BC657" s="182"/>
      <c r="BD657" s="182"/>
      <c r="BE657" s="182"/>
      <c r="BF657" s="182"/>
      <c r="BG657" s="182"/>
      <c r="BH657" s="182"/>
      <c r="BI657" s="182"/>
      <c r="BJ657" s="182"/>
      <c r="BK657" s="182"/>
      <c r="BL657" s="182"/>
      <c r="BM657" s="182"/>
      <c r="BN657" s="182"/>
      <c r="BO657" s="182"/>
      <c r="BP657" s="182"/>
      <c r="BQ657" s="182"/>
      <c r="BR657" s="182"/>
      <c r="BS657" s="182"/>
    </row>
    <row r="658" spans="1:71" ht="15.9" customHeight="1" x14ac:dyDescent="0.3">
      <c r="A658" s="5" t="s">
        <v>1971</v>
      </c>
      <c r="B658" s="5" t="s">
        <v>1919</v>
      </c>
      <c r="C658" s="174">
        <v>44846</v>
      </c>
      <c r="D658" s="5" t="s">
        <v>285</v>
      </c>
      <c r="E658" s="5" t="s">
        <v>286</v>
      </c>
      <c r="F658" s="175" t="s">
        <v>1972</v>
      </c>
      <c r="G658" s="15" t="s">
        <v>346</v>
      </c>
      <c r="H658" s="176" t="s">
        <v>341</v>
      </c>
      <c r="I658" s="185" t="s">
        <v>1979</v>
      </c>
      <c r="J658" s="113" t="str">
        <f>VLOOKUP($I658,'Price List, Weapons &amp; Items'!B:C,2,0)</f>
        <v>Military equipment</v>
      </c>
      <c r="K658" s="113" t="str">
        <f>IF(I658=".",I658,VLOOKUP($I658,'Price List, Weapons &amp; Items'!B:D,3,0))</f>
        <v>Military equipment</v>
      </c>
      <c r="L658" s="177">
        <f>VLOOKUP(I658,'Price List, Weapons &amp; Items'!B:E,4,0)</f>
        <v>0</v>
      </c>
      <c r="M658" s="187" t="s">
        <v>270</v>
      </c>
      <c r="N658" s="187" t="s">
        <v>270</v>
      </c>
      <c r="O658" s="543">
        <f>VLOOKUP($I658,'Price List, Weapons &amp; Items'!B:G,6,0)</f>
        <v>5000</v>
      </c>
      <c r="P658" s="176" t="str">
        <f t="shared" si="128"/>
        <v>.</v>
      </c>
      <c r="Q658" s="176" t="str">
        <f t="shared" si="129"/>
        <v>.</v>
      </c>
      <c r="R658" s="176" t="str">
        <f t="shared" si="126"/>
        <v/>
      </c>
      <c r="S658" s="176" t="str">
        <f>IF(AND(AD658=1,R658&lt;&gt;".")=TRUE,R658/VLOOKUP(G658,'Exchange Rates'!B:C,2,0),IF(R658=".",".",""))</f>
        <v/>
      </c>
      <c r="T658" s="176" t="str">
        <f>IF(AD658=1,IF(AF658="Value is not given at all",".",IF(AF658="Value is given by the source",S658,IF(AF658="Value is calculated with prices",(IF(SUMIFS(Q:Q,A:A,A658)&gt;0,SUMIFS(Q:Q,A:A,A658),"."))/VLOOKUP("USD",'Exchange Rates'!B:C,2,0),"Error with coding"))),"")</f>
        <v/>
      </c>
      <c r="U658" s="15" t="s">
        <v>261</v>
      </c>
      <c r="V658" s="547" t="s">
        <v>1974</v>
      </c>
      <c r="W658" s="569" t="s">
        <v>1975</v>
      </c>
      <c r="X658" s="569" t="s">
        <v>1976</v>
      </c>
      <c r="Y658" s="188" t="s">
        <v>260</v>
      </c>
      <c r="Z658" s="15">
        <v>0</v>
      </c>
      <c r="AA658" s="180">
        <v>0</v>
      </c>
      <c r="AB658" s="184" t="s">
        <v>260</v>
      </c>
      <c r="AC658" s="544" t="str">
        <f>""</f>
        <v/>
      </c>
      <c r="AD658" s="183">
        <v>0</v>
      </c>
      <c r="AE658" s="183" t="s">
        <v>332</v>
      </c>
      <c r="AF658" s="183" t="s">
        <v>332</v>
      </c>
      <c r="AG658" s="183">
        <v>1</v>
      </c>
      <c r="AH658" s="183">
        <v>10</v>
      </c>
      <c r="AI658" s="183">
        <v>0</v>
      </c>
      <c r="AJ658" s="181">
        <f>VLOOKUP($I658,'Price List, Weapons &amp; Items'!B:F,5,0)</f>
        <v>0</v>
      </c>
      <c r="AK658" s="181">
        <f t="shared" si="130"/>
        <v>0</v>
      </c>
      <c r="AL658" s="181">
        <f t="shared" si="131"/>
        <v>0</v>
      </c>
      <c r="AM658" s="181">
        <f t="shared" si="132"/>
        <v>0</v>
      </c>
      <c r="AN658" s="180" t="str">
        <f>VLOOKUP($I658,'Price List, Weapons &amp; Items'!B:L,COLUMN('Price List, Weapons &amp; Items'!$J$11)-1,0)</f>
        <v>Miscellaneous</v>
      </c>
      <c r="AO658" s="180" t="str">
        <f>IF(I658=".",".",VLOOKUP($I658,'Price List, Weapons &amp; Items'!B:J,3,0))</f>
        <v>Military equipment</v>
      </c>
      <c r="AP658" s="545" t="str">
        <f t="shared" ca="1" si="127"/>
        <v/>
      </c>
      <c r="AQ658" s="180" t="str">
        <f>VLOOKUP($I658,'Price List, Weapons &amp; Items'!B:L,COLUMN('Price List, Weapons &amp; Items'!$L$11)-1,0)</f>
        <v>no price, 0 count</v>
      </c>
      <c r="AR658" s="180">
        <f t="shared" si="133"/>
        <v>1</v>
      </c>
      <c r="AS658" s="180">
        <f t="shared" si="134"/>
        <v>1</v>
      </c>
      <c r="AT658" s="180">
        <f t="shared" si="135"/>
        <v>1</v>
      </c>
      <c r="AU658" s="180" t="str">
        <f t="shared" si="136"/>
        <v>.</v>
      </c>
      <c r="AV658" s="180" t="str">
        <f t="shared" si="137"/>
        <v>.</v>
      </c>
      <c r="AW658" s="180">
        <f>IFERROR(VLOOKUP(B658,'Share, Heavy Weapons to Ukraine'!B:J,COLUMN('Share, Heavy Weapons to Ukraine'!C671)-1,0),0)</f>
        <v>0</v>
      </c>
      <c r="AX658" s="180">
        <f>VLOOKUP('Bilateral Assistance, MAIN DATA'!B658,'Country Summary'!B:F,COLUMN('Country Summary'!C674)-1,FALSE)</f>
        <v>1</v>
      </c>
      <c r="AY658" s="180" t="str">
        <f>IF(AND(AD658=1,D658="Military",H658&lt;&gt;"Not given")=TRUE,IF(SUMIFS(P:P,A:A,A658)&gt;0,ABS((SUMIFS(P:P,A:A,A658)/VLOOKUP("USD",'Exchange Rates'!B:C,2,0)))/S658,"."),".")</f>
        <v>.</v>
      </c>
      <c r="AZ658" s="182" t="str">
        <f>IF(AND(AD658=1,D658="Military",H658&lt;&gt;"Not given")=TRUE,IF(SUMIFS(P:P,A:A,A658)&gt;0,IF((ABS((SUMIFS(P:P,A:A,A658)/VLOOKUP("USD",'Exchange Rates'!B:C,2,0)))/S658)&gt;1,(SUMIFS(P:P,A:A,A658)-S658)/S658,(S658-SUMIFS(P:P,A:A,A658))/SUMIFS(P:P,A:A,A658)),"."),".")</f>
        <v>.</v>
      </c>
      <c r="BA658" s="182"/>
      <c r="BB658" s="182"/>
      <c r="BC658" s="182"/>
      <c r="BD658" s="182"/>
      <c r="BE658" s="182"/>
      <c r="BF658" s="182"/>
      <c r="BG658" s="182"/>
      <c r="BH658" s="182"/>
      <c r="BI658" s="182"/>
      <c r="BJ658" s="182"/>
      <c r="BK658" s="182"/>
      <c r="BL658" s="182"/>
      <c r="BM658" s="182"/>
      <c r="BN658" s="182"/>
      <c r="BO658" s="182"/>
      <c r="BP658" s="182"/>
      <c r="BQ658" s="182"/>
      <c r="BR658" s="182"/>
      <c r="BS658" s="182"/>
    </row>
    <row r="659" spans="1:71" ht="15.9" customHeight="1" x14ac:dyDescent="0.3">
      <c r="A659" s="5" t="s">
        <v>1971</v>
      </c>
      <c r="B659" s="5" t="s">
        <v>1919</v>
      </c>
      <c r="C659" s="174">
        <v>44846</v>
      </c>
      <c r="D659" s="5" t="s">
        <v>285</v>
      </c>
      <c r="E659" s="5" t="s">
        <v>286</v>
      </c>
      <c r="F659" s="175" t="s">
        <v>1972</v>
      </c>
      <c r="G659" s="15" t="s">
        <v>346</v>
      </c>
      <c r="H659" s="176" t="s">
        <v>341</v>
      </c>
      <c r="I659" s="185" t="s">
        <v>956</v>
      </c>
      <c r="J659" s="113" t="str">
        <f>VLOOKUP($I659,'Price List, Weapons &amp; Items'!B:C,2,0)</f>
        <v>Aviation and drones</v>
      </c>
      <c r="K659" s="113" t="str">
        <f>IF(I659=".",I659,VLOOKUP($I659,'Price List, Weapons &amp; Items'!B:D,3,0))</f>
        <v>drone</v>
      </c>
      <c r="L659" s="177">
        <f>VLOOKUP(I659,'Price List, Weapons &amp; Items'!B:E,4,0)</f>
        <v>0</v>
      </c>
      <c r="M659" s="187" t="s">
        <v>270</v>
      </c>
      <c r="N659" s="187" t="s">
        <v>270</v>
      </c>
      <c r="O659" s="543">
        <f>VLOOKUP($I659,'Price List, Weapons &amp; Items'!B:G,6,0)</f>
        <v>6000</v>
      </c>
      <c r="P659" s="176" t="str">
        <f t="shared" si="128"/>
        <v>.</v>
      </c>
      <c r="Q659" s="176" t="str">
        <f t="shared" si="129"/>
        <v>.</v>
      </c>
      <c r="R659" s="176" t="str">
        <f t="shared" si="126"/>
        <v/>
      </c>
      <c r="S659" s="176" t="str">
        <f>IF(AND(AD659=1,R659&lt;&gt;".")=TRUE,R659/VLOOKUP(G659,'Exchange Rates'!B:C,2,0),IF(R659=".",".",""))</f>
        <v/>
      </c>
      <c r="T659" s="176" t="str">
        <f>IF(AD659=1,IF(AF659="Value is not given at all",".",IF(AF659="Value is given by the source",S659,IF(AF659="Value is calculated with prices",(IF(SUMIFS(Q:Q,A:A,A659)&gt;0,SUMIFS(Q:Q,A:A,A659),"."))/VLOOKUP("USD",'Exchange Rates'!B:C,2,0),"Error with coding"))),"")</f>
        <v/>
      </c>
      <c r="U659" s="15" t="s">
        <v>261</v>
      </c>
      <c r="V659" s="547" t="s">
        <v>1974</v>
      </c>
      <c r="W659" s="569" t="s">
        <v>1975</v>
      </c>
      <c r="X659" s="569" t="s">
        <v>1976</v>
      </c>
      <c r="Y659" s="188" t="s">
        <v>260</v>
      </c>
      <c r="Z659" s="15">
        <v>0</v>
      </c>
      <c r="AA659" s="180">
        <v>0</v>
      </c>
      <c r="AB659" s="184" t="s">
        <v>260</v>
      </c>
      <c r="AC659" s="544" t="str">
        <f>""</f>
        <v/>
      </c>
      <c r="AD659" s="183">
        <v>0</v>
      </c>
      <c r="AE659" s="183" t="s">
        <v>332</v>
      </c>
      <c r="AF659" s="183" t="s">
        <v>332</v>
      </c>
      <c r="AG659" s="183">
        <v>1</v>
      </c>
      <c r="AH659" s="183">
        <v>10</v>
      </c>
      <c r="AI659" s="183">
        <v>0</v>
      </c>
      <c r="AJ659" s="181">
        <f>VLOOKUP($I659,'Price List, Weapons &amp; Items'!B:F,5,0)</f>
        <v>0</v>
      </c>
      <c r="AK659" s="181">
        <f t="shared" si="130"/>
        <v>0</v>
      </c>
      <c r="AL659" s="181">
        <f t="shared" si="131"/>
        <v>0</v>
      </c>
      <c r="AM659" s="181">
        <f t="shared" si="132"/>
        <v>0</v>
      </c>
      <c r="AN659" s="180" t="str">
        <f>VLOOKUP($I659,'Price List, Weapons &amp; Items'!B:L,COLUMN('Price List, Weapons &amp; Items'!$J$11)-1,0)</f>
        <v>Miscellaneous</v>
      </c>
      <c r="AO659" s="180" t="str">
        <f>IF(I659=".",".",VLOOKUP($I659,'Price List, Weapons &amp; Items'!B:J,3,0))</f>
        <v>drone</v>
      </c>
      <c r="AP659" s="545" t="str">
        <f t="shared" ca="1" si="127"/>
        <v/>
      </c>
      <c r="AQ659" s="180">
        <f>VLOOKUP($I659,'Price List, Weapons &amp; Items'!B:L,COLUMN('Price List, Weapons &amp; Items'!$L$11)-1,0)</f>
        <v>1</v>
      </c>
      <c r="AR659" s="180">
        <f t="shared" si="133"/>
        <v>1</v>
      </c>
      <c r="AS659" s="180">
        <f t="shared" si="134"/>
        <v>1</v>
      </c>
      <c r="AT659" s="180">
        <f t="shared" si="135"/>
        <v>1</v>
      </c>
      <c r="AU659" s="180" t="str">
        <f t="shared" si="136"/>
        <v>.</v>
      </c>
      <c r="AV659" s="180" t="str">
        <f t="shared" si="137"/>
        <v>.</v>
      </c>
      <c r="AW659" s="180">
        <f>IFERROR(VLOOKUP(B659,'Share, Heavy Weapons to Ukraine'!B:J,COLUMN('Share, Heavy Weapons to Ukraine'!C672)-1,0),0)</f>
        <v>0</v>
      </c>
      <c r="AX659" s="180">
        <f>VLOOKUP('Bilateral Assistance, MAIN DATA'!B659,'Country Summary'!B:F,COLUMN('Country Summary'!C675)-1,FALSE)</f>
        <v>1</v>
      </c>
      <c r="AY659" s="180" t="str">
        <f>IF(AND(AD659=1,D659="Military",H659&lt;&gt;"Not given")=TRUE,IF(SUMIFS(P:P,A:A,A659)&gt;0,ABS((SUMIFS(P:P,A:A,A659)/VLOOKUP("USD",'Exchange Rates'!B:C,2,0)))/S659,"."),".")</f>
        <v>.</v>
      </c>
      <c r="AZ659" s="182" t="str">
        <f>IF(AND(AD659=1,D659="Military",H659&lt;&gt;"Not given")=TRUE,IF(SUMIFS(P:P,A:A,A659)&gt;0,IF((ABS((SUMIFS(P:P,A:A,A659)/VLOOKUP("USD",'Exchange Rates'!B:C,2,0)))/S659)&gt;1,(SUMIFS(P:P,A:A,A659)-S659)/S659,(S659-SUMIFS(P:P,A:A,A659))/SUMIFS(P:P,A:A,A659)),"."),".")</f>
        <v>.</v>
      </c>
      <c r="BA659" s="182"/>
      <c r="BB659" s="182"/>
      <c r="BC659" s="182"/>
      <c r="BD659" s="182"/>
      <c r="BE659" s="182"/>
      <c r="BF659" s="182"/>
      <c r="BG659" s="182"/>
      <c r="BH659" s="182"/>
      <c r="BI659" s="182"/>
      <c r="BJ659" s="182"/>
      <c r="BK659" s="182"/>
      <c r="BL659" s="182"/>
      <c r="BM659" s="182"/>
      <c r="BN659" s="182"/>
      <c r="BO659" s="182"/>
      <c r="BP659" s="182"/>
      <c r="BQ659" s="182"/>
      <c r="BR659" s="182"/>
      <c r="BS659" s="182"/>
    </row>
    <row r="660" spans="1:71" ht="15.9" customHeight="1" x14ac:dyDescent="0.3">
      <c r="A660" s="5" t="s">
        <v>1980</v>
      </c>
      <c r="B660" s="5" t="s">
        <v>1919</v>
      </c>
      <c r="C660" s="174">
        <v>44863</v>
      </c>
      <c r="D660" s="5" t="s">
        <v>285</v>
      </c>
      <c r="E660" s="5" t="s">
        <v>257</v>
      </c>
      <c r="F660" s="175" t="s">
        <v>1981</v>
      </c>
      <c r="G660" s="15" t="s">
        <v>346</v>
      </c>
      <c r="H660" s="176" t="s">
        <v>341</v>
      </c>
      <c r="I660" s="185" t="s">
        <v>1982</v>
      </c>
      <c r="J660" s="113" t="str">
        <f>VLOOKUP($I660,'Price List, Weapons &amp; Items'!B:C,2,0)</f>
        <v>Heavy weapon</v>
      </c>
      <c r="K660" s="113" t="str">
        <f>IF(I660=".",I660,VLOOKUP($I660,'Price List, Weapons &amp; Items'!B:D,3,0))</f>
        <v>overhaul/repair</v>
      </c>
      <c r="L660" s="177">
        <f>VLOOKUP(I660,'Price List, Weapons &amp; Items'!B:E,4,0)</f>
        <v>0</v>
      </c>
      <c r="M660" s="187" t="s">
        <v>270</v>
      </c>
      <c r="N660" s="187" t="s">
        <v>270</v>
      </c>
      <c r="O660" s="543" t="str">
        <f>VLOOKUP($I660,'Price List, Weapons &amp; Items'!B:G,6,0)</f>
        <v>.</v>
      </c>
      <c r="P660" s="176" t="str">
        <f t="shared" si="128"/>
        <v>.</v>
      </c>
      <c r="Q660" s="176" t="str">
        <f t="shared" si="129"/>
        <v>.</v>
      </c>
      <c r="R660" s="176" t="str">
        <f t="shared" si="126"/>
        <v>.</v>
      </c>
      <c r="S660" s="176" t="str">
        <f>IF(AND(AD660=1,R660&lt;&gt;".")=TRUE,R660/VLOOKUP(G660,'Exchange Rates'!B:C,2,0),IF(R660=".",".",""))</f>
        <v>.</v>
      </c>
      <c r="T660" s="176" t="str">
        <f>IF(AD660=1,IF(AF660="Value is not given at all",".",IF(AF660="Value is given by the source",S660,IF(AF660="Value is calculated with prices",(IF(SUMIFS(Q:Q,A:A,A660)&gt;0,SUMIFS(Q:Q,A:A,A660),"."))/VLOOKUP("USD",'Exchange Rates'!B:C,2,0),"Error with coding"))),"")</f>
        <v>.</v>
      </c>
      <c r="U660" s="15" t="s">
        <v>261</v>
      </c>
      <c r="V660" s="547" t="s">
        <v>1983</v>
      </c>
      <c r="W660" s="569" t="s">
        <v>1984</v>
      </c>
      <c r="X660" s="569" t="s">
        <v>1985</v>
      </c>
      <c r="Y660" s="188" t="s">
        <v>260</v>
      </c>
      <c r="Z660" s="15">
        <v>0</v>
      </c>
      <c r="AA660" s="199">
        <v>1</v>
      </c>
      <c r="AB660" s="184" t="s">
        <v>260</v>
      </c>
      <c r="AC660" s="544" t="str">
        <f>""</f>
        <v/>
      </c>
      <c r="AD660" s="183">
        <v>1</v>
      </c>
      <c r="AE660" s="183" t="s">
        <v>265</v>
      </c>
      <c r="AF660" s="183" t="s">
        <v>265</v>
      </c>
      <c r="AG660" s="183">
        <v>1</v>
      </c>
      <c r="AH660" s="183">
        <v>10</v>
      </c>
      <c r="AI660" s="183">
        <v>0</v>
      </c>
      <c r="AJ660" s="181">
        <f>VLOOKUP($I660,'Price List, Weapons &amp; Items'!B:F,5,0)</f>
        <v>0</v>
      </c>
      <c r="AK660" s="181">
        <f t="shared" si="130"/>
        <v>0</v>
      </c>
      <c r="AL660" s="181">
        <f t="shared" si="131"/>
        <v>0</v>
      </c>
      <c r="AM660" s="181">
        <f t="shared" si="132"/>
        <v>0</v>
      </c>
      <c r="AN660" s="180" t="str">
        <f>VLOOKUP($I660,'Price List, Weapons &amp; Items'!B:L,COLUMN('Price List, Weapons &amp; Items'!$J$11)-1,0)</f>
        <v>.</v>
      </c>
      <c r="AO660" s="180" t="str">
        <f>IF(I660=".",".",VLOOKUP($I660,'Price List, Weapons &amp; Items'!B:J,3,0))</f>
        <v>overhaul/repair</v>
      </c>
      <c r="AP660" s="545" t="e">
        <f t="shared" ca="1" si="127"/>
        <v>#NAME?</v>
      </c>
      <c r="AQ660" s="180" t="str">
        <f>VLOOKUP($I660,'Price List, Weapons &amp; Items'!B:L,COLUMN('Price List, Weapons &amp; Items'!$L$11)-1,0)</f>
        <v>no price, 0 count</v>
      </c>
      <c r="AR660" s="180">
        <f t="shared" si="133"/>
        <v>1</v>
      </c>
      <c r="AS660" s="180">
        <f t="shared" si="134"/>
        <v>0</v>
      </c>
      <c r="AT660" s="180">
        <f t="shared" si="135"/>
        <v>1</v>
      </c>
      <c r="AU660" s="180" t="str">
        <f t="shared" si="136"/>
        <v>.</v>
      </c>
      <c r="AV660" s="180" t="str">
        <f t="shared" si="137"/>
        <v>.</v>
      </c>
      <c r="AW660" s="180">
        <f>IFERROR(VLOOKUP(B660,'Share, Heavy Weapons to Ukraine'!B:J,COLUMN('Share, Heavy Weapons to Ukraine'!C673)-1,0),0)</f>
        <v>0</v>
      </c>
      <c r="AX660" s="180">
        <f>VLOOKUP('Bilateral Assistance, MAIN DATA'!B660,'Country Summary'!B:F,COLUMN('Country Summary'!C676)-1,FALSE)</f>
        <v>1</v>
      </c>
      <c r="AY660" s="180" t="str">
        <f>IF(AND(AD660=1,D660="Military",H660&lt;&gt;"Not given")=TRUE,IF(SUMIFS(P:P,A:A,A660)&gt;0,ABS((SUMIFS(P:P,A:A,A660)/VLOOKUP("USD",'Exchange Rates'!B:C,2,0)))/S660,"."),".")</f>
        <v>.</v>
      </c>
      <c r="AZ660" s="182" t="str">
        <f>IF(AND(AD660=1,D660="Military",H660&lt;&gt;"Not given")=TRUE,IF(SUMIFS(P:P,A:A,A660)&gt;0,IF((ABS((SUMIFS(P:P,A:A,A660)/VLOOKUP("USD",'Exchange Rates'!B:C,2,0)))/S660)&gt;1,(SUMIFS(P:P,A:A,A660)-S660)/S660,(S660-SUMIFS(P:P,A:A,A660))/SUMIFS(P:P,A:A,A660)),"."),".")</f>
        <v>.</v>
      </c>
      <c r="BA660" s="182"/>
      <c r="BB660" s="182"/>
      <c r="BC660" s="182"/>
      <c r="BD660" s="182"/>
      <c r="BE660" s="182"/>
      <c r="BF660" s="182"/>
      <c r="BG660" s="182"/>
      <c r="BH660" s="182"/>
      <c r="BI660" s="182"/>
      <c r="BJ660" s="182"/>
      <c r="BK660" s="182"/>
      <c r="BL660" s="182"/>
      <c r="BM660" s="182"/>
      <c r="BN660" s="182"/>
      <c r="BO660" s="182"/>
      <c r="BP660" s="182"/>
      <c r="BQ660" s="182"/>
      <c r="BR660" s="182"/>
      <c r="BS660" s="182"/>
    </row>
    <row r="661" spans="1:71" ht="15.9" customHeight="1" x14ac:dyDescent="0.3">
      <c r="A661" s="5" t="s">
        <v>1986</v>
      </c>
      <c r="B661" s="5" t="s">
        <v>1919</v>
      </c>
      <c r="C661" s="174">
        <v>44886</v>
      </c>
      <c r="D661" s="5" t="s">
        <v>285</v>
      </c>
      <c r="E661" s="5" t="s">
        <v>257</v>
      </c>
      <c r="F661" s="175" t="s">
        <v>1987</v>
      </c>
      <c r="G661" s="15" t="s">
        <v>364</v>
      </c>
      <c r="H661" s="176">
        <f>230000000-SUM(S637:S660)</f>
        <v>26780112.380952388</v>
      </c>
      <c r="I661" s="185" t="s">
        <v>260</v>
      </c>
      <c r="J661" s="113" t="str">
        <f>VLOOKUP($I661,'Price List, Weapons &amp; Items'!B:C,2,0)</f>
        <v>.</v>
      </c>
      <c r="K661" s="113" t="str">
        <f>IF(I661=".",I661,VLOOKUP($I661,'Price List, Weapons &amp; Items'!B:D,3,0))</f>
        <v>.</v>
      </c>
      <c r="L661" s="177">
        <f>VLOOKUP(I661,'Price List, Weapons &amp; Items'!B:E,4,0)</f>
        <v>0</v>
      </c>
      <c r="M661" s="187" t="s">
        <v>260</v>
      </c>
      <c r="N661" s="187" t="s">
        <v>260</v>
      </c>
      <c r="O661" s="543" t="str">
        <f>VLOOKUP($I661,'Price List, Weapons &amp; Items'!B:G,6,0)</f>
        <v>.</v>
      </c>
      <c r="P661" s="176" t="str">
        <f t="shared" si="128"/>
        <v>.</v>
      </c>
      <c r="Q661" s="176" t="str">
        <f t="shared" si="129"/>
        <v>.</v>
      </c>
      <c r="R661" s="176">
        <f t="shared" ref="R661:R724" si="138">IF(AD661=1,IF(H661&lt;&gt;"Not given",H661,IF(TYPE(H661)=2,IF(SUMIFS(P:P,A:A,A661)&gt;0,SUMIFS(P:P,A:A,A661),"."),"Format error")),"")</f>
        <v>26780112.380952388</v>
      </c>
      <c r="S661" s="176">
        <f>IF(AND(AD661=1,R661&lt;&gt;".")=TRUE,R661/VLOOKUP(G661,'Exchange Rates'!B:C,2,0),IF(R661=".",".",""))</f>
        <v>26780112.380952388</v>
      </c>
      <c r="T661" s="176">
        <f>IF(AD661=1,IF(AF661="Value is not given at all",".",IF(AF661="Value is given by the source",S661,IF(AF661="Value is calculated with prices",(IF(SUMIFS(Q:Q,A:A,A661)&gt;0,SUMIFS(Q:Q,A:A,A661),"."))/VLOOKUP("USD",'Exchange Rates'!B:C,2,0),"Error with coding"))),"")</f>
        <v>26780112.380952388</v>
      </c>
      <c r="U661" s="15" t="s">
        <v>261</v>
      </c>
      <c r="V661" s="547" t="s">
        <v>1988</v>
      </c>
      <c r="W661" s="687" t="s">
        <v>260</v>
      </c>
      <c r="X661" s="687" t="s">
        <v>260</v>
      </c>
      <c r="Y661" s="188" t="s">
        <v>260</v>
      </c>
      <c r="Z661" s="15">
        <v>1</v>
      </c>
      <c r="AA661" s="199">
        <v>1</v>
      </c>
      <c r="AB661" s="563" t="s">
        <v>1988</v>
      </c>
      <c r="AC661" s="544" t="str">
        <f>""</f>
        <v/>
      </c>
      <c r="AD661" s="183">
        <v>1</v>
      </c>
      <c r="AE661" s="183" t="s">
        <v>264</v>
      </c>
      <c r="AF661" s="183" t="s">
        <v>264</v>
      </c>
      <c r="AG661" s="183">
        <v>1</v>
      </c>
      <c r="AH661" s="183">
        <v>11</v>
      </c>
      <c r="AI661" s="183">
        <v>0</v>
      </c>
      <c r="AJ661" s="181">
        <f>VLOOKUP($I661,'Price List, Weapons &amp; Items'!B:F,5,0)</f>
        <v>0</v>
      </c>
      <c r="AK661" s="181">
        <f t="shared" si="130"/>
        <v>0</v>
      </c>
      <c r="AL661" s="181">
        <f t="shared" si="131"/>
        <v>0</v>
      </c>
      <c r="AM661" s="181">
        <f t="shared" si="132"/>
        <v>0</v>
      </c>
      <c r="AN661" s="180" t="str">
        <f>VLOOKUP($I661,'Price List, Weapons &amp; Items'!B:L,COLUMN('Price List, Weapons &amp; Items'!$J$11)-1,0)</f>
        <v>.</v>
      </c>
      <c r="AO661" s="180" t="str">
        <f>IF(I661=".",".",VLOOKUP($I661,'Price List, Weapons &amp; Items'!B:J,3,0))</f>
        <v>.</v>
      </c>
      <c r="AP661" s="545" t="e">
        <f t="shared" ref="AP661:AP724" ca="1" si="139">IF(AD661=1,_xlfn.ARRAYTOTEXT(OFFSET(I661,0,0,COUNTIF(A:A,A661),1)),"")</f>
        <v>#NAME?</v>
      </c>
      <c r="AQ661" s="180" t="str">
        <f>VLOOKUP($I661,'Price List, Weapons &amp; Items'!B:L,COLUMN('Price List, Weapons &amp; Items'!$L$11)-1,0)</f>
        <v>no price, 0 count</v>
      </c>
      <c r="AR661" s="180">
        <f t="shared" si="133"/>
        <v>1</v>
      </c>
      <c r="AS661" s="180">
        <f t="shared" si="134"/>
        <v>0</v>
      </c>
      <c r="AT661" s="180">
        <f t="shared" si="135"/>
        <v>1</v>
      </c>
      <c r="AU661" s="180" t="str">
        <f t="shared" si="136"/>
        <v>.</v>
      </c>
      <c r="AV661" s="180" t="str">
        <f t="shared" si="137"/>
        <v>.</v>
      </c>
      <c r="AW661" s="180">
        <f>IFERROR(VLOOKUP(B661,'Share, Heavy Weapons to Ukraine'!B:J,COLUMN('Share, Heavy Weapons to Ukraine'!C674)-1,0),0)</f>
        <v>0</v>
      </c>
      <c r="AX661" s="180">
        <f>VLOOKUP('Bilateral Assistance, MAIN DATA'!B661,'Country Summary'!B:F,COLUMN('Country Summary'!C677)-1,FALSE)</f>
        <v>1</v>
      </c>
      <c r="AY661" s="180" t="str">
        <f>IF(AND(AD661=1,D661="Military",H661&lt;&gt;"Not given")=TRUE,IF(SUMIFS(P:P,A:A,A661)&gt;0,ABS((SUMIFS(P:P,A:A,A661)/VLOOKUP("USD",'Exchange Rates'!B:C,2,0)))/S661,"."),".")</f>
        <v>.</v>
      </c>
      <c r="AZ661" s="182" t="str">
        <f>IF(AND(AD661=1,D661="Military",H661&lt;&gt;"Not given")=TRUE,IF(SUMIFS(P:P,A:A,A661)&gt;0,IF((ABS((SUMIFS(P:P,A:A,A661)/VLOOKUP("USD",'Exchange Rates'!B:C,2,0)))/S661)&gt;1,(SUMIFS(P:P,A:A,A661)-S661)/S661,(S661-SUMIFS(P:P,A:A,A661))/SUMIFS(P:P,A:A,A661)),"."),".")</f>
        <v>.</v>
      </c>
      <c r="BA661" s="182"/>
      <c r="BB661" s="182"/>
      <c r="BC661" s="182"/>
      <c r="BD661" s="182"/>
      <c r="BE661" s="182"/>
      <c r="BF661" s="182"/>
      <c r="BG661" s="182"/>
      <c r="BH661" s="182"/>
      <c r="BI661" s="182"/>
      <c r="BJ661" s="182"/>
      <c r="BK661" s="182"/>
      <c r="BL661" s="182"/>
      <c r="BM661" s="182"/>
      <c r="BN661" s="182"/>
      <c r="BO661" s="182"/>
      <c r="BP661" s="182"/>
      <c r="BQ661" s="182"/>
      <c r="BR661" s="182"/>
      <c r="BS661" s="182"/>
    </row>
    <row r="662" spans="1:71" ht="15.9" customHeight="1" x14ac:dyDescent="0.3">
      <c r="A662" s="5" t="s">
        <v>1989</v>
      </c>
      <c r="B662" s="5" t="s">
        <v>1919</v>
      </c>
      <c r="C662" s="174">
        <v>44899</v>
      </c>
      <c r="D662" s="5" t="s">
        <v>285</v>
      </c>
      <c r="E662" s="5" t="s">
        <v>339</v>
      </c>
      <c r="F662" s="175" t="s">
        <v>1990</v>
      </c>
      <c r="G662" s="15" t="s">
        <v>364</v>
      </c>
      <c r="H662" s="176" t="s">
        <v>341</v>
      </c>
      <c r="I662" s="185" t="s">
        <v>644</v>
      </c>
      <c r="J662" s="113" t="str">
        <f>VLOOKUP($I662,'Price List, Weapons &amp; Items'!B:C,2,0)</f>
        <v>Ammunition for heavy weapon</v>
      </c>
      <c r="K662" s="113" t="str">
        <f>IF(I662=".",I662,VLOOKUP($I662,'Price List, Weapons &amp; Items'!B:D,3,0))</f>
        <v>155mm howitzer ammunition</v>
      </c>
      <c r="L662" s="177">
        <f>VLOOKUP(I662,'Price List, Weapons &amp; Items'!B:E,4,0)</f>
        <v>0</v>
      </c>
      <c r="M662" s="187" t="s">
        <v>270</v>
      </c>
      <c r="N662" s="187" t="s">
        <v>270</v>
      </c>
      <c r="O662" s="543">
        <f>VLOOKUP($I662,'Price List, Weapons &amp; Items'!B:G,6,0)</f>
        <v>3800</v>
      </c>
      <c r="P662" s="176" t="str">
        <f t="shared" si="128"/>
        <v>.</v>
      </c>
      <c r="Q662" s="176" t="str">
        <f t="shared" si="129"/>
        <v>.</v>
      </c>
      <c r="R662" s="176" t="str">
        <f t="shared" si="138"/>
        <v>.</v>
      </c>
      <c r="S662" s="176" t="str">
        <f>IF(AND(AD662=1,R662&lt;&gt;".")=TRUE,R662/VLOOKUP(G662,'Exchange Rates'!B:C,2,0),IF(R662=".",".",""))</f>
        <v>.</v>
      </c>
      <c r="T662" s="176" t="str">
        <f>IF(AD662=1,IF(AF662="Value is not given at all",".",IF(AF662="Value is given by the source",S662,IF(AF662="Value is calculated with prices",(IF(SUMIFS(Q:Q,A:A,A662)&gt;0,SUMIFS(Q:Q,A:A,A662),"."))/VLOOKUP("USD",'Exchange Rates'!B:C,2,0),"Error with coding"))),"")</f>
        <v>.</v>
      </c>
      <c r="U662" s="15" t="s">
        <v>261</v>
      </c>
      <c r="V662" s="547" t="s">
        <v>1988</v>
      </c>
      <c r="W662" s="569" t="s">
        <v>1991</v>
      </c>
      <c r="X662" s="687" t="s">
        <v>260</v>
      </c>
      <c r="Y662" s="188" t="s">
        <v>260</v>
      </c>
      <c r="Z662" s="15">
        <v>1</v>
      </c>
      <c r="AA662" s="199">
        <v>1</v>
      </c>
      <c r="AB662" s="563" t="s">
        <v>1988</v>
      </c>
      <c r="AC662" s="544" t="str">
        <f>""</f>
        <v/>
      </c>
      <c r="AD662" s="183">
        <v>1</v>
      </c>
      <c r="AE662" s="183" t="s">
        <v>265</v>
      </c>
      <c r="AF662" s="183" t="s">
        <v>265</v>
      </c>
      <c r="AG662" s="183">
        <v>1</v>
      </c>
      <c r="AH662" s="183">
        <v>12</v>
      </c>
      <c r="AI662" s="183">
        <v>0</v>
      </c>
      <c r="AJ662" s="181">
        <f>VLOOKUP($I662,'Price List, Weapons &amp; Items'!B:F,5,0)</f>
        <v>1</v>
      </c>
      <c r="AK662" s="181">
        <f t="shared" si="130"/>
        <v>1</v>
      </c>
      <c r="AL662" s="181">
        <f t="shared" si="131"/>
        <v>1</v>
      </c>
      <c r="AM662" s="181">
        <f t="shared" si="132"/>
        <v>0</v>
      </c>
      <c r="AN662" s="180" t="str">
        <f>VLOOKUP($I662,'Price List, Weapons &amp; Items'!B:L,COLUMN('Price List, Weapons &amp; Items'!$J$11)-1,0)</f>
        <v>Government information</v>
      </c>
      <c r="AO662" s="180" t="str">
        <f>IF(I662=".",".",VLOOKUP($I662,'Price List, Weapons &amp; Items'!B:J,3,0))</f>
        <v>155mm howitzer ammunition</v>
      </c>
      <c r="AP662" s="545" t="e">
        <f t="shared" ca="1" si="139"/>
        <v>#NAME?</v>
      </c>
      <c r="AQ662" s="180">
        <f>VLOOKUP($I662,'Price List, Weapons &amp; Items'!B:L,COLUMN('Price List, Weapons &amp; Items'!$L$11)-1,0)</f>
        <v>2</v>
      </c>
      <c r="AR662" s="180">
        <f t="shared" si="133"/>
        <v>1</v>
      </c>
      <c r="AS662" s="180">
        <f t="shared" si="134"/>
        <v>1</v>
      </c>
      <c r="AT662" s="180">
        <f t="shared" si="135"/>
        <v>1</v>
      </c>
      <c r="AU662" s="180" t="str">
        <f t="shared" si="136"/>
        <v>.</v>
      </c>
      <c r="AV662" s="180" t="str">
        <f t="shared" si="137"/>
        <v>.</v>
      </c>
      <c r="AW662" s="180">
        <f>IFERROR(VLOOKUP(B662,'Share, Heavy Weapons to Ukraine'!B:J,COLUMN('Share, Heavy Weapons to Ukraine'!C675)-1,0),0)</f>
        <v>0</v>
      </c>
      <c r="AX662" s="180">
        <f>VLOOKUP('Bilateral Assistance, MAIN DATA'!B662,'Country Summary'!B:F,COLUMN('Country Summary'!C678)-1,FALSE)</f>
        <v>1</v>
      </c>
      <c r="AY662" s="180" t="str">
        <f>IF(AND(AD662=1,D662="Military",H662&lt;&gt;"Not given")=TRUE,IF(SUMIFS(P:P,A:A,A662)&gt;0,ABS((SUMIFS(P:P,A:A,A662)/VLOOKUP("USD",'Exchange Rates'!B:C,2,0)))/S662,"."),".")</f>
        <v>.</v>
      </c>
      <c r="AZ662" s="182" t="str">
        <f>IF(AND(AD662=1,D662="Military",H662&lt;&gt;"Not given")=TRUE,IF(SUMIFS(P:P,A:A,A662)&gt;0,IF((ABS((SUMIFS(P:P,A:A,A662)/VLOOKUP("USD",'Exchange Rates'!B:C,2,0)))/S662)&gt;1,(SUMIFS(P:P,A:A,A662)-S662)/S662,(S662-SUMIFS(P:P,A:A,A662))/SUMIFS(P:P,A:A,A662)),"."),".")</f>
        <v>.</v>
      </c>
      <c r="BA662" s="182"/>
      <c r="BB662" s="182"/>
      <c r="BC662" s="182"/>
      <c r="BD662" s="182"/>
      <c r="BE662" s="182"/>
      <c r="BF662" s="182"/>
      <c r="BG662" s="182"/>
      <c r="BH662" s="182"/>
      <c r="BI662" s="182"/>
      <c r="BJ662" s="182"/>
      <c r="BK662" s="182"/>
      <c r="BL662" s="182"/>
      <c r="BM662" s="182"/>
      <c r="BN662" s="182"/>
      <c r="BO662" s="182"/>
      <c r="BP662" s="182"/>
      <c r="BQ662" s="182"/>
      <c r="BR662" s="182"/>
      <c r="BS662" s="182"/>
    </row>
    <row r="663" spans="1:71" ht="15.9" customHeight="1" x14ac:dyDescent="0.3">
      <c r="A663" s="5" t="s">
        <v>1992</v>
      </c>
      <c r="B663" s="5" t="s">
        <v>1919</v>
      </c>
      <c r="C663" s="174">
        <v>44901</v>
      </c>
      <c r="D663" s="5" t="s">
        <v>285</v>
      </c>
      <c r="E663" s="5" t="s">
        <v>257</v>
      </c>
      <c r="F663" s="175" t="s">
        <v>1993</v>
      </c>
      <c r="G663" s="15" t="s">
        <v>364</v>
      </c>
      <c r="H663" s="176">
        <f>280000000-SUM(S637:S662)</f>
        <v>50000000</v>
      </c>
      <c r="I663" s="185" t="s">
        <v>260</v>
      </c>
      <c r="J663" s="113" t="str">
        <f>VLOOKUP($I663,'Price List, Weapons &amp; Items'!B:C,2,0)</f>
        <v>.</v>
      </c>
      <c r="K663" s="113" t="str">
        <f>IF(I663=".",I663,VLOOKUP($I663,'Price List, Weapons &amp; Items'!B:D,3,0))</f>
        <v>.</v>
      </c>
      <c r="L663" s="177">
        <f>VLOOKUP(I663,'Price List, Weapons &amp; Items'!B:E,4,0)</f>
        <v>0</v>
      </c>
      <c r="M663" s="187" t="s">
        <v>260</v>
      </c>
      <c r="N663" s="187" t="s">
        <v>260</v>
      </c>
      <c r="O663" s="543" t="str">
        <f>VLOOKUP($I663,'Price List, Weapons &amp; Items'!B:G,6,0)</f>
        <v>.</v>
      </c>
      <c r="P663" s="176" t="str">
        <f t="shared" si="128"/>
        <v>.</v>
      </c>
      <c r="Q663" s="176" t="str">
        <f t="shared" si="129"/>
        <v>.</v>
      </c>
      <c r="R663" s="176">
        <f t="shared" si="138"/>
        <v>50000000</v>
      </c>
      <c r="S663" s="176">
        <f>IF(AND(AD663=1,R663&lt;&gt;".")=TRUE,R663/VLOOKUP(G663,'Exchange Rates'!B:C,2,0),IF(R663=".",".",""))</f>
        <v>50000000</v>
      </c>
      <c r="T663" s="176">
        <f>IF(AD663=1,IF(AF663="Value is not given at all",".",IF(AF663="Value is given by the source",S663,IF(AF663="Value is calculated with prices",(IF(SUMIFS(Q:Q,A:A,A663)&gt;0,SUMIFS(Q:Q,A:A,A663),"."))/VLOOKUP("USD",'Exchange Rates'!B:C,2,0),"Error with coding"))),"")</f>
        <v>50000000</v>
      </c>
      <c r="U663" s="15" t="s">
        <v>261</v>
      </c>
      <c r="V663" s="547" t="s">
        <v>1991</v>
      </c>
      <c r="W663" s="569" t="s">
        <v>1991</v>
      </c>
      <c r="X663" s="687" t="s">
        <v>260</v>
      </c>
      <c r="Y663" s="188" t="s">
        <v>260</v>
      </c>
      <c r="Z663" s="15">
        <v>1</v>
      </c>
      <c r="AA663" s="199">
        <v>1</v>
      </c>
      <c r="AB663" s="563" t="s">
        <v>1988</v>
      </c>
      <c r="AC663" s="544" t="str">
        <f>""</f>
        <v/>
      </c>
      <c r="AD663" s="183">
        <v>1</v>
      </c>
      <c r="AE663" s="183" t="s">
        <v>264</v>
      </c>
      <c r="AF663" s="183" t="s">
        <v>264</v>
      </c>
      <c r="AG663" s="183">
        <v>1</v>
      </c>
      <c r="AH663" s="183">
        <v>12</v>
      </c>
      <c r="AI663" s="183">
        <v>0</v>
      </c>
      <c r="AJ663" s="181">
        <f>VLOOKUP($I663,'Price List, Weapons &amp; Items'!B:F,5,0)</f>
        <v>0</v>
      </c>
      <c r="AK663" s="181">
        <f t="shared" si="130"/>
        <v>0</v>
      </c>
      <c r="AL663" s="181">
        <f t="shared" si="131"/>
        <v>0</v>
      </c>
      <c r="AM663" s="181">
        <f t="shared" si="132"/>
        <v>0</v>
      </c>
      <c r="AN663" s="180" t="str">
        <f>VLOOKUP($I663,'Price List, Weapons &amp; Items'!B:L,COLUMN('Price List, Weapons &amp; Items'!$J$11)-1,0)</f>
        <v>.</v>
      </c>
      <c r="AO663" s="180" t="str">
        <f>IF(I663=".",".",VLOOKUP($I663,'Price List, Weapons &amp; Items'!B:J,3,0))</f>
        <v>.</v>
      </c>
      <c r="AP663" s="545" t="e">
        <f t="shared" ca="1" si="139"/>
        <v>#NAME?</v>
      </c>
      <c r="AQ663" s="180" t="str">
        <f>VLOOKUP($I663,'Price List, Weapons &amp; Items'!B:L,COLUMN('Price List, Weapons &amp; Items'!$L$11)-1,0)</f>
        <v>no price, 0 count</v>
      </c>
      <c r="AR663" s="180">
        <f t="shared" si="133"/>
        <v>1</v>
      </c>
      <c r="AS663" s="180">
        <f t="shared" si="134"/>
        <v>0</v>
      </c>
      <c r="AT663" s="180">
        <f t="shared" si="135"/>
        <v>1</v>
      </c>
      <c r="AU663" s="180" t="str">
        <f t="shared" si="136"/>
        <v>.</v>
      </c>
      <c r="AV663" s="180" t="str">
        <f t="shared" si="137"/>
        <v>.</v>
      </c>
      <c r="AW663" s="180">
        <f>IFERROR(VLOOKUP(B663,'Share, Heavy Weapons to Ukraine'!B:J,COLUMN('Share, Heavy Weapons to Ukraine'!C676)-1,0),0)</f>
        <v>0</v>
      </c>
      <c r="AX663" s="180">
        <f>VLOOKUP('Bilateral Assistance, MAIN DATA'!B663,'Country Summary'!B:F,COLUMN('Country Summary'!C679)-1,FALSE)</f>
        <v>1</v>
      </c>
      <c r="AY663" s="180" t="str">
        <f>IF(AND(AD663=1,D663="Military",H663&lt;&gt;"Not given")=TRUE,IF(SUMIFS(P:P,A:A,A663)&gt;0,ABS((SUMIFS(P:P,A:A,A663)/VLOOKUP("USD",'Exchange Rates'!B:C,2,0)))/S663,"."),".")</f>
        <v>.</v>
      </c>
      <c r="AZ663" s="182" t="str">
        <f>IF(AND(AD663=1,D663="Military",H663&lt;&gt;"Not given")=TRUE,IF(SUMIFS(P:P,A:A,A663)&gt;0,IF((ABS((SUMIFS(P:P,A:A,A663)/VLOOKUP("USD",'Exchange Rates'!B:C,2,0)))/S663)&gt;1,(SUMIFS(P:P,A:A,A663)-S663)/S663,(S663-SUMIFS(P:P,A:A,A663))/SUMIFS(P:P,A:A,A663)),"."),".")</f>
        <v>.</v>
      </c>
      <c r="BA663" s="182"/>
      <c r="BB663" s="182"/>
      <c r="BC663" s="182"/>
      <c r="BD663" s="182"/>
      <c r="BE663" s="182"/>
      <c r="BF663" s="182"/>
      <c r="BG663" s="182"/>
      <c r="BH663" s="182"/>
      <c r="BI663" s="182"/>
      <c r="BJ663" s="182"/>
      <c r="BK663" s="182"/>
      <c r="BL663" s="182"/>
      <c r="BM663" s="182"/>
      <c r="BN663" s="182"/>
      <c r="BO663" s="182"/>
      <c r="BP663" s="182"/>
      <c r="BQ663" s="182"/>
      <c r="BR663" s="182"/>
      <c r="BS663" s="182"/>
    </row>
    <row r="664" spans="1:71" ht="15.9" customHeight="1" x14ac:dyDescent="0.3">
      <c r="A664" s="17" t="s">
        <v>1994</v>
      </c>
      <c r="B664" s="17" t="s">
        <v>1919</v>
      </c>
      <c r="C664" s="174">
        <v>44615</v>
      </c>
      <c r="D664" s="5" t="s">
        <v>256</v>
      </c>
      <c r="E664" s="5" t="s">
        <v>1995</v>
      </c>
      <c r="F664" s="175" t="s">
        <v>1996</v>
      </c>
      <c r="G664" s="15" t="s">
        <v>364</v>
      </c>
      <c r="H664" s="176">
        <v>1800000</v>
      </c>
      <c r="I664" s="17" t="s">
        <v>260</v>
      </c>
      <c r="J664" s="113" t="str">
        <f>VLOOKUP($I664,'Price List, Weapons &amp; Items'!B:C,2,0)</f>
        <v>.</v>
      </c>
      <c r="K664" s="113" t="str">
        <f>IF(I664=".",I664,VLOOKUP($I664,'Price List, Weapons &amp; Items'!B:D,3,0))</f>
        <v>.</v>
      </c>
      <c r="L664" s="177">
        <f>VLOOKUP(I664,'Price List, Weapons &amp; Items'!B:E,4,0)</f>
        <v>0</v>
      </c>
      <c r="M664" s="542" t="s">
        <v>260</v>
      </c>
      <c r="N664" s="542" t="s">
        <v>260</v>
      </c>
      <c r="O664" s="543" t="str">
        <f>VLOOKUP($I664,'Price List, Weapons &amp; Items'!B:G,6,0)</f>
        <v>.</v>
      </c>
      <c r="P664" s="176" t="str">
        <f t="shared" si="128"/>
        <v>.</v>
      </c>
      <c r="Q664" s="176" t="str">
        <f t="shared" si="129"/>
        <v>.</v>
      </c>
      <c r="R664" s="176">
        <f t="shared" si="138"/>
        <v>1800000</v>
      </c>
      <c r="S664" s="176">
        <f>IF(AND(AD664=1,R664&lt;&gt;".")=TRUE,R664/VLOOKUP(G664,'Exchange Rates'!B:C,2,0),IF(R664=".",".",""))</f>
        <v>1800000</v>
      </c>
      <c r="T664" s="176" t="str">
        <f>IF(AD664=1,IF(AF664="Value is not given at all",".",IF(AF664="Value is given by the source",S664,IF(AF664="Value is calculated with prices",(IF(SUMIFS(Q:Q,A:A,A664)&gt;0,SUMIFS(Q:Q,A:A,A664),"."))/VLOOKUP("USD",'Exchange Rates'!B:C,2,0),"Error with coding"))),"")</f>
        <v>.</v>
      </c>
      <c r="U664" s="15" t="s">
        <v>261</v>
      </c>
      <c r="V664" s="300" t="s">
        <v>1997</v>
      </c>
      <c r="W664" s="175" t="s">
        <v>260</v>
      </c>
      <c r="X664" s="175" t="s">
        <v>260</v>
      </c>
      <c r="Y664" s="175" t="s">
        <v>260</v>
      </c>
      <c r="Z664" s="15">
        <v>0</v>
      </c>
      <c r="AA664" s="180">
        <v>0</v>
      </c>
      <c r="AB664" s="184" t="s">
        <v>260</v>
      </c>
      <c r="AC664" s="544" t="str">
        <f>""</f>
        <v/>
      </c>
      <c r="AD664" s="181">
        <v>1</v>
      </c>
      <c r="AE664" s="181" t="s">
        <v>264</v>
      </c>
      <c r="AF664" s="181" t="s">
        <v>265</v>
      </c>
      <c r="AG664" s="181">
        <v>1</v>
      </c>
      <c r="AH664" s="181">
        <v>2</v>
      </c>
      <c r="AI664" s="181">
        <v>1</v>
      </c>
      <c r="AJ664" s="181">
        <f>VLOOKUP($I664,'Price List, Weapons &amp; Items'!B:F,5,0)</f>
        <v>0</v>
      </c>
      <c r="AK664" s="181">
        <f t="shared" si="130"/>
        <v>0</v>
      </c>
      <c r="AL664" s="181">
        <f t="shared" si="131"/>
        <v>0</v>
      </c>
      <c r="AM664" s="181">
        <f t="shared" si="132"/>
        <v>0</v>
      </c>
      <c r="AN664" s="180" t="str">
        <f>VLOOKUP($I664,'Price List, Weapons &amp; Items'!B:L,COLUMN('Price List, Weapons &amp; Items'!$J$11)-1,0)</f>
        <v>.</v>
      </c>
      <c r="AO664" s="180" t="str">
        <f>IF(I664=".",".",VLOOKUP($I664,'Price List, Weapons &amp; Items'!B:J,3,0))</f>
        <v>.</v>
      </c>
      <c r="AP664" s="545" t="e">
        <f t="shared" ca="1" si="139"/>
        <v>#NAME?</v>
      </c>
      <c r="AQ664" s="180" t="str">
        <f>VLOOKUP($I664,'Price List, Weapons &amp; Items'!B:L,COLUMN('Price List, Weapons &amp; Items'!$L$11)-1,0)</f>
        <v>no price, 0 count</v>
      </c>
      <c r="AR664" s="180">
        <f t="shared" si="133"/>
        <v>1</v>
      </c>
      <c r="AS664" s="180">
        <f t="shared" si="134"/>
        <v>0</v>
      </c>
      <c r="AT664" s="180">
        <f t="shared" si="135"/>
        <v>1</v>
      </c>
      <c r="AU664" s="180" t="str">
        <f t="shared" si="136"/>
        <v>.</v>
      </c>
      <c r="AV664" s="180" t="str">
        <f t="shared" si="137"/>
        <v>.</v>
      </c>
      <c r="AW664" s="180">
        <f>IFERROR(VLOOKUP(B664,'Share, Heavy Weapons to Ukraine'!B:J,COLUMN('Share, Heavy Weapons to Ukraine'!C677)-1,0),0)</f>
        <v>0</v>
      </c>
      <c r="AX664" s="180">
        <f>VLOOKUP('Bilateral Assistance, MAIN DATA'!B664,'Country Summary'!B:F,COLUMN('Country Summary'!C680)-1,FALSE)</f>
        <v>1</v>
      </c>
      <c r="AY664" s="180" t="str">
        <f>IF(AND(AD664=1,D664="Military",H664&lt;&gt;"Not given")=TRUE,IF(SUMIFS(P:P,A:A,A664)&gt;0,ABS((SUMIFS(P:P,A:A,A664)/VLOOKUP("USD",'Exchange Rates'!B:C,2,0)))/S664,"."),".")</f>
        <v>.</v>
      </c>
      <c r="AZ664" s="182" t="str">
        <f>IF(AND(AD664=1,D664="Military",H664&lt;&gt;"Not given")=TRUE,IF(SUMIFS(P:P,A:A,A664)&gt;0,IF((ABS((SUMIFS(P:P,A:A,A664)/VLOOKUP("USD",'Exchange Rates'!B:C,2,0)))/S664)&gt;1,(SUMIFS(P:P,A:A,A664)-S664)/S664,(S664-SUMIFS(P:P,A:A,A664))/SUMIFS(P:P,A:A,A664)),"."),".")</f>
        <v>.</v>
      </c>
      <c r="BA664" s="182"/>
      <c r="BB664" s="182"/>
      <c r="BC664" s="182"/>
      <c r="BD664" s="182"/>
      <c r="BE664" s="182"/>
      <c r="BF664" s="182"/>
      <c r="BG664" s="182"/>
      <c r="BH664" s="182"/>
      <c r="BI664" s="182"/>
      <c r="BJ664" s="182"/>
      <c r="BK664" s="182"/>
      <c r="BL664" s="182"/>
      <c r="BM664" s="182"/>
      <c r="BN664" s="182"/>
      <c r="BO664" s="182"/>
      <c r="BP664" s="182"/>
      <c r="BQ664" s="182"/>
      <c r="BR664" s="182"/>
      <c r="BS664" s="182"/>
    </row>
    <row r="665" spans="1:71" ht="15.9" customHeight="1" x14ac:dyDescent="0.3">
      <c r="A665" s="17" t="s">
        <v>1998</v>
      </c>
      <c r="B665" s="17" t="s">
        <v>1919</v>
      </c>
      <c r="C665" s="174">
        <v>44620</v>
      </c>
      <c r="D665" s="5" t="s">
        <v>256</v>
      </c>
      <c r="E665" s="5" t="s">
        <v>267</v>
      </c>
      <c r="F665" s="175" t="s">
        <v>1999</v>
      </c>
      <c r="G665" s="15" t="s">
        <v>364</v>
      </c>
      <c r="H665" s="176">
        <v>4000000</v>
      </c>
      <c r="I665" s="17" t="s">
        <v>260</v>
      </c>
      <c r="J665" s="113" t="str">
        <f>VLOOKUP($I665,'Price List, Weapons &amp; Items'!B:C,2,0)</f>
        <v>.</v>
      </c>
      <c r="K665" s="113" t="str">
        <f>IF(I665=".",I665,VLOOKUP($I665,'Price List, Weapons &amp; Items'!B:D,3,0))</f>
        <v>.</v>
      </c>
      <c r="L665" s="177">
        <f>VLOOKUP(I665,'Price List, Weapons &amp; Items'!B:E,4,0)</f>
        <v>0</v>
      </c>
      <c r="M665" s="542" t="s">
        <v>260</v>
      </c>
      <c r="N665" s="542" t="s">
        <v>260</v>
      </c>
      <c r="O665" s="543" t="str">
        <f>VLOOKUP($I665,'Price List, Weapons &amp; Items'!B:G,6,0)</f>
        <v>.</v>
      </c>
      <c r="P665" s="176" t="str">
        <f t="shared" si="128"/>
        <v>.</v>
      </c>
      <c r="Q665" s="176" t="str">
        <f t="shared" si="129"/>
        <v>.</v>
      </c>
      <c r="R665" s="176">
        <f t="shared" si="138"/>
        <v>4000000</v>
      </c>
      <c r="S665" s="176">
        <f>IF(AND(AD665=1,R665&lt;&gt;".")=TRUE,R665/VLOOKUP(G665,'Exchange Rates'!B:C,2,0),IF(R665=".",".",""))</f>
        <v>4000000</v>
      </c>
      <c r="T665" s="176" t="str">
        <f>IF(AD665=1,IF(AF665="Value is not given at all",".",IF(AF665="Value is given by the source",S665,IF(AF665="Value is calculated with prices",(IF(SUMIFS(Q:Q,A:A,A665)&gt;0,SUMIFS(Q:Q,A:A,A665),"."))/VLOOKUP("USD",'Exchange Rates'!B:C,2,0),"Error with coding"))),"")</f>
        <v>.</v>
      </c>
      <c r="U665" s="15" t="s">
        <v>415</v>
      </c>
      <c r="V665" s="300" t="s">
        <v>2000</v>
      </c>
      <c r="W665" s="175" t="s">
        <v>260</v>
      </c>
      <c r="X665" s="175" t="s">
        <v>260</v>
      </c>
      <c r="Y665" s="175" t="s">
        <v>260</v>
      </c>
      <c r="Z665" s="15">
        <v>0</v>
      </c>
      <c r="AA665" s="180">
        <v>0</v>
      </c>
      <c r="AB665" s="184" t="s">
        <v>260</v>
      </c>
      <c r="AC665" s="544" t="str">
        <f>""</f>
        <v/>
      </c>
      <c r="AD665" s="181">
        <v>1</v>
      </c>
      <c r="AE665" s="181" t="s">
        <v>264</v>
      </c>
      <c r="AF665" s="181" t="s">
        <v>265</v>
      </c>
      <c r="AG665" s="181">
        <v>1</v>
      </c>
      <c r="AH665" s="181">
        <v>2</v>
      </c>
      <c r="AI665" s="181">
        <v>0</v>
      </c>
      <c r="AJ665" s="181">
        <f>VLOOKUP($I665,'Price List, Weapons &amp; Items'!B:F,5,0)</f>
        <v>0</v>
      </c>
      <c r="AK665" s="181">
        <f t="shared" si="130"/>
        <v>0</v>
      </c>
      <c r="AL665" s="181">
        <f t="shared" si="131"/>
        <v>0</v>
      </c>
      <c r="AM665" s="181">
        <f t="shared" si="132"/>
        <v>0</v>
      </c>
      <c r="AN665" s="180" t="str">
        <f>VLOOKUP($I665,'Price List, Weapons &amp; Items'!B:L,COLUMN('Price List, Weapons &amp; Items'!$J$11)-1,0)</f>
        <v>.</v>
      </c>
      <c r="AO665" s="180" t="str">
        <f>IF(I665=".",".",VLOOKUP($I665,'Price List, Weapons &amp; Items'!B:J,3,0))</f>
        <v>.</v>
      </c>
      <c r="AP665" s="545" t="e">
        <f t="shared" ca="1" si="139"/>
        <v>#NAME?</v>
      </c>
      <c r="AQ665" s="180" t="str">
        <f>VLOOKUP($I665,'Price List, Weapons &amp; Items'!B:L,COLUMN('Price List, Weapons &amp; Items'!$L$11)-1,0)</f>
        <v>no price, 0 count</v>
      </c>
      <c r="AR665" s="180">
        <f t="shared" si="133"/>
        <v>0</v>
      </c>
      <c r="AS665" s="180">
        <f t="shared" si="134"/>
        <v>0</v>
      </c>
      <c r="AT665" s="180">
        <f t="shared" si="135"/>
        <v>1</v>
      </c>
      <c r="AU665" s="180" t="str">
        <f t="shared" si="136"/>
        <v>.</v>
      </c>
      <c r="AV665" s="180" t="str">
        <f t="shared" si="137"/>
        <v>.</v>
      </c>
      <c r="AW665" s="180">
        <f>IFERROR(VLOOKUP(B665,'Share, Heavy Weapons to Ukraine'!B:J,COLUMN('Share, Heavy Weapons to Ukraine'!C678)-1,0),0)</f>
        <v>0</v>
      </c>
      <c r="AX665" s="180">
        <f>VLOOKUP('Bilateral Assistance, MAIN DATA'!B665,'Country Summary'!B:F,COLUMN('Country Summary'!C681)-1,FALSE)</f>
        <v>1</v>
      </c>
      <c r="AY665" s="180" t="str">
        <f>IF(AND(AD665=1,D665="Military",H665&lt;&gt;"Not given")=TRUE,IF(SUMIFS(P:P,A:A,A665)&gt;0,ABS((SUMIFS(P:P,A:A,A665)/VLOOKUP("USD",'Exchange Rates'!B:C,2,0)))/S665,"."),".")</f>
        <v>.</v>
      </c>
      <c r="AZ665" s="182" t="str">
        <f>IF(AND(AD665=1,D665="Military",H665&lt;&gt;"Not given")=TRUE,IF(SUMIFS(P:P,A:A,A665)&gt;0,IF((ABS((SUMIFS(P:P,A:A,A665)/VLOOKUP("USD",'Exchange Rates'!B:C,2,0)))/S665)&gt;1,(SUMIFS(P:P,A:A,A665)-S665)/S665,(S665-SUMIFS(P:P,A:A,A665))/SUMIFS(P:P,A:A,A665)),"."),".")</f>
        <v>.</v>
      </c>
      <c r="BA665" s="182"/>
      <c r="BB665" s="182"/>
      <c r="BC665" s="182"/>
      <c r="BD665" s="182"/>
      <c r="BE665" s="182"/>
      <c r="BF665" s="182"/>
      <c r="BG665" s="182"/>
      <c r="BH665" s="182"/>
      <c r="BI665" s="182"/>
      <c r="BJ665" s="182"/>
      <c r="BK665" s="182"/>
      <c r="BL665" s="182"/>
      <c r="BM665" s="182"/>
      <c r="BN665" s="182"/>
      <c r="BO665" s="182"/>
      <c r="BP665" s="182"/>
      <c r="BQ665" s="182"/>
      <c r="BR665" s="182"/>
      <c r="BS665" s="182"/>
    </row>
    <row r="666" spans="1:71" ht="15.9" customHeight="1" x14ac:dyDescent="0.3">
      <c r="A666" s="17" t="s">
        <v>2001</v>
      </c>
      <c r="B666" s="17" t="s">
        <v>1919</v>
      </c>
      <c r="C666" s="174" t="s">
        <v>2002</v>
      </c>
      <c r="D666" s="5" t="s">
        <v>256</v>
      </c>
      <c r="E666" s="5" t="s">
        <v>257</v>
      </c>
      <c r="F666" s="175" t="s">
        <v>2003</v>
      </c>
      <c r="G666" s="15" t="s">
        <v>364</v>
      </c>
      <c r="H666" s="176">
        <v>34200000</v>
      </c>
      <c r="I666" s="17" t="s">
        <v>260</v>
      </c>
      <c r="J666" s="113" t="str">
        <f>VLOOKUP($I666,'Price List, Weapons &amp; Items'!B:C,2,0)</f>
        <v>.</v>
      </c>
      <c r="K666" s="113" t="str">
        <f>IF(I666=".",I666,VLOOKUP($I666,'Price List, Weapons &amp; Items'!B:D,3,0))</f>
        <v>.</v>
      </c>
      <c r="L666" s="177">
        <f>VLOOKUP(I666,'Price List, Weapons &amp; Items'!B:E,4,0)</f>
        <v>0</v>
      </c>
      <c r="M666" s="542" t="s">
        <v>260</v>
      </c>
      <c r="N666" s="542" t="s">
        <v>260</v>
      </c>
      <c r="O666" s="543" t="str">
        <f>VLOOKUP($I666,'Price List, Weapons &amp; Items'!B:G,6,0)</f>
        <v>.</v>
      </c>
      <c r="P666" s="176" t="str">
        <f t="shared" si="128"/>
        <v>.</v>
      </c>
      <c r="Q666" s="176" t="str">
        <f t="shared" si="129"/>
        <v>.</v>
      </c>
      <c r="R666" s="176">
        <f t="shared" si="138"/>
        <v>34200000</v>
      </c>
      <c r="S666" s="176">
        <f>IF(AND(AD666=1,R666&lt;&gt;".")=TRUE,R666/VLOOKUP(G666,'Exchange Rates'!B:C,2,0),IF(R666=".",".",""))</f>
        <v>34200000</v>
      </c>
      <c r="T666" s="176" t="str">
        <f>IF(AD666=1,IF(AF666="Value is not given at all",".",IF(AF666="Value is given by the source",S666,IF(AF666="Value is calculated with prices",(IF(SUMIFS(Q:Q,A:A,A666)&gt;0,SUMIFS(Q:Q,A:A,A666),"."))/VLOOKUP("USD",'Exchange Rates'!B:C,2,0),"Error with coding"))),"")</f>
        <v>.</v>
      </c>
      <c r="U666" s="15" t="s">
        <v>415</v>
      </c>
      <c r="V666" s="300" t="s">
        <v>425</v>
      </c>
      <c r="W666" s="175" t="s">
        <v>260</v>
      </c>
      <c r="X666" s="175" t="s">
        <v>260</v>
      </c>
      <c r="Y666" s="175" t="s">
        <v>260</v>
      </c>
      <c r="Z666" s="15">
        <v>0</v>
      </c>
      <c r="AA666" s="180">
        <v>0</v>
      </c>
      <c r="AB666" s="184" t="s">
        <v>260</v>
      </c>
      <c r="AC666" s="544" t="str">
        <f>""</f>
        <v/>
      </c>
      <c r="AD666" s="181">
        <v>1</v>
      </c>
      <c r="AE666" s="181" t="s">
        <v>264</v>
      </c>
      <c r="AF666" s="181" t="s">
        <v>265</v>
      </c>
      <c r="AG666" s="181">
        <v>1</v>
      </c>
      <c r="AH666" s="181">
        <v>4</v>
      </c>
      <c r="AI666" s="181">
        <v>0</v>
      </c>
      <c r="AJ666" s="181">
        <f>VLOOKUP($I666,'Price List, Weapons &amp; Items'!B:F,5,0)</f>
        <v>0</v>
      </c>
      <c r="AK666" s="181">
        <f t="shared" si="130"/>
        <v>0</v>
      </c>
      <c r="AL666" s="181">
        <f t="shared" si="131"/>
        <v>0</v>
      </c>
      <c r="AM666" s="181">
        <f t="shared" si="132"/>
        <v>0</v>
      </c>
      <c r="AN666" s="180" t="str">
        <f>VLOOKUP($I666,'Price List, Weapons &amp; Items'!B:L,COLUMN('Price List, Weapons &amp; Items'!$J$11)-1,0)</f>
        <v>.</v>
      </c>
      <c r="AO666" s="180" t="str">
        <f>IF(I666=".",".",VLOOKUP($I666,'Price List, Weapons &amp; Items'!B:J,3,0))</f>
        <v>.</v>
      </c>
      <c r="AP666" s="545" t="e">
        <f t="shared" ca="1" si="139"/>
        <v>#NAME?</v>
      </c>
      <c r="AQ666" s="180" t="str">
        <f>VLOOKUP($I666,'Price List, Weapons &amp; Items'!B:L,COLUMN('Price List, Weapons &amp; Items'!$L$11)-1,0)</f>
        <v>no price, 0 count</v>
      </c>
      <c r="AR666" s="180">
        <f t="shared" si="133"/>
        <v>0</v>
      </c>
      <c r="AS666" s="180">
        <f t="shared" si="134"/>
        <v>0</v>
      </c>
      <c r="AT666" s="180" t="str">
        <f t="shared" si="135"/>
        <v>Value is not in date format</v>
      </c>
      <c r="AU666" s="180" t="str">
        <f t="shared" si="136"/>
        <v>.</v>
      </c>
      <c r="AV666" s="180" t="str">
        <f t="shared" si="137"/>
        <v>.</v>
      </c>
      <c r="AW666" s="180">
        <f>IFERROR(VLOOKUP(B666,'Share, Heavy Weapons to Ukraine'!B:J,COLUMN('Share, Heavy Weapons to Ukraine'!C679)-1,0),0)</f>
        <v>0</v>
      </c>
      <c r="AX666" s="180">
        <f>VLOOKUP('Bilateral Assistance, MAIN DATA'!B666,'Country Summary'!B:F,COLUMN('Country Summary'!C682)-1,FALSE)</f>
        <v>1</v>
      </c>
      <c r="AY666" s="180" t="str">
        <f>IF(AND(AD666=1,D666="Military",H666&lt;&gt;"Not given")=TRUE,IF(SUMIFS(P:P,A:A,A666)&gt;0,ABS((SUMIFS(P:P,A:A,A666)/VLOOKUP("USD",'Exchange Rates'!B:C,2,0)))/S666,"."),".")</f>
        <v>.</v>
      </c>
      <c r="AZ666" s="182" t="str">
        <f>IF(AND(AD666=1,D666="Military",H666&lt;&gt;"Not given")=TRUE,IF(SUMIFS(P:P,A:A,A666)&gt;0,IF((ABS((SUMIFS(P:P,A:A,A666)/VLOOKUP("USD",'Exchange Rates'!B:C,2,0)))/S666)&gt;1,(SUMIFS(P:P,A:A,A666)-S666)/S666,(S666-SUMIFS(P:P,A:A,A666))/SUMIFS(P:P,A:A,A666)),"."),".")</f>
        <v>.</v>
      </c>
      <c r="BA666" s="182"/>
      <c r="BB666" s="182"/>
      <c r="BC666" s="182"/>
      <c r="BD666" s="182"/>
      <c r="BE666" s="182"/>
      <c r="BF666" s="182"/>
      <c r="BG666" s="182"/>
      <c r="BH666" s="182"/>
      <c r="BI666" s="182"/>
      <c r="BJ666" s="182"/>
      <c r="BK666" s="182"/>
      <c r="BL666" s="182"/>
      <c r="BM666" s="182"/>
      <c r="BN666" s="182"/>
      <c r="BO666" s="182"/>
      <c r="BP666" s="182"/>
      <c r="BQ666" s="182"/>
      <c r="BR666" s="182"/>
      <c r="BS666" s="182"/>
    </row>
    <row r="667" spans="1:71" ht="15.9" customHeight="1" x14ac:dyDescent="0.3">
      <c r="A667" s="17" t="s">
        <v>2004</v>
      </c>
      <c r="B667" s="17" t="s">
        <v>1919</v>
      </c>
      <c r="C667" s="174">
        <v>44686</v>
      </c>
      <c r="D667" s="5" t="s">
        <v>256</v>
      </c>
      <c r="E667" s="5" t="s">
        <v>362</v>
      </c>
      <c r="F667" s="175" t="s">
        <v>2005</v>
      </c>
      <c r="G667" s="15" t="s">
        <v>364</v>
      </c>
      <c r="H667" s="176">
        <v>2000000</v>
      </c>
      <c r="I667" s="17" t="s">
        <v>260</v>
      </c>
      <c r="J667" s="113" t="str">
        <f>VLOOKUP($I667,'Price List, Weapons &amp; Items'!B:C,2,0)</f>
        <v>.</v>
      </c>
      <c r="K667" s="113" t="str">
        <f>IF(I667=".",I667,VLOOKUP($I667,'Price List, Weapons &amp; Items'!B:D,3,0))</f>
        <v>.</v>
      </c>
      <c r="L667" s="177">
        <f>VLOOKUP(I667,'Price List, Weapons &amp; Items'!B:E,4,0)</f>
        <v>0</v>
      </c>
      <c r="M667" s="542" t="s">
        <v>260</v>
      </c>
      <c r="N667" s="542" t="s">
        <v>260</v>
      </c>
      <c r="O667" s="543" t="str">
        <f>VLOOKUP($I667,'Price List, Weapons &amp; Items'!B:G,6,0)</f>
        <v>.</v>
      </c>
      <c r="P667" s="176" t="str">
        <f t="shared" si="128"/>
        <v>.</v>
      </c>
      <c r="Q667" s="176" t="str">
        <f t="shared" si="129"/>
        <v>.</v>
      </c>
      <c r="R667" s="176">
        <f t="shared" si="138"/>
        <v>2000000</v>
      </c>
      <c r="S667" s="176">
        <f>IF(AND(AD667=1,R667&lt;&gt;".")=TRUE,R667/VLOOKUP(G667,'Exchange Rates'!B:C,2,0),IF(R667=".",".",""))</f>
        <v>2000000</v>
      </c>
      <c r="T667" s="176" t="str">
        <f>IF(AD667=1,IF(AF667="Value is not given at all",".",IF(AF667="Value is given by the source",S667,IF(AF667="Value is calculated with prices",(IF(SUMIFS(Q:Q,A:A,A667)&gt;0,SUMIFS(Q:Q,A:A,A667),"."))/VLOOKUP("USD",'Exchange Rates'!B:C,2,0),"Error with coding"))),"")</f>
        <v>.</v>
      </c>
      <c r="U667" s="15" t="s">
        <v>261</v>
      </c>
      <c r="V667" s="300" t="s">
        <v>429</v>
      </c>
      <c r="W667" s="175" t="s">
        <v>260</v>
      </c>
      <c r="X667" s="175" t="s">
        <v>260</v>
      </c>
      <c r="Y667" s="175" t="s">
        <v>260</v>
      </c>
      <c r="Z667" s="15">
        <v>0</v>
      </c>
      <c r="AA667" s="180">
        <v>0</v>
      </c>
      <c r="AB667" s="184" t="s">
        <v>260</v>
      </c>
      <c r="AC667" s="544" t="str">
        <f>""</f>
        <v/>
      </c>
      <c r="AD667" s="181">
        <v>1</v>
      </c>
      <c r="AE667" s="181" t="s">
        <v>264</v>
      </c>
      <c r="AF667" s="181" t="s">
        <v>265</v>
      </c>
      <c r="AG667" s="181">
        <v>1</v>
      </c>
      <c r="AH667" s="181">
        <v>5</v>
      </c>
      <c r="AI667" s="181">
        <v>0</v>
      </c>
      <c r="AJ667" s="181">
        <f>VLOOKUP($I667,'Price List, Weapons &amp; Items'!B:F,5,0)</f>
        <v>0</v>
      </c>
      <c r="AK667" s="181">
        <f t="shared" si="130"/>
        <v>0</v>
      </c>
      <c r="AL667" s="181">
        <f t="shared" si="131"/>
        <v>0</v>
      </c>
      <c r="AM667" s="181">
        <f t="shared" si="132"/>
        <v>0</v>
      </c>
      <c r="AN667" s="180" t="str">
        <f>VLOOKUP($I667,'Price List, Weapons &amp; Items'!B:L,COLUMN('Price List, Weapons &amp; Items'!$J$11)-1,0)</f>
        <v>.</v>
      </c>
      <c r="AO667" s="180" t="str">
        <f>IF(I667=".",".",VLOOKUP($I667,'Price List, Weapons &amp; Items'!B:J,3,0))</f>
        <v>.</v>
      </c>
      <c r="AP667" s="545" t="e">
        <f t="shared" ca="1" si="139"/>
        <v>#NAME?</v>
      </c>
      <c r="AQ667" s="180" t="str">
        <f>VLOOKUP($I667,'Price List, Weapons &amp; Items'!B:L,COLUMN('Price List, Weapons &amp; Items'!$L$11)-1,0)</f>
        <v>no price, 0 count</v>
      </c>
      <c r="AR667" s="180">
        <f t="shared" si="133"/>
        <v>1</v>
      </c>
      <c r="AS667" s="180">
        <f t="shared" si="134"/>
        <v>0</v>
      </c>
      <c r="AT667" s="180">
        <f t="shared" si="135"/>
        <v>1</v>
      </c>
      <c r="AU667" s="180" t="str">
        <f t="shared" si="136"/>
        <v>.</v>
      </c>
      <c r="AV667" s="180" t="str">
        <f t="shared" si="137"/>
        <v>.</v>
      </c>
      <c r="AW667" s="180">
        <f>IFERROR(VLOOKUP(B667,'Share, Heavy Weapons to Ukraine'!B:J,COLUMN('Share, Heavy Weapons to Ukraine'!C680)-1,0),0)</f>
        <v>0</v>
      </c>
      <c r="AX667" s="180">
        <f>VLOOKUP('Bilateral Assistance, MAIN DATA'!B667,'Country Summary'!B:F,COLUMN('Country Summary'!C683)-1,FALSE)</f>
        <v>1</v>
      </c>
      <c r="AY667" s="180" t="str">
        <f>IF(AND(AD667=1,D667="Military",H667&lt;&gt;"Not given")=TRUE,IF(SUMIFS(P:P,A:A,A667)&gt;0,ABS((SUMIFS(P:P,A:A,A667)/VLOOKUP("USD",'Exchange Rates'!B:C,2,0)))/S667,"."),".")</f>
        <v>.</v>
      </c>
      <c r="AZ667" s="182" t="str">
        <f>IF(AND(AD667=1,D667="Military",H667&lt;&gt;"Not given")=TRUE,IF(SUMIFS(P:P,A:A,A667)&gt;0,IF((ABS((SUMIFS(P:P,A:A,A667)/VLOOKUP("USD",'Exchange Rates'!B:C,2,0)))/S667)&gt;1,(SUMIFS(P:P,A:A,A667)-S667)/S667,(S667-SUMIFS(P:P,A:A,A667))/SUMIFS(P:P,A:A,A667)),"."),".")</f>
        <v>.</v>
      </c>
      <c r="BA667" s="182"/>
      <c r="BB667" s="182"/>
      <c r="BC667" s="182"/>
      <c r="BD667" s="182"/>
      <c r="BE667" s="182"/>
      <c r="BF667" s="182"/>
      <c r="BG667" s="182"/>
      <c r="BH667" s="182"/>
      <c r="BI667" s="182"/>
      <c r="BJ667" s="182"/>
      <c r="BK667" s="182"/>
      <c r="BL667" s="182"/>
      <c r="BM667" s="182"/>
      <c r="BN667" s="182"/>
      <c r="BO667" s="182"/>
      <c r="BP667" s="182"/>
      <c r="BQ667" s="182"/>
      <c r="BR667" s="182"/>
      <c r="BS667" s="182"/>
    </row>
    <row r="668" spans="1:71" ht="15.9" customHeight="1" x14ac:dyDescent="0.3">
      <c r="A668" s="17" t="s">
        <v>2006</v>
      </c>
      <c r="B668" s="17" t="s">
        <v>1919</v>
      </c>
      <c r="C668" s="174">
        <v>44753</v>
      </c>
      <c r="D668" s="5" t="s">
        <v>256</v>
      </c>
      <c r="E668" s="5" t="s">
        <v>362</v>
      </c>
      <c r="F668" s="175" t="s">
        <v>2007</v>
      </c>
      <c r="G668" s="15" t="s">
        <v>364</v>
      </c>
      <c r="H668" s="176">
        <v>10000000</v>
      </c>
      <c r="I668" s="17" t="s">
        <v>260</v>
      </c>
      <c r="J668" s="113" t="str">
        <f>VLOOKUP($I668,'Price List, Weapons &amp; Items'!B:C,2,0)</f>
        <v>.</v>
      </c>
      <c r="K668" s="113" t="str">
        <f>IF(I668=".",I668,VLOOKUP($I668,'Price List, Weapons &amp; Items'!B:D,3,0))</f>
        <v>.</v>
      </c>
      <c r="L668" s="177">
        <f>VLOOKUP(I668,'Price List, Weapons &amp; Items'!B:E,4,0)</f>
        <v>0</v>
      </c>
      <c r="M668" s="542" t="s">
        <v>260</v>
      </c>
      <c r="N668" s="542" t="s">
        <v>260</v>
      </c>
      <c r="O668" s="543" t="str">
        <f>VLOOKUP($I668,'Price List, Weapons &amp; Items'!B:G,6,0)</f>
        <v>.</v>
      </c>
      <c r="P668" s="176" t="str">
        <f t="shared" si="128"/>
        <v>.</v>
      </c>
      <c r="Q668" s="176" t="str">
        <f t="shared" si="129"/>
        <v>.</v>
      </c>
      <c r="R668" s="176">
        <f t="shared" si="138"/>
        <v>10000000</v>
      </c>
      <c r="S668" s="176">
        <f>IF(AND(AD668=1,R668&lt;&gt;".")=TRUE,R668/VLOOKUP(G668,'Exchange Rates'!B:C,2,0),IF(R668=".",".",""))</f>
        <v>10000000</v>
      </c>
      <c r="T668" s="176" t="str">
        <f>IF(AD668=1,IF(AF668="Value is not given at all",".",IF(AF668="Value is given by the source",S668,IF(AF668="Value is calculated with prices",(IF(SUMIFS(Q:Q,A:A,A668)&gt;0,SUMIFS(Q:Q,A:A,A668),"."))/VLOOKUP("USD",'Exchange Rates'!B:C,2,0),"Error with coding"))),"")</f>
        <v>.</v>
      </c>
      <c r="U668" s="15" t="s">
        <v>261</v>
      </c>
      <c r="V668" s="300" t="s">
        <v>2008</v>
      </c>
      <c r="W668" s="175" t="s">
        <v>260</v>
      </c>
      <c r="X668" s="175" t="s">
        <v>260</v>
      </c>
      <c r="Y668" s="175" t="s">
        <v>260</v>
      </c>
      <c r="Z668" s="15">
        <v>0</v>
      </c>
      <c r="AA668" s="180">
        <v>0</v>
      </c>
      <c r="AB668" s="184" t="s">
        <v>260</v>
      </c>
      <c r="AC668" s="544" t="str">
        <f>""</f>
        <v/>
      </c>
      <c r="AD668" s="181">
        <v>1</v>
      </c>
      <c r="AE668" s="181" t="s">
        <v>264</v>
      </c>
      <c r="AF668" s="181" t="s">
        <v>265</v>
      </c>
      <c r="AG668" s="181">
        <v>1</v>
      </c>
      <c r="AH668" s="181">
        <v>7</v>
      </c>
      <c r="AI668" s="181">
        <v>0</v>
      </c>
      <c r="AJ668" s="181">
        <f>VLOOKUP($I668,'Price List, Weapons &amp; Items'!B:F,5,0)</f>
        <v>0</v>
      </c>
      <c r="AK668" s="181">
        <f t="shared" si="130"/>
        <v>0</v>
      </c>
      <c r="AL668" s="181">
        <f t="shared" si="131"/>
        <v>0</v>
      </c>
      <c r="AM668" s="181">
        <f t="shared" si="132"/>
        <v>0</v>
      </c>
      <c r="AN668" s="180" t="str">
        <f>VLOOKUP($I668,'Price List, Weapons &amp; Items'!B:L,COLUMN('Price List, Weapons &amp; Items'!$J$11)-1,0)</f>
        <v>.</v>
      </c>
      <c r="AO668" s="180" t="str">
        <f>IF(I668=".",".",VLOOKUP($I668,'Price List, Weapons &amp; Items'!B:J,3,0))</f>
        <v>.</v>
      </c>
      <c r="AP668" s="545" t="e">
        <f t="shared" ca="1" si="139"/>
        <v>#NAME?</v>
      </c>
      <c r="AQ668" s="180" t="str">
        <f>VLOOKUP($I668,'Price List, Weapons &amp; Items'!B:L,COLUMN('Price List, Weapons &amp; Items'!$L$11)-1,0)</f>
        <v>no price, 0 count</v>
      </c>
      <c r="AR668" s="180">
        <f t="shared" si="133"/>
        <v>1</v>
      </c>
      <c r="AS668" s="180">
        <f t="shared" si="134"/>
        <v>0</v>
      </c>
      <c r="AT668" s="180">
        <f t="shared" si="135"/>
        <v>1</v>
      </c>
      <c r="AU668" s="180" t="str">
        <f t="shared" si="136"/>
        <v>.</v>
      </c>
      <c r="AV668" s="180" t="str">
        <f t="shared" si="137"/>
        <v>.</v>
      </c>
      <c r="AW668" s="180">
        <f>IFERROR(VLOOKUP(B668,'Share, Heavy Weapons to Ukraine'!B:J,COLUMN('Share, Heavy Weapons to Ukraine'!C681)-1,0),0)</f>
        <v>0</v>
      </c>
      <c r="AX668" s="180">
        <f>VLOOKUP('Bilateral Assistance, MAIN DATA'!B668,'Country Summary'!B:F,COLUMN('Country Summary'!C684)-1,FALSE)</f>
        <v>1</v>
      </c>
      <c r="AY668" s="180" t="str">
        <f>IF(AND(AD668=1,D668="Military",H668&lt;&gt;"Not given")=TRUE,IF(SUMIFS(P:P,A:A,A668)&gt;0,ABS((SUMIFS(P:P,A:A,A668)/VLOOKUP("USD",'Exchange Rates'!B:C,2,0)))/S668,"."),".")</f>
        <v>.</v>
      </c>
      <c r="AZ668" s="182" t="str">
        <f>IF(AND(AD668=1,D668="Military",H668&lt;&gt;"Not given")=TRUE,IF(SUMIFS(P:P,A:A,A668)&gt;0,IF((ABS((SUMIFS(P:P,A:A,A668)/VLOOKUP("USD",'Exchange Rates'!B:C,2,0)))/S668)&gt;1,(SUMIFS(P:P,A:A,A668)-S668)/S668,(S668-SUMIFS(P:P,A:A,A668))/SUMIFS(P:P,A:A,A668)),"."),".")</f>
        <v>.</v>
      </c>
      <c r="BA668" s="182"/>
      <c r="BB668" s="182"/>
      <c r="BC668" s="182"/>
      <c r="BD668" s="182"/>
      <c r="BE668" s="182"/>
      <c r="BF668" s="182"/>
      <c r="BG668" s="182"/>
      <c r="BH668" s="182"/>
      <c r="BI668" s="182"/>
      <c r="BJ668" s="182"/>
      <c r="BK668" s="182"/>
      <c r="BL668" s="182"/>
      <c r="BM668" s="182"/>
      <c r="BN668" s="182"/>
      <c r="BO668" s="182"/>
      <c r="BP668" s="182"/>
      <c r="BQ668" s="182"/>
      <c r="BR668" s="182"/>
      <c r="BS668" s="182"/>
    </row>
    <row r="669" spans="1:71" ht="15.9" customHeight="1" x14ac:dyDescent="0.3">
      <c r="A669" s="17" t="s">
        <v>2009</v>
      </c>
      <c r="B669" s="17" t="s">
        <v>1919</v>
      </c>
      <c r="C669" s="174">
        <v>44883</v>
      </c>
      <c r="D669" s="5" t="s">
        <v>256</v>
      </c>
      <c r="E669" s="5" t="s">
        <v>1995</v>
      </c>
      <c r="F669" s="175" t="s">
        <v>2010</v>
      </c>
      <c r="G669" s="15" t="s">
        <v>364</v>
      </c>
      <c r="H669" s="176">
        <v>5000000</v>
      </c>
      <c r="I669" s="17" t="s">
        <v>260</v>
      </c>
      <c r="J669" s="113" t="str">
        <f>VLOOKUP($I669,'Price List, Weapons &amp; Items'!B:C,2,0)</f>
        <v>.</v>
      </c>
      <c r="K669" s="113" t="str">
        <f>IF(I669=".",I669,VLOOKUP($I669,'Price List, Weapons &amp; Items'!B:D,3,0))</f>
        <v>.</v>
      </c>
      <c r="L669" s="177">
        <f>VLOOKUP(I669,'Price List, Weapons &amp; Items'!B:E,4,0)</f>
        <v>0</v>
      </c>
      <c r="M669" s="542" t="s">
        <v>260</v>
      </c>
      <c r="N669" s="542" t="s">
        <v>260</v>
      </c>
      <c r="O669" s="543" t="str">
        <f>VLOOKUP($I669,'Price List, Weapons &amp; Items'!B:G,6,0)</f>
        <v>.</v>
      </c>
      <c r="P669" s="176" t="str">
        <f t="shared" si="128"/>
        <v>.</v>
      </c>
      <c r="Q669" s="176" t="str">
        <f t="shared" si="129"/>
        <v>.</v>
      </c>
      <c r="R669" s="176">
        <f t="shared" si="138"/>
        <v>5000000</v>
      </c>
      <c r="S669" s="176">
        <f>IF(AND(AD669=1,R669&lt;&gt;".")=TRUE,R669/VLOOKUP(G669,'Exchange Rates'!B:C,2,0),IF(R669=".",".",""))</f>
        <v>5000000</v>
      </c>
      <c r="T669" s="176" t="str">
        <f>IF(AD669=1,IF(AF669="Value is not given at all",".",IF(AF669="Value is given by the source",S669,IF(AF669="Value is calculated with prices",(IF(SUMIFS(Q:Q,A:A,A669)&gt;0,SUMIFS(Q:Q,A:A,A669),"."))/VLOOKUP("USD",'Exchange Rates'!B:C,2,0),"Error with coding"))),"")</f>
        <v>.</v>
      </c>
      <c r="U669" s="15" t="s">
        <v>261</v>
      </c>
      <c r="V669" s="300" t="s">
        <v>2011</v>
      </c>
      <c r="W669" s="546" t="s">
        <v>2012</v>
      </c>
      <c r="X669" s="546" t="s">
        <v>2013</v>
      </c>
      <c r="Y669" s="175" t="s">
        <v>260</v>
      </c>
      <c r="Z669" s="15">
        <v>0</v>
      </c>
      <c r="AA669" s="199">
        <v>1</v>
      </c>
      <c r="AB669" s="184" t="s">
        <v>260</v>
      </c>
      <c r="AC669" s="544" t="str">
        <f>""</f>
        <v/>
      </c>
      <c r="AD669" s="181">
        <v>1</v>
      </c>
      <c r="AE669" s="181" t="s">
        <v>264</v>
      </c>
      <c r="AF669" s="181" t="s">
        <v>265</v>
      </c>
      <c r="AG669" s="181">
        <v>1</v>
      </c>
      <c r="AH669" s="181">
        <v>11</v>
      </c>
      <c r="AI669" s="181">
        <v>0</v>
      </c>
      <c r="AJ669" s="181">
        <f>VLOOKUP($I669,'Price List, Weapons &amp; Items'!B:F,5,0)</f>
        <v>0</v>
      </c>
      <c r="AK669" s="181">
        <f t="shared" si="130"/>
        <v>0</v>
      </c>
      <c r="AL669" s="181">
        <f t="shared" si="131"/>
        <v>0</v>
      </c>
      <c r="AM669" s="181">
        <f t="shared" si="132"/>
        <v>0</v>
      </c>
      <c r="AN669" s="180" t="str">
        <f>VLOOKUP($I669,'Price List, Weapons &amp; Items'!B:L,COLUMN('Price List, Weapons &amp; Items'!$J$11)-1,0)</f>
        <v>.</v>
      </c>
      <c r="AO669" s="180" t="str">
        <f>IF(I669=".",".",VLOOKUP($I669,'Price List, Weapons &amp; Items'!B:J,3,0))</f>
        <v>.</v>
      </c>
      <c r="AP669" s="545" t="e">
        <f t="shared" ca="1" si="139"/>
        <v>#NAME?</v>
      </c>
      <c r="AQ669" s="180" t="str">
        <f>VLOOKUP($I669,'Price List, Weapons &amp; Items'!B:L,COLUMN('Price List, Weapons &amp; Items'!$L$11)-1,0)</f>
        <v>no price, 0 count</v>
      </c>
      <c r="AR669" s="180">
        <f t="shared" si="133"/>
        <v>1</v>
      </c>
      <c r="AS669" s="180">
        <f t="shared" si="134"/>
        <v>0</v>
      </c>
      <c r="AT669" s="180">
        <f t="shared" si="135"/>
        <v>1</v>
      </c>
      <c r="AU669" s="180" t="str">
        <f t="shared" si="136"/>
        <v>.</v>
      </c>
      <c r="AV669" s="180" t="str">
        <f t="shared" si="137"/>
        <v>.</v>
      </c>
      <c r="AW669" s="180">
        <f>IFERROR(VLOOKUP(B669,'Share, Heavy Weapons to Ukraine'!B:J,COLUMN('Share, Heavy Weapons to Ukraine'!C682)-1,0),0)</f>
        <v>0</v>
      </c>
      <c r="AX669" s="180">
        <f>VLOOKUP('Bilateral Assistance, MAIN DATA'!B669,'Country Summary'!B:F,COLUMN('Country Summary'!C685)-1,FALSE)</f>
        <v>1</v>
      </c>
      <c r="AY669" s="180" t="str">
        <f>IF(AND(AD669=1,D669="Military",H669&lt;&gt;"Not given")=TRUE,IF(SUMIFS(P:P,A:A,A669)&gt;0,ABS((SUMIFS(P:P,A:A,A669)/VLOOKUP("USD",'Exchange Rates'!B:C,2,0)))/S669,"."),".")</f>
        <v>.</v>
      </c>
      <c r="AZ669" s="182" t="str">
        <f>IF(AND(AD669=1,D669="Military",H669&lt;&gt;"Not given")=TRUE,IF(SUMIFS(P:P,A:A,A669)&gt;0,IF((ABS((SUMIFS(P:P,A:A,A669)/VLOOKUP("USD",'Exchange Rates'!B:C,2,0)))/S669)&gt;1,(SUMIFS(P:P,A:A,A669)-S669)/S669,(S669-SUMIFS(P:P,A:A,A669))/SUMIFS(P:P,A:A,A669)),"."),".")</f>
        <v>.</v>
      </c>
      <c r="BA669" s="182"/>
      <c r="BB669" s="182"/>
      <c r="BC669" s="182"/>
      <c r="BD669" s="182"/>
      <c r="BE669" s="182"/>
      <c r="BF669" s="182"/>
      <c r="BG669" s="182"/>
      <c r="BH669" s="182"/>
      <c r="BI669" s="182"/>
      <c r="BJ669" s="182"/>
      <c r="BK669" s="182"/>
      <c r="BL669" s="182"/>
      <c r="BM669" s="182"/>
      <c r="BN669" s="182"/>
      <c r="BO669" s="182"/>
      <c r="BP669" s="182"/>
      <c r="BQ669" s="182"/>
      <c r="BR669" s="182"/>
      <c r="BS669" s="182"/>
    </row>
    <row r="670" spans="1:71" ht="15.9" customHeight="1" x14ac:dyDescent="0.3">
      <c r="A670" s="17" t="s">
        <v>2014</v>
      </c>
      <c r="B670" s="17" t="s">
        <v>1919</v>
      </c>
      <c r="C670" s="174">
        <v>44895</v>
      </c>
      <c r="D670" s="5" t="s">
        <v>256</v>
      </c>
      <c r="E670" s="5" t="s">
        <v>1995</v>
      </c>
      <c r="F670" s="175" t="s">
        <v>2015</v>
      </c>
      <c r="G670" s="15" t="s">
        <v>364</v>
      </c>
      <c r="H670" s="176">
        <v>4000000</v>
      </c>
      <c r="I670" s="17" t="s">
        <v>260</v>
      </c>
      <c r="J670" s="113" t="str">
        <f>VLOOKUP($I670,'Price List, Weapons &amp; Items'!B:C,2,0)</f>
        <v>.</v>
      </c>
      <c r="K670" s="113" t="str">
        <f>IF(I670=".",I670,VLOOKUP($I670,'Price List, Weapons &amp; Items'!B:D,3,0))</f>
        <v>.</v>
      </c>
      <c r="L670" s="177">
        <f>VLOOKUP(I670,'Price List, Weapons &amp; Items'!B:E,4,0)</f>
        <v>0</v>
      </c>
      <c r="M670" s="542" t="s">
        <v>260</v>
      </c>
      <c r="N670" s="542" t="s">
        <v>260</v>
      </c>
      <c r="O670" s="543" t="str">
        <f>VLOOKUP($I670,'Price List, Weapons &amp; Items'!B:G,6,0)</f>
        <v>.</v>
      </c>
      <c r="P670" s="176" t="str">
        <f t="shared" si="128"/>
        <v>.</v>
      </c>
      <c r="Q670" s="176" t="str">
        <f t="shared" si="129"/>
        <v>.</v>
      </c>
      <c r="R670" s="176">
        <f t="shared" si="138"/>
        <v>4000000</v>
      </c>
      <c r="S670" s="176">
        <f>IF(AND(AD670=1,R670&lt;&gt;".")=TRUE,R670/VLOOKUP(G670,'Exchange Rates'!B:C,2,0),IF(R670=".",".",""))</f>
        <v>4000000</v>
      </c>
      <c r="T670" s="176" t="str">
        <f>IF(AD670=1,IF(AF670="Value is not given at all",".",IF(AF670="Value is given by the source",S670,IF(AF670="Value is calculated with prices",(IF(SUMIFS(Q:Q,A:A,A670)&gt;0,SUMIFS(Q:Q,A:A,A670),"."))/VLOOKUP("USD",'Exchange Rates'!B:C,2,0),"Error with coding"))),"")</f>
        <v>.</v>
      </c>
      <c r="U670" s="15" t="s">
        <v>261</v>
      </c>
      <c r="V670" s="300" t="s">
        <v>2016</v>
      </c>
      <c r="W670" s="668" t="s">
        <v>260</v>
      </c>
      <c r="X670" s="668" t="s">
        <v>260</v>
      </c>
      <c r="Y670" s="175" t="s">
        <v>260</v>
      </c>
      <c r="Z670" s="15">
        <v>0</v>
      </c>
      <c r="AA670" s="199">
        <v>1</v>
      </c>
      <c r="AB670" s="184" t="s">
        <v>260</v>
      </c>
      <c r="AC670" s="544" t="str">
        <f>""</f>
        <v/>
      </c>
      <c r="AD670" s="181">
        <v>1</v>
      </c>
      <c r="AE670" s="181" t="s">
        <v>264</v>
      </c>
      <c r="AF670" s="181" t="s">
        <v>265</v>
      </c>
      <c r="AG670" s="181">
        <v>1</v>
      </c>
      <c r="AH670" s="181">
        <v>11</v>
      </c>
      <c r="AI670" s="181">
        <v>0</v>
      </c>
      <c r="AJ670" s="181">
        <f>VLOOKUP($I670,'Price List, Weapons &amp; Items'!B:F,5,0)</f>
        <v>0</v>
      </c>
      <c r="AK670" s="181">
        <f t="shared" si="130"/>
        <v>0</v>
      </c>
      <c r="AL670" s="181">
        <f t="shared" si="131"/>
        <v>0</v>
      </c>
      <c r="AM670" s="181">
        <f t="shared" si="132"/>
        <v>0</v>
      </c>
      <c r="AN670" s="180" t="str">
        <f>VLOOKUP($I670,'Price List, Weapons &amp; Items'!B:L,COLUMN('Price List, Weapons &amp; Items'!$J$11)-1,0)</f>
        <v>.</v>
      </c>
      <c r="AO670" s="180" t="str">
        <f>IF(I670=".",".",VLOOKUP($I670,'Price List, Weapons &amp; Items'!B:J,3,0))</f>
        <v>.</v>
      </c>
      <c r="AP670" s="545" t="e">
        <f t="shared" ca="1" si="139"/>
        <v>#NAME?</v>
      </c>
      <c r="AQ670" s="180" t="str">
        <f>VLOOKUP($I670,'Price List, Weapons &amp; Items'!B:L,COLUMN('Price List, Weapons &amp; Items'!$L$11)-1,0)</f>
        <v>no price, 0 count</v>
      </c>
      <c r="AR670" s="180">
        <f t="shared" si="133"/>
        <v>1</v>
      </c>
      <c r="AS670" s="180">
        <f t="shared" si="134"/>
        <v>0</v>
      </c>
      <c r="AT670" s="180">
        <f t="shared" si="135"/>
        <v>1</v>
      </c>
      <c r="AU670" s="180" t="str">
        <f t="shared" si="136"/>
        <v>.</v>
      </c>
      <c r="AV670" s="180" t="str">
        <f t="shared" si="137"/>
        <v>.</v>
      </c>
      <c r="AW670" s="180">
        <f>IFERROR(VLOOKUP(B670,'Share, Heavy Weapons to Ukraine'!B:J,COLUMN('Share, Heavy Weapons to Ukraine'!C683)-1,0),0)</f>
        <v>0</v>
      </c>
      <c r="AX670" s="180">
        <f>VLOOKUP('Bilateral Assistance, MAIN DATA'!B670,'Country Summary'!B:F,COLUMN('Country Summary'!C686)-1,FALSE)</f>
        <v>1</v>
      </c>
      <c r="AY670" s="180" t="str">
        <f>IF(AND(AD670=1,D670="Military",H670&lt;&gt;"Not given")=TRUE,IF(SUMIFS(P:P,A:A,A670)&gt;0,ABS((SUMIFS(P:P,A:A,A670)/VLOOKUP("USD",'Exchange Rates'!B:C,2,0)))/S670,"."),".")</f>
        <v>.</v>
      </c>
      <c r="AZ670" s="182" t="str">
        <f>IF(AND(AD670=1,D670="Military",H670&lt;&gt;"Not given")=TRUE,IF(SUMIFS(P:P,A:A,A670)&gt;0,IF((ABS((SUMIFS(P:P,A:A,A670)/VLOOKUP("USD",'Exchange Rates'!B:C,2,0)))/S670)&gt;1,(SUMIFS(P:P,A:A,A670)-S670)/S670,(S670-SUMIFS(P:P,A:A,A670))/SUMIFS(P:P,A:A,A670)),"."),".")</f>
        <v>.</v>
      </c>
      <c r="BA670" s="182"/>
      <c r="BB670" s="182"/>
      <c r="BC670" s="182"/>
      <c r="BD670" s="182"/>
      <c r="BE670" s="182"/>
      <c r="BF670" s="182"/>
      <c r="BG670" s="182"/>
      <c r="BH670" s="182"/>
      <c r="BI670" s="182"/>
      <c r="BJ670" s="182"/>
      <c r="BK670" s="182"/>
      <c r="BL670" s="182"/>
      <c r="BM670" s="182"/>
      <c r="BN670" s="182"/>
      <c r="BO670" s="182"/>
      <c r="BP670" s="182"/>
      <c r="BQ670" s="182"/>
      <c r="BR670" s="182"/>
      <c r="BS670" s="182"/>
    </row>
    <row r="671" spans="1:71" ht="15.9" customHeight="1" x14ac:dyDescent="0.3">
      <c r="A671" s="17" t="s">
        <v>2017</v>
      </c>
      <c r="B671" s="17" t="s">
        <v>1919</v>
      </c>
      <c r="C671" s="174">
        <v>44627</v>
      </c>
      <c r="D671" s="5" t="s">
        <v>405</v>
      </c>
      <c r="E671" s="5" t="s">
        <v>362</v>
      </c>
      <c r="F671" s="175" t="s">
        <v>2018</v>
      </c>
      <c r="G671" s="15" t="s">
        <v>364</v>
      </c>
      <c r="H671" s="176">
        <v>5000000</v>
      </c>
      <c r="I671" s="17" t="s">
        <v>260</v>
      </c>
      <c r="J671" s="113" t="str">
        <f>VLOOKUP($I671,'Price List, Weapons &amp; Items'!B:C,2,0)</f>
        <v>.</v>
      </c>
      <c r="K671" s="113" t="str">
        <f>IF(I671=".",I671,VLOOKUP($I671,'Price List, Weapons &amp; Items'!B:D,3,0))</f>
        <v>.</v>
      </c>
      <c r="L671" s="177">
        <f>VLOOKUP(I671,'Price List, Weapons &amp; Items'!B:E,4,0)</f>
        <v>0</v>
      </c>
      <c r="M671" s="542" t="s">
        <v>260</v>
      </c>
      <c r="N671" s="542" t="s">
        <v>260</v>
      </c>
      <c r="O671" s="543" t="str">
        <f>VLOOKUP($I671,'Price List, Weapons &amp; Items'!B:G,6,0)</f>
        <v>.</v>
      </c>
      <c r="P671" s="176" t="str">
        <f t="shared" si="128"/>
        <v>.</v>
      </c>
      <c r="Q671" s="176" t="str">
        <f t="shared" si="129"/>
        <v>.</v>
      </c>
      <c r="R671" s="176">
        <f t="shared" si="138"/>
        <v>5000000</v>
      </c>
      <c r="S671" s="176">
        <f>IF(AND(AD671=1,R671&lt;&gt;".")=TRUE,R671/VLOOKUP(G671,'Exchange Rates'!B:C,2,0),IF(R671=".",".",""))</f>
        <v>5000000</v>
      </c>
      <c r="T671" s="176" t="str">
        <f>IF(AD671=1,IF(AF671="Value is not given at all",".",IF(AF671="Value is given by the source",S671,IF(AF671="Value is calculated with prices",(IF(SUMIFS(Q:Q,A:A,A671)&gt;0,SUMIFS(Q:Q,A:A,A671),"."))/VLOOKUP("USD",'Exchange Rates'!B:C,2,0),"Error with coding"))),"")</f>
        <v>.</v>
      </c>
      <c r="U671" s="15" t="s">
        <v>261</v>
      </c>
      <c r="V671" s="300" t="s">
        <v>930</v>
      </c>
      <c r="W671" s="300" t="s">
        <v>2019</v>
      </c>
      <c r="X671" s="175" t="s">
        <v>260</v>
      </c>
      <c r="Y671" s="175" t="s">
        <v>260</v>
      </c>
      <c r="Z671" s="15">
        <v>1</v>
      </c>
      <c r="AA671" s="180">
        <v>0</v>
      </c>
      <c r="AB671" s="184" t="s">
        <v>260</v>
      </c>
      <c r="AC671" s="544" t="str">
        <f>""</f>
        <v/>
      </c>
      <c r="AD671" s="181">
        <v>1</v>
      </c>
      <c r="AE671" s="181" t="s">
        <v>264</v>
      </c>
      <c r="AF671" s="181" t="s">
        <v>265</v>
      </c>
      <c r="AG671" s="181">
        <v>1</v>
      </c>
      <c r="AH671" s="181">
        <v>3</v>
      </c>
      <c r="AI671" s="181">
        <v>0</v>
      </c>
      <c r="AJ671" s="181">
        <f>VLOOKUP($I671,'Price List, Weapons &amp; Items'!B:F,5,0)</f>
        <v>0</v>
      </c>
      <c r="AK671" s="181">
        <f t="shared" si="130"/>
        <v>0</v>
      </c>
      <c r="AL671" s="181">
        <f t="shared" si="131"/>
        <v>0</v>
      </c>
      <c r="AM671" s="181">
        <f t="shared" si="132"/>
        <v>0</v>
      </c>
      <c r="AN671" s="180" t="str">
        <f>VLOOKUP($I671,'Price List, Weapons &amp; Items'!B:L,COLUMN('Price List, Weapons &amp; Items'!$J$11)-1,0)</f>
        <v>.</v>
      </c>
      <c r="AO671" s="180" t="str">
        <f>IF(I671=".",".",VLOOKUP($I671,'Price List, Weapons &amp; Items'!B:J,3,0))</f>
        <v>.</v>
      </c>
      <c r="AP671" s="545" t="e">
        <f t="shared" ca="1" si="139"/>
        <v>#NAME?</v>
      </c>
      <c r="AQ671" s="180" t="str">
        <f>VLOOKUP($I671,'Price List, Weapons &amp; Items'!B:L,COLUMN('Price List, Weapons &amp; Items'!$L$11)-1,0)</f>
        <v>no price, 0 count</v>
      </c>
      <c r="AR671" s="180">
        <f t="shared" si="133"/>
        <v>1</v>
      </c>
      <c r="AS671" s="180">
        <f t="shared" si="134"/>
        <v>0</v>
      </c>
      <c r="AT671" s="180">
        <f t="shared" si="135"/>
        <v>1</v>
      </c>
      <c r="AU671" s="180" t="str">
        <f t="shared" si="136"/>
        <v>.</v>
      </c>
      <c r="AV671" s="180" t="str">
        <f t="shared" si="137"/>
        <v>.</v>
      </c>
      <c r="AW671" s="180">
        <f>IFERROR(VLOOKUP(B671,'Share, Heavy Weapons to Ukraine'!B:J,COLUMN('Share, Heavy Weapons to Ukraine'!C684)-1,0),0)</f>
        <v>0</v>
      </c>
      <c r="AX671" s="180">
        <f>VLOOKUP('Bilateral Assistance, MAIN DATA'!B671,'Country Summary'!B:F,COLUMN('Country Summary'!C687)-1,FALSE)</f>
        <v>1</v>
      </c>
      <c r="AY671" s="180" t="str">
        <f>IF(AND(AD671=1,D671="Military",H671&lt;&gt;"Not given")=TRUE,IF(SUMIFS(P:P,A:A,A671)&gt;0,ABS((SUMIFS(P:P,A:A,A671)/VLOOKUP("USD",'Exchange Rates'!B:C,2,0)))/S671,"."),".")</f>
        <v>.</v>
      </c>
      <c r="AZ671" s="182" t="str">
        <f>IF(AND(AD671=1,D671="Military",H671&lt;&gt;"Not given")=TRUE,IF(SUMIFS(P:P,A:A,A671)&gt;0,IF((ABS((SUMIFS(P:P,A:A,A671)/VLOOKUP("USD",'Exchange Rates'!B:C,2,0)))/S671)&gt;1,(SUMIFS(P:P,A:A,A671)-S671)/S671,(S671-SUMIFS(P:P,A:A,A671))/SUMIFS(P:P,A:A,A671)),"."),".")</f>
        <v>.</v>
      </c>
      <c r="BA671" s="182"/>
      <c r="BB671" s="182"/>
      <c r="BC671" s="182"/>
      <c r="BD671" s="182"/>
      <c r="BE671" s="182"/>
      <c r="BF671" s="182"/>
      <c r="BG671" s="182"/>
      <c r="BH671" s="182"/>
      <c r="BI671" s="182"/>
      <c r="BJ671" s="182"/>
      <c r="BK671" s="182"/>
      <c r="BL671" s="182"/>
      <c r="BM671" s="182"/>
      <c r="BN671" s="182"/>
      <c r="BO671" s="182"/>
      <c r="BP671" s="182"/>
      <c r="BQ671" s="182"/>
      <c r="BR671" s="182"/>
      <c r="BS671" s="182"/>
    </row>
    <row r="672" spans="1:71" ht="15.9" customHeight="1" x14ac:dyDescent="0.3">
      <c r="A672" s="17" t="s">
        <v>2020</v>
      </c>
      <c r="B672" s="17" t="s">
        <v>1919</v>
      </c>
      <c r="C672" s="174">
        <v>44895</v>
      </c>
      <c r="D672" s="5" t="s">
        <v>405</v>
      </c>
      <c r="E672" s="5" t="s">
        <v>362</v>
      </c>
      <c r="F672" s="175" t="s">
        <v>2021</v>
      </c>
      <c r="G672" s="15" t="s">
        <v>364</v>
      </c>
      <c r="H672" s="176">
        <v>5000000</v>
      </c>
      <c r="I672" s="17" t="s">
        <v>260</v>
      </c>
      <c r="J672" s="113" t="str">
        <f>VLOOKUP($I672,'Price List, Weapons &amp; Items'!B:C,2,0)</f>
        <v>.</v>
      </c>
      <c r="K672" s="113" t="str">
        <f>IF(I672=".",I672,VLOOKUP($I672,'Price List, Weapons &amp; Items'!B:D,3,0))</f>
        <v>.</v>
      </c>
      <c r="L672" s="177">
        <f>VLOOKUP(I672,'Price List, Weapons &amp; Items'!B:E,4,0)</f>
        <v>0</v>
      </c>
      <c r="M672" s="542" t="s">
        <v>260</v>
      </c>
      <c r="N672" s="542" t="s">
        <v>260</v>
      </c>
      <c r="O672" s="543" t="str">
        <f>VLOOKUP($I672,'Price List, Weapons &amp; Items'!B:G,6,0)</f>
        <v>.</v>
      </c>
      <c r="P672" s="176" t="str">
        <f t="shared" si="128"/>
        <v>.</v>
      </c>
      <c r="Q672" s="176" t="str">
        <f t="shared" si="129"/>
        <v>.</v>
      </c>
      <c r="R672" s="176">
        <f t="shared" si="138"/>
        <v>5000000</v>
      </c>
      <c r="S672" s="176">
        <f>IF(AND(AD672=1,R672&lt;&gt;".")=TRUE,R672/VLOOKUP(G672,'Exchange Rates'!B:C,2,0),IF(R672=".",".",""))</f>
        <v>5000000</v>
      </c>
      <c r="T672" s="176" t="str">
        <f>IF(AD672=1,IF(AF672="Value is not given at all",".",IF(AF672="Value is given by the source",S672,IF(AF672="Value is calculated with prices",(IF(SUMIFS(Q:Q,A:A,A672)&gt;0,SUMIFS(Q:Q,A:A,A672),"."))/VLOOKUP("USD",'Exchange Rates'!B:C,2,0),"Error with coding"))),"")</f>
        <v>.</v>
      </c>
      <c r="U672" s="15" t="s">
        <v>261</v>
      </c>
      <c r="V672" s="300" t="s">
        <v>2016</v>
      </c>
      <c r="W672" s="300" t="s">
        <v>2022</v>
      </c>
      <c r="X672" s="546" t="s">
        <v>411</v>
      </c>
      <c r="Y672" s="175" t="s">
        <v>260</v>
      </c>
      <c r="Z672" s="15">
        <v>1</v>
      </c>
      <c r="AA672" s="199">
        <v>1</v>
      </c>
      <c r="AB672" s="184" t="s">
        <v>260</v>
      </c>
      <c r="AC672" s="544" t="str">
        <f>""</f>
        <v/>
      </c>
      <c r="AD672" s="181">
        <v>1</v>
      </c>
      <c r="AE672" s="181" t="s">
        <v>264</v>
      </c>
      <c r="AF672" s="181" t="s">
        <v>265</v>
      </c>
      <c r="AG672" s="181">
        <v>1</v>
      </c>
      <c r="AH672" s="181">
        <v>11</v>
      </c>
      <c r="AI672" s="181">
        <v>0</v>
      </c>
      <c r="AJ672" s="181">
        <f>VLOOKUP($I672,'Price List, Weapons &amp; Items'!B:F,5,0)</f>
        <v>0</v>
      </c>
      <c r="AK672" s="181">
        <f t="shared" si="130"/>
        <v>0</v>
      </c>
      <c r="AL672" s="181">
        <f t="shared" si="131"/>
        <v>0</v>
      </c>
      <c r="AM672" s="181">
        <f t="shared" si="132"/>
        <v>0</v>
      </c>
      <c r="AN672" s="180" t="str">
        <f>VLOOKUP($I672,'Price List, Weapons &amp; Items'!B:L,COLUMN('Price List, Weapons &amp; Items'!$J$11)-1,0)</f>
        <v>.</v>
      </c>
      <c r="AO672" s="180" t="str">
        <f>IF(I672=".",".",VLOOKUP($I672,'Price List, Weapons &amp; Items'!B:J,3,0))</f>
        <v>.</v>
      </c>
      <c r="AP672" s="545" t="e">
        <f t="shared" ca="1" si="139"/>
        <v>#NAME?</v>
      </c>
      <c r="AQ672" s="180" t="str">
        <f>VLOOKUP($I672,'Price List, Weapons &amp; Items'!B:L,COLUMN('Price List, Weapons &amp; Items'!$L$11)-1,0)</f>
        <v>no price, 0 count</v>
      </c>
      <c r="AR672" s="180">
        <f t="shared" si="133"/>
        <v>1</v>
      </c>
      <c r="AS672" s="180">
        <f t="shared" si="134"/>
        <v>0</v>
      </c>
      <c r="AT672" s="180">
        <f t="shared" si="135"/>
        <v>1</v>
      </c>
      <c r="AU672" s="180" t="str">
        <f t="shared" si="136"/>
        <v>.</v>
      </c>
      <c r="AV672" s="180" t="str">
        <f t="shared" si="137"/>
        <v>.</v>
      </c>
      <c r="AW672" s="180">
        <f>IFERROR(VLOOKUP(B672,'Share, Heavy Weapons to Ukraine'!B:J,COLUMN('Share, Heavy Weapons to Ukraine'!C685)-1,0),0)</f>
        <v>0</v>
      </c>
      <c r="AX672" s="180">
        <f>VLOOKUP('Bilateral Assistance, MAIN DATA'!B672,'Country Summary'!B:F,COLUMN('Country Summary'!C688)-1,FALSE)</f>
        <v>1</v>
      </c>
      <c r="AY672" s="180" t="str">
        <f>IF(AND(AD672=1,D672="Military",H672&lt;&gt;"Not given")=TRUE,IF(SUMIFS(P:P,A:A,A672)&gt;0,ABS((SUMIFS(P:P,A:A,A672)/VLOOKUP("USD",'Exchange Rates'!B:C,2,0)))/S672,"."),".")</f>
        <v>.</v>
      </c>
      <c r="AZ672" s="182" t="str">
        <f>IF(AND(AD672=1,D672="Military",H672&lt;&gt;"Not given")=TRUE,IF(SUMIFS(P:P,A:A,A672)&gt;0,IF((ABS((SUMIFS(P:P,A:A,A672)/VLOOKUP("USD",'Exchange Rates'!B:C,2,0)))/S672)&gt;1,(SUMIFS(P:P,A:A,A672)-S672)/S672,(S672-SUMIFS(P:P,A:A,A672))/SUMIFS(P:P,A:A,A672)),"."),".")</f>
        <v>.</v>
      </c>
      <c r="BA672" s="182"/>
      <c r="BB672" s="182"/>
      <c r="BC672" s="182"/>
      <c r="BD672" s="182"/>
      <c r="BE672" s="182"/>
      <c r="BF672" s="182"/>
      <c r="BG672" s="182"/>
      <c r="BH672" s="182"/>
      <c r="BI672" s="182"/>
      <c r="BJ672" s="182"/>
      <c r="BK672" s="182"/>
      <c r="BL672" s="182"/>
      <c r="BM672" s="182"/>
      <c r="BN672" s="182"/>
      <c r="BO672" s="182"/>
      <c r="BP672" s="182"/>
      <c r="BQ672" s="182"/>
      <c r="BR672" s="182"/>
      <c r="BS672" s="182"/>
    </row>
    <row r="673" spans="1:71" ht="15.9" customHeight="1" x14ac:dyDescent="0.3">
      <c r="A673" s="5" t="s">
        <v>2023</v>
      </c>
      <c r="B673" s="5" t="s">
        <v>2024</v>
      </c>
      <c r="C673" s="174">
        <v>44620</v>
      </c>
      <c r="D673" s="5" t="s">
        <v>285</v>
      </c>
      <c r="E673" s="5" t="s">
        <v>286</v>
      </c>
      <c r="F673" s="175" t="s">
        <v>2025</v>
      </c>
      <c r="G673" s="15" t="s">
        <v>364</v>
      </c>
      <c r="H673" s="176">
        <v>50000000</v>
      </c>
      <c r="I673" s="17" t="s">
        <v>1482</v>
      </c>
      <c r="J673" s="113" t="str">
        <f>VLOOKUP($I673,'Price List, Weapons &amp; Items'!B:C,2,0)</f>
        <v>Military equipment</v>
      </c>
      <c r="K673" s="113" t="str">
        <f>IF(I673=".",I673,VLOOKUP($I673,'Price List, Weapons &amp; Items'!B:D,3,0))</f>
        <v>Military equipment</v>
      </c>
      <c r="L673" s="177">
        <f>VLOOKUP(I673,'Price List, Weapons &amp; Items'!B:E,4,0)</f>
        <v>0</v>
      </c>
      <c r="M673" s="542">
        <v>15</v>
      </c>
      <c r="N673" s="542">
        <v>15</v>
      </c>
      <c r="O673" s="543">
        <f>VLOOKUP($I673,'Price List, Weapons &amp; Items'!B:G,6,0)</f>
        <v>70</v>
      </c>
      <c r="P673" s="176">
        <f t="shared" si="128"/>
        <v>1050</v>
      </c>
      <c r="Q673" s="176">
        <f t="shared" si="129"/>
        <v>1050</v>
      </c>
      <c r="R673" s="176">
        <f t="shared" si="138"/>
        <v>50000000</v>
      </c>
      <c r="S673" s="176">
        <f>IF(AND(AD673=1,R673&lt;&gt;".")=TRUE,R673/VLOOKUP(G673,'Exchange Rates'!B:C,2,0),IF(R673=".",".",""))</f>
        <v>50000000</v>
      </c>
      <c r="T673" s="176">
        <f>IF(AD673=1,IF(AF673="Value is not given at all",".",IF(AF673="Value is given by the source",S673,IF(AF673="Value is calculated with prices",(IF(SUMIFS(Q:Q,A:A,A673)&gt;0,SUMIFS(Q:Q,A:A,A673),"."))/VLOOKUP("USD",'Exchange Rates'!B:C,2,0),"Error with coding"))),"")</f>
        <v>50000000</v>
      </c>
      <c r="U673" s="15" t="s">
        <v>261</v>
      </c>
      <c r="V673" s="547" t="s">
        <v>2026</v>
      </c>
      <c r="W673" s="547" t="s">
        <v>2027</v>
      </c>
      <c r="X673" s="547" t="s">
        <v>2028</v>
      </c>
      <c r="Y673" s="569" t="s">
        <v>2029</v>
      </c>
      <c r="Z673" s="15">
        <v>0</v>
      </c>
      <c r="AA673" s="199">
        <v>1</v>
      </c>
      <c r="AB673" s="549" t="s">
        <v>2030</v>
      </c>
      <c r="AC673" s="544" t="str">
        <f>""</f>
        <v/>
      </c>
      <c r="AD673" s="181">
        <v>1</v>
      </c>
      <c r="AE673" s="181" t="s">
        <v>264</v>
      </c>
      <c r="AF673" s="181" t="s">
        <v>264</v>
      </c>
      <c r="AG673" s="181">
        <v>1</v>
      </c>
      <c r="AH673" s="181">
        <v>2</v>
      </c>
      <c r="AI673" s="181">
        <v>0</v>
      </c>
      <c r="AJ673" s="181">
        <f>VLOOKUP($I673,'Price List, Weapons &amp; Items'!B:F,5,0)</f>
        <v>0</v>
      </c>
      <c r="AK673" s="181">
        <f t="shared" si="130"/>
        <v>0</v>
      </c>
      <c r="AL673" s="181">
        <f t="shared" si="131"/>
        <v>0</v>
      </c>
      <c r="AM673" s="181">
        <f t="shared" si="132"/>
        <v>0</v>
      </c>
      <c r="AN673" s="180" t="str">
        <f>VLOOKUP($I673,'Price List, Weapons &amp; Items'!B:L,COLUMN('Price List, Weapons &amp; Items'!$J$11)-1,0)</f>
        <v>Online marketplaces and stores</v>
      </c>
      <c r="AO673" s="180" t="str">
        <f>IF(I673=".",".",VLOOKUP($I673,'Price List, Weapons &amp; Items'!B:J,3,0))</f>
        <v>Military equipment</v>
      </c>
      <c r="AP673" s="545" t="e">
        <f t="shared" ca="1" si="139"/>
        <v>#NAME?</v>
      </c>
      <c r="AQ673" s="180">
        <f>VLOOKUP($I673,'Price List, Weapons &amp; Items'!B:L,COLUMN('Price List, Weapons &amp; Items'!$L$11)-1,0)</f>
        <v>1</v>
      </c>
      <c r="AR673" s="180">
        <f t="shared" si="133"/>
        <v>1</v>
      </c>
      <c r="AS673" s="180">
        <f t="shared" si="134"/>
        <v>1</v>
      </c>
      <c r="AT673" s="180">
        <f t="shared" si="135"/>
        <v>1</v>
      </c>
      <c r="AU673" s="180" t="str">
        <f t="shared" si="136"/>
        <v>.</v>
      </c>
      <c r="AV673" s="180" t="str">
        <f t="shared" si="137"/>
        <v>.</v>
      </c>
      <c r="AW673" s="180">
        <f>IFERROR(VLOOKUP(B673,'Share, Heavy Weapons to Ukraine'!B:J,COLUMN('Share, Heavy Weapons to Ukraine'!C686)-1,0),0)</f>
        <v>0</v>
      </c>
      <c r="AX673" s="180">
        <f>VLOOKUP('Bilateral Assistance, MAIN DATA'!B673,'Country Summary'!B:F,COLUMN('Country Summary'!C689)-1,FALSE)</f>
        <v>1</v>
      </c>
      <c r="AY673" s="180">
        <f>IF(AND(AD673=1,D673="Military",H673&lt;&gt;"Not given")=TRUE,IF(SUMIFS(P:P,A:A,A673)&gt;0,ABS((SUMIFS(P:P,A:A,A673)/VLOOKUP("USD",'Exchange Rates'!B:C,2,0)))/S673,"."),".")</f>
        <v>0.61279455238095237</v>
      </c>
      <c r="AZ673" s="182">
        <f>IF(AND(AD673=1,D673="Military",H673&lt;&gt;"Not given")=TRUE,IF(SUMIFS(P:P,A:A,A673)&gt;0,IF((ABS((SUMIFS(P:P,A:A,A673)/VLOOKUP("USD",'Exchange Rates'!B:C,2,0)))/S673)&gt;1,(SUMIFS(P:P,A:A,A673)-S673)/S673,(S673-SUMIFS(P:P,A:A,A673))/SUMIFS(P:P,A:A,A673)),"."),".")</f>
        <v>0.55416027880889407</v>
      </c>
      <c r="BA673" s="182"/>
      <c r="BB673" s="182"/>
      <c r="BC673" s="182"/>
      <c r="BD673" s="182"/>
      <c r="BE673" s="182"/>
      <c r="BF673" s="182"/>
      <c r="BG673" s="182"/>
      <c r="BH673" s="182"/>
      <c r="BI673" s="182"/>
      <c r="BJ673" s="182"/>
      <c r="BK673" s="182"/>
      <c r="BL673" s="182"/>
      <c r="BM673" s="182"/>
      <c r="BN673" s="182"/>
      <c r="BO673" s="182"/>
      <c r="BP673" s="182"/>
      <c r="BQ673" s="182"/>
      <c r="BR673" s="182"/>
      <c r="BS673" s="182"/>
    </row>
    <row r="674" spans="1:71" ht="15.9" customHeight="1" x14ac:dyDescent="0.3">
      <c r="A674" s="5" t="s">
        <v>2023</v>
      </c>
      <c r="B674" s="5" t="s">
        <v>2024</v>
      </c>
      <c r="C674" s="174">
        <v>44620</v>
      </c>
      <c r="D674" s="5" t="s">
        <v>285</v>
      </c>
      <c r="E674" s="5" t="s">
        <v>286</v>
      </c>
      <c r="F674" s="175" t="s">
        <v>2025</v>
      </c>
      <c r="G674" s="15" t="s">
        <v>364</v>
      </c>
      <c r="H674" s="176">
        <v>50000000</v>
      </c>
      <c r="I674" s="17" t="s">
        <v>2031</v>
      </c>
      <c r="J674" s="113" t="str">
        <f>VLOOKUP($I674,'Price List, Weapons &amp; Items'!B:C,2,0)</f>
        <v>Portable defence system</v>
      </c>
      <c r="K674" s="113" t="str">
        <f>IF(I674=".",I674,VLOOKUP($I674,'Price List, Weapons &amp; Items'!B:D,3,0))</f>
        <v>Light Anti-armor Weapon (LAW)</v>
      </c>
      <c r="L674" s="177">
        <f>VLOOKUP(I674,'Price List, Weapons &amp; Items'!B:E,4,0)</f>
        <v>0</v>
      </c>
      <c r="M674" s="542">
        <v>102</v>
      </c>
      <c r="N674" s="542">
        <v>102</v>
      </c>
      <c r="O674" s="543">
        <f>VLOOKUP($I674,'Price List, Weapons &amp; Items'!B:G,6,0)</f>
        <v>40000</v>
      </c>
      <c r="P674" s="176">
        <f t="shared" si="128"/>
        <v>4080000</v>
      </c>
      <c r="Q674" s="176">
        <f t="shared" si="129"/>
        <v>4080000</v>
      </c>
      <c r="R674" s="176" t="str">
        <f t="shared" si="138"/>
        <v/>
      </c>
      <c r="S674" s="176" t="str">
        <f>IF(AND(AD674=1,R674&lt;&gt;".")=TRUE,R674/VLOOKUP(G674,'Exchange Rates'!B:C,2,0),IF(R674=".",".",""))</f>
        <v/>
      </c>
      <c r="T674" s="176" t="str">
        <f>IF(AD674=1,IF(AF674="Value is not given at all",".",IF(AF674="Value is given by the source",S674,IF(AF674="Value is calculated with prices",(IF(SUMIFS(Q:Q,A:A,A674)&gt;0,SUMIFS(Q:Q,A:A,A674),"."))/VLOOKUP("USD",'Exchange Rates'!B:C,2,0),"Error with coding"))),"")</f>
        <v/>
      </c>
      <c r="U674" s="15" t="s">
        <v>261</v>
      </c>
      <c r="V674" s="547" t="s">
        <v>2026</v>
      </c>
      <c r="W674" s="547" t="s">
        <v>2027</v>
      </c>
      <c r="X674" s="547" t="s">
        <v>2028</v>
      </c>
      <c r="Y674" s="569" t="s">
        <v>2029</v>
      </c>
      <c r="Z674" s="15">
        <v>0</v>
      </c>
      <c r="AA674" s="199">
        <v>1</v>
      </c>
      <c r="AB674" s="549" t="s">
        <v>2030</v>
      </c>
      <c r="AC674" s="544" t="str">
        <f>""</f>
        <v/>
      </c>
      <c r="AD674" s="181">
        <v>0</v>
      </c>
      <c r="AE674" s="181" t="s">
        <v>264</v>
      </c>
      <c r="AF674" s="181" t="s">
        <v>264</v>
      </c>
      <c r="AG674" s="181">
        <v>1</v>
      </c>
      <c r="AH674" s="181">
        <v>2</v>
      </c>
      <c r="AI674" s="181">
        <v>0</v>
      </c>
      <c r="AJ674" s="181">
        <f>VLOOKUP($I674,'Price List, Weapons &amp; Items'!B:F,5,0)</f>
        <v>0</v>
      </c>
      <c r="AK674" s="181">
        <f t="shared" si="130"/>
        <v>0</v>
      </c>
      <c r="AL674" s="181">
        <f t="shared" si="131"/>
        <v>0</v>
      </c>
      <c r="AM674" s="181">
        <f t="shared" si="132"/>
        <v>0</v>
      </c>
      <c r="AN674" s="180" t="str">
        <f>VLOOKUP($I674,'Price List, Weapons &amp; Items'!B:L,COLUMN('Price List, Weapons &amp; Items'!$J$11)-1,0)</f>
        <v>Media reports (incl. social media)</v>
      </c>
      <c r="AO674" s="180" t="str">
        <f>IF(I674=".",".",VLOOKUP($I674,'Price List, Weapons &amp; Items'!B:J,3,0))</f>
        <v>Light Anti-armor Weapon (LAW)</v>
      </c>
      <c r="AP674" s="545" t="str">
        <f t="shared" ca="1" si="139"/>
        <v/>
      </c>
      <c r="AQ674" s="180">
        <f>VLOOKUP($I674,'Price List, Weapons &amp; Items'!B:L,COLUMN('Price List, Weapons &amp; Items'!$L$11)-1,0)</f>
        <v>2</v>
      </c>
      <c r="AR674" s="180">
        <f t="shared" si="133"/>
        <v>1</v>
      </c>
      <c r="AS674" s="180">
        <f t="shared" si="134"/>
        <v>1</v>
      </c>
      <c r="AT674" s="180">
        <f t="shared" si="135"/>
        <v>1</v>
      </c>
      <c r="AU674" s="180" t="str">
        <f t="shared" si="136"/>
        <v>.</v>
      </c>
      <c r="AV674" s="180" t="str">
        <f t="shared" si="137"/>
        <v>.</v>
      </c>
      <c r="AW674" s="180">
        <f>IFERROR(VLOOKUP(B674,'Share, Heavy Weapons to Ukraine'!B:J,COLUMN('Share, Heavy Weapons to Ukraine'!C687)-1,0),0)</f>
        <v>0</v>
      </c>
      <c r="AX674" s="180">
        <f>VLOOKUP('Bilateral Assistance, MAIN DATA'!B674,'Country Summary'!B:F,COLUMN('Country Summary'!C690)-1,FALSE)</f>
        <v>1</v>
      </c>
      <c r="AY674" s="180" t="str">
        <f>IF(AND(AD674=1,D674="Military",H674&lt;&gt;"Not given")=TRUE,IF(SUMIFS(P:P,A:A,A674)&gt;0,ABS((SUMIFS(P:P,A:A,A674)/VLOOKUP("USD",'Exchange Rates'!B:C,2,0)))/S674,"."),".")</f>
        <v>.</v>
      </c>
      <c r="AZ674" s="182" t="str">
        <f>IF(AND(AD674=1,D674="Military",H674&lt;&gt;"Not given")=TRUE,IF(SUMIFS(P:P,A:A,A674)&gt;0,IF((ABS((SUMIFS(P:P,A:A,A674)/VLOOKUP("USD",'Exchange Rates'!B:C,2,0)))/S674)&gt;1,(SUMIFS(P:P,A:A,A674)-S674)/S674,(S674-SUMIFS(P:P,A:A,A674))/SUMIFS(P:P,A:A,A674)),"."),".")</f>
        <v>.</v>
      </c>
      <c r="BA674" s="182"/>
      <c r="BB674" s="182"/>
      <c r="BC674" s="182"/>
      <c r="BD674" s="182"/>
      <c r="BE674" s="182"/>
      <c r="BF674" s="182"/>
      <c r="BG674" s="182"/>
      <c r="BH674" s="182"/>
      <c r="BI674" s="182"/>
      <c r="BJ674" s="182"/>
      <c r="BK674" s="182"/>
      <c r="BL674" s="182"/>
      <c r="BM674" s="182"/>
      <c r="BN674" s="182"/>
      <c r="BO674" s="182"/>
      <c r="BP674" s="182"/>
      <c r="BQ674" s="182"/>
      <c r="BR674" s="182"/>
      <c r="BS674" s="182"/>
    </row>
    <row r="675" spans="1:71" ht="15.9" customHeight="1" x14ac:dyDescent="0.3">
      <c r="A675" s="5" t="s">
        <v>2023</v>
      </c>
      <c r="B675" s="5" t="s">
        <v>2024</v>
      </c>
      <c r="C675" s="174">
        <v>44620</v>
      </c>
      <c r="D675" s="5" t="s">
        <v>285</v>
      </c>
      <c r="E675" s="5" t="s">
        <v>286</v>
      </c>
      <c r="F675" s="175" t="s">
        <v>2025</v>
      </c>
      <c r="G675" s="15" t="s">
        <v>364</v>
      </c>
      <c r="H675" s="176">
        <v>50000000</v>
      </c>
      <c r="I675" s="17" t="s">
        <v>2032</v>
      </c>
      <c r="J675" s="113" t="str">
        <f>VLOOKUP($I675,'Price List, Weapons &amp; Items'!B:C,2,0)</f>
        <v>Military equipment</v>
      </c>
      <c r="K675" s="113" t="str">
        <f>IF(I675=".",I675,VLOOKUP($I675,'Price List, Weapons &amp; Items'!B:D,3,0))</f>
        <v>Armoured Utility Vehicle (AUV)</v>
      </c>
      <c r="L675" s="177">
        <f>VLOOKUP(I675,'Price List, Weapons &amp; Items'!B:E,4,0)</f>
        <v>0</v>
      </c>
      <c r="M675" s="542">
        <v>7</v>
      </c>
      <c r="N675" s="542">
        <v>7</v>
      </c>
      <c r="O675" s="543">
        <f>VLOOKUP($I675,'Price List, Weapons &amp; Items'!B:G,6,0)</f>
        <v>35000</v>
      </c>
      <c r="P675" s="176">
        <f t="shared" si="128"/>
        <v>245000</v>
      </c>
      <c r="Q675" s="176">
        <f t="shared" si="129"/>
        <v>245000</v>
      </c>
      <c r="R675" s="176" t="str">
        <f t="shared" si="138"/>
        <v/>
      </c>
      <c r="S675" s="176" t="str">
        <f>IF(AND(AD675=1,R675&lt;&gt;".")=TRUE,R675/VLOOKUP(G675,'Exchange Rates'!B:C,2,0),IF(R675=".",".",""))</f>
        <v/>
      </c>
      <c r="T675" s="176" t="str">
        <f>IF(AD675=1,IF(AF675="Value is not given at all",".",IF(AF675="Value is given by the source",S675,IF(AF675="Value is calculated with prices",(IF(SUMIFS(Q:Q,A:A,A675)&gt;0,SUMIFS(Q:Q,A:A,A675),"."))/VLOOKUP("USD",'Exchange Rates'!B:C,2,0),"Error with coding"))),"")</f>
        <v/>
      </c>
      <c r="U675" s="15" t="s">
        <v>261</v>
      </c>
      <c r="V675" s="547" t="s">
        <v>2026</v>
      </c>
      <c r="W675" s="547" t="s">
        <v>2027</v>
      </c>
      <c r="X675" s="547" t="s">
        <v>2028</v>
      </c>
      <c r="Y675" s="569" t="s">
        <v>2029</v>
      </c>
      <c r="Z675" s="15">
        <v>0</v>
      </c>
      <c r="AA675" s="199">
        <v>1</v>
      </c>
      <c r="AB675" s="549" t="s">
        <v>2030</v>
      </c>
      <c r="AC675" s="544" t="str">
        <f>""</f>
        <v/>
      </c>
      <c r="AD675" s="181">
        <v>0</v>
      </c>
      <c r="AE675" s="181" t="s">
        <v>264</v>
      </c>
      <c r="AF675" s="181" t="s">
        <v>264</v>
      </c>
      <c r="AG675" s="181">
        <v>1</v>
      </c>
      <c r="AH675" s="181">
        <v>2</v>
      </c>
      <c r="AI675" s="181">
        <v>0</v>
      </c>
      <c r="AJ675" s="181">
        <f>VLOOKUP($I675,'Price List, Weapons &amp; Items'!B:F,5,0)</f>
        <v>1</v>
      </c>
      <c r="AK675" s="181">
        <f t="shared" si="130"/>
        <v>0</v>
      </c>
      <c r="AL675" s="181">
        <f t="shared" si="131"/>
        <v>0</v>
      </c>
      <c r="AM675" s="181">
        <f t="shared" si="132"/>
        <v>0</v>
      </c>
      <c r="AN675" s="180" t="str">
        <f>VLOOKUP($I675,'Price List, Weapons &amp; Items'!B:L,COLUMN('Price List, Weapons &amp; Items'!$J$11)-1,0)</f>
        <v>Manufacturer price</v>
      </c>
      <c r="AO675" s="180" t="str">
        <f>IF(I675=".",".",VLOOKUP($I675,'Price List, Weapons &amp; Items'!B:J,3,0))</f>
        <v>Armoured Utility Vehicle (AUV)</v>
      </c>
      <c r="AP675" s="545" t="str">
        <f t="shared" ca="1" si="139"/>
        <v/>
      </c>
      <c r="AQ675" s="180">
        <f>VLOOKUP($I675,'Price List, Weapons &amp; Items'!B:L,COLUMN('Price List, Weapons &amp; Items'!$L$11)-1,0)</f>
        <v>1</v>
      </c>
      <c r="AR675" s="180">
        <f t="shared" si="133"/>
        <v>1</v>
      </c>
      <c r="AS675" s="180">
        <f t="shared" si="134"/>
        <v>1</v>
      </c>
      <c r="AT675" s="180">
        <f t="shared" si="135"/>
        <v>1</v>
      </c>
      <c r="AU675" s="180" t="str">
        <f t="shared" si="136"/>
        <v>.</v>
      </c>
      <c r="AV675" s="180" t="str">
        <f t="shared" si="137"/>
        <v>.</v>
      </c>
      <c r="AW675" s="180">
        <f>IFERROR(VLOOKUP(B675,'Share, Heavy Weapons to Ukraine'!B:J,COLUMN('Share, Heavy Weapons to Ukraine'!C688)-1,0),0)</f>
        <v>0</v>
      </c>
      <c r="AX675" s="180">
        <f>VLOOKUP('Bilateral Assistance, MAIN DATA'!B675,'Country Summary'!B:F,COLUMN('Country Summary'!C691)-1,FALSE)</f>
        <v>1</v>
      </c>
      <c r="AY675" s="180" t="str">
        <f>IF(AND(AD675=1,D675="Military",H675&lt;&gt;"Not given")=TRUE,IF(SUMIFS(P:P,A:A,A675)&gt;0,ABS((SUMIFS(P:P,A:A,A675)/VLOOKUP("USD",'Exchange Rates'!B:C,2,0)))/S675,"."),".")</f>
        <v>.</v>
      </c>
      <c r="AZ675" s="182" t="str">
        <f>IF(AND(AD675=1,D675="Military",H675&lt;&gt;"Not given")=TRUE,IF(SUMIFS(P:P,A:A,A675)&gt;0,IF((ABS((SUMIFS(P:P,A:A,A675)/VLOOKUP("USD",'Exchange Rates'!B:C,2,0)))/S675)&gt;1,(SUMIFS(P:P,A:A,A675)-S675)/S675,(S675-SUMIFS(P:P,A:A,A675))/SUMIFS(P:P,A:A,A675)),"."),".")</f>
        <v>.</v>
      </c>
      <c r="BA675" s="182"/>
      <c r="BB675" s="182"/>
      <c r="BC675" s="182"/>
      <c r="BD675" s="182"/>
      <c r="BE675" s="182"/>
      <c r="BF675" s="182"/>
      <c r="BG675" s="182"/>
      <c r="BH675" s="182"/>
      <c r="BI675" s="182"/>
      <c r="BJ675" s="182"/>
      <c r="BK675" s="182"/>
      <c r="BL675" s="182"/>
      <c r="BM675" s="182"/>
      <c r="BN675" s="182"/>
      <c r="BO675" s="182"/>
      <c r="BP675" s="182"/>
      <c r="BQ675" s="182"/>
      <c r="BR675" s="182"/>
      <c r="BS675" s="182"/>
    </row>
    <row r="676" spans="1:71" ht="15.9" customHeight="1" x14ac:dyDescent="0.3">
      <c r="A676" s="5" t="s">
        <v>2023</v>
      </c>
      <c r="B676" s="5" t="s">
        <v>2024</v>
      </c>
      <c r="C676" s="174">
        <v>44648</v>
      </c>
      <c r="D676" s="5" t="s">
        <v>285</v>
      </c>
      <c r="E676" s="5" t="s">
        <v>286</v>
      </c>
      <c r="F676" s="175" t="s">
        <v>2025</v>
      </c>
      <c r="G676" s="15" t="s">
        <v>364</v>
      </c>
      <c r="H676" s="176">
        <v>50000000</v>
      </c>
      <c r="I676" s="189" t="s">
        <v>499</v>
      </c>
      <c r="J676" s="113" t="str">
        <f>VLOOKUP($I676,'Price List, Weapons &amp; Items'!B:C,2,0)</f>
        <v>Military equipment</v>
      </c>
      <c r="K676" s="113" t="str">
        <f>IF(I676=".",I676,VLOOKUP($I676,'Price List, Weapons &amp; Items'!B:D,3,0))</f>
        <v>Military equipment</v>
      </c>
      <c r="L676" s="177">
        <f>VLOOKUP(I676,'Price List, Weapons &amp; Items'!B:E,4,0)</f>
        <v>0</v>
      </c>
      <c r="M676" s="542">
        <v>5000</v>
      </c>
      <c r="N676" s="542">
        <v>5000</v>
      </c>
      <c r="O676" s="543">
        <f>VLOOKUP($I676,'Price List, Weapons &amp; Items'!B:G,6,0)</f>
        <v>500</v>
      </c>
      <c r="P676" s="176">
        <f t="shared" si="128"/>
        <v>2500000</v>
      </c>
      <c r="Q676" s="176">
        <f t="shared" si="129"/>
        <v>2500000</v>
      </c>
      <c r="R676" s="176" t="str">
        <f t="shared" si="138"/>
        <v/>
      </c>
      <c r="S676" s="176" t="str">
        <f>IF(AND(AD676=1,R676&lt;&gt;".")=TRUE,R676/VLOOKUP(G676,'Exchange Rates'!B:C,2,0),IF(R676=".",".",""))</f>
        <v/>
      </c>
      <c r="T676" s="176" t="str">
        <f>IF(AD676=1,IF(AF676="Value is not given at all",".",IF(AF676="Value is given by the source",S676,IF(AF676="Value is calculated with prices",(IF(SUMIFS(Q:Q,A:A,A676)&gt;0,SUMIFS(Q:Q,A:A,A676),"."))/VLOOKUP("USD",'Exchange Rates'!B:C,2,0),"Error with coding"))),"")</f>
        <v/>
      </c>
      <c r="U676" s="15" t="s">
        <v>261</v>
      </c>
      <c r="V676" s="547" t="s">
        <v>2026</v>
      </c>
      <c r="W676" s="547" t="s">
        <v>2030</v>
      </c>
      <c r="X676" s="547" t="s">
        <v>2028</v>
      </c>
      <c r="Y676" s="569" t="s">
        <v>2029</v>
      </c>
      <c r="Z676" s="15">
        <v>0</v>
      </c>
      <c r="AA676" s="199">
        <v>1</v>
      </c>
      <c r="AB676" s="549" t="s">
        <v>2030</v>
      </c>
      <c r="AC676" s="544" t="str">
        <f>""</f>
        <v/>
      </c>
      <c r="AD676" s="181">
        <v>0</v>
      </c>
      <c r="AE676" s="181" t="s">
        <v>264</v>
      </c>
      <c r="AF676" s="181" t="s">
        <v>264</v>
      </c>
      <c r="AG676" s="181">
        <v>1</v>
      </c>
      <c r="AH676" s="181">
        <v>3</v>
      </c>
      <c r="AI676" s="181">
        <v>0</v>
      </c>
      <c r="AJ676" s="181">
        <f>VLOOKUP($I676,'Price List, Weapons &amp; Items'!B:F,5,0)</f>
        <v>0</v>
      </c>
      <c r="AK676" s="181">
        <f t="shared" si="130"/>
        <v>0</v>
      </c>
      <c r="AL676" s="181">
        <f t="shared" si="131"/>
        <v>0</v>
      </c>
      <c r="AM676" s="181">
        <f t="shared" si="132"/>
        <v>0</v>
      </c>
      <c r="AN676" s="180" t="str">
        <f>VLOOKUP($I676,'Price List, Weapons &amp; Items'!B:L,COLUMN('Price List, Weapons &amp; Items'!$J$11)-1,0)</f>
        <v>Military media (incl. websites)</v>
      </c>
      <c r="AO676" s="180" t="str">
        <f>IF(I676=".",".",VLOOKUP($I676,'Price List, Weapons &amp; Items'!B:J,3,0))</f>
        <v>Military equipment</v>
      </c>
      <c r="AP676" s="545" t="str">
        <f t="shared" ca="1" si="139"/>
        <v/>
      </c>
      <c r="AQ676" s="180">
        <f>VLOOKUP($I676,'Price List, Weapons &amp; Items'!B:L,COLUMN('Price List, Weapons &amp; Items'!$L$11)-1,0)</f>
        <v>2</v>
      </c>
      <c r="AR676" s="180">
        <f t="shared" si="133"/>
        <v>1</v>
      </c>
      <c r="AS676" s="180">
        <f t="shared" si="134"/>
        <v>1</v>
      </c>
      <c r="AT676" s="180">
        <f t="shared" si="135"/>
        <v>1</v>
      </c>
      <c r="AU676" s="180" t="str">
        <f t="shared" si="136"/>
        <v>.</v>
      </c>
      <c r="AV676" s="180" t="str">
        <f t="shared" si="137"/>
        <v>.</v>
      </c>
      <c r="AW676" s="180">
        <f>IFERROR(VLOOKUP(B676,'Share, Heavy Weapons to Ukraine'!B:J,COLUMN('Share, Heavy Weapons to Ukraine'!C689)-1,0),0)</f>
        <v>0</v>
      </c>
      <c r="AX676" s="180">
        <f>VLOOKUP('Bilateral Assistance, MAIN DATA'!B676,'Country Summary'!B:F,COLUMN('Country Summary'!C692)-1,FALSE)</f>
        <v>1</v>
      </c>
      <c r="AY676" s="180" t="str">
        <f>IF(AND(AD676=1,D676="Military",H676&lt;&gt;"Not given")=TRUE,IF(SUMIFS(P:P,A:A,A676)&gt;0,ABS((SUMIFS(P:P,A:A,A676)/VLOOKUP("USD",'Exchange Rates'!B:C,2,0)))/S676,"."),".")</f>
        <v>.</v>
      </c>
      <c r="AZ676" s="182" t="str">
        <f>IF(AND(AD676=1,D676="Military",H676&lt;&gt;"Not given")=TRUE,IF(SUMIFS(P:P,A:A,A676)&gt;0,IF((ABS((SUMIFS(P:P,A:A,A676)/VLOOKUP("USD",'Exchange Rates'!B:C,2,0)))/S676)&gt;1,(SUMIFS(P:P,A:A,A676)-S676)/S676,(S676-SUMIFS(P:P,A:A,A676))/SUMIFS(P:P,A:A,A676)),"."),".")</f>
        <v>.</v>
      </c>
      <c r="BA676" s="182"/>
      <c r="BB676" s="182"/>
      <c r="BC676" s="182"/>
      <c r="BD676" s="182"/>
      <c r="BE676" s="182"/>
      <c r="BF676" s="182"/>
      <c r="BG676" s="182"/>
      <c r="BH676" s="182"/>
      <c r="BI676" s="182"/>
      <c r="BJ676" s="182"/>
      <c r="BK676" s="182"/>
      <c r="BL676" s="182"/>
      <c r="BM676" s="182"/>
      <c r="BN676" s="182"/>
      <c r="BO676" s="182"/>
      <c r="BP676" s="182"/>
      <c r="BQ676" s="182"/>
      <c r="BR676" s="182"/>
      <c r="BS676" s="182"/>
    </row>
    <row r="677" spans="1:71" ht="15.9" customHeight="1" x14ac:dyDescent="0.3">
      <c r="A677" s="5" t="s">
        <v>2023</v>
      </c>
      <c r="B677" s="5" t="s">
        <v>2024</v>
      </c>
      <c r="C677" s="174">
        <v>44648</v>
      </c>
      <c r="D677" s="5" t="s">
        <v>285</v>
      </c>
      <c r="E677" s="5" t="s">
        <v>286</v>
      </c>
      <c r="F677" s="175" t="s">
        <v>2025</v>
      </c>
      <c r="G677" s="15" t="s">
        <v>364</v>
      </c>
      <c r="H677" s="176">
        <v>50000000</v>
      </c>
      <c r="I677" s="189" t="s">
        <v>597</v>
      </c>
      <c r="J677" s="113" t="str">
        <f>VLOOKUP($I677,'Price List, Weapons &amp; Items'!B:C,2,0)</f>
        <v>Military equipment</v>
      </c>
      <c r="K677" s="113" t="str">
        <f>IF(I677=".",I677,VLOOKUP($I677,'Price List, Weapons &amp; Items'!B:D,3,0))</f>
        <v>Military equipment</v>
      </c>
      <c r="L677" s="177">
        <f>VLOOKUP(I677,'Price List, Weapons &amp; Items'!B:E,4,0)</f>
        <v>0</v>
      </c>
      <c r="M677" s="542">
        <v>22400</v>
      </c>
      <c r="N677" s="542">
        <v>22400</v>
      </c>
      <c r="O677" s="543">
        <f>VLOOKUP($I677,'Price List, Weapons &amp; Items'!B:G,6,0)</f>
        <v>62</v>
      </c>
      <c r="P677" s="176">
        <f t="shared" si="128"/>
        <v>1388800</v>
      </c>
      <c r="Q677" s="176">
        <f t="shared" si="129"/>
        <v>1388800</v>
      </c>
      <c r="R677" s="176" t="str">
        <f t="shared" si="138"/>
        <v/>
      </c>
      <c r="S677" s="176" t="str">
        <f>IF(AND(AD677=1,R677&lt;&gt;".")=TRUE,R677/VLOOKUP(G677,'Exchange Rates'!B:C,2,0),IF(R677=".",".",""))</f>
        <v/>
      </c>
      <c r="T677" s="176" t="str">
        <f>IF(AD677=1,IF(AF677="Value is not given at all",".",IF(AF677="Value is given by the source",S677,IF(AF677="Value is calculated with prices",(IF(SUMIFS(Q:Q,A:A,A677)&gt;0,SUMIFS(Q:Q,A:A,A677),"."))/VLOOKUP("USD",'Exchange Rates'!B:C,2,0),"Error with coding"))),"")</f>
        <v/>
      </c>
      <c r="U677" s="15" t="s">
        <v>261</v>
      </c>
      <c r="V677" s="547" t="s">
        <v>2026</v>
      </c>
      <c r="W677" s="547" t="s">
        <v>2030</v>
      </c>
      <c r="X677" s="547" t="s">
        <v>2028</v>
      </c>
      <c r="Y677" s="569" t="s">
        <v>2029</v>
      </c>
      <c r="Z677" s="15">
        <v>0</v>
      </c>
      <c r="AA677" s="199">
        <v>1</v>
      </c>
      <c r="AB677" s="549" t="s">
        <v>2030</v>
      </c>
      <c r="AC677" s="544" t="str">
        <f>""</f>
        <v/>
      </c>
      <c r="AD677" s="181">
        <v>0</v>
      </c>
      <c r="AE677" s="181" t="s">
        <v>264</v>
      </c>
      <c r="AF677" s="181" t="s">
        <v>264</v>
      </c>
      <c r="AG677" s="181">
        <v>1</v>
      </c>
      <c r="AH677" s="181">
        <v>3</v>
      </c>
      <c r="AI677" s="181">
        <v>0</v>
      </c>
      <c r="AJ677" s="181">
        <f>VLOOKUP($I677,'Price List, Weapons &amp; Items'!B:F,5,0)</f>
        <v>0</v>
      </c>
      <c r="AK677" s="181">
        <f t="shared" si="130"/>
        <v>0</v>
      </c>
      <c r="AL677" s="181">
        <f t="shared" si="131"/>
        <v>0</v>
      </c>
      <c r="AM677" s="181">
        <f t="shared" si="132"/>
        <v>0</v>
      </c>
      <c r="AN677" s="180" t="str">
        <f>VLOOKUP($I677,'Price List, Weapons &amp; Items'!B:L,COLUMN('Price List, Weapons &amp; Items'!$J$11)-1,0)</f>
        <v>Online marketplaces and stores</v>
      </c>
      <c r="AO677" s="180" t="str">
        <f>IF(I677=".",".",VLOOKUP($I677,'Price List, Weapons &amp; Items'!B:J,3,0))</f>
        <v>Military equipment</v>
      </c>
      <c r="AP677" s="545" t="str">
        <f t="shared" ca="1" si="139"/>
        <v/>
      </c>
      <c r="AQ677" s="180">
        <f>VLOOKUP($I677,'Price List, Weapons &amp; Items'!B:L,COLUMN('Price List, Weapons &amp; Items'!$L$11)-1,0)</f>
        <v>1</v>
      </c>
      <c r="AR677" s="180">
        <f t="shared" si="133"/>
        <v>1</v>
      </c>
      <c r="AS677" s="180">
        <f t="shared" si="134"/>
        <v>1</v>
      </c>
      <c r="AT677" s="180">
        <f t="shared" si="135"/>
        <v>1</v>
      </c>
      <c r="AU677" s="180" t="str">
        <f t="shared" si="136"/>
        <v>.</v>
      </c>
      <c r="AV677" s="180" t="str">
        <f t="shared" si="137"/>
        <v>.</v>
      </c>
      <c r="AW677" s="180">
        <f>IFERROR(VLOOKUP(B677,'Share, Heavy Weapons to Ukraine'!B:J,COLUMN('Share, Heavy Weapons to Ukraine'!C690)-1,0),0)</f>
        <v>0</v>
      </c>
      <c r="AX677" s="180">
        <f>VLOOKUP('Bilateral Assistance, MAIN DATA'!B677,'Country Summary'!B:F,COLUMN('Country Summary'!C693)-1,FALSE)</f>
        <v>1</v>
      </c>
      <c r="AY677" s="180" t="str">
        <f>IF(AND(AD677=1,D677="Military",H677&lt;&gt;"Not given")=TRUE,IF(SUMIFS(P:P,A:A,A677)&gt;0,ABS((SUMIFS(P:P,A:A,A677)/VLOOKUP("USD",'Exchange Rates'!B:C,2,0)))/S677,"."),".")</f>
        <v>.</v>
      </c>
      <c r="AZ677" s="182" t="str">
        <f>IF(AND(AD677=1,D677="Military",H677&lt;&gt;"Not given")=TRUE,IF(SUMIFS(P:P,A:A,A677)&gt;0,IF((ABS((SUMIFS(P:P,A:A,A677)/VLOOKUP("USD",'Exchange Rates'!B:C,2,0)))/S677)&gt;1,(SUMIFS(P:P,A:A,A677)-S677)/S677,(S677-SUMIFS(P:P,A:A,A677))/SUMIFS(P:P,A:A,A677)),"."),".")</f>
        <v>.</v>
      </c>
      <c r="BA677" s="182"/>
      <c r="BB677" s="182"/>
      <c r="BC677" s="182"/>
      <c r="BD677" s="182"/>
      <c r="BE677" s="182"/>
      <c r="BF677" s="182"/>
      <c r="BG677" s="182"/>
      <c r="BH677" s="182"/>
      <c r="BI677" s="182"/>
      <c r="BJ677" s="182"/>
      <c r="BK677" s="182"/>
      <c r="BL677" s="182"/>
      <c r="BM677" s="182"/>
      <c r="BN677" s="182"/>
      <c r="BO677" s="182"/>
      <c r="BP677" s="182"/>
      <c r="BQ677" s="182"/>
      <c r="BR677" s="182"/>
      <c r="BS677" s="182"/>
    </row>
    <row r="678" spans="1:71" ht="15.9" customHeight="1" x14ac:dyDescent="0.3">
      <c r="A678" s="5" t="s">
        <v>2023</v>
      </c>
      <c r="B678" s="5" t="s">
        <v>2024</v>
      </c>
      <c r="C678" s="174">
        <v>44648</v>
      </c>
      <c r="D678" s="5" t="s">
        <v>285</v>
      </c>
      <c r="E678" s="5" t="s">
        <v>286</v>
      </c>
      <c r="F678" s="175" t="s">
        <v>2025</v>
      </c>
      <c r="G678" s="15" t="s">
        <v>364</v>
      </c>
      <c r="H678" s="176">
        <v>50000000</v>
      </c>
      <c r="I678" s="189" t="s">
        <v>463</v>
      </c>
      <c r="J678" s="113" t="str">
        <f>VLOOKUP($I678,'Price List, Weapons &amp; Items'!B:C,2,0)</f>
        <v>Military equipment</v>
      </c>
      <c r="K678" s="113" t="str">
        <f>IF(I678=".",I678,VLOOKUP($I678,'Price List, Weapons &amp; Items'!B:D,3,0))</f>
        <v>Military equipment</v>
      </c>
      <c r="L678" s="177">
        <f>VLOOKUP(I678,'Price List, Weapons &amp; Items'!B:E,4,0)</f>
        <v>0</v>
      </c>
      <c r="M678" s="542">
        <v>5000</v>
      </c>
      <c r="N678" s="542">
        <v>5000</v>
      </c>
      <c r="O678" s="543">
        <f>VLOOKUP($I678,'Price List, Weapons &amp; Items'!B:G,6,0)</f>
        <v>1400</v>
      </c>
      <c r="P678" s="176">
        <f t="shared" si="128"/>
        <v>7000000</v>
      </c>
      <c r="Q678" s="176">
        <f t="shared" si="129"/>
        <v>7000000</v>
      </c>
      <c r="R678" s="176" t="str">
        <f t="shared" si="138"/>
        <v/>
      </c>
      <c r="S678" s="176" t="str">
        <f>IF(AND(AD678=1,R678&lt;&gt;".")=TRUE,R678/VLOOKUP(G678,'Exchange Rates'!B:C,2,0),IF(R678=".",".",""))</f>
        <v/>
      </c>
      <c r="T678" s="176" t="str">
        <f>IF(AD678=1,IF(AF678="Value is not given at all",".",IF(AF678="Value is given by the source",S678,IF(AF678="Value is calculated with prices",(IF(SUMIFS(Q:Q,A:A,A678)&gt;0,SUMIFS(Q:Q,A:A,A678),"."))/VLOOKUP("USD",'Exchange Rates'!B:C,2,0),"Error with coding"))),"")</f>
        <v/>
      </c>
      <c r="U678" s="15" t="s">
        <v>261</v>
      </c>
      <c r="V678" s="547" t="s">
        <v>2026</v>
      </c>
      <c r="W678" s="547" t="s">
        <v>2030</v>
      </c>
      <c r="X678" s="547" t="s">
        <v>2028</v>
      </c>
      <c r="Y678" s="569" t="s">
        <v>2029</v>
      </c>
      <c r="Z678" s="15">
        <v>0</v>
      </c>
      <c r="AA678" s="199">
        <v>1</v>
      </c>
      <c r="AB678" s="549" t="s">
        <v>2030</v>
      </c>
      <c r="AC678" s="544" t="str">
        <f>""</f>
        <v/>
      </c>
      <c r="AD678" s="181">
        <v>0</v>
      </c>
      <c r="AE678" s="181" t="s">
        <v>264</v>
      </c>
      <c r="AF678" s="181" t="s">
        <v>264</v>
      </c>
      <c r="AG678" s="181">
        <v>1</v>
      </c>
      <c r="AH678" s="181">
        <v>3</v>
      </c>
      <c r="AI678" s="181">
        <v>0</v>
      </c>
      <c r="AJ678" s="181">
        <f>VLOOKUP($I678,'Price List, Weapons &amp; Items'!B:F,5,0)</f>
        <v>0</v>
      </c>
      <c r="AK678" s="181">
        <f t="shared" si="130"/>
        <v>0</v>
      </c>
      <c r="AL678" s="181">
        <f t="shared" si="131"/>
        <v>0</v>
      </c>
      <c r="AM678" s="181">
        <f t="shared" si="132"/>
        <v>0</v>
      </c>
      <c r="AN678" s="180" t="str">
        <f>VLOOKUP($I678,'Price List, Weapons &amp; Items'!B:L,COLUMN('Price List, Weapons &amp; Items'!$J$11)-1,0)</f>
        <v>Military media (incl. websites)</v>
      </c>
      <c r="AO678" s="180" t="str">
        <f>IF(I678=".",".",VLOOKUP($I678,'Price List, Weapons &amp; Items'!B:J,3,0))</f>
        <v>Military equipment</v>
      </c>
      <c r="AP678" s="545" t="str">
        <f t="shared" ca="1" si="139"/>
        <v/>
      </c>
      <c r="AQ678" s="180">
        <f>VLOOKUP($I678,'Price List, Weapons &amp; Items'!B:L,COLUMN('Price List, Weapons &amp; Items'!$L$11)-1,0)</f>
        <v>2</v>
      </c>
      <c r="AR678" s="180">
        <f t="shared" si="133"/>
        <v>1</v>
      </c>
      <c r="AS678" s="180">
        <f t="shared" si="134"/>
        <v>1</v>
      </c>
      <c r="AT678" s="180">
        <f t="shared" si="135"/>
        <v>1</v>
      </c>
      <c r="AU678" s="180" t="str">
        <f t="shared" si="136"/>
        <v>.</v>
      </c>
      <c r="AV678" s="180" t="str">
        <f t="shared" si="137"/>
        <v>.</v>
      </c>
      <c r="AW678" s="180">
        <f>IFERROR(VLOOKUP(B678,'Share, Heavy Weapons to Ukraine'!B:J,COLUMN('Share, Heavy Weapons to Ukraine'!C691)-1,0),0)</f>
        <v>0</v>
      </c>
      <c r="AX678" s="180">
        <f>VLOOKUP('Bilateral Assistance, MAIN DATA'!B678,'Country Summary'!B:F,COLUMN('Country Summary'!C694)-1,FALSE)</f>
        <v>1</v>
      </c>
      <c r="AY678" s="180" t="str">
        <f>IF(AND(AD678=1,D678="Military",H678&lt;&gt;"Not given")=TRUE,IF(SUMIFS(P:P,A:A,A678)&gt;0,ABS((SUMIFS(P:P,A:A,A678)/VLOOKUP("USD",'Exchange Rates'!B:C,2,0)))/S678,"."),".")</f>
        <v>.</v>
      </c>
      <c r="AZ678" s="182" t="str">
        <f>IF(AND(AD678=1,D678="Military",H678&lt;&gt;"Not given")=TRUE,IF(SUMIFS(P:P,A:A,A678)&gt;0,IF((ABS((SUMIFS(P:P,A:A,A678)/VLOOKUP("USD",'Exchange Rates'!B:C,2,0)))/S678)&gt;1,(SUMIFS(P:P,A:A,A678)-S678)/S678,(S678-SUMIFS(P:P,A:A,A678))/SUMIFS(P:P,A:A,A678)),"."),".")</f>
        <v>.</v>
      </c>
      <c r="BA678" s="182"/>
      <c r="BB678" s="182"/>
      <c r="BC678" s="182"/>
      <c r="BD678" s="182"/>
      <c r="BE678" s="182"/>
      <c r="BF678" s="182"/>
      <c r="BG678" s="182"/>
      <c r="BH678" s="182"/>
      <c r="BI678" s="182"/>
      <c r="BJ678" s="182"/>
      <c r="BK678" s="182"/>
      <c r="BL678" s="182"/>
      <c r="BM678" s="182"/>
      <c r="BN678" s="182"/>
      <c r="BO678" s="182"/>
      <c r="BP678" s="182"/>
      <c r="BQ678" s="182"/>
      <c r="BR678" s="182"/>
      <c r="BS678" s="182"/>
    </row>
    <row r="679" spans="1:71" ht="15.9" customHeight="1" x14ac:dyDescent="0.3">
      <c r="A679" s="5" t="s">
        <v>2023</v>
      </c>
      <c r="B679" s="5" t="s">
        <v>2024</v>
      </c>
      <c r="C679" s="174">
        <v>44648</v>
      </c>
      <c r="D679" s="5" t="s">
        <v>285</v>
      </c>
      <c r="E679" s="5" t="s">
        <v>286</v>
      </c>
      <c r="F679" s="175" t="s">
        <v>2025</v>
      </c>
      <c r="G679" s="15" t="s">
        <v>364</v>
      </c>
      <c r="H679" s="176">
        <v>50000000</v>
      </c>
      <c r="I679" s="189" t="s">
        <v>2033</v>
      </c>
      <c r="J679" s="113" t="str">
        <f>VLOOKUP($I679,'Price List, Weapons &amp; Items'!B:C,2,0)</f>
        <v>Ammunition for light infantry</v>
      </c>
      <c r="K679" s="113" t="str">
        <f>IF(I679=".",I679,VLOOKUP($I679,'Price List, Weapons &amp; Items'!B:D,3,0))</f>
        <v>Small Arms and Light Weapons (SALW) ammunition</v>
      </c>
      <c r="L679" s="177">
        <f>VLOOKUP(I679,'Price List, Weapons &amp; Items'!B:E,4,0)</f>
        <v>0</v>
      </c>
      <c r="M679" s="542">
        <v>20000</v>
      </c>
      <c r="N679" s="542">
        <v>20000</v>
      </c>
      <c r="O679" s="543">
        <f>VLOOKUP($I679,'Price List, Weapons &amp; Items'!B:G,6,0)</f>
        <v>0.47</v>
      </c>
      <c r="P679" s="176">
        <f t="shared" si="128"/>
        <v>9400</v>
      </c>
      <c r="Q679" s="176">
        <f t="shared" si="129"/>
        <v>9400</v>
      </c>
      <c r="R679" s="176" t="str">
        <f t="shared" si="138"/>
        <v/>
      </c>
      <c r="S679" s="176" t="str">
        <f>IF(AND(AD679=1,R679&lt;&gt;".")=TRUE,R679/VLOOKUP(G679,'Exchange Rates'!B:C,2,0),IF(R679=".",".",""))</f>
        <v/>
      </c>
      <c r="T679" s="176" t="str">
        <f>IF(AD679=1,IF(AF679="Value is not given at all",".",IF(AF679="Value is given by the source",S679,IF(AF679="Value is calculated with prices",(IF(SUMIFS(Q:Q,A:A,A679)&gt;0,SUMIFS(Q:Q,A:A,A679),"."))/VLOOKUP("USD",'Exchange Rates'!B:C,2,0),"Error with coding"))),"")</f>
        <v/>
      </c>
      <c r="U679" s="15" t="s">
        <v>261</v>
      </c>
      <c r="V679" s="547" t="s">
        <v>2026</v>
      </c>
      <c r="W679" s="547" t="s">
        <v>2030</v>
      </c>
      <c r="X679" s="547" t="s">
        <v>2028</v>
      </c>
      <c r="Y679" s="569" t="s">
        <v>2029</v>
      </c>
      <c r="Z679" s="15">
        <v>0</v>
      </c>
      <c r="AA679" s="199">
        <v>1</v>
      </c>
      <c r="AB679" s="549" t="s">
        <v>2030</v>
      </c>
      <c r="AC679" s="544" t="str">
        <f>""</f>
        <v/>
      </c>
      <c r="AD679" s="181">
        <v>0</v>
      </c>
      <c r="AE679" s="181" t="s">
        <v>264</v>
      </c>
      <c r="AF679" s="181" t="s">
        <v>264</v>
      </c>
      <c r="AG679" s="181">
        <v>1</v>
      </c>
      <c r="AH679" s="181">
        <v>3</v>
      </c>
      <c r="AI679" s="181">
        <v>0</v>
      </c>
      <c r="AJ679" s="181">
        <f>VLOOKUP($I679,'Price List, Weapons &amp; Items'!B:F,5,0)</f>
        <v>0</v>
      </c>
      <c r="AK679" s="181">
        <f t="shared" si="130"/>
        <v>0</v>
      </c>
      <c r="AL679" s="181">
        <f t="shared" si="131"/>
        <v>0</v>
      </c>
      <c r="AM679" s="181">
        <f t="shared" si="132"/>
        <v>1</v>
      </c>
      <c r="AN679" s="180" t="str">
        <f>VLOOKUP($I679,'Price List, Weapons &amp; Items'!B:L,COLUMN('Price List, Weapons &amp; Items'!$J$11)-1,0)</f>
        <v>Miscellaneous</v>
      </c>
      <c r="AO679" s="180" t="str">
        <f>IF(I679=".",".",VLOOKUP($I679,'Price List, Weapons &amp; Items'!B:J,3,0))</f>
        <v>Small Arms and Light Weapons (SALW) ammunition</v>
      </c>
      <c r="AP679" s="545" t="str">
        <f t="shared" ca="1" si="139"/>
        <v/>
      </c>
      <c r="AQ679" s="180">
        <f>VLOOKUP($I679,'Price List, Weapons &amp; Items'!B:L,COLUMN('Price List, Weapons &amp; Items'!$L$11)-1,0)</f>
        <v>2</v>
      </c>
      <c r="AR679" s="180">
        <f t="shared" si="133"/>
        <v>1</v>
      </c>
      <c r="AS679" s="180">
        <f t="shared" si="134"/>
        <v>1</v>
      </c>
      <c r="AT679" s="180">
        <f t="shared" si="135"/>
        <v>1</v>
      </c>
      <c r="AU679" s="180" t="str">
        <f t="shared" si="136"/>
        <v>.</v>
      </c>
      <c r="AV679" s="180" t="str">
        <f t="shared" si="137"/>
        <v>.</v>
      </c>
      <c r="AW679" s="180">
        <f>IFERROR(VLOOKUP(B679,'Share, Heavy Weapons to Ukraine'!B:J,COLUMN('Share, Heavy Weapons to Ukraine'!C692)-1,0),0)</f>
        <v>0</v>
      </c>
      <c r="AX679" s="180">
        <f>VLOOKUP('Bilateral Assistance, MAIN DATA'!B679,'Country Summary'!B:F,COLUMN('Country Summary'!C695)-1,FALSE)</f>
        <v>1</v>
      </c>
      <c r="AY679" s="180" t="str">
        <f>IF(AND(AD679=1,D679="Military",H679&lt;&gt;"Not given")=TRUE,IF(SUMIFS(P:P,A:A,A679)&gt;0,ABS((SUMIFS(P:P,A:A,A679)/VLOOKUP("USD",'Exchange Rates'!B:C,2,0)))/S679,"."),".")</f>
        <v>.</v>
      </c>
      <c r="AZ679" s="182" t="str">
        <f>IF(AND(AD679=1,D679="Military",H679&lt;&gt;"Not given")=TRUE,IF(SUMIFS(P:P,A:A,A679)&gt;0,IF((ABS((SUMIFS(P:P,A:A,A679)/VLOOKUP("USD",'Exchange Rates'!B:C,2,0)))/S679)&gt;1,(SUMIFS(P:P,A:A,A679)-S679)/S679,(S679-SUMIFS(P:P,A:A,A679))/SUMIFS(P:P,A:A,A679)),"."),".")</f>
        <v>.</v>
      </c>
      <c r="BA679" s="182"/>
      <c r="BB679" s="182"/>
      <c r="BC679" s="182"/>
      <c r="BD679" s="182"/>
      <c r="BE679" s="182"/>
      <c r="BF679" s="182"/>
      <c r="BG679" s="182"/>
      <c r="BH679" s="182"/>
      <c r="BI679" s="182"/>
      <c r="BJ679" s="182"/>
      <c r="BK679" s="182"/>
      <c r="BL679" s="182"/>
      <c r="BM679" s="182"/>
      <c r="BN679" s="182"/>
      <c r="BO679" s="182"/>
      <c r="BP679" s="182"/>
      <c r="BQ679" s="182"/>
      <c r="BR679" s="182"/>
      <c r="BS679" s="182"/>
    </row>
    <row r="680" spans="1:71" ht="15.9" customHeight="1" x14ac:dyDescent="0.3">
      <c r="A680" s="5" t="s">
        <v>2023</v>
      </c>
      <c r="B680" s="5" t="s">
        <v>2024</v>
      </c>
      <c r="C680" s="174">
        <v>44648</v>
      </c>
      <c r="D680" s="5" t="s">
        <v>285</v>
      </c>
      <c r="E680" s="5" t="s">
        <v>286</v>
      </c>
      <c r="F680" s="175" t="s">
        <v>2025</v>
      </c>
      <c r="G680" s="15" t="s">
        <v>364</v>
      </c>
      <c r="H680" s="176">
        <v>50000000</v>
      </c>
      <c r="I680" s="189" t="s">
        <v>2034</v>
      </c>
      <c r="J680" s="113" t="str">
        <f>VLOOKUP($I680,'Price List, Weapons &amp; Items'!B:C,2,0)</f>
        <v>Portable defence system</v>
      </c>
      <c r="K680" s="113" t="str">
        <f>IF(I680=".",I680,VLOOKUP($I680,'Price List, Weapons &amp; Items'!B:D,3,0))</f>
        <v>Light Anti-armor Weapon (LAW)</v>
      </c>
      <c r="L680" s="177">
        <f>VLOOKUP(I680,'Price List, Weapons &amp; Items'!B:E,4,0)</f>
        <v>1</v>
      </c>
      <c r="M680" s="542">
        <v>12500</v>
      </c>
      <c r="N680" s="542">
        <v>12500</v>
      </c>
      <c r="O680" s="543">
        <f>VLOOKUP($I680,'Price List, Weapons &amp; Items'!B:G,6,0)</f>
        <v>207.68</v>
      </c>
      <c r="P680" s="176">
        <f t="shared" si="128"/>
        <v>2596000</v>
      </c>
      <c r="Q680" s="176">
        <f t="shared" si="129"/>
        <v>2596000</v>
      </c>
      <c r="R680" s="176" t="str">
        <f t="shared" si="138"/>
        <v/>
      </c>
      <c r="S680" s="176" t="str">
        <f>IF(AND(AD680=1,R680&lt;&gt;".")=TRUE,R680/VLOOKUP(G680,'Exchange Rates'!B:C,2,0),IF(R680=".",".",""))</f>
        <v/>
      </c>
      <c r="T680" s="176" t="str">
        <f>IF(AD680=1,IF(AF680="Value is not given at all",".",IF(AF680="Value is given by the source",S680,IF(AF680="Value is calculated with prices",(IF(SUMIFS(Q:Q,A:A,A680)&gt;0,SUMIFS(Q:Q,A:A,A680),"."))/VLOOKUP("USD",'Exchange Rates'!B:C,2,0),"Error with coding"))),"")</f>
        <v/>
      </c>
      <c r="U680" s="15" t="s">
        <v>261</v>
      </c>
      <c r="V680" s="547" t="s">
        <v>2026</v>
      </c>
      <c r="W680" s="547" t="s">
        <v>2030</v>
      </c>
      <c r="X680" s="547" t="s">
        <v>2028</v>
      </c>
      <c r="Y680" s="569" t="s">
        <v>2029</v>
      </c>
      <c r="Z680" s="15">
        <v>0</v>
      </c>
      <c r="AA680" s="199">
        <v>1</v>
      </c>
      <c r="AB680" s="549" t="s">
        <v>2030</v>
      </c>
      <c r="AC680" s="544" t="str">
        <f>""</f>
        <v/>
      </c>
      <c r="AD680" s="181">
        <v>0</v>
      </c>
      <c r="AE680" s="181" t="s">
        <v>264</v>
      </c>
      <c r="AF680" s="181" t="s">
        <v>264</v>
      </c>
      <c r="AG680" s="181">
        <v>1</v>
      </c>
      <c r="AH680" s="181">
        <v>3</v>
      </c>
      <c r="AI680" s="181">
        <v>0</v>
      </c>
      <c r="AJ680" s="181">
        <f>VLOOKUP($I680,'Price List, Weapons &amp; Items'!B:F,5,0)</f>
        <v>0</v>
      </c>
      <c r="AK680" s="181">
        <f t="shared" si="130"/>
        <v>0</v>
      </c>
      <c r="AL680" s="181">
        <f t="shared" si="131"/>
        <v>0</v>
      </c>
      <c r="AM680" s="181">
        <f t="shared" si="132"/>
        <v>0</v>
      </c>
      <c r="AN680" s="180" t="str">
        <f>VLOOKUP($I680,'Price List, Weapons &amp; Items'!B:L,COLUMN('Price List, Weapons &amp; Items'!$J$11)-1,0)</f>
        <v>Online marketplaces and stores</v>
      </c>
      <c r="AO680" s="180" t="str">
        <f>IF(I680=".",".",VLOOKUP($I680,'Price List, Weapons &amp; Items'!B:J,3,0))</f>
        <v>Light Anti-armor Weapon (LAW)</v>
      </c>
      <c r="AP680" s="545" t="str">
        <f t="shared" ca="1" si="139"/>
        <v/>
      </c>
      <c r="AQ680" s="180">
        <f>VLOOKUP($I680,'Price List, Weapons &amp; Items'!B:L,COLUMN('Price List, Weapons &amp; Items'!$L$11)-1,0)</f>
        <v>2</v>
      </c>
      <c r="AR680" s="180">
        <f t="shared" si="133"/>
        <v>1</v>
      </c>
      <c r="AS680" s="180">
        <f t="shared" si="134"/>
        <v>1</v>
      </c>
      <c r="AT680" s="180">
        <f t="shared" si="135"/>
        <v>1</v>
      </c>
      <c r="AU680" s="180" t="str">
        <f t="shared" si="136"/>
        <v>.</v>
      </c>
      <c r="AV680" s="180" t="str">
        <f t="shared" si="137"/>
        <v>.</v>
      </c>
      <c r="AW680" s="180">
        <f>IFERROR(VLOOKUP(B680,'Share, Heavy Weapons to Ukraine'!B:J,COLUMN('Share, Heavy Weapons to Ukraine'!C693)-1,0),0)</f>
        <v>0</v>
      </c>
      <c r="AX680" s="180">
        <f>VLOOKUP('Bilateral Assistance, MAIN DATA'!B680,'Country Summary'!B:F,COLUMN('Country Summary'!C696)-1,FALSE)</f>
        <v>1</v>
      </c>
      <c r="AY680" s="180" t="str">
        <f>IF(AND(AD680=1,D680="Military",H680&lt;&gt;"Not given")=TRUE,IF(SUMIFS(P:P,A:A,A680)&gt;0,ABS((SUMIFS(P:P,A:A,A680)/VLOOKUP("USD",'Exchange Rates'!B:C,2,0)))/S680,"."),".")</f>
        <v>.</v>
      </c>
      <c r="AZ680" s="182" t="str">
        <f>IF(AND(AD680=1,D680="Military",H680&lt;&gt;"Not given")=TRUE,IF(SUMIFS(P:P,A:A,A680)&gt;0,IF((ABS((SUMIFS(P:P,A:A,A680)/VLOOKUP("USD",'Exchange Rates'!B:C,2,0)))/S680)&gt;1,(SUMIFS(P:P,A:A,A680)-S680)/S680,(S680-SUMIFS(P:P,A:A,A680))/SUMIFS(P:P,A:A,A680)),"."),".")</f>
        <v>.</v>
      </c>
      <c r="BA680" s="182"/>
      <c r="BB680" s="182"/>
      <c r="BC680" s="182"/>
      <c r="BD680" s="182"/>
      <c r="BE680" s="182"/>
      <c r="BF680" s="182"/>
      <c r="BG680" s="182"/>
      <c r="BH680" s="182"/>
      <c r="BI680" s="182"/>
      <c r="BJ680" s="182"/>
      <c r="BK680" s="182"/>
      <c r="BL680" s="182"/>
      <c r="BM680" s="182"/>
      <c r="BN680" s="182"/>
      <c r="BO680" s="182"/>
      <c r="BP680" s="182"/>
      <c r="BQ680" s="182"/>
      <c r="BR680" s="182"/>
      <c r="BS680" s="182"/>
    </row>
    <row r="681" spans="1:71" ht="15.9" customHeight="1" x14ac:dyDescent="0.3">
      <c r="A681" s="5" t="s">
        <v>2023</v>
      </c>
      <c r="B681" s="5" t="s">
        <v>2024</v>
      </c>
      <c r="C681" s="174">
        <v>44648</v>
      </c>
      <c r="D681" s="5" t="s">
        <v>285</v>
      </c>
      <c r="E681" s="5" t="s">
        <v>286</v>
      </c>
      <c r="F681" s="175" t="s">
        <v>2025</v>
      </c>
      <c r="G681" s="15" t="s">
        <v>364</v>
      </c>
      <c r="H681" s="176">
        <v>50000000</v>
      </c>
      <c r="I681" s="189" t="s">
        <v>2035</v>
      </c>
      <c r="J681" s="113" t="str">
        <f>VLOOKUP($I681,'Price List, Weapons &amp; Items'!B:C,2,0)</f>
        <v>Military equipment</v>
      </c>
      <c r="K681" s="113" t="str">
        <f>IF(I681=".",I681,VLOOKUP($I681,'Price List, Weapons &amp; Items'!B:D,3,0))</f>
        <v>Military equipment</v>
      </c>
      <c r="L681" s="177">
        <f>VLOOKUP(I681,'Price List, Weapons &amp; Items'!B:E,4,0)</f>
        <v>0</v>
      </c>
      <c r="M681" s="542">
        <v>50</v>
      </c>
      <c r="N681" s="542">
        <v>50</v>
      </c>
      <c r="O681" s="543" t="str">
        <f>VLOOKUP($I681,'Price List, Weapons &amp; Items'!B:G,6,0)</f>
        <v>.</v>
      </c>
      <c r="P681" s="176" t="str">
        <f t="shared" si="128"/>
        <v>No price</v>
      </c>
      <c r="Q681" s="176" t="str">
        <f t="shared" si="129"/>
        <v>No price</v>
      </c>
      <c r="R681" s="176" t="str">
        <f t="shared" si="138"/>
        <v/>
      </c>
      <c r="S681" s="176" t="str">
        <f>IF(AND(AD681=1,R681&lt;&gt;".")=TRUE,R681/VLOOKUP(G681,'Exchange Rates'!B:C,2,0),IF(R681=".",".",""))</f>
        <v/>
      </c>
      <c r="T681" s="176" t="str">
        <f>IF(AD681=1,IF(AF681="Value is not given at all",".",IF(AF681="Value is given by the source",S681,IF(AF681="Value is calculated with prices",(IF(SUMIFS(Q:Q,A:A,A681)&gt;0,SUMIFS(Q:Q,A:A,A681),"."))/VLOOKUP("USD",'Exchange Rates'!B:C,2,0),"Error with coding"))),"")</f>
        <v/>
      </c>
      <c r="U681" s="15" t="s">
        <v>261</v>
      </c>
      <c r="V681" s="547" t="s">
        <v>2026</v>
      </c>
      <c r="W681" s="547" t="s">
        <v>2030</v>
      </c>
      <c r="X681" s="547" t="s">
        <v>2028</v>
      </c>
      <c r="Y681" s="569" t="s">
        <v>2029</v>
      </c>
      <c r="Z681" s="15">
        <v>0</v>
      </c>
      <c r="AA681" s="199">
        <v>1</v>
      </c>
      <c r="AB681" s="549" t="s">
        <v>2030</v>
      </c>
      <c r="AC681" s="544" t="str">
        <f>""</f>
        <v/>
      </c>
      <c r="AD681" s="181">
        <v>0</v>
      </c>
      <c r="AE681" s="181" t="s">
        <v>264</v>
      </c>
      <c r="AF681" s="181" t="s">
        <v>264</v>
      </c>
      <c r="AG681" s="181">
        <v>1</v>
      </c>
      <c r="AH681" s="181">
        <v>3</v>
      </c>
      <c r="AI681" s="181">
        <v>0</v>
      </c>
      <c r="AJ681" s="181">
        <f>VLOOKUP($I681,'Price List, Weapons &amp; Items'!B:F,5,0)</f>
        <v>0</v>
      </c>
      <c r="AK681" s="181">
        <f t="shared" si="130"/>
        <v>0</v>
      </c>
      <c r="AL681" s="181">
        <f t="shared" si="131"/>
        <v>0</v>
      </c>
      <c r="AM681" s="181">
        <f t="shared" si="132"/>
        <v>0</v>
      </c>
      <c r="AN681" s="180" t="str">
        <f>VLOOKUP($I681,'Price List, Weapons &amp; Items'!B:L,COLUMN('Price List, Weapons &amp; Items'!$J$11)-1,0)</f>
        <v>.</v>
      </c>
      <c r="AO681" s="180" t="str">
        <f>IF(I681=".",".",VLOOKUP($I681,'Price List, Weapons &amp; Items'!B:J,3,0))</f>
        <v>Military equipment</v>
      </c>
      <c r="AP681" s="545" t="str">
        <f t="shared" ca="1" si="139"/>
        <v/>
      </c>
      <c r="AQ681" s="180">
        <f>VLOOKUP($I681,'Price List, Weapons &amp; Items'!B:L,COLUMN('Price List, Weapons &amp; Items'!$L$11)-1,0)</f>
        <v>0</v>
      </c>
      <c r="AR681" s="180">
        <f t="shared" si="133"/>
        <v>1</v>
      </c>
      <c r="AS681" s="180">
        <f t="shared" si="134"/>
        <v>1</v>
      </c>
      <c r="AT681" s="180">
        <f t="shared" si="135"/>
        <v>1</v>
      </c>
      <c r="AU681" s="180" t="str">
        <f t="shared" si="136"/>
        <v>.</v>
      </c>
      <c r="AV681" s="180" t="str">
        <f t="shared" si="137"/>
        <v>.</v>
      </c>
      <c r="AW681" s="180">
        <f>IFERROR(VLOOKUP(B681,'Share, Heavy Weapons to Ukraine'!B:J,COLUMN('Share, Heavy Weapons to Ukraine'!C694)-1,0),0)</f>
        <v>0</v>
      </c>
      <c r="AX681" s="180">
        <f>VLOOKUP('Bilateral Assistance, MAIN DATA'!B681,'Country Summary'!B:F,COLUMN('Country Summary'!C697)-1,FALSE)</f>
        <v>1</v>
      </c>
      <c r="AY681" s="180" t="str">
        <f>IF(AND(AD681=1,D681="Military",H681&lt;&gt;"Not given")=TRUE,IF(SUMIFS(P:P,A:A,A681)&gt;0,ABS((SUMIFS(P:P,A:A,A681)/VLOOKUP("USD",'Exchange Rates'!B:C,2,0)))/S681,"."),".")</f>
        <v>.</v>
      </c>
      <c r="AZ681" s="182" t="str">
        <f>IF(AND(AD681=1,D681="Military",H681&lt;&gt;"Not given")=TRUE,IF(SUMIFS(P:P,A:A,A681)&gt;0,IF((ABS((SUMIFS(P:P,A:A,A681)/VLOOKUP("USD",'Exchange Rates'!B:C,2,0)))/S681)&gt;1,(SUMIFS(P:P,A:A,A681)-S681)/S681,(S681-SUMIFS(P:P,A:A,A681))/SUMIFS(P:P,A:A,A681)),"."),".")</f>
        <v>.</v>
      </c>
      <c r="BA681" s="182"/>
      <c r="BB681" s="182"/>
      <c r="BC681" s="182"/>
      <c r="BD681" s="182"/>
      <c r="BE681" s="182"/>
      <c r="BF681" s="182"/>
      <c r="BG681" s="182"/>
      <c r="BH681" s="182"/>
      <c r="BI681" s="182"/>
      <c r="BJ681" s="182"/>
      <c r="BK681" s="182"/>
      <c r="BL681" s="182"/>
      <c r="BM681" s="182"/>
      <c r="BN681" s="182"/>
      <c r="BO681" s="182"/>
      <c r="BP681" s="182"/>
      <c r="BQ681" s="182"/>
      <c r="BR681" s="182"/>
      <c r="BS681" s="182"/>
    </row>
    <row r="682" spans="1:71" ht="15.9" customHeight="1" x14ac:dyDescent="0.3">
      <c r="A682" s="5" t="s">
        <v>2023</v>
      </c>
      <c r="B682" s="5" t="s">
        <v>2024</v>
      </c>
      <c r="C682" s="174">
        <v>44648</v>
      </c>
      <c r="D682" s="5" t="s">
        <v>285</v>
      </c>
      <c r="E682" s="5" t="s">
        <v>286</v>
      </c>
      <c r="F682" s="175" t="s">
        <v>2025</v>
      </c>
      <c r="G682" s="15" t="s">
        <v>364</v>
      </c>
      <c r="H682" s="176">
        <v>50000000</v>
      </c>
      <c r="I682" s="189" t="s">
        <v>354</v>
      </c>
      <c r="J682" s="113" t="str">
        <f>VLOOKUP($I682,'Price List, Weapons &amp; Items'!B:C,2,0)</f>
        <v>Humanitarian</v>
      </c>
      <c r="K682" s="113" t="str">
        <f>IF(I682=".",I682,VLOOKUP($I682,'Price List, Weapons &amp; Items'!B:D,3,0))</f>
        <v>Humanitarian</v>
      </c>
      <c r="L682" s="177">
        <f>VLOOKUP(I682,'Price List, Weapons &amp; Items'!B:E,4,0)</f>
        <v>0</v>
      </c>
      <c r="M682" s="542">
        <v>358</v>
      </c>
      <c r="N682" s="542">
        <v>358</v>
      </c>
      <c r="O682" s="543">
        <f>VLOOKUP($I682,'Price List, Weapons &amp; Items'!B:G,6,0)</f>
        <v>150</v>
      </c>
      <c r="P682" s="176">
        <f t="shared" si="128"/>
        <v>53700</v>
      </c>
      <c r="Q682" s="176">
        <f t="shared" si="129"/>
        <v>53700</v>
      </c>
      <c r="R682" s="176" t="str">
        <f t="shared" si="138"/>
        <v/>
      </c>
      <c r="S682" s="176" t="str">
        <f>IF(AND(AD682=1,R682&lt;&gt;".")=TRUE,R682/VLOOKUP(G682,'Exchange Rates'!B:C,2,0),IF(R682=".",".",""))</f>
        <v/>
      </c>
      <c r="T682" s="176" t="str">
        <f>IF(AD682=1,IF(AF682="Value is not given at all",".",IF(AF682="Value is given by the source",S682,IF(AF682="Value is calculated with prices",(IF(SUMIFS(Q:Q,A:A,A682)&gt;0,SUMIFS(Q:Q,A:A,A682),"."))/VLOOKUP("USD",'Exchange Rates'!B:C,2,0),"Error with coding"))),"")</f>
        <v/>
      </c>
      <c r="U682" s="15" t="s">
        <v>261</v>
      </c>
      <c r="V682" s="547" t="s">
        <v>2026</v>
      </c>
      <c r="W682" s="547" t="s">
        <v>2030</v>
      </c>
      <c r="X682" s="547" t="s">
        <v>2028</v>
      </c>
      <c r="Y682" s="569" t="s">
        <v>2029</v>
      </c>
      <c r="Z682" s="15">
        <v>0</v>
      </c>
      <c r="AA682" s="199">
        <v>1</v>
      </c>
      <c r="AB682" s="549" t="s">
        <v>2030</v>
      </c>
      <c r="AC682" s="544" t="str">
        <f>""</f>
        <v/>
      </c>
      <c r="AD682" s="181">
        <v>0</v>
      </c>
      <c r="AE682" s="181" t="s">
        <v>264</v>
      </c>
      <c r="AF682" s="181" t="s">
        <v>264</v>
      </c>
      <c r="AG682" s="181">
        <v>1</v>
      </c>
      <c r="AH682" s="181">
        <v>3</v>
      </c>
      <c r="AI682" s="181">
        <v>0</v>
      </c>
      <c r="AJ682" s="181">
        <f>VLOOKUP($I682,'Price List, Weapons &amp; Items'!B:F,5,0)</f>
        <v>0</v>
      </c>
      <c r="AK682" s="181">
        <f t="shared" si="130"/>
        <v>0</v>
      </c>
      <c r="AL682" s="181">
        <f t="shared" si="131"/>
        <v>0</v>
      </c>
      <c r="AM682" s="181">
        <f t="shared" si="132"/>
        <v>0</v>
      </c>
      <c r="AN682" s="180" t="str">
        <f>VLOOKUP($I682,'Price List, Weapons &amp; Items'!B:L,COLUMN('Price List, Weapons &amp; Items'!$J$11)-1,0)</f>
        <v>Miscellaneous</v>
      </c>
      <c r="AO682" s="180" t="str">
        <f>IF(I682=".",".",VLOOKUP($I682,'Price List, Weapons &amp; Items'!B:J,3,0))</f>
        <v>Humanitarian</v>
      </c>
      <c r="AP682" s="545" t="str">
        <f t="shared" ca="1" si="139"/>
        <v/>
      </c>
      <c r="AQ682" s="180">
        <f>VLOOKUP($I682,'Price List, Weapons &amp; Items'!B:L,COLUMN('Price List, Weapons &amp; Items'!$L$11)-1,0)</f>
        <v>0</v>
      </c>
      <c r="AR682" s="180">
        <f t="shared" si="133"/>
        <v>1</v>
      </c>
      <c r="AS682" s="180">
        <f t="shared" si="134"/>
        <v>1</v>
      </c>
      <c r="AT682" s="180">
        <f t="shared" si="135"/>
        <v>1</v>
      </c>
      <c r="AU682" s="180" t="str">
        <f t="shared" si="136"/>
        <v>.</v>
      </c>
      <c r="AV682" s="180" t="str">
        <f t="shared" si="137"/>
        <v>.</v>
      </c>
      <c r="AW682" s="180">
        <f>IFERROR(VLOOKUP(B682,'Share, Heavy Weapons to Ukraine'!B:J,COLUMN('Share, Heavy Weapons to Ukraine'!C695)-1,0),0)</f>
        <v>0</v>
      </c>
      <c r="AX682" s="180">
        <f>VLOOKUP('Bilateral Assistance, MAIN DATA'!B682,'Country Summary'!B:F,COLUMN('Country Summary'!C698)-1,FALSE)</f>
        <v>1</v>
      </c>
      <c r="AY682" s="180" t="str">
        <f>IF(AND(AD682=1,D682="Military",H682&lt;&gt;"Not given")=TRUE,IF(SUMIFS(P:P,A:A,A682)&gt;0,ABS((SUMIFS(P:P,A:A,A682)/VLOOKUP("USD",'Exchange Rates'!B:C,2,0)))/S682,"."),".")</f>
        <v>.</v>
      </c>
      <c r="AZ682" s="182" t="str">
        <f>IF(AND(AD682=1,D682="Military",H682&lt;&gt;"Not given")=TRUE,IF(SUMIFS(P:P,A:A,A682)&gt;0,IF((ABS((SUMIFS(P:P,A:A,A682)/VLOOKUP("USD",'Exchange Rates'!B:C,2,0)))/S682)&gt;1,(SUMIFS(P:P,A:A,A682)-S682)/S682,(S682-SUMIFS(P:P,A:A,A682))/SUMIFS(P:P,A:A,A682)),"."),".")</f>
        <v>.</v>
      </c>
      <c r="BA682" s="182"/>
      <c r="BB682" s="182"/>
      <c r="BC682" s="182"/>
      <c r="BD682" s="182"/>
      <c r="BE682" s="182"/>
      <c r="BF682" s="182"/>
      <c r="BG682" s="182"/>
      <c r="BH682" s="182"/>
      <c r="BI682" s="182"/>
      <c r="BJ682" s="182"/>
      <c r="BK682" s="182"/>
      <c r="BL682" s="182"/>
      <c r="BM682" s="182"/>
      <c r="BN682" s="182"/>
      <c r="BO682" s="182"/>
      <c r="BP682" s="182"/>
      <c r="BQ682" s="182"/>
      <c r="BR682" s="182"/>
      <c r="BS682" s="182"/>
    </row>
    <row r="683" spans="1:71" ht="15.9" customHeight="1" x14ac:dyDescent="0.3">
      <c r="A683" s="5" t="s">
        <v>2023</v>
      </c>
      <c r="B683" s="5" t="s">
        <v>2024</v>
      </c>
      <c r="C683" s="174">
        <v>44648</v>
      </c>
      <c r="D683" s="5" t="s">
        <v>285</v>
      </c>
      <c r="E683" s="5" t="s">
        <v>286</v>
      </c>
      <c r="F683" s="175" t="s">
        <v>2025</v>
      </c>
      <c r="G683" s="15" t="s">
        <v>364</v>
      </c>
      <c r="H683" s="176">
        <v>50000000</v>
      </c>
      <c r="I683" s="189" t="s">
        <v>1395</v>
      </c>
      <c r="J683" s="113" t="str">
        <f>VLOOKUP($I683,'Price List, Weapons &amp; Items'!B:C,2,0)</f>
        <v>Humanitarian</v>
      </c>
      <c r="K683" s="113" t="str">
        <f>IF(I683=".",I683,VLOOKUP($I683,'Price List, Weapons &amp; Items'!B:D,3,0))</f>
        <v>Humanitarian</v>
      </c>
      <c r="L683" s="177">
        <f>VLOOKUP(I683,'Price List, Weapons &amp; Items'!B:E,4,0)</f>
        <v>0</v>
      </c>
      <c r="M683" s="542">
        <v>6</v>
      </c>
      <c r="N683" s="542">
        <v>6</v>
      </c>
      <c r="O683" s="543">
        <f>VLOOKUP($I683,'Price List, Weapons &amp; Items'!B:G,6,0)</f>
        <v>300</v>
      </c>
      <c r="P683" s="176">
        <f t="shared" si="128"/>
        <v>1800</v>
      </c>
      <c r="Q683" s="176">
        <f t="shared" si="129"/>
        <v>1800</v>
      </c>
      <c r="R683" s="176" t="str">
        <f t="shared" si="138"/>
        <v/>
      </c>
      <c r="S683" s="176" t="str">
        <f>IF(AND(AD683=1,R683&lt;&gt;".")=TRUE,R683/VLOOKUP(G683,'Exchange Rates'!B:C,2,0),IF(R683=".",".",""))</f>
        <v/>
      </c>
      <c r="T683" s="176" t="str">
        <f>IF(AD683=1,IF(AF683="Value is not given at all",".",IF(AF683="Value is given by the source",S683,IF(AF683="Value is calculated with prices",(IF(SUMIFS(Q:Q,A:A,A683)&gt;0,SUMIFS(Q:Q,A:A,A683),"."))/VLOOKUP("USD",'Exchange Rates'!B:C,2,0),"Error with coding"))),"")</f>
        <v/>
      </c>
      <c r="U683" s="15" t="s">
        <v>261</v>
      </c>
      <c r="V683" s="547" t="s">
        <v>2026</v>
      </c>
      <c r="W683" s="547" t="s">
        <v>2030</v>
      </c>
      <c r="X683" s="547" t="s">
        <v>2028</v>
      </c>
      <c r="Y683" s="569" t="s">
        <v>2029</v>
      </c>
      <c r="Z683" s="15">
        <v>0</v>
      </c>
      <c r="AA683" s="199">
        <v>1</v>
      </c>
      <c r="AB683" s="549" t="s">
        <v>2030</v>
      </c>
      <c r="AC683" s="544" t="str">
        <f>""</f>
        <v/>
      </c>
      <c r="AD683" s="181">
        <v>0</v>
      </c>
      <c r="AE683" s="181" t="s">
        <v>264</v>
      </c>
      <c r="AF683" s="181" t="s">
        <v>264</v>
      </c>
      <c r="AG683" s="181">
        <v>1</v>
      </c>
      <c r="AH683" s="181">
        <v>3</v>
      </c>
      <c r="AI683" s="181">
        <v>0</v>
      </c>
      <c r="AJ683" s="181">
        <f>VLOOKUP($I683,'Price List, Weapons &amp; Items'!B:F,5,0)</f>
        <v>0</v>
      </c>
      <c r="AK683" s="181">
        <f t="shared" si="130"/>
        <v>0</v>
      </c>
      <c r="AL683" s="181">
        <f t="shared" si="131"/>
        <v>0</v>
      </c>
      <c r="AM683" s="181">
        <f t="shared" si="132"/>
        <v>0</v>
      </c>
      <c r="AN683" s="180" t="str">
        <f>VLOOKUP($I683,'Price List, Weapons &amp; Items'!B:L,COLUMN('Price List, Weapons &amp; Items'!$J$11)-1,0)</f>
        <v>Miscellaneous</v>
      </c>
      <c r="AO683" s="180" t="str">
        <f>IF(I683=".",".",VLOOKUP($I683,'Price List, Weapons &amp; Items'!B:J,3,0))</f>
        <v>Humanitarian</v>
      </c>
      <c r="AP683" s="545" t="str">
        <f t="shared" ca="1" si="139"/>
        <v/>
      </c>
      <c r="AQ683" s="180">
        <f>VLOOKUP($I683,'Price List, Weapons &amp; Items'!B:L,COLUMN('Price List, Weapons &amp; Items'!$L$11)-1,0)</f>
        <v>0</v>
      </c>
      <c r="AR683" s="180">
        <f t="shared" si="133"/>
        <v>1</v>
      </c>
      <c r="AS683" s="180">
        <f t="shared" si="134"/>
        <v>1</v>
      </c>
      <c r="AT683" s="180">
        <f t="shared" si="135"/>
        <v>1</v>
      </c>
      <c r="AU683" s="180" t="str">
        <f t="shared" si="136"/>
        <v>.</v>
      </c>
      <c r="AV683" s="180" t="str">
        <f t="shared" si="137"/>
        <v>.</v>
      </c>
      <c r="AW683" s="180">
        <f>IFERROR(VLOOKUP(B683,'Share, Heavy Weapons to Ukraine'!B:J,COLUMN('Share, Heavy Weapons to Ukraine'!C696)-1,0),0)</f>
        <v>0</v>
      </c>
      <c r="AX683" s="180">
        <f>VLOOKUP('Bilateral Assistance, MAIN DATA'!B683,'Country Summary'!B:F,COLUMN('Country Summary'!C699)-1,FALSE)</f>
        <v>1</v>
      </c>
      <c r="AY683" s="180" t="str">
        <f>IF(AND(AD683=1,D683="Military",H683&lt;&gt;"Not given")=TRUE,IF(SUMIFS(P:P,A:A,A683)&gt;0,ABS((SUMIFS(P:P,A:A,A683)/VLOOKUP("USD",'Exchange Rates'!B:C,2,0)))/S683,"."),".")</f>
        <v>.</v>
      </c>
      <c r="AZ683" s="182" t="str">
        <f>IF(AND(AD683=1,D683="Military",H683&lt;&gt;"Not given")=TRUE,IF(SUMIFS(P:P,A:A,A683)&gt;0,IF((ABS((SUMIFS(P:P,A:A,A683)/VLOOKUP("USD",'Exchange Rates'!B:C,2,0)))/S683)&gt;1,(SUMIFS(P:P,A:A,A683)-S683)/S683,(S683-SUMIFS(P:P,A:A,A683))/SUMIFS(P:P,A:A,A683)),"."),".")</f>
        <v>.</v>
      </c>
      <c r="BA683" s="182"/>
      <c r="BB683" s="182"/>
      <c r="BC683" s="182"/>
      <c r="BD683" s="182"/>
      <c r="BE683" s="182"/>
      <c r="BF683" s="182"/>
      <c r="BG683" s="182"/>
      <c r="BH683" s="182"/>
      <c r="BI683" s="182"/>
      <c r="BJ683" s="182"/>
      <c r="BK683" s="182"/>
      <c r="BL683" s="182"/>
      <c r="BM683" s="182"/>
      <c r="BN683" s="182"/>
      <c r="BO683" s="182"/>
      <c r="BP683" s="182"/>
      <c r="BQ683" s="182"/>
      <c r="BR683" s="182"/>
      <c r="BS683" s="182"/>
    </row>
    <row r="684" spans="1:71" ht="15.9" customHeight="1" x14ac:dyDescent="0.3">
      <c r="A684" s="5" t="s">
        <v>2023</v>
      </c>
      <c r="B684" s="5" t="s">
        <v>2024</v>
      </c>
      <c r="C684" s="174">
        <v>44648</v>
      </c>
      <c r="D684" s="5" t="s">
        <v>285</v>
      </c>
      <c r="E684" s="5" t="s">
        <v>286</v>
      </c>
      <c r="F684" s="175" t="s">
        <v>2025</v>
      </c>
      <c r="G684" s="15" t="s">
        <v>364</v>
      </c>
      <c r="H684" s="176">
        <v>50000000</v>
      </c>
      <c r="I684" s="189" t="s">
        <v>2036</v>
      </c>
      <c r="J684" s="113" t="str">
        <f>VLOOKUP($I684,'Price List, Weapons &amp; Items'!B:C,2,0)</f>
        <v>Military equipment</v>
      </c>
      <c r="K684" s="113" t="str">
        <f>IF(I684=".",I684,VLOOKUP($I684,'Price List, Weapons &amp; Items'!B:D,3,0))</f>
        <v>Military equipment</v>
      </c>
      <c r="L684" s="177">
        <f>VLOOKUP(I684,'Price List, Weapons &amp; Items'!B:E,4,0)</f>
        <v>0</v>
      </c>
      <c r="M684" s="542">
        <v>800</v>
      </c>
      <c r="N684" s="542">
        <v>800</v>
      </c>
      <c r="O684" s="543">
        <f>VLOOKUP($I684,'Price List, Weapons &amp; Items'!B:G,6,0)</f>
        <v>22</v>
      </c>
      <c r="P684" s="176">
        <f t="shared" si="128"/>
        <v>17600</v>
      </c>
      <c r="Q684" s="176">
        <f t="shared" si="129"/>
        <v>17600</v>
      </c>
      <c r="R684" s="176" t="str">
        <f t="shared" si="138"/>
        <v/>
      </c>
      <c r="S684" s="176" t="str">
        <f>IF(AND(AD684=1,R684&lt;&gt;".")=TRUE,R684/VLOOKUP(G684,'Exchange Rates'!B:C,2,0),IF(R684=".",".",""))</f>
        <v/>
      </c>
      <c r="T684" s="176" t="str">
        <f>IF(AD684=1,IF(AF684="Value is not given at all",".",IF(AF684="Value is given by the source",S684,IF(AF684="Value is calculated with prices",(IF(SUMIFS(Q:Q,A:A,A684)&gt;0,SUMIFS(Q:Q,A:A,A684),"."))/VLOOKUP("USD",'Exchange Rates'!B:C,2,0),"Error with coding"))),"")</f>
        <v/>
      </c>
      <c r="U684" s="15" t="s">
        <v>261</v>
      </c>
      <c r="V684" s="547" t="s">
        <v>2026</v>
      </c>
      <c r="W684" s="547" t="s">
        <v>2030</v>
      </c>
      <c r="X684" s="547" t="s">
        <v>2028</v>
      </c>
      <c r="Y684" s="569" t="s">
        <v>2029</v>
      </c>
      <c r="Z684" s="15">
        <v>0</v>
      </c>
      <c r="AA684" s="199">
        <v>1</v>
      </c>
      <c r="AB684" s="549" t="s">
        <v>2030</v>
      </c>
      <c r="AC684" s="544" t="str">
        <f>""</f>
        <v/>
      </c>
      <c r="AD684" s="181">
        <v>0</v>
      </c>
      <c r="AE684" s="181" t="s">
        <v>264</v>
      </c>
      <c r="AF684" s="181" t="s">
        <v>264</v>
      </c>
      <c r="AG684" s="181">
        <v>1</v>
      </c>
      <c r="AH684" s="181">
        <v>3</v>
      </c>
      <c r="AI684" s="181">
        <v>0</v>
      </c>
      <c r="AJ684" s="181">
        <f>VLOOKUP($I684,'Price List, Weapons &amp; Items'!B:F,5,0)</f>
        <v>0</v>
      </c>
      <c r="AK684" s="181">
        <f t="shared" si="130"/>
        <v>0</v>
      </c>
      <c r="AL684" s="181">
        <f t="shared" si="131"/>
        <v>0</v>
      </c>
      <c r="AM684" s="181">
        <f t="shared" si="132"/>
        <v>0</v>
      </c>
      <c r="AN684" s="180" t="str">
        <f>VLOOKUP($I684,'Price List, Weapons &amp; Items'!B:L,COLUMN('Price List, Weapons &amp; Items'!$J$11)-1,0)</f>
        <v>Online marketplaces and stores</v>
      </c>
      <c r="AO684" s="180" t="str">
        <f>IF(I684=".",".",VLOOKUP($I684,'Price List, Weapons &amp; Items'!B:J,3,0))</f>
        <v>Military equipment</v>
      </c>
      <c r="AP684" s="545" t="str">
        <f t="shared" ca="1" si="139"/>
        <v/>
      </c>
      <c r="AQ684" s="180">
        <f>VLOOKUP($I684,'Price List, Weapons &amp; Items'!B:L,COLUMN('Price List, Weapons &amp; Items'!$L$11)-1,0)</f>
        <v>2</v>
      </c>
      <c r="AR684" s="180">
        <f t="shared" si="133"/>
        <v>1</v>
      </c>
      <c r="AS684" s="180">
        <f t="shared" si="134"/>
        <v>1</v>
      </c>
      <c r="AT684" s="180">
        <f t="shared" si="135"/>
        <v>1</v>
      </c>
      <c r="AU684" s="180" t="str">
        <f t="shared" si="136"/>
        <v>.</v>
      </c>
      <c r="AV684" s="180" t="str">
        <f t="shared" si="137"/>
        <v>.</v>
      </c>
      <c r="AW684" s="180">
        <f>IFERROR(VLOOKUP(B684,'Share, Heavy Weapons to Ukraine'!B:J,COLUMN('Share, Heavy Weapons to Ukraine'!C697)-1,0),0)</f>
        <v>0</v>
      </c>
      <c r="AX684" s="180">
        <f>VLOOKUP('Bilateral Assistance, MAIN DATA'!B684,'Country Summary'!B:F,COLUMN('Country Summary'!C700)-1,FALSE)</f>
        <v>1</v>
      </c>
      <c r="AY684" s="180" t="str">
        <f>IF(AND(AD684=1,D684="Military",H684&lt;&gt;"Not given")=TRUE,IF(SUMIFS(P:P,A:A,A684)&gt;0,ABS((SUMIFS(P:P,A:A,A684)/VLOOKUP("USD",'Exchange Rates'!B:C,2,0)))/S684,"."),".")</f>
        <v>.</v>
      </c>
      <c r="AZ684" s="182" t="str">
        <f>IF(AND(AD684=1,D684="Military",H684&lt;&gt;"Not given")=TRUE,IF(SUMIFS(P:P,A:A,A684)&gt;0,IF((ABS((SUMIFS(P:P,A:A,A684)/VLOOKUP("USD",'Exchange Rates'!B:C,2,0)))/S684)&gt;1,(SUMIFS(P:P,A:A,A684)-S684)/S684,(S684-SUMIFS(P:P,A:A,A684))/SUMIFS(P:P,A:A,A684)),"."),".")</f>
        <v>.</v>
      </c>
      <c r="BA684" s="182"/>
      <c r="BB684" s="182"/>
      <c r="BC684" s="182"/>
      <c r="BD684" s="182"/>
      <c r="BE684" s="182"/>
      <c r="BF684" s="182"/>
      <c r="BG684" s="182"/>
      <c r="BH684" s="182"/>
      <c r="BI684" s="182"/>
      <c r="BJ684" s="182"/>
      <c r="BK684" s="182"/>
      <c r="BL684" s="182"/>
      <c r="BM684" s="182"/>
      <c r="BN684" s="182"/>
      <c r="BO684" s="182"/>
      <c r="BP684" s="182"/>
      <c r="BQ684" s="182"/>
      <c r="BR684" s="182"/>
      <c r="BS684" s="182"/>
    </row>
    <row r="685" spans="1:71" ht="15.9" customHeight="1" x14ac:dyDescent="0.3">
      <c r="A685" s="5" t="s">
        <v>2023</v>
      </c>
      <c r="B685" s="5" t="s">
        <v>2024</v>
      </c>
      <c r="C685" s="174">
        <v>44648</v>
      </c>
      <c r="D685" s="5" t="s">
        <v>285</v>
      </c>
      <c r="E685" s="5" t="s">
        <v>286</v>
      </c>
      <c r="F685" s="175" t="s">
        <v>2025</v>
      </c>
      <c r="G685" s="15" t="s">
        <v>364</v>
      </c>
      <c r="H685" s="176">
        <v>50000000</v>
      </c>
      <c r="I685" s="189" t="s">
        <v>598</v>
      </c>
      <c r="J685" s="113" t="str">
        <f>VLOOKUP($I685,'Price List, Weapons &amp; Items'!B:C,2,0)</f>
        <v>Military equipment</v>
      </c>
      <c r="K685" s="113" t="str">
        <f>IF(I685=".",I685,VLOOKUP($I685,'Price List, Weapons &amp; Items'!B:D,3,0))</f>
        <v>Military equipment</v>
      </c>
      <c r="L685" s="177">
        <f>VLOOKUP(I685,'Price List, Weapons &amp; Items'!B:E,4,0)</f>
        <v>0</v>
      </c>
      <c r="M685" s="542">
        <v>470</v>
      </c>
      <c r="N685" s="542">
        <v>470</v>
      </c>
      <c r="O685" s="543">
        <f>VLOOKUP($I685,'Price List, Weapons &amp; Items'!B:G,6,0)</f>
        <v>2320</v>
      </c>
      <c r="P685" s="176">
        <f t="shared" si="128"/>
        <v>1090400</v>
      </c>
      <c r="Q685" s="176">
        <f t="shared" si="129"/>
        <v>1090400</v>
      </c>
      <c r="R685" s="176" t="str">
        <f t="shared" si="138"/>
        <v/>
      </c>
      <c r="S685" s="176" t="str">
        <f>IF(AND(AD685=1,R685&lt;&gt;".")=TRUE,R685/VLOOKUP(G685,'Exchange Rates'!B:C,2,0),IF(R685=".",".",""))</f>
        <v/>
      </c>
      <c r="T685" s="176" t="str">
        <f>IF(AD685=1,IF(AF685="Value is not given at all",".",IF(AF685="Value is given by the source",S685,IF(AF685="Value is calculated with prices",(IF(SUMIFS(Q:Q,A:A,A685)&gt;0,SUMIFS(Q:Q,A:A,A685),"."))/VLOOKUP("USD",'Exchange Rates'!B:C,2,0),"Error with coding"))),"")</f>
        <v/>
      </c>
      <c r="U685" s="15" t="s">
        <v>261</v>
      </c>
      <c r="V685" s="547" t="s">
        <v>2026</v>
      </c>
      <c r="W685" s="547" t="s">
        <v>2030</v>
      </c>
      <c r="X685" s="547" t="s">
        <v>2028</v>
      </c>
      <c r="Y685" s="569" t="s">
        <v>2029</v>
      </c>
      <c r="Z685" s="15">
        <v>0</v>
      </c>
      <c r="AA685" s="199">
        <v>1</v>
      </c>
      <c r="AB685" s="549" t="s">
        <v>2030</v>
      </c>
      <c r="AC685" s="544" t="str">
        <f>""</f>
        <v/>
      </c>
      <c r="AD685" s="181">
        <v>0</v>
      </c>
      <c r="AE685" s="181" t="s">
        <v>264</v>
      </c>
      <c r="AF685" s="181" t="s">
        <v>264</v>
      </c>
      <c r="AG685" s="181">
        <v>1</v>
      </c>
      <c r="AH685" s="181">
        <v>3</v>
      </c>
      <c r="AI685" s="181">
        <v>0</v>
      </c>
      <c r="AJ685" s="181">
        <f>VLOOKUP($I685,'Price List, Weapons &amp; Items'!B:F,5,0)</f>
        <v>0</v>
      </c>
      <c r="AK685" s="181">
        <f t="shared" si="130"/>
        <v>0</v>
      </c>
      <c r="AL685" s="181">
        <f t="shared" si="131"/>
        <v>0</v>
      </c>
      <c r="AM685" s="181">
        <f t="shared" si="132"/>
        <v>0</v>
      </c>
      <c r="AN685" s="180" t="str">
        <f>VLOOKUP($I685,'Price List, Weapons &amp; Items'!B:L,COLUMN('Price List, Weapons &amp; Items'!$J$11)-1,0)</f>
        <v>Media reports (incl. social media)</v>
      </c>
      <c r="AO685" s="180" t="str">
        <f>IF(I685=".",".",VLOOKUP($I685,'Price List, Weapons &amp; Items'!B:J,3,0))</f>
        <v>Military equipment</v>
      </c>
      <c r="AP685" s="545" t="str">
        <f t="shared" ca="1" si="139"/>
        <v/>
      </c>
      <c r="AQ685" s="180">
        <f>VLOOKUP($I685,'Price List, Weapons &amp; Items'!B:L,COLUMN('Price List, Weapons &amp; Items'!$L$11)-1,0)</f>
        <v>2</v>
      </c>
      <c r="AR685" s="180">
        <f t="shared" si="133"/>
        <v>1</v>
      </c>
      <c r="AS685" s="180">
        <f t="shared" si="134"/>
        <v>1</v>
      </c>
      <c r="AT685" s="180">
        <f t="shared" si="135"/>
        <v>1</v>
      </c>
      <c r="AU685" s="180" t="str">
        <f t="shared" si="136"/>
        <v>.</v>
      </c>
      <c r="AV685" s="180" t="str">
        <f t="shared" si="137"/>
        <v>.</v>
      </c>
      <c r="AW685" s="180">
        <f>IFERROR(VLOOKUP(B685,'Share, Heavy Weapons to Ukraine'!B:J,COLUMN('Share, Heavy Weapons to Ukraine'!C698)-1,0),0)</f>
        <v>0</v>
      </c>
      <c r="AX685" s="180">
        <f>VLOOKUP('Bilateral Assistance, MAIN DATA'!B685,'Country Summary'!B:F,COLUMN('Country Summary'!C701)-1,FALSE)</f>
        <v>1</v>
      </c>
      <c r="AY685" s="180" t="str">
        <f>IF(AND(AD685=1,D685="Military",H685&lt;&gt;"Not given")=TRUE,IF(SUMIFS(P:P,A:A,A685)&gt;0,ABS((SUMIFS(P:P,A:A,A685)/VLOOKUP("USD",'Exchange Rates'!B:C,2,0)))/S685,"."),".")</f>
        <v>.</v>
      </c>
      <c r="AZ685" s="182" t="str">
        <f>IF(AND(AD685=1,D685="Military",H685&lt;&gt;"Not given")=TRUE,IF(SUMIFS(P:P,A:A,A685)&gt;0,IF((ABS((SUMIFS(P:P,A:A,A685)/VLOOKUP("USD",'Exchange Rates'!B:C,2,0)))/S685)&gt;1,(SUMIFS(P:P,A:A,A685)-S685)/S685,(S685-SUMIFS(P:P,A:A,A685))/SUMIFS(P:P,A:A,A685)),"."),".")</f>
        <v>.</v>
      </c>
      <c r="BA685" s="182"/>
      <c r="BB685" s="182"/>
      <c r="BC685" s="182"/>
      <c r="BD685" s="182"/>
      <c r="BE685" s="182"/>
      <c r="BF685" s="182"/>
      <c r="BG685" s="182"/>
      <c r="BH685" s="182"/>
      <c r="BI685" s="182"/>
      <c r="BJ685" s="182"/>
      <c r="BK685" s="182"/>
      <c r="BL685" s="182"/>
      <c r="BM685" s="182"/>
      <c r="BN685" s="182"/>
      <c r="BO685" s="182"/>
      <c r="BP685" s="182"/>
      <c r="BQ685" s="182"/>
      <c r="BR685" s="182"/>
      <c r="BS685" s="182"/>
    </row>
    <row r="686" spans="1:71" ht="15.9" customHeight="1" x14ac:dyDescent="0.3">
      <c r="A686" s="5" t="s">
        <v>2023</v>
      </c>
      <c r="B686" s="5" t="s">
        <v>2024</v>
      </c>
      <c r="C686" s="174">
        <v>44648</v>
      </c>
      <c r="D686" s="5" t="s">
        <v>285</v>
      </c>
      <c r="E686" s="5" t="s">
        <v>286</v>
      </c>
      <c r="F686" s="175" t="s">
        <v>2025</v>
      </c>
      <c r="G686" s="15" t="s">
        <v>364</v>
      </c>
      <c r="H686" s="176">
        <v>50000000</v>
      </c>
      <c r="I686" s="189" t="s">
        <v>2037</v>
      </c>
      <c r="J686" s="113" t="str">
        <f>VLOOKUP($I686,'Price List, Weapons &amp; Items'!B:C,2,0)</f>
        <v>Aviation and drones</v>
      </c>
      <c r="K686" s="113" t="str">
        <f>IF(I686=".",I686,VLOOKUP($I686,'Price List, Weapons &amp; Items'!B:D,3,0))</f>
        <v>Drone</v>
      </c>
      <c r="L686" s="177">
        <f>VLOOKUP(I686,'Price List, Weapons &amp; Items'!B:E,4,0)</f>
        <v>0</v>
      </c>
      <c r="M686" s="542">
        <v>6</v>
      </c>
      <c r="N686" s="542">
        <v>6</v>
      </c>
      <c r="O686" s="543">
        <f>VLOOKUP($I686,'Price List, Weapons &amp; Items'!B:G,6,0)</f>
        <v>875000</v>
      </c>
      <c r="P686" s="176">
        <f t="shared" ref="P686:P749" si="140">IF(TYPE(M686)=1,IF(TYPE(O686)=1,M686*O686,"No price"),".")</f>
        <v>5250000</v>
      </c>
      <c r="Q686" s="176">
        <f t="shared" ref="Q686:Q749" si="141">IF(TYPE(N686)=1,IF(TYPE(O686)=1,N686*O686,"No price"),".")</f>
        <v>5250000</v>
      </c>
      <c r="R686" s="176" t="str">
        <f t="shared" si="138"/>
        <v/>
      </c>
      <c r="S686" s="176" t="str">
        <f>IF(AND(AD686=1,R686&lt;&gt;".")=TRUE,R686/VLOOKUP(G686,'Exchange Rates'!B:C,2,0),IF(R686=".",".",""))</f>
        <v/>
      </c>
      <c r="T686" s="176" t="str">
        <f>IF(AD686=1,IF(AF686="Value is not given at all",".",IF(AF686="Value is given by the source",S686,IF(AF686="Value is calculated with prices",(IF(SUMIFS(Q:Q,A:A,A686)&gt;0,SUMIFS(Q:Q,A:A,A686),"."))/VLOOKUP("USD",'Exchange Rates'!B:C,2,0),"Error with coding"))),"")</f>
        <v/>
      </c>
      <c r="U686" s="15" t="s">
        <v>261</v>
      </c>
      <c r="V686" s="547" t="s">
        <v>2026</v>
      </c>
      <c r="W686" s="547" t="s">
        <v>2030</v>
      </c>
      <c r="X686" s="547" t="s">
        <v>2028</v>
      </c>
      <c r="Y686" s="569" t="s">
        <v>2029</v>
      </c>
      <c r="Z686" s="15">
        <v>0</v>
      </c>
      <c r="AA686" s="199">
        <v>1</v>
      </c>
      <c r="AB686" s="549" t="s">
        <v>2030</v>
      </c>
      <c r="AC686" s="544" t="str">
        <f>""</f>
        <v/>
      </c>
      <c r="AD686" s="181">
        <v>0</v>
      </c>
      <c r="AE686" s="181" t="s">
        <v>264</v>
      </c>
      <c r="AF686" s="181" t="s">
        <v>264</v>
      </c>
      <c r="AG686" s="181">
        <v>1</v>
      </c>
      <c r="AH686" s="181">
        <v>3</v>
      </c>
      <c r="AI686" s="181">
        <v>0</v>
      </c>
      <c r="AJ686" s="181">
        <f>VLOOKUP($I686,'Price List, Weapons &amp; Items'!B:F,5,0)</f>
        <v>1</v>
      </c>
      <c r="AK686" s="181">
        <f t="shared" ref="AK686:AK749" si="142">IF(AND(AJ686=1,M686="undisclosed")=TRUE,1,0)</f>
        <v>0</v>
      </c>
      <c r="AL686" s="181">
        <f t="shared" ref="AL686:AL749" si="143">IF(AND(AJ686=1,N686="undisclosed")=TRUE,1,0)</f>
        <v>0</v>
      </c>
      <c r="AM686" s="181">
        <f t="shared" ref="AM686:AM749" si="144">IFERROR(IF(SEARCH("ammuni",I686,1)&gt;0,1,0),0)</f>
        <v>0</v>
      </c>
      <c r="AN686" s="180" t="str">
        <f>VLOOKUP($I686,'Price List, Weapons &amp; Items'!B:L,COLUMN('Price List, Weapons &amp; Items'!$J$11)-1,0)</f>
        <v>Contracts</v>
      </c>
      <c r="AO686" s="180" t="str">
        <f>IF(I686=".",".",VLOOKUP($I686,'Price List, Weapons &amp; Items'!B:J,3,0))</f>
        <v>Drone</v>
      </c>
      <c r="AP686" s="545" t="str">
        <f t="shared" ca="1" si="139"/>
        <v/>
      </c>
      <c r="AQ686" s="180">
        <f>VLOOKUP($I686,'Price List, Weapons &amp; Items'!B:L,COLUMN('Price List, Weapons &amp; Items'!$L$11)-1,0)</f>
        <v>2</v>
      </c>
      <c r="AR686" s="180">
        <f t="shared" ref="AR686:AR749" si="145">IF(U686="Yes",1,0)</f>
        <v>1</v>
      </c>
      <c r="AS686" s="180">
        <f t="shared" ref="AS686:AS749" si="146">IF(D686="Military",IF(OR(IFERROR(SEARCH("equipment",E686,1),0)&gt;0,IFERROR(SEARCH("weapons",E686,1),0)&gt;0),1,0),0)</f>
        <v>1</v>
      </c>
      <c r="AT686" s="180">
        <f t="shared" si="135"/>
        <v>1</v>
      </c>
      <c r="AU686" s="180" t="str">
        <f t="shared" si="136"/>
        <v>.</v>
      </c>
      <c r="AV686" s="180" t="str">
        <f t="shared" si="137"/>
        <v>.</v>
      </c>
      <c r="AW686" s="180">
        <f>IFERROR(VLOOKUP(B686,'Share, Heavy Weapons to Ukraine'!B:J,COLUMN('Share, Heavy Weapons to Ukraine'!C699)-1,0),0)</f>
        <v>0</v>
      </c>
      <c r="AX686" s="180">
        <f>VLOOKUP('Bilateral Assistance, MAIN DATA'!B686,'Country Summary'!B:F,COLUMN('Country Summary'!C702)-1,FALSE)</f>
        <v>1</v>
      </c>
      <c r="AY686" s="180" t="str">
        <f>IF(AND(AD686=1,D686="Military",H686&lt;&gt;"Not given")=TRUE,IF(SUMIFS(P:P,A:A,A686)&gt;0,ABS((SUMIFS(P:P,A:A,A686)/VLOOKUP("USD",'Exchange Rates'!B:C,2,0)))/S686,"."),".")</f>
        <v>.</v>
      </c>
      <c r="AZ686" s="182" t="str">
        <f>IF(AND(AD686=1,D686="Military",H686&lt;&gt;"Not given")=TRUE,IF(SUMIFS(P:P,A:A,A686)&gt;0,IF((ABS((SUMIFS(P:P,A:A,A686)/VLOOKUP("USD",'Exchange Rates'!B:C,2,0)))/S686)&gt;1,(SUMIFS(P:P,A:A,A686)-S686)/S686,(S686-SUMIFS(P:P,A:A,A686))/SUMIFS(P:P,A:A,A686)),"."),".")</f>
        <v>.</v>
      </c>
      <c r="BA686" s="182"/>
      <c r="BB686" s="182"/>
      <c r="BC686" s="182"/>
      <c r="BD686" s="182"/>
      <c r="BE686" s="182"/>
      <c r="BF686" s="182"/>
      <c r="BG686" s="182"/>
      <c r="BH686" s="182"/>
      <c r="BI686" s="182"/>
      <c r="BJ686" s="182"/>
      <c r="BK686" s="182"/>
      <c r="BL686" s="182"/>
      <c r="BM686" s="182"/>
      <c r="BN686" s="182"/>
      <c r="BO686" s="182"/>
      <c r="BP686" s="182"/>
      <c r="BQ686" s="182"/>
      <c r="BR686" s="182"/>
      <c r="BS686" s="182"/>
    </row>
    <row r="687" spans="1:71" ht="15.9" customHeight="1" x14ac:dyDescent="0.3">
      <c r="A687" s="5" t="s">
        <v>2023</v>
      </c>
      <c r="B687" s="5" t="s">
        <v>2024</v>
      </c>
      <c r="C687" s="174">
        <v>44648</v>
      </c>
      <c r="D687" s="5" t="s">
        <v>285</v>
      </c>
      <c r="E687" s="5" t="s">
        <v>286</v>
      </c>
      <c r="F687" s="175" t="s">
        <v>2025</v>
      </c>
      <c r="G687" s="15" t="s">
        <v>364</v>
      </c>
      <c r="H687" s="176">
        <v>50000000</v>
      </c>
      <c r="I687" s="189" t="s">
        <v>2038</v>
      </c>
      <c r="J687" s="113" t="str">
        <f>VLOOKUP($I687,'Price List, Weapons &amp; Items'!B:C,2,0)</f>
        <v>Heavy weapon</v>
      </c>
      <c r="K687" s="113" t="str">
        <f>IF(I687=".",I687,VLOOKUP($I687,'Price List, Weapons &amp; Items'!B:D,3,0))</f>
        <v>Armoured Utility Vehicle (AUV)</v>
      </c>
      <c r="L687" s="177">
        <f>VLOOKUP(I687,'Price List, Weapons &amp; Items'!B:E,4,0)</f>
        <v>0</v>
      </c>
      <c r="M687" s="542">
        <v>28</v>
      </c>
      <c r="N687" s="542">
        <v>28</v>
      </c>
      <c r="O687" s="543">
        <f>VLOOKUP($I687,'Price List, Weapons &amp; Items'!B:G,6,0)</f>
        <v>254717</v>
      </c>
      <c r="P687" s="176">
        <f t="shared" si="140"/>
        <v>7132076</v>
      </c>
      <c r="Q687" s="176">
        <f t="shared" si="141"/>
        <v>7132076</v>
      </c>
      <c r="R687" s="176" t="str">
        <f t="shared" si="138"/>
        <v/>
      </c>
      <c r="S687" s="176" t="str">
        <f>IF(AND(AD687=1,R687&lt;&gt;".")=TRUE,R687/VLOOKUP(G687,'Exchange Rates'!B:C,2,0),IF(R687=".",".",""))</f>
        <v/>
      </c>
      <c r="T687" s="176" t="str">
        <f>IF(AD687=1,IF(AF687="Value is not given at all",".",IF(AF687="Value is given by the source",S687,IF(AF687="Value is calculated with prices",(IF(SUMIFS(Q:Q,A:A,A687)&gt;0,SUMIFS(Q:Q,A:A,A687),"."))/VLOOKUP("USD",'Exchange Rates'!B:C,2,0),"Error with coding"))),"")</f>
        <v/>
      </c>
      <c r="U687" s="15" t="s">
        <v>261</v>
      </c>
      <c r="V687" s="547" t="s">
        <v>2026</v>
      </c>
      <c r="W687" s="547" t="s">
        <v>2030</v>
      </c>
      <c r="X687" s="547" t="s">
        <v>2028</v>
      </c>
      <c r="Y687" s="569" t="s">
        <v>2029</v>
      </c>
      <c r="Z687" s="15">
        <v>0</v>
      </c>
      <c r="AA687" s="199">
        <v>1</v>
      </c>
      <c r="AB687" s="549" t="s">
        <v>2030</v>
      </c>
      <c r="AC687" s="544" t="str">
        <f>""</f>
        <v/>
      </c>
      <c r="AD687" s="181">
        <v>0</v>
      </c>
      <c r="AE687" s="181" t="s">
        <v>264</v>
      </c>
      <c r="AF687" s="181" t="s">
        <v>264</v>
      </c>
      <c r="AG687" s="181">
        <v>1</v>
      </c>
      <c r="AH687" s="181">
        <v>3</v>
      </c>
      <c r="AI687" s="181">
        <v>0</v>
      </c>
      <c r="AJ687" s="181">
        <f>VLOOKUP($I687,'Price List, Weapons &amp; Items'!B:F,5,0)</f>
        <v>1</v>
      </c>
      <c r="AK687" s="181">
        <f t="shared" si="142"/>
        <v>0</v>
      </c>
      <c r="AL687" s="181">
        <f t="shared" si="143"/>
        <v>0</v>
      </c>
      <c r="AM687" s="181">
        <f t="shared" si="144"/>
        <v>0</v>
      </c>
      <c r="AN687" s="180" t="str">
        <f>VLOOKUP($I687,'Price List, Weapons &amp; Items'!B:L,COLUMN('Price List, Weapons &amp; Items'!$J$11)-1,0)</f>
        <v>Military media (incl. websites)</v>
      </c>
      <c r="AO687" s="180" t="str">
        <f>IF(I687=".",".",VLOOKUP($I687,'Price List, Weapons &amp; Items'!B:J,3,0))</f>
        <v>Armoured Utility Vehicle (AUV)</v>
      </c>
      <c r="AP687" s="545" t="str">
        <f t="shared" ca="1" si="139"/>
        <v/>
      </c>
      <c r="AQ687" s="180">
        <f>VLOOKUP($I687,'Price List, Weapons &amp; Items'!B:L,COLUMN('Price List, Weapons &amp; Items'!$L$11)-1,0)</f>
        <v>2</v>
      </c>
      <c r="AR687" s="180">
        <f t="shared" si="145"/>
        <v>1</v>
      </c>
      <c r="AS687" s="180">
        <f t="shared" si="146"/>
        <v>1</v>
      </c>
      <c r="AT687" s="180">
        <f t="shared" si="135"/>
        <v>1</v>
      </c>
      <c r="AU687" s="180" t="str">
        <f t="shared" si="136"/>
        <v>.</v>
      </c>
      <c r="AV687" s="180" t="str">
        <f t="shared" si="137"/>
        <v>.</v>
      </c>
      <c r="AW687" s="180">
        <f>IFERROR(VLOOKUP(B687,'Share, Heavy Weapons to Ukraine'!B:J,COLUMN('Share, Heavy Weapons to Ukraine'!C700)-1,0),0)</f>
        <v>0</v>
      </c>
      <c r="AX687" s="180">
        <f>VLOOKUP('Bilateral Assistance, MAIN DATA'!B687,'Country Summary'!B:F,COLUMN('Country Summary'!C703)-1,FALSE)</f>
        <v>1</v>
      </c>
      <c r="AY687" s="180" t="str">
        <f>IF(AND(AD687=1,D687="Military",H687&lt;&gt;"Not given")=TRUE,IF(SUMIFS(P:P,A:A,A687)&gt;0,ABS((SUMIFS(P:P,A:A,A687)/VLOOKUP("USD",'Exchange Rates'!B:C,2,0)))/S687,"."),".")</f>
        <v>.</v>
      </c>
      <c r="AZ687" s="182" t="str">
        <f>IF(AND(AD687=1,D687="Military",H687&lt;&gt;"Not given")=TRUE,IF(SUMIFS(P:P,A:A,A687)&gt;0,IF((ABS((SUMIFS(P:P,A:A,A687)/VLOOKUP("USD",'Exchange Rates'!B:C,2,0)))/S687)&gt;1,(SUMIFS(P:P,A:A,A687)-S687)/S687,(S687-SUMIFS(P:P,A:A,A687))/SUMIFS(P:P,A:A,A687)),"."),".")</f>
        <v>.</v>
      </c>
      <c r="BA687" s="182"/>
      <c r="BB687" s="182"/>
      <c r="BC687" s="182"/>
      <c r="BD687" s="182"/>
      <c r="BE687" s="182"/>
      <c r="BF687" s="182"/>
      <c r="BG687" s="182"/>
      <c r="BH687" s="182"/>
      <c r="BI687" s="182"/>
      <c r="BJ687" s="182"/>
      <c r="BK687" s="182"/>
      <c r="BL687" s="182"/>
      <c r="BM687" s="182"/>
      <c r="BN687" s="182"/>
      <c r="BO687" s="182"/>
      <c r="BP687" s="182"/>
      <c r="BQ687" s="182"/>
      <c r="BR687" s="182"/>
      <c r="BS687" s="182"/>
    </row>
    <row r="688" spans="1:71" ht="15.9" customHeight="1" x14ac:dyDescent="0.3">
      <c r="A688" s="5" t="s">
        <v>2023</v>
      </c>
      <c r="B688" s="5" t="s">
        <v>2024</v>
      </c>
      <c r="C688" s="174">
        <v>44648</v>
      </c>
      <c r="D688" s="5" t="s">
        <v>285</v>
      </c>
      <c r="E688" s="5" t="s">
        <v>286</v>
      </c>
      <c r="F688" s="175" t="s">
        <v>2025</v>
      </c>
      <c r="G688" s="15" t="s">
        <v>364</v>
      </c>
      <c r="H688" s="176">
        <v>50000000</v>
      </c>
      <c r="I688" s="189" t="s">
        <v>2039</v>
      </c>
      <c r="J688" s="113" t="str">
        <f>VLOOKUP($I688,'Price List, Weapons &amp; Items'!B:C,2,0)</f>
        <v>Military equipment</v>
      </c>
      <c r="K688" s="113" t="str">
        <f>IF(I688=".",I688,VLOOKUP($I688,'Price List, Weapons &amp; Items'!B:D,3,0))</f>
        <v>non combat military vehicle</v>
      </c>
      <c r="L688" s="177">
        <f>VLOOKUP(I688,'Price List, Weapons &amp; Items'!B:E,4,0)</f>
        <v>0</v>
      </c>
      <c r="M688" s="542">
        <v>4</v>
      </c>
      <c r="N688" s="542">
        <v>4</v>
      </c>
      <c r="O688" s="543">
        <f>VLOOKUP($I688,'Price List, Weapons &amp; Items'!B:G,6,0)</f>
        <v>25000</v>
      </c>
      <c r="P688" s="176">
        <f t="shared" si="140"/>
        <v>100000</v>
      </c>
      <c r="Q688" s="176">
        <f t="shared" si="141"/>
        <v>100000</v>
      </c>
      <c r="R688" s="176" t="str">
        <f t="shared" si="138"/>
        <v/>
      </c>
      <c r="S688" s="176" t="str">
        <f>IF(AND(AD688=1,R688&lt;&gt;".")=TRUE,R688/VLOOKUP(G688,'Exchange Rates'!B:C,2,0),IF(R688=".",".",""))</f>
        <v/>
      </c>
      <c r="T688" s="176" t="str">
        <f>IF(AD688=1,IF(AF688="Value is not given at all",".",IF(AF688="Value is given by the source",S688,IF(AF688="Value is calculated with prices",(IF(SUMIFS(Q:Q,A:A,A688)&gt;0,SUMIFS(Q:Q,A:A,A688),"."))/VLOOKUP("USD",'Exchange Rates'!B:C,2,0),"Error with coding"))),"")</f>
        <v/>
      </c>
      <c r="U688" s="15" t="s">
        <v>261</v>
      </c>
      <c r="V688" s="547" t="s">
        <v>2026</v>
      </c>
      <c r="W688" s="547" t="s">
        <v>2030</v>
      </c>
      <c r="X688" s="547" t="s">
        <v>2028</v>
      </c>
      <c r="Y688" s="569" t="s">
        <v>2029</v>
      </c>
      <c r="Z688" s="15">
        <v>0</v>
      </c>
      <c r="AA688" s="199">
        <v>1</v>
      </c>
      <c r="AB688" s="549" t="s">
        <v>2030</v>
      </c>
      <c r="AC688" s="544" t="str">
        <f>""</f>
        <v/>
      </c>
      <c r="AD688" s="181">
        <v>0</v>
      </c>
      <c r="AE688" s="181" t="s">
        <v>264</v>
      </c>
      <c r="AF688" s="181" t="s">
        <v>264</v>
      </c>
      <c r="AG688" s="181">
        <v>1</v>
      </c>
      <c r="AH688" s="181">
        <v>3</v>
      </c>
      <c r="AI688" s="181">
        <v>0</v>
      </c>
      <c r="AJ688" s="181">
        <f>VLOOKUP($I688,'Price List, Weapons &amp; Items'!B:F,5,0)</f>
        <v>0</v>
      </c>
      <c r="AK688" s="181">
        <f t="shared" si="142"/>
        <v>0</v>
      </c>
      <c r="AL688" s="181">
        <f t="shared" si="143"/>
        <v>0</v>
      </c>
      <c r="AM688" s="181">
        <f t="shared" si="144"/>
        <v>0</v>
      </c>
      <c r="AN688" s="180" t="str">
        <f>VLOOKUP($I688,'Price List, Weapons &amp; Items'!B:L,COLUMN('Price List, Weapons &amp; Items'!$J$11)-1,0)</f>
        <v>Online marketplaces and stores</v>
      </c>
      <c r="AO688" s="180" t="str">
        <f>IF(I688=".",".",VLOOKUP($I688,'Price List, Weapons &amp; Items'!B:J,3,0))</f>
        <v>non combat military vehicle</v>
      </c>
      <c r="AP688" s="545" t="str">
        <f t="shared" ca="1" si="139"/>
        <v/>
      </c>
      <c r="AQ688" s="180">
        <f>VLOOKUP($I688,'Price List, Weapons &amp; Items'!B:L,COLUMN('Price List, Weapons &amp; Items'!$L$11)-1,0)</f>
        <v>2</v>
      </c>
      <c r="AR688" s="180">
        <f t="shared" si="145"/>
        <v>1</v>
      </c>
      <c r="AS688" s="180">
        <f t="shared" si="146"/>
        <v>1</v>
      </c>
      <c r="AT688" s="180">
        <f t="shared" si="135"/>
        <v>1</v>
      </c>
      <c r="AU688" s="180" t="str">
        <f t="shared" si="136"/>
        <v>.</v>
      </c>
      <c r="AV688" s="180" t="str">
        <f t="shared" si="137"/>
        <v>.</v>
      </c>
      <c r="AW688" s="180">
        <f>IFERROR(VLOOKUP(B688,'Share, Heavy Weapons to Ukraine'!B:J,COLUMN('Share, Heavy Weapons to Ukraine'!C701)-1,0),0)</f>
        <v>0</v>
      </c>
      <c r="AX688" s="180">
        <f>VLOOKUP('Bilateral Assistance, MAIN DATA'!B688,'Country Summary'!B:F,COLUMN('Country Summary'!C704)-1,FALSE)</f>
        <v>1</v>
      </c>
      <c r="AY688" s="180" t="str">
        <f>IF(AND(AD688=1,D688="Military",H688&lt;&gt;"Not given")=TRUE,IF(SUMIFS(P:P,A:A,A688)&gt;0,ABS((SUMIFS(P:P,A:A,A688)/VLOOKUP("USD",'Exchange Rates'!B:C,2,0)))/S688,"."),".")</f>
        <v>.</v>
      </c>
      <c r="AZ688" s="182" t="str">
        <f>IF(AND(AD688=1,D688="Military",H688&lt;&gt;"Not given")=TRUE,IF(SUMIFS(P:P,A:A,A688)&gt;0,IF((ABS((SUMIFS(P:P,A:A,A688)/VLOOKUP("USD",'Exchange Rates'!B:C,2,0)))/S688)&gt;1,(SUMIFS(P:P,A:A,A688)-S688)/S688,(S688-SUMIFS(P:P,A:A,A688))/SUMIFS(P:P,A:A,A688)),"."),".")</f>
        <v>.</v>
      </c>
      <c r="BA688" s="182"/>
      <c r="BB688" s="182"/>
      <c r="BC688" s="182"/>
      <c r="BD688" s="182"/>
      <c r="BE688" s="182"/>
      <c r="BF688" s="182"/>
      <c r="BG688" s="182"/>
      <c r="BH688" s="182"/>
      <c r="BI688" s="182"/>
      <c r="BJ688" s="182"/>
      <c r="BK688" s="182"/>
      <c r="BL688" s="182"/>
      <c r="BM688" s="182"/>
      <c r="BN688" s="182"/>
      <c r="BO688" s="182"/>
      <c r="BP688" s="182"/>
      <c r="BQ688" s="182"/>
      <c r="BR688" s="182"/>
      <c r="BS688" s="182"/>
    </row>
    <row r="689" spans="1:71" ht="15.9" customHeight="1" x14ac:dyDescent="0.3">
      <c r="A689" s="5" t="s">
        <v>2023</v>
      </c>
      <c r="B689" s="5" t="s">
        <v>2024</v>
      </c>
      <c r="C689" s="174">
        <v>44648</v>
      </c>
      <c r="D689" s="5" t="s">
        <v>285</v>
      </c>
      <c r="E689" s="5" t="s">
        <v>286</v>
      </c>
      <c r="F689" s="175" t="s">
        <v>2025</v>
      </c>
      <c r="G689" s="15" t="s">
        <v>364</v>
      </c>
      <c r="H689" s="176">
        <v>50000000</v>
      </c>
      <c r="I689" s="189" t="s">
        <v>1431</v>
      </c>
      <c r="J689" s="113" t="str">
        <f>VLOOKUP($I689,'Price List, Weapons &amp; Items'!B:C,2,0)</f>
        <v>Military equipment</v>
      </c>
      <c r="K689" s="113" t="str">
        <f>IF(I689=".",I689,VLOOKUP($I689,'Price List, Weapons &amp; Items'!B:D,3,0))</f>
        <v>non combat military vehicle</v>
      </c>
      <c r="L689" s="177">
        <f>VLOOKUP(I689,'Price List, Weapons &amp; Items'!B:E,4,0)</f>
        <v>0</v>
      </c>
      <c r="M689" s="542">
        <v>4</v>
      </c>
      <c r="N689" s="542">
        <v>4</v>
      </c>
      <c r="O689" s="543">
        <f>VLOOKUP($I689,'Price List, Weapons &amp; Items'!B:G,6,0)</f>
        <v>50000</v>
      </c>
      <c r="P689" s="176">
        <f t="shared" si="140"/>
        <v>200000</v>
      </c>
      <c r="Q689" s="176">
        <f t="shared" si="141"/>
        <v>200000</v>
      </c>
      <c r="R689" s="176" t="str">
        <f t="shared" si="138"/>
        <v/>
      </c>
      <c r="S689" s="176" t="str">
        <f>IF(AND(AD689=1,R689&lt;&gt;".")=TRUE,R689/VLOOKUP(G689,'Exchange Rates'!B:C,2,0),IF(R689=".",".",""))</f>
        <v/>
      </c>
      <c r="T689" s="176" t="str">
        <f>IF(AD689=1,IF(AF689="Value is not given at all",".",IF(AF689="Value is given by the source",S689,IF(AF689="Value is calculated with prices",(IF(SUMIFS(Q:Q,A:A,A689)&gt;0,SUMIFS(Q:Q,A:A,A689),"."))/VLOOKUP("USD",'Exchange Rates'!B:C,2,0),"Error with coding"))),"")</f>
        <v/>
      </c>
      <c r="U689" s="15" t="s">
        <v>261</v>
      </c>
      <c r="V689" s="547" t="s">
        <v>2026</v>
      </c>
      <c r="W689" s="547" t="s">
        <v>2030</v>
      </c>
      <c r="X689" s="547" t="s">
        <v>2028</v>
      </c>
      <c r="Y689" s="569" t="s">
        <v>2029</v>
      </c>
      <c r="Z689" s="15">
        <v>0</v>
      </c>
      <c r="AA689" s="199">
        <v>1</v>
      </c>
      <c r="AB689" s="549" t="s">
        <v>2030</v>
      </c>
      <c r="AC689" s="544" t="str">
        <f>""</f>
        <v/>
      </c>
      <c r="AD689" s="181">
        <v>0</v>
      </c>
      <c r="AE689" s="181" t="s">
        <v>264</v>
      </c>
      <c r="AF689" s="181" t="s">
        <v>264</v>
      </c>
      <c r="AG689" s="181">
        <v>1</v>
      </c>
      <c r="AH689" s="181">
        <v>3</v>
      </c>
      <c r="AI689" s="181">
        <v>0</v>
      </c>
      <c r="AJ689" s="181">
        <f>VLOOKUP($I689,'Price List, Weapons &amp; Items'!B:F,5,0)</f>
        <v>0</v>
      </c>
      <c r="AK689" s="181">
        <f t="shared" si="142"/>
        <v>0</v>
      </c>
      <c r="AL689" s="181">
        <f t="shared" si="143"/>
        <v>0</v>
      </c>
      <c r="AM689" s="181">
        <f t="shared" si="144"/>
        <v>0</v>
      </c>
      <c r="AN689" s="180" t="str">
        <f>VLOOKUP($I689,'Price List, Weapons &amp; Items'!B:L,COLUMN('Price List, Weapons &amp; Items'!$J$11)-1,0)</f>
        <v>Miscellaneous</v>
      </c>
      <c r="AO689" s="180" t="str">
        <f>IF(I689=".",".",VLOOKUP($I689,'Price List, Weapons &amp; Items'!B:J,3,0))</f>
        <v>non combat military vehicle</v>
      </c>
      <c r="AP689" s="545" t="str">
        <f t="shared" ca="1" si="139"/>
        <v/>
      </c>
      <c r="AQ689" s="180">
        <f>VLOOKUP($I689,'Price List, Weapons &amp; Items'!B:L,COLUMN('Price List, Weapons &amp; Items'!$L$11)-1,0)</f>
        <v>2</v>
      </c>
      <c r="AR689" s="180">
        <f t="shared" si="145"/>
        <v>1</v>
      </c>
      <c r="AS689" s="180">
        <f t="shared" si="146"/>
        <v>1</v>
      </c>
      <c r="AT689" s="180">
        <f t="shared" si="135"/>
        <v>1</v>
      </c>
      <c r="AU689" s="180" t="str">
        <f t="shared" si="136"/>
        <v>.</v>
      </c>
      <c r="AV689" s="180" t="str">
        <f t="shared" si="137"/>
        <v>.</v>
      </c>
      <c r="AW689" s="180">
        <f>IFERROR(VLOOKUP(B689,'Share, Heavy Weapons to Ukraine'!B:J,COLUMN('Share, Heavy Weapons to Ukraine'!C702)-1,0),0)</f>
        <v>0</v>
      </c>
      <c r="AX689" s="180">
        <f>VLOOKUP('Bilateral Assistance, MAIN DATA'!B689,'Country Summary'!B:F,COLUMN('Country Summary'!C705)-1,FALSE)</f>
        <v>1</v>
      </c>
      <c r="AY689" s="180" t="str">
        <f>IF(AND(AD689=1,D689="Military",H689&lt;&gt;"Not given")=TRUE,IF(SUMIFS(P:P,A:A,A689)&gt;0,ABS((SUMIFS(P:P,A:A,A689)/VLOOKUP("USD",'Exchange Rates'!B:C,2,0)))/S689,"."),".")</f>
        <v>.</v>
      </c>
      <c r="AZ689" s="182" t="str">
        <f>IF(AND(AD689=1,D689="Military",H689&lt;&gt;"Not given")=TRUE,IF(SUMIFS(P:P,A:A,A689)&gt;0,IF((ABS((SUMIFS(P:P,A:A,A689)/VLOOKUP("USD",'Exchange Rates'!B:C,2,0)))/S689)&gt;1,(SUMIFS(P:P,A:A,A689)-S689)/S689,(S689-SUMIFS(P:P,A:A,A689))/SUMIFS(P:P,A:A,A689)),"."),".")</f>
        <v>.</v>
      </c>
      <c r="BA689" s="182"/>
      <c r="BB689" s="182"/>
      <c r="BC689" s="182"/>
      <c r="BD689" s="182"/>
      <c r="BE689" s="182"/>
      <c r="BF689" s="182"/>
      <c r="BG689" s="182"/>
      <c r="BH689" s="182"/>
      <c r="BI689" s="182"/>
      <c r="BJ689" s="182"/>
      <c r="BK689" s="182"/>
      <c r="BL689" s="182"/>
      <c r="BM689" s="182"/>
      <c r="BN689" s="182"/>
      <c r="BO689" s="182"/>
      <c r="BP689" s="182"/>
      <c r="BQ689" s="182"/>
      <c r="BR689" s="182"/>
      <c r="BS689" s="182"/>
    </row>
    <row r="690" spans="1:71" ht="15.9" customHeight="1" x14ac:dyDescent="0.3">
      <c r="A690" s="5" t="s">
        <v>2023</v>
      </c>
      <c r="B690" s="5" t="s">
        <v>2024</v>
      </c>
      <c r="C690" s="174">
        <v>44648</v>
      </c>
      <c r="D690" s="5" t="s">
        <v>285</v>
      </c>
      <c r="E690" s="5" t="s">
        <v>286</v>
      </c>
      <c r="F690" s="175" t="s">
        <v>2025</v>
      </c>
      <c r="G690" s="15" t="s">
        <v>364</v>
      </c>
      <c r="H690" s="176">
        <v>50000000</v>
      </c>
      <c r="I690" s="189" t="s">
        <v>1457</v>
      </c>
      <c r="J690" s="113" t="str">
        <f>VLOOKUP($I690,'Price List, Weapons &amp; Items'!B:C,2,0)</f>
        <v>Military equipment</v>
      </c>
      <c r="K690" s="113" t="str">
        <f>IF(I690=".",I690,VLOOKUP($I690,'Price List, Weapons &amp; Items'!B:D,3,0))</f>
        <v>Military equipment</v>
      </c>
      <c r="L690" s="177">
        <f>VLOOKUP(I690,'Price List, Weapons &amp; Items'!B:E,4,0)</f>
        <v>0</v>
      </c>
      <c r="M690" s="542">
        <v>18</v>
      </c>
      <c r="N690" s="542">
        <v>18</v>
      </c>
      <c r="O690" s="543">
        <f>VLOOKUP($I690,'Price List, Weapons &amp; Items'!B:G,6,0)</f>
        <v>22216</v>
      </c>
      <c r="P690" s="176">
        <f t="shared" si="140"/>
        <v>399888</v>
      </c>
      <c r="Q690" s="176">
        <f t="shared" si="141"/>
        <v>399888</v>
      </c>
      <c r="R690" s="176" t="str">
        <f t="shared" si="138"/>
        <v/>
      </c>
      <c r="S690" s="176" t="str">
        <f>IF(AND(AD690=1,R690&lt;&gt;".")=TRUE,R690/VLOOKUP(G690,'Exchange Rates'!B:C,2,0),IF(R690=".",".",""))</f>
        <v/>
      </c>
      <c r="T690" s="176" t="str">
        <f>IF(AD690=1,IF(AF690="Value is not given at all",".",IF(AF690="Value is given by the source",S690,IF(AF690="Value is calculated with prices",(IF(SUMIFS(Q:Q,A:A,A690)&gt;0,SUMIFS(Q:Q,A:A,A690),"."))/VLOOKUP("USD",'Exchange Rates'!B:C,2,0),"Error with coding"))),"")</f>
        <v/>
      </c>
      <c r="U690" s="15" t="s">
        <v>261</v>
      </c>
      <c r="V690" s="547" t="s">
        <v>2026</v>
      </c>
      <c r="W690" s="547" t="s">
        <v>2030</v>
      </c>
      <c r="X690" s="547" t="s">
        <v>2028</v>
      </c>
      <c r="Y690" s="569" t="s">
        <v>2029</v>
      </c>
      <c r="Z690" s="15">
        <v>0</v>
      </c>
      <c r="AA690" s="199">
        <v>1</v>
      </c>
      <c r="AB690" s="549" t="s">
        <v>2030</v>
      </c>
      <c r="AC690" s="544" t="str">
        <f>""</f>
        <v/>
      </c>
      <c r="AD690" s="181">
        <v>0</v>
      </c>
      <c r="AE690" s="181" t="s">
        <v>264</v>
      </c>
      <c r="AF690" s="181" t="s">
        <v>264</v>
      </c>
      <c r="AG690" s="181">
        <v>1</v>
      </c>
      <c r="AH690" s="181">
        <v>3</v>
      </c>
      <c r="AI690" s="181">
        <v>0</v>
      </c>
      <c r="AJ690" s="181">
        <f>VLOOKUP($I690,'Price List, Weapons &amp; Items'!B:F,5,0)</f>
        <v>0</v>
      </c>
      <c r="AK690" s="181">
        <f t="shared" si="142"/>
        <v>0</v>
      </c>
      <c r="AL690" s="181">
        <f t="shared" si="143"/>
        <v>0</v>
      </c>
      <c r="AM690" s="181">
        <f t="shared" si="144"/>
        <v>0</v>
      </c>
      <c r="AN690" s="180" t="str">
        <f>VLOOKUP($I690,'Price List, Weapons &amp; Items'!B:L,COLUMN('Price List, Weapons &amp; Items'!$J$11)-1,0)</f>
        <v>Government information</v>
      </c>
      <c r="AO690" s="180" t="str">
        <f>IF(I690=".",".",VLOOKUP($I690,'Price List, Weapons &amp; Items'!B:J,3,0))</f>
        <v>Military equipment</v>
      </c>
      <c r="AP690" s="545" t="str">
        <f t="shared" ca="1" si="139"/>
        <v/>
      </c>
      <c r="AQ690" s="180">
        <f>VLOOKUP($I690,'Price List, Weapons &amp; Items'!B:L,COLUMN('Price List, Weapons &amp; Items'!$L$11)-1,0)</f>
        <v>2</v>
      </c>
      <c r="AR690" s="180">
        <f t="shared" si="145"/>
        <v>1</v>
      </c>
      <c r="AS690" s="180">
        <f t="shared" si="146"/>
        <v>1</v>
      </c>
      <c r="AT690" s="180">
        <f t="shared" si="135"/>
        <v>1</v>
      </c>
      <c r="AU690" s="180" t="str">
        <f t="shared" si="136"/>
        <v>.</v>
      </c>
      <c r="AV690" s="180" t="str">
        <f t="shared" si="137"/>
        <v>.</v>
      </c>
      <c r="AW690" s="180">
        <f>IFERROR(VLOOKUP(B690,'Share, Heavy Weapons to Ukraine'!B:J,COLUMN('Share, Heavy Weapons to Ukraine'!C703)-1,0),0)</f>
        <v>0</v>
      </c>
      <c r="AX690" s="180">
        <f>VLOOKUP('Bilateral Assistance, MAIN DATA'!B690,'Country Summary'!B:F,COLUMN('Country Summary'!C706)-1,FALSE)</f>
        <v>1</v>
      </c>
      <c r="AY690" s="180" t="str">
        <f>IF(AND(AD690=1,D690="Military",H690&lt;&gt;"Not given")=TRUE,IF(SUMIFS(P:P,A:A,A690)&gt;0,ABS((SUMIFS(P:P,A:A,A690)/VLOOKUP("USD",'Exchange Rates'!B:C,2,0)))/S690,"."),".")</f>
        <v>.</v>
      </c>
      <c r="AZ690" s="182" t="str">
        <f>IF(AND(AD690=1,D690="Military",H690&lt;&gt;"Not given")=TRUE,IF(SUMIFS(P:P,A:A,A690)&gt;0,IF((ABS((SUMIFS(P:P,A:A,A690)/VLOOKUP("USD",'Exchange Rates'!B:C,2,0)))/S690)&gt;1,(SUMIFS(P:P,A:A,A690)-S690)/S690,(S690-SUMIFS(P:P,A:A,A690))/SUMIFS(P:P,A:A,A690)),"."),".")</f>
        <v>.</v>
      </c>
      <c r="BA690" s="182"/>
      <c r="BB690" s="182"/>
      <c r="BC690" s="182"/>
      <c r="BD690" s="182"/>
      <c r="BE690" s="182"/>
      <c r="BF690" s="182"/>
      <c r="BG690" s="182"/>
      <c r="BH690" s="182"/>
      <c r="BI690" s="182"/>
      <c r="BJ690" s="182"/>
      <c r="BK690" s="182"/>
      <c r="BL690" s="182"/>
      <c r="BM690" s="182"/>
      <c r="BN690" s="182"/>
      <c r="BO690" s="182"/>
      <c r="BP690" s="182"/>
      <c r="BQ690" s="182"/>
      <c r="BR690" s="182"/>
      <c r="BS690" s="182"/>
    </row>
    <row r="691" spans="1:71" ht="15.9" customHeight="1" x14ac:dyDescent="0.3">
      <c r="A691" s="5" t="s">
        <v>2023</v>
      </c>
      <c r="B691" s="5" t="s">
        <v>2024</v>
      </c>
      <c r="C691" s="174">
        <v>44648</v>
      </c>
      <c r="D691" s="5" t="s">
        <v>285</v>
      </c>
      <c r="E691" s="5" t="s">
        <v>286</v>
      </c>
      <c r="F691" s="175" t="s">
        <v>2025</v>
      </c>
      <c r="G691" s="15" t="s">
        <v>364</v>
      </c>
      <c r="H691" s="176">
        <v>50000000</v>
      </c>
      <c r="I691" s="189" t="s">
        <v>2040</v>
      </c>
      <c r="J691" s="113" t="str">
        <f>VLOOKUP($I691,'Price List, Weapons &amp; Items'!B:C,2,0)</f>
        <v>Military equipment</v>
      </c>
      <c r="K691" s="113" t="str">
        <f>IF(I691=".",I691,VLOOKUP($I691,'Price List, Weapons &amp; Items'!B:D,3,0))</f>
        <v>Military equipment</v>
      </c>
      <c r="L691" s="177">
        <f>VLOOKUP(I691,'Price List, Weapons &amp; Items'!B:E,4,0)</f>
        <v>0</v>
      </c>
      <c r="M691" s="542">
        <v>30</v>
      </c>
      <c r="N691" s="542">
        <v>30</v>
      </c>
      <c r="O691" s="543" t="str">
        <f>VLOOKUP($I691,'Price List, Weapons &amp; Items'!B:G,6,0)</f>
        <v xml:space="preserve"> . </v>
      </c>
      <c r="P691" s="176" t="str">
        <f t="shared" si="140"/>
        <v>No price</v>
      </c>
      <c r="Q691" s="176" t="str">
        <f t="shared" si="141"/>
        <v>No price</v>
      </c>
      <c r="R691" s="176" t="str">
        <f t="shared" si="138"/>
        <v/>
      </c>
      <c r="S691" s="176" t="str">
        <f>IF(AND(AD691=1,R691&lt;&gt;".")=TRUE,R691/VLOOKUP(G691,'Exchange Rates'!B:C,2,0),IF(R691=".",".",""))</f>
        <v/>
      </c>
      <c r="T691" s="176" t="str">
        <f>IF(AD691=1,IF(AF691="Value is not given at all",".",IF(AF691="Value is given by the source",S691,IF(AF691="Value is calculated with prices",(IF(SUMIFS(Q:Q,A:A,A691)&gt;0,SUMIFS(Q:Q,A:A,A691),"."))/VLOOKUP("USD",'Exchange Rates'!B:C,2,0),"Error with coding"))),"")</f>
        <v/>
      </c>
      <c r="U691" s="15" t="s">
        <v>261</v>
      </c>
      <c r="V691" s="547" t="s">
        <v>2026</v>
      </c>
      <c r="W691" s="547" t="s">
        <v>2030</v>
      </c>
      <c r="X691" s="547" t="s">
        <v>2028</v>
      </c>
      <c r="Y691" s="569" t="s">
        <v>2029</v>
      </c>
      <c r="Z691" s="15">
        <v>0</v>
      </c>
      <c r="AA691" s="199">
        <v>1</v>
      </c>
      <c r="AB691" s="549" t="s">
        <v>2030</v>
      </c>
      <c r="AC691" s="544" t="str">
        <f>""</f>
        <v/>
      </c>
      <c r="AD691" s="181">
        <v>0</v>
      </c>
      <c r="AE691" s="181" t="s">
        <v>264</v>
      </c>
      <c r="AF691" s="181" t="s">
        <v>264</v>
      </c>
      <c r="AG691" s="181">
        <v>1</v>
      </c>
      <c r="AH691" s="181">
        <v>3</v>
      </c>
      <c r="AI691" s="181">
        <v>0</v>
      </c>
      <c r="AJ691" s="181">
        <f>VLOOKUP($I691,'Price List, Weapons &amp; Items'!B:F,5,0)</f>
        <v>0</v>
      </c>
      <c r="AK691" s="181">
        <f t="shared" si="142"/>
        <v>0</v>
      </c>
      <c r="AL691" s="181">
        <f t="shared" si="143"/>
        <v>0</v>
      </c>
      <c r="AM691" s="181">
        <f t="shared" si="144"/>
        <v>0</v>
      </c>
      <c r="AN691" s="180" t="str">
        <f>VLOOKUP($I691,'Price List, Weapons &amp; Items'!B:L,COLUMN('Price List, Weapons &amp; Items'!$J$11)-1,0)</f>
        <v>.</v>
      </c>
      <c r="AO691" s="180" t="str">
        <f>IF(I691=".",".",VLOOKUP($I691,'Price List, Weapons &amp; Items'!B:J,3,0))</f>
        <v>Military equipment</v>
      </c>
      <c r="AP691" s="545" t="str">
        <f t="shared" ca="1" si="139"/>
        <v/>
      </c>
      <c r="AQ691" s="180">
        <f>VLOOKUP($I691,'Price List, Weapons &amp; Items'!B:L,COLUMN('Price List, Weapons &amp; Items'!$L$11)-1,0)</f>
        <v>0</v>
      </c>
      <c r="AR691" s="180">
        <f t="shared" si="145"/>
        <v>1</v>
      </c>
      <c r="AS691" s="180">
        <f t="shared" si="146"/>
        <v>1</v>
      </c>
      <c r="AT691" s="180">
        <f t="shared" si="135"/>
        <v>1</v>
      </c>
      <c r="AU691" s="180" t="str">
        <f t="shared" si="136"/>
        <v>.</v>
      </c>
      <c r="AV691" s="180" t="str">
        <f t="shared" si="137"/>
        <v>.</v>
      </c>
      <c r="AW691" s="180">
        <f>IFERROR(VLOOKUP(B691,'Share, Heavy Weapons to Ukraine'!B:J,COLUMN('Share, Heavy Weapons to Ukraine'!C704)-1,0),0)</f>
        <v>0</v>
      </c>
      <c r="AX691" s="180">
        <f>VLOOKUP('Bilateral Assistance, MAIN DATA'!B691,'Country Summary'!B:F,COLUMN('Country Summary'!C707)-1,FALSE)</f>
        <v>1</v>
      </c>
      <c r="AY691" s="180" t="str">
        <f>IF(AND(AD691=1,D691="Military",H691&lt;&gt;"Not given")=TRUE,IF(SUMIFS(P:P,A:A,A691)&gt;0,ABS((SUMIFS(P:P,A:A,A691)/VLOOKUP("USD",'Exchange Rates'!B:C,2,0)))/S691,"."),".")</f>
        <v>.</v>
      </c>
      <c r="AZ691" s="182" t="str">
        <f>IF(AND(AD691=1,D691="Military",H691&lt;&gt;"Not given")=TRUE,IF(SUMIFS(P:P,A:A,A691)&gt;0,IF((ABS((SUMIFS(P:P,A:A,A691)/VLOOKUP("USD",'Exchange Rates'!B:C,2,0)))/S691)&gt;1,(SUMIFS(P:P,A:A,A691)-S691)/S691,(S691-SUMIFS(P:P,A:A,A691))/SUMIFS(P:P,A:A,A691)),"."),".")</f>
        <v>.</v>
      </c>
      <c r="BA691" s="182"/>
      <c r="BB691" s="182"/>
      <c r="BC691" s="182"/>
      <c r="BD691" s="182"/>
      <c r="BE691" s="182"/>
      <c r="BF691" s="182"/>
      <c r="BG691" s="182"/>
      <c r="BH691" s="182"/>
      <c r="BI691" s="182"/>
      <c r="BJ691" s="182"/>
      <c r="BK691" s="182"/>
      <c r="BL691" s="182"/>
      <c r="BM691" s="182"/>
      <c r="BN691" s="182"/>
      <c r="BO691" s="182"/>
      <c r="BP691" s="182"/>
      <c r="BQ691" s="182"/>
      <c r="BR691" s="182"/>
      <c r="BS691" s="182"/>
    </row>
    <row r="692" spans="1:71" ht="15.9" customHeight="1" x14ac:dyDescent="0.3">
      <c r="A692" s="5" t="s">
        <v>2023</v>
      </c>
      <c r="B692" s="5" t="s">
        <v>2024</v>
      </c>
      <c r="C692" s="174">
        <v>44648</v>
      </c>
      <c r="D692" s="5" t="s">
        <v>285</v>
      </c>
      <c r="E692" s="5" t="s">
        <v>286</v>
      </c>
      <c r="F692" s="175" t="s">
        <v>2025</v>
      </c>
      <c r="G692" s="15" t="s">
        <v>364</v>
      </c>
      <c r="H692" s="176">
        <v>50000000</v>
      </c>
      <c r="I692" s="189" t="s">
        <v>2041</v>
      </c>
      <c r="J692" s="113" t="str">
        <f>VLOOKUP($I692,'Price List, Weapons &amp; Items'!B:C,2,0)</f>
        <v>Military equipment</v>
      </c>
      <c r="K692" s="113" t="str">
        <f>IF(I692=".",I692,VLOOKUP($I692,'Price List, Weapons &amp; Items'!B:D,3,0))</f>
        <v>Military equipment</v>
      </c>
      <c r="L692" s="177">
        <f>VLOOKUP(I692,'Price List, Weapons &amp; Items'!B:E,4,0)</f>
        <v>0</v>
      </c>
      <c r="M692" s="542">
        <v>10</v>
      </c>
      <c r="N692" s="542">
        <v>10</v>
      </c>
      <c r="O692" s="543" t="str">
        <f>VLOOKUP($I692,'Price List, Weapons &amp; Items'!B:G,6,0)</f>
        <v xml:space="preserve"> . </v>
      </c>
      <c r="P692" s="176" t="str">
        <f t="shared" si="140"/>
        <v>No price</v>
      </c>
      <c r="Q692" s="176" t="str">
        <f t="shared" si="141"/>
        <v>No price</v>
      </c>
      <c r="R692" s="176" t="str">
        <f t="shared" si="138"/>
        <v/>
      </c>
      <c r="S692" s="176" t="str">
        <f>IF(AND(AD692=1,R692&lt;&gt;".")=TRUE,R692/VLOOKUP(G692,'Exchange Rates'!B:C,2,0),IF(R692=".",".",""))</f>
        <v/>
      </c>
      <c r="T692" s="176" t="str">
        <f>IF(AD692=1,IF(AF692="Value is not given at all",".",IF(AF692="Value is given by the source",S692,IF(AF692="Value is calculated with prices",(IF(SUMIFS(Q:Q,A:A,A692)&gt;0,SUMIFS(Q:Q,A:A,A692),"."))/VLOOKUP("USD",'Exchange Rates'!B:C,2,0),"Error with coding"))),"")</f>
        <v/>
      </c>
      <c r="U692" s="15" t="s">
        <v>261</v>
      </c>
      <c r="V692" s="547" t="s">
        <v>2026</v>
      </c>
      <c r="W692" s="547" t="s">
        <v>2030</v>
      </c>
      <c r="X692" s="547" t="s">
        <v>2028</v>
      </c>
      <c r="Y692" s="569" t="s">
        <v>2029</v>
      </c>
      <c r="Z692" s="15">
        <v>0</v>
      </c>
      <c r="AA692" s="199">
        <v>1</v>
      </c>
      <c r="AB692" s="549" t="s">
        <v>2030</v>
      </c>
      <c r="AC692" s="544" t="str">
        <f>""</f>
        <v/>
      </c>
      <c r="AD692" s="181">
        <v>0</v>
      </c>
      <c r="AE692" s="181" t="s">
        <v>264</v>
      </c>
      <c r="AF692" s="181" t="s">
        <v>264</v>
      </c>
      <c r="AG692" s="181">
        <v>1</v>
      </c>
      <c r="AH692" s="181">
        <v>3</v>
      </c>
      <c r="AI692" s="181">
        <v>0</v>
      </c>
      <c r="AJ692" s="181">
        <f>VLOOKUP($I692,'Price List, Weapons &amp; Items'!B:F,5,0)</f>
        <v>0</v>
      </c>
      <c r="AK692" s="181">
        <f t="shared" si="142"/>
        <v>0</v>
      </c>
      <c r="AL692" s="181">
        <f t="shared" si="143"/>
        <v>0</v>
      </c>
      <c r="AM692" s="181">
        <f t="shared" si="144"/>
        <v>0</v>
      </c>
      <c r="AN692" s="180" t="str">
        <f>VLOOKUP($I692,'Price List, Weapons &amp; Items'!B:L,COLUMN('Price List, Weapons &amp; Items'!$J$11)-1,0)</f>
        <v>.</v>
      </c>
      <c r="AO692" s="180" t="str">
        <f>IF(I692=".",".",VLOOKUP($I692,'Price List, Weapons &amp; Items'!B:J,3,0))</f>
        <v>Military equipment</v>
      </c>
      <c r="AP692" s="545" t="str">
        <f t="shared" ca="1" si="139"/>
        <v/>
      </c>
      <c r="AQ692" s="180">
        <f>VLOOKUP($I692,'Price List, Weapons &amp; Items'!B:L,COLUMN('Price List, Weapons &amp; Items'!$L$11)-1,0)</f>
        <v>0</v>
      </c>
      <c r="AR692" s="180">
        <f t="shared" si="145"/>
        <v>1</v>
      </c>
      <c r="AS692" s="180">
        <f t="shared" si="146"/>
        <v>1</v>
      </c>
      <c r="AT692" s="180">
        <f t="shared" si="135"/>
        <v>1</v>
      </c>
      <c r="AU692" s="180" t="str">
        <f t="shared" si="136"/>
        <v>.</v>
      </c>
      <c r="AV692" s="180" t="str">
        <f t="shared" si="137"/>
        <v>.</v>
      </c>
      <c r="AW692" s="180">
        <f>IFERROR(VLOOKUP(B692,'Share, Heavy Weapons to Ukraine'!B:J,COLUMN('Share, Heavy Weapons to Ukraine'!C705)-1,0),0)</f>
        <v>0</v>
      </c>
      <c r="AX692" s="180">
        <f>VLOOKUP('Bilateral Assistance, MAIN DATA'!B692,'Country Summary'!B:F,COLUMN('Country Summary'!C708)-1,FALSE)</f>
        <v>1</v>
      </c>
      <c r="AY692" s="180" t="str">
        <f>IF(AND(AD692=1,D692="Military",H692&lt;&gt;"Not given")=TRUE,IF(SUMIFS(P:P,A:A,A692)&gt;0,ABS((SUMIFS(P:P,A:A,A692)/VLOOKUP("USD",'Exchange Rates'!B:C,2,0)))/S692,"."),".")</f>
        <v>.</v>
      </c>
      <c r="AZ692" s="182" t="str">
        <f>IF(AND(AD692=1,D692="Military",H692&lt;&gt;"Not given")=TRUE,IF(SUMIFS(P:P,A:A,A692)&gt;0,IF((ABS((SUMIFS(P:P,A:A,A692)/VLOOKUP("USD",'Exchange Rates'!B:C,2,0)))/S692)&gt;1,(SUMIFS(P:P,A:A,A692)-S692)/S692,(S692-SUMIFS(P:P,A:A,A692))/SUMIFS(P:P,A:A,A692)),"."),".")</f>
        <v>.</v>
      </c>
      <c r="BA692" s="182"/>
      <c r="BB692" s="182"/>
      <c r="BC692" s="182"/>
      <c r="BD692" s="182"/>
      <c r="BE692" s="182"/>
      <c r="BF692" s="182"/>
      <c r="BG692" s="182"/>
      <c r="BH692" s="182"/>
      <c r="BI692" s="182"/>
      <c r="BJ692" s="182"/>
      <c r="BK692" s="182"/>
      <c r="BL692" s="182"/>
      <c r="BM692" s="182"/>
      <c r="BN692" s="182"/>
      <c r="BO692" s="182"/>
      <c r="BP692" s="182"/>
      <c r="BQ692" s="182"/>
      <c r="BR692" s="182"/>
      <c r="BS692" s="182"/>
    </row>
    <row r="693" spans="1:71" ht="15.9" customHeight="1" x14ac:dyDescent="0.3">
      <c r="A693" s="5" t="s">
        <v>2023</v>
      </c>
      <c r="B693" s="5" t="s">
        <v>2024</v>
      </c>
      <c r="C693" s="174">
        <v>44648</v>
      </c>
      <c r="D693" s="5" t="s">
        <v>285</v>
      </c>
      <c r="E693" s="5" t="s">
        <v>286</v>
      </c>
      <c r="F693" s="175" t="s">
        <v>2025</v>
      </c>
      <c r="G693" s="15" t="s">
        <v>364</v>
      </c>
      <c r="H693" s="176">
        <v>50000000</v>
      </c>
      <c r="I693" s="189" t="s">
        <v>458</v>
      </c>
      <c r="J693" s="113" t="str">
        <f>VLOOKUP($I693,'Price List, Weapons &amp; Items'!B:C,2,0)</f>
        <v>Light armaments &amp; infantry</v>
      </c>
      <c r="K693" s="113" t="str">
        <f>IF(I693=".",I693,VLOOKUP($I693,'Price List, Weapons &amp; Items'!B:D,3,0))</f>
        <v>Small Arms and Light Weapons (SALW)</v>
      </c>
      <c r="L693" s="177">
        <f>VLOOKUP(I693,'Price List, Weapons &amp; Items'!B:E,4,0)</f>
        <v>0</v>
      </c>
      <c r="M693" s="542">
        <v>20</v>
      </c>
      <c r="N693" s="542">
        <v>20</v>
      </c>
      <c r="O693" s="543">
        <f>VLOOKUP($I693,'Price List, Weapons &amp; Items'!B:G,6,0)</f>
        <v>5300</v>
      </c>
      <c r="P693" s="176">
        <f t="shared" si="140"/>
        <v>106000</v>
      </c>
      <c r="Q693" s="176">
        <f t="shared" si="141"/>
        <v>106000</v>
      </c>
      <c r="R693" s="176" t="str">
        <f t="shared" si="138"/>
        <v/>
      </c>
      <c r="S693" s="176" t="str">
        <f>IF(AND(AD693=1,R693&lt;&gt;".")=TRUE,R693/VLOOKUP(G693,'Exchange Rates'!B:C,2,0),IF(R693=".",".",""))</f>
        <v/>
      </c>
      <c r="T693" s="176" t="str">
        <f>IF(AD693=1,IF(AF693="Value is not given at all",".",IF(AF693="Value is given by the source",S693,IF(AF693="Value is calculated with prices",(IF(SUMIFS(Q:Q,A:A,A693)&gt;0,SUMIFS(Q:Q,A:A,A693),"."))/VLOOKUP("USD",'Exchange Rates'!B:C,2,0),"Error with coding"))),"")</f>
        <v/>
      </c>
      <c r="U693" s="15" t="s">
        <v>261</v>
      </c>
      <c r="V693" s="547" t="s">
        <v>2026</v>
      </c>
      <c r="W693" s="547" t="s">
        <v>2030</v>
      </c>
      <c r="X693" s="547" t="s">
        <v>2028</v>
      </c>
      <c r="Y693" s="569" t="s">
        <v>2029</v>
      </c>
      <c r="Z693" s="15">
        <v>0</v>
      </c>
      <c r="AA693" s="199">
        <v>1</v>
      </c>
      <c r="AB693" s="549" t="s">
        <v>2030</v>
      </c>
      <c r="AC693" s="544" t="str">
        <f>""</f>
        <v/>
      </c>
      <c r="AD693" s="181">
        <v>0</v>
      </c>
      <c r="AE693" s="181" t="s">
        <v>264</v>
      </c>
      <c r="AF693" s="181" t="s">
        <v>264</v>
      </c>
      <c r="AG693" s="181">
        <v>1</v>
      </c>
      <c r="AH693" s="181">
        <v>3</v>
      </c>
      <c r="AI693" s="181">
        <v>0</v>
      </c>
      <c r="AJ693" s="181">
        <f>VLOOKUP($I693,'Price List, Weapons &amp; Items'!B:F,5,0)</f>
        <v>0</v>
      </c>
      <c r="AK693" s="181">
        <f t="shared" si="142"/>
        <v>0</v>
      </c>
      <c r="AL693" s="181">
        <f t="shared" si="143"/>
        <v>0</v>
      </c>
      <c r="AM693" s="181">
        <f t="shared" si="144"/>
        <v>0</v>
      </c>
      <c r="AN693" s="180" t="str">
        <f>VLOOKUP($I693,'Price List, Weapons &amp; Items'!B:L,COLUMN('Price List, Weapons &amp; Items'!$J$11)-1,0)</f>
        <v>Miscellaneous</v>
      </c>
      <c r="AO693" s="180" t="str">
        <f>IF(I693=".",".",VLOOKUP($I693,'Price List, Weapons &amp; Items'!B:J,3,0))</f>
        <v>Small Arms and Light Weapons (SALW)</v>
      </c>
      <c r="AP693" s="545" t="str">
        <f t="shared" ca="1" si="139"/>
        <v/>
      </c>
      <c r="AQ693" s="180">
        <f>VLOOKUP($I693,'Price List, Weapons &amp; Items'!B:L,COLUMN('Price List, Weapons &amp; Items'!$L$11)-1,0)</f>
        <v>1</v>
      </c>
      <c r="AR693" s="180">
        <f t="shared" si="145"/>
        <v>1</v>
      </c>
      <c r="AS693" s="180">
        <f t="shared" si="146"/>
        <v>1</v>
      </c>
      <c r="AT693" s="180">
        <f t="shared" si="135"/>
        <v>1</v>
      </c>
      <c r="AU693" s="180" t="str">
        <f t="shared" si="136"/>
        <v>.</v>
      </c>
      <c r="AV693" s="180" t="str">
        <f t="shared" si="137"/>
        <v>.</v>
      </c>
      <c r="AW693" s="180">
        <f>IFERROR(VLOOKUP(B693,'Share, Heavy Weapons to Ukraine'!B:J,COLUMN('Share, Heavy Weapons to Ukraine'!C706)-1,0),0)</f>
        <v>0</v>
      </c>
      <c r="AX693" s="180">
        <f>VLOOKUP('Bilateral Assistance, MAIN DATA'!B693,'Country Summary'!B:F,COLUMN('Country Summary'!C709)-1,FALSE)</f>
        <v>1</v>
      </c>
      <c r="AY693" s="180" t="str">
        <f>IF(AND(AD693=1,D693="Military",H693&lt;&gt;"Not given")=TRUE,IF(SUMIFS(P:P,A:A,A693)&gt;0,ABS((SUMIFS(P:P,A:A,A693)/VLOOKUP("USD",'Exchange Rates'!B:C,2,0)))/S693,"."),".")</f>
        <v>.</v>
      </c>
      <c r="AZ693" s="182" t="str">
        <f>IF(AND(AD693=1,D693="Military",H693&lt;&gt;"Not given")=TRUE,IF(SUMIFS(P:P,A:A,A693)&gt;0,IF((ABS((SUMIFS(P:P,A:A,A693)/VLOOKUP("USD",'Exchange Rates'!B:C,2,0)))/S693)&gt;1,(SUMIFS(P:P,A:A,A693)-S693)/S693,(S693-SUMIFS(P:P,A:A,A693))/SUMIFS(P:P,A:A,A693)),"."),".")</f>
        <v>.</v>
      </c>
      <c r="BA693" s="182"/>
      <c r="BB693" s="182"/>
      <c r="BC693" s="182"/>
      <c r="BD693" s="182"/>
      <c r="BE693" s="182"/>
      <c r="BF693" s="182"/>
      <c r="BG693" s="182"/>
      <c r="BH693" s="182"/>
      <c r="BI693" s="182"/>
      <c r="BJ693" s="182"/>
      <c r="BK693" s="182"/>
      <c r="BL693" s="182"/>
      <c r="BM693" s="182"/>
      <c r="BN693" s="182"/>
      <c r="BO693" s="182"/>
      <c r="BP693" s="182"/>
      <c r="BQ693" s="182"/>
      <c r="BR693" s="182"/>
      <c r="BS693" s="182"/>
    </row>
    <row r="694" spans="1:71" ht="15.9" customHeight="1" x14ac:dyDescent="0.3">
      <c r="A694" s="5" t="s">
        <v>2042</v>
      </c>
      <c r="B694" s="5" t="s">
        <v>2024</v>
      </c>
      <c r="C694" s="174">
        <v>44648</v>
      </c>
      <c r="D694" s="5" t="s">
        <v>285</v>
      </c>
      <c r="E694" s="5" t="s">
        <v>286</v>
      </c>
      <c r="F694" s="175" t="s">
        <v>2043</v>
      </c>
      <c r="G694" s="15" t="s">
        <v>346</v>
      </c>
      <c r="H694" s="176" t="s">
        <v>341</v>
      </c>
      <c r="I694" s="189" t="s">
        <v>2044</v>
      </c>
      <c r="J694" s="113" t="str">
        <f>VLOOKUP($I694,'Price List, Weapons &amp; Items'!B:C,2,0)</f>
        <v>Ammunition for heavy weapon</v>
      </c>
      <c r="K694" s="113" t="str">
        <f>IF(I694=".",I694,VLOOKUP($I694,'Price List, Weapons &amp; Items'!B:D,3,0))</f>
        <v>122mm MLRS ammunition</v>
      </c>
      <c r="L694" s="177">
        <f>VLOOKUP(I694,'Price List, Weapons &amp; Items'!B:E,4,0)</f>
        <v>0</v>
      </c>
      <c r="M694" s="542">
        <v>200</v>
      </c>
      <c r="N694" s="542">
        <v>200</v>
      </c>
      <c r="O694" s="543">
        <f>VLOOKUP($I694,'Price List, Weapons &amp; Items'!B:G,6,0)</f>
        <v>1000</v>
      </c>
      <c r="P694" s="176">
        <f t="shared" si="140"/>
        <v>200000</v>
      </c>
      <c r="Q694" s="176">
        <f t="shared" si="141"/>
        <v>200000</v>
      </c>
      <c r="R694" s="176">
        <f t="shared" si="138"/>
        <v>200000</v>
      </c>
      <c r="S694" s="176">
        <f>IF(AND(AD694=1,R694&lt;&gt;".")=TRUE,R694/VLOOKUP(G694,'Exchange Rates'!B:C,2,0),IF(R694=".",".",""))</f>
        <v>190476.19047619047</v>
      </c>
      <c r="T694" s="176">
        <f>IF(AD694=1,IF(AF694="Value is not given at all",".",IF(AF694="Value is given by the source",S694,IF(AF694="Value is calculated with prices",(IF(SUMIFS(Q:Q,A:A,A694)&gt;0,SUMIFS(Q:Q,A:A,A694),"."))/VLOOKUP("USD",'Exchange Rates'!B:C,2,0),"Error with coding"))),"")</f>
        <v>190476.19047619047</v>
      </c>
      <c r="U694" s="15" t="s">
        <v>261</v>
      </c>
      <c r="V694" s="547" t="s">
        <v>2045</v>
      </c>
      <c r="W694" s="547" t="s">
        <v>2029</v>
      </c>
      <c r="X694" s="188" t="s">
        <v>260</v>
      </c>
      <c r="Y694" s="188" t="s">
        <v>260</v>
      </c>
      <c r="Z694" s="15">
        <v>0</v>
      </c>
      <c r="AA694" s="199">
        <v>1</v>
      </c>
      <c r="AB694" s="547" t="s">
        <v>2046</v>
      </c>
      <c r="AC694" s="544" t="str">
        <f>""</f>
        <v/>
      </c>
      <c r="AD694" s="181">
        <v>1</v>
      </c>
      <c r="AE694" s="181" t="s">
        <v>332</v>
      </c>
      <c r="AF694" s="181" t="s">
        <v>332</v>
      </c>
      <c r="AG694" s="181">
        <v>1</v>
      </c>
      <c r="AH694" s="181">
        <v>3</v>
      </c>
      <c r="AI694" s="181">
        <v>0</v>
      </c>
      <c r="AJ694" s="181">
        <f>VLOOKUP($I694,'Price List, Weapons &amp; Items'!B:F,5,0)</f>
        <v>1</v>
      </c>
      <c r="AK694" s="181">
        <f t="shared" si="142"/>
        <v>0</v>
      </c>
      <c r="AL694" s="181">
        <f t="shared" si="143"/>
        <v>0</v>
      </c>
      <c r="AM694" s="181">
        <f t="shared" si="144"/>
        <v>0</v>
      </c>
      <c r="AN694" s="180" t="str">
        <f>VLOOKUP($I694,'Price List, Weapons &amp; Items'!B:L,COLUMN('Price List, Weapons &amp; Items'!$J$11)-1,0)</f>
        <v>Media reports (incl. social media)</v>
      </c>
      <c r="AO694" s="180" t="str">
        <f>IF(I694=".",".",VLOOKUP($I694,'Price List, Weapons &amp; Items'!B:J,3,0))</f>
        <v>122mm MLRS ammunition</v>
      </c>
      <c r="AP694" s="545" t="e">
        <f t="shared" ca="1" si="139"/>
        <v>#NAME?</v>
      </c>
      <c r="AQ694" s="180">
        <f>VLOOKUP($I694,'Price List, Weapons &amp; Items'!B:L,COLUMN('Price List, Weapons &amp; Items'!$L$11)-1,0)</f>
        <v>2</v>
      </c>
      <c r="AR694" s="180">
        <f t="shared" si="145"/>
        <v>1</v>
      </c>
      <c r="AS694" s="180">
        <f t="shared" si="146"/>
        <v>1</v>
      </c>
      <c r="AT694" s="180">
        <f t="shared" si="135"/>
        <v>1</v>
      </c>
      <c r="AU694" s="180" t="str">
        <f t="shared" si="136"/>
        <v>.</v>
      </c>
      <c r="AV694" s="180" t="str">
        <f t="shared" si="137"/>
        <v>.</v>
      </c>
      <c r="AW694" s="180">
        <f>IFERROR(VLOOKUP(B694,'Share, Heavy Weapons to Ukraine'!B:J,COLUMN('Share, Heavy Weapons to Ukraine'!C707)-1,0),0)</f>
        <v>0</v>
      </c>
      <c r="AX694" s="180">
        <f>VLOOKUP('Bilateral Assistance, MAIN DATA'!B694,'Country Summary'!B:F,COLUMN('Country Summary'!C710)-1,FALSE)</f>
        <v>1</v>
      </c>
      <c r="AY694" s="180" t="str">
        <f>IF(AND(AD694=1,D694="Military",H694&lt;&gt;"Not given")=TRUE,IF(SUMIFS(P:P,A:A,A694)&gt;0,ABS((SUMIFS(P:P,A:A,A694)/VLOOKUP("USD",'Exchange Rates'!B:C,2,0)))/S694,"."),".")</f>
        <v>.</v>
      </c>
      <c r="AZ694" s="182" t="str">
        <f>IF(AND(AD694=1,D694="Military",H694&lt;&gt;"Not given")=TRUE,IF(SUMIFS(P:P,A:A,A694)&gt;0,IF((ABS((SUMIFS(P:P,A:A,A694)/VLOOKUP("USD",'Exchange Rates'!B:C,2,0)))/S694)&gt;1,(SUMIFS(P:P,A:A,A694)-S694)/S694,(S694-SUMIFS(P:P,A:A,A694))/SUMIFS(P:P,A:A,A694)),"."),".")</f>
        <v>.</v>
      </c>
      <c r="BA694" s="182"/>
      <c r="BB694" s="182"/>
      <c r="BC694" s="182"/>
      <c r="BD694" s="182"/>
      <c r="BE694" s="182"/>
      <c r="BF694" s="182"/>
      <c r="BG694" s="182"/>
      <c r="BH694" s="182"/>
      <c r="BI694" s="182"/>
      <c r="BJ694" s="182"/>
      <c r="BK694" s="182"/>
      <c r="BL694" s="182"/>
      <c r="BM694" s="182"/>
      <c r="BN694" s="182"/>
      <c r="BO694" s="182"/>
      <c r="BP694" s="182"/>
      <c r="BQ694" s="182"/>
      <c r="BR694" s="182"/>
      <c r="BS694" s="182"/>
    </row>
    <row r="695" spans="1:71" ht="15.9" customHeight="1" x14ac:dyDescent="0.3">
      <c r="A695" s="5" t="s">
        <v>2047</v>
      </c>
      <c r="B695" s="5" t="s">
        <v>2024</v>
      </c>
      <c r="C695" s="174" t="s">
        <v>2048</v>
      </c>
      <c r="D695" s="5" t="s">
        <v>285</v>
      </c>
      <c r="E695" s="5" t="s">
        <v>286</v>
      </c>
      <c r="F695" s="175" t="s">
        <v>2049</v>
      </c>
      <c r="G695" s="15" t="s">
        <v>364</v>
      </c>
      <c r="H695" s="176">
        <f>72000000-S694-S673</f>
        <v>21809523.809523806</v>
      </c>
      <c r="I695" s="189" t="s">
        <v>260</v>
      </c>
      <c r="J695" s="113" t="str">
        <f>VLOOKUP($I695,'Price List, Weapons &amp; Items'!B:C,2,0)</f>
        <v>.</v>
      </c>
      <c r="K695" s="113" t="str">
        <f>IF(I695=".",I695,VLOOKUP($I695,'Price List, Weapons &amp; Items'!B:D,3,0))</f>
        <v>.</v>
      </c>
      <c r="L695" s="177">
        <f>VLOOKUP(I695,'Price List, Weapons &amp; Items'!B:E,4,0)</f>
        <v>0</v>
      </c>
      <c r="M695" s="542" t="s">
        <v>260</v>
      </c>
      <c r="N695" s="542" t="s">
        <v>260</v>
      </c>
      <c r="O695" s="543" t="str">
        <f>VLOOKUP($I695,'Price List, Weapons &amp; Items'!B:G,6,0)</f>
        <v>.</v>
      </c>
      <c r="P695" s="176" t="str">
        <f t="shared" si="140"/>
        <v>.</v>
      </c>
      <c r="Q695" s="176" t="str">
        <f t="shared" si="141"/>
        <v>.</v>
      </c>
      <c r="R695" s="176">
        <f t="shared" si="138"/>
        <v>21809523.809523806</v>
      </c>
      <c r="S695" s="176">
        <f>IF(AND(AD695=1,R695&lt;&gt;".")=TRUE,R695/VLOOKUP(G695,'Exchange Rates'!B:C,2,0),IF(R695=".",".",""))</f>
        <v>21809523.809523806</v>
      </c>
      <c r="T695" s="176">
        <f>IF(AD695=1,IF(AF695="Value is not given at all",".",IF(AF695="Value is given by the source",S695,IF(AF695="Value is calculated with prices",(IF(SUMIFS(Q:Q,A:A,A695)&gt;0,SUMIFS(Q:Q,A:A,A695),"."))/VLOOKUP("USD",'Exchange Rates'!B:C,2,0),"Error with coding"))),"")</f>
        <v>21809523.809523806</v>
      </c>
      <c r="U695" s="15" t="s">
        <v>261</v>
      </c>
      <c r="V695" s="547" t="s">
        <v>2050</v>
      </c>
      <c r="W695" s="547" t="s">
        <v>2046</v>
      </c>
      <c r="X695" s="144" t="s">
        <v>260</v>
      </c>
      <c r="Y695" s="668" t="s">
        <v>260</v>
      </c>
      <c r="Z695" s="15">
        <v>0</v>
      </c>
      <c r="AA695" s="180">
        <v>0</v>
      </c>
      <c r="AB695" s="547" t="s">
        <v>2046</v>
      </c>
      <c r="AC695" s="544" t="str">
        <f>""</f>
        <v/>
      </c>
      <c r="AD695" s="181">
        <v>1</v>
      </c>
      <c r="AE695" s="181" t="s">
        <v>264</v>
      </c>
      <c r="AF695" s="181" t="s">
        <v>264</v>
      </c>
      <c r="AG695" s="181">
        <v>1</v>
      </c>
      <c r="AH695" s="181">
        <v>10</v>
      </c>
      <c r="AI695" s="181">
        <v>0</v>
      </c>
      <c r="AJ695" s="181">
        <f>VLOOKUP($I695,'Price List, Weapons &amp; Items'!B:F,5,0)</f>
        <v>0</v>
      </c>
      <c r="AK695" s="181">
        <f t="shared" si="142"/>
        <v>0</v>
      </c>
      <c r="AL695" s="181">
        <f t="shared" si="143"/>
        <v>0</v>
      </c>
      <c r="AM695" s="181">
        <f t="shared" si="144"/>
        <v>0</v>
      </c>
      <c r="AN695" s="180" t="str">
        <f>VLOOKUP($I695,'Price List, Weapons &amp; Items'!B:L,COLUMN('Price List, Weapons &amp; Items'!$J$11)-1,0)</f>
        <v>.</v>
      </c>
      <c r="AO695" s="180" t="str">
        <f>IF(I695=".",".",VLOOKUP($I695,'Price List, Weapons &amp; Items'!B:J,3,0))</f>
        <v>.</v>
      </c>
      <c r="AP695" s="545" t="e">
        <f t="shared" ca="1" si="139"/>
        <v>#NAME?</v>
      </c>
      <c r="AQ695" s="180" t="str">
        <f>VLOOKUP($I695,'Price List, Weapons &amp; Items'!B:L,COLUMN('Price List, Weapons &amp; Items'!$L$11)-1,0)</f>
        <v>no price, 0 count</v>
      </c>
      <c r="AR695" s="180">
        <f t="shared" si="145"/>
        <v>1</v>
      </c>
      <c r="AS695" s="180">
        <f t="shared" si="146"/>
        <v>1</v>
      </c>
      <c r="AT695" s="180" t="str">
        <f t="shared" si="135"/>
        <v>Value is not in date format</v>
      </c>
      <c r="AU695" s="180" t="str">
        <f t="shared" si="136"/>
        <v>.</v>
      </c>
      <c r="AV695" s="180" t="str">
        <f t="shared" si="137"/>
        <v>.</v>
      </c>
      <c r="AW695" s="180">
        <f>IFERROR(VLOOKUP(B695,'Share, Heavy Weapons to Ukraine'!B:J,COLUMN('Share, Heavy Weapons to Ukraine'!C708)-1,0),0)</f>
        <v>0</v>
      </c>
      <c r="AX695" s="180">
        <f>VLOOKUP('Bilateral Assistance, MAIN DATA'!B695,'Country Summary'!B:F,COLUMN('Country Summary'!C711)-1,FALSE)</f>
        <v>1</v>
      </c>
      <c r="AY695" s="180" t="str">
        <f>IF(AND(AD695=1,D695="Military",H695&lt;&gt;"Not given")=TRUE,IF(SUMIFS(P:P,A:A,A695)&gt;0,ABS((SUMIFS(P:P,A:A,A695)/VLOOKUP("USD",'Exchange Rates'!B:C,2,0)))/S695,"."),".")</f>
        <v>.</v>
      </c>
      <c r="AZ695" s="182" t="str">
        <f>IF(AND(AD695=1,D695="Military",H695&lt;&gt;"Not given")=TRUE,IF(SUMIFS(P:P,A:A,A695)&gt;0,IF((ABS((SUMIFS(P:P,A:A,A695)/VLOOKUP("USD",'Exchange Rates'!B:C,2,0)))/S695)&gt;1,(SUMIFS(P:P,A:A,A695)-S695)/S695,(S695-SUMIFS(P:P,A:A,A695))/SUMIFS(P:P,A:A,A695)),"."),".")</f>
        <v>.</v>
      </c>
      <c r="BA695" s="182"/>
      <c r="BB695" s="182"/>
      <c r="BC695" s="182"/>
      <c r="BD695" s="182"/>
      <c r="BE695" s="182"/>
      <c r="BF695" s="182"/>
      <c r="BG695" s="182"/>
      <c r="BH695" s="182"/>
      <c r="BI695" s="182"/>
      <c r="BJ695" s="182"/>
      <c r="BK695" s="182"/>
      <c r="BL695" s="182"/>
      <c r="BM695" s="182"/>
      <c r="BN695" s="182"/>
      <c r="BO695" s="182"/>
      <c r="BP695" s="182"/>
      <c r="BQ695" s="182"/>
      <c r="BR695" s="182"/>
      <c r="BS695" s="182"/>
    </row>
    <row r="696" spans="1:71" ht="15.9" customHeight="1" x14ac:dyDescent="0.3">
      <c r="A696" s="5" t="s">
        <v>2051</v>
      </c>
      <c r="B696" s="5" t="s">
        <v>2024</v>
      </c>
      <c r="C696" s="174" t="s">
        <v>2052</v>
      </c>
      <c r="D696" s="5" t="s">
        <v>285</v>
      </c>
      <c r="E696" s="5" t="s">
        <v>286</v>
      </c>
      <c r="F696" s="175" t="s">
        <v>2053</v>
      </c>
      <c r="G696" s="15" t="s">
        <v>364</v>
      </c>
      <c r="H696" s="176">
        <f>75000000-S694-S673-S695</f>
        <v>3000000</v>
      </c>
      <c r="I696" s="189" t="s">
        <v>260</v>
      </c>
      <c r="J696" s="113" t="str">
        <f>VLOOKUP($I696,'Price List, Weapons &amp; Items'!B:C,2,0)</f>
        <v>.</v>
      </c>
      <c r="K696" s="113" t="str">
        <f>IF(I696=".",I696,VLOOKUP($I696,'Price List, Weapons &amp; Items'!B:D,3,0))</f>
        <v>.</v>
      </c>
      <c r="L696" s="177">
        <f>VLOOKUP(I696,'Price List, Weapons &amp; Items'!B:E,4,0)</f>
        <v>0</v>
      </c>
      <c r="M696" s="542" t="s">
        <v>260</v>
      </c>
      <c r="N696" s="542" t="s">
        <v>260</v>
      </c>
      <c r="O696" s="543" t="str">
        <f>VLOOKUP($I696,'Price List, Weapons &amp; Items'!B:G,6,0)</f>
        <v>.</v>
      </c>
      <c r="P696" s="176" t="str">
        <f t="shared" si="140"/>
        <v>.</v>
      </c>
      <c r="Q696" s="176" t="str">
        <f t="shared" si="141"/>
        <v>.</v>
      </c>
      <c r="R696" s="176">
        <f t="shared" si="138"/>
        <v>3000000</v>
      </c>
      <c r="S696" s="176">
        <f>IF(AND(AD696=1,R696&lt;&gt;".")=TRUE,R696/VLOOKUP(G696,'Exchange Rates'!B:C,2,0),IF(R696=".",".",""))</f>
        <v>3000000</v>
      </c>
      <c r="T696" s="176">
        <f>IF(AD696=1,IF(AF696="Value is not given at all",".",IF(AF696="Value is given by the source",S696,IF(AF696="Value is calculated with prices",(IF(SUMIFS(Q:Q,A:A,A696)&gt;0,SUMIFS(Q:Q,A:A,A696),"."))/VLOOKUP("USD",'Exchange Rates'!B:C,2,0),"Error with coding"))),"")</f>
        <v>3000000</v>
      </c>
      <c r="U696" s="15" t="s">
        <v>261</v>
      </c>
      <c r="V696" s="547" t="s">
        <v>2029</v>
      </c>
      <c r="W696" s="680" t="s">
        <v>260</v>
      </c>
      <c r="X696" s="144" t="s">
        <v>260</v>
      </c>
      <c r="Y696" s="668" t="s">
        <v>260</v>
      </c>
      <c r="Z696" s="15">
        <v>0</v>
      </c>
      <c r="AA696" s="180">
        <v>1</v>
      </c>
      <c r="AB696" s="547" t="s">
        <v>2029</v>
      </c>
      <c r="AC696" s="544" t="str">
        <f>""</f>
        <v/>
      </c>
      <c r="AD696" s="181">
        <v>1</v>
      </c>
      <c r="AE696" s="181" t="s">
        <v>264</v>
      </c>
      <c r="AF696" s="181" t="s">
        <v>264</v>
      </c>
      <c r="AG696" s="181">
        <v>1</v>
      </c>
      <c r="AH696" s="181">
        <v>11</v>
      </c>
      <c r="AI696" s="181">
        <v>0</v>
      </c>
      <c r="AJ696" s="181">
        <f>VLOOKUP($I696,'Price List, Weapons &amp; Items'!B:F,5,0)</f>
        <v>0</v>
      </c>
      <c r="AK696" s="181">
        <f t="shared" si="142"/>
        <v>0</v>
      </c>
      <c r="AL696" s="181">
        <f t="shared" si="143"/>
        <v>0</v>
      </c>
      <c r="AM696" s="181">
        <f t="shared" si="144"/>
        <v>0</v>
      </c>
      <c r="AN696" s="180" t="str">
        <f>VLOOKUP($I696,'Price List, Weapons &amp; Items'!B:L,COLUMN('Price List, Weapons &amp; Items'!$J$11)-1,0)</f>
        <v>.</v>
      </c>
      <c r="AO696" s="180" t="str">
        <f>IF(I696=".",".",VLOOKUP($I696,'Price List, Weapons &amp; Items'!B:J,3,0))</f>
        <v>.</v>
      </c>
      <c r="AP696" s="545" t="e">
        <f t="shared" ca="1" si="139"/>
        <v>#NAME?</v>
      </c>
      <c r="AQ696" s="180" t="str">
        <f>VLOOKUP($I696,'Price List, Weapons &amp; Items'!B:L,COLUMN('Price List, Weapons &amp; Items'!$L$11)-1,0)</f>
        <v>no price, 0 count</v>
      </c>
      <c r="AR696" s="180">
        <f t="shared" si="145"/>
        <v>1</v>
      </c>
      <c r="AS696" s="180">
        <f t="shared" si="146"/>
        <v>1</v>
      </c>
      <c r="AT696" s="180" t="str">
        <f t="shared" si="135"/>
        <v>Value is not in date format</v>
      </c>
      <c r="AU696" s="180" t="str">
        <f t="shared" si="136"/>
        <v>.</v>
      </c>
      <c r="AV696" s="180" t="str">
        <f t="shared" si="137"/>
        <v>.</v>
      </c>
      <c r="AW696" s="180">
        <f>IFERROR(VLOOKUP(B696,'Share, Heavy Weapons to Ukraine'!B:J,COLUMN('Share, Heavy Weapons to Ukraine'!C709)-1,0),0)</f>
        <v>0</v>
      </c>
      <c r="AX696" s="180">
        <f>VLOOKUP('Bilateral Assistance, MAIN DATA'!B696,'Country Summary'!B:F,COLUMN('Country Summary'!C712)-1,FALSE)</f>
        <v>1</v>
      </c>
      <c r="AY696" s="180" t="str">
        <f>IF(AND(AD696=1,D696="Military",H696&lt;&gt;"Not given")=TRUE,IF(SUMIFS(P:P,A:A,A696)&gt;0,ABS((SUMIFS(P:P,A:A,A696)/VLOOKUP("USD",'Exchange Rates'!B:C,2,0)))/S696,"."),".")</f>
        <v>.</v>
      </c>
      <c r="AZ696" s="182" t="str">
        <f>IF(AND(AD696=1,D696="Military",H696&lt;&gt;"Not given")=TRUE,IF(SUMIFS(P:P,A:A,A696)&gt;0,IF((ABS((SUMIFS(P:P,A:A,A696)/VLOOKUP("USD",'Exchange Rates'!B:C,2,0)))/S696)&gt;1,(SUMIFS(P:P,A:A,A696)-S696)/S696,(S696-SUMIFS(P:P,A:A,A696))/SUMIFS(P:P,A:A,A696)),"."),".")</f>
        <v>.</v>
      </c>
      <c r="BA696" s="182"/>
      <c r="BB696" s="182"/>
      <c r="BC696" s="182"/>
      <c r="BD696" s="182"/>
      <c r="BE696" s="182"/>
      <c r="BF696" s="182"/>
      <c r="BG696" s="182"/>
      <c r="BH696" s="182"/>
      <c r="BI696" s="182"/>
      <c r="BJ696" s="182"/>
      <c r="BK696" s="182"/>
      <c r="BL696" s="182"/>
      <c r="BM696" s="182"/>
      <c r="BN696" s="182"/>
      <c r="BO696" s="182"/>
      <c r="BP696" s="182"/>
      <c r="BQ696" s="182"/>
      <c r="BR696" s="182"/>
      <c r="BS696" s="182"/>
    </row>
    <row r="697" spans="1:71" ht="15.9" customHeight="1" x14ac:dyDescent="0.3">
      <c r="A697" s="17" t="s">
        <v>2054</v>
      </c>
      <c r="B697" s="17" t="s">
        <v>2024</v>
      </c>
      <c r="C697" s="174" t="s">
        <v>2055</v>
      </c>
      <c r="D697" s="5" t="s">
        <v>256</v>
      </c>
      <c r="E697" s="5" t="s">
        <v>267</v>
      </c>
      <c r="F697" s="175" t="s">
        <v>2056</v>
      </c>
      <c r="G697" s="15" t="s">
        <v>364</v>
      </c>
      <c r="H697" s="176">
        <v>3000000</v>
      </c>
      <c r="I697" s="17" t="s">
        <v>260</v>
      </c>
      <c r="J697" s="113" t="str">
        <f>VLOOKUP($I697,'Price List, Weapons &amp; Items'!B:C,2,0)</f>
        <v>.</v>
      </c>
      <c r="K697" s="113" t="str">
        <f>IF(I697=".",I697,VLOOKUP($I697,'Price List, Weapons &amp; Items'!B:D,3,0))</f>
        <v>.</v>
      </c>
      <c r="L697" s="177">
        <f>VLOOKUP(I697,'Price List, Weapons &amp; Items'!B:E,4,0)</f>
        <v>0</v>
      </c>
      <c r="M697" s="542" t="s">
        <v>260</v>
      </c>
      <c r="N697" s="542" t="s">
        <v>260</v>
      </c>
      <c r="O697" s="543" t="str">
        <f>VLOOKUP($I697,'Price List, Weapons &amp; Items'!B:G,6,0)</f>
        <v>.</v>
      </c>
      <c r="P697" s="176" t="str">
        <f t="shared" si="140"/>
        <v>.</v>
      </c>
      <c r="Q697" s="176" t="str">
        <f t="shared" si="141"/>
        <v>.</v>
      </c>
      <c r="R697" s="176">
        <f t="shared" si="138"/>
        <v>3000000</v>
      </c>
      <c r="S697" s="176">
        <f>IF(AND(AD697=1,R697&lt;&gt;".")=TRUE,R697/VLOOKUP(G697,'Exchange Rates'!B:C,2,0),IF(R697=".",".",""))</f>
        <v>3000000</v>
      </c>
      <c r="T697" s="176" t="str">
        <f>IF(AD697=1,IF(AF697="Value is not given at all",".",IF(AF697="Value is given by the source",S697,IF(AF697="Value is calculated with prices",(IF(SUMIFS(Q:Q,A:A,A697)&gt;0,SUMIFS(Q:Q,A:A,A697),"."))/VLOOKUP("USD",'Exchange Rates'!B:C,2,0),"Error with coding"))),"")</f>
        <v>.</v>
      </c>
      <c r="U697" s="15" t="s">
        <v>261</v>
      </c>
      <c r="V697" s="300" t="s">
        <v>2057</v>
      </c>
      <c r="W697" s="300" t="s">
        <v>2058</v>
      </c>
      <c r="X697" s="175" t="s">
        <v>260</v>
      </c>
      <c r="Y697" s="175" t="s">
        <v>260</v>
      </c>
      <c r="Z697" s="15">
        <v>0</v>
      </c>
      <c r="AA697" s="180">
        <v>0</v>
      </c>
      <c r="AB697" s="17" t="s">
        <v>260</v>
      </c>
      <c r="AC697" s="544" t="str">
        <f>""</f>
        <v/>
      </c>
      <c r="AD697" s="181">
        <v>1</v>
      </c>
      <c r="AE697" s="181" t="s">
        <v>264</v>
      </c>
      <c r="AF697" s="181" t="s">
        <v>265</v>
      </c>
      <c r="AG697" s="181">
        <v>0</v>
      </c>
      <c r="AH697" s="181">
        <v>0</v>
      </c>
      <c r="AI697" s="181">
        <v>0</v>
      </c>
      <c r="AJ697" s="181">
        <f>VLOOKUP($I697,'Price List, Weapons &amp; Items'!B:F,5,0)</f>
        <v>0</v>
      </c>
      <c r="AK697" s="181">
        <f t="shared" si="142"/>
        <v>0</v>
      </c>
      <c r="AL697" s="181">
        <f t="shared" si="143"/>
        <v>0</v>
      </c>
      <c r="AM697" s="181">
        <f t="shared" si="144"/>
        <v>0</v>
      </c>
      <c r="AN697" s="180" t="str">
        <f>VLOOKUP($I697,'Price List, Weapons &amp; Items'!B:L,COLUMN('Price List, Weapons &amp; Items'!$J$11)-1,0)</f>
        <v>.</v>
      </c>
      <c r="AO697" s="180" t="str">
        <f>IF(I697=".",".",VLOOKUP($I697,'Price List, Weapons &amp; Items'!B:J,3,0))</f>
        <v>.</v>
      </c>
      <c r="AP697" s="545" t="e">
        <f t="shared" ca="1" si="139"/>
        <v>#NAME?</v>
      </c>
      <c r="AQ697" s="180" t="str">
        <f>VLOOKUP($I697,'Price List, Weapons &amp; Items'!B:L,COLUMN('Price List, Weapons &amp; Items'!$L$11)-1,0)</f>
        <v>no price, 0 count</v>
      </c>
      <c r="AR697" s="180">
        <f t="shared" si="145"/>
        <v>1</v>
      </c>
      <c r="AS697" s="180">
        <f t="shared" si="146"/>
        <v>0</v>
      </c>
      <c r="AT697" s="180" t="str">
        <f t="shared" si="135"/>
        <v>Value is not in date format</v>
      </c>
      <c r="AU697" s="180" t="str">
        <f t="shared" si="136"/>
        <v>.</v>
      </c>
      <c r="AV697" s="180" t="str">
        <f t="shared" si="137"/>
        <v>.</v>
      </c>
      <c r="AW697" s="180">
        <f>IFERROR(VLOOKUP(B697,'Share, Heavy Weapons to Ukraine'!B:J,COLUMN('Share, Heavy Weapons to Ukraine'!C710)-1,0),0)</f>
        <v>0</v>
      </c>
      <c r="AX697" s="180">
        <f>VLOOKUP('Bilateral Assistance, MAIN DATA'!B697,'Country Summary'!B:F,COLUMN('Country Summary'!C713)-1,FALSE)</f>
        <v>1</v>
      </c>
      <c r="AY697" s="180" t="str">
        <f>IF(AND(AD697=1,D697="Military",H697&lt;&gt;"Not given")=TRUE,IF(SUMIFS(P:P,A:A,A697)&gt;0,ABS((SUMIFS(P:P,A:A,A697)/VLOOKUP("USD",'Exchange Rates'!B:C,2,0)))/S697,"."),".")</f>
        <v>.</v>
      </c>
      <c r="AZ697" s="182" t="str">
        <f>IF(AND(AD697=1,D697="Military",H697&lt;&gt;"Not given")=TRUE,IF(SUMIFS(P:P,A:A,A697)&gt;0,IF((ABS((SUMIFS(P:P,A:A,A697)/VLOOKUP("USD",'Exchange Rates'!B:C,2,0)))/S697)&gt;1,(SUMIFS(P:P,A:A,A697)-S697)/S697,(S697-SUMIFS(P:P,A:A,A697))/SUMIFS(P:P,A:A,A697)),"."),".")</f>
        <v>.</v>
      </c>
      <c r="BA697" s="182"/>
      <c r="BB697" s="182"/>
      <c r="BC697" s="182"/>
      <c r="BD697" s="182"/>
      <c r="BE697" s="182"/>
      <c r="BF697" s="182"/>
      <c r="BG697" s="182"/>
      <c r="BH697" s="182"/>
      <c r="BI697" s="182"/>
      <c r="BJ697" s="182"/>
      <c r="BK697" s="182"/>
      <c r="BL697" s="182"/>
      <c r="BM697" s="182"/>
      <c r="BN697" s="182"/>
      <c r="BO697" s="182"/>
      <c r="BP697" s="182"/>
      <c r="BQ697" s="182"/>
      <c r="BR697" s="182"/>
      <c r="BS697" s="182"/>
    </row>
    <row r="698" spans="1:71" ht="15.9" customHeight="1" x14ac:dyDescent="0.3">
      <c r="A698" s="17" t="s">
        <v>2059</v>
      </c>
      <c r="B698" s="17" t="s">
        <v>2024</v>
      </c>
      <c r="C698" s="174">
        <v>44636</v>
      </c>
      <c r="D698" s="5" t="s">
        <v>256</v>
      </c>
      <c r="E698" s="5" t="s">
        <v>267</v>
      </c>
      <c r="F698" s="175" t="s">
        <v>2060</v>
      </c>
      <c r="G698" s="15" t="s">
        <v>260</v>
      </c>
      <c r="H698" s="176" t="s">
        <v>341</v>
      </c>
      <c r="I698" s="17" t="s">
        <v>2061</v>
      </c>
      <c r="J698" s="113" t="str">
        <f>VLOOKUP($I698,'Price List, Weapons &amp; Items'!B:C,2,0)</f>
        <v>Humanitarian</v>
      </c>
      <c r="K698" s="113" t="str">
        <f>IF(I698=".",I698,VLOOKUP($I698,'Price List, Weapons &amp; Items'!B:D,3,0))</f>
        <v>Humanitarian</v>
      </c>
      <c r="L698" s="177">
        <f>VLOOKUP(I698,'Price List, Weapons &amp; Items'!B:E,4,0)</f>
        <v>0</v>
      </c>
      <c r="M698" s="542">
        <v>50</v>
      </c>
      <c r="N698" s="542" t="s">
        <v>270</v>
      </c>
      <c r="O698" s="543" t="str">
        <f>VLOOKUP($I698,'Price List, Weapons &amp; Items'!B:G,6,0)</f>
        <v>.</v>
      </c>
      <c r="P698" s="176" t="str">
        <f t="shared" si="140"/>
        <v>No price</v>
      </c>
      <c r="Q698" s="176" t="str">
        <f t="shared" si="141"/>
        <v>.</v>
      </c>
      <c r="R698" s="176" t="str">
        <f t="shared" si="138"/>
        <v>.</v>
      </c>
      <c r="S698" s="176" t="str">
        <f>IF(AND(AD698=1,R698&lt;&gt;".")=TRUE,R698/VLOOKUP(G698,'Exchange Rates'!B:C,2,0),IF(R698=".",".",""))</f>
        <v>.</v>
      </c>
      <c r="T698" s="176" t="str">
        <f>IF(AD698=1,IF(AF698="Value is not given at all",".",IF(AF698="Value is given by the source",S698,IF(AF698="Value is calculated with prices",(IF(SUMIFS(Q:Q,A:A,A698)&gt;0,SUMIFS(Q:Q,A:A,A698),"."))/VLOOKUP("USD",'Exchange Rates'!B:C,2,0),"Error with coding"))),"")</f>
        <v>.</v>
      </c>
      <c r="U698" s="15" t="s">
        <v>261</v>
      </c>
      <c r="V698" s="300" t="s">
        <v>2062</v>
      </c>
      <c r="W698" s="300" t="s">
        <v>2057</v>
      </c>
      <c r="X698" s="175" t="s">
        <v>260</v>
      </c>
      <c r="Y698" s="175" t="s">
        <v>260</v>
      </c>
      <c r="Z698" s="15">
        <v>0</v>
      </c>
      <c r="AA698" s="180">
        <v>0</v>
      </c>
      <c r="AB698" s="17" t="s">
        <v>260</v>
      </c>
      <c r="AC698" s="544" t="str">
        <f>""</f>
        <v/>
      </c>
      <c r="AD698" s="181">
        <v>1</v>
      </c>
      <c r="AE698" s="181" t="s">
        <v>265</v>
      </c>
      <c r="AF698" s="181" t="s">
        <v>265</v>
      </c>
      <c r="AG698" s="181">
        <v>1</v>
      </c>
      <c r="AH698" s="181">
        <v>3</v>
      </c>
      <c r="AI698" s="181">
        <v>0</v>
      </c>
      <c r="AJ698" s="181">
        <f>VLOOKUP($I698,'Price List, Weapons &amp; Items'!B:F,5,0)</f>
        <v>0</v>
      </c>
      <c r="AK698" s="181">
        <f t="shared" si="142"/>
        <v>0</v>
      </c>
      <c r="AL698" s="181">
        <f t="shared" si="143"/>
        <v>0</v>
      </c>
      <c r="AM698" s="181">
        <f t="shared" si="144"/>
        <v>0</v>
      </c>
      <c r="AN698" s="180" t="str">
        <f>VLOOKUP($I698,'Price List, Weapons &amp; Items'!B:L,COLUMN('Price List, Weapons &amp; Items'!$J$11)-1,0)</f>
        <v>.</v>
      </c>
      <c r="AO698" s="180" t="str">
        <f>IF(I698=".",".",VLOOKUP($I698,'Price List, Weapons &amp; Items'!B:J,3,0))</f>
        <v>Humanitarian</v>
      </c>
      <c r="AP698" s="545" t="e">
        <f t="shared" ca="1" si="139"/>
        <v>#NAME?</v>
      </c>
      <c r="AQ698" s="180">
        <f>VLOOKUP($I698,'Price List, Weapons &amp; Items'!B:L,COLUMN('Price List, Weapons &amp; Items'!$L$11)-1,0)</f>
        <v>0</v>
      </c>
      <c r="AR698" s="180">
        <f t="shared" si="145"/>
        <v>1</v>
      </c>
      <c r="AS698" s="180">
        <f t="shared" si="146"/>
        <v>0</v>
      </c>
      <c r="AT698" s="180">
        <f t="shared" si="135"/>
        <v>1</v>
      </c>
      <c r="AU698" s="180" t="str">
        <f t="shared" si="136"/>
        <v>.</v>
      </c>
      <c r="AV698" s="180" t="str">
        <f t="shared" si="137"/>
        <v>.</v>
      </c>
      <c r="AW698" s="180">
        <f>IFERROR(VLOOKUP(B698,'Share, Heavy Weapons to Ukraine'!B:J,COLUMN('Share, Heavy Weapons to Ukraine'!C711)-1,0),0)</f>
        <v>0</v>
      </c>
      <c r="AX698" s="180">
        <f>VLOOKUP('Bilateral Assistance, MAIN DATA'!B698,'Country Summary'!B:F,COLUMN('Country Summary'!C714)-1,FALSE)</f>
        <v>1</v>
      </c>
      <c r="AY698" s="180" t="str">
        <f>IF(AND(AD698=1,D698="Military",H698&lt;&gt;"Not given")=TRUE,IF(SUMIFS(P:P,A:A,A698)&gt;0,ABS((SUMIFS(P:P,A:A,A698)/VLOOKUP("USD",'Exchange Rates'!B:C,2,0)))/S698,"."),".")</f>
        <v>.</v>
      </c>
      <c r="AZ698" s="182" t="str">
        <f>IF(AND(AD698=1,D698="Military",H698&lt;&gt;"Not given")=TRUE,IF(SUMIFS(P:P,A:A,A698)&gt;0,IF((ABS((SUMIFS(P:P,A:A,A698)/VLOOKUP("USD",'Exchange Rates'!B:C,2,0)))/S698)&gt;1,(SUMIFS(P:P,A:A,A698)-S698)/S698,(S698-SUMIFS(P:P,A:A,A698))/SUMIFS(P:P,A:A,A698)),"."),".")</f>
        <v>.</v>
      </c>
      <c r="BA698" s="182"/>
      <c r="BB698" s="182"/>
      <c r="BC698" s="182"/>
      <c r="BD698" s="182"/>
      <c r="BE698" s="182"/>
      <c r="BF698" s="182"/>
      <c r="BG698" s="182"/>
      <c r="BH698" s="182"/>
      <c r="BI698" s="182"/>
      <c r="BJ698" s="182"/>
      <c r="BK698" s="182"/>
      <c r="BL698" s="182"/>
      <c r="BM698" s="182"/>
      <c r="BN698" s="182"/>
      <c r="BO698" s="182"/>
      <c r="BP698" s="182"/>
      <c r="BQ698" s="182"/>
      <c r="BR698" s="182"/>
      <c r="BS698" s="182"/>
    </row>
    <row r="699" spans="1:71" ht="15.9" customHeight="1" x14ac:dyDescent="0.3">
      <c r="A699" s="17" t="s">
        <v>2063</v>
      </c>
      <c r="B699" s="17" t="s">
        <v>2024</v>
      </c>
      <c r="C699" s="174">
        <v>44686</v>
      </c>
      <c r="D699" s="5" t="s">
        <v>256</v>
      </c>
      <c r="E699" s="5" t="s">
        <v>257</v>
      </c>
      <c r="F699" s="175" t="s">
        <v>2064</v>
      </c>
      <c r="G699" s="15" t="s">
        <v>364</v>
      </c>
      <c r="H699" s="176">
        <v>1000000</v>
      </c>
      <c r="I699" s="17" t="s">
        <v>260</v>
      </c>
      <c r="J699" s="113" t="str">
        <f>VLOOKUP($I699,'Price List, Weapons &amp; Items'!B:C,2,0)</f>
        <v>.</v>
      </c>
      <c r="K699" s="113" t="str">
        <f>IF(I699=".",I699,VLOOKUP($I699,'Price List, Weapons &amp; Items'!B:D,3,0))</f>
        <v>.</v>
      </c>
      <c r="L699" s="177">
        <f>VLOOKUP(I699,'Price List, Weapons &amp; Items'!B:E,4,0)</f>
        <v>0</v>
      </c>
      <c r="M699" s="542" t="s">
        <v>260</v>
      </c>
      <c r="N699" s="542" t="s">
        <v>260</v>
      </c>
      <c r="O699" s="543" t="str">
        <f>VLOOKUP($I699,'Price List, Weapons &amp; Items'!B:G,6,0)</f>
        <v>.</v>
      </c>
      <c r="P699" s="176" t="str">
        <f t="shared" si="140"/>
        <v>.</v>
      </c>
      <c r="Q699" s="176" t="str">
        <f t="shared" si="141"/>
        <v>.</v>
      </c>
      <c r="R699" s="176">
        <f t="shared" si="138"/>
        <v>1000000</v>
      </c>
      <c r="S699" s="176">
        <f>IF(AND(AD699=1,R699&lt;&gt;".")=TRUE,R699/VLOOKUP(G699,'Exchange Rates'!B:C,2,0),IF(R699=".",".",""))</f>
        <v>1000000</v>
      </c>
      <c r="T699" s="176" t="str">
        <f>IF(AD699=1,IF(AF699="Value is not given at all",".",IF(AF699="Value is given by the source",S699,IF(AF699="Value is calculated with prices",(IF(SUMIFS(Q:Q,A:A,A699)&gt;0,SUMIFS(Q:Q,A:A,A699),"."))/VLOOKUP("USD",'Exchange Rates'!B:C,2,0),"Error with coding"))),"")</f>
        <v>.</v>
      </c>
      <c r="U699" s="15" t="s">
        <v>261</v>
      </c>
      <c r="V699" s="300" t="s">
        <v>2057</v>
      </c>
      <c r="W699" s="175" t="s">
        <v>260</v>
      </c>
      <c r="X699" s="175" t="s">
        <v>260</v>
      </c>
      <c r="Y699" s="175" t="s">
        <v>260</v>
      </c>
      <c r="Z699" s="15">
        <v>0</v>
      </c>
      <c r="AA699" s="180">
        <v>0</v>
      </c>
      <c r="AB699" s="17" t="s">
        <v>260</v>
      </c>
      <c r="AC699" s="544" t="str">
        <f>""</f>
        <v/>
      </c>
      <c r="AD699" s="181">
        <v>1</v>
      </c>
      <c r="AE699" s="181" t="s">
        <v>264</v>
      </c>
      <c r="AF699" s="181" t="s">
        <v>265</v>
      </c>
      <c r="AG699" s="181">
        <v>1</v>
      </c>
      <c r="AH699" s="181">
        <v>5</v>
      </c>
      <c r="AI699" s="181">
        <v>0</v>
      </c>
      <c r="AJ699" s="181">
        <f>VLOOKUP($I699,'Price List, Weapons &amp; Items'!B:F,5,0)</f>
        <v>0</v>
      </c>
      <c r="AK699" s="181">
        <f t="shared" si="142"/>
        <v>0</v>
      </c>
      <c r="AL699" s="181">
        <f t="shared" si="143"/>
        <v>0</v>
      </c>
      <c r="AM699" s="181">
        <f t="shared" si="144"/>
        <v>0</v>
      </c>
      <c r="AN699" s="180" t="str">
        <f>VLOOKUP($I699,'Price List, Weapons &amp; Items'!B:L,COLUMN('Price List, Weapons &amp; Items'!$J$11)-1,0)</f>
        <v>.</v>
      </c>
      <c r="AO699" s="180" t="str">
        <f>IF(I699=".",".",VLOOKUP($I699,'Price List, Weapons &amp; Items'!B:J,3,0))</f>
        <v>.</v>
      </c>
      <c r="AP699" s="545" t="e">
        <f t="shared" ca="1" si="139"/>
        <v>#NAME?</v>
      </c>
      <c r="AQ699" s="180" t="str">
        <f>VLOOKUP($I699,'Price List, Weapons &amp; Items'!B:L,COLUMN('Price List, Weapons &amp; Items'!$L$11)-1,0)</f>
        <v>no price, 0 count</v>
      </c>
      <c r="AR699" s="180">
        <f t="shared" si="145"/>
        <v>1</v>
      </c>
      <c r="AS699" s="180">
        <f t="shared" si="146"/>
        <v>0</v>
      </c>
      <c r="AT699" s="180">
        <f t="shared" si="135"/>
        <v>1</v>
      </c>
      <c r="AU699" s="180" t="str">
        <f t="shared" si="136"/>
        <v>.</v>
      </c>
      <c r="AV699" s="180" t="str">
        <f t="shared" si="137"/>
        <v>.</v>
      </c>
      <c r="AW699" s="180">
        <f>IFERROR(VLOOKUP(B699,'Share, Heavy Weapons to Ukraine'!B:J,COLUMN('Share, Heavy Weapons to Ukraine'!C712)-1,0),0)</f>
        <v>0</v>
      </c>
      <c r="AX699" s="180">
        <f>VLOOKUP('Bilateral Assistance, MAIN DATA'!B699,'Country Summary'!B:F,COLUMN('Country Summary'!C715)-1,FALSE)</f>
        <v>1</v>
      </c>
      <c r="AY699" s="180" t="str">
        <f>IF(AND(AD699=1,D699="Military",H699&lt;&gt;"Not given")=TRUE,IF(SUMIFS(P:P,A:A,A699)&gt;0,ABS((SUMIFS(P:P,A:A,A699)/VLOOKUP("USD",'Exchange Rates'!B:C,2,0)))/S699,"."),".")</f>
        <v>.</v>
      </c>
      <c r="AZ699" s="182" t="str">
        <f>IF(AND(AD699=1,D699="Military",H699&lt;&gt;"Not given")=TRUE,IF(SUMIFS(P:P,A:A,A699)&gt;0,IF((ABS((SUMIFS(P:P,A:A,A699)/VLOOKUP("USD",'Exchange Rates'!B:C,2,0)))/S699)&gt;1,(SUMIFS(P:P,A:A,A699)-S699)/S699,(S699-SUMIFS(P:P,A:A,A699))/SUMIFS(P:P,A:A,A699)),"."),".")</f>
        <v>.</v>
      </c>
      <c r="BA699" s="182"/>
      <c r="BB699" s="182"/>
      <c r="BC699" s="182"/>
      <c r="BD699" s="182"/>
      <c r="BE699" s="182"/>
      <c r="BF699" s="182"/>
      <c r="BG699" s="182"/>
      <c r="BH699" s="182"/>
      <c r="BI699" s="182"/>
      <c r="BJ699" s="182"/>
      <c r="BK699" s="182"/>
      <c r="BL699" s="182"/>
      <c r="BM699" s="182"/>
      <c r="BN699" s="182"/>
      <c r="BO699" s="182"/>
      <c r="BP699" s="182"/>
      <c r="BQ699" s="182"/>
      <c r="BR699" s="182"/>
      <c r="BS699" s="182"/>
    </row>
    <row r="700" spans="1:71" ht="15.9" customHeight="1" x14ac:dyDescent="0.3">
      <c r="A700" s="17" t="s">
        <v>2065</v>
      </c>
      <c r="B700" s="17" t="s">
        <v>2066</v>
      </c>
      <c r="C700" s="174">
        <v>44631</v>
      </c>
      <c r="D700" s="5" t="s">
        <v>256</v>
      </c>
      <c r="E700" s="5" t="s">
        <v>267</v>
      </c>
      <c r="F700" s="175" t="s">
        <v>2067</v>
      </c>
      <c r="G700" s="15" t="s">
        <v>364</v>
      </c>
      <c r="H700" s="176">
        <v>1150000</v>
      </c>
      <c r="I700" s="17" t="s">
        <v>260</v>
      </c>
      <c r="J700" s="113" t="str">
        <f>VLOOKUP($I700,'Price List, Weapons &amp; Items'!B:C,2,0)</f>
        <v>.</v>
      </c>
      <c r="K700" s="113" t="str">
        <f>IF(I700=".",I700,VLOOKUP($I700,'Price List, Weapons &amp; Items'!B:D,3,0))</f>
        <v>.</v>
      </c>
      <c r="L700" s="177">
        <f>VLOOKUP(I700,'Price List, Weapons &amp; Items'!B:E,4,0)</f>
        <v>0</v>
      </c>
      <c r="M700" s="542" t="s">
        <v>260</v>
      </c>
      <c r="N700" s="542" t="s">
        <v>260</v>
      </c>
      <c r="O700" s="543" t="str">
        <f>VLOOKUP($I700,'Price List, Weapons &amp; Items'!B:G,6,0)</f>
        <v>.</v>
      </c>
      <c r="P700" s="176" t="str">
        <f t="shared" si="140"/>
        <v>.</v>
      </c>
      <c r="Q700" s="176" t="str">
        <f t="shared" si="141"/>
        <v>.</v>
      </c>
      <c r="R700" s="176">
        <f t="shared" si="138"/>
        <v>1150000</v>
      </c>
      <c r="S700" s="176">
        <f>IF(AND(AD700=1,R700&lt;&gt;".")=TRUE,R700/VLOOKUP(G700,'Exchange Rates'!B:C,2,0),IF(R700=".",".",""))</f>
        <v>1150000</v>
      </c>
      <c r="T700" s="176" t="str">
        <f>IF(AD700=1,IF(AF700="Value is not given at all",".",IF(AF700="Value is given by the source",S700,IF(AF700="Value is calculated with prices",(IF(SUMIFS(Q:Q,A:A,A700)&gt;0,SUMIFS(Q:Q,A:A,A700),"."))/VLOOKUP("USD",'Exchange Rates'!B:C,2,0),"Error with coding"))),"")</f>
        <v>.</v>
      </c>
      <c r="U700" s="15" t="s">
        <v>261</v>
      </c>
      <c r="V700" s="300" t="s">
        <v>2068</v>
      </c>
      <c r="W700" s="300" t="s">
        <v>2069</v>
      </c>
      <c r="X700" s="175" t="s">
        <v>260</v>
      </c>
      <c r="Y700" s="175" t="s">
        <v>260</v>
      </c>
      <c r="Z700" s="15">
        <v>0</v>
      </c>
      <c r="AA700" s="180">
        <v>0</v>
      </c>
      <c r="AB700" s="17" t="s">
        <v>260</v>
      </c>
      <c r="AC700" s="544" t="str">
        <f>""</f>
        <v/>
      </c>
      <c r="AD700" s="181">
        <v>1</v>
      </c>
      <c r="AE700" s="181" t="s">
        <v>264</v>
      </c>
      <c r="AF700" s="181" t="s">
        <v>265</v>
      </c>
      <c r="AG700" s="181">
        <v>1</v>
      </c>
      <c r="AH700" s="181">
        <v>3</v>
      </c>
      <c r="AI700" s="181">
        <v>0</v>
      </c>
      <c r="AJ700" s="181">
        <f>VLOOKUP($I700,'Price List, Weapons &amp; Items'!B:F,5,0)</f>
        <v>0</v>
      </c>
      <c r="AK700" s="181">
        <f t="shared" si="142"/>
        <v>0</v>
      </c>
      <c r="AL700" s="181">
        <f t="shared" si="143"/>
        <v>0</v>
      </c>
      <c r="AM700" s="181">
        <f t="shared" si="144"/>
        <v>0</v>
      </c>
      <c r="AN700" s="180" t="str">
        <f>VLOOKUP($I700,'Price List, Weapons &amp; Items'!B:L,COLUMN('Price List, Weapons &amp; Items'!$J$11)-1,0)</f>
        <v>.</v>
      </c>
      <c r="AO700" s="180" t="str">
        <f>IF(I700=".",".",VLOOKUP($I700,'Price List, Weapons &amp; Items'!B:J,3,0))</f>
        <v>.</v>
      </c>
      <c r="AP700" s="545" t="e">
        <f t="shared" ca="1" si="139"/>
        <v>#NAME?</v>
      </c>
      <c r="AQ700" s="180" t="str">
        <f>VLOOKUP($I700,'Price List, Weapons &amp; Items'!B:L,COLUMN('Price List, Weapons &amp; Items'!$L$11)-1,0)</f>
        <v>no price, 0 count</v>
      </c>
      <c r="AR700" s="180">
        <f t="shared" si="145"/>
        <v>1</v>
      </c>
      <c r="AS700" s="180">
        <f t="shared" si="146"/>
        <v>0</v>
      </c>
      <c r="AT700" s="180">
        <f t="shared" si="135"/>
        <v>1</v>
      </c>
      <c r="AU700" s="180" t="str">
        <f t="shared" si="136"/>
        <v>.</v>
      </c>
      <c r="AV700" s="180" t="str">
        <f t="shared" si="137"/>
        <v>.</v>
      </c>
      <c r="AW700" s="180">
        <f>IFERROR(VLOOKUP(B700,'Share, Heavy Weapons to Ukraine'!B:J,COLUMN('Share, Heavy Weapons to Ukraine'!C713)-1,0),0)</f>
        <v>0</v>
      </c>
      <c r="AX700" s="180">
        <f>VLOOKUP('Bilateral Assistance, MAIN DATA'!B700,'Country Summary'!B:F,COLUMN('Country Summary'!C716)-1,FALSE)</f>
        <v>1</v>
      </c>
      <c r="AY700" s="180" t="str">
        <f>IF(AND(AD700=1,D700="Military",H700&lt;&gt;"Not given")=TRUE,IF(SUMIFS(P:P,A:A,A700)&gt;0,ABS((SUMIFS(P:P,A:A,A700)/VLOOKUP("USD",'Exchange Rates'!B:C,2,0)))/S700,"."),".")</f>
        <v>.</v>
      </c>
      <c r="AZ700" s="182" t="str">
        <f>IF(AND(AD700=1,D700="Military",H700&lt;&gt;"Not given")=TRUE,IF(SUMIFS(P:P,A:A,A700)&gt;0,IF((ABS((SUMIFS(P:P,A:A,A700)/VLOOKUP("USD",'Exchange Rates'!B:C,2,0)))/S700)&gt;1,(SUMIFS(P:P,A:A,A700)-S700)/S700,(S700-SUMIFS(P:P,A:A,A700))/SUMIFS(P:P,A:A,A700)),"."),".")</f>
        <v>.</v>
      </c>
      <c r="BA700" s="182"/>
      <c r="BB700" s="182"/>
      <c r="BC700" s="182"/>
      <c r="BD700" s="182"/>
      <c r="BE700" s="182"/>
      <c r="BF700" s="182"/>
      <c r="BG700" s="182"/>
      <c r="BH700" s="182"/>
      <c r="BI700" s="182"/>
      <c r="BJ700" s="182"/>
      <c r="BK700" s="182"/>
      <c r="BL700" s="182"/>
      <c r="BM700" s="182"/>
      <c r="BN700" s="182"/>
      <c r="BO700" s="182"/>
      <c r="BP700" s="182"/>
      <c r="BQ700" s="182"/>
      <c r="BR700" s="182"/>
      <c r="BS700" s="182"/>
    </row>
    <row r="701" spans="1:71" ht="15.9" customHeight="1" x14ac:dyDescent="0.3">
      <c r="A701" s="17" t="s">
        <v>2070</v>
      </c>
      <c r="B701" s="17" t="s">
        <v>2066</v>
      </c>
      <c r="C701" s="174" t="s">
        <v>2071</v>
      </c>
      <c r="D701" s="5" t="s">
        <v>256</v>
      </c>
      <c r="E701" s="5" t="s">
        <v>257</v>
      </c>
      <c r="F701" s="175" t="s">
        <v>2072</v>
      </c>
      <c r="G701" s="15" t="s">
        <v>364</v>
      </c>
      <c r="H701" s="176">
        <v>550000</v>
      </c>
      <c r="I701" s="17" t="s">
        <v>260</v>
      </c>
      <c r="J701" s="113" t="str">
        <f>VLOOKUP($I701,'Price List, Weapons &amp; Items'!B:C,2,0)</f>
        <v>.</v>
      </c>
      <c r="K701" s="113" t="str">
        <f>IF(I701=".",I701,VLOOKUP($I701,'Price List, Weapons &amp; Items'!B:D,3,0))</f>
        <v>.</v>
      </c>
      <c r="L701" s="177">
        <f>VLOOKUP(I701,'Price List, Weapons &amp; Items'!B:E,4,0)</f>
        <v>0</v>
      </c>
      <c r="M701" s="542" t="s">
        <v>260</v>
      </c>
      <c r="N701" s="542" t="s">
        <v>260</v>
      </c>
      <c r="O701" s="543" t="str">
        <f>VLOOKUP($I701,'Price List, Weapons &amp; Items'!B:G,6,0)</f>
        <v>.</v>
      </c>
      <c r="P701" s="176" t="str">
        <f t="shared" si="140"/>
        <v>.</v>
      </c>
      <c r="Q701" s="176" t="str">
        <f t="shared" si="141"/>
        <v>.</v>
      </c>
      <c r="R701" s="176">
        <f t="shared" si="138"/>
        <v>550000</v>
      </c>
      <c r="S701" s="176">
        <f>IF(AND(AD701=1,R701&lt;&gt;".")=TRUE,R701/VLOOKUP(G701,'Exchange Rates'!B:C,2,0),IF(R701=".",".",""))</f>
        <v>550000</v>
      </c>
      <c r="T701" s="176" t="str">
        <f>IF(AD701=1,IF(AF701="Value is not given at all",".",IF(AF701="Value is given by the source",S701,IF(AF701="Value is calculated with prices",(IF(SUMIFS(Q:Q,A:A,A701)&gt;0,SUMIFS(Q:Q,A:A,A701),"."))/VLOOKUP("USD",'Exchange Rates'!B:C,2,0),"Error with coding"))),"")</f>
        <v>.</v>
      </c>
      <c r="U701" s="15" t="s">
        <v>415</v>
      </c>
      <c r="V701" s="300" t="s">
        <v>2073</v>
      </c>
      <c r="W701" s="300" t="s">
        <v>2074</v>
      </c>
      <c r="X701" s="175" t="s">
        <v>260</v>
      </c>
      <c r="Y701" s="175" t="s">
        <v>260</v>
      </c>
      <c r="Z701" s="15">
        <v>0</v>
      </c>
      <c r="AA701" s="180">
        <v>1</v>
      </c>
      <c r="AB701" s="17" t="s">
        <v>260</v>
      </c>
      <c r="AC701" s="544" t="str">
        <f>""</f>
        <v/>
      </c>
      <c r="AD701" s="181">
        <v>1</v>
      </c>
      <c r="AE701" s="181" t="s">
        <v>264</v>
      </c>
      <c r="AF701" s="181" t="s">
        <v>265</v>
      </c>
      <c r="AG701" s="181">
        <v>0</v>
      </c>
      <c r="AH701" s="181">
        <v>0</v>
      </c>
      <c r="AI701" s="181">
        <v>0</v>
      </c>
      <c r="AJ701" s="181">
        <f>VLOOKUP($I701,'Price List, Weapons &amp; Items'!B:F,5,0)</f>
        <v>0</v>
      </c>
      <c r="AK701" s="181">
        <f t="shared" si="142"/>
        <v>0</v>
      </c>
      <c r="AL701" s="181">
        <f t="shared" si="143"/>
        <v>0</v>
      </c>
      <c r="AM701" s="181">
        <f t="shared" si="144"/>
        <v>0</v>
      </c>
      <c r="AN701" s="180" t="str">
        <f>VLOOKUP($I701,'Price List, Weapons &amp; Items'!B:L,COLUMN('Price List, Weapons &amp; Items'!$J$11)-1,0)</f>
        <v>.</v>
      </c>
      <c r="AO701" s="180" t="str">
        <f>IF(I701=".",".",VLOOKUP($I701,'Price List, Weapons &amp; Items'!B:J,3,0))</f>
        <v>.</v>
      </c>
      <c r="AP701" s="545" t="e">
        <f t="shared" ca="1" si="139"/>
        <v>#NAME?</v>
      </c>
      <c r="AQ701" s="180" t="str">
        <f>VLOOKUP($I701,'Price List, Weapons &amp; Items'!B:L,COLUMN('Price List, Weapons &amp; Items'!$L$11)-1,0)</f>
        <v>no price, 0 count</v>
      </c>
      <c r="AR701" s="180">
        <f t="shared" si="145"/>
        <v>0</v>
      </c>
      <c r="AS701" s="180">
        <f t="shared" si="146"/>
        <v>0</v>
      </c>
      <c r="AT701" s="180" t="str">
        <f t="shared" ref="AT701:AT764" si="147">IFERROR(IF(VALUE(TEXT(C701,"mm"))=AH701,".",IF(TEXT(C701,"mm")="01",".",1)),"Value is not in date format")</f>
        <v>Value is not in date format</v>
      </c>
      <c r="AU701" s="180" t="str">
        <f t="shared" si="136"/>
        <v>.</v>
      </c>
      <c r="AV701" s="180" t="str">
        <f t="shared" si="137"/>
        <v>.</v>
      </c>
      <c r="AW701" s="180">
        <f>IFERROR(VLOOKUP(B701,'Share, Heavy Weapons to Ukraine'!B:J,COLUMN('Share, Heavy Weapons to Ukraine'!C714)-1,0),0)</f>
        <v>0</v>
      </c>
      <c r="AX701" s="180">
        <f>VLOOKUP('Bilateral Assistance, MAIN DATA'!B701,'Country Summary'!B:F,COLUMN('Country Summary'!C717)-1,FALSE)</f>
        <v>1</v>
      </c>
      <c r="AY701" s="180" t="str">
        <f>IF(AND(AD701=1,D701="Military",H701&lt;&gt;"Not given")=TRUE,IF(SUMIFS(P:P,A:A,A701)&gt;0,ABS((SUMIFS(P:P,A:A,A701)/VLOOKUP("USD",'Exchange Rates'!B:C,2,0)))/S701,"."),".")</f>
        <v>.</v>
      </c>
      <c r="AZ701" s="182" t="str">
        <f>IF(AND(AD701=1,D701="Military",H701&lt;&gt;"Not given")=TRUE,IF(SUMIFS(P:P,A:A,A701)&gt;0,IF((ABS((SUMIFS(P:P,A:A,A701)/VLOOKUP("USD",'Exchange Rates'!B:C,2,0)))/S701)&gt;1,(SUMIFS(P:P,A:A,A701)-S701)/S701,(S701-SUMIFS(P:P,A:A,A701))/SUMIFS(P:P,A:A,A701)),"."),".")</f>
        <v>.</v>
      </c>
      <c r="BA701" s="182"/>
      <c r="BB701" s="182"/>
      <c r="BC701" s="182"/>
      <c r="BD701" s="182"/>
      <c r="BE701" s="182"/>
      <c r="BF701" s="182"/>
      <c r="BG701" s="182"/>
      <c r="BH701" s="182"/>
      <c r="BI701" s="182"/>
      <c r="BJ701" s="182"/>
      <c r="BK701" s="182"/>
      <c r="BL701" s="182"/>
      <c r="BM701" s="182"/>
      <c r="BN701" s="182"/>
      <c r="BO701" s="182"/>
      <c r="BP701" s="182"/>
      <c r="BQ701" s="182"/>
      <c r="BR701" s="182"/>
      <c r="BS701" s="182"/>
    </row>
    <row r="702" spans="1:71" ht="15.9" customHeight="1" x14ac:dyDescent="0.3">
      <c r="A702" s="5" t="s">
        <v>2075</v>
      </c>
      <c r="B702" s="5" t="s">
        <v>2076</v>
      </c>
      <c r="C702" s="174">
        <v>44610</v>
      </c>
      <c r="D702" s="5" t="s">
        <v>285</v>
      </c>
      <c r="E702" s="5" t="s">
        <v>286</v>
      </c>
      <c r="F702" s="175" t="s">
        <v>2077</v>
      </c>
      <c r="G702" s="15" t="s">
        <v>364</v>
      </c>
      <c r="H702" s="176">
        <v>50000000</v>
      </c>
      <c r="I702" s="17" t="s">
        <v>463</v>
      </c>
      <c r="J702" s="113" t="str">
        <f>VLOOKUP($I702,'Price List, Weapons &amp; Items'!B:C,2,0)</f>
        <v>Military equipment</v>
      </c>
      <c r="K702" s="113" t="str">
        <f>IF(I702=".",I702,VLOOKUP($I702,'Price List, Weapons &amp; Items'!B:D,3,0))</f>
        <v>Military equipment</v>
      </c>
      <c r="L702" s="177">
        <f>VLOOKUP(I702,'Price List, Weapons &amp; Items'!B:E,4,0)</f>
        <v>0</v>
      </c>
      <c r="M702" s="542">
        <v>3000</v>
      </c>
      <c r="N702" s="542">
        <v>3000</v>
      </c>
      <c r="O702" s="543">
        <f>VLOOKUP($I702,'Price List, Weapons &amp; Items'!B:G,6,0)</f>
        <v>1400</v>
      </c>
      <c r="P702" s="176">
        <f t="shared" si="140"/>
        <v>4200000</v>
      </c>
      <c r="Q702" s="176">
        <f t="shared" si="141"/>
        <v>4200000</v>
      </c>
      <c r="R702" s="176">
        <f t="shared" si="138"/>
        <v>50000000</v>
      </c>
      <c r="S702" s="176">
        <f>IF(AND(AD702=1,R702&lt;&gt;".")=TRUE,R702/VLOOKUP(G702,'Exchange Rates'!B:C,2,0),IF(R702=".",".",""))</f>
        <v>50000000</v>
      </c>
      <c r="T702" s="176">
        <f>IF(AD702=1,IF(AF702="Value is not given at all",".",IF(AF702="Value is given by the source",S702,IF(AF702="Value is calculated with prices",(IF(SUMIFS(Q:Q,A:A,A702)&gt;0,SUMIFS(Q:Q,A:A,A702),"."))/VLOOKUP("USD",'Exchange Rates'!B:C,2,0),"Error with coding"))),"")</f>
        <v>50000000</v>
      </c>
      <c r="U702" s="15" t="s">
        <v>261</v>
      </c>
      <c r="V702" s="547" t="s">
        <v>2078</v>
      </c>
      <c r="W702" s="547" t="s">
        <v>2079</v>
      </c>
      <c r="X702" s="547" t="s">
        <v>2080</v>
      </c>
      <c r="Y702" s="547" t="s">
        <v>2081</v>
      </c>
      <c r="Z702" s="180">
        <v>0</v>
      </c>
      <c r="AA702" s="180">
        <v>0</v>
      </c>
      <c r="AB702" s="550" t="s">
        <v>2078</v>
      </c>
      <c r="AC702" s="544" t="str">
        <f>""</f>
        <v/>
      </c>
      <c r="AD702" s="181">
        <v>1</v>
      </c>
      <c r="AE702" s="181" t="s">
        <v>264</v>
      </c>
      <c r="AF702" s="181" t="s">
        <v>264</v>
      </c>
      <c r="AG702" s="181">
        <v>1</v>
      </c>
      <c r="AH702" s="181">
        <v>2</v>
      </c>
      <c r="AI702" s="181">
        <v>1</v>
      </c>
      <c r="AJ702" s="181">
        <f>VLOOKUP($I702,'Price List, Weapons &amp; Items'!B:F,5,0)</f>
        <v>0</v>
      </c>
      <c r="AK702" s="181">
        <f t="shared" si="142"/>
        <v>0</v>
      </c>
      <c r="AL702" s="181">
        <f t="shared" si="143"/>
        <v>0</v>
      </c>
      <c r="AM702" s="181">
        <f t="shared" si="144"/>
        <v>0</v>
      </c>
      <c r="AN702" s="180" t="str">
        <f>VLOOKUP($I702,'Price List, Weapons &amp; Items'!B:L,COLUMN('Price List, Weapons &amp; Items'!$J$11)-1,0)</f>
        <v>Military media (incl. websites)</v>
      </c>
      <c r="AO702" s="180" t="str">
        <f>IF(I702=".",".",VLOOKUP($I702,'Price List, Weapons &amp; Items'!B:J,3,0))</f>
        <v>Military equipment</v>
      </c>
      <c r="AP702" s="545" t="e">
        <f t="shared" ca="1" si="139"/>
        <v>#NAME?</v>
      </c>
      <c r="AQ702" s="180">
        <f>VLOOKUP($I702,'Price List, Weapons &amp; Items'!B:L,COLUMN('Price List, Weapons &amp; Items'!$L$11)-1,0)</f>
        <v>2</v>
      </c>
      <c r="AR702" s="180">
        <f t="shared" si="145"/>
        <v>1</v>
      </c>
      <c r="AS702" s="180">
        <f t="shared" si="146"/>
        <v>1</v>
      </c>
      <c r="AT702" s="180">
        <f t="shared" si="147"/>
        <v>1</v>
      </c>
      <c r="AU702" s="180" t="str">
        <f t="shared" si="136"/>
        <v>.</v>
      </c>
      <c r="AV702" s="180" t="str">
        <f t="shared" si="137"/>
        <v>.</v>
      </c>
      <c r="AW702" s="180">
        <f>IFERROR(VLOOKUP(B702,'Share, Heavy Weapons to Ukraine'!B:J,COLUMN('Share, Heavy Weapons to Ukraine'!C715)-1,0),0)</f>
        <v>0</v>
      </c>
      <c r="AX702" s="180">
        <f>VLOOKUP('Bilateral Assistance, MAIN DATA'!B702,'Country Summary'!B:F,COLUMN('Country Summary'!C718)-1,FALSE)</f>
        <v>1</v>
      </c>
      <c r="AY702" s="180">
        <f>IF(AND(AD702=1,D702="Military",H702&lt;&gt;"Not given")=TRUE,IF(SUMIFS(P:P,A:A,A702)&gt;0,ABS((SUMIFS(P:P,A:A,A702)/VLOOKUP("USD",'Exchange Rates'!B:C,2,0)))/S702,"."),".")</f>
        <v>2.9193033352380948</v>
      </c>
      <c r="AZ702" s="182">
        <f>IF(AND(AD702=1,D702="Military",H702&lt;&gt;"Not given")=TRUE,IF(SUMIFS(P:P,A:A,A702)&gt;0,IF((ABS((SUMIFS(P:P,A:A,A702)/VLOOKUP("USD",'Exchange Rates'!B:C,2,0)))/S702)&gt;1,(SUMIFS(P:P,A:A,A702)-S702)/S702,(S702-SUMIFS(P:P,A:A,A702))/SUMIFS(P:P,A:A,A702)),"."),".")</f>
        <v>2.0652685019999999</v>
      </c>
      <c r="BA702" s="182"/>
      <c r="BB702" s="182"/>
      <c r="BC702" s="182"/>
      <c r="BD702" s="182"/>
      <c r="BE702" s="182"/>
      <c r="BF702" s="182"/>
      <c r="BG702" s="182"/>
      <c r="BH702" s="182"/>
      <c r="BI702" s="182"/>
      <c r="BJ702" s="182"/>
      <c r="BK702" s="182"/>
      <c r="BL702" s="182"/>
      <c r="BM702" s="182"/>
      <c r="BN702" s="182"/>
      <c r="BO702" s="182"/>
      <c r="BP702" s="182"/>
      <c r="BQ702" s="182"/>
      <c r="BR702" s="182"/>
      <c r="BS702" s="182"/>
    </row>
    <row r="703" spans="1:71" ht="15.9" customHeight="1" x14ac:dyDescent="0.3">
      <c r="A703" s="5" t="s">
        <v>2075</v>
      </c>
      <c r="B703" s="5" t="s">
        <v>2076</v>
      </c>
      <c r="C703" s="174">
        <v>44610</v>
      </c>
      <c r="D703" s="5" t="s">
        <v>285</v>
      </c>
      <c r="E703" s="5" t="s">
        <v>286</v>
      </c>
      <c r="F703" s="175" t="s">
        <v>2077</v>
      </c>
      <c r="G703" s="15" t="s">
        <v>364</v>
      </c>
      <c r="H703" s="176">
        <v>50000000</v>
      </c>
      <c r="I703" s="17" t="s">
        <v>499</v>
      </c>
      <c r="J703" s="113" t="str">
        <f>VLOOKUP($I703,'Price List, Weapons &amp; Items'!B:C,2,0)</f>
        <v>Military equipment</v>
      </c>
      <c r="K703" s="113" t="str">
        <f>IF(I703=".",I703,VLOOKUP($I703,'Price List, Weapons &amp; Items'!B:D,3,0))</f>
        <v>Military equipment</v>
      </c>
      <c r="L703" s="177">
        <f>VLOOKUP(I703,'Price List, Weapons &amp; Items'!B:E,4,0)</f>
        <v>0</v>
      </c>
      <c r="M703" s="542">
        <v>2000</v>
      </c>
      <c r="N703" s="542">
        <v>2000</v>
      </c>
      <c r="O703" s="543">
        <f>VLOOKUP($I703,'Price List, Weapons &amp; Items'!B:G,6,0)</f>
        <v>500</v>
      </c>
      <c r="P703" s="176">
        <f t="shared" si="140"/>
        <v>1000000</v>
      </c>
      <c r="Q703" s="176">
        <f t="shared" si="141"/>
        <v>1000000</v>
      </c>
      <c r="R703" s="176" t="str">
        <f t="shared" si="138"/>
        <v/>
      </c>
      <c r="S703" s="176" t="str">
        <f>IF(AND(AD703=1,R703&lt;&gt;".")=TRUE,R703/VLOOKUP(G703,'Exchange Rates'!B:C,2,0),IF(R703=".",".",""))</f>
        <v/>
      </c>
      <c r="T703" s="176" t="str">
        <f>IF(AD703=1,IF(AF703="Value is not given at all",".",IF(AF703="Value is given by the source",S703,IF(AF703="Value is calculated with prices",(IF(SUMIFS(Q:Q,A:A,A703)&gt;0,SUMIFS(Q:Q,A:A,A703),"."))/VLOOKUP("USD",'Exchange Rates'!B:C,2,0),"Error with coding"))),"")</f>
        <v/>
      </c>
      <c r="U703" s="15" t="s">
        <v>261</v>
      </c>
      <c r="V703" s="547" t="s">
        <v>2078</v>
      </c>
      <c r="W703" s="547" t="s">
        <v>2079</v>
      </c>
      <c r="X703" s="547" t="s">
        <v>2080</v>
      </c>
      <c r="Y703" s="547" t="s">
        <v>2081</v>
      </c>
      <c r="Z703" s="180">
        <v>0</v>
      </c>
      <c r="AA703" s="180">
        <v>0</v>
      </c>
      <c r="AB703" s="550" t="s">
        <v>2078</v>
      </c>
      <c r="AC703" s="544" t="str">
        <f>""</f>
        <v/>
      </c>
      <c r="AD703" s="181">
        <v>0</v>
      </c>
      <c r="AE703" s="181" t="s">
        <v>264</v>
      </c>
      <c r="AF703" s="181" t="s">
        <v>264</v>
      </c>
      <c r="AG703" s="181">
        <v>1</v>
      </c>
      <c r="AH703" s="181">
        <v>2</v>
      </c>
      <c r="AI703" s="181">
        <v>1</v>
      </c>
      <c r="AJ703" s="181">
        <f>VLOOKUP($I703,'Price List, Weapons &amp; Items'!B:F,5,0)</f>
        <v>0</v>
      </c>
      <c r="AK703" s="181">
        <f t="shared" si="142"/>
        <v>0</v>
      </c>
      <c r="AL703" s="181">
        <f t="shared" si="143"/>
        <v>0</v>
      </c>
      <c r="AM703" s="181">
        <f t="shared" si="144"/>
        <v>0</v>
      </c>
      <c r="AN703" s="180" t="str">
        <f>VLOOKUP($I703,'Price List, Weapons &amp; Items'!B:L,COLUMN('Price List, Weapons &amp; Items'!$J$11)-1,0)</f>
        <v>Military media (incl. websites)</v>
      </c>
      <c r="AO703" s="180" t="str">
        <f>IF(I703=".",".",VLOOKUP($I703,'Price List, Weapons &amp; Items'!B:J,3,0))</f>
        <v>Military equipment</v>
      </c>
      <c r="AP703" s="545" t="str">
        <f t="shared" ca="1" si="139"/>
        <v/>
      </c>
      <c r="AQ703" s="180">
        <f>VLOOKUP($I703,'Price List, Weapons &amp; Items'!B:L,COLUMN('Price List, Weapons &amp; Items'!$L$11)-1,0)</f>
        <v>2</v>
      </c>
      <c r="AR703" s="180">
        <f t="shared" si="145"/>
        <v>1</v>
      </c>
      <c r="AS703" s="180">
        <f t="shared" si="146"/>
        <v>1</v>
      </c>
      <c r="AT703" s="180">
        <f t="shared" si="147"/>
        <v>1</v>
      </c>
      <c r="AU703" s="180" t="str">
        <f t="shared" ref="AU703:AU766" si="148">IF(AND(A703=A702,C703=C702)=TRUE,IF(F703=F702,".","1"),".")</f>
        <v>.</v>
      </c>
      <c r="AV703" s="180" t="str">
        <f t="shared" ref="AV703:AV766" si="149">IF(T703&lt;&gt;".",IF(T703&gt;S703,1,"."),".")</f>
        <v>.</v>
      </c>
      <c r="AW703" s="180">
        <f>IFERROR(VLOOKUP(B703,'Share, Heavy Weapons to Ukraine'!B:J,COLUMN('Share, Heavy Weapons to Ukraine'!C716)-1,0),0)</f>
        <v>0</v>
      </c>
      <c r="AX703" s="180">
        <f>VLOOKUP('Bilateral Assistance, MAIN DATA'!B703,'Country Summary'!B:F,COLUMN('Country Summary'!C719)-1,FALSE)</f>
        <v>1</v>
      </c>
      <c r="AY703" s="180" t="str">
        <f>IF(AND(AD703=1,D703="Military",H703&lt;&gt;"Not given")=TRUE,IF(SUMIFS(P:P,A:A,A703)&gt;0,ABS((SUMIFS(P:P,A:A,A703)/VLOOKUP("USD",'Exchange Rates'!B:C,2,0)))/S703,"."),".")</f>
        <v>.</v>
      </c>
      <c r="AZ703" s="182" t="str">
        <f>IF(AND(AD703=1,D703="Military",H703&lt;&gt;"Not given")=TRUE,IF(SUMIFS(P:P,A:A,A703)&gt;0,IF((ABS((SUMIFS(P:P,A:A,A703)/VLOOKUP("USD",'Exchange Rates'!B:C,2,0)))/S703)&gt;1,(SUMIFS(P:P,A:A,A703)-S703)/S703,(S703-SUMIFS(P:P,A:A,A703))/SUMIFS(P:P,A:A,A703)),"."),".")</f>
        <v>.</v>
      </c>
      <c r="BA703" s="182"/>
      <c r="BB703" s="182"/>
      <c r="BC703" s="182"/>
      <c r="BD703" s="182"/>
      <c r="BE703" s="182"/>
      <c r="BF703" s="182"/>
      <c r="BG703" s="182"/>
      <c r="BH703" s="182"/>
      <c r="BI703" s="182"/>
      <c r="BJ703" s="182"/>
      <c r="BK703" s="182"/>
      <c r="BL703" s="182"/>
      <c r="BM703" s="182"/>
      <c r="BN703" s="182"/>
      <c r="BO703" s="182"/>
      <c r="BP703" s="182"/>
      <c r="BQ703" s="182"/>
      <c r="BR703" s="182"/>
      <c r="BS703" s="182"/>
    </row>
    <row r="704" spans="1:71" ht="15.9" customHeight="1" x14ac:dyDescent="0.3">
      <c r="A704" s="5" t="s">
        <v>2075</v>
      </c>
      <c r="B704" s="5" t="s">
        <v>2076</v>
      </c>
      <c r="C704" s="174">
        <v>44610</v>
      </c>
      <c r="D704" s="5" t="s">
        <v>285</v>
      </c>
      <c r="E704" s="5" t="s">
        <v>286</v>
      </c>
      <c r="F704" s="175" t="s">
        <v>2077</v>
      </c>
      <c r="G704" s="15" t="s">
        <v>364</v>
      </c>
      <c r="H704" s="176">
        <v>50000000</v>
      </c>
      <c r="I704" s="17" t="s">
        <v>2082</v>
      </c>
      <c r="J704" s="113" t="str">
        <f>VLOOKUP($I704,'Price List, Weapons &amp; Items'!B:C,2,0)</f>
        <v>Military equipment</v>
      </c>
      <c r="K704" s="113" t="str">
        <f>IF(I704=".",I704,VLOOKUP($I704,'Price List, Weapons &amp; Items'!B:D,3,0))</f>
        <v>Military equipment</v>
      </c>
      <c r="L704" s="177">
        <f>VLOOKUP(I704,'Price List, Weapons &amp; Items'!B:E,4,0)</f>
        <v>0</v>
      </c>
      <c r="M704" s="542">
        <v>30</v>
      </c>
      <c r="N704" s="542">
        <v>30</v>
      </c>
      <c r="O704" s="543">
        <f>VLOOKUP($I704,'Price List, Weapons &amp; Items'!B:G,6,0)</f>
        <v>1200</v>
      </c>
      <c r="P704" s="176">
        <f t="shared" si="140"/>
        <v>36000</v>
      </c>
      <c r="Q704" s="176">
        <f t="shared" si="141"/>
        <v>36000</v>
      </c>
      <c r="R704" s="176" t="str">
        <f t="shared" si="138"/>
        <v/>
      </c>
      <c r="S704" s="176" t="str">
        <f>IF(AND(AD704=1,R704&lt;&gt;".")=TRUE,R704/VLOOKUP(G704,'Exchange Rates'!B:C,2,0),IF(R704=".",".",""))</f>
        <v/>
      </c>
      <c r="T704" s="176" t="str">
        <f>IF(AD704=1,IF(AF704="Value is not given at all",".",IF(AF704="Value is given by the source",S704,IF(AF704="Value is calculated with prices",(IF(SUMIFS(Q:Q,A:A,A704)&gt;0,SUMIFS(Q:Q,A:A,A704),"."))/VLOOKUP("USD",'Exchange Rates'!B:C,2,0),"Error with coding"))),"")</f>
        <v/>
      </c>
      <c r="U704" s="15" t="s">
        <v>261</v>
      </c>
      <c r="V704" s="547" t="s">
        <v>2078</v>
      </c>
      <c r="W704" s="547" t="s">
        <v>2079</v>
      </c>
      <c r="X704" s="547" t="s">
        <v>2080</v>
      </c>
      <c r="Y704" s="547" t="s">
        <v>2081</v>
      </c>
      <c r="Z704" s="180">
        <v>0</v>
      </c>
      <c r="AA704" s="180">
        <v>0</v>
      </c>
      <c r="AB704" s="550" t="s">
        <v>2078</v>
      </c>
      <c r="AC704" s="544" t="str">
        <f>""</f>
        <v/>
      </c>
      <c r="AD704" s="181">
        <v>0</v>
      </c>
      <c r="AE704" s="181" t="s">
        <v>264</v>
      </c>
      <c r="AF704" s="181" t="s">
        <v>264</v>
      </c>
      <c r="AG704" s="181">
        <v>1</v>
      </c>
      <c r="AH704" s="181">
        <v>2</v>
      </c>
      <c r="AI704" s="181">
        <v>1</v>
      </c>
      <c r="AJ704" s="181">
        <f>VLOOKUP($I704,'Price List, Weapons &amp; Items'!B:F,5,0)</f>
        <v>0</v>
      </c>
      <c r="AK704" s="181">
        <f t="shared" si="142"/>
        <v>0</v>
      </c>
      <c r="AL704" s="181">
        <f t="shared" si="143"/>
        <v>0</v>
      </c>
      <c r="AM704" s="181">
        <f t="shared" si="144"/>
        <v>0</v>
      </c>
      <c r="AN704" s="180" t="str">
        <f>VLOOKUP($I704,'Price List, Weapons &amp; Items'!B:L,COLUMN('Price List, Weapons &amp; Items'!$J$11)-1,0)</f>
        <v>Miscellaneous</v>
      </c>
      <c r="AO704" s="180" t="str">
        <f>IF(I704=".",".",VLOOKUP($I704,'Price List, Weapons &amp; Items'!B:J,3,0))</f>
        <v>Military equipment</v>
      </c>
      <c r="AP704" s="545" t="str">
        <f t="shared" ca="1" si="139"/>
        <v/>
      </c>
      <c r="AQ704" s="180">
        <f>VLOOKUP($I704,'Price List, Weapons &amp; Items'!B:L,COLUMN('Price List, Weapons &amp; Items'!$L$11)-1,0)</f>
        <v>1</v>
      </c>
      <c r="AR704" s="180">
        <f t="shared" si="145"/>
        <v>1</v>
      </c>
      <c r="AS704" s="180">
        <f t="shared" si="146"/>
        <v>1</v>
      </c>
      <c r="AT704" s="180">
        <f t="shared" si="147"/>
        <v>1</v>
      </c>
      <c r="AU704" s="180" t="str">
        <f t="shared" si="148"/>
        <v>.</v>
      </c>
      <c r="AV704" s="180" t="str">
        <f t="shared" si="149"/>
        <v>.</v>
      </c>
      <c r="AW704" s="180">
        <f>IFERROR(VLOOKUP(B704,'Share, Heavy Weapons to Ukraine'!B:J,COLUMN('Share, Heavy Weapons to Ukraine'!C717)-1,0),0)</f>
        <v>0</v>
      </c>
      <c r="AX704" s="180">
        <f>VLOOKUP('Bilateral Assistance, MAIN DATA'!B704,'Country Summary'!B:F,COLUMN('Country Summary'!C720)-1,FALSE)</f>
        <v>1</v>
      </c>
      <c r="AY704" s="180" t="str">
        <f>IF(AND(AD704=1,D704="Military",H704&lt;&gt;"Not given")=TRUE,IF(SUMIFS(P:P,A:A,A704)&gt;0,ABS((SUMIFS(P:P,A:A,A704)/VLOOKUP("USD",'Exchange Rates'!B:C,2,0)))/S704,"."),".")</f>
        <v>.</v>
      </c>
      <c r="AZ704" s="182" t="str">
        <f>IF(AND(AD704=1,D704="Military",H704&lt;&gt;"Not given")=TRUE,IF(SUMIFS(P:P,A:A,A704)&gt;0,IF((ABS((SUMIFS(P:P,A:A,A704)/VLOOKUP("USD",'Exchange Rates'!B:C,2,0)))/S704)&gt;1,(SUMIFS(P:P,A:A,A704)-S704)/S704,(S704-SUMIFS(P:P,A:A,A704))/SUMIFS(P:P,A:A,A704)),"."),".")</f>
        <v>.</v>
      </c>
      <c r="BA704" s="182"/>
      <c r="BB704" s="182"/>
      <c r="BC704" s="182"/>
      <c r="BD704" s="182"/>
      <c r="BE704" s="182"/>
      <c r="BF704" s="182"/>
      <c r="BG704" s="182"/>
      <c r="BH704" s="182"/>
      <c r="BI704" s="182"/>
      <c r="BJ704" s="182"/>
      <c r="BK704" s="182"/>
      <c r="BL704" s="182"/>
      <c r="BM704" s="182"/>
      <c r="BN704" s="182"/>
      <c r="BO704" s="182"/>
      <c r="BP704" s="182"/>
      <c r="BQ704" s="182"/>
      <c r="BR704" s="182"/>
      <c r="BS704" s="182"/>
    </row>
    <row r="705" spans="1:71" ht="15.9" customHeight="1" x14ac:dyDescent="0.3">
      <c r="A705" s="5" t="s">
        <v>2075</v>
      </c>
      <c r="B705" s="5" t="s">
        <v>2076</v>
      </c>
      <c r="C705" s="174">
        <v>44610</v>
      </c>
      <c r="D705" s="5" t="s">
        <v>285</v>
      </c>
      <c r="E705" s="5" t="s">
        <v>286</v>
      </c>
      <c r="F705" s="175" t="s">
        <v>2077</v>
      </c>
      <c r="G705" s="15" t="s">
        <v>364</v>
      </c>
      <c r="H705" s="176">
        <v>50000000</v>
      </c>
      <c r="I705" s="17" t="s">
        <v>2083</v>
      </c>
      <c r="J705" s="113" t="str">
        <f>VLOOKUP($I705,'Price List, Weapons &amp; Items'!B:C,2,0)</f>
        <v>Military equipment</v>
      </c>
      <c r="K705" s="113" t="str">
        <f>IF(I705=".",I705,VLOOKUP($I705,'Price List, Weapons &amp; Items'!B:D,3,0))</f>
        <v>Military equipment</v>
      </c>
      <c r="L705" s="177">
        <f>VLOOKUP(I705,'Price List, Weapons &amp; Items'!B:E,4,0)</f>
        <v>0</v>
      </c>
      <c r="M705" s="542">
        <v>2</v>
      </c>
      <c r="N705" s="542">
        <v>2</v>
      </c>
      <c r="O705" s="543" t="str">
        <f>VLOOKUP($I705,'Price List, Weapons &amp; Items'!B:G,6,0)</f>
        <v>.</v>
      </c>
      <c r="P705" s="176" t="str">
        <f t="shared" si="140"/>
        <v>No price</v>
      </c>
      <c r="Q705" s="176" t="str">
        <f t="shared" si="141"/>
        <v>No price</v>
      </c>
      <c r="R705" s="176" t="str">
        <f t="shared" si="138"/>
        <v/>
      </c>
      <c r="S705" s="176" t="str">
        <f>IF(AND(AD705=1,R705&lt;&gt;".")=TRUE,R705/VLOOKUP(G705,'Exchange Rates'!B:C,2,0),IF(R705=".",".",""))</f>
        <v/>
      </c>
      <c r="T705" s="176" t="str">
        <f>IF(AD705=1,IF(AF705="Value is not given at all",".",IF(AF705="Value is given by the source",S705,IF(AF705="Value is calculated with prices",(IF(SUMIFS(Q:Q,A:A,A705)&gt;0,SUMIFS(Q:Q,A:A,A705),"."))/VLOOKUP("USD",'Exchange Rates'!B:C,2,0),"Error with coding"))),"")</f>
        <v/>
      </c>
      <c r="U705" s="15" t="s">
        <v>261</v>
      </c>
      <c r="V705" s="547" t="s">
        <v>2078</v>
      </c>
      <c r="W705" s="547" t="s">
        <v>2079</v>
      </c>
      <c r="X705" s="547" t="s">
        <v>2080</v>
      </c>
      <c r="Y705" s="547" t="s">
        <v>2081</v>
      </c>
      <c r="Z705" s="180">
        <v>0</v>
      </c>
      <c r="AA705" s="180">
        <v>0</v>
      </c>
      <c r="AB705" s="550" t="s">
        <v>2078</v>
      </c>
      <c r="AC705" s="544" t="str">
        <f>""</f>
        <v/>
      </c>
      <c r="AD705" s="181">
        <v>0</v>
      </c>
      <c r="AE705" s="181" t="s">
        <v>264</v>
      </c>
      <c r="AF705" s="181" t="s">
        <v>264</v>
      </c>
      <c r="AG705" s="181">
        <v>1</v>
      </c>
      <c r="AH705" s="181">
        <v>2</v>
      </c>
      <c r="AI705" s="181">
        <v>1</v>
      </c>
      <c r="AJ705" s="181">
        <f>VLOOKUP($I705,'Price List, Weapons &amp; Items'!B:F,5,0)</f>
        <v>0</v>
      </c>
      <c r="AK705" s="181">
        <f t="shared" si="142"/>
        <v>0</v>
      </c>
      <c r="AL705" s="181">
        <f t="shared" si="143"/>
        <v>0</v>
      </c>
      <c r="AM705" s="181">
        <f t="shared" si="144"/>
        <v>0</v>
      </c>
      <c r="AN705" s="180" t="str">
        <f>VLOOKUP($I705,'Price List, Weapons &amp; Items'!B:L,COLUMN('Price List, Weapons &amp; Items'!$J$11)-1,0)</f>
        <v>.</v>
      </c>
      <c r="AO705" s="180" t="str">
        <f>IF(I705=".",".",VLOOKUP($I705,'Price List, Weapons &amp; Items'!B:J,3,0))</f>
        <v>Military equipment</v>
      </c>
      <c r="AP705" s="545" t="str">
        <f t="shared" ca="1" si="139"/>
        <v/>
      </c>
      <c r="AQ705" s="180">
        <f>VLOOKUP($I705,'Price List, Weapons &amp; Items'!B:L,COLUMN('Price List, Weapons &amp; Items'!$L$11)-1,0)</f>
        <v>0</v>
      </c>
      <c r="AR705" s="180">
        <f t="shared" si="145"/>
        <v>1</v>
      </c>
      <c r="AS705" s="180">
        <f t="shared" si="146"/>
        <v>1</v>
      </c>
      <c r="AT705" s="180">
        <f t="shared" si="147"/>
        <v>1</v>
      </c>
      <c r="AU705" s="180" t="str">
        <f t="shared" si="148"/>
        <v>.</v>
      </c>
      <c r="AV705" s="180" t="str">
        <f t="shared" si="149"/>
        <v>.</v>
      </c>
      <c r="AW705" s="180">
        <f>IFERROR(VLOOKUP(B705,'Share, Heavy Weapons to Ukraine'!B:J,COLUMN('Share, Heavy Weapons to Ukraine'!C718)-1,0),0)</f>
        <v>0</v>
      </c>
      <c r="AX705" s="180">
        <f>VLOOKUP('Bilateral Assistance, MAIN DATA'!B705,'Country Summary'!B:F,COLUMN('Country Summary'!C721)-1,FALSE)</f>
        <v>1</v>
      </c>
      <c r="AY705" s="180" t="str">
        <f>IF(AND(AD705=1,D705="Military",H705&lt;&gt;"Not given")=TRUE,IF(SUMIFS(P:P,A:A,A705)&gt;0,ABS((SUMIFS(P:P,A:A,A705)/VLOOKUP("USD",'Exchange Rates'!B:C,2,0)))/S705,"."),".")</f>
        <v>.</v>
      </c>
      <c r="AZ705" s="182" t="str">
        <f>IF(AND(AD705=1,D705="Military",H705&lt;&gt;"Not given")=TRUE,IF(SUMIFS(P:P,A:A,A705)&gt;0,IF((ABS((SUMIFS(P:P,A:A,A705)/VLOOKUP("USD",'Exchange Rates'!B:C,2,0)))/S705)&gt;1,(SUMIFS(P:P,A:A,A705)-S705)/S705,(S705-SUMIFS(P:P,A:A,A705))/SUMIFS(P:P,A:A,A705)),"."),".")</f>
        <v>.</v>
      </c>
      <c r="BA705" s="182"/>
      <c r="BB705" s="182"/>
      <c r="BC705" s="182"/>
      <c r="BD705" s="182"/>
      <c r="BE705" s="182"/>
      <c r="BF705" s="182"/>
      <c r="BG705" s="182"/>
      <c r="BH705" s="182"/>
      <c r="BI705" s="182"/>
      <c r="BJ705" s="182"/>
      <c r="BK705" s="182"/>
      <c r="BL705" s="182"/>
      <c r="BM705" s="182"/>
      <c r="BN705" s="182"/>
      <c r="BO705" s="182"/>
      <c r="BP705" s="182"/>
      <c r="BQ705" s="182"/>
      <c r="BR705" s="182"/>
      <c r="BS705" s="182"/>
    </row>
    <row r="706" spans="1:71" ht="15.9" customHeight="1" x14ac:dyDescent="0.3">
      <c r="A706" s="5" t="s">
        <v>2075</v>
      </c>
      <c r="B706" s="5" t="s">
        <v>2076</v>
      </c>
      <c r="C706" s="174">
        <v>44610</v>
      </c>
      <c r="D706" s="5" t="s">
        <v>285</v>
      </c>
      <c r="E706" s="5" t="s">
        <v>286</v>
      </c>
      <c r="F706" s="175" t="s">
        <v>2077</v>
      </c>
      <c r="G706" s="15" t="s">
        <v>364</v>
      </c>
      <c r="H706" s="176">
        <v>50000000</v>
      </c>
      <c r="I706" s="17" t="s">
        <v>2084</v>
      </c>
      <c r="J706" s="113" t="str">
        <f>VLOOKUP($I706,'Price List, Weapons &amp; Items'!B:C,2,0)</f>
        <v>Military equipment</v>
      </c>
      <c r="K706" s="113" t="str">
        <f>IF(I706=".",I706,VLOOKUP($I706,'Price List, Weapons &amp; Items'!B:D,3,0))</f>
        <v>Military equipment</v>
      </c>
      <c r="L706" s="177">
        <f>VLOOKUP(I706,'Price List, Weapons &amp; Items'!B:E,4,0)</f>
        <v>0</v>
      </c>
      <c r="M706" s="542">
        <v>2</v>
      </c>
      <c r="N706" s="542">
        <v>2</v>
      </c>
      <c r="O706" s="543">
        <f>VLOOKUP($I706,'Price List, Weapons &amp; Items'!B:G,6,0)</f>
        <v>25000</v>
      </c>
      <c r="P706" s="176">
        <f t="shared" si="140"/>
        <v>50000</v>
      </c>
      <c r="Q706" s="176">
        <f t="shared" si="141"/>
        <v>50000</v>
      </c>
      <c r="R706" s="176" t="str">
        <f t="shared" si="138"/>
        <v/>
      </c>
      <c r="S706" s="176" t="str">
        <f>IF(AND(AD706=1,R706&lt;&gt;".")=TRUE,R706/VLOOKUP(G706,'Exchange Rates'!B:C,2,0),IF(R706=".",".",""))</f>
        <v/>
      </c>
      <c r="T706" s="176" t="str">
        <f>IF(AD706=1,IF(AF706="Value is not given at all",".",IF(AF706="Value is given by the source",S706,IF(AF706="Value is calculated with prices",(IF(SUMIFS(Q:Q,A:A,A706)&gt;0,SUMIFS(Q:Q,A:A,A706),"."))/VLOOKUP("USD",'Exchange Rates'!B:C,2,0),"Error with coding"))),"")</f>
        <v/>
      </c>
      <c r="U706" s="15" t="s">
        <v>261</v>
      </c>
      <c r="V706" s="547" t="s">
        <v>2078</v>
      </c>
      <c r="W706" s="547" t="s">
        <v>2079</v>
      </c>
      <c r="X706" s="547" t="s">
        <v>2080</v>
      </c>
      <c r="Y706" s="547" t="s">
        <v>2081</v>
      </c>
      <c r="Z706" s="180">
        <v>0</v>
      </c>
      <c r="AA706" s="180">
        <v>0</v>
      </c>
      <c r="AB706" s="550" t="s">
        <v>2078</v>
      </c>
      <c r="AC706" s="544" t="str">
        <f>""</f>
        <v/>
      </c>
      <c r="AD706" s="181">
        <v>0</v>
      </c>
      <c r="AE706" s="181" t="s">
        <v>264</v>
      </c>
      <c r="AF706" s="181" t="s">
        <v>264</v>
      </c>
      <c r="AG706" s="181">
        <v>1</v>
      </c>
      <c r="AH706" s="181">
        <v>2</v>
      </c>
      <c r="AI706" s="181">
        <v>1</v>
      </c>
      <c r="AJ706" s="181">
        <f>VLOOKUP($I706,'Price List, Weapons &amp; Items'!B:F,5,0)</f>
        <v>0</v>
      </c>
      <c r="AK706" s="181">
        <f t="shared" si="142"/>
        <v>0</v>
      </c>
      <c r="AL706" s="181">
        <f t="shared" si="143"/>
        <v>0</v>
      </c>
      <c r="AM706" s="181">
        <f t="shared" si="144"/>
        <v>0</v>
      </c>
      <c r="AN706" s="180" t="str">
        <f>VLOOKUP($I706,'Price List, Weapons &amp; Items'!B:L,COLUMN('Price List, Weapons &amp; Items'!$J$11)-1,0)</f>
        <v>Online marketplaces and stores</v>
      </c>
      <c r="AO706" s="180" t="str">
        <f>IF(I706=".",".",VLOOKUP($I706,'Price List, Weapons &amp; Items'!B:J,3,0))</f>
        <v>Military equipment</v>
      </c>
      <c r="AP706" s="545" t="str">
        <f t="shared" ca="1" si="139"/>
        <v/>
      </c>
      <c r="AQ706" s="180">
        <f>VLOOKUP($I706,'Price List, Weapons &amp; Items'!B:L,COLUMN('Price List, Weapons &amp; Items'!$L$11)-1,0)</f>
        <v>1</v>
      </c>
      <c r="AR706" s="180">
        <f t="shared" si="145"/>
        <v>1</v>
      </c>
      <c r="AS706" s="180">
        <f t="shared" si="146"/>
        <v>1</v>
      </c>
      <c r="AT706" s="180">
        <f t="shared" si="147"/>
        <v>1</v>
      </c>
      <c r="AU706" s="180" t="str">
        <f t="shared" si="148"/>
        <v>.</v>
      </c>
      <c r="AV706" s="180" t="str">
        <f t="shared" si="149"/>
        <v>.</v>
      </c>
      <c r="AW706" s="180">
        <f>IFERROR(VLOOKUP(B706,'Share, Heavy Weapons to Ukraine'!B:J,COLUMN('Share, Heavy Weapons to Ukraine'!C719)-1,0),0)</f>
        <v>0</v>
      </c>
      <c r="AX706" s="180">
        <f>VLOOKUP('Bilateral Assistance, MAIN DATA'!B706,'Country Summary'!B:F,COLUMN('Country Summary'!C722)-1,FALSE)</f>
        <v>1</v>
      </c>
      <c r="AY706" s="180" t="str">
        <f>IF(AND(AD706=1,D706="Military",H706&lt;&gt;"Not given")=TRUE,IF(SUMIFS(P:P,A:A,A706)&gt;0,ABS((SUMIFS(P:P,A:A,A706)/VLOOKUP("USD",'Exchange Rates'!B:C,2,0)))/S706,"."),".")</f>
        <v>.</v>
      </c>
      <c r="AZ706" s="182" t="str">
        <f>IF(AND(AD706=1,D706="Military",H706&lt;&gt;"Not given")=TRUE,IF(SUMIFS(P:P,A:A,A706)&gt;0,IF((ABS((SUMIFS(P:P,A:A,A706)/VLOOKUP("USD",'Exchange Rates'!B:C,2,0)))/S706)&gt;1,(SUMIFS(P:P,A:A,A706)-S706)/S706,(S706-SUMIFS(P:P,A:A,A706))/SUMIFS(P:P,A:A,A706)),"."),".")</f>
        <v>.</v>
      </c>
      <c r="BA706" s="182"/>
      <c r="BB706" s="182"/>
      <c r="BC706" s="182"/>
      <c r="BD706" s="182"/>
      <c r="BE706" s="182"/>
      <c r="BF706" s="182"/>
      <c r="BG706" s="182"/>
      <c r="BH706" s="182"/>
      <c r="BI706" s="182"/>
      <c r="BJ706" s="182"/>
      <c r="BK706" s="182"/>
      <c r="BL706" s="182"/>
      <c r="BM706" s="182"/>
      <c r="BN706" s="182"/>
      <c r="BO706" s="182"/>
      <c r="BP706" s="182"/>
      <c r="BQ706" s="182"/>
      <c r="BR706" s="182"/>
      <c r="BS706" s="182"/>
    </row>
    <row r="707" spans="1:71" ht="15.9" customHeight="1" x14ac:dyDescent="0.3">
      <c r="A707" s="5" t="s">
        <v>2075</v>
      </c>
      <c r="B707" s="5" t="s">
        <v>2076</v>
      </c>
      <c r="C707" s="174">
        <v>44610</v>
      </c>
      <c r="D707" s="5" t="s">
        <v>285</v>
      </c>
      <c r="E707" s="5" t="s">
        <v>286</v>
      </c>
      <c r="F707" s="175" t="s">
        <v>2077</v>
      </c>
      <c r="G707" s="15" t="s">
        <v>364</v>
      </c>
      <c r="H707" s="176">
        <v>50000000</v>
      </c>
      <c r="I707" s="17" t="s">
        <v>2085</v>
      </c>
      <c r="J707" s="113" t="str">
        <f>VLOOKUP($I707,'Price List, Weapons &amp; Items'!B:C,2,0)</f>
        <v>Military equipment</v>
      </c>
      <c r="K707" s="113" t="str">
        <f>IF(I707=".",I707,VLOOKUP($I707,'Price List, Weapons &amp; Items'!B:D,3,0))</f>
        <v>Military equipment</v>
      </c>
      <c r="L707" s="177">
        <f>VLOOKUP(I707,'Price List, Weapons &amp; Items'!B:E,4,0)</f>
        <v>0</v>
      </c>
      <c r="M707" s="542">
        <v>5</v>
      </c>
      <c r="N707" s="542">
        <v>5</v>
      </c>
      <c r="O707" s="543">
        <f>VLOOKUP($I707,'Price List, Weapons &amp; Items'!B:G,6,0)</f>
        <v>8888888</v>
      </c>
      <c r="P707" s="176">
        <f t="shared" si="140"/>
        <v>44444440</v>
      </c>
      <c r="Q707" s="176">
        <f t="shared" si="141"/>
        <v>44444440</v>
      </c>
      <c r="R707" s="176" t="str">
        <f t="shared" si="138"/>
        <v/>
      </c>
      <c r="S707" s="176" t="str">
        <f>IF(AND(AD707=1,R707&lt;&gt;".")=TRUE,R707/VLOOKUP(G707,'Exchange Rates'!B:C,2,0),IF(R707=".",".",""))</f>
        <v/>
      </c>
      <c r="T707" s="176" t="str">
        <f>IF(AD707=1,IF(AF707="Value is not given at all",".",IF(AF707="Value is given by the source",S707,IF(AF707="Value is calculated with prices",(IF(SUMIFS(Q:Q,A:A,A707)&gt;0,SUMIFS(Q:Q,A:A,A707),"."))/VLOOKUP("USD",'Exchange Rates'!B:C,2,0),"Error with coding"))),"")</f>
        <v/>
      </c>
      <c r="U707" s="15" t="s">
        <v>261</v>
      </c>
      <c r="V707" s="547" t="s">
        <v>2078</v>
      </c>
      <c r="W707" s="547" t="s">
        <v>2079</v>
      </c>
      <c r="X707" s="547" t="s">
        <v>2080</v>
      </c>
      <c r="Y707" s="547" t="s">
        <v>2081</v>
      </c>
      <c r="Z707" s="180">
        <v>0</v>
      </c>
      <c r="AA707" s="180">
        <v>0</v>
      </c>
      <c r="AB707" s="550" t="s">
        <v>2078</v>
      </c>
      <c r="AC707" s="544" t="str">
        <f>""</f>
        <v/>
      </c>
      <c r="AD707" s="181">
        <v>0</v>
      </c>
      <c r="AE707" s="181" t="s">
        <v>264</v>
      </c>
      <c r="AF707" s="181" t="s">
        <v>264</v>
      </c>
      <c r="AG707" s="181">
        <v>1</v>
      </c>
      <c r="AH707" s="181">
        <v>2</v>
      </c>
      <c r="AI707" s="181">
        <v>1</v>
      </c>
      <c r="AJ707" s="181">
        <f>VLOOKUP($I707,'Price List, Weapons &amp; Items'!B:F,5,0)</f>
        <v>0</v>
      </c>
      <c r="AK707" s="181">
        <f t="shared" si="142"/>
        <v>0</v>
      </c>
      <c r="AL707" s="181">
        <f t="shared" si="143"/>
        <v>0</v>
      </c>
      <c r="AM707" s="181">
        <f t="shared" si="144"/>
        <v>0</v>
      </c>
      <c r="AN707" s="180" t="str">
        <f>VLOOKUP($I707,'Price List, Weapons &amp; Items'!B:L,COLUMN('Price List, Weapons &amp; Items'!$J$11)-1,0)</f>
        <v>Military media (incl. websites)</v>
      </c>
      <c r="AO707" s="180" t="str">
        <f>IF(I707=".",".",VLOOKUP($I707,'Price List, Weapons &amp; Items'!B:J,3,0))</f>
        <v>Military equipment</v>
      </c>
      <c r="AP707" s="545" t="str">
        <f t="shared" ca="1" si="139"/>
        <v/>
      </c>
      <c r="AQ707" s="180">
        <f>VLOOKUP($I707,'Price List, Weapons &amp; Items'!B:L,COLUMN('Price List, Weapons &amp; Items'!$L$11)-1,0)</f>
        <v>2</v>
      </c>
      <c r="AR707" s="180">
        <f t="shared" si="145"/>
        <v>1</v>
      </c>
      <c r="AS707" s="180">
        <f t="shared" si="146"/>
        <v>1</v>
      </c>
      <c r="AT707" s="180">
        <f t="shared" si="147"/>
        <v>1</v>
      </c>
      <c r="AU707" s="180" t="str">
        <f t="shared" si="148"/>
        <v>.</v>
      </c>
      <c r="AV707" s="180" t="str">
        <f t="shared" si="149"/>
        <v>.</v>
      </c>
      <c r="AW707" s="180">
        <f>IFERROR(VLOOKUP(B707,'Share, Heavy Weapons to Ukraine'!B:J,COLUMN('Share, Heavy Weapons to Ukraine'!C720)-1,0),0)</f>
        <v>0</v>
      </c>
      <c r="AX707" s="180">
        <f>VLOOKUP('Bilateral Assistance, MAIN DATA'!B707,'Country Summary'!B:F,COLUMN('Country Summary'!C723)-1,FALSE)</f>
        <v>1</v>
      </c>
      <c r="AY707" s="180" t="str">
        <f>IF(AND(AD707=1,D707="Military",H707&lt;&gt;"Not given")=TRUE,IF(SUMIFS(P:P,A:A,A707)&gt;0,ABS((SUMIFS(P:P,A:A,A707)/VLOOKUP("USD",'Exchange Rates'!B:C,2,0)))/S707,"."),".")</f>
        <v>.</v>
      </c>
      <c r="AZ707" s="182" t="str">
        <f>IF(AND(AD707=1,D707="Military",H707&lt;&gt;"Not given")=TRUE,IF(SUMIFS(P:P,A:A,A707)&gt;0,IF((ABS((SUMIFS(P:P,A:A,A707)/VLOOKUP("USD",'Exchange Rates'!B:C,2,0)))/S707)&gt;1,(SUMIFS(P:P,A:A,A707)-S707)/S707,(S707-SUMIFS(P:P,A:A,A707))/SUMIFS(P:P,A:A,A707)),"."),".")</f>
        <v>.</v>
      </c>
      <c r="BA707" s="182"/>
      <c r="BB707" s="182"/>
      <c r="BC707" s="182"/>
      <c r="BD707" s="182"/>
      <c r="BE707" s="182"/>
      <c r="BF707" s="182"/>
      <c r="BG707" s="182"/>
      <c r="BH707" s="182"/>
      <c r="BI707" s="182"/>
      <c r="BJ707" s="182"/>
      <c r="BK707" s="182"/>
      <c r="BL707" s="182"/>
      <c r="BM707" s="182"/>
      <c r="BN707" s="182"/>
      <c r="BO707" s="182"/>
      <c r="BP707" s="182"/>
      <c r="BQ707" s="182"/>
      <c r="BR707" s="182"/>
      <c r="BS707" s="182"/>
    </row>
    <row r="708" spans="1:71" ht="15.9" customHeight="1" x14ac:dyDescent="0.3">
      <c r="A708" s="5" t="s">
        <v>2075</v>
      </c>
      <c r="B708" s="5" t="s">
        <v>2076</v>
      </c>
      <c r="C708" s="174">
        <v>44610</v>
      </c>
      <c r="D708" s="5" t="s">
        <v>285</v>
      </c>
      <c r="E708" s="5" t="s">
        <v>286</v>
      </c>
      <c r="F708" s="175" t="s">
        <v>2077</v>
      </c>
      <c r="G708" s="15" t="s">
        <v>364</v>
      </c>
      <c r="H708" s="176">
        <v>50000000</v>
      </c>
      <c r="I708" s="17" t="s">
        <v>2086</v>
      </c>
      <c r="J708" s="113" t="str">
        <f>VLOOKUP($I708,'Price List, Weapons &amp; Items'!B:C,2,0)</f>
        <v>Light armaments &amp; infantry</v>
      </c>
      <c r="K708" s="113" t="str">
        <f>IF(I708=".",I708,VLOOKUP($I708,'Price List, Weapons &amp; Items'!B:D,3,0))</f>
        <v>Small Arms and Light Weapons (SALW)</v>
      </c>
      <c r="L708" s="177">
        <f>VLOOKUP(I708,'Price List, Weapons &amp; Items'!B:E,4,0)</f>
        <v>0</v>
      </c>
      <c r="M708" s="542">
        <v>10</v>
      </c>
      <c r="N708" s="542">
        <v>10</v>
      </c>
      <c r="O708" s="543">
        <f>VLOOKUP($I708,'Price List, Weapons &amp; Items'!B:G,6,0)</f>
        <v>12807.38</v>
      </c>
      <c r="P708" s="176">
        <f t="shared" si="140"/>
        <v>128073.79999999999</v>
      </c>
      <c r="Q708" s="176">
        <f t="shared" si="141"/>
        <v>128073.79999999999</v>
      </c>
      <c r="R708" s="176" t="str">
        <f t="shared" si="138"/>
        <v/>
      </c>
      <c r="S708" s="176" t="str">
        <f>IF(AND(AD708=1,R708&lt;&gt;".")=TRUE,R708/VLOOKUP(G708,'Exchange Rates'!B:C,2,0),IF(R708=".",".",""))</f>
        <v/>
      </c>
      <c r="T708" s="176" t="str">
        <f>IF(AD708=1,IF(AF708="Value is not given at all",".",IF(AF708="Value is given by the source",S708,IF(AF708="Value is calculated with prices",(IF(SUMIFS(Q:Q,A:A,A708)&gt;0,SUMIFS(Q:Q,A:A,A708),"."))/VLOOKUP("USD",'Exchange Rates'!B:C,2,0),"Error with coding"))),"")</f>
        <v/>
      </c>
      <c r="U708" s="15" t="s">
        <v>261</v>
      </c>
      <c r="V708" s="547" t="s">
        <v>2078</v>
      </c>
      <c r="W708" s="547" t="s">
        <v>2079</v>
      </c>
      <c r="X708" s="547" t="s">
        <v>2080</v>
      </c>
      <c r="Y708" s="547" t="s">
        <v>2081</v>
      </c>
      <c r="Z708" s="180">
        <v>0</v>
      </c>
      <c r="AA708" s="180">
        <v>0</v>
      </c>
      <c r="AB708" s="550" t="s">
        <v>2078</v>
      </c>
      <c r="AC708" s="544" t="str">
        <f>""</f>
        <v/>
      </c>
      <c r="AD708" s="181">
        <v>0</v>
      </c>
      <c r="AE708" s="181" t="s">
        <v>264</v>
      </c>
      <c r="AF708" s="181" t="s">
        <v>264</v>
      </c>
      <c r="AG708" s="181">
        <v>1</v>
      </c>
      <c r="AH708" s="181">
        <v>2</v>
      </c>
      <c r="AI708" s="181">
        <v>1</v>
      </c>
      <c r="AJ708" s="181">
        <f>VLOOKUP($I708,'Price List, Weapons &amp; Items'!B:F,5,0)</f>
        <v>0</v>
      </c>
      <c r="AK708" s="181">
        <f t="shared" si="142"/>
        <v>0</v>
      </c>
      <c r="AL708" s="181">
        <f t="shared" si="143"/>
        <v>0</v>
      </c>
      <c r="AM708" s="181">
        <f t="shared" si="144"/>
        <v>0</v>
      </c>
      <c r="AN708" s="180" t="str">
        <f>VLOOKUP($I708,'Price List, Weapons &amp; Items'!B:L,COLUMN('Price List, Weapons &amp; Items'!$J$11)-1,0)</f>
        <v>Military media (incl. websites)</v>
      </c>
      <c r="AO708" s="180" t="str">
        <f>IF(I708=".",".",VLOOKUP($I708,'Price List, Weapons &amp; Items'!B:J,3,0))</f>
        <v>Small Arms and Light Weapons (SALW)</v>
      </c>
      <c r="AP708" s="545" t="str">
        <f t="shared" ca="1" si="139"/>
        <v/>
      </c>
      <c r="AQ708" s="180">
        <f>VLOOKUP($I708,'Price List, Weapons &amp; Items'!B:L,COLUMN('Price List, Weapons &amp; Items'!$L$11)-1,0)</f>
        <v>1</v>
      </c>
      <c r="AR708" s="180">
        <f t="shared" si="145"/>
        <v>1</v>
      </c>
      <c r="AS708" s="180">
        <f t="shared" si="146"/>
        <v>1</v>
      </c>
      <c r="AT708" s="180">
        <f t="shared" si="147"/>
        <v>1</v>
      </c>
      <c r="AU708" s="180" t="str">
        <f t="shared" si="148"/>
        <v>.</v>
      </c>
      <c r="AV708" s="180" t="str">
        <f t="shared" si="149"/>
        <v>.</v>
      </c>
      <c r="AW708" s="180">
        <f>IFERROR(VLOOKUP(B708,'Share, Heavy Weapons to Ukraine'!B:J,COLUMN('Share, Heavy Weapons to Ukraine'!C721)-1,0),0)</f>
        <v>0</v>
      </c>
      <c r="AX708" s="180">
        <f>VLOOKUP('Bilateral Assistance, MAIN DATA'!B708,'Country Summary'!B:F,COLUMN('Country Summary'!C724)-1,FALSE)</f>
        <v>1</v>
      </c>
      <c r="AY708" s="180" t="str">
        <f>IF(AND(AD708=1,D708="Military",H708&lt;&gt;"Not given")=TRUE,IF(SUMIFS(P:P,A:A,A708)&gt;0,ABS((SUMIFS(P:P,A:A,A708)/VLOOKUP("USD",'Exchange Rates'!B:C,2,0)))/S708,"."),".")</f>
        <v>.</v>
      </c>
      <c r="AZ708" s="182" t="str">
        <f>IF(AND(AD708=1,D708="Military",H708&lt;&gt;"Not given")=TRUE,IF(SUMIFS(P:P,A:A,A708)&gt;0,IF((ABS((SUMIFS(P:P,A:A,A708)/VLOOKUP("USD",'Exchange Rates'!B:C,2,0)))/S708)&gt;1,(SUMIFS(P:P,A:A,A708)-S708)/S708,(S708-SUMIFS(P:P,A:A,A708))/SUMIFS(P:P,A:A,A708)),"."),".")</f>
        <v>.</v>
      </c>
      <c r="BA708" s="182"/>
      <c r="BB708" s="182"/>
      <c r="BC708" s="182"/>
      <c r="BD708" s="182"/>
      <c r="BE708" s="182"/>
      <c r="BF708" s="182"/>
      <c r="BG708" s="182"/>
      <c r="BH708" s="182"/>
      <c r="BI708" s="182"/>
      <c r="BJ708" s="182"/>
      <c r="BK708" s="182"/>
      <c r="BL708" s="182"/>
      <c r="BM708" s="182"/>
      <c r="BN708" s="182"/>
      <c r="BO708" s="182"/>
      <c r="BP708" s="182"/>
      <c r="BQ708" s="182"/>
      <c r="BR708" s="182"/>
      <c r="BS708" s="182"/>
    </row>
    <row r="709" spans="1:71" ht="15.9" customHeight="1" x14ac:dyDescent="0.3">
      <c r="A709" s="5" t="s">
        <v>2075</v>
      </c>
      <c r="B709" s="5" t="s">
        <v>2076</v>
      </c>
      <c r="C709" s="174">
        <v>44610</v>
      </c>
      <c r="D709" s="5" t="s">
        <v>285</v>
      </c>
      <c r="E709" s="5" t="s">
        <v>286</v>
      </c>
      <c r="F709" s="175" t="s">
        <v>2077</v>
      </c>
      <c r="G709" s="15" t="s">
        <v>364</v>
      </c>
      <c r="H709" s="176">
        <v>50000000</v>
      </c>
      <c r="I709" s="17" t="s">
        <v>2087</v>
      </c>
      <c r="J709" s="113" t="str">
        <f>VLOOKUP($I709,'Price List, Weapons &amp; Items'!B:C,2,0)</f>
        <v>Light armaments &amp; infantry</v>
      </c>
      <c r="K709" s="113" t="str">
        <f>IF(I709=".",I709,VLOOKUP($I709,'Price List, Weapons &amp; Items'!B:D,3,0))</f>
        <v>Small Arms and Light Weapons (SALW)</v>
      </c>
      <c r="L709" s="177">
        <f>VLOOKUP(I709,'Price List, Weapons &amp; Items'!B:E,4,0)</f>
        <v>0</v>
      </c>
      <c r="M709" s="542">
        <v>90</v>
      </c>
      <c r="N709" s="542">
        <v>90</v>
      </c>
      <c r="O709" s="543">
        <f>VLOOKUP($I709,'Price List, Weapons &amp; Items'!B:G,6,0)</f>
        <v>8374.57</v>
      </c>
      <c r="P709" s="176">
        <f t="shared" si="140"/>
        <v>753711.29999999993</v>
      </c>
      <c r="Q709" s="176">
        <f t="shared" si="141"/>
        <v>753711.29999999993</v>
      </c>
      <c r="R709" s="176" t="str">
        <f t="shared" si="138"/>
        <v/>
      </c>
      <c r="S709" s="176" t="str">
        <f>IF(AND(AD709=1,R709&lt;&gt;".")=TRUE,R709/VLOOKUP(G709,'Exchange Rates'!B:C,2,0),IF(R709=".",".",""))</f>
        <v/>
      </c>
      <c r="T709" s="176" t="str">
        <f>IF(AD709=1,IF(AF709="Value is not given at all",".",IF(AF709="Value is given by the source",S709,IF(AF709="Value is calculated with prices",(IF(SUMIFS(Q:Q,A:A,A709)&gt;0,SUMIFS(Q:Q,A:A,A709),"."))/VLOOKUP("USD",'Exchange Rates'!B:C,2,0),"Error with coding"))),"")</f>
        <v/>
      </c>
      <c r="U709" s="15" t="s">
        <v>261</v>
      </c>
      <c r="V709" s="547" t="s">
        <v>2078</v>
      </c>
      <c r="W709" s="547" t="s">
        <v>2079</v>
      </c>
      <c r="X709" s="547" t="s">
        <v>2080</v>
      </c>
      <c r="Y709" s="547" t="s">
        <v>2081</v>
      </c>
      <c r="Z709" s="180">
        <v>0</v>
      </c>
      <c r="AA709" s="180">
        <v>0</v>
      </c>
      <c r="AB709" s="550" t="s">
        <v>2078</v>
      </c>
      <c r="AC709" s="544" t="str">
        <f>""</f>
        <v/>
      </c>
      <c r="AD709" s="181">
        <v>0</v>
      </c>
      <c r="AE709" s="181" t="s">
        <v>264</v>
      </c>
      <c r="AF709" s="181" t="s">
        <v>264</v>
      </c>
      <c r="AG709" s="181">
        <v>1</v>
      </c>
      <c r="AH709" s="181">
        <v>2</v>
      </c>
      <c r="AI709" s="181">
        <v>1</v>
      </c>
      <c r="AJ709" s="181">
        <f>VLOOKUP($I709,'Price List, Weapons &amp; Items'!B:F,5,0)</f>
        <v>0</v>
      </c>
      <c r="AK709" s="181">
        <f t="shared" si="142"/>
        <v>0</v>
      </c>
      <c r="AL709" s="181">
        <f t="shared" si="143"/>
        <v>0</v>
      </c>
      <c r="AM709" s="181">
        <f t="shared" si="144"/>
        <v>0</v>
      </c>
      <c r="AN709" s="180" t="str">
        <f>VLOOKUP($I709,'Price List, Weapons &amp; Items'!B:L,COLUMN('Price List, Weapons &amp; Items'!$J$11)-1,0)</f>
        <v>Online marketplaces and stores</v>
      </c>
      <c r="AO709" s="180" t="str">
        <f>IF(I709=".",".",VLOOKUP($I709,'Price List, Weapons &amp; Items'!B:J,3,0))</f>
        <v>Small Arms and Light Weapons (SALW)</v>
      </c>
      <c r="AP709" s="545" t="str">
        <f t="shared" ca="1" si="139"/>
        <v/>
      </c>
      <c r="AQ709" s="180">
        <f>VLOOKUP($I709,'Price List, Weapons &amp; Items'!B:L,COLUMN('Price List, Weapons &amp; Items'!$L$11)-1,0)</f>
        <v>1</v>
      </c>
      <c r="AR709" s="180">
        <f t="shared" si="145"/>
        <v>1</v>
      </c>
      <c r="AS709" s="180">
        <f t="shared" si="146"/>
        <v>1</v>
      </c>
      <c r="AT709" s="180">
        <f t="shared" si="147"/>
        <v>1</v>
      </c>
      <c r="AU709" s="180" t="str">
        <f t="shared" si="148"/>
        <v>.</v>
      </c>
      <c r="AV709" s="180" t="str">
        <f t="shared" si="149"/>
        <v>.</v>
      </c>
      <c r="AW709" s="180">
        <f>IFERROR(VLOOKUP(B709,'Share, Heavy Weapons to Ukraine'!B:J,COLUMN('Share, Heavy Weapons to Ukraine'!C722)-1,0),0)</f>
        <v>0</v>
      </c>
      <c r="AX709" s="180">
        <f>VLOOKUP('Bilateral Assistance, MAIN DATA'!B709,'Country Summary'!B:F,COLUMN('Country Summary'!C725)-1,FALSE)</f>
        <v>1</v>
      </c>
      <c r="AY709" s="180" t="str">
        <f>IF(AND(AD709=1,D709="Military",H709&lt;&gt;"Not given")=TRUE,IF(SUMIFS(P:P,A:A,A709)&gt;0,ABS((SUMIFS(P:P,A:A,A709)/VLOOKUP("USD",'Exchange Rates'!B:C,2,0)))/S709,"."),".")</f>
        <v>.</v>
      </c>
      <c r="AZ709" s="182" t="str">
        <f>IF(AND(AD709=1,D709="Military",H709&lt;&gt;"Not given")=TRUE,IF(SUMIFS(P:P,A:A,A709)&gt;0,IF((ABS((SUMIFS(P:P,A:A,A709)/VLOOKUP("USD",'Exchange Rates'!B:C,2,0)))/S709)&gt;1,(SUMIFS(P:P,A:A,A709)-S709)/S709,(S709-SUMIFS(P:P,A:A,A709))/SUMIFS(P:P,A:A,A709)),"."),".")</f>
        <v>.</v>
      </c>
      <c r="BA709" s="182"/>
      <c r="BB709" s="182"/>
      <c r="BC709" s="182"/>
      <c r="BD709" s="182"/>
      <c r="BE709" s="182"/>
      <c r="BF709" s="182"/>
      <c r="BG709" s="182"/>
      <c r="BH709" s="182"/>
      <c r="BI709" s="182"/>
      <c r="BJ709" s="182"/>
      <c r="BK709" s="182"/>
      <c r="BL709" s="182"/>
      <c r="BM709" s="182"/>
      <c r="BN709" s="182"/>
      <c r="BO709" s="182"/>
      <c r="BP709" s="182"/>
      <c r="BQ709" s="182"/>
      <c r="BR709" s="182"/>
      <c r="BS709" s="182"/>
    </row>
    <row r="710" spans="1:71" ht="15.9" customHeight="1" x14ac:dyDescent="0.3">
      <c r="A710" s="5" t="s">
        <v>2075</v>
      </c>
      <c r="B710" s="5" t="s">
        <v>2076</v>
      </c>
      <c r="C710" s="174">
        <v>44610</v>
      </c>
      <c r="D710" s="5" t="s">
        <v>285</v>
      </c>
      <c r="E710" s="5" t="s">
        <v>286</v>
      </c>
      <c r="F710" s="175" t="s">
        <v>2077</v>
      </c>
      <c r="G710" s="15" t="s">
        <v>364</v>
      </c>
      <c r="H710" s="176">
        <v>50000000</v>
      </c>
      <c r="I710" s="184" t="s">
        <v>2088</v>
      </c>
      <c r="J710" s="113" t="str">
        <f>VLOOKUP($I710,'Price List, Weapons &amp; Items'!B:C,2,0)</f>
        <v>Ammunition for light infantry</v>
      </c>
      <c r="K710" s="113" t="str">
        <f>IF(I710=".",I710,VLOOKUP($I710,'Price List, Weapons &amp; Items'!B:D,3,0))</f>
        <v>Small Arms and Light Weapons (SALW) ammunition</v>
      </c>
      <c r="L710" s="177">
        <f>VLOOKUP(I710,'Price List, Weapons &amp; Items'!B:E,4,0)</f>
        <v>0</v>
      </c>
      <c r="M710" s="542">
        <v>30000</v>
      </c>
      <c r="N710" s="542">
        <v>30000</v>
      </c>
      <c r="O710" s="543">
        <f>VLOOKUP($I710,'Price List, Weapons &amp; Items'!B:G,6,0)</f>
        <v>0.9</v>
      </c>
      <c r="P710" s="176">
        <f t="shared" si="140"/>
        <v>27000</v>
      </c>
      <c r="Q710" s="176">
        <f t="shared" si="141"/>
        <v>27000</v>
      </c>
      <c r="R710" s="176" t="str">
        <f t="shared" si="138"/>
        <v/>
      </c>
      <c r="S710" s="176" t="str">
        <f>IF(AND(AD710=1,R710&lt;&gt;".")=TRUE,R710/VLOOKUP(G710,'Exchange Rates'!B:C,2,0),IF(R710=".",".",""))</f>
        <v/>
      </c>
      <c r="T710" s="176" t="str">
        <f>IF(AD710=1,IF(AF710="Value is not given at all",".",IF(AF710="Value is given by the source",S710,IF(AF710="Value is calculated with prices",(IF(SUMIFS(Q:Q,A:A,A710)&gt;0,SUMIFS(Q:Q,A:A,A710),"."))/VLOOKUP("USD",'Exchange Rates'!B:C,2,0),"Error with coding"))),"")</f>
        <v/>
      </c>
      <c r="U710" s="15" t="s">
        <v>261</v>
      </c>
      <c r="V710" s="547" t="s">
        <v>2078</v>
      </c>
      <c r="W710" s="547" t="s">
        <v>2079</v>
      </c>
      <c r="X710" s="547" t="s">
        <v>2080</v>
      </c>
      <c r="Y710" s="547" t="s">
        <v>2081</v>
      </c>
      <c r="Z710" s="180">
        <v>0</v>
      </c>
      <c r="AA710" s="180">
        <v>0</v>
      </c>
      <c r="AB710" s="550" t="s">
        <v>2078</v>
      </c>
      <c r="AC710" s="544" t="str">
        <f>""</f>
        <v/>
      </c>
      <c r="AD710" s="181">
        <v>0</v>
      </c>
      <c r="AE710" s="181" t="s">
        <v>264</v>
      </c>
      <c r="AF710" s="181" t="s">
        <v>264</v>
      </c>
      <c r="AG710" s="181">
        <v>1</v>
      </c>
      <c r="AH710" s="181">
        <v>2</v>
      </c>
      <c r="AI710" s="181">
        <v>1</v>
      </c>
      <c r="AJ710" s="181">
        <f>VLOOKUP($I710,'Price List, Weapons &amp; Items'!B:F,5,0)</f>
        <v>0</v>
      </c>
      <c r="AK710" s="181">
        <f t="shared" si="142"/>
        <v>0</v>
      </c>
      <c r="AL710" s="181">
        <f t="shared" si="143"/>
        <v>0</v>
      </c>
      <c r="AM710" s="181">
        <f t="shared" si="144"/>
        <v>1</v>
      </c>
      <c r="AN710" s="180" t="str">
        <f>VLOOKUP($I710,'Price List, Weapons &amp; Items'!B:L,COLUMN('Price List, Weapons &amp; Items'!$J$11)-1,0)</f>
        <v>Online marketplaces and stores</v>
      </c>
      <c r="AO710" s="180" t="str">
        <f>IF(I710=".",".",VLOOKUP($I710,'Price List, Weapons &amp; Items'!B:J,3,0))</f>
        <v>Small Arms and Light Weapons (SALW) ammunition</v>
      </c>
      <c r="AP710" s="545" t="str">
        <f t="shared" ca="1" si="139"/>
        <v/>
      </c>
      <c r="AQ710" s="180">
        <f>VLOOKUP($I710,'Price List, Weapons &amp; Items'!B:L,COLUMN('Price List, Weapons &amp; Items'!$L$11)-1,0)</f>
        <v>1</v>
      </c>
      <c r="AR710" s="180">
        <f t="shared" si="145"/>
        <v>1</v>
      </c>
      <c r="AS710" s="180">
        <f t="shared" si="146"/>
        <v>1</v>
      </c>
      <c r="AT710" s="180">
        <f t="shared" si="147"/>
        <v>1</v>
      </c>
      <c r="AU710" s="180" t="str">
        <f t="shared" si="148"/>
        <v>.</v>
      </c>
      <c r="AV710" s="180" t="str">
        <f t="shared" si="149"/>
        <v>.</v>
      </c>
      <c r="AW710" s="180">
        <f>IFERROR(VLOOKUP(B710,'Share, Heavy Weapons to Ukraine'!B:J,COLUMN('Share, Heavy Weapons to Ukraine'!C723)-1,0),0)</f>
        <v>0</v>
      </c>
      <c r="AX710" s="180">
        <f>VLOOKUP('Bilateral Assistance, MAIN DATA'!B710,'Country Summary'!B:F,COLUMN('Country Summary'!C726)-1,FALSE)</f>
        <v>1</v>
      </c>
      <c r="AY710" s="180" t="str">
        <f>IF(AND(AD710=1,D710="Military",H710&lt;&gt;"Not given")=TRUE,IF(SUMIFS(P:P,A:A,A710)&gt;0,ABS((SUMIFS(P:P,A:A,A710)/VLOOKUP("USD",'Exchange Rates'!B:C,2,0)))/S710,"."),".")</f>
        <v>.</v>
      </c>
      <c r="AZ710" s="182" t="str">
        <f>IF(AND(AD710=1,D710="Military",H710&lt;&gt;"Not given")=TRUE,IF(SUMIFS(P:P,A:A,A710)&gt;0,IF((ABS((SUMIFS(P:P,A:A,A710)/VLOOKUP("USD",'Exchange Rates'!B:C,2,0)))/S710)&gt;1,(SUMIFS(P:P,A:A,A710)-S710)/S710,(S710-SUMIFS(P:P,A:A,A710))/SUMIFS(P:P,A:A,A710)),"."),".")</f>
        <v>.</v>
      </c>
      <c r="BA710" s="182"/>
      <c r="BB710" s="182"/>
      <c r="BC710" s="182"/>
      <c r="BD710" s="182"/>
      <c r="BE710" s="182"/>
      <c r="BF710" s="182"/>
      <c r="BG710" s="182"/>
      <c r="BH710" s="182"/>
      <c r="BI710" s="182"/>
      <c r="BJ710" s="182"/>
      <c r="BK710" s="182"/>
      <c r="BL710" s="182"/>
      <c r="BM710" s="182"/>
      <c r="BN710" s="182"/>
      <c r="BO710" s="182"/>
      <c r="BP710" s="182"/>
      <c r="BQ710" s="182"/>
      <c r="BR710" s="182"/>
      <c r="BS710" s="182"/>
    </row>
    <row r="711" spans="1:71" ht="15.9" customHeight="1" x14ac:dyDescent="0.3">
      <c r="A711" s="5" t="s">
        <v>2075</v>
      </c>
      <c r="B711" s="5" t="s">
        <v>2076</v>
      </c>
      <c r="C711" s="174">
        <v>44618</v>
      </c>
      <c r="D711" s="5" t="s">
        <v>285</v>
      </c>
      <c r="E711" s="5" t="s">
        <v>286</v>
      </c>
      <c r="F711" s="175" t="s">
        <v>2089</v>
      </c>
      <c r="G711" s="15" t="s">
        <v>364</v>
      </c>
      <c r="H711" s="176">
        <v>50000000</v>
      </c>
      <c r="I711" s="184" t="s">
        <v>895</v>
      </c>
      <c r="J711" s="113" t="str">
        <f>VLOOKUP($I711,'Price List, Weapons &amp; Items'!B:C,2,0)</f>
        <v>Portable defence system</v>
      </c>
      <c r="K711" s="113" t="str">
        <f>IF(I711=".",I711,VLOOKUP($I711,'Price List, Weapons &amp; Items'!B:D,3,0))</f>
        <v>MANPADS</v>
      </c>
      <c r="L711" s="177">
        <f>VLOOKUP(I711,'Price List, Weapons &amp; Items'!B:E,4,0)</f>
        <v>0</v>
      </c>
      <c r="M711" s="542">
        <v>50</v>
      </c>
      <c r="N711" s="542">
        <v>50</v>
      </c>
      <c r="O711" s="543">
        <f>VLOOKUP($I711,'Price List, Weapons &amp; Items'!B:G,6,0)</f>
        <v>119000</v>
      </c>
      <c r="P711" s="176">
        <f t="shared" si="140"/>
        <v>5950000</v>
      </c>
      <c r="Q711" s="176">
        <f t="shared" si="141"/>
        <v>5950000</v>
      </c>
      <c r="R711" s="176" t="str">
        <f t="shared" si="138"/>
        <v/>
      </c>
      <c r="S711" s="176" t="str">
        <f>IF(AND(AD711=1,R711&lt;&gt;".")=TRUE,R711/VLOOKUP(G711,'Exchange Rates'!B:C,2,0),IF(R711=".",".",""))</f>
        <v/>
      </c>
      <c r="T711" s="176" t="str">
        <f>IF(AD711=1,IF(AF711="Value is not given at all",".",IF(AF711="Value is given by the source",S711,IF(AF711="Value is calculated with prices",(IF(SUMIFS(Q:Q,A:A,A711)&gt;0,SUMIFS(Q:Q,A:A,A711),"."))/VLOOKUP("USD",'Exchange Rates'!B:C,2,0),"Error with coding"))),"")</f>
        <v/>
      </c>
      <c r="U711" s="15" t="s">
        <v>261</v>
      </c>
      <c r="V711" s="547" t="s">
        <v>2078</v>
      </c>
      <c r="W711" s="547" t="s">
        <v>2090</v>
      </c>
      <c r="X711" s="547" t="s">
        <v>2091</v>
      </c>
      <c r="Y711" s="547" t="s">
        <v>2092</v>
      </c>
      <c r="Z711" s="180">
        <v>0</v>
      </c>
      <c r="AA711" s="180">
        <v>0</v>
      </c>
      <c r="AB711" s="550" t="s">
        <v>2078</v>
      </c>
      <c r="AC711" s="544" t="str">
        <f>""</f>
        <v/>
      </c>
      <c r="AD711" s="181">
        <v>0</v>
      </c>
      <c r="AE711" s="181" t="s">
        <v>264</v>
      </c>
      <c r="AF711" s="181" t="s">
        <v>264</v>
      </c>
      <c r="AG711" s="181">
        <v>1</v>
      </c>
      <c r="AH711" s="181">
        <v>2</v>
      </c>
      <c r="AI711" s="181">
        <v>0</v>
      </c>
      <c r="AJ711" s="181">
        <f>VLOOKUP($I711,'Price List, Weapons &amp; Items'!B:F,5,0)</f>
        <v>0</v>
      </c>
      <c r="AK711" s="181">
        <f t="shared" si="142"/>
        <v>0</v>
      </c>
      <c r="AL711" s="181">
        <f t="shared" si="143"/>
        <v>0</v>
      </c>
      <c r="AM711" s="181">
        <f t="shared" si="144"/>
        <v>0</v>
      </c>
      <c r="AN711" s="180" t="str">
        <f>VLOOKUP($I711,'Price List, Weapons &amp; Items'!B:L,COLUMN('Price List, Weapons &amp; Items'!$J$11)-1,0)</f>
        <v>Miscellaneous</v>
      </c>
      <c r="AO711" s="180" t="str">
        <f>IF(I711=".",".",VLOOKUP($I711,'Price List, Weapons &amp; Items'!B:J,3,0))</f>
        <v>MANPADS</v>
      </c>
      <c r="AP711" s="545" t="str">
        <f t="shared" ca="1" si="139"/>
        <v/>
      </c>
      <c r="AQ711" s="180">
        <f>VLOOKUP($I711,'Price List, Weapons &amp; Items'!B:L,COLUMN('Price List, Weapons &amp; Items'!$L$11)-1,0)</f>
        <v>2</v>
      </c>
      <c r="AR711" s="180">
        <f t="shared" si="145"/>
        <v>1</v>
      </c>
      <c r="AS711" s="180">
        <f t="shared" si="146"/>
        <v>1</v>
      </c>
      <c r="AT711" s="180">
        <f t="shared" si="147"/>
        <v>1</v>
      </c>
      <c r="AU711" s="180" t="str">
        <f t="shared" si="148"/>
        <v>.</v>
      </c>
      <c r="AV711" s="180" t="str">
        <f t="shared" si="149"/>
        <v>.</v>
      </c>
      <c r="AW711" s="180">
        <f>IFERROR(VLOOKUP(B711,'Share, Heavy Weapons to Ukraine'!B:J,COLUMN('Share, Heavy Weapons to Ukraine'!C724)-1,0),0)</f>
        <v>0</v>
      </c>
      <c r="AX711" s="180">
        <f>VLOOKUP('Bilateral Assistance, MAIN DATA'!B711,'Country Summary'!B:F,COLUMN('Country Summary'!C727)-1,FALSE)</f>
        <v>1</v>
      </c>
      <c r="AY711" s="180" t="str">
        <f>IF(AND(AD711=1,D711="Military",H711&lt;&gt;"Not given")=TRUE,IF(SUMIFS(P:P,A:A,A711)&gt;0,ABS((SUMIFS(P:P,A:A,A711)/VLOOKUP("USD",'Exchange Rates'!B:C,2,0)))/S711,"."),".")</f>
        <v>.</v>
      </c>
      <c r="AZ711" s="182" t="str">
        <f>IF(AND(AD711=1,D711="Military",H711&lt;&gt;"Not given")=TRUE,IF(SUMIFS(P:P,A:A,A711)&gt;0,IF((ABS((SUMIFS(P:P,A:A,A711)/VLOOKUP("USD",'Exchange Rates'!B:C,2,0)))/S711)&gt;1,(SUMIFS(P:P,A:A,A711)-S711)/S711,(S711-SUMIFS(P:P,A:A,A711))/SUMIFS(P:P,A:A,A711)),"."),".")</f>
        <v>.</v>
      </c>
      <c r="BA711" s="182"/>
      <c r="BB711" s="182"/>
      <c r="BC711" s="182"/>
      <c r="BD711" s="182"/>
      <c r="BE711" s="182"/>
      <c r="BF711" s="182"/>
      <c r="BG711" s="182"/>
      <c r="BH711" s="182"/>
      <c r="BI711" s="182"/>
      <c r="BJ711" s="182"/>
      <c r="BK711" s="182"/>
      <c r="BL711" s="182"/>
      <c r="BM711" s="182"/>
      <c r="BN711" s="182"/>
      <c r="BO711" s="182"/>
      <c r="BP711" s="182"/>
      <c r="BQ711" s="182"/>
      <c r="BR711" s="182"/>
      <c r="BS711" s="182"/>
    </row>
    <row r="712" spans="1:71" ht="15.9" customHeight="1" x14ac:dyDescent="0.3">
      <c r="A712" s="5" t="s">
        <v>2075</v>
      </c>
      <c r="B712" s="5" t="s">
        <v>2076</v>
      </c>
      <c r="C712" s="174">
        <v>44618</v>
      </c>
      <c r="D712" s="5" t="s">
        <v>285</v>
      </c>
      <c r="E712" s="5" t="s">
        <v>286</v>
      </c>
      <c r="F712" s="175" t="s">
        <v>2089</v>
      </c>
      <c r="G712" s="15" t="s">
        <v>364</v>
      </c>
      <c r="H712" s="176">
        <v>50000000</v>
      </c>
      <c r="I712" s="17" t="s">
        <v>1638</v>
      </c>
      <c r="J712" s="113" t="str">
        <f>VLOOKUP($I712,'Price List, Weapons &amp; Items'!B:C,2,0)</f>
        <v>Ammunition for portable defence system</v>
      </c>
      <c r="K712" s="113" t="str">
        <f>IF(I712=".",I712,VLOOKUP($I712,'Price List, Weapons &amp; Items'!B:D,3,0))</f>
        <v>MANPADS ammunition</v>
      </c>
      <c r="L712" s="177">
        <f>VLOOKUP(I712,'Price List, Weapons &amp; Items'!B:E,4,0)</f>
        <v>0</v>
      </c>
      <c r="M712" s="542">
        <v>200</v>
      </c>
      <c r="N712" s="542">
        <v>200</v>
      </c>
      <c r="O712" s="543">
        <f>VLOOKUP($I712,'Price List, Weapons &amp; Items'!B:G,6,0)</f>
        <v>480000</v>
      </c>
      <c r="P712" s="176">
        <f t="shared" si="140"/>
        <v>96000000</v>
      </c>
      <c r="Q712" s="176">
        <f t="shared" si="141"/>
        <v>96000000</v>
      </c>
      <c r="R712" s="176" t="str">
        <f t="shared" si="138"/>
        <v/>
      </c>
      <c r="S712" s="176" t="str">
        <f>IF(AND(AD712=1,R712&lt;&gt;".")=TRUE,R712/VLOOKUP(G712,'Exchange Rates'!B:C,2,0),IF(R712=".",".",""))</f>
        <v/>
      </c>
      <c r="T712" s="176" t="str">
        <f>IF(AD712=1,IF(AF712="Value is not given at all",".",IF(AF712="Value is given by the source",S712,IF(AF712="Value is calculated with prices",(IF(SUMIFS(Q:Q,A:A,A712)&gt;0,SUMIFS(Q:Q,A:A,A712),"."))/VLOOKUP("USD",'Exchange Rates'!B:C,2,0),"Error with coding"))),"")</f>
        <v/>
      </c>
      <c r="U712" s="15" t="s">
        <v>261</v>
      </c>
      <c r="V712" s="547" t="s">
        <v>2078</v>
      </c>
      <c r="W712" s="547" t="s">
        <v>2090</v>
      </c>
      <c r="X712" s="547" t="s">
        <v>2091</v>
      </c>
      <c r="Y712" s="547" t="s">
        <v>2092</v>
      </c>
      <c r="Z712" s="180">
        <v>0</v>
      </c>
      <c r="AA712" s="180">
        <v>0</v>
      </c>
      <c r="AB712" s="550" t="s">
        <v>2078</v>
      </c>
      <c r="AC712" s="544" t="str">
        <f>""</f>
        <v/>
      </c>
      <c r="AD712" s="181">
        <v>0</v>
      </c>
      <c r="AE712" s="181" t="s">
        <v>264</v>
      </c>
      <c r="AF712" s="181" t="s">
        <v>264</v>
      </c>
      <c r="AG712" s="181">
        <v>1</v>
      </c>
      <c r="AH712" s="181">
        <v>2</v>
      </c>
      <c r="AI712" s="181">
        <v>0</v>
      </c>
      <c r="AJ712" s="181">
        <f>VLOOKUP($I712,'Price List, Weapons &amp; Items'!B:F,5,0)</f>
        <v>0</v>
      </c>
      <c r="AK712" s="181">
        <f t="shared" si="142"/>
        <v>0</v>
      </c>
      <c r="AL712" s="181">
        <f t="shared" si="143"/>
        <v>0</v>
      </c>
      <c r="AM712" s="181">
        <f t="shared" si="144"/>
        <v>0</v>
      </c>
      <c r="AN712" s="180" t="str">
        <f>VLOOKUP($I712,'Price List, Weapons &amp; Items'!B:L,COLUMN('Price List, Weapons &amp; Items'!$J$11)-1,0)</f>
        <v>Media reports (incl. social media)</v>
      </c>
      <c r="AO712" s="180" t="str">
        <f>IF(I712=".",".",VLOOKUP($I712,'Price List, Weapons &amp; Items'!B:J,3,0))</f>
        <v>MANPADS ammunition</v>
      </c>
      <c r="AP712" s="545" t="str">
        <f t="shared" ca="1" si="139"/>
        <v/>
      </c>
      <c r="AQ712" s="180">
        <f>VLOOKUP($I712,'Price List, Weapons &amp; Items'!B:L,COLUMN('Price List, Weapons &amp; Items'!$L$11)-1,0)</f>
        <v>2</v>
      </c>
      <c r="AR712" s="180">
        <f t="shared" si="145"/>
        <v>1</v>
      </c>
      <c r="AS712" s="180">
        <f t="shared" si="146"/>
        <v>1</v>
      </c>
      <c r="AT712" s="180">
        <f t="shared" si="147"/>
        <v>1</v>
      </c>
      <c r="AU712" s="180" t="str">
        <f t="shared" si="148"/>
        <v>.</v>
      </c>
      <c r="AV712" s="180" t="str">
        <f t="shared" si="149"/>
        <v>.</v>
      </c>
      <c r="AW712" s="180">
        <f>IFERROR(VLOOKUP(B712,'Share, Heavy Weapons to Ukraine'!B:J,COLUMN('Share, Heavy Weapons to Ukraine'!C725)-1,0),0)</f>
        <v>0</v>
      </c>
      <c r="AX712" s="180">
        <f>VLOOKUP('Bilateral Assistance, MAIN DATA'!B712,'Country Summary'!B:F,COLUMN('Country Summary'!C728)-1,FALSE)</f>
        <v>1</v>
      </c>
      <c r="AY712" s="180" t="str">
        <f>IF(AND(AD712=1,D712="Military",H712&lt;&gt;"Not given")=TRUE,IF(SUMIFS(P:P,A:A,A712)&gt;0,ABS((SUMIFS(P:P,A:A,A712)/VLOOKUP("USD",'Exchange Rates'!B:C,2,0)))/S712,"."),".")</f>
        <v>.</v>
      </c>
      <c r="AZ712" s="182" t="str">
        <f>IF(AND(AD712=1,D712="Military",H712&lt;&gt;"Not given")=TRUE,IF(SUMIFS(P:P,A:A,A712)&gt;0,IF((ABS((SUMIFS(P:P,A:A,A712)/VLOOKUP("USD",'Exchange Rates'!B:C,2,0)))/S712)&gt;1,(SUMIFS(P:P,A:A,A712)-S712)/S712,(S712-SUMIFS(P:P,A:A,A712))/SUMIFS(P:P,A:A,A712)),"."),".")</f>
        <v>.</v>
      </c>
      <c r="BA712" s="182"/>
      <c r="BB712" s="182"/>
      <c r="BC712" s="182"/>
      <c r="BD712" s="182"/>
      <c r="BE712" s="182"/>
      <c r="BF712" s="182"/>
      <c r="BG712" s="182"/>
      <c r="BH712" s="182"/>
      <c r="BI712" s="182"/>
      <c r="BJ712" s="182"/>
      <c r="BK712" s="182"/>
      <c r="BL712" s="182"/>
      <c r="BM712" s="182"/>
      <c r="BN712" s="182"/>
      <c r="BO712" s="182"/>
      <c r="BP712" s="182"/>
      <c r="BQ712" s="182"/>
      <c r="BR712" s="182"/>
      <c r="BS712" s="182"/>
    </row>
    <row r="713" spans="1:71" ht="15.9" customHeight="1" x14ac:dyDescent="0.3">
      <c r="A713" s="5" t="s">
        <v>2075</v>
      </c>
      <c r="B713" s="5" t="s">
        <v>2076</v>
      </c>
      <c r="C713" s="174">
        <v>44618</v>
      </c>
      <c r="D713" s="5" t="s">
        <v>285</v>
      </c>
      <c r="E713" s="5" t="s">
        <v>286</v>
      </c>
      <c r="F713" s="175" t="s">
        <v>2089</v>
      </c>
      <c r="G713" s="15" t="s">
        <v>364</v>
      </c>
      <c r="H713" s="176">
        <v>50000000</v>
      </c>
      <c r="I713" s="17" t="s">
        <v>1498</v>
      </c>
      <c r="J713" s="113" t="str">
        <f>VLOOKUP($I713,'Price List, Weapons &amp; Items'!B:C,2,0)</f>
        <v>Portable defence system</v>
      </c>
      <c r="K713" s="113" t="str">
        <f>IF(I713=".",I713,VLOOKUP($I713,'Price List, Weapons &amp; Items'!B:D,3,0))</f>
        <v>Light Anti-armor Weapon (LAW)</v>
      </c>
      <c r="L713" s="177">
        <f>VLOOKUP(I713,'Price List, Weapons &amp; Items'!B:E,4,0)</f>
        <v>0</v>
      </c>
      <c r="M713" s="542">
        <v>50</v>
      </c>
      <c r="N713" s="542">
        <v>50</v>
      </c>
      <c r="O713" s="543">
        <f>VLOOKUP($I713,'Price List, Weapons &amp; Items'!B:G,6,0)</f>
        <v>11108</v>
      </c>
      <c r="P713" s="176">
        <f t="shared" si="140"/>
        <v>555400</v>
      </c>
      <c r="Q713" s="176">
        <f t="shared" si="141"/>
        <v>555400</v>
      </c>
      <c r="R713" s="176" t="str">
        <f t="shared" si="138"/>
        <v/>
      </c>
      <c r="S713" s="176" t="str">
        <f>IF(AND(AD713=1,R713&lt;&gt;".")=TRUE,R713/VLOOKUP(G713,'Exchange Rates'!B:C,2,0),IF(R713=".",".",""))</f>
        <v/>
      </c>
      <c r="T713" s="176" t="str">
        <f>IF(AD713=1,IF(AF713="Value is not given at all",".",IF(AF713="Value is given by the source",S713,IF(AF713="Value is calculated with prices",(IF(SUMIFS(Q:Q,A:A,A713)&gt;0,SUMIFS(Q:Q,A:A,A713),"."))/VLOOKUP("USD",'Exchange Rates'!B:C,2,0),"Error with coding"))),"")</f>
        <v/>
      </c>
      <c r="U713" s="15" t="s">
        <v>261</v>
      </c>
      <c r="V713" s="547" t="s">
        <v>2078</v>
      </c>
      <c r="W713" s="547" t="s">
        <v>2090</v>
      </c>
      <c r="X713" s="547" t="s">
        <v>2091</v>
      </c>
      <c r="Y713" s="547" t="s">
        <v>2092</v>
      </c>
      <c r="Z713" s="180">
        <v>0</v>
      </c>
      <c r="AA713" s="180">
        <v>0</v>
      </c>
      <c r="AB713" s="550" t="s">
        <v>2078</v>
      </c>
      <c r="AC713" s="544" t="str">
        <f>""</f>
        <v/>
      </c>
      <c r="AD713" s="181">
        <v>0</v>
      </c>
      <c r="AE713" s="181" t="s">
        <v>264</v>
      </c>
      <c r="AF713" s="181" t="s">
        <v>264</v>
      </c>
      <c r="AG713" s="181">
        <v>1</v>
      </c>
      <c r="AH713" s="181">
        <v>2</v>
      </c>
      <c r="AI713" s="181">
        <v>0</v>
      </c>
      <c r="AJ713" s="181">
        <f>VLOOKUP($I713,'Price List, Weapons &amp; Items'!B:F,5,0)</f>
        <v>0</v>
      </c>
      <c r="AK713" s="181">
        <f t="shared" si="142"/>
        <v>0</v>
      </c>
      <c r="AL713" s="181">
        <f t="shared" si="143"/>
        <v>0</v>
      </c>
      <c r="AM713" s="181">
        <f t="shared" si="144"/>
        <v>0</v>
      </c>
      <c r="AN713" s="180" t="str">
        <f>VLOOKUP($I713,'Price List, Weapons &amp; Items'!B:L,COLUMN('Price List, Weapons &amp; Items'!$J$11)-1,0)</f>
        <v>Military media (incl. websites)</v>
      </c>
      <c r="AO713" s="180" t="str">
        <f>IF(I713=".",".",VLOOKUP($I713,'Price List, Weapons &amp; Items'!B:J,3,0))</f>
        <v>Light Anti-armor Weapon (LAW)</v>
      </c>
      <c r="AP713" s="545" t="str">
        <f t="shared" ca="1" si="139"/>
        <v/>
      </c>
      <c r="AQ713" s="180">
        <f>VLOOKUP($I713,'Price List, Weapons &amp; Items'!B:L,COLUMN('Price List, Weapons &amp; Items'!$L$11)-1,0)</f>
        <v>2</v>
      </c>
      <c r="AR713" s="180">
        <f t="shared" si="145"/>
        <v>1</v>
      </c>
      <c r="AS713" s="180">
        <f t="shared" si="146"/>
        <v>1</v>
      </c>
      <c r="AT713" s="180">
        <f t="shared" si="147"/>
        <v>1</v>
      </c>
      <c r="AU713" s="180" t="str">
        <f t="shared" si="148"/>
        <v>.</v>
      </c>
      <c r="AV713" s="180" t="str">
        <f t="shared" si="149"/>
        <v>.</v>
      </c>
      <c r="AW713" s="180">
        <f>IFERROR(VLOOKUP(B713,'Share, Heavy Weapons to Ukraine'!B:J,COLUMN('Share, Heavy Weapons to Ukraine'!C726)-1,0),0)</f>
        <v>0</v>
      </c>
      <c r="AX713" s="180">
        <f>VLOOKUP('Bilateral Assistance, MAIN DATA'!B713,'Country Summary'!B:F,COLUMN('Country Summary'!C729)-1,FALSE)</f>
        <v>1</v>
      </c>
      <c r="AY713" s="180" t="str">
        <f>IF(AND(AD713=1,D713="Military",H713&lt;&gt;"Not given")=TRUE,IF(SUMIFS(P:P,A:A,A713)&gt;0,ABS((SUMIFS(P:P,A:A,A713)/VLOOKUP("USD",'Exchange Rates'!B:C,2,0)))/S713,"."),".")</f>
        <v>.</v>
      </c>
      <c r="AZ713" s="182" t="str">
        <f>IF(AND(AD713=1,D713="Military",H713&lt;&gt;"Not given")=TRUE,IF(SUMIFS(P:P,A:A,A713)&gt;0,IF((ABS((SUMIFS(P:P,A:A,A713)/VLOOKUP("USD",'Exchange Rates'!B:C,2,0)))/S713)&gt;1,(SUMIFS(P:P,A:A,A713)-S713)/S713,(S713-SUMIFS(P:P,A:A,A713))/SUMIFS(P:P,A:A,A713)),"."),".")</f>
        <v>.</v>
      </c>
      <c r="BA713" s="182"/>
      <c r="BB713" s="182"/>
      <c r="BC713" s="182"/>
      <c r="BD713" s="182"/>
      <c r="BE713" s="182"/>
      <c r="BF713" s="182"/>
      <c r="BG713" s="182"/>
      <c r="BH713" s="182"/>
      <c r="BI713" s="182"/>
      <c r="BJ713" s="182"/>
      <c r="BK713" s="182"/>
      <c r="BL713" s="182"/>
      <c r="BM713" s="182"/>
      <c r="BN713" s="182"/>
      <c r="BO713" s="182"/>
      <c r="BP713" s="182"/>
      <c r="BQ713" s="182"/>
      <c r="BR713" s="182"/>
      <c r="BS713" s="182"/>
    </row>
    <row r="714" spans="1:71" ht="15.9" customHeight="1" x14ac:dyDescent="0.3">
      <c r="A714" s="5" t="s">
        <v>2075</v>
      </c>
      <c r="B714" s="5" t="s">
        <v>2076</v>
      </c>
      <c r="C714" s="174">
        <v>44618</v>
      </c>
      <c r="D714" s="5" t="s">
        <v>285</v>
      </c>
      <c r="E714" s="5" t="s">
        <v>286</v>
      </c>
      <c r="F714" s="175" t="s">
        <v>2089</v>
      </c>
      <c r="G714" s="15" t="s">
        <v>364</v>
      </c>
      <c r="H714" s="176">
        <v>50000000</v>
      </c>
      <c r="I714" s="17" t="s">
        <v>2093</v>
      </c>
      <c r="J714" s="113" t="str">
        <f>VLOOKUP($I714,'Price List, Weapons &amp; Items'!B:C,2,0)</f>
        <v>Ammunition for portable defence system</v>
      </c>
      <c r="K714" s="113" t="str">
        <f>IF(I714=".",I714,VLOOKUP($I714,'Price List, Weapons &amp; Items'!B:D,3,0))</f>
        <v>Light Anti-armor Weapon (LAW) ammunition</v>
      </c>
      <c r="L714" s="177">
        <f>VLOOKUP(I714,'Price List, Weapons &amp; Items'!B:E,4,0)</f>
        <v>0</v>
      </c>
      <c r="M714" s="542">
        <v>400</v>
      </c>
      <c r="N714" s="542">
        <v>400</v>
      </c>
      <c r="O714" s="543">
        <f>VLOOKUP($I714,'Price List, Weapons &amp; Items'!B:G,6,0)</f>
        <v>297</v>
      </c>
      <c r="P714" s="176">
        <f t="shared" si="140"/>
        <v>118800</v>
      </c>
      <c r="Q714" s="176">
        <f t="shared" si="141"/>
        <v>118800</v>
      </c>
      <c r="R714" s="176" t="str">
        <f t="shared" si="138"/>
        <v/>
      </c>
      <c r="S714" s="176" t="str">
        <f>IF(AND(AD714=1,R714&lt;&gt;".")=TRUE,R714/VLOOKUP(G714,'Exchange Rates'!B:C,2,0),IF(R714=".",".",""))</f>
        <v/>
      </c>
      <c r="T714" s="176" t="str">
        <f>IF(AD714=1,IF(AF714="Value is not given at all",".",IF(AF714="Value is given by the source",S714,IF(AF714="Value is calculated with prices",(IF(SUMIFS(Q:Q,A:A,A714)&gt;0,SUMIFS(Q:Q,A:A,A714),"."))/VLOOKUP("USD",'Exchange Rates'!B:C,2,0),"Error with coding"))),"")</f>
        <v/>
      </c>
      <c r="U714" s="15" t="s">
        <v>261</v>
      </c>
      <c r="V714" s="547" t="s">
        <v>2078</v>
      </c>
      <c r="W714" s="547" t="s">
        <v>2090</v>
      </c>
      <c r="X714" s="547" t="s">
        <v>2091</v>
      </c>
      <c r="Y714" s="547" t="s">
        <v>2092</v>
      </c>
      <c r="Z714" s="180">
        <v>0</v>
      </c>
      <c r="AA714" s="180">
        <v>0</v>
      </c>
      <c r="AB714" s="550" t="s">
        <v>2078</v>
      </c>
      <c r="AC714" s="544" t="str">
        <f>""</f>
        <v/>
      </c>
      <c r="AD714" s="181">
        <v>0</v>
      </c>
      <c r="AE714" s="181" t="s">
        <v>264</v>
      </c>
      <c r="AF714" s="181" t="s">
        <v>264</v>
      </c>
      <c r="AG714" s="181">
        <v>1</v>
      </c>
      <c r="AH714" s="181">
        <v>2</v>
      </c>
      <c r="AI714" s="181">
        <v>0</v>
      </c>
      <c r="AJ714" s="181">
        <f>VLOOKUP($I714,'Price List, Weapons &amp; Items'!B:F,5,0)</f>
        <v>0</v>
      </c>
      <c r="AK714" s="181">
        <f t="shared" si="142"/>
        <v>0</v>
      </c>
      <c r="AL714" s="181">
        <f t="shared" si="143"/>
        <v>0</v>
      </c>
      <c r="AM714" s="181">
        <f t="shared" si="144"/>
        <v>0</v>
      </c>
      <c r="AN714" s="180" t="str">
        <f>VLOOKUP($I714,'Price List, Weapons &amp; Items'!B:L,COLUMN('Price List, Weapons &amp; Items'!$J$11)-1,0)</f>
        <v>Miscellaneous</v>
      </c>
      <c r="AO714" s="180" t="str">
        <f>IF(I714=".",".",VLOOKUP($I714,'Price List, Weapons &amp; Items'!B:J,3,0))</f>
        <v>Light Anti-armor Weapon (LAW) ammunition</v>
      </c>
      <c r="AP714" s="545" t="str">
        <f t="shared" ca="1" si="139"/>
        <v/>
      </c>
      <c r="AQ714" s="180">
        <f>VLOOKUP($I714,'Price List, Weapons &amp; Items'!B:L,COLUMN('Price List, Weapons &amp; Items'!$L$11)-1,0)</f>
        <v>1</v>
      </c>
      <c r="AR714" s="180">
        <f t="shared" si="145"/>
        <v>1</v>
      </c>
      <c r="AS714" s="180">
        <f t="shared" si="146"/>
        <v>1</v>
      </c>
      <c r="AT714" s="180">
        <f t="shared" si="147"/>
        <v>1</v>
      </c>
      <c r="AU714" s="180" t="str">
        <f t="shared" si="148"/>
        <v>.</v>
      </c>
      <c r="AV714" s="180" t="str">
        <f t="shared" si="149"/>
        <v>.</v>
      </c>
      <c r="AW714" s="180">
        <f>IFERROR(VLOOKUP(B714,'Share, Heavy Weapons to Ukraine'!B:J,COLUMN('Share, Heavy Weapons to Ukraine'!C727)-1,0),0)</f>
        <v>0</v>
      </c>
      <c r="AX714" s="180">
        <f>VLOOKUP('Bilateral Assistance, MAIN DATA'!B714,'Country Summary'!B:F,COLUMN('Country Summary'!C730)-1,FALSE)</f>
        <v>1</v>
      </c>
      <c r="AY714" s="180" t="str">
        <f>IF(AND(AD714=1,D714="Military",H714&lt;&gt;"Not given")=TRUE,IF(SUMIFS(P:P,A:A,A714)&gt;0,ABS((SUMIFS(P:P,A:A,A714)/VLOOKUP("USD",'Exchange Rates'!B:C,2,0)))/S714,"."),".")</f>
        <v>.</v>
      </c>
      <c r="AZ714" s="182" t="str">
        <f>IF(AND(AD714=1,D714="Military",H714&lt;&gt;"Not given")=TRUE,IF(SUMIFS(P:P,A:A,A714)&gt;0,IF((ABS((SUMIFS(P:P,A:A,A714)/VLOOKUP("USD",'Exchange Rates'!B:C,2,0)))/S714)&gt;1,(SUMIFS(P:P,A:A,A714)-S714)/S714,(S714-SUMIFS(P:P,A:A,A714))/SUMIFS(P:P,A:A,A714)),"."),".")</f>
        <v>.</v>
      </c>
      <c r="BA714" s="182"/>
      <c r="BB714" s="182"/>
      <c r="BC714" s="182"/>
      <c r="BD714" s="182"/>
      <c r="BE714" s="182"/>
      <c r="BF714" s="182"/>
      <c r="BG714" s="182"/>
      <c r="BH714" s="182"/>
      <c r="BI714" s="182"/>
      <c r="BJ714" s="182"/>
      <c r="BK714" s="182"/>
      <c r="BL714" s="182"/>
      <c r="BM714" s="182"/>
      <c r="BN714" s="182"/>
      <c r="BO714" s="182"/>
      <c r="BP714" s="182"/>
      <c r="BQ714" s="182"/>
      <c r="BR714" s="182"/>
      <c r="BS714" s="182"/>
    </row>
    <row r="715" spans="1:71" ht="15.9" customHeight="1" x14ac:dyDescent="0.3">
      <c r="A715" s="5" t="s">
        <v>2075</v>
      </c>
      <c r="B715" s="5" t="s">
        <v>2076</v>
      </c>
      <c r="C715" s="174">
        <v>44636</v>
      </c>
      <c r="D715" s="5" t="s">
        <v>285</v>
      </c>
      <c r="E715" s="5" t="s">
        <v>339</v>
      </c>
      <c r="F715" s="175" t="s">
        <v>2094</v>
      </c>
      <c r="G715" s="15" t="s">
        <v>364</v>
      </c>
      <c r="H715" s="176">
        <v>50000000</v>
      </c>
      <c r="I715" s="17" t="s">
        <v>260</v>
      </c>
      <c r="J715" s="113" t="str">
        <f>VLOOKUP($I715,'Price List, Weapons &amp; Items'!B:C,2,0)</f>
        <v>.</v>
      </c>
      <c r="K715" s="113" t="str">
        <f>IF(I715=".",I715,VLOOKUP($I715,'Price List, Weapons &amp; Items'!B:D,3,0))</f>
        <v>.</v>
      </c>
      <c r="L715" s="177">
        <f>VLOOKUP(I715,'Price List, Weapons &amp; Items'!B:E,4,0)</f>
        <v>0</v>
      </c>
      <c r="M715" s="542" t="s">
        <v>260</v>
      </c>
      <c r="N715" s="542" t="s">
        <v>260</v>
      </c>
      <c r="O715" s="543" t="str">
        <f>VLOOKUP($I715,'Price List, Weapons &amp; Items'!B:G,6,0)</f>
        <v>.</v>
      </c>
      <c r="P715" s="176" t="str">
        <f t="shared" si="140"/>
        <v>.</v>
      </c>
      <c r="Q715" s="176" t="str">
        <f t="shared" si="141"/>
        <v>.</v>
      </c>
      <c r="R715" s="176" t="str">
        <f t="shared" si="138"/>
        <v/>
      </c>
      <c r="S715" s="176" t="str">
        <f>IF(AND(AD715=1,R715&lt;&gt;".")=TRUE,R715/VLOOKUP(G715,'Exchange Rates'!B:C,2,0),IF(R715=".",".",""))</f>
        <v/>
      </c>
      <c r="T715" s="176" t="str">
        <f>IF(AD715=1,IF(AF715="Value is not given at all",".",IF(AF715="Value is given by the source",S715,IF(AF715="Value is calculated with prices",(IF(SUMIFS(Q:Q,A:A,A715)&gt;0,SUMIFS(Q:Q,A:A,A715),"."))/VLOOKUP("USD",'Exchange Rates'!B:C,2,0),"Error with coding"))),"")</f>
        <v/>
      </c>
      <c r="U715" s="15" t="s">
        <v>261</v>
      </c>
      <c r="V715" s="547" t="s">
        <v>2078</v>
      </c>
      <c r="W715" s="300" t="s">
        <v>2095</v>
      </c>
      <c r="X715" s="175" t="s">
        <v>260</v>
      </c>
      <c r="Y715" s="300" t="s">
        <v>2092</v>
      </c>
      <c r="Z715" s="180">
        <v>0</v>
      </c>
      <c r="AA715" s="180">
        <v>0</v>
      </c>
      <c r="AB715" s="550" t="s">
        <v>2078</v>
      </c>
      <c r="AC715" s="544" t="str">
        <f>""</f>
        <v/>
      </c>
      <c r="AD715" s="181">
        <v>0</v>
      </c>
      <c r="AE715" s="181" t="s">
        <v>264</v>
      </c>
      <c r="AF715" s="181" t="s">
        <v>264</v>
      </c>
      <c r="AG715" s="181">
        <v>1</v>
      </c>
      <c r="AH715" s="181">
        <v>3</v>
      </c>
      <c r="AI715" s="181">
        <v>0</v>
      </c>
      <c r="AJ715" s="181">
        <f>VLOOKUP($I715,'Price List, Weapons &amp; Items'!B:F,5,0)</f>
        <v>0</v>
      </c>
      <c r="AK715" s="181">
        <f t="shared" si="142"/>
        <v>0</v>
      </c>
      <c r="AL715" s="181">
        <f t="shared" si="143"/>
        <v>0</v>
      </c>
      <c r="AM715" s="181">
        <f t="shared" si="144"/>
        <v>0</v>
      </c>
      <c r="AN715" s="180" t="str">
        <f>VLOOKUP($I715,'Price List, Weapons &amp; Items'!B:L,COLUMN('Price List, Weapons &amp; Items'!$J$11)-1,0)</f>
        <v>.</v>
      </c>
      <c r="AO715" s="180" t="str">
        <f>IF(I715=".",".",VLOOKUP($I715,'Price List, Weapons &amp; Items'!B:J,3,0))</f>
        <v>.</v>
      </c>
      <c r="AP715" s="545" t="str">
        <f t="shared" ca="1" si="139"/>
        <v/>
      </c>
      <c r="AQ715" s="180" t="str">
        <f>VLOOKUP($I715,'Price List, Weapons &amp; Items'!B:L,COLUMN('Price List, Weapons &amp; Items'!$L$11)-1,0)</f>
        <v>no price, 0 count</v>
      </c>
      <c r="AR715" s="180">
        <f t="shared" si="145"/>
        <v>1</v>
      </c>
      <c r="AS715" s="180">
        <f t="shared" si="146"/>
        <v>1</v>
      </c>
      <c r="AT715" s="180">
        <f t="shared" si="147"/>
        <v>1</v>
      </c>
      <c r="AU715" s="180" t="str">
        <f t="shared" si="148"/>
        <v>.</v>
      </c>
      <c r="AV715" s="180" t="str">
        <f t="shared" si="149"/>
        <v>.</v>
      </c>
      <c r="AW715" s="180">
        <f>IFERROR(VLOOKUP(B715,'Share, Heavy Weapons to Ukraine'!B:J,COLUMN('Share, Heavy Weapons to Ukraine'!C728)-1,0),0)</f>
        <v>0</v>
      </c>
      <c r="AX715" s="180">
        <f>VLOOKUP('Bilateral Assistance, MAIN DATA'!B715,'Country Summary'!B:F,COLUMN('Country Summary'!C731)-1,FALSE)</f>
        <v>1</v>
      </c>
      <c r="AY715" s="180" t="str">
        <f>IF(AND(AD715=1,D715="Military",H715&lt;&gt;"Not given")=TRUE,IF(SUMIFS(P:P,A:A,A715)&gt;0,ABS((SUMIFS(P:P,A:A,A715)/VLOOKUP("USD",'Exchange Rates'!B:C,2,0)))/S715,"."),".")</f>
        <v>.</v>
      </c>
      <c r="AZ715" s="182" t="str">
        <f>IF(AND(AD715=1,D715="Military",H715&lt;&gt;"Not given")=TRUE,IF(SUMIFS(P:P,A:A,A715)&gt;0,IF((ABS((SUMIFS(P:P,A:A,A715)/VLOOKUP("USD",'Exchange Rates'!B:C,2,0)))/S715)&gt;1,(SUMIFS(P:P,A:A,A715)-S715)/S715,(S715-SUMIFS(P:P,A:A,A715))/SUMIFS(P:P,A:A,A715)),"."),".")</f>
        <v>.</v>
      </c>
      <c r="BA715" s="182"/>
      <c r="BB715" s="182"/>
      <c r="BC715" s="182"/>
      <c r="BD715" s="182"/>
      <c r="BE715" s="182"/>
      <c r="BF715" s="182"/>
      <c r="BG715" s="182"/>
      <c r="BH715" s="182"/>
      <c r="BI715" s="182"/>
      <c r="BJ715" s="182"/>
      <c r="BK715" s="182"/>
      <c r="BL715" s="182"/>
      <c r="BM715" s="182"/>
      <c r="BN715" s="182"/>
      <c r="BO715" s="182"/>
      <c r="BP715" s="182"/>
      <c r="BQ715" s="182"/>
      <c r="BR715" s="182"/>
      <c r="BS715" s="182"/>
    </row>
    <row r="716" spans="1:71" ht="15.9" customHeight="1" x14ac:dyDescent="0.3">
      <c r="A716" s="5" t="s">
        <v>2075</v>
      </c>
      <c r="B716" s="5" t="s">
        <v>2076</v>
      </c>
      <c r="C716" s="174">
        <v>44670</v>
      </c>
      <c r="D716" s="5" t="s">
        <v>285</v>
      </c>
      <c r="E716" s="5" t="s">
        <v>294</v>
      </c>
      <c r="F716" s="175" t="s">
        <v>2096</v>
      </c>
      <c r="G716" s="15" t="s">
        <v>364</v>
      </c>
      <c r="H716" s="176">
        <v>50000000</v>
      </c>
      <c r="I716" s="17" t="s">
        <v>2097</v>
      </c>
      <c r="J716" s="113" t="str">
        <f>VLOOKUP($I716,'Price List, Weapons &amp; Items'!B:C,2,0)</f>
        <v>Heavy weapon</v>
      </c>
      <c r="K716" s="113" t="str">
        <f>IF(I716=".",I716,VLOOKUP($I716,'Price List, Weapons &amp; Items'!B:D,3,0))</f>
        <v>Infantry fighting vehicle (IFV)</v>
      </c>
      <c r="L716" s="177">
        <f>VLOOKUP(I716,'Price List, Weapons &amp; Items'!B:E,4,0)</f>
        <v>0</v>
      </c>
      <c r="M716" s="542" t="s">
        <v>270</v>
      </c>
      <c r="N716" s="542" t="s">
        <v>270</v>
      </c>
      <c r="O716" s="543">
        <f>VLOOKUP($I716,'Price List, Weapons &amp; Items'!B:G,6,0)</f>
        <v>334029</v>
      </c>
      <c r="P716" s="176" t="str">
        <f t="shared" si="140"/>
        <v>.</v>
      </c>
      <c r="Q716" s="176" t="str">
        <f t="shared" si="141"/>
        <v>.</v>
      </c>
      <c r="R716" s="176" t="str">
        <f t="shared" si="138"/>
        <v/>
      </c>
      <c r="S716" s="176" t="str">
        <f>IF(AND(AD716=1,R716&lt;&gt;".")=TRUE,R716/VLOOKUP(G716,'Exchange Rates'!B:C,2,0),IF(R716=".",".",""))</f>
        <v/>
      </c>
      <c r="T716" s="176" t="str">
        <f>IF(AD716=1,IF(AF716="Value is not given at all",".",IF(AF716="Value is given by the source",S716,IF(AF716="Value is calculated with prices",(IF(SUMIFS(Q:Q,A:A,A716)&gt;0,SUMIFS(Q:Q,A:A,A716),"."))/VLOOKUP("USD",'Exchange Rates'!B:C,2,0),"Error with coding"))),"")</f>
        <v/>
      </c>
      <c r="U716" s="15" t="s">
        <v>261</v>
      </c>
      <c r="V716" s="547" t="s">
        <v>2078</v>
      </c>
      <c r="W716" s="300" t="s">
        <v>2098</v>
      </c>
      <c r="X716" s="531" t="s">
        <v>260</v>
      </c>
      <c r="Y716" s="144" t="s">
        <v>260</v>
      </c>
      <c r="Z716" s="180">
        <v>0</v>
      </c>
      <c r="AA716" s="180">
        <v>0</v>
      </c>
      <c r="AB716" s="550" t="s">
        <v>2099</v>
      </c>
      <c r="AC716" s="544" t="str">
        <f>""</f>
        <v/>
      </c>
      <c r="AD716" s="181">
        <v>0</v>
      </c>
      <c r="AE716" s="181" t="s">
        <v>264</v>
      </c>
      <c r="AF716" s="181" t="s">
        <v>264</v>
      </c>
      <c r="AG716" s="181">
        <v>1</v>
      </c>
      <c r="AH716" s="181">
        <v>4</v>
      </c>
      <c r="AI716" s="181">
        <v>0</v>
      </c>
      <c r="AJ716" s="181">
        <f>VLOOKUP($I716,'Price List, Weapons &amp; Items'!B:F,5,0)</f>
        <v>1</v>
      </c>
      <c r="AK716" s="181">
        <f t="shared" si="142"/>
        <v>1</v>
      </c>
      <c r="AL716" s="181">
        <f t="shared" si="143"/>
        <v>1</v>
      </c>
      <c r="AM716" s="181">
        <f t="shared" si="144"/>
        <v>0</v>
      </c>
      <c r="AN716" s="180" t="str">
        <f>VLOOKUP($I716,'Price List, Weapons &amp; Items'!B:L,COLUMN('Price List, Weapons &amp; Items'!$J$11)-1,0)</f>
        <v>Contracts</v>
      </c>
      <c r="AO716" s="180" t="str">
        <f>IF(I716=".",".",VLOOKUP($I716,'Price List, Weapons &amp; Items'!B:J,3,0))</f>
        <v>Infantry fighting vehicle (IFV)</v>
      </c>
      <c r="AP716" s="545" t="str">
        <f t="shared" ca="1" si="139"/>
        <v/>
      </c>
      <c r="AQ716" s="180" t="str">
        <f>VLOOKUP($I716,'Price List, Weapons &amp; Items'!B:L,COLUMN('Price List, Weapons &amp; Items'!$L$11)-1,0)</f>
        <v>no price, 0 count</v>
      </c>
      <c r="AR716" s="180">
        <f t="shared" si="145"/>
        <v>1</v>
      </c>
      <c r="AS716" s="180">
        <f t="shared" si="146"/>
        <v>1</v>
      </c>
      <c r="AT716" s="180">
        <f t="shared" si="147"/>
        <v>1</v>
      </c>
      <c r="AU716" s="180" t="str">
        <f t="shared" si="148"/>
        <v>.</v>
      </c>
      <c r="AV716" s="180" t="str">
        <f t="shared" si="149"/>
        <v>.</v>
      </c>
      <c r="AW716" s="180">
        <f>IFERROR(VLOOKUP(B716,'Share, Heavy Weapons to Ukraine'!B:J,COLUMN('Share, Heavy Weapons to Ukraine'!C729)-1,0),0)</f>
        <v>0</v>
      </c>
      <c r="AX716" s="180">
        <f>VLOOKUP('Bilateral Assistance, MAIN DATA'!B716,'Country Summary'!B:F,COLUMN('Country Summary'!C732)-1,FALSE)</f>
        <v>1</v>
      </c>
      <c r="AY716" s="180" t="str">
        <f>IF(AND(AD716=1,D716="Military",H716&lt;&gt;"Not given")=TRUE,IF(SUMIFS(P:P,A:A,A716)&gt;0,ABS((SUMIFS(P:P,A:A,A716)/VLOOKUP("USD",'Exchange Rates'!B:C,2,0)))/S716,"."),".")</f>
        <v>.</v>
      </c>
      <c r="AZ716" s="182" t="str">
        <f>IF(AND(AD716=1,D716="Military",H716&lt;&gt;"Not given")=TRUE,IF(SUMIFS(P:P,A:A,A716)&gt;0,IF((ABS((SUMIFS(P:P,A:A,A716)/VLOOKUP("USD",'Exchange Rates'!B:C,2,0)))/S716)&gt;1,(SUMIFS(P:P,A:A,A716)-S716)/S716,(S716-SUMIFS(P:P,A:A,A716))/SUMIFS(P:P,A:A,A716)),"."),".")</f>
        <v>.</v>
      </c>
      <c r="BA716" s="182"/>
      <c r="BB716" s="182"/>
      <c r="BC716" s="182"/>
      <c r="BD716" s="182"/>
      <c r="BE716" s="182"/>
      <c r="BF716" s="182"/>
      <c r="BG716" s="182"/>
      <c r="BH716" s="182"/>
      <c r="BI716" s="182"/>
      <c r="BJ716" s="182"/>
      <c r="BK716" s="182"/>
      <c r="BL716" s="182"/>
      <c r="BM716" s="182"/>
      <c r="BN716" s="182"/>
      <c r="BO716" s="182"/>
      <c r="BP716" s="182"/>
      <c r="BQ716" s="182"/>
      <c r="BR716" s="182"/>
      <c r="BS716" s="182"/>
    </row>
    <row r="717" spans="1:71" ht="15.9" customHeight="1" x14ac:dyDescent="0.3">
      <c r="A717" s="5" t="s">
        <v>2075</v>
      </c>
      <c r="B717" s="5" t="s">
        <v>2076</v>
      </c>
      <c r="C717" s="174" t="s">
        <v>2100</v>
      </c>
      <c r="D717" s="5" t="s">
        <v>285</v>
      </c>
      <c r="E717" s="5" t="s">
        <v>294</v>
      </c>
      <c r="F717" s="175" t="s">
        <v>2101</v>
      </c>
      <c r="G717" s="15" t="s">
        <v>364</v>
      </c>
      <c r="H717" s="176">
        <v>50000000</v>
      </c>
      <c r="I717" s="17" t="s">
        <v>956</v>
      </c>
      <c r="J717" s="113" t="str">
        <f>VLOOKUP($I717,'Price List, Weapons &amp; Items'!B:C,2,0)</f>
        <v>Aviation and drones</v>
      </c>
      <c r="K717" s="113" t="str">
        <f>IF(I717=".",I717,VLOOKUP($I717,'Price List, Weapons &amp; Items'!B:D,3,0))</f>
        <v>drone</v>
      </c>
      <c r="L717" s="177">
        <f>VLOOKUP(I717,'Price List, Weapons &amp; Items'!B:E,4,0)</f>
        <v>0</v>
      </c>
      <c r="M717" s="542" t="s">
        <v>270</v>
      </c>
      <c r="N717" s="542" t="s">
        <v>270</v>
      </c>
      <c r="O717" s="543">
        <f>VLOOKUP($I717,'Price List, Weapons &amp; Items'!B:G,6,0)</f>
        <v>6000</v>
      </c>
      <c r="P717" s="176" t="str">
        <f t="shared" si="140"/>
        <v>.</v>
      </c>
      <c r="Q717" s="176" t="str">
        <f t="shared" si="141"/>
        <v>.</v>
      </c>
      <c r="R717" s="176" t="str">
        <f t="shared" si="138"/>
        <v/>
      </c>
      <c r="S717" s="176" t="str">
        <f>IF(AND(AD717=1,R717&lt;&gt;".")=TRUE,R717/VLOOKUP(G717,'Exchange Rates'!B:C,2,0),IF(R717=".",".",""))</f>
        <v/>
      </c>
      <c r="T717" s="176" t="str">
        <f>IF(AD717=1,IF(AF717="Value is not given at all",".",IF(AF717="Value is given by the source",S717,IF(AF717="Value is calculated with prices",(IF(SUMIFS(Q:Q,A:A,A717)&gt;0,SUMIFS(Q:Q,A:A,A717),"."))/VLOOKUP("USD",'Exchange Rates'!B:C,2,0),"Error with coding"))),"")</f>
        <v/>
      </c>
      <c r="U717" s="15" t="s">
        <v>261</v>
      </c>
      <c r="V717" s="547" t="s">
        <v>2078</v>
      </c>
      <c r="W717" s="553" t="s">
        <v>2102</v>
      </c>
      <c r="X717" s="175" t="s">
        <v>260</v>
      </c>
      <c r="Y717" s="175" t="s">
        <v>260</v>
      </c>
      <c r="Z717" s="180">
        <v>0</v>
      </c>
      <c r="AA717" s="180">
        <v>0</v>
      </c>
      <c r="AB717" s="300" t="s">
        <v>2099</v>
      </c>
      <c r="AC717" s="544" t="str">
        <f>""</f>
        <v/>
      </c>
      <c r="AD717" s="181">
        <v>0</v>
      </c>
      <c r="AE717" s="181" t="s">
        <v>264</v>
      </c>
      <c r="AF717" s="181" t="s">
        <v>264</v>
      </c>
      <c r="AG717" s="181">
        <v>0</v>
      </c>
      <c r="AH717" s="181">
        <v>0</v>
      </c>
      <c r="AI717" s="181">
        <v>0</v>
      </c>
      <c r="AJ717" s="181">
        <f>VLOOKUP($I717,'Price List, Weapons &amp; Items'!B:F,5,0)</f>
        <v>0</v>
      </c>
      <c r="AK717" s="181">
        <f t="shared" si="142"/>
        <v>0</v>
      </c>
      <c r="AL717" s="181">
        <f t="shared" si="143"/>
        <v>0</v>
      </c>
      <c r="AM717" s="181">
        <f t="shared" si="144"/>
        <v>0</v>
      </c>
      <c r="AN717" s="180" t="str">
        <f>VLOOKUP($I717,'Price List, Weapons &amp; Items'!B:L,COLUMN('Price List, Weapons &amp; Items'!$J$11)-1,0)</f>
        <v>Miscellaneous</v>
      </c>
      <c r="AO717" s="180" t="str">
        <f>IF(I717=".",".",VLOOKUP($I717,'Price List, Weapons &amp; Items'!B:J,3,0))</f>
        <v>drone</v>
      </c>
      <c r="AP717" s="545" t="str">
        <f t="shared" ca="1" si="139"/>
        <v/>
      </c>
      <c r="AQ717" s="180">
        <f>VLOOKUP($I717,'Price List, Weapons &amp; Items'!B:L,COLUMN('Price List, Weapons &amp; Items'!$L$11)-1,0)</f>
        <v>1</v>
      </c>
      <c r="AR717" s="180">
        <f t="shared" si="145"/>
        <v>1</v>
      </c>
      <c r="AS717" s="180">
        <f t="shared" si="146"/>
        <v>1</v>
      </c>
      <c r="AT717" s="180" t="str">
        <f t="shared" si="147"/>
        <v>Value is not in date format</v>
      </c>
      <c r="AU717" s="180" t="str">
        <f t="shared" si="148"/>
        <v>.</v>
      </c>
      <c r="AV717" s="180" t="str">
        <f t="shared" si="149"/>
        <v>.</v>
      </c>
      <c r="AW717" s="180">
        <f>IFERROR(VLOOKUP(B717,'Share, Heavy Weapons to Ukraine'!B:J,COLUMN('Share, Heavy Weapons to Ukraine'!C730)-1,0),0)</f>
        <v>0</v>
      </c>
      <c r="AX717" s="180">
        <f>VLOOKUP('Bilateral Assistance, MAIN DATA'!B717,'Country Summary'!B:F,COLUMN('Country Summary'!C733)-1,FALSE)</f>
        <v>1</v>
      </c>
      <c r="AY717" s="180" t="str">
        <f>IF(AND(AD717=1,D717="Military",H717&lt;&gt;"Not given")=TRUE,IF(SUMIFS(P:P,A:A,A717)&gt;0,ABS((SUMIFS(P:P,A:A,A717)/VLOOKUP("USD",'Exchange Rates'!B:C,2,0)))/S717,"."),".")</f>
        <v>.</v>
      </c>
      <c r="AZ717" s="182" t="str">
        <f>IF(AND(AD717=1,D717="Military",H717&lt;&gt;"Not given")=TRUE,IF(SUMIFS(P:P,A:A,A717)&gt;0,IF((ABS((SUMIFS(P:P,A:A,A717)/VLOOKUP("USD",'Exchange Rates'!B:C,2,0)))/S717)&gt;1,(SUMIFS(P:P,A:A,A717)-S717)/S717,(S717-SUMIFS(P:P,A:A,A717))/SUMIFS(P:P,A:A,A717)),"."),".")</f>
        <v>.</v>
      </c>
      <c r="BA717" s="182"/>
      <c r="BB717" s="182"/>
      <c r="BC717" s="182"/>
      <c r="BD717" s="182"/>
      <c r="BE717" s="182"/>
      <c r="BF717" s="182"/>
      <c r="BG717" s="182"/>
      <c r="BH717" s="182"/>
      <c r="BI717" s="182"/>
      <c r="BJ717" s="182"/>
      <c r="BK717" s="182"/>
      <c r="BL717" s="182"/>
      <c r="BM717" s="182"/>
      <c r="BN717" s="182"/>
      <c r="BO717" s="182"/>
      <c r="BP717" s="182"/>
      <c r="BQ717" s="182"/>
      <c r="BR717" s="182"/>
      <c r="BS717" s="182"/>
    </row>
    <row r="718" spans="1:71" ht="15.9" customHeight="1" x14ac:dyDescent="0.3">
      <c r="A718" s="5" t="s">
        <v>2103</v>
      </c>
      <c r="B718" s="5" t="s">
        <v>2076</v>
      </c>
      <c r="C718" s="174">
        <v>44670</v>
      </c>
      <c r="D718" s="5" t="s">
        <v>285</v>
      </c>
      <c r="E718" s="5" t="s">
        <v>339</v>
      </c>
      <c r="F718" s="175" t="s">
        <v>2104</v>
      </c>
      <c r="G718" s="15" t="s">
        <v>346</v>
      </c>
      <c r="H718" s="176" t="s">
        <v>341</v>
      </c>
      <c r="I718" s="17" t="s">
        <v>1477</v>
      </c>
      <c r="J718" s="113" t="str">
        <f>VLOOKUP($I718,'Price List, Weapons &amp; Items'!B:C,2,0)</f>
        <v>Heavy weapon</v>
      </c>
      <c r="K718" s="113" t="str">
        <f>IF(I718=".",I718,VLOOKUP($I718,'Price List, Weapons &amp; Items'!B:D,3,0))</f>
        <v>155mm howitzer</v>
      </c>
      <c r="L718" s="177">
        <f>VLOOKUP(I718,'Price List, Weapons &amp; Items'!B:E,4,0)</f>
        <v>0</v>
      </c>
      <c r="M718" s="542">
        <v>5</v>
      </c>
      <c r="N718" s="542">
        <v>5</v>
      </c>
      <c r="O718" s="543">
        <f>VLOOKUP($I718,'Price List, Weapons &amp; Items'!B:G,6,0)</f>
        <v>13778907.188501142</v>
      </c>
      <c r="P718" s="176">
        <f t="shared" si="140"/>
        <v>68894535.942505717</v>
      </c>
      <c r="Q718" s="176">
        <f t="shared" si="141"/>
        <v>68894535.942505717</v>
      </c>
      <c r="R718" s="176">
        <f t="shared" si="138"/>
        <v>68894535.942505717</v>
      </c>
      <c r="S718" s="176">
        <f>IF(AND(AD718=1,R718&lt;&gt;".")=TRUE,R718/VLOOKUP(G718,'Exchange Rates'!B:C,2,0),IF(R718=".",".",""))</f>
        <v>65613843.754767343</v>
      </c>
      <c r="T718" s="176">
        <f>IF(AD718=1,IF(AF718="Value is not given at all",".",IF(AF718="Value is given by the source",S718,IF(AF718="Value is calculated with prices",(IF(SUMIFS(Q:Q,A:A,A718)&gt;0,SUMIFS(Q:Q,A:A,A718),"."))/VLOOKUP("USD",'Exchange Rates'!B:C,2,0),"Error with coding"))),"")</f>
        <v>65613843.754767343</v>
      </c>
      <c r="U718" s="15" t="s">
        <v>261</v>
      </c>
      <c r="V718" s="547" t="s">
        <v>2098</v>
      </c>
      <c r="W718" s="547" t="s">
        <v>2105</v>
      </c>
      <c r="X718" s="961" t="s">
        <v>260</v>
      </c>
      <c r="Y718" s="188" t="s">
        <v>260</v>
      </c>
      <c r="Z718" s="15">
        <v>0</v>
      </c>
      <c r="AA718" s="180">
        <v>0</v>
      </c>
      <c r="AB718" s="549" t="s">
        <v>2106</v>
      </c>
      <c r="AC718" s="544" t="str">
        <f>""</f>
        <v/>
      </c>
      <c r="AD718" s="181">
        <v>1</v>
      </c>
      <c r="AE718" s="181" t="s">
        <v>332</v>
      </c>
      <c r="AF718" s="181" t="s">
        <v>332</v>
      </c>
      <c r="AG718" s="181">
        <v>1</v>
      </c>
      <c r="AH718" s="181">
        <v>4</v>
      </c>
      <c r="AI718" s="181">
        <v>0</v>
      </c>
      <c r="AJ718" s="181">
        <f>VLOOKUP($I718,'Price List, Weapons &amp; Items'!B:F,5,0)</f>
        <v>1</v>
      </c>
      <c r="AK718" s="181">
        <f t="shared" si="142"/>
        <v>0</v>
      </c>
      <c r="AL718" s="181">
        <f t="shared" si="143"/>
        <v>0</v>
      </c>
      <c r="AM718" s="181">
        <f t="shared" si="144"/>
        <v>0</v>
      </c>
      <c r="AN718" s="180" t="str">
        <f>VLOOKUP($I718,'Price List, Weapons &amp; Items'!B:L,COLUMN('Price List, Weapons &amp; Items'!$J$11)-1,0)</f>
        <v>Contracts</v>
      </c>
      <c r="AO718" s="180" t="str">
        <f>IF(I718=".",".",VLOOKUP($I718,'Price List, Weapons &amp; Items'!B:J,3,0))</f>
        <v>155mm howitzer</v>
      </c>
      <c r="AP718" s="545" t="e">
        <f t="shared" ca="1" si="139"/>
        <v>#NAME?</v>
      </c>
      <c r="AQ718" s="180">
        <f>VLOOKUP($I718,'Price List, Weapons &amp; Items'!B:L,COLUMN('Price List, Weapons &amp; Items'!$L$11)-1,0)</f>
        <v>2</v>
      </c>
      <c r="AR718" s="180">
        <f t="shared" si="145"/>
        <v>1</v>
      </c>
      <c r="AS718" s="180">
        <f t="shared" si="146"/>
        <v>1</v>
      </c>
      <c r="AT718" s="180">
        <f t="shared" si="147"/>
        <v>1</v>
      </c>
      <c r="AU718" s="180" t="str">
        <f t="shared" si="148"/>
        <v>.</v>
      </c>
      <c r="AV718" s="180" t="str">
        <f t="shared" si="149"/>
        <v>.</v>
      </c>
      <c r="AW718" s="180">
        <f>IFERROR(VLOOKUP(B718,'Share, Heavy Weapons to Ukraine'!B:J,COLUMN('Share, Heavy Weapons to Ukraine'!C731)-1,0),0)</f>
        <v>0</v>
      </c>
      <c r="AX718" s="180">
        <f>VLOOKUP('Bilateral Assistance, MAIN DATA'!B718,'Country Summary'!B:F,COLUMN('Country Summary'!C734)-1,FALSE)</f>
        <v>1</v>
      </c>
      <c r="AY718" s="180" t="str">
        <f>IF(AND(AD718=1,D718="Military",H718&lt;&gt;"Not given")=TRUE,IF(SUMIFS(P:P,A:A,A718)&gt;0,ABS((SUMIFS(P:P,A:A,A718)/VLOOKUP("USD",'Exchange Rates'!B:C,2,0)))/S718,"."),".")</f>
        <v>.</v>
      </c>
      <c r="AZ718" s="182" t="str">
        <f>IF(AND(AD718=1,D718="Military",H718&lt;&gt;"Not given")=TRUE,IF(SUMIFS(P:P,A:A,A718)&gt;0,IF((ABS((SUMIFS(P:P,A:A,A718)/VLOOKUP("USD",'Exchange Rates'!B:C,2,0)))/S718)&gt;1,(SUMIFS(P:P,A:A,A718)-S718)/S718,(S718-SUMIFS(P:P,A:A,A718))/SUMIFS(P:P,A:A,A718)),"."),".")</f>
        <v>.</v>
      </c>
      <c r="BA718" s="182"/>
      <c r="BB718" s="182"/>
      <c r="BC718" s="182"/>
      <c r="BD718" s="182"/>
      <c r="BE718" s="182"/>
      <c r="BF718" s="182"/>
      <c r="BG718" s="182"/>
      <c r="BH718" s="182"/>
      <c r="BI718" s="182"/>
      <c r="BJ718" s="182"/>
      <c r="BK718" s="182"/>
      <c r="BL718" s="182"/>
      <c r="BM718" s="182"/>
      <c r="BN718" s="182"/>
      <c r="BO718" s="182"/>
      <c r="BP718" s="182"/>
      <c r="BQ718" s="182"/>
      <c r="BR718" s="182"/>
      <c r="BS718" s="182"/>
    </row>
    <row r="719" spans="1:71" ht="15.9" customHeight="1" x14ac:dyDescent="0.3">
      <c r="A719" s="5" t="s">
        <v>2103</v>
      </c>
      <c r="B719" s="5" t="s">
        <v>2076</v>
      </c>
      <c r="C719" s="174">
        <v>44670</v>
      </c>
      <c r="D719" s="5" t="s">
        <v>285</v>
      </c>
      <c r="E719" s="5" t="s">
        <v>339</v>
      </c>
      <c r="F719" s="175" t="s">
        <v>2104</v>
      </c>
      <c r="G719" s="15" t="s">
        <v>346</v>
      </c>
      <c r="H719" s="176" t="s">
        <v>341</v>
      </c>
      <c r="I719" s="17" t="s">
        <v>2097</v>
      </c>
      <c r="J719" s="113" t="str">
        <f>VLOOKUP($I719,'Price List, Weapons &amp; Items'!B:C,2,0)</f>
        <v>Heavy weapon</v>
      </c>
      <c r="K719" s="113" t="str">
        <f>IF(I719=".",I719,VLOOKUP($I719,'Price List, Weapons &amp; Items'!B:D,3,0))</f>
        <v>Infantry fighting vehicle (IFV)</v>
      </c>
      <c r="L719" s="177">
        <f>VLOOKUP(I719,'Price List, Weapons &amp; Items'!B:E,4,0)</f>
        <v>0</v>
      </c>
      <c r="M719" s="542" t="s">
        <v>270</v>
      </c>
      <c r="N719" s="542" t="s">
        <v>270</v>
      </c>
      <c r="O719" s="543">
        <f>VLOOKUP($I719,'Price List, Weapons &amp; Items'!B:G,6,0)</f>
        <v>334029</v>
      </c>
      <c r="P719" s="176" t="str">
        <f t="shared" si="140"/>
        <v>.</v>
      </c>
      <c r="Q719" s="176" t="str">
        <f t="shared" si="141"/>
        <v>.</v>
      </c>
      <c r="R719" s="176" t="str">
        <f t="shared" si="138"/>
        <v/>
      </c>
      <c r="S719" s="176" t="str">
        <f>IF(AND(AD719=1,R719&lt;&gt;".")=TRUE,R719/VLOOKUP(G719,'Exchange Rates'!B:C,2,0),IF(R719=".",".",""))</f>
        <v/>
      </c>
      <c r="T719" s="176" t="str">
        <f>IF(AD719=1,IF(AF719="Value is not given at all",".",IF(AF719="Value is given by the source",S719,IF(AF719="Value is calculated with prices",(IF(SUMIFS(Q:Q,A:A,A719)&gt;0,SUMIFS(Q:Q,A:A,A719),"."))/VLOOKUP("USD",'Exchange Rates'!B:C,2,0),"Error with coding"))),"")</f>
        <v/>
      </c>
      <c r="U719" s="15" t="s">
        <v>261</v>
      </c>
      <c r="V719" s="547" t="s">
        <v>2098</v>
      </c>
      <c r="W719" s="547" t="s">
        <v>2105</v>
      </c>
      <c r="X719" s="961" t="s">
        <v>260</v>
      </c>
      <c r="Y719" s="188" t="s">
        <v>260</v>
      </c>
      <c r="Z719" s="15">
        <v>0</v>
      </c>
      <c r="AA719" s="180">
        <v>0</v>
      </c>
      <c r="AB719" s="549" t="s">
        <v>2099</v>
      </c>
      <c r="AC719" s="544" t="str">
        <f>""</f>
        <v/>
      </c>
      <c r="AD719" s="181">
        <v>0</v>
      </c>
      <c r="AE719" s="181" t="s">
        <v>332</v>
      </c>
      <c r="AF719" s="181" t="s">
        <v>332</v>
      </c>
      <c r="AG719" s="181">
        <v>1</v>
      </c>
      <c r="AH719" s="181">
        <v>4</v>
      </c>
      <c r="AI719" s="181">
        <v>0</v>
      </c>
      <c r="AJ719" s="181">
        <f>VLOOKUP($I719,'Price List, Weapons &amp; Items'!B:F,5,0)</f>
        <v>1</v>
      </c>
      <c r="AK719" s="181">
        <f t="shared" si="142"/>
        <v>1</v>
      </c>
      <c r="AL719" s="181">
        <f t="shared" si="143"/>
        <v>1</v>
      </c>
      <c r="AM719" s="181">
        <f t="shared" si="144"/>
        <v>0</v>
      </c>
      <c r="AN719" s="180" t="str">
        <f>VLOOKUP($I719,'Price List, Weapons &amp; Items'!B:L,COLUMN('Price List, Weapons &amp; Items'!$J$11)-1,0)</f>
        <v>Contracts</v>
      </c>
      <c r="AO719" s="180" t="str">
        <f>IF(I719=".",".",VLOOKUP($I719,'Price List, Weapons &amp; Items'!B:J,3,0))</f>
        <v>Infantry fighting vehicle (IFV)</v>
      </c>
      <c r="AP719" s="545" t="str">
        <f t="shared" ca="1" si="139"/>
        <v/>
      </c>
      <c r="AQ719" s="180" t="str">
        <f>VLOOKUP($I719,'Price List, Weapons &amp; Items'!B:L,COLUMN('Price List, Weapons &amp; Items'!$L$11)-1,0)</f>
        <v>no price, 0 count</v>
      </c>
      <c r="AR719" s="180">
        <f t="shared" si="145"/>
        <v>1</v>
      </c>
      <c r="AS719" s="180">
        <f t="shared" si="146"/>
        <v>1</v>
      </c>
      <c r="AT719" s="180">
        <f t="shared" si="147"/>
        <v>1</v>
      </c>
      <c r="AU719" s="180" t="str">
        <f t="shared" si="148"/>
        <v>.</v>
      </c>
      <c r="AV719" s="180" t="str">
        <f t="shared" si="149"/>
        <v>.</v>
      </c>
      <c r="AW719" s="180">
        <f>IFERROR(VLOOKUP(B719,'Share, Heavy Weapons to Ukraine'!B:J,COLUMN('Share, Heavy Weapons to Ukraine'!C732)-1,0),0)</f>
        <v>0</v>
      </c>
      <c r="AX719" s="180">
        <f>VLOOKUP('Bilateral Assistance, MAIN DATA'!B719,'Country Summary'!B:F,COLUMN('Country Summary'!C735)-1,FALSE)</f>
        <v>1</v>
      </c>
      <c r="AY719" s="180" t="str">
        <f>IF(AND(AD719=1,D719="Military",H719&lt;&gt;"Not given")=TRUE,IF(SUMIFS(P:P,A:A,A719)&gt;0,ABS((SUMIFS(P:P,A:A,A719)/VLOOKUP("USD",'Exchange Rates'!B:C,2,0)))/S719,"."),".")</f>
        <v>.</v>
      </c>
      <c r="AZ719" s="182" t="str">
        <f>IF(AND(AD719=1,D719="Military",H719&lt;&gt;"Not given")=TRUE,IF(SUMIFS(P:P,A:A,A719)&gt;0,IF((ABS((SUMIFS(P:P,A:A,A719)/VLOOKUP("USD",'Exchange Rates'!B:C,2,0)))/S719)&gt;1,(SUMIFS(P:P,A:A,A719)-S719)/S719,(S719-SUMIFS(P:P,A:A,A719))/SUMIFS(P:P,A:A,A719)),"."),".")</f>
        <v>.</v>
      </c>
      <c r="BA719" s="182"/>
      <c r="BB719" s="182"/>
      <c r="BC719" s="182"/>
      <c r="BD719" s="182"/>
      <c r="BE719" s="182"/>
      <c r="BF719" s="182"/>
      <c r="BG719" s="182"/>
      <c r="BH719" s="182"/>
      <c r="BI719" s="182"/>
      <c r="BJ719" s="182"/>
      <c r="BK719" s="182"/>
      <c r="BL719" s="182"/>
      <c r="BM719" s="182"/>
      <c r="BN719" s="182"/>
      <c r="BO719" s="182"/>
      <c r="BP719" s="182"/>
      <c r="BQ719" s="182"/>
      <c r="BR719" s="182"/>
      <c r="BS719" s="182"/>
    </row>
    <row r="720" spans="1:71" ht="15.9" customHeight="1" x14ac:dyDescent="0.3">
      <c r="A720" s="17" t="s">
        <v>2107</v>
      </c>
      <c r="B720" s="17" t="s">
        <v>2076</v>
      </c>
      <c r="C720" s="174">
        <v>44728</v>
      </c>
      <c r="D720" s="5" t="s">
        <v>285</v>
      </c>
      <c r="E720" s="5" t="s">
        <v>339</v>
      </c>
      <c r="F720" s="175" t="s">
        <v>2108</v>
      </c>
      <c r="G720" s="15" t="s">
        <v>346</v>
      </c>
      <c r="H720" s="176" t="s">
        <v>341</v>
      </c>
      <c r="I720" s="17" t="s">
        <v>912</v>
      </c>
      <c r="J720" s="113" t="str">
        <f>VLOOKUP($I720,'Price List, Weapons &amp; Items'!B:C,2,0)</f>
        <v>Ammunition for heavy weapon</v>
      </c>
      <c r="K720" s="113" t="str">
        <f>IF(I720=".",I720,VLOOKUP($I720,'Price List, Weapons &amp; Items'!B:D,3,0))</f>
        <v>missile</v>
      </c>
      <c r="L720" s="177">
        <f>VLOOKUP(I720,'Price List, Weapons &amp; Items'!B:E,4,0)</f>
        <v>0</v>
      </c>
      <c r="M720" s="542" t="s">
        <v>270</v>
      </c>
      <c r="N720" s="542" t="s">
        <v>270</v>
      </c>
      <c r="O720" s="543">
        <f>VLOOKUP($I720,'Price List, Weapons &amp; Items'!B:G,6,0)</f>
        <v>1406812</v>
      </c>
      <c r="P720" s="176" t="str">
        <f t="shared" si="140"/>
        <v>.</v>
      </c>
      <c r="Q720" s="176" t="str">
        <f t="shared" si="141"/>
        <v>.</v>
      </c>
      <c r="R720" s="176" t="str">
        <f t="shared" si="138"/>
        <v>.</v>
      </c>
      <c r="S720" s="176" t="str">
        <f>IF(AND(AD720=1,R720&lt;&gt;".")=TRUE,R720/VLOOKUP(G720,'Exchange Rates'!B:C,2,0),IF(R720=".",".",""))</f>
        <v>.</v>
      </c>
      <c r="T720" s="176" t="str">
        <f>IF(AD720=1,IF(AF720="Value is not given at all",".",IF(AF720="Value is given by the source",S720,IF(AF720="Value is calculated with prices",(IF(SUMIFS(Q:Q,A:A,A720)&gt;0,SUMIFS(Q:Q,A:A,A720),"."))/VLOOKUP("USD",'Exchange Rates'!B:C,2,0),"Error with coding"))),"")</f>
        <v>.</v>
      </c>
      <c r="U720" s="15" t="s">
        <v>415</v>
      </c>
      <c r="V720" s="300" t="s">
        <v>2109</v>
      </c>
      <c r="W720" s="300" t="s">
        <v>2110</v>
      </c>
      <c r="X720" s="531" t="s">
        <v>260</v>
      </c>
      <c r="Y720" s="175" t="s">
        <v>260</v>
      </c>
      <c r="Z720" s="15">
        <v>0</v>
      </c>
      <c r="AA720" s="180">
        <v>0</v>
      </c>
      <c r="AB720" s="690" t="s">
        <v>260</v>
      </c>
      <c r="AC720" s="544" t="str">
        <f>""</f>
        <v/>
      </c>
      <c r="AD720" s="181">
        <v>1</v>
      </c>
      <c r="AE720" s="181" t="s">
        <v>265</v>
      </c>
      <c r="AF720" s="181" t="s">
        <v>265</v>
      </c>
      <c r="AG720" s="181">
        <v>1</v>
      </c>
      <c r="AH720" s="181">
        <v>6</v>
      </c>
      <c r="AI720" s="181">
        <v>0</v>
      </c>
      <c r="AJ720" s="181">
        <f>VLOOKUP($I720,'Price List, Weapons &amp; Items'!B:F,5,0)</f>
        <v>0</v>
      </c>
      <c r="AK720" s="181">
        <f t="shared" si="142"/>
        <v>0</v>
      </c>
      <c r="AL720" s="181">
        <f t="shared" si="143"/>
        <v>0</v>
      </c>
      <c r="AM720" s="181">
        <f t="shared" si="144"/>
        <v>0</v>
      </c>
      <c r="AN720" s="180" t="str">
        <f>VLOOKUP($I720,'Price List, Weapons &amp; Items'!B:L,COLUMN('Price List, Weapons &amp; Items'!$J$11)-1,0)</f>
        <v>Miscellaneous</v>
      </c>
      <c r="AO720" s="180" t="str">
        <f>IF(I720=".",".",VLOOKUP($I720,'Price List, Weapons &amp; Items'!B:J,3,0))</f>
        <v>missile</v>
      </c>
      <c r="AP720" s="545" t="e">
        <f t="shared" ca="1" si="139"/>
        <v>#NAME?</v>
      </c>
      <c r="AQ720" s="180" t="str">
        <f>VLOOKUP($I720,'Price List, Weapons &amp; Items'!B:L,COLUMN('Price List, Weapons &amp; Items'!$L$11)-1,0)</f>
        <v>no price, 0 count</v>
      </c>
      <c r="AR720" s="180">
        <f t="shared" si="145"/>
        <v>0</v>
      </c>
      <c r="AS720" s="180">
        <f t="shared" si="146"/>
        <v>1</v>
      </c>
      <c r="AT720" s="180">
        <f t="shared" si="147"/>
        <v>1</v>
      </c>
      <c r="AU720" s="180" t="str">
        <f t="shared" si="148"/>
        <v>.</v>
      </c>
      <c r="AV720" s="180" t="str">
        <f t="shared" si="149"/>
        <v>.</v>
      </c>
      <c r="AW720" s="180">
        <f>IFERROR(VLOOKUP(B720,'Share, Heavy Weapons to Ukraine'!B:J,COLUMN('Share, Heavy Weapons to Ukraine'!C733)-1,0),0)</f>
        <v>0</v>
      </c>
      <c r="AX720" s="180">
        <f>VLOOKUP('Bilateral Assistance, MAIN DATA'!B720,'Country Summary'!B:F,COLUMN('Country Summary'!C736)-1,FALSE)</f>
        <v>1</v>
      </c>
      <c r="AY720" s="180" t="str">
        <f>IF(AND(AD720=1,D720="Military",H720&lt;&gt;"Not given")=TRUE,IF(SUMIFS(P:P,A:A,A720)&gt;0,ABS((SUMIFS(P:P,A:A,A720)/VLOOKUP("USD",'Exchange Rates'!B:C,2,0)))/S720,"."),".")</f>
        <v>.</v>
      </c>
      <c r="AZ720" s="182" t="str">
        <f>IF(AND(AD720=1,D720="Military",H720&lt;&gt;"Not given")=TRUE,IF(SUMIFS(P:P,A:A,A720)&gt;0,IF((ABS((SUMIFS(P:P,A:A,A720)/VLOOKUP("USD",'Exchange Rates'!B:C,2,0)))/S720)&gt;1,(SUMIFS(P:P,A:A,A720)-S720)/S720,(S720-SUMIFS(P:P,A:A,A720))/SUMIFS(P:P,A:A,A720)),"."),".")</f>
        <v>.</v>
      </c>
      <c r="BA720" s="182"/>
      <c r="BB720" s="182"/>
      <c r="BC720" s="182"/>
      <c r="BD720" s="182"/>
      <c r="BE720" s="182"/>
      <c r="BF720" s="182"/>
      <c r="BG720" s="182"/>
      <c r="BH720" s="182"/>
      <c r="BI720" s="182"/>
      <c r="BJ720" s="182"/>
      <c r="BK720" s="182"/>
      <c r="BL720" s="182"/>
      <c r="BM720" s="182"/>
      <c r="BN720" s="182"/>
      <c r="BO720" s="182"/>
      <c r="BP720" s="182"/>
      <c r="BQ720" s="182"/>
      <c r="BR720" s="182"/>
      <c r="BS720" s="182"/>
    </row>
    <row r="721" spans="1:71" ht="15.9" customHeight="1" x14ac:dyDescent="0.3">
      <c r="A721" s="17" t="s">
        <v>2111</v>
      </c>
      <c r="B721" s="17" t="s">
        <v>2076</v>
      </c>
      <c r="C721" s="174">
        <v>44740</v>
      </c>
      <c r="D721" s="5" t="s">
        <v>285</v>
      </c>
      <c r="E721" s="5" t="s">
        <v>339</v>
      </c>
      <c r="F721" s="175" t="s">
        <v>2112</v>
      </c>
      <c r="G721" s="15" t="s">
        <v>346</v>
      </c>
      <c r="H721" s="176" t="s">
        <v>341</v>
      </c>
      <c r="I721" s="17" t="s">
        <v>1477</v>
      </c>
      <c r="J721" s="113" t="str">
        <f>VLOOKUP($I721,'Price List, Weapons &amp; Items'!B:C,2,0)</f>
        <v>Heavy weapon</v>
      </c>
      <c r="K721" s="113" t="str">
        <f>IF(I721=".",I721,VLOOKUP($I721,'Price List, Weapons &amp; Items'!B:D,3,0))</f>
        <v>155mm howitzer</v>
      </c>
      <c r="L721" s="177">
        <f>VLOOKUP(I721,'Price List, Weapons &amp; Items'!B:E,4,0)</f>
        <v>0</v>
      </c>
      <c r="M721" s="542">
        <v>3</v>
      </c>
      <c r="N721" s="542">
        <v>3</v>
      </c>
      <c r="O721" s="543">
        <f>VLOOKUP($I721,'Price List, Weapons &amp; Items'!B:G,6,0)</f>
        <v>13778907.188501142</v>
      </c>
      <c r="P721" s="176">
        <f t="shared" si="140"/>
        <v>41336721.565503426</v>
      </c>
      <c r="Q721" s="176">
        <f t="shared" si="141"/>
        <v>41336721.565503426</v>
      </c>
      <c r="R721" s="176">
        <f t="shared" si="138"/>
        <v>41336721.565503426</v>
      </c>
      <c r="S721" s="176">
        <f>IF(AND(AD721=1,R721&lt;&gt;".")=TRUE,R721/VLOOKUP(G721,'Exchange Rates'!B:C,2,0),IF(R721=".",".",""))</f>
        <v>39368306.252860405</v>
      </c>
      <c r="T721" s="176">
        <f>IF(AD721=1,IF(AF721="Value is not given at all",".",IF(AF721="Value is given by the source",S721,IF(AF721="Value is calculated with prices",(IF(SUMIFS(Q:Q,A:A,A721)&gt;0,SUMIFS(Q:Q,A:A,A721),"."))/VLOOKUP("USD",'Exchange Rates'!B:C,2,0),"Error with coding"))),"")</f>
        <v>39368306.252860405</v>
      </c>
      <c r="U721" s="15" t="s">
        <v>261</v>
      </c>
      <c r="V721" s="300" t="s">
        <v>2113</v>
      </c>
      <c r="W721" s="300" t="s">
        <v>2114</v>
      </c>
      <c r="X721" s="300" t="s">
        <v>2115</v>
      </c>
      <c r="Y721" s="175" t="s">
        <v>260</v>
      </c>
      <c r="Z721" s="15">
        <v>0</v>
      </c>
      <c r="AA721" s="199">
        <v>1</v>
      </c>
      <c r="AB721" s="549" t="s">
        <v>2116</v>
      </c>
      <c r="AC721" s="544" t="str">
        <f>""</f>
        <v/>
      </c>
      <c r="AD721" s="181">
        <v>1</v>
      </c>
      <c r="AE721" s="181" t="s">
        <v>332</v>
      </c>
      <c r="AF721" s="181" t="s">
        <v>332</v>
      </c>
      <c r="AG721" s="181">
        <v>1</v>
      </c>
      <c r="AH721" s="181">
        <v>6</v>
      </c>
      <c r="AI721" s="181">
        <v>0</v>
      </c>
      <c r="AJ721" s="181">
        <f>VLOOKUP($I721,'Price List, Weapons &amp; Items'!B:F,5,0)</f>
        <v>1</v>
      </c>
      <c r="AK721" s="181">
        <f t="shared" si="142"/>
        <v>0</v>
      </c>
      <c r="AL721" s="181">
        <f t="shared" si="143"/>
        <v>0</v>
      </c>
      <c r="AM721" s="181">
        <f t="shared" si="144"/>
        <v>0</v>
      </c>
      <c r="AN721" s="180" t="str">
        <f>VLOOKUP($I721,'Price List, Weapons &amp; Items'!B:L,COLUMN('Price List, Weapons &amp; Items'!$J$11)-1,0)</f>
        <v>Contracts</v>
      </c>
      <c r="AO721" s="180" t="str">
        <f>IF(I721=".",".",VLOOKUP($I721,'Price List, Weapons &amp; Items'!B:J,3,0))</f>
        <v>155mm howitzer</v>
      </c>
      <c r="AP721" s="545" t="e">
        <f t="shared" ca="1" si="139"/>
        <v>#NAME?</v>
      </c>
      <c r="AQ721" s="180">
        <f>VLOOKUP($I721,'Price List, Weapons &amp; Items'!B:L,COLUMN('Price List, Weapons &amp; Items'!$L$11)-1,0)</f>
        <v>2</v>
      </c>
      <c r="AR721" s="180">
        <f t="shared" si="145"/>
        <v>1</v>
      </c>
      <c r="AS721" s="180">
        <f t="shared" si="146"/>
        <v>1</v>
      </c>
      <c r="AT721" s="180">
        <f t="shared" si="147"/>
        <v>1</v>
      </c>
      <c r="AU721" s="180" t="str">
        <f t="shared" si="148"/>
        <v>.</v>
      </c>
      <c r="AV721" s="180" t="str">
        <f t="shared" si="149"/>
        <v>.</v>
      </c>
      <c r="AW721" s="180">
        <f>IFERROR(VLOOKUP(B721,'Share, Heavy Weapons to Ukraine'!B:J,COLUMN('Share, Heavy Weapons to Ukraine'!C734)-1,0),0)</f>
        <v>0</v>
      </c>
      <c r="AX721" s="180">
        <f>VLOOKUP('Bilateral Assistance, MAIN DATA'!B721,'Country Summary'!B:F,COLUMN('Country Summary'!C737)-1,FALSE)</f>
        <v>1</v>
      </c>
      <c r="AY721" s="180" t="str">
        <f>IF(AND(AD721=1,D721="Military",H721&lt;&gt;"Not given")=TRUE,IF(SUMIFS(P:P,A:A,A721)&gt;0,ABS((SUMIFS(P:P,A:A,A721)/VLOOKUP("USD",'Exchange Rates'!B:C,2,0)))/S721,"."),".")</f>
        <v>.</v>
      </c>
      <c r="AZ721" s="182" t="str">
        <f>IF(AND(AD721=1,D721="Military",H721&lt;&gt;"Not given")=TRUE,IF(SUMIFS(P:P,A:A,A721)&gt;0,IF((ABS((SUMIFS(P:P,A:A,A721)/VLOOKUP("USD",'Exchange Rates'!B:C,2,0)))/S721)&gt;1,(SUMIFS(P:P,A:A,A721)-S721)/S721,(S721-SUMIFS(P:P,A:A,A721))/SUMIFS(P:P,A:A,A721)),"."),".")</f>
        <v>.</v>
      </c>
      <c r="BA721" s="182"/>
      <c r="BB721" s="182"/>
      <c r="BC721" s="182"/>
      <c r="BD721" s="182"/>
      <c r="BE721" s="182"/>
      <c r="BF721" s="182"/>
      <c r="BG721" s="182"/>
      <c r="BH721" s="182"/>
      <c r="BI721" s="182"/>
      <c r="BJ721" s="182"/>
      <c r="BK721" s="182"/>
      <c r="BL721" s="182"/>
      <c r="BM721" s="182"/>
      <c r="BN721" s="182"/>
      <c r="BO721" s="182"/>
      <c r="BP721" s="182"/>
      <c r="BQ721" s="182"/>
      <c r="BR721" s="182"/>
      <c r="BS721" s="182"/>
    </row>
    <row r="722" spans="1:71" ht="15.9" customHeight="1" x14ac:dyDescent="0.3">
      <c r="A722" s="17" t="s">
        <v>2117</v>
      </c>
      <c r="B722" s="17" t="s">
        <v>2076</v>
      </c>
      <c r="C722" s="174" t="s">
        <v>2118</v>
      </c>
      <c r="D722" s="5" t="s">
        <v>285</v>
      </c>
      <c r="E722" s="5" t="s">
        <v>286</v>
      </c>
      <c r="F722" s="175" t="s">
        <v>2119</v>
      </c>
      <c r="G722" s="15" t="s">
        <v>364</v>
      </c>
      <c r="H722" s="176">
        <f>526000000-SUM(S702:S721)</f>
        <v>371017849.99237227</v>
      </c>
      <c r="I722" s="17" t="s">
        <v>260</v>
      </c>
      <c r="J722" s="113" t="str">
        <f>VLOOKUP($I722,'Price List, Weapons &amp; Items'!B:C,2,0)</f>
        <v>.</v>
      </c>
      <c r="K722" s="113" t="str">
        <f>IF(I722=".",I722,VLOOKUP($I722,'Price List, Weapons &amp; Items'!B:D,3,0))</f>
        <v>.</v>
      </c>
      <c r="L722" s="177">
        <f>VLOOKUP(I722,'Price List, Weapons &amp; Items'!B:E,4,0)</f>
        <v>0</v>
      </c>
      <c r="M722" s="542" t="s">
        <v>260</v>
      </c>
      <c r="N722" s="542" t="s">
        <v>260</v>
      </c>
      <c r="O722" s="543" t="str">
        <f>VLOOKUP($I722,'Price List, Weapons &amp; Items'!B:G,6,0)</f>
        <v>.</v>
      </c>
      <c r="P722" s="176" t="str">
        <f t="shared" si="140"/>
        <v>.</v>
      </c>
      <c r="Q722" s="176" t="str">
        <f t="shared" si="141"/>
        <v>.</v>
      </c>
      <c r="R722" s="176">
        <f t="shared" si="138"/>
        <v>371017849.99237227</v>
      </c>
      <c r="S722" s="176">
        <f>IF(AND(AD722=1,R722&lt;&gt;".")=TRUE,R722/VLOOKUP(G722,'Exchange Rates'!B:C,2,0),IF(R722=".",".",""))</f>
        <v>371017849.99237227</v>
      </c>
      <c r="T722" s="176">
        <f>IF(AD722=1,IF(AF722="Value is not given at all",".",IF(AF722="Value is given by the source",S722,IF(AF722="Value is calculated with prices",(IF(SUMIFS(Q:Q,A:A,A722)&gt;0,SUMIFS(Q:Q,A:A,A722),"."))/VLOOKUP("USD",'Exchange Rates'!B:C,2,0),"Error with coding"))),"")</f>
        <v>371017849.99237227</v>
      </c>
      <c r="U722" s="15" t="s">
        <v>261</v>
      </c>
      <c r="V722" s="300" t="s">
        <v>2120</v>
      </c>
      <c r="W722" s="300" t="s">
        <v>2114</v>
      </c>
      <c r="X722" s="300" t="s">
        <v>2121</v>
      </c>
      <c r="Y722" s="175" t="s">
        <v>260</v>
      </c>
      <c r="Z722" s="15">
        <v>0</v>
      </c>
      <c r="AA722" s="199">
        <v>1</v>
      </c>
      <c r="AB722" s="549" t="s">
        <v>2116</v>
      </c>
      <c r="AC722" s="544" t="str">
        <f>""</f>
        <v/>
      </c>
      <c r="AD722" s="181">
        <v>1</v>
      </c>
      <c r="AE722" s="181" t="s">
        <v>264</v>
      </c>
      <c r="AF722" s="181" t="s">
        <v>264</v>
      </c>
      <c r="AG722" s="181">
        <v>1</v>
      </c>
      <c r="AH722" s="181">
        <v>7</v>
      </c>
      <c r="AI722" s="181">
        <v>0</v>
      </c>
      <c r="AJ722" s="181">
        <f>VLOOKUP($I722,'Price List, Weapons &amp; Items'!B:F,5,0)</f>
        <v>0</v>
      </c>
      <c r="AK722" s="181">
        <f t="shared" si="142"/>
        <v>0</v>
      </c>
      <c r="AL722" s="181">
        <f t="shared" si="143"/>
        <v>0</v>
      </c>
      <c r="AM722" s="181">
        <f t="shared" si="144"/>
        <v>0</v>
      </c>
      <c r="AN722" s="180" t="str">
        <f>VLOOKUP($I722,'Price List, Weapons &amp; Items'!B:L,COLUMN('Price List, Weapons &amp; Items'!$J$11)-1,0)</f>
        <v>.</v>
      </c>
      <c r="AO722" s="180" t="str">
        <f>IF(I722=".",".",VLOOKUP($I722,'Price List, Weapons &amp; Items'!B:J,3,0))</f>
        <v>.</v>
      </c>
      <c r="AP722" s="545" t="e">
        <f t="shared" ca="1" si="139"/>
        <v>#NAME?</v>
      </c>
      <c r="AQ722" s="180" t="str">
        <f>VLOOKUP($I722,'Price List, Weapons &amp; Items'!B:L,COLUMN('Price List, Weapons &amp; Items'!$L$11)-1,0)</f>
        <v>no price, 0 count</v>
      </c>
      <c r="AR722" s="180">
        <f t="shared" si="145"/>
        <v>1</v>
      </c>
      <c r="AS722" s="180">
        <f t="shared" si="146"/>
        <v>1</v>
      </c>
      <c r="AT722" s="180" t="str">
        <f t="shared" si="147"/>
        <v>Value is not in date format</v>
      </c>
      <c r="AU722" s="180" t="str">
        <f t="shared" si="148"/>
        <v>.</v>
      </c>
      <c r="AV722" s="180" t="str">
        <f t="shared" si="149"/>
        <v>.</v>
      </c>
      <c r="AW722" s="180">
        <f>IFERROR(VLOOKUP(B722,'Share, Heavy Weapons to Ukraine'!B:J,COLUMN('Share, Heavy Weapons to Ukraine'!C735)-1,0),0)</f>
        <v>0</v>
      </c>
      <c r="AX722" s="180">
        <f>VLOOKUP('Bilateral Assistance, MAIN DATA'!B722,'Country Summary'!B:F,COLUMN('Country Summary'!C738)-1,FALSE)</f>
        <v>1</v>
      </c>
      <c r="AY722" s="180" t="str">
        <f>IF(AND(AD722=1,D722="Military",H722&lt;&gt;"Not given")=TRUE,IF(SUMIFS(P:P,A:A,A722)&gt;0,ABS((SUMIFS(P:P,A:A,A722)/VLOOKUP("USD",'Exchange Rates'!B:C,2,0)))/S722,"."),".")</f>
        <v>.</v>
      </c>
      <c r="AZ722" s="182" t="str">
        <f>IF(AND(AD722=1,D722="Military",H722&lt;&gt;"Not given")=TRUE,IF(SUMIFS(P:P,A:A,A722)&gt;0,IF((ABS((SUMIFS(P:P,A:A,A722)/VLOOKUP("USD",'Exchange Rates'!B:C,2,0)))/S722)&gt;1,(SUMIFS(P:P,A:A,A722)-S722)/S722,(S722-SUMIFS(P:P,A:A,A722))/SUMIFS(P:P,A:A,A722)),"."),".")</f>
        <v>.</v>
      </c>
      <c r="BA722" s="182"/>
      <c r="BB722" s="182"/>
      <c r="BC722" s="182"/>
      <c r="BD722" s="182"/>
      <c r="BE722" s="182"/>
      <c r="BF722" s="182"/>
      <c r="BG722" s="182"/>
      <c r="BH722" s="182"/>
      <c r="BI722" s="182"/>
      <c r="BJ722" s="182"/>
      <c r="BK722" s="182"/>
      <c r="BL722" s="182"/>
      <c r="BM722" s="182"/>
      <c r="BN722" s="182"/>
      <c r="BO722" s="182"/>
      <c r="BP722" s="182"/>
      <c r="BQ722" s="182"/>
      <c r="BR722" s="182"/>
      <c r="BS722" s="182"/>
    </row>
    <row r="723" spans="1:71" ht="15.9" customHeight="1" x14ac:dyDescent="0.3">
      <c r="A723" s="17" t="s">
        <v>2122</v>
      </c>
      <c r="B723" s="17" t="s">
        <v>2076</v>
      </c>
      <c r="C723" s="174">
        <v>44801</v>
      </c>
      <c r="D723" s="5" t="s">
        <v>285</v>
      </c>
      <c r="E723" s="5" t="s">
        <v>257</v>
      </c>
      <c r="F723" s="175" t="s">
        <v>2123</v>
      </c>
      <c r="G723" s="15" t="s">
        <v>364</v>
      </c>
      <c r="H723" s="176">
        <v>10000000</v>
      </c>
      <c r="I723" s="17" t="s">
        <v>260</v>
      </c>
      <c r="J723" s="113" t="str">
        <f>VLOOKUP($I723,'Price List, Weapons &amp; Items'!B:C,2,0)</f>
        <v>.</v>
      </c>
      <c r="K723" s="113" t="str">
        <f>IF(I723=".",I723,VLOOKUP($I723,'Price List, Weapons &amp; Items'!B:D,3,0))</f>
        <v>.</v>
      </c>
      <c r="L723" s="177">
        <f>VLOOKUP(I723,'Price List, Weapons &amp; Items'!B:E,4,0)</f>
        <v>0</v>
      </c>
      <c r="M723" s="542" t="s">
        <v>260</v>
      </c>
      <c r="N723" s="542" t="s">
        <v>260</v>
      </c>
      <c r="O723" s="543" t="str">
        <f>VLOOKUP($I723,'Price List, Weapons &amp; Items'!B:G,6,0)</f>
        <v>.</v>
      </c>
      <c r="P723" s="176" t="str">
        <f t="shared" si="140"/>
        <v>.</v>
      </c>
      <c r="Q723" s="176" t="str">
        <f t="shared" si="141"/>
        <v>.</v>
      </c>
      <c r="R723" s="176">
        <f t="shared" si="138"/>
        <v>10000000</v>
      </c>
      <c r="S723" s="176">
        <f>IF(AND(AD723=1,R723&lt;&gt;".")=TRUE,R723/VLOOKUP(G723,'Exchange Rates'!B:C,2,0),IF(R723=".",".",""))</f>
        <v>10000000</v>
      </c>
      <c r="T723" s="176">
        <f>IF(AD723=1,IF(AF723="Value is not given at all",".",IF(AF723="Value is given by the source",S723,IF(AF723="Value is calculated with prices",(IF(SUMIFS(Q:Q,A:A,A723)&gt;0,SUMIFS(Q:Q,A:A,A723),"."))/VLOOKUP("USD",'Exchange Rates'!B:C,2,0),"Error with coding"))),"")</f>
        <v>10000000</v>
      </c>
      <c r="U723" s="15" t="s">
        <v>261</v>
      </c>
      <c r="V723" s="300" t="s">
        <v>2124</v>
      </c>
      <c r="W723" s="546" t="s">
        <v>2125</v>
      </c>
      <c r="X723" s="175" t="s">
        <v>260</v>
      </c>
      <c r="Y723" s="175" t="s">
        <v>260</v>
      </c>
      <c r="Z723" s="15">
        <v>0</v>
      </c>
      <c r="AA723" s="199">
        <v>1</v>
      </c>
      <c r="AB723" s="549" t="s">
        <v>2116</v>
      </c>
      <c r="AC723" s="544" t="str">
        <f>""</f>
        <v/>
      </c>
      <c r="AD723" s="181">
        <v>1</v>
      </c>
      <c r="AE723" s="181" t="s">
        <v>264</v>
      </c>
      <c r="AF723" s="181" t="s">
        <v>264</v>
      </c>
      <c r="AG723" s="181">
        <v>1</v>
      </c>
      <c r="AH723" s="181">
        <v>8</v>
      </c>
      <c r="AI723" s="181">
        <v>0</v>
      </c>
      <c r="AJ723" s="181">
        <f>VLOOKUP($I723,'Price List, Weapons &amp; Items'!B:F,5,0)</f>
        <v>0</v>
      </c>
      <c r="AK723" s="181">
        <f t="shared" si="142"/>
        <v>0</v>
      </c>
      <c r="AL723" s="181">
        <f t="shared" si="143"/>
        <v>0</v>
      </c>
      <c r="AM723" s="181">
        <f t="shared" si="144"/>
        <v>0</v>
      </c>
      <c r="AN723" s="180" t="str">
        <f>VLOOKUP($I723,'Price List, Weapons &amp; Items'!B:L,COLUMN('Price List, Weapons &amp; Items'!$J$11)-1,0)</f>
        <v>.</v>
      </c>
      <c r="AO723" s="180" t="str">
        <f>IF(I723=".",".",VLOOKUP($I723,'Price List, Weapons &amp; Items'!B:J,3,0))</f>
        <v>.</v>
      </c>
      <c r="AP723" s="545" t="e">
        <f t="shared" ca="1" si="139"/>
        <v>#NAME?</v>
      </c>
      <c r="AQ723" s="180" t="str">
        <f>VLOOKUP($I723,'Price List, Weapons &amp; Items'!B:L,COLUMN('Price List, Weapons &amp; Items'!$L$11)-1,0)</f>
        <v>no price, 0 count</v>
      </c>
      <c r="AR723" s="180">
        <f t="shared" si="145"/>
        <v>1</v>
      </c>
      <c r="AS723" s="180">
        <f t="shared" si="146"/>
        <v>0</v>
      </c>
      <c r="AT723" s="180">
        <f t="shared" si="147"/>
        <v>1</v>
      </c>
      <c r="AU723" s="180" t="str">
        <f t="shared" si="148"/>
        <v>.</v>
      </c>
      <c r="AV723" s="180" t="str">
        <f t="shared" si="149"/>
        <v>.</v>
      </c>
      <c r="AW723" s="180">
        <f>IFERROR(VLOOKUP(B723,'Share, Heavy Weapons to Ukraine'!B:J,COLUMN('Share, Heavy Weapons to Ukraine'!C736)-1,0),0)</f>
        <v>0</v>
      </c>
      <c r="AX723" s="180">
        <f>VLOOKUP('Bilateral Assistance, MAIN DATA'!B723,'Country Summary'!B:F,COLUMN('Country Summary'!C739)-1,FALSE)</f>
        <v>1</v>
      </c>
      <c r="AY723" s="180" t="str">
        <f>IF(AND(AD723=1,D723="Military",H723&lt;&gt;"Not given")=TRUE,IF(SUMIFS(P:P,A:A,A723)&gt;0,ABS((SUMIFS(P:P,A:A,A723)/VLOOKUP("USD",'Exchange Rates'!B:C,2,0)))/S723,"."),".")</f>
        <v>.</v>
      </c>
      <c r="AZ723" s="182" t="str">
        <f>IF(AND(AD723=1,D723="Military",H723&lt;&gt;"Not given")=TRUE,IF(SUMIFS(P:P,A:A,A723)&gt;0,IF((ABS((SUMIFS(P:P,A:A,A723)/VLOOKUP("USD",'Exchange Rates'!B:C,2,0)))/S723)&gt;1,(SUMIFS(P:P,A:A,A723)-S723)/S723,(S723-SUMIFS(P:P,A:A,A723))/SUMIFS(P:P,A:A,A723)),"."),".")</f>
        <v>.</v>
      </c>
      <c r="BA723" s="182"/>
      <c r="BB723" s="182"/>
      <c r="BC723" s="182"/>
      <c r="BD723" s="182"/>
      <c r="BE723" s="182"/>
      <c r="BF723" s="182"/>
      <c r="BG723" s="182"/>
      <c r="BH723" s="182"/>
      <c r="BI723" s="182"/>
      <c r="BJ723" s="182"/>
      <c r="BK723" s="182"/>
      <c r="BL723" s="182"/>
      <c r="BM723" s="182"/>
      <c r="BN723" s="182"/>
      <c r="BO723" s="182"/>
      <c r="BP723" s="182"/>
      <c r="BQ723" s="182"/>
      <c r="BR723" s="182"/>
      <c r="BS723" s="182"/>
    </row>
    <row r="724" spans="1:71" ht="15.9" customHeight="1" x14ac:dyDescent="0.3">
      <c r="A724" s="17" t="s">
        <v>2126</v>
      </c>
      <c r="B724" s="17" t="s">
        <v>2076</v>
      </c>
      <c r="C724" s="174">
        <v>44869</v>
      </c>
      <c r="D724" s="5" t="s">
        <v>285</v>
      </c>
      <c r="E724" s="5" t="s">
        <v>2127</v>
      </c>
      <c r="F724" s="1139" t="s">
        <v>2128</v>
      </c>
      <c r="G724" s="15" t="s">
        <v>364</v>
      </c>
      <c r="H724" s="176">
        <v>120000000</v>
      </c>
      <c r="I724" s="185" t="s">
        <v>2129</v>
      </c>
      <c r="J724" s="113" t="str">
        <f>VLOOKUP($I724,'Price List, Weapons &amp; Items'!B:C,2,0)</f>
        <v>Heavy weapon</v>
      </c>
      <c r="K724" s="113" t="str">
        <f>IF(I724=".",I724,VLOOKUP($I724,'Price List, Weapons &amp; Items'!B:D,3,0))</f>
        <v>overhaul/repair</v>
      </c>
      <c r="L724" s="177">
        <f>VLOOKUP(I724,'Price List, Weapons &amp; Items'!B:E,4,0)</f>
        <v>0</v>
      </c>
      <c r="M724" s="542">
        <v>45</v>
      </c>
      <c r="N724" s="542" t="s">
        <v>270</v>
      </c>
      <c r="O724" s="543">
        <f>VLOOKUP($I724,'Price List, Weapons &amp; Items'!B:G,6,0)</f>
        <v>1000000</v>
      </c>
      <c r="P724" s="176">
        <f t="shared" si="140"/>
        <v>45000000</v>
      </c>
      <c r="Q724" s="176" t="str">
        <f t="shared" si="141"/>
        <v>.</v>
      </c>
      <c r="R724" s="176">
        <f t="shared" si="138"/>
        <v>120000000</v>
      </c>
      <c r="S724" s="176">
        <f>IF(AND(AD724=1,R724&lt;&gt;".")=TRUE,R724/VLOOKUP(G724,'Exchange Rates'!B:C,2,0),IF(R724=".",".",""))</f>
        <v>120000000</v>
      </c>
      <c r="T724" s="176" t="str">
        <f>IF(AD724=1,IF(AF724="Value is not given at all",".",IF(AF724="Value is given by the source",S724,IF(AF724="Value is calculated with prices",(IF(SUMIFS(Q:Q,A:A,A724)&gt;0,SUMIFS(Q:Q,A:A,A724),"."))/VLOOKUP("USD",'Exchange Rates'!B:C,2,0),"Error with coding"))),"")</f>
        <v>.</v>
      </c>
      <c r="U724" s="15" t="s">
        <v>261</v>
      </c>
      <c r="V724" s="300" t="s">
        <v>2130</v>
      </c>
      <c r="W724" s="546" t="s">
        <v>2131</v>
      </c>
      <c r="X724" s="668" t="s">
        <v>260</v>
      </c>
      <c r="Y724" s="175" t="s">
        <v>260</v>
      </c>
      <c r="Z724" s="15">
        <v>0</v>
      </c>
      <c r="AA724" s="199">
        <v>1</v>
      </c>
      <c r="AB724" s="690" t="s">
        <v>260</v>
      </c>
      <c r="AC724" s="544" t="str">
        <f>""</f>
        <v/>
      </c>
      <c r="AD724" s="181">
        <v>1</v>
      </c>
      <c r="AE724" s="181" t="s">
        <v>264</v>
      </c>
      <c r="AF724" s="181" t="s">
        <v>265</v>
      </c>
      <c r="AG724" s="181">
        <v>1</v>
      </c>
      <c r="AH724" s="181">
        <v>11</v>
      </c>
      <c r="AI724" s="181">
        <v>0</v>
      </c>
      <c r="AJ724" s="181">
        <f>VLOOKUP($I724,'Price List, Weapons &amp; Items'!B:F,5,0)</f>
        <v>0</v>
      </c>
      <c r="AK724" s="181">
        <f t="shared" si="142"/>
        <v>0</v>
      </c>
      <c r="AL724" s="181">
        <f t="shared" si="143"/>
        <v>0</v>
      </c>
      <c r="AM724" s="181">
        <f t="shared" si="144"/>
        <v>0</v>
      </c>
      <c r="AN724" s="180" t="str">
        <f>VLOOKUP($I724,'Price List, Weapons &amp; Items'!B:L,COLUMN('Price List, Weapons &amp; Items'!$J$11)-1,0)</f>
        <v>Government information</v>
      </c>
      <c r="AO724" s="180" t="str">
        <f>IF(I724=".",".",VLOOKUP($I724,'Price List, Weapons &amp; Items'!B:J,3,0))</f>
        <v>overhaul/repair</v>
      </c>
      <c r="AP724" s="545" t="e">
        <f t="shared" ca="1" si="139"/>
        <v>#NAME?</v>
      </c>
      <c r="AQ724" s="180">
        <f>VLOOKUP($I724,'Price List, Weapons &amp; Items'!B:L,COLUMN('Price List, Weapons &amp; Items'!$L$11)-1,0)</f>
        <v>2</v>
      </c>
      <c r="AR724" s="180">
        <f t="shared" si="145"/>
        <v>1</v>
      </c>
      <c r="AS724" s="180">
        <f t="shared" si="146"/>
        <v>1</v>
      </c>
      <c r="AT724" s="180">
        <f t="shared" si="147"/>
        <v>1</v>
      </c>
      <c r="AU724" s="180" t="str">
        <f t="shared" si="148"/>
        <v>.</v>
      </c>
      <c r="AV724" s="180" t="str">
        <f t="shared" si="149"/>
        <v>.</v>
      </c>
      <c r="AW724" s="180">
        <f>IFERROR(VLOOKUP(B724,'Share, Heavy Weapons to Ukraine'!B:J,COLUMN('Share, Heavy Weapons to Ukraine'!C737)-1,0),0)</f>
        <v>0</v>
      </c>
      <c r="AX724" s="180">
        <f>VLOOKUP('Bilateral Assistance, MAIN DATA'!B724,'Country Summary'!B:F,COLUMN('Country Summary'!C740)-1,FALSE)</f>
        <v>1</v>
      </c>
      <c r="AY724" s="180">
        <f>IF(AND(AD724=1,D724="Military",H724&lt;&gt;"Not given")=TRUE,IF(SUMIFS(P:P,A:A,A724)&gt;0,ABS((SUMIFS(P:P,A:A,A724)/VLOOKUP("USD",'Exchange Rates'!B:C,2,0)))/S724,"."),".")</f>
        <v>0.35714285714285715</v>
      </c>
      <c r="AZ724" s="182">
        <f>IF(AND(AD724=1,D724="Military",H724&lt;&gt;"Not given")=TRUE,IF(SUMIFS(P:P,A:A,A724)&gt;0,IF((ABS((SUMIFS(P:P,A:A,A724)/VLOOKUP("USD",'Exchange Rates'!B:C,2,0)))/S724)&gt;1,(SUMIFS(P:P,A:A,A724)-S724)/S724,(S724-SUMIFS(P:P,A:A,A724))/SUMIFS(P:P,A:A,A724)),"."),".")</f>
        <v>1.6666666666666667</v>
      </c>
      <c r="BA724" s="182"/>
      <c r="BB724" s="182"/>
      <c r="BC724" s="182"/>
      <c r="BD724" s="182"/>
      <c r="BE724" s="182"/>
      <c r="BF724" s="182"/>
      <c r="BG724" s="182"/>
      <c r="BH724" s="182"/>
      <c r="BI724" s="182"/>
      <c r="BJ724" s="182"/>
      <c r="BK724" s="182"/>
      <c r="BL724" s="182"/>
      <c r="BM724" s="182"/>
      <c r="BN724" s="182"/>
      <c r="BO724" s="182"/>
      <c r="BP724" s="182"/>
      <c r="BQ724" s="182"/>
      <c r="BR724" s="182"/>
      <c r="BS724" s="182"/>
    </row>
    <row r="725" spans="1:71" ht="15.9" customHeight="1" x14ac:dyDescent="0.3">
      <c r="A725" s="17" t="s">
        <v>2132</v>
      </c>
      <c r="B725" s="17" t="s">
        <v>2076</v>
      </c>
      <c r="C725" s="174">
        <v>44911</v>
      </c>
      <c r="D725" s="5" t="s">
        <v>285</v>
      </c>
      <c r="E725" s="5" t="s">
        <v>2127</v>
      </c>
      <c r="F725" s="1139" t="s">
        <v>2133</v>
      </c>
      <c r="G725" s="15" t="s">
        <v>364</v>
      </c>
      <c r="H725" s="176">
        <f>987000000-SUM(S702:S724)-3500000-100000000-25000000</f>
        <v>202500000</v>
      </c>
      <c r="I725" s="185" t="s">
        <v>260</v>
      </c>
      <c r="J725" s="113" t="str">
        <f>VLOOKUP($I725,'Price List, Weapons &amp; Items'!B:C,2,0)</f>
        <v>.</v>
      </c>
      <c r="K725" s="113" t="str">
        <f>IF(I725=".",I725,VLOOKUP($I725,'Price List, Weapons &amp; Items'!B:D,3,0))</f>
        <v>.</v>
      </c>
      <c r="L725" s="177">
        <f>VLOOKUP(I725,'Price List, Weapons &amp; Items'!B:E,4,0)</f>
        <v>0</v>
      </c>
      <c r="M725" s="542" t="s">
        <v>260</v>
      </c>
      <c r="N725" s="542" t="s">
        <v>260</v>
      </c>
      <c r="O725" s="543" t="str">
        <f>VLOOKUP($I725,'Price List, Weapons &amp; Items'!B:G,6,0)</f>
        <v>.</v>
      </c>
      <c r="P725" s="176" t="str">
        <f t="shared" si="140"/>
        <v>.</v>
      </c>
      <c r="Q725" s="176" t="str">
        <f t="shared" si="141"/>
        <v>.</v>
      </c>
      <c r="R725" s="176">
        <f t="shared" ref="R725:R788" si="150">IF(AD725=1,IF(H725&lt;&gt;"Not given",H725,IF(TYPE(H725)=2,IF(SUMIFS(P:P,A:A,A725)&gt;0,SUMIFS(P:P,A:A,A725),"."),"Format error")),"")</f>
        <v>202500000</v>
      </c>
      <c r="S725" s="176">
        <f>IF(AND(AD725=1,R725&lt;&gt;".")=TRUE,R725/VLOOKUP(G725,'Exchange Rates'!B:C,2,0),IF(R725=".",".",""))</f>
        <v>202500000</v>
      </c>
      <c r="T725" s="176">
        <f>IF(AD725=1,IF(AF725="Value is not given at all",".",IF(AF725="Value is given by the source",S725,IF(AF725="Value is calculated with prices",(IF(SUMIFS(Q:Q,A:A,A725)&gt;0,SUMIFS(Q:Q,A:A,A725),"."))/VLOOKUP("USD",'Exchange Rates'!B:C,2,0),"Error with coding"))),"")</f>
        <v>202500000</v>
      </c>
      <c r="U725" s="15" t="s">
        <v>261</v>
      </c>
      <c r="V725" s="300" t="s">
        <v>2134</v>
      </c>
      <c r="W725" s="733" t="s">
        <v>2135</v>
      </c>
      <c r="X725" s="668" t="s">
        <v>260</v>
      </c>
      <c r="Y725" s="175" t="s">
        <v>260</v>
      </c>
      <c r="Z725" s="15">
        <v>0</v>
      </c>
      <c r="AA725" s="199">
        <v>1</v>
      </c>
      <c r="AB725" s="561" t="s">
        <v>2134</v>
      </c>
      <c r="AC725" s="544" t="str">
        <f>""</f>
        <v/>
      </c>
      <c r="AD725" s="181">
        <v>1</v>
      </c>
      <c r="AE725" s="181" t="s">
        <v>264</v>
      </c>
      <c r="AF725" s="181" t="s">
        <v>264</v>
      </c>
      <c r="AG725" s="181">
        <v>1</v>
      </c>
      <c r="AH725" s="181">
        <v>12</v>
      </c>
      <c r="AI725" s="181">
        <v>0</v>
      </c>
      <c r="AJ725" s="181">
        <f>VLOOKUP($I725,'Price List, Weapons &amp; Items'!B:F,5,0)</f>
        <v>0</v>
      </c>
      <c r="AK725" s="181">
        <f t="shared" si="142"/>
        <v>0</v>
      </c>
      <c r="AL725" s="181">
        <f t="shared" si="143"/>
        <v>0</v>
      </c>
      <c r="AM725" s="181">
        <f t="shared" si="144"/>
        <v>0</v>
      </c>
      <c r="AN725" s="180" t="str">
        <f>VLOOKUP($I725,'Price List, Weapons &amp; Items'!B:L,COLUMN('Price List, Weapons &amp; Items'!$J$11)-1,0)</f>
        <v>.</v>
      </c>
      <c r="AO725" s="180" t="str">
        <f>IF(I725=".",".",VLOOKUP($I725,'Price List, Weapons &amp; Items'!B:J,3,0))</f>
        <v>.</v>
      </c>
      <c r="AP725" s="545" t="e">
        <f t="shared" ref="AP725:AP788" ca="1" si="151">IF(AD725=1,_xlfn.ARRAYTOTEXT(OFFSET(I725,0,0,COUNTIF(A:A,A725),1)),"")</f>
        <v>#NAME?</v>
      </c>
      <c r="AQ725" s="180" t="str">
        <f>VLOOKUP($I725,'Price List, Weapons &amp; Items'!B:L,COLUMN('Price List, Weapons &amp; Items'!$L$11)-1,0)</f>
        <v>no price, 0 count</v>
      </c>
      <c r="AR725" s="180">
        <f t="shared" si="145"/>
        <v>1</v>
      </c>
      <c r="AS725" s="180">
        <f t="shared" si="146"/>
        <v>1</v>
      </c>
      <c r="AT725" s="180">
        <f t="shared" si="147"/>
        <v>1</v>
      </c>
      <c r="AU725" s="180" t="str">
        <f t="shared" si="148"/>
        <v>.</v>
      </c>
      <c r="AV725" s="180" t="str">
        <f t="shared" si="149"/>
        <v>.</v>
      </c>
      <c r="AW725" s="180">
        <f>IFERROR(VLOOKUP(B725,'Share, Heavy Weapons to Ukraine'!B:J,COLUMN('Share, Heavy Weapons to Ukraine'!C738)-1,0),0)</f>
        <v>0</v>
      </c>
      <c r="AX725" s="180">
        <f>VLOOKUP('Bilateral Assistance, MAIN DATA'!B725,'Country Summary'!B:F,COLUMN('Country Summary'!C741)-1,FALSE)</f>
        <v>1</v>
      </c>
      <c r="AY725" s="180" t="str">
        <f>IF(AND(AD725=1,D725="Military",H725&lt;&gt;"Not given")=TRUE,IF(SUMIFS(P:P,A:A,A725)&gt;0,ABS((SUMIFS(P:P,A:A,A725)/VLOOKUP("USD",'Exchange Rates'!B:C,2,0)))/S725,"."),".")</f>
        <v>.</v>
      </c>
      <c r="AZ725" s="182" t="str">
        <f>IF(AND(AD725=1,D725="Military",H725&lt;&gt;"Not given")=TRUE,IF(SUMIFS(P:P,A:A,A725)&gt;0,IF((ABS((SUMIFS(P:P,A:A,A725)/VLOOKUP("USD",'Exchange Rates'!B:C,2,0)))/S725)&gt;1,(SUMIFS(P:P,A:A,A725)-S725)/S725,(S725-SUMIFS(P:P,A:A,A725))/SUMIFS(P:P,A:A,A725)),"."),".")</f>
        <v>.</v>
      </c>
      <c r="BA725" s="182"/>
      <c r="BB725" s="182"/>
      <c r="BC725" s="182"/>
      <c r="BD725" s="182"/>
      <c r="BE725" s="182"/>
      <c r="BF725" s="182"/>
      <c r="BG725" s="182"/>
      <c r="BH725" s="182"/>
      <c r="BI725" s="182"/>
      <c r="BJ725" s="182"/>
      <c r="BK725" s="182"/>
      <c r="BL725" s="182"/>
      <c r="BM725" s="182"/>
      <c r="BN725" s="182"/>
      <c r="BO725" s="182"/>
      <c r="BP725" s="182"/>
      <c r="BQ725" s="182"/>
      <c r="BR725" s="182"/>
      <c r="BS725" s="182"/>
    </row>
    <row r="726" spans="1:71" ht="15.9" customHeight="1" x14ac:dyDescent="0.3">
      <c r="A726" s="17" t="s">
        <v>2136</v>
      </c>
      <c r="B726" s="17" t="s">
        <v>2076</v>
      </c>
      <c r="C726" s="174">
        <v>44627</v>
      </c>
      <c r="D726" s="5" t="s">
        <v>256</v>
      </c>
      <c r="E726" s="5" t="s">
        <v>257</v>
      </c>
      <c r="F726" s="175" t="s">
        <v>2137</v>
      </c>
      <c r="G726" s="15" t="s">
        <v>364</v>
      </c>
      <c r="H726" s="176">
        <v>15000000</v>
      </c>
      <c r="I726" s="17" t="s">
        <v>260</v>
      </c>
      <c r="J726" s="113" t="str">
        <f>VLOOKUP($I726,'Price List, Weapons &amp; Items'!B:C,2,0)</f>
        <v>.</v>
      </c>
      <c r="K726" s="113" t="str">
        <f>IF(I726=".",I726,VLOOKUP($I726,'Price List, Weapons &amp; Items'!B:D,3,0))</f>
        <v>.</v>
      </c>
      <c r="L726" s="177">
        <f>VLOOKUP(I726,'Price List, Weapons &amp; Items'!B:E,4,0)</f>
        <v>0</v>
      </c>
      <c r="M726" s="542" t="s">
        <v>260</v>
      </c>
      <c r="N726" s="542" t="s">
        <v>260</v>
      </c>
      <c r="O726" s="543" t="str">
        <f>VLOOKUP($I726,'Price List, Weapons &amp; Items'!B:G,6,0)</f>
        <v>.</v>
      </c>
      <c r="P726" s="176" t="str">
        <f t="shared" si="140"/>
        <v>.</v>
      </c>
      <c r="Q726" s="176" t="str">
        <f t="shared" si="141"/>
        <v>.</v>
      </c>
      <c r="R726" s="176">
        <f t="shared" si="150"/>
        <v>15000000</v>
      </c>
      <c r="S726" s="176">
        <f>IF(AND(AD726=1,R726&lt;&gt;".")=TRUE,R726/VLOOKUP(G726,'Exchange Rates'!B:C,2,0),IF(R726=".",".",""))</f>
        <v>15000000</v>
      </c>
      <c r="T726" s="176" t="str">
        <f>IF(AD726=1,IF(AF726="Value is not given at all",".",IF(AF726="Value is given by the source",S726,IF(AF726="Value is calculated with prices",(IF(SUMIFS(Q:Q,A:A,A726)&gt;0,SUMIFS(Q:Q,A:A,A726),"."))/VLOOKUP("USD",'Exchange Rates'!B:C,2,0),"Error with coding"))),"")</f>
        <v>.</v>
      </c>
      <c r="U726" s="15" t="s">
        <v>261</v>
      </c>
      <c r="V726" s="300" t="s">
        <v>2138</v>
      </c>
      <c r="W726" s="300" t="s">
        <v>2139</v>
      </c>
      <c r="X726" s="175" t="s">
        <v>260</v>
      </c>
      <c r="Y726" s="175" t="s">
        <v>260</v>
      </c>
      <c r="Z726" s="15">
        <v>0</v>
      </c>
      <c r="AA726" s="180">
        <v>0</v>
      </c>
      <c r="AB726" s="184" t="s">
        <v>260</v>
      </c>
      <c r="AC726" s="544" t="str">
        <f>""</f>
        <v/>
      </c>
      <c r="AD726" s="181">
        <v>1</v>
      </c>
      <c r="AE726" s="181" t="s">
        <v>264</v>
      </c>
      <c r="AF726" s="181" t="s">
        <v>265</v>
      </c>
      <c r="AG726" s="181">
        <v>1</v>
      </c>
      <c r="AH726" s="181">
        <v>3</v>
      </c>
      <c r="AI726" s="181">
        <v>0</v>
      </c>
      <c r="AJ726" s="181">
        <f>VLOOKUP($I726,'Price List, Weapons &amp; Items'!B:F,5,0)</f>
        <v>0</v>
      </c>
      <c r="AK726" s="181">
        <f t="shared" si="142"/>
        <v>0</v>
      </c>
      <c r="AL726" s="181">
        <f t="shared" si="143"/>
        <v>0</v>
      </c>
      <c r="AM726" s="181">
        <f t="shared" si="144"/>
        <v>0</v>
      </c>
      <c r="AN726" s="180" t="str">
        <f>VLOOKUP($I726,'Price List, Weapons &amp; Items'!B:L,COLUMN('Price List, Weapons &amp; Items'!$J$11)-1,0)</f>
        <v>.</v>
      </c>
      <c r="AO726" s="180" t="str">
        <f>IF(I726=".",".",VLOOKUP($I726,'Price List, Weapons &amp; Items'!B:J,3,0))</f>
        <v>.</v>
      </c>
      <c r="AP726" s="545" t="e">
        <f t="shared" ca="1" si="151"/>
        <v>#NAME?</v>
      </c>
      <c r="AQ726" s="180" t="str">
        <f>VLOOKUP($I726,'Price List, Weapons &amp; Items'!B:L,COLUMN('Price List, Weapons &amp; Items'!$L$11)-1,0)</f>
        <v>no price, 0 count</v>
      </c>
      <c r="AR726" s="180">
        <f t="shared" si="145"/>
        <v>1</v>
      </c>
      <c r="AS726" s="180">
        <f t="shared" si="146"/>
        <v>0</v>
      </c>
      <c r="AT726" s="180">
        <f t="shared" si="147"/>
        <v>1</v>
      </c>
      <c r="AU726" s="180" t="str">
        <f t="shared" si="148"/>
        <v>.</v>
      </c>
      <c r="AV726" s="180" t="str">
        <f t="shared" si="149"/>
        <v>.</v>
      </c>
      <c r="AW726" s="180">
        <f>IFERROR(VLOOKUP(B726,'Share, Heavy Weapons to Ukraine'!B:J,COLUMN('Share, Heavy Weapons to Ukraine'!C739)-1,0),0)</f>
        <v>0</v>
      </c>
      <c r="AX726" s="180">
        <f>VLOOKUP('Bilateral Assistance, MAIN DATA'!B726,'Country Summary'!B:F,COLUMN('Country Summary'!C742)-1,FALSE)</f>
        <v>1</v>
      </c>
      <c r="AY726" s="180" t="str">
        <f>IF(AND(AD726=1,D726="Military",H726&lt;&gt;"Not given")=TRUE,IF(SUMIFS(P:P,A:A,A726)&gt;0,ABS((SUMIFS(P:P,A:A,A726)/VLOOKUP("USD",'Exchange Rates'!B:C,2,0)))/S726,"."),".")</f>
        <v>.</v>
      </c>
      <c r="AZ726" s="182" t="str">
        <f>IF(AND(AD726=1,D726="Military",H726&lt;&gt;"Not given")=TRUE,IF(SUMIFS(P:P,A:A,A726)&gt;0,IF((ABS((SUMIFS(P:P,A:A,A726)/VLOOKUP("USD",'Exchange Rates'!B:C,2,0)))/S726)&gt;1,(SUMIFS(P:P,A:A,A726)-S726)/S726,(S726-SUMIFS(P:P,A:A,A726))/SUMIFS(P:P,A:A,A726)),"."),".")</f>
        <v>.</v>
      </c>
      <c r="BA726" s="182"/>
      <c r="BB726" s="182"/>
      <c r="BC726" s="182"/>
      <c r="BD726" s="182"/>
      <c r="BE726" s="182"/>
      <c r="BF726" s="182"/>
      <c r="BG726" s="182"/>
      <c r="BH726" s="182"/>
      <c r="BI726" s="182"/>
      <c r="BJ726" s="182"/>
      <c r="BK726" s="182"/>
      <c r="BL726" s="182"/>
      <c r="BM726" s="182"/>
      <c r="BN726" s="182"/>
      <c r="BO726" s="182"/>
      <c r="BP726" s="182"/>
      <c r="BQ726" s="182"/>
      <c r="BR726" s="182"/>
      <c r="BS726" s="182"/>
    </row>
    <row r="727" spans="1:71" s="505" customFormat="1" ht="15.9" customHeight="1" x14ac:dyDescent="0.3">
      <c r="A727" s="17" t="s">
        <v>2140</v>
      </c>
      <c r="B727" s="17" t="s">
        <v>2076</v>
      </c>
      <c r="C727" s="174" t="s">
        <v>2141</v>
      </c>
      <c r="D727" s="5" t="s">
        <v>256</v>
      </c>
      <c r="E727" s="5" t="s">
        <v>257</v>
      </c>
      <c r="F727" s="175" t="s">
        <v>2142</v>
      </c>
      <c r="G727" s="15" t="s">
        <v>364</v>
      </c>
      <c r="H727" s="176">
        <v>1500000</v>
      </c>
      <c r="I727" s="17" t="s">
        <v>260</v>
      </c>
      <c r="J727" s="113" t="str">
        <f>VLOOKUP($I727,'Price List, Weapons &amp; Items'!B:C,2,0)</f>
        <v>.</v>
      </c>
      <c r="K727" s="113" t="str">
        <f>IF(I727=".",I727,VLOOKUP($I727,'Price List, Weapons &amp; Items'!B:D,3,0))</f>
        <v>.</v>
      </c>
      <c r="L727" s="177">
        <f>VLOOKUP(I727,'Price List, Weapons &amp; Items'!B:E,4,0)</f>
        <v>0</v>
      </c>
      <c r="M727" s="542" t="s">
        <v>260</v>
      </c>
      <c r="N727" s="542" t="s">
        <v>260</v>
      </c>
      <c r="O727" s="543" t="str">
        <f>VLOOKUP($I727,'Price List, Weapons &amp; Items'!B:G,6,0)</f>
        <v>.</v>
      </c>
      <c r="P727" s="176" t="str">
        <f t="shared" si="140"/>
        <v>.</v>
      </c>
      <c r="Q727" s="176" t="str">
        <f t="shared" si="141"/>
        <v>.</v>
      </c>
      <c r="R727" s="176">
        <f t="shared" si="150"/>
        <v>1500000</v>
      </c>
      <c r="S727" s="176">
        <f>IF(AND(AD727=1,R727&lt;&gt;".")=TRUE,R727/VLOOKUP(G727,'Exchange Rates'!B:C,2,0),IF(R727=".",".",""))</f>
        <v>1500000</v>
      </c>
      <c r="T727" s="176" t="str">
        <f>IF(AD727=1,IF(AF727="Value is not given at all",".",IF(AF727="Value is given by the source",S727,IF(AF727="Value is calculated with prices",(IF(SUMIFS(Q:Q,A:A,A727)&gt;0,SUMIFS(Q:Q,A:A,A727),"."))/VLOOKUP("USD",'Exchange Rates'!B:C,2,0),"Error with coding"))),"")</f>
        <v>.</v>
      </c>
      <c r="U727" s="15" t="s">
        <v>261</v>
      </c>
      <c r="V727" s="300" t="s">
        <v>2138</v>
      </c>
      <c r="W727" s="175" t="s">
        <v>260</v>
      </c>
      <c r="X727" s="175" t="s">
        <v>260</v>
      </c>
      <c r="Y727" s="175" t="s">
        <v>260</v>
      </c>
      <c r="Z727" s="15">
        <v>0</v>
      </c>
      <c r="AA727" s="180">
        <v>0</v>
      </c>
      <c r="AB727" s="184" t="s">
        <v>260</v>
      </c>
      <c r="AC727" s="544" t="str">
        <f>""</f>
        <v/>
      </c>
      <c r="AD727" s="183">
        <v>1</v>
      </c>
      <c r="AE727" s="183" t="s">
        <v>264</v>
      </c>
      <c r="AF727" s="183" t="s">
        <v>265</v>
      </c>
      <c r="AG727" s="183">
        <v>0</v>
      </c>
      <c r="AH727" s="181">
        <v>0</v>
      </c>
      <c r="AI727" s="181">
        <v>0</v>
      </c>
      <c r="AJ727" s="181">
        <f>VLOOKUP($I727,'Price List, Weapons &amp; Items'!B:F,5,0)</f>
        <v>0</v>
      </c>
      <c r="AK727" s="181">
        <f t="shared" si="142"/>
        <v>0</v>
      </c>
      <c r="AL727" s="181">
        <f t="shared" si="143"/>
        <v>0</v>
      </c>
      <c r="AM727" s="181">
        <f t="shared" si="144"/>
        <v>0</v>
      </c>
      <c r="AN727" s="180" t="str">
        <f>VLOOKUP($I727,'Price List, Weapons &amp; Items'!B:L,COLUMN('Price List, Weapons &amp; Items'!$J$11)-1,0)</f>
        <v>.</v>
      </c>
      <c r="AO727" s="180" t="str">
        <f>IF(I727=".",".",VLOOKUP($I727,'Price List, Weapons &amp; Items'!B:J,3,0))</f>
        <v>.</v>
      </c>
      <c r="AP727" s="545" t="e">
        <f t="shared" ca="1" si="151"/>
        <v>#NAME?</v>
      </c>
      <c r="AQ727" s="180" t="str">
        <f>VLOOKUP($I727,'Price List, Weapons &amp; Items'!B:L,COLUMN('Price List, Weapons &amp; Items'!$L$11)-1,0)</f>
        <v>no price, 0 count</v>
      </c>
      <c r="AR727" s="180">
        <f t="shared" si="145"/>
        <v>1</v>
      </c>
      <c r="AS727" s="180">
        <f t="shared" si="146"/>
        <v>0</v>
      </c>
      <c r="AT727" s="180" t="str">
        <f t="shared" si="147"/>
        <v>Value is not in date format</v>
      </c>
      <c r="AU727" s="180" t="str">
        <f t="shared" si="148"/>
        <v>.</v>
      </c>
      <c r="AV727" s="180" t="str">
        <f t="shared" si="149"/>
        <v>.</v>
      </c>
      <c r="AW727" s="180">
        <f>IFERROR(VLOOKUP(B727,'Share, Heavy Weapons to Ukraine'!B:J,COLUMN('Share, Heavy Weapons to Ukraine'!C740)-1,0),0)</f>
        <v>0</v>
      </c>
      <c r="AX727" s="180">
        <f>VLOOKUP('Bilateral Assistance, MAIN DATA'!B727,'Country Summary'!B:F,COLUMN('Country Summary'!C743)-1,FALSE)</f>
        <v>1</v>
      </c>
      <c r="AY727" s="180" t="str">
        <f>IF(AND(AD727=1,D727="Military",H727&lt;&gt;"Not given")=TRUE,IF(SUMIFS(P:P,A:A,A727)&gt;0,ABS((SUMIFS(P:P,A:A,A727)/VLOOKUP("USD",'Exchange Rates'!B:C,2,0)))/S727,"."),".")</f>
        <v>.</v>
      </c>
      <c r="AZ727" s="182" t="str">
        <f>IF(AND(AD727=1,D727="Military",H727&lt;&gt;"Not given")=TRUE,IF(SUMIFS(P:P,A:A,A727)&gt;0,IF((ABS((SUMIFS(P:P,A:A,A727)/VLOOKUP("USD",'Exchange Rates'!B:C,2,0)))/S727)&gt;1,(SUMIFS(P:P,A:A,A727)-S727)/S727,(S727-SUMIFS(P:P,A:A,A727))/SUMIFS(P:P,A:A,A727)),"."),".")</f>
        <v>.</v>
      </c>
      <c r="BA727" s="17"/>
      <c r="BB727" s="17"/>
      <c r="BC727" s="17"/>
      <c r="BD727" s="17"/>
      <c r="BE727" s="17"/>
      <c r="BF727" s="17"/>
      <c r="BG727" s="17"/>
      <c r="BH727" s="17"/>
      <c r="BI727" s="17"/>
      <c r="BJ727" s="17"/>
      <c r="BK727" s="17"/>
      <c r="BL727" s="17"/>
      <c r="BM727" s="17"/>
      <c r="BN727" s="17"/>
      <c r="BO727" s="17"/>
      <c r="BP727" s="17"/>
      <c r="BQ727" s="17"/>
      <c r="BR727" s="17"/>
      <c r="BS727" s="17"/>
    </row>
    <row r="728" spans="1:71" ht="15.9" customHeight="1" x14ac:dyDescent="0.3">
      <c r="A728" s="5" t="s">
        <v>2143</v>
      </c>
      <c r="B728" s="5" t="s">
        <v>2076</v>
      </c>
      <c r="C728" s="174">
        <v>44622</v>
      </c>
      <c r="D728" s="5" t="s">
        <v>256</v>
      </c>
      <c r="E728" s="5" t="s">
        <v>267</v>
      </c>
      <c r="F728" s="175" t="s">
        <v>2144</v>
      </c>
      <c r="G728" s="15" t="s">
        <v>346</v>
      </c>
      <c r="H728" s="176" t="s">
        <v>341</v>
      </c>
      <c r="I728" s="17" t="s">
        <v>352</v>
      </c>
      <c r="J728" s="113" t="str">
        <f>VLOOKUP($I728,'Price List, Weapons &amp; Items'!B:C,2,0)</f>
        <v>Humanitarian</v>
      </c>
      <c r="K728" s="113" t="str">
        <f>IF(I728=".",I728,VLOOKUP($I728,'Price List, Weapons &amp; Items'!B:D,3,0))</f>
        <v>Humanitarian</v>
      </c>
      <c r="L728" s="177">
        <f>VLOOKUP(I728,'Price List, Weapons &amp; Items'!B:E,4,0)</f>
        <v>0</v>
      </c>
      <c r="M728" s="542">
        <v>10000</v>
      </c>
      <c r="N728" s="542" t="s">
        <v>270</v>
      </c>
      <c r="O728" s="543">
        <f>VLOOKUP($I728,'Price List, Weapons &amp; Items'!B:G,6,0)</f>
        <v>0.13</v>
      </c>
      <c r="P728" s="176">
        <f t="shared" si="140"/>
        <v>1300</v>
      </c>
      <c r="Q728" s="176" t="str">
        <f t="shared" si="141"/>
        <v>.</v>
      </c>
      <c r="R728" s="176">
        <f t="shared" si="150"/>
        <v>2013300</v>
      </c>
      <c r="S728" s="176">
        <f>IF(AND(AD728=1,R728&lt;&gt;".")=TRUE,R728/VLOOKUP(G728,'Exchange Rates'!B:C,2,0),IF(R728=".",".",""))</f>
        <v>1917428.5714285714</v>
      </c>
      <c r="T728" s="176" t="str">
        <f>IF(AD728=1,IF(AF728="Value is not given at all",".",IF(AF728="Value is given by the source",S728,IF(AF728="Value is calculated with prices",(IF(SUMIFS(Q:Q,A:A,A728)&gt;0,SUMIFS(Q:Q,A:A,A728),"."))/VLOOKUP("USD",'Exchange Rates'!B:C,2,0),"Error with coding"))),"")</f>
        <v>.</v>
      </c>
      <c r="U728" s="15" t="s">
        <v>415</v>
      </c>
      <c r="V728" s="547" t="s">
        <v>2145</v>
      </c>
      <c r="W728" s="188" t="s">
        <v>260</v>
      </c>
      <c r="X728" s="188" t="s">
        <v>260</v>
      </c>
      <c r="Y728" s="188" t="s">
        <v>260</v>
      </c>
      <c r="Z728" s="15">
        <v>0</v>
      </c>
      <c r="AA728" s="180">
        <v>0</v>
      </c>
      <c r="AB728" s="184" t="s">
        <v>260</v>
      </c>
      <c r="AC728" s="544" t="str">
        <f>""</f>
        <v/>
      </c>
      <c r="AD728" s="181">
        <v>1</v>
      </c>
      <c r="AE728" s="181" t="s">
        <v>332</v>
      </c>
      <c r="AF728" s="181" t="s">
        <v>265</v>
      </c>
      <c r="AG728" s="181">
        <v>1</v>
      </c>
      <c r="AH728" s="181">
        <v>3</v>
      </c>
      <c r="AI728" s="181">
        <v>0</v>
      </c>
      <c r="AJ728" s="181">
        <f>VLOOKUP($I728,'Price List, Weapons &amp; Items'!B:F,5,0)</f>
        <v>0</v>
      </c>
      <c r="AK728" s="181">
        <f t="shared" si="142"/>
        <v>0</v>
      </c>
      <c r="AL728" s="181">
        <f t="shared" si="143"/>
        <v>0</v>
      </c>
      <c r="AM728" s="181">
        <f t="shared" si="144"/>
        <v>0</v>
      </c>
      <c r="AN728" s="180" t="str">
        <f>VLOOKUP($I728,'Price List, Weapons &amp; Items'!B:L,COLUMN('Price List, Weapons &amp; Items'!$J$11)-1,0)</f>
        <v>Online marketplaces and stores</v>
      </c>
      <c r="AO728" s="180" t="str">
        <f>IF(I728=".",".",VLOOKUP($I728,'Price List, Weapons &amp; Items'!B:J,3,0))</f>
        <v>Humanitarian</v>
      </c>
      <c r="AP728" s="545" t="e">
        <f t="shared" ca="1" si="151"/>
        <v>#NAME?</v>
      </c>
      <c r="AQ728" s="180">
        <f>VLOOKUP($I728,'Price List, Weapons &amp; Items'!B:L,COLUMN('Price List, Weapons &amp; Items'!$L$11)-1,0)</f>
        <v>0</v>
      </c>
      <c r="AR728" s="180">
        <f t="shared" si="145"/>
        <v>0</v>
      </c>
      <c r="AS728" s="180">
        <f t="shared" si="146"/>
        <v>0</v>
      </c>
      <c r="AT728" s="180">
        <f t="shared" si="147"/>
        <v>1</v>
      </c>
      <c r="AU728" s="180" t="str">
        <f t="shared" si="148"/>
        <v>.</v>
      </c>
      <c r="AV728" s="180" t="str">
        <f t="shared" si="149"/>
        <v>.</v>
      </c>
      <c r="AW728" s="180">
        <f>IFERROR(VLOOKUP(B728,'Share, Heavy Weapons to Ukraine'!B:J,COLUMN('Share, Heavy Weapons to Ukraine'!C741)-1,0),0)</f>
        <v>0</v>
      </c>
      <c r="AX728" s="180">
        <f>VLOOKUP('Bilateral Assistance, MAIN DATA'!B728,'Country Summary'!B:F,COLUMN('Country Summary'!C744)-1,FALSE)</f>
        <v>1</v>
      </c>
      <c r="AY728" s="180" t="str">
        <f>IF(AND(AD728=1,D728="Military",H728&lt;&gt;"Not given")=TRUE,IF(SUMIFS(P:P,A:A,A728)&gt;0,ABS((SUMIFS(P:P,A:A,A728)/VLOOKUP("USD",'Exchange Rates'!B:C,2,0)))/S728,"."),".")</f>
        <v>.</v>
      </c>
      <c r="AZ728" s="182" t="str">
        <f>IF(AND(AD728=1,D728="Military",H728&lt;&gt;"Not given")=TRUE,IF(SUMIFS(P:P,A:A,A728)&gt;0,IF((ABS((SUMIFS(P:P,A:A,A728)/VLOOKUP("USD",'Exchange Rates'!B:C,2,0)))/S728)&gt;1,(SUMIFS(P:P,A:A,A728)-S728)/S728,(S728-SUMIFS(P:P,A:A,A728))/SUMIFS(P:P,A:A,A728)),"."),".")</f>
        <v>.</v>
      </c>
      <c r="BA728" s="182"/>
      <c r="BB728" s="182"/>
      <c r="BC728" s="182"/>
      <c r="BD728" s="182"/>
      <c r="BE728" s="182"/>
      <c r="BF728" s="182"/>
      <c r="BG728" s="182"/>
      <c r="BH728" s="182"/>
      <c r="BI728" s="182"/>
      <c r="BJ728" s="182"/>
      <c r="BK728" s="182"/>
      <c r="BL728" s="182"/>
      <c r="BM728" s="182"/>
      <c r="BN728" s="182"/>
      <c r="BO728" s="182"/>
      <c r="BP728" s="182"/>
      <c r="BQ728" s="182"/>
      <c r="BR728" s="182"/>
      <c r="BS728" s="182"/>
    </row>
    <row r="729" spans="1:71" ht="15.9" customHeight="1" x14ac:dyDescent="0.3">
      <c r="A729" s="5" t="s">
        <v>2143</v>
      </c>
      <c r="B729" s="5" t="s">
        <v>2076</v>
      </c>
      <c r="C729" s="174">
        <v>44622</v>
      </c>
      <c r="D729" s="5" t="s">
        <v>256</v>
      </c>
      <c r="E729" s="5" t="s">
        <v>267</v>
      </c>
      <c r="F729" s="175" t="s">
        <v>2144</v>
      </c>
      <c r="G729" s="15" t="s">
        <v>346</v>
      </c>
      <c r="H729" s="176" t="s">
        <v>341</v>
      </c>
      <c r="I729" s="17" t="s">
        <v>2146</v>
      </c>
      <c r="J729" s="113" t="str">
        <f>VLOOKUP($I729,'Price List, Weapons &amp; Items'!B:C,2,0)</f>
        <v>Humanitarian</v>
      </c>
      <c r="K729" s="113" t="str">
        <f>IF(I729=".",I729,VLOOKUP($I729,'Price List, Weapons &amp; Items'!B:D,3,0))</f>
        <v>Humanitarian</v>
      </c>
      <c r="L729" s="177">
        <f>VLOOKUP(I729,'Price List, Weapons &amp; Items'!B:E,4,0)</f>
        <v>0</v>
      </c>
      <c r="M729" s="542">
        <v>10000</v>
      </c>
      <c r="N729" s="542" t="s">
        <v>270</v>
      </c>
      <c r="O729" s="543">
        <f>VLOOKUP($I729,'Price List, Weapons &amp; Items'!B:G,6,0)</f>
        <v>200</v>
      </c>
      <c r="P729" s="176">
        <f t="shared" si="140"/>
        <v>2000000</v>
      </c>
      <c r="Q729" s="176" t="str">
        <f t="shared" si="141"/>
        <v>.</v>
      </c>
      <c r="R729" s="176" t="str">
        <f t="shared" si="150"/>
        <v/>
      </c>
      <c r="S729" s="176" t="str">
        <f>IF(AND(AD729=1,R729&lt;&gt;".")=TRUE,R729/VLOOKUP(G729,'Exchange Rates'!B:C,2,0),IF(R729=".",".",""))</f>
        <v/>
      </c>
      <c r="T729" s="176" t="str">
        <f>IF(AD729=1,IF(AF729="Value is not given at all",".",IF(AF729="Value is given by the source",S729,IF(AF729="Value is calculated with prices",(IF(SUMIFS(Q:Q,A:A,A729)&gt;0,SUMIFS(Q:Q,A:A,A729),"."))/VLOOKUP("USD",'Exchange Rates'!B:C,2,0),"Error with coding"))),"")</f>
        <v/>
      </c>
      <c r="U729" s="15" t="s">
        <v>415</v>
      </c>
      <c r="V729" s="547" t="s">
        <v>2145</v>
      </c>
      <c r="W729" s="188" t="s">
        <v>260</v>
      </c>
      <c r="X729" s="188" t="s">
        <v>260</v>
      </c>
      <c r="Y729" s="188" t="s">
        <v>260</v>
      </c>
      <c r="Z729" s="15">
        <v>0</v>
      </c>
      <c r="AA729" s="180">
        <v>0</v>
      </c>
      <c r="AB729" s="184" t="s">
        <v>260</v>
      </c>
      <c r="AC729" s="544" t="str">
        <f>""</f>
        <v/>
      </c>
      <c r="AD729" s="181">
        <v>0</v>
      </c>
      <c r="AE729" s="181" t="s">
        <v>332</v>
      </c>
      <c r="AF729" s="181" t="s">
        <v>265</v>
      </c>
      <c r="AG729" s="181">
        <v>1</v>
      </c>
      <c r="AH729" s="181">
        <v>3</v>
      </c>
      <c r="AI729" s="181">
        <v>0</v>
      </c>
      <c r="AJ729" s="181">
        <f>VLOOKUP($I729,'Price List, Weapons &amp; Items'!B:F,5,0)</f>
        <v>0</v>
      </c>
      <c r="AK729" s="181">
        <f t="shared" si="142"/>
        <v>0</v>
      </c>
      <c r="AL729" s="181">
        <f t="shared" si="143"/>
        <v>0</v>
      </c>
      <c r="AM729" s="181">
        <f t="shared" si="144"/>
        <v>0</v>
      </c>
      <c r="AN729" s="180" t="str">
        <f>VLOOKUP($I729,'Price List, Weapons &amp; Items'!B:L,COLUMN('Price List, Weapons &amp; Items'!$J$11)-1,0)</f>
        <v>Media reports (incl. social media)</v>
      </c>
      <c r="AO729" s="180" t="str">
        <f>IF(I729=".",".",VLOOKUP($I729,'Price List, Weapons &amp; Items'!B:J,3,0))</f>
        <v>Humanitarian</v>
      </c>
      <c r="AP729" s="545" t="str">
        <f t="shared" ca="1" si="151"/>
        <v/>
      </c>
      <c r="AQ729" s="180">
        <f>VLOOKUP($I729,'Price List, Weapons &amp; Items'!B:L,COLUMN('Price List, Weapons &amp; Items'!$L$11)-1,0)</f>
        <v>0</v>
      </c>
      <c r="AR729" s="180">
        <f t="shared" si="145"/>
        <v>0</v>
      </c>
      <c r="AS729" s="180">
        <f t="shared" si="146"/>
        <v>0</v>
      </c>
      <c r="AT729" s="180">
        <f t="shared" si="147"/>
        <v>1</v>
      </c>
      <c r="AU729" s="180" t="str">
        <f t="shared" si="148"/>
        <v>.</v>
      </c>
      <c r="AV729" s="180" t="str">
        <f t="shared" si="149"/>
        <v>.</v>
      </c>
      <c r="AW729" s="180">
        <f>IFERROR(VLOOKUP(B729,'Share, Heavy Weapons to Ukraine'!B:J,COLUMN('Share, Heavy Weapons to Ukraine'!C742)-1,0),0)</f>
        <v>0</v>
      </c>
      <c r="AX729" s="180">
        <f>VLOOKUP('Bilateral Assistance, MAIN DATA'!B729,'Country Summary'!B:F,COLUMN('Country Summary'!C745)-1,FALSE)</f>
        <v>1</v>
      </c>
      <c r="AY729" s="180" t="str">
        <f>IF(AND(AD729=1,D729="Military",H729&lt;&gt;"Not given")=TRUE,IF(SUMIFS(P:P,A:A,A729)&gt;0,ABS((SUMIFS(P:P,A:A,A729)/VLOOKUP("USD",'Exchange Rates'!B:C,2,0)))/S729,"."),".")</f>
        <v>.</v>
      </c>
      <c r="AZ729" s="182" t="str">
        <f>IF(AND(AD729=1,D729="Military",H729&lt;&gt;"Not given")=TRUE,IF(SUMIFS(P:P,A:A,A729)&gt;0,IF((ABS((SUMIFS(P:P,A:A,A729)/VLOOKUP("USD",'Exchange Rates'!B:C,2,0)))/S729)&gt;1,(SUMIFS(P:P,A:A,A729)-S729)/S729,(S729-SUMIFS(P:P,A:A,A729))/SUMIFS(P:P,A:A,A729)),"."),".")</f>
        <v>.</v>
      </c>
      <c r="BA729" s="182"/>
      <c r="BB729" s="182"/>
      <c r="BC729" s="182"/>
      <c r="BD729" s="182"/>
      <c r="BE729" s="182"/>
      <c r="BF729" s="182"/>
      <c r="BG729" s="182"/>
      <c r="BH729" s="182"/>
      <c r="BI729" s="182"/>
      <c r="BJ729" s="182"/>
      <c r="BK729" s="182"/>
      <c r="BL729" s="182"/>
      <c r="BM729" s="182"/>
      <c r="BN729" s="182"/>
      <c r="BO729" s="182"/>
      <c r="BP729" s="182"/>
      <c r="BQ729" s="182"/>
      <c r="BR729" s="182"/>
      <c r="BS729" s="182"/>
    </row>
    <row r="730" spans="1:71" ht="15.9" customHeight="1" x14ac:dyDescent="0.3">
      <c r="A730" s="5" t="s">
        <v>2143</v>
      </c>
      <c r="B730" s="5" t="s">
        <v>2076</v>
      </c>
      <c r="C730" s="174">
        <v>44622</v>
      </c>
      <c r="D730" s="5" t="s">
        <v>256</v>
      </c>
      <c r="E730" s="5" t="s">
        <v>267</v>
      </c>
      <c r="F730" s="175" t="s">
        <v>2144</v>
      </c>
      <c r="G730" s="15" t="s">
        <v>346</v>
      </c>
      <c r="H730" s="176" t="s">
        <v>341</v>
      </c>
      <c r="I730" s="17" t="s">
        <v>2147</v>
      </c>
      <c r="J730" s="113" t="str">
        <f>VLOOKUP($I730,'Price List, Weapons &amp; Items'!B:C,2,0)</f>
        <v>Humanitarian</v>
      </c>
      <c r="K730" s="113" t="str">
        <f>IF(I730=".",I730,VLOOKUP($I730,'Price List, Weapons &amp; Items'!B:D,3,0))</f>
        <v>Humanitarian</v>
      </c>
      <c r="L730" s="177">
        <f>VLOOKUP(I730,'Price List, Weapons &amp; Items'!B:E,4,0)</f>
        <v>0</v>
      </c>
      <c r="M730" s="542">
        <v>50000</v>
      </c>
      <c r="N730" s="542" t="s">
        <v>270</v>
      </c>
      <c r="O730" s="543">
        <f>VLOOKUP($I730,'Price List, Weapons &amp; Items'!B:G,6,0)</f>
        <v>0.24</v>
      </c>
      <c r="P730" s="176">
        <f t="shared" si="140"/>
        <v>12000</v>
      </c>
      <c r="Q730" s="176" t="str">
        <f t="shared" si="141"/>
        <v>.</v>
      </c>
      <c r="R730" s="176" t="str">
        <f t="shared" si="150"/>
        <v/>
      </c>
      <c r="S730" s="176" t="str">
        <f>IF(AND(AD730=1,R730&lt;&gt;".")=TRUE,R730/VLOOKUP(G730,'Exchange Rates'!B:C,2,0),IF(R730=".",".",""))</f>
        <v/>
      </c>
      <c r="T730" s="176" t="str">
        <f>IF(AD730=1,IF(AF730="Value is not given at all",".",IF(AF730="Value is given by the source",S730,IF(AF730="Value is calculated with prices",(IF(SUMIFS(Q:Q,A:A,A730)&gt;0,SUMIFS(Q:Q,A:A,A730),"."))/VLOOKUP("USD",'Exchange Rates'!B:C,2,0),"Error with coding"))),"")</f>
        <v/>
      </c>
      <c r="U730" s="15" t="s">
        <v>415</v>
      </c>
      <c r="V730" s="547" t="s">
        <v>2145</v>
      </c>
      <c r="W730" s="188" t="s">
        <v>260</v>
      </c>
      <c r="X730" s="188" t="s">
        <v>260</v>
      </c>
      <c r="Y730" s="188" t="s">
        <v>260</v>
      </c>
      <c r="Z730" s="15">
        <v>0</v>
      </c>
      <c r="AA730" s="180">
        <v>0</v>
      </c>
      <c r="AB730" s="184" t="s">
        <v>260</v>
      </c>
      <c r="AC730" s="544" t="str">
        <f>""</f>
        <v/>
      </c>
      <c r="AD730" s="181">
        <v>0</v>
      </c>
      <c r="AE730" s="181" t="s">
        <v>332</v>
      </c>
      <c r="AF730" s="181" t="s">
        <v>265</v>
      </c>
      <c r="AG730" s="181">
        <v>1</v>
      </c>
      <c r="AH730" s="181">
        <v>3</v>
      </c>
      <c r="AI730" s="181">
        <v>0</v>
      </c>
      <c r="AJ730" s="181">
        <f>VLOOKUP($I730,'Price List, Weapons &amp; Items'!B:F,5,0)</f>
        <v>0</v>
      </c>
      <c r="AK730" s="181">
        <f t="shared" si="142"/>
        <v>0</v>
      </c>
      <c r="AL730" s="181">
        <f t="shared" si="143"/>
        <v>0</v>
      </c>
      <c r="AM730" s="181">
        <f t="shared" si="144"/>
        <v>0</v>
      </c>
      <c r="AN730" s="180" t="str">
        <f>VLOOKUP($I730,'Price List, Weapons &amp; Items'!B:L,COLUMN('Price List, Weapons &amp; Items'!$J$11)-1,0)</f>
        <v>Online marketplaces and stores</v>
      </c>
      <c r="AO730" s="180" t="str">
        <f>IF(I730=".",".",VLOOKUP($I730,'Price List, Weapons &amp; Items'!B:J,3,0))</f>
        <v>Humanitarian</v>
      </c>
      <c r="AP730" s="545" t="str">
        <f t="shared" ca="1" si="151"/>
        <v/>
      </c>
      <c r="AQ730" s="180">
        <f>VLOOKUP($I730,'Price List, Weapons &amp; Items'!B:L,COLUMN('Price List, Weapons &amp; Items'!$L$11)-1,0)</f>
        <v>0</v>
      </c>
      <c r="AR730" s="180">
        <f t="shared" si="145"/>
        <v>0</v>
      </c>
      <c r="AS730" s="180">
        <f t="shared" si="146"/>
        <v>0</v>
      </c>
      <c r="AT730" s="180">
        <f t="shared" si="147"/>
        <v>1</v>
      </c>
      <c r="AU730" s="180" t="str">
        <f t="shared" si="148"/>
        <v>.</v>
      </c>
      <c r="AV730" s="180" t="str">
        <f t="shared" si="149"/>
        <v>.</v>
      </c>
      <c r="AW730" s="180">
        <f>IFERROR(VLOOKUP(B730,'Share, Heavy Weapons to Ukraine'!B:J,COLUMN('Share, Heavy Weapons to Ukraine'!C743)-1,0),0)</f>
        <v>0</v>
      </c>
      <c r="AX730" s="180">
        <f>VLOOKUP('Bilateral Assistance, MAIN DATA'!B730,'Country Summary'!B:F,COLUMN('Country Summary'!C746)-1,FALSE)</f>
        <v>1</v>
      </c>
      <c r="AY730" s="180" t="str">
        <f>IF(AND(AD730=1,D730="Military",H730&lt;&gt;"Not given")=TRUE,IF(SUMIFS(P:P,A:A,A730)&gt;0,ABS((SUMIFS(P:P,A:A,A730)/VLOOKUP("USD",'Exchange Rates'!B:C,2,0)))/S730,"."),".")</f>
        <v>.</v>
      </c>
      <c r="AZ730" s="182" t="str">
        <f>IF(AND(AD730=1,D730="Military",H730&lt;&gt;"Not given")=TRUE,IF(SUMIFS(P:P,A:A,A730)&gt;0,IF((ABS((SUMIFS(P:P,A:A,A730)/VLOOKUP("USD",'Exchange Rates'!B:C,2,0)))/S730)&gt;1,(SUMIFS(P:P,A:A,A730)-S730)/S730,(S730-SUMIFS(P:P,A:A,A730))/SUMIFS(P:P,A:A,A730)),"."),".")</f>
        <v>.</v>
      </c>
      <c r="BA730" s="182"/>
      <c r="BB730" s="182"/>
      <c r="BC730" s="182"/>
      <c r="BD730" s="182"/>
      <c r="BE730" s="182"/>
      <c r="BF730" s="182"/>
      <c r="BG730" s="182"/>
      <c r="BH730" s="182"/>
      <c r="BI730" s="182"/>
      <c r="BJ730" s="182"/>
      <c r="BK730" s="182"/>
      <c r="BL730" s="182"/>
      <c r="BM730" s="182"/>
      <c r="BN730" s="182"/>
      <c r="BO730" s="182"/>
      <c r="BP730" s="182"/>
      <c r="BQ730" s="182"/>
      <c r="BR730" s="182"/>
      <c r="BS730" s="182"/>
    </row>
    <row r="731" spans="1:71" ht="15.9" customHeight="1" x14ac:dyDescent="0.3">
      <c r="A731" s="16" t="s">
        <v>2148</v>
      </c>
      <c r="B731" s="16" t="s">
        <v>2076</v>
      </c>
      <c r="C731" s="174">
        <v>44686</v>
      </c>
      <c r="D731" s="194" t="s">
        <v>256</v>
      </c>
      <c r="E731" s="194" t="s">
        <v>267</v>
      </c>
      <c r="F731" s="175" t="s">
        <v>2149</v>
      </c>
      <c r="G731" s="195" t="s">
        <v>346</v>
      </c>
      <c r="H731" s="176" t="s">
        <v>341</v>
      </c>
      <c r="I731" s="16" t="s">
        <v>358</v>
      </c>
      <c r="J731" s="113" t="str">
        <f>VLOOKUP($I731,'Price List, Weapons &amp; Items'!B:C,2,0)</f>
        <v>Humanitarian</v>
      </c>
      <c r="K731" s="113" t="str">
        <f>IF(I731=".",I731,VLOOKUP($I731,'Price List, Weapons &amp; Items'!B:D,3,0))</f>
        <v>Humanitarian</v>
      </c>
      <c r="L731" s="177">
        <f>VLOOKUP(I731,'Price List, Weapons &amp; Items'!B:E,4,0)</f>
        <v>0</v>
      </c>
      <c r="M731" s="542">
        <v>17</v>
      </c>
      <c r="N731" s="542" t="s">
        <v>270</v>
      </c>
      <c r="O731" s="543">
        <f>VLOOKUP($I731,'Price List, Weapons &amp; Items'!B:G,6,0)</f>
        <v>317500</v>
      </c>
      <c r="P731" s="176">
        <f t="shared" si="140"/>
        <v>5397500</v>
      </c>
      <c r="Q731" s="176" t="str">
        <f t="shared" si="141"/>
        <v>.</v>
      </c>
      <c r="R731" s="176">
        <f t="shared" si="150"/>
        <v>5397500</v>
      </c>
      <c r="S731" s="176">
        <f>IF(AND(AD731=1,R731&lt;&gt;".")=TRUE,R731/VLOOKUP(G731,'Exchange Rates'!B:C,2,0),IF(R731=".",".",""))</f>
        <v>5140476.1904761903</v>
      </c>
      <c r="T731" s="176" t="str">
        <f>IF(AD731=1,IF(AF731="Value is not given at all",".",IF(AF731="Value is given by the source",S731,IF(AF731="Value is calculated with prices",(IF(SUMIFS(Q:Q,A:A,A731)&gt;0,SUMIFS(Q:Q,A:A,A731),"."))/VLOOKUP("USD",'Exchange Rates'!B:C,2,0),"Error with coding"))),"")</f>
        <v>.</v>
      </c>
      <c r="U731" s="177" t="s">
        <v>261</v>
      </c>
      <c r="V731" s="556" t="s">
        <v>2057</v>
      </c>
      <c r="W731" s="218" t="s">
        <v>260</v>
      </c>
      <c r="X731" s="218" t="s">
        <v>260</v>
      </c>
      <c r="Y731" s="218" t="s">
        <v>260</v>
      </c>
      <c r="Z731" s="15">
        <v>0</v>
      </c>
      <c r="AA731" s="180">
        <v>0</v>
      </c>
      <c r="AB731" s="17" t="s">
        <v>260</v>
      </c>
      <c r="AC731" s="544" t="str">
        <f>""</f>
        <v/>
      </c>
      <c r="AD731" s="183">
        <v>1</v>
      </c>
      <c r="AE731" s="183" t="s">
        <v>332</v>
      </c>
      <c r="AF731" s="183" t="s">
        <v>265</v>
      </c>
      <c r="AG731" s="183">
        <v>1</v>
      </c>
      <c r="AH731" s="181">
        <v>5</v>
      </c>
      <c r="AI731" s="181">
        <v>0</v>
      </c>
      <c r="AJ731" s="181">
        <f>VLOOKUP($I731,'Price List, Weapons &amp; Items'!B:F,5,0)</f>
        <v>0</v>
      </c>
      <c r="AK731" s="181">
        <f t="shared" si="142"/>
        <v>0</v>
      </c>
      <c r="AL731" s="181">
        <f t="shared" si="143"/>
        <v>0</v>
      </c>
      <c r="AM731" s="181">
        <f t="shared" si="144"/>
        <v>0</v>
      </c>
      <c r="AN731" s="180" t="str">
        <f>VLOOKUP($I731,'Price List, Weapons &amp; Items'!B:L,COLUMN('Price List, Weapons &amp; Items'!$J$11)-1,0)</f>
        <v>Media reports (incl. social media)</v>
      </c>
      <c r="AO731" s="180" t="str">
        <f>IF(I731=".",".",VLOOKUP($I731,'Price List, Weapons &amp; Items'!B:J,3,0))</f>
        <v>Humanitarian</v>
      </c>
      <c r="AP731" s="545" t="e">
        <f t="shared" ca="1" si="151"/>
        <v>#NAME?</v>
      </c>
      <c r="AQ731" s="180">
        <f>VLOOKUP($I731,'Price List, Weapons &amp; Items'!B:L,COLUMN('Price List, Weapons &amp; Items'!$L$11)-1,0)</f>
        <v>0</v>
      </c>
      <c r="AR731" s="180">
        <f t="shared" si="145"/>
        <v>1</v>
      </c>
      <c r="AS731" s="180">
        <f t="shared" si="146"/>
        <v>0</v>
      </c>
      <c r="AT731" s="180">
        <f t="shared" si="147"/>
        <v>1</v>
      </c>
      <c r="AU731" s="180" t="str">
        <f t="shared" si="148"/>
        <v>.</v>
      </c>
      <c r="AV731" s="180" t="str">
        <f t="shared" si="149"/>
        <v>.</v>
      </c>
      <c r="AW731" s="180">
        <f>IFERROR(VLOOKUP(B731,'Share, Heavy Weapons to Ukraine'!B:J,COLUMN('Share, Heavy Weapons to Ukraine'!C744)-1,0),0)</f>
        <v>0</v>
      </c>
      <c r="AX731" s="180">
        <f>VLOOKUP('Bilateral Assistance, MAIN DATA'!B731,'Country Summary'!B:F,COLUMN('Country Summary'!C747)-1,FALSE)</f>
        <v>1</v>
      </c>
      <c r="AY731" s="180" t="str">
        <f>IF(AND(AD731=1,D731="Military",H731&lt;&gt;"Not given")=TRUE,IF(SUMIFS(P:P,A:A,A731)&gt;0,ABS((SUMIFS(P:P,A:A,A731)/VLOOKUP("USD",'Exchange Rates'!B:C,2,0)))/S731,"."),".")</f>
        <v>.</v>
      </c>
      <c r="AZ731" s="182" t="str">
        <f>IF(AND(AD731=1,D731="Military",H731&lt;&gt;"Not given")=TRUE,IF(SUMIFS(P:P,A:A,A731)&gt;0,IF((ABS((SUMIFS(P:P,A:A,A731)/VLOOKUP("USD",'Exchange Rates'!B:C,2,0)))/S731)&gt;1,(SUMIFS(P:P,A:A,A731)-S731)/S731,(S731-SUMIFS(P:P,A:A,A731))/SUMIFS(P:P,A:A,A731)),"."),".")</f>
        <v>.</v>
      </c>
      <c r="BA731" s="182"/>
      <c r="BB731" s="182"/>
      <c r="BC731" s="182"/>
      <c r="BD731" s="182"/>
      <c r="BE731" s="182"/>
      <c r="BF731" s="182"/>
      <c r="BG731" s="182"/>
      <c r="BH731" s="182"/>
      <c r="BI731" s="182"/>
      <c r="BJ731" s="182"/>
      <c r="BK731" s="182"/>
      <c r="BL731" s="182"/>
      <c r="BM731" s="182"/>
      <c r="BN731" s="182"/>
      <c r="BO731" s="182"/>
      <c r="BP731" s="182"/>
      <c r="BQ731" s="182"/>
      <c r="BR731" s="182"/>
      <c r="BS731" s="182"/>
    </row>
    <row r="732" spans="1:71" ht="15.9" customHeight="1" x14ac:dyDescent="0.3">
      <c r="A732" s="16" t="s">
        <v>2150</v>
      </c>
      <c r="B732" s="16" t="s">
        <v>2076</v>
      </c>
      <c r="C732" s="174">
        <v>44686</v>
      </c>
      <c r="D732" s="194" t="s">
        <v>256</v>
      </c>
      <c r="E732" s="194" t="s">
        <v>267</v>
      </c>
      <c r="F732" s="175" t="s">
        <v>2151</v>
      </c>
      <c r="G732" s="195" t="s">
        <v>364</v>
      </c>
      <c r="H732" s="176">
        <v>5000000</v>
      </c>
      <c r="I732" s="16" t="s">
        <v>1651</v>
      </c>
      <c r="J732" s="113" t="str">
        <f>VLOOKUP($I732,'Price List, Weapons &amp; Items'!B:C,2,0)</f>
        <v>Humanitarian</v>
      </c>
      <c r="K732" s="113" t="str">
        <f>IF(I732=".",I732,VLOOKUP($I732,'Price List, Weapons &amp; Items'!B:D,3,0))</f>
        <v>Humanitarian</v>
      </c>
      <c r="L732" s="177">
        <f>VLOOKUP(I732,'Price List, Weapons &amp; Items'!B:E,4,0)</f>
        <v>0</v>
      </c>
      <c r="M732" s="542" t="s">
        <v>270</v>
      </c>
      <c r="N732" s="542" t="s">
        <v>270</v>
      </c>
      <c r="O732" s="543">
        <f>VLOOKUP($I732,'Price List, Weapons &amp; Items'!B:G,6,0)</f>
        <v>1.29</v>
      </c>
      <c r="P732" s="176" t="str">
        <f t="shared" si="140"/>
        <v>.</v>
      </c>
      <c r="Q732" s="176" t="str">
        <f t="shared" si="141"/>
        <v>.</v>
      </c>
      <c r="R732" s="176">
        <f t="shared" si="150"/>
        <v>5000000</v>
      </c>
      <c r="S732" s="176">
        <f>IF(AND(AD732=1,R732&lt;&gt;".")=TRUE,R732/VLOOKUP(G732,'Exchange Rates'!B:C,2,0),IF(R732=".",".",""))</f>
        <v>5000000</v>
      </c>
      <c r="T732" s="176" t="str">
        <f>IF(AD732=1,IF(AF732="Value is not given at all",".",IF(AF732="Value is given by the source",S732,IF(AF732="Value is calculated with prices",(IF(SUMIFS(Q:Q,A:A,A732)&gt;0,SUMIFS(Q:Q,A:A,A732),"."))/VLOOKUP("USD",'Exchange Rates'!B:C,2,0),"Error with coding"))),"")</f>
        <v>.</v>
      </c>
      <c r="U732" s="177" t="s">
        <v>261</v>
      </c>
      <c r="V732" s="556" t="s">
        <v>2057</v>
      </c>
      <c r="W732" s="218" t="s">
        <v>260</v>
      </c>
      <c r="X732" s="218" t="s">
        <v>260</v>
      </c>
      <c r="Y732" s="218" t="s">
        <v>260</v>
      </c>
      <c r="Z732" s="15">
        <v>0</v>
      </c>
      <c r="AA732" s="180">
        <v>0</v>
      </c>
      <c r="AB732" s="17" t="s">
        <v>260</v>
      </c>
      <c r="AC732" s="544" t="str">
        <f>""</f>
        <v/>
      </c>
      <c r="AD732" s="183">
        <v>1</v>
      </c>
      <c r="AE732" s="183" t="s">
        <v>264</v>
      </c>
      <c r="AF732" s="183" t="s">
        <v>265</v>
      </c>
      <c r="AG732" s="183">
        <v>1</v>
      </c>
      <c r="AH732" s="181">
        <v>5</v>
      </c>
      <c r="AI732" s="181">
        <v>0</v>
      </c>
      <c r="AJ732" s="181">
        <f>VLOOKUP($I732,'Price List, Weapons &amp; Items'!B:F,5,0)</f>
        <v>0</v>
      </c>
      <c r="AK732" s="181">
        <f t="shared" si="142"/>
        <v>0</v>
      </c>
      <c r="AL732" s="181">
        <f t="shared" si="143"/>
        <v>0</v>
      </c>
      <c r="AM732" s="181">
        <f t="shared" si="144"/>
        <v>0</v>
      </c>
      <c r="AN732" s="180" t="str">
        <f>VLOOKUP($I732,'Price List, Weapons &amp; Items'!B:L,COLUMN('Price List, Weapons &amp; Items'!$J$11)-1,0)</f>
        <v>Miscellaneous</v>
      </c>
      <c r="AO732" s="180" t="str">
        <f>IF(I732=".",".",VLOOKUP($I732,'Price List, Weapons &amp; Items'!B:J,3,0))</f>
        <v>Humanitarian</v>
      </c>
      <c r="AP732" s="545" t="e">
        <f t="shared" ca="1" si="151"/>
        <v>#NAME?</v>
      </c>
      <c r="AQ732" s="180">
        <f>VLOOKUP($I732,'Price List, Weapons &amp; Items'!B:L,COLUMN('Price List, Weapons &amp; Items'!$L$11)-1,0)</f>
        <v>0</v>
      </c>
      <c r="AR732" s="180">
        <f t="shared" si="145"/>
        <v>1</v>
      </c>
      <c r="AS732" s="180">
        <f t="shared" si="146"/>
        <v>0</v>
      </c>
      <c r="AT732" s="180">
        <f t="shared" si="147"/>
        <v>1</v>
      </c>
      <c r="AU732" s="180" t="str">
        <f t="shared" si="148"/>
        <v>.</v>
      </c>
      <c r="AV732" s="180" t="str">
        <f t="shared" si="149"/>
        <v>.</v>
      </c>
      <c r="AW732" s="180">
        <f>IFERROR(VLOOKUP(B732,'Share, Heavy Weapons to Ukraine'!B:J,COLUMN('Share, Heavy Weapons to Ukraine'!C745)-1,0),0)</f>
        <v>0</v>
      </c>
      <c r="AX732" s="180">
        <f>VLOOKUP('Bilateral Assistance, MAIN DATA'!B732,'Country Summary'!B:F,COLUMN('Country Summary'!C748)-1,FALSE)</f>
        <v>1</v>
      </c>
      <c r="AY732" s="180" t="str">
        <f>IF(AND(AD732=1,D732="Military",H732&lt;&gt;"Not given")=TRUE,IF(SUMIFS(P:P,A:A,A732)&gt;0,ABS((SUMIFS(P:P,A:A,A732)/VLOOKUP("USD",'Exchange Rates'!B:C,2,0)))/S732,"."),".")</f>
        <v>.</v>
      </c>
      <c r="AZ732" s="182" t="str">
        <f>IF(AND(AD732=1,D732="Military",H732&lt;&gt;"Not given")=TRUE,IF(SUMIFS(P:P,A:A,A732)&gt;0,IF((ABS((SUMIFS(P:P,A:A,A732)/VLOOKUP("USD",'Exchange Rates'!B:C,2,0)))/S732)&gt;1,(SUMIFS(P:P,A:A,A732)-S732)/S732,(S732-SUMIFS(P:P,A:A,A732))/SUMIFS(P:P,A:A,A732)),"."),".")</f>
        <v>.</v>
      </c>
      <c r="BA732" s="182"/>
      <c r="BB732" s="182"/>
      <c r="BC732" s="182"/>
      <c r="BD732" s="182"/>
      <c r="BE732" s="182"/>
      <c r="BF732" s="182"/>
      <c r="BG732" s="182"/>
      <c r="BH732" s="182"/>
      <c r="BI732" s="182"/>
      <c r="BJ732" s="182"/>
      <c r="BK732" s="182"/>
      <c r="BL732" s="182"/>
      <c r="BM732" s="182"/>
      <c r="BN732" s="182"/>
      <c r="BO732" s="182"/>
      <c r="BP732" s="182"/>
      <c r="BQ732" s="182"/>
      <c r="BR732" s="182"/>
      <c r="BS732" s="182"/>
    </row>
    <row r="733" spans="1:71" ht="15.9" customHeight="1" x14ac:dyDescent="0.3">
      <c r="A733" s="16" t="s">
        <v>2152</v>
      </c>
      <c r="B733" s="16" t="s">
        <v>2076</v>
      </c>
      <c r="C733" s="174">
        <v>44846</v>
      </c>
      <c r="D733" s="194" t="s">
        <v>256</v>
      </c>
      <c r="E733" s="5" t="s">
        <v>362</v>
      </c>
      <c r="F733" s="175" t="s">
        <v>2153</v>
      </c>
      <c r="G733" s="195" t="s">
        <v>364</v>
      </c>
      <c r="H733" s="176">
        <v>180000000</v>
      </c>
      <c r="I733" s="16" t="s">
        <v>260</v>
      </c>
      <c r="J733" s="113" t="str">
        <f>VLOOKUP($I733,'Price List, Weapons &amp; Items'!B:C,2,0)</f>
        <v>.</v>
      </c>
      <c r="K733" s="113" t="str">
        <f>IF(I733=".",I733,VLOOKUP($I733,'Price List, Weapons &amp; Items'!B:D,3,0))</f>
        <v>.</v>
      </c>
      <c r="L733" s="177">
        <f>VLOOKUP(I733,'Price List, Weapons &amp; Items'!B:E,4,0)</f>
        <v>0</v>
      </c>
      <c r="M733" s="542" t="s">
        <v>260</v>
      </c>
      <c r="N733" s="542" t="s">
        <v>260</v>
      </c>
      <c r="O733" s="543" t="str">
        <f>VLOOKUP($I733,'Price List, Weapons &amp; Items'!B:G,6,0)</f>
        <v>.</v>
      </c>
      <c r="P733" s="176" t="str">
        <f t="shared" si="140"/>
        <v>.</v>
      </c>
      <c r="Q733" s="176" t="str">
        <f t="shared" si="141"/>
        <v>.</v>
      </c>
      <c r="R733" s="176">
        <f t="shared" si="150"/>
        <v>180000000</v>
      </c>
      <c r="S733" s="176">
        <f>IF(AND(AD733=1,R733&lt;&gt;".")=TRUE,R733/VLOOKUP(G733,'Exchange Rates'!B:C,2,0),IF(R733=".",".",""))</f>
        <v>180000000</v>
      </c>
      <c r="T733" s="176" t="str">
        <f>IF(AD733=1,IF(AF733="Value is not given at all",".",IF(AF733="Value is given by the source",S733,IF(AF733="Value is calculated with prices",(IF(SUMIFS(Q:Q,A:A,A733)&gt;0,SUMIFS(Q:Q,A:A,A733),"."))/VLOOKUP("USD",'Exchange Rates'!B:C,2,0),"Error with coding"))),"")</f>
        <v>.</v>
      </c>
      <c r="U733" s="177" t="s">
        <v>261</v>
      </c>
      <c r="V733" s="556" t="s">
        <v>2154</v>
      </c>
      <c r="W733" s="582" t="s">
        <v>2155</v>
      </c>
      <c r="X733" s="582" t="s">
        <v>2156</v>
      </c>
      <c r="Y733" s="218" t="s">
        <v>260</v>
      </c>
      <c r="Z733" s="15">
        <v>1</v>
      </c>
      <c r="AA733" s="199">
        <v>1</v>
      </c>
      <c r="AB733" s="17" t="s">
        <v>260</v>
      </c>
      <c r="AC733" s="544" t="str">
        <f>""</f>
        <v/>
      </c>
      <c r="AD733" s="183">
        <v>1</v>
      </c>
      <c r="AE733" s="183" t="s">
        <v>264</v>
      </c>
      <c r="AF733" s="183" t="s">
        <v>265</v>
      </c>
      <c r="AG733" s="183">
        <v>1</v>
      </c>
      <c r="AH733" s="181">
        <v>10</v>
      </c>
      <c r="AI733" s="181">
        <v>0</v>
      </c>
      <c r="AJ733" s="181">
        <f>VLOOKUP($I733,'Price List, Weapons &amp; Items'!B:F,5,0)</f>
        <v>0</v>
      </c>
      <c r="AK733" s="181">
        <f t="shared" si="142"/>
        <v>0</v>
      </c>
      <c r="AL733" s="181">
        <f t="shared" si="143"/>
        <v>0</v>
      </c>
      <c r="AM733" s="181">
        <f t="shared" si="144"/>
        <v>0</v>
      </c>
      <c r="AN733" s="180" t="str">
        <f>VLOOKUP($I733,'Price List, Weapons &amp; Items'!B:L,COLUMN('Price List, Weapons &amp; Items'!$J$11)-1,0)</f>
        <v>.</v>
      </c>
      <c r="AO733" s="180" t="str">
        <f>IF(I733=".",".",VLOOKUP($I733,'Price List, Weapons &amp; Items'!B:J,3,0))</f>
        <v>.</v>
      </c>
      <c r="AP733" s="545" t="e">
        <f t="shared" ca="1" si="151"/>
        <v>#NAME?</v>
      </c>
      <c r="AQ733" s="180" t="str">
        <f>VLOOKUP($I733,'Price List, Weapons &amp; Items'!B:L,COLUMN('Price List, Weapons &amp; Items'!$L$11)-1,0)</f>
        <v>no price, 0 count</v>
      </c>
      <c r="AR733" s="180">
        <f t="shared" si="145"/>
        <v>1</v>
      </c>
      <c r="AS733" s="180">
        <f t="shared" si="146"/>
        <v>0</v>
      </c>
      <c r="AT733" s="180">
        <f t="shared" si="147"/>
        <v>1</v>
      </c>
      <c r="AU733" s="180" t="str">
        <f t="shared" si="148"/>
        <v>.</v>
      </c>
      <c r="AV733" s="180" t="str">
        <f t="shared" si="149"/>
        <v>.</v>
      </c>
      <c r="AW733" s="180">
        <f>IFERROR(VLOOKUP(B733,'Share, Heavy Weapons to Ukraine'!B:J,COLUMN('Share, Heavy Weapons to Ukraine'!C746)-1,0),0)</f>
        <v>0</v>
      </c>
      <c r="AX733" s="180">
        <f>VLOOKUP('Bilateral Assistance, MAIN DATA'!B733,'Country Summary'!B:F,COLUMN('Country Summary'!C749)-1,FALSE)</f>
        <v>1</v>
      </c>
      <c r="AY733" s="180" t="str">
        <f>IF(AND(AD733=1,D733="Military",H733&lt;&gt;"Not given")=TRUE,IF(SUMIFS(P:P,A:A,A733)&gt;0,ABS((SUMIFS(P:P,A:A,A733)/VLOOKUP("USD",'Exchange Rates'!B:C,2,0)))/S733,"."),".")</f>
        <v>.</v>
      </c>
      <c r="AZ733" s="182" t="str">
        <f>IF(AND(AD733=1,D733="Military",H733&lt;&gt;"Not given")=TRUE,IF(SUMIFS(P:P,A:A,A733)&gt;0,IF((ABS((SUMIFS(P:P,A:A,A733)/VLOOKUP("USD",'Exchange Rates'!B:C,2,0)))/S733)&gt;1,(SUMIFS(P:P,A:A,A733)-S733)/S733,(S733-SUMIFS(P:P,A:A,A733))/SUMIFS(P:P,A:A,A733)),"."),".")</f>
        <v>.</v>
      </c>
      <c r="BA733" s="182"/>
      <c r="BB733" s="182"/>
      <c r="BC733" s="182"/>
      <c r="BD733" s="182"/>
      <c r="BE733" s="182"/>
      <c r="BF733" s="182"/>
      <c r="BG733" s="182"/>
      <c r="BH733" s="182"/>
      <c r="BI733" s="182"/>
      <c r="BJ733" s="182"/>
      <c r="BK733" s="182"/>
      <c r="BL733" s="182"/>
      <c r="BM733" s="182"/>
      <c r="BN733" s="182"/>
      <c r="BO733" s="182"/>
      <c r="BP733" s="182"/>
      <c r="BQ733" s="182"/>
      <c r="BR733" s="182"/>
      <c r="BS733" s="182"/>
    </row>
    <row r="734" spans="1:71" ht="15.9" customHeight="1" x14ac:dyDescent="0.3">
      <c r="A734" s="16" t="s">
        <v>2157</v>
      </c>
      <c r="B734" s="16" t="s">
        <v>2076</v>
      </c>
      <c r="C734" s="174">
        <v>44896</v>
      </c>
      <c r="D734" s="194" t="s">
        <v>256</v>
      </c>
      <c r="E734" s="194" t="s">
        <v>267</v>
      </c>
      <c r="F734" s="175" t="s">
        <v>2158</v>
      </c>
      <c r="G734" s="195" t="s">
        <v>364</v>
      </c>
      <c r="H734" s="176">
        <v>3500000</v>
      </c>
      <c r="I734" s="16" t="s">
        <v>260</v>
      </c>
      <c r="J734" s="113" t="str">
        <f>VLOOKUP($I734,'Price List, Weapons &amp; Items'!B:C,2,0)</f>
        <v>.</v>
      </c>
      <c r="K734" s="113" t="str">
        <f>IF(I734=".",I734,VLOOKUP($I734,'Price List, Weapons &amp; Items'!B:D,3,0))</f>
        <v>.</v>
      </c>
      <c r="L734" s="177">
        <f>VLOOKUP(I734,'Price List, Weapons &amp; Items'!B:E,4,0)</f>
        <v>0</v>
      </c>
      <c r="M734" s="542" t="s">
        <v>260</v>
      </c>
      <c r="N734" s="542" t="s">
        <v>260</v>
      </c>
      <c r="O734" s="543" t="str">
        <f>VLOOKUP($I734,'Price List, Weapons &amp; Items'!B:G,6,0)</f>
        <v>.</v>
      </c>
      <c r="P734" s="176" t="str">
        <f t="shared" si="140"/>
        <v>.</v>
      </c>
      <c r="Q734" s="176" t="str">
        <f t="shared" si="141"/>
        <v>.</v>
      </c>
      <c r="R734" s="176">
        <f t="shared" si="150"/>
        <v>3500000</v>
      </c>
      <c r="S734" s="176">
        <f>IF(AND(AD734=1,R734&lt;&gt;".")=TRUE,R734/VLOOKUP(G734,'Exchange Rates'!B:C,2,0),IF(R734=".",".",""))</f>
        <v>3500000</v>
      </c>
      <c r="T734" s="176" t="str">
        <f>IF(AD734=1,IF(AF734="Value is not given at all",".",IF(AF734="Value is given by the source",S734,IF(AF734="Value is calculated with prices",(IF(SUMIFS(Q:Q,A:A,A734)&gt;0,SUMIFS(Q:Q,A:A,A734),"."))/VLOOKUP("USD",'Exchange Rates'!B:C,2,0),"Error with coding"))),"")</f>
        <v>.</v>
      </c>
      <c r="U734" s="177" t="s">
        <v>261</v>
      </c>
      <c r="V734" s="556" t="s">
        <v>2159</v>
      </c>
      <c r="W734" s="689" t="s">
        <v>260</v>
      </c>
      <c r="X734" s="218" t="s">
        <v>260</v>
      </c>
      <c r="Y734" s="218" t="s">
        <v>260</v>
      </c>
      <c r="Z734" s="15">
        <v>0</v>
      </c>
      <c r="AA734" s="199">
        <v>1</v>
      </c>
      <c r="AB734" s="17" t="s">
        <v>260</v>
      </c>
      <c r="AC734" s="544" t="str">
        <f>""</f>
        <v/>
      </c>
      <c r="AD734" s="183">
        <v>1</v>
      </c>
      <c r="AE734" s="183" t="s">
        <v>264</v>
      </c>
      <c r="AF734" s="183" t="s">
        <v>265</v>
      </c>
      <c r="AG734" s="183">
        <v>1</v>
      </c>
      <c r="AH734" s="181">
        <v>12</v>
      </c>
      <c r="AI734" s="181">
        <v>0</v>
      </c>
      <c r="AJ734" s="181">
        <f>VLOOKUP($I734,'Price List, Weapons &amp; Items'!B:F,5,0)</f>
        <v>0</v>
      </c>
      <c r="AK734" s="181">
        <f t="shared" si="142"/>
        <v>0</v>
      </c>
      <c r="AL734" s="181">
        <f t="shared" si="143"/>
        <v>0</v>
      </c>
      <c r="AM734" s="181">
        <f t="shared" si="144"/>
        <v>0</v>
      </c>
      <c r="AN734" s="180" t="str">
        <f>VLOOKUP($I734,'Price List, Weapons &amp; Items'!B:L,COLUMN('Price List, Weapons &amp; Items'!$J$11)-1,0)</f>
        <v>.</v>
      </c>
      <c r="AO734" s="180" t="str">
        <f>IF(I734=".",".",VLOOKUP($I734,'Price List, Weapons &amp; Items'!B:J,3,0))</f>
        <v>.</v>
      </c>
      <c r="AP734" s="545" t="e">
        <f t="shared" ca="1" si="151"/>
        <v>#NAME?</v>
      </c>
      <c r="AQ734" s="180" t="str">
        <f>VLOOKUP($I734,'Price List, Weapons &amp; Items'!B:L,COLUMN('Price List, Weapons &amp; Items'!$L$11)-1,0)</f>
        <v>no price, 0 count</v>
      </c>
      <c r="AR734" s="180">
        <f t="shared" si="145"/>
        <v>1</v>
      </c>
      <c r="AS734" s="180">
        <f t="shared" si="146"/>
        <v>0</v>
      </c>
      <c r="AT734" s="180">
        <f t="shared" si="147"/>
        <v>1</v>
      </c>
      <c r="AU734" s="180" t="str">
        <f t="shared" si="148"/>
        <v>.</v>
      </c>
      <c r="AV734" s="180" t="str">
        <f t="shared" si="149"/>
        <v>.</v>
      </c>
      <c r="AW734" s="180">
        <f>IFERROR(VLOOKUP(B734,'Share, Heavy Weapons to Ukraine'!B:J,COLUMN('Share, Heavy Weapons to Ukraine'!C747)-1,0),0)</f>
        <v>0</v>
      </c>
      <c r="AX734" s="180">
        <f>VLOOKUP('Bilateral Assistance, MAIN DATA'!B734,'Country Summary'!B:F,COLUMN('Country Summary'!C750)-1,FALSE)</f>
        <v>1</v>
      </c>
      <c r="AY734" s="180" t="str">
        <f>IF(AND(AD734=1,D734="Military",H734&lt;&gt;"Not given")=TRUE,IF(SUMIFS(P:P,A:A,A734)&gt;0,ABS((SUMIFS(P:P,A:A,A734)/VLOOKUP("USD",'Exchange Rates'!B:C,2,0)))/S734,"."),".")</f>
        <v>.</v>
      </c>
      <c r="AZ734" s="182" t="str">
        <f>IF(AND(AD734=1,D734="Military",H734&lt;&gt;"Not given")=TRUE,IF(SUMIFS(P:P,A:A,A734)&gt;0,IF((ABS((SUMIFS(P:P,A:A,A734)/VLOOKUP("USD",'Exchange Rates'!B:C,2,0)))/S734)&gt;1,(SUMIFS(P:P,A:A,A734)-S734)/S734,(S734-SUMIFS(P:P,A:A,A734))/SUMIFS(P:P,A:A,A734)),"."),".")</f>
        <v>.</v>
      </c>
      <c r="BA734" s="182"/>
      <c r="BB734" s="182"/>
      <c r="BC734" s="182"/>
      <c r="BD734" s="182"/>
      <c r="BE734" s="182"/>
      <c r="BF734" s="182"/>
      <c r="BG734" s="182"/>
      <c r="BH734" s="182"/>
      <c r="BI734" s="182"/>
      <c r="BJ734" s="182"/>
      <c r="BK734" s="182"/>
      <c r="BL734" s="182"/>
      <c r="BM734" s="182"/>
      <c r="BN734" s="182"/>
      <c r="BO734" s="182"/>
      <c r="BP734" s="182"/>
      <c r="BQ734" s="182"/>
      <c r="BR734" s="182"/>
      <c r="BS734" s="182"/>
    </row>
    <row r="735" spans="1:71" ht="15.9" customHeight="1" x14ac:dyDescent="0.3">
      <c r="A735" s="17" t="s">
        <v>2160</v>
      </c>
      <c r="B735" s="17" t="s">
        <v>2076</v>
      </c>
      <c r="C735" s="174">
        <v>44627</v>
      </c>
      <c r="D735" s="5" t="s">
        <v>405</v>
      </c>
      <c r="E735" s="5" t="s">
        <v>376</v>
      </c>
      <c r="F735" s="175" t="s">
        <v>2161</v>
      </c>
      <c r="G735" s="15" t="s">
        <v>364</v>
      </c>
      <c r="H735" s="176">
        <v>80000000</v>
      </c>
      <c r="I735" s="17" t="s">
        <v>260</v>
      </c>
      <c r="J735" s="113" t="str">
        <f>VLOOKUP($I735,'Price List, Weapons &amp; Items'!B:C,2,0)</f>
        <v>.</v>
      </c>
      <c r="K735" s="113" t="str">
        <f>IF(I735=".",I735,VLOOKUP($I735,'Price List, Weapons &amp; Items'!B:D,3,0))</f>
        <v>.</v>
      </c>
      <c r="L735" s="177">
        <f>VLOOKUP(I735,'Price List, Weapons &amp; Items'!B:E,4,0)</f>
        <v>0</v>
      </c>
      <c r="M735" s="542" t="s">
        <v>260</v>
      </c>
      <c r="N735" s="542" t="s">
        <v>260</v>
      </c>
      <c r="O735" s="543" t="str">
        <f>VLOOKUP($I735,'Price List, Weapons &amp; Items'!B:G,6,0)</f>
        <v>.</v>
      </c>
      <c r="P735" s="176" t="str">
        <f t="shared" si="140"/>
        <v>.</v>
      </c>
      <c r="Q735" s="176" t="str">
        <f t="shared" si="141"/>
        <v>.</v>
      </c>
      <c r="R735" s="176">
        <f t="shared" si="150"/>
        <v>80000000</v>
      </c>
      <c r="S735" s="176">
        <f>IF(AND(AD735=1,R735&lt;&gt;".")=TRUE,R735/VLOOKUP(G735,'Exchange Rates'!B:C,2,0),IF(R735=".",".",""))</f>
        <v>80000000</v>
      </c>
      <c r="T735" s="176" t="str">
        <f>IF(AD735=1,IF(AF735="Value is not given at all",".",IF(AF735="Value is given by the source",S735,IF(AF735="Value is calculated with prices",(IF(SUMIFS(Q:Q,A:A,A735)&gt;0,SUMIFS(Q:Q,A:A,A735),"."))/VLOOKUP("USD",'Exchange Rates'!B:C,2,0),"Error with coding"))),"")</f>
        <v>.</v>
      </c>
      <c r="U735" s="15" t="s">
        <v>261</v>
      </c>
      <c r="V735" s="300" t="s">
        <v>930</v>
      </c>
      <c r="W735" s="218" t="s">
        <v>260</v>
      </c>
      <c r="X735" s="218" t="s">
        <v>260</v>
      </c>
      <c r="Y735" s="218" t="s">
        <v>260</v>
      </c>
      <c r="Z735" s="15">
        <v>1</v>
      </c>
      <c r="AA735" s="180">
        <v>0</v>
      </c>
      <c r="AB735" s="184" t="s">
        <v>260</v>
      </c>
      <c r="AC735" s="544" t="str">
        <f>""</f>
        <v/>
      </c>
      <c r="AD735" s="181">
        <v>1</v>
      </c>
      <c r="AE735" s="181" t="s">
        <v>264</v>
      </c>
      <c r="AF735" s="181" t="s">
        <v>265</v>
      </c>
      <c r="AG735" s="181">
        <v>1</v>
      </c>
      <c r="AH735" s="181">
        <v>3</v>
      </c>
      <c r="AI735" s="181">
        <v>0</v>
      </c>
      <c r="AJ735" s="181">
        <f>VLOOKUP($I735,'Price List, Weapons &amp; Items'!B:F,5,0)</f>
        <v>0</v>
      </c>
      <c r="AK735" s="181">
        <f t="shared" si="142"/>
        <v>0</v>
      </c>
      <c r="AL735" s="181">
        <f t="shared" si="143"/>
        <v>0</v>
      </c>
      <c r="AM735" s="181">
        <f t="shared" si="144"/>
        <v>0</v>
      </c>
      <c r="AN735" s="180" t="str">
        <f>VLOOKUP($I735,'Price List, Weapons &amp; Items'!B:L,COLUMN('Price List, Weapons &amp; Items'!$J$11)-1,0)</f>
        <v>.</v>
      </c>
      <c r="AO735" s="180" t="str">
        <f>IF(I735=".",".",VLOOKUP($I735,'Price List, Weapons &amp; Items'!B:J,3,0))</f>
        <v>.</v>
      </c>
      <c r="AP735" s="545" t="e">
        <f t="shared" ca="1" si="151"/>
        <v>#NAME?</v>
      </c>
      <c r="AQ735" s="180" t="str">
        <f>VLOOKUP($I735,'Price List, Weapons &amp; Items'!B:L,COLUMN('Price List, Weapons &amp; Items'!$L$11)-1,0)</f>
        <v>no price, 0 count</v>
      </c>
      <c r="AR735" s="180">
        <f t="shared" si="145"/>
        <v>1</v>
      </c>
      <c r="AS735" s="180">
        <f t="shared" si="146"/>
        <v>0</v>
      </c>
      <c r="AT735" s="180">
        <f t="shared" si="147"/>
        <v>1</v>
      </c>
      <c r="AU735" s="180" t="str">
        <f t="shared" si="148"/>
        <v>.</v>
      </c>
      <c r="AV735" s="180" t="str">
        <f t="shared" si="149"/>
        <v>.</v>
      </c>
      <c r="AW735" s="180">
        <f>IFERROR(VLOOKUP(B735,'Share, Heavy Weapons to Ukraine'!B:J,COLUMN('Share, Heavy Weapons to Ukraine'!C748)-1,0),0)</f>
        <v>0</v>
      </c>
      <c r="AX735" s="180">
        <f>VLOOKUP('Bilateral Assistance, MAIN DATA'!B735,'Country Summary'!B:F,COLUMN('Country Summary'!C751)-1,FALSE)</f>
        <v>1</v>
      </c>
      <c r="AY735" s="180" t="str">
        <f>IF(AND(AD735=1,D735="Military",H735&lt;&gt;"Not given")=TRUE,IF(SUMIFS(P:P,A:A,A735)&gt;0,ABS((SUMIFS(P:P,A:A,A735)/VLOOKUP("USD",'Exchange Rates'!B:C,2,0)))/S735,"."),".")</f>
        <v>.</v>
      </c>
      <c r="AZ735" s="182" t="str">
        <f>IF(AND(AD735=1,D735="Military",H735&lt;&gt;"Not given")=TRUE,IF(SUMIFS(P:P,A:A,A735)&gt;0,IF((ABS((SUMIFS(P:P,A:A,A735)/VLOOKUP("USD",'Exchange Rates'!B:C,2,0)))/S735)&gt;1,(SUMIFS(P:P,A:A,A735)-S735)/S735,(S735-SUMIFS(P:P,A:A,A735))/SUMIFS(P:P,A:A,A735)),"."),".")</f>
        <v>.</v>
      </c>
      <c r="BA735" s="182"/>
      <c r="BB735" s="182"/>
      <c r="BC735" s="182"/>
      <c r="BD735" s="182"/>
      <c r="BE735" s="182"/>
      <c r="BF735" s="182"/>
      <c r="BG735" s="182"/>
      <c r="BH735" s="182"/>
      <c r="BI735" s="182"/>
      <c r="BJ735" s="182"/>
      <c r="BK735" s="182"/>
      <c r="BL735" s="182"/>
      <c r="BM735" s="182"/>
      <c r="BN735" s="182"/>
      <c r="BO735" s="182"/>
      <c r="BP735" s="182"/>
      <c r="BQ735" s="182"/>
      <c r="BR735" s="182"/>
      <c r="BS735" s="182"/>
    </row>
    <row r="736" spans="1:71" ht="15.9" customHeight="1" x14ac:dyDescent="0.3">
      <c r="A736" s="17" t="s">
        <v>2162</v>
      </c>
      <c r="B736" s="17" t="s">
        <v>2076</v>
      </c>
      <c r="C736" s="174">
        <v>44747</v>
      </c>
      <c r="D736" s="5" t="s">
        <v>405</v>
      </c>
      <c r="E736" s="5" t="s">
        <v>518</v>
      </c>
      <c r="F736" s="175" t="s">
        <v>2163</v>
      </c>
      <c r="G736" s="15" t="s">
        <v>364</v>
      </c>
      <c r="H736" s="176">
        <v>200000000</v>
      </c>
      <c r="I736" s="17" t="s">
        <v>260</v>
      </c>
      <c r="J736" s="113" t="str">
        <f>VLOOKUP($I736,'Price List, Weapons &amp; Items'!B:C,2,0)</f>
        <v>.</v>
      </c>
      <c r="K736" s="113" t="str">
        <f>IF(I736=".",I736,VLOOKUP($I736,'Price List, Weapons &amp; Items'!B:D,3,0))</f>
        <v>.</v>
      </c>
      <c r="L736" s="177">
        <f>VLOOKUP(I736,'Price List, Weapons &amp; Items'!B:E,4,0)</f>
        <v>0</v>
      </c>
      <c r="M736" s="187" t="s">
        <v>260</v>
      </c>
      <c r="N736" s="187" t="s">
        <v>260</v>
      </c>
      <c r="O736" s="543" t="str">
        <f>VLOOKUP($I736,'Price List, Weapons &amp; Items'!B:G,6,0)</f>
        <v>.</v>
      </c>
      <c r="P736" s="176" t="str">
        <f t="shared" si="140"/>
        <v>.</v>
      </c>
      <c r="Q736" s="176" t="str">
        <f t="shared" si="141"/>
        <v>.</v>
      </c>
      <c r="R736" s="176">
        <f t="shared" si="150"/>
        <v>200000000</v>
      </c>
      <c r="S736" s="176">
        <f>IF(AND(AD736=1,R736&lt;&gt;".")=TRUE,R736/VLOOKUP(G736,'Exchange Rates'!B:C,2,0),IF(R736=".",".",""))</f>
        <v>200000000</v>
      </c>
      <c r="T736" s="176" t="str">
        <f>IF(AD736=1,IF(AF736="Value is not given at all",".",IF(AF736="Value is given by the source",S736,IF(AF736="Value is calculated with prices",(IF(SUMIFS(Q:Q,A:A,A736)&gt;0,SUMIFS(Q:Q,A:A,A736),"."))/VLOOKUP("USD",'Exchange Rates'!B:C,2,0),"Error with coding"))),"")</f>
        <v>.</v>
      </c>
      <c r="U736" s="15" t="s">
        <v>415</v>
      </c>
      <c r="V736" s="300" t="s">
        <v>2164</v>
      </c>
      <c r="W736" s="175" t="s">
        <v>260</v>
      </c>
      <c r="X736" s="175" t="s">
        <v>260</v>
      </c>
      <c r="Y736" s="175" t="s">
        <v>260</v>
      </c>
      <c r="Z736" s="15">
        <v>1</v>
      </c>
      <c r="AA736" s="180">
        <v>0</v>
      </c>
      <c r="AB736" s="17" t="s">
        <v>260</v>
      </c>
      <c r="AC736" s="544" t="str">
        <f>""</f>
        <v/>
      </c>
      <c r="AD736" s="183">
        <v>1</v>
      </c>
      <c r="AE736" s="183" t="s">
        <v>264</v>
      </c>
      <c r="AF736" s="183" t="s">
        <v>265</v>
      </c>
      <c r="AG736" s="183">
        <v>1</v>
      </c>
      <c r="AH736" s="181">
        <v>5</v>
      </c>
      <c r="AI736" s="181">
        <v>0</v>
      </c>
      <c r="AJ736" s="181">
        <f>VLOOKUP($I736,'Price List, Weapons &amp; Items'!B:F,5,0)</f>
        <v>0</v>
      </c>
      <c r="AK736" s="181">
        <f t="shared" si="142"/>
        <v>0</v>
      </c>
      <c r="AL736" s="181">
        <f t="shared" si="143"/>
        <v>0</v>
      </c>
      <c r="AM736" s="181">
        <f t="shared" si="144"/>
        <v>0</v>
      </c>
      <c r="AN736" s="180" t="str">
        <f>VLOOKUP($I736,'Price List, Weapons &amp; Items'!B:L,COLUMN('Price List, Weapons &amp; Items'!$J$11)-1,0)</f>
        <v>.</v>
      </c>
      <c r="AO736" s="180" t="str">
        <f>IF(I736=".",".",VLOOKUP($I736,'Price List, Weapons &amp; Items'!B:J,3,0))</f>
        <v>.</v>
      </c>
      <c r="AP736" s="545" t="e">
        <f t="shared" ca="1" si="151"/>
        <v>#NAME?</v>
      </c>
      <c r="AQ736" s="180" t="str">
        <f>VLOOKUP($I736,'Price List, Weapons &amp; Items'!B:L,COLUMN('Price List, Weapons &amp; Items'!$L$11)-1,0)</f>
        <v>no price, 0 count</v>
      </c>
      <c r="AR736" s="180">
        <f t="shared" si="145"/>
        <v>0</v>
      </c>
      <c r="AS736" s="180">
        <f t="shared" si="146"/>
        <v>0</v>
      </c>
      <c r="AT736" s="180">
        <f t="shared" si="147"/>
        <v>1</v>
      </c>
      <c r="AU736" s="180" t="str">
        <f t="shared" si="148"/>
        <v>.</v>
      </c>
      <c r="AV736" s="180" t="str">
        <f t="shared" si="149"/>
        <v>.</v>
      </c>
      <c r="AW736" s="180">
        <f>IFERROR(VLOOKUP(B736,'Share, Heavy Weapons to Ukraine'!B:J,COLUMN('Share, Heavy Weapons to Ukraine'!C749)-1,0),0)</f>
        <v>0</v>
      </c>
      <c r="AX736" s="180">
        <f>VLOOKUP('Bilateral Assistance, MAIN DATA'!B736,'Country Summary'!B:F,COLUMN('Country Summary'!C752)-1,FALSE)</f>
        <v>1</v>
      </c>
      <c r="AY736" s="180" t="str">
        <f>IF(AND(AD736=1,D736="Military",H736&lt;&gt;"Not given")=TRUE,IF(SUMIFS(P:P,A:A,A736)&gt;0,ABS((SUMIFS(P:P,A:A,A736)/VLOOKUP("USD",'Exchange Rates'!B:C,2,0)))/S736,"."),".")</f>
        <v>.</v>
      </c>
      <c r="AZ736" s="182" t="str">
        <f>IF(AND(AD736=1,D736="Military",H736&lt;&gt;"Not given")=TRUE,IF(SUMIFS(P:P,A:A,A736)&gt;0,IF((ABS((SUMIFS(P:P,A:A,A736)/VLOOKUP("USD",'Exchange Rates'!B:C,2,0)))/S736)&gt;1,(SUMIFS(P:P,A:A,A736)-S736)/S736,(S736-SUMIFS(P:P,A:A,A736))/SUMIFS(P:P,A:A,A736)),"."),".")</f>
        <v>.</v>
      </c>
      <c r="BA736" s="182"/>
      <c r="BB736" s="182"/>
      <c r="BC736" s="182"/>
      <c r="BD736" s="182"/>
      <c r="BE736" s="182"/>
      <c r="BF736" s="182"/>
      <c r="BG736" s="182"/>
      <c r="BH736" s="182"/>
      <c r="BI736" s="182"/>
      <c r="BJ736" s="182"/>
      <c r="BK736" s="182"/>
      <c r="BL736" s="182"/>
      <c r="BM736" s="182"/>
      <c r="BN736" s="182"/>
      <c r="BO736" s="182"/>
      <c r="BP736" s="182"/>
      <c r="BQ736" s="182"/>
      <c r="BR736" s="182"/>
      <c r="BS736" s="182"/>
    </row>
    <row r="737" spans="1:71" s="505" customFormat="1" ht="15.9" customHeight="1" x14ac:dyDescent="0.3">
      <c r="A737" s="17" t="s">
        <v>2165</v>
      </c>
      <c r="B737" s="17" t="s">
        <v>2076</v>
      </c>
      <c r="C737" s="174">
        <v>44801</v>
      </c>
      <c r="D737" s="5" t="s">
        <v>405</v>
      </c>
      <c r="E737" s="5" t="s">
        <v>362</v>
      </c>
      <c r="F737" s="175" t="s">
        <v>2166</v>
      </c>
      <c r="G737" s="15" t="s">
        <v>364</v>
      </c>
      <c r="H737" s="176">
        <f>65000000+1000000+2500000</f>
        <v>68500000</v>
      </c>
      <c r="I737" s="17" t="s">
        <v>260</v>
      </c>
      <c r="J737" s="113" t="str">
        <f>VLOOKUP($I737,'Price List, Weapons &amp; Items'!B:C,2,0)</f>
        <v>.</v>
      </c>
      <c r="K737" s="113" t="str">
        <f>IF(I737=".",I737,VLOOKUP($I737,'Price List, Weapons &amp; Items'!B:D,3,0))</f>
        <v>.</v>
      </c>
      <c r="L737" s="177">
        <f>VLOOKUP(I737,'Price List, Weapons &amp; Items'!B:E,4,0)</f>
        <v>0</v>
      </c>
      <c r="M737" s="187" t="s">
        <v>260</v>
      </c>
      <c r="N737" s="187" t="s">
        <v>260</v>
      </c>
      <c r="O737" s="543" t="str">
        <f>VLOOKUP($I737,'Price List, Weapons &amp; Items'!B:G,6,0)</f>
        <v>.</v>
      </c>
      <c r="P737" s="176" t="str">
        <f t="shared" si="140"/>
        <v>.</v>
      </c>
      <c r="Q737" s="176" t="str">
        <f t="shared" si="141"/>
        <v>.</v>
      </c>
      <c r="R737" s="176">
        <f t="shared" si="150"/>
        <v>68500000</v>
      </c>
      <c r="S737" s="176">
        <f>IF(AND(AD737=1,R737&lt;&gt;".")=TRUE,R737/VLOOKUP(G737,'Exchange Rates'!B:C,2,0),IF(R737=".",".",""))</f>
        <v>68500000</v>
      </c>
      <c r="T737" s="176" t="str">
        <f>IF(AD737=1,IF(AF737="Value is not given at all",".",IF(AF737="Value is given by the source",S737,IF(AF737="Value is calculated with prices",(IF(SUMIFS(Q:Q,A:A,A737)&gt;0,SUMIFS(Q:Q,A:A,A737),"."))/VLOOKUP("USD",'Exchange Rates'!B:C,2,0),"Error with coding"))),"")</f>
        <v>.</v>
      </c>
      <c r="U737" s="15" t="s">
        <v>261</v>
      </c>
      <c r="V737" s="300" t="s">
        <v>2124</v>
      </c>
      <c r="W737" s="175" t="s">
        <v>260</v>
      </c>
      <c r="X737" s="175" t="s">
        <v>260</v>
      </c>
      <c r="Y737" s="175" t="s">
        <v>260</v>
      </c>
      <c r="Z737" s="15">
        <v>0</v>
      </c>
      <c r="AA737" s="180">
        <v>0</v>
      </c>
      <c r="AB737" s="17" t="s">
        <v>260</v>
      </c>
      <c r="AC737" s="544" t="str">
        <f>""</f>
        <v/>
      </c>
      <c r="AD737" s="183">
        <v>1</v>
      </c>
      <c r="AE737" s="183" t="s">
        <v>264</v>
      </c>
      <c r="AF737" s="183" t="s">
        <v>265</v>
      </c>
      <c r="AG737" s="183">
        <v>1</v>
      </c>
      <c r="AH737" s="183">
        <v>8</v>
      </c>
      <c r="AI737" s="183">
        <v>0</v>
      </c>
      <c r="AJ737" s="181">
        <f>VLOOKUP($I737,'Price List, Weapons &amp; Items'!B:F,5,0)</f>
        <v>0</v>
      </c>
      <c r="AK737" s="181">
        <f t="shared" si="142"/>
        <v>0</v>
      </c>
      <c r="AL737" s="181">
        <f t="shared" si="143"/>
        <v>0</v>
      </c>
      <c r="AM737" s="181">
        <f t="shared" si="144"/>
        <v>0</v>
      </c>
      <c r="AN737" s="180" t="str">
        <f>VLOOKUP($I737,'Price List, Weapons &amp; Items'!B:L,COLUMN('Price List, Weapons &amp; Items'!$J$11)-1,0)</f>
        <v>.</v>
      </c>
      <c r="AO737" s="180" t="str">
        <f>IF(I737=".",".",VLOOKUP($I737,'Price List, Weapons &amp; Items'!B:J,3,0))</f>
        <v>.</v>
      </c>
      <c r="AP737" s="545" t="e">
        <f t="shared" ca="1" si="151"/>
        <v>#NAME?</v>
      </c>
      <c r="AQ737" s="180" t="str">
        <f>VLOOKUP($I737,'Price List, Weapons &amp; Items'!B:L,COLUMN('Price List, Weapons &amp; Items'!$L$11)-1,0)</f>
        <v>no price, 0 count</v>
      </c>
      <c r="AR737" s="180">
        <f t="shared" si="145"/>
        <v>1</v>
      </c>
      <c r="AS737" s="180">
        <f t="shared" si="146"/>
        <v>0</v>
      </c>
      <c r="AT737" s="180">
        <f t="shared" si="147"/>
        <v>1</v>
      </c>
      <c r="AU737" s="180" t="str">
        <f t="shared" si="148"/>
        <v>.</v>
      </c>
      <c r="AV737" s="180" t="str">
        <f t="shared" si="149"/>
        <v>.</v>
      </c>
      <c r="AW737" s="180">
        <f>IFERROR(VLOOKUP(B737,'Share, Heavy Weapons to Ukraine'!B:J,COLUMN('Share, Heavy Weapons to Ukraine'!C750)-1,0),0)</f>
        <v>0</v>
      </c>
      <c r="AX737" s="180">
        <f>VLOOKUP('Bilateral Assistance, MAIN DATA'!B737,'Country Summary'!B:F,COLUMN('Country Summary'!C753)-1,FALSE)</f>
        <v>1</v>
      </c>
      <c r="AY737" s="180" t="str">
        <f>IF(AND(AD737=1,D737="Military",H737&lt;&gt;"Not given")=TRUE,IF(SUMIFS(P:P,A:A,A737)&gt;0,ABS((SUMIFS(P:P,A:A,A737)/VLOOKUP("USD",'Exchange Rates'!B:C,2,0)))/S737,"."),".")</f>
        <v>.</v>
      </c>
      <c r="AZ737" s="182" t="str">
        <f>IF(AND(AD737=1,D737="Military",H737&lt;&gt;"Not given")=TRUE,IF(SUMIFS(P:P,A:A,A737)&gt;0,IF((ABS((SUMIFS(P:P,A:A,A737)/VLOOKUP("USD",'Exchange Rates'!B:C,2,0)))/S737)&gt;1,(SUMIFS(P:P,A:A,A737)-S737)/S737,(S737-SUMIFS(P:P,A:A,A737))/SUMIFS(P:P,A:A,A737)),"."),".")</f>
        <v>.</v>
      </c>
      <c r="BA737" s="17"/>
      <c r="BB737" s="17"/>
      <c r="BC737" s="17"/>
      <c r="BD737" s="17"/>
      <c r="BE737" s="17"/>
      <c r="BF737" s="17"/>
      <c r="BG737" s="17"/>
      <c r="BH737" s="17"/>
      <c r="BI737" s="17"/>
      <c r="BJ737" s="17"/>
      <c r="BK737" s="17"/>
      <c r="BL737" s="17"/>
      <c r="BM737" s="17"/>
      <c r="BN737" s="17"/>
      <c r="BO737" s="17"/>
      <c r="BP737" s="17"/>
      <c r="BQ737" s="17"/>
      <c r="BR737" s="17"/>
      <c r="BS737" s="17"/>
    </row>
    <row r="738" spans="1:71" s="505" customFormat="1" ht="15.9" customHeight="1" x14ac:dyDescent="0.3">
      <c r="A738" s="5" t="s">
        <v>2167</v>
      </c>
      <c r="B738" s="5" t="s">
        <v>2168</v>
      </c>
      <c r="C738" s="174">
        <v>44641</v>
      </c>
      <c r="D738" s="5" t="s">
        <v>285</v>
      </c>
      <c r="E738" s="5" t="s">
        <v>294</v>
      </c>
      <c r="F738" s="175" t="s">
        <v>2169</v>
      </c>
      <c r="G738" s="15" t="s">
        <v>346</v>
      </c>
      <c r="H738" s="176" t="s">
        <v>341</v>
      </c>
      <c r="I738" s="184" t="s">
        <v>499</v>
      </c>
      <c r="J738" s="113" t="str">
        <f>VLOOKUP($I738,'Price List, Weapons &amp; Items'!B:C,2,0)</f>
        <v>Military equipment</v>
      </c>
      <c r="K738" s="113" t="str">
        <f>IF(I738=".",I738,VLOOKUP($I738,'Price List, Weapons &amp; Items'!B:D,3,0))</f>
        <v>Military equipment</v>
      </c>
      <c r="L738" s="177">
        <f>VLOOKUP(I738,'Price List, Weapons &amp; Items'!B:E,4,0)</f>
        <v>0</v>
      </c>
      <c r="M738" s="542">
        <v>1066</v>
      </c>
      <c r="N738" s="542">
        <v>1066</v>
      </c>
      <c r="O738" s="543">
        <f>VLOOKUP($I738,'Price List, Weapons &amp; Items'!B:G,6,0)</f>
        <v>500</v>
      </c>
      <c r="P738" s="176">
        <f t="shared" si="140"/>
        <v>533000</v>
      </c>
      <c r="Q738" s="176">
        <f t="shared" si="141"/>
        <v>533000</v>
      </c>
      <c r="R738" s="176">
        <f t="shared" si="150"/>
        <v>1223750</v>
      </c>
      <c r="S738" s="176">
        <f>IF(AND(AD738=1,R738&lt;&gt;".")=TRUE,R738/VLOOKUP(G738,'Exchange Rates'!B:C,2,0),IF(R738=".",".",""))</f>
        <v>1165476.1904761905</v>
      </c>
      <c r="T738" s="176">
        <f>IF(AD738=1,IF(AF738="Value is not given at all",".",IF(AF738="Value is given by the source",S738,IF(AF738="Value is calculated with prices",(IF(SUMIFS(Q:Q,A:A,A738)&gt;0,SUMIFS(Q:Q,A:A,A738),"."))/VLOOKUP("USD",'Exchange Rates'!B:C,2,0),"Error with coding"))),"")</f>
        <v>1165476.1904761905</v>
      </c>
      <c r="U738" s="15" t="s">
        <v>261</v>
      </c>
      <c r="V738" s="547" t="s">
        <v>2170</v>
      </c>
      <c r="W738" s="547" t="s">
        <v>2171</v>
      </c>
      <c r="X738" s="188" t="s">
        <v>260</v>
      </c>
      <c r="Y738" s="188" t="s">
        <v>260</v>
      </c>
      <c r="Z738" s="15">
        <v>0</v>
      </c>
      <c r="AA738" s="180">
        <v>0</v>
      </c>
      <c r="AB738" s="549" t="s">
        <v>2172</v>
      </c>
      <c r="AC738" s="544" t="str">
        <f>""</f>
        <v/>
      </c>
      <c r="AD738" s="183">
        <v>1</v>
      </c>
      <c r="AE738" s="183" t="s">
        <v>332</v>
      </c>
      <c r="AF738" s="183" t="s">
        <v>332</v>
      </c>
      <c r="AG738" s="183">
        <v>1</v>
      </c>
      <c r="AH738" s="183">
        <v>3</v>
      </c>
      <c r="AI738" s="183">
        <v>0</v>
      </c>
      <c r="AJ738" s="181">
        <f>VLOOKUP($I738,'Price List, Weapons &amp; Items'!B:F,5,0)</f>
        <v>0</v>
      </c>
      <c r="AK738" s="181">
        <f t="shared" si="142"/>
        <v>0</v>
      </c>
      <c r="AL738" s="181">
        <f t="shared" si="143"/>
        <v>0</v>
      </c>
      <c r="AM738" s="181">
        <f t="shared" si="144"/>
        <v>0</v>
      </c>
      <c r="AN738" s="180" t="str">
        <f>VLOOKUP($I738,'Price List, Weapons &amp; Items'!B:L,COLUMN('Price List, Weapons &amp; Items'!$J$11)-1,0)</f>
        <v>Military media (incl. websites)</v>
      </c>
      <c r="AO738" s="180" t="str">
        <f>IF(I738=".",".",VLOOKUP($I738,'Price List, Weapons &amp; Items'!B:J,3,0))</f>
        <v>Military equipment</v>
      </c>
      <c r="AP738" s="545" t="e">
        <f t="shared" ca="1" si="151"/>
        <v>#NAME?</v>
      </c>
      <c r="AQ738" s="180">
        <f>VLOOKUP($I738,'Price List, Weapons &amp; Items'!B:L,COLUMN('Price List, Weapons &amp; Items'!$L$11)-1,0)</f>
        <v>2</v>
      </c>
      <c r="AR738" s="180">
        <f t="shared" si="145"/>
        <v>1</v>
      </c>
      <c r="AS738" s="180">
        <f t="shared" si="146"/>
        <v>1</v>
      </c>
      <c r="AT738" s="180">
        <f t="shared" si="147"/>
        <v>1</v>
      </c>
      <c r="AU738" s="180" t="str">
        <f t="shared" si="148"/>
        <v>.</v>
      </c>
      <c r="AV738" s="180" t="str">
        <f t="shared" si="149"/>
        <v>.</v>
      </c>
      <c r="AW738" s="180">
        <f>IFERROR(VLOOKUP(B738,'Share, Heavy Weapons to Ukraine'!B:J,COLUMN('Share, Heavy Weapons to Ukraine'!C751)-1,0),0)</f>
        <v>0</v>
      </c>
      <c r="AX738" s="180">
        <f>VLOOKUP('Bilateral Assistance, MAIN DATA'!B738,'Country Summary'!B:F,COLUMN('Country Summary'!C754)-1,FALSE)</f>
        <v>0</v>
      </c>
      <c r="AY738" s="180" t="str">
        <f>IF(AND(AD738=1,D738="Military",H738&lt;&gt;"Not given")=TRUE,IF(SUMIFS(P:P,A:A,A738)&gt;0,ABS((SUMIFS(P:P,A:A,A738)/VLOOKUP("USD",'Exchange Rates'!B:C,2,0)))/S738,"."),".")</f>
        <v>.</v>
      </c>
      <c r="AZ738" s="182" t="str">
        <f>IF(AND(AD738=1,D738="Military",H738&lt;&gt;"Not given")=TRUE,IF(SUMIFS(P:P,A:A,A738)&gt;0,IF((ABS((SUMIFS(P:P,A:A,A738)/VLOOKUP("USD",'Exchange Rates'!B:C,2,0)))/S738)&gt;1,(SUMIFS(P:P,A:A,A738)-S738)/S738,(S738-SUMIFS(P:P,A:A,A738))/SUMIFS(P:P,A:A,A738)),"."),".")</f>
        <v>.</v>
      </c>
      <c r="BA738" s="17"/>
      <c r="BB738" s="17"/>
      <c r="BC738" s="17"/>
      <c r="BD738" s="17"/>
      <c r="BE738" s="17"/>
      <c r="BF738" s="17"/>
      <c r="BG738" s="17"/>
      <c r="BH738" s="17"/>
      <c r="BI738" s="17"/>
      <c r="BJ738" s="17"/>
      <c r="BK738" s="17"/>
      <c r="BL738" s="17"/>
      <c r="BM738" s="17"/>
      <c r="BN738" s="17"/>
      <c r="BO738" s="17"/>
      <c r="BP738" s="17"/>
      <c r="BQ738" s="17"/>
      <c r="BR738" s="17"/>
      <c r="BS738" s="17"/>
    </row>
    <row r="739" spans="1:71" s="505" customFormat="1" ht="15.9" customHeight="1" x14ac:dyDescent="0.3">
      <c r="A739" s="5" t="s">
        <v>2167</v>
      </c>
      <c r="B739" s="5" t="s">
        <v>2168</v>
      </c>
      <c r="C739" s="174">
        <v>44641</v>
      </c>
      <c r="D739" s="5" t="s">
        <v>285</v>
      </c>
      <c r="E739" s="5" t="s">
        <v>294</v>
      </c>
      <c r="F739" s="175" t="s">
        <v>2169</v>
      </c>
      <c r="G739" s="15" t="s">
        <v>346</v>
      </c>
      <c r="H739" s="176" t="s">
        <v>341</v>
      </c>
      <c r="I739" s="184" t="s">
        <v>463</v>
      </c>
      <c r="J739" s="113" t="str">
        <f>VLOOKUP($I739,'Price List, Weapons &amp; Items'!B:C,2,0)</f>
        <v>Military equipment</v>
      </c>
      <c r="K739" s="113" t="str">
        <f>IF(I739=".",I739,VLOOKUP($I739,'Price List, Weapons &amp; Items'!B:D,3,0))</f>
        <v>Military equipment</v>
      </c>
      <c r="L739" s="177">
        <f>VLOOKUP(I739,'Price List, Weapons &amp; Items'!B:E,4,0)</f>
        <v>0</v>
      </c>
      <c r="M739" s="542">
        <v>473</v>
      </c>
      <c r="N739" s="542">
        <v>473</v>
      </c>
      <c r="O739" s="543">
        <f>VLOOKUP($I739,'Price List, Weapons &amp; Items'!B:G,6,0)</f>
        <v>1400</v>
      </c>
      <c r="P739" s="176">
        <f t="shared" si="140"/>
        <v>662200</v>
      </c>
      <c r="Q739" s="176">
        <f t="shared" si="141"/>
        <v>662200</v>
      </c>
      <c r="R739" s="176" t="str">
        <f t="shared" si="150"/>
        <v/>
      </c>
      <c r="S739" s="176" t="str">
        <f>IF(AND(AD739=1,R739&lt;&gt;".")=TRUE,R739/VLOOKUP(G739,'Exchange Rates'!B:C,2,0),IF(R739=".",".",""))</f>
        <v/>
      </c>
      <c r="T739" s="176" t="str">
        <f>IF(AD739=1,IF(AF739="Value is not given at all",".",IF(AF739="Value is given by the source",S739,IF(AF739="Value is calculated with prices",(IF(SUMIFS(Q:Q,A:A,A739)&gt;0,SUMIFS(Q:Q,A:A,A739),"."))/VLOOKUP("USD",'Exchange Rates'!B:C,2,0),"Error with coding"))),"")</f>
        <v/>
      </c>
      <c r="U739" s="15" t="s">
        <v>261</v>
      </c>
      <c r="V739" s="547" t="s">
        <v>2170</v>
      </c>
      <c r="W739" s="547" t="s">
        <v>2171</v>
      </c>
      <c r="X739" s="188" t="s">
        <v>260</v>
      </c>
      <c r="Y739" s="188" t="s">
        <v>260</v>
      </c>
      <c r="Z739" s="15">
        <v>0</v>
      </c>
      <c r="AA739" s="180">
        <v>0</v>
      </c>
      <c r="AB739" s="549" t="s">
        <v>2172</v>
      </c>
      <c r="AC739" s="544" t="str">
        <f>""</f>
        <v/>
      </c>
      <c r="AD739" s="183">
        <v>0</v>
      </c>
      <c r="AE739" s="183" t="s">
        <v>332</v>
      </c>
      <c r="AF739" s="183" t="s">
        <v>332</v>
      </c>
      <c r="AG739" s="183">
        <v>1</v>
      </c>
      <c r="AH739" s="183">
        <v>3</v>
      </c>
      <c r="AI739" s="183">
        <v>0</v>
      </c>
      <c r="AJ739" s="181">
        <f>VLOOKUP($I739,'Price List, Weapons &amp; Items'!B:F,5,0)</f>
        <v>0</v>
      </c>
      <c r="AK739" s="181">
        <f t="shared" si="142"/>
        <v>0</v>
      </c>
      <c r="AL739" s="181">
        <f t="shared" si="143"/>
        <v>0</v>
      </c>
      <c r="AM739" s="181">
        <f t="shared" si="144"/>
        <v>0</v>
      </c>
      <c r="AN739" s="180" t="str">
        <f>VLOOKUP($I739,'Price List, Weapons &amp; Items'!B:L,COLUMN('Price List, Weapons &amp; Items'!$J$11)-1,0)</f>
        <v>Military media (incl. websites)</v>
      </c>
      <c r="AO739" s="180" t="str">
        <f>IF(I739=".",".",VLOOKUP($I739,'Price List, Weapons &amp; Items'!B:J,3,0))</f>
        <v>Military equipment</v>
      </c>
      <c r="AP739" s="545" t="str">
        <f t="shared" ca="1" si="151"/>
        <v/>
      </c>
      <c r="AQ739" s="180">
        <f>VLOOKUP($I739,'Price List, Weapons &amp; Items'!B:L,COLUMN('Price List, Weapons &amp; Items'!$L$11)-1,0)</f>
        <v>2</v>
      </c>
      <c r="AR739" s="180">
        <f t="shared" si="145"/>
        <v>1</v>
      </c>
      <c r="AS739" s="180">
        <f t="shared" si="146"/>
        <v>1</v>
      </c>
      <c r="AT739" s="180">
        <f t="shared" si="147"/>
        <v>1</v>
      </c>
      <c r="AU739" s="180" t="str">
        <f t="shared" si="148"/>
        <v>.</v>
      </c>
      <c r="AV739" s="180" t="str">
        <f t="shared" si="149"/>
        <v>.</v>
      </c>
      <c r="AW739" s="180">
        <f>IFERROR(VLOOKUP(B739,'Share, Heavy Weapons to Ukraine'!B:J,COLUMN('Share, Heavy Weapons to Ukraine'!C752)-1,0),0)</f>
        <v>0</v>
      </c>
      <c r="AX739" s="180">
        <f>VLOOKUP('Bilateral Assistance, MAIN DATA'!B739,'Country Summary'!B:F,COLUMN('Country Summary'!C755)-1,FALSE)</f>
        <v>0</v>
      </c>
      <c r="AY739" s="180" t="str">
        <f>IF(AND(AD739=1,D739="Military",H739&lt;&gt;"Not given")=TRUE,IF(SUMIFS(P:P,A:A,A739)&gt;0,ABS((SUMIFS(P:P,A:A,A739)/VLOOKUP("USD",'Exchange Rates'!B:C,2,0)))/S739,"."),".")</f>
        <v>.</v>
      </c>
      <c r="AZ739" s="182" t="str">
        <f>IF(AND(AD739=1,D739="Military",H739&lt;&gt;"Not given")=TRUE,IF(SUMIFS(P:P,A:A,A739)&gt;0,IF((ABS((SUMIFS(P:P,A:A,A739)/VLOOKUP("USD",'Exchange Rates'!B:C,2,0)))/S739)&gt;1,(SUMIFS(P:P,A:A,A739)-S739)/S739,(S739-SUMIFS(P:P,A:A,A739))/SUMIFS(P:P,A:A,A739)),"."),".")</f>
        <v>.</v>
      </c>
      <c r="BA739" s="17"/>
      <c r="BB739" s="17"/>
      <c r="BC739" s="17"/>
      <c r="BD739" s="17"/>
      <c r="BE739" s="17"/>
      <c r="BF739" s="17"/>
      <c r="BG739" s="17"/>
      <c r="BH739" s="17"/>
      <c r="BI739" s="17"/>
      <c r="BJ739" s="17"/>
      <c r="BK739" s="17"/>
      <c r="BL739" s="17"/>
      <c r="BM739" s="17"/>
      <c r="BN739" s="17"/>
      <c r="BO739" s="17"/>
      <c r="BP739" s="17"/>
      <c r="BQ739" s="17"/>
      <c r="BR739" s="17"/>
      <c r="BS739" s="17"/>
    </row>
    <row r="740" spans="1:71" s="505" customFormat="1" ht="15.9" customHeight="1" x14ac:dyDescent="0.3">
      <c r="A740" s="5" t="s">
        <v>2167</v>
      </c>
      <c r="B740" s="5" t="s">
        <v>2168</v>
      </c>
      <c r="C740" s="174">
        <v>44641</v>
      </c>
      <c r="D740" s="5" t="s">
        <v>285</v>
      </c>
      <c r="E740" s="5" t="s">
        <v>294</v>
      </c>
      <c r="F740" s="175" t="s">
        <v>2169</v>
      </c>
      <c r="G740" s="15" t="s">
        <v>346</v>
      </c>
      <c r="H740" s="176" t="s">
        <v>341</v>
      </c>
      <c r="I740" s="17" t="s">
        <v>2173</v>
      </c>
      <c r="J740" s="113" t="str">
        <f>VLOOKUP($I740,'Price List, Weapons &amp; Items'!B:C,2,0)</f>
        <v>Military equipment</v>
      </c>
      <c r="K740" s="113" t="str">
        <f>IF(I740=".",I740,VLOOKUP($I740,'Price List, Weapons &amp; Items'!B:D,3,0))</f>
        <v>Military equipment</v>
      </c>
      <c r="L740" s="177">
        <f>VLOOKUP(I740,'Price List, Weapons &amp; Items'!B:E,4,0)</f>
        <v>0</v>
      </c>
      <c r="M740" s="542">
        <v>571</v>
      </c>
      <c r="N740" s="542">
        <v>571</v>
      </c>
      <c r="O740" s="543">
        <f>VLOOKUP($I740,'Price List, Weapons &amp; Items'!B:G,6,0)</f>
        <v>50</v>
      </c>
      <c r="P740" s="176">
        <f t="shared" si="140"/>
        <v>28550</v>
      </c>
      <c r="Q740" s="176">
        <f t="shared" si="141"/>
        <v>28550</v>
      </c>
      <c r="R740" s="176" t="str">
        <f t="shared" si="150"/>
        <v/>
      </c>
      <c r="S740" s="176" t="str">
        <f>IF(AND(AD740=1,R740&lt;&gt;".")=TRUE,R740/VLOOKUP(G740,'Exchange Rates'!B:C,2,0),IF(R740=".",".",""))</f>
        <v/>
      </c>
      <c r="T740" s="176" t="str">
        <f>IF(AD740=1,IF(AF740="Value is not given at all",".",IF(AF740="Value is given by the source",S740,IF(AF740="Value is calculated with prices",(IF(SUMIFS(Q:Q,A:A,A740)&gt;0,SUMIFS(Q:Q,A:A,A740),"."))/VLOOKUP("USD",'Exchange Rates'!B:C,2,0),"Error with coding"))),"")</f>
        <v/>
      </c>
      <c r="U740" s="15" t="s">
        <v>261</v>
      </c>
      <c r="V740" s="547" t="s">
        <v>2170</v>
      </c>
      <c r="W740" s="547" t="s">
        <v>2171</v>
      </c>
      <c r="X740" s="188" t="s">
        <v>260</v>
      </c>
      <c r="Y740" s="188" t="s">
        <v>260</v>
      </c>
      <c r="Z740" s="15">
        <v>0</v>
      </c>
      <c r="AA740" s="180">
        <v>0</v>
      </c>
      <c r="AB740" s="549" t="s">
        <v>2172</v>
      </c>
      <c r="AC740" s="544" t="str">
        <f>""</f>
        <v/>
      </c>
      <c r="AD740" s="183">
        <v>0</v>
      </c>
      <c r="AE740" s="183" t="s">
        <v>332</v>
      </c>
      <c r="AF740" s="183" t="s">
        <v>332</v>
      </c>
      <c r="AG740" s="183">
        <v>1</v>
      </c>
      <c r="AH740" s="183">
        <v>3</v>
      </c>
      <c r="AI740" s="183">
        <v>0</v>
      </c>
      <c r="AJ740" s="181">
        <f>VLOOKUP($I740,'Price List, Weapons &amp; Items'!B:F,5,0)</f>
        <v>0</v>
      </c>
      <c r="AK740" s="181">
        <f t="shared" si="142"/>
        <v>0</v>
      </c>
      <c r="AL740" s="181">
        <f t="shared" si="143"/>
        <v>0</v>
      </c>
      <c r="AM740" s="181">
        <f t="shared" si="144"/>
        <v>0</v>
      </c>
      <c r="AN740" s="180" t="str">
        <f>VLOOKUP($I740,'Price List, Weapons &amp; Items'!B:L,COLUMN('Price List, Weapons &amp; Items'!$J$11)-1,0)</f>
        <v>Online marketplaces and stores</v>
      </c>
      <c r="AO740" s="180" t="str">
        <f>IF(I740=".",".",VLOOKUP($I740,'Price List, Weapons &amp; Items'!B:J,3,0))</f>
        <v>Military equipment</v>
      </c>
      <c r="AP740" s="545" t="str">
        <f t="shared" ca="1" si="151"/>
        <v/>
      </c>
      <c r="AQ740" s="180">
        <f>VLOOKUP($I740,'Price List, Weapons &amp; Items'!B:L,COLUMN('Price List, Weapons &amp; Items'!$L$11)-1,0)</f>
        <v>1</v>
      </c>
      <c r="AR740" s="180">
        <f t="shared" si="145"/>
        <v>1</v>
      </c>
      <c r="AS740" s="180">
        <f t="shared" si="146"/>
        <v>1</v>
      </c>
      <c r="AT740" s="180">
        <f t="shared" si="147"/>
        <v>1</v>
      </c>
      <c r="AU740" s="180" t="str">
        <f t="shared" si="148"/>
        <v>.</v>
      </c>
      <c r="AV740" s="180" t="str">
        <f t="shared" si="149"/>
        <v>.</v>
      </c>
      <c r="AW740" s="180">
        <f>IFERROR(VLOOKUP(B740,'Share, Heavy Weapons to Ukraine'!B:J,COLUMN('Share, Heavy Weapons to Ukraine'!C753)-1,0),0)</f>
        <v>0</v>
      </c>
      <c r="AX740" s="180">
        <f>VLOOKUP('Bilateral Assistance, MAIN DATA'!B740,'Country Summary'!B:F,COLUMN('Country Summary'!C756)-1,FALSE)</f>
        <v>0</v>
      </c>
      <c r="AY740" s="180" t="str">
        <f>IF(AND(AD740=1,D740="Military",H740&lt;&gt;"Not given")=TRUE,IF(SUMIFS(P:P,A:A,A740)&gt;0,ABS((SUMIFS(P:P,A:A,A740)/VLOOKUP("USD",'Exchange Rates'!B:C,2,0)))/S740,"."),".")</f>
        <v>.</v>
      </c>
      <c r="AZ740" s="182" t="str">
        <f>IF(AND(AD740=1,D740="Military",H740&lt;&gt;"Not given")=TRUE,IF(SUMIFS(P:P,A:A,A740)&gt;0,IF((ABS((SUMIFS(P:P,A:A,A740)/VLOOKUP("USD",'Exchange Rates'!B:C,2,0)))/S740)&gt;1,(SUMIFS(P:P,A:A,A740)-S740)/S740,(S740-SUMIFS(P:P,A:A,A740))/SUMIFS(P:P,A:A,A740)),"."),".")</f>
        <v>.</v>
      </c>
      <c r="BA740" s="17"/>
      <c r="BB740" s="17"/>
      <c r="BC740" s="17"/>
      <c r="BD740" s="17"/>
      <c r="BE740" s="17"/>
      <c r="BF740" s="17"/>
      <c r="BG740" s="17"/>
      <c r="BH740" s="17"/>
      <c r="BI740" s="17"/>
      <c r="BJ740" s="17"/>
      <c r="BK740" s="17"/>
      <c r="BL740" s="17"/>
      <c r="BM740" s="17"/>
      <c r="BN740" s="17"/>
      <c r="BO740" s="17"/>
      <c r="BP740" s="17"/>
      <c r="BQ740" s="17"/>
      <c r="BR740" s="17"/>
      <c r="BS740" s="17"/>
    </row>
    <row r="741" spans="1:71" ht="15.9" customHeight="1" x14ac:dyDescent="0.3">
      <c r="A741" s="17" t="s">
        <v>2174</v>
      </c>
      <c r="B741" s="17" t="s">
        <v>2168</v>
      </c>
      <c r="C741" s="174">
        <v>44641</v>
      </c>
      <c r="D741" s="5" t="s">
        <v>285</v>
      </c>
      <c r="E741" s="5" t="s">
        <v>257</v>
      </c>
      <c r="F741" s="19" t="s">
        <v>2175</v>
      </c>
      <c r="G741" s="15" t="s">
        <v>2176</v>
      </c>
      <c r="H741" s="176">
        <v>10600000</v>
      </c>
      <c r="I741" s="184" t="s">
        <v>260</v>
      </c>
      <c r="J741" s="113" t="str">
        <f>VLOOKUP($I741,'Price List, Weapons &amp; Items'!B:C,2,0)</f>
        <v>.</v>
      </c>
      <c r="K741" s="113" t="str">
        <f>IF(I741=".",I741,VLOOKUP($I741,'Price List, Weapons &amp; Items'!B:D,3,0))</f>
        <v>.</v>
      </c>
      <c r="L741" s="177">
        <f>VLOOKUP(I741,'Price List, Weapons &amp; Items'!B:E,4,0)</f>
        <v>0</v>
      </c>
      <c r="M741" s="542" t="s">
        <v>260</v>
      </c>
      <c r="N741" s="542" t="s">
        <v>260</v>
      </c>
      <c r="O741" s="543" t="str">
        <f>VLOOKUP($I741,'Price List, Weapons &amp; Items'!B:G,6,0)</f>
        <v>.</v>
      </c>
      <c r="P741" s="176" t="str">
        <f t="shared" si="140"/>
        <v>.</v>
      </c>
      <c r="Q741" s="176" t="str">
        <f t="shared" si="141"/>
        <v>.</v>
      </c>
      <c r="R741" s="176">
        <f t="shared" si="150"/>
        <v>10600000</v>
      </c>
      <c r="S741" s="176">
        <f>IF(AND(AD741=1,R741&lt;&gt;".")=TRUE,R741/VLOOKUP(G741,'Exchange Rates'!B:C,2,0),IF(R741=".",".",""))</f>
        <v>6374789.5116670672</v>
      </c>
      <c r="T741" s="176" t="str">
        <f>IF(AD741=1,IF(AF741="Value is not given at all",".",IF(AF741="Value is given by the source",S741,IF(AF741="Value is calculated with prices",(IF(SUMIFS(Q:Q,A:A,A741)&gt;0,SUMIFS(Q:Q,A:A,A741),"."))/VLOOKUP("USD",'Exchange Rates'!B:C,2,0),"Error with coding"))),"")</f>
        <v>.</v>
      </c>
      <c r="U741" s="15" t="s">
        <v>261</v>
      </c>
      <c r="V741" s="300" t="s">
        <v>2177</v>
      </c>
      <c r="W741" s="300" t="s">
        <v>2170</v>
      </c>
      <c r="X741" s="300" t="s">
        <v>2171</v>
      </c>
      <c r="Y741" s="682" t="s">
        <v>260</v>
      </c>
      <c r="Z741" s="15">
        <v>0</v>
      </c>
      <c r="AA741" s="180">
        <v>1</v>
      </c>
      <c r="AB741" s="184" t="s">
        <v>260</v>
      </c>
      <c r="AC741" s="544" t="str">
        <f>""</f>
        <v/>
      </c>
      <c r="AD741" s="181">
        <v>1</v>
      </c>
      <c r="AE741" s="181" t="s">
        <v>264</v>
      </c>
      <c r="AF741" s="181" t="s">
        <v>265</v>
      </c>
      <c r="AG741" s="181">
        <v>1</v>
      </c>
      <c r="AH741" s="181">
        <v>3</v>
      </c>
      <c r="AI741" s="181">
        <v>0</v>
      </c>
      <c r="AJ741" s="181">
        <f>VLOOKUP($I741,'Price List, Weapons &amp; Items'!B:F,5,0)</f>
        <v>0</v>
      </c>
      <c r="AK741" s="181">
        <f t="shared" si="142"/>
        <v>0</v>
      </c>
      <c r="AL741" s="181">
        <f t="shared" si="143"/>
        <v>0</v>
      </c>
      <c r="AM741" s="181">
        <f t="shared" si="144"/>
        <v>0</v>
      </c>
      <c r="AN741" s="180" t="str">
        <f>VLOOKUP($I741,'Price List, Weapons &amp; Items'!B:L,COLUMN('Price List, Weapons &amp; Items'!$J$11)-1,0)</f>
        <v>.</v>
      </c>
      <c r="AO741" s="180" t="str">
        <f>IF(I741=".",".",VLOOKUP($I741,'Price List, Weapons &amp; Items'!B:J,3,0))</f>
        <v>.</v>
      </c>
      <c r="AP741" s="545" t="e">
        <f t="shared" ca="1" si="151"/>
        <v>#NAME?</v>
      </c>
      <c r="AQ741" s="180" t="str">
        <f>VLOOKUP($I741,'Price List, Weapons &amp; Items'!B:L,COLUMN('Price List, Weapons &amp; Items'!$L$11)-1,0)</f>
        <v>no price, 0 count</v>
      </c>
      <c r="AR741" s="180">
        <f t="shared" si="145"/>
        <v>1</v>
      </c>
      <c r="AS741" s="180">
        <f t="shared" si="146"/>
        <v>0</v>
      </c>
      <c r="AT741" s="180">
        <f t="shared" si="147"/>
        <v>1</v>
      </c>
      <c r="AU741" s="180" t="str">
        <f t="shared" si="148"/>
        <v>.</v>
      </c>
      <c r="AV741" s="180" t="str">
        <f t="shared" si="149"/>
        <v>.</v>
      </c>
      <c r="AW741" s="180">
        <f>IFERROR(VLOOKUP(B741,'Share, Heavy Weapons to Ukraine'!B:J,COLUMN('Share, Heavy Weapons to Ukraine'!C754)-1,0),0)</f>
        <v>0</v>
      </c>
      <c r="AX741" s="180">
        <f>VLOOKUP('Bilateral Assistance, MAIN DATA'!B741,'Country Summary'!B:F,COLUMN('Country Summary'!C757)-1,FALSE)</f>
        <v>0</v>
      </c>
      <c r="AY741" s="180" t="str">
        <f>IF(AND(AD741=1,D741="Military",H741&lt;&gt;"Not given")=TRUE,IF(SUMIFS(P:P,A:A,A741)&gt;0,ABS((SUMIFS(P:P,A:A,A741)/VLOOKUP("USD",'Exchange Rates'!B:C,2,0)))/S741,"."),".")</f>
        <v>.</v>
      </c>
      <c r="AZ741" s="182" t="str">
        <f>IF(AND(AD741=1,D741="Military",H741&lt;&gt;"Not given")=TRUE,IF(SUMIFS(P:P,A:A,A741)&gt;0,IF((ABS((SUMIFS(P:P,A:A,A741)/VLOOKUP("USD",'Exchange Rates'!B:C,2,0)))/S741)&gt;1,(SUMIFS(P:P,A:A,A741)-S741)/S741,(S741-SUMIFS(P:P,A:A,A741))/SUMIFS(P:P,A:A,A741)),"."),".")</f>
        <v>.</v>
      </c>
      <c r="BA741" s="182"/>
      <c r="BB741" s="182"/>
      <c r="BC741" s="182"/>
      <c r="BD741" s="182"/>
      <c r="BE741" s="182"/>
      <c r="BF741" s="182"/>
      <c r="BG741" s="182"/>
      <c r="BH741" s="182"/>
      <c r="BI741" s="182"/>
      <c r="BJ741" s="182"/>
      <c r="BK741" s="182"/>
      <c r="BL741" s="182"/>
      <c r="BM741" s="182"/>
      <c r="BN741" s="182"/>
      <c r="BO741" s="182"/>
      <c r="BP741" s="182"/>
      <c r="BQ741" s="182"/>
      <c r="BR741" s="182"/>
      <c r="BS741" s="182"/>
    </row>
    <row r="742" spans="1:71" ht="15.9" customHeight="1" x14ac:dyDescent="0.3">
      <c r="A742" s="17" t="s">
        <v>2178</v>
      </c>
      <c r="B742" s="17" t="s">
        <v>2168</v>
      </c>
      <c r="C742" s="174">
        <v>44662</v>
      </c>
      <c r="D742" s="5" t="s">
        <v>285</v>
      </c>
      <c r="E742" s="5" t="s">
        <v>294</v>
      </c>
      <c r="F742" s="175" t="s">
        <v>2179</v>
      </c>
      <c r="G742" s="15" t="s">
        <v>2176</v>
      </c>
      <c r="H742" s="176">
        <v>4100000</v>
      </c>
      <c r="I742" s="184" t="s">
        <v>260</v>
      </c>
      <c r="J742" s="113" t="str">
        <f>VLOOKUP($I742,'Price List, Weapons &amp; Items'!B:C,2,0)</f>
        <v>.</v>
      </c>
      <c r="K742" s="113" t="str">
        <f>IF(I742=".",I742,VLOOKUP($I742,'Price List, Weapons &amp; Items'!B:D,3,0))</f>
        <v>.</v>
      </c>
      <c r="L742" s="177">
        <f>VLOOKUP(I742,'Price List, Weapons &amp; Items'!B:E,4,0)</f>
        <v>0</v>
      </c>
      <c r="M742" s="542" t="s">
        <v>260</v>
      </c>
      <c r="N742" s="542" t="s">
        <v>260</v>
      </c>
      <c r="O742" s="543" t="str">
        <f>VLOOKUP($I742,'Price List, Weapons &amp; Items'!B:G,6,0)</f>
        <v>.</v>
      </c>
      <c r="P742" s="176" t="str">
        <f t="shared" si="140"/>
        <v>.</v>
      </c>
      <c r="Q742" s="176" t="str">
        <f t="shared" si="141"/>
        <v>.</v>
      </c>
      <c r="R742" s="176">
        <f t="shared" si="150"/>
        <v>4100000</v>
      </c>
      <c r="S742" s="176">
        <f>IF(AND(AD742=1,R742&lt;&gt;".")=TRUE,R742/VLOOKUP(G742,'Exchange Rates'!B:C,2,0),IF(R742=".",".",""))</f>
        <v>2465720.4714938658</v>
      </c>
      <c r="T742" s="176" t="str">
        <f>IF(AD742=1,IF(AF742="Value is not given at all",".",IF(AF742="Value is given by the source",S742,IF(AF742="Value is calculated with prices",(IF(SUMIFS(Q:Q,A:A,A742)&gt;0,SUMIFS(Q:Q,A:A,A742),"."))/VLOOKUP("USD",'Exchange Rates'!B:C,2,0),"Error with coding"))),"")</f>
        <v>.</v>
      </c>
      <c r="U742" s="15" t="s">
        <v>261</v>
      </c>
      <c r="V742" s="300" t="s">
        <v>2177</v>
      </c>
      <c r="W742" s="300" t="s">
        <v>2180</v>
      </c>
      <c r="X742" s="300" t="s">
        <v>2181</v>
      </c>
      <c r="Y742" s="218" t="s">
        <v>260</v>
      </c>
      <c r="Z742" s="15">
        <v>0</v>
      </c>
      <c r="AA742" s="180">
        <v>0</v>
      </c>
      <c r="AB742" s="184" t="s">
        <v>260</v>
      </c>
      <c r="AC742" s="544" t="str">
        <f>""</f>
        <v/>
      </c>
      <c r="AD742" s="181">
        <v>1</v>
      </c>
      <c r="AE742" s="181" t="s">
        <v>264</v>
      </c>
      <c r="AF742" s="181" t="s">
        <v>265</v>
      </c>
      <c r="AG742" s="181">
        <v>1</v>
      </c>
      <c r="AH742" s="181">
        <v>4</v>
      </c>
      <c r="AI742" s="181">
        <v>0</v>
      </c>
      <c r="AJ742" s="181">
        <f>VLOOKUP($I742,'Price List, Weapons &amp; Items'!B:F,5,0)</f>
        <v>0</v>
      </c>
      <c r="AK742" s="181">
        <f t="shared" si="142"/>
        <v>0</v>
      </c>
      <c r="AL742" s="181">
        <f t="shared" si="143"/>
        <v>0</v>
      </c>
      <c r="AM742" s="181">
        <f t="shared" si="144"/>
        <v>0</v>
      </c>
      <c r="AN742" s="180" t="str">
        <f>VLOOKUP($I742,'Price List, Weapons &amp; Items'!B:L,COLUMN('Price List, Weapons &amp; Items'!$J$11)-1,0)</f>
        <v>.</v>
      </c>
      <c r="AO742" s="180" t="str">
        <f>IF(I742=".",".",VLOOKUP($I742,'Price List, Weapons &amp; Items'!B:J,3,0))</f>
        <v>.</v>
      </c>
      <c r="AP742" s="545" t="e">
        <f t="shared" ca="1" si="151"/>
        <v>#NAME?</v>
      </c>
      <c r="AQ742" s="180" t="str">
        <f>VLOOKUP($I742,'Price List, Weapons &amp; Items'!B:L,COLUMN('Price List, Weapons &amp; Items'!$L$11)-1,0)</f>
        <v>no price, 0 count</v>
      </c>
      <c r="AR742" s="180">
        <f t="shared" si="145"/>
        <v>1</v>
      </c>
      <c r="AS742" s="180">
        <f t="shared" si="146"/>
        <v>1</v>
      </c>
      <c r="AT742" s="180">
        <f t="shared" si="147"/>
        <v>1</v>
      </c>
      <c r="AU742" s="180" t="str">
        <f t="shared" si="148"/>
        <v>.</v>
      </c>
      <c r="AV742" s="180" t="str">
        <f t="shared" si="149"/>
        <v>.</v>
      </c>
      <c r="AW742" s="180">
        <f>IFERROR(VLOOKUP(B742,'Share, Heavy Weapons to Ukraine'!B:J,COLUMN('Share, Heavy Weapons to Ukraine'!C755)-1,0),0)</f>
        <v>0</v>
      </c>
      <c r="AX742" s="180">
        <f>VLOOKUP('Bilateral Assistance, MAIN DATA'!B742,'Country Summary'!B:F,COLUMN('Country Summary'!C758)-1,FALSE)</f>
        <v>0</v>
      </c>
      <c r="AY742" s="180" t="str">
        <f>IF(AND(AD742=1,D742="Military",H742&lt;&gt;"Not given")=TRUE,IF(SUMIFS(P:P,A:A,A742)&gt;0,ABS((SUMIFS(P:P,A:A,A742)/VLOOKUP("USD",'Exchange Rates'!B:C,2,0)))/S742,"."),".")</f>
        <v>.</v>
      </c>
      <c r="AZ742" s="182" t="str">
        <f>IF(AND(AD742=1,D742="Military",H742&lt;&gt;"Not given")=TRUE,IF(SUMIFS(P:P,A:A,A742)&gt;0,IF((ABS((SUMIFS(P:P,A:A,A742)/VLOOKUP("USD",'Exchange Rates'!B:C,2,0)))/S742)&gt;1,(SUMIFS(P:P,A:A,A742)-S742)/S742,(S742-SUMIFS(P:P,A:A,A742))/SUMIFS(P:P,A:A,A742)),"."),".")</f>
        <v>.</v>
      </c>
      <c r="BA742" s="182"/>
      <c r="BB742" s="182"/>
      <c r="BC742" s="182"/>
      <c r="BD742" s="182"/>
      <c r="BE742" s="182"/>
      <c r="BF742" s="182"/>
      <c r="BG742" s="182"/>
      <c r="BH742" s="182"/>
      <c r="BI742" s="182"/>
      <c r="BJ742" s="182"/>
      <c r="BK742" s="182"/>
      <c r="BL742" s="182"/>
      <c r="BM742" s="182"/>
      <c r="BN742" s="182"/>
      <c r="BO742" s="182"/>
      <c r="BP742" s="182"/>
      <c r="BQ742" s="182"/>
      <c r="BR742" s="182"/>
      <c r="BS742" s="182"/>
    </row>
    <row r="743" spans="1:71" ht="15.9" customHeight="1" x14ac:dyDescent="0.3">
      <c r="A743" s="17" t="s">
        <v>2182</v>
      </c>
      <c r="B743" s="17" t="s">
        <v>2168</v>
      </c>
      <c r="C743" s="174">
        <v>44662</v>
      </c>
      <c r="D743" s="5" t="s">
        <v>285</v>
      </c>
      <c r="E743" s="5" t="s">
        <v>257</v>
      </c>
      <c r="F743" s="175" t="s">
        <v>2183</v>
      </c>
      <c r="G743" s="15" t="s">
        <v>2176</v>
      </c>
      <c r="H743" s="176">
        <v>7500000</v>
      </c>
      <c r="I743" s="184" t="s">
        <v>260</v>
      </c>
      <c r="J743" s="113" t="str">
        <f>VLOOKUP($I743,'Price List, Weapons &amp; Items'!B:C,2,0)</f>
        <v>.</v>
      </c>
      <c r="K743" s="113" t="str">
        <f>IF(I743=".",I743,VLOOKUP($I743,'Price List, Weapons &amp; Items'!B:D,3,0))</f>
        <v>.</v>
      </c>
      <c r="L743" s="177">
        <f>VLOOKUP(I743,'Price List, Weapons &amp; Items'!B:E,4,0)</f>
        <v>0</v>
      </c>
      <c r="M743" s="542" t="s">
        <v>260</v>
      </c>
      <c r="N743" s="542" t="s">
        <v>260</v>
      </c>
      <c r="O743" s="543" t="str">
        <f>VLOOKUP($I743,'Price List, Weapons &amp; Items'!B:G,6,0)</f>
        <v>.</v>
      </c>
      <c r="P743" s="176" t="str">
        <f t="shared" si="140"/>
        <v>.</v>
      </c>
      <c r="Q743" s="176" t="str">
        <f t="shared" si="141"/>
        <v>.</v>
      </c>
      <c r="R743" s="176">
        <f t="shared" si="150"/>
        <v>7500000</v>
      </c>
      <c r="S743" s="176">
        <f>IF(AND(AD743=1,R743&lt;&gt;".")=TRUE,R743/VLOOKUP(G743,'Exchange Rates'!B:C,2,0),IF(R743=".",".",""))</f>
        <v>4510464.277122925</v>
      </c>
      <c r="T743" s="176" t="str">
        <f>IF(AD743=1,IF(AF743="Value is not given at all",".",IF(AF743="Value is given by the source",S743,IF(AF743="Value is calculated with prices",(IF(SUMIFS(Q:Q,A:A,A743)&gt;0,SUMIFS(Q:Q,A:A,A743),"."))/VLOOKUP("USD",'Exchange Rates'!B:C,2,0),"Error with coding"))),"")</f>
        <v>.</v>
      </c>
      <c r="U743" s="15" t="s">
        <v>261</v>
      </c>
      <c r="V743" s="300" t="s">
        <v>2177</v>
      </c>
      <c r="W743" s="300" t="s">
        <v>2181</v>
      </c>
      <c r="X743" s="300" t="s">
        <v>2181</v>
      </c>
      <c r="Y743" s="218" t="s">
        <v>260</v>
      </c>
      <c r="Z743" s="15">
        <v>0</v>
      </c>
      <c r="AA743" s="180">
        <v>0</v>
      </c>
      <c r="AB743" s="184" t="s">
        <v>260</v>
      </c>
      <c r="AC743" s="544" t="str">
        <f>""</f>
        <v/>
      </c>
      <c r="AD743" s="181">
        <v>1</v>
      </c>
      <c r="AE743" s="181" t="s">
        <v>264</v>
      </c>
      <c r="AF743" s="181" t="s">
        <v>265</v>
      </c>
      <c r="AG743" s="181">
        <v>1</v>
      </c>
      <c r="AH743" s="181">
        <v>4</v>
      </c>
      <c r="AI743" s="181">
        <v>0</v>
      </c>
      <c r="AJ743" s="181">
        <f>VLOOKUP($I743,'Price List, Weapons &amp; Items'!B:F,5,0)</f>
        <v>0</v>
      </c>
      <c r="AK743" s="181">
        <f t="shared" si="142"/>
        <v>0</v>
      </c>
      <c r="AL743" s="181">
        <f t="shared" si="143"/>
        <v>0</v>
      </c>
      <c r="AM743" s="181">
        <f t="shared" si="144"/>
        <v>0</v>
      </c>
      <c r="AN743" s="180" t="str">
        <f>VLOOKUP($I743,'Price List, Weapons &amp; Items'!B:L,COLUMN('Price List, Weapons &amp; Items'!$J$11)-1,0)</f>
        <v>.</v>
      </c>
      <c r="AO743" s="180" t="str">
        <f>IF(I743=".",".",VLOOKUP($I743,'Price List, Weapons &amp; Items'!B:J,3,0))</f>
        <v>.</v>
      </c>
      <c r="AP743" s="545" t="e">
        <f t="shared" ca="1" si="151"/>
        <v>#NAME?</v>
      </c>
      <c r="AQ743" s="180" t="str">
        <f>VLOOKUP($I743,'Price List, Weapons &amp; Items'!B:L,COLUMN('Price List, Weapons &amp; Items'!$L$11)-1,0)</f>
        <v>no price, 0 count</v>
      </c>
      <c r="AR743" s="180">
        <f t="shared" si="145"/>
        <v>1</v>
      </c>
      <c r="AS743" s="180">
        <f t="shared" si="146"/>
        <v>0</v>
      </c>
      <c r="AT743" s="180">
        <f t="shared" si="147"/>
        <v>1</v>
      </c>
      <c r="AU743" s="180" t="str">
        <f t="shared" si="148"/>
        <v>.</v>
      </c>
      <c r="AV743" s="180" t="str">
        <f t="shared" si="149"/>
        <v>.</v>
      </c>
      <c r="AW743" s="180">
        <f>IFERROR(VLOOKUP(B743,'Share, Heavy Weapons to Ukraine'!B:J,COLUMN('Share, Heavy Weapons to Ukraine'!C756)-1,0),0)</f>
        <v>0</v>
      </c>
      <c r="AX743" s="180">
        <f>VLOOKUP('Bilateral Assistance, MAIN DATA'!B743,'Country Summary'!B:F,COLUMN('Country Summary'!C759)-1,FALSE)</f>
        <v>0</v>
      </c>
      <c r="AY743" s="180" t="str">
        <f>IF(AND(AD743=1,D743="Military",H743&lt;&gt;"Not given")=TRUE,IF(SUMIFS(P:P,A:A,A743)&gt;0,ABS((SUMIFS(P:P,A:A,A743)/VLOOKUP("USD",'Exchange Rates'!B:C,2,0)))/S743,"."),".")</f>
        <v>.</v>
      </c>
      <c r="AZ743" s="182" t="str">
        <f>IF(AND(AD743=1,D743="Military",H743&lt;&gt;"Not given")=TRUE,IF(SUMIFS(P:P,A:A,A743)&gt;0,IF((ABS((SUMIFS(P:P,A:A,A743)/VLOOKUP("USD",'Exchange Rates'!B:C,2,0)))/S743)&gt;1,(SUMIFS(P:P,A:A,A743)-S743)/S743,(S743-SUMIFS(P:P,A:A,A743))/SUMIFS(P:P,A:A,A743)),"."),".")</f>
        <v>.</v>
      </c>
      <c r="BA743" s="182"/>
      <c r="BB743" s="182"/>
      <c r="BC743" s="182"/>
      <c r="BD743" s="182"/>
      <c r="BE743" s="182"/>
      <c r="BF743" s="182"/>
      <c r="BG743" s="182"/>
      <c r="BH743" s="182"/>
      <c r="BI743" s="182"/>
      <c r="BJ743" s="182"/>
      <c r="BK743" s="182"/>
      <c r="BL743" s="182"/>
      <c r="BM743" s="182"/>
      <c r="BN743" s="182"/>
      <c r="BO743" s="182"/>
      <c r="BP743" s="182"/>
      <c r="BQ743" s="182"/>
      <c r="BR743" s="182"/>
      <c r="BS743" s="182"/>
    </row>
    <row r="744" spans="1:71" ht="15.9" customHeight="1" x14ac:dyDescent="0.3">
      <c r="A744" s="5" t="s">
        <v>2184</v>
      </c>
      <c r="B744" s="5" t="s">
        <v>2168</v>
      </c>
      <c r="C744" s="174">
        <v>44704</v>
      </c>
      <c r="D744" s="5" t="s">
        <v>285</v>
      </c>
      <c r="E744" s="5" t="s">
        <v>294</v>
      </c>
      <c r="F744" s="175" t="s">
        <v>2185</v>
      </c>
      <c r="G744" s="15" t="s">
        <v>346</v>
      </c>
      <c r="H744" s="176" t="s">
        <v>341</v>
      </c>
      <c r="I744" s="184" t="s">
        <v>2186</v>
      </c>
      <c r="J744" s="113" t="str">
        <f>VLOOKUP($I744,'Price List, Weapons &amp; Items'!B:C,2,0)</f>
        <v>Military equipment</v>
      </c>
      <c r="K744" s="113" t="str">
        <f>IF(I744=".",I744,VLOOKUP($I744,'Price List, Weapons &amp; Items'!B:D,3,0))</f>
        <v>Military equipment</v>
      </c>
      <c r="L744" s="177">
        <f>VLOOKUP(I744,'Price List, Weapons &amp; Items'!B:E,4,0)</f>
        <v>0</v>
      </c>
      <c r="M744" s="542">
        <v>40</v>
      </c>
      <c r="N744" s="542" t="s">
        <v>270</v>
      </c>
      <c r="O744" s="543" t="str">
        <f>VLOOKUP($I744,'Price List, Weapons &amp; Items'!B:G,6,0)</f>
        <v>.</v>
      </c>
      <c r="P744" s="176" t="str">
        <f t="shared" si="140"/>
        <v>No price</v>
      </c>
      <c r="Q744" s="176" t="str">
        <f t="shared" si="141"/>
        <v>.</v>
      </c>
      <c r="R744" s="176" t="str">
        <f t="shared" si="150"/>
        <v>.</v>
      </c>
      <c r="S744" s="176" t="str">
        <f>IF(AND(AD744=1,R744&lt;&gt;".")=TRUE,R744/VLOOKUP(G744,'Exchange Rates'!B:C,2,0),IF(R744=".",".",""))</f>
        <v>.</v>
      </c>
      <c r="T744" s="176" t="str">
        <f>IF(AD744=1,IF(AF744="Value is not given at all",".",IF(AF744="Value is given by the source",S744,IF(AF744="Value is calculated with prices",(IF(SUMIFS(Q:Q,A:A,A744)&gt;0,SUMIFS(Q:Q,A:A,A744),"."))/VLOOKUP("USD",'Exchange Rates'!B:C,2,0),"Error with coding"))),"")</f>
        <v>.</v>
      </c>
      <c r="U744" s="15" t="s">
        <v>261</v>
      </c>
      <c r="V744" s="547" t="s">
        <v>2187</v>
      </c>
      <c r="W744" s="547" t="s">
        <v>2188</v>
      </c>
      <c r="X744" s="188" t="s">
        <v>260</v>
      </c>
      <c r="Y744" s="188" t="s">
        <v>260</v>
      </c>
      <c r="Z744" s="15">
        <v>0</v>
      </c>
      <c r="AA744" s="180">
        <v>0</v>
      </c>
      <c r="AB744" s="184" t="s">
        <v>260</v>
      </c>
      <c r="AC744" s="544" t="str">
        <f>""</f>
        <v/>
      </c>
      <c r="AD744" s="181">
        <v>1</v>
      </c>
      <c r="AE744" s="181" t="s">
        <v>265</v>
      </c>
      <c r="AF744" s="181" t="s">
        <v>265</v>
      </c>
      <c r="AG744" s="181">
        <v>1</v>
      </c>
      <c r="AH744" s="181">
        <v>5</v>
      </c>
      <c r="AI744" s="181">
        <v>0</v>
      </c>
      <c r="AJ744" s="181">
        <f>VLOOKUP($I744,'Price List, Weapons &amp; Items'!B:F,5,0)</f>
        <v>0</v>
      </c>
      <c r="AK744" s="181">
        <f t="shared" si="142"/>
        <v>0</v>
      </c>
      <c r="AL744" s="181">
        <f t="shared" si="143"/>
        <v>0</v>
      </c>
      <c r="AM744" s="181">
        <f t="shared" si="144"/>
        <v>0</v>
      </c>
      <c r="AN744" s="180" t="str">
        <f>VLOOKUP($I744,'Price List, Weapons &amp; Items'!B:L,COLUMN('Price List, Weapons &amp; Items'!$J$11)-1,0)</f>
        <v>.</v>
      </c>
      <c r="AO744" s="180" t="str">
        <f>IF(I744=".",".",VLOOKUP($I744,'Price List, Weapons &amp; Items'!B:J,3,0))</f>
        <v>Military equipment</v>
      </c>
      <c r="AP744" s="545" t="e">
        <f t="shared" ca="1" si="151"/>
        <v>#NAME?</v>
      </c>
      <c r="AQ744" s="180">
        <f>VLOOKUP($I744,'Price List, Weapons &amp; Items'!B:L,COLUMN('Price List, Weapons &amp; Items'!$L$11)-1,0)</f>
        <v>0</v>
      </c>
      <c r="AR744" s="180">
        <f t="shared" si="145"/>
        <v>1</v>
      </c>
      <c r="AS744" s="180">
        <f t="shared" si="146"/>
        <v>1</v>
      </c>
      <c r="AT744" s="180">
        <f t="shared" si="147"/>
        <v>1</v>
      </c>
      <c r="AU744" s="180" t="str">
        <f t="shared" si="148"/>
        <v>.</v>
      </c>
      <c r="AV744" s="180" t="str">
        <f t="shared" si="149"/>
        <v>.</v>
      </c>
      <c r="AW744" s="180">
        <f>IFERROR(VLOOKUP(B744,'Share, Heavy Weapons to Ukraine'!B:J,COLUMN('Share, Heavy Weapons to Ukraine'!C757)-1,0),0)</f>
        <v>0</v>
      </c>
      <c r="AX744" s="180">
        <f>VLOOKUP('Bilateral Assistance, MAIN DATA'!B744,'Country Summary'!B:F,COLUMN('Country Summary'!C760)-1,FALSE)</f>
        <v>0</v>
      </c>
      <c r="AY744" s="180" t="str">
        <f>IF(AND(AD744=1,D744="Military",H744&lt;&gt;"Not given")=TRUE,IF(SUMIFS(P:P,A:A,A744)&gt;0,ABS((SUMIFS(P:P,A:A,A744)/VLOOKUP("USD",'Exchange Rates'!B:C,2,0)))/S744,"."),".")</f>
        <v>.</v>
      </c>
      <c r="AZ744" s="182" t="str">
        <f>IF(AND(AD744=1,D744="Military",H744&lt;&gt;"Not given")=TRUE,IF(SUMIFS(P:P,A:A,A744)&gt;0,IF((ABS((SUMIFS(P:P,A:A,A744)/VLOOKUP("USD",'Exchange Rates'!B:C,2,0)))/S744)&gt;1,(SUMIFS(P:P,A:A,A744)-S744)/S744,(S744-SUMIFS(P:P,A:A,A744))/SUMIFS(P:P,A:A,A744)),"."),".")</f>
        <v>.</v>
      </c>
      <c r="BA744" s="182"/>
      <c r="BB744" s="182"/>
      <c r="BC744" s="182"/>
      <c r="BD744" s="182"/>
      <c r="BE744" s="182"/>
      <c r="BF744" s="182"/>
      <c r="BG744" s="182"/>
      <c r="BH744" s="182"/>
      <c r="BI744" s="182"/>
      <c r="BJ744" s="182"/>
      <c r="BK744" s="182"/>
      <c r="BL744" s="182"/>
      <c r="BM744" s="182"/>
      <c r="BN744" s="182"/>
      <c r="BO744" s="182"/>
      <c r="BP744" s="182"/>
      <c r="BQ744" s="182"/>
      <c r="BR744" s="182"/>
      <c r="BS744" s="182"/>
    </row>
    <row r="745" spans="1:71" ht="15.9" customHeight="1" x14ac:dyDescent="0.3">
      <c r="A745" s="5" t="s">
        <v>2184</v>
      </c>
      <c r="B745" s="5" t="s">
        <v>2168</v>
      </c>
      <c r="C745" s="174">
        <v>44704</v>
      </c>
      <c r="D745" s="5" t="s">
        <v>285</v>
      </c>
      <c r="E745" s="5" t="s">
        <v>294</v>
      </c>
      <c r="F745" s="175" t="s">
        <v>2185</v>
      </c>
      <c r="G745" s="15" t="s">
        <v>346</v>
      </c>
      <c r="H745" s="176" t="s">
        <v>341</v>
      </c>
      <c r="I745" s="184" t="s">
        <v>1775</v>
      </c>
      <c r="J745" s="113" t="str">
        <f>VLOOKUP($I745,'Price List, Weapons &amp; Items'!B:C,2,0)</f>
        <v>Ammunition for heavy weapon</v>
      </c>
      <c r="K745" s="113" t="str">
        <f>IF(I745=".",I745,VLOOKUP($I745,'Price List, Weapons &amp; Items'!B:D,3,0))</f>
        <v>105mm</v>
      </c>
      <c r="L745" s="177">
        <f>VLOOKUP(I745,'Price List, Weapons &amp; Items'!B:E,4,0)</f>
        <v>0</v>
      </c>
      <c r="M745" s="542" t="s">
        <v>270</v>
      </c>
      <c r="N745" s="542" t="s">
        <v>270</v>
      </c>
      <c r="O745" s="543">
        <f>VLOOKUP($I745,'Price List, Weapons &amp; Items'!B:G,6,0)</f>
        <v>400</v>
      </c>
      <c r="P745" s="176" t="str">
        <f t="shared" si="140"/>
        <v>.</v>
      </c>
      <c r="Q745" s="176" t="str">
        <f t="shared" si="141"/>
        <v>.</v>
      </c>
      <c r="R745" s="176" t="str">
        <f t="shared" si="150"/>
        <v/>
      </c>
      <c r="S745" s="176" t="str">
        <f>IF(AND(AD745=1,R745&lt;&gt;".")=TRUE,R745/VLOOKUP(G745,'Exchange Rates'!B:C,2,0),IF(R745=".",".",""))</f>
        <v/>
      </c>
      <c r="T745" s="176" t="str">
        <f>IF(AD745=1,IF(AF745="Value is not given at all",".",IF(AF745="Value is given by the source",S745,IF(AF745="Value is calculated with prices",(IF(SUMIFS(Q:Q,A:A,A745)&gt;0,SUMIFS(Q:Q,A:A,A745),"."))/VLOOKUP("USD",'Exchange Rates'!B:C,2,0),"Error with coding"))),"")</f>
        <v/>
      </c>
      <c r="U745" s="15" t="s">
        <v>261</v>
      </c>
      <c r="V745" s="547" t="s">
        <v>2187</v>
      </c>
      <c r="W745" s="547" t="s">
        <v>2188</v>
      </c>
      <c r="X745" s="188" t="s">
        <v>260</v>
      </c>
      <c r="Y745" s="188" t="s">
        <v>260</v>
      </c>
      <c r="Z745" s="15">
        <v>0</v>
      </c>
      <c r="AA745" s="180">
        <v>0</v>
      </c>
      <c r="AB745" s="184" t="s">
        <v>260</v>
      </c>
      <c r="AC745" s="544" t="str">
        <f>""</f>
        <v/>
      </c>
      <c r="AD745" s="181">
        <v>0</v>
      </c>
      <c r="AE745" s="181" t="s">
        <v>265</v>
      </c>
      <c r="AF745" s="181" t="s">
        <v>265</v>
      </c>
      <c r="AG745" s="181">
        <v>1</v>
      </c>
      <c r="AH745" s="181">
        <v>5</v>
      </c>
      <c r="AI745" s="181">
        <v>0</v>
      </c>
      <c r="AJ745" s="181">
        <f>VLOOKUP($I745,'Price List, Weapons &amp; Items'!B:F,5,0)</f>
        <v>0</v>
      </c>
      <c r="AK745" s="181">
        <f t="shared" si="142"/>
        <v>0</v>
      </c>
      <c r="AL745" s="181">
        <f t="shared" si="143"/>
        <v>0</v>
      </c>
      <c r="AM745" s="181">
        <f t="shared" si="144"/>
        <v>1</v>
      </c>
      <c r="AN745" s="180" t="str">
        <f>VLOOKUP($I745,'Price List, Weapons &amp; Items'!B:L,COLUMN('Price List, Weapons &amp; Items'!$J$11)-1,0)</f>
        <v>Military media (incl. websites)</v>
      </c>
      <c r="AO745" s="180" t="str">
        <f>IF(I745=".",".",VLOOKUP($I745,'Price List, Weapons &amp; Items'!B:J,3,0))</f>
        <v>105mm</v>
      </c>
      <c r="AP745" s="545" t="str">
        <f t="shared" ca="1" si="151"/>
        <v/>
      </c>
      <c r="AQ745" s="180">
        <f>VLOOKUP($I745,'Price List, Weapons &amp; Items'!B:L,COLUMN('Price List, Weapons &amp; Items'!$L$11)-1,0)</f>
        <v>2</v>
      </c>
      <c r="AR745" s="180">
        <f t="shared" si="145"/>
        <v>1</v>
      </c>
      <c r="AS745" s="180">
        <f t="shared" si="146"/>
        <v>1</v>
      </c>
      <c r="AT745" s="180">
        <f t="shared" si="147"/>
        <v>1</v>
      </c>
      <c r="AU745" s="180" t="str">
        <f t="shared" si="148"/>
        <v>.</v>
      </c>
      <c r="AV745" s="180" t="str">
        <f t="shared" si="149"/>
        <v>.</v>
      </c>
      <c r="AW745" s="180">
        <f>IFERROR(VLOOKUP(B745,'Share, Heavy Weapons to Ukraine'!B:J,COLUMN('Share, Heavy Weapons to Ukraine'!C758)-1,0),0)</f>
        <v>0</v>
      </c>
      <c r="AX745" s="180">
        <f>VLOOKUP('Bilateral Assistance, MAIN DATA'!B745,'Country Summary'!B:F,COLUMN('Country Summary'!C761)-1,FALSE)</f>
        <v>0</v>
      </c>
      <c r="AY745" s="180" t="str">
        <f>IF(AND(AD745=1,D745="Military",H745&lt;&gt;"Not given")=TRUE,IF(SUMIFS(P:P,A:A,A745)&gt;0,ABS((SUMIFS(P:P,A:A,A745)/VLOOKUP("USD",'Exchange Rates'!B:C,2,0)))/S745,"."),".")</f>
        <v>.</v>
      </c>
      <c r="AZ745" s="182" t="str">
        <f>IF(AND(AD745=1,D745="Military",H745&lt;&gt;"Not given")=TRUE,IF(SUMIFS(P:P,A:A,A745)&gt;0,IF((ABS((SUMIFS(P:P,A:A,A745)/VLOOKUP("USD",'Exchange Rates'!B:C,2,0)))/S745)&gt;1,(SUMIFS(P:P,A:A,A745)-S745)/S745,(S745-SUMIFS(P:P,A:A,A745))/SUMIFS(P:P,A:A,A745)),"."),".")</f>
        <v>.</v>
      </c>
      <c r="BA745" s="182"/>
      <c r="BB745" s="182"/>
      <c r="BC745" s="182"/>
      <c r="BD745" s="182"/>
      <c r="BE745" s="182"/>
      <c r="BF745" s="182"/>
      <c r="BG745" s="182"/>
      <c r="BH745" s="182"/>
      <c r="BI745" s="182"/>
      <c r="BJ745" s="182"/>
      <c r="BK745" s="182"/>
      <c r="BL745" s="182"/>
      <c r="BM745" s="182"/>
      <c r="BN745" s="182"/>
      <c r="BO745" s="182"/>
      <c r="BP745" s="182"/>
      <c r="BQ745" s="182"/>
      <c r="BR745" s="182"/>
      <c r="BS745" s="182"/>
    </row>
    <row r="746" spans="1:71" ht="15.9" customHeight="1" x14ac:dyDescent="0.3">
      <c r="A746" s="17" t="s">
        <v>2189</v>
      </c>
      <c r="B746" s="17" t="s">
        <v>2168</v>
      </c>
      <c r="C746" s="174">
        <v>44739</v>
      </c>
      <c r="D746" s="5" t="s">
        <v>285</v>
      </c>
      <c r="E746" s="5" t="s">
        <v>257</v>
      </c>
      <c r="F746" s="175" t="s">
        <v>2190</v>
      </c>
      <c r="G746" s="15" t="s">
        <v>2176</v>
      </c>
      <c r="H746" s="176">
        <v>4500000</v>
      </c>
      <c r="I746" s="17" t="s">
        <v>260</v>
      </c>
      <c r="J746" s="113" t="str">
        <f>VLOOKUP($I746,'Price List, Weapons &amp; Items'!B:C,2,0)</f>
        <v>.</v>
      </c>
      <c r="K746" s="113" t="str">
        <f>IF(I746=".",I746,VLOOKUP($I746,'Price List, Weapons &amp; Items'!B:D,3,0))</f>
        <v>.</v>
      </c>
      <c r="L746" s="177">
        <f>VLOOKUP(I746,'Price List, Weapons &amp; Items'!B:E,4,0)</f>
        <v>0</v>
      </c>
      <c r="M746" s="542" t="s">
        <v>260</v>
      </c>
      <c r="N746" s="542" t="s">
        <v>260</v>
      </c>
      <c r="O746" s="543" t="str">
        <f>VLOOKUP($I746,'Price List, Weapons &amp; Items'!B:G,6,0)</f>
        <v>.</v>
      </c>
      <c r="P746" s="176" t="str">
        <f t="shared" si="140"/>
        <v>.</v>
      </c>
      <c r="Q746" s="176" t="str">
        <f t="shared" si="141"/>
        <v>.</v>
      </c>
      <c r="R746" s="176">
        <f t="shared" si="150"/>
        <v>4500000</v>
      </c>
      <c r="S746" s="176">
        <f>IF(AND(AD746=1,R746&lt;&gt;".")=TRUE,R746/VLOOKUP(G746,'Exchange Rates'!B:C,2,0),IF(R746=".",".",""))</f>
        <v>2706278.5662737549</v>
      </c>
      <c r="T746" s="176" t="str">
        <f>IF(AD746=1,IF(AF746="Value is not given at all",".",IF(AF746="Value is given by the source",S746,IF(AF746="Value is calculated with prices",(IF(SUMIFS(Q:Q,A:A,A746)&gt;0,SUMIFS(Q:Q,A:A,A746),"."))/VLOOKUP("USD",'Exchange Rates'!B:C,2,0),"Error with coding"))),"")</f>
        <v>.</v>
      </c>
      <c r="U746" s="15" t="s">
        <v>261</v>
      </c>
      <c r="V746" s="300" t="s">
        <v>2191</v>
      </c>
      <c r="W746" s="175" t="s">
        <v>260</v>
      </c>
      <c r="X746" s="175" t="s">
        <v>260</v>
      </c>
      <c r="Y746" s="175" t="s">
        <v>260</v>
      </c>
      <c r="Z746" s="15">
        <v>0</v>
      </c>
      <c r="AA746" s="180">
        <v>0</v>
      </c>
      <c r="AB746" s="184" t="s">
        <v>260</v>
      </c>
      <c r="AC746" s="544" t="str">
        <f>""</f>
        <v/>
      </c>
      <c r="AD746" s="183">
        <v>1</v>
      </c>
      <c r="AE746" s="183" t="s">
        <v>264</v>
      </c>
      <c r="AF746" s="183" t="s">
        <v>265</v>
      </c>
      <c r="AG746" s="183">
        <v>1</v>
      </c>
      <c r="AH746" s="181">
        <v>6</v>
      </c>
      <c r="AI746" s="181">
        <v>0</v>
      </c>
      <c r="AJ746" s="181">
        <f>VLOOKUP($I746,'Price List, Weapons &amp; Items'!B:F,5,0)</f>
        <v>0</v>
      </c>
      <c r="AK746" s="181">
        <f t="shared" si="142"/>
        <v>0</v>
      </c>
      <c r="AL746" s="181">
        <f t="shared" si="143"/>
        <v>0</v>
      </c>
      <c r="AM746" s="181">
        <f t="shared" si="144"/>
        <v>0</v>
      </c>
      <c r="AN746" s="180" t="str">
        <f>VLOOKUP($I746,'Price List, Weapons &amp; Items'!B:L,COLUMN('Price List, Weapons &amp; Items'!$J$11)-1,0)</f>
        <v>.</v>
      </c>
      <c r="AO746" s="180" t="str">
        <f>IF(I746=".",".",VLOOKUP($I746,'Price List, Weapons &amp; Items'!B:J,3,0))</f>
        <v>.</v>
      </c>
      <c r="AP746" s="545" t="e">
        <f t="shared" ca="1" si="151"/>
        <v>#NAME?</v>
      </c>
      <c r="AQ746" s="180" t="str">
        <f>VLOOKUP($I746,'Price List, Weapons &amp; Items'!B:L,COLUMN('Price List, Weapons &amp; Items'!$L$11)-1,0)</f>
        <v>no price, 0 count</v>
      </c>
      <c r="AR746" s="180">
        <f t="shared" si="145"/>
        <v>1</v>
      </c>
      <c r="AS746" s="180">
        <f t="shared" si="146"/>
        <v>0</v>
      </c>
      <c r="AT746" s="180">
        <f t="shared" si="147"/>
        <v>1</v>
      </c>
      <c r="AU746" s="180" t="str">
        <f t="shared" si="148"/>
        <v>.</v>
      </c>
      <c r="AV746" s="180" t="str">
        <f t="shared" si="149"/>
        <v>.</v>
      </c>
      <c r="AW746" s="180">
        <f>IFERROR(VLOOKUP(B746,'Share, Heavy Weapons to Ukraine'!B:J,COLUMN('Share, Heavy Weapons to Ukraine'!C759)-1,0),0)</f>
        <v>0</v>
      </c>
      <c r="AX746" s="180">
        <f>VLOOKUP('Bilateral Assistance, MAIN DATA'!B746,'Country Summary'!B:F,COLUMN('Country Summary'!C762)-1,FALSE)</f>
        <v>0</v>
      </c>
      <c r="AY746" s="180" t="str">
        <f>IF(AND(AD746=1,D746="Military",H746&lt;&gt;"Not given")=TRUE,IF(SUMIFS(P:P,A:A,A746)&gt;0,ABS((SUMIFS(P:P,A:A,A746)/VLOOKUP("USD",'Exchange Rates'!B:C,2,0)))/S746,"."),".")</f>
        <v>.</v>
      </c>
      <c r="AZ746" s="182" t="str">
        <f>IF(AND(AD746=1,D746="Military",H746&lt;&gt;"Not given")=TRUE,IF(SUMIFS(P:P,A:A,A746)&gt;0,IF((ABS((SUMIFS(P:P,A:A,A746)/VLOOKUP("USD",'Exchange Rates'!B:C,2,0)))/S746)&gt;1,(SUMIFS(P:P,A:A,A746)-S746)/S746,(S746-SUMIFS(P:P,A:A,A746))/SUMIFS(P:P,A:A,A746)),"."),".")</f>
        <v>.</v>
      </c>
      <c r="BA746" s="182"/>
      <c r="BB746" s="182"/>
      <c r="BC746" s="182"/>
      <c r="BD746" s="182"/>
      <c r="BE746" s="182"/>
      <c r="BF746" s="182"/>
      <c r="BG746" s="182"/>
      <c r="BH746" s="182"/>
      <c r="BI746" s="182"/>
      <c r="BJ746" s="182"/>
      <c r="BK746" s="182"/>
      <c r="BL746" s="182"/>
      <c r="BM746" s="182"/>
      <c r="BN746" s="182"/>
      <c r="BO746" s="182"/>
      <c r="BP746" s="182"/>
      <c r="BQ746" s="182"/>
      <c r="BR746" s="182"/>
      <c r="BS746" s="182"/>
    </row>
    <row r="747" spans="1:71" ht="15.9" customHeight="1" x14ac:dyDescent="0.3">
      <c r="A747" s="17" t="s">
        <v>2192</v>
      </c>
      <c r="B747" s="17" t="s">
        <v>2168</v>
      </c>
      <c r="C747" s="174">
        <v>44769</v>
      </c>
      <c r="D747" s="5" t="s">
        <v>285</v>
      </c>
      <c r="E747" s="5" t="s">
        <v>257</v>
      </c>
      <c r="F747" s="175" t="s">
        <v>2193</v>
      </c>
      <c r="G747" s="15" t="s">
        <v>346</v>
      </c>
      <c r="H747" s="176" t="s">
        <v>341</v>
      </c>
      <c r="I747" s="17" t="s">
        <v>260</v>
      </c>
      <c r="J747" s="113" t="str">
        <f>VLOOKUP($I747,'Price List, Weapons &amp; Items'!B:C,2,0)</f>
        <v>.</v>
      </c>
      <c r="K747" s="113" t="str">
        <f>IF(I747=".",I747,VLOOKUP($I747,'Price List, Weapons &amp; Items'!B:D,3,0))</f>
        <v>.</v>
      </c>
      <c r="L747" s="177">
        <f>VLOOKUP(I747,'Price List, Weapons &amp; Items'!B:E,4,0)</f>
        <v>0</v>
      </c>
      <c r="M747" s="187" t="s">
        <v>260</v>
      </c>
      <c r="N747" s="187" t="s">
        <v>260</v>
      </c>
      <c r="O747" s="543" t="str">
        <f>VLOOKUP($I747,'Price List, Weapons &amp; Items'!B:G,6,0)</f>
        <v>.</v>
      </c>
      <c r="P747" s="176" t="str">
        <f t="shared" si="140"/>
        <v>.</v>
      </c>
      <c r="Q747" s="176" t="str">
        <f t="shared" si="141"/>
        <v>.</v>
      </c>
      <c r="R747" s="176" t="str">
        <f t="shared" si="150"/>
        <v>.</v>
      </c>
      <c r="S747" s="176" t="str">
        <f>IF(AND(AD747=1,R747&lt;&gt;".")=TRUE,R747/VLOOKUP(G747,'Exchange Rates'!B:C,2,0),IF(R747=".",".",""))</f>
        <v>.</v>
      </c>
      <c r="T747" s="176" t="str">
        <f>IF(AD747=1,IF(AF747="Value is not given at all",".",IF(AF747="Value is given by the source",S747,IF(AF747="Value is calculated with prices",(IF(SUMIFS(Q:Q,A:A,A747)&gt;0,SUMIFS(Q:Q,A:A,A747),"."))/VLOOKUP("USD",'Exchange Rates'!B:C,2,0),"Error with coding"))),"")</f>
        <v>.</v>
      </c>
      <c r="U747" s="15" t="s">
        <v>415</v>
      </c>
      <c r="V747" s="558" t="s">
        <v>2194</v>
      </c>
      <c r="W747" s="175" t="s">
        <v>260</v>
      </c>
      <c r="X747" s="175" t="s">
        <v>260</v>
      </c>
      <c r="Y747" s="175" t="s">
        <v>260</v>
      </c>
      <c r="Z747" s="15">
        <v>0</v>
      </c>
      <c r="AA747" s="180">
        <v>0</v>
      </c>
      <c r="AB747" s="184" t="s">
        <v>260</v>
      </c>
      <c r="AC747" s="544" t="str">
        <f>""</f>
        <v/>
      </c>
      <c r="AD747" s="183">
        <v>1</v>
      </c>
      <c r="AE747" s="183" t="s">
        <v>265</v>
      </c>
      <c r="AF747" s="183" t="s">
        <v>265</v>
      </c>
      <c r="AG747" s="183">
        <v>1</v>
      </c>
      <c r="AH747" s="181">
        <v>7</v>
      </c>
      <c r="AI747" s="181">
        <v>0</v>
      </c>
      <c r="AJ747" s="181">
        <f>VLOOKUP($I747,'Price List, Weapons &amp; Items'!B:F,5,0)</f>
        <v>0</v>
      </c>
      <c r="AK747" s="181">
        <f t="shared" si="142"/>
        <v>0</v>
      </c>
      <c r="AL747" s="181">
        <f t="shared" si="143"/>
        <v>0</v>
      </c>
      <c r="AM747" s="181">
        <f t="shared" si="144"/>
        <v>0</v>
      </c>
      <c r="AN747" s="180" t="str">
        <f>VLOOKUP($I747,'Price List, Weapons &amp; Items'!B:L,COLUMN('Price List, Weapons &amp; Items'!$J$11)-1,0)</f>
        <v>.</v>
      </c>
      <c r="AO747" s="180" t="str">
        <f>IF(I747=".",".",VLOOKUP($I747,'Price List, Weapons &amp; Items'!B:J,3,0))</f>
        <v>.</v>
      </c>
      <c r="AP747" s="545" t="e">
        <f t="shared" ca="1" si="151"/>
        <v>#NAME?</v>
      </c>
      <c r="AQ747" s="180" t="str">
        <f>VLOOKUP($I747,'Price List, Weapons &amp; Items'!B:L,COLUMN('Price List, Weapons &amp; Items'!$L$11)-1,0)</f>
        <v>no price, 0 count</v>
      </c>
      <c r="AR747" s="180">
        <f t="shared" si="145"/>
        <v>0</v>
      </c>
      <c r="AS747" s="180">
        <f t="shared" si="146"/>
        <v>0</v>
      </c>
      <c r="AT747" s="180">
        <f t="shared" si="147"/>
        <v>1</v>
      </c>
      <c r="AU747" s="180" t="str">
        <f t="shared" si="148"/>
        <v>.</v>
      </c>
      <c r="AV747" s="180" t="str">
        <f t="shared" si="149"/>
        <v>.</v>
      </c>
      <c r="AW747" s="180">
        <f>IFERROR(VLOOKUP(B747,'Share, Heavy Weapons to Ukraine'!B:J,COLUMN('Share, Heavy Weapons to Ukraine'!C760)-1,0),0)</f>
        <v>0</v>
      </c>
      <c r="AX747" s="180">
        <f>VLOOKUP('Bilateral Assistance, MAIN DATA'!B747,'Country Summary'!B:F,COLUMN('Country Summary'!C763)-1,FALSE)</f>
        <v>0</v>
      </c>
      <c r="AY747" s="180" t="str">
        <f>IF(AND(AD747=1,D747="Military",H747&lt;&gt;"Not given")=TRUE,IF(SUMIFS(P:P,A:A,A747)&gt;0,ABS((SUMIFS(P:P,A:A,A747)/VLOOKUP("USD",'Exchange Rates'!B:C,2,0)))/S747,"."),".")</f>
        <v>.</v>
      </c>
      <c r="AZ747" s="182" t="str">
        <f>IF(AND(AD747=1,D747="Military",H747&lt;&gt;"Not given")=TRUE,IF(SUMIFS(P:P,A:A,A747)&gt;0,IF((ABS((SUMIFS(P:P,A:A,A747)/VLOOKUP("USD",'Exchange Rates'!B:C,2,0)))/S747)&gt;1,(SUMIFS(P:P,A:A,A747)-S747)/S747,(S747-SUMIFS(P:P,A:A,A747))/SUMIFS(P:P,A:A,A747)),"."),".")</f>
        <v>.</v>
      </c>
      <c r="BA747" s="182"/>
      <c r="BB747" s="182"/>
      <c r="BC747" s="182"/>
      <c r="BD747" s="182"/>
      <c r="BE747" s="182"/>
      <c r="BF747" s="182"/>
      <c r="BG747" s="182"/>
      <c r="BH747" s="182"/>
      <c r="BI747" s="182"/>
      <c r="BJ747" s="182"/>
      <c r="BK747" s="182"/>
      <c r="BL747" s="182"/>
      <c r="BM747" s="182"/>
      <c r="BN747" s="182"/>
      <c r="BO747" s="182"/>
      <c r="BP747" s="182"/>
      <c r="BQ747" s="182"/>
      <c r="BR747" s="182"/>
      <c r="BS747" s="182"/>
    </row>
    <row r="748" spans="1:71" ht="15.9" customHeight="1" x14ac:dyDescent="0.3">
      <c r="A748" s="17" t="s">
        <v>2195</v>
      </c>
      <c r="B748" s="17" t="s">
        <v>2168</v>
      </c>
      <c r="C748" s="174">
        <v>44879</v>
      </c>
      <c r="D748" s="5" t="s">
        <v>285</v>
      </c>
      <c r="E748" s="5" t="s">
        <v>2196</v>
      </c>
      <c r="F748" s="175" t="s">
        <v>2197</v>
      </c>
      <c r="G748" s="15" t="s">
        <v>2176</v>
      </c>
      <c r="H748" s="176">
        <v>1850000</v>
      </c>
      <c r="I748" s="17" t="s">
        <v>260</v>
      </c>
      <c r="J748" s="113" t="str">
        <f>VLOOKUP($I748,'Price List, Weapons &amp; Items'!B:C,2,0)</f>
        <v>.</v>
      </c>
      <c r="K748" s="113" t="str">
        <f>IF(I748=".",I748,VLOOKUP($I748,'Price List, Weapons &amp; Items'!B:D,3,0))</f>
        <v>.</v>
      </c>
      <c r="L748" s="177">
        <f>VLOOKUP(I748,'Price List, Weapons &amp; Items'!B:E,4,0)</f>
        <v>0</v>
      </c>
      <c r="M748" s="187" t="s">
        <v>260</v>
      </c>
      <c r="N748" s="187" t="s">
        <v>260</v>
      </c>
      <c r="O748" s="543" t="str">
        <f>VLOOKUP($I748,'Price List, Weapons &amp; Items'!B:G,6,0)</f>
        <v>.</v>
      </c>
      <c r="P748" s="176" t="str">
        <f t="shared" si="140"/>
        <v>.</v>
      </c>
      <c r="Q748" s="176" t="str">
        <f t="shared" si="141"/>
        <v>.</v>
      </c>
      <c r="R748" s="176">
        <f t="shared" si="150"/>
        <v>1850000</v>
      </c>
      <c r="S748" s="176">
        <f>IF(AND(AD748=1,R748&lt;&gt;".")=TRUE,R748/VLOOKUP(G748,'Exchange Rates'!B:C,2,0),IF(R748=".",".",""))</f>
        <v>1112581.1883569881</v>
      </c>
      <c r="T748" s="176" t="str">
        <f>IF(AD748=1,IF(AF748="Value is not given at all",".",IF(AF748="Value is given by the source",S748,IF(AF748="Value is calculated with prices",(IF(SUMIFS(Q:Q,A:A,A748)&gt;0,SUMIFS(Q:Q,A:A,A748),"."))/VLOOKUP("USD",'Exchange Rates'!B:C,2,0),"Error with coding"))),"")</f>
        <v>.</v>
      </c>
      <c r="U748" s="15" t="s">
        <v>261</v>
      </c>
      <c r="V748" s="305" t="s">
        <v>2198</v>
      </c>
      <c r="W748" s="144" t="s">
        <v>260</v>
      </c>
      <c r="X748" s="144" t="s">
        <v>260</v>
      </c>
      <c r="Y748" s="668" t="s">
        <v>260</v>
      </c>
      <c r="Z748" s="15">
        <v>0</v>
      </c>
      <c r="AA748" s="180">
        <v>0</v>
      </c>
      <c r="AB748" s="669" t="s">
        <v>260</v>
      </c>
      <c r="AC748" s="544" t="str">
        <f>""</f>
        <v/>
      </c>
      <c r="AD748" s="183">
        <v>1</v>
      </c>
      <c r="AE748" s="183" t="s">
        <v>264</v>
      </c>
      <c r="AF748" s="183" t="s">
        <v>265</v>
      </c>
      <c r="AG748" s="183">
        <v>1</v>
      </c>
      <c r="AH748" s="181">
        <v>11</v>
      </c>
      <c r="AI748" s="181">
        <v>0</v>
      </c>
      <c r="AJ748" s="181">
        <f>VLOOKUP($I748,'Price List, Weapons &amp; Items'!B:F,5,0)</f>
        <v>0</v>
      </c>
      <c r="AK748" s="181">
        <f t="shared" si="142"/>
        <v>0</v>
      </c>
      <c r="AL748" s="181">
        <f t="shared" si="143"/>
        <v>0</v>
      </c>
      <c r="AM748" s="181">
        <f t="shared" si="144"/>
        <v>0</v>
      </c>
      <c r="AN748" s="180" t="str">
        <f>VLOOKUP($I748,'Price List, Weapons &amp; Items'!B:L,COLUMN('Price List, Weapons &amp; Items'!$J$11)-1,0)</f>
        <v>.</v>
      </c>
      <c r="AO748" s="180" t="str">
        <f>IF(I748=".",".",VLOOKUP($I748,'Price List, Weapons &amp; Items'!B:J,3,0))</f>
        <v>.</v>
      </c>
      <c r="AP748" s="545" t="e">
        <f t="shared" ca="1" si="151"/>
        <v>#NAME?</v>
      </c>
      <c r="AQ748" s="180" t="str">
        <f>VLOOKUP($I748,'Price List, Weapons &amp; Items'!B:L,COLUMN('Price List, Weapons &amp; Items'!$L$11)-1,0)</f>
        <v>no price, 0 count</v>
      </c>
      <c r="AR748" s="180">
        <f t="shared" si="145"/>
        <v>1</v>
      </c>
      <c r="AS748" s="180">
        <f t="shared" si="146"/>
        <v>1</v>
      </c>
      <c r="AT748" s="180">
        <f t="shared" si="147"/>
        <v>1</v>
      </c>
      <c r="AU748" s="180" t="str">
        <f t="shared" si="148"/>
        <v>.</v>
      </c>
      <c r="AV748" s="180" t="str">
        <f t="shared" si="149"/>
        <v>.</v>
      </c>
      <c r="AW748" s="180">
        <f>IFERROR(VLOOKUP(B748,'Share, Heavy Weapons to Ukraine'!B:J,COLUMN('Share, Heavy Weapons to Ukraine'!C761)-1,0),0)</f>
        <v>0</v>
      </c>
      <c r="AX748" s="180">
        <f>VLOOKUP('Bilateral Assistance, MAIN DATA'!B748,'Country Summary'!B:F,COLUMN('Country Summary'!C764)-1,FALSE)</f>
        <v>0</v>
      </c>
      <c r="AY748" s="180" t="str">
        <f>IF(AND(AD748=1,D748="Military",H748&lt;&gt;"Not given")=TRUE,IF(SUMIFS(P:P,A:A,A748)&gt;0,ABS((SUMIFS(P:P,A:A,A748)/VLOOKUP("USD",'Exchange Rates'!B:C,2,0)))/S748,"."),".")</f>
        <v>.</v>
      </c>
      <c r="AZ748" s="182" t="str">
        <f>IF(AND(AD748=1,D748="Military",H748&lt;&gt;"Not given")=TRUE,IF(SUMIFS(P:P,A:A,A748)&gt;0,IF((ABS((SUMIFS(P:P,A:A,A748)/VLOOKUP("USD",'Exchange Rates'!B:C,2,0)))/S748)&gt;1,(SUMIFS(P:P,A:A,A748)-S748)/S748,(S748-SUMIFS(P:P,A:A,A748))/SUMIFS(P:P,A:A,A748)),"."),".")</f>
        <v>.</v>
      </c>
      <c r="BA748" s="182"/>
      <c r="BB748" s="182"/>
      <c r="BC748" s="182"/>
      <c r="BD748" s="182"/>
      <c r="BE748" s="182"/>
      <c r="BF748" s="182"/>
      <c r="BG748" s="182"/>
      <c r="BH748" s="182"/>
      <c r="BI748" s="182"/>
      <c r="BJ748" s="182"/>
      <c r="BK748" s="182"/>
      <c r="BL748" s="182"/>
      <c r="BM748" s="182"/>
      <c r="BN748" s="182"/>
      <c r="BO748" s="182"/>
      <c r="BP748" s="182"/>
      <c r="BQ748" s="182"/>
      <c r="BR748" s="182"/>
      <c r="BS748" s="182"/>
    </row>
    <row r="749" spans="1:71" ht="15.9" customHeight="1" x14ac:dyDescent="0.3">
      <c r="A749" s="17" t="s">
        <v>2199</v>
      </c>
      <c r="B749" s="17" t="s">
        <v>2168</v>
      </c>
      <c r="C749" s="174">
        <v>44620</v>
      </c>
      <c r="D749" s="5" t="s">
        <v>256</v>
      </c>
      <c r="E749" s="5" t="s">
        <v>257</v>
      </c>
      <c r="F749" s="175" t="s">
        <v>2200</v>
      </c>
      <c r="G749" s="15" t="s">
        <v>2176</v>
      </c>
      <c r="H749" s="176">
        <v>2000000</v>
      </c>
      <c r="I749" s="184" t="s">
        <v>260</v>
      </c>
      <c r="J749" s="113" t="str">
        <f>VLOOKUP($I749,'Price List, Weapons &amp; Items'!B:C,2,0)</f>
        <v>.</v>
      </c>
      <c r="K749" s="113" t="str">
        <f>IF(I749=".",I749,VLOOKUP($I749,'Price List, Weapons &amp; Items'!B:D,3,0))</f>
        <v>.</v>
      </c>
      <c r="L749" s="177">
        <f>VLOOKUP(I749,'Price List, Weapons &amp; Items'!B:E,4,0)</f>
        <v>0</v>
      </c>
      <c r="M749" s="542" t="s">
        <v>260</v>
      </c>
      <c r="N749" s="542" t="s">
        <v>260</v>
      </c>
      <c r="O749" s="543" t="str">
        <f>VLOOKUP($I749,'Price List, Weapons &amp; Items'!B:G,6,0)</f>
        <v>.</v>
      </c>
      <c r="P749" s="176" t="str">
        <f t="shared" si="140"/>
        <v>.</v>
      </c>
      <c r="Q749" s="176" t="str">
        <f t="shared" si="141"/>
        <v>.</v>
      </c>
      <c r="R749" s="176">
        <f t="shared" si="150"/>
        <v>2000000</v>
      </c>
      <c r="S749" s="176">
        <f>IF(AND(AD749=1,R749&lt;&gt;".")=TRUE,R749/VLOOKUP(G749,'Exchange Rates'!B:C,2,0),IF(R749=".",".",""))</f>
        <v>1202790.4738994467</v>
      </c>
      <c r="T749" s="176" t="str">
        <f>IF(AD749=1,IF(AF749="Value is not given at all",".",IF(AF749="Value is given by the source",S749,IF(AF749="Value is calculated with prices",(IF(SUMIFS(Q:Q,A:A,A749)&gt;0,SUMIFS(Q:Q,A:A,A749),"."))/VLOOKUP("USD",'Exchange Rates'!B:C,2,0),"Error with coding"))),"")</f>
        <v>.</v>
      </c>
      <c r="U749" s="15" t="s">
        <v>261</v>
      </c>
      <c r="V749" s="300" t="s">
        <v>2177</v>
      </c>
      <c r="W749" s="300" t="s">
        <v>2201</v>
      </c>
      <c r="X749" s="300" t="s">
        <v>2202</v>
      </c>
      <c r="Y749" s="218" t="s">
        <v>260</v>
      </c>
      <c r="Z749" s="15">
        <v>0</v>
      </c>
      <c r="AA749" s="180">
        <v>0</v>
      </c>
      <c r="AB749" s="184" t="s">
        <v>260</v>
      </c>
      <c r="AC749" s="544" t="str">
        <f>""</f>
        <v/>
      </c>
      <c r="AD749" s="181">
        <v>1</v>
      </c>
      <c r="AE749" s="181" t="s">
        <v>264</v>
      </c>
      <c r="AF749" s="181" t="s">
        <v>265</v>
      </c>
      <c r="AG749" s="181">
        <v>1</v>
      </c>
      <c r="AH749" s="181">
        <v>2</v>
      </c>
      <c r="AI749" s="181">
        <v>0</v>
      </c>
      <c r="AJ749" s="181">
        <f>VLOOKUP($I749,'Price List, Weapons &amp; Items'!B:F,5,0)</f>
        <v>0</v>
      </c>
      <c r="AK749" s="181">
        <f t="shared" si="142"/>
        <v>0</v>
      </c>
      <c r="AL749" s="181">
        <f t="shared" si="143"/>
        <v>0</v>
      </c>
      <c r="AM749" s="181">
        <f t="shared" si="144"/>
        <v>0</v>
      </c>
      <c r="AN749" s="180" t="str">
        <f>VLOOKUP($I749,'Price List, Weapons &amp; Items'!B:L,COLUMN('Price List, Weapons &amp; Items'!$J$11)-1,0)</f>
        <v>.</v>
      </c>
      <c r="AO749" s="180" t="str">
        <f>IF(I749=".",".",VLOOKUP($I749,'Price List, Weapons &amp; Items'!B:J,3,0))</f>
        <v>.</v>
      </c>
      <c r="AP749" s="545" t="e">
        <f t="shared" ca="1" si="151"/>
        <v>#NAME?</v>
      </c>
      <c r="AQ749" s="180" t="str">
        <f>VLOOKUP($I749,'Price List, Weapons &amp; Items'!B:L,COLUMN('Price List, Weapons &amp; Items'!$L$11)-1,0)</f>
        <v>no price, 0 count</v>
      </c>
      <c r="AR749" s="180">
        <f t="shared" si="145"/>
        <v>1</v>
      </c>
      <c r="AS749" s="180">
        <f t="shared" si="146"/>
        <v>0</v>
      </c>
      <c r="AT749" s="180">
        <f t="shared" si="147"/>
        <v>1</v>
      </c>
      <c r="AU749" s="180" t="str">
        <f t="shared" si="148"/>
        <v>.</v>
      </c>
      <c r="AV749" s="180" t="str">
        <f t="shared" si="149"/>
        <v>.</v>
      </c>
      <c r="AW749" s="180">
        <f>IFERROR(VLOOKUP(B749,'Share, Heavy Weapons to Ukraine'!B:J,COLUMN('Share, Heavy Weapons to Ukraine'!C762)-1,0),0)</f>
        <v>0</v>
      </c>
      <c r="AX749" s="180">
        <f>VLOOKUP('Bilateral Assistance, MAIN DATA'!B749,'Country Summary'!B:F,COLUMN('Country Summary'!C765)-1,FALSE)</f>
        <v>0</v>
      </c>
      <c r="AY749" s="180" t="str">
        <f>IF(AND(AD749=1,D749="Military",H749&lt;&gt;"Not given")=TRUE,IF(SUMIFS(P:P,A:A,A749)&gt;0,ABS((SUMIFS(P:P,A:A,A749)/VLOOKUP("USD",'Exchange Rates'!B:C,2,0)))/S749,"."),".")</f>
        <v>.</v>
      </c>
      <c r="AZ749" s="182" t="str">
        <f>IF(AND(AD749=1,D749="Military",H749&lt;&gt;"Not given")=TRUE,IF(SUMIFS(P:P,A:A,A749)&gt;0,IF((ABS((SUMIFS(P:P,A:A,A749)/VLOOKUP("USD",'Exchange Rates'!B:C,2,0)))/S749)&gt;1,(SUMIFS(P:P,A:A,A749)-S749)/S749,(S749-SUMIFS(P:P,A:A,A749))/SUMIFS(P:P,A:A,A749)),"."),".")</f>
        <v>.</v>
      </c>
      <c r="BA749" s="182"/>
      <c r="BB749" s="182"/>
      <c r="BC749" s="182"/>
      <c r="BD749" s="182"/>
      <c r="BE749" s="182"/>
      <c r="BF749" s="182"/>
      <c r="BG749" s="182"/>
      <c r="BH749" s="182"/>
      <c r="BI749" s="182"/>
      <c r="BJ749" s="182"/>
      <c r="BK749" s="182"/>
      <c r="BL749" s="182"/>
      <c r="BM749" s="182"/>
      <c r="BN749" s="182"/>
      <c r="BO749" s="182"/>
      <c r="BP749" s="182"/>
      <c r="BQ749" s="182"/>
      <c r="BR749" s="182"/>
      <c r="BS749" s="182"/>
    </row>
    <row r="750" spans="1:71" ht="15.9" customHeight="1" x14ac:dyDescent="0.3">
      <c r="A750" s="17" t="s">
        <v>2203</v>
      </c>
      <c r="B750" s="17" t="s">
        <v>2168</v>
      </c>
      <c r="C750" s="174">
        <v>44620</v>
      </c>
      <c r="D750" s="5" t="s">
        <v>256</v>
      </c>
      <c r="E750" s="5" t="s">
        <v>257</v>
      </c>
      <c r="F750" s="175" t="s">
        <v>2204</v>
      </c>
      <c r="G750" s="15" t="s">
        <v>2176</v>
      </c>
      <c r="H750" s="176">
        <v>2000000</v>
      </c>
      <c r="I750" s="17" t="s">
        <v>260</v>
      </c>
      <c r="J750" s="113" t="str">
        <f>VLOOKUP($I750,'Price List, Weapons &amp; Items'!B:C,2,0)</f>
        <v>.</v>
      </c>
      <c r="K750" s="113" t="str">
        <f>IF(I750=".",I750,VLOOKUP($I750,'Price List, Weapons &amp; Items'!B:D,3,0))</f>
        <v>.</v>
      </c>
      <c r="L750" s="177">
        <f>VLOOKUP(I750,'Price List, Weapons &amp; Items'!B:E,4,0)</f>
        <v>0</v>
      </c>
      <c r="M750" s="542" t="s">
        <v>260</v>
      </c>
      <c r="N750" s="542" t="s">
        <v>260</v>
      </c>
      <c r="O750" s="543" t="str">
        <f>VLOOKUP($I750,'Price List, Weapons &amp; Items'!B:G,6,0)</f>
        <v>.</v>
      </c>
      <c r="P750" s="176" t="str">
        <f t="shared" ref="P750:P813" si="152">IF(TYPE(M750)=1,IF(TYPE(O750)=1,M750*O750,"No price"),".")</f>
        <v>.</v>
      </c>
      <c r="Q750" s="176" t="str">
        <f t="shared" ref="Q750:Q813" si="153">IF(TYPE(N750)=1,IF(TYPE(O750)=1,N750*O750,"No price"),".")</f>
        <v>.</v>
      </c>
      <c r="R750" s="176">
        <f t="shared" si="150"/>
        <v>2000000</v>
      </c>
      <c r="S750" s="176">
        <f>IF(AND(AD750=1,R750&lt;&gt;".")=TRUE,R750/VLOOKUP(G750,'Exchange Rates'!B:C,2,0),IF(R750=".",".",""))</f>
        <v>1202790.4738994467</v>
      </c>
      <c r="T750" s="176" t="str">
        <f>IF(AD750=1,IF(AF750="Value is not given at all",".",IF(AF750="Value is given by the source",S750,IF(AF750="Value is calculated with prices",(IF(SUMIFS(Q:Q,A:A,A750)&gt;0,SUMIFS(Q:Q,A:A,A750),"."))/VLOOKUP("USD",'Exchange Rates'!B:C,2,0),"Error with coding"))),"")</f>
        <v>.</v>
      </c>
      <c r="U750" s="15" t="s">
        <v>261</v>
      </c>
      <c r="V750" s="300" t="s">
        <v>2177</v>
      </c>
      <c r="W750" s="175" t="s">
        <v>260</v>
      </c>
      <c r="X750" s="175" t="s">
        <v>260</v>
      </c>
      <c r="Y750" s="175" t="s">
        <v>260</v>
      </c>
      <c r="Z750" s="15">
        <v>0</v>
      </c>
      <c r="AA750" s="180">
        <v>0</v>
      </c>
      <c r="AB750" s="184" t="s">
        <v>260</v>
      </c>
      <c r="AC750" s="544" t="str">
        <f>""</f>
        <v/>
      </c>
      <c r="AD750" s="183">
        <v>1</v>
      </c>
      <c r="AE750" s="183" t="s">
        <v>264</v>
      </c>
      <c r="AF750" s="183" t="s">
        <v>265</v>
      </c>
      <c r="AG750" s="183">
        <v>1</v>
      </c>
      <c r="AH750" s="181">
        <v>2</v>
      </c>
      <c r="AI750" s="181">
        <v>0</v>
      </c>
      <c r="AJ750" s="181">
        <f>VLOOKUP($I750,'Price List, Weapons &amp; Items'!B:F,5,0)</f>
        <v>0</v>
      </c>
      <c r="AK750" s="181">
        <f t="shared" ref="AK750:AK813" si="154">IF(AND(AJ750=1,M750="undisclosed")=TRUE,1,0)</f>
        <v>0</v>
      </c>
      <c r="AL750" s="181">
        <f t="shared" ref="AL750:AL813" si="155">IF(AND(AJ750=1,N750="undisclosed")=TRUE,1,0)</f>
        <v>0</v>
      </c>
      <c r="AM750" s="181">
        <f t="shared" ref="AM750:AM813" si="156">IFERROR(IF(SEARCH("ammuni",I750,1)&gt;0,1,0),0)</f>
        <v>0</v>
      </c>
      <c r="AN750" s="180" t="str">
        <f>VLOOKUP($I750,'Price List, Weapons &amp; Items'!B:L,COLUMN('Price List, Weapons &amp; Items'!$J$11)-1,0)</f>
        <v>.</v>
      </c>
      <c r="AO750" s="180" t="str">
        <f>IF(I750=".",".",VLOOKUP($I750,'Price List, Weapons &amp; Items'!B:J,3,0))</f>
        <v>.</v>
      </c>
      <c r="AP750" s="545" t="e">
        <f t="shared" ca="1" si="151"/>
        <v>#NAME?</v>
      </c>
      <c r="AQ750" s="180" t="str">
        <f>VLOOKUP($I750,'Price List, Weapons &amp; Items'!B:L,COLUMN('Price List, Weapons &amp; Items'!$L$11)-1,0)</f>
        <v>no price, 0 count</v>
      </c>
      <c r="AR750" s="180">
        <f t="shared" ref="AR750:AR813" si="157">IF(U750="Yes",1,0)</f>
        <v>1</v>
      </c>
      <c r="AS750" s="180">
        <f t="shared" ref="AS750:AS813" si="158">IF(D750="Military",IF(OR(IFERROR(SEARCH("equipment",E750,1),0)&gt;0,IFERROR(SEARCH("weapons",E750,1),0)&gt;0),1,0),0)</f>
        <v>0</v>
      </c>
      <c r="AT750" s="180">
        <f t="shared" si="147"/>
        <v>1</v>
      </c>
      <c r="AU750" s="180" t="str">
        <f t="shared" si="148"/>
        <v>.</v>
      </c>
      <c r="AV750" s="180" t="str">
        <f t="shared" si="149"/>
        <v>.</v>
      </c>
      <c r="AW750" s="180">
        <f>IFERROR(VLOOKUP(B750,'Share, Heavy Weapons to Ukraine'!B:J,COLUMN('Share, Heavy Weapons to Ukraine'!C763)-1,0),0)</f>
        <v>0</v>
      </c>
      <c r="AX750" s="180">
        <f>VLOOKUP('Bilateral Assistance, MAIN DATA'!B750,'Country Summary'!B:F,COLUMN('Country Summary'!C766)-1,FALSE)</f>
        <v>0</v>
      </c>
      <c r="AY750" s="180" t="str">
        <f>IF(AND(AD750=1,D750="Military",H750&lt;&gt;"Not given")=TRUE,IF(SUMIFS(P:P,A:A,A750)&gt;0,ABS((SUMIFS(P:P,A:A,A750)/VLOOKUP("USD",'Exchange Rates'!B:C,2,0)))/S750,"."),".")</f>
        <v>.</v>
      </c>
      <c r="AZ750" s="182" t="str">
        <f>IF(AND(AD750=1,D750="Military",H750&lt;&gt;"Not given")=TRUE,IF(SUMIFS(P:P,A:A,A750)&gt;0,IF((ABS((SUMIFS(P:P,A:A,A750)/VLOOKUP("USD",'Exchange Rates'!B:C,2,0)))/S750)&gt;1,(SUMIFS(P:P,A:A,A750)-S750)/S750,(S750-SUMIFS(P:P,A:A,A750))/SUMIFS(P:P,A:A,A750)),"."),".")</f>
        <v>.</v>
      </c>
      <c r="BA750" s="182"/>
      <c r="BB750" s="182"/>
      <c r="BC750" s="182"/>
      <c r="BD750" s="182"/>
      <c r="BE750" s="182"/>
      <c r="BF750" s="182"/>
      <c r="BG750" s="182"/>
      <c r="BH750" s="182"/>
      <c r="BI750" s="182"/>
      <c r="BJ750" s="182"/>
      <c r="BK750" s="182"/>
      <c r="BL750" s="182"/>
      <c r="BM750" s="182"/>
      <c r="BN750" s="182"/>
      <c r="BO750" s="182"/>
      <c r="BP750" s="182"/>
      <c r="BQ750" s="182"/>
      <c r="BR750" s="182"/>
      <c r="BS750" s="182"/>
    </row>
    <row r="751" spans="1:71" ht="15.9" customHeight="1" x14ac:dyDescent="0.3">
      <c r="A751" s="17" t="s">
        <v>2205</v>
      </c>
      <c r="B751" s="17" t="s">
        <v>2206</v>
      </c>
      <c r="C751" s="174">
        <v>44620</v>
      </c>
      <c r="D751" s="5" t="s">
        <v>285</v>
      </c>
      <c r="E751" s="5" t="s">
        <v>339</v>
      </c>
      <c r="F751" s="175" t="s">
        <v>2207</v>
      </c>
      <c r="G751" s="15" t="s">
        <v>346</v>
      </c>
      <c r="H751" s="176" t="s">
        <v>341</v>
      </c>
      <c r="I751" s="17" t="s">
        <v>441</v>
      </c>
      <c r="J751" s="113" t="str">
        <f>VLOOKUP($I751,'Price List, Weapons &amp; Items'!B:C,2,0)</f>
        <v>Portable defence system</v>
      </c>
      <c r="K751" s="113" t="str">
        <f>IF(I751=".",I751,VLOOKUP($I751,'Price List, Weapons &amp; Items'!B:D,3,0))</f>
        <v>Light Anti-armor Weapon (LAW)</v>
      </c>
      <c r="L751" s="177">
        <f>VLOOKUP(I751,'Price List, Weapons &amp; Items'!B:E,4,0)</f>
        <v>0</v>
      </c>
      <c r="M751" s="542">
        <v>2000</v>
      </c>
      <c r="N751" s="542">
        <v>2000</v>
      </c>
      <c r="O751" s="543">
        <f>VLOOKUP($I751,'Price List, Weapons &amp; Items'!B:G,6,0)</f>
        <v>1475</v>
      </c>
      <c r="P751" s="176">
        <f t="shared" si="152"/>
        <v>2950000</v>
      </c>
      <c r="Q751" s="176">
        <f t="shared" si="153"/>
        <v>2950000</v>
      </c>
      <c r="R751" s="176">
        <f t="shared" si="150"/>
        <v>2950000</v>
      </c>
      <c r="S751" s="176">
        <f>IF(AND(AD751=1,R751&lt;&gt;".")=TRUE,R751/VLOOKUP(G751,'Exchange Rates'!B:C,2,0),IF(R751=".",".",""))</f>
        <v>2809523.8095238092</v>
      </c>
      <c r="T751" s="176">
        <f>IF(AD751=1,IF(AF751="Value is not given at all",".",IF(AF751="Value is given by the source",S751,IF(AF751="Value is calculated with prices",(IF(SUMIFS(Q:Q,A:A,A751)&gt;0,SUMIFS(Q:Q,A:A,A751),"."))/VLOOKUP("USD",'Exchange Rates'!B:C,2,0),"Error with coding"))),"")</f>
        <v>2809523.8095238092</v>
      </c>
      <c r="U751" s="15" t="s">
        <v>261</v>
      </c>
      <c r="V751" s="300" t="s">
        <v>2208</v>
      </c>
      <c r="W751" s="300" t="s">
        <v>2209</v>
      </c>
      <c r="X751" s="300" t="s">
        <v>2210</v>
      </c>
      <c r="Y751" s="218" t="s">
        <v>260</v>
      </c>
      <c r="Z751" s="15">
        <v>0</v>
      </c>
      <c r="AA751" s="180">
        <v>0</v>
      </c>
      <c r="AB751" s="549" t="s">
        <v>2211</v>
      </c>
      <c r="AC751" s="544" t="str">
        <f>""</f>
        <v/>
      </c>
      <c r="AD751" s="181">
        <v>1</v>
      </c>
      <c r="AE751" s="181" t="s">
        <v>332</v>
      </c>
      <c r="AF751" s="181" t="s">
        <v>332</v>
      </c>
      <c r="AG751" s="181">
        <v>1</v>
      </c>
      <c r="AH751" s="181">
        <v>2</v>
      </c>
      <c r="AI751" s="181">
        <v>0</v>
      </c>
      <c r="AJ751" s="181">
        <f>VLOOKUP($I751,'Price List, Weapons &amp; Items'!B:F,5,0)</f>
        <v>0</v>
      </c>
      <c r="AK751" s="181">
        <f t="shared" si="154"/>
        <v>0</v>
      </c>
      <c r="AL751" s="181">
        <f t="shared" si="155"/>
        <v>0</v>
      </c>
      <c r="AM751" s="181">
        <f t="shared" si="156"/>
        <v>0</v>
      </c>
      <c r="AN751" s="180" t="str">
        <f>VLOOKUP($I751,'Price List, Weapons &amp; Items'!B:L,COLUMN('Price List, Weapons &amp; Items'!$J$11)-1,0)</f>
        <v>Military media (incl. websites)</v>
      </c>
      <c r="AO751" s="180" t="str">
        <f>IF(I751=".",".",VLOOKUP($I751,'Price List, Weapons &amp; Items'!B:J,3,0))</f>
        <v>Light Anti-armor Weapon (LAW)</v>
      </c>
      <c r="AP751" s="545" t="e">
        <f t="shared" ca="1" si="151"/>
        <v>#NAME?</v>
      </c>
      <c r="AQ751" s="180">
        <f>VLOOKUP($I751,'Price List, Weapons &amp; Items'!B:L,COLUMN('Price List, Weapons &amp; Items'!$L$11)-1,0)</f>
        <v>2</v>
      </c>
      <c r="AR751" s="180">
        <f t="shared" si="157"/>
        <v>1</v>
      </c>
      <c r="AS751" s="180">
        <f t="shared" si="158"/>
        <v>1</v>
      </c>
      <c r="AT751" s="180">
        <f t="shared" si="147"/>
        <v>1</v>
      </c>
      <c r="AU751" s="180" t="str">
        <f t="shared" si="148"/>
        <v>.</v>
      </c>
      <c r="AV751" s="180" t="str">
        <f t="shared" si="149"/>
        <v>.</v>
      </c>
      <c r="AW751" s="180">
        <f>IFERROR(VLOOKUP(B751,'Share, Heavy Weapons to Ukraine'!B:J,COLUMN('Share, Heavy Weapons to Ukraine'!C764)-1,0),0)</f>
        <v>1</v>
      </c>
      <c r="AX751" s="180">
        <f>VLOOKUP('Bilateral Assistance, MAIN DATA'!B751,'Country Summary'!B:F,COLUMN('Country Summary'!C767)-1,FALSE)</f>
        <v>0</v>
      </c>
      <c r="AY751" s="180" t="str">
        <f>IF(AND(AD751=1,D751="Military",H751&lt;&gt;"Not given")=TRUE,IF(SUMIFS(P:P,A:A,A751)&gt;0,ABS((SUMIFS(P:P,A:A,A751)/VLOOKUP("USD",'Exchange Rates'!B:C,2,0)))/S751,"."),".")</f>
        <v>.</v>
      </c>
      <c r="AZ751" s="182" t="str">
        <f>IF(AND(AD751=1,D751="Military",H751&lt;&gt;"Not given")=TRUE,IF(SUMIFS(P:P,A:A,A751)&gt;0,IF((ABS((SUMIFS(P:P,A:A,A751)/VLOOKUP("USD",'Exchange Rates'!B:C,2,0)))/S751)&gt;1,(SUMIFS(P:P,A:A,A751)-S751)/S751,(S751-SUMIFS(P:P,A:A,A751))/SUMIFS(P:P,A:A,A751)),"."),".")</f>
        <v>.</v>
      </c>
      <c r="BA751" s="182"/>
      <c r="BB751" s="182"/>
      <c r="BC751" s="182"/>
      <c r="BD751" s="182"/>
      <c r="BE751" s="182"/>
      <c r="BF751" s="182"/>
      <c r="BG751" s="182"/>
      <c r="BH751" s="182"/>
      <c r="BI751" s="182"/>
      <c r="BJ751" s="182"/>
      <c r="BK751" s="182"/>
      <c r="BL751" s="182"/>
      <c r="BM751" s="182"/>
      <c r="BN751" s="182"/>
      <c r="BO751" s="182"/>
      <c r="BP751" s="182"/>
      <c r="BQ751" s="182"/>
      <c r="BR751" s="182"/>
      <c r="BS751" s="182"/>
    </row>
    <row r="752" spans="1:71" ht="15.9" customHeight="1" x14ac:dyDescent="0.3">
      <c r="A752" s="17" t="s">
        <v>2212</v>
      </c>
      <c r="B752" s="17" t="s">
        <v>2206</v>
      </c>
      <c r="C752" s="174">
        <v>44651</v>
      </c>
      <c r="D752" s="5" t="s">
        <v>285</v>
      </c>
      <c r="E752" s="5" t="s">
        <v>339</v>
      </c>
      <c r="F752" s="175" t="s">
        <v>2213</v>
      </c>
      <c r="G752" s="15" t="s">
        <v>346</v>
      </c>
      <c r="H752" s="176" t="s">
        <v>341</v>
      </c>
      <c r="I752" s="17" t="s">
        <v>441</v>
      </c>
      <c r="J752" s="113" t="str">
        <f>VLOOKUP($I752,'Price List, Weapons &amp; Items'!B:C,2,0)</f>
        <v>Portable defence system</v>
      </c>
      <c r="K752" s="113" t="str">
        <f>IF(I752=".",I752,VLOOKUP($I752,'Price List, Weapons &amp; Items'!B:D,3,0))</f>
        <v>Light Anti-armor Weapon (LAW)</v>
      </c>
      <c r="L752" s="177">
        <f>VLOOKUP(I752,'Price List, Weapons &amp; Items'!B:E,4,0)</f>
        <v>0</v>
      </c>
      <c r="M752" s="542">
        <v>2000</v>
      </c>
      <c r="N752" s="542">
        <v>2000</v>
      </c>
      <c r="O752" s="543">
        <f>VLOOKUP($I752,'Price List, Weapons &amp; Items'!B:G,6,0)</f>
        <v>1475</v>
      </c>
      <c r="P752" s="176">
        <f t="shared" si="152"/>
        <v>2950000</v>
      </c>
      <c r="Q752" s="176">
        <f t="shared" si="153"/>
        <v>2950000</v>
      </c>
      <c r="R752" s="176">
        <f t="shared" si="150"/>
        <v>2950000</v>
      </c>
      <c r="S752" s="176">
        <f>IF(AND(AD752=1,R752&lt;&gt;".")=TRUE,R752/VLOOKUP(G752,'Exchange Rates'!B:C,2,0),IF(R752=".",".",""))</f>
        <v>2809523.8095238092</v>
      </c>
      <c r="T752" s="176">
        <f>IF(AD752=1,IF(AF752="Value is not given at all",".",IF(AF752="Value is given by the source",S752,IF(AF752="Value is calculated with prices",(IF(SUMIFS(Q:Q,A:A,A752)&gt;0,SUMIFS(Q:Q,A:A,A752),"."))/VLOOKUP("USD",'Exchange Rates'!B:C,2,0),"Error with coding"))),"")</f>
        <v>2809523.8095238092</v>
      </c>
      <c r="U752" s="15" t="s">
        <v>261</v>
      </c>
      <c r="V752" s="300" t="s">
        <v>2214</v>
      </c>
      <c r="W752" s="300" t="s">
        <v>2209</v>
      </c>
      <c r="X752" s="300" t="s">
        <v>2210</v>
      </c>
      <c r="Y752" s="218" t="s">
        <v>260</v>
      </c>
      <c r="Z752" s="15">
        <v>0</v>
      </c>
      <c r="AA752" s="180">
        <v>0</v>
      </c>
      <c r="AB752" s="549" t="s">
        <v>2211</v>
      </c>
      <c r="AC752" s="544" t="str">
        <f>""</f>
        <v/>
      </c>
      <c r="AD752" s="181">
        <v>1</v>
      </c>
      <c r="AE752" s="181" t="s">
        <v>332</v>
      </c>
      <c r="AF752" s="181" t="s">
        <v>332</v>
      </c>
      <c r="AG752" s="181">
        <v>1</v>
      </c>
      <c r="AH752" s="181">
        <v>3</v>
      </c>
      <c r="AI752" s="181">
        <v>0</v>
      </c>
      <c r="AJ752" s="181">
        <f>VLOOKUP($I752,'Price List, Weapons &amp; Items'!B:F,5,0)</f>
        <v>0</v>
      </c>
      <c r="AK752" s="181">
        <f t="shared" si="154"/>
        <v>0</v>
      </c>
      <c r="AL752" s="181">
        <f t="shared" si="155"/>
        <v>0</v>
      </c>
      <c r="AM752" s="181">
        <f t="shared" si="156"/>
        <v>0</v>
      </c>
      <c r="AN752" s="180" t="str">
        <f>VLOOKUP($I752,'Price List, Weapons &amp; Items'!B:L,COLUMN('Price List, Weapons &amp; Items'!$J$11)-1,0)</f>
        <v>Military media (incl. websites)</v>
      </c>
      <c r="AO752" s="180" t="str">
        <f>IF(I752=".",".",VLOOKUP($I752,'Price List, Weapons &amp; Items'!B:J,3,0))</f>
        <v>Light Anti-armor Weapon (LAW)</v>
      </c>
      <c r="AP752" s="545" t="e">
        <f t="shared" ca="1" si="151"/>
        <v>#NAME?</v>
      </c>
      <c r="AQ752" s="180">
        <f>VLOOKUP($I752,'Price List, Weapons &amp; Items'!B:L,COLUMN('Price List, Weapons &amp; Items'!$L$11)-1,0)</f>
        <v>2</v>
      </c>
      <c r="AR752" s="180">
        <f t="shared" si="157"/>
        <v>1</v>
      </c>
      <c r="AS752" s="180">
        <f t="shared" si="158"/>
        <v>1</v>
      </c>
      <c r="AT752" s="180">
        <f t="shared" si="147"/>
        <v>1</v>
      </c>
      <c r="AU752" s="180" t="str">
        <f t="shared" si="148"/>
        <v>.</v>
      </c>
      <c r="AV752" s="180" t="str">
        <f t="shared" si="149"/>
        <v>.</v>
      </c>
      <c r="AW752" s="180">
        <f>IFERROR(VLOOKUP(B752,'Share, Heavy Weapons to Ukraine'!B:J,COLUMN('Share, Heavy Weapons to Ukraine'!C765)-1,0),0)</f>
        <v>1</v>
      </c>
      <c r="AX752" s="180">
        <f>VLOOKUP('Bilateral Assistance, MAIN DATA'!B752,'Country Summary'!B:F,COLUMN('Country Summary'!C768)-1,FALSE)</f>
        <v>0</v>
      </c>
      <c r="AY752" s="180" t="str">
        <f>IF(AND(AD752=1,D752="Military",H752&lt;&gt;"Not given")=TRUE,IF(SUMIFS(P:P,A:A,A752)&gt;0,ABS((SUMIFS(P:P,A:A,A752)/VLOOKUP("USD",'Exchange Rates'!B:C,2,0)))/S752,"."),".")</f>
        <v>.</v>
      </c>
      <c r="AZ752" s="182" t="str">
        <f>IF(AND(AD752=1,D752="Military",H752&lt;&gt;"Not given")=TRUE,IF(SUMIFS(P:P,A:A,A752)&gt;0,IF((ABS((SUMIFS(P:P,A:A,A752)/VLOOKUP("USD",'Exchange Rates'!B:C,2,0)))/S752)&gt;1,(SUMIFS(P:P,A:A,A752)-S752)/S752,(S752-SUMIFS(P:P,A:A,A752))/SUMIFS(P:P,A:A,A752)),"."),".")</f>
        <v>.</v>
      </c>
      <c r="BA752" s="182"/>
      <c r="BB752" s="182"/>
      <c r="BC752" s="182"/>
      <c r="BD752" s="182"/>
      <c r="BE752" s="182"/>
      <c r="BF752" s="182"/>
      <c r="BG752" s="182"/>
      <c r="BH752" s="182"/>
      <c r="BI752" s="182"/>
      <c r="BJ752" s="182"/>
      <c r="BK752" s="182"/>
      <c r="BL752" s="182"/>
      <c r="BM752" s="182"/>
      <c r="BN752" s="182"/>
      <c r="BO752" s="182"/>
      <c r="BP752" s="182"/>
      <c r="BQ752" s="182"/>
      <c r="BR752" s="182"/>
      <c r="BS752" s="182"/>
    </row>
    <row r="753" spans="1:71" ht="15.9" customHeight="1" x14ac:dyDescent="0.3">
      <c r="A753" s="5" t="s">
        <v>2215</v>
      </c>
      <c r="B753" s="5" t="s">
        <v>2206</v>
      </c>
      <c r="C753" s="174">
        <v>44671</v>
      </c>
      <c r="D753" s="5" t="s">
        <v>285</v>
      </c>
      <c r="E753" s="5" t="s">
        <v>339</v>
      </c>
      <c r="F753" s="175" t="s">
        <v>2216</v>
      </c>
      <c r="G753" s="15" t="s">
        <v>346</v>
      </c>
      <c r="H753" s="176" t="s">
        <v>341</v>
      </c>
      <c r="I753" s="17" t="s">
        <v>2217</v>
      </c>
      <c r="J753" s="113" t="str">
        <f>VLOOKUP($I753,'Price List, Weapons &amp; Items'!B:C,2,0)</f>
        <v>Heavy weapon</v>
      </c>
      <c r="K753" s="113" t="str">
        <f>IF(I753=".",I753,VLOOKUP($I753,'Price List, Weapons &amp; Items'!B:D,3,0))</f>
        <v>Anti-aircraft surface-to-air missile (SAM) system (point-defense)</v>
      </c>
      <c r="L753" s="177">
        <f>VLOOKUP(I753,'Price List, Weapons &amp; Items'!B:E,4,0)</f>
        <v>0</v>
      </c>
      <c r="M753" s="542" t="s">
        <v>270</v>
      </c>
      <c r="N753" s="542" t="s">
        <v>270</v>
      </c>
      <c r="O753" s="543">
        <f>VLOOKUP($I753,'Price List, Weapons &amp; Items'!B:G,6,0)</f>
        <v>2600000</v>
      </c>
      <c r="P753" s="176" t="str">
        <f t="shared" si="152"/>
        <v>.</v>
      </c>
      <c r="Q753" s="176" t="str">
        <f t="shared" si="153"/>
        <v>.</v>
      </c>
      <c r="R753" s="176">
        <f t="shared" si="150"/>
        <v>69235545.178616971</v>
      </c>
      <c r="S753" s="176">
        <f>IF(AND(AD753=1,R753&lt;&gt;".")=TRUE,R753/VLOOKUP(G753,'Exchange Rates'!B:C,2,0),IF(R753=".",".",""))</f>
        <v>65938614.455825686</v>
      </c>
      <c r="T753" s="176">
        <f>IF(AD753=1,IF(AF753="Value is not given at all",".",IF(AF753="Value is given by the source",S753,IF(AF753="Value is calculated with prices",(IF(SUMIFS(Q:Q,A:A,A753)&gt;0,SUMIFS(Q:Q,A:A,A753),"."))/VLOOKUP("USD",'Exchange Rates'!B:C,2,0),"Error with coding"))),"")</f>
        <v>65938614.455825686</v>
      </c>
      <c r="U753" s="15" t="s">
        <v>261</v>
      </c>
      <c r="V753" s="547" t="s">
        <v>2210</v>
      </c>
      <c r="W753" s="547" t="s">
        <v>2218</v>
      </c>
      <c r="X753" s="188" t="s">
        <v>260</v>
      </c>
      <c r="Y753" s="683" t="s">
        <v>260</v>
      </c>
      <c r="Z753" s="15">
        <v>0</v>
      </c>
      <c r="AA753" s="180">
        <v>0</v>
      </c>
      <c r="AB753" s="184" t="s">
        <v>260</v>
      </c>
      <c r="AC753" s="544" t="str">
        <f>""</f>
        <v/>
      </c>
      <c r="AD753" s="181">
        <v>1</v>
      </c>
      <c r="AE753" s="181" t="s">
        <v>332</v>
      </c>
      <c r="AF753" s="181" t="s">
        <v>332</v>
      </c>
      <c r="AG753" s="181">
        <v>1</v>
      </c>
      <c r="AH753" s="181">
        <v>4</v>
      </c>
      <c r="AI753" s="181">
        <v>0</v>
      </c>
      <c r="AJ753" s="181">
        <f>VLOOKUP($I753,'Price List, Weapons &amp; Items'!B:F,5,0)</f>
        <v>0</v>
      </c>
      <c r="AK753" s="181">
        <f t="shared" si="154"/>
        <v>0</v>
      </c>
      <c r="AL753" s="181">
        <f t="shared" si="155"/>
        <v>0</v>
      </c>
      <c r="AM753" s="181">
        <f t="shared" si="156"/>
        <v>0</v>
      </c>
      <c r="AN753" s="180" t="str">
        <f>VLOOKUP($I753,'Price List, Weapons &amp; Items'!B:L,COLUMN('Price List, Weapons &amp; Items'!$J$11)-1,0)</f>
        <v>Military media (incl. websites)</v>
      </c>
      <c r="AO753" s="180" t="str">
        <f>IF(I753=".",".",VLOOKUP($I753,'Price List, Weapons &amp; Items'!B:J,3,0))</f>
        <v>Anti-aircraft surface-to-air missile (SAM) system (point-defense)</v>
      </c>
      <c r="AP753" s="545" t="e">
        <f t="shared" ca="1" si="151"/>
        <v>#NAME?</v>
      </c>
      <c r="AQ753" s="180" t="str">
        <f>VLOOKUP($I753,'Price List, Weapons &amp; Items'!B:L,COLUMN('Price List, Weapons &amp; Items'!$L$11)-1,0)</f>
        <v>no price, 0 count</v>
      </c>
      <c r="AR753" s="180">
        <f t="shared" si="157"/>
        <v>1</v>
      </c>
      <c r="AS753" s="180">
        <f t="shared" si="158"/>
        <v>1</v>
      </c>
      <c r="AT753" s="180">
        <f t="shared" si="147"/>
        <v>1</v>
      </c>
      <c r="AU753" s="180" t="str">
        <f t="shared" si="148"/>
        <v>.</v>
      </c>
      <c r="AV753" s="180" t="str">
        <f t="shared" si="149"/>
        <v>.</v>
      </c>
      <c r="AW753" s="180">
        <f>IFERROR(VLOOKUP(B753,'Share, Heavy Weapons to Ukraine'!B:J,COLUMN('Share, Heavy Weapons to Ukraine'!C766)-1,0),0)</f>
        <v>1</v>
      </c>
      <c r="AX753" s="180">
        <f>VLOOKUP('Bilateral Assistance, MAIN DATA'!B753,'Country Summary'!B:F,COLUMN('Country Summary'!C769)-1,FALSE)</f>
        <v>0</v>
      </c>
      <c r="AY753" s="180" t="str">
        <f>IF(AND(AD753=1,D753="Military",H753&lt;&gt;"Not given")=TRUE,IF(SUMIFS(P:P,A:A,A753)&gt;0,ABS((SUMIFS(P:P,A:A,A753)/VLOOKUP("USD",'Exchange Rates'!B:C,2,0)))/S753,"."),".")</f>
        <v>.</v>
      </c>
      <c r="AZ753" s="182" t="str">
        <f>IF(AND(AD753=1,D753="Military",H753&lt;&gt;"Not given")=TRUE,IF(SUMIFS(P:P,A:A,A753)&gt;0,IF((ABS((SUMIFS(P:P,A:A,A753)/VLOOKUP("USD",'Exchange Rates'!B:C,2,0)))/S753)&gt;1,(SUMIFS(P:P,A:A,A753)-S753)/S753,(S753-SUMIFS(P:P,A:A,A753))/SUMIFS(P:P,A:A,A753)),"."),".")</f>
        <v>.</v>
      </c>
      <c r="BA753" s="182"/>
      <c r="BB753" s="182"/>
      <c r="BC753" s="182"/>
      <c r="BD753" s="182"/>
      <c r="BE753" s="182"/>
      <c r="BF753" s="182"/>
      <c r="BG753" s="182"/>
      <c r="BH753" s="182"/>
      <c r="BI753" s="182"/>
      <c r="BJ753" s="182"/>
      <c r="BK753" s="182"/>
      <c r="BL753" s="182"/>
      <c r="BM753" s="182"/>
      <c r="BN753" s="182"/>
      <c r="BO753" s="182"/>
      <c r="BP753" s="182"/>
      <c r="BQ753" s="182"/>
      <c r="BR753" s="182"/>
      <c r="BS753" s="182"/>
    </row>
    <row r="754" spans="1:71" ht="15.9" customHeight="1" x14ac:dyDescent="0.3">
      <c r="A754" s="5" t="s">
        <v>2215</v>
      </c>
      <c r="B754" s="5" t="s">
        <v>2206</v>
      </c>
      <c r="C754" s="174">
        <v>44671</v>
      </c>
      <c r="D754" s="5" t="s">
        <v>285</v>
      </c>
      <c r="E754" s="5" t="s">
        <v>339</v>
      </c>
      <c r="F754" s="175" t="s">
        <v>2216</v>
      </c>
      <c r="G754" s="15" t="s">
        <v>346</v>
      </c>
      <c r="H754" s="176" t="s">
        <v>341</v>
      </c>
      <c r="I754" s="17" t="s">
        <v>2219</v>
      </c>
      <c r="J754" s="113" t="str">
        <f>VLOOKUP($I754,'Price List, Weapons &amp; Items'!B:C,2,0)</f>
        <v>Ammunition for heavy weapon</v>
      </c>
      <c r="K754" s="113" t="str">
        <f>IF(I754=".",I754,VLOOKUP($I754,'Price List, Weapons &amp; Items'!B:D,3,0))</f>
        <v>Light Anti-armor Weapon (LAW) ammunition</v>
      </c>
      <c r="L754" s="177">
        <f>VLOOKUP(I754,'Price List, Weapons &amp; Items'!B:E,4,0)</f>
        <v>0</v>
      </c>
      <c r="M754" s="542">
        <v>100</v>
      </c>
      <c r="N754" s="542">
        <v>100</v>
      </c>
      <c r="O754" s="543">
        <f>VLOOKUP($I754,'Price List, Weapons &amp; Items'!B:G,6,0)</f>
        <v>692355.45178616967</v>
      </c>
      <c r="P754" s="176">
        <f t="shared" si="152"/>
        <v>69235545.178616971</v>
      </c>
      <c r="Q754" s="176">
        <f t="shared" si="153"/>
        <v>69235545.178616971</v>
      </c>
      <c r="R754" s="176" t="str">
        <f t="shared" si="150"/>
        <v/>
      </c>
      <c r="S754" s="176" t="str">
        <f>IF(AND(AD754=1,R754&lt;&gt;".")=TRUE,R754/VLOOKUP(G754,'Exchange Rates'!B:C,2,0),IF(R754=".",".",""))</f>
        <v/>
      </c>
      <c r="T754" s="176" t="str">
        <f>IF(AD754=1,IF(AF754="Value is not given at all",".",IF(AF754="Value is given by the source",S754,IF(AF754="Value is calculated with prices",(IF(SUMIFS(Q:Q,A:A,A754)&gt;0,SUMIFS(Q:Q,A:A,A754),"."))/VLOOKUP("USD",'Exchange Rates'!B:C,2,0),"Error with coding"))),"")</f>
        <v/>
      </c>
      <c r="U754" s="15" t="s">
        <v>261</v>
      </c>
      <c r="V754" s="547" t="s">
        <v>2210</v>
      </c>
      <c r="W754" s="547" t="s">
        <v>2218</v>
      </c>
      <c r="X754" s="188" t="s">
        <v>260</v>
      </c>
      <c r="Y754" s="683" t="s">
        <v>260</v>
      </c>
      <c r="Z754" s="15">
        <v>0</v>
      </c>
      <c r="AA754" s="180">
        <v>0</v>
      </c>
      <c r="AB754" s="549" t="s">
        <v>2220</v>
      </c>
      <c r="AC754" s="544" t="str">
        <f>""</f>
        <v/>
      </c>
      <c r="AD754" s="181">
        <v>0</v>
      </c>
      <c r="AE754" s="181" t="s">
        <v>332</v>
      </c>
      <c r="AF754" s="181" t="s">
        <v>332</v>
      </c>
      <c r="AG754" s="181">
        <v>1</v>
      </c>
      <c r="AH754" s="181">
        <v>4</v>
      </c>
      <c r="AI754" s="181">
        <v>0</v>
      </c>
      <c r="AJ754" s="181">
        <f>VLOOKUP($I754,'Price List, Weapons &amp; Items'!B:F,5,0)</f>
        <v>0</v>
      </c>
      <c r="AK754" s="181">
        <f t="shared" si="154"/>
        <v>0</v>
      </c>
      <c r="AL754" s="181">
        <f t="shared" si="155"/>
        <v>0</v>
      </c>
      <c r="AM754" s="181">
        <f t="shared" si="156"/>
        <v>0</v>
      </c>
      <c r="AN754" s="180" t="str">
        <f>VLOOKUP($I754,'Price List, Weapons &amp; Items'!B:L,COLUMN('Price List, Weapons &amp; Items'!$J$11)-1,0)</f>
        <v>Contracts</v>
      </c>
      <c r="AO754" s="180" t="str">
        <f>IF(I754=".",".",VLOOKUP($I754,'Price List, Weapons &amp; Items'!B:J,3,0))</f>
        <v>Light Anti-armor Weapon (LAW) ammunition</v>
      </c>
      <c r="AP754" s="545" t="str">
        <f t="shared" ca="1" si="151"/>
        <v/>
      </c>
      <c r="AQ754" s="180">
        <f>VLOOKUP($I754,'Price List, Weapons &amp; Items'!B:L,COLUMN('Price List, Weapons &amp; Items'!$L$11)-1,0)</f>
        <v>2</v>
      </c>
      <c r="AR754" s="180">
        <f t="shared" si="157"/>
        <v>1</v>
      </c>
      <c r="AS754" s="180">
        <f t="shared" si="158"/>
        <v>1</v>
      </c>
      <c r="AT754" s="180">
        <f t="shared" si="147"/>
        <v>1</v>
      </c>
      <c r="AU754" s="180" t="str">
        <f t="shared" si="148"/>
        <v>.</v>
      </c>
      <c r="AV754" s="180" t="str">
        <f t="shared" si="149"/>
        <v>.</v>
      </c>
      <c r="AW754" s="180">
        <f>IFERROR(VLOOKUP(B754,'Share, Heavy Weapons to Ukraine'!B:J,COLUMN('Share, Heavy Weapons to Ukraine'!C767)-1,0),0)</f>
        <v>1</v>
      </c>
      <c r="AX754" s="180">
        <f>VLOOKUP('Bilateral Assistance, MAIN DATA'!B754,'Country Summary'!B:F,COLUMN('Country Summary'!C770)-1,FALSE)</f>
        <v>0</v>
      </c>
      <c r="AY754" s="180" t="str">
        <f>IF(AND(AD754=1,D754="Military",H754&lt;&gt;"Not given")=TRUE,IF(SUMIFS(P:P,A:A,A754)&gt;0,ABS((SUMIFS(P:P,A:A,A754)/VLOOKUP("USD",'Exchange Rates'!B:C,2,0)))/S754,"."),".")</f>
        <v>.</v>
      </c>
      <c r="AZ754" s="182" t="str">
        <f>IF(AND(AD754=1,D754="Military",H754&lt;&gt;"Not given")=TRUE,IF(SUMIFS(P:P,A:A,A754)&gt;0,IF((ABS((SUMIFS(P:P,A:A,A754)/VLOOKUP("USD",'Exchange Rates'!B:C,2,0)))/S754)&gt;1,(SUMIFS(P:P,A:A,A754)-S754)/S754,(S754-SUMIFS(P:P,A:A,A754))/SUMIFS(P:P,A:A,A754)),"."),".")</f>
        <v>.</v>
      </c>
      <c r="BA754" s="182"/>
      <c r="BB754" s="182"/>
      <c r="BC754" s="182"/>
      <c r="BD754" s="182"/>
      <c r="BE754" s="182"/>
      <c r="BF754" s="182"/>
      <c r="BG754" s="182"/>
      <c r="BH754" s="182"/>
      <c r="BI754" s="182"/>
      <c r="BJ754" s="182"/>
      <c r="BK754" s="182"/>
      <c r="BL754" s="182"/>
      <c r="BM754" s="182"/>
      <c r="BN754" s="182"/>
      <c r="BO754" s="182"/>
      <c r="BP754" s="182"/>
      <c r="BQ754" s="182"/>
      <c r="BR754" s="182"/>
      <c r="BS754" s="182"/>
    </row>
    <row r="755" spans="1:71" ht="15.9" customHeight="1" x14ac:dyDescent="0.3">
      <c r="A755" s="5" t="s">
        <v>2221</v>
      </c>
      <c r="B755" s="5" t="s">
        <v>2206</v>
      </c>
      <c r="C755" s="174" t="s">
        <v>2222</v>
      </c>
      <c r="D755" s="5" t="s">
        <v>285</v>
      </c>
      <c r="E755" s="5" t="s">
        <v>294</v>
      </c>
      <c r="F755" s="175" t="s">
        <v>2223</v>
      </c>
      <c r="G755" s="15" t="s">
        <v>346</v>
      </c>
      <c r="H755" s="176" t="s">
        <v>341</v>
      </c>
      <c r="I755" s="17" t="s">
        <v>499</v>
      </c>
      <c r="J755" s="113" t="str">
        <f>VLOOKUP($I755,'Price List, Weapons &amp; Items'!B:C,2,0)</f>
        <v>Military equipment</v>
      </c>
      <c r="K755" s="113" t="str">
        <f>IF(I755=".",I755,VLOOKUP($I755,'Price List, Weapons &amp; Items'!B:D,3,0))</f>
        <v>Military equipment</v>
      </c>
      <c r="L755" s="177">
        <f>VLOOKUP(I755,'Price List, Weapons &amp; Items'!B:E,4,0)</f>
        <v>0</v>
      </c>
      <c r="M755" s="542">
        <v>1500</v>
      </c>
      <c r="N755" s="542">
        <v>1500</v>
      </c>
      <c r="O755" s="543">
        <f>VLOOKUP($I755,'Price List, Weapons &amp; Items'!B:G,6,0)</f>
        <v>500</v>
      </c>
      <c r="P755" s="176">
        <f t="shared" si="152"/>
        <v>750000</v>
      </c>
      <c r="Q755" s="176">
        <f t="shared" si="153"/>
        <v>750000</v>
      </c>
      <c r="R755" s="176">
        <f t="shared" si="150"/>
        <v>8780400</v>
      </c>
      <c r="S755" s="176">
        <f>IF(AND(AD755=1,R755&lt;&gt;".")=TRUE,R755/VLOOKUP(G755,'Exchange Rates'!B:C,2,0),IF(R755=".",".",""))</f>
        <v>8362285.7142857136</v>
      </c>
      <c r="T755" s="176">
        <f>IF(AD755=1,IF(AF755="Value is not given at all",".",IF(AF755="Value is given by the source",S755,IF(AF755="Value is calculated with prices",(IF(SUMIFS(Q:Q,A:A,A755)&gt;0,SUMIFS(Q:Q,A:A,A755),"."))/VLOOKUP("USD",'Exchange Rates'!B:C,2,0),"Error with coding"))),"")</f>
        <v>8362285.7142857136</v>
      </c>
      <c r="U755" s="15" t="s">
        <v>261</v>
      </c>
      <c r="V755" s="547" t="s">
        <v>2218</v>
      </c>
      <c r="W755" s="547" t="s">
        <v>2224</v>
      </c>
      <c r="X755" s="188" t="s">
        <v>260</v>
      </c>
      <c r="Y755" s="188" t="s">
        <v>260</v>
      </c>
      <c r="Z755" s="15">
        <v>0</v>
      </c>
      <c r="AA755" s="180">
        <v>0</v>
      </c>
      <c r="AB755" s="549" t="s">
        <v>2225</v>
      </c>
      <c r="AC755" s="544" t="str">
        <f>""</f>
        <v/>
      </c>
      <c r="AD755" s="181">
        <v>1</v>
      </c>
      <c r="AE755" s="181" t="s">
        <v>332</v>
      </c>
      <c r="AF755" s="181" t="s">
        <v>332</v>
      </c>
      <c r="AG755" s="181">
        <v>1</v>
      </c>
      <c r="AH755" s="181">
        <v>4</v>
      </c>
      <c r="AI755" s="181">
        <v>0</v>
      </c>
      <c r="AJ755" s="181">
        <f>VLOOKUP($I755,'Price List, Weapons &amp; Items'!B:F,5,0)</f>
        <v>0</v>
      </c>
      <c r="AK755" s="181">
        <f t="shared" si="154"/>
        <v>0</v>
      </c>
      <c r="AL755" s="181">
        <f t="shared" si="155"/>
        <v>0</v>
      </c>
      <c r="AM755" s="181">
        <f t="shared" si="156"/>
        <v>0</v>
      </c>
      <c r="AN755" s="180" t="str">
        <f>VLOOKUP($I755,'Price List, Weapons &amp; Items'!B:L,COLUMN('Price List, Weapons &amp; Items'!$J$11)-1,0)</f>
        <v>Military media (incl. websites)</v>
      </c>
      <c r="AO755" s="180" t="str">
        <f>IF(I755=".",".",VLOOKUP($I755,'Price List, Weapons &amp; Items'!B:J,3,0))</f>
        <v>Military equipment</v>
      </c>
      <c r="AP755" s="545" t="e">
        <f t="shared" ca="1" si="151"/>
        <v>#NAME?</v>
      </c>
      <c r="AQ755" s="180">
        <f>VLOOKUP($I755,'Price List, Weapons &amp; Items'!B:L,COLUMN('Price List, Weapons &amp; Items'!$L$11)-1,0)</f>
        <v>2</v>
      </c>
      <c r="AR755" s="180">
        <f t="shared" si="157"/>
        <v>1</v>
      </c>
      <c r="AS755" s="180">
        <f t="shared" si="158"/>
        <v>1</v>
      </c>
      <c r="AT755" s="180" t="str">
        <f t="shared" si="147"/>
        <v>Value is not in date format</v>
      </c>
      <c r="AU755" s="180" t="str">
        <f t="shared" si="148"/>
        <v>.</v>
      </c>
      <c r="AV755" s="180" t="str">
        <f t="shared" si="149"/>
        <v>.</v>
      </c>
      <c r="AW755" s="180">
        <f>IFERROR(VLOOKUP(B755,'Share, Heavy Weapons to Ukraine'!B:J,COLUMN('Share, Heavy Weapons to Ukraine'!C768)-1,0),0)</f>
        <v>1</v>
      </c>
      <c r="AX755" s="180">
        <f>VLOOKUP('Bilateral Assistance, MAIN DATA'!B755,'Country Summary'!B:F,COLUMN('Country Summary'!C771)-1,FALSE)</f>
        <v>0</v>
      </c>
      <c r="AY755" s="180" t="str">
        <f>IF(AND(AD755=1,D755="Military",H755&lt;&gt;"Not given")=TRUE,IF(SUMIFS(P:P,A:A,A755)&gt;0,ABS((SUMIFS(P:P,A:A,A755)/VLOOKUP("USD",'Exchange Rates'!B:C,2,0)))/S755,"."),".")</f>
        <v>.</v>
      </c>
      <c r="AZ755" s="182" t="str">
        <f>IF(AND(AD755=1,D755="Military",H755&lt;&gt;"Not given")=TRUE,IF(SUMIFS(P:P,A:A,A755)&gt;0,IF((ABS((SUMIFS(P:P,A:A,A755)/VLOOKUP("USD",'Exchange Rates'!B:C,2,0)))/S755)&gt;1,(SUMIFS(P:P,A:A,A755)-S755)/S755,(S755-SUMIFS(P:P,A:A,A755))/SUMIFS(P:P,A:A,A755)),"."),".")</f>
        <v>.</v>
      </c>
      <c r="BA755" s="182"/>
      <c r="BB755" s="182"/>
      <c r="BC755" s="182"/>
      <c r="BD755" s="182"/>
      <c r="BE755" s="182"/>
      <c r="BF755" s="182"/>
      <c r="BG755" s="182"/>
      <c r="BH755" s="182"/>
      <c r="BI755" s="182"/>
      <c r="BJ755" s="182"/>
      <c r="BK755" s="182"/>
      <c r="BL755" s="182"/>
      <c r="BM755" s="182"/>
      <c r="BN755" s="182"/>
      <c r="BO755" s="182"/>
      <c r="BP755" s="182"/>
      <c r="BQ755" s="182"/>
      <c r="BR755" s="182"/>
      <c r="BS755" s="182"/>
    </row>
    <row r="756" spans="1:71" ht="15.9" customHeight="1" x14ac:dyDescent="0.3">
      <c r="A756" s="5" t="s">
        <v>2221</v>
      </c>
      <c r="B756" s="5" t="s">
        <v>2206</v>
      </c>
      <c r="C756" s="174" t="s">
        <v>2222</v>
      </c>
      <c r="D756" s="5" t="s">
        <v>285</v>
      </c>
      <c r="E756" s="5" t="s">
        <v>294</v>
      </c>
      <c r="F756" s="175" t="s">
        <v>2223</v>
      </c>
      <c r="G756" s="15" t="s">
        <v>346</v>
      </c>
      <c r="H756" s="176" t="s">
        <v>341</v>
      </c>
      <c r="I756" s="17" t="s">
        <v>463</v>
      </c>
      <c r="J756" s="113" t="str">
        <f>VLOOKUP($I756,'Price List, Weapons &amp; Items'!B:C,2,0)</f>
        <v>Military equipment</v>
      </c>
      <c r="K756" s="113" t="str">
        <f>IF(I756=".",I756,VLOOKUP($I756,'Price List, Weapons &amp; Items'!B:D,3,0))</f>
        <v>Military equipment</v>
      </c>
      <c r="L756" s="177">
        <f>VLOOKUP(I756,'Price List, Weapons &amp; Items'!B:E,4,0)</f>
        <v>0</v>
      </c>
      <c r="M756" s="542">
        <v>5000</v>
      </c>
      <c r="N756" s="542">
        <v>5000</v>
      </c>
      <c r="O756" s="543">
        <f>VLOOKUP($I756,'Price List, Weapons &amp; Items'!B:G,6,0)</f>
        <v>1400</v>
      </c>
      <c r="P756" s="176">
        <f t="shared" si="152"/>
        <v>7000000</v>
      </c>
      <c r="Q756" s="176">
        <f t="shared" si="153"/>
        <v>7000000</v>
      </c>
      <c r="R756" s="176" t="str">
        <f t="shared" si="150"/>
        <v/>
      </c>
      <c r="S756" s="176" t="str">
        <f>IF(AND(AD756=1,R756&lt;&gt;".")=TRUE,R756/VLOOKUP(G756,'Exchange Rates'!B:C,2,0),IF(R756=".",".",""))</f>
        <v/>
      </c>
      <c r="T756" s="176" t="str">
        <f>IF(AD756=1,IF(AF756="Value is not given at all",".",IF(AF756="Value is given by the source",S756,IF(AF756="Value is calculated with prices",(IF(SUMIFS(Q:Q,A:A,A756)&gt;0,SUMIFS(Q:Q,A:A,A756),"."))/VLOOKUP("USD",'Exchange Rates'!B:C,2,0),"Error with coding"))),"")</f>
        <v/>
      </c>
      <c r="U756" s="15" t="s">
        <v>261</v>
      </c>
      <c r="V756" s="577" t="s">
        <v>2218</v>
      </c>
      <c r="W756" s="577" t="s">
        <v>2224</v>
      </c>
      <c r="X756" s="188" t="s">
        <v>260</v>
      </c>
      <c r="Y756" s="188" t="s">
        <v>260</v>
      </c>
      <c r="Z756" s="15">
        <v>0</v>
      </c>
      <c r="AA756" s="180">
        <v>0</v>
      </c>
      <c r="AB756" s="549" t="s">
        <v>2225</v>
      </c>
      <c r="AC756" s="544" t="str">
        <f>""</f>
        <v/>
      </c>
      <c r="AD756" s="181">
        <v>0</v>
      </c>
      <c r="AE756" s="181" t="s">
        <v>332</v>
      </c>
      <c r="AF756" s="181" t="s">
        <v>332</v>
      </c>
      <c r="AG756" s="181">
        <v>1</v>
      </c>
      <c r="AH756" s="181">
        <v>4</v>
      </c>
      <c r="AI756" s="181">
        <v>0</v>
      </c>
      <c r="AJ756" s="181">
        <f>VLOOKUP($I756,'Price List, Weapons &amp; Items'!B:F,5,0)</f>
        <v>0</v>
      </c>
      <c r="AK756" s="181">
        <f t="shared" si="154"/>
        <v>0</v>
      </c>
      <c r="AL756" s="181">
        <f t="shared" si="155"/>
        <v>0</v>
      </c>
      <c r="AM756" s="181">
        <f t="shared" si="156"/>
        <v>0</v>
      </c>
      <c r="AN756" s="180" t="str">
        <f>VLOOKUP($I756,'Price List, Weapons &amp; Items'!B:L,COLUMN('Price List, Weapons &amp; Items'!$J$11)-1,0)</f>
        <v>Military media (incl. websites)</v>
      </c>
      <c r="AO756" s="180" t="str">
        <f>IF(I756=".",".",VLOOKUP($I756,'Price List, Weapons &amp; Items'!B:J,3,0))</f>
        <v>Military equipment</v>
      </c>
      <c r="AP756" s="545" t="str">
        <f t="shared" ca="1" si="151"/>
        <v/>
      </c>
      <c r="AQ756" s="180">
        <f>VLOOKUP($I756,'Price List, Weapons &amp; Items'!B:L,COLUMN('Price List, Weapons &amp; Items'!$L$11)-1,0)</f>
        <v>2</v>
      </c>
      <c r="AR756" s="180">
        <f t="shared" si="157"/>
        <v>1</v>
      </c>
      <c r="AS756" s="180">
        <f t="shared" si="158"/>
        <v>1</v>
      </c>
      <c r="AT756" s="180" t="str">
        <f t="shared" si="147"/>
        <v>Value is not in date format</v>
      </c>
      <c r="AU756" s="180" t="str">
        <f t="shared" si="148"/>
        <v>.</v>
      </c>
      <c r="AV756" s="180" t="str">
        <f t="shared" si="149"/>
        <v>.</v>
      </c>
      <c r="AW756" s="180">
        <f>IFERROR(VLOOKUP(B756,'Share, Heavy Weapons to Ukraine'!B:J,COLUMN('Share, Heavy Weapons to Ukraine'!C769)-1,0),0)</f>
        <v>1</v>
      </c>
      <c r="AX756" s="180">
        <f>VLOOKUP('Bilateral Assistance, MAIN DATA'!B756,'Country Summary'!B:F,COLUMN('Country Summary'!C772)-1,FALSE)</f>
        <v>0</v>
      </c>
      <c r="AY756" s="180" t="str">
        <f>IF(AND(AD756=1,D756="Military",H756&lt;&gt;"Not given")=TRUE,IF(SUMIFS(P:P,A:A,A756)&gt;0,ABS((SUMIFS(P:P,A:A,A756)/VLOOKUP("USD",'Exchange Rates'!B:C,2,0)))/S756,"."),".")</f>
        <v>.</v>
      </c>
      <c r="AZ756" s="182" t="str">
        <f>IF(AND(AD756=1,D756="Military",H756&lt;&gt;"Not given")=TRUE,IF(SUMIFS(P:P,A:A,A756)&gt;0,IF((ABS((SUMIFS(P:P,A:A,A756)/VLOOKUP("USD",'Exchange Rates'!B:C,2,0)))/S756)&gt;1,(SUMIFS(P:P,A:A,A756)-S756)/S756,(S756-SUMIFS(P:P,A:A,A756))/SUMIFS(P:P,A:A,A756)),"."),".")</f>
        <v>.</v>
      </c>
      <c r="BA756" s="182"/>
      <c r="BB756" s="182"/>
      <c r="BC756" s="182"/>
      <c r="BD756" s="182"/>
      <c r="BE756" s="182"/>
      <c r="BF756" s="182"/>
      <c r="BG756" s="182"/>
      <c r="BH756" s="182"/>
      <c r="BI756" s="182"/>
      <c r="BJ756" s="182"/>
      <c r="BK756" s="182"/>
      <c r="BL756" s="182"/>
      <c r="BM756" s="182"/>
      <c r="BN756" s="182"/>
      <c r="BO756" s="182"/>
      <c r="BP756" s="182"/>
      <c r="BQ756" s="182"/>
      <c r="BR756" s="182"/>
      <c r="BS756" s="182"/>
    </row>
    <row r="757" spans="1:71" ht="15.9" customHeight="1" x14ac:dyDescent="0.3">
      <c r="A757" s="5" t="s">
        <v>2221</v>
      </c>
      <c r="B757" s="5" t="s">
        <v>2206</v>
      </c>
      <c r="C757" s="174" t="s">
        <v>2222</v>
      </c>
      <c r="D757" s="5" t="s">
        <v>285</v>
      </c>
      <c r="E757" s="5" t="s">
        <v>294</v>
      </c>
      <c r="F757" s="175" t="s">
        <v>2223</v>
      </c>
      <c r="G757" s="15" t="s">
        <v>346</v>
      </c>
      <c r="H757" s="176" t="s">
        <v>341</v>
      </c>
      <c r="I757" s="17" t="s">
        <v>1086</v>
      </c>
      <c r="J757" s="113" t="str">
        <f>VLOOKUP($I757,'Price List, Weapons &amp; Items'!B:C,2,0)</f>
        <v>Military equipment</v>
      </c>
      <c r="K757" s="113" t="str">
        <f>IF(I757=".",I757,VLOOKUP($I757,'Price List, Weapons &amp; Items'!B:D,3,0))</f>
        <v>Military equipment</v>
      </c>
      <c r="L757" s="177">
        <f>VLOOKUP(I757,'Price List, Weapons &amp; Items'!B:E,4,0)</f>
        <v>0</v>
      </c>
      <c r="M757" s="542">
        <v>15000</v>
      </c>
      <c r="N757" s="542">
        <v>15000</v>
      </c>
      <c r="O757" s="543">
        <f>VLOOKUP($I757,'Price List, Weapons &amp; Items'!B:G,6,0)</f>
        <v>22</v>
      </c>
      <c r="P757" s="176">
        <f t="shared" si="152"/>
        <v>330000</v>
      </c>
      <c r="Q757" s="176">
        <f t="shared" si="153"/>
        <v>330000</v>
      </c>
      <c r="R757" s="176" t="str">
        <f t="shared" si="150"/>
        <v/>
      </c>
      <c r="S757" s="176" t="str">
        <f>IF(AND(AD757=1,R757&lt;&gt;".")=TRUE,R757/VLOOKUP(G757,'Exchange Rates'!B:C,2,0),IF(R757=".",".",""))</f>
        <v/>
      </c>
      <c r="T757" s="176" t="str">
        <f>IF(AD757=1,IF(AF757="Value is not given at all",".",IF(AF757="Value is given by the source",S757,IF(AF757="Value is calculated with prices",(IF(SUMIFS(Q:Q,A:A,A757)&gt;0,SUMIFS(Q:Q,A:A,A757),"."))/VLOOKUP("USD",'Exchange Rates'!B:C,2,0),"Error with coding"))),"")</f>
        <v/>
      </c>
      <c r="U757" s="15" t="s">
        <v>261</v>
      </c>
      <c r="V757" s="577" t="s">
        <v>2218</v>
      </c>
      <c r="W757" s="577" t="s">
        <v>2224</v>
      </c>
      <c r="X757" s="188" t="s">
        <v>260</v>
      </c>
      <c r="Y757" s="188" t="s">
        <v>260</v>
      </c>
      <c r="Z757" s="15">
        <v>0</v>
      </c>
      <c r="AA757" s="180">
        <v>0</v>
      </c>
      <c r="AB757" s="549" t="s">
        <v>2225</v>
      </c>
      <c r="AC757" s="544" t="str">
        <f>""</f>
        <v/>
      </c>
      <c r="AD757" s="181">
        <v>0</v>
      </c>
      <c r="AE757" s="181" t="s">
        <v>332</v>
      </c>
      <c r="AF757" s="181" t="s">
        <v>332</v>
      </c>
      <c r="AG757" s="181">
        <v>1</v>
      </c>
      <c r="AH757" s="181">
        <v>4</v>
      </c>
      <c r="AI757" s="181">
        <v>0</v>
      </c>
      <c r="AJ757" s="181">
        <f>VLOOKUP($I757,'Price List, Weapons &amp; Items'!B:F,5,0)</f>
        <v>0</v>
      </c>
      <c r="AK757" s="181">
        <f t="shared" si="154"/>
        <v>0</v>
      </c>
      <c r="AL757" s="181">
        <f t="shared" si="155"/>
        <v>0</v>
      </c>
      <c r="AM757" s="181">
        <f t="shared" si="156"/>
        <v>0</v>
      </c>
      <c r="AN757" s="180" t="str">
        <f>VLOOKUP($I757,'Price List, Weapons &amp; Items'!B:L,COLUMN('Price List, Weapons &amp; Items'!$J$11)-1,0)</f>
        <v>Online marketplaces and stores</v>
      </c>
      <c r="AO757" s="180" t="str">
        <f>IF(I757=".",".",VLOOKUP($I757,'Price List, Weapons &amp; Items'!B:J,3,0))</f>
        <v>Military equipment</v>
      </c>
      <c r="AP757" s="545" t="str">
        <f t="shared" ca="1" si="151"/>
        <v/>
      </c>
      <c r="AQ757" s="180">
        <f>VLOOKUP($I757,'Price List, Weapons &amp; Items'!B:L,COLUMN('Price List, Weapons &amp; Items'!$L$11)-1,0)</f>
        <v>2</v>
      </c>
      <c r="AR757" s="180">
        <f t="shared" si="157"/>
        <v>1</v>
      </c>
      <c r="AS757" s="180">
        <f t="shared" si="158"/>
        <v>1</v>
      </c>
      <c r="AT757" s="180" t="str">
        <f t="shared" si="147"/>
        <v>Value is not in date format</v>
      </c>
      <c r="AU757" s="180" t="str">
        <f t="shared" si="148"/>
        <v>.</v>
      </c>
      <c r="AV757" s="180" t="str">
        <f t="shared" si="149"/>
        <v>.</v>
      </c>
      <c r="AW757" s="180">
        <f>IFERROR(VLOOKUP(B757,'Share, Heavy Weapons to Ukraine'!B:J,COLUMN('Share, Heavy Weapons to Ukraine'!C770)-1,0),0)</f>
        <v>1</v>
      </c>
      <c r="AX757" s="180">
        <f>VLOOKUP('Bilateral Assistance, MAIN DATA'!B757,'Country Summary'!B:F,COLUMN('Country Summary'!C773)-1,FALSE)</f>
        <v>0</v>
      </c>
      <c r="AY757" s="180" t="str">
        <f>IF(AND(AD757=1,D757="Military",H757&lt;&gt;"Not given")=TRUE,IF(SUMIFS(P:P,A:A,A757)&gt;0,ABS((SUMIFS(P:P,A:A,A757)/VLOOKUP("USD",'Exchange Rates'!B:C,2,0)))/S757,"."),".")</f>
        <v>.</v>
      </c>
      <c r="AZ757" s="182" t="str">
        <f>IF(AND(AD757=1,D757="Military",H757&lt;&gt;"Not given")=TRUE,IF(SUMIFS(P:P,A:A,A757)&gt;0,IF((ABS((SUMIFS(P:P,A:A,A757)/VLOOKUP("USD",'Exchange Rates'!B:C,2,0)))/S757)&gt;1,(SUMIFS(P:P,A:A,A757)-S757)/S757,(S757-SUMIFS(P:P,A:A,A757))/SUMIFS(P:P,A:A,A757)),"."),".")</f>
        <v>.</v>
      </c>
      <c r="BA757" s="182"/>
      <c r="BB757" s="182"/>
      <c r="BC757" s="182"/>
      <c r="BD757" s="182"/>
      <c r="BE757" s="182"/>
      <c r="BF757" s="182"/>
      <c r="BG757" s="182"/>
      <c r="BH757" s="182"/>
      <c r="BI757" s="182"/>
      <c r="BJ757" s="182"/>
      <c r="BK757" s="182"/>
      <c r="BL757" s="182"/>
      <c r="BM757" s="182"/>
      <c r="BN757" s="182"/>
      <c r="BO757" s="182"/>
      <c r="BP757" s="182"/>
      <c r="BQ757" s="182"/>
      <c r="BR757" s="182"/>
      <c r="BS757" s="182"/>
    </row>
    <row r="758" spans="1:71" ht="15.9" customHeight="1" x14ac:dyDescent="0.3">
      <c r="A758" s="5" t="s">
        <v>2221</v>
      </c>
      <c r="B758" s="5" t="s">
        <v>2206</v>
      </c>
      <c r="C758" s="174" t="s">
        <v>2222</v>
      </c>
      <c r="D758" s="5" t="s">
        <v>285</v>
      </c>
      <c r="E758" s="5" t="s">
        <v>294</v>
      </c>
      <c r="F758" s="175" t="s">
        <v>2223</v>
      </c>
      <c r="G758" s="15" t="s">
        <v>346</v>
      </c>
      <c r="H758" s="176" t="s">
        <v>341</v>
      </c>
      <c r="I758" s="17" t="s">
        <v>1839</v>
      </c>
      <c r="J758" s="113" t="str">
        <f>VLOOKUP($I758,'Price List, Weapons &amp; Items'!B:C,2,0)</f>
        <v>Military equipment</v>
      </c>
      <c r="K758" s="113" t="str">
        <f>IF(I758=".",I758,VLOOKUP($I758,'Price List, Weapons &amp; Items'!B:D,3,0))</f>
        <v>Military equipment</v>
      </c>
      <c r="L758" s="177">
        <f>VLOOKUP(I758,'Price List, Weapons &amp; Items'!B:E,4,0)</f>
        <v>0</v>
      </c>
      <c r="M758" s="542">
        <v>1000</v>
      </c>
      <c r="N758" s="542">
        <v>1000</v>
      </c>
      <c r="O758" s="543">
        <f>VLOOKUP($I758,'Price List, Weapons &amp; Items'!B:G,6,0)</f>
        <v>0.4</v>
      </c>
      <c r="P758" s="176">
        <f t="shared" si="152"/>
        <v>400</v>
      </c>
      <c r="Q758" s="176">
        <f t="shared" si="153"/>
        <v>400</v>
      </c>
      <c r="R758" s="176" t="str">
        <f t="shared" si="150"/>
        <v/>
      </c>
      <c r="S758" s="176" t="str">
        <f>IF(AND(AD758=1,R758&lt;&gt;".")=TRUE,R758/VLOOKUP(G758,'Exchange Rates'!B:C,2,0),IF(R758=".",".",""))</f>
        <v/>
      </c>
      <c r="T758" s="176" t="str">
        <f>IF(AD758=1,IF(AF758="Value is not given at all",".",IF(AF758="Value is given by the source",S758,IF(AF758="Value is calculated with prices",(IF(SUMIFS(Q:Q,A:A,A758)&gt;0,SUMIFS(Q:Q,A:A,A758),"."))/VLOOKUP("USD",'Exchange Rates'!B:C,2,0),"Error with coding"))),"")</f>
        <v/>
      </c>
      <c r="U758" s="15" t="s">
        <v>261</v>
      </c>
      <c r="V758" s="577" t="s">
        <v>2218</v>
      </c>
      <c r="W758" s="577" t="s">
        <v>2224</v>
      </c>
      <c r="X758" s="188" t="s">
        <v>260</v>
      </c>
      <c r="Y758" s="188" t="s">
        <v>260</v>
      </c>
      <c r="Z758" s="15">
        <v>0</v>
      </c>
      <c r="AA758" s="180">
        <v>0</v>
      </c>
      <c r="AB758" s="549" t="s">
        <v>2225</v>
      </c>
      <c r="AC758" s="544" t="str">
        <f>""</f>
        <v/>
      </c>
      <c r="AD758" s="181">
        <v>0</v>
      </c>
      <c r="AE758" s="181" t="s">
        <v>332</v>
      </c>
      <c r="AF758" s="181" t="s">
        <v>332</v>
      </c>
      <c r="AG758" s="181">
        <v>1</v>
      </c>
      <c r="AH758" s="181">
        <v>4</v>
      </c>
      <c r="AI758" s="181">
        <v>0</v>
      </c>
      <c r="AJ758" s="181">
        <f>VLOOKUP($I758,'Price List, Weapons &amp; Items'!B:F,5,0)</f>
        <v>0</v>
      </c>
      <c r="AK758" s="181">
        <f t="shared" si="154"/>
        <v>0</v>
      </c>
      <c r="AL758" s="181">
        <f t="shared" si="155"/>
        <v>0</v>
      </c>
      <c r="AM758" s="181">
        <f t="shared" si="156"/>
        <v>0</v>
      </c>
      <c r="AN758" s="180" t="str">
        <f>VLOOKUP($I758,'Price List, Weapons &amp; Items'!B:L,COLUMN('Price List, Weapons &amp; Items'!$J$11)-1,0)</f>
        <v>Online marketplaces and stores</v>
      </c>
      <c r="AO758" s="180" t="str">
        <f>IF(I758=".",".",VLOOKUP($I758,'Price List, Weapons &amp; Items'!B:J,3,0))</f>
        <v>Military equipment</v>
      </c>
      <c r="AP758" s="545" t="str">
        <f t="shared" ca="1" si="151"/>
        <v/>
      </c>
      <c r="AQ758" s="180">
        <f>VLOOKUP($I758,'Price List, Weapons &amp; Items'!B:L,COLUMN('Price List, Weapons &amp; Items'!$L$11)-1,0)</f>
        <v>1</v>
      </c>
      <c r="AR758" s="180">
        <f t="shared" si="157"/>
        <v>1</v>
      </c>
      <c r="AS758" s="180">
        <f t="shared" si="158"/>
        <v>1</v>
      </c>
      <c r="AT758" s="180" t="str">
        <f t="shared" si="147"/>
        <v>Value is not in date format</v>
      </c>
      <c r="AU758" s="180" t="str">
        <f t="shared" si="148"/>
        <v>.</v>
      </c>
      <c r="AV758" s="180" t="str">
        <f t="shared" si="149"/>
        <v>.</v>
      </c>
      <c r="AW758" s="180">
        <f>IFERROR(VLOOKUP(B758,'Share, Heavy Weapons to Ukraine'!B:J,COLUMN('Share, Heavy Weapons to Ukraine'!C771)-1,0),0)</f>
        <v>1</v>
      </c>
      <c r="AX758" s="180">
        <f>VLOOKUP('Bilateral Assistance, MAIN DATA'!B758,'Country Summary'!B:F,COLUMN('Country Summary'!C774)-1,FALSE)</f>
        <v>0</v>
      </c>
      <c r="AY758" s="180" t="str">
        <f>IF(AND(AD758=1,D758="Military",H758&lt;&gt;"Not given")=TRUE,IF(SUMIFS(P:P,A:A,A758)&gt;0,ABS((SUMIFS(P:P,A:A,A758)/VLOOKUP("USD",'Exchange Rates'!B:C,2,0)))/S758,"."),".")</f>
        <v>.</v>
      </c>
      <c r="AZ758" s="182" t="str">
        <f>IF(AND(AD758=1,D758="Military",H758&lt;&gt;"Not given")=TRUE,IF(SUMIFS(P:P,A:A,A758)&gt;0,IF((ABS((SUMIFS(P:P,A:A,A758)/VLOOKUP("USD",'Exchange Rates'!B:C,2,0)))/S758)&gt;1,(SUMIFS(P:P,A:A,A758)-S758)/S758,(S758-SUMIFS(P:P,A:A,A758))/SUMIFS(P:P,A:A,A758)),"."),".")</f>
        <v>.</v>
      </c>
      <c r="BA758" s="182"/>
      <c r="BB758" s="182"/>
      <c r="BC758" s="182"/>
      <c r="BD758" s="182"/>
      <c r="BE758" s="182"/>
      <c r="BF758" s="182"/>
      <c r="BG758" s="182"/>
      <c r="BH758" s="182"/>
      <c r="BI758" s="182"/>
      <c r="BJ758" s="182"/>
      <c r="BK758" s="182"/>
      <c r="BL758" s="182"/>
      <c r="BM758" s="182"/>
      <c r="BN758" s="182"/>
      <c r="BO758" s="182"/>
      <c r="BP758" s="182"/>
      <c r="BQ758" s="182"/>
      <c r="BR758" s="182"/>
      <c r="BS758" s="182"/>
    </row>
    <row r="759" spans="1:71" ht="15.9" customHeight="1" x14ac:dyDescent="0.3">
      <c r="A759" s="5" t="s">
        <v>2221</v>
      </c>
      <c r="B759" s="5" t="s">
        <v>2206</v>
      </c>
      <c r="C759" s="174" t="s">
        <v>2222</v>
      </c>
      <c r="D759" s="5" t="s">
        <v>285</v>
      </c>
      <c r="E759" s="5" t="s">
        <v>294</v>
      </c>
      <c r="F759" s="175" t="s">
        <v>2223</v>
      </c>
      <c r="G759" s="15" t="s">
        <v>346</v>
      </c>
      <c r="H759" s="176" t="s">
        <v>341</v>
      </c>
      <c r="I759" s="17" t="s">
        <v>354</v>
      </c>
      <c r="J759" s="113" t="str">
        <f>VLOOKUP($I759,'Price List, Weapons &amp; Items'!B:C,2,0)</f>
        <v>Humanitarian</v>
      </c>
      <c r="K759" s="113" t="str">
        <f>IF(I759=".",I759,VLOOKUP($I759,'Price List, Weapons &amp; Items'!B:D,3,0))</f>
        <v>Humanitarian</v>
      </c>
      <c r="L759" s="177">
        <f>VLOOKUP(I759,'Price List, Weapons &amp; Items'!B:E,4,0)</f>
        <v>0</v>
      </c>
      <c r="M759" s="542">
        <v>2000</v>
      </c>
      <c r="N759" s="542">
        <v>2000</v>
      </c>
      <c r="O759" s="543">
        <f>VLOOKUP($I759,'Price List, Weapons &amp; Items'!B:G,6,0)</f>
        <v>150</v>
      </c>
      <c r="P759" s="176">
        <f t="shared" si="152"/>
        <v>300000</v>
      </c>
      <c r="Q759" s="176">
        <f t="shared" si="153"/>
        <v>300000</v>
      </c>
      <c r="R759" s="176" t="str">
        <f t="shared" si="150"/>
        <v/>
      </c>
      <c r="S759" s="176" t="str">
        <f>IF(AND(AD759=1,R759&lt;&gt;".")=TRUE,R759/VLOOKUP(G759,'Exchange Rates'!B:C,2,0),IF(R759=".",".",""))</f>
        <v/>
      </c>
      <c r="T759" s="176" t="str">
        <f>IF(AD759=1,IF(AF759="Value is not given at all",".",IF(AF759="Value is given by the source",S759,IF(AF759="Value is calculated with prices",(IF(SUMIFS(Q:Q,A:A,A759)&gt;0,SUMIFS(Q:Q,A:A,A759),"."))/VLOOKUP("USD",'Exchange Rates'!B:C,2,0),"Error with coding"))),"")</f>
        <v/>
      </c>
      <c r="U759" s="15" t="s">
        <v>261</v>
      </c>
      <c r="V759" s="577" t="s">
        <v>2218</v>
      </c>
      <c r="W759" s="577" t="s">
        <v>2224</v>
      </c>
      <c r="X759" s="188" t="s">
        <v>260</v>
      </c>
      <c r="Y759" s="188" t="s">
        <v>260</v>
      </c>
      <c r="Z759" s="15">
        <v>0</v>
      </c>
      <c r="AA759" s="180">
        <v>0</v>
      </c>
      <c r="AB759" s="549" t="s">
        <v>2225</v>
      </c>
      <c r="AC759" s="544" t="str">
        <f>""</f>
        <v/>
      </c>
      <c r="AD759" s="181">
        <v>0</v>
      </c>
      <c r="AE759" s="181" t="s">
        <v>332</v>
      </c>
      <c r="AF759" s="181" t="s">
        <v>332</v>
      </c>
      <c r="AG759" s="181">
        <v>1</v>
      </c>
      <c r="AH759" s="181">
        <v>4</v>
      </c>
      <c r="AI759" s="181">
        <v>0</v>
      </c>
      <c r="AJ759" s="181">
        <f>VLOOKUP($I759,'Price List, Weapons &amp; Items'!B:F,5,0)</f>
        <v>0</v>
      </c>
      <c r="AK759" s="181">
        <f t="shared" si="154"/>
        <v>0</v>
      </c>
      <c r="AL759" s="181">
        <f t="shared" si="155"/>
        <v>0</v>
      </c>
      <c r="AM759" s="181">
        <f t="shared" si="156"/>
        <v>0</v>
      </c>
      <c r="AN759" s="180" t="str">
        <f>VLOOKUP($I759,'Price List, Weapons &amp; Items'!B:L,COLUMN('Price List, Weapons &amp; Items'!$J$11)-1,0)</f>
        <v>Miscellaneous</v>
      </c>
      <c r="AO759" s="180" t="str">
        <f>IF(I759=".",".",VLOOKUP($I759,'Price List, Weapons &amp; Items'!B:J,3,0))</f>
        <v>Humanitarian</v>
      </c>
      <c r="AP759" s="545" t="str">
        <f t="shared" ca="1" si="151"/>
        <v/>
      </c>
      <c r="AQ759" s="180">
        <f>VLOOKUP($I759,'Price List, Weapons &amp; Items'!B:L,COLUMN('Price List, Weapons &amp; Items'!$L$11)-1,0)</f>
        <v>0</v>
      </c>
      <c r="AR759" s="180">
        <f t="shared" si="157"/>
        <v>1</v>
      </c>
      <c r="AS759" s="180">
        <f t="shared" si="158"/>
        <v>1</v>
      </c>
      <c r="AT759" s="180" t="str">
        <f t="shared" si="147"/>
        <v>Value is not in date format</v>
      </c>
      <c r="AU759" s="180" t="str">
        <f t="shared" si="148"/>
        <v>.</v>
      </c>
      <c r="AV759" s="180" t="str">
        <f t="shared" si="149"/>
        <v>.</v>
      </c>
      <c r="AW759" s="180">
        <f>IFERROR(VLOOKUP(B759,'Share, Heavy Weapons to Ukraine'!B:J,COLUMN('Share, Heavy Weapons to Ukraine'!C772)-1,0),0)</f>
        <v>1</v>
      </c>
      <c r="AX759" s="180">
        <f>VLOOKUP('Bilateral Assistance, MAIN DATA'!B759,'Country Summary'!B:F,COLUMN('Country Summary'!C775)-1,FALSE)</f>
        <v>0</v>
      </c>
      <c r="AY759" s="180" t="str">
        <f>IF(AND(AD759=1,D759="Military",H759&lt;&gt;"Not given")=TRUE,IF(SUMIFS(P:P,A:A,A759)&gt;0,ABS((SUMIFS(P:P,A:A,A759)/VLOOKUP("USD",'Exchange Rates'!B:C,2,0)))/S759,"."),".")</f>
        <v>.</v>
      </c>
      <c r="AZ759" s="182" t="str">
        <f>IF(AND(AD759=1,D759="Military",H759&lt;&gt;"Not given")=TRUE,IF(SUMIFS(P:P,A:A,A759)&gt;0,IF((ABS((SUMIFS(P:P,A:A,A759)/VLOOKUP("USD",'Exchange Rates'!B:C,2,0)))/S759)&gt;1,(SUMIFS(P:P,A:A,A759)-S759)/S759,(S759-SUMIFS(P:P,A:A,A759))/SUMIFS(P:P,A:A,A759)),"."),".")</f>
        <v>.</v>
      </c>
      <c r="BA759" s="182"/>
      <c r="BB759" s="182"/>
      <c r="BC759" s="182"/>
      <c r="BD759" s="182"/>
      <c r="BE759" s="182"/>
      <c r="BF759" s="182"/>
      <c r="BG759" s="182"/>
      <c r="BH759" s="182"/>
      <c r="BI759" s="182"/>
      <c r="BJ759" s="182"/>
      <c r="BK759" s="182"/>
      <c r="BL759" s="182"/>
      <c r="BM759" s="182"/>
      <c r="BN759" s="182"/>
      <c r="BO759" s="182"/>
      <c r="BP759" s="182"/>
      <c r="BQ759" s="182"/>
      <c r="BR759" s="182"/>
      <c r="BS759" s="182"/>
    </row>
    <row r="760" spans="1:71" ht="15.9" customHeight="1" x14ac:dyDescent="0.3">
      <c r="A760" s="5" t="s">
        <v>2221</v>
      </c>
      <c r="B760" s="5" t="s">
        <v>2206</v>
      </c>
      <c r="C760" s="174" t="s">
        <v>2222</v>
      </c>
      <c r="D760" s="5" t="s">
        <v>285</v>
      </c>
      <c r="E760" s="5" t="s">
        <v>294</v>
      </c>
      <c r="F760" s="175" t="s">
        <v>2223</v>
      </c>
      <c r="G760" s="15" t="s">
        <v>346</v>
      </c>
      <c r="H760" s="176" t="s">
        <v>341</v>
      </c>
      <c r="I760" s="17" t="s">
        <v>2226</v>
      </c>
      <c r="J760" s="113" t="str">
        <f>VLOOKUP($I760,'Price List, Weapons &amp; Items'!B:C,2,0)</f>
        <v>Humanitarian</v>
      </c>
      <c r="K760" s="113" t="str">
        <f>IF(I760=".",I760,VLOOKUP($I760,'Price List, Weapons &amp; Items'!B:D,3,0))</f>
        <v>Humanitarian</v>
      </c>
      <c r="L760" s="177">
        <f>VLOOKUP(I760,'Price List, Weapons &amp; Items'!B:E,4,0)</f>
        <v>0</v>
      </c>
      <c r="M760" s="542">
        <v>10000</v>
      </c>
      <c r="N760" s="542">
        <v>10000</v>
      </c>
      <c r="O760" s="543">
        <f>VLOOKUP($I760,'Price List, Weapons &amp; Items'!B:G,6,0)</f>
        <v>40</v>
      </c>
      <c r="P760" s="176">
        <f t="shared" si="152"/>
        <v>400000</v>
      </c>
      <c r="Q760" s="176">
        <f t="shared" si="153"/>
        <v>400000</v>
      </c>
      <c r="R760" s="176" t="str">
        <f t="shared" si="150"/>
        <v/>
      </c>
      <c r="S760" s="176" t="str">
        <f>IF(AND(AD760=1,R760&lt;&gt;".")=TRUE,R760/VLOOKUP(G760,'Exchange Rates'!B:C,2,0),IF(R760=".",".",""))</f>
        <v/>
      </c>
      <c r="T760" s="176" t="str">
        <f>IF(AD760=1,IF(AF760="Value is not given at all",".",IF(AF760="Value is given by the source",S760,IF(AF760="Value is calculated with prices",(IF(SUMIFS(Q:Q,A:A,A760)&gt;0,SUMIFS(Q:Q,A:A,A760),"."))/VLOOKUP("USD",'Exchange Rates'!B:C,2,0),"Error with coding"))),"")</f>
        <v/>
      </c>
      <c r="U760" s="15" t="s">
        <v>261</v>
      </c>
      <c r="V760" s="577" t="s">
        <v>2218</v>
      </c>
      <c r="W760" s="577" t="s">
        <v>2224</v>
      </c>
      <c r="X760" s="188" t="s">
        <v>260</v>
      </c>
      <c r="Y760" s="188" t="s">
        <v>260</v>
      </c>
      <c r="Z760" s="15">
        <v>0</v>
      </c>
      <c r="AA760" s="180">
        <v>0</v>
      </c>
      <c r="AB760" s="549" t="s">
        <v>2225</v>
      </c>
      <c r="AC760" s="544" t="str">
        <f>""</f>
        <v/>
      </c>
      <c r="AD760" s="181">
        <v>0</v>
      </c>
      <c r="AE760" s="181" t="s">
        <v>332</v>
      </c>
      <c r="AF760" s="181" t="s">
        <v>332</v>
      </c>
      <c r="AG760" s="181">
        <v>1</v>
      </c>
      <c r="AH760" s="181">
        <v>4</v>
      </c>
      <c r="AI760" s="181">
        <v>0</v>
      </c>
      <c r="AJ760" s="181">
        <f>VLOOKUP($I760,'Price List, Weapons &amp; Items'!B:F,5,0)</f>
        <v>0</v>
      </c>
      <c r="AK760" s="181">
        <f t="shared" si="154"/>
        <v>0</v>
      </c>
      <c r="AL760" s="181">
        <f t="shared" si="155"/>
        <v>0</v>
      </c>
      <c r="AM760" s="181">
        <f t="shared" si="156"/>
        <v>0</v>
      </c>
      <c r="AN760" s="180" t="str">
        <f>VLOOKUP($I760,'Price List, Weapons &amp; Items'!B:L,COLUMN('Price List, Weapons &amp; Items'!$J$11)-1,0)</f>
        <v>Online marketplaces and stores</v>
      </c>
      <c r="AO760" s="180" t="str">
        <f>IF(I760=".",".",VLOOKUP($I760,'Price List, Weapons &amp; Items'!B:J,3,0))</f>
        <v>Humanitarian</v>
      </c>
      <c r="AP760" s="545" t="str">
        <f t="shared" ca="1" si="151"/>
        <v/>
      </c>
      <c r="AQ760" s="180">
        <f>VLOOKUP($I760,'Price List, Weapons &amp; Items'!B:L,COLUMN('Price List, Weapons &amp; Items'!$L$11)-1,0)</f>
        <v>0</v>
      </c>
      <c r="AR760" s="180">
        <f t="shared" si="157"/>
        <v>1</v>
      </c>
      <c r="AS760" s="180">
        <f t="shared" si="158"/>
        <v>1</v>
      </c>
      <c r="AT760" s="180" t="str">
        <f t="shared" si="147"/>
        <v>Value is not in date format</v>
      </c>
      <c r="AU760" s="180" t="str">
        <f t="shared" si="148"/>
        <v>.</v>
      </c>
      <c r="AV760" s="180" t="str">
        <f t="shared" si="149"/>
        <v>.</v>
      </c>
      <c r="AW760" s="180">
        <f>IFERROR(VLOOKUP(B760,'Share, Heavy Weapons to Ukraine'!B:J,COLUMN('Share, Heavy Weapons to Ukraine'!C773)-1,0),0)</f>
        <v>1</v>
      </c>
      <c r="AX760" s="180">
        <f>VLOOKUP('Bilateral Assistance, MAIN DATA'!B760,'Country Summary'!B:F,COLUMN('Country Summary'!C776)-1,FALSE)</f>
        <v>0</v>
      </c>
      <c r="AY760" s="180" t="str">
        <f>IF(AND(AD760=1,D760="Military",H760&lt;&gt;"Not given")=TRUE,IF(SUMIFS(P:P,A:A,A760)&gt;0,ABS((SUMIFS(P:P,A:A,A760)/VLOOKUP("USD",'Exchange Rates'!B:C,2,0)))/S760,"."),".")</f>
        <v>.</v>
      </c>
      <c r="AZ760" s="182" t="str">
        <f>IF(AND(AD760=1,D760="Military",H760&lt;&gt;"Not given")=TRUE,IF(SUMIFS(P:P,A:A,A760)&gt;0,IF((ABS((SUMIFS(P:P,A:A,A760)/VLOOKUP("USD",'Exchange Rates'!B:C,2,0)))/S760)&gt;1,(SUMIFS(P:P,A:A,A760)-S760)/S760,(S760-SUMIFS(P:P,A:A,A760))/SUMIFS(P:P,A:A,A760)),"."),".")</f>
        <v>.</v>
      </c>
      <c r="BA760" s="182"/>
      <c r="BB760" s="182"/>
      <c r="BC760" s="182"/>
      <c r="BD760" s="182"/>
      <c r="BE760" s="182"/>
      <c r="BF760" s="182"/>
      <c r="BG760" s="182"/>
      <c r="BH760" s="182"/>
      <c r="BI760" s="182"/>
      <c r="BJ760" s="182"/>
      <c r="BK760" s="182"/>
      <c r="BL760" s="182"/>
      <c r="BM760" s="182"/>
      <c r="BN760" s="182"/>
      <c r="BO760" s="182"/>
      <c r="BP760" s="182"/>
      <c r="BQ760" s="182"/>
      <c r="BR760" s="182"/>
      <c r="BS760" s="182"/>
    </row>
    <row r="761" spans="1:71" ht="15.9" customHeight="1" x14ac:dyDescent="0.3">
      <c r="A761" s="5" t="s">
        <v>2221</v>
      </c>
      <c r="B761" s="5" t="s">
        <v>2206</v>
      </c>
      <c r="C761" s="174" t="s">
        <v>2222</v>
      </c>
      <c r="D761" s="5" t="s">
        <v>285</v>
      </c>
      <c r="E761" s="5" t="s">
        <v>294</v>
      </c>
      <c r="F761" s="175" t="s">
        <v>2223</v>
      </c>
      <c r="G761" s="15" t="s">
        <v>346</v>
      </c>
      <c r="H761" s="176" t="s">
        <v>341</v>
      </c>
      <c r="I761" s="17" t="s">
        <v>2227</v>
      </c>
      <c r="J761" s="113" t="str">
        <f>VLOOKUP($I761,'Price List, Weapons &amp; Items'!B:C,2,0)</f>
        <v>Humanitarian</v>
      </c>
      <c r="K761" s="113" t="str">
        <f>IF(I761=".",I761,VLOOKUP($I761,'Price List, Weapons &amp; Items'!B:D,3,0))</f>
        <v>Humanitarian</v>
      </c>
      <c r="L761" s="177">
        <f>VLOOKUP(I761,'Price List, Weapons &amp; Items'!B:E,4,0)</f>
        <v>0</v>
      </c>
      <c r="M761" s="542" t="s">
        <v>270</v>
      </c>
      <c r="N761" s="542" t="s">
        <v>270</v>
      </c>
      <c r="O761" s="543" t="str">
        <f>VLOOKUP($I761,'Price List, Weapons &amp; Items'!B:G,6,0)</f>
        <v>.</v>
      </c>
      <c r="P761" s="176" t="str">
        <f t="shared" si="152"/>
        <v>.</v>
      </c>
      <c r="Q761" s="176" t="str">
        <f t="shared" si="153"/>
        <v>.</v>
      </c>
      <c r="R761" s="176" t="str">
        <f t="shared" si="150"/>
        <v/>
      </c>
      <c r="S761" s="176" t="str">
        <f>IF(AND(AD761=1,R761&lt;&gt;".")=TRUE,R761/VLOOKUP(G761,'Exchange Rates'!B:C,2,0),IF(R761=".",".",""))</f>
        <v/>
      </c>
      <c r="T761" s="176" t="str">
        <f>IF(AD761=1,IF(AF761="Value is not given at all",".",IF(AF761="Value is given by the source",S761,IF(AF761="Value is calculated with prices",(IF(SUMIFS(Q:Q,A:A,A761)&gt;0,SUMIFS(Q:Q,A:A,A761),"."))/VLOOKUP("USD",'Exchange Rates'!B:C,2,0),"Error with coding"))),"")</f>
        <v/>
      </c>
      <c r="U761" s="15" t="s">
        <v>261</v>
      </c>
      <c r="V761" s="577" t="s">
        <v>2218</v>
      </c>
      <c r="W761" s="577" t="s">
        <v>2224</v>
      </c>
      <c r="X761" s="188" t="s">
        <v>260</v>
      </c>
      <c r="Y761" s="188" t="s">
        <v>260</v>
      </c>
      <c r="Z761" s="15">
        <v>0</v>
      </c>
      <c r="AA761" s="180">
        <v>0</v>
      </c>
      <c r="AB761" s="549" t="s">
        <v>2225</v>
      </c>
      <c r="AC761" s="544" t="str">
        <f>""</f>
        <v/>
      </c>
      <c r="AD761" s="181">
        <v>0</v>
      </c>
      <c r="AE761" s="181" t="s">
        <v>332</v>
      </c>
      <c r="AF761" s="181" t="s">
        <v>332</v>
      </c>
      <c r="AG761" s="181">
        <v>1</v>
      </c>
      <c r="AH761" s="181">
        <v>4</v>
      </c>
      <c r="AI761" s="181">
        <v>0</v>
      </c>
      <c r="AJ761" s="181">
        <f>VLOOKUP($I761,'Price List, Weapons &amp; Items'!B:F,5,0)</f>
        <v>0</v>
      </c>
      <c r="AK761" s="181">
        <f t="shared" si="154"/>
        <v>0</v>
      </c>
      <c r="AL761" s="181">
        <f t="shared" si="155"/>
        <v>0</v>
      </c>
      <c r="AM761" s="181">
        <f t="shared" si="156"/>
        <v>0</v>
      </c>
      <c r="AN761" s="180" t="str">
        <f>VLOOKUP($I761,'Price List, Weapons &amp; Items'!B:L,COLUMN('Price List, Weapons &amp; Items'!$J$11)-1,0)</f>
        <v>.</v>
      </c>
      <c r="AO761" s="180" t="str">
        <f>IF(I761=".",".",VLOOKUP($I761,'Price List, Weapons &amp; Items'!B:J,3,0))</f>
        <v>Humanitarian</v>
      </c>
      <c r="AP761" s="545" t="str">
        <f t="shared" ca="1" si="151"/>
        <v/>
      </c>
      <c r="AQ761" s="180">
        <f>VLOOKUP($I761,'Price List, Weapons &amp; Items'!B:L,COLUMN('Price List, Weapons &amp; Items'!$L$11)-1,0)</f>
        <v>0</v>
      </c>
      <c r="AR761" s="180">
        <f t="shared" si="157"/>
        <v>1</v>
      </c>
      <c r="AS761" s="180">
        <f t="shared" si="158"/>
        <v>1</v>
      </c>
      <c r="AT761" s="180" t="str">
        <f t="shared" si="147"/>
        <v>Value is not in date format</v>
      </c>
      <c r="AU761" s="180" t="str">
        <f t="shared" si="148"/>
        <v>.</v>
      </c>
      <c r="AV761" s="180" t="str">
        <f t="shared" si="149"/>
        <v>.</v>
      </c>
      <c r="AW761" s="180">
        <f>IFERROR(VLOOKUP(B761,'Share, Heavy Weapons to Ukraine'!B:J,COLUMN('Share, Heavy Weapons to Ukraine'!C774)-1,0),0)</f>
        <v>1</v>
      </c>
      <c r="AX761" s="180">
        <f>VLOOKUP('Bilateral Assistance, MAIN DATA'!B761,'Country Summary'!B:F,COLUMN('Country Summary'!C777)-1,FALSE)</f>
        <v>0</v>
      </c>
      <c r="AY761" s="180" t="str">
        <f>IF(AND(AD761=1,D761="Military",H761&lt;&gt;"Not given")=TRUE,IF(SUMIFS(P:P,A:A,A761)&gt;0,ABS((SUMIFS(P:P,A:A,A761)/VLOOKUP("USD",'Exchange Rates'!B:C,2,0)))/S761,"."),".")</f>
        <v>.</v>
      </c>
      <c r="AZ761" s="182" t="str">
        <f>IF(AND(AD761=1,D761="Military",H761&lt;&gt;"Not given")=TRUE,IF(SUMIFS(P:P,A:A,A761)&gt;0,IF((ABS((SUMIFS(P:P,A:A,A761)/VLOOKUP("USD",'Exchange Rates'!B:C,2,0)))/S761)&gt;1,(SUMIFS(P:P,A:A,A761)-S761)/S761,(S761-SUMIFS(P:P,A:A,A761))/SUMIFS(P:P,A:A,A761)),"."),".")</f>
        <v>.</v>
      </c>
      <c r="BA761" s="182"/>
      <c r="BB761" s="182"/>
      <c r="BC761" s="182"/>
      <c r="BD761" s="182"/>
      <c r="BE761" s="182"/>
      <c r="BF761" s="182"/>
      <c r="BG761" s="182"/>
      <c r="BH761" s="182"/>
      <c r="BI761" s="182"/>
      <c r="BJ761" s="182"/>
      <c r="BK761" s="182"/>
      <c r="BL761" s="182"/>
      <c r="BM761" s="182"/>
      <c r="BN761" s="182"/>
      <c r="BO761" s="182"/>
      <c r="BP761" s="182"/>
      <c r="BQ761" s="182"/>
      <c r="BR761" s="182"/>
      <c r="BS761" s="182"/>
    </row>
    <row r="762" spans="1:71" ht="15.9" customHeight="1" x14ac:dyDescent="0.3">
      <c r="A762" s="17" t="s">
        <v>2228</v>
      </c>
      <c r="B762" s="17" t="s">
        <v>2206</v>
      </c>
      <c r="C762" s="174" t="s">
        <v>2222</v>
      </c>
      <c r="D762" s="5" t="s">
        <v>285</v>
      </c>
      <c r="E762" s="5" t="s">
        <v>2229</v>
      </c>
      <c r="F762" s="175" t="s">
        <v>2230</v>
      </c>
      <c r="G762" s="15" t="s">
        <v>2231</v>
      </c>
      <c r="H762" s="176">
        <v>400000000</v>
      </c>
      <c r="I762" s="184" t="s">
        <v>260</v>
      </c>
      <c r="J762" s="113" t="str">
        <f>VLOOKUP($I762,'Price List, Weapons &amp; Items'!B:C,2,0)</f>
        <v>.</v>
      </c>
      <c r="K762" s="113" t="str">
        <f>IF(I762=".",I762,VLOOKUP($I762,'Price List, Weapons &amp; Items'!B:D,3,0))</f>
        <v>.</v>
      </c>
      <c r="L762" s="177">
        <f>VLOOKUP(I762,'Price List, Weapons &amp; Items'!B:E,4,0)</f>
        <v>0</v>
      </c>
      <c r="M762" s="542" t="s">
        <v>260</v>
      </c>
      <c r="N762" s="542" t="s">
        <v>260</v>
      </c>
      <c r="O762" s="543" t="str">
        <f>VLOOKUP($I762,'Price List, Weapons &amp; Items'!B:G,6,0)</f>
        <v>.</v>
      </c>
      <c r="P762" s="176" t="str">
        <f t="shared" si="152"/>
        <v>.</v>
      </c>
      <c r="Q762" s="176" t="str">
        <f t="shared" si="153"/>
        <v>.</v>
      </c>
      <c r="R762" s="176">
        <f t="shared" si="150"/>
        <v>400000000</v>
      </c>
      <c r="S762" s="176">
        <f>IF(AND(AD762=1,R762&lt;&gt;".")=TRUE,R762/VLOOKUP(G762,'Exchange Rates'!B:C,2,0),IF(R762=".",".",""))</f>
        <v>38456731.370117195</v>
      </c>
      <c r="T762" s="176" t="str">
        <f>IF(AD762=1,IF(AF762="Value is not given at all",".",IF(AF762="Value is given by the source",S762,IF(AF762="Value is calculated with prices",(IF(SUMIFS(Q:Q,A:A,A762)&gt;0,SUMIFS(Q:Q,A:A,A762),"."))/VLOOKUP("USD",'Exchange Rates'!B:C,2,0),"Error with coding"))),"")</f>
        <v>.</v>
      </c>
      <c r="U762" s="15" t="s">
        <v>261</v>
      </c>
      <c r="V762" s="300" t="s">
        <v>2218</v>
      </c>
      <c r="W762" s="300" t="s">
        <v>2209</v>
      </c>
      <c r="X762" s="175" t="s">
        <v>260</v>
      </c>
      <c r="Y762" s="175" t="s">
        <v>260</v>
      </c>
      <c r="Z762" s="15">
        <v>0</v>
      </c>
      <c r="AA762" s="180">
        <v>0</v>
      </c>
      <c r="AB762" s="184" t="s">
        <v>260</v>
      </c>
      <c r="AC762" s="544" t="str">
        <f>""</f>
        <v/>
      </c>
      <c r="AD762" s="181">
        <v>1</v>
      </c>
      <c r="AE762" s="181" t="s">
        <v>264</v>
      </c>
      <c r="AF762" s="181" t="s">
        <v>265</v>
      </c>
      <c r="AG762" s="181">
        <v>1</v>
      </c>
      <c r="AH762" s="181">
        <v>4</v>
      </c>
      <c r="AI762" s="181">
        <v>0</v>
      </c>
      <c r="AJ762" s="181">
        <f>VLOOKUP($I762,'Price List, Weapons &amp; Items'!B:F,5,0)</f>
        <v>0</v>
      </c>
      <c r="AK762" s="181">
        <f t="shared" si="154"/>
        <v>0</v>
      </c>
      <c r="AL762" s="181">
        <f t="shared" si="155"/>
        <v>0</v>
      </c>
      <c r="AM762" s="181">
        <f t="shared" si="156"/>
        <v>0</v>
      </c>
      <c r="AN762" s="180" t="str">
        <f>VLOOKUP($I762,'Price List, Weapons &amp; Items'!B:L,COLUMN('Price List, Weapons &amp; Items'!$J$11)-1,0)</f>
        <v>.</v>
      </c>
      <c r="AO762" s="180" t="str">
        <f>IF(I762=".",".",VLOOKUP($I762,'Price List, Weapons &amp; Items'!B:J,3,0))</f>
        <v>.</v>
      </c>
      <c r="AP762" s="545" t="e">
        <f t="shared" ca="1" si="151"/>
        <v>#NAME?</v>
      </c>
      <c r="AQ762" s="180" t="str">
        <f>VLOOKUP($I762,'Price List, Weapons &amp; Items'!B:L,COLUMN('Price List, Weapons &amp; Items'!$L$11)-1,0)</f>
        <v>no price, 0 count</v>
      </c>
      <c r="AR762" s="180">
        <f t="shared" si="157"/>
        <v>1</v>
      </c>
      <c r="AS762" s="180">
        <f t="shared" si="158"/>
        <v>0</v>
      </c>
      <c r="AT762" s="180" t="str">
        <f t="shared" si="147"/>
        <v>Value is not in date format</v>
      </c>
      <c r="AU762" s="180" t="str">
        <f t="shared" si="148"/>
        <v>.</v>
      </c>
      <c r="AV762" s="180" t="str">
        <f t="shared" si="149"/>
        <v>.</v>
      </c>
      <c r="AW762" s="180">
        <f>IFERROR(VLOOKUP(B762,'Share, Heavy Weapons to Ukraine'!B:J,COLUMN('Share, Heavy Weapons to Ukraine'!C775)-1,0),0)</f>
        <v>1</v>
      </c>
      <c r="AX762" s="180">
        <f>VLOOKUP('Bilateral Assistance, MAIN DATA'!B762,'Country Summary'!B:F,COLUMN('Country Summary'!C778)-1,FALSE)</f>
        <v>0</v>
      </c>
      <c r="AY762" s="180" t="str">
        <f>IF(AND(AD762=1,D762="Military",H762&lt;&gt;"Not given")=TRUE,IF(SUMIFS(P:P,A:A,A762)&gt;0,ABS((SUMIFS(P:P,A:A,A762)/VLOOKUP("USD",'Exchange Rates'!B:C,2,0)))/S762,"."),".")</f>
        <v>.</v>
      </c>
      <c r="AZ762" s="182" t="str">
        <f>IF(AND(AD762=1,D762="Military",H762&lt;&gt;"Not given")=TRUE,IF(SUMIFS(P:P,A:A,A762)&gt;0,IF((ABS((SUMIFS(P:P,A:A,A762)/VLOOKUP("USD",'Exchange Rates'!B:C,2,0)))/S762)&gt;1,(SUMIFS(P:P,A:A,A762)-S762)/S762,(S762-SUMIFS(P:P,A:A,A762))/SUMIFS(P:P,A:A,A762)),"."),".")</f>
        <v>.</v>
      </c>
      <c r="BA762" s="182"/>
      <c r="BB762" s="182"/>
      <c r="BC762" s="182"/>
      <c r="BD762" s="182"/>
      <c r="BE762" s="182"/>
      <c r="BF762" s="182"/>
      <c r="BG762" s="182"/>
      <c r="BH762" s="182"/>
      <c r="BI762" s="182"/>
      <c r="BJ762" s="182"/>
      <c r="BK762" s="182"/>
      <c r="BL762" s="182"/>
      <c r="BM762" s="182"/>
      <c r="BN762" s="182"/>
      <c r="BO762" s="182"/>
      <c r="BP762" s="182"/>
      <c r="BQ762" s="182"/>
      <c r="BR762" s="182"/>
      <c r="BS762" s="182"/>
    </row>
    <row r="763" spans="1:71" ht="15.9" customHeight="1" x14ac:dyDescent="0.3">
      <c r="A763" s="5" t="s">
        <v>2232</v>
      </c>
      <c r="B763" s="5" t="s">
        <v>2206</v>
      </c>
      <c r="C763" s="174" t="s">
        <v>938</v>
      </c>
      <c r="D763" s="5" t="s">
        <v>285</v>
      </c>
      <c r="E763" s="5" t="s">
        <v>286</v>
      </c>
      <c r="F763" s="175" t="s">
        <v>2233</v>
      </c>
      <c r="G763" s="15" t="s">
        <v>346</v>
      </c>
      <c r="H763" s="176" t="s">
        <v>341</v>
      </c>
      <c r="I763" s="184" t="s">
        <v>1788</v>
      </c>
      <c r="J763" s="113" t="str">
        <f>VLOOKUP($I763,'Price List, Weapons &amp; Items'!B:C,2,0)</f>
        <v>Heavy weapon</v>
      </c>
      <c r="K763" s="113" t="str">
        <f>IF(I763=".",I763,VLOOKUP($I763,'Price List, Weapons &amp; Items'!B:D,3,0))</f>
        <v>155mm howitzer</v>
      </c>
      <c r="L763" s="177">
        <f>VLOOKUP(I763,'Price List, Weapons &amp; Items'!B:E,4,0)</f>
        <v>0</v>
      </c>
      <c r="M763" s="542">
        <v>23</v>
      </c>
      <c r="N763" s="542">
        <v>23</v>
      </c>
      <c r="O763" s="543">
        <f>VLOOKUP($I763,'Price List, Weapons &amp; Items'!B:G,6,0)</f>
        <v>1734787.30789614</v>
      </c>
      <c r="P763" s="176">
        <f t="shared" si="152"/>
        <v>39900108.081611224</v>
      </c>
      <c r="Q763" s="176">
        <f t="shared" si="153"/>
        <v>39900108.081611224</v>
      </c>
      <c r="R763" s="176">
        <f t="shared" si="150"/>
        <v>68480619.121611223</v>
      </c>
      <c r="S763" s="176">
        <f>IF(AND(AD763=1,R763&lt;&gt;".")=TRUE,R763/VLOOKUP(G763,'Exchange Rates'!B:C,2,0),IF(R763=".",".",""))</f>
        <v>65219637.258677348</v>
      </c>
      <c r="T763" s="176">
        <f>IF(AD763=1,IF(AF763="Value is not given at all",".",IF(AF763="Value is given by the source",S763,IF(AF763="Value is calculated with prices",(IF(SUMIFS(Q:Q,A:A,A763)&gt;0,SUMIFS(Q:Q,A:A,A763),"."))/VLOOKUP("USD",'Exchange Rates'!B:C,2,0),"Error with coding"))),"")</f>
        <v>65219637.258677348</v>
      </c>
      <c r="U763" s="15" t="s">
        <v>261</v>
      </c>
      <c r="V763" s="547" t="s">
        <v>2234</v>
      </c>
      <c r="W763" s="547" t="s">
        <v>2235</v>
      </c>
      <c r="X763" s="547" t="s">
        <v>2236</v>
      </c>
      <c r="Y763" s="529" t="s">
        <v>260</v>
      </c>
      <c r="Z763" s="15">
        <v>0</v>
      </c>
      <c r="AA763" s="180">
        <v>0</v>
      </c>
      <c r="AB763" s="549" t="s">
        <v>2237</v>
      </c>
      <c r="AC763" s="544" t="str">
        <f>""</f>
        <v/>
      </c>
      <c r="AD763" s="181">
        <v>1</v>
      </c>
      <c r="AE763" s="181" t="s">
        <v>332</v>
      </c>
      <c r="AF763" s="181" t="s">
        <v>332</v>
      </c>
      <c r="AG763" s="181">
        <v>1</v>
      </c>
      <c r="AH763" s="181">
        <v>6</v>
      </c>
      <c r="AI763" s="181">
        <v>0</v>
      </c>
      <c r="AJ763" s="181">
        <f>VLOOKUP($I763,'Price List, Weapons &amp; Items'!B:F,5,0)</f>
        <v>1</v>
      </c>
      <c r="AK763" s="181">
        <f t="shared" si="154"/>
        <v>0</v>
      </c>
      <c r="AL763" s="181">
        <f t="shared" si="155"/>
        <v>0</v>
      </c>
      <c r="AM763" s="181">
        <f t="shared" si="156"/>
        <v>0</v>
      </c>
      <c r="AN763" s="180" t="str">
        <f>VLOOKUP($I763,'Price List, Weapons &amp; Items'!B:L,COLUMN('Price List, Weapons &amp; Items'!$J$11)-1,0)</f>
        <v>Contracts</v>
      </c>
      <c r="AO763" s="180" t="str">
        <f>IF(I763=".",".",VLOOKUP($I763,'Price List, Weapons &amp; Items'!B:J,3,0))</f>
        <v>155mm howitzer</v>
      </c>
      <c r="AP763" s="545" t="e">
        <f t="shared" ca="1" si="151"/>
        <v>#NAME?</v>
      </c>
      <c r="AQ763" s="180">
        <f>VLOOKUP($I763,'Price List, Weapons &amp; Items'!B:L,COLUMN('Price List, Weapons &amp; Items'!$L$11)-1,0)</f>
        <v>2</v>
      </c>
      <c r="AR763" s="180">
        <f t="shared" si="157"/>
        <v>1</v>
      </c>
      <c r="AS763" s="180">
        <f t="shared" si="158"/>
        <v>1</v>
      </c>
      <c r="AT763" s="180" t="str">
        <f t="shared" si="147"/>
        <v>Value is not in date format</v>
      </c>
      <c r="AU763" s="180" t="str">
        <f t="shared" si="148"/>
        <v>.</v>
      </c>
      <c r="AV763" s="180" t="str">
        <f t="shared" si="149"/>
        <v>.</v>
      </c>
      <c r="AW763" s="180">
        <f>IFERROR(VLOOKUP(B763,'Share, Heavy Weapons to Ukraine'!B:J,COLUMN('Share, Heavy Weapons to Ukraine'!C776)-1,0),0)</f>
        <v>1</v>
      </c>
      <c r="AX763" s="180">
        <f>VLOOKUP('Bilateral Assistance, MAIN DATA'!B763,'Country Summary'!B:F,COLUMN('Country Summary'!C779)-1,FALSE)</f>
        <v>0</v>
      </c>
      <c r="AY763" s="180" t="str">
        <f>IF(AND(AD763=1,D763="Military",H763&lt;&gt;"Not given")=TRUE,IF(SUMIFS(P:P,A:A,A763)&gt;0,ABS((SUMIFS(P:P,A:A,A763)/VLOOKUP("USD",'Exchange Rates'!B:C,2,0)))/S763,"."),".")</f>
        <v>.</v>
      </c>
      <c r="AZ763" s="182" t="str">
        <f>IF(AND(AD763=1,D763="Military",H763&lt;&gt;"Not given")=TRUE,IF(SUMIFS(P:P,A:A,A763)&gt;0,IF((ABS((SUMIFS(P:P,A:A,A763)/VLOOKUP("USD",'Exchange Rates'!B:C,2,0)))/S763)&gt;1,(SUMIFS(P:P,A:A,A763)-S763)/S763,(S763-SUMIFS(P:P,A:A,A763))/SUMIFS(P:P,A:A,A763)),"."),".")</f>
        <v>.</v>
      </c>
      <c r="BA763" s="182"/>
      <c r="BB763" s="182"/>
      <c r="BC763" s="182"/>
      <c r="BD763" s="182"/>
      <c r="BE763" s="182"/>
      <c r="BF763" s="182"/>
      <c r="BG763" s="182"/>
      <c r="BH763" s="182"/>
      <c r="BI763" s="182"/>
      <c r="BJ763" s="182"/>
      <c r="BK763" s="182"/>
      <c r="BL763" s="182"/>
      <c r="BM763" s="182"/>
      <c r="BN763" s="182"/>
      <c r="BO763" s="182"/>
      <c r="BP763" s="182"/>
      <c r="BQ763" s="182"/>
      <c r="BR763" s="182"/>
      <c r="BS763" s="182"/>
    </row>
    <row r="764" spans="1:71" ht="15.9" customHeight="1" x14ac:dyDescent="0.3">
      <c r="A764" s="5" t="s">
        <v>2232</v>
      </c>
      <c r="B764" s="5" t="s">
        <v>2206</v>
      </c>
      <c r="C764" s="174" t="s">
        <v>938</v>
      </c>
      <c r="D764" s="5" t="s">
        <v>285</v>
      </c>
      <c r="E764" s="5" t="s">
        <v>286</v>
      </c>
      <c r="F764" s="175" t="s">
        <v>2233</v>
      </c>
      <c r="G764" s="15" t="s">
        <v>346</v>
      </c>
      <c r="H764" s="176" t="s">
        <v>341</v>
      </c>
      <c r="I764" s="184" t="s">
        <v>2238</v>
      </c>
      <c r="J764" s="113" t="str">
        <f>VLOOKUP($I764,'Price List, Weapons &amp; Items'!B:C,2,0)</f>
        <v>Ammunition for heavy weapon</v>
      </c>
      <c r="K764" s="113" t="str">
        <f>IF(I764=".",I764,VLOOKUP($I764,'Price List, Weapons &amp; Items'!B:D,3,0))</f>
        <v>155mm howitzer ammunition</v>
      </c>
      <c r="L764" s="177">
        <f>VLOOKUP(I764,'Price List, Weapons &amp; Items'!B:E,4,0)</f>
        <v>0</v>
      </c>
      <c r="M764" s="542" t="s">
        <v>270</v>
      </c>
      <c r="N764" s="542" t="s">
        <v>270</v>
      </c>
      <c r="O764" s="543" t="str">
        <f>VLOOKUP($I764,'Price List, Weapons &amp; Items'!B:G,6,0)</f>
        <v>.</v>
      </c>
      <c r="P764" s="176" t="str">
        <f t="shared" si="152"/>
        <v>.</v>
      </c>
      <c r="Q764" s="176" t="str">
        <f t="shared" si="153"/>
        <v>.</v>
      </c>
      <c r="R764" s="176" t="str">
        <f t="shared" si="150"/>
        <v/>
      </c>
      <c r="S764" s="176" t="str">
        <f>IF(AND(AD764=1,R764&lt;&gt;".")=TRUE,R764/VLOOKUP(G764,'Exchange Rates'!B:C,2,0),IF(R764=".",".",""))</f>
        <v/>
      </c>
      <c r="T764" s="176" t="str">
        <f>IF(AD764=1,IF(AF764="Value is not given at all",".",IF(AF764="Value is given by the source",S764,IF(AF764="Value is calculated with prices",(IF(SUMIFS(Q:Q,A:A,A764)&gt;0,SUMIFS(Q:Q,A:A,A764),"."))/VLOOKUP("USD",'Exchange Rates'!B:C,2,0),"Error with coding"))),"")</f>
        <v/>
      </c>
      <c r="U764" s="15" t="s">
        <v>261</v>
      </c>
      <c r="V764" s="547" t="s">
        <v>2234</v>
      </c>
      <c r="W764" s="547" t="s">
        <v>2235</v>
      </c>
      <c r="X764" s="547" t="s">
        <v>2236</v>
      </c>
      <c r="Y764" s="529" t="s">
        <v>260</v>
      </c>
      <c r="Z764" s="15">
        <v>0</v>
      </c>
      <c r="AA764" s="180">
        <v>0</v>
      </c>
      <c r="AB764" s="549" t="s">
        <v>2237</v>
      </c>
      <c r="AC764" s="544" t="str">
        <f>""</f>
        <v/>
      </c>
      <c r="AD764" s="181">
        <v>0</v>
      </c>
      <c r="AE764" s="181" t="s">
        <v>332</v>
      </c>
      <c r="AF764" s="181" t="s">
        <v>332</v>
      </c>
      <c r="AG764" s="181">
        <v>1</v>
      </c>
      <c r="AH764" s="181">
        <v>6</v>
      </c>
      <c r="AI764" s="181">
        <v>0</v>
      </c>
      <c r="AJ764" s="181">
        <f>VLOOKUP($I764,'Price List, Weapons &amp; Items'!B:F,5,0)</f>
        <v>1</v>
      </c>
      <c r="AK764" s="181">
        <f t="shared" si="154"/>
        <v>1</v>
      </c>
      <c r="AL764" s="181">
        <f t="shared" si="155"/>
        <v>1</v>
      </c>
      <c r="AM764" s="181">
        <f t="shared" si="156"/>
        <v>0</v>
      </c>
      <c r="AN764" s="180" t="str">
        <f>VLOOKUP($I764,'Price List, Weapons &amp; Items'!B:L,COLUMN('Price List, Weapons &amp; Items'!$J$11)-1,0)</f>
        <v>.</v>
      </c>
      <c r="AO764" s="180" t="str">
        <f>IF(I764=".",".",VLOOKUP($I764,'Price List, Weapons &amp; Items'!B:J,3,0))</f>
        <v>155mm howitzer ammunition</v>
      </c>
      <c r="AP764" s="545" t="str">
        <f t="shared" ca="1" si="151"/>
        <v/>
      </c>
      <c r="AQ764" s="180" t="str">
        <f>VLOOKUP($I764,'Price List, Weapons &amp; Items'!B:L,COLUMN('Price List, Weapons &amp; Items'!$L$11)-1,0)</f>
        <v>no price, 0 count</v>
      </c>
      <c r="AR764" s="180">
        <f t="shared" si="157"/>
        <v>1</v>
      </c>
      <c r="AS764" s="180">
        <f t="shared" si="158"/>
        <v>1</v>
      </c>
      <c r="AT764" s="180" t="str">
        <f t="shared" si="147"/>
        <v>Value is not in date format</v>
      </c>
      <c r="AU764" s="180" t="str">
        <f t="shared" si="148"/>
        <v>.</v>
      </c>
      <c r="AV764" s="180" t="str">
        <f t="shared" si="149"/>
        <v>.</v>
      </c>
      <c r="AW764" s="180">
        <f>IFERROR(VLOOKUP(B764,'Share, Heavy Weapons to Ukraine'!B:J,COLUMN('Share, Heavy Weapons to Ukraine'!C777)-1,0),0)</f>
        <v>1</v>
      </c>
      <c r="AX764" s="180">
        <f>VLOOKUP('Bilateral Assistance, MAIN DATA'!B764,'Country Summary'!B:F,COLUMN('Country Summary'!C780)-1,FALSE)</f>
        <v>0</v>
      </c>
      <c r="AY764" s="180" t="str">
        <f>IF(AND(AD764=1,D764="Military",H764&lt;&gt;"Not given")=TRUE,IF(SUMIFS(P:P,A:A,A764)&gt;0,ABS((SUMIFS(P:P,A:A,A764)/VLOOKUP("USD",'Exchange Rates'!B:C,2,0)))/S764,"."),".")</f>
        <v>.</v>
      </c>
      <c r="AZ764" s="182" t="str">
        <f>IF(AND(AD764=1,D764="Military",H764&lt;&gt;"Not given")=TRUE,IF(SUMIFS(P:P,A:A,A764)&gt;0,IF((ABS((SUMIFS(P:P,A:A,A764)/VLOOKUP("USD",'Exchange Rates'!B:C,2,0)))/S764)&gt;1,(SUMIFS(P:P,A:A,A764)-S764)/S764,(S764-SUMIFS(P:P,A:A,A764))/SUMIFS(P:P,A:A,A764)),"."),".")</f>
        <v>.</v>
      </c>
      <c r="BA764" s="182"/>
      <c r="BB764" s="182"/>
      <c r="BC764" s="182"/>
      <c r="BD764" s="182"/>
      <c r="BE764" s="182"/>
      <c r="BF764" s="182"/>
      <c r="BG764" s="182"/>
      <c r="BH764" s="182"/>
      <c r="BI764" s="182"/>
      <c r="BJ764" s="182"/>
      <c r="BK764" s="182"/>
      <c r="BL764" s="182"/>
      <c r="BM764" s="182"/>
      <c r="BN764" s="182"/>
      <c r="BO764" s="182"/>
      <c r="BP764" s="182"/>
      <c r="BQ764" s="182"/>
      <c r="BR764" s="182"/>
      <c r="BS764" s="182"/>
    </row>
    <row r="765" spans="1:71" ht="15.9" customHeight="1" x14ac:dyDescent="0.3">
      <c r="A765" s="5" t="s">
        <v>2232</v>
      </c>
      <c r="B765" s="5" t="s">
        <v>2206</v>
      </c>
      <c r="C765" s="174" t="s">
        <v>938</v>
      </c>
      <c r="D765" s="5" t="s">
        <v>285</v>
      </c>
      <c r="E765" s="5" t="s">
        <v>286</v>
      </c>
      <c r="F765" s="175" t="s">
        <v>2233</v>
      </c>
      <c r="G765" s="15" t="s">
        <v>346</v>
      </c>
      <c r="H765" s="176" t="s">
        <v>341</v>
      </c>
      <c r="I765" s="184" t="s">
        <v>2239</v>
      </c>
      <c r="J765" s="113" t="str">
        <f>VLOOKUP($I765,'Price List, Weapons &amp; Items'!B:C,2,0)</f>
        <v>Military equipment</v>
      </c>
      <c r="K765" s="113" t="str">
        <f>IF(I765=".",I765,VLOOKUP($I765,'Price List, Weapons &amp; Items'!B:D,3,0))</f>
        <v>155mm howitzer ammunition</v>
      </c>
      <c r="L765" s="177">
        <f>VLOOKUP(I765,'Price List, Weapons &amp; Items'!B:E,4,0)</f>
        <v>0</v>
      </c>
      <c r="M765" s="542" t="s">
        <v>270</v>
      </c>
      <c r="N765" s="542" t="s">
        <v>270</v>
      </c>
      <c r="O765" s="543" t="str">
        <f>VLOOKUP($I765,'Price List, Weapons &amp; Items'!B:G,6,0)</f>
        <v>.</v>
      </c>
      <c r="P765" s="176" t="str">
        <f t="shared" si="152"/>
        <v>.</v>
      </c>
      <c r="Q765" s="176" t="str">
        <f t="shared" si="153"/>
        <v>.</v>
      </c>
      <c r="R765" s="176" t="str">
        <f t="shared" si="150"/>
        <v/>
      </c>
      <c r="S765" s="176" t="str">
        <f>IF(AND(AD765=1,R765&lt;&gt;".")=TRUE,R765/VLOOKUP(G765,'Exchange Rates'!B:C,2,0),IF(R765=".",".",""))</f>
        <v/>
      </c>
      <c r="T765" s="176" t="str">
        <f>IF(AD765=1,IF(AF765="Value is not given at all",".",IF(AF765="Value is given by the source",S765,IF(AF765="Value is calculated with prices",(IF(SUMIFS(Q:Q,A:A,A765)&gt;0,SUMIFS(Q:Q,A:A,A765),"."))/VLOOKUP("USD",'Exchange Rates'!B:C,2,0),"Error with coding"))),"")</f>
        <v/>
      </c>
      <c r="U765" s="15" t="s">
        <v>261</v>
      </c>
      <c r="V765" s="547" t="s">
        <v>2234</v>
      </c>
      <c r="W765" s="547" t="s">
        <v>2235</v>
      </c>
      <c r="X765" s="547" t="s">
        <v>2236</v>
      </c>
      <c r="Y765" s="529" t="s">
        <v>260</v>
      </c>
      <c r="Z765" s="15">
        <v>0</v>
      </c>
      <c r="AA765" s="180">
        <v>0</v>
      </c>
      <c r="AB765" s="549" t="s">
        <v>2237</v>
      </c>
      <c r="AC765" s="544" t="str">
        <f>""</f>
        <v/>
      </c>
      <c r="AD765" s="181">
        <v>0</v>
      </c>
      <c r="AE765" s="181" t="s">
        <v>332</v>
      </c>
      <c r="AF765" s="181" t="s">
        <v>332</v>
      </c>
      <c r="AG765" s="181">
        <v>1</v>
      </c>
      <c r="AH765" s="181">
        <v>6</v>
      </c>
      <c r="AI765" s="181">
        <v>0</v>
      </c>
      <c r="AJ765" s="181">
        <f>VLOOKUP($I765,'Price List, Weapons &amp; Items'!B:F,5,0)</f>
        <v>1</v>
      </c>
      <c r="AK765" s="181">
        <f t="shared" si="154"/>
        <v>1</v>
      </c>
      <c r="AL765" s="181">
        <f t="shared" si="155"/>
        <v>1</v>
      </c>
      <c r="AM765" s="181">
        <f t="shared" si="156"/>
        <v>0</v>
      </c>
      <c r="AN765" s="180" t="str">
        <f>VLOOKUP($I765,'Price List, Weapons &amp; Items'!B:L,COLUMN('Price List, Weapons &amp; Items'!$J$11)-1,0)</f>
        <v>.</v>
      </c>
      <c r="AO765" s="180" t="str">
        <f>IF(I765=".",".",VLOOKUP($I765,'Price List, Weapons &amp; Items'!B:J,3,0))</f>
        <v>155mm howitzer ammunition</v>
      </c>
      <c r="AP765" s="545" t="str">
        <f t="shared" ca="1" si="151"/>
        <v/>
      </c>
      <c r="AQ765" s="180" t="str">
        <f>VLOOKUP($I765,'Price List, Weapons &amp; Items'!B:L,COLUMN('Price List, Weapons &amp; Items'!$L$11)-1,0)</f>
        <v>no price, 0 count</v>
      </c>
      <c r="AR765" s="180">
        <f t="shared" si="157"/>
        <v>1</v>
      </c>
      <c r="AS765" s="180">
        <f t="shared" si="158"/>
        <v>1</v>
      </c>
      <c r="AT765" s="180" t="str">
        <f t="shared" ref="AT765:AT828" si="159">IFERROR(IF(VALUE(TEXT(C765,"mm"))=AH765,".",IF(TEXT(C765,"mm")="01",".",1)),"Value is not in date format")</f>
        <v>Value is not in date format</v>
      </c>
      <c r="AU765" s="180" t="str">
        <f t="shared" si="148"/>
        <v>.</v>
      </c>
      <c r="AV765" s="180" t="str">
        <f t="shared" si="149"/>
        <v>.</v>
      </c>
      <c r="AW765" s="180">
        <f>IFERROR(VLOOKUP(B765,'Share, Heavy Weapons to Ukraine'!B:J,COLUMN('Share, Heavy Weapons to Ukraine'!C778)-1,0),0)</f>
        <v>1</v>
      </c>
      <c r="AX765" s="180">
        <f>VLOOKUP('Bilateral Assistance, MAIN DATA'!B765,'Country Summary'!B:F,COLUMN('Country Summary'!C781)-1,FALSE)</f>
        <v>0</v>
      </c>
      <c r="AY765" s="180" t="str">
        <f>IF(AND(AD765=1,D765="Military",H765&lt;&gt;"Not given")=TRUE,IF(SUMIFS(P:P,A:A,A765)&gt;0,ABS((SUMIFS(P:P,A:A,A765)/VLOOKUP("USD",'Exchange Rates'!B:C,2,0)))/S765,"."),".")</f>
        <v>.</v>
      </c>
      <c r="AZ765" s="182" t="str">
        <f>IF(AND(AD765=1,D765="Military",H765&lt;&gt;"Not given")=TRUE,IF(SUMIFS(P:P,A:A,A765)&gt;0,IF((ABS((SUMIFS(P:P,A:A,A765)/VLOOKUP("USD",'Exchange Rates'!B:C,2,0)))/S765)&gt;1,(SUMIFS(P:P,A:A,A765)-S765)/S765,(S765-SUMIFS(P:P,A:A,A765))/SUMIFS(P:P,A:A,A765)),"."),".")</f>
        <v>.</v>
      </c>
      <c r="BA765" s="182"/>
      <c r="BB765" s="182"/>
      <c r="BC765" s="182"/>
      <c r="BD765" s="182"/>
      <c r="BE765" s="182"/>
      <c r="BF765" s="182"/>
      <c r="BG765" s="182"/>
      <c r="BH765" s="182"/>
      <c r="BI765" s="182"/>
      <c r="BJ765" s="182"/>
      <c r="BK765" s="182"/>
      <c r="BL765" s="182"/>
      <c r="BM765" s="182"/>
      <c r="BN765" s="182"/>
      <c r="BO765" s="182"/>
      <c r="BP765" s="182"/>
      <c r="BQ765" s="182"/>
      <c r="BR765" s="182"/>
      <c r="BS765" s="182"/>
    </row>
    <row r="766" spans="1:71" ht="15.9" customHeight="1" x14ac:dyDescent="0.3">
      <c r="A766" s="5" t="s">
        <v>2232</v>
      </c>
      <c r="B766" s="5" t="s">
        <v>2206</v>
      </c>
      <c r="C766" s="174" t="s">
        <v>938</v>
      </c>
      <c r="D766" s="5" t="s">
        <v>285</v>
      </c>
      <c r="E766" s="5" t="s">
        <v>286</v>
      </c>
      <c r="F766" s="175" t="s">
        <v>2233</v>
      </c>
      <c r="G766" s="15" t="s">
        <v>346</v>
      </c>
      <c r="H766" s="176" t="s">
        <v>341</v>
      </c>
      <c r="I766" s="185" t="s">
        <v>624</v>
      </c>
      <c r="J766" s="113" t="str">
        <f>VLOOKUP($I766,'Price List, Weapons &amp; Items'!B:C,2,0)</f>
        <v>Ammunition for heavy weapon</v>
      </c>
      <c r="K766" s="113" t="str">
        <f>IF(I766=".",I766,VLOOKUP($I766,'Price List, Weapons &amp; Items'!B:D,3,0))</f>
        <v>155mm howitzer ammunition</v>
      </c>
      <c r="L766" s="177">
        <f>VLOOKUP(I766,'Price List, Weapons &amp; Items'!B:E,4,0)</f>
        <v>0</v>
      </c>
      <c r="M766" s="542">
        <v>5000</v>
      </c>
      <c r="N766" s="542">
        <v>5000</v>
      </c>
      <c r="O766" s="543">
        <f>VLOOKUP($I766,'Price List, Weapons &amp; Items'!B:G,6,0)</f>
        <v>3800</v>
      </c>
      <c r="P766" s="176">
        <f t="shared" si="152"/>
        <v>19000000</v>
      </c>
      <c r="Q766" s="176">
        <f t="shared" si="153"/>
        <v>19000000</v>
      </c>
      <c r="R766" s="176" t="str">
        <f t="shared" si="150"/>
        <v/>
      </c>
      <c r="S766" s="176" t="str">
        <f>IF(AND(AD766=1,R766&lt;&gt;".")=TRUE,R766/VLOOKUP(G766,'Exchange Rates'!B:C,2,0),IF(R766=".",".",""))</f>
        <v/>
      </c>
      <c r="T766" s="176" t="str">
        <f>IF(AD766=1,IF(AF766="Value is not given at all",".",IF(AF766="Value is given by the source",S766,IF(AF766="Value is calculated with prices",(IF(SUMIFS(Q:Q,A:A,A766)&gt;0,SUMIFS(Q:Q,A:A,A766),"."))/VLOOKUP("USD",'Exchange Rates'!B:C,2,0),"Error with coding"))),"")</f>
        <v/>
      </c>
      <c r="U766" s="15" t="s">
        <v>261</v>
      </c>
      <c r="V766" s="547" t="s">
        <v>2234</v>
      </c>
      <c r="W766" s="547" t="s">
        <v>2235</v>
      </c>
      <c r="X766" s="547" t="s">
        <v>2236</v>
      </c>
      <c r="Y766" s="529" t="s">
        <v>260</v>
      </c>
      <c r="Z766" s="15">
        <v>0</v>
      </c>
      <c r="AA766" s="180">
        <v>0</v>
      </c>
      <c r="AB766" s="549" t="s">
        <v>2237</v>
      </c>
      <c r="AC766" s="544" t="str">
        <f>""</f>
        <v/>
      </c>
      <c r="AD766" s="181">
        <v>0</v>
      </c>
      <c r="AE766" s="181" t="s">
        <v>332</v>
      </c>
      <c r="AF766" s="181" t="s">
        <v>332</v>
      </c>
      <c r="AG766" s="181">
        <v>1</v>
      </c>
      <c r="AH766" s="181">
        <v>6</v>
      </c>
      <c r="AI766" s="181">
        <v>0</v>
      </c>
      <c r="AJ766" s="181">
        <f>VLOOKUP($I766,'Price List, Weapons &amp; Items'!B:F,5,0)</f>
        <v>1</v>
      </c>
      <c r="AK766" s="181">
        <f t="shared" si="154"/>
        <v>0</v>
      </c>
      <c r="AL766" s="181">
        <f t="shared" si="155"/>
        <v>0</v>
      </c>
      <c r="AM766" s="181">
        <f t="shared" si="156"/>
        <v>1</v>
      </c>
      <c r="AN766" s="180" t="str">
        <f>VLOOKUP($I766,'Price List, Weapons &amp; Items'!B:L,COLUMN('Price List, Weapons &amp; Items'!$J$11)-1,0)</f>
        <v>Government information</v>
      </c>
      <c r="AO766" s="180" t="str">
        <f>IF(I766=".",".",VLOOKUP($I766,'Price List, Weapons &amp; Items'!B:J,3,0))</f>
        <v>155mm howitzer ammunition</v>
      </c>
      <c r="AP766" s="545" t="str">
        <f t="shared" ca="1" si="151"/>
        <v/>
      </c>
      <c r="AQ766" s="180">
        <f>VLOOKUP($I766,'Price List, Weapons &amp; Items'!B:L,COLUMN('Price List, Weapons &amp; Items'!$L$11)-1,0)</f>
        <v>2</v>
      </c>
      <c r="AR766" s="180">
        <f t="shared" si="157"/>
        <v>1</v>
      </c>
      <c r="AS766" s="180">
        <f t="shared" si="158"/>
        <v>1</v>
      </c>
      <c r="AT766" s="180" t="str">
        <f t="shared" si="159"/>
        <v>Value is not in date format</v>
      </c>
      <c r="AU766" s="180" t="str">
        <f t="shared" si="148"/>
        <v>.</v>
      </c>
      <c r="AV766" s="180" t="str">
        <f t="shared" si="149"/>
        <v>.</v>
      </c>
      <c r="AW766" s="180">
        <f>IFERROR(VLOOKUP(B766,'Share, Heavy Weapons to Ukraine'!B:J,COLUMN('Share, Heavy Weapons to Ukraine'!C779)-1,0),0)</f>
        <v>1</v>
      </c>
      <c r="AX766" s="180">
        <f>VLOOKUP('Bilateral Assistance, MAIN DATA'!B766,'Country Summary'!B:F,COLUMN('Country Summary'!C782)-1,FALSE)</f>
        <v>0</v>
      </c>
      <c r="AY766" s="180" t="str">
        <f>IF(AND(AD766=1,D766="Military",H766&lt;&gt;"Not given")=TRUE,IF(SUMIFS(P:P,A:A,A766)&gt;0,ABS((SUMIFS(P:P,A:A,A766)/VLOOKUP("USD",'Exchange Rates'!B:C,2,0)))/S766,"."),".")</f>
        <v>.</v>
      </c>
      <c r="AZ766" s="182" t="str">
        <f>IF(AND(AD766=1,D766="Military",H766&lt;&gt;"Not given")=TRUE,IF(SUMIFS(P:P,A:A,A766)&gt;0,IF((ABS((SUMIFS(P:P,A:A,A766)/VLOOKUP("USD",'Exchange Rates'!B:C,2,0)))/S766)&gt;1,(SUMIFS(P:P,A:A,A766)-S766)/S766,(S766-SUMIFS(P:P,A:A,A766))/SUMIFS(P:P,A:A,A766)),"."),".")</f>
        <v>.</v>
      </c>
      <c r="BA766" s="182"/>
      <c r="BB766" s="182"/>
      <c r="BC766" s="182"/>
      <c r="BD766" s="182"/>
      <c r="BE766" s="182"/>
      <c r="BF766" s="182"/>
      <c r="BG766" s="182"/>
      <c r="BH766" s="182"/>
      <c r="BI766" s="182"/>
      <c r="BJ766" s="182"/>
      <c r="BK766" s="182"/>
      <c r="BL766" s="182"/>
      <c r="BM766" s="182"/>
      <c r="BN766" s="182"/>
      <c r="BO766" s="182"/>
      <c r="BP766" s="182"/>
      <c r="BQ766" s="182"/>
      <c r="BR766" s="182"/>
      <c r="BS766" s="182"/>
    </row>
    <row r="767" spans="1:71" ht="15.9" customHeight="1" x14ac:dyDescent="0.3">
      <c r="A767" s="5" t="s">
        <v>2232</v>
      </c>
      <c r="B767" s="5" t="s">
        <v>2206</v>
      </c>
      <c r="C767" s="174" t="s">
        <v>2240</v>
      </c>
      <c r="D767" s="5" t="s">
        <v>285</v>
      </c>
      <c r="E767" s="5" t="s">
        <v>286</v>
      </c>
      <c r="F767" s="175" t="s">
        <v>2233</v>
      </c>
      <c r="G767" s="15" t="s">
        <v>346</v>
      </c>
      <c r="H767" s="176" t="s">
        <v>341</v>
      </c>
      <c r="I767" s="185" t="s">
        <v>2241</v>
      </c>
      <c r="J767" s="113" t="str">
        <f>VLOOKUP($I767,'Price List, Weapons &amp; Items'!B:C,2,0)</f>
        <v>Heavy weapon</v>
      </c>
      <c r="K767" s="113" t="str">
        <f>IF(I767=".",I767,VLOOKUP($I767,'Price List, Weapons &amp; Items'!B:D,3,0))</f>
        <v>227mm MLRS</v>
      </c>
      <c r="L767" s="177">
        <f>VLOOKUP(I767,'Price List, Weapons &amp; Items'!B:E,4,0)</f>
        <v>0</v>
      </c>
      <c r="M767" s="542">
        <v>3</v>
      </c>
      <c r="N767" s="542">
        <v>3</v>
      </c>
      <c r="O767" s="543">
        <f>VLOOKUP($I767,'Price List, Weapons &amp; Items'!B:G,6,0)</f>
        <v>3193503.68</v>
      </c>
      <c r="P767" s="176">
        <f t="shared" si="152"/>
        <v>9580511.040000001</v>
      </c>
      <c r="Q767" s="176">
        <f t="shared" si="153"/>
        <v>9580511.040000001</v>
      </c>
      <c r="R767" s="176" t="str">
        <f t="shared" si="150"/>
        <v/>
      </c>
      <c r="S767" s="176" t="str">
        <f>IF(AND(AD767=1,R767&lt;&gt;".")=TRUE,R767/VLOOKUP(G767,'Exchange Rates'!B:C,2,0),IF(R767=".",".",""))</f>
        <v/>
      </c>
      <c r="T767" s="176" t="str">
        <f>IF(AD767=1,IF(AF767="Value is not given at all",".",IF(AF767="Value is given by the source",S767,IF(AF767="Value is calculated with prices",(IF(SUMIFS(Q:Q,A:A,A767)&gt;0,SUMIFS(Q:Q,A:A,A767),"."))/VLOOKUP("USD",'Exchange Rates'!B:C,2,0),"Error with coding"))),"")</f>
        <v/>
      </c>
      <c r="U767" s="15" t="s">
        <v>261</v>
      </c>
      <c r="V767" s="547" t="s">
        <v>2234</v>
      </c>
      <c r="W767" s="547" t="s">
        <v>2235</v>
      </c>
      <c r="X767" s="547" t="s">
        <v>2236</v>
      </c>
      <c r="Y767" s="529" t="s">
        <v>260</v>
      </c>
      <c r="Z767" s="15">
        <v>0</v>
      </c>
      <c r="AA767" s="180">
        <v>0</v>
      </c>
      <c r="AB767" s="549" t="s">
        <v>2237</v>
      </c>
      <c r="AC767" s="544" t="str">
        <f>""</f>
        <v/>
      </c>
      <c r="AD767" s="181">
        <v>0</v>
      </c>
      <c r="AE767" s="181" t="s">
        <v>332</v>
      </c>
      <c r="AF767" s="181" t="s">
        <v>332</v>
      </c>
      <c r="AG767" s="181">
        <v>1</v>
      </c>
      <c r="AH767" s="181">
        <v>6</v>
      </c>
      <c r="AI767" s="181">
        <v>0</v>
      </c>
      <c r="AJ767" s="181">
        <f>VLOOKUP($I767,'Price List, Weapons &amp; Items'!B:F,5,0)</f>
        <v>1</v>
      </c>
      <c r="AK767" s="181">
        <f t="shared" si="154"/>
        <v>0</v>
      </c>
      <c r="AL767" s="181">
        <f t="shared" si="155"/>
        <v>0</v>
      </c>
      <c r="AM767" s="181">
        <f t="shared" si="156"/>
        <v>0</v>
      </c>
      <c r="AN767" s="180" t="str">
        <f>VLOOKUP($I767,'Price List, Weapons &amp; Items'!B:L,COLUMN('Price List, Weapons &amp; Items'!$J$11)-1,0)</f>
        <v>Contracts</v>
      </c>
      <c r="AO767" s="180" t="str">
        <f>IF(I767=".",".",VLOOKUP($I767,'Price List, Weapons &amp; Items'!B:J,3,0))</f>
        <v>227mm MLRS</v>
      </c>
      <c r="AP767" s="545" t="str">
        <f t="shared" ca="1" si="151"/>
        <v/>
      </c>
      <c r="AQ767" s="180">
        <f>VLOOKUP($I767,'Price List, Weapons &amp; Items'!B:L,COLUMN('Price List, Weapons &amp; Items'!$L$11)-1,0)</f>
        <v>2</v>
      </c>
      <c r="AR767" s="180">
        <f t="shared" si="157"/>
        <v>1</v>
      </c>
      <c r="AS767" s="180">
        <f t="shared" si="158"/>
        <v>1</v>
      </c>
      <c r="AT767" s="180" t="str">
        <f t="shared" si="159"/>
        <v>Value is not in date format</v>
      </c>
      <c r="AU767" s="180" t="str">
        <f t="shared" ref="AU767:AU830" si="160">IF(AND(A767=A766,C767=C766)=TRUE,IF(F767=F766,".","1"),".")</f>
        <v>.</v>
      </c>
      <c r="AV767" s="180" t="str">
        <f t="shared" ref="AV767:AV830" si="161">IF(T767&lt;&gt;".",IF(T767&gt;S767,1,"."),".")</f>
        <v>.</v>
      </c>
      <c r="AW767" s="180">
        <f>IFERROR(VLOOKUP(B767,'Share, Heavy Weapons to Ukraine'!B:J,COLUMN('Share, Heavy Weapons to Ukraine'!C780)-1,0),0)</f>
        <v>1</v>
      </c>
      <c r="AX767" s="180">
        <f>VLOOKUP('Bilateral Assistance, MAIN DATA'!B767,'Country Summary'!B:F,COLUMN('Country Summary'!C783)-1,FALSE)</f>
        <v>0</v>
      </c>
      <c r="AY767" s="180" t="str">
        <f>IF(AND(AD767=1,D767="Military",H767&lt;&gt;"Not given")=TRUE,IF(SUMIFS(P:P,A:A,A767)&gt;0,ABS((SUMIFS(P:P,A:A,A767)/VLOOKUP("USD",'Exchange Rates'!B:C,2,0)))/S767,"."),".")</f>
        <v>.</v>
      </c>
      <c r="AZ767" s="182" t="str">
        <f>IF(AND(AD767=1,D767="Military",H767&lt;&gt;"Not given")=TRUE,IF(SUMIFS(P:P,A:A,A767)&gt;0,IF((ABS((SUMIFS(P:P,A:A,A767)/VLOOKUP("USD",'Exchange Rates'!B:C,2,0)))/S767)&gt;1,(SUMIFS(P:P,A:A,A767)-S767)/S767,(S767-SUMIFS(P:P,A:A,A767))/SUMIFS(P:P,A:A,A767)),"."),".")</f>
        <v>.</v>
      </c>
      <c r="BA767" s="182"/>
      <c r="BB767" s="182"/>
      <c r="BC767" s="182"/>
      <c r="BD767" s="182"/>
      <c r="BE767" s="182"/>
      <c r="BF767" s="182"/>
      <c r="BG767" s="182"/>
      <c r="BH767" s="182"/>
      <c r="BI767" s="182"/>
      <c r="BJ767" s="182"/>
      <c r="BK767" s="182"/>
      <c r="BL767" s="182"/>
      <c r="BM767" s="182"/>
      <c r="BN767" s="182"/>
      <c r="BO767" s="182"/>
      <c r="BP767" s="182"/>
      <c r="BQ767" s="182"/>
      <c r="BR767" s="182"/>
      <c r="BS767" s="182"/>
    </row>
    <row r="768" spans="1:71" ht="15.9" customHeight="1" x14ac:dyDescent="0.3">
      <c r="A768" s="17" t="s">
        <v>2242</v>
      </c>
      <c r="B768" s="17" t="s">
        <v>2206</v>
      </c>
      <c r="C768" s="174">
        <v>44741</v>
      </c>
      <c r="D768" s="5" t="s">
        <v>285</v>
      </c>
      <c r="E768" s="5" t="s">
        <v>286</v>
      </c>
      <c r="F768" s="175" t="s">
        <v>2243</v>
      </c>
      <c r="G768" s="15" t="s">
        <v>346</v>
      </c>
      <c r="H768" s="176" t="s">
        <v>341</v>
      </c>
      <c r="I768" s="17" t="s">
        <v>624</v>
      </c>
      <c r="J768" s="113" t="str">
        <f>VLOOKUP($I768,'Price List, Weapons &amp; Items'!B:C,2,0)</f>
        <v>Ammunition for heavy weapon</v>
      </c>
      <c r="K768" s="113" t="str">
        <f>IF(I768=".",I768,VLOOKUP($I768,'Price List, Weapons &amp; Items'!B:D,3,0))</f>
        <v>155mm howitzer ammunition</v>
      </c>
      <c r="L768" s="177">
        <f>VLOOKUP(I768,'Price List, Weapons &amp; Items'!B:E,4,0)</f>
        <v>0</v>
      </c>
      <c r="M768" s="542">
        <v>5000</v>
      </c>
      <c r="N768" s="542" t="s">
        <v>270</v>
      </c>
      <c r="O768" s="543">
        <f>VLOOKUP($I768,'Price List, Weapons &amp; Items'!B:G,6,0)</f>
        <v>3800</v>
      </c>
      <c r="P768" s="176">
        <f t="shared" si="152"/>
        <v>19000000</v>
      </c>
      <c r="Q768" s="176" t="str">
        <f t="shared" si="153"/>
        <v>.</v>
      </c>
      <c r="R768" s="176">
        <f t="shared" si="150"/>
        <v>19000000</v>
      </c>
      <c r="S768" s="176">
        <f>IF(AND(AD768=1,R768&lt;&gt;".")=TRUE,R768/VLOOKUP(G768,'Exchange Rates'!B:C,2,0),IF(R768=".",".",""))</f>
        <v>18095238.095238093</v>
      </c>
      <c r="T768" s="176" t="str">
        <f>IF(AD768=1,IF(AF768="Value is not given at all",".",IF(AF768="Value is given by the source",S768,IF(AF768="Value is calculated with prices",(IF(SUMIFS(Q:Q,A:A,A768)&gt;0,SUMIFS(Q:Q,A:A,A768),"."))/VLOOKUP("USD",'Exchange Rates'!B:C,2,0),"Error with coding"))),"")</f>
        <v>.</v>
      </c>
      <c r="U768" s="15" t="s">
        <v>261</v>
      </c>
      <c r="V768" s="300" t="s">
        <v>2234</v>
      </c>
      <c r="W768" s="175" t="s">
        <v>260</v>
      </c>
      <c r="X768" s="175" t="s">
        <v>260</v>
      </c>
      <c r="Y768" s="175" t="s">
        <v>260</v>
      </c>
      <c r="Z768" s="15">
        <v>0</v>
      </c>
      <c r="AA768" s="180">
        <v>0</v>
      </c>
      <c r="AB768" s="184" t="s">
        <v>260</v>
      </c>
      <c r="AC768" s="544" t="str">
        <f>""</f>
        <v/>
      </c>
      <c r="AD768" s="183">
        <v>1</v>
      </c>
      <c r="AE768" s="183" t="s">
        <v>332</v>
      </c>
      <c r="AF768" s="183" t="s">
        <v>265</v>
      </c>
      <c r="AG768" s="183">
        <v>1</v>
      </c>
      <c r="AH768" s="181">
        <v>6</v>
      </c>
      <c r="AI768" s="181">
        <v>0</v>
      </c>
      <c r="AJ768" s="181">
        <f>VLOOKUP($I768,'Price List, Weapons &amp; Items'!B:F,5,0)</f>
        <v>1</v>
      </c>
      <c r="AK768" s="181">
        <f t="shared" si="154"/>
        <v>0</v>
      </c>
      <c r="AL768" s="181">
        <f t="shared" si="155"/>
        <v>1</v>
      </c>
      <c r="AM768" s="181">
        <f t="shared" si="156"/>
        <v>1</v>
      </c>
      <c r="AN768" s="180" t="str">
        <f>VLOOKUP($I768,'Price List, Weapons &amp; Items'!B:L,COLUMN('Price List, Weapons &amp; Items'!$J$11)-1,0)</f>
        <v>Government information</v>
      </c>
      <c r="AO768" s="180" t="str">
        <f>IF(I768=".",".",VLOOKUP($I768,'Price List, Weapons &amp; Items'!B:J,3,0))</f>
        <v>155mm howitzer ammunition</v>
      </c>
      <c r="AP768" s="545" t="e">
        <f t="shared" ca="1" si="151"/>
        <v>#NAME?</v>
      </c>
      <c r="AQ768" s="180">
        <f>VLOOKUP($I768,'Price List, Weapons &amp; Items'!B:L,COLUMN('Price List, Weapons &amp; Items'!$L$11)-1,0)</f>
        <v>2</v>
      </c>
      <c r="AR768" s="180">
        <f t="shared" si="157"/>
        <v>1</v>
      </c>
      <c r="AS768" s="180">
        <f t="shared" si="158"/>
        <v>1</v>
      </c>
      <c r="AT768" s="180">
        <f t="shared" si="159"/>
        <v>1</v>
      </c>
      <c r="AU768" s="180" t="str">
        <f t="shared" si="160"/>
        <v>.</v>
      </c>
      <c r="AV768" s="180" t="str">
        <f t="shared" si="161"/>
        <v>.</v>
      </c>
      <c r="AW768" s="180">
        <f>IFERROR(VLOOKUP(B768,'Share, Heavy Weapons to Ukraine'!B:J,COLUMN('Share, Heavy Weapons to Ukraine'!C781)-1,0),0)</f>
        <v>1</v>
      </c>
      <c r="AX768" s="180">
        <f>VLOOKUP('Bilateral Assistance, MAIN DATA'!B768,'Country Summary'!B:F,COLUMN('Country Summary'!C784)-1,FALSE)</f>
        <v>0</v>
      </c>
      <c r="AY768" s="180" t="str">
        <f>IF(AND(AD768=1,D768="Military",H768&lt;&gt;"Not given")=TRUE,IF(SUMIFS(P:P,A:A,A768)&gt;0,ABS((SUMIFS(P:P,A:A,A768)/VLOOKUP("USD",'Exchange Rates'!B:C,2,0)))/S768,"."),".")</f>
        <v>.</v>
      </c>
      <c r="AZ768" s="182" t="str">
        <f>IF(AND(AD768=1,D768="Military",H768&lt;&gt;"Not given")=TRUE,IF(SUMIFS(P:P,A:A,A768)&gt;0,IF((ABS((SUMIFS(P:P,A:A,A768)/VLOOKUP("USD",'Exchange Rates'!B:C,2,0)))/S768)&gt;1,(SUMIFS(P:P,A:A,A768)-S768)/S768,(S768-SUMIFS(P:P,A:A,A768))/SUMIFS(P:P,A:A,A768)),"."),".")</f>
        <v>.</v>
      </c>
      <c r="BA768" s="182"/>
      <c r="BB768" s="182"/>
      <c r="BC768" s="182"/>
      <c r="BD768" s="182"/>
      <c r="BE768" s="182"/>
      <c r="BF768" s="182"/>
      <c r="BG768" s="182"/>
      <c r="BH768" s="182"/>
      <c r="BI768" s="182"/>
      <c r="BJ768" s="182"/>
      <c r="BK768" s="182"/>
      <c r="BL768" s="182"/>
      <c r="BM768" s="182"/>
      <c r="BN768" s="182"/>
      <c r="BO768" s="182"/>
      <c r="BP768" s="182"/>
      <c r="BQ768" s="182"/>
      <c r="BR768" s="182"/>
      <c r="BS768" s="182"/>
    </row>
    <row r="769" spans="1:71" ht="15.9" customHeight="1" x14ac:dyDescent="0.3">
      <c r="A769" s="17" t="s">
        <v>2244</v>
      </c>
      <c r="B769" s="17" t="s">
        <v>2206</v>
      </c>
      <c r="C769" s="174">
        <v>44771</v>
      </c>
      <c r="D769" s="5" t="s">
        <v>285</v>
      </c>
      <c r="E769" s="5" t="s">
        <v>286</v>
      </c>
      <c r="F769" s="175" t="s">
        <v>2245</v>
      </c>
      <c r="G769" s="15" t="s">
        <v>346</v>
      </c>
      <c r="H769" s="176" t="s">
        <v>341</v>
      </c>
      <c r="I769" s="17" t="s">
        <v>2246</v>
      </c>
      <c r="J769" s="113" t="str">
        <f>VLOOKUP($I769,'Price List, Weapons &amp; Items'!B:C,2,0)</f>
        <v>Heavy weapon</v>
      </c>
      <c r="K769" s="113" t="str">
        <f>IF(I769=".",I769,VLOOKUP($I769,'Price List, Weapons &amp; Items'!B:D,3,0))</f>
        <v>Armoured Utility Vehicle (AUV)</v>
      </c>
      <c r="L769" s="177">
        <f>VLOOKUP(I769,'Price List, Weapons &amp; Items'!B:E,4,0)</f>
        <v>0</v>
      </c>
      <c r="M769" s="187">
        <v>14</v>
      </c>
      <c r="N769" s="187">
        <v>14</v>
      </c>
      <c r="O769" s="543">
        <f>VLOOKUP($I769,'Price List, Weapons &amp; Items'!B:G,6,0)</f>
        <v>1187362.3799999999</v>
      </c>
      <c r="P769" s="176">
        <f t="shared" si="152"/>
        <v>16623073.319999998</v>
      </c>
      <c r="Q769" s="176">
        <f t="shared" si="153"/>
        <v>16623073.319999998</v>
      </c>
      <c r="R769" s="176">
        <f t="shared" si="150"/>
        <v>16623073.319999998</v>
      </c>
      <c r="S769" s="176">
        <f>IF(AND(AD769=1,R769&lt;&gt;".")=TRUE,R769/VLOOKUP(G769,'Exchange Rates'!B:C,2,0),IF(R769=".",".",""))</f>
        <v>15831498.399999999</v>
      </c>
      <c r="T769" s="176">
        <f>IF(AD769=1,IF(AF769="Value is not given at all",".",IF(AF769="Value is given by the source",S769,IF(AF769="Value is calculated with prices",(IF(SUMIFS(Q:Q,A:A,A769)&gt;0,SUMIFS(Q:Q,A:A,A769),"."))/VLOOKUP("USD",'Exchange Rates'!B:C,2,0),"Error with coding"))),"")</f>
        <v>15831498.399999999</v>
      </c>
      <c r="U769" s="15" t="s">
        <v>261</v>
      </c>
      <c r="V769" s="300" t="s">
        <v>2247</v>
      </c>
      <c r="W769" s="175" t="s">
        <v>260</v>
      </c>
      <c r="X769" s="175" t="s">
        <v>260</v>
      </c>
      <c r="Y769" s="175" t="s">
        <v>260</v>
      </c>
      <c r="Z769" s="15">
        <v>0</v>
      </c>
      <c r="AA769" s="180">
        <v>0</v>
      </c>
      <c r="AB769" s="578" t="s">
        <v>2248</v>
      </c>
      <c r="AC769" s="544" t="str">
        <f>""</f>
        <v/>
      </c>
      <c r="AD769" s="183">
        <v>1</v>
      </c>
      <c r="AE769" s="183" t="s">
        <v>332</v>
      </c>
      <c r="AF769" s="183" t="s">
        <v>332</v>
      </c>
      <c r="AG769" s="183">
        <v>1</v>
      </c>
      <c r="AH769" s="181">
        <v>7</v>
      </c>
      <c r="AI769" s="181">
        <v>0</v>
      </c>
      <c r="AJ769" s="181">
        <f>VLOOKUP($I769,'Price List, Weapons &amp; Items'!B:F,5,0)</f>
        <v>1</v>
      </c>
      <c r="AK769" s="181">
        <f t="shared" si="154"/>
        <v>0</v>
      </c>
      <c r="AL769" s="181">
        <f t="shared" si="155"/>
        <v>0</v>
      </c>
      <c r="AM769" s="181">
        <f t="shared" si="156"/>
        <v>0</v>
      </c>
      <c r="AN769" s="180" t="str">
        <f>VLOOKUP($I769,'Price List, Weapons &amp; Items'!B:L,COLUMN('Price List, Weapons &amp; Items'!$J$11)-1,0)</f>
        <v>Contracts</v>
      </c>
      <c r="AO769" s="180" t="str">
        <f>IF(I769=".",".",VLOOKUP($I769,'Price List, Weapons &amp; Items'!B:J,3,0))</f>
        <v>Armoured Utility Vehicle (AUV)</v>
      </c>
      <c r="AP769" s="545" t="e">
        <f t="shared" ca="1" si="151"/>
        <v>#NAME?</v>
      </c>
      <c r="AQ769" s="180">
        <f>VLOOKUP($I769,'Price List, Weapons &amp; Items'!B:L,COLUMN('Price List, Weapons &amp; Items'!$L$11)-1,0)</f>
        <v>2</v>
      </c>
      <c r="AR769" s="180">
        <f t="shared" si="157"/>
        <v>1</v>
      </c>
      <c r="AS769" s="180">
        <f t="shared" si="158"/>
        <v>1</v>
      </c>
      <c r="AT769" s="180">
        <f t="shared" si="159"/>
        <v>1</v>
      </c>
      <c r="AU769" s="180" t="str">
        <f t="shared" si="160"/>
        <v>.</v>
      </c>
      <c r="AV769" s="180" t="str">
        <f t="shared" si="161"/>
        <v>.</v>
      </c>
      <c r="AW769" s="180">
        <f>IFERROR(VLOOKUP(B769,'Share, Heavy Weapons to Ukraine'!B:J,COLUMN('Share, Heavy Weapons to Ukraine'!C782)-1,0),0)</f>
        <v>1</v>
      </c>
      <c r="AX769" s="180">
        <f>VLOOKUP('Bilateral Assistance, MAIN DATA'!B769,'Country Summary'!B:F,COLUMN('Country Summary'!C785)-1,FALSE)</f>
        <v>0</v>
      </c>
      <c r="AY769" s="180" t="str">
        <f>IF(AND(AD769=1,D769="Military",H769&lt;&gt;"Not given")=TRUE,IF(SUMIFS(P:P,A:A,A769)&gt;0,ABS((SUMIFS(P:P,A:A,A769)/VLOOKUP("USD",'Exchange Rates'!B:C,2,0)))/S769,"."),".")</f>
        <v>.</v>
      </c>
      <c r="AZ769" s="182" t="str">
        <f>IF(AND(AD769=1,D769="Military",H769&lt;&gt;"Not given")=TRUE,IF(SUMIFS(P:P,A:A,A769)&gt;0,IF((ABS((SUMIFS(P:P,A:A,A769)/VLOOKUP("USD",'Exchange Rates'!B:C,2,0)))/S769)&gt;1,(SUMIFS(P:P,A:A,A769)-S769)/S769,(S769-SUMIFS(P:P,A:A,A769))/SUMIFS(P:P,A:A,A769)),"."),".")</f>
        <v>.</v>
      </c>
      <c r="BA769" s="182"/>
      <c r="BB769" s="182"/>
      <c r="BC769" s="182"/>
      <c r="BD769" s="182"/>
      <c r="BE769" s="182"/>
      <c r="BF769" s="182"/>
      <c r="BG769" s="182"/>
      <c r="BH769" s="182"/>
      <c r="BI769" s="182"/>
      <c r="BJ769" s="182"/>
      <c r="BK769" s="182"/>
      <c r="BL769" s="182"/>
      <c r="BM769" s="182"/>
      <c r="BN769" s="182"/>
      <c r="BO769" s="182"/>
      <c r="BP769" s="182"/>
      <c r="BQ769" s="182"/>
      <c r="BR769" s="182"/>
      <c r="BS769" s="182"/>
    </row>
    <row r="770" spans="1:71" ht="15.9" customHeight="1" x14ac:dyDescent="0.3">
      <c r="A770" s="17" t="s">
        <v>2249</v>
      </c>
      <c r="B770" s="17" t="s">
        <v>2206</v>
      </c>
      <c r="C770" s="174">
        <v>44797</v>
      </c>
      <c r="D770" s="5" t="s">
        <v>285</v>
      </c>
      <c r="E770" s="5" t="s">
        <v>339</v>
      </c>
      <c r="F770" s="175" t="s">
        <v>2250</v>
      </c>
      <c r="G770" s="15" t="s">
        <v>2231</v>
      </c>
      <c r="H770" s="176" t="s">
        <v>341</v>
      </c>
      <c r="I770" s="155" t="s">
        <v>2251</v>
      </c>
      <c r="J770" s="113" t="str">
        <f>VLOOKUP($I770,'Price List, Weapons &amp; Items'!B:C,2,0)</f>
        <v>Aviation and drones</v>
      </c>
      <c r="K770" s="113" t="str">
        <f>IF(I770=".",I770,VLOOKUP($I770,'Price List, Weapons &amp; Items'!B:D,3,0))</f>
        <v>drone</v>
      </c>
      <c r="L770" s="177">
        <f>VLOOKUP(I770,'Price List, Weapons &amp; Items'!B:E,4,0)</f>
        <v>0</v>
      </c>
      <c r="M770" s="542" t="s">
        <v>270</v>
      </c>
      <c r="N770" s="542" t="s">
        <v>270</v>
      </c>
      <c r="O770" s="543" t="str">
        <f>VLOOKUP($I770,'Price List, Weapons &amp; Items'!B:G,6,0)</f>
        <v>.</v>
      </c>
      <c r="P770" s="176" t="str">
        <f t="shared" si="152"/>
        <v>.</v>
      </c>
      <c r="Q770" s="176" t="str">
        <f t="shared" si="153"/>
        <v>.</v>
      </c>
      <c r="R770" s="176" t="str">
        <f t="shared" si="150"/>
        <v>.</v>
      </c>
      <c r="S770" s="176" t="str">
        <f>IF(AND(AD770=1,R770&lt;&gt;".")=TRUE,R770/VLOOKUP(G770,'Exchange Rates'!B:C,2,0),IF(R770=".",".",""))</f>
        <v>.</v>
      </c>
      <c r="T770" s="176" t="str">
        <f>IF(AD770=1,IF(AF770="Value is not given at all",".",IF(AF770="Value is given by the source",S770,IF(AF770="Value is calculated with prices",(IF(SUMIFS(Q:Q,A:A,A770)&gt;0,SUMIFS(Q:Q,A:A,A770),"."))/VLOOKUP("USD",'Exchange Rates'!B:C,2,0),"Error with coding"))),"")</f>
        <v>.</v>
      </c>
      <c r="U770" s="15" t="s">
        <v>261</v>
      </c>
      <c r="V770" s="300" t="s">
        <v>2252</v>
      </c>
      <c r="W770" s="175" t="s">
        <v>260</v>
      </c>
      <c r="X770" s="175" t="s">
        <v>260</v>
      </c>
      <c r="Y770" s="175" t="s">
        <v>260</v>
      </c>
      <c r="Z770" s="15">
        <v>0</v>
      </c>
      <c r="AA770" s="180">
        <v>0</v>
      </c>
      <c r="AB770" s="17" t="s">
        <v>260</v>
      </c>
      <c r="AC770" s="544" t="str">
        <f>""</f>
        <v/>
      </c>
      <c r="AD770" s="183">
        <v>1</v>
      </c>
      <c r="AE770" s="183" t="s">
        <v>265</v>
      </c>
      <c r="AF770" s="183" t="s">
        <v>265</v>
      </c>
      <c r="AG770" s="183">
        <v>1</v>
      </c>
      <c r="AH770" s="181">
        <v>8</v>
      </c>
      <c r="AI770" s="181">
        <v>0</v>
      </c>
      <c r="AJ770" s="181">
        <f>VLOOKUP($I770,'Price List, Weapons &amp; Items'!B:F,5,0)</f>
        <v>0</v>
      </c>
      <c r="AK770" s="181">
        <f t="shared" si="154"/>
        <v>0</v>
      </c>
      <c r="AL770" s="181">
        <f t="shared" si="155"/>
        <v>0</v>
      </c>
      <c r="AM770" s="181">
        <f t="shared" si="156"/>
        <v>0</v>
      </c>
      <c r="AN770" s="180" t="str">
        <f>VLOOKUP($I770,'Price List, Weapons &amp; Items'!B:L,COLUMN('Price List, Weapons &amp; Items'!$J$11)-1,0)</f>
        <v>.</v>
      </c>
      <c r="AO770" s="180" t="str">
        <f>IF(I770=".",".",VLOOKUP($I770,'Price List, Weapons &amp; Items'!B:J,3,0))</f>
        <v>drone</v>
      </c>
      <c r="AP770" s="545" t="e">
        <f t="shared" ca="1" si="151"/>
        <v>#NAME?</v>
      </c>
      <c r="AQ770" s="180">
        <f>VLOOKUP($I770,'Price List, Weapons &amp; Items'!B:L,COLUMN('Price List, Weapons &amp; Items'!$L$11)-1,0)</f>
        <v>0</v>
      </c>
      <c r="AR770" s="180">
        <f t="shared" si="157"/>
        <v>1</v>
      </c>
      <c r="AS770" s="180">
        <f t="shared" si="158"/>
        <v>1</v>
      </c>
      <c r="AT770" s="180">
        <f t="shared" si="159"/>
        <v>1</v>
      </c>
      <c r="AU770" s="180" t="str">
        <f t="shared" si="160"/>
        <v>.</v>
      </c>
      <c r="AV770" s="180" t="str">
        <f t="shared" si="161"/>
        <v>.</v>
      </c>
      <c r="AW770" s="180">
        <f>IFERROR(VLOOKUP(B770,'Share, Heavy Weapons to Ukraine'!B:J,COLUMN('Share, Heavy Weapons to Ukraine'!C783)-1,0),0)</f>
        <v>1</v>
      </c>
      <c r="AX770" s="180">
        <f>VLOOKUP('Bilateral Assistance, MAIN DATA'!B770,'Country Summary'!B:F,COLUMN('Country Summary'!C786)-1,FALSE)</f>
        <v>0</v>
      </c>
      <c r="AY770" s="180" t="str">
        <f>IF(AND(AD770=1,D770="Military",H770&lt;&gt;"Not given")=TRUE,IF(SUMIFS(P:P,A:A,A770)&gt;0,ABS((SUMIFS(P:P,A:A,A770)/VLOOKUP("USD",'Exchange Rates'!B:C,2,0)))/S770,"."),".")</f>
        <v>.</v>
      </c>
      <c r="AZ770" s="182" t="str">
        <f>IF(AND(AD770=1,D770="Military",H770&lt;&gt;"Not given")=TRUE,IF(SUMIFS(P:P,A:A,A770)&gt;0,IF((ABS((SUMIFS(P:P,A:A,A770)/VLOOKUP("USD",'Exchange Rates'!B:C,2,0)))/S770)&gt;1,(SUMIFS(P:P,A:A,A770)-S770)/S770,(S770-SUMIFS(P:P,A:A,A770))/SUMIFS(P:P,A:A,A770)),"."),".")</f>
        <v>.</v>
      </c>
      <c r="BA770" s="182"/>
      <c r="BB770" s="182"/>
      <c r="BC770" s="182"/>
      <c r="BD770" s="182"/>
      <c r="BE770" s="182"/>
      <c r="BF770" s="182"/>
      <c r="BG770" s="182"/>
      <c r="BH770" s="182"/>
      <c r="BI770" s="182"/>
      <c r="BJ770" s="182"/>
      <c r="BK770" s="182"/>
      <c r="BL770" s="182"/>
      <c r="BM770" s="182"/>
      <c r="BN770" s="182"/>
      <c r="BO770" s="182"/>
      <c r="BP770" s="182"/>
      <c r="BQ770" s="182"/>
      <c r="BR770" s="182"/>
      <c r="BS770" s="182"/>
    </row>
    <row r="771" spans="1:71" ht="15.9" customHeight="1" x14ac:dyDescent="0.3">
      <c r="A771" s="17" t="s">
        <v>2253</v>
      </c>
      <c r="B771" s="17" t="s">
        <v>2206</v>
      </c>
      <c r="C771" s="174">
        <v>44812</v>
      </c>
      <c r="D771" s="5" t="s">
        <v>285</v>
      </c>
      <c r="E771" s="5" t="s">
        <v>286</v>
      </c>
      <c r="F771" s="175" t="s">
        <v>2254</v>
      </c>
      <c r="G771" s="15" t="s">
        <v>346</v>
      </c>
      <c r="H771" s="176" t="s">
        <v>341</v>
      </c>
      <c r="I771" s="155" t="s">
        <v>2255</v>
      </c>
      <c r="J771" s="113" t="str">
        <f>VLOOKUP($I771,'Price List, Weapons &amp; Items'!B:C,2,0)</f>
        <v>Ammunition for portable defence system</v>
      </c>
      <c r="K771" s="113" t="str">
        <f>IF(I771=".",I771,VLOOKUP($I771,'Price List, Weapons &amp; Items'!B:D,3,0))</f>
        <v>MANPADS ammunition</v>
      </c>
      <c r="L771" s="177">
        <f>VLOOKUP(I771,'Price List, Weapons &amp; Items'!B:E,4,0)</f>
        <v>0</v>
      </c>
      <c r="M771" s="187">
        <v>160</v>
      </c>
      <c r="N771" s="187" t="s">
        <v>270</v>
      </c>
      <c r="O771" s="543">
        <f>VLOOKUP($I771,'Price List, Weapons &amp; Items'!B:G,6,0)</f>
        <v>93090</v>
      </c>
      <c r="P771" s="176">
        <f t="shared" si="152"/>
        <v>14894400</v>
      </c>
      <c r="Q771" s="176" t="str">
        <f t="shared" si="153"/>
        <v>.</v>
      </c>
      <c r="R771" s="176">
        <f t="shared" si="150"/>
        <v>14894400</v>
      </c>
      <c r="S771" s="176">
        <f>IF(AND(AD771=1,R771&lt;&gt;".")=TRUE,R771/VLOOKUP(G771,'Exchange Rates'!B:C,2,0),IF(R771=".",".",""))</f>
        <v>14185142.857142856</v>
      </c>
      <c r="T771" s="176" t="str">
        <f>IF(AD771=1,IF(AF771="Value is not given at all",".",IF(AF771="Value is given by the source",S771,IF(AF771="Value is calculated with prices",(IF(SUMIFS(Q:Q,A:A,A771)&gt;0,SUMIFS(Q:Q,A:A,A771),"."))/VLOOKUP("USD",'Exchange Rates'!B:C,2,0),"Error with coding"))),"")</f>
        <v>.</v>
      </c>
      <c r="U771" s="15" t="s">
        <v>261</v>
      </c>
      <c r="V771" s="300" t="s">
        <v>2256</v>
      </c>
      <c r="W771" s="175" t="s">
        <v>260</v>
      </c>
      <c r="X771" s="175" t="s">
        <v>260</v>
      </c>
      <c r="Y771" s="175" t="s">
        <v>260</v>
      </c>
      <c r="Z771" s="15">
        <v>0</v>
      </c>
      <c r="AA771" s="180">
        <v>0</v>
      </c>
      <c r="AB771" s="17" t="s">
        <v>260</v>
      </c>
      <c r="AC771" s="544" t="str">
        <f>""</f>
        <v/>
      </c>
      <c r="AD771" s="183">
        <v>1</v>
      </c>
      <c r="AE771" s="183" t="s">
        <v>332</v>
      </c>
      <c r="AF771" s="183" t="s">
        <v>265</v>
      </c>
      <c r="AG771" s="183">
        <v>1</v>
      </c>
      <c r="AH771" s="181">
        <v>9</v>
      </c>
      <c r="AI771" s="181">
        <v>0</v>
      </c>
      <c r="AJ771" s="181">
        <f>VLOOKUP($I771,'Price List, Weapons &amp; Items'!B:F,5,0)</f>
        <v>0</v>
      </c>
      <c r="AK771" s="181">
        <f t="shared" si="154"/>
        <v>0</v>
      </c>
      <c r="AL771" s="181">
        <f t="shared" si="155"/>
        <v>0</v>
      </c>
      <c r="AM771" s="181">
        <f t="shared" si="156"/>
        <v>0</v>
      </c>
      <c r="AN771" s="180" t="str">
        <f>VLOOKUP($I771,'Price List, Weapons &amp; Items'!B:L,COLUMN('Price List, Weapons &amp; Items'!$J$11)-1,0)</f>
        <v>Government information</v>
      </c>
      <c r="AO771" s="180" t="str">
        <f>IF(I771=".",".",VLOOKUP($I771,'Price List, Weapons &amp; Items'!B:J,3,0))</f>
        <v>MANPADS ammunition</v>
      </c>
      <c r="AP771" s="545" t="e">
        <f t="shared" ca="1" si="151"/>
        <v>#NAME?</v>
      </c>
      <c r="AQ771" s="180">
        <f>VLOOKUP($I771,'Price List, Weapons &amp; Items'!B:L,COLUMN('Price List, Weapons &amp; Items'!$L$11)-1,0)</f>
        <v>2</v>
      </c>
      <c r="AR771" s="180">
        <f t="shared" si="157"/>
        <v>1</v>
      </c>
      <c r="AS771" s="180">
        <f t="shared" si="158"/>
        <v>1</v>
      </c>
      <c r="AT771" s="180">
        <f t="shared" si="159"/>
        <v>1</v>
      </c>
      <c r="AU771" s="180" t="str">
        <f t="shared" si="160"/>
        <v>.</v>
      </c>
      <c r="AV771" s="180" t="str">
        <f t="shared" si="161"/>
        <v>.</v>
      </c>
      <c r="AW771" s="180">
        <f>IFERROR(VLOOKUP(B771,'Share, Heavy Weapons to Ukraine'!B:J,COLUMN('Share, Heavy Weapons to Ukraine'!C784)-1,0),0)</f>
        <v>1</v>
      </c>
      <c r="AX771" s="180">
        <f>VLOOKUP('Bilateral Assistance, MAIN DATA'!B771,'Country Summary'!B:F,COLUMN('Country Summary'!C787)-1,FALSE)</f>
        <v>0</v>
      </c>
      <c r="AY771" s="180" t="str">
        <f>IF(AND(AD771=1,D771="Military",H771&lt;&gt;"Not given")=TRUE,IF(SUMIFS(P:P,A:A,A771)&gt;0,ABS((SUMIFS(P:P,A:A,A771)/VLOOKUP("USD",'Exchange Rates'!B:C,2,0)))/S771,"."),".")</f>
        <v>.</v>
      </c>
      <c r="AZ771" s="182" t="str">
        <f>IF(AND(AD771=1,D771="Military",H771&lt;&gt;"Not given")=TRUE,IF(SUMIFS(P:P,A:A,A771)&gt;0,IF((ABS((SUMIFS(P:P,A:A,A771)/VLOOKUP("USD",'Exchange Rates'!B:C,2,0)))/S771)&gt;1,(SUMIFS(P:P,A:A,A771)-S771)/S771,(S771-SUMIFS(P:P,A:A,A771))/SUMIFS(P:P,A:A,A771)),"."),".")</f>
        <v>.</v>
      </c>
      <c r="BA771" s="182"/>
      <c r="BB771" s="182"/>
      <c r="BC771" s="182"/>
      <c r="BD771" s="182"/>
      <c r="BE771" s="182"/>
      <c r="BF771" s="182"/>
      <c r="BG771" s="182"/>
      <c r="BH771" s="182"/>
      <c r="BI771" s="182"/>
      <c r="BJ771" s="182"/>
      <c r="BK771" s="182"/>
      <c r="BL771" s="182"/>
      <c r="BM771" s="182"/>
      <c r="BN771" s="182"/>
      <c r="BO771" s="182"/>
      <c r="BP771" s="182"/>
      <c r="BQ771" s="182"/>
      <c r="BR771" s="182"/>
      <c r="BS771" s="182"/>
    </row>
    <row r="772" spans="1:71" ht="15.9" customHeight="1" x14ac:dyDescent="0.3">
      <c r="A772" s="17" t="s">
        <v>2253</v>
      </c>
      <c r="B772" s="17" t="s">
        <v>2206</v>
      </c>
      <c r="C772" s="174">
        <v>44812</v>
      </c>
      <c r="D772" s="5" t="s">
        <v>285</v>
      </c>
      <c r="E772" s="5" t="s">
        <v>286</v>
      </c>
      <c r="F772" s="175" t="s">
        <v>2254</v>
      </c>
      <c r="G772" s="15" t="s">
        <v>346</v>
      </c>
      <c r="H772" s="176" t="s">
        <v>341</v>
      </c>
      <c r="I772" s="155" t="s">
        <v>2257</v>
      </c>
      <c r="J772" s="113" t="str">
        <f>VLOOKUP($I772,'Price List, Weapons &amp; Items'!B:C,2,0)</f>
        <v>Portable defence system</v>
      </c>
      <c r="K772" s="113" t="str">
        <f>IF(I772=".",I772,VLOOKUP($I772,'Price List, Weapons &amp; Items'!B:D,3,0))</f>
        <v>MANPADS</v>
      </c>
      <c r="L772" s="177">
        <f>VLOOKUP(I772,'Price List, Weapons &amp; Items'!B:E,4,0)</f>
        <v>0</v>
      </c>
      <c r="M772" s="542" t="s">
        <v>270</v>
      </c>
      <c r="N772" s="187" t="s">
        <v>270</v>
      </c>
      <c r="O772" s="543">
        <f>VLOOKUP($I772,'Price List, Weapons &amp; Items'!B:G,6,0)</f>
        <v>2497000</v>
      </c>
      <c r="P772" s="176" t="str">
        <f t="shared" si="152"/>
        <v>.</v>
      </c>
      <c r="Q772" s="176" t="str">
        <f t="shared" si="153"/>
        <v>.</v>
      </c>
      <c r="R772" s="176" t="str">
        <f t="shared" si="150"/>
        <v/>
      </c>
      <c r="S772" s="176" t="str">
        <f>IF(AND(AD772=1,R772&lt;&gt;".")=TRUE,R772/VLOOKUP(G772,'Exchange Rates'!B:C,2,0),IF(R772=".",".",""))</f>
        <v/>
      </c>
      <c r="T772" s="176" t="str">
        <f>IF(AD772=1,IF(AF772="Value is not given at all",".",IF(AF772="Value is given by the source",S772,IF(AF772="Value is calculated with prices",(IF(SUMIFS(Q:Q,A:A,A772)&gt;0,SUMIFS(Q:Q,A:A,A772),"."))/VLOOKUP("USD",'Exchange Rates'!B:C,2,0),"Error with coding"))),"")</f>
        <v/>
      </c>
      <c r="U772" s="15" t="s">
        <v>261</v>
      </c>
      <c r="V772" s="300" t="s">
        <v>2256</v>
      </c>
      <c r="W772" s="175" t="s">
        <v>260</v>
      </c>
      <c r="X772" s="175" t="s">
        <v>260</v>
      </c>
      <c r="Y772" s="175" t="s">
        <v>260</v>
      </c>
      <c r="Z772" s="15">
        <v>0</v>
      </c>
      <c r="AA772" s="180">
        <v>0</v>
      </c>
      <c r="AB772" s="17" t="s">
        <v>260</v>
      </c>
      <c r="AC772" s="544" t="str">
        <f>""</f>
        <v/>
      </c>
      <c r="AD772" s="183">
        <v>0</v>
      </c>
      <c r="AE772" s="183" t="s">
        <v>332</v>
      </c>
      <c r="AF772" s="183" t="s">
        <v>265</v>
      </c>
      <c r="AG772" s="183">
        <v>1</v>
      </c>
      <c r="AH772" s="181">
        <v>9</v>
      </c>
      <c r="AI772" s="181">
        <v>0</v>
      </c>
      <c r="AJ772" s="181">
        <f>VLOOKUP($I772,'Price List, Weapons &amp; Items'!B:F,5,0)</f>
        <v>0</v>
      </c>
      <c r="AK772" s="181">
        <f t="shared" si="154"/>
        <v>0</v>
      </c>
      <c r="AL772" s="181">
        <f t="shared" si="155"/>
        <v>0</v>
      </c>
      <c r="AM772" s="181">
        <f t="shared" si="156"/>
        <v>0</v>
      </c>
      <c r="AN772" s="180" t="str">
        <f>VLOOKUP($I772,'Price List, Weapons &amp; Items'!B:L,COLUMN('Price List, Weapons &amp; Items'!$J$11)-1,0)</f>
        <v>Government information</v>
      </c>
      <c r="AO772" s="180" t="str">
        <f>IF(I772=".",".",VLOOKUP($I772,'Price List, Weapons &amp; Items'!B:J,3,0))</f>
        <v>MANPADS</v>
      </c>
      <c r="AP772" s="545" t="str">
        <f t="shared" ca="1" si="151"/>
        <v/>
      </c>
      <c r="AQ772" s="180" t="str">
        <f>VLOOKUP($I772,'Price List, Weapons &amp; Items'!B:L,COLUMN('Price List, Weapons &amp; Items'!$L$11)-1,0)</f>
        <v>no price, 0 count</v>
      </c>
      <c r="AR772" s="180">
        <f t="shared" si="157"/>
        <v>1</v>
      </c>
      <c r="AS772" s="180">
        <f t="shared" si="158"/>
        <v>1</v>
      </c>
      <c r="AT772" s="180">
        <f t="shared" si="159"/>
        <v>1</v>
      </c>
      <c r="AU772" s="180" t="str">
        <f t="shared" si="160"/>
        <v>.</v>
      </c>
      <c r="AV772" s="180" t="str">
        <f t="shared" si="161"/>
        <v>.</v>
      </c>
      <c r="AW772" s="180">
        <f>IFERROR(VLOOKUP(B772,'Share, Heavy Weapons to Ukraine'!B:J,COLUMN('Share, Heavy Weapons to Ukraine'!C785)-1,0),0)</f>
        <v>1</v>
      </c>
      <c r="AX772" s="180">
        <f>VLOOKUP('Bilateral Assistance, MAIN DATA'!B772,'Country Summary'!B:F,COLUMN('Country Summary'!C788)-1,FALSE)</f>
        <v>0</v>
      </c>
      <c r="AY772" s="180" t="str">
        <f>IF(AND(AD772=1,D772="Military",H772&lt;&gt;"Not given")=TRUE,IF(SUMIFS(P:P,A:A,A772)&gt;0,ABS((SUMIFS(P:P,A:A,A772)/VLOOKUP("USD",'Exchange Rates'!B:C,2,0)))/S772,"."),".")</f>
        <v>.</v>
      </c>
      <c r="AZ772" s="182" t="str">
        <f>IF(AND(AD772=1,D772="Military",H772&lt;&gt;"Not given")=TRUE,IF(SUMIFS(P:P,A:A,A772)&gt;0,IF((ABS((SUMIFS(P:P,A:A,A772)/VLOOKUP("USD",'Exchange Rates'!B:C,2,0)))/S772)&gt;1,(SUMIFS(P:P,A:A,A772)-S772)/S772,(S772-SUMIFS(P:P,A:A,A772))/SUMIFS(P:P,A:A,A772)),"."),".")</f>
        <v>.</v>
      </c>
      <c r="BA772" s="182"/>
      <c r="BB772" s="182"/>
      <c r="BC772" s="182"/>
      <c r="BD772" s="182"/>
      <c r="BE772" s="182"/>
      <c r="BF772" s="182"/>
      <c r="BG772" s="182"/>
      <c r="BH772" s="182"/>
      <c r="BI772" s="182"/>
      <c r="BJ772" s="182"/>
      <c r="BK772" s="182"/>
      <c r="BL772" s="182"/>
      <c r="BM772" s="182"/>
      <c r="BN772" s="182"/>
      <c r="BO772" s="182"/>
      <c r="BP772" s="182"/>
      <c r="BQ772" s="182"/>
      <c r="BR772" s="182"/>
      <c r="BS772" s="182"/>
    </row>
    <row r="773" spans="1:71" ht="15.9" customHeight="1" x14ac:dyDescent="0.3">
      <c r="A773" s="17" t="s">
        <v>2253</v>
      </c>
      <c r="B773" s="17" t="s">
        <v>2206</v>
      </c>
      <c r="C773" s="174">
        <v>44812</v>
      </c>
      <c r="D773" s="5" t="s">
        <v>285</v>
      </c>
      <c r="E773" s="5" t="s">
        <v>286</v>
      </c>
      <c r="F773" s="175" t="s">
        <v>2254</v>
      </c>
      <c r="G773" s="15" t="s">
        <v>346</v>
      </c>
      <c r="H773" s="176" t="s">
        <v>341</v>
      </c>
      <c r="I773" s="155" t="s">
        <v>2258</v>
      </c>
      <c r="J773" s="113" t="str">
        <f>VLOOKUP($I773,'Price List, Weapons &amp; Items'!B:C,2,0)</f>
        <v>Portable defence system</v>
      </c>
      <c r="K773" s="113" t="str">
        <f>IF(I773=".",I773,VLOOKUP($I773,'Price List, Weapons &amp; Items'!B:D,3,0))</f>
        <v>MANPADS</v>
      </c>
      <c r="L773" s="177">
        <f>VLOOKUP(I773,'Price List, Weapons &amp; Items'!B:E,4,0)</f>
        <v>0</v>
      </c>
      <c r="M773" s="542" t="s">
        <v>270</v>
      </c>
      <c r="N773" s="187" t="s">
        <v>270</v>
      </c>
      <c r="O773" s="543" t="str">
        <f>VLOOKUP($I773,'Price List, Weapons &amp; Items'!B:G,6,0)</f>
        <v>.</v>
      </c>
      <c r="P773" s="176" t="str">
        <f t="shared" si="152"/>
        <v>.</v>
      </c>
      <c r="Q773" s="176" t="str">
        <f t="shared" si="153"/>
        <v>.</v>
      </c>
      <c r="R773" s="176" t="str">
        <f t="shared" si="150"/>
        <v/>
      </c>
      <c r="S773" s="176" t="str">
        <f>IF(AND(AD773=1,R773&lt;&gt;".")=TRUE,R773/VLOOKUP(G773,'Exchange Rates'!B:C,2,0),IF(R773=".",".",""))</f>
        <v/>
      </c>
      <c r="T773" s="176" t="str">
        <f>IF(AD773=1,IF(AF773="Value is not given at all",".",IF(AF773="Value is given by the source",S773,IF(AF773="Value is calculated with prices",(IF(SUMIFS(Q:Q,A:A,A773)&gt;0,SUMIFS(Q:Q,A:A,A773),"."))/VLOOKUP("USD",'Exchange Rates'!B:C,2,0),"Error with coding"))),"")</f>
        <v/>
      </c>
      <c r="U773" s="15" t="s">
        <v>261</v>
      </c>
      <c r="V773" s="300" t="s">
        <v>2256</v>
      </c>
      <c r="W773" s="175" t="s">
        <v>260</v>
      </c>
      <c r="X773" s="175" t="s">
        <v>260</v>
      </c>
      <c r="Y773" s="175" t="s">
        <v>260</v>
      </c>
      <c r="Z773" s="15">
        <v>0</v>
      </c>
      <c r="AA773" s="180">
        <v>0</v>
      </c>
      <c r="AB773" s="17" t="s">
        <v>260</v>
      </c>
      <c r="AC773" s="544" t="str">
        <f>""</f>
        <v/>
      </c>
      <c r="AD773" s="183">
        <v>0</v>
      </c>
      <c r="AE773" s="183" t="s">
        <v>332</v>
      </c>
      <c r="AF773" s="183" t="s">
        <v>265</v>
      </c>
      <c r="AG773" s="183">
        <v>1</v>
      </c>
      <c r="AH773" s="181">
        <v>9</v>
      </c>
      <c r="AI773" s="181">
        <v>0</v>
      </c>
      <c r="AJ773" s="181">
        <f>VLOOKUP($I773,'Price List, Weapons &amp; Items'!B:F,5,0)</f>
        <v>0</v>
      </c>
      <c r="AK773" s="181">
        <f t="shared" si="154"/>
        <v>0</v>
      </c>
      <c r="AL773" s="181">
        <f t="shared" si="155"/>
        <v>0</v>
      </c>
      <c r="AM773" s="181">
        <f t="shared" si="156"/>
        <v>0</v>
      </c>
      <c r="AN773" s="180" t="str">
        <f>VLOOKUP($I773,'Price List, Weapons &amp; Items'!B:L,COLUMN('Price List, Weapons &amp; Items'!$J$11)-1,0)</f>
        <v>.</v>
      </c>
      <c r="AO773" s="180" t="str">
        <f>IF(I773=".",".",VLOOKUP($I773,'Price List, Weapons &amp; Items'!B:J,3,0))</f>
        <v>MANPADS</v>
      </c>
      <c r="AP773" s="545" t="str">
        <f t="shared" ca="1" si="151"/>
        <v/>
      </c>
      <c r="AQ773" s="180" t="str">
        <f>VLOOKUP($I773,'Price List, Weapons &amp; Items'!B:L,COLUMN('Price List, Weapons &amp; Items'!$L$11)-1,0)</f>
        <v>no price, 0 count</v>
      </c>
      <c r="AR773" s="180">
        <f t="shared" si="157"/>
        <v>1</v>
      </c>
      <c r="AS773" s="180">
        <f t="shared" si="158"/>
        <v>1</v>
      </c>
      <c r="AT773" s="180">
        <f t="shared" si="159"/>
        <v>1</v>
      </c>
      <c r="AU773" s="180" t="str">
        <f t="shared" si="160"/>
        <v>.</v>
      </c>
      <c r="AV773" s="180" t="str">
        <f t="shared" si="161"/>
        <v>.</v>
      </c>
      <c r="AW773" s="180">
        <f>IFERROR(VLOOKUP(B773,'Share, Heavy Weapons to Ukraine'!B:J,COLUMN('Share, Heavy Weapons to Ukraine'!C786)-1,0),0)</f>
        <v>1</v>
      </c>
      <c r="AX773" s="180">
        <f>VLOOKUP('Bilateral Assistance, MAIN DATA'!B773,'Country Summary'!B:F,COLUMN('Country Summary'!C789)-1,FALSE)</f>
        <v>0</v>
      </c>
      <c r="AY773" s="180" t="str">
        <f>IF(AND(AD773=1,D773="Military",H773&lt;&gt;"Not given")=TRUE,IF(SUMIFS(P:P,A:A,A773)&gt;0,ABS((SUMIFS(P:P,A:A,A773)/VLOOKUP("USD",'Exchange Rates'!B:C,2,0)))/S773,"."),".")</f>
        <v>.</v>
      </c>
      <c r="AZ773" s="182" t="str">
        <f>IF(AND(AD773=1,D773="Military",H773&lt;&gt;"Not given")=TRUE,IF(SUMIFS(P:P,A:A,A773)&gt;0,IF((ABS((SUMIFS(P:P,A:A,A773)/VLOOKUP("USD",'Exchange Rates'!B:C,2,0)))/S773)&gt;1,(SUMIFS(P:P,A:A,A773)-S773)/S773,(S773-SUMIFS(P:P,A:A,A773))/SUMIFS(P:P,A:A,A773)),"."),".")</f>
        <v>.</v>
      </c>
      <c r="BA773" s="182"/>
      <c r="BB773" s="182"/>
      <c r="BC773" s="182"/>
      <c r="BD773" s="182"/>
      <c r="BE773" s="182"/>
      <c r="BF773" s="182"/>
      <c r="BG773" s="182"/>
      <c r="BH773" s="182"/>
      <c r="BI773" s="182"/>
      <c r="BJ773" s="182"/>
      <c r="BK773" s="182"/>
      <c r="BL773" s="182"/>
      <c r="BM773" s="182"/>
      <c r="BN773" s="182"/>
      <c r="BO773" s="182"/>
      <c r="BP773" s="182"/>
      <c r="BQ773" s="182"/>
      <c r="BR773" s="182"/>
      <c r="BS773" s="182"/>
    </row>
    <row r="774" spans="1:71" ht="15.9" customHeight="1" x14ac:dyDescent="0.3">
      <c r="A774" s="17" t="s">
        <v>2253</v>
      </c>
      <c r="B774" s="17" t="s">
        <v>2206</v>
      </c>
      <c r="C774" s="174">
        <v>44812</v>
      </c>
      <c r="D774" s="5" t="s">
        <v>285</v>
      </c>
      <c r="E774" s="5" t="s">
        <v>286</v>
      </c>
      <c r="F774" s="175" t="s">
        <v>2254</v>
      </c>
      <c r="G774" s="15" t="s">
        <v>346</v>
      </c>
      <c r="H774" s="176" t="s">
        <v>341</v>
      </c>
      <c r="I774" s="17" t="s">
        <v>2259</v>
      </c>
      <c r="J774" s="113" t="str">
        <f>VLOOKUP($I774,'Price List, Weapons &amp; Items'!B:C,2,0)</f>
        <v>Military equipment</v>
      </c>
      <c r="K774" s="113" t="str">
        <f>IF(I774=".",I774,VLOOKUP($I774,'Price List, Weapons &amp; Items'!B:D,3,0))</f>
        <v>Military equipment</v>
      </c>
      <c r="L774" s="177">
        <f>VLOOKUP(I774,'Price List, Weapons &amp; Items'!B:E,4,0)</f>
        <v>0</v>
      </c>
      <c r="M774" s="542" t="s">
        <v>270</v>
      </c>
      <c r="N774" s="187" t="s">
        <v>270</v>
      </c>
      <c r="O774" s="543">
        <f>VLOOKUP($I774,'Price List, Weapons &amp; Items'!B:G,6,0)</f>
        <v>2320</v>
      </c>
      <c r="P774" s="176" t="str">
        <f t="shared" si="152"/>
        <v>.</v>
      </c>
      <c r="Q774" s="176" t="str">
        <f t="shared" si="153"/>
        <v>.</v>
      </c>
      <c r="R774" s="176" t="str">
        <f t="shared" si="150"/>
        <v/>
      </c>
      <c r="S774" s="176" t="str">
        <f>IF(AND(AD774=1,R774&lt;&gt;".")=TRUE,R774/VLOOKUP(G774,'Exchange Rates'!B:C,2,0),IF(R774=".",".",""))</f>
        <v/>
      </c>
      <c r="T774" s="176" t="str">
        <f>IF(AD774=1,IF(AF774="Value is not given at all",".",IF(AF774="Value is given by the source",S774,IF(AF774="Value is calculated with prices",(IF(SUMIFS(Q:Q,A:A,A774)&gt;0,SUMIFS(Q:Q,A:A,A774),"."))/VLOOKUP("USD",'Exchange Rates'!B:C,2,0),"Error with coding"))),"")</f>
        <v/>
      </c>
      <c r="U774" s="15" t="s">
        <v>261</v>
      </c>
      <c r="V774" s="300" t="s">
        <v>2256</v>
      </c>
      <c r="W774" s="175" t="s">
        <v>260</v>
      </c>
      <c r="X774" s="175" t="s">
        <v>260</v>
      </c>
      <c r="Y774" s="175" t="s">
        <v>260</v>
      </c>
      <c r="Z774" s="15">
        <v>0</v>
      </c>
      <c r="AA774" s="180">
        <v>0</v>
      </c>
      <c r="AB774" s="17" t="s">
        <v>260</v>
      </c>
      <c r="AC774" s="544" t="str">
        <f>""</f>
        <v/>
      </c>
      <c r="AD774" s="183">
        <v>0</v>
      </c>
      <c r="AE774" s="183" t="s">
        <v>332</v>
      </c>
      <c r="AF774" s="183" t="s">
        <v>265</v>
      </c>
      <c r="AG774" s="183">
        <v>1</v>
      </c>
      <c r="AH774" s="181">
        <v>9</v>
      </c>
      <c r="AI774" s="181">
        <v>0</v>
      </c>
      <c r="AJ774" s="181">
        <f>VLOOKUP($I774,'Price List, Weapons &amp; Items'!B:F,5,0)</f>
        <v>0</v>
      </c>
      <c r="AK774" s="181">
        <f t="shared" si="154"/>
        <v>0</v>
      </c>
      <c r="AL774" s="181">
        <f t="shared" si="155"/>
        <v>0</v>
      </c>
      <c r="AM774" s="181">
        <f t="shared" si="156"/>
        <v>0</v>
      </c>
      <c r="AN774" s="180" t="str">
        <f>VLOOKUP($I774,'Price List, Weapons &amp; Items'!B:L,COLUMN('Price List, Weapons &amp; Items'!$J$11)-1,0)</f>
        <v>Media reports (incl. social media)</v>
      </c>
      <c r="AO774" s="180" t="str">
        <f>IF(I774=".",".",VLOOKUP($I774,'Price List, Weapons &amp; Items'!B:J,3,0))</f>
        <v>Military equipment</v>
      </c>
      <c r="AP774" s="545" t="str">
        <f t="shared" ca="1" si="151"/>
        <v/>
      </c>
      <c r="AQ774" s="180">
        <f>VLOOKUP($I774,'Price List, Weapons &amp; Items'!B:L,COLUMN('Price List, Weapons &amp; Items'!$L$11)-1,0)</f>
        <v>2</v>
      </c>
      <c r="AR774" s="180">
        <f t="shared" si="157"/>
        <v>1</v>
      </c>
      <c r="AS774" s="180">
        <f t="shared" si="158"/>
        <v>1</v>
      </c>
      <c r="AT774" s="180">
        <f t="shared" si="159"/>
        <v>1</v>
      </c>
      <c r="AU774" s="180" t="str">
        <f t="shared" si="160"/>
        <v>.</v>
      </c>
      <c r="AV774" s="180" t="str">
        <f t="shared" si="161"/>
        <v>.</v>
      </c>
      <c r="AW774" s="180">
        <f>IFERROR(VLOOKUP(B774,'Share, Heavy Weapons to Ukraine'!B:J,COLUMN('Share, Heavy Weapons to Ukraine'!C787)-1,0),0)</f>
        <v>1</v>
      </c>
      <c r="AX774" s="180">
        <f>VLOOKUP('Bilateral Assistance, MAIN DATA'!B774,'Country Summary'!B:F,COLUMN('Country Summary'!C790)-1,FALSE)</f>
        <v>0</v>
      </c>
      <c r="AY774" s="180" t="str">
        <f>IF(AND(AD774=1,D774="Military",H774&lt;&gt;"Not given")=TRUE,IF(SUMIFS(P:P,A:A,A774)&gt;0,ABS((SUMIFS(P:P,A:A,A774)/VLOOKUP("USD",'Exchange Rates'!B:C,2,0)))/S774,"."),".")</f>
        <v>.</v>
      </c>
      <c r="AZ774" s="182" t="str">
        <f>IF(AND(AD774=1,D774="Military",H774&lt;&gt;"Not given")=TRUE,IF(SUMIFS(P:P,A:A,A774)&gt;0,IF((ABS((SUMIFS(P:P,A:A,A774)/VLOOKUP("USD",'Exchange Rates'!B:C,2,0)))/S774)&gt;1,(SUMIFS(P:P,A:A,A774)-S774)/S774,(S774-SUMIFS(P:P,A:A,A774))/SUMIFS(P:P,A:A,A774)),"."),".")</f>
        <v>.</v>
      </c>
      <c r="BA774" s="182"/>
      <c r="BB774" s="182"/>
      <c r="BC774" s="182"/>
      <c r="BD774" s="182"/>
      <c r="BE774" s="182"/>
      <c r="BF774" s="182"/>
      <c r="BG774" s="182"/>
      <c r="BH774" s="182"/>
      <c r="BI774" s="182"/>
      <c r="BJ774" s="182"/>
      <c r="BK774" s="182"/>
      <c r="BL774" s="182"/>
      <c r="BM774" s="182"/>
      <c r="BN774" s="182"/>
      <c r="BO774" s="182"/>
      <c r="BP774" s="182"/>
      <c r="BQ774" s="182"/>
      <c r="BR774" s="182"/>
      <c r="BS774" s="182"/>
    </row>
    <row r="775" spans="1:71" ht="15.9" customHeight="1" x14ac:dyDescent="0.3">
      <c r="A775" s="5" t="s">
        <v>2260</v>
      </c>
      <c r="B775" s="5" t="s">
        <v>2206</v>
      </c>
      <c r="C775" s="174">
        <v>44836</v>
      </c>
      <c r="D775" s="5" t="s">
        <v>285</v>
      </c>
      <c r="E775" s="5" t="s">
        <v>1590</v>
      </c>
      <c r="F775" s="175" t="s">
        <v>2261</v>
      </c>
      <c r="G775" s="15" t="s">
        <v>364</v>
      </c>
      <c r="H775" s="176">
        <v>30666666</v>
      </c>
      <c r="I775" s="19" t="s">
        <v>916</v>
      </c>
      <c r="J775" s="113" t="str">
        <f>VLOOKUP($I775,'Price List, Weapons &amp; Items'!B:C,2,0)</f>
        <v>Heavy weapon</v>
      </c>
      <c r="K775" s="113" t="str">
        <f>IF(I775=".",I775,VLOOKUP($I775,'Price List, Weapons &amp; Items'!B:D,3,0))</f>
        <v>155mm howitzer</v>
      </c>
      <c r="L775" s="177">
        <f>VLOOKUP(I775,'Price List, Weapons &amp; Items'!B:E,4,0)</f>
        <v>1</v>
      </c>
      <c r="M775" s="187">
        <v>5</v>
      </c>
      <c r="N775" s="542" t="s">
        <v>270</v>
      </c>
      <c r="O775" s="543">
        <f>VLOOKUP($I775,'Price List, Weapons &amp; Items'!B:G,6,0)</f>
        <v>8661378.4511823338</v>
      </c>
      <c r="P775" s="176">
        <f t="shared" si="152"/>
        <v>43306892.255911671</v>
      </c>
      <c r="Q775" s="176" t="str">
        <f t="shared" si="153"/>
        <v>.</v>
      </c>
      <c r="R775" s="176">
        <f t="shared" si="150"/>
        <v>30666666</v>
      </c>
      <c r="S775" s="176">
        <f>IF(AND(AD775=1,R775&lt;&gt;".")=TRUE,R775/VLOOKUP(G775,'Exchange Rates'!B:C,2,0),IF(R775=".",".",""))</f>
        <v>30666666</v>
      </c>
      <c r="T775" s="176" t="str">
        <f>IF(AD775=1,IF(AF775="Value is not given at all",".",IF(AF775="Value is given by the source",S775,IF(AF775="Value is calculated with prices",(IF(SUMIFS(Q:Q,A:A,A775)&gt;0,SUMIFS(Q:Q,A:A,A775),"."))/VLOOKUP("USD",'Exchange Rates'!B:C,2,0),"Error with coding"))),"")</f>
        <v>.</v>
      </c>
      <c r="U775" s="15" t="s">
        <v>261</v>
      </c>
      <c r="V775" s="547" t="s">
        <v>1592</v>
      </c>
      <c r="W775" s="547" t="s">
        <v>1593</v>
      </c>
      <c r="X775" s="547" t="s">
        <v>1594</v>
      </c>
      <c r="Y775" s="557" t="s">
        <v>1595</v>
      </c>
      <c r="Z775" s="15">
        <v>0</v>
      </c>
      <c r="AA775" s="180">
        <v>0</v>
      </c>
      <c r="AB775" s="184" t="s">
        <v>260</v>
      </c>
      <c r="AC775" s="544" t="str">
        <f>""</f>
        <v/>
      </c>
      <c r="AD775" s="183">
        <v>1</v>
      </c>
      <c r="AE775" s="183" t="s">
        <v>264</v>
      </c>
      <c r="AF775" s="183" t="s">
        <v>265</v>
      </c>
      <c r="AG775" s="183">
        <v>1</v>
      </c>
      <c r="AH775" s="181">
        <v>10</v>
      </c>
      <c r="AI775" s="181">
        <v>0</v>
      </c>
      <c r="AJ775" s="181">
        <f>VLOOKUP($I775,'Price List, Weapons &amp; Items'!B:F,5,0)</f>
        <v>1</v>
      </c>
      <c r="AK775" s="181">
        <f t="shared" si="154"/>
        <v>0</v>
      </c>
      <c r="AL775" s="181">
        <f t="shared" si="155"/>
        <v>1</v>
      </c>
      <c r="AM775" s="181">
        <f t="shared" si="156"/>
        <v>0</v>
      </c>
      <c r="AN775" s="180" t="str">
        <f>VLOOKUP($I775,'Price List, Weapons &amp; Items'!B:L,COLUMN('Price List, Weapons &amp; Items'!$J$11)-1,0)</f>
        <v>Government information</v>
      </c>
      <c r="AO775" s="180" t="str">
        <f>IF(I775=".",".",VLOOKUP($I775,'Price List, Weapons &amp; Items'!B:J,3,0))</f>
        <v>155mm howitzer</v>
      </c>
      <c r="AP775" s="545" t="e">
        <f t="shared" ca="1" si="151"/>
        <v>#NAME?</v>
      </c>
      <c r="AQ775" s="180">
        <f>VLOOKUP($I775,'Price List, Weapons &amp; Items'!B:L,COLUMN('Price List, Weapons &amp; Items'!$L$11)-1,0)</f>
        <v>2</v>
      </c>
      <c r="AR775" s="180">
        <f t="shared" si="157"/>
        <v>1</v>
      </c>
      <c r="AS775" s="180">
        <f t="shared" si="158"/>
        <v>1</v>
      </c>
      <c r="AT775" s="180">
        <f t="shared" si="159"/>
        <v>1</v>
      </c>
      <c r="AU775" s="180" t="str">
        <f t="shared" si="160"/>
        <v>.</v>
      </c>
      <c r="AV775" s="180" t="str">
        <f t="shared" si="161"/>
        <v>.</v>
      </c>
      <c r="AW775" s="180">
        <f>IFERROR(VLOOKUP(B775,'Share, Heavy Weapons to Ukraine'!B:J,COLUMN('Share, Heavy Weapons to Ukraine'!C788)-1,0),0)</f>
        <v>1</v>
      </c>
      <c r="AX775" s="180">
        <f>VLOOKUP('Bilateral Assistance, MAIN DATA'!B775,'Country Summary'!B:F,COLUMN('Country Summary'!C791)-1,FALSE)</f>
        <v>0</v>
      </c>
      <c r="AY775" s="180">
        <f>IF(AND(AD775=1,D775="Military",H775&lt;&gt;"Not given")=TRUE,IF(SUMIFS(P:P,A:A,A775)&gt;0,ABS((SUMIFS(P:P,A:A,A775)/VLOOKUP("USD",'Exchange Rates'!B:C,2,0)))/S775,"."),".")</f>
        <v>1.3449345713467662</v>
      </c>
      <c r="AZ775" s="182">
        <f>IF(AND(AD775=1,D775="Military",H775&lt;&gt;"Not given")=TRUE,IF(SUMIFS(P:P,A:A,A775)&gt;0,IF((ABS((SUMIFS(P:P,A:A,A775)/VLOOKUP("USD",'Exchange Rates'!B:C,2,0)))/S775)&gt;1,(SUMIFS(P:P,A:A,A775)-S775)/S775,(S775-SUMIFS(P:P,A:A,A775))/SUMIFS(P:P,A:A,A775)),"."),".")</f>
        <v>0.41218129991410446</v>
      </c>
      <c r="BA775" s="182"/>
      <c r="BB775" s="182"/>
      <c r="BC775" s="182"/>
      <c r="BD775" s="182"/>
      <c r="BE775" s="182"/>
      <c r="BF775" s="182"/>
      <c r="BG775" s="182"/>
      <c r="BH775" s="182"/>
      <c r="BI775" s="182"/>
      <c r="BJ775" s="182"/>
      <c r="BK775" s="182"/>
      <c r="BL775" s="182"/>
      <c r="BM775" s="182"/>
      <c r="BN775" s="182"/>
      <c r="BO775" s="182"/>
      <c r="BP775" s="182"/>
      <c r="BQ775" s="182"/>
      <c r="BR775" s="182"/>
      <c r="BS775" s="182"/>
    </row>
    <row r="776" spans="1:71" ht="15.9" customHeight="1" x14ac:dyDescent="0.3">
      <c r="A776" s="5" t="s">
        <v>2262</v>
      </c>
      <c r="B776" s="5" t="s">
        <v>2206</v>
      </c>
      <c r="C776" s="174">
        <v>44834</v>
      </c>
      <c r="D776" s="5" t="s">
        <v>285</v>
      </c>
      <c r="E776" s="5" t="s">
        <v>362</v>
      </c>
      <c r="F776" s="175" t="s">
        <v>2263</v>
      </c>
      <c r="G776" s="15" t="s">
        <v>2231</v>
      </c>
      <c r="H776" s="176">
        <v>3000000000</v>
      </c>
      <c r="I776" s="19" t="s">
        <v>260</v>
      </c>
      <c r="J776" s="113" t="str">
        <f>VLOOKUP($I776,'Price List, Weapons &amp; Items'!B:C,2,0)</f>
        <v>.</v>
      </c>
      <c r="K776" s="113" t="str">
        <f>IF(I776=".",I776,VLOOKUP($I776,'Price List, Weapons &amp; Items'!B:D,3,0))</f>
        <v>.</v>
      </c>
      <c r="L776" s="177">
        <f>VLOOKUP(I776,'Price List, Weapons &amp; Items'!B:E,4,0)</f>
        <v>0</v>
      </c>
      <c r="M776" s="572" t="s">
        <v>260</v>
      </c>
      <c r="N776" s="542" t="s">
        <v>260</v>
      </c>
      <c r="O776" s="543" t="str">
        <f>VLOOKUP($I776,'Price List, Weapons &amp; Items'!B:G,6,0)</f>
        <v>.</v>
      </c>
      <c r="P776" s="176" t="str">
        <f t="shared" si="152"/>
        <v>.</v>
      </c>
      <c r="Q776" s="176" t="str">
        <f t="shared" si="153"/>
        <v>.</v>
      </c>
      <c r="R776" s="176">
        <f t="shared" si="150"/>
        <v>3000000000</v>
      </c>
      <c r="S776" s="176">
        <f>IF(AND(AD776=1,R776&lt;&gt;".")=TRUE,R776/VLOOKUP(G776,'Exchange Rates'!B:C,2,0),IF(R776=".",".",""))</f>
        <v>288425485.27587897</v>
      </c>
      <c r="T776" s="176" t="str">
        <f>IF(AD776=1,IF(AF776="Value is not given at all",".",IF(AF776="Value is given by the source",S776,IF(AF776="Value is calculated with prices",(IF(SUMIFS(Q:Q,A:A,A776)&gt;0,SUMIFS(Q:Q,A:A,A776),"."))/VLOOKUP("USD",'Exchange Rates'!B:C,2,0),"Error with coding"))),"")</f>
        <v>.</v>
      </c>
      <c r="U776" s="15" t="s">
        <v>261</v>
      </c>
      <c r="V776" s="305" t="s">
        <v>2264</v>
      </c>
      <c r="W776" s="144" t="s">
        <v>260</v>
      </c>
      <c r="X776" s="144" t="s">
        <v>260</v>
      </c>
      <c r="Y776" s="668" t="s">
        <v>260</v>
      </c>
      <c r="Z776" s="15">
        <v>0</v>
      </c>
      <c r="AA776" s="180">
        <v>0</v>
      </c>
      <c r="AB776" s="184" t="s">
        <v>260</v>
      </c>
      <c r="AC776" s="544" t="str">
        <f>""</f>
        <v/>
      </c>
      <c r="AD776" s="183">
        <v>1</v>
      </c>
      <c r="AE776" s="183" t="s">
        <v>264</v>
      </c>
      <c r="AF776" s="183" t="s">
        <v>265</v>
      </c>
      <c r="AG776" s="183">
        <v>1</v>
      </c>
      <c r="AH776" s="181">
        <v>9</v>
      </c>
      <c r="AI776" s="181">
        <v>0</v>
      </c>
      <c r="AJ776" s="181">
        <f>VLOOKUP($I776,'Price List, Weapons &amp; Items'!B:F,5,0)</f>
        <v>0</v>
      </c>
      <c r="AK776" s="181">
        <f t="shared" si="154"/>
        <v>0</v>
      </c>
      <c r="AL776" s="181">
        <f t="shared" si="155"/>
        <v>0</v>
      </c>
      <c r="AM776" s="181">
        <f t="shared" si="156"/>
        <v>0</v>
      </c>
      <c r="AN776" s="180" t="str">
        <f>VLOOKUP($I776,'Price List, Weapons &amp; Items'!B:L,COLUMN('Price List, Weapons &amp; Items'!$J$11)-1,0)</f>
        <v>.</v>
      </c>
      <c r="AO776" s="180" t="str">
        <f>IF(I776=".",".",VLOOKUP($I776,'Price List, Weapons &amp; Items'!B:J,3,0))</f>
        <v>.</v>
      </c>
      <c r="AP776" s="545" t="e">
        <f t="shared" ca="1" si="151"/>
        <v>#NAME?</v>
      </c>
      <c r="AQ776" s="180" t="str">
        <f>VLOOKUP($I776,'Price List, Weapons &amp; Items'!B:L,COLUMN('Price List, Weapons &amp; Items'!$L$11)-1,0)</f>
        <v>no price, 0 count</v>
      </c>
      <c r="AR776" s="180">
        <f t="shared" si="157"/>
        <v>1</v>
      </c>
      <c r="AS776" s="180">
        <f t="shared" si="158"/>
        <v>0</v>
      </c>
      <c r="AT776" s="180">
        <f t="shared" si="159"/>
        <v>1</v>
      </c>
      <c r="AU776" s="180" t="str">
        <f t="shared" si="160"/>
        <v>.</v>
      </c>
      <c r="AV776" s="180" t="str">
        <f t="shared" si="161"/>
        <v>.</v>
      </c>
      <c r="AW776" s="180">
        <f>IFERROR(VLOOKUP(B776,'Share, Heavy Weapons to Ukraine'!B:J,COLUMN('Share, Heavy Weapons to Ukraine'!C789)-1,0),0)</f>
        <v>1</v>
      </c>
      <c r="AX776" s="180">
        <f>VLOOKUP('Bilateral Assistance, MAIN DATA'!B776,'Country Summary'!B:F,COLUMN('Country Summary'!C792)-1,FALSE)</f>
        <v>0</v>
      </c>
      <c r="AY776" s="180" t="str">
        <f>IF(AND(AD776=1,D776="Military",H776&lt;&gt;"Not given")=TRUE,IF(SUMIFS(P:P,A:A,A776)&gt;0,ABS((SUMIFS(P:P,A:A,A776)/VLOOKUP("USD",'Exchange Rates'!B:C,2,0)))/S776,"."),".")</f>
        <v>.</v>
      </c>
      <c r="AZ776" s="182" t="str">
        <f>IF(AND(AD776=1,D776="Military",H776&lt;&gt;"Not given")=TRUE,IF(SUMIFS(P:P,A:A,A776)&gt;0,IF((ABS((SUMIFS(P:P,A:A,A776)/VLOOKUP("USD",'Exchange Rates'!B:C,2,0)))/S776)&gt;1,(SUMIFS(P:P,A:A,A776)-S776)/S776,(S776-SUMIFS(P:P,A:A,A776))/SUMIFS(P:P,A:A,A776)),"."),".")</f>
        <v>.</v>
      </c>
      <c r="BA776" s="182"/>
      <c r="BB776" s="182"/>
      <c r="BC776" s="182"/>
      <c r="BD776" s="182"/>
      <c r="BE776" s="182"/>
      <c r="BF776" s="182"/>
      <c r="BG776" s="182"/>
      <c r="BH776" s="182"/>
      <c r="BI776" s="182"/>
      <c r="BJ776" s="182"/>
      <c r="BK776" s="182"/>
      <c r="BL776" s="182"/>
      <c r="BM776" s="182"/>
      <c r="BN776" s="182"/>
      <c r="BO776" s="182"/>
      <c r="BP776" s="182"/>
      <c r="BQ776" s="182"/>
      <c r="BR776" s="182"/>
      <c r="BS776" s="182"/>
    </row>
    <row r="777" spans="1:71" ht="15.9" customHeight="1" x14ac:dyDescent="0.3">
      <c r="A777" s="19" t="s">
        <v>2265</v>
      </c>
      <c r="B777" s="19" t="s">
        <v>2206</v>
      </c>
      <c r="C777" s="555">
        <v>44890</v>
      </c>
      <c r="D777" s="19" t="s">
        <v>285</v>
      </c>
      <c r="E777" s="19" t="s">
        <v>2266</v>
      </c>
      <c r="F777" s="19" t="s">
        <v>2267</v>
      </c>
      <c r="G777" s="199" t="s">
        <v>2231</v>
      </c>
      <c r="H777" s="70">
        <v>150000000</v>
      </c>
      <c r="I777" s="19" t="s">
        <v>260</v>
      </c>
      <c r="J777" s="113" t="str">
        <f>VLOOKUP($I777,'Price List, Weapons &amp; Items'!B:C,2,0)</f>
        <v>.</v>
      </c>
      <c r="K777" s="113" t="str">
        <f>IF(I777=".",I777,VLOOKUP($I777,'Price List, Weapons &amp; Items'!B:D,3,0))</f>
        <v>.</v>
      </c>
      <c r="L777" s="177">
        <f>VLOOKUP(I777,'Price List, Weapons &amp; Items'!B:E,4,0)</f>
        <v>0</v>
      </c>
      <c r="M777" s="247" t="s">
        <v>260</v>
      </c>
      <c r="N777" s="247" t="s">
        <v>260</v>
      </c>
      <c r="O777" s="543" t="str">
        <f>VLOOKUP($I777,'Price List, Weapons &amp; Items'!B:G,6,0)</f>
        <v>.</v>
      </c>
      <c r="P777" s="176" t="str">
        <f t="shared" si="152"/>
        <v>.</v>
      </c>
      <c r="Q777" s="176" t="str">
        <f t="shared" si="153"/>
        <v>.</v>
      </c>
      <c r="R777" s="176">
        <f t="shared" si="150"/>
        <v>150000000</v>
      </c>
      <c r="S777" s="176">
        <f>IF(AND(AD777=1,R777&lt;&gt;".")=TRUE,R777/VLOOKUP(G777,'Exchange Rates'!B:C,2,0),IF(R777=".",".",""))</f>
        <v>14421274.263793947</v>
      </c>
      <c r="T777" s="176" t="str">
        <f>IF(AD777=1,IF(AF777="Value is not given at all",".",IF(AF777="Value is given by the source",S777,IF(AF777="Value is calculated with prices",(IF(SUMIFS(Q:Q,A:A,A777)&gt;0,SUMIFS(Q:Q,A:A,A777),"."))/VLOOKUP("USD",'Exchange Rates'!B:C,2,0),"Error with coding"))),"")</f>
        <v>.</v>
      </c>
      <c r="U777" s="199" t="s">
        <v>261</v>
      </c>
      <c r="V777" s="304" t="s">
        <v>2268</v>
      </c>
      <c r="W777" s="552"/>
      <c r="X777" s="19" t="s">
        <v>260</v>
      </c>
      <c r="Y777" s="19" t="s">
        <v>260</v>
      </c>
      <c r="Z777" s="199">
        <v>0</v>
      </c>
      <c r="AA777" s="199">
        <v>1</v>
      </c>
      <c r="AB777" s="19" t="s">
        <v>260</v>
      </c>
      <c r="AC777" s="544" t="str">
        <f>""</f>
        <v/>
      </c>
      <c r="AD777" s="199">
        <v>1</v>
      </c>
      <c r="AE777" s="199" t="s">
        <v>264</v>
      </c>
      <c r="AF777" s="199" t="s">
        <v>265</v>
      </c>
      <c r="AG777" s="199">
        <v>1</v>
      </c>
      <c r="AH777" s="199">
        <v>11</v>
      </c>
      <c r="AI777" s="199">
        <v>0</v>
      </c>
      <c r="AJ777" s="181">
        <f>VLOOKUP($I777,'Price List, Weapons &amp; Items'!B:F,5,0)</f>
        <v>0</v>
      </c>
      <c r="AK777" s="181">
        <f t="shared" si="154"/>
        <v>0</v>
      </c>
      <c r="AL777" s="181">
        <f t="shared" si="155"/>
        <v>0</v>
      </c>
      <c r="AM777" s="181">
        <f t="shared" si="156"/>
        <v>0</v>
      </c>
      <c r="AN777" s="180" t="str">
        <f>VLOOKUP($I777,'Price List, Weapons &amp; Items'!B:L,COLUMN('Price List, Weapons &amp; Items'!$J$11)-1,0)</f>
        <v>.</v>
      </c>
      <c r="AO777" s="180" t="str">
        <f>IF(I777=".",".",VLOOKUP($I777,'Price List, Weapons &amp; Items'!B:J,3,0))</f>
        <v>.</v>
      </c>
      <c r="AP777" s="545" t="e">
        <f t="shared" ca="1" si="151"/>
        <v>#NAME?</v>
      </c>
      <c r="AQ777" s="180" t="str">
        <f>VLOOKUP($I777,'Price List, Weapons &amp; Items'!B:L,COLUMN('Price List, Weapons &amp; Items'!$L$11)-1,0)</f>
        <v>no price, 0 count</v>
      </c>
      <c r="AR777" s="180">
        <f t="shared" si="157"/>
        <v>1</v>
      </c>
      <c r="AS777" s="180">
        <f t="shared" si="158"/>
        <v>0</v>
      </c>
      <c r="AT777" s="180">
        <f t="shared" si="159"/>
        <v>1</v>
      </c>
      <c r="AU777" s="180" t="str">
        <f t="shared" si="160"/>
        <v>.</v>
      </c>
      <c r="AV777" s="180" t="str">
        <f t="shared" si="161"/>
        <v>.</v>
      </c>
      <c r="AW777" s="180">
        <f>IFERROR(VLOOKUP(B777,'Share, Heavy Weapons to Ukraine'!B:J,COLUMN('Share, Heavy Weapons to Ukraine'!C790)-1,0),0)</f>
        <v>1</v>
      </c>
      <c r="AX777" s="180">
        <f>VLOOKUP('Bilateral Assistance, MAIN DATA'!B777,'Country Summary'!B:F,COLUMN('Country Summary'!C793)-1,FALSE)</f>
        <v>0</v>
      </c>
      <c r="AY777" s="180" t="str">
        <f>IF(AND(AD777=1,D777="Military",H777&lt;&gt;"Not given")=TRUE,IF(SUMIFS(P:P,A:A,A777)&gt;0,ABS((SUMIFS(P:P,A:A,A777)/VLOOKUP("USD",'Exchange Rates'!B:C,2,0)))/S777,"."),".")</f>
        <v>.</v>
      </c>
      <c r="AZ777" s="182" t="str">
        <f>IF(AND(AD777=1,D777="Military",H777&lt;&gt;"Not given")=TRUE,IF(SUMIFS(P:P,A:A,A777)&gt;0,IF((ABS((SUMIFS(P:P,A:A,A777)/VLOOKUP("USD",'Exchange Rates'!B:C,2,0)))/S777)&gt;1,(SUMIFS(P:P,A:A,A777)-S777)/S777,(S777-SUMIFS(P:P,A:A,A777))/SUMIFS(P:P,A:A,A777)),"."),".")</f>
        <v>.</v>
      </c>
      <c r="BA777" s="182"/>
      <c r="BB777" s="182"/>
      <c r="BC777" s="182"/>
      <c r="BD777" s="182"/>
      <c r="BE777" s="182"/>
      <c r="BF777" s="182"/>
      <c r="BG777" s="182"/>
      <c r="BH777" s="182"/>
      <c r="BI777" s="182"/>
      <c r="BJ777" s="182"/>
      <c r="BK777" s="182"/>
      <c r="BL777" s="182"/>
      <c r="BM777" s="182"/>
      <c r="BN777" s="182"/>
      <c r="BO777" s="182"/>
      <c r="BP777" s="182"/>
      <c r="BQ777" s="182"/>
      <c r="BR777" s="182"/>
      <c r="BS777" s="182"/>
    </row>
    <row r="778" spans="1:71" ht="15.9" customHeight="1" x14ac:dyDescent="0.3">
      <c r="A778" s="19" t="s">
        <v>2269</v>
      </c>
      <c r="B778" s="19" t="s">
        <v>2206</v>
      </c>
      <c r="C778" s="555">
        <v>44896</v>
      </c>
      <c r="D778" s="19" t="s">
        <v>285</v>
      </c>
      <c r="E778" s="19" t="s">
        <v>286</v>
      </c>
      <c r="F778" s="19" t="s">
        <v>2270</v>
      </c>
      <c r="G778" s="199" t="s">
        <v>2231</v>
      </c>
      <c r="H778" s="70">
        <v>280000000</v>
      </c>
      <c r="I778" s="19" t="s">
        <v>441</v>
      </c>
      <c r="J778" s="113" t="str">
        <f>VLOOKUP($I778,'Price List, Weapons &amp; Items'!B:C,2,0)</f>
        <v>Portable defence system</v>
      </c>
      <c r="K778" s="113" t="str">
        <f>IF(I778=".",I778,VLOOKUP($I778,'Price List, Weapons &amp; Items'!B:D,3,0))</f>
        <v>Light Anti-armor Weapon (LAW)</v>
      </c>
      <c r="L778" s="177">
        <f>VLOOKUP(I778,'Price List, Weapons &amp; Items'!B:E,4,0)</f>
        <v>0</v>
      </c>
      <c r="M778" s="247" t="s">
        <v>270</v>
      </c>
      <c r="N778" s="247" t="s">
        <v>270</v>
      </c>
      <c r="O778" s="543">
        <f>VLOOKUP($I778,'Price List, Weapons &amp; Items'!B:G,6,0)</f>
        <v>1475</v>
      </c>
      <c r="P778" s="176" t="str">
        <f t="shared" si="152"/>
        <v>.</v>
      </c>
      <c r="Q778" s="176" t="str">
        <f t="shared" si="153"/>
        <v>.</v>
      </c>
      <c r="R778" s="176">
        <f t="shared" si="150"/>
        <v>280000000</v>
      </c>
      <c r="S778" s="176">
        <f>IF(AND(AD778=1,R778&lt;&gt;".")=TRUE,R778/VLOOKUP(G778,'Exchange Rates'!B:C,2,0),IF(R778=".",".",""))</f>
        <v>26919711.959082037</v>
      </c>
      <c r="T778" s="176" t="str">
        <f>IF(AD778=1,IF(AF778="Value is not given at all",".",IF(AF778="Value is given by the source",S778,IF(AF778="Value is calculated with prices",(IF(SUMIFS(Q:Q,A:A,A778)&gt;0,SUMIFS(Q:Q,A:A,A778),"."))/VLOOKUP("USD",'Exchange Rates'!B:C,2,0),"Error with coding"))),"")</f>
        <v>.</v>
      </c>
      <c r="U778" s="199" t="s">
        <v>261</v>
      </c>
      <c r="V778" s="304" t="s">
        <v>2271</v>
      </c>
      <c r="W778" s="552"/>
      <c r="X778" s="552"/>
      <c r="Y778" s="693" t="s">
        <v>260</v>
      </c>
      <c r="Z778" s="199">
        <v>0</v>
      </c>
      <c r="AA778" s="199">
        <v>1</v>
      </c>
      <c r="AB778" s="19" t="s">
        <v>260</v>
      </c>
      <c r="AC778" s="544" t="str">
        <f>""</f>
        <v/>
      </c>
      <c r="AD778" s="199">
        <v>1</v>
      </c>
      <c r="AE778" s="199" t="s">
        <v>264</v>
      </c>
      <c r="AF778" s="199" t="s">
        <v>265</v>
      </c>
      <c r="AG778" s="199">
        <v>1</v>
      </c>
      <c r="AH778" s="199">
        <v>12</v>
      </c>
      <c r="AI778" s="199">
        <v>0</v>
      </c>
      <c r="AJ778" s="181">
        <f>VLOOKUP($I778,'Price List, Weapons &amp; Items'!B:F,5,0)</f>
        <v>0</v>
      </c>
      <c r="AK778" s="181">
        <f t="shared" si="154"/>
        <v>0</v>
      </c>
      <c r="AL778" s="181">
        <f t="shared" si="155"/>
        <v>0</v>
      </c>
      <c r="AM778" s="181">
        <f t="shared" si="156"/>
        <v>0</v>
      </c>
      <c r="AN778" s="180" t="str">
        <f>VLOOKUP($I778,'Price List, Weapons &amp; Items'!B:L,COLUMN('Price List, Weapons &amp; Items'!$J$11)-1,0)</f>
        <v>Military media (incl. websites)</v>
      </c>
      <c r="AO778" s="180" t="str">
        <f>IF(I778=".",".",VLOOKUP($I778,'Price List, Weapons &amp; Items'!B:J,3,0))</f>
        <v>Light Anti-armor Weapon (LAW)</v>
      </c>
      <c r="AP778" s="545" t="e">
        <f t="shared" ca="1" si="151"/>
        <v>#NAME?</v>
      </c>
      <c r="AQ778" s="180">
        <f>VLOOKUP($I778,'Price List, Weapons &amp; Items'!B:L,COLUMN('Price List, Weapons &amp; Items'!$L$11)-1,0)</f>
        <v>2</v>
      </c>
      <c r="AR778" s="180">
        <f t="shared" si="157"/>
        <v>1</v>
      </c>
      <c r="AS778" s="180">
        <f t="shared" si="158"/>
        <v>1</v>
      </c>
      <c r="AT778" s="180">
        <f t="shared" si="159"/>
        <v>1</v>
      </c>
      <c r="AU778" s="180" t="str">
        <f t="shared" si="160"/>
        <v>.</v>
      </c>
      <c r="AV778" s="180" t="str">
        <f t="shared" si="161"/>
        <v>.</v>
      </c>
      <c r="AW778" s="180">
        <f>IFERROR(VLOOKUP(B778,'Share, Heavy Weapons to Ukraine'!B:J,COLUMN('Share, Heavy Weapons to Ukraine'!C791)-1,0),0)</f>
        <v>1</v>
      </c>
      <c r="AX778" s="180">
        <f>VLOOKUP('Bilateral Assistance, MAIN DATA'!B778,'Country Summary'!B:F,COLUMN('Country Summary'!C794)-1,FALSE)</f>
        <v>0</v>
      </c>
      <c r="AY778" s="180" t="str">
        <f>IF(AND(AD778=1,D778="Military",H778&lt;&gt;"Not given")=TRUE,IF(SUMIFS(P:P,A:A,A778)&gt;0,ABS((SUMIFS(P:P,A:A,A778)/VLOOKUP("USD",'Exchange Rates'!B:C,2,0)))/S778,"."),".")</f>
        <v>.</v>
      </c>
      <c r="AZ778" s="182" t="str">
        <f>IF(AND(AD778=1,D778="Military",H778&lt;&gt;"Not given")=TRUE,IF(SUMIFS(P:P,A:A,A778)&gt;0,IF((ABS((SUMIFS(P:P,A:A,A778)/VLOOKUP("USD",'Exchange Rates'!B:C,2,0)))/S778)&gt;1,(SUMIFS(P:P,A:A,A778)-S778)/S778,(S778-SUMIFS(P:P,A:A,A778))/SUMIFS(P:P,A:A,A778)),"."),".")</f>
        <v>.</v>
      </c>
      <c r="BA778" s="182"/>
      <c r="BB778" s="182"/>
      <c r="BC778" s="182"/>
      <c r="BD778" s="182"/>
      <c r="BE778" s="182"/>
      <c r="BF778" s="182"/>
      <c r="BG778" s="182"/>
      <c r="BH778" s="182"/>
      <c r="BI778" s="182"/>
      <c r="BJ778" s="182"/>
      <c r="BK778" s="182"/>
      <c r="BL778" s="182"/>
      <c r="BM778" s="182"/>
      <c r="BN778" s="182"/>
      <c r="BO778" s="182"/>
      <c r="BP778" s="182"/>
      <c r="BQ778" s="182"/>
      <c r="BR778" s="182"/>
      <c r="BS778" s="182"/>
    </row>
    <row r="779" spans="1:71" ht="15.9" customHeight="1" x14ac:dyDescent="0.3">
      <c r="A779" s="19" t="s">
        <v>2269</v>
      </c>
      <c r="B779" s="19" t="s">
        <v>2206</v>
      </c>
      <c r="C779" s="555">
        <v>44896</v>
      </c>
      <c r="D779" s="19" t="s">
        <v>285</v>
      </c>
      <c r="E779" s="19" t="s">
        <v>286</v>
      </c>
      <c r="F779" s="19" t="s">
        <v>2270</v>
      </c>
      <c r="G779" s="199" t="s">
        <v>2231</v>
      </c>
      <c r="H779" s="70">
        <v>280000000</v>
      </c>
      <c r="I779" s="19" t="s">
        <v>2272</v>
      </c>
      <c r="J779" s="113" t="str">
        <f>VLOOKUP($I779,'Price List, Weapons &amp; Items'!B:C,2,0)</f>
        <v>Portable defence system</v>
      </c>
      <c r="K779" s="113" t="str">
        <f>IF(I779=".",I779,VLOOKUP($I779,'Price List, Weapons &amp; Items'!B:D,3,0))</f>
        <v>Light Anti-armor Weapon (LAW)</v>
      </c>
      <c r="L779" s="177">
        <f>VLOOKUP(I779,'Price List, Weapons &amp; Items'!B:E,4,0)</f>
        <v>0</v>
      </c>
      <c r="M779" s="247" t="s">
        <v>270</v>
      </c>
      <c r="N779" s="247" t="s">
        <v>270</v>
      </c>
      <c r="O779" s="543">
        <f>VLOOKUP($I779,'Price List, Weapons &amp; Items'!B:G,6,0)</f>
        <v>17867.830000000002</v>
      </c>
      <c r="P779" s="176" t="str">
        <f t="shared" si="152"/>
        <v>.</v>
      </c>
      <c r="Q779" s="176" t="str">
        <f t="shared" si="153"/>
        <v>.</v>
      </c>
      <c r="R779" s="176" t="str">
        <f t="shared" si="150"/>
        <v/>
      </c>
      <c r="S779" s="176" t="str">
        <f>IF(AND(AD779=1,R779&lt;&gt;".")=TRUE,R779/VLOOKUP(G779,'Exchange Rates'!B:C,2,0),IF(R779=".",".",""))</f>
        <v/>
      </c>
      <c r="T779" s="176" t="str">
        <f>IF(AD779=1,IF(AF779="Value is not given at all",".",IF(AF779="Value is given by the source",S779,IF(AF779="Value is calculated with prices",(IF(SUMIFS(Q:Q,A:A,A779)&gt;0,SUMIFS(Q:Q,A:A,A779),"."))/VLOOKUP("USD",'Exchange Rates'!B:C,2,0),"Error with coding"))),"")</f>
        <v/>
      </c>
      <c r="U779" s="199" t="s">
        <v>261</v>
      </c>
      <c r="V779" s="304" t="s">
        <v>2271</v>
      </c>
      <c r="W779" s="552"/>
      <c r="X779" s="552"/>
      <c r="Y779" s="693" t="s">
        <v>260</v>
      </c>
      <c r="Z779" s="199">
        <v>0</v>
      </c>
      <c r="AA779" s="199">
        <v>1</v>
      </c>
      <c r="AB779" s="19" t="s">
        <v>260</v>
      </c>
      <c r="AC779" s="544" t="str">
        <f>""</f>
        <v/>
      </c>
      <c r="AD779" s="199">
        <v>0</v>
      </c>
      <c r="AE779" s="199" t="s">
        <v>264</v>
      </c>
      <c r="AF779" s="199" t="s">
        <v>265</v>
      </c>
      <c r="AG779" s="199">
        <v>1</v>
      </c>
      <c r="AH779" s="199">
        <v>12</v>
      </c>
      <c r="AI779" s="199">
        <v>0</v>
      </c>
      <c r="AJ779" s="181">
        <f>VLOOKUP($I779,'Price List, Weapons &amp; Items'!B:F,5,0)</f>
        <v>0</v>
      </c>
      <c r="AK779" s="181">
        <f t="shared" si="154"/>
        <v>0</v>
      </c>
      <c r="AL779" s="181">
        <f t="shared" si="155"/>
        <v>0</v>
      </c>
      <c r="AM779" s="181">
        <f t="shared" si="156"/>
        <v>0</v>
      </c>
      <c r="AN779" s="180" t="str">
        <f>VLOOKUP($I779,'Price List, Weapons &amp; Items'!B:L,COLUMN('Price List, Weapons &amp; Items'!$J$11)-1,0)</f>
        <v>Military media (incl. websites)</v>
      </c>
      <c r="AO779" s="180" t="str">
        <f>IF(I779=".",".",VLOOKUP($I779,'Price List, Weapons &amp; Items'!B:J,3,0))</f>
        <v>Light Anti-armor Weapon (LAW)</v>
      </c>
      <c r="AP779" s="545" t="str">
        <f t="shared" ca="1" si="151"/>
        <v/>
      </c>
      <c r="AQ779" s="180" t="str">
        <f>VLOOKUP($I779,'Price List, Weapons &amp; Items'!B:L,COLUMN('Price List, Weapons &amp; Items'!$L$11)-1,0)</f>
        <v>no price, 0 count</v>
      </c>
      <c r="AR779" s="180">
        <f t="shared" si="157"/>
        <v>1</v>
      </c>
      <c r="AS779" s="180">
        <f t="shared" si="158"/>
        <v>1</v>
      </c>
      <c r="AT779" s="180">
        <f t="shared" si="159"/>
        <v>1</v>
      </c>
      <c r="AU779" s="180" t="str">
        <f t="shared" si="160"/>
        <v>.</v>
      </c>
      <c r="AV779" s="180" t="str">
        <f t="shared" si="161"/>
        <v>.</v>
      </c>
      <c r="AW779" s="180">
        <f>IFERROR(VLOOKUP(B779,'Share, Heavy Weapons to Ukraine'!B:J,COLUMN('Share, Heavy Weapons to Ukraine'!C792)-1,0),0)</f>
        <v>1</v>
      </c>
      <c r="AX779" s="180">
        <f>VLOOKUP('Bilateral Assistance, MAIN DATA'!B779,'Country Summary'!B:F,COLUMN('Country Summary'!C795)-1,FALSE)</f>
        <v>0</v>
      </c>
      <c r="AY779" s="180" t="str">
        <f>IF(AND(AD779=1,D779="Military",H779&lt;&gt;"Not given")=TRUE,IF(SUMIFS(P:P,A:A,A779)&gt;0,ABS((SUMIFS(P:P,A:A,A779)/VLOOKUP("USD",'Exchange Rates'!B:C,2,0)))/S779,"."),".")</f>
        <v>.</v>
      </c>
      <c r="AZ779" s="182" t="str">
        <f>IF(AND(AD779=1,D779="Military",H779&lt;&gt;"Not given")=TRUE,IF(SUMIFS(P:P,A:A,A779)&gt;0,IF((ABS((SUMIFS(P:P,A:A,A779)/VLOOKUP("USD",'Exchange Rates'!B:C,2,0)))/S779)&gt;1,(SUMIFS(P:P,A:A,A779)-S779)/S779,(S779-SUMIFS(P:P,A:A,A779))/SUMIFS(P:P,A:A,A779)),"."),".")</f>
        <v>.</v>
      </c>
      <c r="BA779" s="182"/>
      <c r="BB779" s="182"/>
      <c r="BC779" s="182"/>
      <c r="BD779" s="182"/>
      <c r="BE779" s="182"/>
      <c r="BF779" s="182"/>
      <c r="BG779" s="182"/>
      <c r="BH779" s="182"/>
      <c r="BI779" s="182"/>
      <c r="BJ779" s="182"/>
      <c r="BK779" s="182"/>
      <c r="BL779" s="182"/>
      <c r="BM779" s="182"/>
      <c r="BN779" s="182"/>
      <c r="BO779" s="182"/>
      <c r="BP779" s="182"/>
      <c r="BQ779" s="182"/>
      <c r="BR779" s="182"/>
      <c r="BS779" s="182"/>
    </row>
    <row r="780" spans="1:71" ht="15.9" customHeight="1" x14ac:dyDescent="0.3">
      <c r="A780" s="17" t="s">
        <v>2273</v>
      </c>
      <c r="B780" s="17" t="s">
        <v>2206</v>
      </c>
      <c r="C780" s="174" t="s">
        <v>2222</v>
      </c>
      <c r="D780" s="5" t="s">
        <v>256</v>
      </c>
      <c r="E780" s="5" t="s">
        <v>267</v>
      </c>
      <c r="F780" s="175" t="s">
        <v>2274</v>
      </c>
      <c r="G780" s="15" t="s">
        <v>2231</v>
      </c>
      <c r="H780" s="176">
        <v>265000000</v>
      </c>
      <c r="I780" s="184" t="s">
        <v>260</v>
      </c>
      <c r="J780" s="113" t="str">
        <f>VLOOKUP($I780,'Price List, Weapons &amp; Items'!B:C,2,0)</f>
        <v>.</v>
      </c>
      <c r="K780" s="113" t="str">
        <f>IF(I780=".",I780,VLOOKUP($I780,'Price List, Weapons &amp; Items'!B:D,3,0))</f>
        <v>.</v>
      </c>
      <c r="L780" s="177">
        <f>VLOOKUP(I780,'Price List, Weapons &amp; Items'!B:E,4,0)</f>
        <v>0</v>
      </c>
      <c r="M780" s="542" t="s">
        <v>260</v>
      </c>
      <c r="N780" s="542" t="s">
        <v>260</v>
      </c>
      <c r="O780" s="543" t="str">
        <f>VLOOKUP($I780,'Price List, Weapons &amp; Items'!B:G,6,0)</f>
        <v>.</v>
      </c>
      <c r="P780" s="176" t="str">
        <f t="shared" si="152"/>
        <v>.</v>
      </c>
      <c r="Q780" s="176" t="str">
        <f t="shared" si="153"/>
        <v>.</v>
      </c>
      <c r="R780" s="176">
        <f t="shared" si="150"/>
        <v>265000000</v>
      </c>
      <c r="S780" s="176">
        <f>IF(AND(AD780=1,R780&lt;&gt;".")=TRUE,R780/VLOOKUP(G780,'Exchange Rates'!B:C,2,0),IF(R780=".",".",""))</f>
        <v>25477584.53270264</v>
      </c>
      <c r="T780" s="176" t="str">
        <f>IF(AD780=1,IF(AF780="Value is not given at all",".",IF(AF780="Value is given by the source",S780,IF(AF780="Value is calculated with prices",(IF(SUMIFS(Q:Q,A:A,A780)&gt;0,SUMIFS(Q:Q,A:A,A780),"."))/VLOOKUP("USD",'Exchange Rates'!B:C,2,0),"Error with coding"))),"")</f>
        <v>.</v>
      </c>
      <c r="U780" s="15" t="s">
        <v>261</v>
      </c>
      <c r="V780" s="300" t="s">
        <v>2275</v>
      </c>
      <c r="W780" s="300" t="s">
        <v>2276</v>
      </c>
      <c r="X780" s="175" t="s">
        <v>260</v>
      </c>
      <c r="Y780" s="175" t="s">
        <v>260</v>
      </c>
      <c r="Z780" s="15">
        <v>0</v>
      </c>
      <c r="AA780" s="180">
        <v>0</v>
      </c>
      <c r="AB780" s="184" t="s">
        <v>260</v>
      </c>
      <c r="AC780" s="544" t="str">
        <f>""</f>
        <v/>
      </c>
      <c r="AD780" s="181">
        <v>1</v>
      </c>
      <c r="AE780" s="181" t="s">
        <v>264</v>
      </c>
      <c r="AF780" s="181" t="s">
        <v>265</v>
      </c>
      <c r="AG780" s="181">
        <v>1</v>
      </c>
      <c r="AH780" s="181">
        <v>4</v>
      </c>
      <c r="AI780" s="181">
        <v>0</v>
      </c>
      <c r="AJ780" s="181">
        <f>VLOOKUP($I780,'Price List, Weapons &amp; Items'!B:F,5,0)</f>
        <v>0</v>
      </c>
      <c r="AK780" s="181">
        <f t="shared" si="154"/>
        <v>0</v>
      </c>
      <c r="AL780" s="181">
        <f t="shared" si="155"/>
        <v>0</v>
      </c>
      <c r="AM780" s="181">
        <f t="shared" si="156"/>
        <v>0</v>
      </c>
      <c r="AN780" s="180" t="str">
        <f>VLOOKUP($I780,'Price List, Weapons &amp; Items'!B:L,COLUMN('Price List, Weapons &amp; Items'!$J$11)-1,0)</f>
        <v>.</v>
      </c>
      <c r="AO780" s="180" t="str">
        <f>IF(I780=".",".",VLOOKUP($I780,'Price List, Weapons &amp; Items'!B:J,3,0))</f>
        <v>.</v>
      </c>
      <c r="AP780" s="545" t="e">
        <f t="shared" ca="1" si="151"/>
        <v>#NAME?</v>
      </c>
      <c r="AQ780" s="180" t="str">
        <f>VLOOKUP($I780,'Price List, Weapons &amp; Items'!B:L,COLUMN('Price List, Weapons &amp; Items'!$L$11)-1,0)</f>
        <v>no price, 0 count</v>
      </c>
      <c r="AR780" s="180">
        <f t="shared" si="157"/>
        <v>1</v>
      </c>
      <c r="AS780" s="180">
        <f t="shared" si="158"/>
        <v>0</v>
      </c>
      <c r="AT780" s="180" t="str">
        <f t="shared" si="159"/>
        <v>Value is not in date format</v>
      </c>
      <c r="AU780" s="180" t="str">
        <f t="shared" si="160"/>
        <v>.</v>
      </c>
      <c r="AV780" s="180" t="str">
        <f t="shared" si="161"/>
        <v>.</v>
      </c>
      <c r="AW780" s="180">
        <f>IFERROR(VLOOKUP(B780,'Share, Heavy Weapons to Ukraine'!B:J,COLUMN('Share, Heavy Weapons to Ukraine'!C793)-1,0),0)</f>
        <v>1</v>
      </c>
      <c r="AX780" s="180">
        <f>VLOOKUP('Bilateral Assistance, MAIN DATA'!B780,'Country Summary'!B:F,COLUMN('Country Summary'!C796)-1,FALSE)</f>
        <v>0</v>
      </c>
      <c r="AY780" s="180" t="str">
        <f>IF(AND(AD780=1,D780="Military",H780&lt;&gt;"Not given")=TRUE,IF(SUMIFS(P:P,A:A,A780)&gt;0,ABS((SUMIFS(P:P,A:A,A780)/VLOOKUP("USD",'Exchange Rates'!B:C,2,0)))/S780,"."),".")</f>
        <v>.</v>
      </c>
      <c r="AZ780" s="182" t="str">
        <f>IF(AND(AD780=1,D780="Military",H780&lt;&gt;"Not given")=TRUE,IF(SUMIFS(P:P,A:A,A780)&gt;0,IF((ABS((SUMIFS(P:P,A:A,A780)/VLOOKUP("USD",'Exchange Rates'!B:C,2,0)))/S780)&gt;1,(SUMIFS(P:P,A:A,A780)-S780)/S780,(S780-SUMIFS(P:P,A:A,A780))/SUMIFS(P:P,A:A,A780)),"."),".")</f>
        <v>.</v>
      </c>
      <c r="BA780" s="182"/>
      <c r="BB780" s="182"/>
      <c r="BC780" s="182"/>
      <c r="BD780" s="182"/>
      <c r="BE780" s="182"/>
      <c r="BF780" s="182"/>
      <c r="BG780" s="182"/>
      <c r="BH780" s="182"/>
      <c r="BI780" s="182"/>
      <c r="BJ780" s="182"/>
      <c r="BK780" s="182"/>
      <c r="BL780" s="182"/>
      <c r="BM780" s="182"/>
      <c r="BN780" s="182"/>
      <c r="BO780" s="182"/>
      <c r="BP780" s="182"/>
      <c r="BQ780" s="182"/>
      <c r="BR780" s="182"/>
      <c r="BS780" s="182"/>
    </row>
    <row r="781" spans="1:71" ht="15.9" customHeight="1" x14ac:dyDescent="0.3">
      <c r="A781" s="17" t="s">
        <v>2277</v>
      </c>
      <c r="B781" s="17" t="s">
        <v>2206</v>
      </c>
      <c r="C781" s="174" t="s">
        <v>2222</v>
      </c>
      <c r="D781" s="5" t="s">
        <v>256</v>
      </c>
      <c r="E781" s="5" t="s">
        <v>267</v>
      </c>
      <c r="F781" s="175" t="s">
        <v>2278</v>
      </c>
      <c r="G781" s="15" t="s">
        <v>2231</v>
      </c>
      <c r="H781" s="176">
        <v>100000000</v>
      </c>
      <c r="I781" s="184" t="s">
        <v>260</v>
      </c>
      <c r="J781" s="113" t="str">
        <f>VLOOKUP($I781,'Price List, Weapons &amp; Items'!B:C,2,0)</f>
        <v>.</v>
      </c>
      <c r="K781" s="113" t="str">
        <f>IF(I781=".",I781,VLOOKUP($I781,'Price List, Weapons &amp; Items'!B:D,3,0))</f>
        <v>.</v>
      </c>
      <c r="L781" s="177">
        <f>VLOOKUP(I781,'Price List, Weapons &amp; Items'!B:E,4,0)</f>
        <v>0</v>
      </c>
      <c r="M781" s="542" t="s">
        <v>260</v>
      </c>
      <c r="N781" s="542" t="s">
        <v>260</v>
      </c>
      <c r="O781" s="543" t="str">
        <f>VLOOKUP($I781,'Price List, Weapons &amp; Items'!B:G,6,0)</f>
        <v>.</v>
      </c>
      <c r="P781" s="176" t="str">
        <f t="shared" si="152"/>
        <v>.</v>
      </c>
      <c r="Q781" s="176" t="str">
        <f t="shared" si="153"/>
        <v>.</v>
      </c>
      <c r="R781" s="176">
        <f t="shared" si="150"/>
        <v>100000000</v>
      </c>
      <c r="S781" s="176">
        <f>IF(AND(AD781=1,R781&lt;&gt;".")=TRUE,R781/VLOOKUP(G781,'Exchange Rates'!B:C,2,0),IF(R781=".",".",""))</f>
        <v>9614182.8425292987</v>
      </c>
      <c r="T781" s="176" t="str">
        <f>IF(AD781=1,IF(AF781="Value is not given at all",".",IF(AF781="Value is given by the source",S781,IF(AF781="Value is calculated with prices",(IF(SUMIFS(Q:Q,A:A,A781)&gt;0,SUMIFS(Q:Q,A:A,A781),"."))/VLOOKUP("USD",'Exchange Rates'!B:C,2,0),"Error with coding"))),"")</f>
        <v>.</v>
      </c>
      <c r="U781" s="15" t="s">
        <v>261</v>
      </c>
      <c r="V781" s="300" t="s">
        <v>2218</v>
      </c>
      <c r="W781" s="175" t="s">
        <v>260</v>
      </c>
      <c r="X781" s="175" t="s">
        <v>260</v>
      </c>
      <c r="Y781" s="175" t="s">
        <v>260</v>
      </c>
      <c r="Z781" s="15">
        <v>0</v>
      </c>
      <c r="AA781" s="180">
        <v>0</v>
      </c>
      <c r="AB781" s="184" t="s">
        <v>260</v>
      </c>
      <c r="AC781" s="544" t="str">
        <f>""</f>
        <v/>
      </c>
      <c r="AD781" s="181">
        <v>1</v>
      </c>
      <c r="AE781" s="181" t="s">
        <v>264</v>
      </c>
      <c r="AF781" s="181" t="s">
        <v>265</v>
      </c>
      <c r="AG781" s="181">
        <v>1</v>
      </c>
      <c r="AH781" s="181">
        <v>4</v>
      </c>
      <c r="AI781" s="181">
        <v>0</v>
      </c>
      <c r="AJ781" s="181">
        <f>VLOOKUP($I781,'Price List, Weapons &amp; Items'!B:F,5,0)</f>
        <v>0</v>
      </c>
      <c r="AK781" s="181">
        <f t="shared" si="154"/>
        <v>0</v>
      </c>
      <c r="AL781" s="181">
        <f t="shared" si="155"/>
        <v>0</v>
      </c>
      <c r="AM781" s="181">
        <f t="shared" si="156"/>
        <v>0</v>
      </c>
      <c r="AN781" s="180" t="str">
        <f>VLOOKUP($I781,'Price List, Weapons &amp; Items'!B:L,COLUMN('Price List, Weapons &amp; Items'!$J$11)-1,0)</f>
        <v>.</v>
      </c>
      <c r="AO781" s="180" t="str">
        <f>IF(I781=".",".",VLOOKUP($I781,'Price List, Weapons &amp; Items'!B:J,3,0))</f>
        <v>.</v>
      </c>
      <c r="AP781" s="545" t="e">
        <f t="shared" ca="1" si="151"/>
        <v>#NAME?</v>
      </c>
      <c r="AQ781" s="180" t="str">
        <f>VLOOKUP($I781,'Price List, Weapons &amp; Items'!B:L,COLUMN('Price List, Weapons &amp; Items'!$L$11)-1,0)</f>
        <v>no price, 0 count</v>
      </c>
      <c r="AR781" s="180">
        <f t="shared" si="157"/>
        <v>1</v>
      </c>
      <c r="AS781" s="180">
        <f t="shared" si="158"/>
        <v>0</v>
      </c>
      <c r="AT781" s="180" t="str">
        <f t="shared" si="159"/>
        <v>Value is not in date format</v>
      </c>
      <c r="AU781" s="180" t="str">
        <f t="shared" si="160"/>
        <v>.</v>
      </c>
      <c r="AV781" s="180" t="str">
        <f t="shared" si="161"/>
        <v>.</v>
      </c>
      <c r="AW781" s="180">
        <f>IFERROR(VLOOKUP(B781,'Share, Heavy Weapons to Ukraine'!B:J,COLUMN('Share, Heavy Weapons to Ukraine'!C794)-1,0),0)</f>
        <v>1</v>
      </c>
      <c r="AX781" s="180">
        <f>VLOOKUP('Bilateral Assistance, MAIN DATA'!B781,'Country Summary'!B:F,COLUMN('Country Summary'!C797)-1,FALSE)</f>
        <v>0</v>
      </c>
      <c r="AY781" s="180" t="str">
        <f>IF(AND(AD781=1,D781="Military",H781&lt;&gt;"Not given")=TRUE,IF(SUMIFS(P:P,A:A,A781)&gt;0,ABS((SUMIFS(P:P,A:A,A781)/VLOOKUP("USD",'Exchange Rates'!B:C,2,0)))/S781,"."),".")</f>
        <v>.</v>
      </c>
      <c r="AZ781" s="182" t="str">
        <f>IF(AND(AD781=1,D781="Military",H781&lt;&gt;"Not given")=TRUE,IF(SUMIFS(P:P,A:A,A781)&gt;0,IF((ABS((SUMIFS(P:P,A:A,A781)/VLOOKUP("USD",'Exchange Rates'!B:C,2,0)))/S781)&gt;1,(SUMIFS(P:P,A:A,A781)-S781)/S781,(S781-SUMIFS(P:P,A:A,A781))/SUMIFS(P:P,A:A,A781)),"."),".")</f>
        <v>.</v>
      </c>
      <c r="BA781" s="182"/>
      <c r="BB781" s="182"/>
      <c r="BC781" s="182"/>
      <c r="BD781" s="182"/>
      <c r="BE781" s="182"/>
      <c r="BF781" s="182"/>
      <c r="BG781" s="182"/>
      <c r="BH781" s="182"/>
      <c r="BI781" s="182"/>
      <c r="BJ781" s="182"/>
      <c r="BK781" s="182"/>
      <c r="BL781" s="182"/>
      <c r="BM781" s="182"/>
      <c r="BN781" s="182"/>
      <c r="BO781" s="182"/>
      <c r="BP781" s="182"/>
      <c r="BQ781" s="182"/>
      <c r="BR781" s="182"/>
      <c r="BS781" s="182"/>
    </row>
    <row r="782" spans="1:71" ht="15.9" customHeight="1" x14ac:dyDescent="0.3">
      <c r="A782" s="17" t="s">
        <v>2279</v>
      </c>
      <c r="B782" s="17" t="s">
        <v>2206</v>
      </c>
      <c r="C782" s="174">
        <v>44725</v>
      </c>
      <c r="D782" s="5" t="s">
        <v>256</v>
      </c>
      <c r="E782" s="5" t="s">
        <v>257</v>
      </c>
      <c r="F782" s="175" t="s">
        <v>2280</v>
      </c>
      <c r="G782" s="15" t="s">
        <v>2231</v>
      </c>
      <c r="H782" s="176" t="s">
        <v>341</v>
      </c>
      <c r="I782" s="17" t="s">
        <v>260</v>
      </c>
      <c r="J782" s="113" t="str">
        <f>VLOOKUP($I782,'Price List, Weapons &amp; Items'!B:C,2,0)</f>
        <v>.</v>
      </c>
      <c r="K782" s="113" t="str">
        <f>IF(I782=".",I782,VLOOKUP($I782,'Price List, Weapons &amp; Items'!B:D,3,0))</f>
        <v>.</v>
      </c>
      <c r="L782" s="177">
        <f>VLOOKUP(I782,'Price List, Weapons &amp; Items'!B:E,4,0)</f>
        <v>0</v>
      </c>
      <c r="M782" s="542" t="s">
        <v>260</v>
      </c>
      <c r="N782" s="542" t="s">
        <v>260</v>
      </c>
      <c r="O782" s="543" t="str">
        <f>VLOOKUP($I782,'Price List, Weapons &amp; Items'!B:G,6,0)</f>
        <v>.</v>
      </c>
      <c r="P782" s="176" t="str">
        <f t="shared" si="152"/>
        <v>.</v>
      </c>
      <c r="Q782" s="176" t="str">
        <f t="shared" si="153"/>
        <v>.</v>
      </c>
      <c r="R782" s="176" t="str">
        <f t="shared" si="150"/>
        <v>.</v>
      </c>
      <c r="S782" s="176" t="str">
        <f>IF(AND(AD782=1,R782&lt;&gt;".")=TRUE,R782/VLOOKUP(G782,'Exchange Rates'!B:C,2,0),IF(R782=".",".",""))</f>
        <v>.</v>
      </c>
      <c r="T782" s="176" t="str">
        <f>IF(AD782=1,IF(AF782="Value is not given at all",".",IF(AF782="Value is given by the source",S782,IF(AF782="Value is calculated with prices",(IF(SUMIFS(Q:Q,A:A,A782)&gt;0,SUMIFS(Q:Q,A:A,A782),"."))/VLOOKUP("USD",'Exchange Rates'!B:C,2,0),"Error with coding"))),"")</f>
        <v>.</v>
      </c>
      <c r="U782" s="15" t="s">
        <v>261</v>
      </c>
      <c r="V782" s="300" t="s">
        <v>2281</v>
      </c>
      <c r="W782" s="300" t="s">
        <v>2218</v>
      </c>
      <c r="X782" s="175" t="s">
        <v>260</v>
      </c>
      <c r="Y782" s="175" t="s">
        <v>260</v>
      </c>
      <c r="Z782" s="15">
        <v>0</v>
      </c>
      <c r="AA782" s="180">
        <v>0</v>
      </c>
      <c r="AB782" s="184" t="s">
        <v>260</v>
      </c>
      <c r="AC782" s="544" t="str">
        <f>""</f>
        <v/>
      </c>
      <c r="AD782" s="183">
        <v>1</v>
      </c>
      <c r="AE782" s="183" t="s">
        <v>265</v>
      </c>
      <c r="AF782" s="183" t="s">
        <v>265</v>
      </c>
      <c r="AG782" s="183">
        <v>1</v>
      </c>
      <c r="AH782" s="181">
        <v>6</v>
      </c>
      <c r="AI782" s="181">
        <v>0</v>
      </c>
      <c r="AJ782" s="181">
        <f>VLOOKUP($I782,'Price List, Weapons &amp; Items'!B:F,5,0)</f>
        <v>0</v>
      </c>
      <c r="AK782" s="181">
        <f t="shared" si="154"/>
        <v>0</v>
      </c>
      <c r="AL782" s="181">
        <f t="shared" si="155"/>
        <v>0</v>
      </c>
      <c r="AM782" s="181">
        <f t="shared" si="156"/>
        <v>0</v>
      </c>
      <c r="AN782" s="180" t="str">
        <f>VLOOKUP($I782,'Price List, Weapons &amp; Items'!B:L,COLUMN('Price List, Weapons &amp; Items'!$J$11)-1,0)</f>
        <v>.</v>
      </c>
      <c r="AO782" s="180" t="str">
        <f>IF(I782=".",".",VLOOKUP($I782,'Price List, Weapons &amp; Items'!B:J,3,0))</f>
        <v>.</v>
      </c>
      <c r="AP782" s="545" t="e">
        <f t="shared" ca="1" si="151"/>
        <v>#NAME?</v>
      </c>
      <c r="AQ782" s="180" t="str">
        <f>VLOOKUP($I782,'Price List, Weapons &amp; Items'!B:L,COLUMN('Price List, Weapons &amp; Items'!$L$11)-1,0)</f>
        <v>no price, 0 count</v>
      </c>
      <c r="AR782" s="180">
        <f t="shared" si="157"/>
        <v>1</v>
      </c>
      <c r="AS782" s="180">
        <f t="shared" si="158"/>
        <v>0</v>
      </c>
      <c r="AT782" s="180">
        <f t="shared" si="159"/>
        <v>1</v>
      </c>
      <c r="AU782" s="180" t="str">
        <f t="shared" si="160"/>
        <v>.</v>
      </c>
      <c r="AV782" s="180" t="str">
        <f t="shared" si="161"/>
        <v>.</v>
      </c>
      <c r="AW782" s="180">
        <f>IFERROR(VLOOKUP(B782,'Share, Heavy Weapons to Ukraine'!B:J,COLUMN('Share, Heavy Weapons to Ukraine'!C795)-1,0),0)</f>
        <v>1</v>
      </c>
      <c r="AX782" s="180">
        <f>VLOOKUP('Bilateral Assistance, MAIN DATA'!B782,'Country Summary'!B:F,COLUMN('Country Summary'!C798)-1,FALSE)</f>
        <v>0</v>
      </c>
      <c r="AY782" s="180" t="str">
        <f>IF(AND(AD782=1,D782="Military",H782&lt;&gt;"Not given")=TRUE,IF(SUMIFS(P:P,A:A,A782)&gt;0,ABS((SUMIFS(P:P,A:A,A782)/VLOOKUP("USD",'Exchange Rates'!B:C,2,0)))/S782,"."),".")</f>
        <v>.</v>
      </c>
      <c r="AZ782" s="182" t="str">
        <f>IF(AND(AD782=1,D782="Military",H782&lt;&gt;"Not given")=TRUE,IF(SUMIFS(P:P,A:A,A782)&gt;0,IF((ABS((SUMIFS(P:P,A:A,A782)/VLOOKUP("USD",'Exchange Rates'!B:C,2,0)))/S782)&gt;1,(SUMIFS(P:P,A:A,A782)-S782)/S782,(S782-SUMIFS(P:P,A:A,A782))/SUMIFS(P:P,A:A,A782)),"."),".")</f>
        <v>.</v>
      </c>
      <c r="BA782" s="182"/>
      <c r="BB782" s="182"/>
      <c r="BC782" s="182"/>
      <c r="BD782" s="182"/>
      <c r="BE782" s="182"/>
      <c r="BF782" s="182"/>
      <c r="BG782" s="182"/>
      <c r="BH782" s="182"/>
      <c r="BI782" s="182"/>
      <c r="BJ782" s="182"/>
      <c r="BK782" s="182"/>
      <c r="BL782" s="182"/>
      <c r="BM782" s="182"/>
      <c r="BN782" s="182"/>
      <c r="BO782" s="182"/>
      <c r="BP782" s="182"/>
      <c r="BQ782" s="182"/>
      <c r="BR782" s="182"/>
      <c r="BS782" s="182"/>
    </row>
    <row r="783" spans="1:71" ht="15.9" customHeight="1" x14ac:dyDescent="0.3">
      <c r="A783" s="17" t="s">
        <v>2282</v>
      </c>
      <c r="B783" s="17" t="s">
        <v>2206</v>
      </c>
      <c r="C783" s="174" t="s">
        <v>2283</v>
      </c>
      <c r="D783" s="5" t="s">
        <v>256</v>
      </c>
      <c r="E783" s="5" t="s">
        <v>257</v>
      </c>
      <c r="F783" s="175" t="s">
        <v>2284</v>
      </c>
      <c r="G783" s="15" t="s">
        <v>2231</v>
      </c>
      <c r="H783" s="176">
        <v>1000000000</v>
      </c>
      <c r="I783" s="17" t="s">
        <v>260</v>
      </c>
      <c r="J783" s="113" t="str">
        <f>VLOOKUP($I783,'Price List, Weapons &amp; Items'!B:C,2,0)</f>
        <v>.</v>
      </c>
      <c r="K783" s="113" t="str">
        <f>IF(I783=".",I783,VLOOKUP($I783,'Price List, Weapons &amp; Items'!B:D,3,0))</f>
        <v>.</v>
      </c>
      <c r="L783" s="177">
        <f>VLOOKUP(I783,'Price List, Weapons &amp; Items'!B:E,4,0)</f>
        <v>0</v>
      </c>
      <c r="M783" s="542" t="s">
        <v>260</v>
      </c>
      <c r="N783" s="542" t="s">
        <v>260</v>
      </c>
      <c r="O783" s="543" t="str">
        <f>VLOOKUP($I783,'Price List, Weapons &amp; Items'!B:G,6,0)</f>
        <v>.</v>
      </c>
      <c r="P783" s="176" t="str">
        <f t="shared" si="152"/>
        <v>.</v>
      </c>
      <c r="Q783" s="176" t="str">
        <f t="shared" si="153"/>
        <v>.</v>
      </c>
      <c r="R783" s="176">
        <f t="shared" si="150"/>
        <v>1000000000</v>
      </c>
      <c r="S783" s="176">
        <f>IF(AND(AD783=1,R783&lt;&gt;".")=TRUE,R783/VLOOKUP(G783,'Exchange Rates'!B:C,2,0),IF(R783=".",".",""))</f>
        <v>96141828.425292984</v>
      </c>
      <c r="T783" s="176" t="str">
        <f>IF(AD783=1,IF(AF783="Value is not given at all",".",IF(AF783="Value is given by the source",S783,IF(AF783="Value is calculated with prices",(IF(SUMIFS(Q:Q,A:A,A783)&gt;0,SUMIFS(Q:Q,A:A,A783),"."))/VLOOKUP("USD",'Exchange Rates'!B:C,2,0),"Error with coding"))),"")</f>
        <v>.</v>
      </c>
      <c r="U783" s="15" t="s">
        <v>261</v>
      </c>
      <c r="V783" s="300" t="s">
        <v>2218</v>
      </c>
      <c r="W783" s="300"/>
      <c r="X783" s="175" t="s">
        <v>260</v>
      </c>
      <c r="Y783" s="175" t="s">
        <v>260</v>
      </c>
      <c r="Z783" s="15">
        <v>0</v>
      </c>
      <c r="AA783" s="180">
        <v>0</v>
      </c>
      <c r="AB783" s="184" t="s">
        <v>260</v>
      </c>
      <c r="AC783" s="544" t="str">
        <f>""</f>
        <v/>
      </c>
      <c r="AD783" s="183">
        <v>1</v>
      </c>
      <c r="AE783" s="183" t="s">
        <v>265</v>
      </c>
      <c r="AF783" s="183" t="s">
        <v>265</v>
      </c>
      <c r="AG783" s="183">
        <v>1</v>
      </c>
      <c r="AH783" s="181">
        <v>6</v>
      </c>
      <c r="AI783" s="181">
        <v>0</v>
      </c>
      <c r="AJ783" s="181">
        <f>VLOOKUP($I783,'Price List, Weapons &amp; Items'!B:F,5,0)</f>
        <v>0</v>
      </c>
      <c r="AK783" s="181">
        <f t="shared" si="154"/>
        <v>0</v>
      </c>
      <c r="AL783" s="181">
        <f t="shared" si="155"/>
        <v>0</v>
      </c>
      <c r="AM783" s="181">
        <f t="shared" si="156"/>
        <v>0</v>
      </c>
      <c r="AN783" s="180" t="str">
        <f>VLOOKUP($I783,'Price List, Weapons &amp; Items'!B:L,COLUMN('Price List, Weapons &amp; Items'!$J$11)-1,0)</f>
        <v>.</v>
      </c>
      <c r="AO783" s="180" t="str">
        <f>IF(I783=".",".",VLOOKUP($I783,'Price List, Weapons &amp; Items'!B:J,3,0))</f>
        <v>.</v>
      </c>
      <c r="AP783" s="545" t="e">
        <f t="shared" ca="1" si="151"/>
        <v>#NAME?</v>
      </c>
      <c r="AQ783" s="180" t="str">
        <f>VLOOKUP($I783,'Price List, Weapons &amp; Items'!B:L,COLUMN('Price List, Weapons &amp; Items'!$L$11)-1,0)</f>
        <v>no price, 0 count</v>
      </c>
      <c r="AR783" s="180">
        <f t="shared" si="157"/>
        <v>1</v>
      </c>
      <c r="AS783" s="180">
        <f t="shared" si="158"/>
        <v>0</v>
      </c>
      <c r="AT783" s="180" t="str">
        <f t="shared" si="159"/>
        <v>Value is not in date format</v>
      </c>
      <c r="AU783" s="180" t="str">
        <f t="shared" si="160"/>
        <v>.</v>
      </c>
      <c r="AV783" s="180" t="str">
        <f t="shared" si="161"/>
        <v>.</v>
      </c>
      <c r="AW783" s="180">
        <f>IFERROR(VLOOKUP(B783,'Share, Heavy Weapons to Ukraine'!B:J,COLUMN('Share, Heavy Weapons to Ukraine'!C796)-1,0),0)</f>
        <v>1</v>
      </c>
      <c r="AX783" s="180">
        <f>VLOOKUP('Bilateral Assistance, MAIN DATA'!B783,'Country Summary'!B:F,COLUMN('Country Summary'!C799)-1,FALSE)</f>
        <v>0</v>
      </c>
      <c r="AY783" s="180" t="str">
        <f>IF(AND(AD783=1,D783="Military",H783&lt;&gt;"Not given")=TRUE,IF(SUMIFS(P:P,A:A,A783)&gt;0,ABS((SUMIFS(P:P,A:A,A783)/VLOOKUP("USD",'Exchange Rates'!B:C,2,0)))/S783,"."),".")</f>
        <v>.</v>
      </c>
      <c r="AZ783" s="182" t="str">
        <f>IF(AND(AD783=1,D783="Military",H783&lt;&gt;"Not given")=TRUE,IF(SUMIFS(P:P,A:A,A783)&gt;0,IF((ABS((SUMIFS(P:P,A:A,A783)/VLOOKUP("USD",'Exchange Rates'!B:C,2,0)))/S783)&gt;1,(SUMIFS(P:P,A:A,A783)-S783)/S783,(S783-SUMIFS(P:P,A:A,A783))/SUMIFS(P:P,A:A,A783)),"."),".")</f>
        <v>.</v>
      </c>
      <c r="BA783" s="182"/>
      <c r="BB783" s="182"/>
      <c r="BC783" s="182"/>
      <c r="BD783" s="182"/>
      <c r="BE783" s="182"/>
      <c r="BF783" s="182"/>
      <c r="BG783" s="182"/>
      <c r="BH783" s="182"/>
      <c r="BI783" s="182"/>
      <c r="BJ783" s="182"/>
      <c r="BK783" s="182"/>
      <c r="BL783" s="182"/>
      <c r="BM783" s="182"/>
      <c r="BN783" s="182"/>
      <c r="BO783" s="182"/>
      <c r="BP783" s="182"/>
      <c r="BQ783" s="182"/>
      <c r="BR783" s="182"/>
      <c r="BS783" s="182"/>
    </row>
    <row r="784" spans="1:71" ht="15.9" customHeight="1" x14ac:dyDescent="0.3">
      <c r="A784" s="17" t="s">
        <v>2285</v>
      </c>
      <c r="B784" s="17" t="s">
        <v>2206</v>
      </c>
      <c r="C784" s="174" t="s">
        <v>2283</v>
      </c>
      <c r="D784" s="5" t="s">
        <v>256</v>
      </c>
      <c r="E784" s="5" t="s">
        <v>257</v>
      </c>
      <c r="F784" s="175" t="s">
        <v>2286</v>
      </c>
      <c r="G784" s="15" t="s">
        <v>2231</v>
      </c>
      <c r="H784" s="176">
        <v>2000000000</v>
      </c>
      <c r="I784" s="17" t="s">
        <v>260</v>
      </c>
      <c r="J784" s="113" t="str">
        <f>VLOOKUP($I784,'Price List, Weapons &amp; Items'!B:C,2,0)</f>
        <v>.</v>
      </c>
      <c r="K784" s="113" t="str">
        <f>IF(I784=".",I784,VLOOKUP($I784,'Price List, Weapons &amp; Items'!B:D,3,0))</f>
        <v>.</v>
      </c>
      <c r="L784" s="177">
        <f>VLOOKUP(I784,'Price List, Weapons &amp; Items'!B:E,4,0)</f>
        <v>0</v>
      </c>
      <c r="M784" s="542" t="s">
        <v>260</v>
      </c>
      <c r="N784" s="542" t="s">
        <v>260</v>
      </c>
      <c r="O784" s="543" t="str">
        <f>VLOOKUP($I784,'Price List, Weapons &amp; Items'!B:G,6,0)</f>
        <v>.</v>
      </c>
      <c r="P784" s="176" t="str">
        <f t="shared" si="152"/>
        <v>.</v>
      </c>
      <c r="Q784" s="176" t="str">
        <f t="shared" si="153"/>
        <v>.</v>
      </c>
      <c r="R784" s="176">
        <f t="shared" si="150"/>
        <v>2000000000</v>
      </c>
      <c r="S784" s="176">
        <f>IF(AND(AD784=1,R784&lt;&gt;".")=TRUE,R784/VLOOKUP(G784,'Exchange Rates'!B:C,2,0),IF(R784=".",".",""))</f>
        <v>192283656.85058597</v>
      </c>
      <c r="T784" s="176" t="str">
        <f>IF(AD784=1,IF(AF784="Value is not given at all",".",IF(AF784="Value is given by the source",S784,IF(AF784="Value is calculated with prices",(IF(SUMIFS(Q:Q,A:A,A784)&gt;0,SUMIFS(Q:Q,A:A,A784),"."))/VLOOKUP("USD",'Exchange Rates'!B:C,2,0),"Error with coding"))),"")</f>
        <v>.</v>
      </c>
      <c r="U784" s="15" t="s">
        <v>261</v>
      </c>
      <c r="V784" s="300" t="s">
        <v>2218</v>
      </c>
      <c r="W784" s="300"/>
      <c r="X784" s="175" t="s">
        <v>260</v>
      </c>
      <c r="Y784" s="175" t="s">
        <v>260</v>
      </c>
      <c r="Z784" s="15">
        <v>0</v>
      </c>
      <c r="AA784" s="180">
        <v>0</v>
      </c>
      <c r="AB784" s="184" t="s">
        <v>260</v>
      </c>
      <c r="AC784" s="544" t="str">
        <f>""</f>
        <v/>
      </c>
      <c r="AD784" s="183">
        <v>1</v>
      </c>
      <c r="AE784" s="183" t="s">
        <v>265</v>
      </c>
      <c r="AF784" s="183" t="s">
        <v>265</v>
      </c>
      <c r="AG784" s="183">
        <v>1</v>
      </c>
      <c r="AH784" s="181">
        <v>6</v>
      </c>
      <c r="AI784" s="181">
        <v>0</v>
      </c>
      <c r="AJ784" s="181">
        <f>VLOOKUP($I784,'Price List, Weapons &amp; Items'!B:F,5,0)</f>
        <v>0</v>
      </c>
      <c r="AK784" s="181">
        <f t="shared" si="154"/>
        <v>0</v>
      </c>
      <c r="AL784" s="181">
        <f t="shared" si="155"/>
        <v>0</v>
      </c>
      <c r="AM784" s="181">
        <f t="shared" si="156"/>
        <v>0</v>
      </c>
      <c r="AN784" s="180" t="str">
        <f>VLOOKUP($I784,'Price List, Weapons &amp; Items'!B:L,COLUMN('Price List, Weapons &amp; Items'!$J$11)-1,0)</f>
        <v>.</v>
      </c>
      <c r="AO784" s="180" t="str">
        <f>IF(I784=".",".",VLOOKUP($I784,'Price List, Weapons &amp; Items'!B:J,3,0))</f>
        <v>.</v>
      </c>
      <c r="AP784" s="545" t="e">
        <f t="shared" ca="1" si="151"/>
        <v>#NAME?</v>
      </c>
      <c r="AQ784" s="180" t="str">
        <f>VLOOKUP($I784,'Price List, Weapons &amp; Items'!B:L,COLUMN('Price List, Weapons &amp; Items'!$L$11)-1,0)</f>
        <v>no price, 0 count</v>
      </c>
      <c r="AR784" s="180">
        <f t="shared" si="157"/>
        <v>1</v>
      </c>
      <c r="AS784" s="180">
        <f t="shared" si="158"/>
        <v>0</v>
      </c>
      <c r="AT784" s="180" t="str">
        <f t="shared" si="159"/>
        <v>Value is not in date format</v>
      </c>
      <c r="AU784" s="180" t="str">
        <f t="shared" si="160"/>
        <v>.</v>
      </c>
      <c r="AV784" s="180" t="str">
        <f t="shared" si="161"/>
        <v>.</v>
      </c>
      <c r="AW784" s="180">
        <f>IFERROR(VLOOKUP(B784,'Share, Heavy Weapons to Ukraine'!B:J,COLUMN('Share, Heavy Weapons to Ukraine'!C797)-1,0),0)</f>
        <v>1</v>
      </c>
      <c r="AX784" s="180">
        <f>VLOOKUP('Bilateral Assistance, MAIN DATA'!B784,'Country Summary'!B:F,COLUMN('Country Summary'!C800)-1,FALSE)</f>
        <v>0</v>
      </c>
      <c r="AY784" s="180" t="str">
        <f>IF(AND(AD784=1,D784="Military",H784&lt;&gt;"Not given")=TRUE,IF(SUMIFS(P:P,A:A,A784)&gt;0,ABS((SUMIFS(P:P,A:A,A784)/VLOOKUP("USD",'Exchange Rates'!B:C,2,0)))/S784,"."),".")</f>
        <v>.</v>
      </c>
      <c r="AZ784" s="182" t="str">
        <f>IF(AND(AD784=1,D784="Military",H784&lt;&gt;"Not given")=TRUE,IF(SUMIFS(P:P,A:A,A784)&gt;0,IF((ABS((SUMIFS(P:P,A:A,A784)/VLOOKUP("USD",'Exchange Rates'!B:C,2,0)))/S784)&gt;1,(SUMIFS(P:P,A:A,A784)-S784)/S784,(S784-SUMIFS(P:P,A:A,A784))/SUMIFS(P:P,A:A,A784)),"."),".")</f>
        <v>.</v>
      </c>
      <c r="BA784" s="182"/>
      <c r="BB784" s="182"/>
      <c r="BC784" s="182"/>
      <c r="BD784" s="182"/>
      <c r="BE784" s="182"/>
      <c r="BF784" s="182"/>
      <c r="BG784" s="182"/>
      <c r="BH784" s="182"/>
      <c r="BI784" s="182"/>
      <c r="BJ784" s="182"/>
      <c r="BK784" s="182"/>
      <c r="BL784" s="182"/>
      <c r="BM784" s="182"/>
      <c r="BN784" s="182"/>
      <c r="BO784" s="182"/>
      <c r="BP784" s="182"/>
      <c r="BQ784" s="182"/>
      <c r="BR784" s="182"/>
      <c r="BS784" s="182"/>
    </row>
    <row r="785" spans="1:71" ht="15.9" customHeight="1" x14ac:dyDescent="0.3">
      <c r="A785" s="17" t="s">
        <v>2287</v>
      </c>
      <c r="B785" s="17" t="s">
        <v>2206</v>
      </c>
      <c r="C785" s="174" t="s">
        <v>2288</v>
      </c>
      <c r="D785" s="5" t="s">
        <v>405</v>
      </c>
      <c r="E785" s="5" t="s">
        <v>362</v>
      </c>
      <c r="F785" s="175" t="s">
        <v>2289</v>
      </c>
      <c r="G785" s="15" t="s">
        <v>2231</v>
      </c>
      <c r="H785" s="176">
        <v>300000000</v>
      </c>
      <c r="I785" s="184" t="s">
        <v>260</v>
      </c>
      <c r="J785" s="113" t="str">
        <f>VLOOKUP($I785,'Price List, Weapons &amp; Items'!B:C,2,0)</f>
        <v>.</v>
      </c>
      <c r="K785" s="113" t="str">
        <f>IF(I785=".",I785,VLOOKUP($I785,'Price List, Weapons &amp; Items'!B:D,3,0))</f>
        <v>.</v>
      </c>
      <c r="L785" s="177">
        <f>VLOOKUP(I785,'Price List, Weapons &amp; Items'!B:E,4,0)</f>
        <v>0</v>
      </c>
      <c r="M785" s="542" t="s">
        <v>260</v>
      </c>
      <c r="N785" s="542" t="s">
        <v>260</v>
      </c>
      <c r="O785" s="543" t="str">
        <f>VLOOKUP($I785,'Price List, Weapons &amp; Items'!B:G,6,0)</f>
        <v>.</v>
      </c>
      <c r="P785" s="176" t="str">
        <f t="shared" si="152"/>
        <v>.</v>
      </c>
      <c r="Q785" s="176" t="str">
        <f t="shared" si="153"/>
        <v>.</v>
      </c>
      <c r="R785" s="176">
        <f t="shared" si="150"/>
        <v>300000000</v>
      </c>
      <c r="S785" s="176">
        <f>IF(AND(AD785=1,R785&lt;&gt;".")=TRUE,R785/VLOOKUP(G785,'Exchange Rates'!B:C,2,0),IF(R785=".",".",""))</f>
        <v>28842548.527587894</v>
      </c>
      <c r="T785" s="176" t="str">
        <f>IF(AD785=1,IF(AF785="Value is not given at all",".",IF(AF785="Value is given by the source",S785,IF(AF785="Value is calculated with prices",(IF(SUMIFS(Q:Q,A:A,A785)&gt;0,SUMIFS(Q:Q,A:A,A785),"."))/VLOOKUP("USD",'Exchange Rates'!B:C,2,0),"Error with coding"))),"")</f>
        <v>.</v>
      </c>
      <c r="U785" s="15" t="s">
        <v>261</v>
      </c>
      <c r="V785" s="300" t="s">
        <v>2218</v>
      </c>
      <c r="W785" s="300" t="s">
        <v>2290</v>
      </c>
      <c r="X785" s="300" t="s">
        <v>2291</v>
      </c>
      <c r="Y785" s="175" t="s">
        <v>260</v>
      </c>
      <c r="Z785" s="15">
        <v>1</v>
      </c>
      <c r="AA785" s="180">
        <v>0</v>
      </c>
      <c r="AB785" s="184" t="s">
        <v>260</v>
      </c>
      <c r="AC785" s="544" t="str">
        <f>""</f>
        <v/>
      </c>
      <c r="AD785" s="181">
        <v>1</v>
      </c>
      <c r="AE785" s="181" t="s">
        <v>264</v>
      </c>
      <c r="AF785" s="181" t="s">
        <v>265</v>
      </c>
      <c r="AG785" s="181">
        <v>1</v>
      </c>
      <c r="AH785" s="181">
        <v>5</v>
      </c>
      <c r="AI785" s="181">
        <v>0</v>
      </c>
      <c r="AJ785" s="181">
        <f>VLOOKUP($I785,'Price List, Weapons &amp; Items'!B:F,5,0)</f>
        <v>0</v>
      </c>
      <c r="AK785" s="181">
        <f t="shared" si="154"/>
        <v>0</v>
      </c>
      <c r="AL785" s="181">
        <f t="shared" si="155"/>
        <v>0</v>
      </c>
      <c r="AM785" s="181">
        <f t="shared" si="156"/>
        <v>0</v>
      </c>
      <c r="AN785" s="180" t="str">
        <f>VLOOKUP($I785,'Price List, Weapons &amp; Items'!B:L,COLUMN('Price List, Weapons &amp; Items'!$J$11)-1,0)</f>
        <v>.</v>
      </c>
      <c r="AO785" s="180" t="str">
        <f>IF(I785=".",".",VLOOKUP($I785,'Price List, Weapons &amp; Items'!B:J,3,0))</f>
        <v>.</v>
      </c>
      <c r="AP785" s="545" t="e">
        <f t="shared" ca="1" si="151"/>
        <v>#NAME?</v>
      </c>
      <c r="AQ785" s="180" t="str">
        <f>VLOOKUP($I785,'Price List, Weapons &amp; Items'!B:L,COLUMN('Price List, Weapons &amp; Items'!$L$11)-1,0)</f>
        <v>no price, 0 count</v>
      </c>
      <c r="AR785" s="180">
        <f t="shared" si="157"/>
        <v>1</v>
      </c>
      <c r="AS785" s="180">
        <f t="shared" si="158"/>
        <v>0</v>
      </c>
      <c r="AT785" s="180" t="str">
        <f t="shared" si="159"/>
        <v>Value is not in date format</v>
      </c>
      <c r="AU785" s="180" t="str">
        <f t="shared" si="160"/>
        <v>.</v>
      </c>
      <c r="AV785" s="180" t="str">
        <f t="shared" si="161"/>
        <v>.</v>
      </c>
      <c r="AW785" s="180">
        <f>IFERROR(VLOOKUP(B785,'Share, Heavy Weapons to Ukraine'!B:J,COLUMN('Share, Heavy Weapons to Ukraine'!C798)-1,0),0)</f>
        <v>1</v>
      </c>
      <c r="AX785" s="180">
        <f>VLOOKUP('Bilateral Assistance, MAIN DATA'!B785,'Country Summary'!B:F,COLUMN('Country Summary'!C801)-1,FALSE)</f>
        <v>0</v>
      </c>
      <c r="AY785" s="180" t="str">
        <f>IF(AND(AD785=1,D785="Military",H785&lt;&gt;"Not given")=TRUE,IF(SUMIFS(P:P,A:A,A785)&gt;0,ABS((SUMIFS(P:P,A:A,A785)/VLOOKUP("USD",'Exchange Rates'!B:C,2,0)))/S785,"."),".")</f>
        <v>.</v>
      </c>
      <c r="AZ785" s="182" t="str">
        <f>IF(AND(AD785=1,D785="Military",H785&lt;&gt;"Not given")=TRUE,IF(SUMIFS(P:P,A:A,A785)&gt;0,IF((ABS((SUMIFS(P:P,A:A,A785)/VLOOKUP("USD",'Exchange Rates'!B:C,2,0)))/S785)&gt;1,(SUMIFS(P:P,A:A,A785)-S785)/S785,(S785-SUMIFS(P:P,A:A,A785))/SUMIFS(P:P,A:A,A785)),"."),".")</f>
        <v>.</v>
      </c>
      <c r="BA785" s="182"/>
      <c r="BB785" s="182"/>
      <c r="BC785" s="182"/>
      <c r="BD785" s="182"/>
      <c r="BE785" s="182"/>
      <c r="BF785" s="182"/>
      <c r="BG785" s="182"/>
      <c r="BH785" s="182"/>
      <c r="BI785" s="182"/>
      <c r="BJ785" s="182"/>
      <c r="BK785" s="182"/>
      <c r="BL785" s="182"/>
      <c r="BM785" s="182"/>
      <c r="BN785" s="182"/>
      <c r="BO785" s="182"/>
      <c r="BP785" s="182"/>
      <c r="BQ785" s="182"/>
      <c r="BR785" s="182"/>
      <c r="BS785" s="182"/>
    </row>
    <row r="786" spans="1:71" ht="15.9" customHeight="1" x14ac:dyDescent="0.3">
      <c r="A786" s="17" t="s">
        <v>2292</v>
      </c>
      <c r="B786" s="17" t="s">
        <v>2206</v>
      </c>
      <c r="C786" s="174">
        <v>44693</v>
      </c>
      <c r="D786" s="5" t="s">
        <v>405</v>
      </c>
      <c r="E786" s="5" t="s">
        <v>362</v>
      </c>
      <c r="F786" s="175" t="s">
        <v>2293</v>
      </c>
      <c r="G786" s="15" t="s">
        <v>2231</v>
      </c>
      <c r="H786" s="176">
        <v>50000000</v>
      </c>
      <c r="I786" s="184" t="s">
        <v>260</v>
      </c>
      <c r="J786" s="113" t="str">
        <f>VLOOKUP($I786,'Price List, Weapons &amp; Items'!B:C,2,0)</f>
        <v>.</v>
      </c>
      <c r="K786" s="113" t="str">
        <f>IF(I786=".",I786,VLOOKUP($I786,'Price List, Weapons &amp; Items'!B:D,3,0))</f>
        <v>.</v>
      </c>
      <c r="L786" s="177">
        <f>VLOOKUP(I786,'Price List, Weapons &amp; Items'!B:E,4,0)</f>
        <v>0</v>
      </c>
      <c r="M786" s="542" t="s">
        <v>260</v>
      </c>
      <c r="N786" s="542" t="s">
        <v>260</v>
      </c>
      <c r="O786" s="543" t="str">
        <f>VLOOKUP($I786,'Price List, Weapons &amp; Items'!B:G,6,0)</f>
        <v>.</v>
      </c>
      <c r="P786" s="176" t="str">
        <f t="shared" si="152"/>
        <v>.</v>
      </c>
      <c r="Q786" s="176" t="str">
        <f t="shared" si="153"/>
        <v>.</v>
      </c>
      <c r="R786" s="176">
        <f t="shared" si="150"/>
        <v>50000000</v>
      </c>
      <c r="S786" s="176">
        <f>IF(AND(AD786=1,R786&lt;&gt;".")=TRUE,R786/VLOOKUP(G786,'Exchange Rates'!B:C,2,0),IF(R786=".",".",""))</f>
        <v>4807091.4212646494</v>
      </c>
      <c r="T786" s="176" t="str">
        <f>IF(AD786=1,IF(AF786="Value is not given at all",".",IF(AF786="Value is given by the source",S786,IF(AF786="Value is calculated with prices",(IF(SUMIFS(Q:Q,A:A,A786)&gt;0,SUMIFS(Q:Q,A:A,A786),"."))/VLOOKUP("USD",'Exchange Rates'!B:C,2,0),"Error with coding"))),"")</f>
        <v>.</v>
      </c>
      <c r="U786" s="15" t="s">
        <v>261</v>
      </c>
      <c r="V786" s="300" t="s">
        <v>2294</v>
      </c>
      <c r="W786" s="558" t="s">
        <v>2295</v>
      </c>
      <c r="X786" s="175" t="s">
        <v>260</v>
      </c>
      <c r="Y786" s="175" t="s">
        <v>260</v>
      </c>
      <c r="Z786" s="15">
        <v>0</v>
      </c>
      <c r="AA786" s="180">
        <v>0</v>
      </c>
      <c r="AB786" s="184" t="s">
        <v>260</v>
      </c>
      <c r="AC786" s="544" t="str">
        <f>""</f>
        <v/>
      </c>
      <c r="AD786" s="181">
        <v>1</v>
      </c>
      <c r="AE786" s="181" t="s">
        <v>264</v>
      </c>
      <c r="AF786" s="181" t="s">
        <v>265</v>
      </c>
      <c r="AG786" s="181">
        <v>1</v>
      </c>
      <c r="AH786" s="181">
        <v>5</v>
      </c>
      <c r="AI786" s="181">
        <v>0</v>
      </c>
      <c r="AJ786" s="181">
        <f>VLOOKUP($I786,'Price List, Weapons &amp; Items'!B:F,5,0)</f>
        <v>0</v>
      </c>
      <c r="AK786" s="181">
        <f t="shared" si="154"/>
        <v>0</v>
      </c>
      <c r="AL786" s="181">
        <f t="shared" si="155"/>
        <v>0</v>
      </c>
      <c r="AM786" s="181">
        <f t="shared" si="156"/>
        <v>0</v>
      </c>
      <c r="AN786" s="180" t="str">
        <f>VLOOKUP($I786,'Price List, Weapons &amp; Items'!B:L,COLUMN('Price List, Weapons &amp; Items'!$J$11)-1,0)</f>
        <v>.</v>
      </c>
      <c r="AO786" s="180" t="str">
        <f>IF(I786=".",".",VLOOKUP($I786,'Price List, Weapons &amp; Items'!B:J,3,0))</f>
        <v>.</v>
      </c>
      <c r="AP786" s="545" t="e">
        <f t="shared" ca="1" si="151"/>
        <v>#NAME?</v>
      </c>
      <c r="AQ786" s="180" t="str">
        <f>VLOOKUP($I786,'Price List, Weapons &amp; Items'!B:L,COLUMN('Price List, Weapons &amp; Items'!$L$11)-1,0)</f>
        <v>no price, 0 count</v>
      </c>
      <c r="AR786" s="180">
        <f t="shared" si="157"/>
        <v>1</v>
      </c>
      <c r="AS786" s="180">
        <f t="shared" si="158"/>
        <v>0</v>
      </c>
      <c r="AT786" s="180">
        <f t="shared" si="159"/>
        <v>1</v>
      </c>
      <c r="AU786" s="180" t="str">
        <f t="shared" si="160"/>
        <v>.</v>
      </c>
      <c r="AV786" s="180" t="str">
        <f t="shared" si="161"/>
        <v>.</v>
      </c>
      <c r="AW786" s="180">
        <f>IFERROR(VLOOKUP(B786,'Share, Heavy Weapons to Ukraine'!B:J,COLUMN('Share, Heavy Weapons to Ukraine'!C799)-1,0),0)</f>
        <v>1</v>
      </c>
      <c r="AX786" s="180">
        <f>VLOOKUP('Bilateral Assistance, MAIN DATA'!B786,'Country Summary'!B:F,COLUMN('Country Summary'!C802)-1,FALSE)</f>
        <v>0</v>
      </c>
      <c r="AY786" s="180" t="str">
        <f>IF(AND(AD786=1,D786="Military",H786&lt;&gt;"Not given")=TRUE,IF(SUMIFS(P:P,A:A,A786)&gt;0,ABS((SUMIFS(P:P,A:A,A786)/VLOOKUP("USD",'Exchange Rates'!B:C,2,0)))/S786,"."),".")</f>
        <v>.</v>
      </c>
      <c r="AZ786" s="182" t="str">
        <f>IF(AND(AD786=1,D786="Military",H786&lt;&gt;"Not given")=TRUE,IF(SUMIFS(P:P,A:A,A786)&gt;0,IF((ABS((SUMIFS(P:P,A:A,A786)/VLOOKUP("USD",'Exchange Rates'!B:C,2,0)))/S786)&gt;1,(SUMIFS(P:P,A:A,A786)-S786)/S786,(S786-SUMIFS(P:P,A:A,A786))/SUMIFS(P:P,A:A,A786)),"."),".")</f>
        <v>.</v>
      </c>
      <c r="BA786" s="182"/>
      <c r="BB786" s="182"/>
      <c r="BC786" s="182"/>
      <c r="BD786" s="182"/>
      <c r="BE786" s="182"/>
      <c r="BF786" s="182"/>
      <c r="BG786" s="182"/>
      <c r="BH786" s="182"/>
      <c r="BI786" s="182"/>
      <c r="BJ786" s="182"/>
      <c r="BK786" s="182"/>
      <c r="BL786" s="182"/>
      <c r="BM786" s="182"/>
      <c r="BN786" s="182"/>
      <c r="BO786" s="182"/>
      <c r="BP786" s="182"/>
      <c r="BQ786" s="182"/>
      <c r="BR786" s="182"/>
      <c r="BS786" s="182"/>
    </row>
    <row r="787" spans="1:71" ht="15.9" customHeight="1" x14ac:dyDescent="0.3">
      <c r="A787" s="182" t="s">
        <v>2296</v>
      </c>
      <c r="B787" s="17" t="s">
        <v>2206</v>
      </c>
      <c r="C787" s="174">
        <v>44839</v>
      </c>
      <c r="D787" s="5" t="s">
        <v>405</v>
      </c>
      <c r="E787" s="5" t="s">
        <v>362</v>
      </c>
      <c r="F787" s="175" t="s">
        <v>2297</v>
      </c>
      <c r="G787" s="15" t="s">
        <v>2231</v>
      </c>
      <c r="H787" s="176">
        <v>2000000000</v>
      </c>
      <c r="I787" s="17" t="s">
        <v>260</v>
      </c>
      <c r="J787" s="113" t="str">
        <f>VLOOKUP($I787,'Price List, Weapons &amp; Items'!B:C,2,0)</f>
        <v>.</v>
      </c>
      <c r="K787" s="113" t="str">
        <f>IF(I787=".",I787,VLOOKUP($I787,'Price List, Weapons &amp; Items'!B:D,3,0))</f>
        <v>.</v>
      </c>
      <c r="L787" s="177">
        <f>VLOOKUP(I787,'Price List, Weapons &amp; Items'!B:E,4,0)</f>
        <v>0</v>
      </c>
      <c r="M787" s="187" t="s">
        <v>260</v>
      </c>
      <c r="N787" s="187" t="s">
        <v>260</v>
      </c>
      <c r="O787" s="543" t="str">
        <f>VLOOKUP($I787,'Price List, Weapons &amp; Items'!B:G,6,0)</f>
        <v>.</v>
      </c>
      <c r="P787" s="176" t="str">
        <f t="shared" si="152"/>
        <v>.</v>
      </c>
      <c r="Q787" s="176" t="str">
        <f t="shared" si="153"/>
        <v>.</v>
      </c>
      <c r="R787" s="176">
        <f t="shared" si="150"/>
        <v>2000000000</v>
      </c>
      <c r="S787" s="176">
        <f>IF(AND(AD787=1,R787&lt;&gt;".")=TRUE,R787/VLOOKUP(G787,'Exchange Rates'!B:C,2,0),IF(R787=".",".",""))</f>
        <v>192283656.85058597</v>
      </c>
      <c r="T787" s="176" t="str">
        <f>IF(AD787=1,IF(AF787="Value is not given at all",".",IF(AF787="Value is given by the source",S787,IF(AF787="Value is calculated with prices",(IF(SUMIFS(Q:Q,A:A,A787)&gt;0,SUMIFS(Q:Q,A:A,A787),"."))/VLOOKUP("USD",'Exchange Rates'!B:C,2,0),"Error with coding"))),"")</f>
        <v>.</v>
      </c>
      <c r="U787" s="15" t="s">
        <v>261</v>
      </c>
      <c r="V787" s="300" t="s">
        <v>2298</v>
      </c>
      <c r="W787" s="546" t="s">
        <v>2299</v>
      </c>
      <c r="X787" s="144" t="s">
        <v>260</v>
      </c>
      <c r="Y787" s="144" t="s">
        <v>260</v>
      </c>
      <c r="Z787" s="15">
        <v>0</v>
      </c>
      <c r="AA787" s="180">
        <v>0</v>
      </c>
      <c r="AB787" s="184" t="s">
        <v>260</v>
      </c>
      <c r="AC787" s="544" t="str">
        <f>""</f>
        <v/>
      </c>
      <c r="AD787" s="183">
        <v>1</v>
      </c>
      <c r="AE787" s="183" t="s">
        <v>264</v>
      </c>
      <c r="AF787" s="183" t="s">
        <v>265</v>
      </c>
      <c r="AG787" s="183">
        <v>1</v>
      </c>
      <c r="AH787" s="181">
        <v>10</v>
      </c>
      <c r="AI787" s="181">
        <v>0</v>
      </c>
      <c r="AJ787" s="181">
        <f>VLOOKUP($I787,'Price List, Weapons &amp; Items'!B:F,5,0)</f>
        <v>0</v>
      </c>
      <c r="AK787" s="181">
        <f t="shared" si="154"/>
        <v>0</v>
      </c>
      <c r="AL787" s="181">
        <f t="shared" si="155"/>
        <v>0</v>
      </c>
      <c r="AM787" s="181">
        <f t="shared" si="156"/>
        <v>0</v>
      </c>
      <c r="AN787" s="180" t="str">
        <f>VLOOKUP($I787,'Price List, Weapons &amp; Items'!B:L,COLUMN('Price List, Weapons &amp; Items'!$J$11)-1,0)</f>
        <v>.</v>
      </c>
      <c r="AO787" s="180" t="str">
        <f>IF(I787=".",".",VLOOKUP($I787,'Price List, Weapons &amp; Items'!B:J,3,0))</f>
        <v>.</v>
      </c>
      <c r="AP787" s="545" t="e">
        <f t="shared" ca="1" si="151"/>
        <v>#NAME?</v>
      </c>
      <c r="AQ787" s="180" t="str">
        <f>VLOOKUP($I787,'Price List, Weapons &amp; Items'!B:L,COLUMN('Price List, Weapons &amp; Items'!$L$11)-1,0)</f>
        <v>no price, 0 count</v>
      </c>
      <c r="AR787" s="180">
        <f t="shared" si="157"/>
        <v>1</v>
      </c>
      <c r="AS787" s="180">
        <f t="shared" si="158"/>
        <v>0</v>
      </c>
      <c r="AT787" s="180">
        <f t="shared" si="159"/>
        <v>1</v>
      </c>
      <c r="AU787" s="180" t="str">
        <f t="shared" si="160"/>
        <v>.</v>
      </c>
      <c r="AV787" s="180" t="str">
        <f t="shared" si="161"/>
        <v>.</v>
      </c>
      <c r="AW787" s="180">
        <f>IFERROR(VLOOKUP(B787,'Share, Heavy Weapons to Ukraine'!B:J,COLUMN('Share, Heavy Weapons to Ukraine'!C800)-1,0),0)</f>
        <v>1</v>
      </c>
      <c r="AX787" s="180">
        <f>VLOOKUP('Bilateral Assistance, MAIN DATA'!B787,'Country Summary'!B:F,COLUMN('Country Summary'!C803)-1,FALSE)</f>
        <v>0</v>
      </c>
      <c r="AY787" s="180" t="str">
        <f>IF(AND(AD787=1,D787="Military",H787&lt;&gt;"Not given")=TRUE,IF(SUMIFS(P:P,A:A,A787)&gt;0,ABS((SUMIFS(P:P,A:A,A787)/VLOOKUP("USD",'Exchange Rates'!B:C,2,0)))/S787,"."),".")</f>
        <v>.</v>
      </c>
      <c r="AZ787" s="182" t="str">
        <f>IF(AND(AD787=1,D787="Military",H787&lt;&gt;"Not given")=TRUE,IF(SUMIFS(P:P,A:A,A787)&gt;0,IF((ABS((SUMIFS(P:P,A:A,A787)/VLOOKUP("USD",'Exchange Rates'!B:C,2,0)))/S787)&gt;1,(SUMIFS(P:P,A:A,A787)-S787)/S787,(S787-SUMIFS(P:P,A:A,A787))/SUMIFS(P:P,A:A,A787)),"."),".")</f>
        <v>.</v>
      </c>
      <c r="BA787" s="182"/>
      <c r="BB787" s="182"/>
      <c r="BC787" s="182"/>
      <c r="BD787" s="182"/>
      <c r="BE787" s="182"/>
      <c r="BF787" s="182"/>
      <c r="BG787" s="182"/>
      <c r="BH787" s="182"/>
      <c r="BI787" s="182"/>
      <c r="BJ787" s="182"/>
      <c r="BK787" s="182"/>
      <c r="BL787" s="182"/>
      <c r="BM787" s="182"/>
      <c r="BN787" s="182"/>
      <c r="BO787" s="182"/>
      <c r="BP787" s="182"/>
      <c r="BQ787" s="182"/>
      <c r="BR787" s="182"/>
      <c r="BS787" s="182"/>
    </row>
    <row r="788" spans="1:71" ht="15.9" customHeight="1" x14ac:dyDescent="0.3">
      <c r="A788" s="17" t="s">
        <v>2300</v>
      </c>
      <c r="B788" s="17" t="s">
        <v>2206</v>
      </c>
      <c r="C788" s="174">
        <v>44839</v>
      </c>
      <c r="D788" s="5" t="s">
        <v>405</v>
      </c>
      <c r="E788" s="5" t="s">
        <v>362</v>
      </c>
      <c r="F788" s="175" t="s">
        <v>2301</v>
      </c>
      <c r="G788" s="15" t="s">
        <v>2231</v>
      </c>
      <c r="H788" s="176">
        <v>1000000000</v>
      </c>
      <c r="I788" s="17" t="s">
        <v>260</v>
      </c>
      <c r="J788" s="113" t="str">
        <f>VLOOKUP($I788,'Price List, Weapons &amp; Items'!B:C,2,0)</f>
        <v>.</v>
      </c>
      <c r="K788" s="113" t="str">
        <f>IF(I788=".",I788,VLOOKUP($I788,'Price List, Weapons &amp; Items'!B:D,3,0))</f>
        <v>.</v>
      </c>
      <c r="L788" s="177">
        <f>VLOOKUP(I788,'Price List, Weapons &amp; Items'!B:E,4,0)</f>
        <v>0</v>
      </c>
      <c r="M788" s="187" t="s">
        <v>260</v>
      </c>
      <c r="N788" s="187" t="s">
        <v>260</v>
      </c>
      <c r="O788" s="543" t="str">
        <f>VLOOKUP($I788,'Price List, Weapons &amp; Items'!B:G,6,0)</f>
        <v>.</v>
      </c>
      <c r="P788" s="176" t="str">
        <f t="shared" si="152"/>
        <v>.</v>
      </c>
      <c r="Q788" s="176" t="str">
        <f t="shared" si="153"/>
        <v>.</v>
      </c>
      <c r="R788" s="176">
        <f t="shared" si="150"/>
        <v>1000000000</v>
      </c>
      <c r="S788" s="176">
        <f>IF(AND(AD788=1,R788&lt;&gt;".")=TRUE,R788/VLOOKUP(G788,'Exchange Rates'!B:C,2,0),IF(R788=".",".",""))</f>
        <v>96141828.425292984</v>
      </c>
      <c r="T788" s="176" t="str">
        <f>IF(AD788=1,IF(AF788="Value is not given at all",".",IF(AF788="Value is given by the source",S788,IF(AF788="Value is calculated with prices",(IF(SUMIFS(Q:Q,A:A,A788)&gt;0,SUMIFS(Q:Q,A:A,A788),"."))/VLOOKUP("USD",'Exchange Rates'!B:C,2,0),"Error with coding"))),"")</f>
        <v>.</v>
      </c>
      <c r="U788" s="15" t="s">
        <v>261</v>
      </c>
      <c r="V788" s="564" t="s">
        <v>2218</v>
      </c>
      <c r="W788" s="564" t="s">
        <v>2299</v>
      </c>
      <c r="X788" s="144" t="s">
        <v>260</v>
      </c>
      <c r="Y788" s="144" t="s">
        <v>260</v>
      </c>
      <c r="Z788" s="15">
        <v>1</v>
      </c>
      <c r="AA788" s="180">
        <v>0</v>
      </c>
      <c r="AB788" s="184" t="s">
        <v>260</v>
      </c>
      <c r="AC788" s="544" t="str">
        <f>""</f>
        <v/>
      </c>
      <c r="AD788" s="183">
        <v>1</v>
      </c>
      <c r="AE788" s="183" t="s">
        <v>264</v>
      </c>
      <c r="AF788" s="183" t="s">
        <v>265</v>
      </c>
      <c r="AG788" s="183">
        <v>1</v>
      </c>
      <c r="AH788" s="181">
        <v>10</v>
      </c>
      <c r="AI788" s="181">
        <v>0</v>
      </c>
      <c r="AJ788" s="181">
        <f>VLOOKUP($I788,'Price List, Weapons &amp; Items'!B:F,5,0)</f>
        <v>0</v>
      </c>
      <c r="AK788" s="181">
        <f t="shared" si="154"/>
        <v>0</v>
      </c>
      <c r="AL788" s="181">
        <f t="shared" si="155"/>
        <v>0</v>
      </c>
      <c r="AM788" s="181">
        <f t="shared" si="156"/>
        <v>0</v>
      </c>
      <c r="AN788" s="180" t="str">
        <f>VLOOKUP($I788,'Price List, Weapons &amp; Items'!B:L,COLUMN('Price List, Weapons &amp; Items'!$J$11)-1,0)</f>
        <v>.</v>
      </c>
      <c r="AO788" s="180" t="str">
        <f>IF(I788=".",".",VLOOKUP($I788,'Price List, Weapons &amp; Items'!B:J,3,0))</f>
        <v>.</v>
      </c>
      <c r="AP788" s="545" t="e">
        <f t="shared" ca="1" si="151"/>
        <v>#NAME?</v>
      </c>
      <c r="AQ788" s="180" t="str">
        <f>VLOOKUP($I788,'Price List, Weapons &amp; Items'!B:L,COLUMN('Price List, Weapons &amp; Items'!$L$11)-1,0)</f>
        <v>no price, 0 count</v>
      </c>
      <c r="AR788" s="180">
        <f t="shared" si="157"/>
        <v>1</v>
      </c>
      <c r="AS788" s="180">
        <f t="shared" si="158"/>
        <v>0</v>
      </c>
      <c r="AT788" s="180">
        <f t="shared" si="159"/>
        <v>1</v>
      </c>
      <c r="AU788" s="180" t="str">
        <f t="shared" si="160"/>
        <v>.</v>
      </c>
      <c r="AV788" s="180" t="str">
        <f t="shared" si="161"/>
        <v>.</v>
      </c>
      <c r="AW788" s="180">
        <f>IFERROR(VLOOKUP(B788,'Share, Heavy Weapons to Ukraine'!B:J,COLUMN('Share, Heavy Weapons to Ukraine'!C801)-1,0),0)</f>
        <v>1</v>
      </c>
      <c r="AX788" s="180">
        <f>VLOOKUP('Bilateral Assistance, MAIN DATA'!B788,'Country Summary'!B:F,COLUMN('Country Summary'!C804)-1,FALSE)</f>
        <v>0</v>
      </c>
      <c r="AY788" s="180" t="str">
        <f>IF(AND(AD788=1,D788="Military",H788&lt;&gt;"Not given")=TRUE,IF(SUMIFS(P:P,A:A,A788)&gt;0,ABS((SUMIFS(P:P,A:A,A788)/VLOOKUP("USD",'Exchange Rates'!B:C,2,0)))/S788,"."),".")</f>
        <v>.</v>
      </c>
      <c r="AZ788" s="182" t="str">
        <f>IF(AND(AD788=1,D788="Military",H788&lt;&gt;"Not given")=TRUE,IF(SUMIFS(P:P,A:A,A788)&gt;0,IF((ABS((SUMIFS(P:P,A:A,A788)/VLOOKUP("USD",'Exchange Rates'!B:C,2,0)))/S788)&gt;1,(SUMIFS(P:P,A:A,A788)-S788)/S788,(S788-SUMIFS(P:P,A:A,A788))/SUMIFS(P:P,A:A,A788)),"."),".")</f>
        <v>.</v>
      </c>
      <c r="BA788" s="182"/>
      <c r="BB788" s="182"/>
      <c r="BC788" s="182"/>
      <c r="BD788" s="182"/>
      <c r="BE788" s="182"/>
      <c r="BF788" s="182"/>
      <c r="BG788" s="182"/>
      <c r="BH788" s="182"/>
      <c r="BI788" s="182"/>
      <c r="BJ788" s="182"/>
      <c r="BK788" s="182"/>
      <c r="BL788" s="182"/>
      <c r="BM788" s="182"/>
      <c r="BN788" s="182"/>
      <c r="BO788" s="182"/>
      <c r="BP788" s="182"/>
      <c r="BQ788" s="182"/>
      <c r="BR788" s="182"/>
      <c r="BS788" s="182"/>
    </row>
    <row r="789" spans="1:71" ht="15.9" customHeight="1" x14ac:dyDescent="0.3">
      <c r="A789" s="17" t="s">
        <v>2302</v>
      </c>
      <c r="B789" s="17" t="s">
        <v>2303</v>
      </c>
      <c r="C789" s="174">
        <v>44653</v>
      </c>
      <c r="D789" s="5" t="s">
        <v>256</v>
      </c>
      <c r="E789" s="5" t="s">
        <v>267</v>
      </c>
      <c r="F789" s="175" t="s">
        <v>2304</v>
      </c>
      <c r="G789" s="15" t="s">
        <v>346</v>
      </c>
      <c r="H789" s="176" t="s">
        <v>341</v>
      </c>
      <c r="I789" s="17" t="s">
        <v>698</v>
      </c>
      <c r="J789" s="113" t="str">
        <f>VLOOKUP($I789,'Price List, Weapons &amp; Items'!B:C,2,0)</f>
        <v>Humanitarian</v>
      </c>
      <c r="K789" s="113" t="str">
        <f>IF(I789=".",I789,VLOOKUP($I789,'Price List, Weapons &amp; Items'!B:D,3,0))</f>
        <v>Humanitarian</v>
      </c>
      <c r="L789" s="177">
        <f>VLOOKUP(I789,'Price List, Weapons &amp; Items'!B:E,4,0)</f>
        <v>0</v>
      </c>
      <c r="M789" s="542">
        <v>1500</v>
      </c>
      <c r="N789" s="542" t="s">
        <v>270</v>
      </c>
      <c r="O789" s="543">
        <f>VLOOKUP($I789,'Price List, Weapons &amp; Items'!B:G,6,0)</f>
        <v>2430</v>
      </c>
      <c r="P789" s="176">
        <f t="shared" si="152"/>
        <v>3645000</v>
      </c>
      <c r="Q789" s="176" t="str">
        <f t="shared" si="153"/>
        <v>.</v>
      </c>
      <c r="R789" s="176">
        <f t="shared" ref="R789:R852" si="162">IF(AD789=1,IF(H789&lt;&gt;"Not given",H789,IF(TYPE(H789)=2,IF(SUMIFS(P:P,A:A,A789)&gt;0,SUMIFS(P:P,A:A,A789),"."),"Format error")),"")</f>
        <v>3645000</v>
      </c>
      <c r="S789" s="176">
        <f>IF(AND(AD789=1,R789&lt;&gt;".")=TRUE,R789/VLOOKUP(G789,'Exchange Rates'!B:C,2,0),IF(R789=".",".",""))</f>
        <v>3471428.5714285714</v>
      </c>
      <c r="T789" s="176" t="str">
        <f>IF(AD789=1,IF(AF789="Value is not given at all",".",IF(AF789="Value is given by the source",S789,IF(AF789="Value is calculated with prices",(IF(SUMIFS(Q:Q,A:A,A789)&gt;0,SUMIFS(Q:Q,A:A,A789),"."))/VLOOKUP("USD",'Exchange Rates'!B:C,2,0),"Error with coding"))),"")</f>
        <v>.</v>
      </c>
      <c r="U789" s="15" t="s">
        <v>261</v>
      </c>
      <c r="V789" s="300" t="s">
        <v>2305</v>
      </c>
      <c r="W789" s="300" t="s">
        <v>2306</v>
      </c>
      <c r="X789" s="300" t="s">
        <v>2307</v>
      </c>
      <c r="Y789" s="175" t="s">
        <v>260</v>
      </c>
      <c r="Z789" s="15">
        <v>0</v>
      </c>
      <c r="AA789" s="180">
        <v>0</v>
      </c>
      <c r="AB789" s="184" t="s">
        <v>260</v>
      </c>
      <c r="AC789" s="544" t="str">
        <f>""</f>
        <v/>
      </c>
      <c r="AD789" s="181">
        <v>1</v>
      </c>
      <c r="AE789" s="181" t="s">
        <v>332</v>
      </c>
      <c r="AF789" s="181" t="s">
        <v>265</v>
      </c>
      <c r="AG789" s="181">
        <v>1</v>
      </c>
      <c r="AH789" s="181">
        <v>4</v>
      </c>
      <c r="AI789" s="181">
        <v>0</v>
      </c>
      <c r="AJ789" s="181">
        <f>VLOOKUP($I789,'Price List, Weapons &amp; Items'!B:F,5,0)</f>
        <v>0</v>
      </c>
      <c r="AK789" s="181">
        <f t="shared" si="154"/>
        <v>0</v>
      </c>
      <c r="AL789" s="181">
        <f t="shared" si="155"/>
        <v>0</v>
      </c>
      <c r="AM789" s="181">
        <f t="shared" si="156"/>
        <v>0</v>
      </c>
      <c r="AN789" s="180" t="str">
        <f>VLOOKUP($I789,'Price List, Weapons &amp; Items'!B:L,COLUMN('Price List, Weapons &amp; Items'!$J$11)-1,0)</f>
        <v>Government information</v>
      </c>
      <c r="AO789" s="180" t="str">
        <f>IF(I789=".",".",VLOOKUP($I789,'Price List, Weapons &amp; Items'!B:J,3,0))</f>
        <v>Humanitarian</v>
      </c>
      <c r="AP789" s="545" t="e">
        <f t="shared" ref="AP789:AP852" ca="1" si="163">IF(AD789=1,_xlfn.ARRAYTOTEXT(OFFSET(I789,0,0,COUNTIF(A:A,A789),1)),"")</f>
        <v>#NAME?</v>
      </c>
      <c r="AQ789" s="180">
        <f>VLOOKUP($I789,'Price List, Weapons &amp; Items'!B:L,COLUMN('Price List, Weapons &amp; Items'!$L$11)-1,0)</f>
        <v>0</v>
      </c>
      <c r="AR789" s="180">
        <f t="shared" si="157"/>
        <v>1</v>
      </c>
      <c r="AS789" s="180">
        <f t="shared" si="158"/>
        <v>0</v>
      </c>
      <c r="AT789" s="180">
        <f t="shared" si="159"/>
        <v>1</v>
      </c>
      <c r="AU789" s="180" t="str">
        <f t="shared" si="160"/>
        <v>.</v>
      </c>
      <c r="AV789" s="180" t="str">
        <f t="shared" si="161"/>
        <v>.</v>
      </c>
      <c r="AW789" s="180">
        <f>IFERROR(VLOOKUP(B789,'Share, Heavy Weapons to Ukraine'!B:J,COLUMN('Share, Heavy Weapons to Ukraine'!C802)-1,0),0)</f>
        <v>0</v>
      </c>
      <c r="AX789" s="180">
        <f>VLOOKUP('Bilateral Assistance, MAIN DATA'!B789,'Country Summary'!B:F,COLUMN('Country Summary'!C805)-1,FALSE)</f>
        <v>1</v>
      </c>
      <c r="AY789" s="180" t="str">
        <f>IF(AND(AD789=1,D789="Military",H789&lt;&gt;"Not given")=TRUE,IF(SUMIFS(P:P,A:A,A789)&gt;0,ABS((SUMIFS(P:P,A:A,A789)/VLOOKUP("USD",'Exchange Rates'!B:C,2,0)))/S789,"."),".")</f>
        <v>.</v>
      </c>
      <c r="AZ789" s="182" t="str">
        <f>IF(AND(AD789=1,D789="Military",H789&lt;&gt;"Not given")=TRUE,IF(SUMIFS(P:P,A:A,A789)&gt;0,IF((ABS((SUMIFS(P:P,A:A,A789)/VLOOKUP("USD",'Exchange Rates'!B:C,2,0)))/S789)&gt;1,(SUMIFS(P:P,A:A,A789)-S789)/S789,(S789-SUMIFS(P:P,A:A,A789))/SUMIFS(P:P,A:A,A789)),"."),".")</f>
        <v>.</v>
      </c>
      <c r="BA789" s="182"/>
      <c r="BB789" s="182"/>
      <c r="BC789" s="182"/>
      <c r="BD789" s="182"/>
      <c r="BE789" s="182"/>
      <c r="BF789" s="182"/>
      <c r="BG789" s="182"/>
      <c r="BH789" s="182"/>
      <c r="BI789" s="182"/>
      <c r="BJ789" s="182"/>
      <c r="BK789" s="182"/>
      <c r="BL789" s="182"/>
      <c r="BM789" s="182"/>
      <c r="BN789" s="182"/>
      <c r="BO789" s="182"/>
      <c r="BP789" s="182"/>
      <c r="BQ789" s="182"/>
      <c r="BR789" s="182"/>
      <c r="BS789" s="182"/>
    </row>
    <row r="790" spans="1:71" ht="15.9" customHeight="1" x14ac:dyDescent="0.3">
      <c r="A790" s="17" t="s">
        <v>2308</v>
      </c>
      <c r="B790" s="17" t="s">
        <v>2303</v>
      </c>
      <c r="C790" s="174">
        <v>44686</v>
      </c>
      <c r="D790" s="5" t="s">
        <v>256</v>
      </c>
      <c r="E790" s="5" t="s">
        <v>267</v>
      </c>
      <c r="F790" s="175" t="s">
        <v>2309</v>
      </c>
      <c r="G790" s="15" t="s">
        <v>364</v>
      </c>
      <c r="H790" s="176">
        <v>100000000</v>
      </c>
      <c r="I790" s="17" t="s">
        <v>260</v>
      </c>
      <c r="J790" s="113" t="str">
        <f>VLOOKUP($I790,'Price List, Weapons &amp; Items'!B:C,2,0)</f>
        <v>.</v>
      </c>
      <c r="K790" s="113" t="str">
        <f>IF(I790=".",I790,VLOOKUP($I790,'Price List, Weapons &amp; Items'!B:D,3,0))</f>
        <v>.</v>
      </c>
      <c r="L790" s="177">
        <f>VLOOKUP(I790,'Price List, Weapons &amp; Items'!B:E,4,0)</f>
        <v>0</v>
      </c>
      <c r="M790" s="542" t="s">
        <v>260</v>
      </c>
      <c r="N790" s="542" t="s">
        <v>260</v>
      </c>
      <c r="O790" s="543" t="str">
        <f>VLOOKUP($I790,'Price List, Weapons &amp; Items'!B:G,6,0)</f>
        <v>.</v>
      </c>
      <c r="P790" s="176" t="str">
        <f t="shared" si="152"/>
        <v>.</v>
      </c>
      <c r="Q790" s="176" t="str">
        <f t="shared" si="153"/>
        <v>.</v>
      </c>
      <c r="R790" s="176">
        <f t="shared" si="162"/>
        <v>100000000</v>
      </c>
      <c r="S790" s="176">
        <f>IF(AND(AD790=1,R790&lt;&gt;".")=TRUE,R790/VLOOKUP(G790,'Exchange Rates'!B:C,2,0),IF(R790=".",".",""))</f>
        <v>100000000</v>
      </c>
      <c r="T790" s="176" t="str">
        <f>IF(AD790=1,IF(AF790="Value is not given at all",".",IF(AF790="Value is given by the source",S790,IF(AF790="Value is calculated with prices",(IF(SUMIFS(Q:Q,A:A,A790)&gt;0,SUMIFS(Q:Q,A:A,A790),"."))/VLOOKUP("USD",'Exchange Rates'!B:C,2,0),"Error with coding"))),"")</f>
        <v>.</v>
      </c>
      <c r="U790" s="15" t="s">
        <v>261</v>
      </c>
      <c r="V790" s="300" t="s">
        <v>429</v>
      </c>
      <c r="W790" s="175" t="s">
        <v>260</v>
      </c>
      <c r="X790" s="175" t="s">
        <v>260</v>
      </c>
      <c r="Y790" s="175" t="s">
        <v>260</v>
      </c>
      <c r="Z790" s="15">
        <v>0</v>
      </c>
      <c r="AA790" s="180">
        <v>0</v>
      </c>
      <c r="AB790" s="184" t="s">
        <v>260</v>
      </c>
      <c r="AC790" s="544" t="str">
        <f>""</f>
        <v/>
      </c>
      <c r="AD790" s="181">
        <v>1</v>
      </c>
      <c r="AE790" s="181" t="s">
        <v>264</v>
      </c>
      <c r="AF790" s="181" t="s">
        <v>265</v>
      </c>
      <c r="AG790" s="181">
        <v>1</v>
      </c>
      <c r="AH790" s="181">
        <v>5</v>
      </c>
      <c r="AI790" s="181">
        <v>0</v>
      </c>
      <c r="AJ790" s="181">
        <f>VLOOKUP($I790,'Price List, Weapons &amp; Items'!B:F,5,0)</f>
        <v>0</v>
      </c>
      <c r="AK790" s="181">
        <f t="shared" si="154"/>
        <v>0</v>
      </c>
      <c r="AL790" s="181">
        <f t="shared" si="155"/>
        <v>0</v>
      </c>
      <c r="AM790" s="181">
        <f t="shared" si="156"/>
        <v>0</v>
      </c>
      <c r="AN790" s="180" t="str">
        <f>VLOOKUP($I790,'Price List, Weapons &amp; Items'!B:L,COLUMN('Price List, Weapons &amp; Items'!$J$11)-1,0)</f>
        <v>.</v>
      </c>
      <c r="AO790" s="180" t="str">
        <f>IF(I790=".",".",VLOOKUP($I790,'Price List, Weapons &amp; Items'!B:J,3,0))</f>
        <v>.</v>
      </c>
      <c r="AP790" s="545" t="e">
        <f t="shared" ca="1" si="163"/>
        <v>#NAME?</v>
      </c>
      <c r="AQ790" s="180" t="str">
        <f>VLOOKUP($I790,'Price List, Weapons &amp; Items'!B:L,COLUMN('Price List, Weapons &amp; Items'!$L$11)-1,0)</f>
        <v>no price, 0 count</v>
      </c>
      <c r="AR790" s="180">
        <f t="shared" si="157"/>
        <v>1</v>
      </c>
      <c r="AS790" s="180">
        <f t="shared" si="158"/>
        <v>0</v>
      </c>
      <c r="AT790" s="180">
        <f t="shared" si="159"/>
        <v>1</v>
      </c>
      <c r="AU790" s="180" t="str">
        <f t="shared" si="160"/>
        <v>.</v>
      </c>
      <c r="AV790" s="180" t="str">
        <f t="shared" si="161"/>
        <v>.</v>
      </c>
      <c r="AW790" s="180">
        <f>IFERROR(VLOOKUP(B790,'Share, Heavy Weapons to Ukraine'!B:J,COLUMN('Share, Heavy Weapons to Ukraine'!C803)-1,0),0)</f>
        <v>0</v>
      </c>
      <c r="AX790" s="180">
        <f>VLOOKUP('Bilateral Assistance, MAIN DATA'!B790,'Country Summary'!B:F,COLUMN('Country Summary'!C806)-1,FALSE)</f>
        <v>1</v>
      </c>
      <c r="AY790" s="180" t="str">
        <f>IF(AND(AD790=1,D790="Military",H790&lt;&gt;"Not given")=TRUE,IF(SUMIFS(P:P,A:A,A790)&gt;0,ABS((SUMIFS(P:P,A:A,A790)/VLOOKUP("USD",'Exchange Rates'!B:C,2,0)))/S790,"."),".")</f>
        <v>.</v>
      </c>
      <c r="AZ790" s="182" t="str">
        <f>IF(AND(AD790=1,D790="Military",H790&lt;&gt;"Not given")=TRUE,IF(SUMIFS(P:P,A:A,A790)&gt;0,IF((ABS((SUMIFS(P:P,A:A,A790)/VLOOKUP("USD",'Exchange Rates'!B:C,2,0)))/S790)&gt;1,(SUMIFS(P:P,A:A,A790)-S790)/S790,(S790-SUMIFS(P:P,A:A,A790))/SUMIFS(P:P,A:A,A790)),"."),".")</f>
        <v>.</v>
      </c>
      <c r="BA790" s="182"/>
      <c r="BB790" s="182"/>
      <c r="BC790" s="182"/>
      <c r="BD790" s="182"/>
      <c r="BE790" s="182"/>
      <c r="BF790" s="182"/>
      <c r="BG790" s="182"/>
      <c r="BH790" s="182"/>
      <c r="BI790" s="182"/>
      <c r="BJ790" s="182"/>
      <c r="BK790" s="182"/>
      <c r="BL790" s="182"/>
      <c r="BM790" s="182"/>
      <c r="BN790" s="182"/>
      <c r="BO790" s="182"/>
      <c r="BP790" s="182"/>
      <c r="BQ790" s="182"/>
      <c r="BR790" s="182"/>
      <c r="BS790" s="182"/>
    </row>
    <row r="791" spans="1:71" ht="15.9" customHeight="1" x14ac:dyDescent="0.3">
      <c r="A791" s="17" t="s">
        <v>2310</v>
      </c>
      <c r="B791" s="17" t="s">
        <v>2303</v>
      </c>
      <c r="C791" s="174">
        <v>44795</v>
      </c>
      <c r="D791" s="5" t="s">
        <v>256</v>
      </c>
      <c r="E791" s="5" t="s">
        <v>267</v>
      </c>
      <c r="F791" s="175" t="s">
        <v>2311</v>
      </c>
      <c r="G791" s="15" t="s">
        <v>346</v>
      </c>
      <c r="H791" s="176" t="s">
        <v>341</v>
      </c>
      <c r="I791" s="17" t="s">
        <v>1323</v>
      </c>
      <c r="J791" s="113" t="str">
        <f>VLOOKUP($I791,'Price List, Weapons &amp; Items'!B:C,2,0)</f>
        <v>humanitarian</v>
      </c>
      <c r="K791" s="113" t="str">
        <f>IF(I791=".",I791,VLOOKUP($I791,'Price List, Weapons &amp; Items'!B:D,3,0))</f>
        <v>Humanitarian</v>
      </c>
      <c r="L791" s="177">
        <f>VLOOKUP(I791,'Price List, Weapons &amp; Items'!B:E,4,0)</f>
        <v>0</v>
      </c>
      <c r="M791" s="542">
        <v>5000</v>
      </c>
      <c r="N791" s="542" t="s">
        <v>270</v>
      </c>
      <c r="O791" s="543">
        <f>VLOOKUP($I791,'Price List, Weapons &amp; Items'!B:G,6,0)</f>
        <v>1500</v>
      </c>
      <c r="P791" s="176">
        <f t="shared" si="152"/>
        <v>7500000</v>
      </c>
      <c r="Q791" s="176" t="str">
        <f t="shared" si="153"/>
        <v>.</v>
      </c>
      <c r="R791" s="176">
        <f t="shared" si="162"/>
        <v>7500000</v>
      </c>
      <c r="S791" s="176">
        <f>IF(AND(AD791=1,R791&lt;&gt;".")=TRUE,R791/VLOOKUP(G791,'Exchange Rates'!B:C,2,0),IF(R791=".",".",""))</f>
        <v>7142857.1428571427</v>
      </c>
      <c r="T791" s="176" t="str">
        <f>IF(AD791=1,IF(AF791="Value is not given at all",".",IF(AF791="Value is given by the source",S791,IF(AF791="Value is calculated with prices",(IF(SUMIFS(Q:Q,A:A,A791)&gt;0,SUMIFS(Q:Q,A:A,A791),"."))/VLOOKUP("USD",'Exchange Rates'!B:C,2,0),"Error with coding"))),"")</f>
        <v>.</v>
      </c>
      <c r="U791" s="15" t="s">
        <v>261</v>
      </c>
      <c r="V791" s="300" t="s">
        <v>2312</v>
      </c>
      <c r="W791" s="144" t="s">
        <v>260</v>
      </c>
      <c r="X791" s="144" t="s">
        <v>260</v>
      </c>
      <c r="Y791" s="175" t="s">
        <v>260</v>
      </c>
      <c r="Z791" s="15">
        <v>0</v>
      </c>
      <c r="AA791" s="180">
        <v>0</v>
      </c>
      <c r="AB791" s="184" t="s">
        <v>260</v>
      </c>
      <c r="AC791" s="544" t="str">
        <f>""</f>
        <v/>
      </c>
      <c r="AD791" s="181">
        <v>1</v>
      </c>
      <c r="AE791" s="181" t="s">
        <v>332</v>
      </c>
      <c r="AF791" s="181" t="s">
        <v>265</v>
      </c>
      <c r="AG791" s="181">
        <v>1</v>
      </c>
      <c r="AH791" s="181">
        <v>8</v>
      </c>
      <c r="AI791" s="181">
        <v>0</v>
      </c>
      <c r="AJ791" s="181">
        <f>VLOOKUP($I791,'Price List, Weapons &amp; Items'!B:F,5,0)</f>
        <v>0</v>
      </c>
      <c r="AK791" s="181">
        <f t="shared" si="154"/>
        <v>0</v>
      </c>
      <c r="AL791" s="181">
        <f t="shared" si="155"/>
        <v>0</v>
      </c>
      <c r="AM791" s="181">
        <f t="shared" si="156"/>
        <v>0</v>
      </c>
      <c r="AN791" s="180" t="str">
        <f>VLOOKUP($I791,'Price List, Weapons &amp; Items'!B:L,COLUMN('Price List, Weapons &amp; Items'!$J$11)-1,0)</f>
        <v>Contracts</v>
      </c>
      <c r="AO791" s="180" t="str">
        <f>IF(I791=".",".",VLOOKUP($I791,'Price List, Weapons &amp; Items'!B:J,3,0))</f>
        <v>Humanitarian</v>
      </c>
      <c r="AP791" s="545" t="e">
        <f t="shared" ca="1" si="163"/>
        <v>#NAME?</v>
      </c>
      <c r="AQ791" s="180">
        <f>VLOOKUP($I791,'Price List, Weapons &amp; Items'!B:L,COLUMN('Price List, Weapons &amp; Items'!$L$11)-1,0)</f>
        <v>0</v>
      </c>
      <c r="AR791" s="180">
        <f t="shared" si="157"/>
        <v>1</v>
      </c>
      <c r="AS791" s="180">
        <f t="shared" si="158"/>
        <v>0</v>
      </c>
      <c r="AT791" s="180">
        <f t="shared" si="159"/>
        <v>1</v>
      </c>
      <c r="AU791" s="180" t="str">
        <f t="shared" si="160"/>
        <v>.</v>
      </c>
      <c r="AV791" s="180" t="str">
        <f t="shared" si="161"/>
        <v>.</v>
      </c>
      <c r="AW791" s="180">
        <f>IFERROR(VLOOKUP(B791,'Share, Heavy Weapons to Ukraine'!B:J,COLUMN('Share, Heavy Weapons to Ukraine'!C804)-1,0),0)</f>
        <v>0</v>
      </c>
      <c r="AX791" s="180">
        <f>VLOOKUP('Bilateral Assistance, MAIN DATA'!B791,'Country Summary'!B:F,COLUMN('Country Summary'!C807)-1,FALSE)</f>
        <v>1</v>
      </c>
      <c r="AY791" s="180" t="str">
        <f>IF(AND(AD791=1,D791="Military",H791&lt;&gt;"Not given")=TRUE,IF(SUMIFS(P:P,A:A,A791)&gt;0,ABS((SUMIFS(P:P,A:A,A791)/VLOOKUP("USD",'Exchange Rates'!B:C,2,0)))/S791,"."),".")</f>
        <v>.</v>
      </c>
      <c r="AZ791" s="182" t="str">
        <f>IF(AND(AD791=1,D791="Military",H791&lt;&gt;"Not given")=TRUE,IF(SUMIFS(P:P,A:A,A791)&gt;0,IF((ABS((SUMIFS(P:P,A:A,A791)/VLOOKUP("USD",'Exchange Rates'!B:C,2,0)))/S791)&gt;1,(SUMIFS(P:P,A:A,A791)-S791)/S791,(S791-SUMIFS(P:P,A:A,A791))/SUMIFS(P:P,A:A,A791)),"."),".")</f>
        <v>.</v>
      </c>
      <c r="BA791" s="182"/>
      <c r="BB791" s="182"/>
      <c r="BC791" s="182"/>
      <c r="BD791" s="182"/>
      <c r="BE791" s="182"/>
      <c r="BF791" s="182"/>
      <c r="BG791" s="182"/>
      <c r="BH791" s="182"/>
      <c r="BI791" s="182"/>
      <c r="BJ791" s="182"/>
      <c r="BK791" s="182"/>
      <c r="BL791" s="182"/>
      <c r="BM791" s="182"/>
      <c r="BN791" s="182"/>
      <c r="BO791" s="182"/>
      <c r="BP791" s="182"/>
      <c r="BQ791" s="182"/>
      <c r="BR791" s="182"/>
      <c r="BS791" s="182"/>
    </row>
    <row r="792" spans="1:71" ht="15.9" customHeight="1" x14ac:dyDescent="0.3">
      <c r="A792" s="17" t="s">
        <v>2313</v>
      </c>
      <c r="B792" s="17" t="s">
        <v>2303</v>
      </c>
      <c r="C792" s="174" t="s">
        <v>2314</v>
      </c>
      <c r="D792" s="5" t="s">
        <v>256</v>
      </c>
      <c r="E792" s="5" t="s">
        <v>257</v>
      </c>
      <c r="F792" s="175" t="s">
        <v>2315</v>
      </c>
      <c r="G792" s="15" t="s">
        <v>346</v>
      </c>
      <c r="H792" s="176">
        <f>177000000-((100000000*1.0375)+7500000+3645000)</f>
        <v>62104999.999999985</v>
      </c>
      <c r="I792" s="17" t="s">
        <v>260</v>
      </c>
      <c r="J792" s="113" t="str">
        <f>VLOOKUP($I792,'Price List, Weapons &amp; Items'!B:C,2,0)</f>
        <v>.</v>
      </c>
      <c r="K792" s="113" t="str">
        <f>IF(I792=".",I792,VLOOKUP($I792,'Price List, Weapons &amp; Items'!B:D,3,0))</f>
        <v>.</v>
      </c>
      <c r="L792" s="177">
        <f>VLOOKUP(I792,'Price List, Weapons &amp; Items'!B:E,4,0)</f>
        <v>0</v>
      </c>
      <c r="M792" s="542" t="s">
        <v>260</v>
      </c>
      <c r="N792" s="542" t="s">
        <v>260</v>
      </c>
      <c r="O792" s="543" t="str">
        <f>VLOOKUP($I792,'Price List, Weapons &amp; Items'!B:G,6,0)</f>
        <v>.</v>
      </c>
      <c r="P792" s="176" t="str">
        <f t="shared" si="152"/>
        <v>.</v>
      </c>
      <c r="Q792" s="176" t="str">
        <f t="shared" si="153"/>
        <v>.</v>
      </c>
      <c r="R792" s="176">
        <f t="shared" si="162"/>
        <v>62104999.999999985</v>
      </c>
      <c r="S792" s="176">
        <f>IF(AND(AD792=1,R792&lt;&gt;".")=TRUE,R792/VLOOKUP(G792,'Exchange Rates'!B:C,2,0),IF(R792=".",".",""))</f>
        <v>59147619.04761903</v>
      </c>
      <c r="T792" s="176" t="str">
        <f>IF(AD792=1,IF(AF792="Value is not given at all",".",IF(AF792="Value is given by the source",S792,IF(AF792="Value is calculated with prices",(IF(SUMIFS(Q:Q,A:A,A792)&gt;0,SUMIFS(Q:Q,A:A,A792),"."))/VLOOKUP("USD",'Exchange Rates'!B:C,2,0),"Error with coding"))),"")</f>
        <v>.</v>
      </c>
      <c r="U792" s="15" t="s">
        <v>261</v>
      </c>
      <c r="V792" s="546" t="s">
        <v>2316</v>
      </c>
      <c r="W792" s="175" t="s">
        <v>260</v>
      </c>
      <c r="X792" s="175" t="s">
        <v>260</v>
      </c>
      <c r="Y792" s="175" t="s">
        <v>260</v>
      </c>
      <c r="Z792" s="15">
        <v>0</v>
      </c>
      <c r="AA792" s="180">
        <v>0</v>
      </c>
      <c r="AB792" s="184" t="s">
        <v>260</v>
      </c>
      <c r="AC792" s="544" t="str">
        <f>""</f>
        <v/>
      </c>
      <c r="AD792" s="180">
        <v>1</v>
      </c>
      <c r="AE792" s="181" t="s">
        <v>332</v>
      </c>
      <c r="AF792" s="181" t="s">
        <v>265</v>
      </c>
      <c r="AG792" s="180">
        <v>1</v>
      </c>
      <c r="AH792" s="180">
        <v>4</v>
      </c>
      <c r="AI792" s="181">
        <v>0</v>
      </c>
      <c r="AJ792" s="181">
        <f>VLOOKUP($I792,'Price List, Weapons &amp; Items'!B:F,5,0)</f>
        <v>0</v>
      </c>
      <c r="AK792" s="181">
        <f t="shared" si="154"/>
        <v>0</v>
      </c>
      <c r="AL792" s="181">
        <f t="shared" si="155"/>
        <v>0</v>
      </c>
      <c r="AM792" s="181">
        <f t="shared" si="156"/>
        <v>0</v>
      </c>
      <c r="AN792" s="180" t="str">
        <f>VLOOKUP($I792,'Price List, Weapons &amp; Items'!B:L,COLUMN('Price List, Weapons &amp; Items'!$J$11)-1,0)</f>
        <v>.</v>
      </c>
      <c r="AO792" s="180" t="str">
        <f>IF(I792=".",".",VLOOKUP($I792,'Price List, Weapons &amp; Items'!B:J,3,0))</f>
        <v>.</v>
      </c>
      <c r="AP792" s="545" t="e">
        <f t="shared" ca="1" si="163"/>
        <v>#NAME?</v>
      </c>
      <c r="AQ792" s="180" t="str">
        <f>VLOOKUP($I792,'Price List, Weapons &amp; Items'!B:L,COLUMN('Price List, Weapons &amp; Items'!$L$11)-1,0)</f>
        <v>no price, 0 count</v>
      </c>
      <c r="AR792" s="180">
        <f t="shared" si="157"/>
        <v>1</v>
      </c>
      <c r="AS792" s="180">
        <f t="shared" si="158"/>
        <v>0</v>
      </c>
      <c r="AT792" s="180" t="str">
        <f t="shared" si="159"/>
        <v>Value is not in date format</v>
      </c>
      <c r="AU792" s="180" t="str">
        <f t="shared" si="160"/>
        <v>.</v>
      </c>
      <c r="AV792" s="180" t="str">
        <f t="shared" si="161"/>
        <v>.</v>
      </c>
      <c r="AW792" s="180">
        <f>IFERROR(VLOOKUP(B792,'Share, Heavy Weapons to Ukraine'!B:J,COLUMN('Share, Heavy Weapons to Ukraine'!C805)-1,0),0)</f>
        <v>0</v>
      </c>
      <c r="AX792" s="180">
        <f>VLOOKUP('Bilateral Assistance, MAIN DATA'!B792,'Country Summary'!B:F,COLUMN('Country Summary'!C808)-1,FALSE)</f>
        <v>1</v>
      </c>
      <c r="AY792" s="180" t="str">
        <f>IF(AND(AD792=1,D792="Military",H792&lt;&gt;"Not given")=TRUE,IF(SUMIFS(P:P,A:A,A792)&gt;0,ABS((SUMIFS(P:P,A:A,A792)/VLOOKUP("USD",'Exchange Rates'!B:C,2,0)))/S792,"."),".")</f>
        <v>.</v>
      </c>
      <c r="AZ792" s="182" t="str">
        <f>IF(AND(AD792=1,D792="Military",H792&lt;&gt;"Not given")=TRUE,IF(SUMIFS(P:P,A:A,A792)&gt;0,IF((ABS((SUMIFS(P:P,A:A,A792)/VLOOKUP("USD",'Exchange Rates'!B:C,2,0)))/S792)&gt;1,(SUMIFS(P:P,A:A,A792)-S792)/S792,(S792-SUMIFS(P:P,A:A,A792))/SUMIFS(P:P,A:A,A792)),"."),".")</f>
        <v>.</v>
      </c>
      <c r="BA792" s="182"/>
      <c r="BB792" s="182"/>
      <c r="BC792" s="182"/>
      <c r="BD792" s="182"/>
      <c r="BE792" s="182"/>
      <c r="BF792" s="182"/>
      <c r="BG792" s="182"/>
      <c r="BH792" s="182"/>
      <c r="BI792" s="182"/>
      <c r="BJ792" s="182"/>
      <c r="BK792" s="182"/>
      <c r="BL792" s="182"/>
      <c r="BM792" s="182"/>
      <c r="BN792" s="182"/>
      <c r="BO792" s="182"/>
      <c r="BP792" s="182"/>
      <c r="BQ792" s="182"/>
      <c r="BR792" s="182"/>
      <c r="BS792" s="182"/>
    </row>
    <row r="793" spans="1:71" ht="15.9" customHeight="1" x14ac:dyDescent="0.3">
      <c r="A793" s="17" t="s">
        <v>2317</v>
      </c>
      <c r="B793" s="17" t="s">
        <v>2303</v>
      </c>
      <c r="C793" s="174">
        <v>44875</v>
      </c>
      <c r="D793" s="5" t="s">
        <v>256</v>
      </c>
      <c r="E793" s="5" t="s">
        <v>267</v>
      </c>
      <c r="F793" s="175" t="s">
        <v>2318</v>
      </c>
      <c r="G793" s="15" t="s">
        <v>346</v>
      </c>
      <c r="H793" s="176" t="s">
        <v>341</v>
      </c>
      <c r="I793" s="17" t="s">
        <v>1323</v>
      </c>
      <c r="J793" s="113" t="str">
        <f>VLOOKUP($I793,'Price List, Weapons &amp; Items'!B:C,2,0)</f>
        <v>humanitarian</v>
      </c>
      <c r="K793" s="113" t="str">
        <f>IF(I793=".",I793,VLOOKUP($I793,'Price List, Weapons &amp; Items'!B:D,3,0))</f>
        <v>Humanitarian</v>
      </c>
      <c r="L793" s="177">
        <f>VLOOKUP(I793,'Price List, Weapons &amp; Items'!B:E,4,0)</f>
        <v>0</v>
      </c>
      <c r="M793" s="542">
        <f>1570</f>
        <v>1570</v>
      </c>
      <c r="N793" s="542" t="s">
        <v>270</v>
      </c>
      <c r="O793" s="543">
        <f>VLOOKUP($I793,'Price List, Weapons &amp; Items'!B:G,6,0)</f>
        <v>1500</v>
      </c>
      <c r="P793" s="176">
        <f t="shared" si="152"/>
        <v>2355000</v>
      </c>
      <c r="Q793" s="176" t="str">
        <f t="shared" si="153"/>
        <v>.</v>
      </c>
      <c r="R793" s="176">
        <f t="shared" si="162"/>
        <v>2355000</v>
      </c>
      <c r="S793" s="176">
        <f>IF(AND(AD793=1,R793&lt;&gt;".")=TRUE,R793/VLOOKUP(G793,'Exchange Rates'!B:C,2,0),IF(R793=".",".",""))</f>
        <v>2242857.1428571427</v>
      </c>
      <c r="T793" s="176" t="str">
        <f>IF(AD793=1,IF(AF793="Value is not given at all",".",IF(AF793="Value is given by the source",S793,IF(AF793="Value is calculated with prices",(IF(SUMIFS(Q:Q,A:A,A793)&gt;0,SUMIFS(Q:Q,A:A,A793),"."))/VLOOKUP("USD",'Exchange Rates'!B:C,2,0),"Error with coding"))),"")</f>
        <v>.</v>
      </c>
      <c r="U793" s="15" t="s">
        <v>261</v>
      </c>
      <c r="V793" s="300" t="s">
        <v>2319</v>
      </c>
      <c r="W793" s="144" t="s">
        <v>260</v>
      </c>
      <c r="X793" s="144" t="s">
        <v>260</v>
      </c>
      <c r="Y793" s="175" t="s">
        <v>260</v>
      </c>
      <c r="Z793" s="15">
        <v>0</v>
      </c>
      <c r="AA793" s="180">
        <v>0</v>
      </c>
      <c r="AB793" s="184" t="s">
        <v>260</v>
      </c>
      <c r="AC793" s="544" t="str">
        <f>""</f>
        <v/>
      </c>
      <c r="AD793" s="181">
        <v>1</v>
      </c>
      <c r="AE793" s="181" t="s">
        <v>332</v>
      </c>
      <c r="AF793" s="181" t="s">
        <v>265</v>
      </c>
      <c r="AG793" s="181">
        <v>1</v>
      </c>
      <c r="AH793" s="181">
        <v>11</v>
      </c>
      <c r="AI793" s="181">
        <v>0</v>
      </c>
      <c r="AJ793" s="181">
        <f>VLOOKUP($I793,'Price List, Weapons &amp; Items'!B:F,5,0)</f>
        <v>0</v>
      </c>
      <c r="AK793" s="181">
        <f t="shared" si="154"/>
        <v>0</v>
      </c>
      <c r="AL793" s="181">
        <f t="shared" si="155"/>
        <v>0</v>
      </c>
      <c r="AM793" s="181">
        <f t="shared" si="156"/>
        <v>0</v>
      </c>
      <c r="AN793" s="180" t="str">
        <f>VLOOKUP($I793,'Price List, Weapons &amp; Items'!B:L,COLUMN('Price List, Weapons &amp; Items'!$J$11)-1,0)</f>
        <v>Contracts</v>
      </c>
      <c r="AO793" s="180" t="str">
        <f>IF(I793=".",".",VLOOKUP($I793,'Price List, Weapons &amp; Items'!B:J,3,0))</f>
        <v>Humanitarian</v>
      </c>
      <c r="AP793" s="545" t="e">
        <f t="shared" ca="1" si="163"/>
        <v>#NAME?</v>
      </c>
      <c r="AQ793" s="180">
        <f>VLOOKUP($I793,'Price List, Weapons &amp; Items'!B:L,COLUMN('Price List, Weapons &amp; Items'!$L$11)-1,0)</f>
        <v>0</v>
      </c>
      <c r="AR793" s="180">
        <f t="shared" si="157"/>
        <v>1</v>
      </c>
      <c r="AS793" s="180">
        <f t="shared" si="158"/>
        <v>0</v>
      </c>
      <c r="AT793" s="180">
        <f t="shared" si="159"/>
        <v>1</v>
      </c>
      <c r="AU793" s="180" t="str">
        <f t="shared" si="160"/>
        <v>.</v>
      </c>
      <c r="AV793" s="180" t="str">
        <f t="shared" si="161"/>
        <v>.</v>
      </c>
      <c r="AW793" s="180">
        <f>IFERROR(VLOOKUP(B793,'Share, Heavy Weapons to Ukraine'!B:J,COLUMN('Share, Heavy Weapons to Ukraine'!C806)-1,0),0)</f>
        <v>0</v>
      </c>
      <c r="AX793" s="180">
        <f>VLOOKUP('Bilateral Assistance, MAIN DATA'!B793,'Country Summary'!B:F,COLUMN('Country Summary'!C809)-1,FALSE)</f>
        <v>1</v>
      </c>
      <c r="AY793" s="180" t="str">
        <f>IF(AND(AD793=1,D793="Military",H793&lt;&gt;"Not given")=TRUE,IF(SUMIFS(P:P,A:A,A793)&gt;0,ABS((SUMIFS(P:P,A:A,A793)/VLOOKUP("USD",'Exchange Rates'!B:C,2,0)))/S793,"."),".")</f>
        <v>.</v>
      </c>
      <c r="AZ793" s="182" t="str">
        <f>IF(AND(AD793=1,D793="Military",H793&lt;&gt;"Not given")=TRUE,IF(SUMIFS(P:P,A:A,A793)&gt;0,IF((ABS((SUMIFS(P:P,A:A,A793)/VLOOKUP("USD",'Exchange Rates'!B:C,2,0)))/S793)&gt;1,(SUMIFS(P:P,A:A,A793)-S793)/S793,(S793-SUMIFS(P:P,A:A,A793))/SUMIFS(P:P,A:A,A793)),"."),".")</f>
        <v>.</v>
      </c>
      <c r="BA793" s="182"/>
      <c r="BB793" s="182"/>
      <c r="BC793" s="182"/>
      <c r="BD793" s="182"/>
      <c r="BE793" s="182"/>
      <c r="BF793" s="182"/>
      <c r="BG793" s="182"/>
      <c r="BH793" s="182"/>
      <c r="BI793" s="182"/>
      <c r="BJ793" s="182"/>
      <c r="BK793" s="182"/>
      <c r="BL793" s="182"/>
      <c r="BM793" s="182"/>
      <c r="BN793" s="182"/>
      <c r="BO793" s="182"/>
      <c r="BP793" s="182"/>
      <c r="BQ793" s="182"/>
      <c r="BR793" s="182"/>
      <c r="BS793" s="182"/>
    </row>
    <row r="794" spans="1:71" ht="15.9" customHeight="1" x14ac:dyDescent="0.3">
      <c r="A794" s="17" t="s">
        <v>2320</v>
      </c>
      <c r="B794" s="17" t="s">
        <v>2303</v>
      </c>
      <c r="C794" s="174">
        <v>44609</v>
      </c>
      <c r="D794" s="5" t="s">
        <v>285</v>
      </c>
      <c r="E794" s="5" t="s">
        <v>286</v>
      </c>
      <c r="F794" s="175" t="s">
        <v>2321</v>
      </c>
      <c r="G794" s="15" t="s">
        <v>260</v>
      </c>
      <c r="H794" s="176" t="s">
        <v>341</v>
      </c>
      <c r="I794" s="17" t="s">
        <v>260</v>
      </c>
      <c r="J794" s="113" t="str">
        <f>VLOOKUP($I794,'Price List, Weapons &amp; Items'!B:C,2,0)</f>
        <v>.</v>
      </c>
      <c r="K794" s="113" t="str">
        <f>IF(I794=".",I794,VLOOKUP($I794,'Price List, Weapons &amp; Items'!B:D,3,0))</f>
        <v>.</v>
      </c>
      <c r="L794" s="177">
        <f>VLOOKUP(I794,'Price List, Weapons &amp; Items'!B:E,4,0)</f>
        <v>0</v>
      </c>
      <c r="M794" s="542" t="s">
        <v>260</v>
      </c>
      <c r="N794" s="542" t="s">
        <v>260</v>
      </c>
      <c r="O794" s="543" t="str">
        <f>VLOOKUP($I794,'Price List, Weapons &amp; Items'!B:G,6,0)</f>
        <v>.</v>
      </c>
      <c r="P794" s="176" t="str">
        <f t="shared" si="152"/>
        <v>.</v>
      </c>
      <c r="Q794" s="176" t="str">
        <f t="shared" si="153"/>
        <v>.</v>
      </c>
      <c r="R794" s="176" t="str">
        <f t="shared" si="162"/>
        <v>.</v>
      </c>
      <c r="S794" s="176" t="str">
        <f>IF(AND(AD794=1,R794&lt;&gt;".")=TRUE,R794/VLOOKUP(G794,'Exchange Rates'!B:C,2,0),IF(R794=".",".",""))</f>
        <v>.</v>
      </c>
      <c r="T794" s="176" t="str">
        <f>IF(AD794=1,IF(AF794="Value is not given at all",".",IF(AF794="Value is given by the source",S794,IF(AF794="Value is calculated with prices",(IF(SUMIFS(Q:Q,A:A,A794)&gt;0,SUMIFS(Q:Q,A:A,A794),"."))/VLOOKUP("USD",'Exchange Rates'!B:C,2,0),"Error with coding"))),"")</f>
        <v>.</v>
      </c>
      <c r="U794" s="15" t="s">
        <v>261</v>
      </c>
      <c r="V794" s="300" t="s">
        <v>2322</v>
      </c>
      <c r="W794" s="175" t="s">
        <v>260</v>
      </c>
      <c r="X794" s="175" t="s">
        <v>260</v>
      </c>
      <c r="Y794" s="175" t="s">
        <v>260</v>
      </c>
      <c r="Z794" s="15">
        <v>0</v>
      </c>
      <c r="AA794" s="180">
        <v>0</v>
      </c>
      <c r="AB794" s="17" t="s">
        <v>260</v>
      </c>
      <c r="AC794" s="544" t="str">
        <f>""</f>
        <v/>
      </c>
      <c r="AD794" s="183">
        <v>1</v>
      </c>
      <c r="AE794" s="183" t="s">
        <v>265</v>
      </c>
      <c r="AF794" s="183" t="s">
        <v>265</v>
      </c>
      <c r="AG794" s="183">
        <v>1</v>
      </c>
      <c r="AH794" s="181">
        <v>2</v>
      </c>
      <c r="AI794" s="181">
        <v>1</v>
      </c>
      <c r="AJ794" s="181">
        <f>VLOOKUP($I794,'Price List, Weapons &amp; Items'!B:F,5,0)</f>
        <v>0</v>
      </c>
      <c r="AK794" s="181">
        <f t="shared" si="154"/>
        <v>0</v>
      </c>
      <c r="AL794" s="181">
        <f t="shared" si="155"/>
        <v>0</v>
      </c>
      <c r="AM794" s="181">
        <f t="shared" si="156"/>
        <v>0</v>
      </c>
      <c r="AN794" s="180" t="str">
        <f>VLOOKUP($I794,'Price List, Weapons &amp; Items'!B:L,COLUMN('Price List, Weapons &amp; Items'!$J$11)-1,0)</f>
        <v>.</v>
      </c>
      <c r="AO794" s="180" t="str">
        <f>IF(I794=".",".",VLOOKUP($I794,'Price List, Weapons &amp; Items'!B:J,3,0))</f>
        <v>.</v>
      </c>
      <c r="AP794" s="545" t="e">
        <f t="shared" ca="1" si="163"/>
        <v>#NAME?</v>
      </c>
      <c r="AQ794" s="180" t="str">
        <f>VLOOKUP($I794,'Price List, Weapons &amp; Items'!B:L,COLUMN('Price List, Weapons &amp; Items'!$L$11)-1,0)</f>
        <v>no price, 0 count</v>
      </c>
      <c r="AR794" s="180">
        <f t="shared" si="157"/>
        <v>1</v>
      </c>
      <c r="AS794" s="180">
        <f t="shared" si="158"/>
        <v>1</v>
      </c>
      <c r="AT794" s="180">
        <f t="shared" si="159"/>
        <v>1</v>
      </c>
      <c r="AU794" s="180" t="str">
        <f t="shared" si="160"/>
        <v>.</v>
      </c>
      <c r="AV794" s="180" t="str">
        <f t="shared" si="161"/>
        <v>.</v>
      </c>
      <c r="AW794" s="180">
        <f>IFERROR(VLOOKUP(B794,'Share, Heavy Weapons to Ukraine'!B:J,COLUMN('Share, Heavy Weapons to Ukraine'!C807)-1,0),0)</f>
        <v>0</v>
      </c>
      <c r="AX794" s="180">
        <f>VLOOKUP('Bilateral Assistance, MAIN DATA'!B794,'Country Summary'!B:F,COLUMN('Country Summary'!C810)-1,FALSE)</f>
        <v>1</v>
      </c>
      <c r="AY794" s="180" t="str">
        <f>IF(AND(AD794=1,D794="Military",H794&lt;&gt;"Not given")=TRUE,IF(SUMIFS(P:P,A:A,A794)&gt;0,ABS((SUMIFS(P:P,A:A,A794)/VLOOKUP("USD",'Exchange Rates'!B:C,2,0)))/S794,"."),".")</f>
        <v>.</v>
      </c>
      <c r="AZ794" s="182" t="str">
        <f>IF(AND(AD794=1,D794="Military",H794&lt;&gt;"Not given")=TRUE,IF(SUMIFS(P:P,A:A,A794)&gt;0,IF((ABS((SUMIFS(P:P,A:A,A794)/VLOOKUP("USD",'Exchange Rates'!B:C,2,0)))/S794)&gt;1,(SUMIFS(P:P,A:A,A794)-S794)/S794,(S794-SUMIFS(P:P,A:A,A794))/SUMIFS(P:P,A:A,A794)),"."),".")</f>
        <v>.</v>
      </c>
      <c r="BA794" s="182"/>
      <c r="BB794" s="182"/>
      <c r="BC794" s="182"/>
      <c r="BD794" s="182"/>
      <c r="BE794" s="182"/>
      <c r="BF794" s="182"/>
      <c r="BG794" s="182"/>
      <c r="BH794" s="182"/>
      <c r="BI794" s="182"/>
      <c r="BJ794" s="182"/>
      <c r="BK794" s="182"/>
      <c r="BL794" s="182"/>
      <c r="BM794" s="182"/>
      <c r="BN794" s="182"/>
      <c r="BO794" s="182"/>
      <c r="BP794" s="182"/>
      <c r="BQ794" s="182"/>
      <c r="BR794" s="182"/>
      <c r="BS794" s="182"/>
    </row>
    <row r="795" spans="1:71" ht="15.9" customHeight="1" x14ac:dyDescent="0.3">
      <c r="A795" s="5" t="s">
        <v>2323</v>
      </c>
      <c r="B795" s="5" t="s">
        <v>2303</v>
      </c>
      <c r="C795" s="174">
        <v>44680</v>
      </c>
      <c r="D795" s="5" t="s">
        <v>285</v>
      </c>
      <c r="E795" s="5" t="s">
        <v>286</v>
      </c>
      <c r="F795" s="175" t="s">
        <v>2324</v>
      </c>
      <c r="G795" s="15" t="s">
        <v>364</v>
      </c>
      <c r="H795" s="176">
        <v>1800000000</v>
      </c>
      <c r="I795" s="185" t="s">
        <v>2325</v>
      </c>
      <c r="J795" s="113" t="str">
        <f>VLOOKUP($I795,'Price List, Weapons &amp; Items'!B:C,2,0)</f>
        <v>Portable defence system</v>
      </c>
      <c r="K795" s="113" t="str">
        <f>IF(I795=".",I795,VLOOKUP($I795,'Price List, Weapons &amp; Items'!B:D,3,0))</f>
        <v>Light Anti-armor Weapon (LAW)</v>
      </c>
      <c r="L795" s="177">
        <f>VLOOKUP(I795,'Price List, Weapons &amp; Items'!B:E,4,0)</f>
        <v>0</v>
      </c>
      <c r="M795" s="542" t="s">
        <v>270</v>
      </c>
      <c r="N795" s="542" t="s">
        <v>270</v>
      </c>
      <c r="O795" s="543">
        <f>VLOOKUP($I795,'Price List, Weapons &amp; Items'!B:G,6,0)</f>
        <v>155476</v>
      </c>
      <c r="P795" s="176" t="str">
        <f t="shared" si="152"/>
        <v>.</v>
      </c>
      <c r="Q795" s="176" t="str">
        <f t="shared" si="153"/>
        <v>.</v>
      </c>
      <c r="R795" s="176">
        <f t="shared" si="162"/>
        <v>1800000000</v>
      </c>
      <c r="S795" s="176">
        <f>IF(AND(AD795=1,R795&lt;&gt;".")=TRUE,R795/VLOOKUP(G795,'Exchange Rates'!B:C,2,0),IF(R795=".",".",""))</f>
        <v>1800000000</v>
      </c>
      <c r="T795" s="176">
        <f>IF(AD795=1,IF(AF795="Value is not given at all",".",IF(AF795="Value is given by the source",S795,IF(AF795="Value is calculated with prices",(IF(SUMIFS(Q:Q,A:A,A795)&gt;0,SUMIFS(Q:Q,A:A,A795),"."))/VLOOKUP("USD",'Exchange Rates'!B:C,2,0),"Error with coding"))),"")</f>
        <v>1800000000</v>
      </c>
      <c r="U795" s="15" t="s">
        <v>415</v>
      </c>
      <c r="V795" s="547" t="s">
        <v>2326</v>
      </c>
      <c r="W795" s="547" t="s">
        <v>2327</v>
      </c>
      <c r="X795" s="547" t="s">
        <v>2328</v>
      </c>
      <c r="Y795" s="547" t="s">
        <v>2329</v>
      </c>
      <c r="Z795" s="15">
        <v>0</v>
      </c>
      <c r="AA795" s="180">
        <v>0</v>
      </c>
      <c r="AB795" s="550" t="s">
        <v>2330</v>
      </c>
      <c r="AC795" s="544" t="str">
        <f>""</f>
        <v/>
      </c>
      <c r="AD795" s="183">
        <v>1</v>
      </c>
      <c r="AE795" s="183" t="s">
        <v>264</v>
      </c>
      <c r="AF795" s="183" t="s">
        <v>264</v>
      </c>
      <c r="AG795" s="183">
        <v>1</v>
      </c>
      <c r="AH795" s="183">
        <v>4</v>
      </c>
      <c r="AI795" s="183">
        <v>0</v>
      </c>
      <c r="AJ795" s="181">
        <f>VLOOKUP($I795,'Price List, Weapons &amp; Items'!B:F,5,0)</f>
        <v>0</v>
      </c>
      <c r="AK795" s="181">
        <f t="shared" si="154"/>
        <v>0</v>
      </c>
      <c r="AL795" s="181">
        <f t="shared" si="155"/>
        <v>0</v>
      </c>
      <c r="AM795" s="181">
        <f t="shared" si="156"/>
        <v>0</v>
      </c>
      <c r="AN795" s="180" t="str">
        <f>VLOOKUP($I795,'Price List, Weapons &amp; Items'!B:L,COLUMN('Price List, Weapons &amp; Items'!$J$11)-1,0)</f>
        <v>Military media (incl. websites)</v>
      </c>
      <c r="AO795" s="180" t="str">
        <f>IF(I795=".",".",VLOOKUP($I795,'Price List, Weapons &amp; Items'!B:J,3,0))</f>
        <v>Light Anti-armor Weapon (LAW)</v>
      </c>
      <c r="AP795" s="545" t="e">
        <f t="shared" ca="1" si="163"/>
        <v>#NAME?</v>
      </c>
      <c r="AQ795" s="180" t="str">
        <f>VLOOKUP($I795,'Price List, Weapons &amp; Items'!B:L,COLUMN('Price List, Weapons &amp; Items'!$L$11)-1,0)</f>
        <v>no price, 0 count</v>
      </c>
      <c r="AR795" s="180">
        <f t="shared" si="157"/>
        <v>0</v>
      </c>
      <c r="AS795" s="180">
        <f t="shared" si="158"/>
        <v>1</v>
      </c>
      <c r="AT795" s="180">
        <f t="shared" si="159"/>
        <v>1</v>
      </c>
      <c r="AU795" s="180" t="str">
        <f t="shared" si="160"/>
        <v>.</v>
      </c>
      <c r="AV795" s="180" t="str">
        <f t="shared" si="161"/>
        <v>.</v>
      </c>
      <c r="AW795" s="180">
        <f>IFERROR(VLOOKUP(B795,'Share, Heavy Weapons to Ukraine'!B:J,COLUMN('Share, Heavy Weapons to Ukraine'!C808)-1,0),0)</f>
        <v>0</v>
      </c>
      <c r="AX795" s="180">
        <f>VLOOKUP('Bilateral Assistance, MAIN DATA'!B795,'Country Summary'!B:F,COLUMN('Country Summary'!C811)-1,FALSE)</f>
        <v>1</v>
      </c>
      <c r="AY795" s="180">
        <f>IF(AND(AD795=1,D795="Military",H795&lt;&gt;"Not given")=TRUE,IF(SUMIFS(P:P,A:A,A795)&gt;0,ABS((SUMIFS(P:P,A:A,A795)/VLOOKUP("USD",'Exchange Rates'!B:C,2,0)))/S795,"."),".")</f>
        <v>0.37358636174961779</v>
      </c>
      <c r="AZ795" s="182">
        <f>IF(AND(AD795=1,D795="Military",H795&lt;&gt;"Not given")=TRUE,IF(SUMIFS(P:P,A:A,A795)&gt;0,IF((ABS((SUMIFS(P:P,A:A,A795)/VLOOKUP("USD",'Exchange Rates'!B:C,2,0)))/S795)&gt;1,(SUMIFS(P:P,A:A,A795)-S795)/S795,(S795-SUMIFS(P:P,A:A,A795))/SUMIFS(P:P,A:A,A795)),"."),".")</f>
        <v>1.5492926131475053</v>
      </c>
      <c r="BA795" s="182"/>
      <c r="BB795" s="182"/>
      <c r="BC795" s="182"/>
      <c r="BD795" s="182"/>
      <c r="BE795" s="182"/>
      <c r="BF795" s="182"/>
      <c r="BG795" s="182"/>
      <c r="BH795" s="182"/>
      <c r="BI795" s="182"/>
      <c r="BJ795" s="182"/>
      <c r="BK795" s="182"/>
      <c r="BL795" s="182"/>
      <c r="BM795" s="182"/>
      <c r="BN795" s="182"/>
      <c r="BO795" s="182"/>
      <c r="BP795" s="182"/>
      <c r="BQ795" s="182"/>
      <c r="BR795" s="182"/>
      <c r="BS795" s="182"/>
    </row>
    <row r="796" spans="1:71" ht="15.9" customHeight="1" x14ac:dyDescent="0.3">
      <c r="A796" s="5" t="s">
        <v>2323</v>
      </c>
      <c r="B796" s="5" t="s">
        <v>2303</v>
      </c>
      <c r="C796" s="174" t="s">
        <v>2331</v>
      </c>
      <c r="D796" s="5" t="s">
        <v>285</v>
      </c>
      <c r="E796" s="5" t="s">
        <v>286</v>
      </c>
      <c r="F796" s="175" t="s">
        <v>2324</v>
      </c>
      <c r="G796" s="15" t="s">
        <v>364</v>
      </c>
      <c r="H796" s="176">
        <v>1800000000</v>
      </c>
      <c r="I796" s="185" t="s">
        <v>983</v>
      </c>
      <c r="J796" s="113" t="str">
        <f>VLOOKUP($I796,'Price List, Weapons &amp; Items'!B:C,2,0)</f>
        <v>Portable defence system</v>
      </c>
      <c r="K796" s="113" t="str">
        <f>IF(I796=".",I796,VLOOKUP($I796,'Price List, Weapons &amp; Items'!B:D,3,0))</f>
        <v>Light Anti-armor Weapon (LAW)</v>
      </c>
      <c r="L796" s="177">
        <f>VLOOKUP(I796,'Price List, Weapons &amp; Items'!B:E,4,0)</f>
        <v>0</v>
      </c>
      <c r="M796" s="542" t="s">
        <v>270</v>
      </c>
      <c r="N796" s="542" t="s">
        <v>270</v>
      </c>
      <c r="O796" s="543">
        <f>VLOOKUP($I796,'Price List, Weapons &amp; Items'!B:G,6,0)</f>
        <v>40000</v>
      </c>
      <c r="P796" s="176" t="str">
        <f t="shared" si="152"/>
        <v>.</v>
      </c>
      <c r="Q796" s="176" t="str">
        <f t="shared" si="153"/>
        <v>.</v>
      </c>
      <c r="R796" s="176" t="str">
        <f t="shared" si="162"/>
        <v/>
      </c>
      <c r="S796" s="176" t="str">
        <f>IF(AND(AD796=1,R796&lt;&gt;".")=TRUE,R796/VLOOKUP(G796,'Exchange Rates'!B:C,2,0),IF(R796=".",".",""))</f>
        <v/>
      </c>
      <c r="T796" s="176" t="str">
        <f>IF(AD796=1,IF(AF796="Value is not given at all",".",IF(AF796="Value is given by the source",S796,IF(AF796="Value is calculated with prices",(IF(SUMIFS(Q:Q,A:A,A796)&gt;0,SUMIFS(Q:Q,A:A,A796),"."))/VLOOKUP("USD",'Exchange Rates'!B:C,2,0),"Error with coding"))),"")</f>
        <v/>
      </c>
      <c r="U796" s="15" t="s">
        <v>415</v>
      </c>
      <c r="V796" s="547" t="s">
        <v>2326</v>
      </c>
      <c r="W796" s="547" t="s">
        <v>2327</v>
      </c>
      <c r="X796" s="547" t="s">
        <v>2328</v>
      </c>
      <c r="Y796" s="547" t="s">
        <v>2329</v>
      </c>
      <c r="Z796" s="15">
        <v>0</v>
      </c>
      <c r="AA796" s="180">
        <v>0</v>
      </c>
      <c r="AB796" s="550" t="s">
        <v>2332</v>
      </c>
      <c r="AC796" s="544" t="str">
        <f>""</f>
        <v/>
      </c>
      <c r="AD796" s="183">
        <v>0</v>
      </c>
      <c r="AE796" s="183" t="s">
        <v>264</v>
      </c>
      <c r="AF796" s="183" t="s">
        <v>264</v>
      </c>
      <c r="AG796" s="183">
        <v>1</v>
      </c>
      <c r="AH796" s="183">
        <v>4</v>
      </c>
      <c r="AI796" s="183">
        <v>0</v>
      </c>
      <c r="AJ796" s="181">
        <f>VLOOKUP($I796,'Price List, Weapons &amp; Items'!B:F,5,0)</f>
        <v>0</v>
      </c>
      <c r="AK796" s="181">
        <f t="shared" si="154"/>
        <v>0</v>
      </c>
      <c r="AL796" s="181">
        <f t="shared" si="155"/>
        <v>0</v>
      </c>
      <c r="AM796" s="181">
        <f t="shared" si="156"/>
        <v>0</v>
      </c>
      <c r="AN796" s="180" t="str">
        <f>VLOOKUP($I796,'Price List, Weapons &amp; Items'!B:L,COLUMN('Price List, Weapons &amp; Items'!$J$11)-1,0)</f>
        <v>Media reports (incl. social media)</v>
      </c>
      <c r="AO796" s="180" t="str">
        <f>IF(I796=".",".",VLOOKUP($I796,'Price List, Weapons &amp; Items'!B:J,3,0))</f>
        <v>Light Anti-armor Weapon (LAW)</v>
      </c>
      <c r="AP796" s="545" t="str">
        <f t="shared" ca="1" si="163"/>
        <v/>
      </c>
      <c r="AQ796" s="180">
        <f>VLOOKUP($I796,'Price List, Weapons &amp; Items'!B:L,COLUMN('Price List, Weapons &amp; Items'!$L$11)-1,0)</f>
        <v>2</v>
      </c>
      <c r="AR796" s="180">
        <f t="shared" si="157"/>
        <v>0</v>
      </c>
      <c r="AS796" s="180">
        <f t="shared" si="158"/>
        <v>1</v>
      </c>
      <c r="AT796" s="180" t="str">
        <f t="shared" si="159"/>
        <v>Value is not in date format</v>
      </c>
      <c r="AU796" s="180" t="str">
        <f t="shared" si="160"/>
        <v>.</v>
      </c>
      <c r="AV796" s="180" t="str">
        <f t="shared" si="161"/>
        <v>.</v>
      </c>
      <c r="AW796" s="180">
        <f>IFERROR(VLOOKUP(B796,'Share, Heavy Weapons to Ukraine'!B:J,COLUMN('Share, Heavy Weapons to Ukraine'!C809)-1,0),0)</f>
        <v>0</v>
      </c>
      <c r="AX796" s="180">
        <f>VLOOKUP('Bilateral Assistance, MAIN DATA'!B796,'Country Summary'!B:F,COLUMN('Country Summary'!C812)-1,FALSE)</f>
        <v>1</v>
      </c>
      <c r="AY796" s="180" t="str">
        <f>IF(AND(AD796=1,D796="Military",H796&lt;&gt;"Not given")=TRUE,IF(SUMIFS(P:P,A:A,A796)&gt;0,ABS((SUMIFS(P:P,A:A,A796)/VLOOKUP("USD",'Exchange Rates'!B:C,2,0)))/S796,"."),".")</f>
        <v>.</v>
      </c>
      <c r="AZ796" s="182" t="str">
        <f>IF(AND(AD796=1,D796="Military",H796&lt;&gt;"Not given")=TRUE,IF(SUMIFS(P:P,A:A,A796)&gt;0,IF((ABS((SUMIFS(P:P,A:A,A796)/VLOOKUP("USD",'Exchange Rates'!B:C,2,0)))/S796)&gt;1,(SUMIFS(P:P,A:A,A796)-S796)/S796,(S796-SUMIFS(P:P,A:A,A796))/SUMIFS(P:P,A:A,A796)),"."),".")</f>
        <v>.</v>
      </c>
      <c r="BA796" s="182"/>
      <c r="BB796" s="182"/>
      <c r="BC796" s="182"/>
      <c r="BD796" s="182"/>
      <c r="BE796" s="182"/>
      <c r="BF796" s="182"/>
      <c r="BG796" s="182"/>
      <c r="BH796" s="182"/>
      <c r="BI796" s="182"/>
      <c r="BJ796" s="182"/>
      <c r="BK796" s="182"/>
      <c r="BL796" s="182"/>
      <c r="BM796" s="182"/>
      <c r="BN796" s="182"/>
      <c r="BO796" s="182"/>
      <c r="BP796" s="182"/>
      <c r="BQ796" s="182"/>
      <c r="BR796" s="182"/>
      <c r="BS796" s="182"/>
    </row>
    <row r="797" spans="1:71" ht="15.9" customHeight="1" x14ac:dyDescent="0.3">
      <c r="A797" s="5" t="s">
        <v>2323</v>
      </c>
      <c r="B797" s="5" t="s">
        <v>2303</v>
      </c>
      <c r="C797" s="174" t="s">
        <v>2331</v>
      </c>
      <c r="D797" s="5" t="s">
        <v>285</v>
      </c>
      <c r="E797" s="5" t="s">
        <v>286</v>
      </c>
      <c r="F797" s="175" t="s">
        <v>2324</v>
      </c>
      <c r="G797" s="15" t="s">
        <v>364</v>
      </c>
      <c r="H797" s="176">
        <v>1800000000</v>
      </c>
      <c r="I797" s="185" t="s">
        <v>2333</v>
      </c>
      <c r="J797" s="113" t="str">
        <f>VLOOKUP($I797,'Price List, Weapons &amp; Items'!B:C,2,0)</f>
        <v>Light armaments &amp; infantry</v>
      </c>
      <c r="K797" s="113" t="str">
        <f>IF(I797=".",I797,VLOOKUP($I797,'Price List, Weapons &amp; Items'!B:D,3,0))</f>
        <v>Mortar</v>
      </c>
      <c r="L797" s="177">
        <f>VLOOKUP(I797,'Price List, Weapons &amp; Items'!B:E,4,0)</f>
        <v>0</v>
      </c>
      <c r="M797" s="542">
        <v>100</v>
      </c>
      <c r="N797" s="542">
        <v>100</v>
      </c>
      <c r="O797" s="543">
        <f>VLOOKUP($I797,'Price List, Weapons &amp; Items'!B:G,6,0)</f>
        <v>10658</v>
      </c>
      <c r="P797" s="176">
        <f t="shared" si="152"/>
        <v>1065800</v>
      </c>
      <c r="Q797" s="176">
        <f t="shared" si="153"/>
        <v>1065800</v>
      </c>
      <c r="R797" s="176" t="str">
        <f t="shared" si="162"/>
        <v/>
      </c>
      <c r="S797" s="176" t="str">
        <f>IF(AND(AD797=1,R797&lt;&gt;".")=TRUE,R797/VLOOKUP(G797,'Exchange Rates'!B:C,2,0),IF(R797=".",".",""))</f>
        <v/>
      </c>
      <c r="T797" s="176" t="str">
        <f>IF(AD797=1,IF(AF797="Value is not given at all",".",IF(AF797="Value is given by the source",S797,IF(AF797="Value is calculated with prices",(IF(SUMIFS(Q:Q,A:A,A797)&gt;0,SUMIFS(Q:Q,A:A,A797),"."))/VLOOKUP("USD",'Exchange Rates'!B:C,2,0),"Error with coding"))),"")</f>
        <v/>
      </c>
      <c r="U797" s="15" t="s">
        <v>415</v>
      </c>
      <c r="V797" s="547" t="s">
        <v>2326</v>
      </c>
      <c r="W797" s="547" t="s">
        <v>2327</v>
      </c>
      <c r="X797" s="547" t="s">
        <v>2328</v>
      </c>
      <c r="Y797" s="547" t="s">
        <v>2329</v>
      </c>
      <c r="Z797" s="15">
        <v>0</v>
      </c>
      <c r="AA797" s="180">
        <v>0</v>
      </c>
      <c r="AB797" s="550" t="s">
        <v>2332</v>
      </c>
      <c r="AC797" s="544" t="str">
        <f>""</f>
        <v/>
      </c>
      <c r="AD797" s="183">
        <v>0</v>
      </c>
      <c r="AE797" s="183" t="s">
        <v>264</v>
      </c>
      <c r="AF797" s="183" t="s">
        <v>264</v>
      </c>
      <c r="AG797" s="183">
        <v>1</v>
      </c>
      <c r="AH797" s="183">
        <v>4</v>
      </c>
      <c r="AI797" s="183">
        <v>0</v>
      </c>
      <c r="AJ797" s="181">
        <f>VLOOKUP($I797,'Price List, Weapons &amp; Items'!B:F,5,0)</f>
        <v>0</v>
      </c>
      <c r="AK797" s="181">
        <f t="shared" si="154"/>
        <v>0</v>
      </c>
      <c r="AL797" s="181">
        <f t="shared" si="155"/>
        <v>0</v>
      </c>
      <c r="AM797" s="181">
        <f t="shared" si="156"/>
        <v>0</v>
      </c>
      <c r="AN797" s="180" t="str">
        <f>VLOOKUP($I797,'Price List, Weapons &amp; Items'!B:L,COLUMN('Price List, Weapons &amp; Items'!$J$11)-1,0)</f>
        <v>Military media (incl. websites)</v>
      </c>
      <c r="AO797" s="180" t="str">
        <f>IF(I797=".",".",VLOOKUP($I797,'Price List, Weapons &amp; Items'!B:J,3,0))</f>
        <v>Mortar</v>
      </c>
      <c r="AP797" s="545" t="str">
        <f t="shared" ca="1" si="163"/>
        <v/>
      </c>
      <c r="AQ797" s="180">
        <f>VLOOKUP($I797,'Price List, Weapons &amp; Items'!B:L,COLUMN('Price List, Weapons &amp; Items'!$L$11)-1,0)</f>
        <v>1</v>
      </c>
      <c r="AR797" s="180">
        <f t="shared" si="157"/>
        <v>0</v>
      </c>
      <c r="AS797" s="180">
        <f t="shared" si="158"/>
        <v>1</v>
      </c>
      <c r="AT797" s="180" t="str">
        <f t="shared" si="159"/>
        <v>Value is not in date format</v>
      </c>
      <c r="AU797" s="180" t="str">
        <f t="shared" si="160"/>
        <v>.</v>
      </c>
      <c r="AV797" s="180" t="str">
        <f t="shared" si="161"/>
        <v>.</v>
      </c>
      <c r="AW797" s="180">
        <f>IFERROR(VLOOKUP(B797,'Share, Heavy Weapons to Ukraine'!B:J,COLUMN('Share, Heavy Weapons to Ukraine'!C810)-1,0),0)</f>
        <v>0</v>
      </c>
      <c r="AX797" s="180">
        <f>VLOOKUP('Bilateral Assistance, MAIN DATA'!B797,'Country Summary'!B:F,COLUMN('Country Summary'!C813)-1,FALSE)</f>
        <v>1</v>
      </c>
      <c r="AY797" s="180" t="str">
        <f>IF(AND(AD797=1,D797="Military",H797&lt;&gt;"Not given")=TRUE,IF(SUMIFS(P:P,A:A,A797)&gt;0,ABS((SUMIFS(P:P,A:A,A797)/VLOOKUP("USD",'Exchange Rates'!B:C,2,0)))/S797,"."),".")</f>
        <v>.</v>
      </c>
      <c r="AZ797" s="182" t="str">
        <f>IF(AND(AD797=1,D797="Military",H797&lt;&gt;"Not given")=TRUE,IF(SUMIFS(P:P,A:A,A797)&gt;0,IF((ABS((SUMIFS(P:P,A:A,A797)/VLOOKUP("USD",'Exchange Rates'!B:C,2,0)))/S797)&gt;1,(SUMIFS(P:P,A:A,A797)-S797)/S797,(S797-SUMIFS(P:P,A:A,A797))/SUMIFS(P:P,A:A,A797)),"."),".")</f>
        <v>.</v>
      </c>
      <c r="BA797" s="182"/>
      <c r="BB797" s="182"/>
      <c r="BC797" s="182"/>
      <c r="BD797" s="182"/>
      <c r="BE797" s="182"/>
      <c r="BF797" s="182"/>
      <c r="BG797" s="182"/>
      <c r="BH797" s="182"/>
      <c r="BI797" s="182"/>
      <c r="BJ797" s="182"/>
      <c r="BK797" s="182"/>
      <c r="BL797" s="182"/>
      <c r="BM797" s="182"/>
      <c r="BN797" s="182"/>
      <c r="BO797" s="182"/>
      <c r="BP797" s="182"/>
      <c r="BQ797" s="182"/>
      <c r="BR797" s="182"/>
      <c r="BS797" s="182"/>
    </row>
    <row r="798" spans="1:71" ht="15.9" customHeight="1" x14ac:dyDescent="0.3">
      <c r="A798" s="5" t="s">
        <v>2323</v>
      </c>
      <c r="B798" s="5" t="s">
        <v>2303</v>
      </c>
      <c r="C798" s="174" t="s">
        <v>2331</v>
      </c>
      <c r="D798" s="5" t="s">
        <v>285</v>
      </c>
      <c r="E798" s="5" t="s">
        <v>286</v>
      </c>
      <c r="F798" s="175" t="s">
        <v>2324</v>
      </c>
      <c r="G798" s="15" t="s">
        <v>364</v>
      </c>
      <c r="H798" s="176">
        <v>1800000000</v>
      </c>
      <c r="I798" s="185" t="s">
        <v>2334</v>
      </c>
      <c r="J798" s="113" t="str">
        <f>VLOOKUP($I798,'Price List, Weapons &amp; Items'!B:C,2,0)</f>
        <v>Aviation and drones</v>
      </c>
      <c r="K798" s="113" t="str">
        <f>IF(I798=".",I798,VLOOKUP($I798,'Price List, Weapons &amp; Items'!B:D,3,0))</f>
        <v>Drone</v>
      </c>
      <c r="L798" s="177">
        <f>VLOOKUP(I798,'Price List, Weapons &amp; Items'!B:E,4,0)</f>
        <v>0</v>
      </c>
      <c r="M798" s="542" t="s">
        <v>270</v>
      </c>
      <c r="N798" s="542" t="s">
        <v>270</v>
      </c>
      <c r="O798" s="543">
        <f>VLOOKUP($I798,'Price List, Weapons &amp; Items'!B:G,6,0)</f>
        <v>150</v>
      </c>
      <c r="P798" s="176" t="str">
        <f t="shared" si="152"/>
        <v>.</v>
      </c>
      <c r="Q798" s="176" t="str">
        <f t="shared" si="153"/>
        <v>.</v>
      </c>
      <c r="R798" s="176" t="str">
        <f t="shared" si="162"/>
        <v/>
      </c>
      <c r="S798" s="176" t="str">
        <f>IF(AND(AD798=1,R798&lt;&gt;".")=TRUE,R798/VLOOKUP(G798,'Exchange Rates'!B:C,2,0),IF(R798=".",".",""))</f>
        <v/>
      </c>
      <c r="T798" s="176" t="str">
        <f>IF(AD798=1,IF(AF798="Value is not given at all",".",IF(AF798="Value is given by the source",S798,IF(AF798="Value is calculated with prices",(IF(SUMIFS(Q:Q,A:A,A798)&gt;0,SUMIFS(Q:Q,A:A,A798),"."))/VLOOKUP("USD",'Exchange Rates'!B:C,2,0),"Error with coding"))),"")</f>
        <v/>
      </c>
      <c r="U798" s="15" t="s">
        <v>415</v>
      </c>
      <c r="V798" s="547" t="s">
        <v>2326</v>
      </c>
      <c r="W798" s="547" t="s">
        <v>2327</v>
      </c>
      <c r="X798" s="547" t="s">
        <v>2328</v>
      </c>
      <c r="Y798" s="547" t="s">
        <v>2329</v>
      </c>
      <c r="Z798" s="15">
        <v>0</v>
      </c>
      <c r="AA798" s="180">
        <v>0</v>
      </c>
      <c r="AB798" s="550" t="s">
        <v>2335</v>
      </c>
      <c r="AC798" s="544" t="str">
        <f>""</f>
        <v/>
      </c>
      <c r="AD798" s="183">
        <v>0</v>
      </c>
      <c r="AE798" s="183" t="s">
        <v>264</v>
      </c>
      <c r="AF798" s="183" t="s">
        <v>264</v>
      </c>
      <c r="AG798" s="183">
        <v>1</v>
      </c>
      <c r="AH798" s="183">
        <v>4</v>
      </c>
      <c r="AI798" s="183">
        <v>0</v>
      </c>
      <c r="AJ798" s="181">
        <f>VLOOKUP($I798,'Price List, Weapons &amp; Items'!B:F,5,0)</f>
        <v>0</v>
      </c>
      <c r="AK798" s="181">
        <f t="shared" si="154"/>
        <v>0</v>
      </c>
      <c r="AL798" s="181">
        <f t="shared" si="155"/>
        <v>0</v>
      </c>
      <c r="AM798" s="181">
        <f t="shared" si="156"/>
        <v>0</v>
      </c>
      <c r="AN798" s="180" t="str">
        <f>VLOOKUP($I798,'Price List, Weapons &amp; Items'!B:L,COLUMN('Price List, Weapons &amp; Items'!$J$11)-1,0)</f>
        <v>Miscellaneous</v>
      </c>
      <c r="AO798" s="180" t="str">
        <f>IF(I798=".",".",VLOOKUP($I798,'Price List, Weapons &amp; Items'!B:J,3,0))</f>
        <v>Drone</v>
      </c>
      <c r="AP798" s="545" t="str">
        <f t="shared" ca="1" si="163"/>
        <v/>
      </c>
      <c r="AQ798" s="180" t="str">
        <f>VLOOKUP($I798,'Price List, Weapons &amp; Items'!B:L,COLUMN('Price List, Weapons &amp; Items'!$L$11)-1,0)</f>
        <v>no price, 0 count</v>
      </c>
      <c r="AR798" s="180">
        <f t="shared" si="157"/>
        <v>0</v>
      </c>
      <c r="AS798" s="180">
        <f t="shared" si="158"/>
        <v>1</v>
      </c>
      <c r="AT798" s="180" t="str">
        <f t="shared" si="159"/>
        <v>Value is not in date format</v>
      </c>
      <c r="AU798" s="180" t="str">
        <f t="shared" si="160"/>
        <v>.</v>
      </c>
      <c r="AV798" s="180" t="str">
        <f t="shared" si="161"/>
        <v>.</v>
      </c>
      <c r="AW798" s="180">
        <f>IFERROR(VLOOKUP(B798,'Share, Heavy Weapons to Ukraine'!B:J,COLUMN('Share, Heavy Weapons to Ukraine'!C811)-1,0),0)</f>
        <v>0</v>
      </c>
      <c r="AX798" s="180">
        <f>VLOOKUP('Bilateral Assistance, MAIN DATA'!B798,'Country Summary'!B:F,COLUMN('Country Summary'!C814)-1,FALSE)</f>
        <v>1</v>
      </c>
      <c r="AY798" s="180" t="str">
        <f>IF(AND(AD798=1,D798="Military",H798&lt;&gt;"Not given")=TRUE,IF(SUMIFS(P:P,A:A,A798)&gt;0,ABS((SUMIFS(P:P,A:A,A798)/VLOOKUP("USD",'Exchange Rates'!B:C,2,0)))/S798,"."),".")</f>
        <v>.</v>
      </c>
      <c r="AZ798" s="182" t="str">
        <f>IF(AND(AD798=1,D798="Military",H798&lt;&gt;"Not given")=TRUE,IF(SUMIFS(P:P,A:A,A798)&gt;0,IF((ABS((SUMIFS(P:P,A:A,A798)/VLOOKUP("USD",'Exchange Rates'!B:C,2,0)))/S798)&gt;1,(SUMIFS(P:P,A:A,A798)-S798)/S798,(S798-SUMIFS(P:P,A:A,A798))/SUMIFS(P:P,A:A,A798)),"."),".")</f>
        <v>.</v>
      </c>
      <c r="BA798" s="182"/>
      <c r="BB798" s="182"/>
      <c r="BC798" s="182"/>
      <c r="BD798" s="182"/>
      <c r="BE798" s="182"/>
      <c r="BF798" s="182"/>
      <c r="BG798" s="182"/>
      <c r="BH798" s="182"/>
      <c r="BI798" s="182"/>
      <c r="BJ798" s="182"/>
      <c r="BK798" s="182"/>
      <c r="BL798" s="182"/>
      <c r="BM798" s="182"/>
      <c r="BN798" s="182"/>
      <c r="BO798" s="182"/>
      <c r="BP798" s="182"/>
      <c r="BQ798" s="182"/>
      <c r="BR798" s="182"/>
      <c r="BS798" s="182"/>
    </row>
    <row r="799" spans="1:71" ht="15.9" customHeight="1" x14ac:dyDescent="0.3">
      <c r="A799" s="5" t="s">
        <v>2323</v>
      </c>
      <c r="B799" s="5" t="s">
        <v>2303</v>
      </c>
      <c r="C799" s="174" t="s">
        <v>2331</v>
      </c>
      <c r="D799" s="5" t="s">
        <v>285</v>
      </c>
      <c r="E799" s="5" t="s">
        <v>286</v>
      </c>
      <c r="F799" s="175" t="s">
        <v>2324</v>
      </c>
      <c r="G799" s="15" t="s">
        <v>364</v>
      </c>
      <c r="H799" s="176">
        <v>1800000000</v>
      </c>
      <c r="I799" s="185" t="s">
        <v>2336</v>
      </c>
      <c r="J799" s="113" t="str">
        <f>VLOOKUP($I799,'Price List, Weapons &amp; Items'!B:C,2,0)</f>
        <v>Ammunition for light infantry</v>
      </c>
      <c r="K799" s="113" t="str">
        <f>IF(I799=".",I799,VLOOKUP($I799,'Price List, Weapons &amp; Items'!B:D,3,0))</f>
        <v>Anti-aircraft guns ammunition</v>
      </c>
      <c r="L799" s="177">
        <f>VLOOKUP(I799,'Price List, Weapons &amp; Items'!B:E,4,0)</f>
        <v>1</v>
      </c>
      <c r="M799" s="542">
        <v>30000</v>
      </c>
      <c r="N799" s="542">
        <v>30000</v>
      </c>
      <c r="O799" s="543">
        <f>VLOOKUP($I799,'Price List, Weapons &amp; Items'!B:G,6,0)</f>
        <v>100</v>
      </c>
      <c r="P799" s="176">
        <f t="shared" si="152"/>
        <v>3000000</v>
      </c>
      <c r="Q799" s="176">
        <f t="shared" si="153"/>
        <v>3000000</v>
      </c>
      <c r="R799" s="176" t="str">
        <f t="shared" si="162"/>
        <v/>
      </c>
      <c r="S799" s="176" t="str">
        <f>IF(AND(AD799=1,R799&lt;&gt;".")=TRUE,R799/VLOOKUP(G799,'Exchange Rates'!B:C,2,0),IF(R799=".",".",""))</f>
        <v/>
      </c>
      <c r="T799" s="176" t="str">
        <f>IF(AD799=1,IF(AF799="Value is not given at all",".",IF(AF799="Value is given by the source",S799,IF(AF799="Value is calculated with prices",(IF(SUMIFS(Q:Q,A:A,A799)&gt;0,SUMIFS(Q:Q,A:A,A799),"."))/VLOOKUP("USD",'Exchange Rates'!B:C,2,0),"Error with coding"))),"")</f>
        <v/>
      </c>
      <c r="U799" s="15" t="s">
        <v>415</v>
      </c>
      <c r="V799" s="547" t="s">
        <v>2326</v>
      </c>
      <c r="W799" s="547" t="s">
        <v>2327</v>
      </c>
      <c r="X799" s="547" t="s">
        <v>2328</v>
      </c>
      <c r="Y799" s="547" t="s">
        <v>2329</v>
      </c>
      <c r="Z799" s="15">
        <v>0</v>
      </c>
      <c r="AA799" s="180">
        <v>0</v>
      </c>
      <c r="AB799" s="550" t="s">
        <v>2332</v>
      </c>
      <c r="AC799" s="544" t="str">
        <f>""</f>
        <v/>
      </c>
      <c r="AD799" s="183">
        <v>0</v>
      </c>
      <c r="AE799" s="183" t="s">
        <v>264</v>
      </c>
      <c r="AF799" s="183" t="s">
        <v>264</v>
      </c>
      <c r="AG799" s="183">
        <v>1</v>
      </c>
      <c r="AH799" s="183">
        <v>4</v>
      </c>
      <c r="AI799" s="183">
        <v>0</v>
      </c>
      <c r="AJ799" s="181">
        <f>VLOOKUP($I799,'Price List, Weapons &amp; Items'!B:F,5,0)</f>
        <v>0</v>
      </c>
      <c r="AK799" s="181">
        <f t="shared" si="154"/>
        <v>0</v>
      </c>
      <c r="AL799" s="181">
        <f t="shared" si="155"/>
        <v>0</v>
      </c>
      <c r="AM799" s="181">
        <f t="shared" si="156"/>
        <v>0</v>
      </c>
      <c r="AN799" s="180" t="str">
        <f>VLOOKUP($I799,'Price List, Weapons &amp; Items'!B:L,COLUMN('Price List, Weapons &amp; Items'!$J$11)-1,0)</f>
        <v>Media reports (incl. social media)</v>
      </c>
      <c r="AO799" s="180" t="str">
        <f>IF(I799=".",".",VLOOKUP($I799,'Price List, Weapons &amp; Items'!B:J,3,0))</f>
        <v>Anti-aircraft guns ammunition</v>
      </c>
      <c r="AP799" s="545" t="str">
        <f t="shared" ca="1" si="163"/>
        <v/>
      </c>
      <c r="AQ799" s="180">
        <f>VLOOKUP($I799,'Price List, Weapons &amp; Items'!B:L,COLUMN('Price List, Weapons &amp; Items'!$L$11)-1,0)</f>
        <v>2</v>
      </c>
      <c r="AR799" s="180">
        <f t="shared" si="157"/>
        <v>0</v>
      </c>
      <c r="AS799" s="180">
        <f t="shared" si="158"/>
        <v>1</v>
      </c>
      <c r="AT799" s="180" t="str">
        <f t="shared" si="159"/>
        <v>Value is not in date format</v>
      </c>
      <c r="AU799" s="180" t="str">
        <f t="shared" si="160"/>
        <v>.</v>
      </c>
      <c r="AV799" s="180" t="str">
        <f t="shared" si="161"/>
        <v>.</v>
      </c>
      <c r="AW799" s="180">
        <f>IFERROR(VLOOKUP(B799,'Share, Heavy Weapons to Ukraine'!B:J,COLUMN('Share, Heavy Weapons to Ukraine'!C812)-1,0),0)</f>
        <v>0</v>
      </c>
      <c r="AX799" s="180">
        <f>VLOOKUP('Bilateral Assistance, MAIN DATA'!B799,'Country Summary'!B:F,COLUMN('Country Summary'!C815)-1,FALSE)</f>
        <v>1</v>
      </c>
      <c r="AY799" s="180" t="str">
        <f>IF(AND(AD799=1,D799="Military",H799&lt;&gt;"Not given")=TRUE,IF(SUMIFS(P:P,A:A,A799)&gt;0,ABS((SUMIFS(P:P,A:A,A799)/VLOOKUP("USD",'Exchange Rates'!B:C,2,0)))/S799,"."),".")</f>
        <v>.</v>
      </c>
      <c r="AZ799" s="182" t="str">
        <f>IF(AND(AD799=1,D799="Military",H799&lt;&gt;"Not given")=TRUE,IF(SUMIFS(P:P,A:A,A799)&gt;0,IF((ABS((SUMIFS(P:P,A:A,A799)/VLOOKUP("USD",'Exchange Rates'!B:C,2,0)))/S799)&gt;1,(SUMIFS(P:P,A:A,A799)-S799)/S799,(S799-SUMIFS(P:P,A:A,A799))/SUMIFS(P:P,A:A,A799)),"."),".")</f>
        <v>.</v>
      </c>
      <c r="BA799" s="182"/>
      <c r="BB799" s="182"/>
      <c r="BC799" s="182"/>
      <c r="BD799" s="182"/>
      <c r="BE799" s="182"/>
      <c r="BF799" s="182"/>
      <c r="BG799" s="182"/>
      <c r="BH799" s="182"/>
      <c r="BI799" s="182"/>
      <c r="BJ799" s="182"/>
      <c r="BK799" s="182"/>
      <c r="BL799" s="182"/>
      <c r="BM799" s="182"/>
      <c r="BN799" s="182"/>
      <c r="BO799" s="182"/>
      <c r="BP799" s="182"/>
      <c r="BQ799" s="182"/>
      <c r="BR799" s="182"/>
      <c r="BS799" s="182"/>
    </row>
    <row r="800" spans="1:71" ht="15.9" customHeight="1" x14ac:dyDescent="0.3">
      <c r="A800" s="5" t="s">
        <v>2323</v>
      </c>
      <c r="B800" s="5" t="s">
        <v>2303</v>
      </c>
      <c r="C800" s="174" t="s">
        <v>2331</v>
      </c>
      <c r="D800" s="5" t="s">
        <v>285</v>
      </c>
      <c r="E800" s="5" t="s">
        <v>286</v>
      </c>
      <c r="F800" s="175" t="s">
        <v>2324</v>
      </c>
      <c r="G800" s="15" t="s">
        <v>364</v>
      </c>
      <c r="H800" s="176">
        <v>1800000000</v>
      </c>
      <c r="I800" s="185" t="s">
        <v>2337</v>
      </c>
      <c r="J800" s="113" t="str">
        <f>VLOOKUP($I800,'Price List, Weapons &amp; Items'!B:C,2,0)</f>
        <v>Ammunition for heavy weapon</v>
      </c>
      <c r="K800" s="113" t="str">
        <f>IF(I800=".",I800,VLOOKUP($I800,'Price List, Weapons &amp; Items'!B:D,3,0))</f>
        <v>152mm howitzer ammunition</v>
      </c>
      <c r="L800" s="177">
        <f>VLOOKUP(I800,'Price List, Weapons &amp; Items'!B:E,4,0)</f>
        <v>0</v>
      </c>
      <c r="M800" s="542">
        <v>1170</v>
      </c>
      <c r="N800" s="542">
        <v>1170</v>
      </c>
      <c r="O800" s="543">
        <f>VLOOKUP($I800,'Price List, Weapons &amp; Items'!B:G,6,0)</f>
        <v>2000</v>
      </c>
      <c r="P800" s="176">
        <f t="shared" si="152"/>
        <v>2340000</v>
      </c>
      <c r="Q800" s="176">
        <f t="shared" si="153"/>
        <v>2340000</v>
      </c>
      <c r="R800" s="176" t="str">
        <f t="shared" si="162"/>
        <v/>
      </c>
      <c r="S800" s="176" t="str">
        <f>IF(AND(AD800=1,R800&lt;&gt;".")=TRUE,R800/VLOOKUP(G800,'Exchange Rates'!B:C,2,0),IF(R800=".",".",""))</f>
        <v/>
      </c>
      <c r="T800" s="176" t="str">
        <f>IF(AD800=1,IF(AF800="Value is not given at all",".",IF(AF800="Value is given by the source",S800,IF(AF800="Value is calculated with prices",(IF(SUMIFS(Q:Q,A:A,A800)&gt;0,SUMIFS(Q:Q,A:A,A800),"."))/VLOOKUP("USD",'Exchange Rates'!B:C,2,0),"Error with coding"))),"")</f>
        <v/>
      </c>
      <c r="U800" s="15" t="s">
        <v>415</v>
      </c>
      <c r="V800" s="547" t="s">
        <v>2326</v>
      </c>
      <c r="W800" s="547" t="s">
        <v>2327</v>
      </c>
      <c r="X800" s="547" t="s">
        <v>2328</v>
      </c>
      <c r="Y800" s="547" t="s">
        <v>2329</v>
      </c>
      <c r="Z800" s="15">
        <v>0</v>
      </c>
      <c r="AA800" s="180">
        <v>0</v>
      </c>
      <c r="AB800" s="550" t="s">
        <v>2332</v>
      </c>
      <c r="AC800" s="544" t="str">
        <f>""</f>
        <v/>
      </c>
      <c r="AD800" s="183">
        <v>0</v>
      </c>
      <c r="AE800" s="183" t="s">
        <v>264</v>
      </c>
      <c r="AF800" s="183" t="s">
        <v>264</v>
      </c>
      <c r="AG800" s="183">
        <v>1</v>
      </c>
      <c r="AH800" s="183">
        <v>4</v>
      </c>
      <c r="AI800" s="183">
        <v>0</v>
      </c>
      <c r="AJ800" s="181">
        <f>VLOOKUP($I800,'Price List, Weapons &amp; Items'!B:F,5,0)</f>
        <v>1</v>
      </c>
      <c r="AK800" s="181">
        <f t="shared" si="154"/>
        <v>0</v>
      </c>
      <c r="AL800" s="181">
        <f t="shared" si="155"/>
        <v>0</v>
      </c>
      <c r="AM800" s="181">
        <f t="shared" si="156"/>
        <v>1</v>
      </c>
      <c r="AN800" s="180" t="str">
        <f>VLOOKUP($I800,'Price List, Weapons &amp; Items'!B:L,COLUMN('Price List, Weapons &amp; Items'!$J$11)-1,0)</f>
        <v>Media reports (incl. social media)</v>
      </c>
      <c r="AO800" s="180" t="str">
        <f>IF(I800=".",".",VLOOKUP($I800,'Price List, Weapons &amp; Items'!B:J,3,0))</f>
        <v>152mm howitzer ammunition</v>
      </c>
      <c r="AP800" s="545" t="str">
        <f t="shared" ca="1" si="163"/>
        <v/>
      </c>
      <c r="AQ800" s="180">
        <f>VLOOKUP($I800,'Price List, Weapons &amp; Items'!B:L,COLUMN('Price List, Weapons &amp; Items'!$L$11)-1,0)</f>
        <v>2</v>
      </c>
      <c r="AR800" s="180">
        <f t="shared" si="157"/>
        <v>0</v>
      </c>
      <c r="AS800" s="180">
        <f t="shared" si="158"/>
        <v>1</v>
      </c>
      <c r="AT800" s="180" t="str">
        <f t="shared" si="159"/>
        <v>Value is not in date format</v>
      </c>
      <c r="AU800" s="180" t="str">
        <f t="shared" si="160"/>
        <v>.</v>
      </c>
      <c r="AV800" s="180" t="str">
        <f t="shared" si="161"/>
        <v>.</v>
      </c>
      <c r="AW800" s="180">
        <f>IFERROR(VLOOKUP(B800,'Share, Heavy Weapons to Ukraine'!B:J,COLUMN('Share, Heavy Weapons to Ukraine'!C813)-1,0),0)</f>
        <v>0</v>
      </c>
      <c r="AX800" s="180">
        <f>VLOOKUP('Bilateral Assistance, MAIN DATA'!B800,'Country Summary'!B:F,COLUMN('Country Summary'!C816)-1,FALSE)</f>
        <v>1</v>
      </c>
      <c r="AY800" s="180" t="str">
        <f>IF(AND(AD800=1,D800="Military",H800&lt;&gt;"Not given")=TRUE,IF(SUMIFS(P:P,A:A,A800)&gt;0,ABS((SUMIFS(P:P,A:A,A800)/VLOOKUP("USD",'Exchange Rates'!B:C,2,0)))/S800,"."),".")</f>
        <v>.</v>
      </c>
      <c r="AZ800" s="182" t="str">
        <f>IF(AND(AD800=1,D800="Military",H800&lt;&gt;"Not given")=TRUE,IF(SUMIFS(P:P,A:A,A800)&gt;0,IF((ABS((SUMIFS(P:P,A:A,A800)/VLOOKUP("USD",'Exchange Rates'!B:C,2,0)))/S800)&gt;1,(SUMIFS(P:P,A:A,A800)-S800)/S800,(S800-SUMIFS(P:P,A:A,A800))/SUMIFS(P:P,A:A,A800)),"."),".")</f>
        <v>.</v>
      </c>
      <c r="BA800" s="182"/>
      <c r="BB800" s="182"/>
      <c r="BC800" s="182"/>
      <c r="BD800" s="182"/>
      <c r="BE800" s="182"/>
      <c r="BF800" s="182"/>
      <c r="BG800" s="182"/>
      <c r="BH800" s="182"/>
      <c r="BI800" s="182"/>
      <c r="BJ800" s="182"/>
      <c r="BK800" s="182"/>
      <c r="BL800" s="182"/>
      <c r="BM800" s="182"/>
      <c r="BN800" s="182"/>
      <c r="BO800" s="182"/>
      <c r="BP800" s="182"/>
      <c r="BQ800" s="182"/>
      <c r="BR800" s="182"/>
      <c r="BS800" s="182"/>
    </row>
    <row r="801" spans="1:71" ht="15.9" customHeight="1" x14ac:dyDescent="0.3">
      <c r="A801" s="5" t="s">
        <v>2323</v>
      </c>
      <c r="B801" s="5" t="s">
        <v>2303</v>
      </c>
      <c r="C801" s="174" t="s">
        <v>2331</v>
      </c>
      <c r="D801" s="5" t="s">
        <v>285</v>
      </c>
      <c r="E801" s="5" t="s">
        <v>286</v>
      </c>
      <c r="F801" s="175" t="s">
        <v>2324</v>
      </c>
      <c r="G801" s="15" t="s">
        <v>364</v>
      </c>
      <c r="H801" s="176">
        <v>1800000000</v>
      </c>
      <c r="I801" s="185" t="s">
        <v>946</v>
      </c>
      <c r="J801" s="113" t="str">
        <f>VLOOKUP($I801,'Price List, Weapons &amp; Items'!B:C,2,0)</f>
        <v>Ammunition for portable defence system</v>
      </c>
      <c r="K801" s="113" t="str">
        <f>IF(I801=".",I801,VLOOKUP($I801,'Price List, Weapons &amp; Items'!B:D,3,0))</f>
        <v>Light Anti-armor Weapon (LAW) ammunition</v>
      </c>
      <c r="L801" s="177">
        <f>VLOOKUP(I801,'Price List, Weapons &amp; Items'!B:E,4,0)</f>
        <v>0</v>
      </c>
      <c r="M801" s="542" t="s">
        <v>270</v>
      </c>
      <c r="N801" s="542" t="s">
        <v>270</v>
      </c>
      <c r="O801" s="543">
        <f>VLOOKUP($I801,'Price List, Weapons &amp; Items'!B:G,6,0)</f>
        <v>78000</v>
      </c>
      <c r="P801" s="176" t="str">
        <f t="shared" si="152"/>
        <v>.</v>
      </c>
      <c r="Q801" s="176" t="str">
        <f t="shared" si="153"/>
        <v>.</v>
      </c>
      <c r="R801" s="176" t="str">
        <f t="shared" si="162"/>
        <v/>
      </c>
      <c r="S801" s="176" t="str">
        <f>IF(AND(AD801=1,R801&lt;&gt;".")=TRUE,R801/VLOOKUP(G801,'Exchange Rates'!B:C,2,0),IF(R801=".",".",""))</f>
        <v/>
      </c>
      <c r="T801" s="176" t="str">
        <f>IF(AD801=1,IF(AF801="Value is not given at all",".",IF(AF801="Value is given by the source",S801,IF(AF801="Value is calculated with prices",(IF(SUMIFS(Q:Q,A:A,A801)&gt;0,SUMIFS(Q:Q,A:A,A801),"."))/VLOOKUP("USD",'Exchange Rates'!B:C,2,0),"Error with coding"))),"")</f>
        <v/>
      </c>
      <c r="U801" s="15" t="s">
        <v>415</v>
      </c>
      <c r="V801" s="547" t="s">
        <v>2326</v>
      </c>
      <c r="W801" s="547" t="s">
        <v>2327</v>
      </c>
      <c r="X801" s="547" t="s">
        <v>2328</v>
      </c>
      <c r="Y801" s="547" t="s">
        <v>2329</v>
      </c>
      <c r="Z801" s="15">
        <v>0</v>
      </c>
      <c r="AA801" s="180">
        <v>0</v>
      </c>
      <c r="AB801" s="550" t="s">
        <v>2332</v>
      </c>
      <c r="AC801" s="544" t="str">
        <f>""</f>
        <v/>
      </c>
      <c r="AD801" s="183">
        <v>0</v>
      </c>
      <c r="AE801" s="183" t="s">
        <v>264</v>
      </c>
      <c r="AF801" s="183" t="s">
        <v>264</v>
      </c>
      <c r="AG801" s="183">
        <v>1</v>
      </c>
      <c r="AH801" s="183">
        <v>4</v>
      </c>
      <c r="AI801" s="183">
        <v>0</v>
      </c>
      <c r="AJ801" s="181">
        <f>VLOOKUP($I801,'Price List, Weapons &amp; Items'!B:F,5,0)</f>
        <v>0</v>
      </c>
      <c r="AK801" s="181">
        <f t="shared" si="154"/>
        <v>0</v>
      </c>
      <c r="AL801" s="181">
        <f t="shared" si="155"/>
        <v>0</v>
      </c>
      <c r="AM801" s="181">
        <f t="shared" si="156"/>
        <v>0</v>
      </c>
      <c r="AN801" s="180" t="str">
        <f>VLOOKUP($I801,'Price List, Weapons &amp; Items'!B:L,COLUMN('Price List, Weapons &amp; Items'!$J$11)-1,0)</f>
        <v>Military media (incl. websites)</v>
      </c>
      <c r="AO801" s="180" t="str">
        <f>IF(I801=".",".",VLOOKUP($I801,'Price List, Weapons &amp; Items'!B:J,3,0))</f>
        <v>Light Anti-armor Weapon (LAW) ammunition</v>
      </c>
      <c r="AP801" s="545" t="str">
        <f t="shared" ca="1" si="163"/>
        <v/>
      </c>
      <c r="AQ801" s="180">
        <f>VLOOKUP($I801,'Price List, Weapons &amp; Items'!B:L,COLUMN('Price List, Weapons &amp; Items'!$L$11)-1,0)</f>
        <v>2</v>
      </c>
      <c r="AR801" s="180">
        <f t="shared" si="157"/>
        <v>0</v>
      </c>
      <c r="AS801" s="180">
        <f t="shared" si="158"/>
        <v>1</v>
      </c>
      <c r="AT801" s="180" t="str">
        <f t="shared" si="159"/>
        <v>Value is not in date format</v>
      </c>
      <c r="AU801" s="180" t="str">
        <f t="shared" si="160"/>
        <v>.</v>
      </c>
      <c r="AV801" s="180" t="str">
        <f t="shared" si="161"/>
        <v>.</v>
      </c>
      <c r="AW801" s="180">
        <f>IFERROR(VLOOKUP(B801,'Share, Heavy Weapons to Ukraine'!B:J,COLUMN('Share, Heavy Weapons to Ukraine'!C814)-1,0),0)</f>
        <v>0</v>
      </c>
      <c r="AX801" s="180">
        <f>VLOOKUP('Bilateral Assistance, MAIN DATA'!B801,'Country Summary'!B:F,COLUMN('Country Summary'!C817)-1,FALSE)</f>
        <v>1</v>
      </c>
      <c r="AY801" s="180" t="str">
        <f>IF(AND(AD801=1,D801="Military",H801&lt;&gt;"Not given")=TRUE,IF(SUMIFS(P:P,A:A,A801)&gt;0,ABS((SUMIFS(P:P,A:A,A801)/VLOOKUP("USD",'Exchange Rates'!B:C,2,0)))/S801,"."),".")</f>
        <v>.</v>
      </c>
      <c r="AZ801" s="182" t="str">
        <f>IF(AND(AD801=1,D801="Military",H801&lt;&gt;"Not given")=TRUE,IF(SUMIFS(P:P,A:A,A801)&gt;0,IF((ABS((SUMIFS(P:P,A:A,A801)/VLOOKUP("USD",'Exchange Rates'!B:C,2,0)))/S801)&gt;1,(SUMIFS(P:P,A:A,A801)-S801)/S801,(S801-SUMIFS(P:P,A:A,A801))/SUMIFS(P:P,A:A,A801)),"."),".")</f>
        <v>.</v>
      </c>
      <c r="BA801" s="182"/>
      <c r="BB801" s="182"/>
      <c r="BC801" s="182"/>
      <c r="BD801" s="182"/>
      <c r="BE801" s="182"/>
      <c r="BF801" s="182"/>
      <c r="BG801" s="182"/>
      <c r="BH801" s="182"/>
      <c r="BI801" s="182"/>
      <c r="BJ801" s="182"/>
      <c r="BK801" s="182"/>
      <c r="BL801" s="182"/>
      <c r="BM801" s="182"/>
      <c r="BN801" s="182"/>
      <c r="BO801" s="182"/>
      <c r="BP801" s="182"/>
      <c r="BQ801" s="182"/>
      <c r="BR801" s="182"/>
      <c r="BS801" s="182"/>
    </row>
    <row r="802" spans="1:71" ht="15.9" customHeight="1" x14ac:dyDescent="0.3">
      <c r="A802" s="5" t="s">
        <v>2323</v>
      </c>
      <c r="B802" s="5" t="s">
        <v>2303</v>
      </c>
      <c r="C802" s="174" t="s">
        <v>2331</v>
      </c>
      <c r="D802" s="5" t="s">
        <v>285</v>
      </c>
      <c r="E802" s="5" t="s">
        <v>286</v>
      </c>
      <c r="F802" s="175" t="s">
        <v>2324</v>
      </c>
      <c r="G802" s="15" t="s">
        <v>364</v>
      </c>
      <c r="H802" s="176">
        <v>1800000000</v>
      </c>
      <c r="I802" s="185" t="s">
        <v>463</v>
      </c>
      <c r="J802" s="113" t="str">
        <f>VLOOKUP($I802,'Price List, Weapons &amp; Items'!B:C,2,0)</f>
        <v>Military equipment</v>
      </c>
      <c r="K802" s="113" t="str">
        <f>IF(I802=".",I802,VLOOKUP($I802,'Price List, Weapons &amp; Items'!B:D,3,0))</f>
        <v>Military equipment</v>
      </c>
      <c r="L802" s="177">
        <f>VLOOKUP(I802,'Price List, Weapons &amp; Items'!B:E,4,0)</f>
        <v>0</v>
      </c>
      <c r="M802" s="542">
        <v>42000</v>
      </c>
      <c r="N802" s="542">
        <v>42000</v>
      </c>
      <c r="O802" s="543">
        <f>VLOOKUP($I802,'Price List, Weapons &amp; Items'!B:G,6,0)</f>
        <v>1400</v>
      </c>
      <c r="P802" s="176">
        <f t="shared" si="152"/>
        <v>58800000</v>
      </c>
      <c r="Q802" s="176">
        <f t="shared" si="153"/>
        <v>58800000</v>
      </c>
      <c r="R802" s="176" t="str">
        <f t="shared" si="162"/>
        <v/>
      </c>
      <c r="S802" s="176" t="str">
        <f>IF(AND(AD802=1,R802&lt;&gt;".")=TRUE,R802/VLOOKUP(G802,'Exchange Rates'!B:C,2,0),IF(R802=".",".",""))</f>
        <v/>
      </c>
      <c r="T802" s="176" t="str">
        <f>IF(AD802=1,IF(AF802="Value is not given at all",".",IF(AF802="Value is given by the source",S802,IF(AF802="Value is calculated with prices",(IF(SUMIFS(Q:Q,A:A,A802)&gt;0,SUMIFS(Q:Q,A:A,A802),"."))/VLOOKUP("USD",'Exchange Rates'!B:C,2,0),"Error with coding"))),"")</f>
        <v/>
      </c>
      <c r="U802" s="15" t="s">
        <v>415</v>
      </c>
      <c r="V802" s="547" t="s">
        <v>2326</v>
      </c>
      <c r="W802" s="547" t="s">
        <v>2327</v>
      </c>
      <c r="X802" s="547" t="s">
        <v>2328</v>
      </c>
      <c r="Y802" s="547" t="s">
        <v>2329</v>
      </c>
      <c r="Z802" s="15">
        <v>0</v>
      </c>
      <c r="AA802" s="180">
        <v>0</v>
      </c>
      <c r="AB802" s="550" t="s">
        <v>2332</v>
      </c>
      <c r="AC802" s="544" t="str">
        <f>""</f>
        <v/>
      </c>
      <c r="AD802" s="183">
        <v>0</v>
      </c>
      <c r="AE802" s="183" t="s">
        <v>264</v>
      </c>
      <c r="AF802" s="183" t="s">
        <v>264</v>
      </c>
      <c r="AG802" s="183">
        <v>1</v>
      </c>
      <c r="AH802" s="183">
        <v>4</v>
      </c>
      <c r="AI802" s="183">
        <v>0</v>
      </c>
      <c r="AJ802" s="181">
        <f>VLOOKUP($I802,'Price List, Weapons &amp; Items'!B:F,5,0)</f>
        <v>0</v>
      </c>
      <c r="AK802" s="181">
        <f t="shared" si="154"/>
        <v>0</v>
      </c>
      <c r="AL802" s="181">
        <f t="shared" si="155"/>
        <v>0</v>
      </c>
      <c r="AM802" s="181">
        <f t="shared" si="156"/>
        <v>0</v>
      </c>
      <c r="AN802" s="180" t="str">
        <f>VLOOKUP($I802,'Price List, Weapons &amp; Items'!B:L,COLUMN('Price List, Weapons &amp; Items'!$J$11)-1,0)</f>
        <v>Military media (incl. websites)</v>
      </c>
      <c r="AO802" s="180" t="str">
        <f>IF(I802=".",".",VLOOKUP($I802,'Price List, Weapons &amp; Items'!B:J,3,0))</f>
        <v>Military equipment</v>
      </c>
      <c r="AP802" s="545" t="str">
        <f t="shared" ca="1" si="163"/>
        <v/>
      </c>
      <c r="AQ802" s="180">
        <f>VLOOKUP($I802,'Price List, Weapons &amp; Items'!B:L,COLUMN('Price List, Weapons &amp; Items'!$L$11)-1,0)</f>
        <v>2</v>
      </c>
      <c r="AR802" s="180">
        <f t="shared" si="157"/>
        <v>0</v>
      </c>
      <c r="AS802" s="180">
        <f t="shared" si="158"/>
        <v>1</v>
      </c>
      <c r="AT802" s="180" t="str">
        <f t="shared" si="159"/>
        <v>Value is not in date format</v>
      </c>
      <c r="AU802" s="180" t="str">
        <f t="shared" si="160"/>
        <v>.</v>
      </c>
      <c r="AV802" s="180" t="str">
        <f t="shared" si="161"/>
        <v>.</v>
      </c>
      <c r="AW802" s="180">
        <f>IFERROR(VLOOKUP(B802,'Share, Heavy Weapons to Ukraine'!B:J,COLUMN('Share, Heavy Weapons to Ukraine'!C815)-1,0),0)</f>
        <v>0</v>
      </c>
      <c r="AX802" s="180">
        <f>VLOOKUP('Bilateral Assistance, MAIN DATA'!B802,'Country Summary'!B:F,COLUMN('Country Summary'!C818)-1,FALSE)</f>
        <v>1</v>
      </c>
      <c r="AY802" s="180" t="str">
        <f>IF(AND(AD802=1,D802="Military",H802&lt;&gt;"Not given")=TRUE,IF(SUMIFS(P:P,A:A,A802)&gt;0,ABS((SUMIFS(P:P,A:A,A802)/VLOOKUP("USD",'Exchange Rates'!B:C,2,0)))/S802,"."),".")</f>
        <v>.</v>
      </c>
      <c r="AZ802" s="182" t="str">
        <f>IF(AND(AD802=1,D802="Military",H802&lt;&gt;"Not given")=TRUE,IF(SUMIFS(P:P,A:A,A802)&gt;0,IF((ABS((SUMIFS(P:P,A:A,A802)/VLOOKUP("USD",'Exchange Rates'!B:C,2,0)))/S802)&gt;1,(SUMIFS(P:P,A:A,A802)-S802)/S802,(S802-SUMIFS(P:P,A:A,A802))/SUMIFS(P:P,A:A,A802)),"."),".")</f>
        <v>.</v>
      </c>
      <c r="BA802" s="182"/>
      <c r="BB802" s="182"/>
      <c r="BC802" s="182"/>
      <c r="BD802" s="182"/>
      <c r="BE802" s="182"/>
      <c r="BF802" s="182"/>
      <c r="BG802" s="182"/>
      <c r="BH802" s="182"/>
      <c r="BI802" s="182"/>
      <c r="BJ802" s="182"/>
      <c r="BK802" s="182"/>
      <c r="BL802" s="182"/>
      <c r="BM802" s="182"/>
      <c r="BN802" s="182"/>
      <c r="BO802" s="182"/>
      <c r="BP802" s="182"/>
      <c r="BQ802" s="182"/>
      <c r="BR802" s="182"/>
      <c r="BS802" s="182"/>
    </row>
    <row r="803" spans="1:71" ht="15.9" customHeight="1" x14ac:dyDescent="0.3">
      <c r="A803" s="5" t="s">
        <v>2323</v>
      </c>
      <c r="B803" s="5" t="s">
        <v>2303</v>
      </c>
      <c r="C803" s="174" t="s">
        <v>2331</v>
      </c>
      <c r="D803" s="5" t="s">
        <v>285</v>
      </c>
      <c r="E803" s="5" t="s">
        <v>286</v>
      </c>
      <c r="F803" s="175" t="s">
        <v>2324</v>
      </c>
      <c r="G803" s="15" t="s">
        <v>364</v>
      </c>
      <c r="H803" s="176">
        <v>1800000000</v>
      </c>
      <c r="I803" s="185" t="s">
        <v>2338</v>
      </c>
      <c r="J803" s="113" t="str">
        <f>VLOOKUP($I803,'Price List, Weapons &amp; Items'!B:C,2,0)</f>
        <v>Ammunition for light infantry</v>
      </c>
      <c r="K803" s="113" t="str">
        <f>IF(I803=".",I803,VLOOKUP($I803,'Price List, Weapons &amp; Items'!B:D,3,0))</f>
        <v>Mortar ammunition</v>
      </c>
      <c r="L803" s="177">
        <f>VLOOKUP(I803,'Price List, Weapons &amp; Items'!B:E,4,0)</f>
        <v>0</v>
      </c>
      <c r="M803" s="542">
        <v>1500</v>
      </c>
      <c r="N803" s="542">
        <v>1500</v>
      </c>
      <c r="O803" s="543">
        <f>VLOOKUP($I803,'Price List, Weapons &amp; Items'!B:G,6,0)</f>
        <v>329</v>
      </c>
      <c r="P803" s="176">
        <f t="shared" si="152"/>
        <v>493500</v>
      </c>
      <c r="Q803" s="176">
        <f t="shared" si="153"/>
        <v>493500</v>
      </c>
      <c r="R803" s="176" t="str">
        <f t="shared" si="162"/>
        <v/>
      </c>
      <c r="S803" s="176" t="str">
        <f>IF(AND(AD803=1,R803&lt;&gt;".")=TRUE,R803/VLOOKUP(G803,'Exchange Rates'!B:C,2,0),IF(R803=".",".",""))</f>
        <v/>
      </c>
      <c r="T803" s="176" t="str">
        <f>IF(AD803=1,IF(AF803="Value is not given at all",".",IF(AF803="Value is given by the source",S803,IF(AF803="Value is calculated with prices",(IF(SUMIFS(Q:Q,A:A,A803)&gt;0,SUMIFS(Q:Q,A:A,A803),"."))/VLOOKUP("USD",'Exchange Rates'!B:C,2,0),"Error with coding"))),"")</f>
        <v/>
      </c>
      <c r="U803" s="15" t="s">
        <v>415</v>
      </c>
      <c r="V803" s="547" t="s">
        <v>2326</v>
      </c>
      <c r="W803" s="547" t="s">
        <v>2327</v>
      </c>
      <c r="X803" s="547" t="s">
        <v>2328</v>
      </c>
      <c r="Y803" s="547" t="s">
        <v>2329</v>
      </c>
      <c r="Z803" s="15">
        <v>0</v>
      </c>
      <c r="AA803" s="180">
        <v>0</v>
      </c>
      <c r="AB803" s="550" t="s">
        <v>2332</v>
      </c>
      <c r="AC803" s="544" t="str">
        <f>""</f>
        <v/>
      </c>
      <c r="AD803" s="183">
        <v>0</v>
      </c>
      <c r="AE803" s="183" t="s">
        <v>264</v>
      </c>
      <c r="AF803" s="183" t="s">
        <v>264</v>
      </c>
      <c r="AG803" s="183">
        <v>1</v>
      </c>
      <c r="AH803" s="183">
        <v>4</v>
      </c>
      <c r="AI803" s="183">
        <v>0</v>
      </c>
      <c r="AJ803" s="181">
        <f>VLOOKUP($I803,'Price List, Weapons &amp; Items'!B:F,5,0)</f>
        <v>0</v>
      </c>
      <c r="AK803" s="181">
        <f t="shared" si="154"/>
        <v>0</v>
      </c>
      <c r="AL803" s="181">
        <f t="shared" si="155"/>
        <v>0</v>
      </c>
      <c r="AM803" s="181">
        <f t="shared" si="156"/>
        <v>1</v>
      </c>
      <c r="AN803" s="180" t="str">
        <f>VLOOKUP($I803,'Price List, Weapons &amp; Items'!B:L,COLUMN('Price List, Weapons &amp; Items'!$J$11)-1,0)</f>
        <v>Military media (incl. websites)</v>
      </c>
      <c r="AO803" s="180" t="str">
        <f>IF(I803=".",".",VLOOKUP($I803,'Price List, Weapons &amp; Items'!B:J,3,0))</f>
        <v>Mortar ammunition</v>
      </c>
      <c r="AP803" s="545" t="str">
        <f t="shared" ca="1" si="163"/>
        <v/>
      </c>
      <c r="AQ803" s="180">
        <f>VLOOKUP($I803,'Price List, Weapons &amp; Items'!B:L,COLUMN('Price List, Weapons &amp; Items'!$L$11)-1,0)</f>
        <v>1</v>
      </c>
      <c r="AR803" s="180">
        <f t="shared" si="157"/>
        <v>0</v>
      </c>
      <c r="AS803" s="180">
        <f t="shared" si="158"/>
        <v>1</v>
      </c>
      <c r="AT803" s="180" t="str">
        <f t="shared" si="159"/>
        <v>Value is not in date format</v>
      </c>
      <c r="AU803" s="180" t="str">
        <f t="shared" si="160"/>
        <v>.</v>
      </c>
      <c r="AV803" s="180" t="str">
        <f t="shared" si="161"/>
        <v>.</v>
      </c>
      <c r="AW803" s="180">
        <f>IFERROR(VLOOKUP(B803,'Share, Heavy Weapons to Ukraine'!B:J,COLUMN('Share, Heavy Weapons to Ukraine'!C816)-1,0),0)</f>
        <v>0</v>
      </c>
      <c r="AX803" s="180">
        <f>VLOOKUP('Bilateral Assistance, MAIN DATA'!B803,'Country Summary'!B:F,COLUMN('Country Summary'!C819)-1,FALSE)</f>
        <v>1</v>
      </c>
      <c r="AY803" s="180" t="str">
        <f>IF(AND(AD803=1,D803="Military",H803&lt;&gt;"Not given")=TRUE,IF(SUMIFS(P:P,A:A,A803)&gt;0,ABS((SUMIFS(P:P,A:A,A803)/VLOOKUP("USD",'Exchange Rates'!B:C,2,0)))/S803,"."),".")</f>
        <v>.</v>
      </c>
      <c r="AZ803" s="182" t="str">
        <f>IF(AND(AD803=1,D803="Military",H803&lt;&gt;"Not given")=TRUE,IF(SUMIFS(P:P,A:A,A803)&gt;0,IF((ABS((SUMIFS(P:P,A:A,A803)/VLOOKUP("USD",'Exchange Rates'!B:C,2,0)))/S803)&gt;1,(SUMIFS(P:P,A:A,A803)-S803)/S803,(S803-SUMIFS(P:P,A:A,A803))/SUMIFS(P:P,A:A,A803)),"."),".")</f>
        <v>.</v>
      </c>
      <c r="BA803" s="182"/>
      <c r="BB803" s="182"/>
      <c r="BC803" s="182"/>
      <c r="BD803" s="182"/>
      <c r="BE803" s="182"/>
      <c r="BF803" s="182"/>
      <c r="BG803" s="182"/>
      <c r="BH803" s="182"/>
      <c r="BI803" s="182"/>
      <c r="BJ803" s="182"/>
      <c r="BK803" s="182"/>
      <c r="BL803" s="182"/>
      <c r="BM803" s="182"/>
      <c r="BN803" s="182"/>
      <c r="BO803" s="182"/>
      <c r="BP803" s="182"/>
      <c r="BQ803" s="182"/>
      <c r="BR803" s="182"/>
      <c r="BS803" s="182"/>
    </row>
    <row r="804" spans="1:71" ht="15.9" customHeight="1" x14ac:dyDescent="0.3">
      <c r="A804" s="5" t="s">
        <v>2323</v>
      </c>
      <c r="B804" s="5" t="s">
        <v>2303</v>
      </c>
      <c r="C804" s="174" t="s">
        <v>2331</v>
      </c>
      <c r="D804" s="5" t="s">
        <v>285</v>
      </c>
      <c r="E804" s="5" t="s">
        <v>286</v>
      </c>
      <c r="F804" s="175" t="s">
        <v>2324</v>
      </c>
      <c r="G804" s="15" t="s">
        <v>364</v>
      </c>
      <c r="H804" s="176">
        <v>1800000000</v>
      </c>
      <c r="I804" s="185" t="s">
        <v>781</v>
      </c>
      <c r="J804" s="113" t="str">
        <f>VLOOKUP($I804,'Price List, Weapons &amp; Items'!B:C,2,0)</f>
        <v>Heavy weapon</v>
      </c>
      <c r="K804" s="113" t="str">
        <f>IF(I804=".",I804,VLOOKUP($I804,'Price List, Weapons &amp; Items'!B:D,3,0))</f>
        <v>Main Battle Tank (MBT)</v>
      </c>
      <c r="L804" s="177">
        <f>VLOOKUP(I804,'Price List, Weapons &amp; Items'!B:E,4,0)</f>
        <v>1</v>
      </c>
      <c r="M804" s="542">
        <v>240</v>
      </c>
      <c r="N804" s="542">
        <v>240</v>
      </c>
      <c r="O804" s="543">
        <f>VLOOKUP($I804,'Price List, Weapons &amp; Items'!B:G,6,0)</f>
        <v>1616065.9562782401</v>
      </c>
      <c r="P804" s="176">
        <f t="shared" si="152"/>
        <v>387855829.50677764</v>
      </c>
      <c r="Q804" s="176">
        <f t="shared" si="153"/>
        <v>387855829.50677764</v>
      </c>
      <c r="R804" s="176" t="str">
        <f t="shared" si="162"/>
        <v/>
      </c>
      <c r="S804" s="176" t="str">
        <f>IF(AND(AD804=1,R804&lt;&gt;".")=TRUE,R804/VLOOKUP(G804,'Exchange Rates'!B:C,2,0),IF(R804=".",".",""))</f>
        <v/>
      </c>
      <c r="T804" s="176" t="str">
        <f>IF(AD804=1,IF(AF804="Value is not given at all",".",IF(AF804="Value is given by the source",S804,IF(AF804="Value is calculated with prices",(IF(SUMIFS(Q:Q,A:A,A804)&gt;0,SUMIFS(Q:Q,A:A,A804),"."))/VLOOKUP("USD",'Exchange Rates'!B:C,2,0),"Error with coding"))),"")</f>
        <v/>
      </c>
      <c r="U804" s="15" t="s">
        <v>415</v>
      </c>
      <c r="V804" s="547" t="s">
        <v>2326</v>
      </c>
      <c r="W804" s="547" t="s">
        <v>2327</v>
      </c>
      <c r="X804" s="547" t="s">
        <v>2328</v>
      </c>
      <c r="Y804" s="547" t="s">
        <v>2329</v>
      </c>
      <c r="Z804" s="15">
        <v>0</v>
      </c>
      <c r="AA804" s="180">
        <v>0</v>
      </c>
      <c r="AB804" s="550" t="s">
        <v>2339</v>
      </c>
      <c r="AC804" s="544" t="str">
        <f>""</f>
        <v/>
      </c>
      <c r="AD804" s="183">
        <v>0</v>
      </c>
      <c r="AE804" s="183" t="s">
        <v>264</v>
      </c>
      <c r="AF804" s="183" t="s">
        <v>264</v>
      </c>
      <c r="AG804" s="183">
        <v>1</v>
      </c>
      <c r="AH804" s="183">
        <v>4</v>
      </c>
      <c r="AI804" s="183">
        <v>0</v>
      </c>
      <c r="AJ804" s="181">
        <f>VLOOKUP($I804,'Price List, Weapons &amp; Items'!B:F,5,0)</f>
        <v>1</v>
      </c>
      <c r="AK804" s="181">
        <f t="shared" si="154"/>
        <v>0</v>
      </c>
      <c r="AL804" s="181">
        <f t="shared" si="155"/>
        <v>0</v>
      </c>
      <c r="AM804" s="181">
        <f t="shared" si="156"/>
        <v>0</v>
      </c>
      <c r="AN804" s="180" t="str">
        <f>VLOOKUP($I804,'Price List, Weapons &amp; Items'!B:L,COLUMN('Price List, Weapons &amp; Items'!$J$11)-1,0)</f>
        <v>Contracts</v>
      </c>
      <c r="AO804" s="180" t="str">
        <f>IF(I804=".",".",VLOOKUP($I804,'Price List, Weapons &amp; Items'!B:J,3,0))</f>
        <v>Main Battle Tank (MBT)</v>
      </c>
      <c r="AP804" s="545" t="str">
        <f t="shared" ca="1" si="163"/>
        <v/>
      </c>
      <c r="AQ804" s="180">
        <f>VLOOKUP($I804,'Price List, Weapons &amp; Items'!B:L,COLUMN('Price List, Weapons &amp; Items'!$L$11)-1,0)</f>
        <v>2</v>
      </c>
      <c r="AR804" s="180">
        <f t="shared" si="157"/>
        <v>0</v>
      </c>
      <c r="AS804" s="180">
        <f t="shared" si="158"/>
        <v>1</v>
      </c>
      <c r="AT804" s="180" t="str">
        <f t="shared" si="159"/>
        <v>Value is not in date format</v>
      </c>
      <c r="AU804" s="180" t="str">
        <f t="shared" si="160"/>
        <v>.</v>
      </c>
      <c r="AV804" s="180" t="str">
        <f t="shared" si="161"/>
        <v>.</v>
      </c>
      <c r="AW804" s="180">
        <f>IFERROR(VLOOKUP(B804,'Share, Heavy Weapons to Ukraine'!B:J,COLUMN('Share, Heavy Weapons to Ukraine'!C817)-1,0),0)</f>
        <v>0</v>
      </c>
      <c r="AX804" s="180">
        <f>VLOOKUP('Bilateral Assistance, MAIN DATA'!B804,'Country Summary'!B:F,COLUMN('Country Summary'!C820)-1,FALSE)</f>
        <v>1</v>
      </c>
      <c r="AY804" s="180" t="str">
        <f>IF(AND(AD804=1,D804="Military",H804&lt;&gt;"Not given")=TRUE,IF(SUMIFS(P:P,A:A,A804)&gt;0,ABS((SUMIFS(P:P,A:A,A804)/VLOOKUP("USD",'Exchange Rates'!B:C,2,0)))/S804,"."),".")</f>
        <v>.</v>
      </c>
      <c r="AZ804" s="182" t="str">
        <f>IF(AND(AD804=1,D804="Military",H804&lt;&gt;"Not given")=TRUE,IF(SUMIFS(P:P,A:A,A804)&gt;0,IF((ABS((SUMIFS(P:P,A:A,A804)/VLOOKUP("USD",'Exchange Rates'!B:C,2,0)))/S804)&gt;1,(SUMIFS(P:P,A:A,A804)-S804)/S804,(S804-SUMIFS(P:P,A:A,A804))/SUMIFS(P:P,A:A,A804)),"."),".")</f>
        <v>.</v>
      </c>
      <c r="BA804" s="182"/>
      <c r="BB804" s="182"/>
      <c r="BC804" s="182"/>
      <c r="BD804" s="182"/>
      <c r="BE804" s="182"/>
      <c r="BF804" s="182"/>
      <c r="BG804" s="182"/>
      <c r="BH804" s="182"/>
      <c r="BI804" s="182"/>
      <c r="BJ804" s="182"/>
      <c r="BK804" s="182"/>
      <c r="BL804" s="182"/>
      <c r="BM804" s="182"/>
      <c r="BN804" s="182"/>
      <c r="BO804" s="182"/>
      <c r="BP804" s="182"/>
      <c r="BQ804" s="182"/>
      <c r="BR804" s="182"/>
      <c r="BS804" s="182"/>
    </row>
    <row r="805" spans="1:71" ht="15.9" customHeight="1" x14ac:dyDescent="0.3">
      <c r="A805" s="5" t="s">
        <v>2323</v>
      </c>
      <c r="B805" s="5" t="s">
        <v>2303</v>
      </c>
      <c r="C805" s="174" t="s">
        <v>2331</v>
      </c>
      <c r="D805" s="5" t="s">
        <v>285</v>
      </c>
      <c r="E805" s="5" t="s">
        <v>286</v>
      </c>
      <c r="F805" s="175" t="s">
        <v>2324</v>
      </c>
      <c r="G805" s="15" t="s">
        <v>364</v>
      </c>
      <c r="H805" s="176">
        <v>1800000000</v>
      </c>
      <c r="I805" s="185" t="s">
        <v>2340</v>
      </c>
      <c r="J805" s="113" t="str">
        <f>VLOOKUP($I805,'Price List, Weapons &amp; Items'!B:C,2,0)</f>
        <v>Aviation and drones</v>
      </c>
      <c r="K805" s="113" t="str">
        <f>IF(I805=".",I805,VLOOKUP($I805,'Price List, Weapons &amp; Items'!B:D,3,0))</f>
        <v>Drone</v>
      </c>
      <c r="L805" s="177">
        <f>VLOOKUP(I805,'Price List, Weapons &amp; Items'!B:E,4,0)</f>
        <v>0</v>
      </c>
      <c r="M805" s="542" t="s">
        <v>270</v>
      </c>
      <c r="N805" s="542" t="s">
        <v>270</v>
      </c>
      <c r="O805" s="543">
        <f>VLOOKUP($I805,'Price List, Weapons &amp; Items'!B:G,6,0)</f>
        <v>12000</v>
      </c>
      <c r="P805" s="176" t="str">
        <f t="shared" si="152"/>
        <v>.</v>
      </c>
      <c r="Q805" s="176" t="str">
        <f t="shared" si="153"/>
        <v>.</v>
      </c>
      <c r="R805" s="176" t="str">
        <f t="shared" si="162"/>
        <v/>
      </c>
      <c r="S805" s="176" t="str">
        <f>IF(AND(AD805=1,R805&lt;&gt;".")=TRUE,R805/VLOOKUP(G805,'Exchange Rates'!B:C,2,0),IF(R805=".",".",""))</f>
        <v/>
      </c>
      <c r="T805" s="176" t="str">
        <f>IF(AD805=1,IF(AF805="Value is not given at all",".",IF(AF805="Value is given by the source",S805,IF(AF805="Value is calculated with prices",(IF(SUMIFS(Q:Q,A:A,A805)&gt;0,SUMIFS(Q:Q,A:A,A805),"."))/VLOOKUP("USD",'Exchange Rates'!B:C,2,0),"Error with coding"))),"")</f>
        <v/>
      </c>
      <c r="U805" s="15" t="s">
        <v>415</v>
      </c>
      <c r="V805" s="300" t="s">
        <v>2341</v>
      </c>
      <c r="W805" s="175" t="s">
        <v>260</v>
      </c>
      <c r="X805" s="175" t="s">
        <v>260</v>
      </c>
      <c r="Y805" s="175" t="s">
        <v>260</v>
      </c>
      <c r="Z805" s="15">
        <v>0</v>
      </c>
      <c r="AA805" s="180">
        <v>0</v>
      </c>
      <c r="AB805" s="550" t="s">
        <v>2335</v>
      </c>
      <c r="AC805" s="544" t="str">
        <f>""</f>
        <v/>
      </c>
      <c r="AD805" s="183">
        <v>0</v>
      </c>
      <c r="AE805" s="183" t="s">
        <v>264</v>
      </c>
      <c r="AF805" s="183" t="s">
        <v>264</v>
      </c>
      <c r="AG805" s="183">
        <v>1</v>
      </c>
      <c r="AH805" s="183">
        <v>4</v>
      </c>
      <c r="AI805" s="183">
        <v>0</v>
      </c>
      <c r="AJ805" s="181">
        <f>VLOOKUP($I805,'Price List, Weapons &amp; Items'!B:F,5,0)</f>
        <v>0</v>
      </c>
      <c r="AK805" s="181">
        <f t="shared" si="154"/>
        <v>0</v>
      </c>
      <c r="AL805" s="181">
        <f t="shared" si="155"/>
        <v>0</v>
      </c>
      <c r="AM805" s="181">
        <f t="shared" si="156"/>
        <v>0</v>
      </c>
      <c r="AN805" s="180" t="str">
        <f>VLOOKUP($I805,'Price List, Weapons &amp; Items'!B:L,COLUMN('Price List, Weapons &amp; Items'!$J$11)-1,0)</f>
        <v>Media reports (incl. social media)</v>
      </c>
      <c r="AO805" s="180" t="str">
        <f>IF(I805=".",".",VLOOKUP($I805,'Price List, Weapons &amp; Items'!B:J,3,0))</f>
        <v>Drone</v>
      </c>
      <c r="AP805" s="545" t="str">
        <f t="shared" ca="1" si="163"/>
        <v/>
      </c>
      <c r="AQ805" s="180" t="str">
        <f>VLOOKUP($I805,'Price List, Weapons &amp; Items'!B:L,COLUMN('Price List, Weapons &amp; Items'!$L$11)-1,0)</f>
        <v>no price, 0 count</v>
      </c>
      <c r="AR805" s="180">
        <f t="shared" si="157"/>
        <v>0</v>
      </c>
      <c r="AS805" s="180">
        <f t="shared" si="158"/>
        <v>1</v>
      </c>
      <c r="AT805" s="180" t="str">
        <f t="shared" si="159"/>
        <v>Value is not in date format</v>
      </c>
      <c r="AU805" s="180" t="str">
        <f t="shared" si="160"/>
        <v>.</v>
      </c>
      <c r="AV805" s="180" t="str">
        <f t="shared" si="161"/>
        <v>.</v>
      </c>
      <c r="AW805" s="180">
        <f>IFERROR(VLOOKUP(B805,'Share, Heavy Weapons to Ukraine'!B:J,COLUMN('Share, Heavy Weapons to Ukraine'!C818)-1,0),0)</f>
        <v>0</v>
      </c>
      <c r="AX805" s="180">
        <f>VLOOKUP('Bilateral Assistance, MAIN DATA'!B805,'Country Summary'!B:F,COLUMN('Country Summary'!C821)-1,FALSE)</f>
        <v>1</v>
      </c>
      <c r="AY805" s="180" t="str">
        <f>IF(AND(AD805=1,D805="Military",H805&lt;&gt;"Not given")=TRUE,IF(SUMIFS(P:P,A:A,A805)&gt;0,ABS((SUMIFS(P:P,A:A,A805)/VLOOKUP("USD",'Exchange Rates'!B:C,2,0)))/S805,"."),".")</f>
        <v>.</v>
      </c>
      <c r="AZ805" s="182" t="str">
        <f>IF(AND(AD805=1,D805="Military",H805&lt;&gt;"Not given")=TRUE,IF(SUMIFS(P:P,A:A,A805)&gt;0,IF((ABS((SUMIFS(P:P,A:A,A805)/VLOOKUP("USD",'Exchange Rates'!B:C,2,0)))/S805)&gt;1,(SUMIFS(P:P,A:A,A805)-S805)/S805,(S805-SUMIFS(P:P,A:A,A805))/SUMIFS(P:P,A:A,A805)),"."),".")</f>
        <v>.</v>
      </c>
      <c r="BA805" s="182"/>
      <c r="BB805" s="182"/>
      <c r="BC805" s="182"/>
      <c r="BD805" s="182"/>
      <c r="BE805" s="182"/>
      <c r="BF805" s="182"/>
      <c r="BG805" s="182"/>
      <c r="BH805" s="182"/>
      <c r="BI805" s="182"/>
      <c r="BJ805" s="182"/>
      <c r="BK805" s="182"/>
      <c r="BL805" s="182"/>
      <c r="BM805" s="182"/>
      <c r="BN805" s="182"/>
      <c r="BO805" s="182"/>
      <c r="BP805" s="182"/>
      <c r="BQ805" s="182"/>
      <c r="BR805" s="182"/>
      <c r="BS805" s="182"/>
    </row>
    <row r="806" spans="1:71" ht="15.9" customHeight="1" x14ac:dyDescent="0.3">
      <c r="A806" s="19" t="s">
        <v>2323</v>
      </c>
      <c r="B806" s="19" t="s">
        <v>2303</v>
      </c>
      <c r="C806" s="247" t="s">
        <v>2331</v>
      </c>
      <c r="D806" s="19" t="s">
        <v>285</v>
      </c>
      <c r="E806" s="19" t="s">
        <v>286</v>
      </c>
      <c r="F806" s="19" t="s">
        <v>2324</v>
      </c>
      <c r="G806" s="199" t="s">
        <v>364</v>
      </c>
      <c r="H806" s="70">
        <v>1800000000</v>
      </c>
      <c r="I806" s="19" t="s">
        <v>2342</v>
      </c>
      <c r="J806" s="113" t="str">
        <f>VLOOKUP($I806,'Price List, Weapons &amp; Items'!B:C,2,0)</f>
        <v>Heavy weapon</v>
      </c>
      <c r="K806" s="113" t="str">
        <f>IF(I806=".",I806,VLOOKUP($I806,'Price List, Weapons &amp; Items'!B:D,3,0))</f>
        <v>155mm howitzer</v>
      </c>
      <c r="L806" s="177">
        <f>VLOOKUP(I806,'Price List, Weapons &amp; Items'!B:E,4,0)</f>
        <v>0</v>
      </c>
      <c r="M806" s="19">
        <v>18</v>
      </c>
      <c r="N806" s="19">
        <v>18</v>
      </c>
      <c r="O806" s="543">
        <f>VLOOKUP($I806,'Price List, Weapons &amp; Items'!B:G,6,0)</f>
        <v>12781188.5</v>
      </c>
      <c r="P806" s="176">
        <f t="shared" si="152"/>
        <v>230061393</v>
      </c>
      <c r="Q806" s="176">
        <f t="shared" si="153"/>
        <v>230061393</v>
      </c>
      <c r="R806" s="176" t="str">
        <f t="shared" si="162"/>
        <v/>
      </c>
      <c r="S806" s="176" t="str">
        <f>IF(AND(AD806=1,R806&lt;&gt;".")=TRUE,R806/VLOOKUP(G806,'Exchange Rates'!B:C,2,0),IF(R806=".",".",""))</f>
        <v/>
      </c>
      <c r="T806" s="176" t="str">
        <f>IF(AD806=1,IF(AF806="Value is not given at all",".",IF(AF806="Value is given by the source",S806,IF(AF806="Value is calculated with prices",(IF(SUMIFS(Q:Q,A:A,A806)&gt;0,SUMIFS(Q:Q,A:A,A806),"."))/VLOOKUP("USD",'Exchange Rates'!B:C,2,0),"Error with coding"))),"")</f>
        <v/>
      </c>
      <c r="U806" s="199" t="s">
        <v>415</v>
      </c>
      <c r="V806" s="304" t="s">
        <v>2343</v>
      </c>
      <c r="W806" s="19" t="s">
        <v>260</v>
      </c>
      <c r="X806" s="19" t="s">
        <v>260</v>
      </c>
      <c r="Y806" s="19" t="s">
        <v>260</v>
      </c>
      <c r="Z806" s="199">
        <v>0</v>
      </c>
      <c r="AA806" s="180">
        <v>0</v>
      </c>
      <c r="AB806" s="304" t="s">
        <v>2344</v>
      </c>
      <c r="AC806" s="544" t="str">
        <f>""</f>
        <v/>
      </c>
      <c r="AD806" s="199">
        <v>0</v>
      </c>
      <c r="AE806" s="199" t="s">
        <v>264</v>
      </c>
      <c r="AF806" s="199" t="s">
        <v>264</v>
      </c>
      <c r="AG806" s="199">
        <v>1</v>
      </c>
      <c r="AH806" s="199">
        <v>6</v>
      </c>
      <c r="AI806" s="199">
        <v>0</v>
      </c>
      <c r="AJ806" s="181">
        <f>VLOOKUP($I806,'Price List, Weapons &amp; Items'!B:F,5,0)</f>
        <v>1</v>
      </c>
      <c r="AK806" s="181">
        <f t="shared" si="154"/>
        <v>0</v>
      </c>
      <c r="AL806" s="181">
        <f t="shared" si="155"/>
        <v>0</v>
      </c>
      <c r="AM806" s="181">
        <f t="shared" si="156"/>
        <v>0</v>
      </c>
      <c r="AN806" s="180" t="str">
        <f>VLOOKUP($I806,'Price List, Weapons &amp; Items'!B:L,COLUMN('Price List, Weapons &amp; Items'!$J$11)-1,0)</f>
        <v>Government information</v>
      </c>
      <c r="AO806" s="180" t="str">
        <f>IF(I806=".",".",VLOOKUP($I806,'Price List, Weapons &amp; Items'!B:J,3,0))</f>
        <v>155mm howitzer</v>
      </c>
      <c r="AP806" s="545" t="str">
        <f t="shared" ca="1" si="163"/>
        <v/>
      </c>
      <c r="AQ806" s="180">
        <f>VLOOKUP($I806,'Price List, Weapons &amp; Items'!B:L,COLUMN('Price List, Weapons &amp; Items'!$L$11)-1,0)</f>
        <v>2</v>
      </c>
      <c r="AR806" s="180">
        <f t="shared" si="157"/>
        <v>0</v>
      </c>
      <c r="AS806" s="180">
        <f t="shared" si="158"/>
        <v>1</v>
      </c>
      <c r="AT806" s="180" t="str">
        <f t="shared" si="159"/>
        <v>Value is not in date format</v>
      </c>
      <c r="AU806" s="180" t="str">
        <f t="shared" si="160"/>
        <v>.</v>
      </c>
      <c r="AV806" s="180" t="str">
        <f t="shared" si="161"/>
        <v>.</v>
      </c>
      <c r="AW806" s="180">
        <f>IFERROR(VLOOKUP(B806,'Share, Heavy Weapons to Ukraine'!B:J,COLUMN('Share, Heavy Weapons to Ukraine'!C819)-1,0),0)</f>
        <v>0</v>
      </c>
      <c r="AX806" s="180">
        <f>VLOOKUP('Bilateral Assistance, MAIN DATA'!B806,'Country Summary'!B:F,COLUMN('Country Summary'!C822)-1,FALSE)</f>
        <v>1</v>
      </c>
      <c r="AY806" s="180" t="str">
        <f>IF(AND(AD806=1,D806="Military",H806&lt;&gt;"Not given")=TRUE,IF(SUMIFS(P:P,A:A,A806)&gt;0,ABS((SUMIFS(P:P,A:A,A806)/VLOOKUP("USD",'Exchange Rates'!B:C,2,0)))/S806,"."),".")</f>
        <v>.</v>
      </c>
      <c r="AZ806" s="182" t="str">
        <f>IF(AND(AD806=1,D806="Military",H806&lt;&gt;"Not given")=TRUE,IF(SUMIFS(P:P,A:A,A806)&gt;0,IF((ABS((SUMIFS(P:P,A:A,A806)/VLOOKUP("USD",'Exchange Rates'!B:C,2,0)))/S806)&gt;1,(SUMIFS(P:P,A:A,A806)-S806)/S806,(S806-SUMIFS(P:P,A:A,A806))/SUMIFS(P:P,A:A,A806)),"."),".")</f>
        <v>.</v>
      </c>
      <c r="BA806" s="182"/>
      <c r="BB806" s="182"/>
      <c r="BC806" s="182"/>
      <c r="BD806" s="182"/>
      <c r="BE806" s="182"/>
      <c r="BF806" s="182"/>
      <c r="BG806" s="182"/>
      <c r="BH806" s="182"/>
      <c r="BI806" s="182"/>
      <c r="BJ806" s="182"/>
      <c r="BK806" s="182"/>
      <c r="BL806" s="182"/>
      <c r="BM806" s="182"/>
      <c r="BN806" s="182"/>
      <c r="BO806" s="182"/>
      <c r="BP806" s="182"/>
      <c r="BQ806" s="182"/>
      <c r="BR806" s="182"/>
      <c r="BS806" s="182"/>
    </row>
    <row r="807" spans="1:71" ht="15.9" customHeight="1" x14ac:dyDescent="0.3">
      <c r="A807" s="19" t="s">
        <v>2323</v>
      </c>
      <c r="B807" s="19" t="s">
        <v>2303</v>
      </c>
      <c r="C807" s="247" t="s">
        <v>2345</v>
      </c>
      <c r="D807" s="19" t="s">
        <v>285</v>
      </c>
      <c r="E807" s="19" t="s">
        <v>286</v>
      </c>
      <c r="F807" s="19" t="s">
        <v>2346</v>
      </c>
      <c r="G807" s="199" t="s">
        <v>364</v>
      </c>
      <c r="H807" s="70">
        <v>1800000000</v>
      </c>
      <c r="I807" s="19" t="s">
        <v>1641</v>
      </c>
      <c r="J807" s="113" t="str">
        <f>VLOOKUP($I807,'Price List, Weapons &amp; Items'!B:C,2,0)</f>
        <v>Heavy weapon</v>
      </c>
      <c r="K807" s="113" t="str">
        <f>IF(I807=".",I807,VLOOKUP($I807,'Price List, Weapons &amp; Items'!B:D,3,0))</f>
        <v>Infantry fighting vehicle (IFV)</v>
      </c>
      <c r="L807" s="177">
        <f>VLOOKUP(I807,'Price List, Weapons &amp; Items'!B:E,4,0)</f>
        <v>1</v>
      </c>
      <c r="M807" s="19">
        <v>40</v>
      </c>
      <c r="N807" s="19">
        <v>40</v>
      </c>
      <c r="O807" s="543">
        <f>VLOOKUP($I807,'Price List, Weapons &amp; Items'!B:G,6,0)</f>
        <v>561542.53</v>
      </c>
      <c r="P807" s="176">
        <f t="shared" si="152"/>
        <v>22461701.200000003</v>
      </c>
      <c r="Q807" s="176">
        <f t="shared" si="153"/>
        <v>22461701.200000003</v>
      </c>
      <c r="R807" s="176" t="str">
        <f t="shared" si="162"/>
        <v/>
      </c>
      <c r="S807" s="176" t="str">
        <f>IF(AND(AD807=1,R807&lt;&gt;".")=TRUE,R807/VLOOKUP(G807,'Exchange Rates'!B:C,2,0),IF(R807=".",".",""))</f>
        <v/>
      </c>
      <c r="T807" s="176" t="str">
        <f>IF(AD807=1,IF(AF807="Value is not given at all",".",IF(AF807="Value is given by the source",S807,IF(AF807="Value is calculated with prices",(IF(SUMIFS(Q:Q,A:A,A807)&gt;0,SUMIFS(Q:Q,A:A,A807),"."))/VLOOKUP("USD",'Exchange Rates'!B:C,2,0),"Error with coding"))),"")</f>
        <v/>
      </c>
      <c r="U807" s="199" t="s">
        <v>415</v>
      </c>
      <c r="V807" s="304" t="s">
        <v>2347</v>
      </c>
      <c r="W807" s="304" t="s">
        <v>2348</v>
      </c>
      <c r="X807" s="304" t="s">
        <v>2349</v>
      </c>
      <c r="Y807" s="19" t="s">
        <v>260</v>
      </c>
      <c r="Z807" s="199">
        <v>0</v>
      </c>
      <c r="AA807" s="199">
        <v>1</v>
      </c>
      <c r="AB807" s="304" t="s">
        <v>2347</v>
      </c>
      <c r="AC807" s="544" t="str">
        <f>""</f>
        <v/>
      </c>
      <c r="AD807" s="199">
        <v>0</v>
      </c>
      <c r="AE807" s="199" t="s">
        <v>332</v>
      </c>
      <c r="AF807" s="199" t="s">
        <v>332</v>
      </c>
      <c r="AG807" s="199">
        <v>1</v>
      </c>
      <c r="AH807" s="199">
        <v>4</v>
      </c>
      <c r="AI807" s="199">
        <v>0</v>
      </c>
      <c r="AJ807" s="181">
        <f>VLOOKUP($I807,'Price List, Weapons &amp; Items'!B:F,5,0)</f>
        <v>1</v>
      </c>
      <c r="AK807" s="181">
        <f t="shared" si="154"/>
        <v>0</v>
      </c>
      <c r="AL807" s="181">
        <f t="shared" si="155"/>
        <v>0</v>
      </c>
      <c r="AM807" s="181">
        <f t="shared" si="156"/>
        <v>0</v>
      </c>
      <c r="AN807" s="180" t="str">
        <f>VLOOKUP($I807,'Price List, Weapons &amp; Items'!B:L,COLUMN('Price List, Weapons &amp; Items'!$J$11)-1,0)</f>
        <v>Contracts</v>
      </c>
      <c r="AO807" s="180" t="str">
        <f>IF(I807=".",".",VLOOKUP($I807,'Price List, Weapons &amp; Items'!B:J,3,0))</f>
        <v>Infantry fighting vehicle (IFV)</v>
      </c>
      <c r="AP807" s="545" t="str">
        <f t="shared" ca="1" si="163"/>
        <v/>
      </c>
      <c r="AQ807" s="180">
        <f>VLOOKUP($I807,'Price List, Weapons &amp; Items'!B:L,COLUMN('Price List, Weapons &amp; Items'!$L$11)-1,0)</f>
        <v>2</v>
      </c>
      <c r="AR807" s="180">
        <f t="shared" si="157"/>
        <v>0</v>
      </c>
      <c r="AS807" s="180">
        <f t="shared" si="158"/>
        <v>1</v>
      </c>
      <c r="AT807" s="180">
        <f t="shared" si="159"/>
        <v>1</v>
      </c>
      <c r="AU807" s="180" t="str">
        <f t="shared" si="160"/>
        <v>.</v>
      </c>
      <c r="AV807" s="180" t="str">
        <f t="shared" si="161"/>
        <v>.</v>
      </c>
      <c r="AW807" s="180">
        <f>IFERROR(VLOOKUP(B807,'Share, Heavy Weapons to Ukraine'!B:J,COLUMN('Share, Heavy Weapons to Ukraine'!C820)-1,0),0)</f>
        <v>0</v>
      </c>
      <c r="AX807" s="180">
        <f>VLOOKUP('Bilateral Assistance, MAIN DATA'!B807,'Country Summary'!B:F,COLUMN('Country Summary'!C823)-1,FALSE)</f>
        <v>1</v>
      </c>
      <c r="AY807" s="180" t="str">
        <f>IF(AND(AD807=1,D807="Military",H807&lt;&gt;"Not given")=TRUE,IF(SUMIFS(P:P,A:A,A807)&gt;0,ABS((SUMIFS(P:P,A:A,A807)/VLOOKUP("USD",'Exchange Rates'!B:C,2,0)))/S807,"."),".")</f>
        <v>.</v>
      </c>
      <c r="AZ807" s="182" t="str">
        <f>IF(AND(AD807=1,D807="Military",H807&lt;&gt;"Not given")=TRUE,IF(SUMIFS(P:P,A:A,A807)&gt;0,IF((ABS((SUMIFS(P:P,A:A,A807)/VLOOKUP("USD",'Exchange Rates'!B:C,2,0)))/S807)&gt;1,(SUMIFS(P:P,A:A,A807)-S807)/S807,(S807-SUMIFS(P:P,A:A,A807))/SUMIFS(P:P,A:A,A807)),"."),".")</f>
        <v>.</v>
      </c>
      <c r="BA807" s="182"/>
      <c r="BB807" s="182"/>
      <c r="BC807" s="182"/>
      <c r="BD807" s="182"/>
      <c r="BE807" s="182"/>
      <c r="BF807" s="182"/>
      <c r="BG807" s="182"/>
      <c r="BH807" s="182"/>
      <c r="BI807" s="182"/>
      <c r="BJ807" s="182"/>
      <c r="BK807" s="182"/>
      <c r="BL807" s="182"/>
      <c r="BM807" s="182"/>
      <c r="BN807" s="182"/>
      <c r="BO807" s="182"/>
      <c r="BP807" s="182"/>
      <c r="BQ807" s="182"/>
      <c r="BR807" s="182"/>
      <c r="BS807" s="182"/>
    </row>
    <row r="808" spans="1:71" ht="15.9" customHeight="1" x14ac:dyDescent="0.3">
      <c r="A808" s="19" t="s">
        <v>2350</v>
      </c>
      <c r="B808" s="19" t="s">
        <v>2303</v>
      </c>
      <c r="C808" s="247" t="s">
        <v>2351</v>
      </c>
      <c r="D808" s="19" t="s">
        <v>285</v>
      </c>
      <c r="E808" s="19" t="s">
        <v>286</v>
      </c>
      <c r="F808" s="19" t="s">
        <v>2352</v>
      </c>
      <c r="G808" s="199" t="s">
        <v>346</v>
      </c>
      <c r="H808" s="200" t="s">
        <v>341</v>
      </c>
      <c r="I808" s="19" t="s">
        <v>2353</v>
      </c>
      <c r="J808" s="113" t="str">
        <f>VLOOKUP($I808,'Price List, Weapons &amp; Items'!B:C,2,0)</f>
        <v>Heavy weapon</v>
      </c>
      <c r="K808" s="113" t="str">
        <f>IF(I808=".",I808,VLOOKUP($I808,'Price List, Weapons &amp; Items'!B:D,3,0))</f>
        <v>Main Battle Tank (MBT)</v>
      </c>
      <c r="L808" s="177">
        <f>VLOOKUP(I808,'Price List, Weapons &amp; Items'!B:E,4,0)</f>
        <v>1</v>
      </c>
      <c r="M808" s="19">
        <v>60</v>
      </c>
      <c r="N808" s="19">
        <v>60</v>
      </c>
      <c r="O808" s="543">
        <f>VLOOKUP($I808,'Price List, Weapons &amp; Items'!B:G,6,0)</f>
        <v>3318330.61</v>
      </c>
      <c r="P808" s="176">
        <f t="shared" si="152"/>
        <v>199099836.59999999</v>
      </c>
      <c r="Q808" s="176">
        <f t="shared" si="153"/>
        <v>199099836.59999999</v>
      </c>
      <c r="R808" s="176">
        <f t="shared" si="162"/>
        <v>199099836.59999999</v>
      </c>
      <c r="S808" s="176">
        <f>IF(AND(AD808=1,R808&lt;&gt;".")=TRUE,R808/VLOOKUP(G808,'Exchange Rates'!B:C,2,0),IF(R808=".",".",""))</f>
        <v>189618892</v>
      </c>
      <c r="T808" s="176">
        <f>IF(AD808=1,IF(AF808="Value is not given at all",".",IF(AF808="Value is given by the source",S808,IF(AF808="Value is calculated with prices",(IF(SUMIFS(Q:Q,A:A,A808)&gt;0,SUMIFS(Q:Q,A:A,A808),"."))/VLOOKUP("USD",'Exchange Rates'!B:C,2,0),"Error with coding"))),"")</f>
        <v>189618892</v>
      </c>
      <c r="U808" s="199" t="s">
        <v>261</v>
      </c>
      <c r="V808" s="304" t="s">
        <v>2354</v>
      </c>
      <c r="W808" s="304" t="s">
        <v>2355</v>
      </c>
      <c r="X808" s="682" t="s">
        <v>260</v>
      </c>
      <c r="Y808" s="682" t="s">
        <v>260</v>
      </c>
      <c r="Z808" s="199">
        <v>0</v>
      </c>
      <c r="AA808" s="199">
        <v>1</v>
      </c>
      <c r="AB808" s="304" t="s">
        <v>2354</v>
      </c>
      <c r="AC808" s="544" t="str">
        <f>""</f>
        <v/>
      </c>
      <c r="AD808" s="199">
        <v>1</v>
      </c>
      <c r="AE808" s="199" t="s">
        <v>332</v>
      </c>
      <c r="AF808" s="199" t="s">
        <v>332</v>
      </c>
      <c r="AG808" s="199">
        <v>1</v>
      </c>
      <c r="AH808" s="199">
        <v>7</v>
      </c>
      <c r="AI808" s="199">
        <v>0</v>
      </c>
      <c r="AJ808" s="181">
        <f>VLOOKUP($I808,'Price List, Weapons &amp; Items'!B:F,5,0)</f>
        <v>1</v>
      </c>
      <c r="AK808" s="181">
        <f t="shared" si="154"/>
        <v>0</v>
      </c>
      <c r="AL808" s="181">
        <f t="shared" si="155"/>
        <v>0</v>
      </c>
      <c r="AM808" s="181">
        <f t="shared" si="156"/>
        <v>0</v>
      </c>
      <c r="AN808" s="180" t="str">
        <f>VLOOKUP($I808,'Price List, Weapons &amp; Items'!B:L,COLUMN('Price List, Weapons &amp; Items'!$J$11)-1,0)</f>
        <v>Contracts</v>
      </c>
      <c r="AO808" s="180" t="str">
        <f>IF(I808=".",".",VLOOKUP($I808,'Price List, Weapons &amp; Items'!B:J,3,0))</f>
        <v>Main Battle Tank (MBT)</v>
      </c>
      <c r="AP808" s="545" t="e">
        <f t="shared" ca="1" si="163"/>
        <v>#NAME?</v>
      </c>
      <c r="AQ808" s="180">
        <f>VLOOKUP($I808,'Price List, Weapons &amp; Items'!B:L,COLUMN('Price List, Weapons &amp; Items'!$L$11)-1,0)</f>
        <v>2</v>
      </c>
      <c r="AR808" s="180">
        <f t="shared" si="157"/>
        <v>1</v>
      </c>
      <c r="AS808" s="180">
        <f t="shared" si="158"/>
        <v>1</v>
      </c>
      <c r="AT808" s="180">
        <f t="shared" si="159"/>
        <v>1</v>
      </c>
      <c r="AU808" s="180" t="str">
        <f t="shared" si="160"/>
        <v>.</v>
      </c>
      <c r="AV808" s="180" t="str">
        <f t="shared" si="161"/>
        <v>.</v>
      </c>
      <c r="AW808" s="180">
        <f>IFERROR(VLOOKUP(B808,'Share, Heavy Weapons to Ukraine'!B:J,COLUMN('Share, Heavy Weapons to Ukraine'!C821)-1,0),0)</f>
        <v>0</v>
      </c>
      <c r="AX808" s="180">
        <f>VLOOKUP('Bilateral Assistance, MAIN DATA'!B808,'Country Summary'!B:F,COLUMN('Country Summary'!C824)-1,FALSE)</f>
        <v>1</v>
      </c>
      <c r="AY808" s="180" t="str">
        <f>IF(AND(AD808=1,D808="Military",H808&lt;&gt;"Not given")=TRUE,IF(SUMIFS(P:P,A:A,A808)&gt;0,ABS((SUMIFS(P:P,A:A,A808)/VLOOKUP("USD",'Exchange Rates'!B:C,2,0)))/S808,"."),".")</f>
        <v>.</v>
      </c>
      <c r="AZ808" s="182" t="str">
        <f>IF(AND(AD808=1,D808="Military",H808&lt;&gt;"Not given")=TRUE,IF(SUMIFS(P:P,A:A,A808)&gt;0,IF((ABS((SUMIFS(P:P,A:A,A808)/VLOOKUP("USD",'Exchange Rates'!B:C,2,0)))/S808)&gt;1,(SUMIFS(P:P,A:A,A808)-S808)/S808,(S808-SUMIFS(P:P,A:A,A808))/SUMIFS(P:P,A:A,A808)),"."),".")</f>
        <v>.</v>
      </c>
      <c r="BA808" s="182"/>
      <c r="BB808" s="182"/>
      <c r="BC808" s="182"/>
      <c r="BD808" s="182"/>
      <c r="BE808" s="182"/>
      <c r="BF808" s="182"/>
      <c r="BG808" s="182"/>
      <c r="BH808" s="182"/>
      <c r="BI808" s="182"/>
      <c r="BJ808" s="182"/>
      <c r="BK808" s="182"/>
      <c r="BL808" s="182"/>
      <c r="BM808" s="182"/>
      <c r="BN808" s="182"/>
      <c r="BO808" s="182"/>
      <c r="BP808" s="182"/>
      <c r="BQ808" s="182"/>
      <c r="BR808" s="182"/>
      <c r="BS808" s="182"/>
    </row>
    <row r="809" spans="1:71" ht="15.9" customHeight="1" x14ac:dyDescent="0.3">
      <c r="A809" s="19" t="s">
        <v>2356</v>
      </c>
      <c r="B809" s="19" t="s">
        <v>2303</v>
      </c>
      <c r="C809" s="555">
        <v>44908</v>
      </c>
      <c r="D809" s="19" t="s">
        <v>285</v>
      </c>
      <c r="E809" s="19" t="s">
        <v>339</v>
      </c>
      <c r="F809" s="1140" t="s">
        <v>2357</v>
      </c>
      <c r="G809" s="199" t="s">
        <v>346</v>
      </c>
      <c r="H809" s="200" t="s">
        <v>341</v>
      </c>
      <c r="I809" s="19" t="s">
        <v>2342</v>
      </c>
      <c r="J809" s="113" t="str">
        <f>VLOOKUP($I809,'Price List, Weapons &amp; Items'!B:C,2,0)</f>
        <v>Heavy weapon</v>
      </c>
      <c r="K809" s="113" t="str">
        <f>IF(I809=".",I809,VLOOKUP($I809,'Price List, Weapons &amp; Items'!B:D,3,0))</f>
        <v>155mm howitzer</v>
      </c>
      <c r="L809" s="177">
        <f>VLOOKUP(I809,'Price List, Weapons &amp; Items'!B:E,4,0)</f>
        <v>0</v>
      </c>
      <c r="M809" s="19">
        <v>36</v>
      </c>
      <c r="N809" s="19">
        <v>36</v>
      </c>
      <c r="O809" s="543">
        <f>VLOOKUP($I809,'Price List, Weapons &amp; Items'!B:G,6,0)</f>
        <v>12781188.5</v>
      </c>
      <c r="P809" s="176">
        <f t="shared" si="152"/>
        <v>460122786</v>
      </c>
      <c r="Q809" s="176">
        <f t="shared" si="153"/>
        <v>460122786</v>
      </c>
      <c r="R809" s="176">
        <f t="shared" si="162"/>
        <v>460122786</v>
      </c>
      <c r="S809" s="176">
        <f>IF(AND(AD809=1,R809&lt;&gt;".")=TRUE,R809/VLOOKUP(G809,'Exchange Rates'!B:C,2,0),IF(R809=".",".",""))</f>
        <v>438212177.14285713</v>
      </c>
      <c r="T809" s="176">
        <f>IF(AD809=1,IF(AF809="Value is not given at all",".",IF(AF809="Value is given by the source",S809,IF(AF809="Value is calculated with prices",(IF(SUMIFS(Q:Q,A:A,A809)&gt;0,SUMIFS(Q:Q,A:A,A809),"."))/VLOOKUP("USD",'Exchange Rates'!B:C,2,0),"Error with coding"))),"")</f>
        <v>438212177.14285713</v>
      </c>
      <c r="U809" s="199" t="s">
        <v>261</v>
      </c>
      <c r="V809" s="304" t="s">
        <v>2358</v>
      </c>
      <c r="W809" s="682" t="s">
        <v>260</v>
      </c>
      <c r="X809" s="682" t="s">
        <v>260</v>
      </c>
      <c r="Y809" s="682" t="s">
        <v>260</v>
      </c>
      <c r="Z809" s="199">
        <v>0</v>
      </c>
      <c r="AA809" s="199">
        <v>1</v>
      </c>
      <c r="AB809" s="304" t="s">
        <v>2358</v>
      </c>
      <c r="AC809" s="544" t="str">
        <f>""</f>
        <v/>
      </c>
      <c r="AD809" s="199">
        <v>1</v>
      </c>
      <c r="AE809" s="199" t="s">
        <v>332</v>
      </c>
      <c r="AF809" s="199" t="s">
        <v>332</v>
      </c>
      <c r="AG809" s="199">
        <v>1</v>
      </c>
      <c r="AH809" s="199">
        <v>12</v>
      </c>
      <c r="AI809" s="199">
        <v>0</v>
      </c>
      <c r="AJ809" s="181">
        <f>VLOOKUP($I809,'Price List, Weapons &amp; Items'!B:F,5,0)</f>
        <v>1</v>
      </c>
      <c r="AK809" s="181">
        <f t="shared" si="154"/>
        <v>0</v>
      </c>
      <c r="AL809" s="181">
        <f t="shared" si="155"/>
        <v>0</v>
      </c>
      <c r="AM809" s="181">
        <f t="shared" si="156"/>
        <v>0</v>
      </c>
      <c r="AN809" s="180" t="str">
        <f>VLOOKUP($I809,'Price List, Weapons &amp; Items'!B:L,COLUMN('Price List, Weapons &amp; Items'!$J$11)-1,0)</f>
        <v>Government information</v>
      </c>
      <c r="AO809" s="180" t="str">
        <f>IF(I809=".",".",VLOOKUP($I809,'Price List, Weapons &amp; Items'!B:J,3,0))</f>
        <v>155mm howitzer</v>
      </c>
      <c r="AP809" s="545" t="e">
        <f t="shared" ca="1" si="163"/>
        <v>#NAME?</v>
      </c>
      <c r="AQ809" s="180">
        <f>VLOOKUP($I809,'Price List, Weapons &amp; Items'!B:L,COLUMN('Price List, Weapons &amp; Items'!$L$11)-1,0)</f>
        <v>2</v>
      </c>
      <c r="AR809" s="180">
        <f t="shared" si="157"/>
        <v>1</v>
      </c>
      <c r="AS809" s="180">
        <f t="shared" si="158"/>
        <v>1</v>
      </c>
      <c r="AT809" s="180">
        <f t="shared" si="159"/>
        <v>1</v>
      </c>
      <c r="AU809" s="180" t="str">
        <f t="shared" si="160"/>
        <v>.</v>
      </c>
      <c r="AV809" s="180" t="str">
        <f t="shared" si="161"/>
        <v>.</v>
      </c>
      <c r="AW809" s="180">
        <f>IFERROR(VLOOKUP(B809,'Share, Heavy Weapons to Ukraine'!B:J,COLUMN('Share, Heavy Weapons to Ukraine'!C822)-1,0),0)</f>
        <v>0</v>
      </c>
      <c r="AX809" s="180">
        <f>VLOOKUP('Bilateral Assistance, MAIN DATA'!B809,'Country Summary'!B:F,COLUMN('Country Summary'!C825)-1,FALSE)</f>
        <v>1</v>
      </c>
      <c r="AY809" s="180" t="str">
        <f>IF(AND(AD809=1,D809="Military",H809&lt;&gt;"Not given")=TRUE,IF(SUMIFS(P:P,A:A,A809)&gt;0,ABS((SUMIFS(P:P,A:A,A809)/VLOOKUP("USD",'Exchange Rates'!B:C,2,0)))/S809,"."),".")</f>
        <v>.</v>
      </c>
      <c r="AZ809" s="182" t="str">
        <f>IF(AND(AD809=1,D809="Military",H809&lt;&gt;"Not given")=TRUE,IF(SUMIFS(P:P,A:A,A809)&gt;0,IF((ABS((SUMIFS(P:P,A:A,A809)/VLOOKUP("USD",'Exchange Rates'!B:C,2,0)))/S809)&gt;1,(SUMIFS(P:P,A:A,A809)-S809)/S809,(S809-SUMIFS(P:P,A:A,A809))/SUMIFS(P:P,A:A,A809)),"."),".")</f>
        <v>.</v>
      </c>
      <c r="BA809" s="182"/>
      <c r="BB809" s="182"/>
      <c r="BC809" s="182"/>
      <c r="BD809" s="182"/>
      <c r="BE809" s="182"/>
      <c r="BF809" s="182"/>
      <c r="BG809" s="182"/>
      <c r="BH809" s="182"/>
      <c r="BI809" s="182"/>
      <c r="BJ809" s="182"/>
      <c r="BK809" s="182"/>
      <c r="BL809" s="182"/>
      <c r="BM809" s="182"/>
      <c r="BN809" s="182"/>
      <c r="BO809" s="182"/>
      <c r="BP809" s="182"/>
      <c r="BQ809" s="182"/>
      <c r="BR809" s="182"/>
      <c r="BS809" s="182"/>
    </row>
    <row r="810" spans="1:71" ht="15.9" customHeight="1" x14ac:dyDescent="0.3">
      <c r="A810" s="17" t="s">
        <v>2359</v>
      </c>
      <c r="B810" s="17" t="s">
        <v>2303</v>
      </c>
      <c r="C810" s="174">
        <v>44616</v>
      </c>
      <c r="D810" s="5" t="s">
        <v>405</v>
      </c>
      <c r="E810" s="5" t="s">
        <v>2360</v>
      </c>
      <c r="F810" s="175" t="s">
        <v>2361</v>
      </c>
      <c r="G810" s="15" t="s">
        <v>346</v>
      </c>
      <c r="H810" s="176">
        <v>1000000000</v>
      </c>
      <c r="I810" s="17" t="s">
        <v>260</v>
      </c>
      <c r="J810" s="113" t="str">
        <f>VLOOKUP($I810,'Price List, Weapons &amp; Items'!B:C,2,0)</f>
        <v>.</v>
      </c>
      <c r="K810" s="113" t="str">
        <f>IF(I810=".",I810,VLOOKUP($I810,'Price List, Weapons &amp; Items'!B:D,3,0))</f>
        <v>.</v>
      </c>
      <c r="L810" s="177">
        <f>VLOOKUP(I810,'Price List, Weapons &amp; Items'!B:E,4,0)</f>
        <v>0</v>
      </c>
      <c r="M810" s="542" t="s">
        <v>260</v>
      </c>
      <c r="N810" s="542" t="s">
        <v>260</v>
      </c>
      <c r="O810" s="543" t="str">
        <f>VLOOKUP($I810,'Price List, Weapons &amp; Items'!B:G,6,0)</f>
        <v>.</v>
      </c>
      <c r="P810" s="176" t="str">
        <f t="shared" si="152"/>
        <v>.</v>
      </c>
      <c r="Q810" s="176" t="str">
        <f t="shared" si="153"/>
        <v>.</v>
      </c>
      <c r="R810" s="176">
        <f t="shared" si="162"/>
        <v>1000000000</v>
      </c>
      <c r="S810" s="176">
        <f>IF(AND(AD810=1,R810&lt;&gt;".")=TRUE,R810/VLOOKUP(G810,'Exchange Rates'!B:C,2,0),IF(R810=".",".",""))</f>
        <v>952380952.38095236</v>
      </c>
      <c r="T810" s="176" t="str">
        <f>IF(AD810=1,IF(AF810="Value is not given at all",".",IF(AF810="Value is given by the source",S810,IF(AF810="Value is calculated with prices",(IF(SUMIFS(Q:Q,A:A,A810)&gt;0,SUMIFS(Q:Q,A:A,A810),"."))/VLOOKUP("USD",'Exchange Rates'!B:C,2,0),"Error with coding"))),"")</f>
        <v>.</v>
      </c>
      <c r="U810" s="15" t="s">
        <v>261</v>
      </c>
      <c r="V810" s="300" t="s">
        <v>2362</v>
      </c>
      <c r="W810" s="300" t="s">
        <v>2363</v>
      </c>
      <c r="X810" s="300" t="s">
        <v>2364</v>
      </c>
      <c r="Y810" s="175" t="s">
        <v>260</v>
      </c>
      <c r="Z810" s="15">
        <v>0</v>
      </c>
      <c r="AA810" s="180">
        <v>0</v>
      </c>
      <c r="AB810" s="184" t="s">
        <v>260</v>
      </c>
      <c r="AC810" s="544" t="str">
        <f>""</f>
        <v/>
      </c>
      <c r="AD810" s="183">
        <v>1</v>
      </c>
      <c r="AE810" s="183" t="s">
        <v>264</v>
      </c>
      <c r="AF810" s="183" t="s">
        <v>265</v>
      </c>
      <c r="AG810" s="183">
        <v>1</v>
      </c>
      <c r="AH810" s="181">
        <v>2</v>
      </c>
      <c r="AI810" s="181">
        <v>0</v>
      </c>
      <c r="AJ810" s="181">
        <f>VLOOKUP($I810,'Price List, Weapons &amp; Items'!B:F,5,0)</f>
        <v>0</v>
      </c>
      <c r="AK810" s="181">
        <f t="shared" si="154"/>
        <v>0</v>
      </c>
      <c r="AL810" s="181">
        <f t="shared" si="155"/>
        <v>0</v>
      </c>
      <c r="AM810" s="181">
        <f t="shared" si="156"/>
        <v>0</v>
      </c>
      <c r="AN810" s="180" t="str">
        <f>VLOOKUP($I810,'Price List, Weapons &amp; Items'!B:L,COLUMN('Price List, Weapons &amp; Items'!$J$11)-1,0)</f>
        <v>.</v>
      </c>
      <c r="AO810" s="180" t="str">
        <f>IF(I810=".",".",VLOOKUP($I810,'Price List, Weapons &amp; Items'!B:J,3,0))</f>
        <v>.</v>
      </c>
      <c r="AP810" s="545" t="e">
        <f t="shared" ca="1" si="163"/>
        <v>#NAME?</v>
      </c>
      <c r="AQ810" s="180" t="str">
        <f>VLOOKUP($I810,'Price List, Weapons &amp; Items'!B:L,COLUMN('Price List, Weapons &amp; Items'!$L$11)-1,0)</f>
        <v>no price, 0 count</v>
      </c>
      <c r="AR810" s="180">
        <f t="shared" si="157"/>
        <v>1</v>
      </c>
      <c r="AS810" s="180">
        <f t="shared" si="158"/>
        <v>0</v>
      </c>
      <c r="AT810" s="180">
        <f t="shared" si="159"/>
        <v>1</v>
      </c>
      <c r="AU810" s="180" t="str">
        <f t="shared" si="160"/>
        <v>.</v>
      </c>
      <c r="AV810" s="180" t="str">
        <f t="shared" si="161"/>
        <v>.</v>
      </c>
      <c r="AW810" s="180">
        <f>IFERROR(VLOOKUP(B810,'Share, Heavy Weapons to Ukraine'!B:J,COLUMN('Share, Heavy Weapons to Ukraine'!C823)-1,0),0)</f>
        <v>0</v>
      </c>
      <c r="AX810" s="180">
        <f>VLOOKUP('Bilateral Assistance, MAIN DATA'!B810,'Country Summary'!B:F,COLUMN('Country Summary'!C826)-1,FALSE)</f>
        <v>1</v>
      </c>
      <c r="AY810" s="180" t="str">
        <f>IF(AND(AD810=1,D810="Military",H810&lt;&gt;"Not given")=TRUE,IF(SUMIFS(P:P,A:A,A810)&gt;0,ABS((SUMIFS(P:P,A:A,A810)/VLOOKUP("USD",'Exchange Rates'!B:C,2,0)))/S810,"."),".")</f>
        <v>.</v>
      </c>
      <c r="AZ810" s="182" t="str">
        <f>IF(AND(AD810=1,D810="Military",H810&lt;&gt;"Not given")=TRUE,IF(SUMIFS(P:P,A:A,A810)&gt;0,IF((ABS((SUMIFS(P:P,A:A,A810)/VLOOKUP("USD",'Exchange Rates'!B:C,2,0)))/S810)&gt;1,(SUMIFS(P:P,A:A,A810)-S810)/S810,(S810-SUMIFS(P:P,A:A,A810))/SUMIFS(P:P,A:A,A810)),"."),".")</f>
        <v>.</v>
      </c>
      <c r="BA810" s="182"/>
      <c r="BB810" s="182"/>
      <c r="BC810" s="182"/>
      <c r="BD810" s="182"/>
      <c r="BE810" s="182"/>
      <c r="BF810" s="182"/>
      <c r="BG810" s="182"/>
      <c r="BH810" s="182"/>
      <c r="BI810" s="182"/>
      <c r="BJ810" s="182"/>
      <c r="BK810" s="182"/>
      <c r="BL810" s="182"/>
      <c r="BM810" s="182"/>
      <c r="BN810" s="182"/>
      <c r="BO810" s="182"/>
      <c r="BP810" s="182"/>
      <c r="BQ810" s="182"/>
      <c r="BR810" s="182"/>
      <c r="BS810" s="182"/>
    </row>
    <row r="811" spans="1:71" ht="15.9" customHeight="1" x14ac:dyDescent="0.3">
      <c r="A811" s="17" t="s">
        <v>2365</v>
      </c>
      <c r="B811" s="17" t="s">
        <v>2303</v>
      </c>
      <c r="C811" s="174">
        <v>44623</v>
      </c>
      <c r="D811" s="5" t="s">
        <v>405</v>
      </c>
      <c r="E811" s="5" t="s">
        <v>362</v>
      </c>
      <c r="F811" s="175" t="s">
        <v>2366</v>
      </c>
      <c r="G811" s="15" t="s">
        <v>2367</v>
      </c>
      <c r="H811" s="176">
        <v>30000000</v>
      </c>
      <c r="I811" s="17" t="s">
        <v>260</v>
      </c>
      <c r="J811" s="113" t="str">
        <f>VLOOKUP($I811,'Price List, Weapons &amp; Items'!B:C,2,0)</f>
        <v>.</v>
      </c>
      <c r="K811" s="113" t="str">
        <f>IF(I811=".",I811,VLOOKUP($I811,'Price List, Weapons &amp; Items'!B:D,3,0))</f>
        <v>.</v>
      </c>
      <c r="L811" s="177">
        <f>VLOOKUP(I811,'Price List, Weapons &amp; Items'!B:E,4,0)</f>
        <v>0</v>
      </c>
      <c r="M811" s="542" t="s">
        <v>260</v>
      </c>
      <c r="N811" s="542" t="s">
        <v>260</v>
      </c>
      <c r="O811" s="543" t="str">
        <f>VLOOKUP($I811,'Price List, Weapons &amp; Items'!B:G,6,0)</f>
        <v>.</v>
      </c>
      <c r="P811" s="176" t="str">
        <f t="shared" si="152"/>
        <v>.</v>
      </c>
      <c r="Q811" s="176" t="str">
        <f t="shared" si="153"/>
        <v>.</v>
      </c>
      <c r="R811" s="176">
        <f t="shared" si="162"/>
        <v>30000000</v>
      </c>
      <c r="S811" s="176">
        <f>IF(AND(AD811=1,R811&lt;&gt;".")=TRUE,R811/VLOOKUP(G811,'Exchange Rates'!B:C,2,0),IF(R811=".",".",""))</f>
        <v>6462313.9392111674</v>
      </c>
      <c r="T811" s="176" t="str">
        <f>IF(AD811=1,IF(AF811="Value is not given at all",".",IF(AF811="Value is given by the source",S811,IF(AF811="Value is calculated with prices",(IF(SUMIFS(Q:Q,A:A,A811)&gt;0,SUMIFS(Q:Q,A:A,A811),"."))/VLOOKUP("USD",'Exchange Rates'!B:C,2,0),"Error with coding"))),"")</f>
        <v>.</v>
      </c>
      <c r="U811" s="15" t="s">
        <v>261</v>
      </c>
      <c r="V811" s="300" t="s">
        <v>2368</v>
      </c>
      <c r="W811" s="175" t="s">
        <v>260</v>
      </c>
      <c r="X811" s="175" t="s">
        <v>260</v>
      </c>
      <c r="Y811" s="175" t="s">
        <v>260</v>
      </c>
      <c r="Z811" s="15">
        <v>0</v>
      </c>
      <c r="AA811" s="180">
        <v>0</v>
      </c>
      <c r="AB811" s="184" t="s">
        <v>260</v>
      </c>
      <c r="AC811" s="544" t="str">
        <f>""</f>
        <v/>
      </c>
      <c r="AD811" s="183">
        <v>1</v>
      </c>
      <c r="AE811" s="183" t="s">
        <v>264</v>
      </c>
      <c r="AF811" s="183" t="s">
        <v>265</v>
      </c>
      <c r="AG811" s="183">
        <v>1</v>
      </c>
      <c r="AH811" s="181">
        <v>3</v>
      </c>
      <c r="AI811" s="181">
        <v>0</v>
      </c>
      <c r="AJ811" s="181">
        <f>VLOOKUP($I811,'Price List, Weapons &amp; Items'!B:F,5,0)</f>
        <v>0</v>
      </c>
      <c r="AK811" s="181">
        <f t="shared" si="154"/>
        <v>0</v>
      </c>
      <c r="AL811" s="181">
        <f t="shared" si="155"/>
        <v>0</v>
      </c>
      <c r="AM811" s="181">
        <f t="shared" si="156"/>
        <v>0</v>
      </c>
      <c r="AN811" s="180" t="str">
        <f>VLOOKUP($I811,'Price List, Weapons &amp; Items'!B:L,COLUMN('Price List, Weapons &amp; Items'!$J$11)-1,0)</f>
        <v>.</v>
      </c>
      <c r="AO811" s="180" t="str">
        <f>IF(I811=".",".",VLOOKUP($I811,'Price List, Weapons &amp; Items'!B:J,3,0))</f>
        <v>.</v>
      </c>
      <c r="AP811" s="545" t="e">
        <f t="shared" ca="1" si="163"/>
        <v>#NAME?</v>
      </c>
      <c r="AQ811" s="180" t="str">
        <f>VLOOKUP($I811,'Price List, Weapons &amp; Items'!B:L,COLUMN('Price List, Weapons &amp; Items'!$L$11)-1,0)</f>
        <v>no price, 0 count</v>
      </c>
      <c r="AR811" s="180">
        <f t="shared" si="157"/>
        <v>1</v>
      </c>
      <c r="AS811" s="180">
        <f t="shared" si="158"/>
        <v>0</v>
      </c>
      <c r="AT811" s="180">
        <f t="shared" si="159"/>
        <v>1</v>
      </c>
      <c r="AU811" s="180" t="str">
        <f t="shared" si="160"/>
        <v>.</v>
      </c>
      <c r="AV811" s="180" t="str">
        <f t="shared" si="161"/>
        <v>.</v>
      </c>
      <c r="AW811" s="180">
        <f>IFERROR(VLOOKUP(B811,'Share, Heavy Weapons to Ukraine'!B:J,COLUMN('Share, Heavy Weapons to Ukraine'!C824)-1,0),0)</f>
        <v>0</v>
      </c>
      <c r="AX811" s="180">
        <f>VLOOKUP('Bilateral Assistance, MAIN DATA'!B811,'Country Summary'!B:F,COLUMN('Country Summary'!C827)-1,FALSE)</f>
        <v>1</v>
      </c>
      <c r="AY811" s="180" t="str">
        <f>IF(AND(AD811=1,D811="Military",H811&lt;&gt;"Not given")=TRUE,IF(SUMIFS(P:P,A:A,A811)&gt;0,ABS((SUMIFS(P:P,A:A,A811)/VLOOKUP("USD",'Exchange Rates'!B:C,2,0)))/S811,"."),".")</f>
        <v>.</v>
      </c>
      <c r="AZ811" s="182" t="str">
        <f>IF(AND(AD811=1,D811="Military",H811&lt;&gt;"Not given")=TRUE,IF(SUMIFS(P:P,A:A,A811)&gt;0,IF((ABS((SUMIFS(P:P,A:A,A811)/VLOOKUP("USD",'Exchange Rates'!B:C,2,0)))/S811)&gt;1,(SUMIFS(P:P,A:A,A811)-S811)/S811,(S811-SUMIFS(P:P,A:A,A811))/SUMIFS(P:P,A:A,A811)),"."),".")</f>
        <v>.</v>
      </c>
      <c r="BA811" s="182"/>
      <c r="BB811" s="182"/>
      <c r="BC811" s="182"/>
      <c r="BD811" s="182"/>
      <c r="BE811" s="182"/>
      <c r="BF811" s="182"/>
      <c r="BG811" s="182"/>
      <c r="BH811" s="182"/>
      <c r="BI811" s="182"/>
      <c r="BJ811" s="182"/>
      <c r="BK811" s="182"/>
      <c r="BL811" s="182"/>
      <c r="BM811" s="182"/>
      <c r="BN811" s="182"/>
      <c r="BO811" s="182"/>
      <c r="BP811" s="182"/>
      <c r="BQ811" s="182"/>
      <c r="BR811" s="182"/>
      <c r="BS811" s="182"/>
    </row>
    <row r="812" spans="1:71" ht="15.9" customHeight="1" x14ac:dyDescent="0.3">
      <c r="A812" s="17" t="s">
        <v>2369</v>
      </c>
      <c r="B812" s="17" t="s">
        <v>2370</v>
      </c>
      <c r="C812" s="174">
        <v>44624</v>
      </c>
      <c r="D812" s="5" t="s">
        <v>256</v>
      </c>
      <c r="E812" s="5" t="s">
        <v>267</v>
      </c>
      <c r="F812" s="175" t="s">
        <v>2371</v>
      </c>
      <c r="G812" s="15" t="s">
        <v>364</v>
      </c>
      <c r="H812" s="176">
        <v>100000</v>
      </c>
      <c r="I812" s="17" t="s">
        <v>260</v>
      </c>
      <c r="J812" s="113" t="str">
        <f>VLOOKUP($I812,'Price List, Weapons &amp; Items'!B:C,2,0)</f>
        <v>.</v>
      </c>
      <c r="K812" s="113" t="str">
        <f>IF(I812=".",I812,VLOOKUP($I812,'Price List, Weapons &amp; Items'!B:D,3,0))</f>
        <v>.</v>
      </c>
      <c r="L812" s="177">
        <f>VLOOKUP(I812,'Price List, Weapons &amp; Items'!B:E,4,0)</f>
        <v>0</v>
      </c>
      <c r="M812" s="542" t="s">
        <v>260</v>
      </c>
      <c r="N812" s="542" t="s">
        <v>260</v>
      </c>
      <c r="O812" s="543" t="str">
        <f>VLOOKUP($I812,'Price List, Weapons &amp; Items'!B:G,6,0)</f>
        <v>.</v>
      </c>
      <c r="P812" s="176" t="str">
        <f t="shared" si="152"/>
        <v>.</v>
      </c>
      <c r="Q812" s="176" t="str">
        <f t="shared" si="153"/>
        <v>.</v>
      </c>
      <c r="R812" s="176">
        <f t="shared" si="162"/>
        <v>100000</v>
      </c>
      <c r="S812" s="176">
        <f>IF(AND(AD812=1,R812&lt;&gt;".")=TRUE,R812/VLOOKUP(G812,'Exchange Rates'!B:C,2,0),IF(R812=".",".",""))</f>
        <v>100000</v>
      </c>
      <c r="T812" s="176" t="str">
        <f>IF(AD812=1,IF(AF812="Value is not given at all",".",IF(AF812="Value is given by the source",S812,IF(AF812="Value is calculated with prices",(IF(SUMIFS(Q:Q,A:A,A812)&gt;0,SUMIFS(Q:Q,A:A,A812),"."))/VLOOKUP("USD",'Exchange Rates'!B:C,2,0),"Error with coding"))),"")</f>
        <v>.</v>
      </c>
      <c r="U812" s="15" t="s">
        <v>415</v>
      </c>
      <c r="V812" s="300" t="s">
        <v>2372</v>
      </c>
      <c r="W812" s="300" t="s">
        <v>2373</v>
      </c>
      <c r="X812" s="175" t="s">
        <v>260</v>
      </c>
      <c r="Y812" s="175" t="s">
        <v>260</v>
      </c>
      <c r="Z812" s="15">
        <v>0</v>
      </c>
      <c r="AA812" s="180">
        <v>0</v>
      </c>
      <c r="AB812" s="184" t="s">
        <v>260</v>
      </c>
      <c r="AC812" s="544" t="str">
        <f>""</f>
        <v/>
      </c>
      <c r="AD812" s="183">
        <v>1</v>
      </c>
      <c r="AE812" s="183" t="s">
        <v>264</v>
      </c>
      <c r="AF812" s="183" t="s">
        <v>265</v>
      </c>
      <c r="AG812" s="183">
        <v>1</v>
      </c>
      <c r="AH812" s="181">
        <v>3</v>
      </c>
      <c r="AI812" s="181">
        <v>0</v>
      </c>
      <c r="AJ812" s="181">
        <f>VLOOKUP($I812,'Price List, Weapons &amp; Items'!B:F,5,0)</f>
        <v>0</v>
      </c>
      <c r="AK812" s="181">
        <f t="shared" si="154"/>
        <v>0</v>
      </c>
      <c r="AL812" s="181">
        <f t="shared" si="155"/>
        <v>0</v>
      </c>
      <c r="AM812" s="181">
        <f t="shared" si="156"/>
        <v>0</v>
      </c>
      <c r="AN812" s="180" t="str">
        <f>VLOOKUP($I812,'Price List, Weapons &amp; Items'!B:L,COLUMN('Price List, Weapons &amp; Items'!$J$11)-1,0)</f>
        <v>.</v>
      </c>
      <c r="AO812" s="180" t="str">
        <f>IF(I812=".",".",VLOOKUP($I812,'Price List, Weapons &amp; Items'!B:J,3,0))</f>
        <v>.</v>
      </c>
      <c r="AP812" s="545" t="e">
        <f t="shared" ca="1" si="163"/>
        <v>#NAME?</v>
      </c>
      <c r="AQ812" s="180" t="str">
        <f>VLOOKUP($I812,'Price List, Weapons &amp; Items'!B:L,COLUMN('Price List, Weapons &amp; Items'!$L$11)-1,0)</f>
        <v>no price, 0 count</v>
      </c>
      <c r="AR812" s="180">
        <f t="shared" si="157"/>
        <v>0</v>
      </c>
      <c r="AS812" s="180">
        <f t="shared" si="158"/>
        <v>0</v>
      </c>
      <c r="AT812" s="180">
        <f t="shared" si="159"/>
        <v>1</v>
      </c>
      <c r="AU812" s="180" t="str">
        <f t="shared" si="160"/>
        <v>.</v>
      </c>
      <c r="AV812" s="180" t="str">
        <f t="shared" si="161"/>
        <v>.</v>
      </c>
      <c r="AW812" s="180">
        <f>IFERROR(VLOOKUP(B812,'Share, Heavy Weapons to Ukraine'!B:J,COLUMN('Share, Heavy Weapons to Ukraine'!C825)-1,0),0)</f>
        <v>0</v>
      </c>
      <c r="AX812" s="180">
        <f>VLOOKUP('Bilateral Assistance, MAIN DATA'!B812,'Country Summary'!B:F,COLUMN('Country Summary'!C828)-1,FALSE)</f>
        <v>1</v>
      </c>
      <c r="AY812" s="180" t="str">
        <f>IF(AND(AD812=1,D812="Military",H812&lt;&gt;"Not given")=TRUE,IF(SUMIFS(P:P,A:A,A812)&gt;0,ABS((SUMIFS(P:P,A:A,A812)/VLOOKUP("USD",'Exchange Rates'!B:C,2,0)))/S812,"."),".")</f>
        <v>.</v>
      </c>
      <c r="AZ812" s="182" t="str">
        <f>IF(AND(AD812=1,D812="Military",H812&lt;&gt;"Not given")=TRUE,IF(SUMIFS(P:P,A:A,A812)&gt;0,IF((ABS((SUMIFS(P:P,A:A,A812)/VLOOKUP("USD",'Exchange Rates'!B:C,2,0)))/S812)&gt;1,(SUMIFS(P:P,A:A,A812)-S812)/S812,(S812-SUMIFS(P:P,A:A,A812))/SUMIFS(P:P,A:A,A812)),"."),".")</f>
        <v>.</v>
      </c>
      <c r="BA812" s="182"/>
      <c r="BB812" s="182"/>
      <c r="BC812" s="182"/>
      <c r="BD812" s="182"/>
      <c r="BE812" s="182"/>
      <c r="BF812" s="182"/>
      <c r="BG812" s="182"/>
      <c r="BH812" s="182"/>
      <c r="BI812" s="182"/>
      <c r="BJ812" s="182"/>
      <c r="BK812" s="182"/>
      <c r="BL812" s="182"/>
      <c r="BM812" s="182"/>
      <c r="BN812" s="182"/>
      <c r="BO812" s="182"/>
      <c r="BP812" s="182"/>
      <c r="BQ812" s="182"/>
      <c r="BR812" s="182"/>
      <c r="BS812" s="182"/>
    </row>
    <row r="813" spans="1:71" ht="15.9" customHeight="1" x14ac:dyDescent="0.3">
      <c r="A813" s="17" t="s">
        <v>2374</v>
      </c>
      <c r="B813" s="17" t="s">
        <v>2370</v>
      </c>
      <c r="C813" s="174">
        <v>44686</v>
      </c>
      <c r="D813" s="5" t="s">
        <v>256</v>
      </c>
      <c r="E813" s="5" t="s">
        <v>257</v>
      </c>
      <c r="F813" s="175" t="s">
        <v>2375</v>
      </c>
      <c r="G813" s="15" t="s">
        <v>364</v>
      </c>
      <c r="H813" s="176">
        <v>1100000</v>
      </c>
      <c r="I813" s="17" t="s">
        <v>260</v>
      </c>
      <c r="J813" s="113" t="str">
        <f>VLOOKUP($I813,'Price List, Weapons &amp; Items'!B:C,2,0)</f>
        <v>.</v>
      </c>
      <c r="K813" s="113" t="str">
        <f>IF(I813=".",I813,VLOOKUP($I813,'Price List, Weapons &amp; Items'!B:D,3,0))</f>
        <v>.</v>
      </c>
      <c r="L813" s="177">
        <f>VLOOKUP(I813,'Price List, Weapons &amp; Items'!B:E,4,0)</f>
        <v>0</v>
      </c>
      <c r="M813" s="542" t="s">
        <v>260</v>
      </c>
      <c r="N813" s="542" t="s">
        <v>260</v>
      </c>
      <c r="O813" s="543" t="str">
        <f>VLOOKUP($I813,'Price List, Weapons &amp; Items'!B:G,6,0)</f>
        <v>.</v>
      </c>
      <c r="P813" s="176" t="str">
        <f t="shared" si="152"/>
        <v>.</v>
      </c>
      <c r="Q813" s="176" t="str">
        <f t="shared" si="153"/>
        <v>.</v>
      </c>
      <c r="R813" s="176">
        <f t="shared" si="162"/>
        <v>1100000</v>
      </c>
      <c r="S813" s="176">
        <f>IF(AND(AD813=1,R813&lt;&gt;".")=TRUE,R813/VLOOKUP(G813,'Exchange Rates'!B:C,2,0),IF(R813=".",".",""))</f>
        <v>1100000</v>
      </c>
      <c r="T813" s="176" t="str">
        <f>IF(AD813=1,IF(AF813="Value is not given at all",".",IF(AF813="Value is given by the source",S813,IF(AF813="Value is calculated with prices",(IF(SUMIFS(Q:Q,A:A,A813)&gt;0,SUMIFS(Q:Q,A:A,A813),"."))/VLOOKUP("USD",'Exchange Rates'!B:C,2,0),"Error with coding"))),"")</f>
        <v>.</v>
      </c>
      <c r="U813" s="15" t="s">
        <v>261</v>
      </c>
      <c r="V813" s="300" t="s">
        <v>2376</v>
      </c>
      <c r="W813" s="175" t="s">
        <v>260</v>
      </c>
      <c r="X813" s="175" t="s">
        <v>260</v>
      </c>
      <c r="Y813" s="175" t="s">
        <v>260</v>
      </c>
      <c r="Z813" s="15">
        <v>0</v>
      </c>
      <c r="AA813" s="180">
        <v>0</v>
      </c>
      <c r="AB813" s="184" t="s">
        <v>260</v>
      </c>
      <c r="AC813" s="544" t="str">
        <f>""</f>
        <v/>
      </c>
      <c r="AD813" s="183">
        <v>1</v>
      </c>
      <c r="AE813" s="183" t="s">
        <v>264</v>
      </c>
      <c r="AF813" s="183" t="s">
        <v>265</v>
      </c>
      <c r="AG813" s="183">
        <v>1</v>
      </c>
      <c r="AH813" s="181">
        <v>5</v>
      </c>
      <c r="AI813" s="181">
        <v>0</v>
      </c>
      <c r="AJ813" s="181">
        <f>VLOOKUP($I813,'Price List, Weapons &amp; Items'!B:F,5,0)</f>
        <v>0</v>
      </c>
      <c r="AK813" s="181">
        <f t="shared" si="154"/>
        <v>0</v>
      </c>
      <c r="AL813" s="181">
        <f t="shared" si="155"/>
        <v>0</v>
      </c>
      <c r="AM813" s="181">
        <f t="shared" si="156"/>
        <v>0</v>
      </c>
      <c r="AN813" s="180" t="str">
        <f>VLOOKUP($I813,'Price List, Weapons &amp; Items'!B:L,COLUMN('Price List, Weapons &amp; Items'!$J$11)-1,0)</f>
        <v>.</v>
      </c>
      <c r="AO813" s="180" t="str">
        <f>IF(I813=".",".",VLOOKUP($I813,'Price List, Weapons &amp; Items'!B:J,3,0))</f>
        <v>.</v>
      </c>
      <c r="AP813" s="545" t="e">
        <f t="shared" ca="1" si="163"/>
        <v>#NAME?</v>
      </c>
      <c r="AQ813" s="180" t="str">
        <f>VLOOKUP($I813,'Price List, Weapons &amp; Items'!B:L,COLUMN('Price List, Weapons &amp; Items'!$L$11)-1,0)</f>
        <v>no price, 0 count</v>
      </c>
      <c r="AR813" s="180">
        <f t="shared" si="157"/>
        <v>1</v>
      </c>
      <c r="AS813" s="180">
        <f t="shared" si="158"/>
        <v>0</v>
      </c>
      <c r="AT813" s="180">
        <f t="shared" si="159"/>
        <v>1</v>
      </c>
      <c r="AU813" s="180" t="str">
        <f t="shared" si="160"/>
        <v>.</v>
      </c>
      <c r="AV813" s="180" t="str">
        <f t="shared" si="161"/>
        <v>.</v>
      </c>
      <c r="AW813" s="180">
        <f>IFERROR(VLOOKUP(B813,'Share, Heavy Weapons to Ukraine'!B:J,COLUMN('Share, Heavy Weapons to Ukraine'!C826)-1,0),0)</f>
        <v>0</v>
      </c>
      <c r="AX813" s="180">
        <f>VLOOKUP('Bilateral Assistance, MAIN DATA'!B813,'Country Summary'!B:F,COLUMN('Country Summary'!C829)-1,FALSE)</f>
        <v>1</v>
      </c>
      <c r="AY813" s="180" t="str">
        <f>IF(AND(AD813=1,D813="Military",H813&lt;&gt;"Not given")=TRUE,IF(SUMIFS(P:P,A:A,A813)&gt;0,ABS((SUMIFS(P:P,A:A,A813)/VLOOKUP("USD",'Exchange Rates'!B:C,2,0)))/S813,"."),".")</f>
        <v>.</v>
      </c>
      <c r="AZ813" s="182" t="str">
        <f>IF(AND(AD813=1,D813="Military",H813&lt;&gt;"Not given")=TRUE,IF(SUMIFS(P:P,A:A,A813)&gt;0,IF((ABS((SUMIFS(P:P,A:A,A813)/VLOOKUP("USD",'Exchange Rates'!B:C,2,0)))/S813)&gt;1,(SUMIFS(P:P,A:A,A813)-S813)/S813,(S813-SUMIFS(P:P,A:A,A813))/SUMIFS(P:P,A:A,A813)),"."),".")</f>
        <v>.</v>
      </c>
      <c r="BA813" s="182"/>
      <c r="BB813" s="182"/>
      <c r="BC813" s="182"/>
      <c r="BD813" s="182"/>
      <c r="BE813" s="182"/>
      <c r="BF813" s="182"/>
      <c r="BG813" s="182"/>
      <c r="BH813" s="182"/>
      <c r="BI813" s="182"/>
      <c r="BJ813" s="182"/>
      <c r="BK813" s="182"/>
      <c r="BL813" s="182"/>
      <c r="BM813" s="182"/>
      <c r="BN813" s="182"/>
      <c r="BO813" s="182"/>
      <c r="BP813" s="182"/>
      <c r="BQ813" s="182"/>
      <c r="BR813" s="182"/>
      <c r="BS813" s="182"/>
    </row>
    <row r="814" spans="1:71" ht="15.9" customHeight="1" x14ac:dyDescent="0.3">
      <c r="A814" s="17" t="s">
        <v>2377</v>
      </c>
      <c r="B814" s="17" t="s">
        <v>2370</v>
      </c>
      <c r="C814" s="174">
        <v>44908</v>
      </c>
      <c r="D814" s="5" t="s">
        <v>256</v>
      </c>
      <c r="E814" s="5" t="s">
        <v>267</v>
      </c>
      <c r="F814" s="175" t="s">
        <v>2378</v>
      </c>
      <c r="G814" s="15" t="s">
        <v>346</v>
      </c>
      <c r="H814" s="176" t="s">
        <v>341</v>
      </c>
      <c r="I814" s="155" t="s">
        <v>1457</v>
      </c>
      <c r="J814" s="113" t="str">
        <f>VLOOKUP($I814,'Price List, Weapons &amp; Items'!B:C,2,0)</f>
        <v>Military equipment</v>
      </c>
      <c r="K814" s="113" t="str">
        <f>IF(I814=".",I814,VLOOKUP($I814,'Price List, Weapons &amp; Items'!B:D,3,0))</f>
        <v>Military equipment</v>
      </c>
      <c r="L814" s="177">
        <f>VLOOKUP(I814,'Price List, Weapons &amp; Items'!B:E,4,0)</f>
        <v>0</v>
      </c>
      <c r="M814" s="542" t="s">
        <v>270</v>
      </c>
      <c r="N814" s="542" t="s">
        <v>270</v>
      </c>
      <c r="O814" s="543">
        <f>VLOOKUP($I814,'Price List, Weapons &amp; Items'!B:G,6,0)</f>
        <v>22216</v>
      </c>
      <c r="P814" s="176" t="str">
        <f t="shared" ref="P814:P877" si="164">IF(TYPE(M814)=1,IF(TYPE(O814)=1,M814*O814,"No price"),".")</f>
        <v>.</v>
      </c>
      <c r="Q814" s="176" t="str">
        <f t="shared" ref="Q814:Q877" si="165">IF(TYPE(N814)=1,IF(TYPE(O814)=1,N814*O814,"No price"),".")</f>
        <v>.</v>
      </c>
      <c r="R814" s="176">
        <f t="shared" si="162"/>
        <v>175495000</v>
      </c>
      <c r="S814" s="176">
        <f>IF(AND(AD814=1,R814&lt;&gt;".")=TRUE,R814/VLOOKUP(G814,'Exchange Rates'!B:C,2,0),IF(R814=".",".",""))</f>
        <v>167138095.23809522</v>
      </c>
      <c r="T814" s="176" t="str">
        <f>IF(AD814=1,IF(AF814="Value is not given at all",".",IF(AF814="Value is given by the source",S814,IF(AF814="Value is calculated with prices",(IF(SUMIFS(Q:Q,A:A,A814)&gt;0,SUMIFS(Q:Q,A:A,A814),"."))/VLOOKUP("USD",'Exchange Rates'!B:C,2,0),"Error with coding"))),"")</f>
        <v>.</v>
      </c>
      <c r="U814" s="15" t="s">
        <v>415</v>
      </c>
      <c r="V814" s="300" t="s">
        <v>2379</v>
      </c>
      <c r="W814" s="546" t="s">
        <v>2380</v>
      </c>
      <c r="X814" s="175" t="s">
        <v>260</v>
      </c>
      <c r="Y814" s="175" t="s">
        <v>260</v>
      </c>
      <c r="Z814" s="15">
        <v>0</v>
      </c>
      <c r="AA814" s="15">
        <v>1</v>
      </c>
      <c r="AB814" s="184" t="s">
        <v>260</v>
      </c>
      <c r="AC814" s="544" t="str">
        <f>""</f>
        <v/>
      </c>
      <c r="AD814" s="183">
        <v>1</v>
      </c>
      <c r="AE814" s="183" t="s">
        <v>332</v>
      </c>
      <c r="AF814" s="183" t="s">
        <v>265</v>
      </c>
      <c r="AG814" s="183">
        <v>1</v>
      </c>
      <c r="AH814" s="181">
        <v>12</v>
      </c>
      <c r="AI814" s="181">
        <v>0</v>
      </c>
      <c r="AJ814" s="181">
        <f>VLOOKUP($I814,'Price List, Weapons &amp; Items'!B:F,5,0)</f>
        <v>0</v>
      </c>
      <c r="AK814" s="181">
        <f t="shared" ref="AK814:AK877" si="166">IF(AND(AJ814=1,M814="undisclosed")=TRUE,1,0)</f>
        <v>0</v>
      </c>
      <c r="AL814" s="181">
        <f t="shared" ref="AL814:AL877" si="167">IF(AND(AJ814=1,N814="undisclosed")=TRUE,1,0)</f>
        <v>0</v>
      </c>
      <c r="AM814" s="181">
        <f t="shared" ref="AM814:AM877" si="168">IFERROR(IF(SEARCH("ammuni",I814,1)&gt;0,1,0),0)</f>
        <v>0</v>
      </c>
      <c r="AN814" s="180" t="str">
        <f>VLOOKUP($I814,'Price List, Weapons &amp; Items'!B:L,COLUMN('Price List, Weapons &amp; Items'!$J$11)-1,0)</f>
        <v>Government information</v>
      </c>
      <c r="AO814" s="180" t="str">
        <f>IF(I814=".",".",VLOOKUP($I814,'Price List, Weapons &amp; Items'!B:J,3,0))</f>
        <v>Military equipment</v>
      </c>
      <c r="AP814" s="545" t="e">
        <f t="shared" ca="1" si="163"/>
        <v>#NAME?</v>
      </c>
      <c r="AQ814" s="180">
        <f>VLOOKUP($I814,'Price List, Weapons &amp; Items'!B:L,COLUMN('Price List, Weapons &amp; Items'!$L$11)-1,0)</f>
        <v>2</v>
      </c>
      <c r="AR814" s="180">
        <f t="shared" ref="AR814:AR877" si="169">IF(U814="Yes",1,0)</f>
        <v>0</v>
      </c>
      <c r="AS814" s="180">
        <f t="shared" ref="AS814:AS877" si="170">IF(D814="Military",IF(OR(IFERROR(SEARCH("equipment",E814,1),0)&gt;0,IFERROR(SEARCH("weapons",E814,1),0)&gt;0),1,0),0)</f>
        <v>0</v>
      </c>
      <c r="AT814" s="180">
        <f t="shared" si="159"/>
        <v>1</v>
      </c>
      <c r="AU814" s="180" t="str">
        <f t="shared" si="160"/>
        <v>.</v>
      </c>
      <c r="AV814" s="180" t="str">
        <f t="shared" si="161"/>
        <v>.</v>
      </c>
      <c r="AW814" s="180">
        <f>IFERROR(VLOOKUP(B814,'Share, Heavy Weapons to Ukraine'!B:J,COLUMN('Share, Heavy Weapons to Ukraine'!C827)-1,0),0)</f>
        <v>0</v>
      </c>
      <c r="AX814" s="180">
        <f>VLOOKUP('Bilateral Assistance, MAIN DATA'!B814,'Country Summary'!B:F,COLUMN('Country Summary'!C830)-1,FALSE)</f>
        <v>1</v>
      </c>
      <c r="AY814" s="180" t="str">
        <f>IF(AND(AD814=1,D814="Military",H814&lt;&gt;"Not given")=TRUE,IF(SUMIFS(P:P,A:A,A814)&gt;0,ABS((SUMIFS(P:P,A:A,A814)/VLOOKUP("USD",'Exchange Rates'!B:C,2,0)))/S814,"."),".")</f>
        <v>.</v>
      </c>
      <c r="AZ814" s="182" t="str">
        <f>IF(AND(AD814=1,D814="Military",H814&lt;&gt;"Not given")=TRUE,IF(SUMIFS(P:P,A:A,A814)&gt;0,IF((ABS((SUMIFS(P:P,A:A,A814)/VLOOKUP("USD",'Exchange Rates'!B:C,2,0)))/S814)&gt;1,(SUMIFS(P:P,A:A,A814)-S814)/S814,(S814-SUMIFS(P:P,A:A,A814))/SUMIFS(P:P,A:A,A814)),"."),".")</f>
        <v>.</v>
      </c>
      <c r="BA814" s="182"/>
      <c r="BB814" s="182"/>
      <c r="BC814" s="182"/>
      <c r="BD814" s="182"/>
      <c r="BE814" s="182"/>
      <c r="BF814" s="182"/>
      <c r="BG814" s="182"/>
      <c r="BH814" s="182"/>
      <c r="BI814" s="182"/>
      <c r="BJ814" s="182"/>
      <c r="BK814" s="182"/>
      <c r="BL814" s="182"/>
      <c r="BM814" s="182"/>
      <c r="BN814" s="182"/>
      <c r="BO814" s="182"/>
      <c r="BP814" s="182"/>
      <c r="BQ814" s="182"/>
      <c r="BR814" s="182"/>
      <c r="BS814" s="182"/>
    </row>
    <row r="815" spans="1:71" ht="15.9" customHeight="1" x14ac:dyDescent="0.3">
      <c r="A815" s="17" t="s">
        <v>2377</v>
      </c>
      <c r="B815" s="17" t="s">
        <v>2370</v>
      </c>
      <c r="C815" s="174">
        <v>44908</v>
      </c>
      <c r="D815" s="5" t="s">
        <v>256</v>
      </c>
      <c r="E815" s="5" t="s">
        <v>267</v>
      </c>
      <c r="F815" s="175" t="s">
        <v>2378</v>
      </c>
      <c r="G815" s="15" t="s">
        <v>346</v>
      </c>
      <c r="H815" s="176" t="s">
        <v>341</v>
      </c>
      <c r="I815" s="868" t="s">
        <v>1395</v>
      </c>
      <c r="J815" s="113" t="str">
        <f>VLOOKUP($I815,'Price List, Weapons &amp; Items'!B:C,2,0)</f>
        <v>Humanitarian</v>
      </c>
      <c r="K815" s="113" t="str">
        <f>IF(I815=".",I815,VLOOKUP($I815,'Price List, Weapons &amp; Items'!B:D,3,0))</f>
        <v>Humanitarian</v>
      </c>
      <c r="L815" s="177">
        <f>VLOOKUP(I815,'Price List, Weapons &amp; Items'!B:E,4,0)</f>
        <v>0</v>
      </c>
      <c r="M815" s="542">
        <v>1650</v>
      </c>
      <c r="N815" s="542" t="s">
        <v>270</v>
      </c>
      <c r="O815" s="543">
        <f>VLOOKUP($I815,'Price List, Weapons &amp; Items'!B:G,6,0)</f>
        <v>300</v>
      </c>
      <c r="P815" s="176">
        <f t="shared" si="164"/>
        <v>495000</v>
      </c>
      <c r="Q815" s="176" t="str">
        <f t="shared" si="165"/>
        <v>.</v>
      </c>
      <c r="R815" s="176" t="str">
        <f t="shared" si="162"/>
        <v/>
      </c>
      <c r="S815" s="176" t="str">
        <f>IF(AND(AD815=1,R815&lt;&gt;".")=TRUE,R815/VLOOKUP(G815,'Exchange Rates'!B:C,2,0),IF(R815=".",".",""))</f>
        <v/>
      </c>
      <c r="T815" s="176" t="str">
        <f>IF(AD815=1,IF(AF815="Value is not given at all",".",IF(AF815="Value is given by the source",S815,IF(AF815="Value is calculated with prices",(IF(SUMIFS(Q:Q,A:A,A815)&gt;0,SUMIFS(Q:Q,A:A,A815),"."))/VLOOKUP("USD",'Exchange Rates'!B:C,2,0),"Error with coding"))),"")</f>
        <v/>
      </c>
      <c r="U815" s="15" t="s">
        <v>415</v>
      </c>
      <c r="V815" s="300" t="s">
        <v>2379</v>
      </c>
      <c r="W815" s="546" t="s">
        <v>2380</v>
      </c>
      <c r="X815" s="175" t="s">
        <v>260</v>
      </c>
      <c r="Y815" s="175" t="s">
        <v>260</v>
      </c>
      <c r="Z815" s="15">
        <v>0</v>
      </c>
      <c r="AA815" s="15">
        <v>1</v>
      </c>
      <c r="AB815" s="184" t="s">
        <v>260</v>
      </c>
      <c r="AC815" s="544" t="str">
        <f>""</f>
        <v/>
      </c>
      <c r="AD815" s="183">
        <v>0</v>
      </c>
      <c r="AE815" s="183" t="s">
        <v>332</v>
      </c>
      <c r="AF815" s="183" t="s">
        <v>265</v>
      </c>
      <c r="AG815" s="183">
        <v>1</v>
      </c>
      <c r="AH815" s="181">
        <v>12</v>
      </c>
      <c r="AI815" s="181">
        <v>0</v>
      </c>
      <c r="AJ815" s="181">
        <f>VLOOKUP($I815,'Price List, Weapons &amp; Items'!B:F,5,0)</f>
        <v>0</v>
      </c>
      <c r="AK815" s="181">
        <f t="shared" si="166"/>
        <v>0</v>
      </c>
      <c r="AL815" s="181">
        <f t="shared" si="167"/>
        <v>0</v>
      </c>
      <c r="AM815" s="181">
        <f t="shared" si="168"/>
        <v>0</v>
      </c>
      <c r="AN815" s="180" t="str">
        <f>VLOOKUP($I815,'Price List, Weapons &amp; Items'!B:L,COLUMN('Price List, Weapons &amp; Items'!$J$11)-1,0)</f>
        <v>Miscellaneous</v>
      </c>
      <c r="AO815" s="180" t="str">
        <f>IF(I815=".",".",VLOOKUP($I815,'Price List, Weapons &amp; Items'!B:J,3,0))</f>
        <v>Humanitarian</v>
      </c>
      <c r="AP815" s="545" t="str">
        <f t="shared" ca="1" si="163"/>
        <v/>
      </c>
      <c r="AQ815" s="180">
        <f>VLOOKUP($I815,'Price List, Weapons &amp; Items'!B:L,COLUMN('Price List, Weapons &amp; Items'!$L$11)-1,0)</f>
        <v>0</v>
      </c>
      <c r="AR815" s="180">
        <f t="shared" si="169"/>
        <v>0</v>
      </c>
      <c r="AS815" s="180">
        <f t="shared" si="170"/>
        <v>0</v>
      </c>
      <c r="AT815" s="180">
        <f t="shared" si="159"/>
        <v>1</v>
      </c>
      <c r="AU815" s="180" t="str">
        <f t="shared" si="160"/>
        <v>.</v>
      </c>
      <c r="AV815" s="180" t="str">
        <f t="shared" si="161"/>
        <v>.</v>
      </c>
      <c r="AW815" s="180">
        <f>IFERROR(VLOOKUP(B815,'Share, Heavy Weapons to Ukraine'!B:J,COLUMN('Share, Heavy Weapons to Ukraine'!C828)-1,0),0)</f>
        <v>0</v>
      </c>
      <c r="AX815" s="180">
        <f>VLOOKUP('Bilateral Assistance, MAIN DATA'!B815,'Country Summary'!B:F,COLUMN('Country Summary'!C831)-1,FALSE)</f>
        <v>1</v>
      </c>
      <c r="AY815" s="180" t="str">
        <f>IF(AND(AD815=1,D815="Military",H815&lt;&gt;"Not given")=TRUE,IF(SUMIFS(P:P,A:A,A815)&gt;0,ABS((SUMIFS(P:P,A:A,A815)/VLOOKUP("USD",'Exchange Rates'!B:C,2,0)))/S815,"."),".")</f>
        <v>.</v>
      </c>
      <c r="AZ815" s="182" t="str">
        <f>IF(AND(AD815=1,D815="Military",H815&lt;&gt;"Not given")=TRUE,IF(SUMIFS(P:P,A:A,A815)&gt;0,IF((ABS((SUMIFS(P:P,A:A,A815)/VLOOKUP("USD",'Exchange Rates'!B:C,2,0)))/S815)&gt;1,(SUMIFS(P:P,A:A,A815)-S815)/S815,(S815-SUMIFS(P:P,A:A,A815))/SUMIFS(P:P,A:A,A815)),"."),".")</f>
        <v>.</v>
      </c>
      <c r="BA815" s="182"/>
      <c r="BB815" s="182"/>
      <c r="BC815" s="182"/>
      <c r="BD815" s="182"/>
      <c r="BE815" s="182"/>
      <c r="BF815" s="182"/>
      <c r="BG815" s="182"/>
      <c r="BH815" s="182"/>
      <c r="BI815" s="182"/>
      <c r="BJ815" s="182"/>
      <c r="BK815" s="182"/>
      <c r="BL815" s="182"/>
      <c r="BM815" s="182"/>
      <c r="BN815" s="182"/>
      <c r="BO815" s="182"/>
      <c r="BP815" s="182"/>
      <c r="BQ815" s="182"/>
      <c r="BR815" s="182"/>
      <c r="BS815" s="182"/>
    </row>
    <row r="816" spans="1:71" ht="15.9" customHeight="1" x14ac:dyDescent="0.3">
      <c r="A816" s="17" t="s">
        <v>2377</v>
      </c>
      <c r="B816" s="17" t="s">
        <v>2370</v>
      </c>
      <c r="C816" s="174">
        <v>44908</v>
      </c>
      <c r="D816" s="5" t="s">
        <v>256</v>
      </c>
      <c r="E816" s="5" t="s">
        <v>267</v>
      </c>
      <c r="F816" s="175" t="s">
        <v>2378</v>
      </c>
      <c r="G816" s="15" t="s">
        <v>346</v>
      </c>
      <c r="H816" s="176" t="s">
        <v>341</v>
      </c>
      <c r="I816" s="155" t="s">
        <v>2381</v>
      </c>
      <c r="J816" s="113" t="str">
        <f>VLOOKUP($I816,'Price List, Weapons &amp; Items'!B:C,2,0)</f>
        <v>Humanitarian</v>
      </c>
      <c r="K816" s="113" t="str">
        <f>IF(I816=".",I816,VLOOKUP($I816,'Price List, Weapons &amp; Items'!B:D,3,0))</f>
        <v>Humanitarian</v>
      </c>
      <c r="L816" s="177">
        <f>VLOOKUP(I816,'Price List, Weapons &amp; Items'!B:E,4,0)</f>
        <v>0</v>
      </c>
      <c r="M816" s="542">
        <v>50000000</v>
      </c>
      <c r="N816" s="542" t="s">
        <v>270</v>
      </c>
      <c r="O816" s="543">
        <f>VLOOKUP($I816,'Price List, Weapons &amp; Items'!B:G,6,0)</f>
        <v>3.5</v>
      </c>
      <c r="P816" s="176">
        <f t="shared" si="164"/>
        <v>175000000</v>
      </c>
      <c r="Q816" s="176" t="str">
        <f t="shared" si="165"/>
        <v>.</v>
      </c>
      <c r="R816" s="176" t="str">
        <f t="shared" si="162"/>
        <v/>
      </c>
      <c r="S816" s="176" t="str">
        <f>IF(AND(AD816=1,R816&lt;&gt;".")=TRUE,R816/VLOOKUP(G816,'Exchange Rates'!B:C,2,0),IF(R816=".",".",""))</f>
        <v/>
      </c>
      <c r="T816" s="176" t="str">
        <f>IF(AD816=1,IF(AF816="Value is not given at all",".",IF(AF816="Value is given by the source",S816,IF(AF816="Value is calculated with prices",(IF(SUMIFS(Q:Q,A:A,A816)&gt;0,SUMIFS(Q:Q,A:A,A816),"."))/VLOOKUP("USD",'Exchange Rates'!B:C,2,0),"Error with coding"))),"")</f>
        <v/>
      </c>
      <c r="U816" s="15" t="s">
        <v>415</v>
      </c>
      <c r="V816" s="300" t="s">
        <v>2379</v>
      </c>
      <c r="W816" s="546" t="s">
        <v>2380</v>
      </c>
      <c r="X816" s="175" t="s">
        <v>260</v>
      </c>
      <c r="Y816" s="175" t="s">
        <v>260</v>
      </c>
      <c r="Z816" s="15">
        <v>0</v>
      </c>
      <c r="AA816" s="15">
        <v>1</v>
      </c>
      <c r="AB816" s="184" t="s">
        <v>260</v>
      </c>
      <c r="AC816" s="544" t="str">
        <f>""</f>
        <v/>
      </c>
      <c r="AD816" s="183">
        <v>0</v>
      </c>
      <c r="AE816" s="183" t="s">
        <v>332</v>
      </c>
      <c r="AF816" s="183" t="s">
        <v>265</v>
      </c>
      <c r="AG816" s="183">
        <v>1</v>
      </c>
      <c r="AH816" s="181">
        <v>12</v>
      </c>
      <c r="AI816" s="181">
        <v>0</v>
      </c>
      <c r="AJ816" s="181">
        <f>VLOOKUP($I816,'Price List, Weapons &amp; Items'!B:F,5,0)</f>
        <v>1</v>
      </c>
      <c r="AK816" s="181">
        <f t="shared" si="166"/>
        <v>0</v>
      </c>
      <c r="AL816" s="181">
        <f t="shared" si="167"/>
        <v>1</v>
      </c>
      <c r="AM816" s="181">
        <f t="shared" si="168"/>
        <v>0</v>
      </c>
      <c r="AN816" s="180" t="str">
        <f>VLOOKUP($I816,'Price List, Weapons &amp; Items'!B:L,COLUMN('Price List, Weapons &amp; Items'!$J$11)-1,0)</f>
        <v>Miscellaneous</v>
      </c>
      <c r="AO816" s="180" t="str">
        <f>IF(I816=".",".",VLOOKUP($I816,'Price List, Weapons &amp; Items'!B:J,3,0))</f>
        <v>Humanitarian</v>
      </c>
      <c r="AP816" s="545" t="str">
        <f t="shared" ca="1" si="163"/>
        <v/>
      </c>
      <c r="AQ816" s="180">
        <f>VLOOKUP($I816,'Price List, Weapons &amp; Items'!B:L,COLUMN('Price List, Weapons &amp; Items'!$L$11)-1,0)</f>
        <v>0</v>
      </c>
      <c r="AR816" s="180">
        <f t="shared" si="169"/>
        <v>0</v>
      </c>
      <c r="AS816" s="180">
        <f t="shared" si="170"/>
        <v>0</v>
      </c>
      <c r="AT816" s="180">
        <f t="shared" si="159"/>
        <v>1</v>
      </c>
      <c r="AU816" s="180" t="str">
        <f t="shared" si="160"/>
        <v>.</v>
      </c>
      <c r="AV816" s="180" t="str">
        <f t="shared" si="161"/>
        <v>.</v>
      </c>
      <c r="AW816" s="180">
        <f>IFERROR(VLOOKUP(B816,'Share, Heavy Weapons to Ukraine'!B:J,COLUMN('Share, Heavy Weapons to Ukraine'!C829)-1,0),0)</f>
        <v>0</v>
      </c>
      <c r="AX816" s="180">
        <f>VLOOKUP('Bilateral Assistance, MAIN DATA'!B816,'Country Summary'!B:F,COLUMN('Country Summary'!C832)-1,FALSE)</f>
        <v>1</v>
      </c>
      <c r="AY816" s="180" t="str">
        <f>IF(AND(AD816=1,D816="Military",H816&lt;&gt;"Not given")=TRUE,IF(SUMIFS(P:P,A:A,A816)&gt;0,ABS((SUMIFS(P:P,A:A,A816)/VLOOKUP("USD",'Exchange Rates'!B:C,2,0)))/S816,"."),".")</f>
        <v>.</v>
      </c>
      <c r="AZ816" s="182" t="str">
        <f>IF(AND(AD816=1,D816="Military",H816&lt;&gt;"Not given")=TRUE,IF(SUMIFS(P:P,A:A,A816)&gt;0,IF((ABS((SUMIFS(P:P,A:A,A816)/VLOOKUP("USD",'Exchange Rates'!B:C,2,0)))/S816)&gt;1,(SUMIFS(P:P,A:A,A816)-S816)/S816,(S816-SUMIFS(P:P,A:A,A816))/SUMIFS(P:P,A:A,A816)),"."),".")</f>
        <v>.</v>
      </c>
      <c r="BA816" s="182"/>
      <c r="BB816" s="182"/>
      <c r="BC816" s="182"/>
      <c r="BD816" s="182"/>
      <c r="BE816" s="182"/>
      <c r="BF816" s="182"/>
      <c r="BG816" s="182"/>
      <c r="BH816" s="182"/>
      <c r="BI816" s="182"/>
      <c r="BJ816" s="182"/>
      <c r="BK816" s="182"/>
      <c r="BL816" s="182"/>
      <c r="BM816" s="182"/>
      <c r="BN816" s="182"/>
      <c r="BO816" s="182"/>
      <c r="BP816" s="182"/>
      <c r="BQ816" s="182"/>
      <c r="BR816" s="182"/>
      <c r="BS816" s="182"/>
    </row>
    <row r="817" spans="1:71" ht="15.9" customHeight="1" x14ac:dyDescent="0.3">
      <c r="A817" s="17" t="s">
        <v>2382</v>
      </c>
      <c r="B817" s="17" t="s">
        <v>2370</v>
      </c>
      <c r="C817" s="174">
        <v>44918</v>
      </c>
      <c r="D817" s="5" t="s">
        <v>256</v>
      </c>
      <c r="E817" s="5" t="s">
        <v>257</v>
      </c>
      <c r="F817" s="175" t="s">
        <v>2383</v>
      </c>
      <c r="G817" s="15" t="s">
        <v>364</v>
      </c>
      <c r="H817" s="176">
        <v>50000</v>
      </c>
      <c r="I817" s="175" t="s">
        <v>260</v>
      </c>
      <c r="J817" s="113" t="str">
        <f>VLOOKUP($I817,'Price List, Weapons &amp; Items'!B:C,2,0)</f>
        <v>.</v>
      </c>
      <c r="K817" s="113" t="str">
        <f>IF(I817=".",I817,VLOOKUP($I817,'Price List, Weapons &amp; Items'!B:D,3,0))</f>
        <v>.</v>
      </c>
      <c r="L817" s="177">
        <f>VLOOKUP(I817,'Price List, Weapons &amp; Items'!B:E,4,0)</f>
        <v>0</v>
      </c>
      <c r="M817" s="542" t="s">
        <v>260</v>
      </c>
      <c r="N817" s="542" t="s">
        <v>260</v>
      </c>
      <c r="O817" s="543" t="str">
        <f>VLOOKUP($I817,'Price List, Weapons &amp; Items'!B:G,6,0)</f>
        <v>.</v>
      </c>
      <c r="P817" s="176" t="str">
        <f t="shared" si="164"/>
        <v>.</v>
      </c>
      <c r="Q817" s="176" t="str">
        <f t="shared" si="165"/>
        <v>.</v>
      </c>
      <c r="R817" s="176">
        <f t="shared" si="162"/>
        <v>50000</v>
      </c>
      <c r="S817" s="176">
        <f>IF(AND(AD817=1,R817&lt;&gt;".")=TRUE,R817/VLOOKUP(G817,'Exchange Rates'!B:C,2,0),IF(R817=".",".",""))</f>
        <v>50000</v>
      </c>
      <c r="T817" s="176" t="str">
        <f>IF(AD817=1,IF(AF817="Value is not given at all",".",IF(AF817="Value is given by the source",S817,IF(AF817="Value is calculated with prices",(IF(SUMIFS(Q:Q,A:A,A817)&gt;0,SUMIFS(Q:Q,A:A,A817),"."))/VLOOKUP("USD",'Exchange Rates'!B:C,2,0),"Error with coding"))),"")</f>
        <v>.</v>
      </c>
      <c r="U817" s="15" t="s">
        <v>261</v>
      </c>
      <c r="V817" s="667" t="s">
        <v>2384</v>
      </c>
      <c r="W817" s="668" t="s">
        <v>260</v>
      </c>
      <c r="X817" s="175" t="s">
        <v>260</v>
      </c>
      <c r="Y817" s="175" t="s">
        <v>260</v>
      </c>
      <c r="Z817" s="15">
        <v>0</v>
      </c>
      <c r="AA817" s="15">
        <v>1</v>
      </c>
      <c r="AB817" s="184" t="s">
        <v>260</v>
      </c>
      <c r="AC817" s="544"/>
      <c r="AD817" s="183">
        <v>1</v>
      </c>
      <c r="AE817" s="183" t="s">
        <v>264</v>
      </c>
      <c r="AF817" s="183" t="s">
        <v>265</v>
      </c>
      <c r="AG817" s="183">
        <v>1</v>
      </c>
      <c r="AH817" s="181">
        <v>12</v>
      </c>
      <c r="AI817" s="181">
        <v>0</v>
      </c>
      <c r="AJ817" s="181">
        <f>VLOOKUP($I817,'Price List, Weapons &amp; Items'!B:F,5,0)</f>
        <v>0</v>
      </c>
      <c r="AK817" s="181">
        <f t="shared" si="166"/>
        <v>0</v>
      </c>
      <c r="AL817" s="181">
        <f t="shared" si="167"/>
        <v>0</v>
      </c>
      <c r="AM817" s="181">
        <f t="shared" si="168"/>
        <v>0</v>
      </c>
      <c r="AN817" s="180" t="str">
        <f>VLOOKUP($I817,'Price List, Weapons &amp; Items'!B:L,COLUMN('Price List, Weapons &amp; Items'!$J$11)-1,0)</f>
        <v>.</v>
      </c>
      <c r="AO817" s="180" t="str">
        <f>IF(I817=".",".",VLOOKUP($I817,'Price List, Weapons &amp; Items'!B:J,3,0))</f>
        <v>.</v>
      </c>
      <c r="AP817" s="545" t="e">
        <f t="shared" ca="1" si="163"/>
        <v>#NAME?</v>
      </c>
      <c r="AQ817" s="180" t="str">
        <f>VLOOKUP($I817,'Price List, Weapons &amp; Items'!B:L,COLUMN('Price List, Weapons &amp; Items'!$L$11)-1,0)</f>
        <v>no price, 0 count</v>
      </c>
      <c r="AR817" s="180">
        <f t="shared" si="169"/>
        <v>1</v>
      </c>
      <c r="AS817" s="180">
        <f t="shared" si="170"/>
        <v>0</v>
      </c>
      <c r="AT817" s="180">
        <f t="shared" si="159"/>
        <v>1</v>
      </c>
      <c r="AU817" s="180" t="str">
        <f t="shared" si="160"/>
        <v>.</v>
      </c>
      <c r="AV817" s="180" t="str">
        <f t="shared" si="161"/>
        <v>.</v>
      </c>
      <c r="AW817" s="180">
        <f>IFERROR(VLOOKUP(B817,'Share, Heavy Weapons to Ukraine'!B:J,COLUMN('Share, Heavy Weapons to Ukraine'!C830)-1,0),0)</f>
        <v>0</v>
      </c>
      <c r="AX817" s="180">
        <f>VLOOKUP('Bilateral Assistance, MAIN DATA'!B817,'Country Summary'!B:F,COLUMN('Country Summary'!C833)-1,FALSE)</f>
        <v>1</v>
      </c>
      <c r="AY817" s="180" t="str">
        <f>IF(AND(AD817=1,D817="Military",H817&lt;&gt;"Not given")=TRUE,IF(SUMIFS(P:P,A:A,A817)&gt;0,ABS((SUMIFS(P:P,A:A,A817)/VLOOKUP("USD",'Exchange Rates'!B:C,2,0)))/S817,"."),".")</f>
        <v>.</v>
      </c>
      <c r="AZ817" s="182" t="str">
        <f>IF(AND(AD817=1,D817="Military",H817&lt;&gt;"Not given")=TRUE,IF(SUMIFS(P:P,A:A,A817)&gt;0,IF((ABS((SUMIFS(P:P,A:A,A817)/VLOOKUP("USD",'Exchange Rates'!B:C,2,0)))/S817)&gt;1,(SUMIFS(P:P,A:A,A817)-S817)/S817,(S817-SUMIFS(P:P,A:A,A817))/SUMIFS(P:P,A:A,A817)),"."),".")</f>
        <v>.</v>
      </c>
      <c r="BA817" s="182"/>
      <c r="BB817" s="182"/>
      <c r="BC817" s="182"/>
      <c r="BD817" s="182"/>
      <c r="BE817" s="182"/>
      <c r="BF817" s="182"/>
      <c r="BG817" s="182"/>
      <c r="BH817" s="182"/>
      <c r="BI817" s="182"/>
      <c r="BJ817" s="182"/>
      <c r="BK817" s="182"/>
      <c r="BL817" s="182"/>
      <c r="BM817" s="182"/>
      <c r="BN817" s="182"/>
      <c r="BO817" s="182"/>
      <c r="BP817" s="182"/>
      <c r="BQ817" s="182"/>
      <c r="BR817" s="182"/>
      <c r="BS817" s="182"/>
    </row>
    <row r="818" spans="1:71" ht="15.9" customHeight="1" x14ac:dyDescent="0.3">
      <c r="A818" s="17" t="s">
        <v>2385</v>
      </c>
      <c r="B818" s="16" t="s">
        <v>2370</v>
      </c>
      <c r="C818" s="174">
        <v>44848</v>
      </c>
      <c r="D818" s="5" t="s">
        <v>285</v>
      </c>
      <c r="E818" s="5" t="s">
        <v>294</v>
      </c>
      <c r="F818" s="175" t="s">
        <v>2386</v>
      </c>
      <c r="G818" s="15" t="s">
        <v>346</v>
      </c>
      <c r="H818" s="176" t="s">
        <v>341</v>
      </c>
      <c r="I818" s="17" t="s">
        <v>2387</v>
      </c>
      <c r="J818" s="113" t="str">
        <f>VLOOKUP($I818,'Price List, Weapons &amp; Items'!B:C,2,0)</f>
        <v>Humanitarian</v>
      </c>
      <c r="K818" s="113" t="str">
        <f>IF(I818=".",I818,VLOOKUP($I818,'Price List, Weapons &amp; Items'!B:D,3,0))</f>
        <v>Humanitarian</v>
      </c>
      <c r="L818" s="177">
        <f>VLOOKUP(I818,'Price List, Weapons &amp; Items'!B:E,4,0)</f>
        <v>1</v>
      </c>
      <c r="M818" s="542">
        <v>6</v>
      </c>
      <c r="N818" s="542" t="s">
        <v>270</v>
      </c>
      <c r="O818" s="543">
        <f>VLOOKUP($I818,'Price List, Weapons &amp; Items'!B:G,6,0)</f>
        <v>5850000</v>
      </c>
      <c r="P818" s="176">
        <f t="shared" si="164"/>
        <v>35100000</v>
      </c>
      <c r="Q818" s="176" t="str">
        <f t="shared" si="165"/>
        <v>.</v>
      </c>
      <c r="R818" s="176">
        <f t="shared" si="162"/>
        <v>35100000</v>
      </c>
      <c r="S818" s="176">
        <f>IF(AND(AD818=1,R818&lt;&gt;".")=TRUE,R818/VLOOKUP(G818,'Exchange Rates'!B:C,2,0),IF(R818=".",".",""))</f>
        <v>33428571.428571425</v>
      </c>
      <c r="T818" s="176" t="str">
        <f>IF(AD818=1,IF(AF818="Value is not given at all",".",IF(AF818="Value is given by the source",S818,IF(AF818="Value is calculated with prices",(IF(SUMIFS(Q:Q,A:A,A818)&gt;0,SUMIFS(Q:Q,A:A,A818),"."))/VLOOKUP("USD",'Exchange Rates'!B:C,2,0),"Error with coding"))),"")</f>
        <v>.</v>
      </c>
      <c r="U818" s="15" t="s">
        <v>415</v>
      </c>
      <c r="V818" s="560" t="s">
        <v>2388</v>
      </c>
      <c r="W818" s="673" t="s">
        <v>260</v>
      </c>
      <c r="X818" s="175" t="s">
        <v>260</v>
      </c>
      <c r="Y818" s="175" t="s">
        <v>260</v>
      </c>
      <c r="Z818" s="15">
        <v>0</v>
      </c>
      <c r="AA818" s="180">
        <v>0</v>
      </c>
      <c r="AB818" s="17" t="s">
        <v>260</v>
      </c>
      <c r="AC818" s="544" t="str">
        <f>""</f>
        <v/>
      </c>
      <c r="AD818" s="183">
        <v>1</v>
      </c>
      <c r="AE818" s="183" t="s">
        <v>332</v>
      </c>
      <c r="AF818" s="183" t="s">
        <v>265</v>
      </c>
      <c r="AG818" s="183">
        <v>1</v>
      </c>
      <c r="AH818" s="181">
        <v>10</v>
      </c>
      <c r="AI818" s="181">
        <v>0</v>
      </c>
      <c r="AJ818" s="181">
        <f>VLOOKUP($I818,'Price List, Weapons &amp; Items'!B:F,5,0)</f>
        <v>0</v>
      </c>
      <c r="AK818" s="181">
        <f t="shared" si="166"/>
        <v>0</v>
      </c>
      <c r="AL818" s="181">
        <f t="shared" si="167"/>
        <v>0</v>
      </c>
      <c r="AM818" s="181">
        <f t="shared" si="168"/>
        <v>0</v>
      </c>
      <c r="AN818" s="180" t="str">
        <f>VLOOKUP($I818,'Price List, Weapons &amp; Items'!B:L,COLUMN('Price List, Weapons &amp; Items'!$J$11)-1,0)</f>
        <v>Media reports (incl. social media)</v>
      </c>
      <c r="AO818" s="180" t="str">
        <f>IF(I818=".",".",VLOOKUP($I818,'Price List, Weapons &amp; Items'!B:J,3,0))</f>
        <v>Humanitarian</v>
      </c>
      <c r="AP818" s="545" t="e">
        <f t="shared" ca="1" si="163"/>
        <v>#NAME?</v>
      </c>
      <c r="AQ818" s="180">
        <f>VLOOKUP($I818,'Price List, Weapons &amp; Items'!B:L,COLUMN('Price List, Weapons &amp; Items'!$L$11)-1,0)</f>
        <v>0</v>
      </c>
      <c r="AR818" s="180">
        <f t="shared" si="169"/>
        <v>0</v>
      </c>
      <c r="AS818" s="180">
        <f t="shared" si="170"/>
        <v>1</v>
      </c>
      <c r="AT818" s="180">
        <f t="shared" si="159"/>
        <v>1</v>
      </c>
      <c r="AU818" s="180" t="str">
        <f t="shared" si="160"/>
        <v>.</v>
      </c>
      <c r="AV818" s="180" t="str">
        <f t="shared" si="161"/>
        <v>.</v>
      </c>
      <c r="AW818" s="180">
        <f>IFERROR(VLOOKUP(B818,'Share, Heavy Weapons to Ukraine'!B:J,COLUMN('Share, Heavy Weapons to Ukraine'!C831)-1,0),0)</f>
        <v>0</v>
      </c>
      <c r="AX818" s="180">
        <f>VLOOKUP('Bilateral Assistance, MAIN DATA'!B818,'Country Summary'!B:F,COLUMN('Country Summary'!C834)-1,FALSE)</f>
        <v>1</v>
      </c>
      <c r="AY818" s="180" t="str">
        <f>IF(AND(AD818=1,D818="Military",H818&lt;&gt;"Not given")=TRUE,IF(SUMIFS(P:P,A:A,A818)&gt;0,ABS((SUMIFS(P:P,A:A,A818)/VLOOKUP("USD",'Exchange Rates'!B:C,2,0)))/S818,"."),".")</f>
        <v>.</v>
      </c>
      <c r="AZ818" s="182" t="str">
        <f>IF(AND(AD818=1,D818="Military",H818&lt;&gt;"Not given")=TRUE,IF(SUMIFS(P:P,A:A,A818)&gt;0,IF((ABS((SUMIFS(P:P,A:A,A818)/VLOOKUP("USD",'Exchange Rates'!B:C,2,0)))/S818)&gt;1,(SUMIFS(P:P,A:A,A818)-S818)/S818,(S818-SUMIFS(P:P,A:A,A818))/SUMIFS(P:P,A:A,A818)),"."),".")</f>
        <v>.</v>
      </c>
      <c r="BA818" s="182"/>
      <c r="BB818" s="182"/>
      <c r="BC818" s="182"/>
      <c r="BD818" s="182"/>
      <c r="BE818" s="182"/>
      <c r="BF818" s="182"/>
      <c r="BG818" s="182"/>
      <c r="BH818" s="182"/>
      <c r="BI818" s="182"/>
      <c r="BJ818" s="182"/>
      <c r="BK818" s="182"/>
      <c r="BL818" s="182"/>
      <c r="BM818" s="182"/>
      <c r="BN818" s="182"/>
      <c r="BO818" s="182"/>
      <c r="BP818" s="182"/>
      <c r="BQ818" s="182"/>
      <c r="BR818" s="182"/>
      <c r="BS818" s="182"/>
    </row>
    <row r="819" spans="1:71" ht="15.9" customHeight="1" x14ac:dyDescent="0.3">
      <c r="A819" s="5" t="s">
        <v>2389</v>
      </c>
      <c r="B819" s="5" t="s">
        <v>2370</v>
      </c>
      <c r="C819" s="174">
        <v>44618</v>
      </c>
      <c r="D819" s="5" t="s">
        <v>285</v>
      </c>
      <c r="E819" s="5" t="s">
        <v>294</v>
      </c>
      <c r="F819" s="175" t="s">
        <v>2390</v>
      </c>
      <c r="G819" s="15" t="s">
        <v>346</v>
      </c>
      <c r="H819" s="176" t="s">
        <v>341</v>
      </c>
      <c r="I819" s="17" t="s">
        <v>499</v>
      </c>
      <c r="J819" s="113" t="str">
        <f>VLOOKUP($I819,'Price List, Weapons &amp; Items'!B:C,2,0)</f>
        <v>Military equipment</v>
      </c>
      <c r="K819" s="113" t="str">
        <f>IF(I819=".",I819,VLOOKUP($I819,'Price List, Weapons &amp; Items'!B:D,3,0))</f>
        <v>Military equipment</v>
      </c>
      <c r="L819" s="177">
        <f>VLOOKUP(I819,'Price List, Weapons &amp; Items'!B:E,4,0)</f>
        <v>0</v>
      </c>
      <c r="M819" s="542" t="s">
        <v>270</v>
      </c>
      <c r="N819" s="542" t="s">
        <v>270</v>
      </c>
      <c r="O819" s="543">
        <f>VLOOKUP($I819,'Price List, Weapons &amp; Items'!B:G,6,0)</f>
        <v>500</v>
      </c>
      <c r="P819" s="176" t="str">
        <f t="shared" si="164"/>
        <v>.</v>
      </c>
      <c r="Q819" s="176" t="str">
        <f t="shared" si="165"/>
        <v>.</v>
      </c>
      <c r="R819" s="176" t="str">
        <f t="shared" si="162"/>
        <v>.</v>
      </c>
      <c r="S819" s="176" t="str">
        <f>IF(AND(AD819=1,R819&lt;&gt;".")=TRUE,R819/VLOOKUP(G819,'Exchange Rates'!B:C,2,0),IF(R819=".",".",""))</f>
        <v>.</v>
      </c>
      <c r="T819" s="176" t="str">
        <f>IF(AD819=1,IF(AF819="Value is not given at all",".",IF(AF819="Value is given by the source",S819,IF(AF819="Value is calculated with prices",(IF(SUMIFS(Q:Q,A:A,A819)&gt;0,SUMIFS(Q:Q,A:A,A819),"."))/VLOOKUP("USD",'Exchange Rates'!B:C,2,0),"Error with coding"))),"")</f>
        <v>.</v>
      </c>
      <c r="U819" s="579" t="s">
        <v>261</v>
      </c>
      <c r="V819" s="547" t="s">
        <v>2391</v>
      </c>
      <c r="W819" s="547" t="s">
        <v>2392</v>
      </c>
      <c r="X819" s="188" t="s">
        <v>260</v>
      </c>
      <c r="Y819" s="188" t="s">
        <v>260</v>
      </c>
      <c r="Z819" s="15">
        <v>0</v>
      </c>
      <c r="AA819" s="180">
        <v>0</v>
      </c>
      <c r="AB819" s="550" t="s">
        <v>2393</v>
      </c>
      <c r="AC819" s="544" t="str">
        <f>""</f>
        <v/>
      </c>
      <c r="AD819" s="183">
        <v>1</v>
      </c>
      <c r="AE819" s="183" t="s">
        <v>265</v>
      </c>
      <c r="AF819" s="183" t="s">
        <v>265</v>
      </c>
      <c r="AG819" s="183">
        <v>1</v>
      </c>
      <c r="AH819" s="183">
        <v>2</v>
      </c>
      <c r="AI819" s="183">
        <v>0</v>
      </c>
      <c r="AJ819" s="181">
        <f>VLOOKUP($I819,'Price List, Weapons &amp; Items'!B:F,5,0)</f>
        <v>0</v>
      </c>
      <c r="AK819" s="181">
        <f t="shared" si="166"/>
        <v>0</v>
      </c>
      <c r="AL819" s="181">
        <f t="shared" si="167"/>
        <v>0</v>
      </c>
      <c r="AM819" s="181">
        <f t="shared" si="168"/>
        <v>0</v>
      </c>
      <c r="AN819" s="180" t="str">
        <f>VLOOKUP($I819,'Price List, Weapons &amp; Items'!B:L,COLUMN('Price List, Weapons &amp; Items'!$J$11)-1,0)</f>
        <v>Military media (incl. websites)</v>
      </c>
      <c r="AO819" s="180" t="str">
        <f>IF(I819=".",".",VLOOKUP($I819,'Price List, Weapons &amp; Items'!B:J,3,0))</f>
        <v>Military equipment</v>
      </c>
      <c r="AP819" s="545" t="e">
        <f t="shared" ca="1" si="163"/>
        <v>#NAME?</v>
      </c>
      <c r="AQ819" s="180">
        <f>VLOOKUP($I819,'Price List, Weapons &amp; Items'!B:L,COLUMN('Price List, Weapons &amp; Items'!$L$11)-1,0)</f>
        <v>2</v>
      </c>
      <c r="AR819" s="180">
        <f t="shared" si="169"/>
        <v>1</v>
      </c>
      <c r="AS819" s="180">
        <f t="shared" si="170"/>
        <v>1</v>
      </c>
      <c r="AT819" s="180">
        <f t="shared" si="159"/>
        <v>1</v>
      </c>
      <c r="AU819" s="180" t="str">
        <f t="shared" si="160"/>
        <v>.</v>
      </c>
      <c r="AV819" s="180" t="str">
        <f t="shared" si="161"/>
        <v>.</v>
      </c>
      <c r="AW819" s="180">
        <f>IFERROR(VLOOKUP(B819,'Share, Heavy Weapons to Ukraine'!B:J,COLUMN('Share, Heavy Weapons to Ukraine'!C832)-1,0),0)</f>
        <v>0</v>
      </c>
      <c r="AX819" s="180">
        <f>VLOOKUP('Bilateral Assistance, MAIN DATA'!B819,'Country Summary'!B:F,COLUMN('Country Summary'!C835)-1,FALSE)</f>
        <v>1</v>
      </c>
      <c r="AY819" s="180" t="str">
        <f>IF(AND(AD819=1,D819="Military",H819&lt;&gt;"Not given")=TRUE,IF(SUMIFS(P:P,A:A,A819)&gt;0,ABS((SUMIFS(P:P,A:A,A819)/VLOOKUP("USD",'Exchange Rates'!B:C,2,0)))/S819,"."),".")</f>
        <v>.</v>
      </c>
      <c r="AZ819" s="182" t="str">
        <f>IF(AND(AD819=1,D819="Military",H819&lt;&gt;"Not given")=TRUE,IF(SUMIFS(P:P,A:A,A819)&gt;0,IF((ABS((SUMIFS(P:P,A:A,A819)/VLOOKUP("USD",'Exchange Rates'!B:C,2,0)))/S819)&gt;1,(SUMIFS(P:P,A:A,A819)-S819)/S819,(S819-SUMIFS(P:P,A:A,A819))/SUMIFS(P:P,A:A,A819)),"."),".")</f>
        <v>.</v>
      </c>
      <c r="BA819" s="182"/>
      <c r="BB819" s="182"/>
      <c r="BC819" s="182"/>
      <c r="BD819" s="182"/>
      <c r="BE819" s="182"/>
      <c r="BF819" s="182"/>
      <c r="BG819" s="182"/>
      <c r="BH819" s="182"/>
      <c r="BI819" s="182"/>
      <c r="BJ819" s="182"/>
      <c r="BK819" s="182"/>
      <c r="BL819" s="182"/>
      <c r="BM819" s="182"/>
      <c r="BN819" s="182"/>
      <c r="BO819" s="182"/>
      <c r="BP819" s="182"/>
      <c r="BQ819" s="182"/>
      <c r="BR819" s="182"/>
      <c r="BS819" s="182"/>
    </row>
    <row r="820" spans="1:71" ht="15.9" customHeight="1" x14ac:dyDescent="0.3">
      <c r="A820" s="5" t="s">
        <v>2389</v>
      </c>
      <c r="B820" s="5" t="s">
        <v>2370</v>
      </c>
      <c r="C820" s="174">
        <v>44618</v>
      </c>
      <c r="D820" s="5" t="s">
        <v>285</v>
      </c>
      <c r="E820" s="5" t="s">
        <v>294</v>
      </c>
      <c r="F820" s="175" t="s">
        <v>2390</v>
      </c>
      <c r="G820" s="15" t="s">
        <v>346</v>
      </c>
      <c r="H820" s="176" t="s">
        <v>341</v>
      </c>
      <c r="I820" s="17" t="s">
        <v>463</v>
      </c>
      <c r="J820" s="113" t="str">
        <f>VLOOKUP($I820,'Price List, Weapons &amp; Items'!B:C,2,0)</f>
        <v>Military equipment</v>
      </c>
      <c r="K820" s="113" t="str">
        <f>IF(I820=".",I820,VLOOKUP($I820,'Price List, Weapons &amp; Items'!B:D,3,0))</f>
        <v>Military equipment</v>
      </c>
      <c r="L820" s="177">
        <f>VLOOKUP(I820,'Price List, Weapons &amp; Items'!B:E,4,0)</f>
        <v>0</v>
      </c>
      <c r="M820" s="542" t="s">
        <v>270</v>
      </c>
      <c r="N820" s="542" t="s">
        <v>270</v>
      </c>
      <c r="O820" s="543">
        <f>VLOOKUP($I820,'Price List, Weapons &amp; Items'!B:G,6,0)</f>
        <v>1400</v>
      </c>
      <c r="P820" s="176" t="str">
        <f t="shared" si="164"/>
        <v>.</v>
      </c>
      <c r="Q820" s="176" t="str">
        <f t="shared" si="165"/>
        <v>.</v>
      </c>
      <c r="R820" s="176" t="str">
        <f t="shared" si="162"/>
        <v/>
      </c>
      <c r="S820" s="176" t="str">
        <f>IF(AND(AD820=1,R820&lt;&gt;".")=TRUE,R820/VLOOKUP(G820,'Exchange Rates'!B:C,2,0),IF(R820=".",".",""))</f>
        <v/>
      </c>
      <c r="T820" s="176" t="str">
        <f>IF(AD820=1,IF(AF820="Value is not given at all",".",IF(AF820="Value is given by the source",S820,IF(AF820="Value is calculated with prices",(IF(SUMIFS(Q:Q,A:A,A820)&gt;0,SUMIFS(Q:Q,A:A,A820),"."))/VLOOKUP("USD",'Exchange Rates'!B:C,2,0),"Error with coding"))),"")</f>
        <v/>
      </c>
      <c r="U820" s="579" t="s">
        <v>261</v>
      </c>
      <c r="V820" s="547" t="s">
        <v>2391</v>
      </c>
      <c r="W820" s="547" t="s">
        <v>2392</v>
      </c>
      <c r="X820" s="188" t="s">
        <v>260</v>
      </c>
      <c r="Y820" s="188" t="s">
        <v>260</v>
      </c>
      <c r="Z820" s="15">
        <v>0</v>
      </c>
      <c r="AA820" s="180">
        <v>0</v>
      </c>
      <c r="AB820" s="550" t="s">
        <v>2393</v>
      </c>
      <c r="AC820" s="544" t="str">
        <f>""</f>
        <v/>
      </c>
      <c r="AD820" s="183">
        <v>0</v>
      </c>
      <c r="AE820" s="183" t="s">
        <v>265</v>
      </c>
      <c r="AF820" s="183" t="s">
        <v>265</v>
      </c>
      <c r="AG820" s="183">
        <v>1</v>
      </c>
      <c r="AH820" s="183">
        <v>2</v>
      </c>
      <c r="AI820" s="183">
        <v>0</v>
      </c>
      <c r="AJ820" s="181">
        <f>VLOOKUP($I820,'Price List, Weapons &amp; Items'!B:F,5,0)</f>
        <v>0</v>
      </c>
      <c r="AK820" s="181">
        <f t="shared" si="166"/>
        <v>0</v>
      </c>
      <c r="AL820" s="181">
        <f t="shared" si="167"/>
        <v>0</v>
      </c>
      <c r="AM820" s="181">
        <f t="shared" si="168"/>
        <v>0</v>
      </c>
      <c r="AN820" s="180" t="str">
        <f>VLOOKUP($I820,'Price List, Weapons &amp; Items'!B:L,COLUMN('Price List, Weapons &amp; Items'!$J$11)-1,0)</f>
        <v>Military media (incl. websites)</v>
      </c>
      <c r="AO820" s="180" t="str">
        <f>IF(I820=".",".",VLOOKUP($I820,'Price List, Weapons &amp; Items'!B:J,3,0))</f>
        <v>Military equipment</v>
      </c>
      <c r="AP820" s="545" t="str">
        <f t="shared" ca="1" si="163"/>
        <v/>
      </c>
      <c r="AQ820" s="180">
        <f>VLOOKUP($I820,'Price List, Weapons &amp; Items'!B:L,COLUMN('Price List, Weapons &amp; Items'!$L$11)-1,0)</f>
        <v>2</v>
      </c>
      <c r="AR820" s="180">
        <f t="shared" si="169"/>
        <v>1</v>
      </c>
      <c r="AS820" s="180">
        <f t="shared" si="170"/>
        <v>1</v>
      </c>
      <c r="AT820" s="180">
        <f t="shared" si="159"/>
        <v>1</v>
      </c>
      <c r="AU820" s="180" t="str">
        <f t="shared" si="160"/>
        <v>.</v>
      </c>
      <c r="AV820" s="180" t="str">
        <f t="shared" si="161"/>
        <v>.</v>
      </c>
      <c r="AW820" s="180">
        <f>IFERROR(VLOOKUP(B820,'Share, Heavy Weapons to Ukraine'!B:J,COLUMN('Share, Heavy Weapons to Ukraine'!C833)-1,0),0)</f>
        <v>0</v>
      </c>
      <c r="AX820" s="180">
        <f>VLOOKUP('Bilateral Assistance, MAIN DATA'!B820,'Country Summary'!B:F,COLUMN('Country Summary'!C836)-1,FALSE)</f>
        <v>1</v>
      </c>
      <c r="AY820" s="180" t="str">
        <f>IF(AND(AD820=1,D820="Military",H820&lt;&gt;"Not given")=TRUE,IF(SUMIFS(P:P,A:A,A820)&gt;0,ABS((SUMIFS(P:P,A:A,A820)/VLOOKUP("USD",'Exchange Rates'!B:C,2,0)))/S820,"."),".")</f>
        <v>.</v>
      </c>
      <c r="AZ820" s="182" t="str">
        <f>IF(AND(AD820=1,D820="Military",H820&lt;&gt;"Not given")=TRUE,IF(SUMIFS(P:P,A:A,A820)&gt;0,IF((ABS((SUMIFS(P:P,A:A,A820)/VLOOKUP("USD",'Exchange Rates'!B:C,2,0)))/S820)&gt;1,(SUMIFS(P:P,A:A,A820)-S820)/S820,(S820-SUMIFS(P:P,A:A,A820))/SUMIFS(P:P,A:A,A820)),"."),".")</f>
        <v>.</v>
      </c>
      <c r="BA820" s="182"/>
      <c r="BB820" s="182"/>
      <c r="BC820" s="182"/>
      <c r="BD820" s="182"/>
      <c r="BE820" s="182"/>
      <c r="BF820" s="182"/>
      <c r="BG820" s="182"/>
      <c r="BH820" s="182"/>
      <c r="BI820" s="182"/>
      <c r="BJ820" s="182"/>
      <c r="BK820" s="182"/>
      <c r="BL820" s="182"/>
      <c r="BM820" s="182"/>
      <c r="BN820" s="182"/>
      <c r="BO820" s="182"/>
      <c r="BP820" s="182"/>
      <c r="BQ820" s="182"/>
      <c r="BR820" s="182"/>
      <c r="BS820" s="182"/>
    </row>
    <row r="821" spans="1:71" ht="15.9" customHeight="1" x14ac:dyDescent="0.3">
      <c r="A821" s="5" t="s">
        <v>2389</v>
      </c>
      <c r="B821" s="5" t="s">
        <v>2370</v>
      </c>
      <c r="C821" s="174">
        <v>44618</v>
      </c>
      <c r="D821" s="5" t="s">
        <v>285</v>
      </c>
      <c r="E821" s="5" t="s">
        <v>294</v>
      </c>
      <c r="F821" s="175" t="s">
        <v>2390</v>
      </c>
      <c r="G821" s="15" t="s">
        <v>346</v>
      </c>
      <c r="H821" s="176" t="s">
        <v>341</v>
      </c>
      <c r="I821" s="17" t="s">
        <v>598</v>
      </c>
      <c r="J821" s="113" t="str">
        <f>VLOOKUP($I821,'Price List, Weapons &amp; Items'!B:C,2,0)</f>
        <v>Military equipment</v>
      </c>
      <c r="K821" s="113" t="str">
        <f>IF(I821=".",I821,VLOOKUP($I821,'Price List, Weapons &amp; Items'!B:D,3,0))</f>
        <v>Military equipment</v>
      </c>
      <c r="L821" s="177">
        <f>VLOOKUP(I821,'Price List, Weapons &amp; Items'!B:E,4,0)</f>
        <v>0</v>
      </c>
      <c r="M821" s="542" t="s">
        <v>270</v>
      </c>
      <c r="N821" s="542" t="s">
        <v>270</v>
      </c>
      <c r="O821" s="543">
        <f>VLOOKUP($I821,'Price List, Weapons &amp; Items'!B:G,6,0)</f>
        <v>2320</v>
      </c>
      <c r="P821" s="176" t="str">
        <f t="shared" si="164"/>
        <v>.</v>
      </c>
      <c r="Q821" s="176" t="str">
        <f t="shared" si="165"/>
        <v>.</v>
      </c>
      <c r="R821" s="176" t="str">
        <f t="shared" si="162"/>
        <v/>
      </c>
      <c r="S821" s="176" t="str">
        <f>IF(AND(AD821=1,R821&lt;&gt;".")=TRUE,R821/VLOOKUP(G821,'Exchange Rates'!B:C,2,0),IF(R821=".",".",""))</f>
        <v/>
      </c>
      <c r="T821" s="176" t="str">
        <f>IF(AD821=1,IF(AF821="Value is not given at all",".",IF(AF821="Value is given by the source",S821,IF(AF821="Value is calculated with prices",(IF(SUMIFS(Q:Q,A:A,A821)&gt;0,SUMIFS(Q:Q,A:A,A821),"."))/VLOOKUP("USD",'Exchange Rates'!B:C,2,0),"Error with coding"))),"")</f>
        <v/>
      </c>
      <c r="U821" s="579" t="s">
        <v>261</v>
      </c>
      <c r="V821" s="547" t="s">
        <v>2391</v>
      </c>
      <c r="W821" s="547" t="s">
        <v>2392</v>
      </c>
      <c r="X821" s="188" t="s">
        <v>260</v>
      </c>
      <c r="Y821" s="188" t="s">
        <v>260</v>
      </c>
      <c r="Z821" s="15">
        <v>0</v>
      </c>
      <c r="AA821" s="180">
        <v>0</v>
      </c>
      <c r="AB821" s="550" t="s">
        <v>2393</v>
      </c>
      <c r="AC821" s="544" t="str">
        <f>""</f>
        <v/>
      </c>
      <c r="AD821" s="183">
        <v>0</v>
      </c>
      <c r="AE821" s="183" t="s">
        <v>265</v>
      </c>
      <c r="AF821" s="183" t="s">
        <v>265</v>
      </c>
      <c r="AG821" s="183">
        <v>1</v>
      </c>
      <c r="AH821" s="183">
        <v>2</v>
      </c>
      <c r="AI821" s="183">
        <v>0</v>
      </c>
      <c r="AJ821" s="181">
        <f>VLOOKUP($I821,'Price List, Weapons &amp; Items'!B:F,5,0)</f>
        <v>0</v>
      </c>
      <c r="AK821" s="181">
        <f t="shared" si="166"/>
        <v>0</v>
      </c>
      <c r="AL821" s="181">
        <f t="shared" si="167"/>
        <v>0</v>
      </c>
      <c r="AM821" s="181">
        <f t="shared" si="168"/>
        <v>0</v>
      </c>
      <c r="AN821" s="180" t="str">
        <f>VLOOKUP($I821,'Price List, Weapons &amp; Items'!B:L,COLUMN('Price List, Weapons &amp; Items'!$J$11)-1,0)</f>
        <v>Media reports (incl. social media)</v>
      </c>
      <c r="AO821" s="180" t="str">
        <f>IF(I821=".",".",VLOOKUP($I821,'Price List, Weapons &amp; Items'!B:J,3,0))</f>
        <v>Military equipment</v>
      </c>
      <c r="AP821" s="545" t="str">
        <f t="shared" ca="1" si="163"/>
        <v/>
      </c>
      <c r="AQ821" s="180">
        <f>VLOOKUP($I821,'Price List, Weapons &amp; Items'!B:L,COLUMN('Price List, Weapons &amp; Items'!$L$11)-1,0)</f>
        <v>2</v>
      </c>
      <c r="AR821" s="180">
        <f t="shared" si="169"/>
        <v>1</v>
      </c>
      <c r="AS821" s="180">
        <f t="shared" si="170"/>
        <v>1</v>
      </c>
      <c r="AT821" s="180">
        <f t="shared" si="159"/>
        <v>1</v>
      </c>
      <c r="AU821" s="180" t="str">
        <f t="shared" si="160"/>
        <v>.</v>
      </c>
      <c r="AV821" s="180" t="str">
        <f t="shared" si="161"/>
        <v>.</v>
      </c>
      <c r="AW821" s="180">
        <f>IFERROR(VLOOKUP(B821,'Share, Heavy Weapons to Ukraine'!B:J,COLUMN('Share, Heavy Weapons to Ukraine'!C834)-1,0),0)</f>
        <v>0</v>
      </c>
      <c r="AX821" s="180">
        <f>VLOOKUP('Bilateral Assistance, MAIN DATA'!B821,'Country Summary'!B:F,COLUMN('Country Summary'!C837)-1,FALSE)</f>
        <v>1</v>
      </c>
      <c r="AY821" s="180" t="str">
        <f>IF(AND(AD821=1,D821="Military",H821&lt;&gt;"Not given")=TRUE,IF(SUMIFS(P:P,A:A,A821)&gt;0,ABS((SUMIFS(P:P,A:A,A821)/VLOOKUP("USD",'Exchange Rates'!B:C,2,0)))/S821,"."),".")</f>
        <v>.</v>
      </c>
      <c r="AZ821" s="182" t="str">
        <f>IF(AND(AD821=1,D821="Military",H821&lt;&gt;"Not given")=TRUE,IF(SUMIFS(P:P,A:A,A821)&gt;0,IF((ABS((SUMIFS(P:P,A:A,A821)/VLOOKUP("USD",'Exchange Rates'!B:C,2,0)))/S821)&gt;1,(SUMIFS(P:P,A:A,A821)-S821)/S821,(S821-SUMIFS(P:P,A:A,A821))/SUMIFS(P:P,A:A,A821)),"."),".")</f>
        <v>.</v>
      </c>
      <c r="BA821" s="182"/>
      <c r="BB821" s="182"/>
      <c r="BC821" s="182"/>
      <c r="BD821" s="182"/>
      <c r="BE821" s="182"/>
      <c r="BF821" s="182"/>
      <c r="BG821" s="182"/>
      <c r="BH821" s="182"/>
      <c r="BI821" s="182"/>
      <c r="BJ821" s="182"/>
      <c r="BK821" s="182"/>
      <c r="BL821" s="182"/>
      <c r="BM821" s="182"/>
      <c r="BN821" s="182"/>
      <c r="BO821" s="182"/>
      <c r="BP821" s="182"/>
      <c r="BQ821" s="182"/>
      <c r="BR821" s="182"/>
      <c r="BS821" s="182"/>
    </row>
    <row r="822" spans="1:71" ht="15.9" customHeight="1" x14ac:dyDescent="0.3">
      <c r="A822" s="5" t="s">
        <v>2389</v>
      </c>
      <c r="B822" s="5" t="s">
        <v>2370</v>
      </c>
      <c r="C822" s="174">
        <v>44618</v>
      </c>
      <c r="D822" s="5" t="s">
        <v>285</v>
      </c>
      <c r="E822" s="5" t="s">
        <v>294</v>
      </c>
      <c r="F822" s="175" t="s">
        <v>2390</v>
      </c>
      <c r="G822" s="15" t="s">
        <v>346</v>
      </c>
      <c r="H822" s="176" t="s">
        <v>341</v>
      </c>
      <c r="I822" s="17" t="s">
        <v>602</v>
      </c>
      <c r="J822" s="113" t="str">
        <f>VLOOKUP($I822,'Price List, Weapons &amp; Items'!B:C,2,0)</f>
        <v>Light armaments &amp; infantry</v>
      </c>
      <c r="K822" s="113" t="str">
        <f>IF(I822=".",I822,VLOOKUP($I822,'Price List, Weapons &amp; Items'!B:D,3,0))</f>
        <v>Explosive</v>
      </c>
      <c r="L822" s="177">
        <f>VLOOKUP(I822,'Price List, Weapons &amp; Items'!B:E,4,0)</f>
        <v>0</v>
      </c>
      <c r="M822" s="542" t="s">
        <v>270</v>
      </c>
      <c r="N822" s="542" t="s">
        <v>270</v>
      </c>
      <c r="O822" s="543">
        <f>VLOOKUP($I822,'Price List, Weapons &amp; Items'!B:G,6,0)</f>
        <v>45</v>
      </c>
      <c r="P822" s="176" t="str">
        <f t="shared" si="164"/>
        <v>.</v>
      </c>
      <c r="Q822" s="176" t="str">
        <f t="shared" si="165"/>
        <v>.</v>
      </c>
      <c r="R822" s="176" t="str">
        <f t="shared" si="162"/>
        <v/>
      </c>
      <c r="S822" s="176" t="str">
        <f>IF(AND(AD822=1,R822&lt;&gt;".")=TRUE,R822/VLOOKUP(G822,'Exchange Rates'!B:C,2,0),IF(R822=".",".",""))</f>
        <v/>
      </c>
      <c r="T822" s="176" t="str">
        <f>IF(AD822=1,IF(AF822="Value is not given at all",".",IF(AF822="Value is given by the source",S822,IF(AF822="Value is calculated with prices",(IF(SUMIFS(Q:Q,A:A,A822)&gt;0,SUMIFS(Q:Q,A:A,A822),"."))/VLOOKUP("USD",'Exchange Rates'!B:C,2,0),"Error with coding"))),"")</f>
        <v/>
      </c>
      <c r="U822" s="579" t="s">
        <v>261</v>
      </c>
      <c r="V822" s="547" t="s">
        <v>2391</v>
      </c>
      <c r="W822" s="547" t="s">
        <v>2392</v>
      </c>
      <c r="X822" s="188" t="s">
        <v>260</v>
      </c>
      <c r="Y822" s="188" t="s">
        <v>260</v>
      </c>
      <c r="Z822" s="15">
        <v>0</v>
      </c>
      <c r="AA822" s="180">
        <v>0</v>
      </c>
      <c r="AB822" s="550" t="s">
        <v>2393</v>
      </c>
      <c r="AC822" s="544" t="str">
        <f>""</f>
        <v/>
      </c>
      <c r="AD822" s="183">
        <v>0</v>
      </c>
      <c r="AE822" s="183" t="s">
        <v>265</v>
      </c>
      <c r="AF822" s="183" t="s">
        <v>265</v>
      </c>
      <c r="AG822" s="183">
        <v>1</v>
      </c>
      <c r="AH822" s="183">
        <v>2</v>
      </c>
      <c r="AI822" s="183">
        <v>0</v>
      </c>
      <c r="AJ822" s="181">
        <f>VLOOKUP($I822,'Price List, Weapons &amp; Items'!B:F,5,0)</f>
        <v>0</v>
      </c>
      <c r="AK822" s="181">
        <f t="shared" si="166"/>
        <v>0</v>
      </c>
      <c r="AL822" s="181">
        <f t="shared" si="167"/>
        <v>0</v>
      </c>
      <c r="AM822" s="181">
        <f t="shared" si="168"/>
        <v>0</v>
      </c>
      <c r="AN822" s="180" t="str">
        <f>VLOOKUP($I822,'Price List, Weapons &amp; Items'!B:L,COLUMN('Price List, Weapons &amp; Items'!$J$11)-1,0)</f>
        <v>Miscellaneous</v>
      </c>
      <c r="AO822" s="180" t="str">
        <f>IF(I822=".",".",VLOOKUP($I822,'Price List, Weapons &amp; Items'!B:J,3,0))</f>
        <v>Explosive</v>
      </c>
      <c r="AP822" s="545" t="str">
        <f t="shared" ca="1" si="163"/>
        <v/>
      </c>
      <c r="AQ822" s="180">
        <f>VLOOKUP($I822,'Price List, Weapons &amp; Items'!B:L,COLUMN('Price List, Weapons &amp; Items'!$L$11)-1,0)</f>
        <v>2</v>
      </c>
      <c r="AR822" s="180">
        <f t="shared" si="169"/>
        <v>1</v>
      </c>
      <c r="AS822" s="180">
        <f t="shared" si="170"/>
        <v>1</v>
      </c>
      <c r="AT822" s="180">
        <f t="shared" si="159"/>
        <v>1</v>
      </c>
      <c r="AU822" s="180" t="str">
        <f t="shared" si="160"/>
        <v>.</v>
      </c>
      <c r="AV822" s="180" t="str">
        <f t="shared" si="161"/>
        <v>.</v>
      </c>
      <c r="AW822" s="180">
        <f>IFERROR(VLOOKUP(B822,'Share, Heavy Weapons to Ukraine'!B:J,COLUMN('Share, Heavy Weapons to Ukraine'!C835)-1,0),0)</f>
        <v>0</v>
      </c>
      <c r="AX822" s="180">
        <f>VLOOKUP('Bilateral Assistance, MAIN DATA'!B822,'Country Summary'!B:F,COLUMN('Country Summary'!C838)-1,FALSE)</f>
        <v>1</v>
      </c>
      <c r="AY822" s="180" t="str">
        <f>IF(AND(AD822=1,D822="Military",H822&lt;&gt;"Not given")=TRUE,IF(SUMIFS(P:P,A:A,A822)&gt;0,ABS((SUMIFS(P:P,A:A,A822)/VLOOKUP("USD",'Exchange Rates'!B:C,2,0)))/S822,"."),".")</f>
        <v>.</v>
      </c>
      <c r="AZ822" s="182" t="str">
        <f>IF(AND(AD822=1,D822="Military",H822&lt;&gt;"Not given")=TRUE,IF(SUMIFS(P:P,A:A,A822)&gt;0,IF((ABS((SUMIFS(P:P,A:A,A822)/VLOOKUP("USD",'Exchange Rates'!B:C,2,0)))/S822)&gt;1,(SUMIFS(P:P,A:A,A822)-S822)/S822,(S822-SUMIFS(P:P,A:A,A822))/SUMIFS(P:P,A:A,A822)),"."),".")</f>
        <v>.</v>
      </c>
      <c r="BA822" s="182"/>
      <c r="BB822" s="182"/>
      <c r="BC822" s="182"/>
      <c r="BD822" s="182"/>
      <c r="BE822" s="182"/>
      <c r="BF822" s="182"/>
      <c r="BG822" s="182"/>
      <c r="BH822" s="182"/>
      <c r="BI822" s="182"/>
      <c r="BJ822" s="182"/>
      <c r="BK822" s="182"/>
      <c r="BL822" s="182"/>
      <c r="BM822" s="182"/>
      <c r="BN822" s="182"/>
      <c r="BO822" s="182"/>
      <c r="BP822" s="182"/>
      <c r="BQ822" s="182"/>
      <c r="BR822" s="182"/>
      <c r="BS822" s="182"/>
    </row>
    <row r="823" spans="1:71" ht="15.9" customHeight="1" x14ac:dyDescent="0.3">
      <c r="A823" s="5" t="s">
        <v>2389</v>
      </c>
      <c r="B823" s="5" t="s">
        <v>2370</v>
      </c>
      <c r="C823" s="174">
        <v>44618</v>
      </c>
      <c r="D823" s="5" t="s">
        <v>285</v>
      </c>
      <c r="E823" s="5" t="s">
        <v>294</v>
      </c>
      <c r="F823" s="175" t="s">
        <v>2390</v>
      </c>
      <c r="G823" s="15" t="s">
        <v>346</v>
      </c>
      <c r="H823" s="176" t="s">
        <v>341</v>
      </c>
      <c r="I823" s="17" t="s">
        <v>2394</v>
      </c>
      <c r="J823" s="113" t="str">
        <f>VLOOKUP($I823,'Price List, Weapons &amp; Items'!B:C,2,0)</f>
        <v>Ammunition for light infantry</v>
      </c>
      <c r="K823" s="113" t="str">
        <f>IF(I823=".",I823,VLOOKUP($I823,'Price List, Weapons &amp; Items'!B:D,3,0))</f>
        <v>Small Arms and Light Weapons (SALW) ammunition</v>
      </c>
      <c r="L823" s="177">
        <f>VLOOKUP(I823,'Price List, Weapons &amp; Items'!B:E,4,0)</f>
        <v>0</v>
      </c>
      <c r="M823" s="542" t="s">
        <v>270</v>
      </c>
      <c r="N823" s="542" t="s">
        <v>270</v>
      </c>
      <c r="O823" s="543">
        <f>VLOOKUP($I823,'Price List, Weapons &amp; Items'!B:G,6,0)</f>
        <v>0.85</v>
      </c>
      <c r="P823" s="176" t="str">
        <f t="shared" si="164"/>
        <v>.</v>
      </c>
      <c r="Q823" s="176" t="str">
        <f t="shared" si="165"/>
        <v>.</v>
      </c>
      <c r="R823" s="176" t="str">
        <f t="shared" si="162"/>
        <v/>
      </c>
      <c r="S823" s="176" t="str">
        <f>IF(AND(AD823=1,R823&lt;&gt;".")=TRUE,R823/VLOOKUP(G823,'Exchange Rates'!B:C,2,0),IF(R823=".",".",""))</f>
        <v/>
      </c>
      <c r="T823" s="176" t="str">
        <f>IF(AD823=1,IF(AF823="Value is not given at all",".",IF(AF823="Value is given by the source",S823,IF(AF823="Value is calculated with prices",(IF(SUMIFS(Q:Q,A:A,A823)&gt;0,SUMIFS(Q:Q,A:A,A823),"."))/VLOOKUP("USD",'Exchange Rates'!B:C,2,0),"Error with coding"))),"")</f>
        <v/>
      </c>
      <c r="U823" s="579" t="s">
        <v>261</v>
      </c>
      <c r="V823" s="547" t="s">
        <v>2391</v>
      </c>
      <c r="W823" s="547" t="s">
        <v>2392</v>
      </c>
      <c r="X823" s="188" t="s">
        <v>260</v>
      </c>
      <c r="Y823" s="188" t="s">
        <v>260</v>
      </c>
      <c r="Z823" s="15">
        <v>0</v>
      </c>
      <c r="AA823" s="180">
        <v>0</v>
      </c>
      <c r="AB823" s="550" t="s">
        <v>2393</v>
      </c>
      <c r="AC823" s="544" t="str">
        <f>""</f>
        <v/>
      </c>
      <c r="AD823" s="183">
        <v>0</v>
      </c>
      <c r="AE823" s="183" t="s">
        <v>265</v>
      </c>
      <c r="AF823" s="183" t="s">
        <v>265</v>
      </c>
      <c r="AG823" s="183">
        <v>1</v>
      </c>
      <c r="AH823" s="183">
        <v>2</v>
      </c>
      <c r="AI823" s="183">
        <v>0</v>
      </c>
      <c r="AJ823" s="181">
        <f>VLOOKUP($I823,'Price List, Weapons &amp; Items'!B:F,5,0)</f>
        <v>0</v>
      </c>
      <c r="AK823" s="181">
        <f t="shared" si="166"/>
        <v>0</v>
      </c>
      <c r="AL823" s="181">
        <f t="shared" si="167"/>
        <v>0</v>
      </c>
      <c r="AM823" s="181">
        <f t="shared" si="168"/>
        <v>0</v>
      </c>
      <c r="AN823" s="180" t="str">
        <f>VLOOKUP($I823,'Price List, Weapons &amp; Items'!B:L,COLUMN('Price List, Weapons &amp; Items'!$J$11)-1,0)</f>
        <v>Online marketplaces and stores</v>
      </c>
      <c r="AO823" s="180" t="str">
        <f>IF(I823=".",".",VLOOKUP($I823,'Price List, Weapons &amp; Items'!B:J,3,0))</f>
        <v>Small Arms and Light Weapons (SALW) ammunition</v>
      </c>
      <c r="AP823" s="545" t="str">
        <f t="shared" ca="1" si="163"/>
        <v/>
      </c>
      <c r="AQ823" s="180">
        <f>VLOOKUP($I823,'Price List, Weapons &amp; Items'!B:L,COLUMN('Price List, Weapons &amp; Items'!$L$11)-1,0)</f>
        <v>1</v>
      </c>
      <c r="AR823" s="180">
        <f t="shared" si="169"/>
        <v>1</v>
      </c>
      <c r="AS823" s="180">
        <f t="shared" si="170"/>
        <v>1</v>
      </c>
      <c r="AT823" s="180">
        <f t="shared" si="159"/>
        <v>1</v>
      </c>
      <c r="AU823" s="180" t="str">
        <f t="shared" si="160"/>
        <v>.</v>
      </c>
      <c r="AV823" s="180" t="str">
        <f t="shared" si="161"/>
        <v>.</v>
      </c>
      <c r="AW823" s="180">
        <f>IFERROR(VLOOKUP(B823,'Share, Heavy Weapons to Ukraine'!B:J,COLUMN('Share, Heavy Weapons to Ukraine'!C836)-1,0),0)</f>
        <v>0</v>
      </c>
      <c r="AX823" s="180">
        <f>VLOOKUP('Bilateral Assistance, MAIN DATA'!B823,'Country Summary'!B:F,COLUMN('Country Summary'!C839)-1,FALSE)</f>
        <v>1</v>
      </c>
      <c r="AY823" s="180" t="str">
        <f>IF(AND(AD823=1,D823="Military",H823&lt;&gt;"Not given")=TRUE,IF(SUMIFS(P:P,A:A,A823)&gt;0,ABS((SUMIFS(P:P,A:A,A823)/VLOOKUP("USD",'Exchange Rates'!B:C,2,0)))/S823,"."),".")</f>
        <v>.</v>
      </c>
      <c r="AZ823" s="182" t="str">
        <f>IF(AND(AD823=1,D823="Military",H823&lt;&gt;"Not given")=TRUE,IF(SUMIFS(P:P,A:A,A823)&gt;0,IF((ABS((SUMIFS(P:P,A:A,A823)/VLOOKUP("USD",'Exchange Rates'!B:C,2,0)))/S823)&gt;1,(SUMIFS(P:P,A:A,A823)-S823)/S823,(S823-SUMIFS(P:P,A:A,A823))/SUMIFS(P:P,A:A,A823)),"."),".")</f>
        <v>.</v>
      </c>
      <c r="BA823" s="182"/>
      <c r="BB823" s="182"/>
      <c r="BC823" s="182"/>
      <c r="BD823" s="182"/>
      <c r="BE823" s="182"/>
      <c r="BF823" s="182"/>
      <c r="BG823" s="182"/>
      <c r="BH823" s="182"/>
      <c r="BI823" s="182"/>
      <c r="BJ823" s="182"/>
      <c r="BK823" s="182"/>
      <c r="BL823" s="182"/>
      <c r="BM823" s="182"/>
      <c r="BN823" s="182"/>
      <c r="BO823" s="182"/>
      <c r="BP823" s="182"/>
      <c r="BQ823" s="182"/>
      <c r="BR823" s="182"/>
      <c r="BS823" s="182"/>
    </row>
    <row r="824" spans="1:71" ht="15.9" customHeight="1" x14ac:dyDescent="0.3">
      <c r="A824" s="5" t="s">
        <v>2389</v>
      </c>
      <c r="B824" s="5" t="s">
        <v>2370</v>
      </c>
      <c r="C824" s="174">
        <v>44618</v>
      </c>
      <c r="D824" s="5" t="s">
        <v>285</v>
      </c>
      <c r="E824" s="5" t="s">
        <v>294</v>
      </c>
      <c r="F824" s="175" t="s">
        <v>2390</v>
      </c>
      <c r="G824" s="15" t="s">
        <v>346</v>
      </c>
      <c r="H824" s="176" t="s">
        <v>341</v>
      </c>
      <c r="I824" s="17" t="s">
        <v>2395</v>
      </c>
      <c r="J824" s="113" t="str">
        <f>VLOOKUP($I824,'Price List, Weapons &amp; Items'!B:C,2,0)</f>
        <v>Military equipment</v>
      </c>
      <c r="K824" s="113" t="str">
        <f>IF(I824=".",I824,VLOOKUP($I824,'Price List, Weapons &amp; Items'!B:D,3,0))</f>
        <v>Military equipment</v>
      </c>
      <c r="L824" s="177">
        <f>VLOOKUP(I824,'Price List, Weapons &amp; Items'!B:E,4,0)</f>
        <v>0</v>
      </c>
      <c r="M824" s="542" t="s">
        <v>270</v>
      </c>
      <c r="N824" s="542" t="s">
        <v>270</v>
      </c>
      <c r="O824" s="543">
        <f>VLOOKUP($I824,'Price List, Weapons &amp; Items'!B:G,6,0)</f>
        <v>40</v>
      </c>
      <c r="P824" s="176" t="str">
        <f t="shared" si="164"/>
        <v>.</v>
      </c>
      <c r="Q824" s="176" t="str">
        <f t="shared" si="165"/>
        <v>.</v>
      </c>
      <c r="R824" s="176" t="str">
        <f t="shared" si="162"/>
        <v/>
      </c>
      <c r="S824" s="176" t="str">
        <f>IF(AND(AD824=1,R824&lt;&gt;".")=TRUE,R824/VLOOKUP(G824,'Exchange Rates'!B:C,2,0),IF(R824=".",".",""))</f>
        <v/>
      </c>
      <c r="T824" s="176" t="str">
        <f>IF(AD824=1,IF(AF824="Value is not given at all",".",IF(AF824="Value is given by the source",S824,IF(AF824="Value is calculated with prices",(IF(SUMIFS(Q:Q,A:A,A824)&gt;0,SUMIFS(Q:Q,A:A,A824),"."))/VLOOKUP("USD",'Exchange Rates'!B:C,2,0),"Error with coding"))),"")</f>
        <v/>
      </c>
      <c r="U824" s="579" t="s">
        <v>261</v>
      </c>
      <c r="V824" s="547" t="s">
        <v>2391</v>
      </c>
      <c r="W824" s="547" t="s">
        <v>2392</v>
      </c>
      <c r="X824" s="530" t="s">
        <v>260</v>
      </c>
      <c r="Y824" s="188" t="s">
        <v>260</v>
      </c>
      <c r="Z824" s="15">
        <v>0</v>
      </c>
      <c r="AA824" s="180">
        <v>0</v>
      </c>
      <c r="AB824" s="550" t="s">
        <v>2393</v>
      </c>
      <c r="AC824" s="544" t="str">
        <f>""</f>
        <v/>
      </c>
      <c r="AD824" s="183">
        <v>0</v>
      </c>
      <c r="AE824" s="183" t="s">
        <v>265</v>
      </c>
      <c r="AF824" s="183" t="s">
        <v>265</v>
      </c>
      <c r="AG824" s="183">
        <v>1</v>
      </c>
      <c r="AH824" s="183">
        <v>2</v>
      </c>
      <c r="AI824" s="183">
        <v>0</v>
      </c>
      <c r="AJ824" s="181">
        <f>VLOOKUP($I824,'Price List, Weapons &amp; Items'!B:F,5,0)</f>
        <v>0</v>
      </c>
      <c r="AK824" s="181">
        <f t="shared" si="166"/>
        <v>0</v>
      </c>
      <c r="AL824" s="181">
        <f t="shared" si="167"/>
        <v>0</v>
      </c>
      <c r="AM824" s="181">
        <f t="shared" si="168"/>
        <v>0</v>
      </c>
      <c r="AN824" s="180" t="str">
        <f>VLOOKUP($I824,'Price List, Weapons &amp; Items'!B:L,COLUMN('Price List, Weapons &amp; Items'!$J$11)-1,0)</f>
        <v>Online marketplaces and stores</v>
      </c>
      <c r="AO824" s="180" t="str">
        <f>IF(I824=".",".",VLOOKUP($I824,'Price List, Weapons &amp; Items'!B:J,3,0))</f>
        <v>Military equipment</v>
      </c>
      <c r="AP824" s="545" t="str">
        <f t="shared" ca="1" si="163"/>
        <v/>
      </c>
      <c r="AQ824" s="180" t="str">
        <f>VLOOKUP($I824,'Price List, Weapons &amp; Items'!B:L,COLUMN('Price List, Weapons &amp; Items'!$L$11)-1,0)</f>
        <v>no price, 0 count</v>
      </c>
      <c r="AR824" s="180">
        <f t="shared" si="169"/>
        <v>1</v>
      </c>
      <c r="AS824" s="180">
        <f t="shared" si="170"/>
        <v>1</v>
      </c>
      <c r="AT824" s="180">
        <f t="shared" si="159"/>
        <v>1</v>
      </c>
      <c r="AU824" s="180" t="str">
        <f t="shared" si="160"/>
        <v>.</v>
      </c>
      <c r="AV824" s="180" t="str">
        <f t="shared" si="161"/>
        <v>.</v>
      </c>
      <c r="AW824" s="180">
        <f>IFERROR(VLOOKUP(B824,'Share, Heavy Weapons to Ukraine'!B:J,COLUMN('Share, Heavy Weapons to Ukraine'!C837)-1,0),0)</f>
        <v>0</v>
      </c>
      <c r="AX824" s="180">
        <f>VLOOKUP('Bilateral Assistance, MAIN DATA'!B824,'Country Summary'!B:F,COLUMN('Country Summary'!C840)-1,FALSE)</f>
        <v>1</v>
      </c>
      <c r="AY824" s="180" t="str">
        <f>IF(AND(AD824=1,D824="Military",H824&lt;&gt;"Not given")=TRUE,IF(SUMIFS(P:P,A:A,A824)&gt;0,ABS((SUMIFS(P:P,A:A,A824)/VLOOKUP("USD",'Exchange Rates'!B:C,2,0)))/S824,"."),".")</f>
        <v>.</v>
      </c>
      <c r="AZ824" s="182" t="str">
        <f>IF(AND(AD824=1,D824="Military",H824&lt;&gt;"Not given")=TRUE,IF(SUMIFS(P:P,A:A,A824)&gt;0,IF((ABS((SUMIFS(P:P,A:A,A824)/VLOOKUP("USD",'Exchange Rates'!B:C,2,0)))/S824)&gt;1,(SUMIFS(P:P,A:A,A824)-S824)/S824,(S824-SUMIFS(P:P,A:A,A824))/SUMIFS(P:P,A:A,A824)),"."),".")</f>
        <v>.</v>
      </c>
      <c r="BA824" s="182"/>
      <c r="BB824" s="182"/>
      <c r="BC824" s="182"/>
      <c r="BD824" s="182"/>
      <c r="BE824" s="182"/>
      <c r="BF824" s="182"/>
      <c r="BG824" s="182"/>
      <c r="BH824" s="182"/>
      <c r="BI824" s="182"/>
      <c r="BJ824" s="182"/>
      <c r="BK824" s="182"/>
      <c r="BL824" s="182"/>
      <c r="BM824" s="182"/>
      <c r="BN824" s="182"/>
      <c r="BO824" s="182"/>
      <c r="BP824" s="182"/>
      <c r="BQ824" s="182"/>
      <c r="BR824" s="182"/>
      <c r="BS824" s="182"/>
    </row>
    <row r="825" spans="1:71" ht="15.9" customHeight="1" x14ac:dyDescent="0.3">
      <c r="A825" s="5" t="s">
        <v>2389</v>
      </c>
      <c r="B825" s="5" t="s">
        <v>2370</v>
      </c>
      <c r="C825" s="174">
        <v>44618</v>
      </c>
      <c r="D825" s="5" t="s">
        <v>285</v>
      </c>
      <c r="E825" s="5" t="s">
        <v>294</v>
      </c>
      <c r="F825" s="175" t="s">
        <v>2390</v>
      </c>
      <c r="G825" s="15" t="s">
        <v>346</v>
      </c>
      <c r="H825" s="176" t="s">
        <v>341</v>
      </c>
      <c r="I825" s="17" t="s">
        <v>2396</v>
      </c>
      <c r="J825" s="113" t="str">
        <f>VLOOKUP($I825,'Price List, Weapons &amp; Items'!B:C,2,0)</f>
        <v>Light armaments &amp; infantry</v>
      </c>
      <c r="K825" s="113" t="str">
        <f>IF(I825=".",I825,VLOOKUP($I825,'Price List, Weapons &amp; Items'!B:D,3,0))</f>
        <v>Light Anti-armor Weapon (LAW)</v>
      </c>
      <c r="L825" s="177">
        <f>VLOOKUP(I825,'Price List, Weapons &amp; Items'!B:E,4,0)</f>
        <v>0</v>
      </c>
      <c r="M825" s="542" t="s">
        <v>270</v>
      </c>
      <c r="N825" s="542" t="s">
        <v>270</v>
      </c>
      <c r="O825" s="543">
        <f>VLOOKUP($I825,'Price List, Weapons &amp; Items'!B:G,6,0)</f>
        <v>2462.4299999999998</v>
      </c>
      <c r="P825" s="176" t="str">
        <f t="shared" si="164"/>
        <v>.</v>
      </c>
      <c r="Q825" s="176" t="str">
        <f t="shared" si="165"/>
        <v>.</v>
      </c>
      <c r="R825" s="176" t="str">
        <f t="shared" si="162"/>
        <v/>
      </c>
      <c r="S825" s="176" t="str">
        <f>IF(AND(AD825=1,R825&lt;&gt;".")=TRUE,R825/VLOOKUP(G825,'Exchange Rates'!B:C,2,0),IF(R825=".",".",""))</f>
        <v/>
      </c>
      <c r="T825" s="176" t="str">
        <f>IF(AD825=1,IF(AF825="Value is not given at all",".",IF(AF825="Value is given by the source",S825,IF(AF825="Value is calculated with prices",(IF(SUMIFS(Q:Q,A:A,A825)&gt;0,SUMIFS(Q:Q,A:A,A825),"."))/VLOOKUP("USD",'Exchange Rates'!B:C,2,0),"Error with coding"))),"")</f>
        <v/>
      </c>
      <c r="U825" s="579" t="s">
        <v>261</v>
      </c>
      <c r="V825" s="547" t="s">
        <v>2391</v>
      </c>
      <c r="W825" s="547" t="s">
        <v>2392</v>
      </c>
      <c r="X825" s="530" t="s">
        <v>260</v>
      </c>
      <c r="Y825" s="188" t="s">
        <v>260</v>
      </c>
      <c r="Z825" s="15">
        <v>0</v>
      </c>
      <c r="AA825" s="180">
        <v>0</v>
      </c>
      <c r="AB825" s="550" t="s">
        <v>2393</v>
      </c>
      <c r="AC825" s="544" t="str">
        <f>""</f>
        <v/>
      </c>
      <c r="AD825" s="183">
        <v>0</v>
      </c>
      <c r="AE825" s="183" t="s">
        <v>265</v>
      </c>
      <c r="AF825" s="183" t="s">
        <v>265</v>
      </c>
      <c r="AG825" s="183">
        <v>1</v>
      </c>
      <c r="AH825" s="183">
        <v>2</v>
      </c>
      <c r="AI825" s="183">
        <v>0</v>
      </c>
      <c r="AJ825" s="181">
        <f>VLOOKUP($I825,'Price List, Weapons &amp; Items'!B:F,5,0)</f>
        <v>0</v>
      </c>
      <c r="AK825" s="181">
        <f t="shared" si="166"/>
        <v>0</v>
      </c>
      <c r="AL825" s="181">
        <f t="shared" si="167"/>
        <v>0</v>
      </c>
      <c r="AM825" s="181">
        <f t="shared" si="168"/>
        <v>0</v>
      </c>
      <c r="AN825" s="180" t="str">
        <f>VLOOKUP($I825,'Price List, Weapons &amp; Items'!B:L,COLUMN('Price List, Weapons &amp; Items'!$J$11)-1,0)</f>
        <v>Online marketplaces and stores</v>
      </c>
      <c r="AO825" s="180" t="str">
        <f>IF(I825=".",".",VLOOKUP($I825,'Price List, Weapons &amp; Items'!B:J,3,0))</f>
        <v>Light Anti-armor Weapon (LAW)</v>
      </c>
      <c r="AP825" s="545" t="str">
        <f t="shared" ca="1" si="163"/>
        <v/>
      </c>
      <c r="AQ825" s="180" t="str">
        <f>VLOOKUP($I825,'Price List, Weapons &amp; Items'!B:L,COLUMN('Price List, Weapons &amp; Items'!$L$11)-1,0)</f>
        <v>no price, 0 count</v>
      </c>
      <c r="AR825" s="180">
        <f t="shared" si="169"/>
        <v>1</v>
      </c>
      <c r="AS825" s="180">
        <f t="shared" si="170"/>
        <v>1</v>
      </c>
      <c r="AT825" s="180">
        <f t="shared" si="159"/>
        <v>1</v>
      </c>
      <c r="AU825" s="180" t="str">
        <f t="shared" si="160"/>
        <v>.</v>
      </c>
      <c r="AV825" s="180" t="str">
        <f t="shared" si="161"/>
        <v>.</v>
      </c>
      <c r="AW825" s="180">
        <f>IFERROR(VLOOKUP(B825,'Share, Heavy Weapons to Ukraine'!B:J,COLUMN('Share, Heavy Weapons to Ukraine'!C838)-1,0),0)</f>
        <v>0</v>
      </c>
      <c r="AX825" s="180">
        <f>VLOOKUP('Bilateral Assistance, MAIN DATA'!B825,'Country Summary'!B:F,COLUMN('Country Summary'!C841)-1,FALSE)</f>
        <v>1</v>
      </c>
      <c r="AY825" s="180" t="str">
        <f>IF(AND(AD825=1,D825="Military",H825&lt;&gt;"Not given")=TRUE,IF(SUMIFS(P:P,A:A,A825)&gt;0,ABS((SUMIFS(P:P,A:A,A825)/VLOOKUP("USD",'Exchange Rates'!B:C,2,0)))/S825,"."),".")</f>
        <v>.</v>
      </c>
      <c r="AZ825" s="182" t="str">
        <f>IF(AND(AD825=1,D825="Military",H825&lt;&gt;"Not given")=TRUE,IF(SUMIFS(P:P,A:A,A825)&gt;0,IF((ABS((SUMIFS(P:P,A:A,A825)/VLOOKUP("USD",'Exchange Rates'!B:C,2,0)))/S825)&gt;1,(SUMIFS(P:P,A:A,A825)-S825)/S825,(S825-SUMIFS(P:P,A:A,A825))/SUMIFS(P:P,A:A,A825)),"."),".")</f>
        <v>.</v>
      </c>
      <c r="BA825" s="182"/>
      <c r="BB825" s="182"/>
      <c r="BC825" s="182"/>
      <c r="BD825" s="182"/>
      <c r="BE825" s="182"/>
      <c r="BF825" s="182"/>
      <c r="BG825" s="182"/>
      <c r="BH825" s="182"/>
      <c r="BI825" s="182"/>
      <c r="BJ825" s="182"/>
      <c r="BK825" s="182"/>
      <c r="BL825" s="182"/>
      <c r="BM825" s="182"/>
      <c r="BN825" s="182"/>
      <c r="BO825" s="182"/>
      <c r="BP825" s="182"/>
      <c r="BQ825" s="182"/>
      <c r="BR825" s="182"/>
      <c r="BS825" s="182"/>
    </row>
    <row r="826" spans="1:71" ht="15.9" customHeight="1" x14ac:dyDescent="0.3">
      <c r="A826" s="17" t="s">
        <v>2397</v>
      </c>
      <c r="B826" s="17" t="s">
        <v>2370</v>
      </c>
      <c r="C826" s="174">
        <v>44663</v>
      </c>
      <c r="D826" s="5" t="s">
        <v>285</v>
      </c>
      <c r="E826" s="5" t="s">
        <v>294</v>
      </c>
      <c r="F826" s="175" t="s">
        <v>2398</v>
      </c>
      <c r="G826" s="15" t="s">
        <v>260</v>
      </c>
      <c r="H826" s="176" t="s">
        <v>341</v>
      </c>
      <c r="I826" s="17" t="s">
        <v>260</v>
      </c>
      <c r="J826" s="113" t="str">
        <f>VLOOKUP($I826,'Price List, Weapons &amp; Items'!B:C,2,0)</f>
        <v>.</v>
      </c>
      <c r="K826" s="113" t="str">
        <f>IF(I826=".",I826,VLOOKUP($I826,'Price List, Weapons &amp; Items'!B:D,3,0))</f>
        <v>.</v>
      </c>
      <c r="L826" s="177">
        <f>VLOOKUP(I826,'Price List, Weapons &amp; Items'!B:E,4,0)</f>
        <v>0</v>
      </c>
      <c r="M826" s="542" t="s">
        <v>260</v>
      </c>
      <c r="N826" s="542" t="s">
        <v>260</v>
      </c>
      <c r="O826" s="543" t="str">
        <f>VLOOKUP($I826,'Price List, Weapons &amp; Items'!B:G,6,0)</f>
        <v>.</v>
      </c>
      <c r="P826" s="176" t="str">
        <f t="shared" si="164"/>
        <v>.</v>
      </c>
      <c r="Q826" s="176" t="str">
        <f t="shared" si="165"/>
        <v>.</v>
      </c>
      <c r="R826" s="176" t="str">
        <f t="shared" si="162"/>
        <v>.</v>
      </c>
      <c r="S826" s="176" t="str">
        <f>IF(AND(AD826=1,R826&lt;&gt;".")=TRUE,R826/VLOOKUP(G826,'Exchange Rates'!B:C,2,0),IF(R826=".",".",""))</f>
        <v>.</v>
      </c>
      <c r="T826" s="176" t="str">
        <f>IF(AD826=1,IF(AF826="Value is not given at all",".",IF(AF826="Value is given by the source",S826,IF(AF826="Value is calculated with prices",(IF(SUMIFS(Q:Q,A:A,A826)&gt;0,SUMIFS(Q:Q,A:A,A826),"."))/VLOOKUP("USD",'Exchange Rates'!B:C,2,0),"Error with coding"))),"")</f>
        <v>.</v>
      </c>
      <c r="U826" s="15" t="s">
        <v>261</v>
      </c>
      <c r="V826" s="300" t="s">
        <v>2399</v>
      </c>
      <c r="W826" s="300" t="s">
        <v>2400</v>
      </c>
      <c r="X826" s="300" t="s">
        <v>2401</v>
      </c>
      <c r="Y826" s="175" t="s">
        <v>260</v>
      </c>
      <c r="Z826" s="15">
        <v>0</v>
      </c>
      <c r="AA826" s="180">
        <v>0</v>
      </c>
      <c r="AB826" s="17" t="s">
        <v>260</v>
      </c>
      <c r="AC826" s="544" t="str">
        <f>""</f>
        <v/>
      </c>
      <c r="AD826" s="183">
        <v>1</v>
      </c>
      <c r="AE826" s="183" t="s">
        <v>265</v>
      </c>
      <c r="AF826" s="183" t="s">
        <v>265</v>
      </c>
      <c r="AG826" s="183">
        <v>1</v>
      </c>
      <c r="AH826" s="181">
        <v>4</v>
      </c>
      <c r="AI826" s="181">
        <v>0</v>
      </c>
      <c r="AJ826" s="181">
        <f>VLOOKUP($I826,'Price List, Weapons &amp; Items'!B:F,5,0)</f>
        <v>0</v>
      </c>
      <c r="AK826" s="181">
        <f t="shared" si="166"/>
        <v>0</v>
      </c>
      <c r="AL826" s="181">
        <f t="shared" si="167"/>
        <v>0</v>
      </c>
      <c r="AM826" s="181">
        <f t="shared" si="168"/>
        <v>0</v>
      </c>
      <c r="AN826" s="180" t="str">
        <f>VLOOKUP($I826,'Price List, Weapons &amp; Items'!B:L,COLUMN('Price List, Weapons &amp; Items'!$J$11)-1,0)</f>
        <v>.</v>
      </c>
      <c r="AO826" s="180" t="str">
        <f>IF(I826=".",".",VLOOKUP($I826,'Price List, Weapons &amp; Items'!B:J,3,0))</f>
        <v>.</v>
      </c>
      <c r="AP826" s="545" t="e">
        <f t="shared" ca="1" si="163"/>
        <v>#NAME?</v>
      </c>
      <c r="AQ826" s="180" t="str">
        <f>VLOOKUP($I826,'Price List, Weapons &amp; Items'!B:L,COLUMN('Price List, Weapons &amp; Items'!$L$11)-1,0)</f>
        <v>no price, 0 count</v>
      </c>
      <c r="AR826" s="180">
        <f t="shared" si="169"/>
        <v>1</v>
      </c>
      <c r="AS826" s="180">
        <f t="shared" si="170"/>
        <v>1</v>
      </c>
      <c r="AT826" s="180">
        <f t="shared" si="159"/>
        <v>1</v>
      </c>
      <c r="AU826" s="180" t="str">
        <f t="shared" si="160"/>
        <v>.</v>
      </c>
      <c r="AV826" s="180" t="str">
        <f t="shared" si="161"/>
        <v>.</v>
      </c>
      <c r="AW826" s="180">
        <f>IFERROR(VLOOKUP(B826,'Share, Heavy Weapons to Ukraine'!B:J,COLUMN('Share, Heavy Weapons to Ukraine'!C839)-1,0),0)</f>
        <v>0</v>
      </c>
      <c r="AX826" s="180">
        <f>VLOOKUP('Bilateral Assistance, MAIN DATA'!B826,'Country Summary'!B:F,COLUMN('Country Summary'!C842)-1,FALSE)</f>
        <v>1</v>
      </c>
      <c r="AY826" s="180" t="str">
        <f>IF(AND(AD826=1,D826="Military",H826&lt;&gt;"Not given")=TRUE,IF(SUMIFS(P:P,A:A,A826)&gt;0,ABS((SUMIFS(P:P,A:A,A826)/VLOOKUP("USD",'Exchange Rates'!B:C,2,0)))/S826,"."),".")</f>
        <v>.</v>
      </c>
      <c r="AZ826" s="182" t="str">
        <f>IF(AND(AD826=1,D826="Military",H826&lt;&gt;"Not given")=TRUE,IF(SUMIFS(P:P,A:A,A826)&gt;0,IF((ABS((SUMIFS(P:P,A:A,A826)/VLOOKUP("USD",'Exchange Rates'!B:C,2,0)))/S826)&gt;1,(SUMIFS(P:P,A:A,A826)-S826)/S826,(S826-SUMIFS(P:P,A:A,A826))/SUMIFS(P:P,A:A,A826)),"."),".")</f>
        <v>.</v>
      </c>
      <c r="BA826" s="182"/>
      <c r="BB826" s="182"/>
      <c r="BC826" s="182"/>
      <c r="BD826" s="182"/>
      <c r="BE826" s="182"/>
      <c r="BF826" s="182"/>
      <c r="BG826" s="182"/>
      <c r="BH826" s="182"/>
      <c r="BI826" s="182"/>
      <c r="BJ826" s="182"/>
      <c r="BK826" s="182"/>
      <c r="BL826" s="182"/>
      <c r="BM826" s="182"/>
      <c r="BN826" s="182"/>
      <c r="BO826" s="182"/>
      <c r="BP826" s="182"/>
      <c r="BQ826" s="182"/>
      <c r="BR826" s="182"/>
      <c r="BS826" s="182"/>
    </row>
    <row r="827" spans="1:71" ht="15.9" customHeight="1" x14ac:dyDescent="0.3">
      <c r="A827" s="17" t="s">
        <v>2402</v>
      </c>
      <c r="B827" s="17" t="s">
        <v>2370</v>
      </c>
      <c r="C827" s="174">
        <v>44681</v>
      </c>
      <c r="D827" s="5" t="s">
        <v>285</v>
      </c>
      <c r="E827" s="5" t="s">
        <v>294</v>
      </c>
      <c r="F827" s="175" t="s">
        <v>2403</v>
      </c>
      <c r="G827" s="15" t="s">
        <v>346</v>
      </c>
      <c r="H827" s="176" t="s">
        <v>341</v>
      </c>
      <c r="I827" s="17" t="s">
        <v>2404</v>
      </c>
      <c r="J827" s="113" t="str">
        <f>VLOOKUP($I827,'Price List, Weapons &amp; Items'!B:C,2,0)</f>
        <v>Military equipment</v>
      </c>
      <c r="K827" s="113" t="str">
        <f>IF(I827=".",I827,VLOOKUP($I827,'Price List, Weapons &amp; Items'!B:D,3,0))</f>
        <v>Armoured Utility Vehicle (AUV)</v>
      </c>
      <c r="L827" s="177">
        <f>VLOOKUP(I827,'Price List, Weapons &amp; Items'!B:E,4,0)</f>
        <v>0</v>
      </c>
      <c r="M827" s="542">
        <v>4</v>
      </c>
      <c r="N827" s="542" t="s">
        <v>270</v>
      </c>
      <c r="O827" s="543">
        <f>VLOOKUP($I827,'Price List, Weapons &amp; Items'!B:G,6,0)</f>
        <v>605700</v>
      </c>
      <c r="P827" s="176">
        <f t="shared" si="164"/>
        <v>2422800</v>
      </c>
      <c r="Q827" s="176" t="str">
        <f t="shared" si="165"/>
        <v>.</v>
      </c>
      <c r="R827" s="176">
        <f t="shared" si="162"/>
        <v>2422800</v>
      </c>
      <c r="S827" s="176">
        <f>IF(AND(AD827=1,R827&lt;&gt;".")=TRUE,R827/VLOOKUP(G827,'Exchange Rates'!B:C,2,0),IF(R827=".",".",""))</f>
        <v>2307428.5714285714</v>
      </c>
      <c r="T827" s="176" t="str">
        <f>IF(AD827=1,IF(AF827="Value is not given at all",".",IF(AF827="Value is given by the source",S827,IF(AF827="Value is calculated with prices",(IF(SUMIFS(Q:Q,A:A,A827)&gt;0,SUMIFS(Q:Q,A:A,A827),"."))/VLOOKUP("USD",'Exchange Rates'!B:C,2,0),"Error with coding"))),"")</f>
        <v>.</v>
      </c>
      <c r="U827" s="15" t="s">
        <v>415</v>
      </c>
      <c r="V827" s="300" t="s">
        <v>2405</v>
      </c>
      <c r="W827" s="300" t="s">
        <v>2406</v>
      </c>
      <c r="X827" s="300" t="s">
        <v>2401</v>
      </c>
      <c r="Y827" s="175" t="s">
        <v>260</v>
      </c>
      <c r="Z827" s="15">
        <v>0</v>
      </c>
      <c r="AA827" s="180">
        <v>0</v>
      </c>
      <c r="AB827" s="17" t="s">
        <v>260</v>
      </c>
      <c r="AC827" s="544" t="str">
        <f>""</f>
        <v/>
      </c>
      <c r="AD827" s="183">
        <v>1</v>
      </c>
      <c r="AE827" s="183" t="s">
        <v>332</v>
      </c>
      <c r="AF827" s="183" t="s">
        <v>265</v>
      </c>
      <c r="AG827" s="183">
        <v>1</v>
      </c>
      <c r="AH827" s="181">
        <v>4</v>
      </c>
      <c r="AI827" s="181">
        <v>0</v>
      </c>
      <c r="AJ827" s="181">
        <f>VLOOKUP($I827,'Price List, Weapons &amp; Items'!B:F,5,0)</f>
        <v>1</v>
      </c>
      <c r="AK827" s="181">
        <f t="shared" si="166"/>
        <v>0</v>
      </c>
      <c r="AL827" s="181">
        <f t="shared" si="167"/>
        <v>1</v>
      </c>
      <c r="AM827" s="181">
        <f t="shared" si="168"/>
        <v>0</v>
      </c>
      <c r="AN827" s="180" t="str">
        <f>VLOOKUP($I827,'Price List, Weapons &amp; Items'!B:L,COLUMN('Price List, Weapons &amp; Items'!$J$11)-1,0)</f>
        <v>Military media (incl. websites)</v>
      </c>
      <c r="AO827" s="180" t="str">
        <f>IF(I827=".",".",VLOOKUP($I827,'Price List, Weapons &amp; Items'!B:J,3,0))</f>
        <v>Armoured Utility Vehicle (AUV)</v>
      </c>
      <c r="AP827" s="545" t="e">
        <f t="shared" ca="1" si="163"/>
        <v>#NAME?</v>
      </c>
      <c r="AQ827" s="180">
        <f>VLOOKUP($I827,'Price List, Weapons &amp; Items'!B:L,COLUMN('Price List, Weapons &amp; Items'!$L$11)-1,0)</f>
        <v>2</v>
      </c>
      <c r="AR827" s="180">
        <f t="shared" si="169"/>
        <v>0</v>
      </c>
      <c r="AS827" s="180">
        <f t="shared" si="170"/>
        <v>1</v>
      </c>
      <c r="AT827" s="180">
        <f t="shared" si="159"/>
        <v>1</v>
      </c>
      <c r="AU827" s="180" t="str">
        <f t="shared" si="160"/>
        <v>.</v>
      </c>
      <c r="AV827" s="180" t="str">
        <f t="shared" si="161"/>
        <v>.</v>
      </c>
      <c r="AW827" s="180">
        <f>IFERROR(VLOOKUP(B827,'Share, Heavy Weapons to Ukraine'!B:J,COLUMN('Share, Heavy Weapons to Ukraine'!C840)-1,0),0)</f>
        <v>0</v>
      </c>
      <c r="AX827" s="180">
        <f>VLOOKUP('Bilateral Assistance, MAIN DATA'!B827,'Country Summary'!B:F,COLUMN('Country Summary'!C843)-1,FALSE)</f>
        <v>1</v>
      </c>
      <c r="AY827" s="180" t="str">
        <f>IF(AND(AD827=1,D827="Military",H827&lt;&gt;"Not given")=TRUE,IF(SUMIFS(P:P,A:A,A827)&gt;0,ABS((SUMIFS(P:P,A:A,A827)/VLOOKUP("USD",'Exchange Rates'!B:C,2,0)))/S827,"."),".")</f>
        <v>.</v>
      </c>
      <c r="AZ827" s="182" t="str">
        <f>IF(AND(AD827=1,D827="Military",H827&lt;&gt;"Not given")=TRUE,IF(SUMIFS(P:P,A:A,A827)&gt;0,IF((ABS((SUMIFS(P:P,A:A,A827)/VLOOKUP("USD",'Exchange Rates'!B:C,2,0)))/S827)&gt;1,(SUMIFS(P:P,A:A,A827)-S827)/S827,(S827-SUMIFS(P:P,A:A,A827))/SUMIFS(P:P,A:A,A827)),"."),".")</f>
        <v>.</v>
      </c>
      <c r="BA827" s="182"/>
      <c r="BB827" s="182"/>
      <c r="BC827" s="182"/>
      <c r="BD827" s="182"/>
      <c r="BE827" s="182"/>
      <c r="BF827" s="182"/>
      <c r="BG827" s="182"/>
      <c r="BH827" s="182"/>
      <c r="BI827" s="182"/>
      <c r="BJ827" s="182"/>
      <c r="BK827" s="182"/>
      <c r="BL827" s="182"/>
      <c r="BM827" s="182"/>
      <c r="BN827" s="182"/>
      <c r="BO827" s="182"/>
      <c r="BP827" s="182"/>
      <c r="BQ827" s="182"/>
      <c r="BR827" s="182"/>
      <c r="BS827" s="182"/>
    </row>
    <row r="828" spans="1:71" ht="15.9" customHeight="1" x14ac:dyDescent="0.3">
      <c r="A828" s="5" t="s">
        <v>2407</v>
      </c>
      <c r="B828" s="5" t="s">
        <v>2370</v>
      </c>
      <c r="C828" s="174">
        <v>44689</v>
      </c>
      <c r="D828" s="5" t="s">
        <v>285</v>
      </c>
      <c r="E828" s="5" t="s">
        <v>294</v>
      </c>
      <c r="F828" s="175" t="s">
        <v>2408</v>
      </c>
      <c r="G828" s="15" t="s">
        <v>346</v>
      </c>
      <c r="H828" s="176" t="s">
        <v>341</v>
      </c>
      <c r="I828" s="17" t="s">
        <v>324</v>
      </c>
      <c r="J828" s="113" t="str">
        <f>VLOOKUP($I828,'Price List, Weapons &amp; Items'!B:C,2,0)</f>
        <v>Heavy weapon</v>
      </c>
      <c r="K828" s="113" t="str">
        <f>IF(I828=".",I828,VLOOKUP($I828,'Price List, Weapons &amp; Items'!B:D,3,0))</f>
        <v>Armoured Personnel Carrier (APC)</v>
      </c>
      <c r="L828" s="177">
        <f>VLOOKUP(I828,'Price List, Weapons &amp; Items'!B:E,4,0)</f>
        <v>0</v>
      </c>
      <c r="M828" s="542">
        <v>15</v>
      </c>
      <c r="N828" s="542">
        <v>14</v>
      </c>
      <c r="O828" s="543">
        <f>VLOOKUP($I828,'Price List, Weapons &amp; Items'!B:G,6,0)</f>
        <v>300000</v>
      </c>
      <c r="P828" s="176">
        <f t="shared" si="164"/>
        <v>4500000</v>
      </c>
      <c r="Q828" s="176">
        <f t="shared" si="165"/>
        <v>4200000</v>
      </c>
      <c r="R828" s="176">
        <f t="shared" si="162"/>
        <v>8829223.7811919115</v>
      </c>
      <c r="S828" s="176">
        <f>IF(AND(AD828=1,R828&lt;&gt;".")=TRUE,R828/VLOOKUP(G828,'Exchange Rates'!B:C,2,0),IF(R828=".",".",""))</f>
        <v>8408784.5535161067</v>
      </c>
      <c r="T828" s="176" t="str">
        <f>IF(AD828=1,IF(AF828="Value is not given at all",".",IF(AF828="Value is given by the source",S828,IF(AF828="Value is calculated with prices",(IF(SUMIFS(Q:Q,A:A,A828)&gt;0,SUMIFS(Q:Q,A:A,A828),"."))/VLOOKUP("USD",'Exchange Rates'!B:C,2,0),"Error with coding"))),"")</f>
        <v>.</v>
      </c>
      <c r="U828" s="15" t="s">
        <v>415</v>
      </c>
      <c r="V828" s="547" t="s">
        <v>2409</v>
      </c>
      <c r="W828" s="547" t="s">
        <v>2410</v>
      </c>
      <c r="X828" s="188" t="s">
        <v>260</v>
      </c>
      <c r="Y828" s="188" t="s">
        <v>260</v>
      </c>
      <c r="Z828" s="15">
        <v>0</v>
      </c>
      <c r="AA828" s="180">
        <v>0</v>
      </c>
      <c r="AB828" s="550" t="s">
        <v>2411</v>
      </c>
      <c r="AC828" s="544" t="str">
        <f>""</f>
        <v/>
      </c>
      <c r="AD828" s="183">
        <v>1</v>
      </c>
      <c r="AE828" s="183" t="s">
        <v>332</v>
      </c>
      <c r="AF828" s="183" t="s">
        <v>265</v>
      </c>
      <c r="AG828" s="183">
        <v>1</v>
      </c>
      <c r="AH828" s="183">
        <v>5</v>
      </c>
      <c r="AI828" s="183">
        <v>0</v>
      </c>
      <c r="AJ828" s="181">
        <f>VLOOKUP($I828,'Price List, Weapons &amp; Items'!B:F,5,0)</f>
        <v>1</v>
      </c>
      <c r="AK828" s="181">
        <f t="shared" si="166"/>
        <v>0</v>
      </c>
      <c r="AL828" s="181">
        <f t="shared" si="167"/>
        <v>0</v>
      </c>
      <c r="AM828" s="181">
        <f t="shared" si="168"/>
        <v>0</v>
      </c>
      <c r="AN828" s="180" t="str">
        <f>VLOOKUP($I828,'Price List, Weapons &amp; Items'!B:L,COLUMN('Price List, Weapons &amp; Items'!$J$11)-1,0)</f>
        <v>Military media (incl. websites)</v>
      </c>
      <c r="AO828" s="180" t="str">
        <f>IF(I828=".",".",VLOOKUP($I828,'Price List, Weapons &amp; Items'!B:J,3,0))</f>
        <v>Armoured Personnel Carrier (APC)</v>
      </c>
      <c r="AP828" s="545" t="e">
        <f t="shared" ca="1" si="163"/>
        <v>#NAME?</v>
      </c>
      <c r="AQ828" s="180">
        <f>VLOOKUP($I828,'Price List, Weapons &amp; Items'!B:L,COLUMN('Price List, Weapons &amp; Items'!$L$11)-1,0)</f>
        <v>2</v>
      </c>
      <c r="AR828" s="180">
        <f t="shared" si="169"/>
        <v>0</v>
      </c>
      <c r="AS828" s="180">
        <f t="shared" si="170"/>
        <v>1</v>
      </c>
      <c r="AT828" s="180">
        <f t="shared" si="159"/>
        <v>1</v>
      </c>
      <c r="AU828" s="180" t="str">
        <f t="shared" si="160"/>
        <v>.</v>
      </c>
      <c r="AV828" s="180" t="str">
        <f t="shared" si="161"/>
        <v>.</v>
      </c>
      <c r="AW828" s="180">
        <f>IFERROR(VLOOKUP(B828,'Share, Heavy Weapons to Ukraine'!B:J,COLUMN('Share, Heavy Weapons to Ukraine'!C841)-1,0),0)</f>
        <v>0</v>
      </c>
      <c r="AX828" s="180">
        <f>VLOOKUP('Bilateral Assistance, MAIN DATA'!B828,'Country Summary'!B:F,COLUMN('Country Summary'!C844)-1,FALSE)</f>
        <v>1</v>
      </c>
      <c r="AY828" s="180" t="str">
        <f>IF(AND(AD828=1,D828="Military",H828&lt;&gt;"Not given")=TRUE,IF(SUMIFS(P:P,A:A,A828)&gt;0,ABS((SUMIFS(P:P,A:A,A828)/VLOOKUP("USD",'Exchange Rates'!B:C,2,0)))/S828,"."),".")</f>
        <v>.</v>
      </c>
      <c r="AZ828" s="182" t="str">
        <f>IF(AND(AD828=1,D828="Military",H828&lt;&gt;"Not given")=TRUE,IF(SUMIFS(P:P,A:A,A828)&gt;0,IF((ABS((SUMIFS(P:P,A:A,A828)/VLOOKUP("USD",'Exchange Rates'!B:C,2,0)))/S828)&gt;1,(SUMIFS(P:P,A:A,A828)-S828)/S828,(S828-SUMIFS(P:P,A:A,A828))/SUMIFS(P:P,A:A,A828)),"."),".")</f>
        <v>.</v>
      </c>
      <c r="BA828" s="182"/>
      <c r="BB828" s="182"/>
      <c r="BC828" s="182"/>
      <c r="BD828" s="182"/>
      <c r="BE828" s="182"/>
      <c r="BF828" s="182"/>
      <c r="BG828" s="182"/>
      <c r="BH828" s="182"/>
      <c r="BI828" s="182"/>
      <c r="BJ828" s="182"/>
      <c r="BK828" s="182"/>
      <c r="BL828" s="182"/>
      <c r="BM828" s="182"/>
      <c r="BN828" s="182"/>
      <c r="BO828" s="182"/>
      <c r="BP828" s="182"/>
      <c r="BQ828" s="182"/>
      <c r="BR828" s="182"/>
      <c r="BS828" s="182"/>
    </row>
    <row r="829" spans="1:71" ht="15.9" customHeight="1" x14ac:dyDescent="0.3">
      <c r="A829" s="5" t="s">
        <v>2407</v>
      </c>
      <c r="B829" s="5" t="s">
        <v>2370</v>
      </c>
      <c r="C829" s="174">
        <v>44689</v>
      </c>
      <c r="D829" s="5" t="s">
        <v>285</v>
      </c>
      <c r="E829" s="5" t="s">
        <v>294</v>
      </c>
      <c r="F829" s="175" t="s">
        <v>2408</v>
      </c>
      <c r="G829" s="15" t="s">
        <v>346</v>
      </c>
      <c r="H829" s="176" t="s">
        <v>341</v>
      </c>
      <c r="I829" s="17" t="s">
        <v>2412</v>
      </c>
      <c r="J829" s="113" t="str">
        <f>VLOOKUP($I829,'Price List, Weapons &amp; Items'!B:C,2,0)</f>
        <v>Heavy weapon</v>
      </c>
      <c r="K829" s="113" t="str">
        <f>IF(I829=".",I829,VLOOKUP($I829,'Price List, Weapons &amp; Items'!B:D,3,0))</f>
        <v>155mm howitzer</v>
      </c>
      <c r="L829" s="177">
        <f>VLOOKUP(I829,'Price List, Weapons &amp; Items'!B:E,4,0)</f>
        <v>0</v>
      </c>
      <c r="M829" s="542">
        <v>5</v>
      </c>
      <c r="N829" s="542" t="s">
        <v>270</v>
      </c>
      <c r="O829" s="543">
        <f>VLOOKUP($I829,'Price List, Weapons &amp; Items'!B:G,6,0)</f>
        <v>865844.75623838219</v>
      </c>
      <c r="P829" s="176">
        <f t="shared" si="164"/>
        <v>4329223.7811919106</v>
      </c>
      <c r="Q829" s="176" t="str">
        <f t="shared" si="165"/>
        <v>.</v>
      </c>
      <c r="R829" s="176" t="str">
        <f t="shared" si="162"/>
        <v/>
      </c>
      <c r="S829" s="176" t="str">
        <f>IF(AND(AD829=1,R829&lt;&gt;".")=TRUE,R829/VLOOKUP(G829,'Exchange Rates'!B:C,2,0),IF(R829=".",".",""))</f>
        <v/>
      </c>
      <c r="T829" s="176" t="str">
        <f>IF(AD829=1,IF(AF829="Value is not given at all",".",IF(AF829="Value is given by the source",S829,IF(AF829="Value is calculated with prices",(IF(SUMIFS(Q:Q,A:A,A829)&gt;0,SUMIFS(Q:Q,A:A,A829),"."))/VLOOKUP("USD",'Exchange Rates'!B:C,2,0),"Error with coding"))),"")</f>
        <v/>
      </c>
      <c r="U829" s="15" t="s">
        <v>415</v>
      </c>
      <c r="V829" s="547" t="s">
        <v>2409</v>
      </c>
      <c r="W829" s="547" t="s">
        <v>2410</v>
      </c>
      <c r="X829" s="188" t="s">
        <v>260</v>
      </c>
      <c r="Y829" s="188" t="s">
        <v>260</v>
      </c>
      <c r="Z829" s="15">
        <v>0</v>
      </c>
      <c r="AA829" s="180">
        <v>0</v>
      </c>
      <c r="AB829" s="17" t="s">
        <v>260</v>
      </c>
      <c r="AC829" s="544" t="str">
        <f>""</f>
        <v/>
      </c>
      <c r="AD829" s="183">
        <v>0</v>
      </c>
      <c r="AE829" s="183" t="s">
        <v>332</v>
      </c>
      <c r="AF829" s="183" t="s">
        <v>265</v>
      </c>
      <c r="AG829" s="183">
        <v>1</v>
      </c>
      <c r="AH829" s="183">
        <v>5</v>
      </c>
      <c r="AI829" s="183">
        <v>0</v>
      </c>
      <c r="AJ829" s="181">
        <f>VLOOKUP($I829,'Price List, Weapons &amp; Items'!B:F,5,0)</f>
        <v>1</v>
      </c>
      <c r="AK829" s="181">
        <f t="shared" si="166"/>
        <v>0</v>
      </c>
      <c r="AL829" s="181">
        <f t="shared" si="167"/>
        <v>1</v>
      </c>
      <c r="AM829" s="181">
        <f t="shared" si="168"/>
        <v>0</v>
      </c>
      <c r="AN829" s="180" t="str">
        <f>VLOOKUP($I829,'Price List, Weapons &amp; Items'!B:L,COLUMN('Price List, Weapons &amp; Items'!$J$11)-1,0)</f>
        <v>Contracts</v>
      </c>
      <c r="AO829" s="180" t="str">
        <f>IF(I829=".",".",VLOOKUP($I829,'Price List, Weapons &amp; Items'!B:J,3,0))</f>
        <v>155mm howitzer</v>
      </c>
      <c r="AP829" s="545" t="str">
        <f t="shared" ca="1" si="163"/>
        <v/>
      </c>
      <c r="AQ829" s="180">
        <f>VLOOKUP($I829,'Price List, Weapons &amp; Items'!B:L,COLUMN('Price List, Weapons &amp; Items'!$L$11)-1,0)</f>
        <v>2</v>
      </c>
      <c r="AR829" s="180">
        <f t="shared" si="169"/>
        <v>0</v>
      </c>
      <c r="AS829" s="180">
        <f t="shared" si="170"/>
        <v>1</v>
      </c>
      <c r="AT829" s="180">
        <f t="shared" ref="AT829:AT892" si="171">IFERROR(IF(VALUE(TEXT(C829,"mm"))=AH829,".",IF(TEXT(C829,"mm")="01",".",1)),"Value is not in date format")</f>
        <v>1</v>
      </c>
      <c r="AU829" s="180" t="str">
        <f t="shared" si="160"/>
        <v>.</v>
      </c>
      <c r="AV829" s="180" t="str">
        <f t="shared" si="161"/>
        <v>.</v>
      </c>
      <c r="AW829" s="180">
        <f>IFERROR(VLOOKUP(B829,'Share, Heavy Weapons to Ukraine'!B:J,COLUMN('Share, Heavy Weapons to Ukraine'!C842)-1,0),0)</f>
        <v>0</v>
      </c>
      <c r="AX829" s="180">
        <f>VLOOKUP('Bilateral Assistance, MAIN DATA'!B829,'Country Summary'!B:F,COLUMN('Country Summary'!C845)-1,FALSE)</f>
        <v>1</v>
      </c>
      <c r="AY829" s="180" t="str">
        <f>IF(AND(AD829=1,D829="Military",H829&lt;&gt;"Not given")=TRUE,IF(SUMIFS(P:P,A:A,A829)&gt;0,ABS((SUMIFS(P:P,A:A,A829)/VLOOKUP("USD",'Exchange Rates'!B:C,2,0)))/S829,"."),".")</f>
        <v>.</v>
      </c>
      <c r="AZ829" s="182" t="str">
        <f>IF(AND(AD829=1,D829="Military",H829&lt;&gt;"Not given")=TRUE,IF(SUMIFS(P:P,A:A,A829)&gt;0,IF((ABS((SUMIFS(P:P,A:A,A829)/VLOOKUP("USD",'Exchange Rates'!B:C,2,0)))/S829)&gt;1,(SUMIFS(P:P,A:A,A829)-S829)/S829,(S829-SUMIFS(P:P,A:A,A829))/SUMIFS(P:P,A:A,A829)),"."),".")</f>
        <v>.</v>
      </c>
      <c r="BA829" s="182"/>
      <c r="BB829" s="182"/>
      <c r="BC829" s="182"/>
      <c r="BD829" s="182"/>
      <c r="BE829" s="182"/>
      <c r="BF829" s="182"/>
      <c r="BG829" s="182"/>
      <c r="BH829" s="182"/>
      <c r="BI829" s="182"/>
      <c r="BJ829" s="182"/>
      <c r="BK829" s="182"/>
      <c r="BL829" s="182"/>
      <c r="BM829" s="182"/>
      <c r="BN829" s="182"/>
      <c r="BO829" s="182"/>
      <c r="BP829" s="182"/>
      <c r="BQ829" s="182"/>
      <c r="BR829" s="182"/>
      <c r="BS829" s="182"/>
    </row>
    <row r="830" spans="1:71" ht="15.9" customHeight="1" x14ac:dyDescent="0.3">
      <c r="A830" s="17" t="s">
        <v>2413</v>
      </c>
      <c r="B830" s="17" t="s">
        <v>2370</v>
      </c>
      <c r="C830" s="174">
        <v>44699</v>
      </c>
      <c r="D830" s="5" t="s">
        <v>285</v>
      </c>
      <c r="E830" s="5" t="s">
        <v>294</v>
      </c>
      <c r="F830" s="175" t="s">
        <v>2414</v>
      </c>
      <c r="G830" s="15" t="s">
        <v>260</v>
      </c>
      <c r="H830" s="176" t="s">
        <v>341</v>
      </c>
      <c r="I830" s="17" t="s">
        <v>260</v>
      </c>
      <c r="J830" s="113" t="str">
        <f>VLOOKUP($I830,'Price List, Weapons &amp; Items'!B:C,2,0)</f>
        <v>.</v>
      </c>
      <c r="K830" s="113" t="str">
        <f>IF(I830=".",I830,VLOOKUP($I830,'Price List, Weapons &amp; Items'!B:D,3,0))</f>
        <v>.</v>
      </c>
      <c r="L830" s="177">
        <f>VLOOKUP(I830,'Price List, Weapons &amp; Items'!B:E,4,0)</f>
        <v>0</v>
      </c>
      <c r="M830" s="542" t="s">
        <v>260</v>
      </c>
      <c r="N830" s="542" t="s">
        <v>260</v>
      </c>
      <c r="O830" s="543" t="str">
        <f>VLOOKUP($I830,'Price List, Weapons &amp; Items'!B:G,6,0)</f>
        <v>.</v>
      </c>
      <c r="P830" s="176" t="str">
        <f t="shared" si="164"/>
        <v>.</v>
      </c>
      <c r="Q830" s="176" t="str">
        <f t="shared" si="165"/>
        <v>.</v>
      </c>
      <c r="R830" s="176" t="str">
        <f t="shared" si="162"/>
        <v>.</v>
      </c>
      <c r="S830" s="176" t="str">
        <f>IF(AND(AD830=1,R830&lt;&gt;".")=TRUE,R830/VLOOKUP(G830,'Exchange Rates'!B:C,2,0),IF(R830=".",".",""))</f>
        <v>.</v>
      </c>
      <c r="T830" s="176" t="str">
        <f>IF(AD830=1,IF(AF830="Value is not given at all",".",IF(AF830="Value is given by the source",S830,IF(AF830="Value is calculated with prices",(IF(SUMIFS(Q:Q,A:A,A830)&gt;0,SUMIFS(Q:Q,A:A,A830),"."))/VLOOKUP("USD",'Exchange Rates'!B:C,2,0),"Error with coding"))),"")</f>
        <v>.</v>
      </c>
      <c r="U830" s="15" t="s">
        <v>415</v>
      </c>
      <c r="V830" s="300" t="s">
        <v>2415</v>
      </c>
      <c r="W830" s="300" t="s">
        <v>2416</v>
      </c>
      <c r="X830" s="175" t="s">
        <v>260</v>
      </c>
      <c r="Y830" s="175" t="s">
        <v>260</v>
      </c>
      <c r="Z830" s="15">
        <v>0</v>
      </c>
      <c r="AA830" s="180">
        <v>0</v>
      </c>
      <c r="AB830" s="17" t="s">
        <v>260</v>
      </c>
      <c r="AC830" s="544" t="str">
        <f>""</f>
        <v/>
      </c>
      <c r="AD830" s="183">
        <v>1</v>
      </c>
      <c r="AE830" s="183" t="s">
        <v>265</v>
      </c>
      <c r="AF830" s="183" t="s">
        <v>265</v>
      </c>
      <c r="AG830" s="183">
        <v>1</v>
      </c>
      <c r="AH830" s="181">
        <v>5</v>
      </c>
      <c r="AI830" s="181">
        <v>0</v>
      </c>
      <c r="AJ830" s="181">
        <f>VLOOKUP($I830,'Price List, Weapons &amp; Items'!B:F,5,0)</f>
        <v>0</v>
      </c>
      <c r="AK830" s="181">
        <f t="shared" si="166"/>
        <v>0</v>
      </c>
      <c r="AL830" s="181">
        <f t="shared" si="167"/>
        <v>0</v>
      </c>
      <c r="AM830" s="181">
        <f t="shared" si="168"/>
        <v>0</v>
      </c>
      <c r="AN830" s="180" t="str">
        <f>VLOOKUP($I830,'Price List, Weapons &amp; Items'!B:L,COLUMN('Price List, Weapons &amp; Items'!$J$11)-1,0)</f>
        <v>.</v>
      </c>
      <c r="AO830" s="180" t="str">
        <f>IF(I830=".",".",VLOOKUP($I830,'Price List, Weapons &amp; Items'!B:J,3,0))</f>
        <v>.</v>
      </c>
      <c r="AP830" s="545" t="e">
        <f t="shared" ca="1" si="163"/>
        <v>#NAME?</v>
      </c>
      <c r="AQ830" s="180" t="str">
        <f>VLOOKUP($I830,'Price List, Weapons &amp; Items'!B:L,COLUMN('Price List, Weapons &amp; Items'!$L$11)-1,0)</f>
        <v>no price, 0 count</v>
      </c>
      <c r="AR830" s="180">
        <f t="shared" si="169"/>
        <v>0</v>
      </c>
      <c r="AS830" s="180">
        <f t="shared" si="170"/>
        <v>1</v>
      </c>
      <c r="AT830" s="180">
        <f t="shared" si="171"/>
        <v>1</v>
      </c>
      <c r="AU830" s="180" t="str">
        <f t="shared" si="160"/>
        <v>.</v>
      </c>
      <c r="AV830" s="180" t="str">
        <f t="shared" si="161"/>
        <v>.</v>
      </c>
      <c r="AW830" s="180">
        <f>IFERROR(VLOOKUP(B830,'Share, Heavy Weapons to Ukraine'!B:J,COLUMN('Share, Heavy Weapons to Ukraine'!C843)-1,0),0)</f>
        <v>0</v>
      </c>
      <c r="AX830" s="180">
        <f>VLOOKUP('Bilateral Assistance, MAIN DATA'!B830,'Country Summary'!B:F,COLUMN('Country Summary'!C846)-1,FALSE)</f>
        <v>1</v>
      </c>
      <c r="AY830" s="180" t="str">
        <f>IF(AND(AD830=1,D830="Military",H830&lt;&gt;"Not given")=TRUE,IF(SUMIFS(P:P,A:A,A830)&gt;0,ABS((SUMIFS(P:P,A:A,A830)/VLOOKUP("USD",'Exchange Rates'!B:C,2,0)))/S830,"."),".")</f>
        <v>.</v>
      </c>
      <c r="AZ830" s="182" t="str">
        <f>IF(AND(AD830=1,D830="Military",H830&lt;&gt;"Not given")=TRUE,IF(SUMIFS(P:P,A:A,A830)&gt;0,IF((ABS((SUMIFS(P:P,A:A,A830)/VLOOKUP("USD",'Exchange Rates'!B:C,2,0)))/S830)&gt;1,(SUMIFS(P:P,A:A,A830)-S830)/S830,(S830-SUMIFS(P:P,A:A,A830))/SUMIFS(P:P,A:A,A830)),"."),".")</f>
        <v>.</v>
      </c>
      <c r="BA830" s="182"/>
      <c r="BB830" s="182"/>
      <c r="BC830" s="182"/>
      <c r="BD830" s="182"/>
      <c r="BE830" s="182"/>
      <c r="BF830" s="182"/>
      <c r="BG830" s="182"/>
      <c r="BH830" s="182"/>
      <c r="BI830" s="182"/>
      <c r="BJ830" s="182"/>
      <c r="BK830" s="182"/>
      <c r="BL830" s="182"/>
      <c r="BM830" s="182"/>
      <c r="BN830" s="182"/>
      <c r="BO830" s="182"/>
      <c r="BP830" s="182"/>
      <c r="BQ830" s="182"/>
      <c r="BR830" s="182"/>
      <c r="BS830" s="182"/>
    </row>
    <row r="831" spans="1:71" ht="15.9" customHeight="1" x14ac:dyDescent="0.3">
      <c r="A831" s="17" t="s">
        <v>2417</v>
      </c>
      <c r="B831" s="17" t="s">
        <v>2370</v>
      </c>
      <c r="C831" s="174">
        <v>44702</v>
      </c>
      <c r="D831" s="5" t="s">
        <v>405</v>
      </c>
      <c r="E831" s="5" t="s">
        <v>362</v>
      </c>
      <c r="F831" s="175" t="s">
        <v>2418</v>
      </c>
      <c r="G831" s="15" t="s">
        <v>364</v>
      </c>
      <c r="H831" s="176">
        <v>250000000</v>
      </c>
      <c r="I831" s="17" t="s">
        <v>260</v>
      </c>
      <c r="J831" s="113" t="str">
        <f>VLOOKUP($I831,'Price List, Weapons &amp; Items'!B:C,2,0)</f>
        <v>.</v>
      </c>
      <c r="K831" s="113" t="str">
        <f>IF(I831=".",I831,VLOOKUP($I831,'Price List, Weapons &amp; Items'!B:D,3,0))</f>
        <v>.</v>
      </c>
      <c r="L831" s="177">
        <f>VLOOKUP(I831,'Price List, Weapons &amp; Items'!B:E,4,0)</f>
        <v>0</v>
      </c>
      <c r="M831" s="542" t="s">
        <v>260</v>
      </c>
      <c r="N831" s="542" t="s">
        <v>260</v>
      </c>
      <c r="O831" s="543" t="str">
        <f>VLOOKUP($I831,'Price List, Weapons &amp; Items'!B:G,6,0)</f>
        <v>.</v>
      </c>
      <c r="P831" s="176" t="str">
        <f t="shared" si="164"/>
        <v>.</v>
      </c>
      <c r="Q831" s="176" t="str">
        <f t="shared" si="165"/>
        <v>.</v>
      </c>
      <c r="R831" s="176">
        <f t="shared" si="162"/>
        <v>250000000</v>
      </c>
      <c r="S831" s="176">
        <f>IF(AND(AD831=1,R831&lt;&gt;".")=TRUE,R831/VLOOKUP(G831,'Exchange Rates'!B:C,2,0),IF(R831=".",".",""))</f>
        <v>250000000</v>
      </c>
      <c r="T831" s="176" t="str">
        <f>IF(AD831=1,IF(AF831="Value is not given at all",".",IF(AF831="Value is given by the source",S831,IF(AF831="Value is calculated with prices",(IF(SUMIFS(Q:Q,A:A,A831)&gt;0,SUMIFS(Q:Q,A:A,A831),"."))/VLOOKUP("USD",'Exchange Rates'!B:C,2,0),"Error with coding"))),"")</f>
        <v>.</v>
      </c>
      <c r="U831" s="15" t="s">
        <v>261</v>
      </c>
      <c r="V831" s="300" t="s">
        <v>2419</v>
      </c>
      <c r="W831" s="300" t="s">
        <v>2420</v>
      </c>
      <c r="X831" s="300" t="s">
        <v>2421</v>
      </c>
      <c r="Y831" s="300" t="s">
        <v>2422</v>
      </c>
      <c r="Z831" s="15">
        <v>1</v>
      </c>
      <c r="AA831" s="180">
        <v>0</v>
      </c>
      <c r="AB831" s="17" t="s">
        <v>260</v>
      </c>
      <c r="AC831" s="544" t="str">
        <f>""</f>
        <v/>
      </c>
      <c r="AD831" s="183">
        <v>1</v>
      </c>
      <c r="AE831" s="183" t="s">
        <v>264</v>
      </c>
      <c r="AF831" s="183" t="s">
        <v>265</v>
      </c>
      <c r="AG831" s="183">
        <v>1</v>
      </c>
      <c r="AH831" s="181">
        <v>5</v>
      </c>
      <c r="AI831" s="181">
        <v>0</v>
      </c>
      <c r="AJ831" s="181">
        <f>VLOOKUP($I831,'Price List, Weapons &amp; Items'!B:F,5,0)</f>
        <v>0</v>
      </c>
      <c r="AK831" s="181">
        <f t="shared" si="166"/>
        <v>0</v>
      </c>
      <c r="AL831" s="181">
        <f t="shared" si="167"/>
        <v>0</v>
      </c>
      <c r="AM831" s="181">
        <f t="shared" si="168"/>
        <v>0</v>
      </c>
      <c r="AN831" s="180" t="str">
        <f>VLOOKUP($I831,'Price List, Weapons &amp; Items'!B:L,COLUMN('Price List, Weapons &amp; Items'!$J$11)-1,0)</f>
        <v>.</v>
      </c>
      <c r="AO831" s="180" t="str">
        <f>IF(I831=".",".",VLOOKUP($I831,'Price List, Weapons &amp; Items'!B:J,3,0))</f>
        <v>.</v>
      </c>
      <c r="AP831" s="545" t="e">
        <f t="shared" ca="1" si="163"/>
        <v>#NAME?</v>
      </c>
      <c r="AQ831" s="180" t="str">
        <f>VLOOKUP($I831,'Price List, Weapons &amp; Items'!B:L,COLUMN('Price List, Weapons &amp; Items'!$L$11)-1,0)</f>
        <v>no price, 0 count</v>
      </c>
      <c r="AR831" s="180">
        <f t="shared" si="169"/>
        <v>1</v>
      </c>
      <c r="AS831" s="180">
        <f t="shared" si="170"/>
        <v>0</v>
      </c>
      <c r="AT831" s="180">
        <f t="shared" si="171"/>
        <v>1</v>
      </c>
      <c r="AU831" s="180" t="str">
        <f t="shared" ref="AU831:AU894" si="172">IF(AND(A831=A830,C831=C830)=TRUE,IF(F831=F830,".","1"),".")</f>
        <v>.</v>
      </c>
      <c r="AV831" s="180" t="str">
        <f t="shared" ref="AV831:AV894" si="173">IF(T831&lt;&gt;".",IF(T831&gt;S831,1,"."),".")</f>
        <v>.</v>
      </c>
      <c r="AW831" s="180">
        <f>IFERROR(VLOOKUP(B831,'Share, Heavy Weapons to Ukraine'!B:J,COLUMN('Share, Heavy Weapons to Ukraine'!C844)-1,0),0)</f>
        <v>0</v>
      </c>
      <c r="AX831" s="180">
        <f>VLOOKUP('Bilateral Assistance, MAIN DATA'!B831,'Country Summary'!B:F,COLUMN('Country Summary'!C847)-1,FALSE)</f>
        <v>1</v>
      </c>
      <c r="AY831" s="180" t="str">
        <f>IF(AND(AD831=1,D831="Military",H831&lt;&gt;"Not given")=TRUE,IF(SUMIFS(P:P,A:A,A831)&gt;0,ABS((SUMIFS(P:P,A:A,A831)/VLOOKUP("USD",'Exchange Rates'!B:C,2,0)))/S831,"."),".")</f>
        <v>.</v>
      </c>
      <c r="AZ831" s="182" t="str">
        <f>IF(AND(AD831=1,D831="Military",H831&lt;&gt;"Not given")=TRUE,IF(SUMIFS(P:P,A:A,A831)&gt;0,IF((ABS((SUMIFS(P:P,A:A,A831)/VLOOKUP("USD",'Exchange Rates'!B:C,2,0)))/S831)&gt;1,(SUMIFS(P:P,A:A,A831)-S831)/S831,(S831-SUMIFS(P:P,A:A,A831))/SUMIFS(P:P,A:A,A831)),"."),".")</f>
        <v>.</v>
      </c>
      <c r="BA831" s="182"/>
      <c r="BB831" s="182"/>
      <c r="BC831" s="182"/>
      <c r="BD831" s="182"/>
      <c r="BE831" s="182"/>
      <c r="BF831" s="182"/>
      <c r="BG831" s="182"/>
      <c r="BH831" s="182"/>
      <c r="BI831" s="182"/>
      <c r="BJ831" s="182"/>
      <c r="BK831" s="182"/>
      <c r="BL831" s="182"/>
      <c r="BM831" s="182"/>
      <c r="BN831" s="182"/>
      <c r="BO831" s="182"/>
      <c r="BP831" s="182"/>
      <c r="BQ831" s="182"/>
      <c r="BR831" s="182"/>
      <c r="BS831" s="182"/>
    </row>
    <row r="832" spans="1:71" ht="15.9" customHeight="1" x14ac:dyDescent="0.3">
      <c r="A832" s="17" t="s">
        <v>2423</v>
      </c>
      <c r="B832" s="17" t="s">
        <v>2424</v>
      </c>
      <c r="C832" s="174">
        <v>44620</v>
      </c>
      <c r="D832" s="5" t="s">
        <v>256</v>
      </c>
      <c r="E832" s="5" t="s">
        <v>267</v>
      </c>
      <c r="F832" s="175" t="s">
        <v>2425</v>
      </c>
      <c r="G832" s="15" t="s">
        <v>346</v>
      </c>
      <c r="H832" s="176">
        <v>10000000</v>
      </c>
      <c r="I832" s="184" t="s">
        <v>260</v>
      </c>
      <c r="J832" s="113" t="str">
        <f>VLOOKUP($I832,'Price List, Weapons &amp; Items'!B:C,2,0)</f>
        <v>.</v>
      </c>
      <c r="K832" s="113" t="str">
        <f>IF(I832=".",I832,VLOOKUP($I832,'Price List, Weapons &amp; Items'!B:D,3,0))</f>
        <v>.</v>
      </c>
      <c r="L832" s="177">
        <f>VLOOKUP(I832,'Price List, Weapons &amp; Items'!B:E,4,0)</f>
        <v>0</v>
      </c>
      <c r="M832" s="542" t="s">
        <v>260</v>
      </c>
      <c r="N832" s="542" t="s">
        <v>260</v>
      </c>
      <c r="O832" s="543" t="str">
        <f>VLOOKUP($I832,'Price List, Weapons &amp; Items'!B:G,6,0)</f>
        <v>.</v>
      </c>
      <c r="P832" s="176" t="str">
        <f t="shared" si="164"/>
        <v>.</v>
      </c>
      <c r="Q832" s="176" t="str">
        <f t="shared" si="165"/>
        <v>.</v>
      </c>
      <c r="R832" s="176">
        <f t="shared" si="162"/>
        <v>10000000</v>
      </c>
      <c r="S832" s="176">
        <f>IF(AND(AD832=1,R832&lt;&gt;".")=TRUE,R832/VLOOKUP(G832,'Exchange Rates'!B:C,2,0),IF(R832=".",".",""))</f>
        <v>9523809.5238095243</v>
      </c>
      <c r="T832" s="176" t="str">
        <f>IF(AD832=1,IF(AF832="Value is not given at all",".",IF(AF832="Value is given by the source",S832,IF(AF832="Value is calculated with prices",(IF(SUMIFS(Q:Q,A:A,A832)&gt;0,SUMIFS(Q:Q,A:A,A832),"."))/VLOOKUP("USD",'Exchange Rates'!B:C,2,0),"Error with coding"))),"")</f>
        <v>.</v>
      </c>
      <c r="U832" s="15" t="s">
        <v>261</v>
      </c>
      <c r="V832" s="300" t="s">
        <v>2426</v>
      </c>
      <c r="W832" s="300" t="s">
        <v>2427</v>
      </c>
      <c r="X832" s="300" t="s">
        <v>2428</v>
      </c>
      <c r="Y832" s="175" t="s">
        <v>260</v>
      </c>
      <c r="Z832" s="15">
        <v>0</v>
      </c>
      <c r="AA832" s="180">
        <v>0</v>
      </c>
      <c r="AB832" s="184" t="s">
        <v>260</v>
      </c>
      <c r="AC832" s="544" t="str">
        <f>""</f>
        <v/>
      </c>
      <c r="AD832" s="181">
        <v>1</v>
      </c>
      <c r="AE832" s="181" t="s">
        <v>264</v>
      </c>
      <c r="AF832" s="181" t="s">
        <v>265</v>
      </c>
      <c r="AG832" s="181">
        <v>1</v>
      </c>
      <c r="AH832" s="181">
        <v>2</v>
      </c>
      <c r="AI832" s="181">
        <v>0</v>
      </c>
      <c r="AJ832" s="181">
        <f>VLOOKUP($I832,'Price List, Weapons &amp; Items'!B:F,5,0)</f>
        <v>0</v>
      </c>
      <c r="AK832" s="181">
        <f t="shared" si="166"/>
        <v>0</v>
      </c>
      <c r="AL832" s="181">
        <f t="shared" si="167"/>
        <v>0</v>
      </c>
      <c r="AM832" s="181">
        <f t="shared" si="168"/>
        <v>0</v>
      </c>
      <c r="AN832" s="180" t="str">
        <f>VLOOKUP($I832,'Price List, Weapons &amp; Items'!B:L,COLUMN('Price List, Weapons &amp; Items'!$J$11)-1,0)</f>
        <v>.</v>
      </c>
      <c r="AO832" s="180" t="str">
        <f>IF(I832=".",".",VLOOKUP($I832,'Price List, Weapons &amp; Items'!B:J,3,0))</f>
        <v>.</v>
      </c>
      <c r="AP832" s="545" t="e">
        <f t="shared" ca="1" si="163"/>
        <v>#NAME?</v>
      </c>
      <c r="AQ832" s="180" t="str">
        <f>VLOOKUP($I832,'Price List, Weapons &amp; Items'!B:L,COLUMN('Price List, Weapons &amp; Items'!$L$11)-1,0)</f>
        <v>no price, 0 count</v>
      </c>
      <c r="AR832" s="180">
        <f t="shared" si="169"/>
        <v>1</v>
      </c>
      <c r="AS832" s="180">
        <f t="shared" si="170"/>
        <v>0</v>
      </c>
      <c r="AT832" s="180">
        <f t="shared" si="171"/>
        <v>1</v>
      </c>
      <c r="AU832" s="180" t="str">
        <f t="shared" si="172"/>
        <v>.</v>
      </c>
      <c r="AV832" s="180" t="str">
        <f t="shared" si="173"/>
        <v>.</v>
      </c>
      <c r="AW832" s="180">
        <f>IFERROR(VLOOKUP(B832,'Share, Heavy Weapons to Ukraine'!B:J,COLUMN('Share, Heavy Weapons to Ukraine'!C845)-1,0),0)</f>
        <v>0</v>
      </c>
      <c r="AX832" s="180">
        <f>VLOOKUP('Bilateral Assistance, MAIN DATA'!B832,'Country Summary'!B:F,COLUMN('Country Summary'!C848)-1,FALSE)</f>
        <v>0</v>
      </c>
      <c r="AY832" s="180" t="str">
        <f>IF(AND(AD832=1,D832="Military",H832&lt;&gt;"Not given")=TRUE,IF(SUMIFS(P:P,A:A,A832)&gt;0,ABS((SUMIFS(P:P,A:A,A832)/VLOOKUP("USD",'Exchange Rates'!B:C,2,0)))/S832,"."),".")</f>
        <v>.</v>
      </c>
      <c r="AZ832" s="182" t="str">
        <f>IF(AND(AD832=1,D832="Military",H832&lt;&gt;"Not given")=TRUE,IF(SUMIFS(P:P,A:A,A832)&gt;0,IF((ABS((SUMIFS(P:P,A:A,A832)/VLOOKUP("USD",'Exchange Rates'!B:C,2,0)))/S832)&gt;1,(SUMIFS(P:P,A:A,A832)-S832)/S832,(S832-SUMIFS(P:P,A:A,A832))/SUMIFS(P:P,A:A,A832)),"."),".")</f>
        <v>.</v>
      </c>
      <c r="BA832" s="182"/>
      <c r="BB832" s="182"/>
      <c r="BC832" s="182"/>
      <c r="BD832" s="182"/>
      <c r="BE832" s="182"/>
      <c r="BF832" s="182"/>
      <c r="BG832" s="182"/>
      <c r="BH832" s="182"/>
      <c r="BI832" s="182"/>
      <c r="BJ832" s="182"/>
      <c r="BK832" s="182"/>
      <c r="BL832" s="182"/>
      <c r="BM832" s="182"/>
      <c r="BN832" s="182"/>
      <c r="BO832" s="182"/>
      <c r="BP832" s="182"/>
      <c r="BQ832" s="182"/>
      <c r="BR832" s="182"/>
      <c r="BS832" s="182"/>
    </row>
    <row r="833" spans="1:71" ht="15.9" customHeight="1" x14ac:dyDescent="0.3">
      <c r="A833" s="17" t="s">
        <v>2429</v>
      </c>
      <c r="B833" s="17" t="s">
        <v>2424</v>
      </c>
      <c r="C833" s="174">
        <v>44671</v>
      </c>
      <c r="D833" s="5" t="s">
        <v>256</v>
      </c>
      <c r="E833" s="5" t="s">
        <v>267</v>
      </c>
      <c r="F833" s="175" t="s">
        <v>2430</v>
      </c>
      <c r="G833" s="15" t="s">
        <v>346</v>
      </c>
      <c r="H833" s="176">
        <v>30000000</v>
      </c>
      <c r="I833" s="184" t="s">
        <v>260</v>
      </c>
      <c r="J833" s="113" t="str">
        <f>VLOOKUP($I833,'Price List, Weapons &amp; Items'!B:C,2,0)</f>
        <v>.</v>
      </c>
      <c r="K833" s="113" t="str">
        <f>IF(I833=".",I833,VLOOKUP($I833,'Price List, Weapons &amp; Items'!B:D,3,0))</f>
        <v>.</v>
      </c>
      <c r="L833" s="177">
        <f>VLOOKUP(I833,'Price List, Weapons &amp; Items'!B:E,4,0)</f>
        <v>0</v>
      </c>
      <c r="M833" s="542" t="s">
        <v>260</v>
      </c>
      <c r="N833" s="542" t="s">
        <v>260</v>
      </c>
      <c r="O833" s="543" t="str">
        <f>VLOOKUP($I833,'Price List, Weapons &amp; Items'!B:G,6,0)</f>
        <v>.</v>
      </c>
      <c r="P833" s="176" t="str">
        <f t="shared" si="164"/>
        <v>.</v>
      </c>
      <c r="Q833" s="176" t="str">
        <f t="shared" si="165"/>
        <v>.</v>
      </c>
      <c r="R833" s="176">
        <f t="shared" si="162"/>
        <v>30000000</v>
      </c>
      <c r="S833" s="176">
        <f>IF(AND(AD833=1,R833&lt;&gt;".")=TRUE,R833/VLOOKUP(G833,'Exchange Rates'!B:C,2,0),IF(R833=".",".",""))</f>
        <v>28571428.571428571</v>
      </c>
      <c r="T833" s="176" t="str">
        <f>IF(AD833=1,IF(AF833="Value is not given at all",".",IF(AF833="Value is given by the source",S833,IF(AF833="Value is calculated with prices",(IF(SUMIFS(Q:Q,A:A,A833)&gt;0,SUMIFS(Q:Q,A:A,A833),"."))/VLOOKUP("USD",'Exchange Rates'!B:C,2,0),"Error with coding"))),"")</f>
        <v>.</v>
      </c>
      <c r="U833" s="15" t="s">
        <v>415</v>
      </c>
      <c r="V833" s="300" t="s">
        <v>2427</v>
      </c>
      <c r="W833" s="300" t="s">
        <v>2431</v>
      </c>
      <c r="X833" s="300" t="s">
        <v>2432</v>
      </c>
      <c r="Y833" s="175" t="s">
        <v>260</v>
      </c>
      <c r="Z833" s="15">
        <v>0</v>
      </c>
      <c r="AA833" s="180">
        <v>0</v>
      </c>
      <c r="AB833" s="184" t="s">
        <v>260</v>
      </c>
      <c r="AC833" s="544" t="str">
        <f>""</f>
        <v/>
      </c>
      <c r="AD833" s="181">
        <v>1</v>
      </c>
      <c r="AE833" s="181" t="s">
        <v>264</v>
      </c>
      <c r="AF833" s="181" t="s">
        <v>265</v>
      </c>
      <c r="AG833" s="181">
        <v>1</v>
      </c>
      <c r="AH833" s="181">
        <v>4</v>
      </c>
      <c r="AI833" s="181">
        <v>0</v>
      </c>
      <c r="AJ833" s="181">
        <f>VLOOKUP($I833,'Price List, Weapons &amp; Items'!B:F,5,0)</f>
        <v>0</v>
      </c>
      <c r="AK833" s="181">
        <f t="shared" si="166"/>
        <v>0</v>
      </c>
      <c r="AL833" s="181">
        <f t="shared" si="167"/>
        <v>0</v>
      </c>
      <c r="AM833" s="181">
        <f t="shared" si="168"/>
        <v>0</v>
      </c>
      <c r="AN833" s="180" t="str">
        <f>VLOOKUP($I833,'Price List, Weapons &amp; Items'!B:L,COLUMN('Price List, Weapons &amp; Items'!$J$11)-1,0)</f>
        <v>.</v>
      </c>
      <c r="AO833" s="180" t="str">
        <f>IF(I833=".",".",VLOOKUP($I833,'Price List, Weapons &amp; Items'!B:J,3,0))</f>
        <v>.</v>
      </c>
      <c r="AP833" s="545" t="e">
        <f t="shared" ca="1" si="163"/>
        <v>#NAME?</v>
      </c>
      <c r="AQ833" s="180" t="str">
        <f>VLOOKUP($I833,'Price List, Weapons &amp; Items'!B:L,COLUMN('Price List, Weapons &amp; Items'!$L$11)-1,0)</f>
        <v>no price, 0 count</v>
      </c>
      <c r="AR833" s="180">
        <f t="shared" si="169"/>
        <v>0</v>
      </c>
      <c r="AS833" s="180">
        <f t="shared" si="170"/>
        <v>0</v>
      </c>
      <c r="AT833" s="180">
        <f t="shared" si="171"/>
        <v>1</v>
      </c>
      <c r="AU833" s="180" t="str">
        <f t="shared" si="172"/>
        <v>.</v>
      </c>
      <c r="AV833" s="180" t="str">
        <f t="shared" si="173"/>
        <v>.</v>
      </c>
      <c r="AW833" s="180">
        <f>IFERROR(VLOOKUP(B833,'Share, Heavy Weapons to Ukraine'!B:J,COLUMN('Share, Heavy Weapons to Ukraine'!C846)-1,0),0)</f>
        <v>0</v>
      </c>
      <c r="AX833" s="180">
        <f>VLOOKUP('Bilateral Assistance, MAIN DATA'!B833,'Country Summary'!B:F,COLUMN('Country Summary'!C849)-1,FALSE)</f>
        <v>0</v>
      </c>
      <c r="AY833" s="180" t="str">
        <f>IF(AND(AD833=1,D833="Military",H833&lt;&gt;"Not given")=TRUE,IF(SUMIFS(P:P,A:A,A833)&gt;0,ABS((SUMIFS(P:P,A:A,A833)/VLOOKUP("USD",'Exchange Rates'!B:C,2,0)))/S833,"."),".")</f>
        <v>.</v>
      </c>
      <c r="AZ833" s="182" t="str">
        <f>IF(AND(AD833=1,D833="Military",H833&lt;&gt;"Not given")=TRUE,IF(SUMIFS(P:P,A:A,A833)&gt;0,IF((ABS((SUMIFS(P:P,A:A,A833)/VLOOKUP("USD",'Exchange Rates'!B:C,2,0)))/S833)&gt;1,(SUMIFS(P:P,A:A,A833)-S833)/S833,(S833-SUMIFS(P:P,A:A,A833))/SUMIFS(P:P,A:A,A833)),"."),".")</f>
        <v>.</v>
      </c>
      <c r="BA833" s="182"/>
      <c r="BB833" s="182"/>
      <c r="BC833" s="182"/>
      <c r="BD833" s="182"/>
      <c r="BE833" s="182"/>
      <c r="BF833" s="182"/>
      <c r="BG833" s="182"/>
      <c r="BH833" s="182"/>
      <c r="BI833" s="182"/>
      <c r="BJ833" s="182"/>
      <c r="BK833" s="182"/>
      <c r="BL833" s="182"/>
      <c r="BM833" s="182"/>
      <c r="BN833" s="182"/>
      <c r="BO833" s="182"/>
      <c r="BP833" s="182"/>
      <c r="BQ833" s="182"/>
      <c r="BR833" s="182"/>
      <c r="BS833" s="182"/>
    </row>
    <row r="834" spans="1:71" ht="15.9" customHeight="1" x14ac:dyDescent="0.3">
      <c r="A834" s="17" t="s">
        <v>2433</v>
      </c>
      <c r="B834" s="17" t="s">
        <v>2424</v>
      </c>
      <c r="C834" s="174">
        <v>44720</v>
      </c>
      <c r="D834" s="5" t="s">
        <v>256</v>
      </c>
      <c r="E834" s="5" t="s">
        <v>257</v>
      </c>
      <c r="F834" s="175" t="s">
        <v>2434</v>
      </c>
      <c r="G834" s="15" t="s">
        <v>346</v>
      </c>
      <c r="H834" s="176">
        <v>1200000</v>
      </c>
      <c r="I834" s="184" t="s">
        <v>260</v>
      </c>
      <c r="J834" s="113" t="str">
        <f>VLOOKUP($I834,'Price List, Weapons &amp; Items'!B:C,2,0)</f>
        <v>.</v>
      </c>
      <c r="K834" s="113" t="str">
        <f>IF(I834=".",I834,VLOOKUP($I834,'Price List, Weapons &amp; Items'!B:D,3,0))</f>
        <v>.</v>
      </c>
      <c r="L834" s="177">
        <f>VLOOKUP(I834,'Price List, Weapons &amp; Items'!B:E,4,0)</f>
        <v>0</v>
      </c>
      <c r="M834" s="542" t="s">
        <v>260</v>
      </c>
      <c r="N834" s="542" t="s">
        <v>260</v>
      </c>
      <c r="O834" s="543" t="str">
        <f>VLOOKUP($I834,'Price List, Weapons &amp; Items'!B:G,6,0)</f>
        <v>.</v>
      </c>
      <c r="P834" s="176" t="str">
        <f t="shared" si="164"/>
        <v>.</v>
      </c>
      <c r="Q834" s="176" t="str">
        <f t="shared" si="165"/>
        <v>.</v>
      </c>
      <c r="R834" s="176">
        <f t="shared" si="162"/>
        <v>1200000</v>
      </c>
      <c r="S834" s="176">
        <f>IF(AND(AD834=1,R834&lt;&gt;".")=TRUE,R834/VLOOKUP(G834,'Exchange Rates'!B:C,2,0),IF(R834=".",".",""))</f>
        <v>1142857.1428571427</v>
      </c>
      <c r="T834" s="176" t="str">
        <f>IF(AD834=1,IF(AF834="Value is not given at all",".",IF(AF834="Value is given by the source",S834,IF(AF834="Value is calculated with prices",(IF(SUMIFS(Q:Q,A:A,A834)&gt;0,SUMIFS(Q:Q,A:A,A834),"."))/VLOOKUP("USD",'Exchange Rates'!B:C,2,0),"Error with coding"))),"")</f>
        <v>.</v>
      </c>
      <c r="U834" s="15" t="s">
        <v>261</v>
      </c>
      <c r="V834" s="300" t="s">
        <v>2435</v>
      </c>
      <c r="W834" s="300" t="s">
        <v>2436</v>
      </c>
      <c r="X834" s="300" t="s">
        <v>2432</v>
      </c>
      <c r="Y834" s="175" t="s">
        <v>260</v>
      </c>
      <c r="Z834" s="15">
        <v>0</v>
      </c>
      <c r="AA834" s="180">
        <v>0</v>
      </c>
      <c r="AB834" s="184" t="s">
        <v>260</v>
      </c>
      <c r="AC834" s="544" t="str">
        <f>""</f>
        <v/>
      </c>
      <c r="AD834" s="181">
        <v>1</v>
      </c>
      <c r="AE834" s="181" t="s">
        <v>264</v>
      </c>
      <c r="AF834" s="181" t="s">
        <v>265</v>
      </c>
      <c r="AG834" s="181">
        <v>1</v>
      </c>
      <c r="AH834" s="181">
        <v>6</v>
      </c>
      <c r="AI834" s="181">
        <v>0</v>
      </c>
      <c r="AJ834" s="181">
        <f>VLOOKUP($I834,'Price List, Weapons &amp; Items'!B:F,5,0)</f>
        <v>0</v>
      </c>
      <c r="AK834" s="181">
        <f t="shared" si="166"/>
        <v>0</v>
      </c>
      <c r="AL834" s="181">
        <f t="shared" si="167"/>
        <v>0</v>
      </c>
      <c r="AM834" s="181">
        <f t="shared" si="168"/>
        <v>0</v>
      </c>
      <c r="AN834" s="180" t="str">
        <f>VLOOKUP($I834,'Price List, Weapons &amp; Items'!B:L,COLUMN('Price List, Weapons &amp; Items'!$J$11)-1,0)</f>
        <v>.</v>
      </c>
      <c r="AO834" s="180" t="str">
        <f>IF(I834=".",".",VLOOKUP($I834,'Price List, Weapons &amp; Items'!B:J,3,0))</f>
        <v>.</v>
      </c>
      <c r="AP834" s="545" t="e">
        <f t="shared" ca="1" si="163"/>
        <v>#NAME?</v>
      </c>
      <c r="AQ834" s="180" t="str">
        <f>VLOOKUP($I834,'Price List, Weapons &amp; Items'!B:L,COLUMN('Price List, Weapons &amp; Items'!$L$11)-1,0)</f>
        <v>no price, 0 count</v>
      </c>
      <c r="AR834" s="180">
        <f t="shared" si="169"/>
        <v>1</v>
      </c>
      <c r="AS834" s="180">
        <f t="shared" si="170"/>
        <v>0</v>
      </c>
      <c r="AT834" s="180">
        <f t="shared" si="171"/>
        <v>1</v>
      </c>
      <c r="AU834" s="180" t="str">
        <f t="shared" si="172"/>
        <v>.</v>
      </c>
      <c r="AV834" s="180" t="str">
        <f t="shared" si="173"/>
        <v>.</v>
      </c>
      <c r="AW834" s="180">
        <f>IFERROR(VLOOKUP(B834,'Share, Heavy Weapons to Ukraine'!B:J,COLUMN('Share, Heavy Weapons to Ukraine'!C847)-1,0),0)</f>
        <v>0</v>
      </c>
      <c r="AX834" s="180">
        <f>VLOOKUP('Bilateral Assistance, MAIN DATA'!B834,'Country Summary'!B:F,COLUMN('Country Summary'!C850)-1,FALSE)</f>
        <v>0</v>
      </c>
      <c r="AY834" s="180" t="str">
        <f>IF(AND(AD834=1,D834="Military",H834&lt;&gt;"Not given")=TRUE,IF(SUMIFS(P:P,A:A,A834)&gt;0,ABS((SUMIFS(P:P,A:A,A834)/VLOOKUP("USD",'Exchange Rates'!B:C,2,0)))/S834,"."),".")</f>
        <v>.</v>
      </c>
      <c r="AZ834" s="182" t="str">
        <f>IF(AND(AD834=1,D834="Military",H834&lt;&gt;"Not given")=TRUE,IF(SUMIFS(P:P,A:A,A834)&gt;0,IF((ABS((SUMIFS(P:P,A:A,A834)/VLOOKUP("USD",'Exchange Rates'!B:C,2,0)))/S834)&gt;1,(SUMIFS(P:P,A:A,A834)-S834)/S834,(S834-SUMIFS(P:P,A:A,A834))/SUMIFS(P:P,A:A,A834)),"."),".")</f>
        <v>.</v>
      </c>
      <c r="BA834" s="182"/>
      <c r="BB834" s="182"/>
      <c r="BC834" s="182"/>
      <c r="BD834" s="182"/>
      <c r="BE834" s="182"/>
      <c r="BF834" s="182"/>
      <c r="BG834" s="182"/>
      <c r="BH834" s="182"/>
      <c r="BI834" s="182"/>
      <c r="BJ834" s="182"/>
      <c r="BK834" s="182"/>
      <c r="BL834" s="182"/>
      <c r="BM834" s="182"/>
      <c r="BN834" s="182"/>
      <c r="BO834" s="182"/>
      <c r="BP834" s="182"/>
      <c r="BQ834" s="182"/>
      <c r="BR834" s="182"/>
      <c r="BS834" s="182"/>
    </row>
    <row r="835" spans="1:71" ht="16.5" customHeight="1" x14ac:dyDescent="0.3">
      <c r="A835" s="17" t="s">
        <v>2437</v>
      </c>
      <c r="B835" s="17" t="s">
        <v>2424</v>
      </c>
      <c r="C835" s="174">
        <v>44733</v>
      </c>
      <c r="D835" s="5" t="s">
        <v>256</v>
      </c>
      <c r="E835" s="5" t="s">
        <v>257</v>
      </c>
      <c r="F835" s="175" t="s">
        <v>2438</v>
      </c>
      <c r="G835" s="15" t="s">
        <v>346</v>
      </c>
      <c r="H835" s="176">
        <v>50000000</v>
      </c>
      <c r="I835" s="17" t="s">
        <v>260</v>
      </c>
      <c r="J835" s="113" t="str">
        <f>VLOOKUP($I835,'Price List, Weapons &amp; Items'!B:C,2,0)</f>
        <v>.</v>
      </c>
      <c r="K835" s="113" t="str">
        <f>IF(I835=".",I835,VLOOKUP($I835,'Price List, Weapons &amp; Items'!B:D,3,0))</f>
        <v>.</v>
      </c>
      <c r="L835" s="177">
        <f>VLOOKUP(I835,'Price List, Weapons &amp; Items'!B:E,4,0)</f>
        <v>0</v>
      </c>
      <c r="M835" s="187" t="s">
        <v>260</v>
      </c>
      <c r="N835" s="187" t="s">
        <v>260</v>
      </c>
      <c r="O835" s="543" t="str">
        <f>VLOOKUP($I835,'Price List, Weapons &amp; Items'!B:G,6,0)</f>
        <v>.</v>
      </c>
      <c r="P835" s="176" t="str">
        <f t="shared" si="164"/>
        <v>.</v>
      </c>
      <c r="Q835" s="176" t="str">
        <f t="shared" si="165"/>
        <v>.</v>
      </c>
      <c r="R835" s="176">
        <f t="shared" si="162"/>
        <v>50000000</v>
      </c>
      <c r="S835" s="176">
        <f>IF(AND(AD835=1,R835&lt;&gt;".")=TRUE,R835/VLOOKUP(G835,'Exchange Rates'!B:C,2,0),IF(R835=".",".",""))</f>
        <v>47619047.619047619</v>
      </c>
      <c r="T835" s="176" t="str">
        <f>IF(AD835=1,IF(AF835="Value is not given at all",".",IF(AF835="Value is given by the source",S835,IF(AF835="Value is calculated with prices",(IF(SUMIFS(Q:Q,A:A,A835)&gt;0,SUMIFS(Q:Q,A:A,A835),"."))/VLOOKUP("USD",'Exchange Rates'!B:C,2,0),"Error with coding"))),"")</f>
        <v>.</v>
      </c>
      <c r="U835" s="15" t="s">
        <v>261</v>
      </c>
      <c r="V835" s="558" t="s">
        <v>2439</v>
      </c>
      <c r="W835" s="175" t="s">
        <v>260</v>
      </c>
      <c r="X835" s="175" t="s">
        <v>260</v>
      </c>
      <c r="Y835" s="175" t="s">
        <v>260</v>
      </c>
      <c r="Z835" s="15">
        <v>0</v>
      </c>
      <c r="AA835" s="180">
        <v>0</v>
      </c>
      <c r="AB835" s="17" t="s">
        <v>260</v>
      </c>
      <c r="AC835" s="544" t="str">
        <f>""</f>
        <v/>
      </c>
      <c r="AD835" s="183">
        <v>1</v>
      </c>
      <c r="AE835" s="183" t="s">
        <v>264</v>
      </c>
      <c r="AF835" s="183" t="s">
        <v>265</v>
      </c>
      <c r="AG835" s="183">
        <v>1</v>
      </c>
      <c r="AH835" s="181">
        <v>6</v>
      </c>
      <c r="AI835" s="181">
        <v>0</v>
      </c>
      <c r="AJ835" s="181">
        <f>VLOOKUP($I835,'Price List, Weapons &amp; Items'!B:F,5,0)</f>
        <v>0</v>
      </c>
      <c r="AK835" s="181">
        <f t="shared" si="166"/>
        <v>0</v>
      </c>
      <c r="AL835" s="181">
        <f t="shared" si="167"/>
        <v>0</v>
      </c>
      <c r="AM835" s="181">
        <f t="shared" si="168"/>
        <v>0</v>
      </c>
      <c r="AN835" s="180" t="str">
        <f>VLOOKUP($I835,'Price List, Weapons &amp; Items'!B:L,COLUMN('Price List, Weapons &amp; Items'!$J$11)-1,0)</f>
        <v>.</v>
      </c>
      <c r="AO835" s="180" t="str">
        <f>IF(I835=".",".",VLOOKUP($I835,'Price List, Weapons &amp; Items'!B:J,3,0))</f>
        <v>.</v>
      </c>
      <c r="AP835" s="545" t="e">
        <f t="shared" ca="1" si="163"/>
        <v>#NAME?</v>
      </c>
      <c r="AQ835" s="180" t="str">
        <f>VLOOKUP($I835,'Price List, Weapons &amp; Items'!B:L,COLUMN('Price List, Weapons &amp; Items'!$L$11)-1,0)</f>
        <v>no price, 0 count</v>
      </c>
      <c r="AR835" s="180">
        <f t="shared" si="169"/>
        <v>1</v>
      </c>
      <c r="AS835" s="180">
        <f t="shared" si="170"/>
        <v>0</v>
      </c>
      <c r="AT835" s="180">
        <f t="shared" si="171"/>
        <v>1</v>
      </c>
      <c r="AU835" s="180" t="str">
        <f t="shared" si="172"/>
        <v>.</v>
      </c>
      <c r="AV835" s="180" t="str">
        <f t="shared" si="173"/>
        <v>.</v>
      </c>
      <c r="AW835" s="180">
        <f>IFERROR(VLOOKUP(B835,'Share, Heavy Weapons to Ukraine'!B:J,COLUMN('Share, Heavy Weapons to Ukraine'!C848)-1,0),0)</f>
        <v>0</v>
      </c>
      <c r="AX835" s="180">
        <f>VLOOKUP('Bilateral Assistance, MAIN DATA'!B835,'Country Summary'!B:F,COLUMN('Country Summary'!C851)-1,FALSE)</f>
        <v>0</v>
      </c>
      <c r="AY835" s="180" t="str">
        <f>IF(AND(AD835=1,D835="Military",H835&lt;&gt;"Not given")=TRUE,IF(SUMIFS(P:P,A:A,A835)&gt;0,ABS((SUMIFS(P:P,A:A,A835)/VLOOKUP("USD",'Exchange Rates'!B:C,2,0)))/S835,"."),".")</f>
        <v>.</v>
      </c>
      <c r="AZ835" s="182" t="str">
        <f>IF(AND(AD835=1,D835="Military",H835&lt;&gt;"Not given")=TRUE,IF(SUMIFS(P:P,A:A,A835)&gt;0,IF((ABS((SUMIFS(P:P,A:A,A835)/VLOOKUP("USD",'Exchange Rates'!B:C,2,0)))/S835)&gt;1,(SUMIFS(P:P,A:A,A835)-S835)/S835,(S835-SUMIFS(P:P,A:A,A835))/SUMIFS(P:P,A:A,A835)),"."),".")</f>
        <v>.</v>
      </c>
      <c r="BA835" s="182"/>
      <c r="BB835" s="182"/>
      <c r="BC835" s="182"/>
      <c r="BD835" s="182"/>
      <c r="BE835" s="182"/>
      <c r="BF835" s="182"/>
      <c r="BG835" s="182"/>
      <c r="BH835" s="182"/>
      <c r="BI835" s="182"/>
      <c r="BJ835" s="182"/>
      <c r="BK835" s="182"/>
      <c r="BL835" s="182"/>
      <c r="BM835" s="182"/>
      <c r="BN835" s="182"/>
      <c r="BO835" s="182"/>
      <c r="BP835" s="182"/>
      <c r="BQ835" s="182"/>
      <c r="BR835" s="182"/>
      <c r="BS835" s="182"/>
    </row>
    <row r="836" spans="1:71" ht="16.5" customHeight="1" x14ac:dyDescent="0.3">
      <c r="A836" s="19" t="s">
        <v>2440</v>
      </c>
      <c r="B836" s="19" t="s">
        <v>2424</v>
      </c>
      <c r="C836" s="555">
        <v>44900</v>
      </c>
      <c r="D836" s="19" t="s">
        <v>256</v>
      </c>
      <c r="E836" s="19" t="s">
        <v>257</v>
      </c>
      <c r="F836" s="19" t="s">
        <v>2441</v>
      </c>
      <c r="G836" s="199" t="s">
        <v>346</v>
      </c>
      <c r="H836" s="70">
        <v>8800000</v>
      </c>
      <c r="I836" s="19" t="s">
        <v>260</v>
      </c>
      <c r="J836" s="113" t="str">
        <f>VLOOKUP($I836,'Price List, Weapons &amp; Items'!B:C,2,0)</f>
        <v>.</v>
      </c>
      <c r="K836" s="113" t="str">
        <f>IF(I836=".",I836,VLOOKUP($I836,'Price List, Weapons &amp; Items'!B:D,3,0))</f>
        <v>.</v>
      </c>
      <c r="L836" s="177">
        <f>VLOOKUP(I836,'Price List, Weapons &amp; Items'!B:E,4,0)</f>
        <v>0</v>
      </c>
      <c r="M836" s="247" t="s">
        <v>260</v>
      </c>
      <c r="N836" s="247" t="s">
        <v>260</v>
      </c>
      <c r="O836" s="543" t="str">
        <f>VLOOKUP($I836,'Price List, Weapons &amp; Items'!B:G,6,0)</f>
        <v>.</v>
      </c>
      <c r="P836" s="176" t="str">
        <f t="shared" si="164"/>
        <v>.</v>
      </c>
      <c r="Q836" s="176" t="str">
        <f t="shared" si="165"/>
        <v>.</v>
      </c>
      <c r="R836" s="176">
        <f t="shared" si="162"/>
        <v>8800000</v>
      </c>
      <c r="S836" s="176">
        <f>IF(AND(AD836=1,R836&lt;&gt;".")=TRUE,R836/VLOOKUP(G836,'Exchange Rates'!B:C,2,0),IF(R836=".",".",""))</f>
        <v>8380952.3809523806</v>
      </c>
      <c r="T836" s="176" t="str">
        <f>IF(AD836=1,IF(AF836="Value is not given at all",".",IF(AF836="Value is given by the source",S836,IF(AF836="Value is calculated with prices",(IF(SUMIFS(Q:Q,A:A,A836)&gt;0,SUMIFS(Q:Q,A:A,A836),"."))/VLOOKUP("USD",'Exchange Rates'!B:C,2,0),"Error with coding"))),"")</f>
        <v>.</v>
      </c>
      <c r="U836" s="199" t="s">
        <v>261</v>
      </c>
      <c r="V836" s="304" t="s">
        <v>2442</v>
      </c>
      <c r="W836" s="304" t="s">
        <v>2443</v>
      </c>
      <c r="X836" s="19" t="s">
        <v>260</v>
      </c>
      <c r="Y836" s="19" t="s">
        <v>260</v>
      </c>
      <c r="Z836" s="199">
        <v>0</v>
      </c>
      <c r="AA836" s="199">
        <v>1</v>
      </c>
      <c r="AB836" s="19" t="s">
        <v>260</v>
      </c>
      <c r="AC836" s="544" t="str">
        <f>""</f>
        <v/>
      </c>
      <c r="AD836" s="199">
        <v>1</v>
      </c>
      <c r="AE836" s="199" t="s">
        <v>264</v>
      </c>
      <c r="AF836" s="199" t="s">
        <v>265</v>
      </c>
      <c r="AG836" s="199">
        <v>1</v>
      </c>
      <c r="AH836" s="199">
        <v>12</v>
      </c>
      <c r="AI836" s="199">
        <v>0</v>
      </c>
      <c r="AJ836" s="181">
        <f>VLOOKUP($I836,'Price List, Weapons &amp; Items'!B:F,5,0)</f>
        <v>0</v>
      </c>
      <c r="AK836" s="181">
        <f t="shared" si="166"/>
        <v>0</v>
      </c>
      <c r="AL836" s="181">
        <f t="shared" si="167"/>
        <v>0</v>
      </c>
      <c r="AM836" s="181">
        <f t="shared" si="168"/>
        <v>0</v>
      </c>
      <c r="AN836" s="180" t="str">
        <f>VLOOKUP($I836,'Price List, Weapons &amp; Items'!B:L,COLUMN('Price List, Weapons &amp; Items'!$J$11)-1,0)</f>
        <v>.</v>
      </c>
      <c r="AO836" s="180" t="str">
        <f>IF(I836=".",".",VLOOKUP($I836,'Price List, Weapons &amp; Items'!B:J,3,0))</f>
        <v>.</v>
      </c>
      <c r="AP836" s="545" t="e">
        <f t="shared" ca="1" si="163"/>
        <v>#NAME?</v>
      </c>
      <c r="AQ836" s="180" t="str">
        <f>VLOOKUP($I836,'Price List, Weapons &amp; Items'!B:L,COLUMN('Price List, Weapons &amp; Items'!$L$11)-1,0)</f>
        <v>no price, 0 count</v>
      </c>
      <c r="AR836" s="180">
        <f t="shared" si="169"/>
        <v>1</v>
      </c>
      <c r="AS836" s="180">
        <f t="shared" si="170"/>
        <v>0</v>
      </c>
      <c r="AT836" s="180">
        <f t="shared" si="171"/>
        <v>1</v>
      </c>
      <c r="AU836" s="180" t="str">
        <f t="shared" si="172"/>
        <v>.</v>
      </c>
      <c r="AV836" s="180" t="str">
        <f t="shared" si="173"/>
        <v>.</v>
      </c>
      <c r="AW836" s="180">
        <f>IFERROR(VLOOKUP(B836,'Share, Heavy Weapons to Ukraine'!B:J,COLUMN('Share, Heavy Weapons to Ukraine'!C849)-1,0),0)</f>
        <v>0</v>
      </c>
      <c r="AX836" s="180">
        <f>VLOOKUP('Bilateral Assistance, MAIN DATA'!B836,'Country Summary'!B:F,COLUMN('Country Summary'!C852)-1,FALSE)</f>
        <v>0</v>
      </c>
      <c r="AY836" s="180" t="str">
        <f>IF(AND(AD836=1,D836="Military",H836&lt;&gt;"Not given")=TRUE,IF(SUMIFS(P:P,A:A,A836)&gt;0,ABS((SUMIFS(P:P,A:A,A836)/VLOOKUP("USD",'Exchange Rates'!B:C,2,0)))/S836,"."),".")</f>
        <v>.</v>
      </c>
      <c r="AZ836" s="182" t="str">
        <f>IF(AND(AD836=1,D836="Military",H836&lt;&gt;"Not given")=TRUE,IF(SUMIFS(P:P,A:A,A836)&gt;0,IF((ABS((SUMIFS(P:P,A:A,A836)/VLOOKUP("USD",'Exchange Rates'!B:C,2,0)))/S836)&gt;1,(SUMIFS(P:P,A:A,A836)-S836)/S836,(S836-SUMIFS(P:P,A:A,A836))/SUMIFS(P:P,A:A,A836)),"."),".")</f>
        <v>.</v>
      </c>
      <c r="BA836" s="182"/>
      <c r="BB836" s="182"/>
      <c r="BC836" s="182"/>
      <c r="BD836" s="182"/>
      <c r="BE836" s="182"/>
      <c r="BF836" s="182"/>
      <c r="BG836" s="182"/>
      <c r="BH836" s="182"/>
      <c r="BI836" s="182"/>
      <c r="BJ836" s="182"/>
      <c r="BK836" s="182"/>
      <c r="BL836" s="182"/>
      <c r="BM836" s="182"/>
      <c r="BN836" s="182"/>
      <c r="BO836" s="182"/>
      <c r="BP836" s="182"/>
      <c r="BQ836" s="182"/>
      <c r="BR836" s="182"/>
      <c r="BS836" s="182"/>
    </row>
    <row r="837" spans="1:71" ht="15.9" customHeight="1" x14ac:dyDescent="0.3">
      <c r="A837" s="17" t="s">
        <v>2444</v>
      </c>
      <c r="B837" s="17" t="s">
        <v>2424</v>
      </c>
      <c r="C837" s="174">
        <v>44621</v>
      </c>
      <c r="D837" s="5" t="s">
        <v>285</v>
      </c>
      <c r="E837" s="5" t="s">
        <v>294</v>
      </c>
      <c r="F837" s="175" t="s">
        <v>2445</v>
      </c>
      <c r="G837" s="15" t="s">
        <v>346</v>
      </c>
      <c r="H837" s="176">
        <v>800000</v>
      </c>
      <c r="I837" s="184" t="s">
        <v>260</v>
      </c>
      <c r="J837" s="113" t="str">
        <f>VLOOKUP($I837,'Price List, Weapons &amp; Items'!B:C,2,0)</f>
        <v>.</v>
      </c>
      <c r="K837" s="113" t="str">
        <f>IF(I837=".",I837,VLOOKUP($I837,'Price List, Weapons &amp; Items'!B:D,3,0))</f>
        <v>.</v>
      </c>
      <c r="L837" s="177">
        <f>VLOOKUP(I837,'Price List, Weapons &amp; Items'!B:E,4,0)</f>
        <v>0</v>
      </c>
      <c r="M837" s="542" t="s">
        <v>260</v>
      </c>
      <c r="N837" s="542" t="s">
        <v>260</v>
      </c>
      <c r="O837" s="543" t="str">
        <f>VLOOKUP($I837,'Price List, Weapons &amp; Items'!B:G,6,0)</f>
        <v>.</v>
      </c>
      <c r="P837" s="176" t="str">
        <f t="shared" si="164"/>
        <v>.</v>
      </c>
      <c r="Q837" s="176" t="str">
        <f t="shared" si="165"/>
        <v>.</v>
      </c>
      <c r="R837" s="176">
        <f t="shared" si="162"/>
        <v>800000</v>
      </c>
      <c r="S837" s="176">
        <f>IF(AND(AD837=1,R837&lt;&gt;".")=TRUE,R837/VLOOKUP(G837,'Exchange Rates'!B:C,2,0),IF(R837=".",".",""))</f>
        <v>761904.76190476189</v>
      </c>
      <c r="T837" s="176" t="str">
        <f>IF(AD837=1,IF(AF837="Value is not given at all",".",IF(AF837="Value is given by the source",S837,IF(AF837="Value is calculated with prices",(IF(SUMIFS(Q:Q,A:A,A837)&gt;0,SUMIFS(Q:Q,A:A,A837),"."))/VLOOKUP("USD",'Exchange Rates'!B:C,2,0),"Error with coding"))),"")</f>
        <v>.</v>
      </c>
      <c r="U837" s="15" t="s">
        <v>415</v>
      </c>
      <c r="V837" s="300" t="s">
        <v>2446</v>
      </c>
      <c r="W837" s="300" t="s">
        <v>2447</v>
      </c>
      <c r="X837" s="300" t="s">
        <v>2448</v>
      </c>
      <c r="Y837" s="175" t="s">
        <v>260</v>
      </c>
      <c r="Z837" s="15">
        <v>0</v>
      </c>
      <c r="AA837" s="180">
        <v>0</v>
      </c>
      <c r="AB837" s="184" t="s">
        <v>260</v>
      </c>
      <c r="AC837" s="544" t="str">
        <f>""</f>
        <v/>
      </c>
      <c r="AD837" s="181">
        <v>1</v>
      </c>
      <c r="AE837" s="181" t="s">
        <v>264</v>
      </c>
      <c r="AF837" s="181" t="s">
        <v>265</v>
      </c>
      <c r="AG837" s="181">
        <v>1</v>
      </c>
      <c r="AH837" s="181">
        <v>3</v>
      </c>
      <c r="AI837" s="181">
        <v>0</v>
      </c>
      <c r="AJ837" s="181">
        <f>VLOOKUP($I837,'Price List, Weapons &amp; Items'!B:F,5,0)</f>
        <v>0</v>
      </c>
      <c r="AK837" s="181">
        <f t="shared" si="166"/>
        <v>0</v>
      </c>
      <c r="AL837" s="181">
        <f t="shared" si="167"/>
        <v>0</v>
      </c>
      <c r="AM837" s="181">
        <f t="shared" si="168"/>
        <v>0</v>
      </c>
      <c r="AN837" s="180" t="str">
        <f>VLOOKUP($I837,'Price List, Weapons &amp; Items'!B:L,COLUMN('Price List, Weapons &amp; Items'!$J$11)-1,0)</f>
        <v>.</v>
      </c>
      <c r="AO837" s="180" t="str">
        <f>IF(I837=".",".",VLOOKUP($I837,'Price List, Weapons &amp; Items'!B:J,3,0))</f>
        <v>.</v>
      </c>
      <c r="AP837" s="545" t="e">
        <f t="shared" ca="1" si="163"/>
        <v>#NAME?</v>
      </c>
      <c r="AQ837" s="180" t="str">
        <f>VLOOKUP($I837,'Price List, Weapons &amp; Items'!B:L,COLUMN('Price List, Weapons &amp; Items'!$L$11)-1,0)</f>
        <v>no price, 0 count</v>
      </c>
      <c r="AR837" s="180">
        <f t="shared" si="169"/>
        <v>0</v>
      </c>
      <c r="AS837" s="180">
        <f t="shared" si="170"/>
        <v>1</v>
      </c>
      <c r="AT837" s="180">
        <f t="shared" si="171"/>
        <v>1</v>
      </c>
      <c r="AU837" s="180" t="str">
        <f t="shared" si="172"/>
        <v>.</v>
      </c>
      <c r="AV837" s="180" t="str">
        <f t="shared" si="173"/>
        <v>.</v>
      </c>
      <c r="AW837" s="180">
        <f>IFERROR(VLOOKUP(B837,'Share, Heavy Weapons to Ukraine'!B:J,COLUMN('Share, Heavy Weapons to Ukraine'!C850)-1,0),0)</f>
        <v>0</v>
      </c>
      <c r="AX837" s="180">
        <f>VLOOKUP('Bilateral Assistance, MAIN DATA'!B837,'Country Summary'!B:F,COLUMN('Country Summary'!C853)-1,FALSE)</f>
        <v>0</v>
      </c>
      <c r="AY837" s="180" t="str">
        <f>IF(AND(AD837=1,D837="Military",H837&lt;&gt;"Not given")=TRUE,IF(SUMIFS(P:P,A:A,A837)&gt;0,ABS((SUMIFS(P:P,A:A,A837)/VLOOKUP("USD",'Exchange Rates'!B:C,2,0)))/S837,"."),".")</f>
        <v>.</v>
      </c>
      <c r="AZ837" s="182" t="str">
        <f>IF(AND(AD837=1,D837="Military",H837&lt;&gt;"Not given")=TRUE,IF(SUMIFS(P:P,A:A,A837)&gt;0,IF((ABS((SUMIFS(P:P,A:A,A837)/VLOOKUP("USD",'Exchange Rates'!B:C,2,0)))/S837)&gt;1,(SUMIFS(P:P,A:A,A837)-S837)/S837,(S837-SUMIFS(P:P,A:A,A837))/SUMIFS(P:P,A:A,A837)),"."),".")</f>
        <v>.</v>
      </c>
      <c r="BA837" s="182"/>
      <c r="BB837" s="182"/>
      <c r="BC837" s="182"/>
      <c r="BD837" s="182"/>
      <c r="BE837" s="182"/>
      <c r="BF837" s="182"/>
      <c r="BG837" s="182"/>
      <c r="BH837" s="182"/>
      <c r="BI837" s="182"/>
      <c r="BJ837" s="182"/>
      <c r="BK837" s="182"/>
      <c r="BL837" s="182"/>
      <c r="BM837" s="182"/>
      <c r="BN837" s="182"/>
      <c r="BO837" s="182"/>
      <c r="BP837" s="182"/>
      <c r="BQ837" s="182"/>
      <c r="BR837" s="182"/>
      <c r="BS837" s="182"/>
    </row>
    <row r="838" spans="1:71" ht="15.9" customHeight="1" x14ac:dyDescent="0.3">
      <c r="A838" s="5" t="s">
        <v>2449</v>
      </c>
      <c r="B838" s="5" t="s">
        <v>2424</v>
      </c>
      <c r="C838" s="174">
        <v>44664</v>
      </c>
      <c r="D838" s="5" t="s">
        <v>285</v>
      </c>
      <c r="E838" s="5" t="s">
        <v>294</v>
      </c>
      <c r="F838" s="175" t="s">
        <v>2450</v>
      </c>
      <c r="G838" s="15" t="s">
        <v>346</v>
      </c>
      <c r="H838" s="176">
        <v>1600000</v>
      </c>
      <c r="I838" s="184" t="s">
        <v>499</v>
      </c>
      <c r="J838" s="113" t="str">
        <f>VLOOKUP($I838,'Price List, Weapons &amp; Items'!B:C,2,0)</f>
        <v>Military equipment</v>
      </c>
      <c r="K838" s="113" t="str">
        <f>IF(I838=".",I838,VLOOKUP($I838,'Price List, Weapons &amp; Items'!B:D,3,0))</f>
        <v>Military equipment</v>
      </c>
      <c r="L838" s="177">
        <f>VLOOKUP(I838,'Price List, Weapons &amp; Items'!B:E,4,0)</f>
        <v>0</v>
      </c>
      <c r="M838" s="542" t="s">
        <v>270</v>
      </c>
      <c r="N838" s="542" t="s">
        <v>270</v>
      </c>
      <c r="O838" s="543">
        <f>VLOOKUP($I838,'Price List, Weapons &amp; Items'!B:G,6,0)</f>
        <v>500</v>
      </c>
      <c r="P838" s="176" t="str">
        <f t="shared" si="164"/>
        <v>.</v>
      </c>
      <c r="Q838" s="176" t="str">
        <f t="shared" si="165"/>
        <v>.</v>
      </c>
      <c r="R838" s="176">
        <f t="shared" si="162"/>
        <v>1600000</v>
      </c>
      <c r="S838" s="176">
        <f>IF(AND(AD838=1,R838&lt;&gt;".")=TRUE,R838/VLOOKUP(G838,'Exchange Rates'!B:C,2,0),IF(R838=".",".",""))</f>
        <v>1523809.5238095238</v>
      </c>
      <c r="T838" s="176" t="str">
        <f>IF(AD838=1,IF(AF838="Value is not given at all",".",IF(AF838="Value is given by the source",S838,IF(AF838="Value is calculated with prices",(IF(SUMIFS(Q:Q,A:A,A838)&gt;0,SUMIFS(Q:Q,A:A,A838),"."))/VLOOKUP("USD",'Exchange Rates'!B:C,2,0),"Error with coding"))),"")</f>
        <v>.</v>
      </c>
      <c r="U838" s="15" t="s">
        <v>415</v>
      </c>
      <c r="V838" s="547" t="s">
        <v>2451</v>
      </c>
      <c r="W838" s="547" t="s">
        <v>2452</v>
      </c>
      <c r="X838" s="188" t="s">
        <v>260</v>
      </c>
      <c r="Y838" s="188" t="s">
        <v>260</v>
      </c>
      <c r="Z838" s="15">
        <v>0</v>
      </c>
      <c r="AA838" s="180">
        <v>0</v>
      </c>
      <c r="AB838" s="184" t="s">
        <v>260</v>
      </c>
      <c r="AC838" s="544" t="str">
        <f>""</f>
        <v/>
      </c>
      <c r="AD838" s="181">
        <v>1</v>
      </c>
      <c r="AE838" s="181" t="s">
        <v>264</v>
      </c>
      <c r="AF838" s="181" t="s">
        <v>265</v>
      </c>
      <c r="AG838" s="181">
        <v>1</v>
      </c>
      <c r="AH838" s="181">
        <v>4</v>
      </c>
      <c r="AI838" s="181">
        <v>0</v>
      </c>
      <c r="AJ838" s="181">
        <f>VLOOKUP($I838,'Price List, Weapons &amp; Items'!B:F,5,0)</f>
        <v>0</v>
      </c>
      <c r="AK838" s="181">
        <f t="shared" si="166"/>
        <v>0</v>
      </c>
      <c r="AL838" s="181">
        <f t="shared" si="167"/>
        <v>0</v>
      </c>
      <c r="AM838" s="181">
        <f t="shared" si="168"/>
        <v>0</v>
      </c>
      <c r="AN838" s="180" t="str">
        <f>VLOOKUP($I838,'Price List, Weapons &amp; Items'!B:L,COLUMN('Price List, Weapons &amp; Items'!$J$11)-1,0)</f>
        <v>Military media (incl. websites)</v>
      </c>
      <c r="AO838" s="180" t="str">
        <f>IF(I838=".",".",VLOOKUP($I838,'Price List, Weapons &amp; Items'!B:J,3,0))</f>
        <v>Military equipment</v>
      </c>
      <c r="AP838" s="545" t="e">
        <f t="shared" ca="1" si="163"/>
        <v>#NAME?</v>
      </c>
      <c r="AQ838" s="180">
        <f>VLOOKUP($I838,'Price List, Weapons &amp; Items'!B:L,COLUMN('Price List, Weapons &amp; Items'!$L$11)-1,0)</f>
        <v>2</v>
      </c>
      <c r="AR838" s="180">
        <f t="shared" si="169"/>
        <v>0</v>
      </c>
      <c r="AS838" s="180">
        <f t="shared" si="170"/>
        <v>1</v>
      </c>
      <c r="AT838" s="180">
        <f t="shared" si="171"/>
        <v>1</v>
      </c>
      <c r="AU838" s="180" t="str">
        <f t="shared" si="172"/>
        <v>.</v>
      </c>
      <c r="AV838" s="180" t="str">
        <f t="shared" si="173"/>
        <v>.</v>
      </c>
      <c r="AW838" s="180">
        <f>IFERROR(VLOOKUP(B838,'Share, Heavy Weapons to Ukraine'!B:J,COLUMN('Share, Heavy Weapons to Ukraine'!C851)-1,0),0)</f>
        <v>0</v>
      </c>
      <c r="AX838" s="180">
        <f>VLOOKUP('Bilateral Assistance, MAIN DATA'!B838,'Country Summary'!B:F,COLUMN('Country Summary'!C854)-1,FALSE)</f>
        <v>0</v>
      </c>
      <c r="AY838" s="180" t="str">
        <f>IF(AND(AD838=1,D838="Military",H838&lt;&gt;"Not given")=TRUE,IF(SUMIFS(P:P,A:A,A838)&gt;0,ABS((SUMIFS(P:P,A:A,A838)/VLOOKUP("USD",'Exchange Rates'!B:C,2,0)))/S838,"."),".")</f>
        <v>.</v>
      </c>
      <c r="AZ838" s="182" t="str">
        <f>IF(AND(AD838=1,D838="Military",H838&lt;&gt;"Not given")=TRUE,IF(SUMIFS(P:P,A:A,A838)&gt;0,IF((ABS((SUMIFS(P:P,A:A,A838)/VLOOKUP("USD",'Exchange Rates'!B:C,2,0)))/S838)&gt;1,(SUMIFS(P:P,A:A,A838)-S838)/S838,(S838-SUMIFS(P:P,A:A,A838))/SUMIFS(P:P,A:A,A838)),"."),".")</f>
        <v>.</v>
      </c>
      <c r="BA838" s="182"/>
      <c r="BB838" s="182"/>
      <c r="BC838" s="182"/>
      <c r="BD838" s="182"/>
      <c r="BE838" s="182"/>
      <c r="BF838" s="182"/>
      <c r="BG838" s="182"/>
      <c r="BH838" s="182"/>
      <c r="BI838" s="182"/>
      <c r="BJ838" s="182"/>
      <c r="BK838" s="182"/>
      <c r="BL838" s="182"/>
      <c r="BM838" s="182"/>
      <c r="BN838" s="182"/>
      <c r="BO838" s="182"/>
      <c r="BP838" s="182"/>
      <c r="BQ838" s="182"/>
      <c r="BR838" s="182"/>
      <c r="BS838" s="182"/>
    </row>
    <row r="839" spans="1:71" ht="15.9" customHeight="1" x14ac:dyDescent="0.3">
      <c r="A839" s="5" t="s">
        <v>2449</v>
      </c>
      <c r="B839" s="5" t="s">
        <v>2424</v>
      </c>
      <c r="C839" s="174">
        <v>44664</v>
      </c>
      <c r="D839" s="5" t="s">
        <v>285</v>
      </c>
      <c r="E839" s="5" t="s">
        <v>294</v>
      </c>
      <c r="F839" s="175" t="s">
        <v>2450</v>
      </c>
      <c r="G839" s="15" t="s">
        <v>346</v>
      </c>
      <c r="H839" s="176">
        <v>1600000</v>
      </c>
      <c r="I839" s="184" t="s">
        <v>463</v>
      </c>
      <c r="J839" s="113" t="str">
        <f>VLOOKUP($I839,'Price List, Weapons &amp; Items'!B:C,2,0)</f>
        <v>Military equipment</v>
      </c>
      <c r="K839" s="113" t="str">
        <f>IF(I839=".",I839,VLOOKUP($I839,'Price List, Weapons &amp; Items'!B:D,3,0))</f>
        <v>Military equipment</v>
      </c>
      <c r="L839" s="177">
        <f>VLOOKUP(I839,'Price List, Weapons &amp; Items'!B:E,4,0)</f>
        <v>0</v>
      </c>
      <c r="M839" s="542" t="s">
        <v>270</v>
      </c>
      <c r="N839" s="542" t="s">
        <v>270</v>
      </c>
      <c r="O839" s="543">
        <f>VLOOKUP($I839,'Price List, Weapons &amp; Items'!B:G,6,0)</f>
        <v>1400</v>
      </c>
      <c r="P839" s="176" t="str">
        <f t="shared" si="164"/>
        <v>.</v>
      </c>
      <c r="Q839" s="176" t="str">
        <f t="shared" si="165"/>
        <v>.</v>
      </c>
      <c r="R839" s="176" t="str">
        <f t="shared" si="162"/>
        <v/>
      </c>
      <c r="S839" s="176" t="str">
        <f>IF(AND(AD839=1,R839&lt;&gt;".")=TRUE,R839/VLOOKUP(G839,'Exchange Rates'!B:C,2,0),IF(R839=".",".",""))</f>
        <v/>
      </c>
      <c r="T839" s="176" t="str">
        <f>IF(AD839=1,IF(AF839="Value is not given at all",".",IF(AF839="Value is given by the source",S839,IF(AF839="Value is calculated with prices",(IF(SUMIFS(Q:Q,A:A,A839)&gt;0,SUMIFS(Q:Q,A:A,A839),"."))/VLOOKUP("USD",'Exchange Rates'!B:C,2,0),"Error with coding"))),"")</f>
        <v/>
      </c>
      <c r="U839" s="15" t="s">
        <v>415</v>
      </c>
      <c r="V839" s="547" t="s">
        <v>2451</v>
      </c>
      <c r="W839" s="547" t="s">
        <v>2452</v>
      </c>
      <c r="X839" s="188" t="s">
        <v>260</v>
      </c>
      <c r="Y839" s="188" t="s">
        <v>260</v>
      </c>
      <c r="Z839" s="15">
        <v>0</v>
      </c>
      <c r="AA839" s="180">
        <v>0</v>
      </c>
      <c r="AB839" s="184" t="s">
        <v>260</v>
      </c>
      <c r="AC839" s="544" t="str">
        <f>""</f>
        <v/>
      </c>
      <c r="AD839" s="181">
        <v>0</v>
      </c>
      <c r="AE839" s="181" t="s">
        <v>264</v>
      </c>
      <c r="AF839" s="181" t="s">
        <v>265</v>
      </c>
      <c r="AG839" s="181">
        <v>1</v>
      </c>
      <c r="AH839" s="181">
        <v>4</v>
      </c>
      <c r="AI839" s="181">
        <v>0</v>
      </c>
      <c r="AJ839" s="181">
        <f>VLOOKUP($I839,'Price List, Weapons &amp; Items'!B:F,5,0)</f>
        <v>0</v>
      </c>
      <c r="AK839" s="181">
        <f t="shared" si="166"/>
        <v>0</v>
      </c>
      <c r="AL839" s="181">
        <f t="shared" si="167"/>
        <v>0</v>
      </c>
      <c r="AM839" s="181">
        <f t="shared" si="168"/>
        <v>0</v>
      </c>
      <c r="AN839" s="180" t="str">
        <f>VLOOKUP($I839,'Price List, Weapons &amp; Items'!B:L,COLUMN('Price List, Weapons &amp; Items'!$J$11)-1,0)</f>
        <v>Military media (incl. websites)</v>
      </c>
      <c r="AO839" s="180" t="str">
        <f>IF(I839=".",".",VLOOKUP($I839,'Price List, Weapons &amp; Items'!B:J,3,0))</f>
        <v>Military equipment</v>
      </c>
      <c r="AP839" s="545" t="str">
        <f t="shared" ca="1" si="163"/>
        <v/>
      </c>
      <c r="AQ839" s="180">
        <f>VLOOKUP($I839,'Price List, Weapons &amp; Items'!B:L,COLUMN('Price List, Weapons &amp; Items'!$L$11)-1,0)</f>
        <v>2</v>
      </c>
      <c r="AR839" s="180">
        <f t="shared" si="169"/>
        <v>0</v>
      </c>
      <c r="AS839" s="180">
        <f t="shared" si="170"/>
        <v>1</v>
      </c>
      <c r="AT839" s="180">
        <f t="shared" si="171"/>
        <v>1</v>
      </c>
      <c r="AU839" s="180" t="str">
        <f t="shared" si="172"/>
        <v>.</v>
      </c>
      <c r="AV839" s="180" t="str">
        <f t="shared" si="173"/>
        <v>.</v>
      </c>
      <c r="AW839" s="180">
        <f>IFERROR(VLOOKUP(B839,'Share, Heavy Weapons to Ukraine'!B:J,COLUMN('Share, Heavy Weapons to Ukraine'!C852)-1,0),0)</f>
        <v>0</v>
      </c>
      <c r="AX839" s="180">
        <f>VLOOKUP('Bilateral Assistance, MAIN DATA'!B839,'Country Summary'!B:F,COLUMN('Country Summary'!C855)-1,FALSE)</f>
        <v>0</v>
      </c>
      <c r="AY839" s="180" t="str">
        <f>IF(AND(AD839=1,D839="Military",H839&lt;&gt;"Not given")=TRUE,IF(SUMIFS(P:P,A:A,A839)&gt;0,ABS((SUMIFS(P:P,A:A,A839)/VLOOKUP("USD",'Exchange Rates'!B:C,2,0)))/S839,"."),".")</f>
        <v>.</v>
      </c>
      <c r="AZ839" s="182" t="str">
        <f>IF(AND(AD839=1,D839="Military",H839&lt;&gt;"Not given")=TRUE,IF(SUMIFS(P:P,A:A,A839)&gt;0,IF((ABS((SUMIFS(P:P,A:A,A839)/VLOOKUP("USD",'Exchange Rates'!B:C,2,0)))/S839)&gt;1,(SUMIFS(P:P,A:A,A839)-S839)/S839,(S839-SUMIFS(P:P,A:A,A839))/SUMIFS(P:P,A:A,A839)),"."),".")</f>
        <v>.</v>
      </c>
      <c r="BA839" s="182"/>
      <c r="BB839" s="182"/>
      <c r="BC839" s="182"/>
      <c r="BD839" s="182"/>
      <c r="BE839" s="182"/>
      <c r="BF839" s="182"/>
      <c r="BG839" s="182"/>
      <c r="BH839" s="182"/>
      <c r="BI839" s="182"/>
      <c r="BJ839" s="182"/>
      <c r="BK839" s="182"/>
      <c r="BL839" s="182"/>
      <c r="BM839" s="182"/>
      <c r="BN839" s="182"/>
      <c r="BO839" s="182"/>
      <c r="BP839" s="182"/>
      <c r="BQ839" s="182"/>
      <c r="BR839" s="182"/>
      <c r="BS839" s="182"/>
    </row>
    <row r="840" spans="1:71" ht="15.9" customHeight="1" x14ac:dyDescent="0.3">
      <c r="A840" s="5" t="s">
        <v>2449</v>
      </c>
      <c r="B840" s="5" t="s">
        <v>2424</v>
      </c>
      <c r="C840" s="174">
        <v>44664</v>
      </c>
      <c r="D840" s="5" t="s">
        <v>285</v>
      </c>
      <c r="E840" s="5" t="s">
        <v>294</v>
      </c>
      <c r="F840" s="175" t="s">
        <v>2450</v>
      </c>
      <c r="G840" s="15" t="s">
        <v>346</v>
      </c>
      <c r="H840" s="176">
        <v>1600000</v>
      </c>
      <c r="I840" s="184" t="s">
        <v>2453</v>
      </c>
      <c r="J840" s="113" t="str">
        <f>VLOOKUP($I840,'Price List, Weapons &amp; Items'!B:C,2,0)</f>
        <v>Military equipment</v>
      </c>
      <c r="K840" s="113" t="str">
        <f>IF(I840=".",I840,VLOOKUP($I840,'Price List, Weapons &amp; Items'!B:D,3,0))</f>
        <v>Military equipment</v>
      </c>
      <c r="L840" s="177">
        <f>VLOOKUP(I840,'Price List, Weapons &amp; Items'!B:E,4,0)</f>
        <v>0</v>
      </c>
      <c r="M840" s="542" t="s">
        <v>270</v>
      </c>
      <c r="N840" s="542" t="s">
        <v>270</v>
      </c>
      <c r="O840" s="543" t="str">
        <f>VLOOKUP($I840,'Price List, Weapons &amp; Items'!B:G,6,0)</f>
        <v>.</v>
      </c>
      <c r="P840" s="176" t="str">
        <f t="shared" si="164"/>
        <v>.</v>
      </c>
      <c r="Q840" s="176" t="str">
        <f t="shared" si="165"/>
        <v>.</v>
      </c>
      <c r="R840" s="176" t="str">
        <f t="shared" si="162"/>
        <v/>
      </c>
      <c r="S840" s="176" t="str">
        <f>IF(AND(AD840=1,R840&lt;&gt;".")=TRUE,R840/VLOOKUP(G840,'Exchange Rates'!B:C,2,0),IF(R840=".",".",""))</f>
        <v/>
      </c>
      <c r="T840" s="176" t="str">
        <f>IF(AD840=1,IF(AF840="Value is not given at all",".",IF(AF840="Value is given by the source",S840,IF(AF840="Value is calculated with prices",(IF(SUMIFS(Q:Q,A:A,A840)&gt;0,SUMIFS(Q:Q,A:A,A840),"."))/VLOOKUP("USD",'Exchange Rates'!B:C,2,0),"Error with coding"))),"")</f>
        <v/>
      </c>
      <c r="U840" s="15" t="s">
        <v>415</v>
      </c>
      <c r="V840" s="547" t="s">
        <v>2451</v>
      </c>
      <c r="W840" s="547" t="s">
        <v>2452</v>
      </c>
      <c r="X840" s="188" t="s">
        <v>260</v>
      </c>
      <c r="Y840" s="188" t="s">
        <v>260</v>
      </c>
      <c r="Z840" s="15">
        <v>0</v>
      </c>
      <c r="AA840" s="180">
        <v>0</v>
      </c>
      <c r="AB840" s="184" t="s">
        <v>260</v>
      </c>
      <c r="AC840" s="544" t="str">
        <f>""</f>
        <v/>
      </c>
      <c r="AD840" s="181">
        <v>0</v>
      </c>
      <c r="AE840" s="181" t="s">
        <v>264</v>
      </c>
      <c r="AF840" s="181" t="s">
        <v>265</v>
      </c>
      <c r="AG840" s="181">
        <v>1</v>
      </c>
      <c r="AH840" s="181">
        <v>4</v>
      </c>
      <c r="AI840" s="181">
        <v>0</v>
      </c>
      <c r="AJ840" s="181">
        <f>VLOOKUP($I840,'Price List, Weapons &amp; Items'!B:F,5,0)</f>
        <v>0</v>
      </c>
      <c r="AK840" s="181">
        <f t="shared" si="166"/>
        <v>0</v>
      </c>
      <c r="AL840" s="181">
        <f t="shared" si="167"/>
        <v>0</v>
      </c>
      <c r="AM840" s="181">
        <f t="shared" si="168"/>
        <v>0</v>
      </c>
      <c r="AN840" s="180" t="str">
        <f>VLOOKUP($I840,'Price List, Weapons &amp; Items'!B:L,COLUMN('Price List, Weapons &amp; Items'!$J$11)-1,0)</f>
        <v>.</v>
      </c>
      <c r="AO840" s="180" t="str">
        <f>IF(I840=".",".",VLOOKUP($I840,'Price List, Weapons &amp; Items'!B:J,3,0))</f>
        <v>Military equipment</v>
      </c>
      <c r="AP840" s="545" t="str">
        <f t="shared" ca="1" si="163"/>
        <v/>
      </c>
      <c r="AQ840" s="180" t="str">
        <f>VLOOKUP($I840,'Price List, Weapons &amp; Items'!B:L,COLUMN('Price List, Weapons &amp; Items'!$L$11)-1,0)</f>
        <v>no price, 0 count</v>
      </c>
      <c r="AR840" s="180">
        <f t="shared" si="169"/>
        <v>0</v>
      </c>
      <c r="AS840" s="180">
        <f t="shared" si="170"/>
        <v>1</v>
      </c>
      <c r="AT840" s="180">
        <f t="shared" si="171"/>
        <v>1</v>
      </c>
      <c r="AU840" s="180" t="str">
        <f t="shared" si="172"/>
        <v>.</v>
      </c>
      <c r="AV840" s="180" t="str">
        <f t="shared" si="173"/>
        <v>.</v>
      </c>
      <c r="AW840" s="180">
        <f>IFERROR(VLOOKUP(B840,'Share, Heavy Weapons to Ukraine'!B:J,COLUMN('Share, Heavy Weapons to Ukraine'!C853)-1,0),0)</f>
        <v>0</v>
      </c>
      <c r="AX840" s="180">
        <f>VLOOKUP('Bilateral Assistance, MAIN DATA'!B840,'Country Summary'!B:F,COLUMN('Country Summary'!C856)-1,FALSE)</f>
        <v>0</v>
      </c>
      <c r="AY840" s="180" t="str">
        <f>IF(AND(AD840=1,D840="Military",H840&lt;&gt;"Not given")=TRUE,IF(SUMIFS(P:P,A:A,A840)&gt;0,ABS((SUMIFS(P:P,A:A,A840)/VLOOKUP("USD",'Exchange Rates'!B:C,2,0)))/S840,"."),".")</f>
        <v>.</v>
      </c>
      <c r="AZ840" s="182" t="str">
        <f>IF(AND(AD840=1,D840="Military",H840&lt;&gt;"Not given")=TRUE,IF(SUMIFS(P:P,A:A,A840)&gt;0,IF((ABS((SUMIFS(P:P,A:A,A840)/VLOOKUP("USD",'Exchange Rates'!B:C,2,0)))/S840)&gt;1,(SUMIFS(P:P,A:A,A840)-S840)/S840,(S840-SUMIFS(P:P,A:A,A840))/SUMIFS(P:P,A:A,A840)),"."),".")</f>
        <v>.</v>
      </c>
      <c r="BA840" s="182"/>
      <c r="BB840" s="182"/>
      <c r="BC840" s="182"/>
      <c r="BD840" s="182"/>
      <c r="BE840" s="182"/>
      <c r="BF840" s="182"/>
      <c r="BG840" s="182"/>
      <c r="BH840" s="182"/>
      <c r="BI840" s="182"/>
      <c r="BJ840" s="182"/>
      <c r="BK840" s="182"/>
      <c r="BL840" s="182"/>
      <c r="BM840" s="182"/>
      <c r="BN840" s="182"/>
      <c r="BO840" s="182"/>
      <c r="BP840" s="182"/>
      <c r="BQ840" s="182"/>
      <c r="BR840" s="182"/>
      <c r="BS840" s="182"/>
    </row>
    <row r="841" spans="1:71" ht="15.9" customHeight="1" x14ac:dyDescent="0.3">
      <c r="A841" s="5" t="s">
        <v>2449</v>
      </c>
      <c r="B841" s="5" t="s">
        <v>2424</v>
      </c>
      <c r="C841" s="174">
        <v>44664</v>
      </c>
      <c r="D841" s="5" t="s">
        <v>285</v>
      </c>
      <c r="E841" s="5" t="s">
        <v>294</v>
      </c>
      <c r="F841" s="175" t="s">
        <v>2450</v>
      </c>
      <c r="G841" s="15" t="s">
        <v>346</v>
      </c>
      <c r="H841" s="176">
        <v>1600000</v>
      </c>
      <c r="I841" s="184" t="s">
        <v>1898</v>
      </c>
      <c r="J841" s="113" t="str">
        <f>VLOOKUP($I841,'Price List, Weapons &amp; Items'!B:C,2,0)</f>
        <v>Military equipment</v>
      </c>
      <c r="K841" s="113" t="str">
        <f>IF(I841=".",I841,VLOOKUP($I841,'Price List, Weapons &amp; Items'!B:D,3,0))</f>
        <v>Military equipment</v>
      </c>
      <c r="L841" s="177">
        <f>VLOOKUP(I841,'Price List, Weapons &amp; Items'!B:E,4,0)</f>
        <v>0</v>
      </c>
      <c r="M841" s="542" t="s">
        <v>270</v>
      </c>
      <c r="N841" s="542" t="s">
        <v>270</v>
      </c>
      <c r="O841" s="543" t="str">
        <f>VLOOKUP($I841,'Price List, Weapons &amp; Items'!B:G,6,0)</f>
        <v>.</v>
      </c>
      <c r="P841" s="176" t="str">
        <f t="shared" si="164"/>
        <v>.</v>
      </c>
      <c r="Q841" s="176" t="str">
        <f t="shared" si="165"/>
        <v>.</v>
      </c>
      <c r="R841" s="176" t="str">
        <f t="shared" si="162"/>
        <v/>
      </c>
      <c r="S841" s="176" t="str">
        <f>IF(AND(AD841=1,R841&lt;&gt;".")=TRUE,R841/VLOOKUP(G841,'Exchange Rates'!B:C,2,0),IF(R841=".",".",""))</f>
        <v/>
      </c>
      <c r="T841" s="176" t="str">
        <f>IF(AD841=1,IF(AF841="Value is not given at all",".",IF(AF841="Value is given by the source",S841,IF(AF841="Value is calculated with prices",(IF(SUMIFS(Q:Q,A:A,A841)&gt;0,SUMIFS(Q:Q,A:A,A841),"."))/VLOOKUP("USD",'Exchange Rates'!B:C,2,0),"Error with coding"))),"")</f>
        <v/>
      </c>
      <c r="U841" s="15" t="s">
        <v>415</v>
      </c>
      <c r="V841" s="547" t="s">
        <v>2451</v>
      </c>
      <c r="W841" s="547" t="s">
        <v>2452</v>
      </c>
      <c r="X841" s="188" t="s">
        <v>260</v>
      </c>
      <c r="Y841" s="188" t="s">
        <v>260</v>
      </c>
      <c r="Z841" s="15">
        <v>0</v>
      </c>
      <c r="AA841" s="180">
        <v>0</v>
      </c>
      <c r="AB841" s="184" t="s">
        <v>260</v>
      </c>
      <c r="AC841" s="544" t="str">
        <f>""</f>
        <v/>
      </c>
      <c r="AD841" s="181">
        <v>0</v>
      </c>
      <c r="AE841" s="181" t="s">
        <v>264</v>
      </c>
      <c r="AF841" s="181" t="s">
        <v>265</v>
      </c>
      <c r="AG841" s="181">
        <v>1</v>
      </c>
      <c r="AH841" s="181">
        <v>4</v>
      </c>
      <c r="AI841" s="181">
        <v>0</v>
      </c>
      <c r="AJ841" s="181">
        <f>VLOOKUP($I841,'Price List, Weapons &amp; Items'!B:F,5,0)</f>
        <v>0</v>
      </c>
      <c r="AK841" s="181">
        <f t="shared" si="166"/>
        <v>0</v>
      </c>
      <c r="AL841" s="181">
        <f t="shared" si="167"/>
        <v>0</v>
      </c>
      <c r="AM841" s="181">
        <f t="shared" si="168"/>
        <v>0</v>
      </c>
      <c r="AN841" s="180" t="str">
        <f>VLOOKUP($I841,'Price List, Weapons &amp; Items'!B:L,COLUMN('Price List, Weapons &amp; Items'!$J$11)-1,0)</f>
        <v>.</v>
      </c>
      <c r="AO841" s="180" t="str">
        <f>IF(I841=".",".",VLOOKUP($I841,'Price List, Weapons &amp; Items'!B:J,3,0))</f>
        <v>Military equipment</v>
      </c>
      <c r="AP841" s="545" t="str">
        <f t="shared" ca="1" si="163"/>
        <v/>
      </c>
      <c r="AQ841" s="180" t="str">
        <f>VLOOKUP($I841,'Price List, Weapons &amp; Items'!B:L,COLUMN('Price List, Weapons &amp; Items'!$L$11)-1,0)</f>
        <v>no price, 0 count</v>
      </c>
      <c r="AR841" s="180">
        <f t="shared" si="169"/>
        <v>0</v>
      </c>
      <c r="AS841" s="180">
        <f t="shared" si="170"/>
        <v>1</v>
      </c>
      <c r="AT841" s="180">
        <f t="shared" si="171"/>
        <v>1</v>
      </c>
      <c r="AU841" s="180" t="str">
        <f t="shared" si="172"/>
        <v>.</v>
      </c>
      <c r="AV841" s="180" t="str">
        <f t="shared" si="173"/>
        <v>.</v>
      </c>
      <c r="AW841" s="180">
        <f>IFERROR(VLOOKUP(B841,'Share, Heavy Weapons to Ukraine'!B:J,COLUMN('Share, Heavy Weapons to Ukraine'!C854)-1,0),0)</f>
        <v>0</v>
      </c>
      <c r="AX841" s="180">
        <f>VLOOKUP('Bilateral Assistance, MAIN DATA'!B841,'Country Summary'!B:F,COLUMN('Country Summary'!C857)-1,FALSE)</f>
        <v>0</v>
      </c>
      <c r="AY841" s="180" t="str">
        <f>IF(AND(AD841=1,D841="Military",H841&lt;&gt;"Not given")=TRUE,IF(SUMIFS(P:P,A:A,A841)&gt;0,ABS((SUMIFS(P:P,A:A,A841)/VLOOKUP("USD",'Exchange Rates'!B:C,2,0)))/S841,"."),".")</f>
        <v>.</v>
      </c>
      <c r="AZ841" s="182" t="str">
        <f>IF(AND(AD841=1,D841="Military",H841&lt;&gt;"Not given")=TRUE,IF(SUMIFS(P:P,A:A,A841)&gt;0,IF((ABS((SUMIFS(P:P,A:A,A841)/VLOOKUP("USD",'Exchange Rates'!B:C,2,0)))/S841)&gt;1,(SUMIFS(P:P,A:A,A841)-S841)/S841,(S841-SUMIFS(P:P,A:A,A841))/SUMIFS(P:P,A:A,A841)),"."),".")</f>
        <v>.</v>
      </c>
      <c r="BA841" s="182"/>
      <c r="BB841" s="182"/>
      <c r="BC841" s="182"/>
      <c r="BD841" s="182"/>
      <c r="BE841" s="182"/>
      <c r="BF841" s="182"/>
      <c r="BG841" s="182"/>
      <c r="BH841" s="182"/>
      <c r="BI841" s="182"/>
      <c r="BJ841" s="182"/>
      <c r="BK841" s="182"/>
      <c r="BL841" s="182"/>
      <c r="BM841" s="182"/>
      <c r="BN841" s="182"/>
      <c r="BO841" s="182"/>
      <c r="BP841" s="182"/>
      <c r="BQ841" s="182"/>
      <c r="BR841" s="182"/>
      <c r="BS841" s="182"/>
    </row>
    <row r="842" spans="1:71" ht="15.9" customHeight="1" x14ac:dyDescent="0.3">
      <c r="A842" s="17" t="s">
        <v>2454</v>
      </c>
      <c r="B842" s="17" t="s">
        <v>2424</v>
      </c>
      <c r="C842" s="174">
        <v>44707</v>
      </c>
      <c r="D842" s="5" t="s">
        <v>285</v>
      </c>
      <c r="E842" s="5" t="s">
        <v>294</v>
      </c>
      <c r="F842" s="175" t="s">
        <v>2455</v>
      </c>
      <c r="G842" s="15" t="s">
        <v>346</v>
      </c>
      <c r="H842" s="176">
        <v>1180000</v>
      </c>
      <c r="I842" s="184" t="s">
        <v>260</v>
      </c>
      <c r="J842" s="113" t="str">
        <f>VLOOKUP($I842,'Price List, Weapons &amp; Items'!B:C,2,0)</f>
        <v>.</v>
      </c>
      <c r="K842" s="113" t="str">
        <f>IF(I842=".",I842,VLOOKUP($I842,'Price List, Weapons &amp; Items'!B:D,3,0))</f>
        <v>.</v>
      </c>
      <c r="L842" s="177">
        <f>VLOOKUP(I842,'Price List, Weapons &amp; Items'!B:E,4,0)</f>
        <v>0</v>
      </c>
      <c r="M842" s="542" t="s">
        <v>260</v>
      </c>
      <c r="N842" s="542" t="s">
        <v>260</v>
      </c>
      <c r="O842" s="543" t="str">
        <f>VLOOKUP($I842,'Price List, Weapons &amp; Items'!B:G,6,0)</f>
        <v>.</v>
      </c>
      <c r="P842" s="176" t="str">
        <f t="shared" si="164"/>
        <v>.</v>
      </c>
      <c r="Q842" s="176" t="str">
        <f t="shared" si="165"/>
        <v>.</v>
      </c>
      <c r="R842" s="176">
        <f t="shared" si="162"/>
        <v>1180000</v>
      </c>
      <c r="S842" s="176">
        <f>IF(AND(AD842=1,R842&lt;&gt;".")=TRUE,R842/VLOOKUP(G842,'Exchange Rates'!B:C,2,0),IF(R842=".",".",""))</f>
        <v>1123809.5238095238</v>
      </c>
      <c r="T842" s="176" t="str">
        <f>IF(AD842=1,IF(AF842="Value is not given at all",".",IF(AF842="Value is given by the source",S842,IF(AF842="Value is calculated with prices",(IF(SUMIFS(Q:Q,A:A,A842)&gt;0,SUMIFS(Q:Q,A:A,A842),"."))/VLOOKUP("USD",'Exchange Rates'!B:C,2,0),"Error with coding"))),"")</f>
        <v>.</v>
      </c>
      <c r="U842" s="15" t="s">
        <v>415</v>
      </c>
      <c r="V842" s="300" t="s">
        <v>2456</v>
      </c>
      <c r="W842" s="300" t="s">
        <v>2457</v>
      </c>
      <c r="X842" s="300" t="s">
        <v>2458</v>
      </c>
      <c r="Y842" s="175" t="s">
        <v>260</v>
      </c>
      <c r="Z842" s="15">
        <v>0</v>
      </c>
      <c r="AA842" s="180">
        <v>0</v>
      </c>
      <c r="AB842" s="184" t="s">
        <v>260</v>
      </c>
      <c r="AC842" s="544" t="str">
        <f>""</f>
        <v/>
      </c>
      <c r="AD842" s="181">
        <v>1</v>
      </c>
      <c r="AE842" s="181" t="s">
        <v>264</v>
      </c>
      <c r="AF842" s="181" t="s">
        <v>265</v>
      </c>
      <c r="AG842" s="181">
        <v>1</v>
      </c>
      <c r="AH842" s="181">
        <v>5</v>
      </c>
      <c r="AI842" s="181">
        <v>0</v>
      </c>
      <c r="AJ842" s="181">
        <f>VLOOKUP($I842,'Price List, Weapons &amp; Items'!B:F,5,0)</f>
        <v>0</v>
      </c>
      <c r="AK842" s="181">
        <f t="shared" si="166"/>
        <v>0</v>
      </c>
      <c r="AL842" s="181">
        <f t="shared" si="167"/>
        <v>0</v>
      </c>
      <c r="AM842" s="181">
        <f t="shared" si="168"/>
        <v>0</v>
      </c>
      <c r="AN842" s="180" t="str">
        <f>VLOOKUP($I842,'Price List, Weapons &amp; Items'!B:L,COLUMN('Price List, Weapons &amp; Items'!$J$11)-1,0)</f>
        <v>.</v>
      </c>
      <c r="AO842" s="180" t="str">
        <f>IF(I842=".",".",VLOOKUP($I842,'Price List, Weapons &amp; Items'!B:J,3,0))</f>
        <v>.</v>
      </c>
      <c r="AP842" s="545" t="e">
        <f t="shared" ca="1" si="163"/>
        <v>#NAME?</v>
      </c>
      <c r="AQ842" s="180" t="str">
        <f>VLOOKUP($I842,'Price List, Weapons &amp; Items'!B:L,COLUMN('Price List, Weapons &amp; Items'!$L$11)-1,0)</f>
        <v>no price, 0 count</v>
      </c>
      <c r="AR842" s="180">
        <f t="shared" si="169"/>
        <v>0</v>
      </c>
      <c r="AS842" s="180">
        <f t="shared" si="170"/>
        <v>1</v>
      </c>
      <c r="AT842" s="180">
        <f t="shared" si="171"/>
        <v>1</v>
      </c>
      <c r="AU842" s="180" t="str">
        <f t="shared" si="172"/>
        <v>.</v>
      </c>
      <c r="AV842" s="180" t="str">
        <f t="shared" si="173"/>
        <v>.</v>
      </c>
      <c r="AW842" s="180">
        <f>IFERROR(VLOOKUP(B842,'Share, Heavy Weapons to Ukraine'!B:J,COLUMN('Share, Heavy Weapons to Ukraine'!C855)-1,0),0)</f>
        <v>0</v>
      </c>
      <c r="AX842" s="180">
        <f>VLOOKUP('Bilateral Assistance, MAIN DATA'!B842,'Country Summary'!B:F,COLUMN('Country Summary'!C858)-1,FALSE)</f>
        <v>0</v>
      </c>
      <c r="AY842" s="180" t="str">
        <f>IF(AND(AD842=1,D842="Military",H842&lt;&gt;"Not given")=TRUE,IF(SUMIFS(P:P,A:A,A842)&gt;0,ABS((SUMIFS(P:P,A:A,A842)/VLOOKUP("USD",'Exchange Rates'!B:C,2,0)))/S842,"."),".")</f>
        <v>.</v>
      </c>
      <c r="AZ842" s="182" t="str">
        <f>IF(AND(AD842=1,D842="Military",H842&lt;&gt;"Not given")=TRUE,IF(SUMIFS(P:P,A:A,A842)&gt;0,IF((ABS((SUMIFS(P:P,A:A,A842)/VLOOKUP("USD",'Exchange Rates'!B:C,2,0)))/S842)&gt;1,(SUMIFS(P:P,A:A,A842)-S842)/S842,(S842-SUMIFS(P:P,A:A,A842))/SUMIFS(P:P,A:A,A842)),"."),".")</f>
        <v>.</v>
      </c>
      <c r="BA842" s="182"/>
      <c r="BB842" s="182"/>
      <c r="BC842" s="182"/>
      <c r="BD842" s="182"/>
      <c r="BE842" s="182"/>
      <c r="BF842" s="182"/>
      <c r="BG842" s="182"/>
      <c r="BH842" s="182"/>
      <c r="BI842" s="182"/>
      <c r="BJ842" s="182"/>
      <c r="BK842" s="182"/>
      <c r="BL842" s="182"/>
      <c r="BM842" s="182"/>
      <c r="BN842" s="182"/>
      <c r="BO842" s="182"/>
      <c r="BP842" s="182"/>
      <c r="BQ842" s="182"/>
      <c r="BR842" s="182"/>
      <c r="BS842" s="182"/>
    </row>
    <row r="843" spans="1:71" ht="15.9" customHeight="1" x14ac:dyDescent="0.3">
      <c r="A843" s="5" t="s">
        <v>2459</v>
      </c>
      <c r="B843" s="5" t="s">
        <v>2460</v>
      </c>
      <c r="C843" s="174">
        <v>44614</v>
      </c>
      <c r="D843" s="5" t="s">
        <v>256</v>
      </c>
      <c r="E843" s="5" t="s">
        <v>267</v>
      </c>
      <c r="F843" s="175" t="s">
        <v>2461</v>
      </c>
      <c r="G843" s="15" t="s">
        <v>346</v>
      </c>
      <c r="H843" s="176" t="s">
        <v>341</v>
      </c>
      <c r="I843" s="17" t="s">
        <v>2462</v>
      </c>
      <c r="J843" s="113" t="str">
        <f>VLOOKUP($I843,'Price List, Weapons &amp; Items'!B:C,2,0)</f>
        <v>Humanitarian</v>
      </c>
      <c r="K843" s="113" t="str">
        <f>IF(I843=".",I843,VLOOKUP($I843,'Price List, Weapons &amp; Items'!B:D,3,0))</f>
        <v>Humanitarian</v>
      </c>
      <c r="L843" s="177">
        <f>VLOOKUP(I843,'Price List, Weapons &amp; Items'!B:E,4,0)</f>
        <v>0</v>
      </c>
      <c r="M843" s="542">
        <v>5000</v>
      </c>
      <c r="N843" s="542" t="s">
        <v>270</v>
      </c>
      <c r="O843" s="543">
        <f>VLOOKUP($I843,'Price List, Weapons &amp; Items'!B:G,6,0)</f>
        <v>6.2</v>
      </c>
      <c r="P843" s="176">
        <f t="shared" si="164"/>
        <v>31000</v>
      </c>
      <c r="Q843" s="176" t="str">
        <f t="shared" si="165"/>
        <v>.</v>
      </c>
      <c r="R843" s="176">
        <f t="shared" si="162"/>
        <v>146234.04</v>
      </c>
      <c r="S843" s="176">
        <f>IF(AND(AD843=1,R843&lt;&gt;".")=TRUE,R843/VLOOKUP(G843,'Exchange Rates'!B:C,2,0),IF(R843=".",".",""))</f>
        <v>139270.51428571428</v>
      </c>
      <c r="T843" s="176" t="str">
        <f>IF(AD843=1,IF(AF843="Value is not given at all",".",IF(AF843="Value is given by the source",S843,IF(AF843="Value is calculated with prices",(IF(SUMIFS(Q:Q,A:A,A843)&gt;0,SUMIFS(Q:Q,A:A,A843),"."))/VLOOKUP("USD",'Exchange Rates'!B:C,2,0),"Error with coding"))),"")</f>
        <v>.</v>
      </c>
      <c r="U843" s="15" t="s">
        <v>261</v>
      </c>
      <c r="V843" s="547" t="s">
        <v>2463</v>
      </c>
      <c r="W843" s="547" t="s">
        <v>2464</v>
      </c>
      <c r="X843" s="188" t="s">
        <v>260</v>
      </c>
      <c r="Y843" s="188" t="s">
        <v>260</v>
      </c>
      <c r="Z843" s="15">
        <v>0</v>
      </c>
      <c r="AA843" s="180">
        <v>0</v>
      </c>
      <c r="AB843" s="184" t="s">
        <v>260</v>
      </c>
      <c r="AC843" s="544" t="str">
        <f>""</f>
        <v/>
      </c>
      <c r="AD843" s="181">
        <v>1</v>
      </c>
      <c r="AE843" s="181" t="s">
        <v>332</v>
      </c>
      <c r="AF843" s="181" t="s">
        <v>265</v>
      </c>
      <c r="AG843" s="181">
        <v>1</v>
      </c>
      <c r="AH843" s="181">
        <v>2</v>
      </c>
      <c r="AI843" s="181">
        <v>1</v>
      </c>
      <c r="AJ843" s="181">
        <f>VLOOKUP($I843,'Price List, Weapons &amp; Items'!B:F,5,0)</f>
        <v>0</v>
      </c>
      <c r="AK843" s="181">
        <f t="shared" si="166"/>
        <v>0</v>
      </c>
      <c r="AL843" s="181">
        <f t="shared" si="167"/>
        <v>0</v>
      </c>
      <c r="AM843" s="181">
        <f t="shared" si="168"/>
        <v>0</v>
      </c>
      <c r="AN843" s="180" t="str">
        <f>VLOOKUP($I843,'Price List, Weapons &amp; Items'!B:L,COLUMN('Price List, Weapons &amp; Items'!$J$11)-1,0)</f>
        <v>Online marketplaces and stores</v>
      </c>
      <c r="AO843" s="180" t="str">
        <f>IF(I843=".",".",VLOOKUP($I843,'Price List, Weapons &amp; Items'!B:J,3,0))</f>
        <v>Humanitarian</v>
      </c>
      <c r="AP843" s="545" t="e">
        <f t="shared" ca="1" si="163"/>
        <v>#NAME?</v>
      </c>
      <c r="AQ843" s="180">
        <f>VLOOKUP($I843,'Price List, Weapons &amp; Items'!B:L,COLUMN('Price List, Weapons &amp; Items'!$L$11)-1,0)</f>
        <v>0</v>
      </c>
      <c r="AR843" s="180">
        <f t="shared" si="169"/>
        <v>1</v>
      </c>
      <c r="AS843" s="180">
        <f t="shared" si="170"/>
        <v>0</v>
      </c>
      <c r="AT843" s="180">
        <f t="shared" si="171"/>
        <v>1</v>
      </c>
      <c r="AU843" s="180" t="str">
        <f t="shared" si="172"/>
        <v>.</v>
      </c>
      <c r="AV843" s="180" t="str">
        <f t="shared" si="173"/>
        <v>.</v>
      </c>
      <c r="AW843" s="180">
        <f>IFERROR(VLOOKUP(B843,'Share, Heavy Weapons to Ukraine'!B:J,COLUMN('Share, Heavy Weapons to Ukraine'!C856)-1,0),0)</f>
        <v>0</v>
      </c>
      <c r="AX843" s="180">
        <f>VLOOKUP('Bilateral Assistance, MAIN DATA'!B843,'Country Summary'!B:F,COLUMN('Country Summary'!C859)-1,FALSE)</f>
        <v>1</v>
      </c>
      <c r="AY843" s="180" t="str">
        <f>IF(AND(AD843=1,D843="Military",H843&lt;&gt;"Not given")=TRUE,IF(SUMIFS(P:P,A:A,A843)&gt;0,ABS((SUMIFS(P:P,A:A,A843)/VLOOKUP("USD",'Exchange Rates'!B:C,2,0)))/S843,"."),".")</f>
        <v>.</v>
      </c>
      <c r="AZ843" s="182" t="str">
        <f>IF(AND(AD843=1,D843="Military",H843&lt;&gt;"Not given")=TRUE,IF(SUMIFS(P:P,A:A,A843)&gt;0,IF((ABS((SUMIFS(P:P,A:A,A843)/VLOOKUP("USD",'Exchange Rates'!B:C,2,0)))/S843)&gt;1,(SUMIFS(P:P,A:A,A843)-S843)/S843,(S843-SUMIFS(P:P,A:A,A843))/SUMIFS(P:P,A:A,A843)),"."),".")</f>
        <v>.</v>
      </c>
      <c r="BA843" s="182"/>
      <c r="BB843" s="182"/>
      <c r="BC843" s="182"/>
      <c r="BD843" s="182"/>
      <c r="BE843" s="182"/>
      <c r="BF843" s="182"/>
      <c r="BG843" s="182"/>
      <c r="BH843" s="182"/>
      <c r="BI843" s="182"/>
      <c r="BJ843" s="182"/>
      <c r="BK843" s="182"/>
      <c r="BL843" s="182"/>
      <c r="BM843" s="182"/>
      <c r="BN843" s="182"/>
      <c r="BO843" s="182"/>
      <c r="BP843" s="182"/>
      <c r="BQ843" s="182"/>
      <c r="BR843" s="182"/>
      <c r="BS843" s="182"/>
    </row>
    <row r="844" spans="1:71" ht="15.9" customHeight="1" x14ac:dyDescent="0.3">
      <c r="A844" s="5" t="s">
        <v>2459</v>
      </c>
      <c r="B844" s="5" t="s">
        <v>2460</v>
      </c>
      <c r="C844" s="174">
        <v>44614</v>
      </c>
      <c r="D844" s="5" t="s">
        <v>256</v>
      </c>
      <c r="E844" s="5" t="s">
        <v>267</v>
      </c>
      <c r="F844" s="175" t="s">
        <v>2461</v>
      </c>
      <c r="G844" s="15" t="s">
        <v>346</v>
      </c>
      <c r="H844" s="176" t="s">
        <v>341</v>
      </c>
      <c r="I844" s="17" t="s">
        <v>2465</v>
      </c>
      <c r="J844" s="113" t="str">
        <f>VLOOKUP($I844,'Price List, Weapons &amp; Items'!B:C,2,0)</f>
        <v>Humanitarian</v>
      </c>
      <c r="K844" s="113" t="str">
        <f>IF(I844=".",I844,VLOOKUP($I844,'Price List, Weapons &amp; Items'!B:D,3,0))</f>
        <v>Humanitarian</v>
      </c>
      <c r="L844" s="177">
        <f>VLOOKUP(I844,'Price List, Weapons &amp; Items'!B:E,4,0)</f>
        <v>0</v>
      </c>
      <c r="M844" s="542">
        <v>5000</v>
      </c>
      <c r="N844" s="542" t="s">
        <v>270</v>
      </c>
      <c r="O844" s="543" t="str">
        <f>VLOOKUP($I844,'Price List, Weapons &amp; Items'!B:G,6,0)</f>
        <v>.</v>
      </c>
      <c r="P844" s="176" t="str">
        <f t="shared" si="164"/>
        <v>No price</v>
      </c>
      <c r="Q844" s="176" t="str">
        <f t="shared" si="165"/>
        <v>.</v>
      </c>
      <c r="R844" s="176" t="str">
        <f t="shared" si="162"/>
        <v/>
      </c>
      <c r="S844" s="176" t="str">
        <f>IF(AND(AD844=1,R844&lt;&gt;".")=TRUE,R844/VLOOKUP(G844,'Exchange Rates'!B:C,2,0),IF(R844=".",".",""))</f>
        <v/>
      </c>
      <c r="T844" s="176" t="str">
        <f>IF(AD844=1,IF(AF844="Value is not given at all",".",IF(AF844="Value is given by the source",S844,IF(AF844="Value is calculated with prices",(IF(SUMIFS(Q:Q,A:A,A844)&gt;0,SUMIFS(Q:Q,A:A,A844),"."))/VLOOKUP("USD",'Exchange Rates'!B:C,2,0),"Error with coding"))),"")</f>
        <v/>
      </c>
      <c r="U844" s="15" t="s">
        <v>261</v>
      </c>
      <c r="V844" s="547" t="s">
        <v>2463</v>
      </c>
      <c r="W844" s="547" t="s">
        <v>2464</v>
      </c>
      <c r="X844" s="188" t="s">
        <v>260</v>
      </c>
      <c r="Y844" s="188" t="s">
        <v>260</v>
      </c>
      <c r="Z844" s="15">
        <v>0</v>
      </c>
      <c r="AA844" s="180">
        <v>0</v>
      </c>
      <c r="AB844" s="184" t="s">
        <v>260</v>
      </c>
      <c r="AC844" s="544" t="str">
        <f>""</f>
        <v/>
      </c>
      <c r="AD844" s="181">
        <v>0</v>
      </c>
      <c r="AE844" s="181" t="s">
        <v>332</v>
      </c>
      <c r="AF844" s="181" t="s">
        <v>265</v>
      </c>
      <c r="AG844" s="181">
        <v>1</v>
      </c>
      <c r="AH844" s="181">
        <v>2</v>
      </c>
      <c r="AI844" s="181">
        <v>1</v>
      </c>
      <c r="AJ844" s="181">
        <f>VLOOKUP($I844,'Price List, Weapons &amp; Items'!B:F,5,0)</f>
        <v>0</v>
      </c>
      <c r="AK844" s="181">
        <f t="shared" si="166"/>
        <v>0</v>
      </c>
      <c r="AL844" s="181">
        <f t="shared" si="167"/>
        <v>0</v>
      </c>
      <c r="AM844" s="181">
        <f t="shared" si="168"/>
        <v>0</v>
      </c>
      <c r="AN844" s="180" t="str">
        <f>VLOOKUP($I844,'Price List, Weapons &amp; Items'!B:L,COLUMN('Price List, Weapons &amp; Items'!$J$11)-1,0)</f>
        <v>.</v>
      </c>
      <c r="AO844" s="180" t="str">
        <f>IF(I844=".",".",VLOOKUP($I844,'Price List, Weapons &amp; Items'!B:J,3,0))</f>
        <v>Humanitarian</v>
      </c>
      <c r="AP844" s="545" t="str">
        <f t="shared" ca="1" si="163"/>
        <v/>
      </c>
      <c r="AQ844" s="180">
        <f>VLOOKUP($I844,'Price List, Weapons &amp; Items'!B:L,COLUMN('Price List, Weapons &amp; Items'!$L$11)-1,0)</f>
        <v>0</v>
      </c>
      <c r="AR844" s="180">
        <f t="shared" si="169"/>
        <v>1</v>
      </c>
      <c r="AS844" s="180">
        <f t="shared" si="170"/>
        <v>0</v>
      </c>
      <c r="AT844" s="180">
        <f t="shared" si="171"/>
        <v>1</v>
      </c>
      <c r="AU844" s="180" t="str">
        <f t="shared" si="172"/>
        <v>.</v>
      </c>
      <c r="AV844" s="180" t="str">
        <f t="shared" si="173"/>
        <v>.</v>
      </c>
      <c r="AW844" s="180">
        <f>IFERROR(VLOOKUP(B844,'Share, Heavy Weapons to Ukraine'!B:J,COLUMN('Share, Heavy Weapons to Ukraine'!C857)-1,0),0)</f>
        <v>0</v>
      </c>
      <c r="AX844" s="180">
        <f>VLOOKUP('Bilateral Assistance, MAIN DATA'!B844,'Country Summary'!B:F,COLUMN('Country Summary'!C860)-1,FALSE)</f>
        <v>1</v>
      </c>
      <c r="AY844" s="180" t="str">
        <f>IF(AND(AD844=1,D844="Military",H844&lt;&gt;"Not given")=TRUE,IF(SUMIFS(P:P,A:A,A844)&gt;0,ABS((SUMIFS(P:P,A:A,A844)/VLOOKUP("USD",'Exchange Rates'!B:C,2,0)))/S844,"."),".")</f>
        <v>.</v>
      </c>
      <c r="AZ844" s="182" t="str">
        <f>IF(AND(AD844=1,D844="Military",H844&lt;&gt;"Not given")=TRUE,IF(SUMIFS(P:P,A:A,A844)&gt;0,IF((ABS((SUMIFS(P:P,A:A,A844)/VLOOKUP("USD",'Exchange Rates'!B:C,2,0)))/S844)&gt;1,(SUMIFS(P:P,A:A,A844)-S844)/S844,(S844-SUMIFS(P:P,A:A,A844))/SUMIFS(P:P,A:A,A844)),"."),".")</f>
        <v>.</v>
      </c>
      <c r="BA844" s="182"/>
      <c r="BB844" s="182"/>
      <c r="BC844" s="182"/>
      <c r="BD844" s="182"/>
      <c r="BE844" s="182"/>
      <c r="BF844" s="182"/>
      <c r="BG844" s="182"/>
      <c r="BH844" s="182"/>
      <c r="BI844" s="182"/>
      <c r="BJ844" s="182"/>
      <c r="BK844" s="182"/>
      <c r="BL844" s="182"/>
      <c r="BM844" s="182"/>
      <c r="BN844" s="182"/>
      <c r="BO844" s="182"/>
      <c r="BP844" s="182"/>
      <c r="BQ844" s="182"/>
      <c r="BR844" s="182"/>
      <c r="BS844" s="182"/>
    </row>
    <row r="845" spans="1:71" ht="15.9" customHeight="1" x14ac:dyDescent="0.3">
      <c r="A845" s="5" t="s">
        <v>2459</v>
      </c>
      <c r="B845" s="5" t="s">
        <v>2460</v>
      </c>
      <c r="C845" s="174">
        <v>44614</v>
      </c>
      <c r="D845" s="5" t="s">
        <v>256</v>
      </c>
      <c r="E845" s="5" t="s">
        <v>267</v>
      </c>
      <c r="F845" s="175" t="s">
        <v>2461</v>
      </c>
      <c r="G845" s="15" t="s">
        <v>346</v>
      </c>
      <c r="H845" s="176" t="s">
        <v>341</v>
      </c>
      <c r="I845" s="17" t="s">
        <v>2466</v>
      </c>
      <c r="J845" s="113" t="str">
        <f>VLOOKUP($I845,'Price List, Weapons &amp; Items'!B:C,2,0)</f>
        <v>Humanitarian</v>
      </c>
      <c r="K845" s="113" t="str">
        <f>IF(I845=".",I845,VLOOKUP($I845,'Price List, Weapons &amp; Items'!B:D,3,0))</f>
        <v>Humanitarian</v>
      </c>
      <c r="L845" s="177">
        <f>VLOOKUP(I845,'Price List, Weapons &amp; Items'!B:E,4,0)</f>
        <v>0</v>
      </c>
      <c r="M845" s="542">
        <v>5000</v>
      </c>
      <c r="N845" s="542" t="s">
        <v>270</v>
      </c>
      <c r="O845" s="543">
        <f>VLOOKUP($I845,'Price List, Weapons &amp; Items'!B:G,6,0)</f>
        <v>22</v>
      </c>
      <c r="P845" s="176">
        <f t="shared" si="164"/>
        <v>110000</v>
      </c>
      <c r="Q845" s="176" t="str">
        <f t="shared" si="165"/>
        <v>.</v>
      </c>
      <c r="R845" s="176" t="str">
        <f t="shared" si="162"/>
        <v/>
      </c>
      <c r="S845" s="176" t="str">
        <f>IF(AND(AD845=1,R845&lt;&gt;".")=TRUE,R845/VLOOKUP(G845,'Exchange Rates'!B:C,2,0),IF(R845=".",".",""))</f>
        <v/>
      </c>
      <c r="T845" s="176" t="str">
        <f>IF(AD845=1,IF(AF845="Value is not given at all",".",IF(AF845="Value is given by the source",S845,IF(AF845="Value is calculated with prices",(IF(SUMIFS(Q:Q,A:A,A845)&gt;0,SUMIFS(Q:Q,A:A,A845),"."))/VLOOKUP("USD",'Exchange Rates'!B:C,2,0),"Error with coding"))),"")</f>
        <v/>
      </c>
      <c r="U845" s="15" t="s">
        <v>261</v>
      </c>
      <c r="V845" s="547" t="s">
        <v>2463</v>
      </c>
      <c r="W845" s="547" t="s">
        <v>2464</v>
      </c>
      <c r="X845" s="188" t="s">
        <v>260</v>
      </c>
      <c r="Y845" s="188" t="s">
        <v>260</v>
      </c>
      <c r="Z845" s="15">
        <v>0</v>
      </c>
      <c r="AA845" s="180">
        <v>0</v>
      </c>
      <c r="AB845" s="184" t="s">
        <v>260</v>
      </c>
      <c r="AC845" s="544" t="str">
        <f>""</f>
        <v/>
      </c>
      <c r="AD845" s="181">
        <v>0</v>
      </c>
      <c r="AE845" s="181" t="s">
        <v>332</v>
      </c>
      <c r="AF845" s="181" t="s">
        <v>265</v>
      </c>
      <c r="AG845" s="181">
        <v>1</v>
      </c>
      <c r="AH845" s="181">
        <v>2</v>
      </c>
      <c r="AI845" s="181">
        <v>1</v>
      </c>
      <c r="AJ845" s="181">
        <f>VLOOKUP($I845,'Price List, Weapons &amp; Items'!B:F,5,0)</f>
        <v>0</v>
      </c>
      <c r="AK845" s="181">
        <f t="shared" si="166"/>
        <v>0</v>
      </c>
      <c r="AL845" s="181">
        <f t="shared" si="167"/>
        <v>0</v>
      </c>
      <c r="AM845" s="181">
        <f t="shared" si="168"/>
        <v>0</v>
      </c>
      <c r="AN845" s="180" t="str">
        <f>VLOOKUP($I845,'Price List, Weapons &amp; Items'!B:L,COLUMN('Price List, Weapons &amp; Items'!$J$11)-1,0)</f>
        <v>Miscellaneous</v>
      </c>
      <c r="AO845" s="180" t="str">
        <f>IF(I845=".",".",VLOOKUP($I845,'Price List, Weapons &amp; Items'!B:J,3,0))</f>
        <v>Humanitarian</v>
      </c>
      <c r="AP845" s="545" t="str">
        <f t="shared" ca="1" si="163"/>
        <v/>
      </c>
      <c r="AQ845" s="180">
        <f>VLOOKUP($I845,'Price List, Weapons &amp; Items'!B:L,COLUMN('Price List, Weapons &amp; Items'!$L$11)-1,0)</f>
        <v>0</v>
      </c>
      <c r="AR845" s="180">
        <f t="shared" si="169"/>
        <v>1</v>
      </c>
      <c r="AS845" s="180">
        <f t="shared" si="170"/>
        <v>0</v>
      </c>
      <c r="AT845" s="180">
        <f t="shared" si="171"/>
        <v>1</v>
      </c>
      <c r="AU845" s="180" t="str">
        <f t="shared" si="172"/>
        <v>.</v>
      </c>
      <c r="AV845" s="180" t="str">
        <f t="shared" si="173"/>
        <v>.</v>
      </c>
      <c r="AW845" s="180">
        <f>IFERROR(VLOOKUP(B845,'Share, Heavy Weapons to Ukraine'!B:J,COLUMN('Share, Heavy Weapons to Ukraine'!C858)-1,0),0)</f>
        <v>0</v>
      </c>
      <c r="AX845" s="180">
        <f>VLOOKUP('Bilateral Assistance, MAIN DATA'!B845,'Country Summary'!B:F,COLUMN('Country Summary'!C861)-1,FALSE)</f>
        <v>1</v>
      </c>
      <c r="AY845" s="180" t="str">
        <f>IF(AND(AD845=1,D845="Military",H845&lt;&gt;"Not given")=TRUE,IF(SUMIFS(P:P,A:A,A845)&gt;0,ABS((SUMIFS(P:P,A:A,A845)/VLOOKUP("USD",'Exchange Rates'!B:C,2,0)))/S845,"."),".")</f>
        <v>.</v>
      </c>
      <c r="AZ845" s="182" t="str">
        <f>IF(AND(AD845=1,D845="Military",H845&lt;&gt;"Not given")=TRUE,IF(SUMIFS(P:P,A:A,A845)&gt;0,IF((ABS((SUMIFS(P:P,A:A,A845)/VLOOKUP("USD",'Exchange Rates'!B:C,2,0)))/S845)&gt;1,(SUMIFS(P:P,A:A,A845)-S845)/S845,(S845-SUMIFS(P:P,A:A,A845))/SUMIFS(P:P,A:A,A845)),"."),".")</f>
        <v>.</v>
      </c>
      <c r="BA845" s="182"/>
      <c r="BB845" s="182"/>
      <c r="BC845" s="182"/>
      <c r="BD845" s="182"/>
      <c r="BE845" s="182"/>
      <c r="BF845" s="182"/>
      <c r="BG845" s="182"/>
      <c r="BH845" s="182"/>
      <c r="BI845" s="182"/>
      <c r="BJ845" s="182"/>
      <c r="BK845" s="182"/>
      <c r="BL845" s="182"/>
      <c r="BM845" s="182"/>
      <c r="BN845" s="182"/>
      <c r="BO845" s="182"/>
      <c r="BP845" s="182"/>
      <c r="BQ845" s="182"/>
      <c r="BR845" s="182"/>
      <c r="BS845" s="182"/>
    </row>
    <row r="846" spans="1:71" ht="15.9" customHeight="1" x14ac:dyDescent="0.3">
      <c r="A846" s="5" t="s">
        <v>2459</v>
      </c>
      <c r="B846" s="5" t="s">
        <v>2460</v>
      </c>
      <c r="C846" s="174">
        <v>44614</v>
      </c>
      <c r="D846" s="5" t="s">
        <v>256</v>
      </c>
      <c r="E846" s="5" t="s">
        <v>267</v>
      </c>
      <c r="F846" s="175" t="s">
        <v>2461</v>
      </c>
      <c r="G846" s="15" t="s">
        <v>346</v>
      </c>
      <c r="H846" s="176" t="s">
        <v>341</v>
      </c>
      <c r="I846" s="17" t="s">
        <v>347</v>
      </c>
      <c r="J846" s="113" t="str">
        <f>VLOOKUP($I846,'Price List, Weapons &amp; Items'!B:C,2,0)</f>
        <v>Humanitarian</v>
      </c>
      <c r="K846" s="113" t="str">
        <f>IF(I846=".",I846,VLOOKUP($I846,'Price List, Weapons &amp; Items'!B:D,3,0))</f>
        <v>Humanitarian</v>
      </c>
      <c r="L846" s="177">
        <f>VLOOKUP(I846,'Price List, Weapons &amp; Items'!B:E,4,0)</f>
        <v>0</v>
      </c>
      <c r="M846" s="542">
        <v>840</v>
      </c>
      <c r="N846" s="542" t="s">
        <v>270</v>
      </c>
      <c r="O846" s="543">
        <f>VLOOKUP($I846,'Price List, Weapons &amp; Items'!B:G,6,0)</f>
        <v>6.2309999999999999</v>
      </c>
      <c r="P846" s="176">
        <f t="shared" si="164"/>
        <v>5234.04</v>
      </c>
      <c r="Q846" s="176" t="str">
        <f t="shared" si="165"/>
        <v>.</v>
      </c>
      <c r="R846" s="176" t="str">
        <f t="shared" si="162"/>
        <v/>
      </c>
      <c r="S846" s="176" t="str">
        <f>IF(AND(AD846=1,R846&lt;&gt;".")=TRUE,R846/VLOOKUP(G846,'Exchange Rates'!B:C,2,0),IF(R846=".",".",""))</f>
        <v/>
      </c>
      <c r="T846" s="176" t="str">
        <f>IF(AD846=1,IF(AF846="Value is not given at all",".",IF(AF846="Value is given by the source",S846,IF(AF846="Value is calculated with prices",(IF(SUMIFS(Q:Q,A:A,A846)&gt;0,SUMIFS(Q:Q,A:A,A846),"."))/VLOOKUP("USD",'Exchange Rates'!B:C,2,0),"Error with coding"))),"")</f>
        <v/>
      </c>
      <c r="U846" s="15" t="s">
        <v>261</v>
      </c>
      <c r="V846" s="547" t="s">
        <v>2463</v>
      </c>
      <c r="W846" s="547" t="s">
        <v>2464</v>
      </c>
      <c r="X846" s="188" t="s">
        <v>260</v>
      </c>
      <c r="Y846" s="188" t="s">
        <v>260</v>
      </c>
      <c r="Z846" s="15">
        <v>0</v>
      </c>
      <c r="AA846" s="180">
        <v>0</v>
      </c>
      <c r="AB846" s="184" t="s">
        <v>260</v>
      </c>
      <c r="AC846" s="544" t="str">
        <f>""</f>
        <v/>
      </c>
      <c r="AD846" s="181">
        <v>0</v>
      </c>
      <c r="AE846" s="181" t="s">
        <v>332</v>
      </c>
      <c r="AF846" s="181" t="s">
        <v>265</v>
      </c>
      <c r="AG846" s="181">
        <v>1</v>
      </c>
      <c r="AH846" s="181">
        <v>2</v>
      </c>
      <c r="AI846" s="181">
        <v>1</v>
      </c>
      <c r="AJ846" s="181">
        <f>VLOOKUP($I846,'Price List, Weapons &amp; Items'!B:F,5,0)</f>
        <v>0</v>
      </c>
      <c r="AK846" s="181">
        <f t="shared" si="166"/>
        <v>0</v>
      </c>
      <c r="AL846" s="181">
        <f t="shared" si="167"/>
        <v>0</v>
      </c>
      <c r="AM846" s="181">
        <f t="shared" si="168"/>
        <v>0</v>
      </c>
      <c r="AN846" s="180" t="str">
        <f>VLOOKUP($I846,'Price List, Weapons &amp; Items'!B:L,COLUMN('Price List, Weapons &amp; Items'!$J$11)-1,0)</f>
        <v>Online marketplaces and stores</v>
      </c>
      <c r="AO846" s="180" t="str">
        <f>IF(I846=".",".",VLOOKUP($I846,'Price List, Weapons &amp; Items'!B:J,3,0))</f>
        <v>Humanitarian</v>
      </c>
      <c r="AP846" s="545" t="str">
        <f t="shared" ca="1" si="163"/>
        <v/>
      </c>
      <c r="AQ846" s="180">
        <f>VLOOKUP($I846,'Price List, Weapons &amp; Items'!B:L,COLUMN('Price List, Weapons &amp; Items'!$L$11)-1,0)</f>
        <v>0</v>
      </c>
      <c r="AR846" s="180">
        <f t="shared" si="169"/>
        <v>1</v>
      </c>
      <c r="AS846" s="180">
        <f t="shared" si="170"/>
        <v>0</v>
      </c>
      <c r="AT846" s="180">
        <f t="shared" si="171"/>
        <v>1</v>
      </c>
      <c r="AU846" s="180" t="str">
        <f t="shared" si="172"/>
        <v>.</v>
      </c>
      <c r="AV846" s="180" t="str">
        <f t="shared" si="173"/>
        <v>.</v>
      </c>
      <c r="AW846" s="180">
        <f>IFERROR(VLOOKUP(B846,'Share, Heavy Weapons to Ukraine'!B:J,COLUMN('Share, Heavy Weapons to Ukraine'!C859)-1,0),0)</f>
        <v>0</v>
      </c>
      <c r="AX846" s="180">
        <f>VLOOKUP('Bilateral Assistance, MAIN DATA'!B846,'Country Summary'!B:F,COLUMN('Country Summary'!C862)-1,FALSE)</f>
        <v>1</v>
      </c>
      <c r="AY846" s="180" t="str">
        <f>IF(AND(AD846=1,D846="Military",H846&lt;&gt;"Not given")=TRUE,IF(SUMIFS(P:P,A:A,A846)&gt;0,ABS((SUMIFS(P:P,A:A,A846)/VLOOKUP("USD",'Exchange Rates'!B:C,2,0)))/S846,"."),".")</f>
        <v>.</v>
      </c>
      <c r="AZ846" s="182" t="str">
        <f>IF(AND(AD846=1,D846="Military",H846&lt;&gt;"Not given")=TRUE,IF(SUMIFS(P:P,A:A,A846)&gt;0,IF((ABS((SUMIFS(P:P,A:A,A846)/VLOOKUP("USD",'Exchange Rates'!B:C,2,0)))/S846)&gt;1,(SUMIFS(P:P,A:A,A846)-S846)/S846,(S846-SUMIFS(P:P,A:A,A846))/SUMIFS(P:P,A:A,A846)),"."),".")</f>
        <v>.</v>
      </c>
      <c r="BA846" s="182"/>
      <c r="BB846" s="182"/>
      <c r="BC846" s="182"/>
      <c r="BD846" s="182"/>
      <c r="BE846" s="182"/>
      <c r="BF846" s="182"/>
      <c r="BG846" s="182"/>
      <c r="BH846" s="182"/>
      <c r="BI846" s="182"/>
      <c r="BJ846" s="182"/>
      <c r="BK846" s="182"/>
      <c r="BL846" s="182"/>
      <c r="BM846" s="182"/>
      <c r="BN846" s="182"/>
      <c r="BO846" s="182"/>
      <c r="BP846" s="182"/>
      <c r="BQ846" s="182"/>
      <c r="BR846" s="182"/>
      <c r="BS846" s="182"/>
    </row>
    <row r="847" spans="1:71" ht="15.9" customHeight="1" x14ac:dyDescent="0.3">
      <c r="A847" s="17" t="s">
        <v>2467</v>
      </c>
      <c r="B847" s="17" t="s">
        <v>2460</v>
      </c>
      <c r="C847" s="174">
        <v>44621</v>
      </c>
      <c r="D847" s="5" t="s">
        <v>256</v>
      </c>
      <c r="E847" s="5" t="s">
        <v>2468</v>
      </c>
      <c r="F847" s="175" t="s">
        <v>2469</v>
      </c>
      <c r="G847" s="15" t="s">
        <v>2470</v>
      </c>
      <c r="H847" s="176">
        <v>5000000</v>
      </c>
      <c r="I847" s="17" t="s">
        <v>260</v>
      </c>
      <c r="J847" s="113" t="str">
        <f>VLOOKUP($I847,'Price List, Weapons &amp; Items'!B:C,2,0)</f>
        <v>.</v>
      </c>
      <c r="K847" s="113" t="str">
        <f>IF(I847=".",I847,VLOOKUP($I847,'Price List, Weapons &amp; Items'!B:D,3,0))</f>
        <v>.</v>
      </c>
      <c r="L847" s="177">
        <f>VLOOKUP(I847,'Price List, Weapons &amp; Items'!B:E,4,0)</f>
        <v>0</v>
      </c>
      <c r="M847" s="542" t="s">
        <v>260</v>
      </c>
      <c r="N847" s="542" t="s">
        <v>260</v>
      </c>
      <c r="O847" s="543" t="str">
        <f>VLOOKUP($I847,'Price List, Weapons &amp; Items'!B:G,6,0)</f>
        <v>.</v>
      </c>
      <c r="P847" s="176" t="str">
        <f t="shared" si="164"/>
        <v>.</v>
      </c>
      <c r="Q847" s="176" t="str">
        <f t="shared" si="165"/>
        <v>.</v>
      </c>
      <c r="R847" s="176">
        <f t="shared" si="162"/>
        <v>5000000</v>
      </c>
      <c r="S847" s="176">
        <f>IF(AND(AD847=1,R847&lt;&gt;".")=TRUE,R847/VLOOKUP(G847,'Exchange Rates'!B:C,2,0),IF(R847=".",".",""))</f>
        <v>1021721.8055867748</v>
      </c>
      <c r="T847" s="176" t="str">
        <f>IF(AD847=1,IF(AF847="Value is not given at all",".",IF(AF847="Value is given by the source",S847,IF(AF847="Value is calculated with prices",(IF(SUMIFS(Q:Q,A:A,A847)&gt;0,SUMIFS(Q:Q,A:A,A847),"."))/VLOOKUP("USD",'Exchange Rates'!B:C,2,0),"Error with coding"))),"")</f>
        <v>.</v>
      </c>
      <c r="U847" s="15" t="s">
        <v>261</v>
      </c>
      <c r="V847" s="300" t="s">
        <v>2471</v>
      </c>
      <c r="W847" s="175" t="s">
        <v>260</v>
      </c>
      <c r="X847" s="175" t="s">
        <v>260</v>
      </c>
      <c r="Y847" s="175" t="s">
        <v>260</v>
      </c>
      <c r="Z847" s="15">
        <v>0</v>
      </c>
      <c r="AA847" s="180">
        <v>0</v>
      </c>
      <c r="AB847" s="184" t="s">
        <v>260</v>
      </c>
      <c r="AC847" s="544" t="str">
        <f>""</f>
        <v/>
      </c>
      <c r="AD847" s="181">
        <v>1</v>
      </c>
      <c r="AE847" s="181" t="s">
        <v>264</v>
      </c>
      <c r="AF847" s="181" t="s">
        <v>265</v>
      </c>
      <c r="AG847" s="181">
        <v>1</v>
      </c>
      <c r="AH847" s="181">
        <v>3</v>
      </c>
      <c r="AI847" s="181">
        <v>0</v>
      </c>
      <c r="AJ847" s="181">
        <f>VLOOKUP($I847,'Price List, Weapons &amp; Items'!B:F,5,0)</f>
        <v>0</v>
      </c>
      <c r="AK847" s="181">
        <f t="shared" si="166"/>
        <v>0</v>
      </c>
      <c r="AL847" s="181">
        <f t="shared" si="167"/>
        <v>0</v>
      </c>
      <c r="AM847" s="181">
        <f t="shared" si="168"/>
        <v>0</v>
      </c>
      <c r="AN847" s="180" t="str">
        <f>VLOOKUP($I847,'Price List, Weapons &amp; Items'!B:L,COLUMN('Price List, Weapons &amp; Items'!$J$11)-1,0)</f>
        <v>.</v>
      </c>
      <c r="AO847" s="180" t="str">
        <f>IF(I847=".",".",VLOOKUP($I847,'Price List, Weapons &amp; Items'!B:J,3,0))</f>
        <v>.</v>
      </c>
      <c r="AP847" s="545" t="e">
        <f t="shared" ca="1" si="163"/>
        <v>#NAME?</v>
      </c>
      <c r="AQ847" s="180" t="str">
        <f>VLOOKUP($I847,'Price List, Weapons &amp; Items'!B:L,COLUMN('Price List, Weapons &amp; Items'!$L$11)-1,0)</f>
        <v>no price, 0 count</v>
      </c>
      <c r="AR847" s="180">
        <f t="shared" si="169"/>
        <v>1</v>
      </c>
      <c r="AS847" s="180">
        <f t="shared" si="170"/>
        <v>0</v>
      </c>
      <c r="AT847" s="180">
        <f t="shared" si="171"/>
        <v>1</v>
      </c>
      <c r="AU847" s="180" t="str">
        <f t="shared" si="172"/>
        <v>.</v>
      </c>
      <c r="AV847" s="180" t="str">
        <f t="shared" si="173"/>
        <v>.</v>
      </c>
      <c r="AW847" s="180">
        <f>IFERROR(VLOOKUP(B847,'Share, Heavy Weapons to Ukraine'!B:J,COLUMN('Share, Heavy Weapons to Ukraine'!C860)-1,0),0)</f>
        <v>0</v>
      </c>
      <c r="AX847" s="180">
        <f>VLOOKUP('Bilateral Assistance, MAIN DATA'!B847,'Country Summary'!B:F,COLUMN('Country Summary'!C863)-1,FALSE)</f>
        <v>1</v>
      </c>
      <c r="AY847" s="180" t="str">
        <f>IF(AND(AD847=1,D847="Military",H847&lt;&gt;"Not given")=TRUE,IF(SUMIFS(P:P,A:A,A847)&gt;0,ABS((SUMIFS(P:P,A:A,A847)/VLOOKUP("USD",'Exchange Rates'!B:C,2,0)))/S847,"."),".")</f>
        <v>.</v>
      </c>
      <c r="AZ847" s="182" t="str">
        <f>IF(AND(AD847=1,D847="Military",H847&lt;&gt;"Not given")=TRUE,IF(SUMIFS(P:P,A:A,A847)&gt;0,IF((ABS((SUMIFS(P:P,A:A,A847)/VLOOKUP("USD",'Exchange Rates'!B:C,2,0)))/S847)&gt;1,(SUMIFS(P:P,A:A,A847)-S847)/S847,(S847-SUMIFS(P:P,A:A,A847))/SUMIFS(P:P,A:A,A847)),"."),".")</f>
        <v>.</v>
      </c>
      <c r="BA847" s="182"/>
      <c r="BB847" s="182"/>
      <c r="BC847" s="182"/>
      <c r="BD847" s="182"/>
      <c r="BE847" s="182"/>
      <c r="BF847" s="182"/>
      <c r="BG847" s="182"/>
      <c r="BH847" s="182"/>
      <c r="BI847" s="182"/>
      <c r="BJ847" s="182"/>
      <c r="BK847" s="182"/>
      <c r="BL847" s="182"/>
      <c r="BM847" s="182"/>
      <c r="BN847" s="182"/>
      <c r="BO847" s="182"/>
      <c r="BP847" s="182"/>
      <c r="BQ847" s="182"/>
      <c r="BR847" s="182"/>
      <c r="BS847" s="182"/>
    </row>
    <row r="848" spans="1:71" ht="15.9" customHeight="1" x14ac:dyDescent="0.3">
      <c r="A848" s="17" t="s">
        <v>2472</v>
      </c>
      <c r="B848" s="17" t="s">
        <v>2460</v>
      </c>
      <c r="C848" s="174">
        <v>44669</v>
      </c>
      <c r="D848" s="5" t="s">
        <v>256</v>
      </c>
      <c r="E848" s="5" t="s">
        <v>267</v>
      </c>
      <c r="F848" s="175" t="s">
        <v>2473</v>
      </c>
      <c r="G848" s="15" t="s">
        <v>346</v>
      </c>
      <c r="H848" s="176" t="s">
        <v>341</v>
      </c>
      <c r="I848" s="17" t="s">
        <v>358</v>
      </c>
      <c r="J848" s="113" t="str">
        <f>VLOOKUP($I848,'Price List, Weapons &amp; Items'!B:C,2,0)</f>
        <v>Humanitarian</v>
      </c>
      <c r="K848" s="113" t="str">
        <f>IF(I848=".",I848,VLOOKUP($I848,'Price List, Weapons &amp; Items'!B:D,3,0))</f>
        <v>Humanitarian</v>
      </c>
      <c r="L848" s="177">
        <f>VLOOKUP(I848,'Price List, Weapons &amp; Items'!B:E,4,0)</f>
        <v>0</v>
      </c>
      <c r="M848" s="542">
        <v>11</v>
      </c>
      <c r="N848" s="542" t="s">
        <v>270</v>
      </c>
      <c r="O848" s="543">
        <f>VLOOKUP($I848,'Price List, Weapons &amp; Items'!B:G,6,0)</f>
        <v>317500</v>
      </c>
      <c r="P848" s="176">
        <f t="shared" si="164"/>
        <v>3492500</v>
      </c>
      <c r="Q848" s="176" t="str">
        <f t="shared" si="165"/>
        <v>.</v>
      </c>
      <c r="R848" s="176">
        <f t="shared" si="162"/>
        <v>3492500</v>
      </c>
      <c r="S848" s="176">
        <f>IF(AND(AD848=1,R848&lt;&gt;".")=TRUE,R848/VLOOKUP(G848,'Exchange Rates'!B:C,2,0),IF(R848=".",".",""))</f>
        <v>3326190.4761904762</v>
      </c>
      <c r="T848" s="176" t="str">
        <f>IF(AD848=1,IF(AF848="Value is not given at all",".",IF(AF848="Value is given by the source",S848,IF(AF848="Value is calculated with prices",(IF(SUMIFS(Q:Q,A:A,A848)&gt;0,SUMIFS(Q:Q,A:A,A848),"."))/VLOOKUP("USD",'Exchange Rates'!B:C,2,0),"Error with coding"))),"")</f>
        <v>.</v>
      </c>
      <c r="U848" s="15" t="s">
        <v>415</v>
      </c>
      <c r="V848" s="300" t="s">
        <v>2474</v>
      </c>
      <c r="W848" s="175" t="s">
        <v>260</v>
      </c>
      <c r="X848" s="175" t="s">
        <v>260</v>
      </c>
      <c r="Y848" s="175" t="s">
        <v>260</v>
      </c>
      <c r="Z848" s="15">
        <v>0</v>
      </c>
      <c r="AA848" s="180">
        <v>0</v>
      </c>
      <c r="AB848" s="184" t="s">
        <v>260</v>
      </c>
      <c r="AC848" s="544" t="str">
        <f>""</f>
        <v/>
      </c>
      <c r="AD848" s="181">
        <v>1</v>
      </c>
      <c r="AE848" s="181" t="s">
        <v>332</v>
      </c>
      <c r="AF848" s="181" t="s">
        <v>265</v>
      </c>
      <c r="AG848" s="181">
        <v>1</v>
      </c>
      <c r="AH848" s="181">
        <v>4</v>
      </c>
      <c r="AI848" s="181">
        <v>0</v>
      </c>
      <c r="AJ848" s="181">
        <f>VLOOKUP($I848,'Price List, Weapons &amp; Items'!B:F,5,0)</f>
        <v>0</v>
      </c>
      <c r="AK848" s="181">
        <f t="shared" si="166"/>
        <v>0</v>
      </c>
      <c r="AL848" s="181">
        <f t="shared" si="167"/>
        <v>0</v>
      </c>
      <c r="AM848" s="181">
        <f t="shared" si="168"/>
        <v>0</v>
      </c>
      <c r="AN848" s="180" t="str">
        <f>VLOOKUP($I848,'Price List, Weapons &amp; Items'!B:L,COLUMN('Price List, Weapons &amp; Items'!$J$11)-1,0)</f>
        <v>Media reports (incl. social media)</v>
      </c>
      <c r="AO848" s="180" t="str">
        <f>IF(I848=".",".",VLOOKUP($I848,'Price List, Weapons &amp; Items'!B:J,3,0))</f>
        <v>Humanitarian</v>
      </c>
      <c r="AP848" s="545" t="e">
        <f t="shared" ca="1" si="163"/>
        <v>#NAME?</v>
      </c>
      <c r="AQ848" s="180">
        <f>VLOOKUP($I848,'Price List, Weapons &amp; Items'!B:L,COLUMN('Price List, Weapons &amp; Items'!$L$11)-1,0)</f>
        <v>0</v>
      </c>
      <c r="AR848" s="180">
        <f t="shared" si="169"/>
        <v>0</v>
      </c>
      <c r="AS848" s="180">
        <f t="shared" si="170"/>
        <v>0</v>
      </c>
      <c r="AT848" s="180">
        <f t="shared" si="171"/>
        <v>1</v>
      </c>
      <c r="AU848" s="180" t="str">
        <f t="shared" si="172"/>
        <v>.</v>
      </c>
      <c r="AV848" s="180" t="str">
        <f t="shared" si="173"/>
        <v>.</v>
      </c>
      <c r="AW848" s="180">
        <f>IFERROR(VLOOKUP(B848,'Share, Heavy Weapons to Ukraine'!B:J,COLUMN('Share, Heavy Weapons to Ukraine'!C861)-1,0),0)</f>
        <v>0</v>
      </c>
      <c r="AX848" s="180">
        <f>VLOOKUP('Bilateral Assistance, MAIN DATA'!B848,'Country Summary'!B:F,COLUMN('Country Summary'!C864)-1,FALSE)</f>
        <v>1</v>
      </c>
      <c r="AY848" s="180" t="str">
        <f>IF(AND(AD848=1,D848="Military",H848&lt;&gt;"Not given")=TRUE,IF(SUMIFS(P:P,A:A,A848)&gt;0,ABS((SUMIFS(P:P,A:A,A848)/VLOOKUP("USD",'Exchange Rates'!B:C,2,0)))/S848,"."),".")</f>
        <v>.</v>
      </c>
      <c r="AZ848" s="182" t="str">
        <f>IF(AND(AD848=1,D848="Military",H848&lt;&gt;"Not given")=TRUE,IF(SUMIFS(P:P,A:A,A848)&gt;0,IF((ABS((SUMIFS(P:P,A:A,A848)/VLOOKUP("USD",'Exchange Rates'!B:C,2,0)))/S848)&gt;1,(SUMIFS(P:P,A:A,A848)-S848)/S848,(S848-SUMIFS(P:P,A:A,A848))/SUMIFS(P:P,A:A,A848)),"."),".")</f>
        <v>.</v>
      </c>
      <c r="BA848" s="182"/>
      <c r="BB848" s="182"/>
      <c r="BC848" s="182"/>
      <c r="BD848" s="182"/>
      <c r="BE848" s="182"/>
      <c r="BF848" s="182"/>
      <c r="BG848" s="182"/>
      <c r="BH848" s="182"/>
      <c r="BI848" s="182"/>
      <c r="BJ848" s="182"/>
      <c r="BK848" s="182"/>
      <c r="BL848" s="182"/>
      <c r="BM848" s="182"/>
      <c r="BN848" s="182"/>
      <c r="BO848" s="182"/>
      <c r="BP848" s="182"/>
      <c r="BQ848" s="182"/>
      <c r="BR848" s="182"/>
      <c r="BS848" s="182"/>
    </row>
    <row r="849" spans="1:71" ht="15.9" customHeight="1" x14ac:dyDescent="0.3">
      <c r="A849" s="17" t="s">
        <v>2475</v>
      </c>
      <c r="B849" s="17" t="s">
        <v>2460</v>
      </c>
      <c r="C849" s="174">
        <v>44686</v>
      </c>
      <c r="D849" s="5" t="s">
        <v>256</v>
      </c>
      <c r="E849" s="5" t="s">
        <v>267</v>
      </c>
      <c r="F849" s="218" t="s">
        <v>2476</v>
      </c>
      <c r="G849" s="15" t="s">
        <v>364</v>
      </c>
      <c r="H849" s="176">
        <v>3200000</v>
      </c>
      <c r="I849" s="17" t="s">
        <v>439</v>
      </c>
      <c r="J849" s="113" t="str">
        <f>VLOOKUP($I849,'Price List, Weapons &amp; Items'!B:C,2,0)</f>
        <v>Military equipment</v>
      </c>
      <c r="K849" s="113" t="str">
        <f>IF(I849=".",I849,VLOOKUP($I849,'Price List, Weapons &amp; Items'!B:D,3,0))</f>
        <v>Military equipment</v>
      </c>
      <c r="L849" s="177">
        <f>VLOOKUP(I849,'Price List, Weapons &amp; Items'!B:E,4,0)</f>
        <v>0</v>
      </c>
      <c r="M849" s="542">
        <v>1900</v>
      </c>
      <c r="N849" s="542" t="s">
        <v>270</v>
      </c>
      <c r="O849" s="543">
        <f>VLOOKUP($I849,'Price List, Weapons &amp; Items'!B:G,6,0)</f>
        <v>1612.5</v>
      </c>
      <c r="P849" s="176">
        <f t="shared" si="164"/>
        <v>3063750</v>
      </c>
      <c r="Q849" s="176" t="str">
        <f t="shared" si="165"/>
        <v>.</v>
      </c>
      <c r="R849" s="176">
        <f t="shared" si="162"/>
        <v>3200000</v>
      </c>
      <c r="S849" s="176">
        <f>IF(AND(AD849=1,R849&lt;&gt;".")=TRUE,R849/VLOOKUP(G849,'Exchange Rates'!B:C,2,0),IF(R849=".",".",""))</f>
        <v>3200000</v>
      </c>
      <c r="T849" s="176" t="str">
        <f>IF(AD849=1,IF(AF849="Value is not given at all",".",IF(AF849="Value is given by the source",S849,IF(AF849="Value is calculated with prices",(IF(SUMIFS(Q:Q,A:A,A849)&gt;0,SUMIFS(Q:Q,A:A,A849),"."))/VLOOKUP("USD",'Exchange Rates'!B:C,2,0),"Error with coding"))),"")</f>
        <v>.</v>
      </c>
      <c r="U849" s="15" t="s">
        <v>261</v>
      </c>
      <c r="V849" s="300" t="s">
        <v>429</v>
      </c>
      <c r="W849" s="300" t="s">
        <v>2477</v>
      </c>
      <c r="X849" s="175" t="s">
        <v>260</v>
      </c>
      <c r="Y849" s="175" t="s">
        <v>260</v>
      </c>
      <c r="Z849" s="15">
        <v>0</v>
      </c>
      <c r="AA849" s="180">
        <v>0</v>
      </c>
      <c r="AB849" s="184" t="s">
        <v>260</v>
      </c>
      <c r="AC849" s="544" t="str">
        <f>""</f>
        <v/>
      </c>
      <c r="AD849" s="181">
        <v>1</v>
      </c>
      <c r="AE849" s="181" t="s">
        <v>264</v>
      </c>
      <c r="AF849" s="181" t="s">
        <v>265</v>
      </c>
      <c r="AG849" s="181">
        <v>1</v>
      </c>
      <c r="AH849" s="181">
        <v>5</v>
      </c>
      <c r="AI849" s="181">
        <v>0</v>
      </c>
      <c r="AJ849" s="181">
        <f>VLOOKUP($I849,'Price List, Weapons &amp; Items'!B:F,5,0)</f>
        <v>0</v>
      </c>
      <c r="AK849" s="181">
        <f t="shared" si="166"/>
        <v>0</v>
      </c>
      <c r="AL849" s="181">
        <f t="shared" si="167"/>
        <v>0</v>
      </c>
      <c r="AM849" s="181">
        <f t="shared" si="168"/>
        <v>0</v>
      </c>
      <c r="AN849" s="180" t="str">
        <f>VLOOKUP($I849,'Price List, Weapons &amp; Items'!B:L,COLUMN('Price List, Weapons &amp; Items'!$J$11)-1,0)</f>
        <v>Miscellaneous</v>
      </c>
      <c r="AO849" s="180" t="str">
        <f>IF(I849=".",".",VLOOKUP($I849,'Price List, Weapons &amp; Items'!B:J,3,0))</f>
        <v>Military equipment</v>
      </c>
      <c r="AP849" s="545" t="e">
        <f t="shared" ca="1" si="163"/>
        <v>#NAME?</v>
      </c>
      <c r="AQ849" s="180">
        <f>VLOOKUP($I849,'Price List, Weapons &amp; Items'!B:L,COLUMN('Price List, Weapons &amp; Items'!$L$11)-1,0)</f>
        <v>2</v>
      </c>
      <c r="AR849" s="180">
        <f t="shared" si="169"/>
        <v>1</v>
      </c>
      <c r="AS849" s="180">
        <f t="shared" si="170"/>
        <v>0</v>
      </c>
      <c r="AT849" s="180">
        <f t="shared" si="171"/>
        <v>1</v>
      </c>
      <c r="AU849" s="180" t="str">
        <f t="shared" si="172"/>
        <v>.</v>
      </c>
      <c r="AV849" s="180" t="str">
        <f t="shared" si="173"/>
        <v>.</v>
      </c>
      <c r="AW849" s="180">
        <f>IFERROR(VLOOKUP(B849,'Share, Heavy Weapons to Ukraine'!B:J,COLUMN('Share, Heavy Weapons to Ukraine'!C862)-1,0),0)</f>
        <v>0</v>
      </c>
      <c r="AX849" s="180">
        <f>VLOOKUP('Bilateral Assistance, MAIN DATA'!B849,'Country Summary'!B:F,COLUMN('Country Summary'!C865)-1,FALSE)</f>
        <v>1</v>
      </c>
      <c r="AY849" s="180" t="str">
        <f>IF(AND(AD849=1,D849="Military",H849&lt;&gt;"Not given")=TRUE,IF(SUMIFS(P:P,A:A,A849)&gt;0,ABS((SUMIFS(P:P,A:A,A849)/VLOOKUP("USD",'Exchange Rates'!B:C,2,0)))/S849,"."),".")</f>
        <v>.</v>
      </c>
      <c r="AZ849" s="182" t="str">
        <f>IF(AND(AD849=1,D849="Military",H849&lt;&gt;"Not given")=TRUE,IF(SUMIFS(P:P,A:A,A849)&gt;0,IF((ABS((SUMIFS(P:P,A:A,A849)/VLOOKUP("USD",'Exchange Rates'!B:C,2,0)))/S849)&gt;1,(SUMIFS(P:P,A:A,A849)-S849)/S849,(S849-SUMIFS(P:P,A:A,A849))/SUMIFS(P:P,A:A,A849)),"."),".")</f>
        <v>.</v>
      </c>
      <c r="BA849" s="182"/>
      <c r="BB849" s="182"/>
      <c r="BC849" s="182"/>
      <c r="BD849" s="182"/>
      <c r="BE849" s="182"/>
      <c r="BF849" s="182"/>
      <c r="BG849" s="182"/>
      <c r="BH849" s="182"/>
      <c r="BI849" s="182"/>
      <c r="BJ849" s="182"/>
      <c r="BK849" s="182"/>
      <c r="BL849" s="182"/>
      <c r="BM849" s="182"/>
      <c r="BN849" s="182"/>
      <c r="BO849" s="182"/>
      <c r="BP849" s="182"/>
      <c r="BQ849" s="182"/>
      <c r="BR849" s="182"/>
      <c r="BS849" s="182"/>
    </row>
    <row r="850" spans="1:71" ht="15.9" customHeight="1" x14ac:dyDescent="0.3">
      <c r="A850" s="17" t="s">
        <v>2478</v>
      </c>
      <c r="B850" s="17" t="s">
        <v>2460</v>
      </c>
      <c r="C850" s="174">
        <v>44619</v>
      </c>
      <c r="D850" s="5" t="s">
        <v>285</v>
      </c>
      <c r="E850" s="5" t="s">
        <v>286</v>
      </c>
      <c r="F850" s="175" t="s">
        <v>2479</v>
      </c>
      <c r="G850" s="15" t="s">
        <v>364</v>
      </c>
      <c r="H850" s="176">
        <v>3000000</v>
      </c>
      <c r="I850" s="17" t="s">
        <v>964</v>
      </c>
      <c r="J850" s="113" t="str">
        <f>VLOOKUP($I850,'Price List, Weapons &amp; Items'!B:C,2,0)</f>
        <v>Military equipment</v>
      </c>
      <c r="K850" s="113" t="str">
        <f>IF(I850=".",I850,VLOOKUP($I850,'Price List, Weapons &amp; Items'!B:D,3,0))</f>
        <v>Military equipment</v>
      </c>
      <c r="L850" s="177">
        <f>VLOOKUP(I850,'Price List, Weapons &amp; Items'!B:E,4,0)</f>
        <v>0</v>
      </c>
      <c r="M850" s="542" t="s">
        <v>270</v>
      </c>
      <c r="N850" s="542" t="s">
        <v>270</v>
      </c>
      <c r="O850" s="543">
        <f>VLOOKUP($I850,'Price List, Weapons &amp; Items'!B:G,6,0)</f>
        <v>1.29</v>
      </c>
      <c r="P850" s="176" t="str">
        <f t="shared" si="164"/>
        <v>.</v>
      </c>
      <c r="Q850" s="176" t="str">
        <f t="shared" si="165"/>
        <v>.</v>
      </c>
      <c r="R850" s="176">
        <f t="shared" si="162"/>
        <v>3000000</v>
      </c>
      <c r="S850" s="176">
        <f>IF(AND(AD850=1,R850&lt;&gt;".")=TRUE,R850/VLOOKUP(G850,'Exchange Rates'!B:C,2,0),IF(R850=".",".",""))</f>
        <v>3000000</v>
      </c>
      <c r="T850" s="176" t="str">
        <f>IF(AD850=1,IF(AF850="Value is not given at all",".",IF(AF850="Value is given by the source",S850,IF(AF850="Value is calculated with prices",(IF(SUMIFS(Q:Q,A:A,A850)&gt;0,SUMIFS(Q:Q,A:A,A850),"."))/VLOOKUP("USD",'Exchange Rates'!B:C,2,0),"Error with coding"))),"")</f>
        <v>.</v>
      </c>
      <c r="U850" s="15" t="s">
        <v>261</v>
      </c>
      <c r="V850" s="300" t="s">
        <v>2480</v>
      </c>
      <c r="W850" s="556" t="s">
        <v>2481</v>
      </c>
      <c r="X850" s="300" t="s">
        <v>2482</v>
      </c>
      <c r="Y850" s="175" t="s">
        <v>260</v>
      </c>
      <c r="Z850" s="15">
        <v>0</v>
      </c>
      <c r="AA850" s="180">
        <v>0</v>
      </c>
      <c r="AB850" s="549" t="s">
        <v>2483</v>
      </c>
      <c r="AC850" s="544" t="str">
        <f>""</f>
        <v/>
      </c>
      <c r="AD850" s="181">
        <v>1</v>
      </c>
      <c r="AE850" s="181" t="s">
        <v>264</v>
      </c>
      <c r="AF850" s="181" t="s">
        <v>265</v>
      </c>
      <c r="AG850" s="181">
        <v>1</v>
      </c>
      <c r="AH850" s="181">
        <v>2</v>
      </c>
      <c r="AI850" s="181">
        <v>0</v>
      </c>
      <c r="AJ850" s="181">
        <f>VLOOKUP($I850,'Price List, Weapons &amp; Items'!B:F,5,0)</f>
        <v>0</v>
      </c>
      <c r="AK850" s="181">
        <f t="shared" si="166"/>
        <v>0</v>
      </c>
      <c r="AL850" s="181">
        <f t="shared" si="167"/>
        <v>0</v>
      </c>
      <c r="AM850" s="181">
        <f t="shared" si="168"/>
        <v>0</v>
      </c>
      <c r="AN850" s="180" t="str">
        <f>VLOOKUP($I850,'Price List, Weapons &amp; Items'!B:L,COLUMN('Price List, Weapons &amp; Items'!$J$11)-1,0)</f>
        <v>Miscellaneous</v>
      </c>
      <c r="AO850" s="180" t="str">
        <f>IF(I850=".",".",VLOOKUP($I850,'Price List, Weapons &amp; Items'!B:J,3,0))</f>
        <v>Military equipment</v>
      </c>
      <c r="AP850" s="545" t="e">
        <f t="shared" ca="1" si="163"/>
        <v>#NAME?</v>
      </c>
      <c r="AQ850" s="180" t="str">
        <f>VLOOKUP($I850,'Price List, Weapons &amp; Items'!B:L,COLUMN('Price List, Weapons &amp; Items'!$L$11)-1,0)</f>
        <v>no price, 0 count</v>
      </c>
      <c r="AR850" s="180">
        <f t="shared" si="169"/>
        <v>1</v>
      </c>
      <c r="AS850" s="180">
        <f t="shared" si="170"/>
        <v>1</v>
      </c>
      <c r="AT850" s="180">
        <f t="shared" si="171"/>
        <v>1</v>
      </c>
      <c r="AU850" s="180" t="str">
        <f t="shared" si="172"/>
        <v>.</v>
      </c>
      <c r="AV850" s="180" t="str">
        <f t="shared" si="173"/>
        <v>.</v>
      </c>
      <c r="AW850" s="180">
        <f>IFERROR(VLOOKUP(B850,'Share, Heavy Weapons to Ukraine'!B:J,COLUMN('Share, Heavy Weapons to Ukraine'!C863)-1,0),0)</f>
        <v>0</v>
      </c>
      <c r="AX850" s="180">
        <f>VLOOKUP('Bilateral Assistance, MAIN DATA'!B850,'Country Summary'!B:F,COLUMN('Country Summary'!C866)-1,FALSE)</f>
        <v>1</v>
      </c>
      <c r="AY850" s="180" t="str">
        <f>IF(AND(AD850=1,D850="Military",H850&lt;&gt;"Not given")=TRUE,IF(SUMIFS(P:P,A:A,A850)&gt;0,ABS((SUMIFS(P:P,A:A,A850)/VLOOKUP("USD",'Exchange Rates'!B:C,2,0)))/S850,"."),".")</f>
        <v>.</v>
      </c>
      <c r="AZ850" s="182" t="str">
        <f>IF(AND(AD850=1,D850="Military",H850&lt;&gt;"Not given")=TRUE,IF(SUMIFS(P:P,A:A,A850)&gt;0,IF((ABS((SUMIFS(P:P,A:A,A850)/VLOOKUP("USD",'Exchange Rates'!B:C,2,0)))/S850)&gt;1,(SUMIFS(P:P,A:A,A850)-S850)/S850,(S850-SUMIFS(P:P,A:A,A850))/SUMIFS(P:P,A:A,A850)),"."),".")</f>
        <v>.</v>
      </c>
      <c r="BA850" s="182"/>
      <c r="BB850" s="182"/>
      <c r="BC850" s="182"/>
      <c r="BD850" s="182"/>
      <c r="BE850" s="182"/>
      <c r="BF850" s="182"/>
      <c r="BG850" s="182"/>
      <c r="BH850" s="182"/>
      <c r="BI850" s="182"/>
      <c r="BJ850" s="182"/>
      <c r="BK850" s="182"/>
      <c r="BL850" s="182"/>
      <c r="BM850" s="182"/>
      <c r="BN850" s="182"/>
      <c r="BO850" s="182"/>
      <c r="BP850" s="182"/>
      <c r="BQ850" s="182"/>
      <c r="BR850" s="182"/>
      <c r="BS850" s="182"/>
    </row>
    <row r="851" spans="1:71" ht="15.9" customHeight="1" x14ac:dyDescent="0.3">
      <c r="A851" s="17" t="s">
        <v>2484</v>
      </c>
      <c r="B851" s="17" t="s">
        <v>2460</v>
      </c>
      <c r="C851" s="174">
        <v>44670</v>
      </c>
      <c r="D851" s="5" t="s">
        <v>285</v>
      </c>
      <c r="E851" s="5" t="s">
        <v>339</v>
      </c>
      <c r="F851" s="175" t="s">
        <v>2485</v>
      </c>
      <c r="G851" s="15" t="s">
        <v>260</v>
      </c>
      <c r="H851" s="176" t="s">
        <v>341</v>
      </c>
      <c r="I851" s="17" t="s">
        <v>260</v>
      </c>
      <c r="J851" s="113" t="str">
        <f>VLOOKUP($I851,'Price List, Weapons &amp; Items'!B:C,2,0)</f>
        <v>.</v>
      </c>
      <c r="K851" s="113" t="str">
        <f>IF(I851=".",I851,VLOOKUP($I851,'Price List, Weapons &amp; Items'!B:D,3,0))</f>
        <v>.</v>
      </c>
      <c r="L851" s="177">
        <f>VLOOKUP(I851,'Price List, Weapons &amp; Items'!B:E,4,0)</f>
        <v>0</v>
      </c>
      <c r="M851" s="542" t="s">
        <v>260</v>
      </c>
      <c r="N851" s="542" t="s">
        <v>260</v>
      </c>
      <c r="O851" s="543" t="str">
        <f>VLOOKUP($I851,'Price List, Weapons &amp; Items'!B:G,6,0)</f>
        <v>.</v>
      </c>
      <c r="P851" s="176" t="str">
        <f t="shared" si="164"/>
        <v>.</v>
      </c>
      <c r="Q851" s="176" t="str">
        <f t="shared" si="165"/>
        <v>.</v>
      </c>
      <c r="R851" s="176" t="str">
        <f t="shared" si="162"/>
        <v>.</v>
      </c>
      <c r="S851" s="176" t="str">
        <f>IF(AND(AD851=1,R851&lt;&gt;".")=TRUE,R851/VLOOKUP(G851,'Exchange Rates'!B:C,2,0),IF(R851=".",".",""))</f>
        <v>.</v>
      </c>
      <c r="T851" s="176" t="str">
        <f>IF(AD851=1,IF(AF851="Value is not given at all",".",IF(AF851="Value is given by the source",S851,IF(AF851="Value is calculated with prices",(IF(SUMIFS(Q:Q,A:A,A851)&gt;0,SUMIFS(Q:Q,A:A,A851),"."))/VLOOKUP("USD",'Exchange Rates'!B:C,2,0),"Error with coding"))),"")</f>
        <v>.</v>
      </c>
      <c r="U851" s="15" t="s">
        <v>415</v>
      </c>
      <c r="V851" s="300" t="s">
        <v>2486</v>
      </c>
      <c r="W851" s="556" t="s">
        <v>2487</v>
      </c>
      <c r="X851" s="175" t="s">
        <v>260</v>
      </c>
      <c r="Y851" s="175" t="s">
        <v>260</v>
      </c>
      <c r="Z851" s="15">
        <v>0</v>
      </c>
      <c r="AA851" s="180">
        <v>0</v>
      </c>
      <c r="AB851" s="184" t="s">
        <v>260</v>
      </c>
      <c r="AC851" s="544" t="str">
        <f>""</f>
        <v/>
      </c>
      <c r="AD851" s="181">
        <v>1</v>
      </c>
      <c r="AE851" s="181" t="s">
        <v>265</v>
      </c>
      <c r="AF851" s="181" t="s">
        <v>265</v>
      </c>
      <c r="AG851" s="181">
        <v>1</v>
      </c>
      <c r="AH851" s="181">
        <v>4</v>
      </c>
      <c r="AI851" s="181">
        <v>0</v>
      </c>
      <c r="AJ851" s="181">
        <f>VLOOKUP($I851,'Price List, Weapons &amp; Items'!B:F,5,0)</f>
        <v>0</v>
      </c>
      <c r="AK851" s="181">
        <f t="shared" si="166"/>
        <v>0</v>
      </c>
      <c r="AL851" s="181">
        <f t="shared" si="167"/>
        <v>0</v>
      </c>
      <c r="AM851" s="181">
        <f t="shared" si="168"/>
        <v>0</v>
      </c>
      <c r="AN851" s="180" t="str">
        <f>VLOOKUP($I851,'Price List, Weapons &amp; Items'!B:L,COLUMN('Price List, Weapons &amp; Items'!$J$11)-1,0)</f>
        <v>.</v>
      </c>
      <c r="AO851" s="180" t="str">
        <f>IF(I851=".",".",VLOOKUP($I851,'Price List, Weapons &amp; Items'!B:J,3,0))</f>
        <v>.</v>
      </c>
      <c r="AP851" s="545" t="e">
        <f t="shared" ca="1" si="163"/>
        <v>#NAME?</v>
      </c>
      <c r="AQ851" s="180" t="str">
        <f>VLOOKUP($I851,'Price List, Weapons &amp; Items'!B:L,COLUMN('Price List, Weapons &amp; Items'!$L$11)-1,0)</f>
        <v>no price, 0 count</v>
      </c>
      <c r="AR851" s="180">
        <f t="shared" si="169"/>
        <v>0</v>
      </c>
      <c r="AS851" s="180">
        <f t="shared" si="170"/>
        <v>1</v>
      </c>
      <c r="AT851" s="180">
        <f t="shared" si="171"/>
        <v>1</v>
      </c>
      <c r="AU851" s="180" t="str">
        <f t="shared" si="172"/>
        <v>.</v>
      </c>
      <c r="AV851" s="180" t="str">
        <f t="shared" si="173"/>
        <v>.</v>
      </c>
      <c r="AW851" s="180">
        <f>IFERROR(VLOOKUP(B851,'Share, Heavy Weapons to Ukraine'!B:J,COLUMN('Share, Heavy Weapons to Ukraine'!C864)-1,0),0)</f>
        <v>0</v>
      </c>
      <c r="AX851" s="180">
        <f>VLOOKUP('Bilateral Assistance, MAIN DATA'!B851,'Country Summary'!B:F,COLUMN('Country Summary'!C867)-1,FALSE)</f>
        <v>1</v>
      </c>
      <c r="AY851" s="180" t="str">
        <f>IF(AND(AD851=1,D851="Military",H851&lt;&gt;"Not given")=TRUE,IF(SUMIFS(P:P,A:A,A851)&gt;0,ABS((SUMIFS(P:P,A:A,A851)/VLOOKUP("USD",'Exchange Rates'!B:C,2,0)))/S851,"."),".")</f>
        <v>.</v>
      </c>
      <c r="AZ851" s="182" t="str">
        <f>IF(AND(AD851=1,D851="Military",H851&lt;&gt;"Not given")=TRUE,IF(SUMIFS(P:P,A:A,A851)&gt;0,IF((ABS((SUMIFS(P:P,A:A,A851)/VLOOKUP("USD",'Exchange Rates'!B:C,2,0)))/S851)&gt;1,(SUMIFS(P:P,A:A,A851)-S851)/S851,(S851-SUMIFS(P:P,A:A,A851))/SUMIFS(P:P,A:A,A851)),"."),".")</f>
        <v>.</v>
      </c>
      <c r="BA851" s="182"/>
      <c r="BB851" s="182"/>
      <c r="BC851" s="182"/>
      <c r="BD851" s="182"/>
      <c r="BE851" s="182"/>
      <c r="BF851" s="182"/>
      <c r="BG851" s="182"/>
      <c r="BH851" s="182"/>
      <c r="BI851" s="182"/>
      <c r="BJ851" s="182"/>
      <c r="BK851" s="182"/>
      <c r="BL851" s="182"/>
      <c r="BM851" s="182"/>
      <c r="BN851" s="182"/>
      <c r="BO851" s="182"/>
      <c r="BP851" s="182"/>
      <c r="BQ851" s="182"/>
      <c r="BR851" s="182"/>
      <c r="BS851" s="182"/>
    </row>
    <row r="852" spans="1:71" ht="15.9" customHeight="1" x14ac:dyDescent="0.3">
      <c r="A852" s="17" t="s">
        <v>2488</v>
      </c>
      <c r="B852" s="17" t="s">
        <v>2489</v>
      </c>
      <c r="C852" s="174">
        <v>44660</v>
      </c>
      <c r="D852" s="5" t="s">
        <v>256</v>
      </c>
      <c r="E852" s="5" t="s">
        <v>257</v>
      </c>
      <c r="F852" s="175" t="s">
        <v>2490</v>
      </c>
      <c r="G852" s="15" t="s">
        <v>364</v>
      </c>
      <c r="H852" s="176">
        <v>5000000</v>
      </c>
      <c r="I852" s="17" t="s">
        <v>260</v>
      </c>
      <c r="J852" s="113" t="str">
        <f>VLOOKUP($I852,'Price List, Weapons &amp; Items'!B:C,2,0)</f>
        <v>.</v>
      </c>
      <c r="K852" s="113" t="str">
        <f>IF(I852=".",I852,VLOOKUP($I852,'Price List, Weapons &amp; Items'!B:D,3,0))</f>
        <v>.</v>
      </c>
      <c r="L852" s="177">
        <f>VLOOKUP(I852,'Price List, Weapons &amp; Items'!B:E,4,0)</f>
        <v>0</v>
      </c>
      <c r="M852" s="542" t="s">
        <v>260</v>
      </c>
      <c r="N852" s="542" t="s">
        <v>260</v>
      </c>
      <c r="O852" s="543" t="str">
        <f>VLOOKUP($I852,'Price List, Weapons &amp; Items'!B:G,6,0)</f>
        <v>.</v>
      </c>
      <c r="P852" s="176" t="str">
        <f t="shared" si="164"/>
        <v>.</v>
      </c>
      <c r="Q852" s="176" t="str">
        <f t="shared" si="165"/>
        <v>.</v>
      </c>
      <c r="R852" s="176">
        <f t="shared" si="162"/>
        <v>5000000</v>
      </c>
      <c r="S852" s="176">
        <f>IF(AND(AD852=1,R852&lt;&gt;".")=TRUE,R852/VLOOKUP(G852,'Exchange Rates'!B:C,2,0),IF(R852=".",".",""))</f>
        <v>5000000</v>
      </c>
      <c r="T852" s="176" t="str">
        <f>IF(AD852=1,IF(AF852="Value is not given at all",".",IF(AF852="Value is given by the source",S852,IF(AF852="Value is calculated with prices",(IF(SUMIFS(Q:Q,A:A,A852)&gt;0,SUMIFS(Q:Q,A:A,A852),"."))/VLOOKUP("USD",'Exchange Rates'!B:C,2,0),"Error with coding"))),"")</f>
        <v>.</v>
      </c>
      <c r="U852" s="15" t="s">
        <v>261</v>
      </c>
      <c r="V852" s="300" t="s">
        <v>2491</v>
      </c>
      <c r="W852" s="175" t="s">
        <v>260</v>
      </c>
      <c r="X852" s="175" t="s">
        <v>260</v>
      </c>
      <c r="Y852" s="175" t="s">
        <v>260</v>
      </c>
      <c r="Z852" s="15">
        <v>0</v>
      </c>
      <c r="AA852" s="180">
        <v>0</v>
      </c>
      <c r="AB852" s="184" t="s">
        <v>260</v>
      </c>
      <c r="AC852" s="544" t="str">
        <f>""</f>
        <v/>
      </c>
      <c r="AD852" s="181">
        <v>1</v>
      </c>
      <c r="AE852" s="181" t="s">
        <v>264</v>
      </c>
      <c r="AF852" s="181" t="s">
        <v>265</v>
      </c>
      <c r="AG852" s="181">
        <v>1</v>
      </c>
      <c r="AH852" s="181">
        <v>4</v>
      </c>
      <c r="AI852" s="181">
        <v>0</v>
      </c>
      <c r="AJ852" s="181">
        <f>VLOOKUP($I852,'Price List, Weapons &amp; Items'!B:F,5,0)</f>
        <v>0</v>
      </c>
      <c r="AK852" s="181">
        <f t="shared" si="166"/>
        <v>0</v>
      </c>
      <c r="AL852" s="181">
        <f t="shared" si="167"/>
        <v>0</v>
      </c>
      <c r="AM852" s="181">
        <f t="shared" si="168"/>
        <v>0</v>
      </c>
      <c r="AN852" s="180" t="str">
        <f>VLOOKUP($I852,'Price List, Weapons &amp; Items'!B:L,COLUMN('Price List, Weapons &amp; Items'!$J$11)-1,0)</f>
        <v>.</v>
      </c>
      <c r="AO852" s="180" t="str">
        <f>IF(I852=".",".",VLOOKUP($I852,'Price List, Weapons &amp; Items'!B:J,3,0))</f>
        <v>.</v>
      </c>
      <c r="AP852" s="545" t="e">
        <f t="shared" ca="1" si="163"/>
        <v>#NAME?</v>
      </c>
      <c r="AQ852" s="180" t="str">
        <f>VLOOKUP($I852,'Price List, Weapons &amp; Items'!B:L,COLUMN('Price List, Weapons &amp; Items'!$L$11)-1,0)</f>
        <v>no price, 0 count</v>
      </c>
      <c r="AR852" s="180">
        <f t="shared" si="169"/>
        <v>1</v>
      </c>
      <c r="AS852" s="180">
        <f t="shared" si="170"/>
        <v>0</v>
      </c>
      <c r="AT852" s="180">
        <f t="shared" si="171"/>
        <v>1</v>
      </c>
      <c r="AU852" s="180" t="str">
        <f t="shared" si="172"/>
        <v>.</v>
      </c>
      <c r="AV852" s="180" t="str">
        <f t="shared" si="173"/>
        <v>.</v>
      </c>
      <c r="AW852" s="180">
        <f>IFERROR(VLOOKUP(B852,'Share, Heavy Weapons to Ukraine'!B:J,COLUMN('Share, Heavy Weapons to Ukraine'!C865)-1,0),0)</f>
        <v>0</v>
      </c>
      <c r="AX852" s="180">
        <f>VLOOKUP('Bilateral Assistance, MAIN DATA'!B852,'Country Summary'!B:F,COLUMN('Country Summary'!C868)-1,FALSE)</f>
        <v>1</v>
      </c>
      <c r="AY852" s="180" t="str">
        <f>IF(AND(AD852=1,D852="Military",H852&lt;&gt;"Not given")=TRUE,IF(SUMIFS(P:P,A:A,A852)&gt;0,ABS((SUMIFS(P:P,A:A,A852)/VLOOKUP("USD",'Exchange Rates'!B:C,2,0)))/S852,"."),".")</f>
        <v>.</v>
      </c>
      <c r="AZ852" s="182" t="str">
        <f>IF(AND(AD852=1,D852="Military",H852&lt;&gt;"Not given")=TRUE,IF(SUMIFS(P:P,A:A,A852)&gt;0,IF((ABS((SUMIFS(P:P,A:A,A852)/VLOOKUP("USD",'Exchange Rates'!B:C,2,0)))/S852)&gt;1,(SUMIFS(P:P,A:A,A852)-S852)/S852,(S852-SUMIFS(P:P,A:A,A852))/SUMIFS(P:P,A:A,A852)),"."),".")</f>
        <v>.</v>
      </c>
      <c r="BA852" s="182"/>
      <c r="BB852" s="182"/>
      <c r="BC852" s="182"/>
      <c r="BD852" s="182"/>
      <c r="BE852" s="182"/>
      <c r="BF852" s="182"/>
      <c r="BG852" s="182"/>
      <c r="BH852" s="182"/>
      <c r="BI852" s="182"/>
      <c r="BJ852" s="182"/>
      <c r="BK852" s="182"/>
      <c r="BL852" s="182"/>
      <c r="BM852" s="182"/>
      <c r="BN852" s="182"/>
      <c r="BO852" s="182"/>
      <c r="BP852" s="182"/>
      <c r="BQ852" s="182"/>
      <c r="BR852" s="182"/>
      <c r="BS852" s="182"/>
    </row>
    <row r="853" spans="1:71" ht="15.9" customHeight="1" x14ac:dyDescent="0.3">
      <c r="A853" s="17" t="s">
        <v>2492</v>
      </c>
      <c r="B853" s="17" t="s">
        <v>2489</v>
      </c>
      <c r="C853" s="174">
        <v>44903</v>
      </c>
      <c r="D853" s="5" t="s">
        <v>256</v>
      </c>
      <c r="E853" s="5" t="s">
        <v>2493</v>
      </c>
      <c r="F853" s="175" t="s">
        <v>2494</v>
      </c>
      <c r="G853" s="15" t="s">
        <v>364</v>
      </c>
      <c r="H853" s="176">
        <v>4000000</v>
      </c>
      <c r="I853" s="175" t="s">
        <v>704</v>
      </c>
      <c r="J853" s="113" t="str">
        <f>VLOOKUP($I853,'Price List, Weapons &amp; Items'!B:C,2,0)</f>
        <v>Humanitarian</v>
      </c>
      <c r="K853" s="113" t="str">
        <f>IF(I853=".",I853,VLOOKUP($I853,'Price List, Weapons &amp; Items'!B:D,3,0))</f>
        <v>Humanitarian</v>
      </c>
      <c r="L853" s="177">
        <f>VLOOKUP(I853,'Price List, Weapons &amp; Items'!B:E,4,0)</f>
        <v>0</v>
      </c>
      <c r="M853" s="542">
        <v>300</v>
      </c>
      <c r="N853" s="542" t="s">
        <v>270</v>
      </c>
      <c r="O853" s="543" t="str">
        <f>VLOOKUP($I853,'Price List, Weapons &amp; Items'!B:G,6,0)</f>
        <v>.</v>
      </c>
      <c r="P853" s="176" t="str">
        <f t="shared" si="164"/>
        <v>No price</v>
      </c>
      <c r="Q853" s="176" t="str">
        <f t="shared" si="165"/>
        <v>.</v>
      </c>
      <c r="R853" s="176">
        <f t="shared" ref="R853:R916" si="174">IF(AD853=1,IF(H853&lt;&gt;"Not given",H853,IF(TYPE(H853)=2,IF(SUMIFS(P:P,A:A,A853)&gt;0,SUMIFS(P:P,A:A,A853),"."),"Format error")),"")</f>
        <v>4000000</v>
      </c>
      <c r="S853" s="176">
        <f>IF(AND(AD853=1,R853&lt;&gt;".")=TRUE,R853/VLOOKUP(G853,'Exchange Rates'!B:C,2,0),IF(R853=".",".",""))</f>
        <v>4000000</v>
      </c>
      <c r="T853" s="176" t="str">
        <f>IF(AD853=1,IF(AF853="Value is not given at all",".",IF(AF853="Value is given by the source",S853,IF(AF853="Value is calculated with prices",(IF(SUMIFS(Q:Q,A:A,A853)&gt;0,SUMIFS(Q:Q,A:A,A853),"."))/VLOOKUP("USD",'Exchange Rates'!B:C,2,0),"Error with coding"))),"")</f>
        <v>.</v>
      </c>
      <c r="U853" s="15" t="s">
        <v>261</v>
      </c>
      <c r="V853" s="679" t="s">
        <v>2495</v>
      </c>
      <c r="W853" s="300" t="s">
        <v>2496</v>
      </c>
      <c r="X853" s="546" t="s">
        <v>2497</v>
      </c>
      <c r="Y853" s="665" t="s">
        <v>2495</v>
      </c>
      <c r="Z853" s="15">
        <v>0</v>
      </c>
      <c r="AA853" s="180">
        <v>1</v>
      </c>
      <c r="AB853" s="184" t="s">
        <v>260</v>
      </c>
      <c r="AC853" s="544" t="str">
        <f>""</f>
        <v/>
      </c>
      <c r="AD853" s="181">
        <v>1</v>
      </c>
      <c r="AE853" s="181" t="s">
        <v>264</v>
      </c>
      <c r="AF853" s="181" t="s">
        <v>265</v>
      </c>
      <c r="AG853" s="181">
        <v>1</v>
      </c>
      <c r="AH853" s="181">
        <v>12</v>
      </c>
      <c r="AI853" s="181">
        <v>0</v>
      </c>
      <c r="AJ853" s="181">
        <f>VLOOKUP($I853,'Price List, Weapons &amp; Items'!B:F,5,0)</f>
        <v>0</v>
      </c>
      <c r="AK853" s="181">
        <f t="shared" si="166"/>
        <v>0</v>
      </c>
      <c r="AL853" s="181">
        <f t="shared" si="167"/>
        <v>0</v>
      </c>
      <c r="AM853" s="181">
        <f t="shared" si="168"/>
        <v>0</v>
      </c>
      <c r="AN853" s="180" t="str">
        <f>VLOOKUP($I853,'Price List, Weapons &amp; Items'!B:L,COLUMN('Price List, Weapons &amp; Items'!$J$11)-1,0)</f>
        <v>Media reports (incl. social media)</v>
      </c>
      <c r="AO853" s="180" t="str">
        <f>IF(I853=".",".",VLOOKUP($I853,'Price List, Weapons &amp; Items'!B:J,3,0))</f>
        <v>Humanitarian</v>
      </c>
      <c r="AP853" s="545" t="e">
        <f t="shared" ref="AP853:AP916" ca="1" si="175">IF(AD853=1,_xlfn.ARRAYTOTEXT(OFFSET(I853,0,0,COUNTIF(A:A,A853),1)),"")</f>
        <v>#NAME?</v>
      </c>
      <c r="AQ853" s="180">
        <f>VLOOKUP($I853,'Price List, Weapons &amp; Items'!B:L,COLUMN('Price List, Weapons &amp; Items'!$L$11)-1,0)</f>
        <v>0</v>
      </c>
      <c r="AR853" s="180">
        <f t="shared" si="169"/>
        <v>1</v>
      </c>
      <c r="AS853" s="180">
        <f t="shared" si="170"/>
        <v>0</v>
      </c>
      <c r="AT853" s="180">
        <f t="shared" si="171"/>
        <v>1</v>
      </c>
      <c r="AU853" s="180" t="str">
        <f t="shared" si="172"/>
        <v>.</v>
      </c>
      <c r="AV853" s="180" t="str">
        <f t="shared" si="173"/>
        <v>.</v>
      </c>
      <c r="AW853" s="180">
        <f>IFERROR(VLOOKUP(B853,'Share, Heavy Weapons to Ukraine'!B:J,COLUMN('Share, Heavy Weapons to Ukraine'!C866)-1,0),0)</f>
        <v>0</v>
      </c>
      <c r="AX853" s="180">
        <f>VLOOKUP('Bilateral Assistance, MAIN DATA'!B853,'Country Summary'!B:F,COLUMN('Country Summary'!C869)-1,FALSE)</f>
        <v>1</v>
      </c>
      <c r="AY853" s="180" t="str">
        <f>IF(AND(AD853=1,D853="Military",H853&lt;&gt;"Not given")=TRUE,IF(SUMIFS(P:P,A:A,A853)&gt;0,ABS((SUMIFS(P:P,A:A,A853)/VLOOKUP("USD",'Exchange Rates'!B:C,2,0)))/S853,"."),".")</f>
        <v>.</v>
      </c>
      <c r="AZ853" s="182" t="str">
        <f>IF(AND(AD853=1,D853="Military",H853&lt;&gt;"Not given")=TRUE,IF(SUMIFS(P:P,A:A,A853)&gt;0,IF((ABS((SUMIFS(P:P,A:A,A853)/VLOOKUP("USD",'Exchange Rates'!B:C,2,0)))/S853)&gt;1,(SUMIFS(P:P,A:A,A853)-S853)/S853,(S853-SUMIFS(P:P,A:A,A853))/SUMIFS(P:P,A:A,A853)),"."),".")</f>
        <v>.</v>
      </c>
      <c r="BA853" s="182"/>
      <c r="BB853" s="182"/>
      <c r="BC853" s="182"/>
      <c r="BD853" s="182"/>
      <c r="BE853" s="182"/>
      <c r="BF853" s="182"/>
      <c r="BG853" s="182"/>
      <c r="BH853" s="182"/>
      <c r="BI853" s="182"/>
      <c r="BJ853" s="182"/>
      <c r="BK853" s="182"/>
      <c r="BL853" s="182"/>
      <c r="BM853" s="182"/>
      <c r="BN853" s="182"/>
      <c r="BO853" s="182"/>
      <c r="BP853" s="182"/>
      <c r="BQ853" s="182"/>
      <c r="BR853" s="182"/>
      <c r="BS853" s="182"/>
    </row>
    <row r="854" spans="1:71" ht="15.9" customHeight="1" x14ac:dyDescent="0.3">
      <c r="A854" s="17" t="s">
        <v>2492</v>
      </c>
      <c r="B854" s="17" t="s">
        <v>2489</v>
      </c>
      <c r="C854" s="174">
        <v>44903</v>
      </c>
      <c r="D854" s="5" t="s">
        <v>256</v>
      </c>
      <c r="E854" s="5" t="s">
        <v>2493</v>
      </c>
      <c r="F854" s="175" t="s">
        <v>2494</v>
      </c>
      <c r="G854" s="15" t="s">
        <v>364</v>
      </c>
      <c r="H854" s="176">
        <v>4000000</v>
      </c>
      <c r="I854" s="17" t="s">
        <v>453</v>
      </c>
      <c r="J854" s="113" t="str">
        <f>VLOOKUP($I854,'Price List, Weapons &amp; Items'!B:C,2,0)</f>
        <v>Military equipment</v>
      </c>
      <c r="K854" s="113" t="str">
        <f>IF(I854=".",I854,VLOOKUP($I854,'Price List, Weapons &amp; Items'!B:D,3,0))</f>
        <v>Military equipment</v>
      </c>
      <c r="L854" s="177">
        <f>VLOOKUP(I854,'Price List, Weapons &amp; Items'!B:E,4,0)</f>
        <v>0</v>
      </c>
      <c r="M854" s="542" t="s">
        <v>270</v>
      </c>
      <c r="N854" s="542" t="s">
        <v>270</v>
      </c>
      <c r="O854" s="543">
        <f>VLOOKUP($I854,'Price List, Weapons &amp; Items'!B:G,6,0)</f>
        <v>59.234999999999999</v>
      </c>
      <c r="P854" s="176" t="str">
        <f t="shared" si="164"/>
        <v>.</v>
      </c>
      <c r="Q854" s="176" t="str">
        <f t="shared" si="165"/>
        <v>.</v>
      </c>
      <c r="R854" s="176" t="str">
        <f t="shared" si="174"/>
        <v/>
      </c>
      <c r="S854" s="176" t="str">
        <f>IF(AND(AD854=1,R854&lt;&gt;".")=TRUE,R854/VLOOKUP(G854,'Exchange Rates'!B:C,2,0),IF(R854=".",".",""))</f>
        <v/>
      </c>
      <c r="T854" s="176" t="str">
        <f>IF(AD854=1,IF(AF854="Value is not given at all",".",IF(AF854="Value is given by the source",S854,IF(AF854="Value is calculated with prices",(IF(SUMIFS(Q:Q,A:A,A854)&gt;0,SUMIFS(Q:Q,A:A,A854),"."))/VLOOKUP("USD",'Exchange Rates'!B:C,2,0),"Error with coding"))),"")</f>
        <v/>
      </c>
      <c r="U854" s="15" t="s">
        <v>261</v>
      </c>
      <c r="V854" s="679" t="s">
        <v>2495</v>
      </c>
      <c r="W854" s="300" t="s">
        <v>2496</v>
      </c>
      <c r="X854" s="546" t="s">
        <v>2497</v>
      </c>
      <c r="Y854" s="175" t="s">
        <v>260</v>
      </c>
      <c r="Z854" s="15">
        <v>0</v>
      </c>
      <c r="AA854" s="180">
        <v>1</v>
      </c>
      <c r="AB854" s="184" t="s">
        <v>260</v>
      </c>
      <c r="AC854" s="544" t="str">
        <f>""</f>
        <v/>
      </c>
      <c r="AD854" s="181">
        <v>0</v>
      </c>
      <c r="AE854" s="181" t="s">
        <v>264</v>
      </c>
      <c r="AF854" s="181" t="s">
        <v>265</v>
      </c>
      <c r="AG854" s="181">
        <v>1</v>
      </c>
      <c r="AH854" s="181">
        <v>12</v>
      </c>
      <c r="AI854" s="181">
        <v>0</v>
      </c>
      <c r="AJ854" s="181">
        <f>VLOOKUP($I854,'Price List, Weapons &amp; Items'!B:F,5,0)</f>
        <v>0</v>
      </c>
      <c r="AK854" s="181">
        <f t="shared" si="166"/>
        <v>0</v>
      </c>
      <c r="AL854" s="181">
        <f t="shared" si="167"/>
        <v>0</v>
      </c>
      <c r="AM854" s="181">
        <f t="shared" si="168"/>
        <v>0</v>
      </c>
      <c r="AN854" s="180" t="str">
        <f>VLOOKUP($I854,'Price List, Weapons &amp; Items'!B:L,COLUMN('Price List, Weapons &amp; Items'!$J$11)-1,0)</f>
        <v>Government information</v>
      </c>
      <c r="AO854" s="180" t="str">
        <f>IF(I854=".",".",VLOOKUP($I854,'Price List, Weapons &amp; Items'!B:J,3,0))</f>
        <v>Military equipment</v>
      </c>
      <c r="AP854" s="545" t="str">
        <f t="shared" ca="1" si="175"/>
        <v/>
      </c>
      <c r="AQ854" s="180">
        <f>VLOOKUP($I854,'Price List, Weapons &amp; Items'!B:L,COLUMN('Price List, Weapons &amp; Items'!$L$11)-1,0)</f>
        <v>2</v>
      </c>
      <c r="AR854" s="180">
        <f t="shared" si="169"/>
        <v>1</v>
      </c>
      <c r="AS854" s="180">
        <f t="shared" si="170"/>
        <v>0</v>
      </c>
      <c r="AT854" s="180">
        <f t="shared" si="171"/>
        <v>1</v>
      </c>
      <c r="AU854" s="180" t="str">
        <f t="shared" si="172"/>
        <v>.</v>
      </c>
      <c r="AV854" s="180" t="str">
        <f t="shared" si="173"/>
        <v>.</v>
      </c>
      <c r="AW854" s="180">
        <f>IFERROR(VLOOKUP(B854,'Share, Heavy Weapons to Ukraine'!B:J,COLUMN('Share, Heavy Weapons to Ukraine'!C867)-1,0),0)</f>
        <v>0</v>
      </c>
      <c r="AX854" s="180">
        <f>VLOOKUP('Bilateral Assistance, MAIN DATA'!B854,'Country Summary'!B:F,COLUMN('Country Summary'!C870)-1,FALSE)</f>
        <v>1</v>
      </c>
      <c r="AY854" s="180" t="str">
        <f>IF(AND(AD854=1,D854="Military",H854&lt;&gt;"Not given")=TRUE,IF(SUMIFS(P:P,A:A,A854)&gt;0,ABS((SUMIFS(P:P,A:A,A854)/VLOOKUP("USD",'Exchange Rates'!B:C,2,0)))/S854,"."),".")</f>
        <v>.</v>
      </c>
      <c r="AZ854" s="182" t="str">
        <f>IF(AND(AD854=1,D854="Military",H854&lt;&gt;"Not given")=TRUE,IF(SUMIFS(P:P,A:A,A854)&gt;0,IF((ABS((SUMIFS(P:P,A:A,A854)/VLOOKUP("USD",'Exchange Rates'!B:C,2,0)))/S854)&gt;1,(SUMIFS(P:P,A:A,A854)-S854)/S854,(S854-SUMIFS(P:P,A:A,A854))/SUMIFS(P:P,A:A,A854)),"."),".")</f>
        <v>.</v>
      </c>
      <c r="BA854" s="182"/>
      <c r="BB854" s="182"/>
      <c r="BC854" s="182"/>
      <c r="BD854" s="182"/>
      <c r="BE854" s="182"/>
      <c r="BF854" s="182"/>
      <c r="BG854" s="182"/>
      <c r="BH854" s="182"/>
      <c r="BI854" s="182"/>
      <c r="BJ854" s="182"/>
      <c r="BK854" s="182"/>
      <c r="BL854" s="182"/>
      <c r="BM854" s="182"/>
      <c r="BN854" s="182"/>
      <c r="BO854" s="182"/>
      <c r="BP854" s="182"/>
      <c r="BQ854" s="182"/>
      <c r="BR854" s="182"/>
      <c r="BS854" s="182"/>
    </row>
    <row r="855" spans="1:71" ht="15.9" customHeight="1" x14ac:dyDescent="0.3">
      <c r="A855" s="17" t="s">
        <v>2492</v>
      </c>
      <c r="B855" s="17" t="s">
        <v>2489</v>
      </c>
      <c r="C855" s="174">
        <v>44903</v>
      </c>
      <c r="D855" s="5" t="s">
        <v>256</v>
      </c>
      <c r="E855" s="5" t="s">
        <v>2493</v>
      </c>
      <c r="F855" s="175" t="s">
        <v>2494</v>
      </c>
      <c r="G855" s="15" t="s">
        <v>364</v>
      </c>
      <c r="H855" s="176">
        <v>4000000</v>
      </c>
      <c r="I855" s="17" t="s">
        <v>2498</v>
      </c>
      <c r="J855" s="113" t="str">
        <f>VLOOKUP($I855,'Price List, Weapons &amp; Items'!B:C,2,0)</f>
        <v>Humanitarian</v>
      </c>
      <c r="K855" s="113" t="str">
        <f>IF(I855=".",I855,VLOOKUP($I855,'Price List, Weapons &amp; Items'!B:D,3,0))</f>
        <v>Humanitarian</v>
      </c>
      <c r="L855" s="177">
        <f>VLOOKUP(I855,'Price List, Weapons &amp; Items'!B:E,4,0)</f>
        <v>0</v>
      </c>
      <c r="M855" s="542" t="s">
        <v>270</v>
      </c>
      <c r="N855" s="542" t="s">
        <v>270</v>
      </c>
      <c r="O855" s="543" t="str">
        <f>VLOOKUP($I855,'Price List, Weapons &amp; Items'!B:G,6,0)</f>
        <v>.</v>
      </c>
      <c r="P855" s="176" t="str">
        <f t="shared" si="164"/>
        <v>.</v>
      </c>
      <c r="Q855" s="176" t="str">
        <f t="shared" si="165"/>
        <v>.</v>
      </c>
      <c r="R855" s="176" t="str">
        <f t="shared" si="174"/>
        <v/>
      </c>
      <c r="S855" s="176" t="str">
        <f>IF(AND(AD855=1,R855&lt;&gt;".")=TRUE,R855/VLOOKUP(G855,'Exchange Rates'!B:C,2,0),IF(R855=".",".",""))</f>
        <v/>
      </c>
      <c r="T855" s="176" t="str">
        <f>IF(AD855=1,IF(AF855="Value is not given at all",".",IF(AF855="Value is given by the source",S855,IF(AF855="Value is calculated with prices",(IF(SUMIFS(Q:Q,A:A,A855)&gt;0,SUMIFS(Q:Q,A:A,A855),"."))/VLOOKUP("USD",'Exchange Rates'!B:C,2,0),"Error with coding"))),"")</f>
        <v/>
      </c>
      <c r="U855" s="15" t="s">
        <v>261</v>
      </c>
      <c r="V855" s="679" t="s">
        <v>2495</v>
      </c>
      <c r="W855" s="300" t="s">
        <v>2496</v>
      </c>
      <c r="X855" s="546" t="s">
        <v>2497</v>
      </c>
      <c r="Y855" s="175" t="s">
        <v>260</v>
      </c>
      <c r="Z855" s="15">
        <v>0</v>
      </c>
      <c r="AA855" s="180">
        <v>1</v>
      </c>
      <c r="AB855" s="184" t="s">
        <v>260</v>
      </c>
      <c r="AC855" s="544" t="str">
        <f>""</f>
        <v/>
      </c>
      <c r="AD855" s="181">
        <v>0</v>
      </c>
      <c r="AE855" s="181" t="s">
        <v>264</v>
      </c>
      <c r="AF855" s="181" t="s">
        <v>265</v>
      </c>
      <c r="AG855" s="181">
        <v>1</v>
      </c>
      <c r="AH855" s="181">
        <v>12</v>
      </c>
      <c r="AI855" s="181">
        <v>0</v>
      </c>
      <c r="AJ855" s="181">
        <f>VLOOKUP($I855,'Price List, Weapons &amp; Items'!B:F,5,0)</f>
        <v>0</v>
      </c>
      <c r="AK855" s="181">
        <f t="shared" si="166"/>
        <v>0</v>
      </c>
      <c r="AL855" s="181">
        <f t="shared" si="167"/>
        <v>0</v>
      </c>
      <c r="AM855" s="181">
        <f t="shared" si="168"/>
        <v>0</v>
      </c>
      <c r="AN855" s="180" t="str">
        <f>VLOOKUP($I855,'Price List, Weapons &amp; Items'!B:L,COLUMN('Price List, Weapons &amp; Items'!$J$11)-1,0)</f>
        <v>.</v>
      </c>
      <c r="AO855" s="180" t="str">
        <f>IF(I855=".",".",VLOOKUP($I855,'Price List, Weapons &amp; Items'!B:J,3,0))</f>
        <v>Humanitarian</v>
      </c>
      <c r="AP855" s="545" t="str">
        <f t="shared" ca="1" si="175"/>
        <v/>
      </c>
      <c r="AQ855" s="180">
        <f>VLOOKUP($I855,'Price List, Weapons &amp; Items'!B:L,COLUMN('Price List, Weapons &amp; Items'!$L$11)-1,0)</f>
        <v>0</v>
      </c>
      <c r="AR855" s="180">
        <f t="shared" si="169"/>
        <v>1</v>
      </c>
      <c r="AS855" s="180">
        <f t="shared" si="170"/>
        <v>0</v>
      </c>
      <c r="AT855" s="180">
        <f t="shared" si="171"/>
        <v>1</v>
      </c>
      <c r="AU855" s="180" t="str">
        <f t="shared" si="172"/>
        <v>.</v>
      </c>
      <c r="AV855" s="180" t="str">
        <f t="shared" si="173"/>
        <v>.</v>
      </c>
      <c r="AW855" s="180">
        <f>IFERROR(VLOOKUP(B855,'Share, Heavy Weapons to Ukraine'!B:J,COLUMN('Share, Heavy Weapons to Ukraine'!C868)-1,0),0)</f>
        <v>0</v>
      </c>
      <c r="AX855" s="180">
        <f>VLOOKUP('Bilateral Assistance, MAIN DATA'!B855,'Country Summary'!B:F,COLUMN('Country Summary'!C871)-1,FALSE)</f>
        <v>1</v>
      </c>
      <c r="AY855" s="180" t="str">
        <f>IF(AND(AD855=1,D855="Military",H855&lt;&gt;"Not given")=TRUE,IF(SUMIFS(P:P,A:A,A855)&gt;0,ABS((SUMIFS(P:P,A:A,A855)/VLOOKUP("USD",'Exchange Rates'!B:C,2,0)))/S855,"."),".")</f>
        <v>.</v>
      </c>
      <c r="AZ855" s="182" t="str">
        <f>IF(AND(AD855=1,D855="Military",H855&lt;&gt;"Not given")=TRUE,IF(SUMIFS(P:P,A:A,A855)&gt;0,IF((ABS((SUMIFS(P:P,A:A,A855)/VLOOKUP("USD",'Exchange Rates'!B:C,2,0)))/S855)&gt;1,(SUMIFS(P:P,A:A,A855)-S855)/S855,(S855-SUMIFS(P:P,A:A,A855))/SUMIFS(P:P,A:A,A855)),"."),".")</f>
        <v>.</v>
      </c>
      <c r="BA855" s="182"/>
      <c r="BB855" s="182"/>
      <c r="BC855" s="182"/>
      <c r="BD855" s="182"/>
      <c r="BE855" s="182"/>
      <c r="BF855" s="182"/>
      <c r="BG855" s="182"/>
      <c r="BH855" s="182"/>
      <c r="BI855" s="182"/>
      <c r="BJ855" s="182"/>
      <c r="BK855" s="182"/>
      <c r="BL855" s="182"/>
      <c r="BM855" s="182"/>
      <c r="BN855" s="182"/>
      <c r="BO855" s="182"/>
      <c r="BP855" s="182"/>
      <c r="BQ855" s="182"/>
      <c r="BR855" s="182"/>
      <c r="BS855" s="182"/>
    </row>
    <row r="856" spans="1:71" ht="15.9" customHeight="1" x14ac:dyDescent="0.3">
      <c r="A856" s="17" t="s">
        <v>2492</v>
      </c>
      <c r="B856" s="17" t="s">
        <v>2489</v>
      </c>
      <c r="C856" s="174">
        <v>44903</v>
      </c>
      <c r="D856" s="5" t="s">
        <v>256</v>
      </c>
      <c r="E856" s="5" t="s">
        <v>2493</v>
      </c>
      <c r="F856" s="175" t="s">
        <v>2494</v>
      </c>
      <c r="G856" s="15" t="s">
        <v>364</v>
      </c>
      <c r="H856" s="176">
        <v>4000000</v>
      </c>
      <c r="I856" s="175" t="s">
        <v>2499</v>
      </c>
      <c r="J856" s="113" t="str">
        <f>VLOOKUP($I856,'Price List, Weapons &amp; Items'!B:C,2,0)</f>
        <v>Humanitarian</v>
      </c>
      <c r="K856" s="113" t="str">
        <f>IF(I856=".",I856,VLOOKUP($I856,'Price List, Weapons &amp; Items'!B:D,3,0))</f>
        <v>Humanitarian</v>
      </c>
      <c r="L856" s="177">
        <f>VLOOKUP(I856,'Price List, Weapons &amp; Items'!B:E,4,0)</f>
        <v>0</v>
      </c>
      <c r="M856" s="542" t="s">
        <v>270</v>
      </c>
      <c r="N856" s="542" t="s">
        <v>270</v>
      </c>
      <c r="O856" s="543">
        <f>VLOOKUP($I856,'Price List, Weapons &amp; Items'!B:G,6,0)</f>
        <v>22</v>
      </c>
      <c r="P856" s="176" t="str">
        <f t="shared" si="164"/>
        <v>.</v>
      </c>
      <c r="Q856" s="176" t="str">
        <f t="shared" si="165"/>
        <v>.</v>
      </c>
      <c r="R856" s="176" t="str">
        <f t="shared" si="174"/>
        <v/>
      </c>
      <c r="S856" s="176" t="str">
        <f>IF(AND(AD856=1,R856&lt;&gt;".")=TRUE,R856/VLOOKUP(G856,'Exchange Rates'!B:C,2,0),IF(R856=".",".",""))</f>
        <v/>
      </c>
      <c r="T856" s="176" t="str">
        <f>IF(AD856=1,IF(AF856="Value is not given at all",".",IF(AF856="Value is given by the source",S856,IF(AF856="Value is calculated with prices",(IF(SUMIFS(Q:Q,A:A,A856)&gt;0,SUMIFS(Q:Q,A:A,A856),"."))/VLOOKUP("USD",'Exchange Rates'!B:C,2,0),"Error with coding"))),"")</f>
        <v/>
      </c>
      <c r="U856" s="15" t="s">
        <v>261</v>
      </c>
      <c r="V856" s="679" t="s">
        <v>2495</v>
      </c>
      <c r="W856" s="300" t="s">
        <v>2496</v>
      </c>
      <c r="X856" s="546" t="s">
        <v>2497</v>
      </c>
      <c r="Y856" s="175" t="s">
        <v>260</v>
      </c>
      <c r="Z856" s="15">
        <v>0</v>
      </c>
      <c r="AA856" s="180">
        <v>1</v>
      </c>
      <c r="AB856" s="184" t="s">
        <v>260</v>
      </c>
      <c r="AC856" s="544" t="str">
        <f>""</f>
        <v/>
      </c>
      <c r="AD856" s="181">
        <v>0</v>
      </c>
      <c r="AE856" s="181" t="s">
        <v>264</v>
      </c>
      <c r="AF856" s="181" t="s">
        <v>265</v>
      </c>
      <c r="AG856" s="181">
        <v>1</v>
      </c>
      <c r="AH856" s="181">
        <v>12</v>
      </c>
      <c r="AI856" s="181">
        <v>0</v>
      </c>
      <c r="AJ856" s="181">
        <f>VLOOKUP($I856,'Price List, Weapons &amp; Items'!B:F,5,0)</f>
        <v>0</v>
      </c>
      <c r="AK856" s="181">
        <f t="shared" si="166"/>
        <v>0</v>
      </c>
      <c r="AL856" s="181">
        <f t="shared" si="167"/>
        <v>0</v>
      </c>
      <c r="AM856" s="181">
        <f t="shared" si="168"/>
        <v>0</v>
      </c>
      <c r="AN856" s="180" t="str">
        <f>VLOOKUP($I856,'Price List, Weapons &amp; Items'!B:L,COLUMN('Price List, Weapons &amp; Items'!$J$11)-1,0)</f>
        <v>Online marketplaces and stores</v>
      </c>
      <c r="AO856" s="180" t="str">
        <f>IF(I856=".",".",VLOOKUP($I856,'Price List, Weapons &amp; Items'!B:J,3,0))</f>
        <v>Humanitarian</v>
      </c>
      <c r="AP856" s="545" t="str">
        <f t="shared" ca="1" si="175"/>
        <v/>
      </c>
      <c r="AQ856" s="180">
        <f>VLOOKUP($I856,'Price List, Weapons &amp; Items'!B:L,COLUMN('Price List, Weapons &amp; Items'!$L$11)-1,0)</f>
        <v>0</v>
      </c>
      <c r="AR856" s="180">
        <f t="shared" si="169"/>
        <v>1</v>
      </c>
      <c r="AS856" s="180">
        <f t="shared" si="170"/>
        <v>0</v>
      </c>
      <c r="AT856" s="180">
        <f t="shared" si="171"/>
        <v>1</v>
      </c>
      <c r="AU856" s="180" t="str">
        <f t="shared" si="172"/>
        <v>.</v>
      </c>
      <c r="AV856" s="180" t="str">
        <f t="shared" si="173"/>
        <v>.</v>
      </c>
      <c r="AW856" s="180">
        <f>IFERROR(VLOOKUP(B856,'Share, Heavy Weapons to Ukraine'!B:J,COLUMN('Share, Heavy Weapons to Ukraine'!C869)-1,0),0)</f>
        <v>0</v>
      </c>
      <c r="AX856" s="180">
        <f>VLOOKUP('Bilateral Assistance, MAIN DATA'!B856,'Country Summary'!B:F,COLUMN('Country Summary'!C872)-1,FALSE)</f>
        <v>1</v>
      </c>
      <c r="AY856" s="180" t="str">
        <f>IF(AND(AD856=1,D856="Military",H856&lt;&gt;"Not given")=TRUE,IF(SUMIFS(P:P,A:A,A856)&gt;0,ABS((SUMIFS(P:P,A:A,A856)/VLOOKUP("USD",'Exchange Rates'!B:C,2,0)))/S856,"."),".")</f>
        <v>.</v>
      </c>
      <c r="AZ856" s="182" t="str">
        <f>IF(AND(AD856=1,D856="Military",H856&lt;&gt;"Not given")=TRUE,IF(SUMIFS(P:P,A:A,A856)&gt;0,IF((ABS((SUMIFS(P:P,A:A,A856)/VLOOKUP("USD",'Exchange Rates'!B:C,2,0)))/S856)&gt;1,(SUMIFS(P:P,A:A,A856)-S856)/S856,(S856-SUMIFS(P:P,A:A,A856))/SUMIFS(P:P,A:A,A856)),"."),".")</f>
        <v>.</v>
      </c>
      <c r="BA856" s="182"/>
      <c r="BB856" s="182"/>
      <c r="BC856" s="182"/>
      <c r="BD856" s="182"/>
      <c r="BE856" s="182"/>
      <c r="BF856" s="182"/>
      <c r="BG856" s="182"/>
      <c r="BH856" s="182"/>
      <c r="BI856" s="182"/>
      <c r="BJ856" s="182"/>
      <c r="BK856" s="182"/>
      <c r="BL856" s="182"/>
      <c r="BM856" s="182"/>
      <c r="BN856" s="182"/>
      <c r="BO856" s="182"/>
      <c r="BP856" s="182"/>
      <c r="BQ856" s="182"/>
      <c r="BR856" s="182"/>
      <c r="BS856" s="182"/>
    </row>
    <row r="857" spans="1:71" ht="15.9" customHeight="1" x14ac:dyDescent="0.3">
      <c r="A857" s="17" t="s">
        <v>2500</v>
      </c>
      <c r="B857" s="17" t="s">
        <v>2489</v>
      </c>
      <c r="C857" s="174">
        <v>44613</v>
      </c>
      <c r="D857" s="5" t="s">
        <v>285</v>
      </c>
      <c r="E857" s="5" t="s">
        <v>294</v>
      </c>
      <c r="F857" s="175" t="s">
        <v>2501</v>
      </c>
      <c r="G857" s="15" t="s">
        <v>364</v>
      </c>
      <c r="H857" s="176">
        <v>1700000</v>
      </c>
      <c r="I857" s="17" t="s">
        <v>2502</v>
      </c>
      <c r="J857" s="113" t="str">
        <f>VLOOKUP($I857,'Price List, Weapons &amp; Items'!B:C,2,0)</f>
        <v>Military equipment</v>
      </c>
      <c r="K857" s="113" t="str">
        <f>IF(I857=".",I857,VLOOKUP($I857,'Price List, Weapons &amp; Items'!B:D,3,0))</f>
        <v>Military equipment</v>
      </c>
      <c r="L857" s="177">
        <f>VLOOKUP(I857,'Price List, Weapons &amp; Items'!B:E,4,0)</f>
        <v>0</v>
      </c>
      <c r="M857" s="542">
        <v>5</v>
      </c>
      <c r="N857" s="542" t="s">
        <v>270</v>
      </c>
      <c r="O857" s="543">
        <f>VLOOKUP($I857,'Price List, Weapons &amp; Items'!B:G,6,0)</f>
        <v>365200</v>
      </c>
      <c r="P857" s="176">
        <f t="shared" si="164"/>
        <v>1826000</v>
      </c>
      <c r="Q857" s="176" t="str">
        <f t="shared" si="165"/>
        <v>.</v>
      </c>
      <c r="R857" s="176">
        <f t="shared" si="174"/>
        <v>1700000</v>
      </c>
      <c r="S857" s="176">
        <f>IF(AND(AD857=1,R857&lt;&gt;".")=TRUE,R857/VLOOKUP(G857,'Exchange Rates'!B:C,2,0),IF(R857=".",".",""))</f>
        <v>1700000</v>
      </c>
      <c r="T857" s="176" t="str">
        <f>IF(AD857=1,IF(AF857="Value is not given at all",".",IF(AF857="Value is given by the source",S857,IF(AF857="Value is calculated with prices",(IF(SUMIFS(Q:Q,A:A,A857)&gt;0,SUMIFS(Q:Q,A:A,A857),"."))/VLOOKUP("USD",'Exchange Rates'!B:C,2,0),"Error with coding"))),"")</f>
        <v>.</v>
      </c>
      <c r="U857" s="15" t="s">
        <v>261</v>
      </c>
      <c r="V857" s="300" t="s">
        <v>2503</v>
      </c>
      <c r="W857" s="300" t="s">
        <v>2504</v>
      </c>
      <c r="X857" s="175" t="s">
        <v>260</v>
      </c>
      <c r="Y857" s="175" t="s">
        <v>260</v>
      </c>
      <c r="Z857" s="15">
        <v>0</v>
      </c>
      <c r="AA857" s="180">
        <v>0</v>
      </c>
      <c r="AB857" s="184" t="s">
        <v>260</v>
      </c>
      <c r="AC857" s="544" t="str">
        <f>""</f>
        <v/>
      </c>
      <c r="AD857" s="181">
        <v>1</v>
      </c>
      <c r="AE857" s="181" t="s">
        <v>264</v>
      </c>
      <c r="AF857" s="181" t="s">
        <v>265</v>
      </c>
      <c r="AG857" s="181">
        <v>1</v>
      </c>
      <c r="AH857" s="181">
        <v>2</v>
      </c>
      <c r="AI857" s="181">
        <v>1</v>
      </c>
      <c r="AJ857" s="181">
        <f>VLOOKUP($I857,'Price List, Weapons &amp; Items'!B:F,5,0)</f>
        <v>0</v>
      </c>
      <c r="AK857" s="181">
        <f t="shared" si="166"/>
        <v>0</v>
      </c>
      <c r="AL857" s="181">
        <f t="shared" si="167"/>
        <v>0</v>
      </c>
      <c r="AM857" s="181">
        <f t="shared" si="168"/>
        <v>0</v>
      </c>
      <c r="AN857" s="180" t="str">
        <f>VLOOKUP($I857,'Price List, Weapons &amp; Items'!B:L,COLUMN('Price List, Weapons &amp; Items'!$J$11)-1,0)</f>
        <v>Media reports (incl. social media)</v>
      </c>
      <c r="AO857" s="180" t="str">
        <f>IF(I857=".",".",VLOOKUP($I857,'Price List, Weapons &amp; Items'!B:J,3,0))</f>
        <v>Military equipment</v>
      </c>
      <c r="AP857" s="545" t="e">
        <f t="shared" ca="1" si="175"/>
        <v>#NAME?</v>
      </c>
      <c r="AQ857" s="180">
        <f>VLOOKUP($I857,'Price List, Weapons &amp; Items'!B:L,COLUMN('Price List, Weapons &amp; Items'!$L$11)-1,0)</f>
        <v>1</v>
      </c>
      <c r="AR857" s="180">
        <f t="shared" si="169"/>
        <v>1</v>
      </c>
      <c r="AS857" s="180">
        <f t="shared" si="170"/>
        <v>1</v>
      </c>
      <c r="AT857" s="180">
        <f t="shared" si="171"/>
        <v>1</v>
      </c>
      <c r="AU857" s="180" t="str">
        <f t="shared" si="172"/>
        <v>.</v>
      </c>
      <c r="AV857" s="180" t="str">
        <f t="shared" si="173"/>
        <v>.</v>
      </c>
      <c r="AW857" s="180">
        <f>IFERROR(VLOOKUP(B857,'Share, Heavy Weapons to Ukraine'!B:J,COLUMN('Share, Heavy Weapons to Ukraine'!C870)-1,0),0)</f>
        <v>0</v>
      </c>
      <c r="AX857" s="180">
        <f>VLOOKUP('Bilateral Assistance, MAIN DATA'!B857,'Country Summary'!B:F,COLUMN('Country Summary'!C873)-1,FALSE)</f>
        <v>1</v>
      </c>
      <c r="AY857" s="180">
        <f>IF(AND(AD857=1,D857="Military",H857&lt;&gt;"Not given")=TRUE,IF(SUMIFS(P:P,A:A,A857)&gt;0,ABS((SUMIFS(P:P,A:A,A857)/VLOOKUP("USD",'Exchange Rates'!B:C,2,0)))/S857,"."),".")</f>
        <v>1.0229691876750699</v>
      </c>
      <c r="AZ857" s="182">
        <f>IF(AND(AD857=1,D857="Military",H857&lt;&gt;"Not given")=TRUE,IF(SUMIFS(P:P,A:A,A857)&gt;0,IF((ABS((SUMIFS(P:P,A:A,A857)/VLOOKUP("USD",'Exchange Rates'!B:C,2,0)))/S857)&gt;1,(SUMIFS(P:P,A:A,A857)-S857)/S857,(S857-SUMIFS(P:P,A:A,A857))/SUMIFS(P:P,A:A,A857)),"."),".")</f>
        <v>7.4117647058823524E-2</v>
      </c>
      <c r="BA857" s="182"/>
      <c r="BB857" s="182"/>
      <c r="BC857" s="182"/>
      <c r="BD857" s="182"/>
      <c r="BE857" s="182"/>
      <c r="BF857" s="182"/>
      <c r="BG857" s="182"/>
      <c r="BH857" s="182"/>
      <c r="BI857" s="182"/>
      <c r="BJ857" s="182"/>
      <c r="BK857" s="182"/>
      <c r="BL857" s="182"/>
      <c r="BM857" s="182"/>
      <c r="BN857" s="182"/>
      <c r="BO857" s="182"/>
      <c r="BP857" s="182"/>
      <c r="BQ857" s="182"/>
      <c r="BR857" s="182"/>
      <c r="BS857" s="182"/>
    </row>
    <row r="858" spans="1:71" s="517" customFormat="1" ht="15.9" customHeight="1" x14ac:dyDescent="0.3">
      <c r="A858" s="5" t="s">
        <v>2505</v>
      </c>
      <c r="B858" s="5" t="s">
        <v>2489</v>
      </c>
      <c r="C858" s="174">
        <v>44619</v>
      </c>
      <c r="D858" s="5" t="s">
        <v>285</v>
      </c>
      <c r="E858" s="5" t="s">
        <v>286</v>
      </c>
      <c r="F858" s="175" t="s">
        <v>2506</v>
      </c>
      <c r="G858" s="15" t="s">
        <v>364</v>
      </c>
      <c r="H858" s="176">
        <v>4500000</v>
      </c>
      <c r="I858" s="17" t="s">
        <v>2507</v>
      </c>
      <c r="J858" s="113" t="str">
        <f>VLOOKUP($I858,'Price List, Weapons &amp; Items'!B:C,2,0)</f>
        <v>Portable defence system</v>
      </c>
      <c r="K858" s="113" t="str">
        <f>IF(I858=".",I858,VLOOKUP($I858,'Price List, Weapons &amp; Items'!B:D,3,0))</f>
        <v>Light Anti-armor Weapon (LAW)</v>
      </c>
      <c r="L858" s="177">
        <f>VLOOKUP(I858,'Price List, Weapons &amp; Items'!B:E,4,0)</f>
        <v>0</v>
      </c>
      <c r="M858" s="542">
        <v>486</v>
      </c>
      <c r="N858" s="542">
        <v>486</v>
      </c>
      <c r="O858" s="543">
        <f>VLOOKUP($I858,'Price List, Weapons &amp; Items'!B:G,6,0)</f>
        <v>78000</v>
      </c>
      <c r="P858" s="176">
        <f t="shared" si="164"/>
        <v>37908000</v>
      </c>
      <c r="Q858" s="176">
        <f t="shared" si="165"/>
        <v>37908000</v>
      </c>
      <c r="R858" s="176">
        <f t="shared" si="174"/>
        <v>4500000</v>
      </c>
      <c r="S858" s="176">
        <f>IF(AND(AD858=1,R858&lt;&gt;".")=TRUE,R858/VLOOKUP(G858,'Exchange Rates'!B:C,2,0),IF(R858=".",".",""))</f>
        <v>4500000</v>
      </c>
      <c r="T858" s="176">
        <f>IF(AD858=1,IF(AF858="Value is not given at all",".",IF(AF858="Value is given by the source",S858,IF(AF858="Value is calculated with prices",(IF(SUMIFS(Q:Q,A:A,A858)&gt;0,SUMIFS(Q:Q,A:A,A858),"."))/VLOOKUP("USD",'Exchange Rates'!B:C,2,0),"Error with coding"))),"")</f>
        <v>4500000</v>
      </c>
      <c r="U858" s="15" t="s">
        <v>261</v>
      </c>
      <c r="V858" s="547" t="s">
        <v>2508</v>
      </c>
      <c r="W858" s="547" t="s">
        <v>2509</v>
      </c>
      <c r="X858" s="547" t="s">
        <v>2510</v>
      </c>
      <c r="Y858" s="188" t="s">
        <v>260</v>
      </c>
      <c r="Z858" s="15">
        <v>0</v>
      </c>
      <c r="AA858" s="180">
        <v>0</v>
      </c>
      <c r="AB858" s="549" t="s">
        <v>2511</v>
      </c>
      <c r="AC858" s="544" t="str">
        <f>""</f>
        <v/>
      </c>
      <c r="AD858" s="181">
        <v>1</v>
      </c>
      <c r="AE858" s="181" t="s">
        <v>264</v>
      </c>
      <c r="AF858" s="181" t="s">
        <v>264</v>
      </c>
      <c r="AG858" s="181">
        <v>1</v>
      </c>
      <c r="AH858" s="181">
        <v>2</v>
      </c>
      <c r="AI858" s="181">
        <v>0</v>
      </c>
      <c r="AJ858" s="181">
        <f>VLOOKUP($I858,'Price List, Weapons &amp; Items'!B:F,5,0)</f>
        <v>0</v>
      </c>
      <c r="AK858" s="181">
        <f t="shared" si="166"/>
        <v>0</v>
      </c>
      <c r="AL858" s="181">
        <f t="shared" si="167"/>
        <v>0</v>
      </c>
      <c r="AM858" s="181">
        <f t="shared" si="168"/>
        <v>0</v>
      </c>
      <c r="AN858" s="180" t="str">
        <f>VLOOKUP($I858,'Price List, Weapons &amp; Items'!B:L,COLUMN('Price List, Weapons &amp; Items'!$J$11)-1,0)</f>
        <v>Military media (incl. websites)</v>
      </c>
      <c r="AO858" s="180" t="str">
        <f>IF(I858=".",".",VLOOKUP($I858,'Price List, Weapons &amp; Items'!B:J,3,0))</f>
        <v>Light Anti-armor Weapon (LAW)</v>
      </c>
      <c r="AP858" s="545" t="e">
        <f t="shared" ca="1" si="175"/>
        <v>#NAME?</v>
      </c>
      <c r="AQ858" s="180">
        <f>VLOOKUP($I858,'Price List, Weapons &amp; Items'!B:L,COLUMN('Price List, Weapons &amp; Items'!$L$11)-1,0)</f>
        <v>2</v>
      </c>
      <c r="AR858" s="180">
        <f t="shared" si="169"/>
        <v>1</v>
      </c>
      <c r="AS858" s="180">
        <f t="shared" si="170"/>
        <v>1</v>
      </c>
      <c r="AT858" s="180">
        <f t="shared" si="171"/>
        <v>1</v>
      </c>
      <c r="AU858" s="180" t="str">
        <f t="shared" si="172"/>
        <v>.</v>
      </c>
      <c r="AV858" s="180" t="str">
        <f t="shared" si="173"/>
        <v>.</v>
      </c>
      <c r="AW858" s="180">
        <f>IFERROR(VLOOKUP(B858,'Share, Heavy Weapons to Ukraine'!B:J,COLUMN('Share, Heavy Weapons to Ukraine'!C871)-1,0),0)</f>
        <v>0</v>
      </c>
      <c r="AX858" s="180">
        <f>VLOOKUP('Bilateral Assistance, MAIN DATA'!B858,'Country Summary'!B:F,COLUMN('Country Summary'!C874)-1,FALSE)</f>
        <v>1</v>
      </c>
      <c r="AY858" s="180">
        <f>IF(AND(AD858=1,D858="Military",H858&lt;&gt;"Not given")=TRUE,IF(SUMIFS(P:P,A:A,A858)&gt;0,ABS((SUMIFS(P:P,A:A,A858)/VLOOKUP("USD",'Exchange Rates'!B:C,2,0)))/S858,"."),".")</f>
        <v>10.541375661375662</v>
      </c>
      <c r="AZ858" s="182">
        <f>IF(AND(AD858=1,D858="Military",H858&lt;&gt;"Not given")=TRUE,IF(SUMIFS(P:P,A:A,A858)&gt;0,IF((ABS((SUMIFS(P:P,A:A,A858)/VLOOKUP("USD",'Exchange Rates'!B:C,2,0)))/S858)&gt;1,(SUMIFS(P:P,A:A,A858)-S858)/S858,(S858-SUMIFS(P:P,A:A,A858))/SUMIFS(P:P,A:A,A858)),"."),".")</f>
        <v>10.068444444444445</v>
      </c>
      <c r="BA858" s="3"/>
      <c r="BB858" s="3"/>
      <c r="BC858" s="3"/>
      <c r="BD858" s="3"/>
      <c r="BE858" s="3"/>
      <c r="BF858" s="3"/>
      <c r="BG858" s="3"/>
      <c r="BH858" s="3"/>
      <c r="BI858" s="3"/>
      <c r="BJ858" s="3"/>
      <c r="BK858" s="3"/>
      <c r="BL858" s="3"/>
      <c r="BM858" s="3"/>
      <c r="BN858" s="3"/>
      <c r="BO858" s="3"/>
      <c r="BP858" s="3"/>
      <c r="BQ858" s="3"/>
      <c r="BR858" s="3"/>
      <c r="BS858" s="3"/>
    </row>
    <row r="859" spans="1:71" s="517" customFormat="1" ht="15.9" customHeight="1" x14ac:dyDescent="0.3">
      <c r="A859" s="5" t="s">
        <v>2505</v>
      </c>
      <c r="B859" s="5" t="s">
        <v>2489</v>
      </c>
      <c r="C859" s="174">
        <v>44619</v>
      </c>
      <c r="D859" s="5" t="s">
        <v>285</v>
      </c>
      <c r="E859" s="5" t="s">
        <v>286</v>
      </c>
      <c r="F859" s="175" t="s">
        <v>2506</v>
      </c>
      <c r="G859" s="15" t="s">
        <v>364</v>
      </c>
      <c r="H859" s="176">
        <v>4500000</v>
      </c>
      <c r="I859" s="17" t="s">
        <v>2512</v>
      </c>
      <c r="J859" s="113" t="str">
        <f>VLOOKUP($I859,'Price List, Weapons &amp; Items'!B:C,2,0)</f>
        <v>Portable defence system</v>
      </c>
      <c r="K859" s="113" t="str">
        <f>IF(I859=".",I859,VLOOKUP($I859,'Price List, Weapons &amp; Items'!B:D,3,0))</f>
        <v xml:space="preserve">MANPADS </v>
      </c>
      <c r="L859" s="177">
        <f>VLOOKUP(I859,'Price List, Weapons &amp; Items'!B:E,4,0)</f>
        <v>0</v>
      </c>
      <c r="M859" s="542">
        <v>100</v>
      </c>
      <c r="N859" s="542">
        <v>100</v>
      </c>
      <c r="O859" s="543">
        <f>VLOOKUP($I859,'Price List, Weapons &amp; Items'!B:G,6,0)</f>
        <v>119000</v>
      </c>
      <c r="P859" s="176">
        <f t="shared" si="164"/>
        <v>11900000</v>
      </c>
      <c r="Q859" s="176">
        <f t="shared" si="165"/>
        <v>11900000</v>
      </c>
      <c r="R859" s="176" t="str">
        <f t="shared" si="174"/>
        <v/>
      </c>
      <c r="S859" s="176" t="str">
        <f>IF(AND(AD859=1,R859&lt;&gt;".")=TRUE,R859/VLOOKUP(G859,'Exchange Rates'!B:C,2,0),IF(R859=".",".",""))</f>
        <v/>
      </c>
      <c r="T859" s="176" t="str">
        <f>IF(AD859=1,IF(AF859="Value is not given at all",".",IF(AF859="Value is given by the source",S859,IF(AF859="Value is calculated with prices",(IF(SUMIFS(Q:Q,A:A,A859)&gt;0,SUMIFS(Q:Q,A:A,A859),"."))/VLOOKUP("USD",'Exchange Rates'!B:C,2,0),"Error with coding"))),"")</f>
        <v/>
      </c>
      <c r="U859" s="15" t="s">
        <v>261</v>
      </c>
      <c r="V859" s="547" t="s">
        <v>2508</v>
      </c>
      <c r="W859" s="547" t="s">
        <v>2509</v>
      </c>
      <c r="X859" s="547" t="s">
        <v>2510</v>
      </c>
      <c r="Y859" s="188" t="s">
        <v>260</v>
      </c>
      <c r="Z859" s="15">
        <v>0</v>
      </c>
      <c r="AA859" s="180">
        <v>0</v>
      </c>
      <c r="AB859" s="549" t="s">
        <v>2511</v>
      </c>
      <c r="AC859" s="544" t="str">
        <f>""</f>
        <v/>
      </c>
      <c r="AD859" s="181">
        <v>0</v>
      </c>
      <c r="AE859" s="181" t="s">
        <v>264</v>
      </c>
      <c r="AF859" s="181" t="s">
        <v>264</v>
      </c>
      <c r="AG859" s="181">
        <v>1</v>
      </c>
      <c r="AH859" s="181">
        <v>2</v>
      </c>
      <c r="AI859" s="181">
        <v>0</v>
      </c>
      <c r="AJ859" s="181">
        <f>VLOOKUP($I859,'Price List, Weapons &amp; Items'!B:F,5,0)</f>
        <v>0</v>
      </c>
      <c r="AK859" s="181">
        <f t="shared" si="166"/>
        <v>0</v>
      </c>
      <c r="AL859" s="181">
        <f t="shared" si="167"/>
        <v>0</v>
      </c>
      <c r="AM859" s="181">
        <f t="shared" si="168"/>
        <v>0</v>
      </c>
      <c r="AN859" s="180" t="str">
        <f>VLOOKUP($I859,'Price List, Weapons &amp; Items'!B:L,COLUMN('Price List, Weapons &amp; Items'!$J$11)-1,0)</f>
        <v>Miscellaneous</v>
      </c>
      <c r="AO859" s="180" t="str">
        <f>IF(I859=".",".",VLOOKUP($I859,'Price List, Weapons &amp; Items'!B:J,3,0))</f>
        <v xml:space="preserve">MANPADS </v>
      </c>
      <c r="AP859" s="545" t="str">
        <f t="shared" ca="1" si="175"/>
        <v/>
      </c>
      <c r="AQ859" s="180">
        <f>VLOOKUP($I859,'Price List, Weapons &amp; Items'!B:L,COLUMN('Price List, Weapons &amp; Items'!$L$11)-1,0)</f>
        <v>2</v>
      </c>
      <c r="AR859" s="180">
        <f t="shared" si="169"/>
        <v>1</v>
      </c>
      <c r="AS859" s="180">
        <f t="shared" si="170"/>
        <v>1</v>
      </c>
      <c r="AT859" s="180">
        <f t="shared" si="171"/>
        <v>1</v>
      </c>
      <c r="AU859" s="180" t="str">
        <f t="shared" si="172"/>
        <v>.</v>
      </c>
      <c r="AV859" s="180" t="str">
        <f t="shared" si="173"/>
        <v>.</v>
      </c>
      <c r="AW859" s="180">
        <f>IFERROR(VLOOKUP(B859,'Share, Heavy Weapons to Ukraine'!B:J,COLUMN('Share, Heavy Weapons to Ukraine'!C872)-1,0),0)</f>
        <v>0</v>
      </c>
      <c r="AX859" s="180">
        <f>VLOOKUP('Bilateral Assistance, MAIN DATA'!B859,'Country Summary'!B:F,COLUMN('Country Summary'!C875)-1,FALSE)</f>
        <v>1</v>
      </c>
      <c r="AY859" s="180" t="str">
        <f>IF(AND(AD859=1,D859="Military",H859&lt;&gt;"Not given")=TRUE,IF(SUMIFS(P:P,A:A,A859)&gt;0,ABS((SUMIFS(P:P,A:A,A859)/VLOOKUP("USD",'Exchange Rates'!B:C,2,0)))/S859,"."),".")</f>
        <v>.</v>
      </c>
      <c r="AZ859" s="182" t="str">
        <f>IF(AND(AD859=1,D859="Military",H859&lt;&gt;"Not given")=TRUE,IF(SUMIFS(P:P,A:A,A859)&gt;0,IF((ABS((SUMIFS(P:P,A:A,A859)/VLOOKUP("USD",'Exchange Rates'!B:C,2,0)))/S859)&gt;1,(SUMIFS(P:P,A:A,A859)-S859)/S859,(S859-SUMIFS(P:P,A:A,A859))/SUMIFS(P:P,A:A,A859)),"."),".")</f>
        <v>.</v>
      </c>
      <c r="BA859" s="3"/>
      <c r="BB859" s="3"/>
      <c r="BC859" s="3"/>
      <c r="BD859" s="3"/>
      <c r="BE859" s="3"/>
      <c r="BF859" s="3"/>
      <c r="BG859" s="3"/>
      <c r="BH859" s="3"/>
      <c r="BI859" s="3"/>
      <c r="BJ859" s="3"/>
      <c r="BK859" s="3"/>
      <c r="BL859" s="3"/>
      <c r="BM859" s="3"/>
      <c r="BN859" s="3"/>
      <c r="BO859" s="3"/>
      <c r="BP859" s="3"/>
      <c r="BQ859" s="3"/>
      <c r="BR859" s="3"/>
      <c r="BS859" s="3"/>
    </row>
    <row r="860" spans="1:71" ht="15.9" customHeight="1" x14ac:dyDescent="0.3">
      <c r="A860" s="17" t="s">
        <v>2513</v>
      </c>
      <c r="B860" s="17" t="s">
        <v>2489</v>
      </c>
      <c r="C860" s="174">
        <v>44623</v>
      </c>
      <c r="D860" s="5" t="s">
        <v>285</v>
      </c>
      <c r="E860" s="5" t="s">
        <v>286</v>
      </c>
      <c r="F860" s="175" t="s">
        <v>2514</v>
      </c>
      <c r="G860" s="15" t="s">
        <v>364</v>
      </c>
      <c r="H860" s="176">
        <v>32200000</v>
      </c>
      <c r="I860" s="17" t="s">
        <v>260</v>
      </c>
      <c r="J860" s="113" t="str">
        <f>VLOOKUP($I860,'Price List, Weapons &amp; Items'!B:C,2,0)</f>
        <v>.</v>
      </c>
      <c r="K860" s="113" t="str">
        <f>IF(I860=".",I860,VLOOKUP($I860,'Price List, Weapons &amp; Items'!B:D,3,0))</f>
        <v>.</v>
      </c>
      <c r="L860" s="177">
        <f>VLOOKUP(I860,'Price List, Weapons &amp; Items'!B:E,4,0)</f>
        <v>0</v>
      </c>
      <c r="M860" s="542" t="s">
        <v>260</v>
      </c>
      <c r="N860" s="542" t="s">
        <v>260</v>
      </c>
      <c r="O860" s="543" t="str">
        <f>VLOOKUP($I860,'Price List, Weapons &amp; Items'!B:G,6,0)</f>
        <v>.</v>
      </c>
      <c r="P860" s="176" t="str">
        <f t="shared" si="164"/>
        <v>.</v>
      </c>
      <c r="Q860" s="176" t="str">
        <f t="shared" si="165"/>
        <v>.</v>
      </c>
      <c r="R860" s="176">
        <f t="shared" si="174"/>
        <v>32200000</v>
      </c>
      <c r="S860" s="176">
        <f>IF(AND(AD860=1,R860&lt;&gt;".")=TRUE,R860/VLOOKUP(G860,'Exchange Rates'!B:C,2,0),IF(R860=".",".",""))</f>
        <v>32200000</v>
      </c>
      <c r="T860" s="176" t="str">
        <f>IF(AD860=1,IF(AF860="Value is not given at all",".",IF(AF860="Value is given by the source",S860,IF(AF860="Value is calculated with prices",(IF(SUMIFS(Q:Q,A:A,A860)&gt;0,SUMIFS(Q:Q,A:A,A860),"."))/VLOOKUP("USD",'Exchange Rates'!B:C,2,0),"Error with coding"))),"")</f>
        <v>.</v>
      </c>
      <c r="U860" s="15" t="s">
        <v>261</v>
      </c>
      <c r="V860" s="300" t="s">
        <v>2515</v>
      </c>
      <c r="W860" s="300" t="s">
        <v>2516</v>
      </c>
      <c r="X860" s="175" t="s">
        <v>260</v>
      </c>
      <c r="Y860" s="175" t="s">
        <v>260</v>
      </c>
      <c r="Z860" s="15">
        <v>0</v>
      </c>
      <c r="AA860" s="180">
        <v>0</v>
      </c>
      <c r="AB860" s="184" t="s">
        <v>260</v>
      </c>
      <c r="AC860" s="544" t="str">
        <f>""</f>
        <v/>
      </c>
      <c r="AD860" s="181">
        <v>1</v>
      </c>
      <c r="AE860" s="181" t="s">
        <v>264</v>
      </c>
      <c r="AF860" s="181" t="s">
        <v>265</v>
      </c>
      <c r="AG860" s="181">
        <v>1</v>
      </c>
      <c r="AH860" s="181">
        <v>3</v>
      </c>
      <c r="AI860" s="181">
        <v>0</v>
      </c>
      <c r="AJ860" s="181">
        <f>VLOOKUP($I860,'Price List, Weapons &amp; Items'!B:F,5,0)</f>
        <v>0</v>
      </c>
      <c r="AK860" s="181">
        <f t="shared" si="166"/>
        <v>0</v>
      </c>
      <c r="AL860" s="181">
        <f t="shared" si="167"/>
        <v>0</v>
      </c>
      <c r="AM860" s="181">
        <f t="shared" si="168"/>
        <v>0</v>
      </c>
      <c r="AN860" s="180" t="str">
        <f>VLOOKUP($I860,'Price List, Weapons &amp; Items'!B:L,COLUMN('Price List, Weapons &amp; Items'!$J$11)-1,0)</f>
        <v>.</v>
      </c>
      <c r="AO860" s="180" t="str">
        <f>IF(I860=".",".",VLOOKUP($I860,'Price List, Weapons &amp; Items'!B:J,3,0))</f>
        <v>.</v>
      </c>
      <c r="AP860" s="545" t="e">
        <f t="shared" ca="1" si="175"/>
        <v>#NAME?</v>
      </c>
      <c r="AQ860" s="180" t="str">
        <f>VLOOKUP($I860,'Price List, Weapons &amp; Items'!B:L,COLUMN('Price List, Weapons &amp; Items'!$L$11)-1,0)</f>
        <v>no price, 0 count</v>
      </c>
      <c r="AR860" s="180">
        <f t="shared" si="169"/>
        <v>1</v>
      </c>
      <c r="AS860" s="180">
        <f t="shared" si="170"/>
        <v>1</v>
      </c>
      <c r="AT860" s="180">
        <f t="shared" si="171"/>
        <v>1</v>
      </c>
      <c r="AU860" s="180" t="str">
        <f t="shared" si="172"/>
        <v>.</v>
      </c>
      <c r="AV860" s="180" t="str">
        <f t="shared" si="173"/>
        <v>.</v>
      </c>
      <c r="AW860" s="180">
        <f>IFERROR(VLOOKUP(B860,'Share, Heavy Weapons to Ukraine'!B:J,COLUMN('Share, Heavy Weapons to Ukraine'!C873)-1,0),0)</f>
        <v>0</v>
      </c>
      <c r="AX860" s="180">
        <f>VLOOKUP('Bilateral Assistance, MAIN DATA'!B860,'Country Summary'!B:F,COLUMN('Country Summary'!C876)-1,FALSE)</f>
        <v>1</v>
      </c>
      <c r="AY860" s="180" t="str">
        <f>IF(AND(AD860=1,D860="Military",H860&lt;&gt;"Not given")=TRUE,IF(SUMIFS(P:P,A:A,A860)&gt;0,ABS((SUMIFS(P:P,A:A,A860)/VLOOKUP("USD",'Exchange Rates'!B:C,2,0)))/S860,"."),".")</f>
        <v>.</v>
      </c>
      <c r="AZ860" s="182" t="str">
        <f>IF(AND(AD860=1,D860="Military",H860&lt;&gt;"Not given")=TRUE,IF(SUMIFS(P:P,A:A,A860)&gt;0,IF((ABS((SUMIFS(P:P,A:A,A860)/VLOOKUP("USD",'Exchange Rates'!B:C,2,0)))/S860)&gt;1,(SUMIFS(P:P,A:A,A860)-S860)/S860,(S860-SUMIFS(P:P,A:A,A860))/SUMIFS(P:P,A:A,A860)),"."),".")</f>
        <v>.</v>
      </c>
      <c r="BA860" s="182"/>
      <c r="BB860" s="182"/>
      <c r="BC860" s="182"/>
      <c r="BD860" s="182"/>
      <c r="BE860" s="182"/>
      <c r="BF860" s="182"/>
      <c r="BG860" s="182"/>
      <c r="BH860" s="182"/>
      <c r="BI860" s="182"/>
      <c r="BJ860" s="182"/>
      <c r="BK860" s="182"/>
      <c r="BL860" s="182"/>
      <c r="BM860" s="182"/>
      <c r="BN860" s="182"/>
      <c r="BO860" s="182"/>
      <c r="BP860" s="182"/>
      <c r="BQ860" s="182"/>
      <c r="BR860" s="182"/>
      <c r="BS860" s="182"/>
    </row>
    <row r="861" spans="1:71" ht="15.9" customHeight="1" x14ac:dyDescent="0.3">
      <c r="A861" s="17" t="s">
        <v>2517</v>
      </c>
      <c r="B861" s="17" t="s">
        <v>2489</v>
      </c>
      <c r="C861" s="174">
        <v>44618</v>
      </c>
      <c r="D861" s="5" t="s">
        <v>285</v>
      </c>
      <c r="E861" s="5" t="s">
        <v>294</v>
      </c>
      <c r="F861" s="175" t="s">
        <v>2518</v>
      </c>
      <c r="G861" s="15" t="s">
        <v>364</v>
      </c>
      <c r="H861" s="176">
        <v>11000000</v>
      </c>
      <c r="I861" s="17" t="s">
        <v>260</v>
      </c>
      <c r="J861" s="113" t="str">
        <f>VLOOKUP($I861,'Price List, Weapons &amp; Items'!B:C,2,0)</f>
        <v>.</v>
      </c>
      <c r="K861" s="113" t="str">
        <f>IF(I861=".",I861,VLOOKUP($I861,'Price List, Weapons &amp; Items'!B:D,3,0))</f>
        <v>.</v>
      </c>
      <c r="L861" s="177">
        <f>VLOOKUP(I861,'Price List, Weapons &amp; Items'!B:E,4,0)</f>
        <v>0</v>
      </c>
      <c r="M861" s="542" t="s">
        <v>260</v>
      </c>
      <c r="N861" s="542" t="s">
        <v>260</v>
      </c>
      <c r="O861" s="543" t="str">
        <f>VLOOKUP($I861,'Price List, Weapons &amp; Items'!B:G,6,0)</f>
        <v>.</v>
      </c>
      <c r="P861" s="176" t="str">
        <f t="shared" si="164"/>
        <v>.</v>
      </c>
      <c r="Q861" s="176" t="str">
        <f t="shared" si="165"/>
        <v>.</v>
      </c>
      <c r="R861" s="176">
        <f t="shared" si="174"/>
        <v>11000000</v>
      </c>
      <c r="S861" s="176">
        <f>IF(AND(AD861=1,R861&lt;&gt;".")=TRUE,R861/VLOOKUP(G861,'Exchange Rates'!B:C,2,0),IF(R861=".",".",""))</f>
        <v>11000000</v>
      </c>
      <c r="T861" s="176" t="str">
        <f>IF(AD861=1,IF(AF861="Value is not given at all",".",IF(AF861="Value is given by the source",S861,IF(AF861="Value is calculated with prices",(IF(SUMIFS(Q:Q,A:A,A861)&gt;0,SUMIFS(Q:Q,A:A,A861),"."))/VLOOKUP("USD",'Exchange Rates'!B:C,2,0),"Error with coding"))),"")</f>
        <v>.</v>
      </c>
      <c r="U861" s="15" t="s">
        <v>261</v>
      </c>
      <c r="V861" s="300" t="s">
        <v>2519</v>
      </c>
      <c r="W861" s="175" t="s">
        <v>260</v>
      </c>
      <c r="X861" s="175" t="s">
        <v>260</v>
      </c>
      <c r="Y861" s="175" t="s">
        <v>260</v>
      </c>
      <c r="Z861" s="15">
        <v>0</v>
      </c>
      <c r="AA861" s="180">
        <v>0</v>
      </c>
      <c r="AB861" s="184" t="s">
        <v>260</v>
      </c>
      <c r="AC861" s="544" t="str">
        <f>""</f>
        <v/>
      </c>
      <c r="AD861" s="181">
        <v>1</v>
      </c>
      <c r="AE861" s="181" t="s">
        <v>264</v>
      </c>
      <c r="AF861" s="181" t="s">
        <v>265</v>
      </c>
      <c r="AG861" s="181">
        <v>1</v>
      </c>
      <c r="AH861" s="181">
        <v>2</v>
      </c>
      <c r="AI861" s="181">
        <v>0</v>
      </c>
      <c r="AJ861" s="181">
        <f>VLOOKUP($I861,'Price List, Weapons &amp; Items'!B:F,5,0)</f>
        <v>0</v>
      </c>
      <c r="AK861" s="181">
        <f t="shared" si="166"/>
        <v>0</v>
      </c>
      <c r="AL861" s="181">
        <f t="shared" si="167"/>
        <v>0</v>
      </c>
      <c r="AM861" s="181">
        <f t="shared" si="168"/>
        <v>0</v>
      </c>
      <c r="AN861" s="180" t="str">
        <f>VLOOKUP($I861,'Price List, Weapons &amp; Items'!B:L,COLUMN('Price List, Weapons &amp; Items'!$J$11)-1,0)</f>
        <v>.</v>
      </c>
      <c r="AO861" s="180" t="str">
        <f>IF(I861=".",".",VLOOKUP($I861,'Price List, Weapons &amp; Items'!B:J,3,0))</f>
        <v>.</v>
      </c>
      <c r="AP861" s="545" t="e">
        <f t="shared" ca="1" si="175"/>
        <v>#NAME?</v>
      </c>
      <c r="AQ861" s="180" t="str">
        <f>VLOOKUP($I861,'Price List, Weapons &amp; Items'!B:L,COLUMN('Price List, Weapons &amp; Items'!$L$11)-1,0)</f>
        <v>no price, 0 count</v>
      </c>
      <c r="AR861" s="180">
        <f t="shared" si="169"/>
        <v>1</v>
      </c>
      <c r="AS861" s="180">
        <f t="shared" si="170"/>
        <v>1</v>
      </c>
      <c r="AT861" s="180">
        <f t="shared" si="171"/>
        <v>1</v>
      </c>
      <c r="AU861" s="180" t="str">
        <f t="shared" si="172"/>
        <v>.</v>
      </c>
      <c r="AV861" s="180" t="str">
        <f t="shared" si="173"/>
        <v>.</v>
      </c>
      <c r="AW861" s="180">
        <f>IFERROR(VLOOKUP(B861,'Share, Heavy Weapons to Ukraine'!B:J,COLUMN('Share, Heavy Weapons to Ukraine'!C874)-1,0),0)</f>
        <v>0</v>
      </c>
      <c r="AX861" s="180">
        <f>VLOOKUP('Bilateral Assistance, MAIN DATA'!B861,'Country Summary'!B:F,COLUMN('Country Summary'!C877)-1,FALSE)</f>
        <v>1</v>
      </c>
      <c r="AY861" s="180" t="str">
        <f>IF(AND(AD861=1,D861="Military",H861&lt;&gt;"Not given")=TRUE,IF(SUMIFS(P:P,A:A,A861)&gt;0,ABS((SUMIFS(P:P,A:A,A861)/VLOOKUP("USD",'Exchange Rates'!B:C,2,0)))/S861,"."),".")</f>
        <v>.</v>
      </c>
      <c r="AZ861" s="182" t="str">
        <f>IF(AND(AD861=1,D861="Military",H861&lt;&gt;"Not given")=TRUE,IF(SUMIFS(P:P,A:A,A861)&gt;0,IF((ABS((SUMIFS(P:P,A:A,A861)/VLOOKUP("USD",'Exchange Rates'!B:C,2,0)))/S861)&gt;1,(SUMIFS(P:P,A:A,A861)-S861)/S861,(S861-SUMIFS(P:P,A:A,A861))/SUMIFS(P:P,A:A,A861)),"."),".")</f>
        <v>.</v>
      </c>
      <c r="BA861" s="182"/>
      <c r="BB861" s="182"/>
      <c r="BC861" s="182"/>
      <c r="BD861" s="182"/>
      <c r="BE861" s="182"/>
      <c r="BF861" s="182"/>
      <c r="BG861" s="182"/>
      <c r="BH861" s="182"/>
      <c r="BI861" s="182"/>
      <c r="BJ861" s="182"/>
      <c r="BK861" s="182"/>
      <c r="BL861" s="182"/>
      <c r="BM861" s="182"/>
      <c r="BN861" s="182"/>
      <c r="BO861" s="182"/>
      <c r="BP861" s="182"/>
      <c r="BQ861" s="182"/>
      <c r="BR861" s="182"/>
      <c r="BS861" s="182"/>
    </row>
    <row r="862" spans="1:71" ht="15.9" customHeight="1" x14ac:dyDescent="0.3">
      <c r="A862" s="17" t="s">
        <v>2520</v>
      </c>
      <c r="B862" s="17" t="s">
        <v>2489</v>
      </c>
      <c r="C862" s="174">
        <v>44652</v>
      </c>
      <c r="D862" s="5" t="s">
        <v>285</v>
      </c>
      <c r="E862" s="5" t="s">
        <v>257</v>
      </c>
      <c r="F862" s="175" t="s">
        <v>777</v>
      </c>
      <c r="G862" s="15" t="s">
        <v>260</v>
      </c>
      <c r="H862" s="176" t="s">
        <v>341</v>
      </c>
      <c r="I862" s="17" t="s">
        <v>260</v>
      </c>
      <c r="J862" s="113" t="str">
        <f>VLOOKUP($I862,'Price List, Weapons &amp; Items'!B:C,2,0)</f>
        <v>.</v>
      </c>
      <c r="K862" s="113" t="str">
        <f>IF(I862=".",I862,VLOOKUP($I862,'Price List, Weapons &amp; Items'!B:D,3,0))</f>
        <v>.</v>
      </c>
      <c r="L862" s="177">
        <f>VLOOKUP(I862,'Price List, Weapons &amp; Items'!B:E,4,0)</f>
        <v>0</v>
      </c>
      <c r="M862" s="542" t="s">
        <v>260</v>
      </c>
      <c r="N862" s="542" t="s">
        <v>260</v>
      </c>
      <c r="O862" s="543" t="str">
        <f>VLOOKUP($I862,'Price List, Weapons &amp; Items'!B:G,6,0)</f>
        <v>.</v>
      </c>
      <c r="P862" s="176" t="str">
        <f t="shared" si="164"/>
        <v>.</v>
      </c>
      <c r="Q862" s="176" t="str">
        <f t="shared" si="165"/>
        <v>.</v>
      </c>
      <c r="R862" s="176" t="str">
        <f t="shared" si="174"/>
        <v>.</v>
      </c>
      <c r="S862" s="176" t="str">
        <f>IF(AND(AD862=1,R862&lt;&gt;".")=TRUE,R862/VLOOKUP(G862,'Exchange Rates'!B:C,2,0),IF(R862=".",".",""))</f>
        <v>.</v>
      </c>
      <c r="T862" s="176" t="str">
        <f>IF(AD862=1,IF(AF862="Value is not given at all",".",IF(AF862="Value is given by the source",S862,IF(AF862="Value is calculated with prices",(IF(SUMIFS(Q:Q,A:A,A862)&gt;0,SUMIFS(Q:Q,A:A,A862),"."))/VLOOKUP("USD",'Exchange Rates'!B:C,2,0),"Error with coding"))),"")</f>
        <v>.</v>
      </c>
      <c r="U862" s="15" t="s">
        <v>415</v>
      </c>
      <c r="V862" s="300" t="s">
        <v>2521</v>
      </c>
      <c r="W862" s="175" t="s">
        <v>260</v>
      </c>
      <c r="X862" s="175" t="s">
        <v>260</v>
      </c>
      <c r="Y862" s="175" t="s">
        <v>260</v>
      </c>
      <c r="Z862" s="15">
        <v>0</v>
      </c>
      <c r="AA862" s="180">
        <v>0</v>
      </c>
      <c r="AB862" s="17" t="s">
        <v>260</v>
      </c>
      <c r="AC862" s="544" t="str">
        <f>""</f>
        <v/>
      </c>
      <c r="AD862" s="183">
        <v>1</v>
      </c>
      <c r="AE862" s="183" t="s">
        <v>265</v>
      </c>
      <c r="AF862" s="183" t="s">
        <v>265</v>
      </c>
      <c r="AG862" s="183">
        <v>1</v>
      </c>
      <c r="AH862" s="181">
        <v>4</v>
      </c>
      <c r="AI862" s="181">
        <v>0</v>
      </c>
      <c r="AJ862" s="181">
        <f>VLOOKUP($I862,'Price List, Weapons &amp; Items'!B:F,5,0)</f>
        <v>0</v>
      </c>
      <c r="AK862" s="181">
        <f t="shared" si="166"/>
        <v>0</v>
      </c>
      <c r="AL862" s="181">
        <f t="shared" si="167"/>
        <v>0</v>
      </c>
      <c r="AM862" s="181">
        <f t="shared" si="168"/>
        <v>0</v>
      </c>
      <c r="AN862" s="180" t="str">
        <f>VLOOKUP($I862,'Price List, Weapons &amp; Items'!B:L,COLUMN('Price List, Weapons &amp; Items'!$J$11)-1,0)</f>
        <v>.</v>
      </c>
      <c r="AO862" s="180" t="str">
        <f>IF(I862=".",".",VLOOKUP($I862,'Price List, Weapons &amp; Items'!B:J,3,0))</f>
        <v>.</v>
      </c>
      <c r="AP862" s="545" t="e">
        <f t="shared" ca="1" si="175"/>
        <v>#NAME?</v>
      </c>
      <c r="AQ862" s="180" t="str">
        <f>VLOOKUP($I862,'Price List, Weapons &amp; Items'!B:L,COLUMN('Price List, Weapons &amp; Items'!$L$11)-1,0)</f>
        <v>no price, 0 count</v>
      </c>
      <c r="AR862" s="180">
        <f t="shared" si="169"/>
        <v>0</v>
      </c>
      <c r="AS862" s="180">
        <f t="shared" si="170"/>
        <v>0</v>
      </c>
      <c r="AT862" s="180">
        <f t="shared" si="171"/>
        <v>1</v>
      </c>
      <c r="AU862" s="180" t="str">
        <f t="shared" si="172"/>
        <v>.</v>
      </c>
      <c r="AV862" s="180" t="str">
        <f t="shared" si="173"/>
        <v>.</v>
      </c>
      <c r="AW862" s="180">
        <f>IFERROR(VLOOKUP(B862,'Share, Heavy Weapons to Ukraine'!B:J,COLUMN('Share, Heavy Weapons to Ukraine'!C875)-1,0),0)</f>
        <v>0</v>
      </c>
      <c r="AX862" s="180">
        <f>VLOOKUP('Bilateral Assistance, MAIN DATA'!B862,'Country Summary'!B:F,COLUMN('Country Summary'!C878)-1,FALSE)</f>
        <v>1</v>
      </c>
      <c r="AY862" s="180" t="str">
        <f>IF(AND(AD862=1,D862="Military",H862&lt;&gt;"Not given")=TRUE,IF(SUMIFS(P:P,A:A,A862)&gt;0,ABS((SUMIFS(P:P,A:A,A862)/VLOOKUP("USD",'Exchange Rates'!B:C,2,0)))/S862,"."),".")</f>
        <v>.</v>
      </c>
      <c r="AZ862" s="182" t="str">
        <f>IF(AND(AD862=1,D862="Military",H862&lt;&gt;"Not given")=TRUE,IF(SUMIFS(P:P,A:A,A862)&gt;0,IF((ABS((SUMIFS(P:P,A:A,A862)/VLOOKUP("USD",'Exchange Rates'!B:C,2,0)))/S862)&gt;1,(SUMIFS(P:P,A:A,A862)-S862)/S862,(S862-SUMIFS(P:P,A:A,A862))/SUMIFS(P:P,A:A,A862)),"."),".")</f>
        <v>.</v>
      </c>
      <c r="BA862" s="182"/>
      <c r="BB862" s="182"/>
      <c r="BC862" s="182"/>
      <c r="BD862" s="182"/>
      <c r="BE862" s="182"/>
      <c r="BF862" s="182"/>
      <c r="BG862" s="182"/>
      <c r="BH862" s="182"/>
      <c r="BI862" s="182"/>
      <c r="BJ862" s="182"/>
      <c r="BK862" s="182"/>
      <c r="BL862" s="182"/>
      <c r="BM862" s="182"/>
      <c r="BN862" s="182"/>
      <c r="BO862" s="182"/>
      <c r="BP862" s="182"/>
      <c r="BQ862" s="182"/>
      <c r="BR862" s="182"/>
      <c r="BS862" s="182"/>
    </row>
    <row r="863" spans="1:71" ht="15.9" customHeight="1" x14ac:dyDescent="0.3">
      <c r="A863" s="17" t="s">
        <v>2522</v>
      </c>
      <c r="B863" s="17" t="s">
        <v>2489</v>
      </c>
      <c r="C863" s="174">
        <v>44659</v>
      </c>
      <c r="D863" s="5" t="s">
        <v>285</v>
      </c>
      <c r="E863" s="5" t="s">
        <v>339</v>
      </c>
      <c r="F863" s="175" t="s">
        <v>2523</v>
      </c>
      <c r="G863" s="15" t="s">
        <v>364</v>
      </c>
      <c r="H863" s="176">
        <v>68000000</v>
      </c>
      <c r="I863" s="17" t="s">
        <v>2524</v>
      </c>
      <c r="J863" s="113" t="str">
        <f>VLOOKUP($I863,'Price List, Weapons &amp; Items'!B:C,2,0)</f>
        <v>Heavy weapon</v>
      </c>
      <c r="K863" s="113" t="str">
        <f>IF(I863=".",I863,VLOOKUP($I863,'Price List, Weapons &amp; Items'!B:D,3,0))</f>
        <v>Anti-aircraft surface-to-air missile (SAM) system (long-range)</v>
      </c>
      <c r="L863" s="177">
        <f>VLOOKUP(I863,'Price List, Weapons &amp; Items'!B:E,4,0)</f>
        <v>1</v>
      </c>
      <c r="M863" s="542">
        <v>1</v>
      </c>
      <c r="N863" s="542">
        <v>1</v>
      </c>
      <c r="O863" s="543">
        <f>VLOOKUP($I863,'Price List, Weapons &amp; Items'!B:G,6,0)</f>
        <v>208817599.13</v>
      </c>
      <c r="P863" s="176">
        <f t="shared" si="164"/>
        <v>208817599.13</v>
      </c>
      <c r="Q863" s="176">
        <f t="shared" si="165"/>
        <v>208817599.13</v>
      </c>
      <c r="R863" s="176">
        <f t="shared" si="174"/>
        <v>68000000</v>
      </c>
      <c r="S863" s="176">
        <f>IF(AND(AD863=1,R863&lt;&gt;".")=TRUE,R863/VLOOKUP(G863,'Exchange Rates'!B:C,2,0),IF(R863=".",".",""))</f>
        <v>68000000</v>
      </c>
      <c r="T863" s="176">
        <f>IF(AD863=1,IF(AF863="Value is not given at all",".",IF(AF863="Value is given by the source",S863,IF(AF863="Value is calculated with prices",(IF(SUMIFS(Q:Q,A:A,A863)&gt;0,SUMIFS(Q:Q,A:A,A863),"."))/VLOOKUP("USD",'Exchange Rates'!B:C,2,0),"Error with coding"))),"")</f>
        <v>68000000</v>
      </c>
      <c r="U863" s="15" t="s">
        <v>261</v>
      </c>
      <c r="V863" s="300" t="s">
        <v>2525</v>
      </c>
      <c r="W863" s="300" t="s">
        <v>2526</v>
      </c>
      <c r="X863" s="300" t="s">
        <v>2527</v>
      </c>
      <c r="Y863" s="175" t="s">
        <v>260</v>
      </c>
      <c r="Z863" s="15">
        <v>0</v>
      </c>
      <c r="AA863" s="180">
        <v>0</v>
      </c>
      <c r="AB863" s="809" t="s">
        <v>2528</v>
      </c>
      <c r="AC863" s="544" t="str">
        <f>""</f>
        <v/>
      </c>
      <c r="AD863" s="181">
        <v>1</v>
      </c>
      <c r="AE863" s="181" t="s">
        <v>264</v>
      </c>
      <c r="AF863" s="181" t="s">
        <v>264</v>
      </c>
      <c r="AG863" s="181">
        <v>1</v>
      </c>
      <c r="AH863" s="181">
        <v>4</v>
      </c>
      <c r="AI863" s="181">
        <v>0</v>
      </c>
      <c r="AJ863" s="181">
        <f>VLOOKUP($I863,'Price List, Weapons &amp; Items'!B:F,5,0)</f>
        <v>0</v>
      </c>
      <c r="AK863" s="181">
        <f t="shared" si="166"/>
        <v>0</v>
      </c>
      <c r="AL863" s="181">
        <f t="shared" si="167"/>
        <v>0</v>
      </c>
      <c r="AM863" s="181">
        <f t="shared" si="168"/>
        <v>0</v>
      </c>
      <c r="AN863" s="180" t="str">
        <f>VLOOKUP($I863,'Price List, Weapons &amp; Items'!B:L,COLUMN('Price List, Weapons &amp; Items'!$J$11)-1,0)</f>
        <v>Contracts</v>
      </c>
      <c r="AO863" s="180" t="str">
        <f>IF(I863=".",".",VLOOKUP($I863,'Price List, Weapons &amp; Items'!B:J,3,0))</f>
        <v>Anti-aircraft surface-to-air missile (SAM) system (long-range)</v>
      </c>
      <c r="AP863" s="545" t="e">
        <f t="shared" ca="1" si="175"/>
        <v>#NAME?</v>
      </c>
      <c r="AQ863" s="180">
        <f>VLOOKUP($I863,'Price List, Weapons &amp; Items'!B:L,COLUMN('Price List, Weapons &amp; Items'!$L$11)-1,0)</f>
        <v>2</v>
      </c>
      <c r="AR863" s="180">
        <f t="shared" si="169"/>
        <v>1</v>
      </c>
      <c r="AS863" s="180">
        <f t="shared" si="170"/>
        <v>1</v>
      </c>
      <c r="AT863" s="180">
        <f t="shared" si="171"/>
        <v>1</v>
      </c>
      <c r="AU863" s="180" t="str">
        <f t="shared" si="172"/>
        <v>.</v>
      </c>
      <c r="AV863" s="180" t="str">
        <f t="shared" si="173"/>
        <v>.</v>
      </c>
      <c r="AW863" s="180">
        <f>IFERROR(VLOOKUP(B863,'Share, Heavy Weapons to Ukraine'!B:J,COLUMN('Share, Heavy Weapons to Ukraine'!C876)-1,0),0)</f>
        <v>0</v>
      </c>
      <c r="AX863" s="180">
        <f>VLOOKUP('Bilateral Assistance, MAIN DATA'!B863,'Country Summary'!B:F,COLUMN('Country Summary'!C879)-1,FALSE)</f>
        <v>1</v>
      </c>
      <c r="AY863" s="180">
        <f>IF(AND(AD863=1,D863="Military",H863&lt;&gt;"Not given")=TRUE,IF(SUMIFS(P:P,A:A,A863)&gt;0,ABS((SUMIFS(P:P,A:A,A863)/VLOOKUP("USD",'Exchange Rates'!B:C,2,0)))/S863,"."),".")</f>
        <v>2.9246162343137252</v>
      </c>
      <c r="AZ863" s="182">
        <f>IF(AND(AD863=1,D863="Military",H863&lt;&gt;"Not given")=TRUE,IF(SUMIFS(P:P,A:A,A863)&gt;0,IF((ABS((SUMIFS(P:P,A:A,A863)/VLOOKUP("USD",'Exchange Rates'!B:C,2,0)))/S863)&gt;1,(SUMIFS(P:P,A:A,A863)-S863)/S863,(S863-SUMIFS(P:P,A:A,A863))/SUMIFS(P:P,A:A,A863)),"."),".")</f>
        <v>2.0708470460294115</v>
      </c>
      <c r="BA863" s="182"/>
      <c r="BB863" s="182"/>
      <c r="BC863" s="182"/>
      <c r="BD863" s="182"/>
      <c r="BE863" s="182"/>
      <c r="BF863" s="182"/>
      <c r="BG863" s="182"/>
      <c r="BH863" s="182"/>
      <c r="BI863" s="182"/>
      <c r="BJ863" s="182"/>
      <c r="BK863" s="182"/>
      <c r="BL863" s="182"/>
      <c r="BM863" s="182"/>
      <c r="BN863" s="182"/>
      <c r="BO863" s="182"/>
      <c r="BP863" s="182"/>
      <c r="BQ863" s="182"/>
      <c r="BR863" s="182"/>
      <c r="BS863" s="182"/>
    </row>
    <row r="864" spans="1:71" s="505" customFormat="1" ht="15.9" customHeight="1" x14ac:dyDescent="0.3">
      <c r="A864" s="5" t="s">
        <v>2529</v>
      </c>
      <c r="B864" s="5" t="s">
        <v>2489</v>
      </c>
      <c r="C864" s="174">
        <v>44728</v>
      </c>
      <c r="D864" s="5" t="s">
        <v>285</v>
      </c>
      <c r="E864" s="5" t="s">
        <v>339</v>
      </c>
      <c r="F864" s="175" t="s">
        <v>2530</v>
      </c>
      <c r="G864" s="15" t="s">
        <v>346</v>
      </c>
      <c r="H864" s="176" t="s">
        <v>341</v>
      </c>
      <c r="I864" s="185" t="s">
        <v>1905</v>
      </c>
      <c r="J864" s="113" t="str">
        <f>VLOOKUP($I864,'Price List, Weapons &amp; Items'!B:C,2,0)</f>
        <v>Aviation and drones</v>
      </c>
      <c r="K864" s="113" t="str">
        <f>IF(I864=".",I864,VLOOKUP($I864,'Price List, Weapons &amp; Items'!B:D,3,0))</f>
        <v>Combat aircraft</v>
      </c>
      <c r="L864" s="177">
        <f>VLOOKUP(I864,'Price List, Weapons &amp; Items'!B:E,4,0)</f>
        <v>1</v>
      </c>
      <c r="M864" s="542">
        <v>4</v>
      </c>
      <c r="N864" s="542">
        <v>4</v>
      </c>
      <c r="O864" s="543">
        <f>VLOOKUP($I864,'Price List, Weapons &amp; Items'!B:G,6,0)</f>
        <v>18400000</v>
      </c>
      <c r="P864" s="176">
        <f t="shared" si="164"/>
        <v>73600000</v>
      </c>
      <c r="Q864" s="176">
        <f t="shared" si="165"/>
        <v>73600000</v>
      </c>
      <c r="R864" s="176">
        <f t="shared" si="174"/>
        <v>76250000</v>
      </c>
      <c r="S864" s="176">
        <f>IF(AND(AD864=1,R864&lt;&gt;".")=TRUE,R864/VLOOKUP(G864,'Exchange Rates'!B:C,2,0),IF(R864=".",".",""))</f>
        <v>72619047.619047612</v>
      </c>
      <c r="T864" s="176">
        <f>IF(AD864=1,IF(AF864="Value is not given at all",".",IF(AF864="Value is given by the source",S864,IF(AF864="Value is calculated with prices",(IF(SUMIFS(Q:Q,A:A,A864)&gt;0,SUMIFS(Q:Q,A:A,A864),"."))/VLOOKUP("USD",'Exchange Rates'!B:C,2,0),"Error with coding"))),"")</f>
        <v>72619047.619047612</v>
      </c>
      <c r="U864" s="15" t="s">
        <v>415</v>
      </c>
      <c r="V864" s="567" t="s">
        <v>2531</v>
      </c>
      <c r="W864" s="567" t="s">
        <v>2532</v>
      </c>
      <c r="X864" s="567" t="s">
        <v>2532</v>
      </c>
      <c r="Y864" s="188" t="s">
        <v>260</v>
      </c>
      <c r="Z864" s="15">
        <v>0</v>
      </c>
      <c r="AA864" s="180">
        <v>0</v>
      </c>
      <c r="AB864" s="570" t="s">
        <v>2533</v>
      </c>
      <c r="AC864" s="544" t="str">
        <f>""</f>
        <v/>
      </c>
      <c r="AD864" s="183">
        <v>1</v>
      </c>
      <c r="AE864" s="183" t="s">
        <v>332</v>
      </c>
      <c r="AF864" s="183" t="s">
        <v>332</v>
      </c>
      <c r="AG864" s="183">
        <v>1</v>
      </c>
      <c r="AH864" s="183">
        <v>6</v>
      </c>
      <c r="AI864" s="183">
        <v>0</v>
      </c>
      <c r="AJ864" s="181">
        <f>VLOOKUP($I864,'Price List, Weapons &amp; Items'!B:F,5,0)</f>
        <v>0</v>
      </c>
      <c r="AK864" s="181">
        <f t="shared" si="166"/>
        <v>0</v>
      </c>
      <c r="AL864" s="181">
        <f t="shared" si="167"/>
        <v>0</v>
      </c>
      <c r="AM864" s="181">
        <f t="shared" si="168"/>
        <v>0</v>
      </c>
      <c r="AN864" s="180" t="str">
        <f>VLOOKUP($I864,'Price List, Weapons &amp; Items'!B:L,COLUMN('Price List, Weapons &amp; Items'!$J$11)-1,0)</f>
        <v>Media reports (incl. social media)</v>
      </c>
      <c r="AO864" s="180" t="str">
        <f>IF(I864=".",".",VLOOKUP($I864,'Price List, Weapons &amp; Items'!B:J,3,0))</f>
        <v>Combat aircraft</v>
      </c>
      <c r="AP864" s="545" t="e">
        <f t="shared" ca="1" si="175"/>
        <v>#NAME?</v>
      </c>
      <c r="AQ864" s="180">
        <f>VLOOKUP($I864,'Price List, Weapons &amp; Items'!B:L,COLUMN('Price List, Weapons &amp; Items'!$L$11)-1,0)</f>
        <v>2</v>
      </c>
      <c r="AR864" s="180">
        <f t="shared" si="169"/>
        <v>0</v>
      </c>
      <c r="AS864" s="180">
        <f t="shared" si="170"/>
        <v>1</v>
      </c>
      <c r="AT864" s="180">
        <f t="shared" si="171"/>
        <v>1</v>
      </c>
      <c r="AU864" s="180" t="str">
        <f t="shared" si="172"/>
        <v>.</v>
      </c>
      <c r="AV864" s="180" t="str">
        <f t="shared" si="173"/>
        <v>.</v>
      </c>
      <c r="AW864" s="180">
        <f>IFERROR(VLOOKUP(B864,'Share, Heavy Weapons to Ukraine'!B:J,COLUMN('Share, Heavy Weapons to Ukraine'!C877)-1,0),0)</f>
        <v>0</v>
      </c>
      <c r="AX864" s="180">
        <f>VLOOKUP('Bilateral Assistance, MAIN DATA'!B864,'Country Summary'!B:F,COLUMN('Country Summary'!C880)-1,FALSE)</f>
        <v>1</v>
      </c>
      <c r="AY864" s="180" t="str">
        <f>IF(AND(AD864=1,D864="Military",H864&lt;&gt;"Not given")=TRUE,IF(SUMIFS(P:P,A:A,A864)&gt;0,ABS((SUMIFS(P:P,A:A,A864)/VLOOKUP("USD",'Exchange Rates'!B:C,2,0)))/S864,"."),".")</f>
        <v>.</v>
      </c>
      <c r="AZ864" s="182" t="str">
        <f>IF(AND(AD864=1,D864="Military",H864&lt;&gt;"Not given")=TRUE,IF(SUMIFS(P:P,A:A,A864)&gt;0,IF((ABS((SUMIFS(P:P,A:A,A864)/VLOOKUP("USD",'Exchange Rates'!B:C,2,0)))/S864)&gt;1,(SUMIFS(P:P,A:A,A864)-S864)/S864,(S864-SUMIFS(P:P,A:A,A864))/SUMIFS(P:P,A:A,A864)),"."),".")</f>
        <v>.</v>
      </c>
      <c r="BA864" s="17"/>
      <c r="BB864" s="17"/>
      <c r="BC864" s="17"/>
      <c r="BD864" s="17"/>
      <c r="BE864" s="17"/>
      <c r="BF864" s="17"/>
      <c r="BG864" s="17"/>
      <c r="BH864" s="17"/>
      <c r="BI864" s="17"/>
      <c r="BJ864" s="17"/>
      <c r="BK864" s="17"/>
      <c r="BL864" s="17"/>
      <c r="BM864" s="17"/>
      <c r="BN864" s="17"/>
      <c r="BO864" s="17"/>
      <c r="BP864" s="17"/>
      <c r="BQ864" s="17"/>
      <c r="BR864" s="17"/>
      <c r="BS864" s="17"/>
    </row>
    <row r="865" spans="1:71" s="505" customFormat="1" ht="15.9" customHeight="1" x14ac:dyDescent="0.3">
      <c r="A865" s="5" t="s">
        <v>2529</v>
      </c>
      <c r="B865" s="5" t="s">
        <v>2489</v>
      </c>
      <c r="C865" s="174">
        <v>44728</v>
      </c>
      <c r="D865" s="5" t="s">
        <v>285</v>
      </c>
      <c r="E865" s="5" t="s">
        <v>339</v>
      </c>
      <c r="F865" s="175" t="s">
        <v>2530</v>
      </c>
      <c r="G865" s="15" t="s">
        <v>346</v>
      </c>
      <c r="H865" s="176" t="s">
        <v>341</v>
      </c>
      <c r="I865" s="185" t="s">
        <v>1908</v>
      </c>
      <c r="J865" s="113" t="str">
        <f>VLOOKUP($I865,'Price List, Weapons &amp; Items'!B:C,2,0)</f>
        <v>Aviation and drones</v>
      </c>
      <c r="K865" s="113" t="str">
        <f>IF(I865=".",I865,VLOOKUP($I865,'Price List, Weapons &amp; Items'!B:D,3,0))</f>
        <v>Transport aircraft</v>
      </c>
      <c r="L865" s="177">
        <f>VLOOKUP(I865,'Price List, Weapons &amp; Items'!B:E,4,0)</f>
        <v>1</v>
      </c>
      <c r="M865" s="542">
        <v>1</v>
      </c>
      <c r="N865" s="542">
        <v>1</v>
      </c>
      <c r="O865" s="543">
        <f>VLOOKUP($I865,'Price List, Weapons &amp; Items'!B:G,6,0)</f>
        <v>650000</v>
      </c>
      <c r="P865" s="176">
        <f t="shared" si="164"/>
        <v>650000</v>
      </c>
      <c r="Q865" s="176">
        <f t="shared" si="165"/>
        <v>650000</v>
      </c>
      <c r="R865" s="176" t="str">
        <f t="shared" si="174"/>
        <v/>
      </c>
      <c r="S865" s="176" t="str">
        <f>IF(AND(AD865=1,R865&lt;&gt;".")=TRUE,R865/VLOOKUP(G865,'Exchange Rates'!B:C,2,0),IF(R865=".",".",""))</f>
        <v/>
      </c>
      <c r="T865" s="176" t="str">
        <f>IF(AD865=1,IF(AF865="Value is not given at all",".",IF(AF865="Value is given by the source",S865,IF(AF865="Value is calculated with prices",(IF(SUMIFS(Q:Q,A:A,A865)&gt;0,SUMIFS(Q:Q,A:A,A865),"."))/VLOOKUP("USD",'Exchange Rates'!B:C,2,0),"Error with coding"))),"")</f>
        <v/>
      </c>
      <c r="U865" s="15" t="s">
        <v>415</v>
      </c>
      <c r="V865" s="567" t="s">
        <v>2531</v>
      </c>
      <c r="W865" s="567" t="s">
        <v>2532</v>
      </c>
      <c r="X865" s="567" t="s">
        <v>2532</v>
      </c>
      <c r="Y865" s="188" t="s">
        <v>260</v>
      </c>
      <c r="Z865" s="15">
        <v>0</v>
      </c>
      <c r="AA865" s="180">
        <v>0</v>
      </c>
      <c r="AB865" s="570" t="s">
        <v>2533</v>
      </c>
      <c r="AC865" s="544" t="str">
        <f>""</f>
        <v/>
      </c>
      <c r="AD865" s="183">
        <v>0</v>
      </c>
      <c r="AE865" s="183" t="s">
        <v>332</v>
      </c>
      <c r="AF865" s="183" t="s">
        <v>332</v>
      </c>
      <c r="AG865" s="183">
        <v>1</v>
      </c>
      <c r="AH865" s="183">
        <v>6</v>
      </c>
      <c r="AI865" s="183">
        <v>0</v>
      </c>
      <c r="AJ865" s="181">
        <f>VLOOKUP($I865,'Price List, Weapons &amp; Items'!B:F,5,0)</f>
        <v>0</v>
      </c>
      <c r="AK865" s="181">
        <f t="shared" si="166"/>
        <v>0</v>
      </c>
      <c r="AL865" s="181">
        <f t="shared" si="167"/>
        <v>0</v>
      </c>
      <c r="AM865" s="181">
        <f t="shared" si="168"/>
        <v>0</v>
      </c>
      <c r="AN865" s="180" t="str">
        <f>VLOOKUP($I865,'Price List, Weapons &amp; Items'!B:L,COLUMN('Price List, Weapons &amp; Items'!$J$11)-1,0)</f>
        <v>Online marketplaces and stores</v>
      </c>
      <c r="AO865" s="180" t="str">
        <f>IF(I865=".",".",VLOOKUP($I865,'Price List, Weapons &amp; Items'!B:J,3,0))</f>
        <v>Transport aircraft</v>
      </c>
      <c r="AP865" s="545" t="str">
        <f t="shared" ca="1" si="175"/>
        <v/>
      </c>
      <c r="AQ865" s="180">
        <f>VLOOKUP($I865,'Price List, Weapons &amp; Items'!B:L,COLUMN('Price List, Weapons &amp; Items'!$L$11)-1,0)</f>
        <v>2</v>
      </c>
      <c r="AR865" s="180">
        <f t="shared" si="169"/>
        <v>0</v>
      </c>
      <c r="AS865" s="180">
        <f t="shared" si="170"/>
        <v>1</v>
      </c>
      <c r="AT865" s="180">
        <f t="shared" si="171"/>
        <v>1</v>
      </c>
      <c r="AU865" s="180" t="str">
        <f t="shared" si="172"/>
        <v>.</v>
      </c>
      <c r="AV865" s="180" t="str">
        <f t="shared" si="173"/>
        <v>.</v>
      </c>
      <c r="AW865" s="180">
        <f>IFERROR(VLOOKUP(B865,'Share, Heavy Weapons to Ukraine'!B:J,COLUMN('Share, Heavy Weapons to Ukraine'!C878)-1,0),0)</f>
        <v>0</v>
      </c>
      <c r="AX865" s="180">
        <f>VLOOKUP('Bilateral Assistance, MAIN DATA'!B865,'Country Summary'!B:F,COLUMN('Country Summary'!C881)-1,FALSE)</f>
        <v>1</v>
      </c>
      <c r="AY865" s="180" t="str">
        <f>IF(AND(AD865=1,D865="Military",H865&lt;&gt;"Not given")=TRUE,IF(SUMIFS(P:P,A:A,A865)&gt;0,ABS((SUMIFS(P:P,A:A,A865)/VLOOKUP("USD",'Exchange Rates'!B:C,2,0)))/S865,"."),".")</f>
        <v>.</v>
      </c>
      <c r="AZ865" s="182" t="str">
        <f>IF(AND(AD865=1,D865="Military",H865&lt;&gt;"Not given")=TRUE,IF(SUMIFS(P:P,A:A,A865)&gt;0,IF((ABS((SUMIFS(P:P,A:A,A865)/VLOOKUP("USD",'Exchange Rates'!B:C,2,0)))/S865)&gt;1,(SUMIFS(P:P,A:A,A865)-S865)/S865,(S865-SUMIFS(P:P,A:A,A865))/SUMIFS(P:P,A:A,A865)),"."),".")</f>
        <v>.</v>
      </c>
      <c r="BA865" s="17"/>
      <c r="BB865" s="17"/>
      <c r="BC865" s="17"/>
      <c r="BD865" s="17"/>
      <c r="BE865" s="17"/>
      <c r="BF865" s="17"/>
      <c r="BG865" s="17"/>
      <c r="BH865" s="17"/>
      <c r="BI865" s="17"/>
      <c r="BJ865" s="17"/>
      <c r="BK865" s="17"/>
      <c r="BL865" s="17"/>
      <c r="BM865" s="17"/>
      <c r="BN865" s="17"/>
      <c r="BO865" s="17"/>
      <c r="BP865" s="17"/>
      <c r="BQ865" s="17"/>
      <c r="BR865" s="17"/>
      <c r="BS865" s="17"/>
    </row>
    <row r="866" spans="1:71" s="505" customFormat="1" ht="15.9" customHeight="1" x14ac:dyDescent="0.3">
      <c r="A866" s="5" t="s">
        <v>2529</v>
      </c>
      <c r="B866" s="5" t="s">
        <v>2489</v>
      </c>
      <c r="C866" s="174">
        <v>44728</v>
      </c>
      <c r="D866" s="5" t="s">
        <v>285</v>
      </c>
      <c r="E866" s="5" t="s">
        <v>339</v>
      </c>
      <c r="F866" s="175" t="s">
        <v>2530</v>
      </c>
      <c r="G866" s="15" t="s">
        <v>346</v>
      </c>
      <c r="H866" s="176" t="s">
        <v>341</v>
      </c>
      <c r="I866" s="17" t="s">
        <v>2044</v>
      </c>
      <c r="J866" s="113" t="str">
        <f>VLOOKUP($I866,'Price List, Weapons &amp; Items'!B:C,2,0)</f>
        <v>Ammunition for heavy weapon</v>
      </c>
      <c r="K866" s="113" t="str">
        <f>IF(I866=".",I866,VLOOKUP($I866,'Price List, Weapons &amp; Items'!B:D,3,0))</f>
        <v>122mm MLRS ammunition</v>
      </c>
      <c r="L866" s="177">
        <f>VLOOKUP(I866,'Price List, Weapons &amp; Items'!B:E,4,0)</f>
        <v>0</v>
      </c>
      <c r="M866" s="542">
        <v>2000</v>
      </c>
      <c r="N866" s="542">
        <v>2000</v>
      </c>
      <c r="O866" s="543">
        <f>VLOOKUP($I866,'Price List, Weapons &amp; Items'!B:G,6,0)</f>
        <v>1000</v>
      </c>
      <c r="P866" s="176">
        <f t="shared" si="164"/>
        <v>2000000</v>
      </c>
      <c r="Q866" s="176">
        <f t="shared" si="165"/>
        <v>2000000</v>
      </c>
      <c r="R866" s="176" t="str">
        <f t="shared" si="174"/>
        <v/>
      </c>
      <c r="S866" s="176" t="str">
        <f>IF(AND(AD866=1,R866&lt;&gt;".")=TRUE,R866/VLOOKUP(G866,'Exchange Rates'!B:C,2,0),IF(R866=".",".",""))</f>
        <v/>
      </c>
      <c r="T866" s="176" t="str">
        <f>IF(AD866=1,IF(AF866="Value is not given at all",".",IF(AF866="Value is given by the source",S866,IF(AF866="Value is calculated with prices",(IF(SUMIFS(Q:Q,A:A,A866)&gt;0,SUMIFS(Q:Q,A:A,A866),"."))/VLOOKUP("USD",'Exchange Rates'!B:C,2,0),"Error with coding"))),"")</f>
        <v/>
      </c>
      <c r="U866" s="15" t="s">
        <v>415</v>
      </c>
      <c r="V866" s="567" t="s">
        <v>2531</v>
      </c>
      <c r="W866" s="567" t="s">
        <v>2532</v>
      </c>
      <c r="X866" s="567" t="s">
        <v>2532</v>
      </c>
      <c r="Y866" s="188" t="s">
        <v>260</v>
      </c>
      <c r="Z866" s="15">
        <v>0</v>
      </c>
      <c r="AA866" s="180">
        <v>0</v>
      </c>
      <c r="AB866" s="570" t="s">
        <v>2533</v>
      </c>
      <c r="AC866" s="544" t="str">
        <f>""</f>
        <v/>
      </c>
      <c r="AD866" s="183">
        <v>0</v>
      </c>
      <c r="AE866" s="183" t="s">
        <v>332</v>
      </c>
      <c r="AF866" s="183" t="s">
        <v>332</v>
      </c>
      <c r="AG866" s="183">
        <v>1</v>
      </c>
      <c r="AH866" s="183">
        <v>6</v>
      </c>
      <c r="AI866" s="183">
        <v>0</v>
      </c>
      <c r="AJ866" s="181">
        <f>VLOOKUP($I866,'Price List, Weapons &amp; Items'!B:F,5,0)</f>
        <v>1</v>
      </c>
      <c r="AK866" s="181">
        <f t="shared" si="166"/>
        <v>0</v>
      </c>
      <c r="AL866" s="181">
        <f t="shared" si="167"/>
        <v>0</v>
      </c>
      <c r="AM866" s="181">
        <f t="shared" si="168"/>
        <v>0</v>
      </c>
      <c r="AN866" s="180" t="str">
        <f>VLOOKUP($I866,'Price List, Weapons &amp; Items'!B:L,COLUMN('Price List, Weapons &amp; Items'!$J$11)-1,0)</f>
        <v>Media reports (incl. social media)</v>
      </c>
      <c r="AO866" s="180" t="str">
        <f>IF(I866=".",".",VLOOKUP($I866,'Price List, Weapons &amp; Items'!B:J,3,0))</f>
        <v>122mm MLRS ammunition</v>
      </c>
      <c r="AP866" s="545" t="str">
        <f t="shared" ca="1" si="175"/>
        <v/>
      </c>
      <c r="AQ866" s="180">
        <f>VLOOKUP($I866,'Price List, Weapons &amp; Items'!B:L,COLUMN('Price List, Weapons &amp; Items'!$L$11)-1,0)</f>
        <v>2</v>
      </c>
      <c r="AR866" s="180">
        <f t="shared" si="169"/>
        <v>0</v>
      </c>
      <c r="AS866" s="180">
        <f t="shared" si="170"/>
        <v>1</v>
      </c>
      <c r="AT866" s="180">
        <f t="shared" si="171"/>
        <v>1</v>
      </c>
      <c r="AU866" s="180" t="str">
        <f t="shared" si="172"/>
        <v>.</v>
      </c>
      <c r="AV866" s="180" t="str">
        <f t="shared" si="173"/>
        <v>.</v>
      </c>
      <c r="AW866" s="180">
        <f>IFERROR(VLOOKUP(B866,'Share, Heavy Weapons to Ukraine'!B:J,COLUMN('Share, Heavy Weapons to Ukraine'!C879)-1,0),0)</f>
        <v>0</v>
      </c>
      <c r="AX866" s="180">
        <f>VLOOKUP('Bilateral Assistance, MAIN DATA'!B866,'Country Summary'!B:F,COLUMN('Country Summary'!C882)-1,FALSE)</f>
        <v>1</v>
      </c>
      <c r="AY866" s="180" t="str">
        <f>IF(AND(AD866=1,D866="Military",H866&lt;&gt;"Not given")=TRUE,IF(SUMIFS(P:P,A:A,A866)&gt;0,ABS((SUMIFS(P:P,A:A,A866)/VLOOKUP("USD",'Exchange Rates'!B:C,2,0)))/S866,"."),".")</f>
        <v>.</v>
      </c>
      <c r="AZ866" s="182" t="str">
        <f>IF(AND(AD866=1,D866="Military",H866&lt;&gt;"Not given")=TRUE,IF(SUMIFS(P:P,A:A,A866)&gt;0,IF((ABS((SUMIFS(P:P,A:A,A866)/VLOOKUP("USD",'Exchange Rates'!B:C,2,0)))/S866)&gt;1,(SUMIFS(P:P,A:A,A866)-S866)/S866,(S866-SUMIFS(P:P,A:A,A866))/SUMIFS(P:P,A:A,A866)),"."),".")</f>
        <v>.</v>
      </c>
      <c r="BA866" s="17"/>
      <c r="BB866" s="17"/>
      <c r="BC866" s="17"/>
      <c r="BD866" s="17"/>
      <c r="BE866" s="17"/>
      <c r="BF866" s="17"/>
      <c r="BG866" s="17"/>
      <c r="BH866" s="17"/>
      <c r="BI866" s="17"/>
      <c r="BJ866" s="17"/>
      <c r="BK866" s="17"/>
      <c r="BL866" s="17"/>
      <c r="BM866" s="17"/>
      <c r="BN866" s="17"/>
      <c r="BO866" s="17"/>
      <c r="BP866" s="17"/>
      <c r="BQ866" s="17"/>
      <c r="BR866" s="17"/>
      <c r="BS866" s="17"/>
    </row>
    <row r="867" spans="1:71" s="505" customFormat="1" ht="15.9" customHeight="1" x14ac:dyDescent="0.3">
      <c r="A867" s="19" t="s">
        <v>2534</v>
      </c>
      <c r="B867" s="19" t="s">
        <v>2489</v>
      </c>
      <c r="C867" s="555">
        <v>44796</v>
      </c>
      <c r="D867" s="19" t="s">
        <v>285</v>
      </c>
      <c r="E867" s="19" t="s">
        <v>339</v>
      </c>
      <c r="F867" s="19" t="s">
        <v>2535</v>
      </c>
      <c r="G867" s="15" t="s">
        <v>346</v>
      </c>
      <c r="H867" s="176" t="s">
        <v>341</v>
      </c>
      <c r="I867" s="17" t="s">
        <v>1641</v>
      </c>
      <c r="J867" s="113" t="str">
        <f>VLOOKUP($I867,'Price List, Weapons &amp; Items'!B:C,2,0)</f>
        <v>Heavy weapon</v>
      </c>
      <c r="K867" s="113" t="str">
        <f>IF(I867=".",I867,VLOOKUP($I867,'Price List, Weapons &amp; Items'!B:D,3,0))</f>
        <v>Infantry fighting vehicle (IFV)</v>
      </c>
      <c r="L867" s="177">
        <f>VLOOKUP(I867,'Price List, Weapons &amp; Items'!B:E,4,0)</f>
        <v>1</v>
      </c>
      <c r="M867" s="542">
        <v>30</v>
      </c>
      <c r="N867" s="542">
        <v>30</v>
      </c>
      <c r="O867" s="543">
        <f>VLOOKUP($I867,'Price List, Weapons &amp; Items'!B:G,6,0)</f>
        <v>561542.53</v>
      </c>
      <c r="P867" s="176">
        <f t="shared" si="164"/>
        <v>16846275.900000002</v>
      </c>
      <c r="Q867" s="176">
        <f t="shared" si="165"/>
        <v>16846275.900000002</v>
      </c>
      <c r="R867" s="176">
        <f t="shared" si="174"/>
        <v>16846275.900000002</v>
      </c>
      <c r="S867" s="176">
        <f>IF(AND(AD867=1,R867&lt;&gt;".")=TRUE,R867/VLOOKUP(G867,'Exchange Rates'!B:C,2,0),IF(R867=".",".",""))</f>
        <v>16044072.285714287</v>
      </c>
      <c r="T867" s="176">
        <f>IF(AD867=1,IF(AF867="Value is not given at all",".",IF(AF867="Value is given by the source",S867,IF(AF867="Value is calculated with prices",(IF(SUMIFS(Q:Q,A:A,A867)&gt;0,SUMIFS(Q:Q,A:A,A867),"."))/VLOOKUP("USD",'Exchange Rates'!B:C,2,0),"Error with coding"))),"")</f>
        <v>16044072.285714287</v>
      </c>
      <c r="U867" s="15" t="s">
        <v>261</v>
      </c>
      <c r="V867" s="304" t="s">
        <v>2536</v>
      </c>
      <c r="W867" s="304" t="s">
        <v>2537</v>
      </c>
      <c r="X867" s="304" t="s">
        <v>2538</v>
      </c>
      <c r="Y867" s="569" t="s">
        <v>2539</v>
      </c>
      <c r="Z867" s="15">
        <v>0</v>
      </c>
      <c r="AA867" s="180">
        <v>0</v>
      </c>
      <c r="AB867" s="666" t="s">
        <v>2539</v>
      </c>
      <c r="AC867" s="544" t="str">
        <f>""</f>
        <v/>
      </c>
      <c r="AD867" s="183">
        <v>1</v>
      </c>
      <c r="AE867" s="183" t="s">
        <v>332</v>
      </c>
      <c r="AF867" s="183" t="s">
        <v>332</v>
      </c>
      <c r="AG867" s="183">
        <v>1</v>
      </c>
      <c r="AH867" s="183">
        <v>8</v>
      </c>
      <c r="AI867" s="183">
        <v>0</v>
      </c>
      <c r="AJ867" s="181">
        <f>VLOOKUP($I867,'Price List, Weapons &amp; Items'!B:F,5,0)</f>
        <v>1</v>
      </c>
      <c r="AK867" s="181">
        <f t="shared" si="166"/>
        <v>0</v>
      </c>
      <c r="AL867" s="181">
        <f t="shared" si="167"/>
        <v>0</v>
      </c>
      <c r="AM867" s="181">
        <f t="shared" si="168"/>
        <v>0</v>
      </c>
      <c r="AN867" s="180" t="str">
        <f>VLOOKUP($I867,'Price List, Weapons &amp; Items'!B:L,COLUMN('Price List, Weapons &amp; Items'!$J$11)-1,0)</f>
        <v>Contracts</v>
      </c>
      <c r="AO867" s="180" t="str">
        <f>IF(I867=".",".",VLOOKUP($I867,'Price List, Weapons &amp; Items'!B:J,3,0))</f>
        <v>Infantry fighting vehicle (IFV)</v>
      </c>
      <c r="AP867" s="545" t="e">
        <f t="shared" ca="1" si="175"/>
        <v>#NAME?</v>
      </c>
      <c r="AQ867" s="180">
        <f>VLOOKUP($I867,'Price List, Weapons &amp; Items'!B:L,COLUMN('Price List, Weapons &amp; Items'!$L$11)-1,0)</f>
        <v>2</v>
      </c>
      <c r="AR867" s="180">
        <f t="shared" si="169"/>
        <v>1</v>
      </c>
      <c r="AS867" s="180">
        <f t="shared" si="170"/>
        <v>1</v>
      </c>
      <c r="AT867" s="180">
        <f t="shared" si="171"/>
        <v>1</v>
      </c>
      <c r="AU867" s="180" t="str">
        <f t="shared" si="172"/>
        <v>.</v>
      </c>
      <c r="AV867" s="180" t="str">
        <f t="shared" si="173"/>
        <v>.</v>
      </c>
      <c r="AW867" s="180">
        <f>IFERROR(VLOOKUP(B867,'Share, Heavy Weapons to Ukraine'!B:J,COLUMN('Share, Heavy Weapons to Ukraine'!C880)-1,0),0)</f>
        <v>0</v>
      </c>
      <c r="AX867" s="180">
        <f>VLOOKUP('Bilateral Assistance, MAIN DATA'!B867,'Country Summary'!B:F,COLUMN('Country Summary'!C883)-1,FALSE)</f>
        <v>1</v>
      </c>
      <c r="AY867" s="180" t="str">
        <f>IF(AND(AD867=1,D867="Military",H867&lt;&gt;"Not given")=TRUE,IF(SUMIFS(P:P,A:A,A867)&gt;0,ABS((SUMIFS(P:P,A:A,A867)/VLOOKUP("USD",'Exchange Rates'!B:C,2,0)))/S867,"."),".")</f>
        <v>.</v>
      </c>
      <c r="AZ867" s="182" t="str">
        <f>IF(AND(AD867=1,D867="Military",H867&lt;&gt;"Not given")=TRUE,IF(SUMIFS(P:P,A:A,A867)&gt;0,IF((ABS((SUMIFS(P:P,A:A,A867)/VLOOKUP("USD",'Exchange Rates'!B:C,2,0)))/S867)&gt;1,(SUMIFS(P:P,A:A,A867)-S867)/S867,(S867-SUMIFS(P:P,A:A,A867))/SUMIFS(P:P,A:A,A867)),"."),".")</f>
        <v>.</v>
      </c>
      <c r="BA867" s="17"/>
      <c r="BB867" s="17"/>
      <c r="BC867" s="17"/>
      <c r="BD867" s="17"/>
      <c r="BE867" s="17"/>
      <c r="BF867" s="17"/>
      <c r="BG867" s="17"/>
      <c r="BH867" s="17"/>
      <c r="BI867" s="17"/>
      <c r="BJ867" s="17"/>
      <c r="BK867" s="17"/>
      <c r="BL867" s="17"/>
      <c r="BM867" s="17"/>
      <c r="BN867" s="17"/>
      <c r="BO867" s="17"/>
      <c r="BP867" s="17"/>
      <c r="BQ867" s="17"/>
      <c r="BR867" s="17"/>
      <c r="BS867" s="17"/>
    </row>
    <row r="868" spans="1:71" s="505" customFormat="1" ht="15.9" customHeight="1" x14ac:dyDescent="0.3">
      <c r="A868" s="19" t="s">
        <v>2540</v>
      </c>
      <c r="B868" s="19" t="s">
        <v>2489</v>
      </c>
      <c r="C868" s="555">
        <v>44907</v>
      </c>
      <c r="D868" s="19" t="s">
        <v>285</v>
      </c>
      <c r="E868" s="19" t="s">
        <v>286</v>
      </c>
      <c r="F868" s="19" t="s">
        <v>2541</v>
      </c>
      <c r="G868" s="15" t="s">
        <v>364</v>
      </c>
      <c r="H868" s="176">
        <v>9000000</v>
      </c>
      <c r="I868" s="580" t="s">
        <v>453</v>
      </c>
      <c r="J868" s="113" t="str">
        <f>VLOOKUP($I868,'Price List, Weapons &amp; Items'!B:C,2,0)</f>
        <v>Military equipment</v>
      </c>
      <c r="K868" s="113" t="str">
        <f>IF(I868=".",I868,VLOOKUP($I868,'Price List, Weapons &amp; Items'!B:D,3,0))</f>
        <v>Military equipment</v>
      </c>
      <c r="L868" s="177">
        <f>VLOOKUP(I868,'Price List, Weapons &amp; Items'!B:E,4,0)</f>
        <v>0</v>
      </c>
      <c r="M868" s="542" t="s">
        <v>270</v>
      </c>
      <c r="N868" s="542" t="s">
        <v>270</v>
      </c>
      <c r="O868" s="543">
        <f>VLOOKUP($I868,'Price List, Weapons &amp; Items'!B:G,6,0)</f>
        <v>59.234999999999999</v>
      </c>
      <c r="P868" s="176" t="str">
        <f t="shared" si="164"/>
        <v>.</v>
      </c>
      <c r="Q868" s="176" t="str">
        <f t="shared" si="165"/>
        <v>.</v>
      </c>
      <c r="R868" s="176">
        <f t="shared" si="174"/>
        <v>9000000</v>
      </c>
      <c r="S868" s="176">
        <f>IF(AND(AD868=1,R868&lt;&gt;".")=TRUE,R868/VLOOKUP(G868,'Exchange Rates'!B:C,2,0),IF(R868=".",".",""))</f>
        <v>9000000</v>
      </c>
      <c r="T868" s="176" t="str">
        <f>IF(AD868=1,IF(AF868="Value is not given at all",".",IF(AF868="Value is given by the source",S868,IF(AF868="Value is calculated with prices",(IF(SUMIFS(Q:Q,A:A,A868)&gt;0,SUMIFS(Q:Q,A:A,A868),"."))/VLOOKUP("USD",'Exchange Rates'!B:C,2,0),"Error with coding"))),"")</f>
        <v>.</v>
      </c>
      <c r="U868" s="15" t="s">
        <v>415</v>
      </c>
      <c r="V868" s="304" t="s">
        <v>2496</v>
      </c>
      <c r="W868" s="304" t="s">
        <v>2497</v>
      </c>
      <c r="X868" s="304" t="s">
        <v>2542</v>
      </c>
      <c r="Y868" s="188" t="s">
        <v>260</v>
      </c>
      <c r="Z868" s="15">
        <v>0</v>
      </c>
      <c r="AA868" s="180">
        <v>0</v>
      </c>
      <c r="AB868" s="672" t="s">
        <v>260</v>
      </c>
      <c r="AC868" s="544" t="str">
        <f>""</f>
        <v/>
      </c>
      <c r="AD868" s="183">
        <v>1</v>
      </c>
      <c r="AE868" s="183" t="s">
        <v>264</v>
      </c>
      <c r="AF868" s="183" t="s">
        <v>265</v>
      </c>
      <c r="AG868" s="183">
        <v>1</v>
      </c>
      <c r="AH868" s="183">
        <v>12</v>
      </c>
      <c r="AI868" s="183">
        <v>0</v>
      </c>
      <c r="AJ868" s="181">
        <f>VLOOKUP($I868,'Price List, Weapons &amp; Items'!B:F,5,0)</f>
        <v>0</v>
      </c>
      <c r="AK868" s="181">
        <f t="shared" si="166"/>
        <v>0</v>
      </c>
      <c r="AL868" s="181">
        <f t="shared" si="167"/>
        <v>0</v>
      </c>
      <c r="AM868" s="181">
        <f t="shared" si="168"/>
        <v>0</v>
      </c>
      <c r="AN868" s="180" t="str">
        <f>VLOOKUP($I868,'Price List, Weapons &amp; Items'!B:L,COLUMN('Price List, Weapons &amp; Items'!$J$11)-1,0)</f>
        <v>Government information</v>
      </c>
      <c r="AO868" s="180" t="str">
        <f>IF(I868=".",".",VLOOKUP($I868,'Price List, Weapons &amp; Items'!B:J,3,0))</f>
        <v>Military equipment</v>
      </c>
      <c r="AP868" s="545" t="e">
        <f t="shared" ca="1" si="175"/>
        <v>#NAME?</v>
      </c>
      <c r="AQ868" s="180">
        <f>VLOOKUP($I868,'Price List, Weapons &amp; Items'!B:L,COLUMN('Price List, Weapons &amp; Items'!$L$11)-1,0)</f>
        <v>2</v>
      </c>
      <c r="AR868" s="180">
        <f t="shared" si="169"/>
        <v>0</v>
      </c>
      <c r="AS868" s="180">
        <f t="shared" si="170"/>
        <v>1</v>
      </c>
      <c r="AT868" s="180">
        <f t="shared" si="171"/>
        <v>1</v>
      </c>
      <c r="AU868" s="180" t="str">
        <f t="shared" si="172"/>
        <v>.</v>
      </c>
      <c r="AV868" s="180" t="str">
        <f t="shared" si="173"/>
        <v>.</v>
      </c>
      <c r="AW868" s="180">
        <f>IFERROR(VLOOKUP(B868,'Share, Heavy Weapons to Ukraine'!B:J,COLUMN('Share, Heavy Weapons to Ukraine'!C881)-1,0),0)</f>
        <v>0</v>
      </c>
      <c r="AX868" s="180">
        <f>VLOOKUP('Bilateral Assistance, MAIN DATA'!B868,'Country Summary'!B:F,COLUMN('Country Summary'!C884)-1,FALSE)</f>
        <v>1</v>
      </c>
      <c r="AY868" s="180" t="str">
        <f>IF(AND(AD868=1,D868="Military",H868&lt;&gt;"Not given")=TRUE,IF(SUMIFS(P:P,A:A,A868)&gt;0,ABS((SUMIFS(P:P,A:A,A868)/VLOOKUP("USD",'Exchange Rates'!B:C,2,0)))/S868,"."),".")</f>
        <v>.</v>
      </c>
      <c r="AZ868" s="182" t="str">
        <f>IF(AND(AD868=1,D868="Military",H868&lt;&gt;"Not given")=TRUE,IF(SUMIFS(P:P,A:A,A868)&gt;0,IF((ABS((SUMIFS(P:P,A:A,A868)/VLOOKUP("USD",'Exchange Rates'!B:C,2,0)))/S868)&gt;1,(SUMIFS(P:P,A:A,A868)-S868)/S868,(S868-SUMIFS(P:P,A:A,A868))/SUMIFS(P:P,A:A,A868)),"."),".")</f>
        <v>.</v>
      </c>
      <c r="BA868" s="17"/>
      <c r="BB868" s="17"/>
      <c r="BC868" s="17"/>
      <c r="BD868" s="17"/>
      <c r="BE868" s="17"/>
      <c r="BF868" s="17"/>
      <c r="BG868" s="17"/>
      <c r="BH868" s="17"/>
      <c r="BI868" s="17"/>
      <c r="BJ868" s="17"/>
      <c r="BK868" s="17"/>
      <c r="BL868" s="17"/>
      <c r="BM868" s="17"/>
      <c r="BN868" s="17"/>
      <c r="BO868" s="17"/>
      <c r="BP868" s="17"/>
      <c r="BQ868" s="17"/>
      <c r="BR868" s="17"/>
      <c r="BS868" s="17"/>
    </row>
    <row r="869" spans="1:71" s="505" customFormat="1" ht="15.9" customHeight="1" x14ac:dyDescent="0.3">
      <c r="A869" s="19" t="s">
        <v>2540</v>
      </c>
      <c r="B869" s="19" t="s">
        <v>2489</v>
      </c>
      <c r="C869" s="555">
        <v>44907</v>
      </c>
      <c r="D869" s="19" t="s">
        <v>285</v>
      </c>
      <c r="E869" s="19" t="s">
        <v>286</v>
      </c>
      <c r="F869" s="19" t="s">
        <v>2541</v>
      </c>
      <c r="G869" s="15" t="s">
        <v>364</v>
      </c>
      <c r="H869" s="176">
        <v>9000000</v>
      </c>
      <c r="I869" s="581" t="s">
        <v>990</v>
      </c>
      <c r="J869" s="113" t="str">
        <f>VLOOKUP($I869,'Price List, Weapons &amp; Items'!B:C,2,0)</f>
        <v>Military equipment</v>
      </c>
      <c r="K869" s="113" t="str">
        <f>IF(I869=".",I869,VLOOKUP($I869,'Price List, Weapons &amp; Items'!B:D,3,0))</f>
        <v>Military equipment</v>
      </c>
      <c r="L869" s="177">
        <f>VLOOKUP(I869,'Price List, Weapons &amp; Items'!B:E,4,0)</f>
        <v>0</v>
      </c>
      <c r="M869" s="542" t="s">
        <v>270</v>
      </c>
      <c r="N869" s="542" t="s">
        <v>270</v>
      </c>
      <c r="O869" s="543">
        <f>VLOOKUP($I869,'Price List, Weapons &amp; Items'!B:G,6,0)</f>
        <v>500</v>
      </c>
      <c r="P869" s="176" t="str">
        <f t="shared" si="164"/>
        <v>.</v>
      </c>
      <c r="Q869" s="176" t="str">
        <f t="shared" si="165"/>
        <v>.</v>
      </c>
      <c r="R869" s="176" t="str">
        <f t="shared" si="174"/>
        <v/>
      </c>
      <c r="S869" s="176" t="str">
        <f>IF(AND(AD869=1,R869&lt;&gt;".")=TRUE,R869/VLOOKUP(G869,'Exchange Rates'!B:C,2,0),IF(R869=".",".",""))</f>
        <v/>
      </c>
      <c r="T869" s="176" t="str">
        <f>IF(AD869=1,IF(AF869="Value is not given at all",".",IF(AF869="Value is given by the source",S869,IF(AF869="Value is calculated with prices",(IF(SUMIFS(Q:Q,A:A,A869)&gt;0,SUMIFS(Q:Q,A:A,A869),"."))/VLOOKUP("USD",'Exchange Rates'!B:C,2,0),"Error with coding"))),"")</f>
        <v/>
      </c>
      <c r="U869" s="15" t="s">
        <v>415</v>
      </c>
      <c r="V869" s="304" t="s">
        <v>2496</v>
      </c>
      <c r="W869" s="304" t="s">
        <v>2497</v>
      </c>
      <c r="X869" s="304" t="s">
        <v>2542</v>
      </c>
      <c r="Y869" s="188" t="s">
        <v>260</v>
      </c>
      <c r="Z869" s="15">
        <v>0</v>
      </c>
      <c r="AA869" s="180">
        <v>0</v>
      </c>
      <c r="AB869" s="672" t="s">
        <v>260</v>
      </c>
      <c r="AC869" s="544" t="str">
        <f>""</f>
        <v/>
      </c>
      <c r="AD869" s="183">
        <v>0</v>
      </c>
      <c r="AE869" s="183" t="s">
        <v>264</v>
      </c>
      <c r="AF869" s="183" t="s">
        <v>265</v>
      </c>
      <c r="AG869" s="183">
        <v>1</v>
      </c>
      <c r="AH869" s="183">
        <v>12</v>
      </c>
      <c r="AI869" s="183">
        <v>0</v>
      </c>
      <c r="AJ869" s="181">
        <f>VLOOKUP($I869,'Price List, Weapons &amp; Items'!B:F,5,0)</f>
        <v>0</v>
      </c>
      <c r="AK869" s="181">
        <f t="shared" si="166"/>
        <v>0</v>
      </c>
      <c r="AL869" s="181">
        <f t="shared" si="167"/>
        <v>0</v>
      </c>
      <c r="AM869" s="181">
        <f t="shared" si="168"/>
        <v>0</v>
      </c>
      <c r="AN869" s="180" t="str">
        <f>VLOOKUP($I869,'Price List, Weapons &amp; Items'!B:L,COLUMN('Price List, Weapons &amp; Items'!$J$11)-1,0)</f>
        <v>Military media (incl. websites)</v>
      </c>
      <c r="AO869" s="180" t="str">
        <f>IF(I869=".",".",VLOOKUP($I869,'Price List, Weapons &amp; Items'!B:J,3,0))</f>
        <v>Military equipment</v>
      </c>
      <c r="AP869" s="545" t="str">
        <f t="shared" ca="1" si="175"/>
        <v/>
      </c>
      <c r="AQ869" s="180">
        <f>VLOOKUP($I869,'Price List, Weapons &amp; Items'!B:L,COLUMN('Price List, Weapons &amp; Items'!$L$11)-1,0)</f>
        <v>2</v>
      </c>
      <c r="AR869" s="180">
        <f t="shared" si="169"/>
        <v>0</v>
      </c>
      <c r="AS869" s="180">
        <f t="shared" si="170"/>
        <v>1</v>
      </c>
      <c r="AT869" s="180">
        <f t="shared" si="171"/>
        <v>1</v>
      </c>
      <c r="AU869" s="180" t="str">
        <f t="shared" si="172"/>
        <v>.</v>
      </c>
      <c r="AV869" s="180" t="str">
        <f t="shared" si="173"/>
        <v>.</v>
      </c>
      <c r="AW869" s="180">
        <f>IFERROR(VLOOKUP(B869,'Share, Heavy Weapons to Ukraine'!B:J,COLUMN('Share, Heavy Weapons to Ukraine'!C882)-1,0),0)</f>
        <v>0</v>
      </c>
      <c r="AX869" s="180">
        <f>VLOOKUP('Bilateral Assistance, MAIN DATA'!B869,'Country Summary'!B:F,COLUMN('Country Summary'!C885)-1,FALSE)</f>
        <v>1</v>
      </c>
      <c r="AY869" s="180" t="str">
        <f>IF(AND(AD869=1,D869="Military",H869&lt;&gt;"Not given")=TRUE,IF(SUMIFS(P:P,A:A,A869)&gt;0,ABS((SUMIFS(P:P,A:A,A869)/VLOOKUP("USD",'Exchange Rates'!B:C,2,0)))/S869,"."),".")</f>
        <v>.</v>
      </c>
      <c r="AZ869" s="182" t="str">
        <f>IF(AND(AD869=1,D869="Military",H869&lt;&gt;"Not given")=TRUE,IF(SUMIFS(P:P,A:A,A869)&gt;0,IF((ABS((SUMIFS(P:P,A:A,A869)/VLOOKUP("USD",'Exchange Rates'!B:C,2,0)))/S869)&gt;1,(SUMIFS(P:P,A:A,A869)-S869)/S869,(S869-SUMIFS(P:P,A:A,A869))/SUMIFS(P:P,A:A,A869)),"."),".")</f>
        <v>.</v>
      </c>
      <c r="BA869" s="17"/>
      <c r="BB869" s="17"/>
      <c r="BC869" s="17"/>
      <c r="BD869" s="17"/>
      <c r="BE869" s="17"/>
      <c r="BF869" s="17"/>
      <c r="BG869" s="17"/>
      <c r="BH869" s="17"/>
      <c r="BI869" s="17"/>
      <c r="BJ869" s="17"/>
      <c r="BK869" s="17"/>
      <c r="BL869" s="17"/>
      <c r="BM869" s="17"/>
      <c r="BN869" s="17"/>
      <c r="BO869" s="17"/>
      <c r="BP869" s="17"/>
      <c r="BQ869" s="17"/>
      <c r="BR869" s="17"/>
      <c r="BS869" s="17"/>
    </row>
    <row r="870" spans="1:71" s="505" customFormat="1" ht="15.9" customHeight="1" x14ac:dyDescent="0.3">
      <c r="A870" s="19" t="s">
        <v>2540</v>
      </c>
      <c r="B870" s="19" t="s">
        <v>2489</v>
      </c>
      <c r="C870" s="555">
        <v>44907</v>
      </c>
      <c r="D870" s="19" t="s">
        <v>285</v>
      </c>
      <c r="E870" s="19" t="s">
        <v>286</v>
      </c>
      <c r="F870" s="19" t="s">
        <v>2541</v>
      </c>
      <c r="G870" s="15" t="s">
        <v>364</v>
      </c>
      <c r="H870" s="176">
        <v>9000000</v>
      </c>
      <c r="I870" s="155" t="s">
        <v>2543</v>
      </c>
      <c r="J870" s="113" t="str">
        <f>VLOOKUP($I870,'Price List, Weapons &amp; Items'!B:C,2,0)</f>
        <v>Military equipment</v>
      </c>
      <c r="K870" s="113" t="str">
        <f>IF(I870=".",I870,VLOOKUP($I870,'Price List, Weapons &amp; Items'!B:D,3,0))</f>
        <v>Armoured Utility Vehicle (AUV)</v>
      </c>
      <c r="L870" s="177">
        <f>VLOOKUP(I870,'Price List, Weapons &amp; Items'!B:E,4,0)</f>
        <v>0</v>
      </c>
      <c r="M870" s="542" t="s">
        <v>270</v>
      </c>
      <c r="N870" s="542" t="s">
        <v>270</v>
      </c>
      <c r="O870" s="543" t="str">
        <f>VLOOKUP($I870,'Price List, Weapons &amp; Items'!B:G,6,0)</f>
        <v>.</v>
      </c>
      <c r="P870" s="176" t="str">
        <f t="shared" si="164"/>
        <v>.</v>
      </c>
      <c r="Q870" s="176" t="str">
        <f t="shared" si="165"/>
        <v>.</v>
      </c>
      <c r="R870" s="176" t="str">
        <f t="shared" si="174"/>
        <v/>
      </c>
      <c r="S870" s="176" t="str">
        <f>IF(AND(AD870=1,R870&lt;&gt;".")=TRUE,R870/VLOOKUP(G870,'Exchange Rates'!B:C,2,0),IF(R870=".",".",""))</f>
        <v/>
      </c>
      <c r="T870" s="176" t="str">
        <f>IF(AD870=1,IF(AF870="Value is not given at all",".",IF(AF870="Value is given by the source",S870,IF(AF870="Value is calculated with prices",(IF(SUMIFS(Q:Q,A:A,A870)&gt;0,SUMIFS(Q:Q,A:A,A870),"."))/VLOOKUP("USD",'Exchange Rates'!B:C,2,0),"Error with coding"))),"")</f>
        <v/>
      </c>
      <c r="U870" s="15" t="s">
        <v>415</v>
      </c>
      <c r="V870" s="304" t="s">
        <v>2496</v>
      </c>
      <c r="W870" s="304" t="s">
        <v>2497</v>
      </c>
      <c r="X870" s="304" t="s">
        <v>2542</v>
      </c>
      <c r="Y870" s="188" t="s">
        <v>260</v>
      </c>
      <c r="Z870" s="15">
        <v>0</v>
      </c>
      <c r="AA870" s="180">
        <v>0</v>
      </c>
      <c r="AB870" s="672" t="s">
        <v>260</v>
      </c>
      <c r="AC870" s="544" t="str">
        <f>""</f>
        <v/>
      </c>
      <c r="AD870" s="183">
        <v>0</v>
      </c>
      <c r="AE870" s="183" t="s">
        <v>264</v>
      </c>
      <c r="AF870" s="183" t="s">
        <v>265</v>
      </c>
      <c r="AG870" s="183">
        <v>1</v>
      </c>
      <c r="AH870" s="183">
        <v>12</v>
      </c>
      <c r="AI870" s="183">
        <v>0</v>
      </c>
      <c r="AJ870" s="181">
        <f>VLOOKUP($I870,'Price List, Weapons &amp; Items'!B:F,5,0)</f>
        <v>0</v>
      </c>
      <c r="AK870" s="181">
        <f t="shared" si="166"/>
        <v>0</v>
      </c>
      <c r="AL870" s="181">
        <f t="shared" si="167"/>
        <v>0</v>
      </c>
      <c r="AM870" s="181">
        <f t="shared" si="168"/>
        <v>0</v>
      </c>
      <c r="AN870" s="180" t="str">
        <f>VLOOKUP($I870,'Price List, Weapons &amp; Items'!B:L,COLUMN('Price List, Weapons &amp; Items'!$J$11)-1,0)</f>
        <v>.</v>
      </c>
      <c r="AO870" s="180" t="str">
        <f>IF(I870=".",".",VLOOKUP($I870,'Price List, Weapons &amp; Items'!B:J,3,0))</f>
        <v>Armoured Utility Vehicle (AUV)</v>
      </c>
      <c r="AP870" s="545" t="str">
        <f t="shared" ca="1" si="175"/>
        <v/>
      </c>
      <c r="AQ870" s="180" t="str">
        <f>VLOOKUP($I870,'Price List, Weapons &amp; Items'!B:L,COLUMN('Price List, Weapons &amp; Items'!$L$11)-1,0)</f>
        <v>no price, 0 count</v>
      </c>
      <c r="AR870" s="180">
        <f t="shared" si="169"/>
        <v>0</v>
      </c>
      <c r="AS870" s="180">
        <f t="shared" si="170"/>
        <v>1</v>
      </c>
      <c r="AT870" s="180">
        <f t="shared" si="171"/>
        <v>1</v>
      </c>
      <c r="AU870" s="180" t="str">
        <f t="shared" si="172"/>
        <v>.</v>
      </c>
      <c r="AV870" s="180" t="str">
        <f t="shared" si="173"/>
        <v>.</v>
      </c>
      <c r="AW870" s="180">
        <f>IFERROR(VLOOKUP(B870,'Share, Heavy Weapons to Ukraine'!B:J,COLUMN('Share, Heavy Weapons to Ukraine'!C883)-1,0),0)</f>
        <v>0</v>
      </c>
      <c r="AX870" s="180">
        <f>VLOOKUP('Bilateral Assistance, MAIN DATA'!B870,'Country Summary'!B:F,COLUMN('Country Summary'!C886)-1,FALSE)</f>
        <v>1</v>
      </c>
      <c r="AY870" s="180" t="str">
        <f>IF(AND(AD870=1,D870="Military",H870&lt;&gt;"Not given")=TRUE,IF(SUMIFS(P:P,A:A,A870)&gt;0,ABS((SUMIFS(P:P,A:A,A870)/VLOOKUP("USD",'Exchange Rates'!B:C,2,0)))/S870,"."),".")</f>
        <v>.</v>
      </c>
      <c r="AZ870" s="182" t="str">
        <f>IF(AND(AD870=1,D870="Military",H870&lt;&gt;"Not given")=TRUE,IF(SUMIFS(P:P,A:A,A870)&gt;0,IF((ABS((SUMIFS(P:P,A:A,A870)/VLOOKUP("USD",'Exchange Rates'!B:C,2,0)))/S870)&gt;1,(SUMIFS(P:P,A:A,A870)-S870)/S870,(S870-SUMIFS(P:P,A:A,A870))/SUMIFS(P:P,A:A,A870)),"."),".")</f>
        <v>.</v>
      </c>
      <c r="BA870" s="17"/>
      <c r="BB870" s="17"/>
      <c r="BC870" s="17"/>
      <c r="BD870" s="17"/>
      <c r="BE870" s="17"/>
      <c r="BF870" s="17"/>
      <c r="BG870" s="17"/>
      <c r="BH870" s="17"/>
      <c r="BI870" s="17"/>
      <c r="BJ870" s="17"/>
      <c r="BK870" s="17"/>
      <c r="BL870" s="17"/>
      <c r="BM870" s="17"/>
      <c r="BN870" s="17"/>
      <c r="BO870" s="17"/>
      <c r="BP870" s="17"/>
      <c r="BQ870" s="17"/>
      <c r="BR870" s="17"/>
      <c r="BS870" s="17"/>
    </row>
    <row r="871" spans="1:71" s="505" customFormat="1" ht="15.9" customHeight="1" x14ac:dyDescent="0.3">
      <c r="A871" s="19" t="s">
        <v>2540</v>
      </c>
      <c r="B871" s="19" t="s">
        <v>2489</v>
      </c>
      <c r="C871" s="555">
        <v>44907</v>
      </c>
      <c r="D871" s="19" t="s">
        <v>285</v>
      </c>
      <c r="E871" s="19" t="s">
        <v>286</v>
      </c>
      <c r="F871" s="19" t="s">
        <v>2541</v>
      </c>
      <c r="G871" s="15" t="s">
        <v>364</v>
      </c>
      <c r="H871" s="176">
        <v>9000000</v>
      </c>
      <c r="I871" s="188" t="s">
        <v>2544</v>
      </c>
      <c r="J871" s="113" t="str">
        <f>VLOOKUP($I871,'Price List, Weapons &amp; Items'!B:C,2,0)</f>
        <v>Ammunition for light infantry</v>
      </c>
      <c r="K871" s="113" t="str">
        <f>IF(I871=".",I871,VLOOKUP($I871,'Price List, Weapons &amp; Items'!B:D,3,0))</f>
        <v>Small Arms and Light Weapons (SALW) ammunition</v>
      </c>
      <c r="L871" s="177">
        <f>VLOOKUP(I871,'Price List, Weapons &amp; Items'!B:E,4,0)</f>
        <v>0</v>
      </c>
      <c r="M871" s="542" t="s">
        <v>270</v>
      </c>
      <c r="N871" s="542" t="s">
        <v>270</v>
      </c>
      <c r="O871" s="543" t="str">
        <f>VLOOKUP($I871,'Price List, Weapons &amp; Items'!B:G,6,0)</f>
        <v>.</v>
      </c>
      <c r="P871" s="176" t="str">
        <f t="shared" si="164"/>
        <v>.</v>
      </c>
      <c r="Q871" s="176" t="str">
        <f t="shared" si="165"/>
        <v>.</v>
      </c>
      <c r="R871" s="176" t="str">
        <f t="shared" si="174"/>
        <v/>
      </c>
      <c r="S871" s="176" t="str">
        <f>IF(AND(AD871=1,R871&lt;&gt;".")=TRUE,R871/VLOOKUP(G871,'Exchange Rates'!B:C,2,0),IF(R871=".",".",""))</f>
        <v/>
      </c>
      <c r="T871" s="176" t="str">
        <f>IF(AD871=1,IF(AF871="Value is not given at all",".",IF(AF871="Value is given by the source",S871,IF(AF871="Value is calculated with prices",(IF(SUMIFS(Q:Q,A:A,A871)&gt;0,SUMIFS(Q:Q,A:A,A871),"."))/VLOOKUP("USD",'Exchange Rates'!B:C,2,0),"Error with coding"))),"")</f>
        <v/>
      </c>
      <c r="U871" s="15" t="s">
        <v>415</v>
      </c>
      <c r="V871" s="304" t="s">
        <v>2496</v>
      </c>
      <c r="W871" s="304" t="s">
        <v>2497</v>
      </c>
      <c r="X871" s="304" t="s">
        <v>2542</v>
      </c>
      <c r="Y871" s="188" t="s">
        <v>260</v>
      </c>
      <c r="Z871" s="15">
        <v>0</v>
      </c>
      <c r="AA871" s="180">
        <v>0</v>
      </c>
      <c r="AB871" s="672" t="s">
        <v>260</v>
      </c>
      <c r="AC871" s="544" t="str">
        <f>""</f>
        <v/>
      </c>
      <c r="AD871" s="183">
        <v>0</v>
      </c>
      <c r="AE871" s="183" t="s">
        <v>264</v>
      </c>
      <c r="AF871" s="183" t="s">
        <v>265</v>
      </c>
      <c r="AG871" s="183">
        <v>1</v>
      </c>
      <c r="AH871" s="183">
        <v>12</v>
      </c>
      <c r="AI871" s="183">
        <v>0</v>
      </c>
      <c r="AJ871" s="181">
        <f>VLOOKUP($I871,'Price List, Weapons &amp; Items'!B:F,5,0)</f>
        <v>0</v>
      </c>
      <c r="AK871" s="181">
        <f t="shared" si="166"/>
        <v>0</v>
      </c>
      <c r="AL871" s="181">
        <f t="shared" si="167"/>
        <v>0</v>
      </c>
      <c r="AM871" s="181">
        <f t="shared" si="168"/>
        <v>1</v>
      </c>
      <c r="AN871" s="180" t="str">
        <f>VLOOKUP($I871,'Price List, Weapons &amp; Items'!B:L,COLUMN('Price List, Weapons &amp; Items'!$J$11)-1,0)</f>
        <v>.</v>
      </c>
      <c r="AO871" s="180" t="str">
        <f>IF(I871=".",".",VLOOKUP($I871,'Price List, Weapons &amp; Items'!B:J,3,0))</f>
        <v>Small Arms and Light Weapons (SALW) ammunition</v>
      </c>
      <c r="AP871" s="545" t="str">
        <f t="shared" ca="1" si="175"/>
        <v/>
      </c>
      <c r="AQ871" s="180" t="str">
        <f>VLOOKUP($I871,'Price List, Weapons &amp; Items'!B:L,COLUMN('Price List, Weapons &amp; Items'!$L$11)-1,0)</f>
        <v>no price, 0 count</v>
      </c>
      <c r="AR871" s="180">
        <f t="shared" si="169"/>
        <v>0</v>
      </c>
      <c r="AS871" s="180">
        <f t="shared" si="170"/>
        <v>1</v>
      </c>
      <c r="AT871" s="180">
        <f t="shared" si="171"/>
        <v>1</v>
      </c>
      <c r="AU871" s="180" t="str">
        <f t="shared" si="172"/>
        <v>.</v>
      </c>
      <c r="AV871" s="180" t="str">
        <f t="shared" si="173"/>
        <v>.</v>
      </c>
      <c r="AW871" s="180">
        <f>IFERROR(VLOOKUP(B871,'Share, Heavy Weapons to Ukraine'!B:J,COLUMN('Share, Heavy Weapons to Ukraine'!C884)-1,0),0)</f>
        <v>0</v>
      </c>
      <c r="AX871" s="180">
        <f>VLOOKUP('Bilateral Assistance, MAIN DATA'!B871,'Country Summary'!B:F,COLUMN('Country Summary'!C887)-1,FALSE)</f>
        <v>1</v>
      </c>
      <c r="AY871" s="180" t="str">
        <f>IF(AND(AD871=1,D871="Military",H871&lt;&gt;"Not given")=TRUE,IF(SUMIFS(P:P,A:A,A871)&gt;0,ABS((SUMIFS(P:P,A:A,A871)/VLOOKUP("USD",'Exchange Rates'!B:C,2,0)))/S871,"."),".")</f>
        <v>.</v>
      </c>
      <c r="AZ871" s="182" t="str">
        <f>IF(AND(AD871=1,D871="Military",H871&lt;&gt;"Not given")=TRUE,IF(SUMIFS(P:P,A:A,A871)&gt;0,IF((ABS((SUMIFS(P:P,A:A,A871)/VLOOKUP("USD",'Exchange Rates'!B:C,2,0)))/S871)&gt;1,(SUMIFS(P:P,A:A,A871)-S871)/S871,(S871-SUMIFS(P:P,A:A,A871))/SUMIFS(P:P,A:A,A871)),"."),".")</f>
        <v>.</v>
      </c>
      <c r="BA871" s="17"/>
      <c r="BB871" s="17"/>
      <c r="BC871" s="17"/>
      <c r="BD871" s="17"/>
      <c r="BE871" s="17"/>
      <c r="BF871" s="17"/>
      <c r="BG871" s="17"/>
      <c r="BH871" s="17"/>
      <c r="BI871" s="17"/>
      <c r="BJ871" s="17"/>
      <c r="BK871" s="17"/>
      <c r="BL871" s="17"/>
      <c r="BM871" s="17"/>
      <c r="BN871" s="17"/>
      <c r="BO871" s="17"/>
      <c r="BP871" s="17"/>
      <c r="BQ871" s="17"/>
      <c r="BR871" s="17"/>
      <c r="BS871" s="17"/>
    </row>
    <row r="872" spans="1:71" s="505" customFormat="1" ht="15.9" customHeight="1" x14ac:dyDescent="0.3">
      <c r="A872" s="19" t="s">
        <v>2540</v>
      </c>
      <c r="B872" s="19" t="s">
        <v>2489</v>
      </c>
      <c r="C872" s="555">
        <v>44907</v>
      </c>
      <c r="D872" s="19" t="s">
        <v>285</v>
      </c>
      <c r="E872" s="19" t="s">
        <v>286</v>
      </c>
      <c r="F872" s="19" t="s">
        <v>2541</v>
      </c>
      <c r="G872" s="15" t="s">
        <v>364</v>
      </c>
      <c r="H872" s="176">
        <v>9000000</v>
      </c>
      <c r="I872" s="155" t="s">
        <v>2545</v>
      </c>
      <c r="J872" s="113" t="str">
        <f>VLOOKUP($I872,'Price List, Weapons &amp; Items'!B:C,2,0)</f>
        <v>Ammunition</v>
      </c>
      <c r="K872" s="113" t="str">
        <f>IF(I872=".",I872,VLOOKUP($I872,'Price List, Weapons &amp; Items'!B:D,3,0))</f>
        <v xml:space="preserve">Fighter jet ammunition </v>
      </c>
      <c r="L872" s="177">
        <f>VLOOKUP(I872,'Price List, Weapons &amp; Items'!B:E,4,0)</f>
        <v>0</v>
      </c>
      <c r="M872" s="542" t="s">
        <v>270</v>
      </c>
      <c r="N872" s="542" t="s">
        <v>270</v>
      </c>
      <c r="O872" s="543" t="str">
        <f>VLOOKUP($I872,'Price List, Weapons &amp; Items'!B:G,6,0)</f>
        <v>.</v>
      </c>
      <c r="P872" s="176" t="str">
        <f t="shared" si="164"/>
        <v>.</v>
      </c>
      <c r="Q872" s="176" t="str">
        <f t="shared" si="165"/>
        <v>.</v>
      </c>
      <c r="R872" s="176" t="str">
        <f t="shared" si="174"/>
        <v/>
      </c>
      <c r="S872" s="176" t="str">
        <f>IF(AND(AD872=1,R872&lt;&gt;".")=TRUE,R872/VLOOKUP(G872,'Exchange Rates'!B:C,2,0),IF(R872=".",".",""))</f>
        <v/>
      </c>
      <c r="T872" s="176" t="str">
        <f>IF(AD872=1,IF(AF872="Value is not given at all",".",IF(AF872="Value is given by the source",S872,IF(AF872="Value is calculated with prices",(IF(SUMIFS(Q:Q,A:A,A872)&gt;0,SUMIFS(Q:Q,A:A,A872),"."))/VLOOKUP("USD",'Exchange Rates'!B:C,2,0),"Error with coding"))),"")</f>
        <v/>
      </c>
      <c r="U872" s="15" t="s">
        <v>415</v>
      </c>
      <c r="V872" s="304" t="s">
        <v>2496</v>
      </c>
      <c r="W872" s="304" t="s">
        <v>2497</v>
      </c>
      <c r="X872" s="304" t="s">
        <v>2542</v>
      </c>
      <c r="Y872" s="188" t="s">
        <v>260</v>
      </c>
      <c r="Z872" s="15">
        <v>0</v>
      </c>
      <c r="AA872" s="180">
        <v>0</v>
      </c>
      <c r="AB872" s="672" t="s">
        <v>260</v>
      </c>
      <c r="AC872" s="544" t="str">
        <f>""</f>
        <v/>
      </c>
      <c r="AD872" s="183">
        <v>0</v>
      </c>
      <c r="AE872" s="183" t="s">
        <v>264</v>
      </c>
      <c r="AF872" s="183" t="s">
        <v>265</v>
      </c>
      <c r="AG872" s="183">
        <v>1</v>
      </c>
      <c r="AH872" s="183">
        <v>12</v>
      </c>
      <c r="AI872" s="183">
        <v>0</v>
      </c>
      <c r="AJ872" s="181">
        <f>VLOOKUP($I872,'Price List, Weapons &amp; Items'!B:F,5,0)</f>
        <v>0</v>
      </c>
      <c r="AK872" s="181">
        <f t="shared" si="166"/>
        <v>0</v>
      </c>
      <c r="AL872" s="181">
        <f t="shared" si="167"/>
        <v>0</v>
      </c>
      <c r="AM872" s="181">
        <f t="shared" si="168"/>
        <v>1</v>
      </c>
      <c r="AN872" s="180" t="str">
        <f>VLOOKUP($I872,'Price List, Weapons &amp; Items'!B:L,COLUMN('Price List, Weapons &amp; Items'!$J$11)-1,0)</f>
        <v>.</v>
      </c>
      <c r="AO872" s="180" t="str">
        <f>IF(I872=".",".",VLOOKUP($I872,'Price List, Weapons &amp; Items'!B:J,3,0))</f>
        <v xml:space="preserve">Fighter jet ammunition </v>
      </c>
      <c r="AP872" s="545" t="str">
        <f t="shared" ca="1" si="175"/>
        <v/>
      </c>
      <c r="AQ872" s="180" t="str">
        <f>VLOOKUP($I872,'Price List, Weapons &amp; Items'!B:L,COLUMN('Price List, Weapons &amp; Items'!$L$11)-1,0)</f>
        <v>no price, 0 count</v>
      </c>
      <c r="AR872" s="180">
        <f t="shared" si="169"/>
        <v>0</v>
      </c>
      <c r="AS872" s="180">
        <f t="shared" si="170"/>
        <v>1</v>
      </c>
      <c r="AT872" s="180">
        <f t="shared" si="171"/>
        <v>1</v>
      </c>
      <c r="AU872" s="180" t="str">
        <f t="shared" si="172"/>
        <v>.</v>
      </c>
      <c r="AV872" s="180" t="str">
        <f t="shared" si="173"/>
        <v>.</v>
      </c>
      <c r="AW872" s="180">
        <f>IFERROR(VLOOKUP(B872,'Share, Heavy Weapons to Ukraine'!B:J,COLUMN('Share, Heavy Weapons to Ukraine'!C885)-1,0),0)</f>
        <v>0</v>
      </c>
      <c r="AX872" s="180">
        <f>VLOOKUP('Bilateral Assistance, MAIN DATA'!B872,'Country Summary'!B:F,COLUMN('Country Summary'!C888)-1,FALSE)</f>
        <v>1</v>
      </c>
      <c r="AY872" s="180" t="str">
        <f>IF(AND(AD872=1,D872="Military",H872&lt;&gt;"Not given")=TRUE,IF(SUMIFS(P:P,A:A,A872)&gt;0,ABS((SUMIFS(P:P,A:A,A872)/VLOOKUP("USD",'Exchange Rates'!B:C,2,0)))/S872,"."),".")</f>
        <v>.</v>
      </c>
      <c r="AZ872" s="182" t="str">
        <f>IF(AND(AD872=1,D872="Military",H872&lt;&gt;"Not given")=TRUE,IF(SUMIFS(P:P,A:A,A872)&gt;0,IF((ABS((SUMIFS(P:P,A:A,A872)/VLOOKUP("USD",'Exchange Rates'!B:C,2,0)))/S872)&gt;1,(SUMIFS(P:P,A:A,A872)-S872)/S872,(S872-SUMIFS(P:P,A:A,A872))/SUMIFS(P:P,A:A,A872)),"."),".")</f>
        <v>.</v>
      </c>
      <c r="BA872" s="17"/>
      <c r="BB872" s="17"/>
      <c r="BC872" s="17"/>
      <c r="BD872" s="17"/>
      <c r="BE872" s="17"/>
      <c r="BF872" s="17"/>
      <c r="BG872" s="17"/>
      <c r="BH872" s="17"/>
      <c r="BI872" s="17"/>
      <c r="BJ872" s="17"/>
      <c r="BK872" s="17"/>
      <c r="BL872" s="17"/>
      <c r="BM872" s="17"/>
      <c r="BN872" s="17"/>
      <c r="BO872" s="17"/>
      <c r="BP872" s="17"/>
      <c r="BQ872" s="17"/>
      <c r="BR872" s="17"/>
      <c r="BS872" s="17"/>
    </row>
    <row r="873" spans="1:71" ht="15.9" customHeight="1" x14ac:dyDescent="0.3">
      <c r="A873" s="5" t="s">
        <v>2546</v>
      </c>
      <c r="B873" s="5" t="s">
        <v>2547</v>
      </c>
      <c r="C873" s="174">
        <v>44618</v>
      </c>
      <c r="D873" s="5" t="s">
        <v>256</v>
      </c>
      <c r="E873" s="5" t="s">
        <v>2493</v>
      </c>
      <c r="F873" s="175" t="s">
        <v>2548</v>
      </c>
      <c r="G873" s="15" t="s">
        <v>364</v>
      </c>
      <c r="H873" s="176">
        <v>163000</v>
      </c>
      <c r="I873" s="17" t="s">
        <v>2549</v>
      </c>
      <c r="J873" s="113" t="str">
        <f>VLOOKUP($I873,'Price List, Weapons &amp; Items'!B:C,2,0)</f>
        <v>Military equipment</v>
      </c>
      <c r="K873" s="113" t="str">
        <f>IF(I873=".",I873,VLOOKUP($I873,'Price List, Weapons &amp; Items'!B:D,3,0))</f>
        <v>Military equipment</v>
      </c>
      <c r="L873" s="177">
        <f>VLOOKUP(I873,'Price List, Weapons &amp; Items'!B:E,4,0)</f>
        <v>0</v>
      </c>
      <c r="M873" s="542">
        <v>10</v>
      </c>
      <c r="N873" s="542" t="s">
        <v>270</v>
      </c>
      <c r="O873" s="543" t="str">
        <f>VLOOKUP($I873,'Price List, Weapons &amp; Items'!B:G,6,0)</f>
        <v>.</v>
      </c>
      <c r="P873" s="176" t="str">
        <f t="shared" si="164"/>
        <v>No price</v>
      </c>
      <c r="Q873" s="176" t="str">
        <f t="shared" si="165"/>
        <v>.</v>
      </c>
      <c r="R873" s="176">
        <f t="shared" si="174"/>
        <v>163000</v>
      </c>
      <c r="S873" s="176">
        <f>IF(AND(AD873=1,R873&lt;&gt;".")=TRUE,R873/VLOOKUP(G873,'Exchange Rates'!B:C,2,0),IF(R873=".",".",""))</f>
        <v>163000</v>
      </c>
      <c r="T873" s="176" t="str">
        <f>IF(AD873=1,IF(AF873="Value is not given at all",".",IF(AF873="Value is given by the source",S873,IF(AF873="Value is calculated with prices",(IF(SUMIFS(Q:Q,A:A,A873)&gt;0,SUMIFS(Q:Q,A:A,A873),"."))/VLOOKUP("USD",'Exchange Rates'!B:C,2,0),"Error with coding"))),"")</f>
        <v>.</v>
      </c>
      <c r="U873" s="15" t="s">
        <v>261</v>
      </c>
      <c r="V873" s="547" t="s">
        <v>2550</v>
      </c>
      <c r="W873" s="547" t="s">
        <v>2551</v>
      </c>
      <c r="X873" s="547" t="s">
        <v>2552</v>
      </c>
      <c r="Y873" s="188" t="s">
        <v>260</v>
      </c>
      <c r="Z873" s="15">
        <v>0</v>
      </c>
      <c r="AA873" s="180">
        <v>0</v>
      </c>
      <c r="AB873" s="184" t="s">
        <v>260</v>
      </c>
      <c r="AC873" s="544" t="str">
        <f>""</f>
        <v/>
      </c>
      <c r="AD873" s="183">
        <v>1</v>
      </c>
      <c r="AE873" s="183" t="s">
        <v>264</v>
      </c>
      <c r="AF873" s="183" t="s">
        <v>265</v>
      </c>
      <c r="AG873" s="183">
        <v>1</v>
      </c>
      <c r="AH873" s="183">
        <v>2</v>
      </c>
      <c r="AI873" s="183">
        <v>0</v>
      </c>
      <c r="AJ873" s="181">
        <f>VLOOKUP($I873,'Price List, Weapons &amp; Items'!B:F,5,0)</f>
        <v>0</v>
      </c>
      <c r="AK873" s="181">
        <f t="shared" si="166"/>
        <v>0</v>
      </c>
      <c r="AL873" s="181">
        <f t="shared" si="167"/>
        <v>0</v>
      </c>
      <c r="AM873" s="181">
        <f t="shared" si="168"/>
        <v>0</v>
      </c>
      <c r="AN873" s="180" t="str">
        <f>VLOOKUP($I873,'Price List, Weapons &amp; Items'!B:L,COLUMN('Price List, Weapons &amp; Items'!$J$11)-1,0)</f>
        <v>.</v>
      </c>
      <c r="AO873" s="180" t="str">
        <f>IF(I873=".",".",VLOOKUP($I873,'Price List, Weapons &amp; Items'!B:J,3,0))</f>
        <v>Military equipment</v>
      </c>
      <c r="AP873" s="545" t="e">
        <f t="shared" ca="1" si="175"/>
        <v>#NAME?</v>
      </c>
      <c r="AQ873" s="180">
        <f>VLOOKUP($I873,'Price List, Weapons &amp; Items'!B:L,COLUMN('Price List, Weapons &amp; Items'!$L$11)-1,0)</f>
        <v>0</v>
      </c>
      <c r="AR873" s="180">
        <f t="shared" si="169"/>
        <v>1</v>
      </c>
      <c r="AS873" s="180">
        <f t="shared" si="170"/>
        <v>0</v>
      </c>
      <c r="AT873" s="180">
        <f t="shared" si="171"/>
        <v>1</v>
      </c>
      <c r="AU873" s="180" t="str">
        <f t="shared" si="172"/>
        <v>.</v>
      </c>
      <c r="AV873" s="180" t="str">
        <f t="shared" si="173"/>
        <v>.</v>
      </c>
      <c r="AW873" s="180">
        <f>IFERROR(VLOOKUP(B873,'Share, Heavy Weapons to Ukraine'!B:J,COLUMN('Share, Heavy Weapons to Ukraine'!C886)-1,0),0)</f>
        <v>0</v>
      </c>
      <c r="AX873" s="180">
        <f>VLOOKUP('Bilateral Assistance, MAIN DATA'!B873,'Country Summary'!B:F,COLUMN('Country Summary'!C889)-1,FALSE)</f>
        <v>1</v>
      </c>
      <c r="AY873" s="180" t="str">
        <f>IF(AND(AD873=1,D873="Military",H873&lt;&gt;"Not given")=TRUE,IF(SUMIFS(P:P,A:A,A873)&gt;0,ABS((SUMIFS(P:P,A:A,A873)/VLOOKUP("USD",'Exchange Rates'!B:C,2,0)))/S873,"."),".")</f>
        <v>.</v>
      </c>
      <c r="AZ873" s="182" t="str">
        <f>IF(AND(AD873=1,D873="Military",H873&lt;&gt;"Not given")=TRUE,IF(SUMIFS(P:P,A:A,A873)&gt;0,IF((ABS((SUMIFS(P:P,A:A,A873)/VLOOKUP("USD",'Exchange Rates'!B:C,2,0)))/S873)&gt;1,(SUMIFS(P:P,A:A,A873)-S873)/S873,(S873-SUMIFS(P:P,A:A,A873))/SUMIFS(P:P,A:A,A873)),"."),".")</f>
        <v>.</v>
      </c>
      <c r="BA873" s="182"/>
      <c r="BB873" s="182"/>
      <c r="BC873" s="182"/>
      <c r="BD873" s="182"/>
      <c r="BE873" s="182"/>
      <c r="BF873" s="182"/>
      <c r="BG873" s="182"/>
      <c r="BH873" s="182"/>
      <c r="BI873" s="182"/>
      <c r="BJ873" s="182"/>
      <c r="BK873" s="182"/>
      <c r="BL873" s="182"/>
      <c r="BM873" s="182"/>
      <c r="BN873" s="182"/>
      <c r="BO873" s="182"/>
      <c r="BP873" s="182"/>
      <c r="BQ873" s="182"/>
      <c r="BR873" s="182"/>
      <c r="BS873" s="182"/>
    </row>
    <row r="874" spans="1:71" ht="15.9" customHeight="1" x14ac:dyDescent="0.3">
      <c r="A874" s="5" t="s">
        <v>2546</v>
      </c>
      <c r="B874" s="5" t="s">
        <v>2547</v>
      </c>
      <c r="C874" s="174">
        <v>44618</v>
      </c>
      <c r="D874" s="5" t="s">
        <v>256</v>
      </c>
      <c r="E874" s="5" t="s">
        <v>2493</v>
      </c>
      <c r="F874" s="175" t="s">
        <v>2548</v>
      </c>
      <c r="G874" s="15" t="s">
        <v>364</v>
      </c>
      <c r="H874" s="176">
        <v>163000</v>
      </c>
      <c r="I874" s="17" t="s">
        <v>354</v>
      </c>
      <c r="J874" s="113" t="str">
        <f>VLOOKUP($I874,'Price List, Weapons &amp; Items'!B:C,2,0)</f>
        <v>Humanitarian</v>
      </c>
      <c r="K874" s="113" t="str">
        <f>IF(I874=".",I874,VLOOKUP($I874,'Price List, Weapons &amp; Items'!B:D,3,0))</f>
        <v>Humanitarian</v>
      </c>
      <c r="L874" s="177">
        <f>VLOOKUP(I874,'Price List, Weapons &amp; Items'!B:E,4,0)</f>
        <v>0</v>
      </c>
      <c r="M874" s="542">
        <v>200</v>
      </c>
      <c r="N874" s="542" t="s">
        <v>270</v>
      </c>
      <c r="O874" s="543">
        <f>VLOOKUP($I874,'Price List, Weapons &amp; Items'!B:G,6,0)</f>
        <v>150</v>
      </c>
      <c r="P874" s="176">
        <f t="shared" si="164"/>
        <v>30000</v>
      </c>
      <c r="Q874" s="176" t="str">
        <f t="shared" si="165"/>
        <v>.</v>
      </c>
      <c r="R874" s="176" t="str">
        <f t="shared" si="174"/>
        <v/>
      </c>
      <c r="S874" s="176" t="str">
        <f>IF(AND(AD874=1,R874&lt;&gt;".")=TRUE,R874/VLOOKUP(G874,'Exchange Rates'!B:C,2,0),IF(R874=".",".",""))</f>
        <v/>
      </c>
      <c r="T874" s="176" t="str">
        <f>IF(AD874=1,IF(AF874="Value is not given at all",".",IF(AF874="Value is given by the source",S874,IF(AF874="Value is calculated with prices",(IF(SUMIFS(Q:Q,A:A,A874)&gt;0,SUMIFS(Q:Q,A:A,A874),"."))/VLOOKUP("USD",'Exchange Rates'!B:C,2,0),"Error with coding"))),"")</f>
        <v/>
      </c>
      <c r="U874" s="15" t="s">
        <v>261</v>
      </c>
      <c r="V874" s="547" t="s">
        <v>2550</v>
      </c>
      <c r="W874" s="547" t="s">
        <v>2551</v>
      </c>
      <c r="X874" s="547" t="s">
        <v>2552</v>
      </c>
      <c r="Y874" s="188" t="s">
        <v>260</v>
      </c>
      <c r="Z874" s="15">
        <v>0</v>
      </c>
      <c r="AA874" s="180">
        <v>0</v>
      </c>
      <c r="AB874" s="184" t="s">
        <v>260</v>
      </c>
      <c r="AC874" s="544" t="str">
        <f>""</f>
        <v/>
      </c>
      <c r="AD874" s="183">
        <v>0</v>
      </c>
      <c r="AE874" s="183" t="s">
        <v>264</v>
      </c>
      <c r="AF874" s="183" t="s">
        <v>265</v>
      </c>
      <c r="AG874" s="183">
        <v>1</v>
      </c>
      <c r="AH874" s="183">
        <v>2</v>
      </c>
      <c r="AI874" s="183">
        <v>0</v>
      </c>
      <c r="AJ874" s="181">
        <f>VLOOKUP($I874,'Price List, Weapons &amp; Items'!B:F,5,0)</f>
        <v>0</v>
      </c>
      <c r="AK874" s="181">
        <f t="shared" si="166"/>
        <v>0</v>
      </c>
      <c r="AL874" s="181">
        <f t="shared" si="167"/>
        <v>0</v>
      </c>
      <c r="AM874" s="181">
        <f t="shared" si="168"/>
        <v>0</v>
      </c>
      <c r="AN874" s="180" t="str">
        <f>VLOOKUP($I874,'Price List, Weapons &amp; Items'!B:L,COLUMN('Price List, Weapons &amp; Items'!$J$11)-1,0)</f>
        <v>Miscellaneous</v>
      </c>
      <c r="AO874" s="180" t="str">
        <f>IF(I874=".",".",VLOOKUP($I874,'Price List, Weapons &amp; Items'!B:J,3,0))</f>
        <v>Humanitarian</v>
      </c>
      <c r="AP874" s="545" t="str">
        <f t="shared" ca="1" si="175"/>
        <v/>
      </c>
      <c r="AQ874" s="180">
        <f>VLOOKUP($I874,'Price List, Weapons &amp; Items'!B:L,COLUMN('Price List, Weapons &amp; Items'!$L$11)-1,0)</f>
        <v>0</v>
      </c>
      <c r="AR874" s="180">
        <f t="shared" si="169"/>
        <v>1</v>
      </c>
      <c r="AS874" s="180">
        <f t="shared" si="170"/>
        <v>0</v>
      </c>
      <c r="AT874" s="180">
        <f t="shared" si="171"/>
        <v>1</v>
      </c>
      <c r="AU874" s="180" t="str">
        <f t="shared" si="172"/>
        <v>.</v>
      </c>
      <c r="AV874" s="180" t="str">
        <f t="shared" si="173"/>
        <v>.</v>
      </c>
      <c r="AW874" s="180">
        <f>IFERROR(VLOOKUP(B874,'Share, Heavy Weapons to Ukraine'!B:J,COLUMN('Share, Heavy Weapons to Ukraine'!C887)-1,0),0)</f>
        <v>0</v>
      </c>
      <c r="AX874" s="180">
        <f>VLOOKUP('Bilateral Assistance, MAIN DATA'!B874,'Country Summary'!B:F,COLUMN('Country Summary'!C890)-1,FALSE)</f>
        <v>1</v>
      </c>
      <c r="AY874" s="180" t="str">
        <f>IF(AND(AD874=1,D874="Military",H874&lt;&gt;"Not given")=TRUE,IF(SUMIFS(P:P,A:A,A874)&gt;0,ABS((SUMIFS(P:P,A:A,A874)/VLOOKUP("USD",'Exchange Rates'!B:C,2,0)))/S874,"."),".")</f>
        <v>.</v>
      </c>
      <c r="AZ874" s="182" t="str">
        <f>IF(AND(AD874=1,D874="Military",H874&lt;&gt;"Not given")=TRUE,IF(SUMIFS(P:P,A:A,A874)&gt;0,IF((ABS((SUMIFS(P:P,A:A,A874)/VLOOKUP("USD",'Exchange Rates'!B:C,2,0)))/S874)&gt;1,(SUMIFS(P:P,A:A,A874)-S874)/S874,(S874-SUMIFS(P:P,A:A,A874))/SUMIFS(P:P,A:A,A874)),"."),".")</f>
        <v>.</v>
      </c>
      <c r="BA874" s="182"/>
      <c r="BB874" s="182"/>
      <c r="BC874" s="182"/>
      <c r="BD874" s="182"/>
      <c r="BE874" s="182"/>
      <c r="BF874" s="182"/>
      <c r="BG874" s="182"/>
      <c r="BH874" s="182"/>
      <c r="BI874" s="182"/>
      <c r="BJ874" s="182"/>
      <c r="BK874" s="182"/>
      <c r="BL874" s="182"/>
      <c r="BM874" s="182"/>
      <c r="BN874" s="182"/>
      <c r="BO874" s="182"/>
      <c r="BP874" s="182"/>
      <c r="BQ874" s="182"/>
      <c r="BR874" s="182"/>
      <c r="BS874" s="182"/>
    </row>
    <row r="875" spans="1:71" ht="15.9" customHeight="1" x14ac:dyDescent="0.3">
      <c r="A875" s="5" t="s">
        <v>2546</v>
      </c>
      <c r="B875" s="5" t="s">
        <v>2547</v>
      </c>
      <c r="C875" s="174">
        <v>44618</v>
      </c>
      <c r="D875" s="5" t="s">
        <v>256</v>
      </c>
      <c r="E875" s="5" t="s">
        <v>2493</v>
      </c>
      <c r="F875" s="175" t="s">
        <v>2548</v>
      </c>
      <c r="G875" s="15" t="s">
        <v>364</v>
      </c>
      <c r="H875" s="176">
        <v>163000</v>
      </c>
      <c r="I875" s="17" t="s">
        <v>2553</v>
      </c>
      <c r="J875" s="113" t="str">
        <f>VLOOKUP($I875,'Price List, Weapons &amp; Items'!B:C,2,0)</f>
        <v>Humanitarian</v>
      </c>
      <c r="K875" s="113" t="str">
        <f>IF(I875=".",I875,VLOOKUP($I875,'Price List, Weapons &amp; Items'!B:D,3,0))</f>
        <v>Humanitarian</v>
      </c>
      <c r="L875" s="177">
        <f>VLOOKUP(I875,'Price List, Weapons &amp; Items'!B:E,4,0)</f>
        <v>0</v>
      </c>
      <c r="M875" s="542">
        <v>200</v>
      </c>
      <c r="N875" s="542" t="s">
        <v>270</v>
      </c>
      <c r="O875" s="543">
        <f>VLOOKUP($I875,'Price List, Weapons &amp; Items'!B:G,6,0)</f>
        <v>50</v>
      </c>
      <c r="P875" s="176">
        <f t="shared" si="164"/>
        <v>10000</v>
      </c>
      <c r="Q875" s="176" t="str">
        <f t="shared" si="165"/>
        <v>.</v>
      </c>
      <c r="R875" s="176" t="str">
        <f t="shared" si="174"/>
        <v/>
      </c>
      <c r="S875" s="176" t="str">
        <f>IF(AND(AD875=1,R875&lt;&gt;".")=TRUE,R875/VLOOKUP(G875,'Exchange Rates'!B:C,2,0),IF(R875=".",".",""))</f>
        <v/>
      </c>
      <c r="T875" s="176" t="str">
        <f>IF(AD875=1,IF(AF875="Value is not given at all",".",IF(AF875="Value is given by the source",S875,IF(AF875="Value is calculated with prices",(IF(SUMIFS(Q:Q,A:A,A875)&gt;0,SUMIFS(Q:Q,A:A,A875),"."))/VLOOKUP("USD",'Exchange Rates'!B:C,2,0),"Error with coding"))),"")</f>
        <v/>
      </c>
      <c r="U875" s="15" t="s">
        <v>261</v>
      </c>
      <c r="V875" s="547" t="s">
        <v>2550</v>
      </c>
      <c r="W875" s="547" t="s">
        <v>2551</v>
      </c>
      <c r="X875" s="547" t="s">
        <v>2552</v>
      </c>
      <c r="Y875" s="188" t="s">
        <v>260</v>
      </c>
      <c r="Z875" s="15">
        <v>0</v>
      </c>
      <c r="AA875" s="180">
        <v>0</v>
      </c>
      <c r="AB875" s="184" t="s">
        <v>260</v>
      </c>
      <c r="AC875" s="544" t="str">
        <f>""</f>
        <v/>
      </c>
      <c r="AD875" s="183">
        <v>0</v>
      </c>
      <c r="AE875" s="183" t="s">
        <v>264</v>
      </c>
      <c r="AF875" s="183" t="s">
        <v>265</v>
      </c>
      <c r="AG875" s="183">
        <v>1</v>
      </c>
      <c r="AH875" s="183">
        <v>2</v>
      </c>
      <c r="AI875" s="183">
        <v>0</v>
      </c>
      <c r="AJ875" s="181">
        <f>VLOOKUP($I875,'Price List, Weapons &amp; Items'!B:F,5,0)</f>
        <v>0</v>
      </c>
      <c r="AK875" s="181">
        <f t="shared" si="166"/>
        <v>0</v>
      </c>
      <c r="AL875" s="181">
        <f t="shared" si="167"/>
        <v>0</v>
      </c>
      <c r="AM875" s="181">
        <f t="shared" si="168"/>
        <v>0</v>
      </c>
      <c r="AN875" s="180" t="str">
        <f>VLOOKUP($I875,'Price List, Weapons &amp; Items'!B:L,COLUMN('Price List, Weapons &amp; Items'!$J$11)-1,0)</f>
        <v>Online marketplaces and stores</v>
      </c>
      <c r="AO875" s="180" t="str">
        <f>IF(I875=".",".",VLOOKUP($I875,'Price List, Weapons &amp; Items'!B:J,3,0))</f>
        <v>Humanitarian</v>
      </c>
      <c r="AP875" s="545" t="str">
        <f t="shared" ca="1" si="175"/>
        <v/>
      </c>
      <c r="AQ875" s="180">
        <f>VLOOKUP($I875,'Price List, Weapons &amp; Items'!B:L,COLUMN('Price List, Weapons &amp; Items'!$L$11)-1,0)</f>
        <v>0</v>
      </c>
      <c r="AR875" s="180">
        <f t="shared" si="169"/>
        <v>1</v>
      </c>
      <c r="AS875" s="180">
        <f t="shared" si="170"/>
        <v>0</v>
      </c>
      <c r="AT875" s="180">
        <f t="shared" si="171"/>
        <v>1</v>
      </c>
      <c r="AU875" s="180" t="str">
        <f t="shared" si="172"/>
        <v>.</v>
      </c>
      <c r="AV875" s="180" t="str">
        <f t="shared" si="173"/>
        <v>.</v>
      </c>
      <c r="AW875" s="180">
        <f>IFERROR(VLOOKUP(B875,'Share, Heavy Weapons to Ukraine'!B:J,COLUMN('Share, Heavy Weapons to Ukraine'!C888)-1,0),0)</f>
        <v>0</v>
      </c>
      <c r="AX875" s="180">
        <f>VLOOKUP('Bilateral Assistance, MAIN DATA'!B875,'Country Summary'!B:F,COLUMN('Country Summary'!C891)-1,FALSE)</f>
        <v>1</v>
      </c>
      <c r="AY875" s="180" t="str">
        <f>IF(AND(AD875=1,D875="Military",H875&lt;&gt;"Not given")=TRUE,IF(SUMIFS(P:P,A:A,A875)&gt;0,ABS((SUMIFS(P:P,A:A,A875)/VLOOKUP("USD",'Exchange Rates'!B:C,2,0)))/S875,"."),".")</f>
        <v>.</v>
      </c>
      <c r="AZ875" s="182" t="str">
        <f>IF(AND(AD875=1,D875="Military",H875&lt;&gt;"Not given")=TRUE,IF(SUMIFS(P:P,A:A,A875)&gt;0,IF((ABS((SUMIFS(P:P,A:A,A875)/VLOOKUP("USD",'Exchange Rates'!B:C,2,0)))/S875)&gt;1,(SUMIFS(P:P,A:A,A875)-S875)/S875,(S875-SUMIFS(P:P,A:A,A875))/SUMIFS(P:P,A:A,A875)),"."),".")</f>
        <v>.</v>
      </c>
      <c r="BA875" s="182"/>
      <c r="BB875" s="182"/>
      <c r="BC875" s="182"/>
      <c r="BD875" s="182"/>
      <c r="BE875" s="182"/>
      <c r="BF875" s="182"/>
      <c r="BG875" s="182"/>
      <c r="BH875" s="182"/>
      <c r="BI875" s="182"/>
      <c r="BJ875" s="182"/>
      <c r="BK875" s="182"/>
      <c r="BL875" s="182"/>
      <c r="BM875" s="182"/>
      <c r="BN875" s="182"/>
      <c r="BO875" s="182"/>
      <c r="BP875" s="182"/>
      <c r="BQ875" s="182"/>
      <c r="BR875" s="182"/>
      <c r="BS875" s="182"/>
    </row>
    <row r="876" spans="1:71" ht="15.9" customHeight="1" x14ac:dyDescent="0.3">
      <c r="A876" s="5" t="s">
        <v>2546</v>
      </c>
      <c r="B876" s="5" t="s">
        <v>2547</v>
      </c>
      <c r="C876" s="174">
        <v>44618</v>
      </c>
      <c r="D876" s="5" t="s">
        <v>256</v>
      </c>
      <c r="E876" s="5" t="s">
        <v>2493</v>
      </c>
      <c r="F876" s="175" t="s">
        <v>2548</v>
      </c>
      <c r="G876" s="15" t="s">
        <v>364</v>
      </c>
      <c r="H876" s="176">
        <v>163000</v>
      </c>
      <c r="I876" s="17" t="s">
        <v>2554</v>
      </c>
      <c r="J876" s="113" t="str">
        <f>VLOOKUP($I876,'Price List, Weapons &amp; Items'!B:C,2,0)</f>
        <v>Humanitarian</v>
      </c>
      <c r="K876" s="113" t="str">
        <f>IF(I876=".",I876,VLOOKUP($I876,'Price List, Weapons &amp; Items'!B:D,3,0))</f>
        <v>Humanitarian</v>
      </c>
      <c r="L876" s="177">
        <f>VLOOKUP(I876,'Price List, Weapons &amp; Items'!B:E,4,0)</f>
        <v>0</v>
      </c>
      <c r="M876" s="542">
        <v>250000</v>
      </c>
      <c r="N876" s="542" t="s">
        <v>270</v>
      </c>
      <c r="O876" s="543">
        <f>VLOOKUP($I876,'Price List, Weapons &amp; Items'!B:G,6,0)</f>
        <v>0.32</v>
      </c>
      <c r="P876" s="176">
        <f t="shared" si="164"/>
        <v>80000</v>
      </c>
      <c r="Q876" s="176" t="str">
        <f t="shared" si="165"/>
        <v>.</v>
      </c>
      <c r="R876" s="176" t="str">
        <f t="shared" si="174"/>
        <v/>
      </c>
      <c r="S876" s="176" t="str">
        <f>IF(AND(AD876=1,R876&lt;&gt;".")=TRUE,R876/VLOOKUP(G876,'Exchange Rates'!B:C,2,0),IF(R876=".",".",""))</f>
        <v/>
      </c>
      <c r="T876" s="176" t="str">
        <f>IF(AD876=1,IF(AF876="Value is not given at all",".",IF(AF876="Value is given by the source",S876,IF(AF876="Value is calculated with prices",(IF(SUMIFS(Q:Q,A:A,A876)&gt;0,SUMIFS(Q:Q,A:A,A876),"."))/VLOOKUP("USD",'Exchange Rates'!B:C,2,0),"Error with coding"))),"")</f>
        <v/>
      </c>
      <c r="U876" s="15" t="s">
        <v>261</v>
      </c>
      <c r="V876" s="547" t="s">
        <v>2550</v>
      </c>
      <c r="W876" s="547" t="s">
        <v>2551</v>
      </c>
      <c r="X876" s="547" t="s">
        <v>2552</v>
      </c>
      <c r="Y876" s="188" t="s">
        <v>260</v>
      </c>
      <c r="Z876" s="15">
        <v>0</v>
      </c>
      <c r="AA876" s="180">
        <v>0</v>
      </c>
      <c r="AB876" s="184" t="s">
        <v>260</v>
      </c>
      <c r="AC876" s="544" t="str">
        <f>""</f>
        <v/>
      </c>
      <c r="AD876" s="183">
        <v>0</v>
      </c>
      <c r="AE876" s="183" t="s">
        <v>264</v>
      </c>
      <c r="AF876" s="183" t="s">
        <v>265</v>
      </c>
      <c r="AG876" s="183">
        <v>1</v>
      </c>
      <c r="AH876" s="183">
        <v>2</v>
      </c>
      <c r="AI876" s="183">
        <v>0</v>
      </c>
      <c r="AJ876" s="181">
        <f>VLOOKUP($I876,'Price List, Weapons &amp; Items'!B:F,5,0)</f>
        <v>0</v>
      </c>
      <c r="AK876" s="181">
        <f t="shared" si="166"/>
        <v>0</v>
      </c>
      <c r="AL876" s="181">
        <f t="shared" si="167"/>
        <v>0</v>
      </c>
      <c r="AM876" s="181">
        <f t="shared" si="168"/>
        <v>0</v>
      </c>
      <c r="AN876" s="180" t="str">
        <f>VLOOKUP($I876,'Price List, Weapons &amp; Items'!B:L,COLUMN('Price List, Weapons &amp; Items'!$J$11)-1,0)</f>
        <v>Online marketplaces and stores</v>
      </c>
      <c r="AO876" s="180" t="str">
        <f>IF(I876=".",".",VLOOKUP($I876,'Price List, Weapons &amp; Items'!B:J,3,0))</f>
        <v>Humanitarian</v>
      </c>
      <c r="AP876" s="545" t="str">
        <f t="shared" ca="1" si="175"/>
        <v/>
      </c>
      <c r="AQ876" s="180">
        <f>VLOOKUP($I876,'Price List, Weapons &amp; Items'!B:L,COLUMN('Price List, Weapons &amp; Items'!$L$11)-1,0)</f>
        <v>0</v>
      </c>
      <c r="AR876" s="180">
        <f t="shared" si="169"/>
        <v>1</v>
      </c>
      <c r="AS876" s="180">
        <f t="shared" si="170"/>
        <v>0</v>
      </c>
      <c r="AT876" s="180">
        <f t="shared" si="171"/>
        <v>1</v>
      </c>
      <c r="AU876" s="180" t="str">
        <f t="shared" si="172"/>
        <v>.</v>
      </c>
      <c r="AV876" s="180" t="str">
        <f t="shared" si="173"/>
        <v>.</v>
      </c>
      <c r="AW876" s="180">
        <f>IFERROR(VLOOKUP(B876,'Share, Heavy Weapons to Ukraine'!B:J,COLUMN('Share, Heavy Weapons to Ukraine'!C889)-1,0),0)</f>
        <v>0</v>
      </c>
      <c r="AX876" s="180">
        <f>VLOOKUP('Bilateral Assistance, MAIN DATA'!B876,'Country Summary'!B:F,COLUMN('Country Summary'!C892)-1,FALSE)</f>
        <v>1</v>
      </c>
      <c r="AY876" s="180" t="str">
        <f>IF(AND(AD876=1,D876="Military",H876&lt;&gt;"Not given")=TRUE,IF(SUMIFS(P:P,A:A,A876)&gt;0,ABS((SUMIFS(P:P,A:A,A876)/VLOOKUP("USD",'Exchange Rates'!B:C,2,0)))/S876,"."),".")</f>
        <v>.</v>
      </c>
      <c r="AZ876" s="182" t="str">
        <f>IF(AND(AD876=1,D876="Military",H876&lt;&gt;"Not given")=TRUE,IF(SUMIFS(P:P,A:A,A876)&gt;0,IF((ABS((SUMIFS(P:P,A:A,A876)/VLOOKUP("USD",'Exchange Rates'!B:C,2,0)))/S876)&gt;1,(SUMIFS(P:P,A:A,A876)-S876)/S876,(S876-SUMIFS(P:P,A:A,A876))/SUMIFS(P:P,A:A,A876)),"."),".")</f>
        <v>.</v>
      </c>
      <c r="BA876" s="182"/>
      <c r="BB876" s="182"/>
      <c r="BC876" s="182"/>
      <c r="BD876" s="182"/>
      <c r="BE876" s="182"/>
      <c r="BF876" s="182"/>
      <c r="BG876" s="182"/>
      <c r="BH876" s="182"/>
      <c r="BI876" s="182"/>
      <c r="BJ876" s="182"/>
      <c r="BK876" s="182"/>
      <c r="BL876" s="182"/>
      <c r="BM876" s="182"/>
      <c r="BN876" s="182"/>
      <c r="BO876" s="182"/>
      <c r="BP876" s="182"/>
      <c r="BQ876" s="182"/>
      <c r="BR876" s="182"/>
      <c r="BS876" s="182"/>
    </row>
    <row r="877" spans="1:71" ht="15.9" customHeight="1" x14ac:dyDescent="0.3">
      <c r="A877" s="5" t="s">
        <v>2546</v>
      </c>
      <c r="B877" s="5" t="s">
        <v>2547</v>
      </c>
      <c r="C877" s="174">
        <v>44618</v>
      </c>
      <c r="D877" s="5" t="s">
        <v>256</v>
      </c>
      <c r="E877" s="5" t="s">
        <v>2493</v>
      </c>
      <c r="F877" s="175" t="s">
        <v>2548</v>
      </c>
      <c r="G877" s="15" t="s">
        <v>364</v>
      </c>
      <c r="H877" s="176">
        <v>163000</v>
      </c>
      <c r="I877" s="17" t="s">
        <v>2555</v>
      </c>
      <c r="J877" s="113" t="str">
        <f>VLOOKUP($I877,'Price List, Weapons &amp; Items'!B:C,2,0)</f>
        <v>Humanitarian</v>
      </c>
      <c r="K877" s="113" t="str">
        <f>IF(I877=".",I877,VLOOKUP($I877,'Price List, Weapons &amp; Items'!B:D,3,0))</f>
        <v>Humanitarian</v>
      </c>
      <c r="L877" s="177">
        <f>VLOOKUP(I877,'Price List, Weapons &amp; Items'!B:E,4,0)</f>
        <v>0</v>
      </c>
      <c r="M877" s="542">
        <v>250000</v>
      </c>
      <c r="N877" s="542" t="s">
        <v>270</v>
      </c>
      <c r="O877" s="543">
        <f>VLOOKUP($I877,'Price List, Weapons &amp; Items'!B:G,6,0)</f>
        <v>0.26</v>
      </c>
      <c r="P877" s="176">
        <f t="shared" si="164"/>
        <v>65000</v>
      </c>
      <c r="Q877" s="176" t="str">
        <f t="shared" si="165"/>
        <v>.</v>
      </c>
      <c r="R877" s="176" t="str">
        <f t="shared" si="174"/>
        <v/>
      </c>
      <c r="S877" s="176" t="str">
        <f>IF(AND(AD877=1,R877&lt;&gt;".")=TRUE,R877/VLOOKUP(G877,'Exchange Rates'!B:C,2,0),IF(R877=".",".",""))</f>
        <v/>
      </c>
      <c r="T877" s="176" t="str">
        <f>IF(AD877=1,IF(AF877="Value is not given at all",".",IF(AF877="Value is given by the source",S877,IF(AF877="Value is calculated with prices",(IF(SUMIFS(Q:Q,A:A,A877)&gt;0,SUMIFS(Q:Q,A:A,A877),"."))/VLOOKUP("USD",'Exchange Rates'!B:C,2,0),"Error with coding"))),"")</f>
        <v/>
      </c>
      <c r="U877" s="15" t="s">
        <v>261</v>
      </c>
      <c r="V877" s="547" t="s">
        <v>2550</v>
      </c>
      <c r="W877" s="547" t="s">
        <v>2551</v>
      </c>
      <c r="X877" s="547" t="s">
        <v>2552</v>
      </c>
      <c r="Y877" s="188" t="s">
        <v>260</v>
      </c>
      <c r="Z877" s="15">
        <v>0</v>
      </c>
      <c r="AA877" s="180">
        <v>0</v>
      </c>
      <c r="AB877" s="184" t="s">
        <v>260</v>
      </c>
      <c r="AC877" s="544" t="str">
        <f>""</f>
        <v/>
      </c>
      <c r="AD877" s="183">
        <v>0</v>
      </c>
      <c r="AE877" s="183" t="s">
        <v>264</v>
      </c>
      <c r="AF877" s="183" t="s">
        <v>265</v>
      </c>
      <c r="AG877" s="183">
        <v>1</v>
      </c>
      <c r="AH877" s="183">
        <v>2</v>
      </c>
      <c r="AI877" s="183">
        <v>0</v>
      </c>
      <c r="AJ877" s="181">
        <f>VLOOKUP($I877,'Price List, Weapons &amp; Items'!B:F,5,0)</f>
        <v>0</v>
      </c>
      <c r="AK877" s="181">
        <f t="shared" si="166"/>
        <v>0</v>
      </c>
      <c r="AL877" s="181">
        <f t="shared" si="167"/>
        <v>0</v>
      </c>
      <c r="AM877" s="181">
        <f t="shared" si="168"/>
        <v>0</v>
      </c>
      <c r="AN877" s="180" t="str">
        <f>VLOOKUP($I877,'Price List, Weapons &amp; Items'!B:L,COLUMN('Price List, Weapons &amp; Items'!$J$11)-1,0)</f>
        <v>Online marketplaces and stores</v>
      </c>
      <c r="AO877" s="180" t="str">
        <f>IF(I877=".",".",VLOOKUP($I877,'Price List, Weapons &amp; Items'!B:J,3,0))</f>
        <v>Humanitarian</v>
      </c>
      <c r="AP877" s="545" t="str">
        <f t="shared" ca="1" si="175"/>
        <v/>
      </c>
      <c r="AQ877" s="180">
        <f>VLOOKUP($I877,'Price List, Weapons &amp; Items'!B:L,COLUMN('Price List, Weapons &amp; Items'!$L$11)-1,0)</f>
        <v>0</v>
      </c>
      <c r="AR877" s="180">
        <f t="shared" si="169"/>
        <v>1</v>
      </c>
      <c r="AS877" s="180">
        <f t="shared" si="170"/>
        <v>0</v>
      </c>
      <c r="AT877" s="180">
        <f t="shared" si="171"/>
        <v>1</v>
      </c>
      <c r="AU877" s="180" t="str">
        <f t="shared" si="172"/>
        <v>.</v>
      </c>
      <c r="AV877" s="180" t="str">
        <f t="shared" si="173"/>
        <v>.</v>
      </c>
      <c r="AW877" s="180">
        <f>IFERROR(VLOOKUP(B877,'Share, Heavy Weapons to Ukraine'!B:J,COLUMN('Share, Heavy Weapons to Ukraine'!C890)-1,0),0)</f>
        <v>0</v>
      </c>
      <c r="AX877" s="180">
        <f>VLOOKUP('Bilateral Assistance, MAIN DATA'!B877,'Country Summary'!B:F,COLUMN('Country Summary'!C893)-1,FALSE)</f>
        <v>1</v>
      </c>
      <c r="AY877" s="180" t="str">
        <f>IF(AND(AD877=1,D877="Military",H877&lt;&gt;"Not given")=TRUE,IF(SUMIFS(P:P,A:A,A877)&gt;0,ABS((SUMIFS(P:P,A:A,A877)/VLOOKUP("USD",'Exchange Rates'!B:C,2,0)))/S877,"."),".")</f>
        <v>.</v>
      </c>
      <c r="AZ877" s="182" t="str">
        <f>IF(AND(AD877=1,D877="Military",H877&lt;&gt;"Not given")=TRUE,IF(SUMIFS(P:P,A:A,A877)&gt;0,IF((ABS((SUMIFS(P:P,A:A,A877)/VLOOKUP("USD",'Exchange Rates'!B:C,2,0)))/S877)&gt;1,(SUMIFS(P:P,A:A,A877)-S877)/S877,(S877-SUMIFS(P:P,A:A,A877))/SUMIFS(P:P,A:A,A877)),"."),".")</f>
        <v>.</v>
      </c>
      <c r="BA877" s="182"/>
      <c r="BB877" s="182"/>
      <c r="BC877" s="182"/>
      <c r="BD877" s="182"/>
      <c r="BE877" s="182"/>
      <c r="BF877" s="182"/>
      <c r="BG877" s="182"/>
      <c r="BH877" s="182"/>
      <c r="BI877" s="182"/>
      <c r="BJ877" s="182"/>
      <c r="BK877" s="182"/>
      <c r="BL877" s="182"/>
      <c r="BM877" s="182"/>
      <c r="BN877" s="182"/>
      <c r="BO877" s="182"/>
      <c r="BP877" s="182"/>
      <c r="BQ877" s="182"/>
      <c r="BR877" s="182"/>
      <c r="BS877" s="182"/>
    </row>
    <row r="878" spans="1:71" ht="15.9" customHeight="1" x14ac:dyDescent="0.3">
      <c r="A878" s="5" t="s">
        <v>2546</v>
      </c>
      <c r="B878" s="5" t="s">
        <v>2547</v>
      </c>
      <c r="C878" s="174">
        <v>44618</v>
      </c>
      <c r="D878" s="5" t="s">
        <v>256</v>
      </c>
      <c r="E878" s="5" t="s">
        <v>2493</v>
      </c>
      <c r="F878" s="175" t="s">
        <v>2548</v>
      </c>
      <c r="G878" s="15" t="s">
        <v>364</v>
      </c>
      <c r="H878" s="176">
        <v>163000</v>
      </c>
      <c r="I878" s="17" t="s">
        <v>2147</v>
      </c>
      <c r="J878" s="113" t="str">
        <f>VLOOKUP($I878,'Price List, Weapons &amp; Items'!B:C,2,0)</f>
        <v>Humanitarian</v>
      </c>
      <c r="K878" s="113" t="str">
        <f>IF(I878=".",I878,VLOOKUP($I878,'Price List, Weapons &amp; Items'!B:D,3,0))</f>
        <v>Humanitarian</v>
      </c>
      <c r="L878" s="177">
        <f>VLOOKUP(I878,'Price List, Weapons &amp; Items'!B:E,4,0)</f>
        <v>0</v>
      </c>
      <c r="M878" s="542">
        <v>600000</v>
      </c>
      <c r="N878" s="542" t="s">
        <v>270</v>
      </c>
      <c r="O878" s="543">
        <f>VLOOKUP($I878,'Price List, Weapons &amp; Items'!B:G,6,0)</f>
        <v>0.24</v>
      </c>
      <c r="P878" s="176">
        <f t="shared" ref="P878:P941" si="176">IF(TYPE(M878)=1,IF(TYPE(O878)=1,M878*O878,"No price"),".")</f>
        <v>144000</v>
      </c>
      <c r="Q878" s="176" t="str">
        <f t="shared" ref="Q878:Q941" si="177">IF(TYPE(N878)=1,IF(TYPE(O878)=1,N878*O878,"No price"),".")</f>
        <v>.</v>
      </c>
      <c r="R878" s="176" t="str">
        <f t="shared" si="174"/>
        <v/>
      </c>
      <c r="S878" s="176" t="str">
        <f>IF(AND(AD878=1,R878&lt;&gt;".")=TRUE,R878/VLOOKUP(G878,'Exchange Rates'!B:C,2,0),IF(R878=".",".",""))</f>
        <v/>
      </c>
      <c r="T878" s="176" t="str">
        <f>IF(AD878=1,IF(AF878="Value is not given at all",".",IF(AF878="Value is given by the source",S878,IF(AF878="Value is calculated with prices",(IF(SUMIFS(Q:Q,A:A,A878)&gt;0,SUMIFS(Q:Q,A:A,A878),"."))/VLOOKUP("USD",'Exchange Rates'!B:C,2,0),"Error with coding"))),"")</f>
        <v/>
      </c>
      <c r="U878" s="15" t="s">
        <v>261</v>
      </c>
      <c r="V878" s="547" t="s">
        <v>2550</v>
      </c>
      <c r="W878" s="547" t="s">
        <v>2551</v>
      </c>
      <c r="X878" s="547" t="s">
        <v>2552</v>
      </c>
      <c r="Y878" s="188" t="s">
        <v>260</v>
      </c>
      <c r="Z878" s="15">
        <v>0</v>
      </c>
      <c r="AA878" s="180">
        <v>0</v>
      </c>
      <c r="AB878" s="184" t="s">
        <v>260</v>
      </c>
      <c r="AC878" s="544" t="str">
        <f>""</f>
        <v/>
      </c>
      <c r="AD878" s="183">
        <v>0</v>
      </c>
      <c r="AE878" s="183" t="s">
        <v>264</v>
      </c>
      <c r="AF878" s="183" t="s">
        <v>265</v>
      </c>
      <c r="AG878" s="183">
        <v>1</v>
      </c>
      <c r="AH878" s="183">
        <v>2</v>
      </c>
      <c r="AI878" s="183">
        <v>0</v>
      </c>
      <c r="AJ878" s="181">
        <f>VLOOKUP($I878,'Price List, Weapons &amp; Items'!B:F,5,0)</f>
        <v>0</v>
      </c>
      <c r="AK878" s="181">
        <f t="shared" ref="AK878:AK941" si="178">IF(AND(AJ878=1,M878="undisclosed")=TRUE,1,0)</f>
        <v>0</v>
      </c>
      <c r="AL878" s="181">
        <f t="shared" ref="AL878:AL941" si="179">IF(AND(AJ878=1,N878="undisclosed")=TRUE,1,0)</f>
        <v>0</v>
      </c>
      <c r="AM878" s="181">
        <f t="shared" ref="AM878:AM941" si="180">IFERROR(IF(SEARCH("ammuni",I878,1)&gt;0,1,0),0)</f>
        <v>0</v>
      </c>
      <c r="AN878" s="180" t="str">
        <f>VLOOKUP($I878,'Price List, Weapons &amp; Items'!B:L,COLUMN('Price List, Weapons &amp; Items'!$J$11)-1,0)</f>
        <v>Online marketplaces and stores</v>
      </c>
      <c r="AO878" s="180" t="str">
        <f>IF(I878=".",".",VLOOKUP($I878,'Price List, Weapons &amp; Items'!B:J,3,0))</f>
        <v>Humanitarian</v>
      </c>
      <c r="AP878" s="545" t="str">
        <f t="shared" ca="1" si="175"/>
        <v/>
      </c>
      <c r="AQ878" s="180">
        <f>VLOOKUP($I878,'Price List, Weapons &amp; Items'!B:L,COLUMN('Price List, Weapons &amp; Items'!$L$11)-1,0)</f>
        <v>0</v>
      </c>
      <c r="AR878" s="180">
        <f t="shared" ref="AR878:AR941" si="181">IF(U878="Yes",1,0)</f>
        <v>1</v>
      </c>
      <c r="AS878" s="180">
        <f t="shared" ref="AS878:AS941" si="182">IF(D878="Military",IF(OR(IFERROR(SEARCH("equipment",E878,1),0)&gt;0,IFERROR(SEARCH("weapons",E878,1),0)&gt;0),1,0),0)</f>
        <v>0</v>
      </c>
      <c r="AT878" s="180">
        <f t="shared" si="171"/>
        <v>1</v>
      </c>
      <c r="AU878" s="180" t="str">
        <f t="shared" si="172"/>
        <v>.</v>
      </c>
      <c r="AV878" s="180" t="str">
        <f t="shared" si="173"/>
        <v>.</v>
      </c>
      <c r="AW878" s="180">
        <f>IFERROR(VLOOKUP(B878,'Share, Heavy Weapons to Ukraine'!B:J,COLUMN('Share, Heavy Weapons to Ukraine'!C891)-1,0),0)</f>
        <v>0</v>
      </c>
      <c r="AX878" s="180">
        <f>VLOOKUP('Bilateral Assistance, MAIN DATA'!B878,'Country Summary'!B:F,COLUMN('Country Summary'!C894)-1,FALSE)</f>
        <v>1</v>
      </c>
      <c r="AY878" s="180" t="str">
        <f>IF(AND(AD878=1,D878="Military",H878&lt;&gt;"Not given")=TRUE,IF(SUMIFS(P:P,A:A,A878)&gt;0,ABS((SUMIFS(P:P,A:A,A878)/VLOOKUP("USD",'Exchange Rates'!B:C,2,0)))/S878,"."),".")</f>
        <v>.</v>
      </c>
      <c r="AZ878" s="182" t="str">
        <f>IF(AND(AD878=1,D878="Military",H878&lt;&gt;"Not given")=TRUE,IF(SUMIFS(P:P,A:A,A878)&gt;0,IF((ABS((SUMIFS(P:P,A:A,A878)/VLOOKUP("USD",'Exchange Rates'!B:C,2,0)))/S878)&gt;1,(SUMIFS(P:P,A:A,A878)-S878)/S878,(S878-SUMIFS(P:P,A:A,A878))/SUMIFS(P:P,A:A,A878)),"."),".")</f>
        <v>.</v>
      </c>
      <c r="BA878" s="182"/>
      <c r="BB878" s="182"/>
      <c r="BC878" s="182"/>
      <c r="BD878" s="182"/>
      <c r="BE878" s="182"/>
      <c r="BF878" s="182"/>
      <c r="BG878" s="182"/>
      <c r="BH878" s="182"/>
      <c r="BI878" s="182"/>
      <c r="BJ878" s="182"/>
      <c r="BK878" s="182"/>
      <c r="BL878" s="182"/>
      <c r="BM878" s="182"/>
      <c r="BN878" s="182"/>
      <c r="BO878" s="182"/>
      <c r="BP878" s="182"/>
      <c r="BQ878" s="182"/>
      <c r="BR878" s="182"/>
      <c r="BS878" s="182"/>
    </row>
    <row r="879" spans="1:71" ht="15.9" customHeight="1" x14ac:dyDescent="0.3">
      <c r="A879" s="17" t="s">
        <v>2556</v>
      </c>
      <c r="B879" s="17" t="s">
        <v>2547</v>
      </c>
      <c r="C879" s="174">
        <v>44619</v>
      </c>
      <c r="D879" s="5" t="s">
        <v>256</v>
      </c>
      <c r="E879" s="5" t="s">
        <v>362</v>
      </c>
      <c r="F879" s="175" t="s">
        <v>2557</v>
      </c>
      <c r="G879" s="15" t="s">
        <v>364</v>
      </c>
      <c r="H879" s="176">
        <v>100000</v>
      </c>
      <c r="I879" s="17" t="s">
        <v>260</v>
      </c>
      <c r="J879" s="113" t="str">
        <f>VLOOKUP($I879,'Price List, Weapons &amp; Items'!B:C,2,0)</f>
        <v>.</v>
      </c>
      <c r="K879" s="113" t="str">
        <f>IF(I879=".",I879,VLOOKUP($I879,'Price List, Weapons &amp; Items'!B:D,3,0))</f>
        <v>.</v>
      </c>
      <c r="L879" s="177">
        <f>VLOOKUP(I879,'Price List, Weapons &amp; Items'!B:E,4,0)</f>
        <v>0</v>
      </c>
      <c r="M879" s="542" t="s">
        <v>260</v>
      </c>
      <c r="N879" s="542" t="s">
        <v>260</v>
      </c>
      <c r="O879" s="543" t="str">
        <f>VLOOKUP($I879,'Price List, Weapons &amp; Items'!B:G,6,0)</f>
        <v>.</v>
      </c>
      <c r="P879" s="176" t="str">
        <f t="shared" si="176"/>
        <v>.</v>
      </c>
      <c r="Q879" s="176" t="str">
        <f t="shared" si="177"/>
        <v>.</v>
      </c>
      <c r="R879" s="176">
        <f t="shared" si="174"/>
        <v>100000</v>
      </c>
      <c r="S879" s="176">
        <f>IF(AND(AD879=1,R879&lt;&gt;".")=TRUE,R879/VLOOKUP(G879,'Exchange Rates'!B:C,2,0),IF(R879=".",".",""))</f>
        <v>100000</v>
      </c>
      <c r="T879" s="176" t="str">
        <f>IF(AD879=1,IF(AF879="Value is not given at all",".",IF(AF879="Value is given by the source",S879,IF(AF879="Value is calculated with prices",(IF(SUMIFS(Q:Q,A:A,A879)&gt;0,SUMIFS(Q:Q,A:A,A879),"."))/VLOOKUP("USD",'Exchange Rates'!B:C,2,0),"Error with coding"))),"")</f>
        <v>.</v>
      </c>
      <c r="U879" s="15" t="s">
        <v>415</v>
      </c>
      <c r="V879" s="300" t="s">
        <v>2558</v>
      </c>
      <c r="W879" s="175" t="s">
        <v>260</v>
      </c>
      <c r="X879" s="175" t="s">
        <v>260</v>
      </c>
      <c r="Y879" s="175" t="s">
        <v>260</v>
      </c>
      <c r="Z879" s="15">
        <v>0</v>
      </c>
      <c r="AA879" s="180">
        <v>0</v>
      </c>
      <c r="AB879" s="184" t="s">
        <v>260</v>
      </c>
      <c r="AC879" s="544" t="str">
        <f>""</f>
        <v/>
      </c>
      <c r="AD879" s="183">
        <v>1</v>
      </c>
      <c r="AE879" s="183" t="s">
        <v>264</v>
      </c>
      <c r="AF879" s="183" t="s">
        <v>265</v>
      </c>
      <c r="AG879" s="183">
        <v>1</v>
      </c>
      <c r="AH879" s="181">
        <v>2</v>
      </c>
      <c r="AI879" s="181">
        <v>0</v>
      </c>
      <c r="AJ879" s="181">
        <f>VLOOKUP($I879,'Price List, Weapons &amp; Items'!B:F,5,0)</f>
        <v>0</v>
      </c>
      <c r="AK879" s="181">
        <f t="shared" si="178"/>
        <v>0</v>
      </c>
      <c r="AL879" s="181">
        <f t="shared" si="179"/>
        <v>0</v>
      </c>
      <c r="AM879" s="181">
        <f t="shared" si="180"/>
        <v>0</v>
      </c>
      <c r="AN879" s="180" t="str">
        <f>VLOOKUP($I879,'Price List, Weapons &amp; Items'!B:L,COLUMN('Price List, Weapons &amp; Items'!$J$11)-1,0)</f>
        <v>.</v>
      </c>
      <c r="AO879" s="180" t="str">
        <f>IF(I879=".",".",VLOOKUP($I879,'Price List, Weapons &amp; Items'!B:J,3,0))</f>
        <v>.</v>
      </c>
      <c r="AP879" s="545" t="e">
        <f t="shared" ca="1" si="175"/>
        <v>#NAME?</v>
      </c>
      <c r="AQ879" s="180" t="str">
        <f>VLOOKUP($I879,'Price List, Weapons &amp; Items'!B:L,COLUMN('Price List, Weapons &amp; Items'!$L$11)-1,0)</f>
        <v>no price, 0 count</v>
      </c>
      <c r="AR879" s="180">
        <f t="shared" si="181"/>
        <v>0</v>
      </c>
      <c r="AS879" s="180">
        <f t="shared" si="182"/>
        <v>0</v>
      </c>
      <c r="AT879" s="180">
        <f t="shared" si="171"/>
        <v>1</v>
      </c>
      <c r="AU879" s="180" t="str">
        <f t="shared" si="172"/>
        <v>.</v>
      </c>
      <c r="AV879" s="180" t="str">
        <f t="shared" si="173"/>
        <v>.</v>
      </c>
      <c r="AW879" s="180">
        <f>IFERROR(VLOOKUP(B879,'Share, Heavy Weapons to Ukraine'!B:J,COLUMN('Share, Heavy Weapons to Ukraine'!C892)-1,0),0)</f>
        <v>0</v>
      </c>
      <c r="AX879" s="180">
        <f>VLOOKUP('Bilateral Assistance, MAIN DATA'!B879,'Country Summary'!B:F,COLUMN('Country Summary'!C895)-1,FALSE)</f>
        <v>1</v>
      </c>
      <c r="AY879" s="180" t="str">
        <f>IF(AND(AD879=1,D879="Military",H879&lt;&gt;"Not given")=TRUE,IF(SUMIFS(P:P,A:A,A879)&gt;0,ABS((SUMIFS(P:P,A:A,A879)/VLOOKUP("USD",'Exchange Rates'!B:C,2,0)))/S879,"."),".")</f>
        <v>.</v>
      </c>
      <c r="AZ879" s="182" t="str">
        <f>IF(AND(AD879=1,D879="Military",H879&lt;&gt;"Not given")=TRUE,IF(SUMIFS(P:P,A:A,A879)&gt;0,IF((ABS((SUMIFS(P:P,A:A,A879)/VLOOKUP("USD",'Exchange Rates'!B:C,2,0)))/S879)&gt;1,(SUMIFS(P:P,A:A,A879)-S879)/S879,(S879-SUMIFS(P:P,A:A,A879))/SUMIFS(P:P,A:A,A879)),"."),".")</f>
        <v>.</v>
      </c>
      <c r="BA879" s="182"/>
      <c r="BB879" s="182"/>
      <c r="BC879" s="182"/>
      <c r="BD879" s="182"/>
      <c r="BE879" s="182"/>
      <c r="BF879" s="182"/>
      <c r="BG879" s="182"/>
      <c r="BH879" s="182"/>
      <c r="BI879" s="182"/>
      <c r="BJ879" s="182"/>
      <c r="BK879" s="182"/>
      <c r="BL879" s="182"/>
      <c r="BM879" s="182"/>
      <c r="BN879" s="182"/>
      <c r="BO879" s="182"/>
      <c r="BP879" s="182"/>
      <c r="BQ879" s="182"/>
      <c r="BR879" s="182"/>
      <c r="BS879" s="182"/>
    </row>
    <row r="880" spans="1:71" ht="15.9" customHeight="1" x14ac:dyDescent="0.3">
      <c r="A880" s="17" t="s">
        <v>2559</v>
      </c>
      <c r="B880" s="17" t="s">
        <v>2547</v>
      </c>
      <c r="C880" s="174">
        <v>44644</v>
      </c>
      <c r="D880" s="5" t="s">
        <v>256</v>
      </c>
      <c r="E880" s="5" t="s">
        <v>267</v>
      </c>
      <c r="F880" s="175" t="s">
        <v>2560</v>
      </c>
      <c r="G880" s="15" t="s">
        <v>260</v>
      </c>
      <c r="H880" s="176" t="s">
        <v>341</v>
      </c>
      <c r="I880" s="17" t="s">
        <v>260</v>
      </c>
      <c r="J880" s="113" t="str">
        <f>VLOOKUP($I880,'Price List, Weapons &amp; Items'!B:C,2,0)</f>
        <v>.</v>
      </c>
      <c r="K880" s="113" t="str">
        <f>IF(I880=".",I880,VLOOKUP($I880,'Price List, Weapons &amp; Items'!B:D,3,0))</f>
        <v>.</v>
      </c>
      <c r="L880" s="177">
        <f>VLOOKUP(I880,'Price List, Weapons &amp; Items'!B:E,4,0)</f>
        <v>0</v>
      </c>
      <c r="M880" s="542" t="s">
        <v>260</v>
      </c>
      <c r="N880" s="542" t="s">
        <v>260</v>
      </c>
      <c r="O880" s="543" t="str">
        <f>VLOOKUP($I880,'Price List, Weapons &amp; Items'!B:G,6,0)</f>
        <v>.</v>
      </c>
      <c r="P880" s="176" t="str">
        <f t="shared" si="176"/>
        <v>.</v>
      </c>
      <c r="Q880" s="176" t="str">
        <f t="shared" si="177"/>
        <v>.</v>
      </c>
      <c r="R880" s="176" t="str">
        <f t="shared" si="174"/>
        <v>.</v>
      </c>
      <c r="S880" s="176" t="str">
        <f>IF(AND(AD880=1,R880&lt;&gt;".")=TRUE,R880/VLOOKUP(G880,'Exchange Rates'!B:C,2,0),IF(R880=".",".",""))</f>
        <v>.</v>
      </c>
      <c r="T880" s="176" t="str">
        <f>IF(AD880=1,IF(AF880="Value is not given at all",".",IF(AF880="Value is given by the source",S880,IF(AF880="Value is calculated with prices",(IF(SUMIFS(Q:Q,A:A,A880)&gt;0,SUMIFS(Q:Q,A:A,A880),"."))/VLOOKUP("USD",'Exchange Rates'!B:C,2,0),"Error with coding"))),"")</f>
        <v>.</v>
      </c>
      <c r="U880" s="15" t="s">
        <v>415</v>
      </c>
      <c r="V880" s="300" t="s">
        <v>2561</v>
      </c>
      <c r="W880" s="300" t="s">
        <v>2562</v>
      </c>
      <c r="X880" s="175" t="s">
        <v>260</v>
      </c>
      <c r="Y880" s="175" t="s">
        <v>260</v>
      </c>
      <c r="Z880" s="15">
        <v>0</v>
      </c>
      <c r="AA880" s="180">
        <v>0</v>
      </c>
      <c r="AB880" s="184" t="s">
        <v>260</v>
      </c>
      <c r="AC880" s="544" t="str">
        <f>""</f>
        <v/>
      </c>
      <c r="AD880" s="181">
        <v>1</v>
      </c>
      <c r="AE880" s="181" t="s">
        <v>265</v>
      </c>
      <c r="AF880" s="181" t="s">
        <v>265</v>
      </c>
      <c r="AG880" s="181">
        <v>1</v>
      </c>
      <c r="AH880" s="181">
        <v>3</v>
      </c>
      <c r="AI880" s="181">
        <v>0</v>
      </c>
      <c r="AJ880" s="181">
        <f>VLOOKUP($I880,'Price List, Weapons &amp; Items'!B:F,5,0)</f>
        <v>0</v>
      </c>
      <c r="AK880" s="181">
        <f t="shared" si="178"/>
        <v>0</v>
      </c>
      <c r="AL880" s="181">
        <f t="shared" si="179"/>
        <v>0</v>
      </c>
      <c r="AM880" s="181">
        <f t="shared" si="180"/>
        <v>0</v>
      </c>
      <c r="AN880" s="180" t="str">
        <f>VLOOKUP($I880,'Price List, Weapons &amp; Items'!B:L,COLUMN('Price List, Weapons &amp; Items'!$J$11)-1,0)</f>
        <v>.</v>
      </c>
      <c r="AO880" s="180" t="str">
        <f>IF(I880=".",".",VLOOKUP($I880,'Price List, Weapons &amp; Items'!B:J,3,0))</f>
        <v>.</v>
      </c>
      <c r="AP880" s="545" t="e">
        <f t="shared" ca="1" si="175"/>
        <v>#NAME?</v>
      </c>
      <c r="AQ880" s="180" t="str">
        <f>VLOOKUP($I880,'Price List, Weapons &amp; Items'!B:L,COLUMN('Price List, Weapons &amp; Items'!$L$11)-1,0)</f>
        <v>no price, 0 count</v>
      </c>
      <c r="AR880" s="180">
        <f t="shared" si="181"/>
        <v>0</v>
      </c>
      <c r="AS880" s="180">
        <f t="shared" si="182"/>
        <v>0</v>
      </c>
      <c r="AT880" s="180">
        <f t="shared" si="171"/>
        <v>1</v>
      </c>
      <c r="AU880" s="180" t="str">
        <f t="shared" si="172"/>
        <v>.</v>
      </c>
      <c r="AV880" s="180" t="str">
        <f t="shared" si="173"/>
        <v>.</v>
      </c>
      <c r="AW880" s="180">
        <f>IFERROR(VLOOKUP(B880,'Share, Heavy Weapons to Ukraine'!B:J,COLUMN('Share, Heavy Weapons to Ukraine'!C893)-1,0),0)</f>
        <v>0</v>
      </c>
      <c r="AX880" s="180">
        <f>VLOOKUP('Bilateral Assistance, MAIN DATA'!B880,'Country Summary'!B:F,COLUMN('Country Summary'!C896)-1,FALSE)</f>
        <v>1</v>
      </c>
      <c r="AY880" s="180" t="str">
        <f>IF(AND(AD880=1,D880="Military",H880&lt;&gt;"Not given")=TRUE,IF(SUMIFS(P:P,A:A,A880)&gt;0,ABS((SUMIFS(P:P,A:A,A880)/VLOOKUP("USD",'Exchange Rates'!B:C,2,0)))/S880,"."),".")</f>
        <v>.</v>
      </c>
      <c r="AZ880" s="182" t="str">
        <f>IF(AND(AD880=1,D880="Military",H880&lt;&gt;"Not given")=TRUE,IF(SUMIFS(P:P,A:A,A880)&gt;0,IF((ABS((SUMIFS(P:P,A:A,A880)/VLOOKUP("USD",'Exchange Rates'!B:C,2,0)))/S880)&gt;1,(SUMIFS(P:P,A:A,A880)-S880)/S880,(S880-SUMIFS(P:P,A:A,A880))/SUMIFS(P:P,A:A,A880)),"."),".")</f>
        <v>.</v>
      </c>
      <c r="BA880" s="182"/>
      <c r="BB880" s="182"/>
      <c r="BC880" s="182"/>
      <c r="BD880" s="182"/>
      <c r="BE880" s="182"/>
      <c r="BF880" s="182"/>
      <c r="BG880" s="182"/>
      <c r="BH880" s="182"/>
      <c r="BI880" s="182"/>
      <c r="BJ880" s="182"/>
      <c r="BK880" s="182"/>
      <c r="BL880" s="182"/>
      <c r="BM880" s="182"/>
      <c r="BN880" s="182"/>
      <c r="BO880" s="182"/>
      <c r="BP880" s="182"/>
      <c r="BQ880" s="182"/>
      <c r="BR880" s="182"/>
      <c r="BS880" s="182"/>
    </row>
    <row r="881" spans="1:71" ht="15.9" customHeight="1" x14ac:dyDescent="0.3">
      <c r="A881" s="17" t="s">
        <v>2563</v>
      </c>
      <c r="B881" s="17" t="s">
        <v>2547</v>
      </c>
      <c r="C881" s="174">
        <v>44657</v>
      </c>
      <c r="D881" s="5" t="s">
        <v>256</v>
      </c>
      <c r="E881" s="5" t="s">
        <v>257</v>
      </c>
      <c r="F881" s="175" t="s">
        <v>2564</v>
      </c>
      <c r="G881" s="15" t="s">
        <v>364</v>
      </c>
      <c r="H881" s="176">
        <v>1640000</v>
      </c>
      <c r="I881" s="17" t="s">
        <v>260</v>
      </c>
      <c r="J881" s="113" t="str">
        <f>VLOOKUP($I881,'Price List, Weapons &amp; Items'!B:C,2,0)</f>
        <v>.</v>
      </c>
      <c r="K881" s="113" t="str">
        <f>IF(I881=".",I881,VLOOKUP($I881,'Price List, Weapons &amp; Items'!B:D,3,0))</f>
        <v>.</v>
      </c>
      <c r="L881" s="177">
        <f>VLOOKUP(I881,'Price List, Weapons &amp; Items'!B:E,4,0)</f>
        <v>0</v>
      </c>
      <c r="M881" s="542" t="s">
        <v>260</v>
      </c>
      <c r="N881" s="542" t="s">
        <v>260</v>
      </c>
      <c r="O881" s="543" t="str">
        <f>VLOOKUP($I881,'Price List, Weapons &amp; Items'!B:G,6,0)</f>
        <v>.</v>
      </c>
      <c r="P881" s="176" t="str">
        <f t="shared" si="176"/>
        <v>.</v>
      </c>
      <c r="Q881" s="176" t="str">
        <f t="shared" si="177"/>
        <v>.</v>
      </c>
      <c r="R881" s="176">
        <f t="shared" si="174"/>
        <v>1640000</v>
      </c>
      <c r="S881" s="176">
        <f>IF(AND(AD881=1,R881&lt;&gt;".")=TRUE,R881/VLOOKUP(G881,'Exchange Rates'!B:C,2,0),IF(R881=".",".",""))</f>
        <v>1640000</v>
      </c>
      <c r="T881" s="176" t="str">
        <f>IF(AD881=1,IF(AF881="Value is not given at all",".",IF(AF881="Value is given by the source",S881,IF(AF881="Value is calculated with prices",(IF(SUMIFS(Q:Q,A:A,A881)&gt;0,SUMIFS(Q:Q,A:A,A881),"."))/VLOOKUP("USD",'Exchange Rates'!B:C,2,0),"Error with coding"))),"")</f>
        <v>.</v>
      </c>
      <c r="U881" s="15" t="s">
        <v>261</v>
      </c>
      <c r="V881" s="300" t="s">
        <v>2565</v>
      </c>
      <c r="W881" s="300" t="s">
        <v>2566</v>
      </c>
      <c r="X881" s="175" t="s">
        <v>260</v>
      </c>
      <c r="Y881" s="175" t="s">
        <v>260</v>
      </c>
      <c r="Z881" s="15">
        <v>0</v>
      </c>
      <c r="AA881" s="180">
        <v>0</v>
      </c>
      <c r="AB881" s="184" t="s">
        <v>260</v>
      </c>
      <c r="AC881" s="544" t="str">
        <f>""</f>
        <v/>
      </c>
      <c r="AD881" s="181">
        <v>1</v>
      </c>
      <c r="AE881" s="181" t="s">
        <v>264</v>
      </c>
      <c r="AF881" s="181" t="s">
        <v>265</v>
      </c>
      <c r="AG881" s="181">
        <v>1</v>
      </c>
      <c r="AH881" s="181">
        <v>4</v>
      </c>
      <c r="AI881" s="181">
        <v>0</v>
      </c>
      <c r="AJ881" s="181">
        <f>VLOOKUP($I881,'Price List, Weapons &amp; Items'!B:F,5,0)</f>
        <v>0</v>
      </c>
      <c r="AK881" s="181">
        <f t="shared" si="178"/>
        <v>0</v>
      </c>
      <c r="AL881" s="181">
        <f t="shared" si="179"/>
        <v>0</v>
      </c>
      <c r="AM881" s="181">
        <f t="shared" si="180"/>
        <v>0</v>
      </c>
      <c r="AN881" s="180" t="str">
        <f>VLOOKUP($I881,'Price List, Weapons &amp; Items'!B:L,COLUMN('Price List, Weapons &amp; Items'!$J$11)-1,0)</f>
        <v>.</v>
      </c>
      <c r="AO881" s="180" t="str">
        <f>IF(I881=".",".",VLOOKUP($I881,'Price List, Weapons &amp; Items'!B:J,3,0))</f>
        <v>.</v>
      </c>
      <c r="AP881" s="545" t="e">
        <f t="shared" ca="1" si="175"/>
        <v>#NAME?</v>
      </c>
      <c r="AQ881" s="180" t="str">
        <f>VLOOKUP($I881,'Price List, Weapons &amp; Items'!B:L,COLUMN('Price List, Weapons &amp; Items'!$L$11)-1,0)</f>
        <v>no price, 0 count</v>
      </c>
      <c r="AR881" s="180">
        <f t="shared" si="181"/>
        <v>1</v>
      </c>
      <c r="AS881" s="180">
        <f t="shared" si="182"/>
        <v>0</v>
      </c>
      <c r="AT881" s="180">
        <f t="shared" si="171"/>
        <v>1</v>
      </c>
      <c r="AU881" s="180" t="str">
        <f t="shared" si="172"/>
        <v>.</v>
      </c>
      <c r="AV881" s="180" t="str">
        <f t="shared" si="173"/>
        <v>.</v>
      </c>
      <c r="AW881" s="180">
        <f>IFERROR(VLOOKUP(B881,'Share, Heavy Weapons to Ukraine'!B:J,COLUMN('Share, Heavy Weapons to Ukraine'!C894)-1,0),0)</f>
        <v>0</v>
      </c>
      <c r="AX881" s="180">
        <f>VLOOKUP('Bilateral Assistance, MAIN DATA'!B881,'Country Summary'!B:F,COLUMN('Country Summary'!C897)-1,FALSE)</f>
        <v>1</v>
      </c>
      <c r="AY881" s="180" t="str">
        <f>IF(AND(AD881=1,D881="Military",H881&lt;&gt;"Not given")=TRUE,IF(SUMIFS(P:P,A:A,A881)&gt;0,ABS((SUMIFS(P:P,A:A,A881)/VLOOKUP("USD",'Exchange Rates'!B:C,2,0)))/S881,"."),".")</f>
        <v>.</v>
      </c>
      <c r="AZ881" s="182" t="str">
        <f>IF(AND(AD881=1,D881="Military",H881&lt;&gt;"Not given")=TRUE,IF(SUMIFS(P:P,A:A,A881)&gt;0,IF((ABS((SUMIFS(P:P,A:A,A881)/VLOOKUP("USD",'Exchange Rates'!B:C,2,0)))/S881)&gt;1,(SUMIFS(P:P,A:A,A881)-S881)/S881,(S881-SUMIFS(P:P,A:A,A881))/SUMIFS(P:P,A:A,A881)),"."),".")</f>
        <v>.</v>
      </c>
      <c r="BA881" s="182"/>
      <c r="BB881" s="182"/>
      <c r="BC881" s="182"/>
      <c r="BD881" s="182"/>
      <c r="BE881" s="182"/>
      <c r="BF881" s="182"/>
      <c r="BG881" s="182"/>
      <c r="BH881" s="182"/>
      <c r="BI881" s="182"/>
      <c r="BJ881" s="182"/>
      <c r="BK881" s="182"/>
      <c r="BL881" s="182"/>
      <c r="BM881" s="182"/>
      <c r="BN881" s="182"/>
      <c r="BO881" s="182"/>
      <c r="BP881" s="182"/>
      <c r="BQ881" s="182"/>
      <c r="BR881" s="182"/>
      <c r="BS881" s="182"/>
    </row>
    <row r="882" spans="1:71" ht="15.9" customHeight="1" x14ac:dyDescent="0.3">
      <c r="A882" s="5" t="s">
        <v>2567</v>
      </c>
      <c r="B882" s="5" t="s">
        <v>2547</v>
      </c>
      <c r="C882" s="174">
        <v>44680</v>
      </c>
      <c r="D882" s="5" t="s">
        <v>256</v>
      </c>
      <c r="E882" s="5" t="s">
        <v>554</v>
      </c>
      <c r="F882" s="175" t="s">
        <v>2568</v>
      </c>
      <c r="G882" s="15" t="s">
        <v>364</v>
      </c>
      <c r="H882" s="176">
        <v>180000</v>
      </c>
      <c r="I882" s="17" t="s">
        <v>2569</v>
      </c>
      <c r="J882" s="113" t="str">
        <f>VLOOKUP($I882,'Price List, Weapons &amp; Items'!B:C,2,0)</f>
        <v>Humanitarian</v>
      </c>
      <c r="K882" s="113" t="str">
        <f>IF(I882=".",I882,VLOOKUP($I882,'Price List, Weapons &amp; Items'!B:D,3,0))</f>
        <v>Humanitarian</v>
      </c>
      <c r="L882" s="177">
        <f>VLOOKUP(I882,'Price List, Weapons &amp; Items'!B:E,4,0)</f>
        <v>0</v>
      </c>
      <c r="M882" s="542">
        <v>100</v>
      </c>
      <c r="N882" s="542" t="s">
        <v>270</v>
      </c>
      <c r="O882" s="543">
        <f>VLOOKUP($I882,'Price List, Weapons &amp; Items'!B:G,6,0)</f>
        <v>150</v>
      </c>
      <c r="P882" s="176">
        <f t="shared" si="176"/>
        <v>15000</v>
      </c>
      <c r="Q882" s="176" t="str">
        <f t="shared" si="177"/>
        <v>.</v>
      </c>
      <c r="R882" s="176">
        <f t="shared" si="174"/>
        <v>180000</v>
      </c>
      <c r="S882" s="176">
        <f>IF(AND(AD882=1,R882&lt;&gt;".")=TRUE,R882/VLOOKUP(G882,'Exchange Rates'!B:C,2,0),IF(R882=".",".",""))</f>
        <v>180000</v>
      </c>
      <c r="T882" s="176" t="str">
        <f>IF(AD882=1,IF(AF882="Value is not given at all",".",IF(AF882="Value is given by the source",S882,IF(AF882="Value is calculated with prices",(IF(SUMIFS(Q:Q,A:A,A882)&gt;0,SUMIFS(Q:Q,A:A,A882),"."))/VLOOKUP("USD",'Exchange Rates'!B:C,2,0),"Error with coding"))),"")</f>
        <v>.</v>
      </c>
      <c r="U882" s="15" t="s">
        <v>415</v>
      </c>
      <c r="V882" s="547" t="s">
        <v>2570</v>
      </c>
      <c r="W882" s="547" t="s">
        <v>2571</v>
      </c>
      <c r="X882" s="547" t="s">
        <v>2572</v>
      </c>
      <c r="Y882" s="188" t="s">
        <v>260</v>
      </c>
      <c r="Z882" s="15">
        <v>0</v>
      </c>
      <c r="AA882" s="180">
        <v>0</v>
      </c>
      <c r="AB882" s="184" t="s">
        <v>260</v>
      </c>
      <c r="AC882" s="544" t="str">
        <f>""</f>
        <v/>
      </c>
      <c r="AD882" s="181">
        <v>1</v>
      </c>
      <c r="AE882" s="181" t="s">
        <v>264</v>
      </c>
      <c r="AF882" s="181" t="s">
        <v>265</v>
      </c>
      <c r="AG882" s="181">
        <v>1</v>
      </c>
      <c r="AH882" s="181">
        <v>4</v>
      </c>
      <c r="AI882" s="181">
        <v>0</v>
      </c>
      <c r="AJ882" s="181">
        <f>VLOOKUP($I882,'Price List, Weapons &amp; Items'!B:F,5,0)</f>
        <v>0</v>
      </c>
      <c r="AK882" s="181">
        <f t="shared" si="178"/>
        <v>0</v>
      </c>
      <c r="AL882" s="181">
        <f t="shared" si="179"/>
        <v>0</v>
      </c>
      <c r="AM882" s="181">
        <f t="shared" si="180"/>
        <v>0</v>
      </c>
      <c r="AN882" s="180" t="str">
        <f>VLOOKUP($I882,'Price List, Weapons &amp; Items'!B:L,COLUMN('Price List, Weapons &amp; Items'!$J$11)-1,0)</f>
        <v>Miscellaneous</v>
      </c>
      <c r="AO882" s="180" t="str">
        <f>IF(I882=".",".",VLOOKUP($I882,'Price List, Weapons &amp; Items'!B:J,3,0))</f>
        <v>Humanitarian</v>
      </c>
      <c r="AP882" s="545" t="e">
        <f t="shared" ca="1" si="175"/>
        <v>#NAME?</v>
      </c>
      <c r="AQ882" s="180">
        <f>VLOOKUP($I882,'Price List, Weapons &amp; Items'!B:L,COLUMN('Price List, Weapons &amp; Items'!$L$11)-1,0)</f>
        <v>0</v>
      </c>
      <c r="AR882" s="180">
        <f t="shared" si="181"/>
        <v>0</v>
      </c>
      <c r="AS882" s="180">
        <f t="shared" si="182"/>
        <v>0</v>
      </c>
      <c r="AT882" s="180">
        <f t="shared" si="171"/>
        <v>1</v>
      </c>
      <c r="AU882" s="180" t="str">
        <f t="shared" si="172"/>
        <v>.</v>
      </c>
      <c r="AV882" s="180" t="str">
        <f t="shared" si="173"/>
        <v>.</v>
      </c>
      <c r="AW882" s="180">
        <f>IFERROR(VLOOKUP(B882,'Share, Heavy Weapons to Ukraine'!B:J,COLUMN('Share, Heavy Weapons to Ukraine'!C895)-1,0),0)</f>
        <v>0</v>
      </c>
      <c r="AX882" s="180">
        <f>VLOOKUP('Bilateral Assistance, MAIN DATA'!B882,'Country Summary'!B:F,COLUMN('Country Summary'!C898)-1,FALSE)</f>
        <v>1</v>
      </c>
      <c r="AY882" s="180" t="str">
        <f>IF(AND(AD882=1,D882="Military",H882&lt;&gt;"Not given")=TRUE,IF(SUMIFS(P:P,A:A,A882)&gt;0,ABS((SUMIFS(P:P,A:A,A882)/VLOOKUP("USD",'Exchange Rates'!B:C,2,0)))/S882,"."),".")</f>
        <v>.</v>
      </c>
      <c r="AZ882" s="182" t="str">
        <f>IF(AND(AD882=1,D882="Military",H882&lt;&gt;"Not given")=TRUE,IF(SUMIFS(P:P,A:A,A882)&gt;0,IF((ABS((SUMIFS(P:P,A:A,A882)/VLOOKUP("USD",'Exchange Rates'!B:C,2,0)))/S882)&gt;1,(SUMIFS(P:P,A:A,A882)-S882)/S882,(S882-SUMIFS(P:P,A:A,A882))/SUMIFS(P:P,A:A,A882)),"."),".")</f>
        <v>.</v>
      </c>
      <c r="BA882" s="182"/>
      <c r="BB882" s="182"/>
      <c r="BC882" s="182"/>
      <c r="BD882" s="182"/>
      <c r="BE882" s="182"/>
      <c r="BF882" s="182"/>
      <c r="BG882" s="182"/>
      <c r="BH882" s="182"/>
      <c r="BI882" s="182"/>
      <c r="BJ882" s="182"/>
      <c r="BK882" s="182"/>
      <c r="BL882" s="182"/>
      <c r="BM882" s="182"/>
      <c r="BN882" s="182"/>
      <c r="BO882" s="182"/>
      <c r="BP882" s="182"/>
      <c r="BQ882" s="182"/>
      <c r="BR882" s="182"/>
      <c r="BS882" s="182"/>
    </row>
    <row r="883" spans="1:71" ht="15.9" customHeight="1" x14ac:dyDescent="0.3">
      <c r="A883" s="5" t="s">
        <v>2567</v>
      </c>
      <c r="B883" s="5" t="s">
        <v>2547</v>
      </c>
      <c r="C883" s="174">
        <v>44680</v>
      </c>
      <c r="D883" s="5" t="s">
        <v>256</v>
      </c>
      <c r="E883" s="5" t="s">
        <v>554</v>
      </c>
      <c r="F883" s="175" t="s">
        <v>2568</v>
      </c>
      <c r="G883" s="15" t="s">
        <v>364</v>
      </c>
      <c r="H883" s="176">
        <v>180000</v>
      </c>
      <c r="I883" s="17" t="s">
        <v>2573</v>
      </c>
      <c r="J883" s="113" t="str">
        <f>VLOOKUP($I883,'Price List, Weapons &amp; Items'!B:C,2,0)</f>
        <v>Humanitarian</v>
      </c>
      <c r="K883" s="113" t="str">
        <f>IF(I883=".",I883,VLOOKUP($I883,'Price List, Weapons &amp; Items'!B:D,3,0))</f>
        <v>Humanitarian</v>
      </c>
      <c r="L883" s="177">
        <f>VLOOKUP(I883,'Price List, Weapons &amp; Items'!B:E,4,0)</f>
        <v>0</v>
      </c>
      <c r="M883" s="542">
        <v>40</v>
      </c>
      <c r="N883" s="542" t="s">
        <v>270</v>
      </c>
      <c r="O883" s="543">
        <f>VLOOKUP($I883,'Price List, Weapons &amp; Items'!B:G,6,0)</f>
        <v>675</v>
      </c>
      <c r="P883" s="176">
        <f t="shared" si="176"/>
        <v>27000</v>
      </c>
      <c r="Q883" s="176" t="str">
        <f t="shared" si="177"/>
        <v>.</v>
      </c>
      <c r="R883" s="176" t="str">
        <f t="shared" si="174"/>
        <v/>
      </c>
      <c r="S883" s="176" t="str">
        <f>IF(AND(AD883=1,R883&lt;&gt;".")=TRUE,R883/VLOOKUP(G883,'Exchange Rates'!B:C,2,0),IF(R883=".",".",""))</f>
        <v/>
      </c>
      <c r="T883" s="176" t="str">
        <f>IF(AD883=1,IF(AF883="Value is not given at all",".",IF(AF883="Value is given by the source",S883,IF(AF883="Value is calculated with prices",(IF(SUMIFS(Q:Q,A:A,A883)&gt;0,SUMIFS(Q:Q,A:A,A883),"."))/VLOOKUP("USD",'Exchange Rates'!B:C,2,0),"Error with coding"))),"")</f>
        <v/>
      </c>
      <c r="U883" s="15" t="s">
        <v>415</v>
      </c>
      <c r="V883" s="547" t="s">
        <v>2570</v>
      </c>
      <c r="W883" s="547" t="s">
        <v>2571</v>
      </c>
      <c r="X883" s="547" t="s">
        <v>2572</v>
      </c>
      <c r="Y883" s="188" t="s">
        <v>260</v>
      </c>
      <c r="Z883" s="15">
        <v>0</v>
      </c>
      <c r="AA883" s="180">
        <v>0</v>
      </c>
      <c r="AB883" s="184" t="s">
        <v>260</v>
      </c>
      <c r="AC883" s="544" t="str">
        <f>""</f>
        <v/>
      </c>
      <c r="AD883" s="181">
        <v>0</v>
      </c>
      <c r="AE883" s="181" t="s">
        <v>264</v>
      </c>
      <c r="AF883" s="181" t="s">
        <v>265</v>
      </c>
      <c r="AG883" s="181">
        <v>1</v>
      </c>
      <c r="AH883" s="181">
        <v>4</v>
      </c>
      <c r="AI883" s="181">
        <v>0</v>
      </c>
      <c r="AJ883" s="181">
        <f>VLOOKUP($I883,'Price List, Weapons &amp; Items'!B:F,5,0)</f>
        <v>0</v>
      </c>
      <c r="AK883" s="181">
        <f t="shared" si="178"/>
        <v>0</v>
      </c>
      <c r="AL883" s="181">
        <f t="shared" si="179"/>
        <v>0</v>
      </c>
      <c r="AM883" s="181">
        <f t="shared" si="180"/>
        <v>0</v>
      </c>
      <c r="AN883" s="180" t="str">
        <f>VLOOKUP($I883,'Price List, Weapons &amp; Items'!B:L,COLUMN('Price List, Weapons &amp; Items'!$J$11)-1,0)</f>
        <v>Miscellaneous</v>
      </c>
      <c r="AO883" s="180" t="str">
        <f>IF(I883=".",".",VLOOKUP($I883,'Price List, Weapons &amp; Items'!B:J,3,0))</f>
        <v>Humanitarian</v>
      </c>
      <c r="AP883" s="545" t="str">
        <f t="shared" ca="1" si="175"/>
        <v/>
      </c>
      <c r="AQ883" s="180">
        <f>VLOOKUP($I883,'Price List, Weapons &amp; Items'!B:L,COLUMN('Price List, Weapons &amp; Items'!$L$11)-1,0)</f>
        <v>0</v>
      </c>
      <c r="AR883" s="180">
        <f t="shared" si="181"/>
        <v>0</v>
      </c>
      <c r="AS883" s="180">
        <f t="shared" si="182"/>
        <v>0</v>
      </c>
      <c r="AT883" s="180">
        <f t="shared" si="171"/>
        <v>1</v>
      </c>
      <c r="AU883" s="180" t="str">
        <f t="shared" si="172"/>
        <v>.</v>
      </c>
      <c r="AV883" s="180" t="str">
        <f t="shared" si="173"/>
        <v>.</v>
      </c>
      <c r="AW883" s="180">
        <f>IFERROR(VLOOKUP(B883,'Share, Heavy Weapons to Ukraine'!B:J,COLUMN('Share, Heavy Weapons to Ukraine'!C896)-1,0),0)</f>
        <v>0</v>
      </c>
      <c r="AX883" s="180">
        <f>VLOOKUP('Bilateral Assistance, MAIN DATA'!B883,'Country Summary'!B:F,COLUMN('Country Summary'!C899)-1,FALSE)</f>
        <v>1</v>
      </c>
      <c r="AY883" s="180" t="str">
        <f>IF(AND(AD883=1,D883="Military",H883&lt;&gt;"Not given")=TRUE,IF(SUMIFS(P:P,A:A,A883)&gt;0,ABS((SUMIFS(P:P,A:A,A883)/VLOOKUP("USD",'Exchange Rates'!B:C,2,0)))/S883,"."),".")</f>
        <v>.</v>
      </c>
      <c r="AZ883" s="182" t="str">
        <f>IF(AND(AD883=1,D883="Military",H883&lt;&gt;"Not given")=TRUE,IF(SUMIFS(P:P,A:A,A883)&gt;0,IF((ABS((SUMIFS(P:P,A:A,A883)/VLOOKUP("USD",'Exchange Rates'!B:C,2,0)))/S883)&gt;1,(SUMIFS(P:P,A:A,A883)-S883)/S883,(S883-SUMIFS(P:P,A:A,A883))/SUMIFS(P:P,A:A,A883)),"."),".")</f>
        <v>.</v>
      </c>
      <c r="BA883" s="182"/>
      <c r="BB883" s="182"/>
      <c r="BC883" s="182"/>
      <c r="BD883" s="182"/>
      <c r="BE883" s="182"/>
      <c r="BF883" s="182"/>
      <c r="BG883" s="182"/>
      <c r="BH883" s="182"/>
      <c r="BI883" s="182"/>
      <c r="BJ883" s="182"/>
      <c r="BK883" s="182"/>
      <c r="BL883" s="182"/>
      <c r="BM883" s="182"/>
      <c r="BN883" s="182"/>
      <c r="BO883" s="182"/>
      <c r="BP883" s="182"/>
      <c r="BQ883" s="182"/>
      <c r="BR883" s="182"/>
      <c r="BS883" s="182"/>
    </row>
    <row r="884" spans="1:71" ht="15.9" customHeight="1" x14ac:dyDescent="0.3">
      <c r="A884" s="5" t="s">
        <v>2567</v>
      </c>
      <c r="B884" s="5" t="s">
        <v>2547</v>
      </c>
      <c r="C884" s="174">
        <v>44680</v>
      </c>
      <c r="D884" s="5" t="s">
        <v>256</v>
      </c>
      <c r="E884" s="5" t="s">
        <v>554</v>
      </c>
      <c r="F884" s="175" t="s">
        <v>2568</v>
      </c>
      <c r="G884" s="15" t="s">
        <v>364</v>
      </c>
      <c r="H884" s="176">
        <v>180000</v>
      </c>
      <c r="I884" s="17" t="s">
        <v>2574</v>
      </c>
      <c r="J884" s="113" t="str">
        <f>VLOOKUP($I884,'Price List, Weapons &amp; Items'!B:C,2,0)</f>
        <v>Humanitarian</v>
      </c>
      <c r="K884" s="113" t="str">
        <f>IF(I884=".",I884,VLOOKUP($I884,'Price List, Weapons &amp; Items'!B:D,3,0))</f>
        <v>Humanitarian</v>
      </c>
      <c r="L884" s="177">
        <f>VLOOKUP(I884,'Price List, Weapons &amp; Items'!B:E,4,0)</f>
        <v>0</v>
      </c>
      <c r="M884" s="542">
        <v>40</v>
      </c>
      <c r="N884" s="542" t="s">
        <v>270</v>
      </c>
      <c r="O884" s="543">
        <f>VLOOKUP($I884,'Price List, Weapons &amp; Items'!B:G,6,0)</f>
        <v>632</v>
      </c>
      <c r="P884" s="176">
        <f t="shared" si="176"/>
        <v>25280</v>
      </c>
      <c r="Q884" s="176" t="str">
        <f t="shared" si="177"/>
        <v>.</v>
      </c>
      <c r="R884" s="176" t="str">
        <f t="shared" si="174"/>
        <v/>
      </c>
      <c r="S884" s="176" t="str">
        <f>IF(AND(AD884=1,R884&lt;&gt;".")=TRUE,R884/VLOOKUP(G884,'Exchange Rates'!B:C,2,0),IF(R884=".",".",""))</f>
        <v/>
      </c>
      <c r="T884" s="176" t="str">
        <f>IF(AD884=1,IF(AF884="Value is not given at all",".",IF(AF884="Value is given by the source",S884,IF(AF884="Value is calculated with prices",(IF(SUMIFS(Q:Q,A:A,A884)&gt;0,SUMIFS(Q:Q,A:A,A884),"."))/VLOOKUP("USD",'Exchange Rates'!B:C,2,0),"Error with coding"))),"")</f>
        <v/>
      </c>
      <c r="U884" s="15" t="s">
        <v>415</v>
      </c>
      <c r="V884" s="547" t="s">
        <v>2570</v>
      </c>
      <c r="W884" s="547" t="s">
        <v>2571</v>
      </c>
      <c r="X884" s="547" t="s">
        <v>2572</v>
      </c>
      <c r="Y884" s="188" t="s">
        <v>260</v>
      </c>
      <c r="Z884" s="15">
        <v>0</v>
      </c>
      <c r="AA884" s="180">
        <v>0</v>
      </c>
      <c r="AB884" s="184" t="s">
        <v>260</v>
      </c>
      <c r="AC884" s="544" t="str">
        <f>""</f>
        <v/>
      </c>
      <c r="AD884" s="181">
        <v>0</v>
      </c>
      <c r="AE884" s="181" t="s">
        <v>264</v>
      </c>
      <c r="AF884" s="181" t="s">
        <v>265</v>
      </c>
      <c r="AG884" s="181">
        <v>1</v>
      </c>
      <c r="AH884" s="181">
        <v>4</v>
      </c>
      <c r="AI884" s="181">
        <v>0</v>
      </c>
      <c r="AJ884" s="181">
        <f>VLOOKUP($I884,'Price List, Weapons &amp; Items'!B:F,5,0)</f>
        <v>0</v>
      </c>
      <c r="AK884" s="181">
        <f t="shared" si="178"/>
        <v>0</v>
      </c>
      <c r="AL884" s="181">
        <f t="shared" si="179"/>
        <v>0</v>
      </c>
      <c r="AM884" s="181">
        <f t="shared" si="180"/>
        <v>0</v>
      </c>
      <c r="AN884" s="180" t="str">
        <f>VLOOKUP($I884,'Price List, Weapons &amp; Items'!B:L,COLUMN('Price List, Weapons &amp; Items'!$J$11)-1,0)</f>
        <v>Miscellaneous</v>
      </c>
      <c r="AO884" s="180" t="str">
        <f>IF(I884=".",".",VLOOKUP($I884,'Price List, Weapons &amp; Items'!B:J,3,0))</f>
        <v>Humanitarian</v>
      </c>
      <c r="AP884" s="545" t="str">
        <f t="shared" ca="1" si="175"/>
        <v/>
      </c>
      <c r="AQ884" s="180">
        <f>VLOOKUP($I884,'Price List, Weapons &amp; Items'!B:L,COLUMN('Price List, Weapons &amp; Items'!$L$11)-1,0)</f>
        <v>0</v>
      </c>
      <c r="AR884" s="180">
        <f t="shared" si="181"/>
        <v>0</v>
      </c>
      <c r="AS884" s="180">
        <f t="shared" si="182"/>
        <v>0</v>
      </c>
      <c r="AT884" s="180">
        <f t="shared" si="171"/>
        <v>1</v>
      </c>
      <c r="AU884" s="180" t="str">
        <f t="shared" si="172"/>
        <v>.</v>
      </c>
      <c r="AV884" s="180" t="str">
        <f t="shared" si="173"/>
        <v>.</v>
      </c>
      <c r="AW884" s="180">
        <f>IFERROR(VLOOKUP(B884,'Share, Heavy Weapons to Ukraine'!B:J,COLUMN('Share, Heavy Weapons to Ukraine'!C897)-1,0),0)</f>
        <v>0</v>
      </c>
      <c r="AX884" s="180">
        <f>VLOOKUP('Bilateral Assistance, MAIN DATA'!B884,'Country Summary'!B:F,COLUMN('Country Summary'!C900)-1,FALSE)</f>
        <v>1</v>
      </c>
      <c r="AY884" s="180" t="str">
        <f>IF(AND(AD884=1,D884="Military",H884&lt;&gt;"Not given")=TRUE,IF(SUMIFS(P:P,A:A,A884)&gt;0,ABS((SUMIFS(P:P,A:A,A884)/VLOOKUP("USD",'Exchange Rates'!B:C,2,0)))/S884,"."),".")</f>
        <v>.</v>
      </c>
      <c r="AZ884" s="182" t="str">
        <f>IF(AND(AD884=1,D884="Military",H884&lt;&gt;"Not given")=TRUE,IF(SUMIFS(P:P,A:A,A884)&gt;0,IF((ABS((SUMIFS(P:P,A:A,A884)/VLOOKUP("USD",'Exchange Rates'!B:C,2,0)))/S884)&gt;1,(SUMIFS(P:P,A:A,A884)-S884)/S884,(S884-SUMIFS(P:P,A:A,A884))/SUMIFS(P:P,A:A,A884)),"."),".")</f>
        <v>.</v>
      </c>
      <c r="BA884" s="182"/>
      <c r="BB884" s="182"/>
      <c r="BC884" s="182"/>
      <c r="BD884" s="182"/>
      <c r="BE884" s="182"/>
      <c r="BF884" s="182"/>
      <c r="BG884" s="182"/>
      <c r="BH884" s="182"/>
      <c r="BI884" s="182"/>
      <c r="BJ884" s="182"/>
      <c r="BK884" s="182"/>
      <c r="BL884" s="182"/>
      <c r="BM884" s="182"/>
      <c r="BN884" s="182"/>
      <c r="BO884" s="182"/>
      <c r="BP884" s="182"/>
      <c r="BQ884" s="182"/>
      <c r="BR884" s="182"/>
      <c r="BS884" s="182"/>
    </row>
    <row r="885" spans="1:71" ht="15.9" customHeight="1" x14ac:dyDescent="0.3">
      <c r="A885" s="5" t="s">
        <v>2567</v>
      </c>
      <c r="B885" s="5" t="s">
        <v>2547</v>
      </c>
      <c r="C885" s="174">
        <v>44680</v>
      </c>
      <c r="D885" s="5" t="s">
        <v>256</v>
      </c>
      <c r="E885" s="5" t="s">
        <v>554</v>
      </c>
      <c r="F885" s="175" t="s">
        <v>2568</v>
      </c>
      <c r="G885" s="15" t="s">
        <v>364</v>
      </c>
      <c r="H885" s="176">
        <v>180000</v>
      </c>
      <c r="I885" s="17" t="s">
        <v>2575</v>
      </c>
      <c r="J885" s="113" t="str">
        <f>VLOOKUP($I885,'Price List, Weapons &amp; Items'!B:C,2,0)</f>
        <v>Humanitarian</v>
      </c>
      <c r="K885" s="113" t="str">
        <f>IF(I885=".",I885,VLOOKUP($I885,'Price List, Weapons &amp; Items'!B:D,3,0))</f>
        <v>Humanitarian</v>
      </c>
      <c r="L885" s="177">
        <f>VLOOKUP(I885,'Price List, Weapons &amp; Items'!B:E,4,0)</f>
        <v>0</v>
      </c>
      <c r="M885" s="542" t="s">
        <v>270</v>
      </c>
      <c r="N885" s="542" t="s">
        <v>270</v>
      </c>
      <c r="O885" s="543">
        <f>VLOOKUP($I885,'Price List, Weapons &amp; Items'!B:G,6,0)</f>
        <v>1500</v>
      </c>
      <c r="P885" s="176" t="str">
        <f t="shared" si="176"/>
        <v>.</v>
      </c>
      <c r="Q885" s="176" t="str">
        <f t="shared" si="177"/>
        <v>.</v>
      </c>
      <c r="R885" s="176" t="str">
        <f t="shared" si="174"/>
        <v/>
      </c>
      <c r="S885" s="176" t="str">
        <f>IF(AND(AD885=1,R885&lt;&gt;".")=TRUE,R885/VLOOKUP(G885,'Exchange Rates'!B:C,2,0),IF(R885=".",".",""))</f>
        <v/>
      </c>
      <c r="T885" s="176" t="str">
        <f>IF(AD885=1,IF(AF885="Value is not given at all",".",IF(AF885="Value is given by the source",S885,IF(AF885="Value is calculated with prices",(IF(SUMIFS(Q:Q,A:A,A885)&gt;0,SUMIFS(Q:Q,A:A,A885),"."))/VLOOKUP("USD",'Exchange Rates'!B:C,2,0),"Error with coding"))),"")</f>
        <v/>
      </c>
      <c r="U885" s="15" t="s">
        <v>415</v>
      </c>
      <c r="V885" s="547" t="s">
        <v>2570</v>
      </c>
      <c r="W885" s="547" t="s">
        <v>2571</v>
      </c>
      <c r="X885" s="547" t="s">
        <v>2572</v>
      </c>
      <c r="Y885" s="188" t="s">
        <v>260</v>
      </c>
      <c r="Z885" s="15">
        <v>0</v>
      </c>
      <c r="AA885" s="180">
        <v>0</v>
      </c>
      <c r="AB885" s="184" t="s">
        <v>260</v>
      </c>
      <c r="AC885" s="544" t="str">
        <f>""</f>
        <v/>
      </c>
      <c r="AD885" s="181">
        <v>0</v>
      </c>
      <c r="AE885" s="181" t="s">
        <v>264</v>
      </c>
      <c r="AF885" s="181" t="s">
        <v>265</v>
      </c>
      <c r="AG885" s="181">
        <v>1</v>
      </c>
      <c r="AH885" s="181">
        <v>4</v>
      </c>
      <c r="AI885" s="181">
        <v>0</v>
      </c>
      <c r="AJ885" s="181">
        <f>VLOOKUP($I885,'Price List, Weapons &amp; Items'!B:F,5,0)</f>
        <v>0</v>
      </c>
      <c r="AK885" s="181">
        <f t="shared" si="178"/>
        <v>0</v>
      </c>
      <c r="AL885" s="181">
        <f t="shared" si="179"/>
        <v>0</v>
      </c>
      <c r="AM885" s="181">
        <f t="shared" si="180"/>
        <v>0</v>
      </c>
      <c r="AN885" s="180" t="str">
        <f>VLOOKUP($I885,'Price List, Weapons &amp; Items'!B:L,COLUMN('Price List, Weapons &amp; Items'!$J$11)-1,0)</f>
        <v>Miscellaneous</v>
      </c>
      <c r="AO885" s="180" t="str">
        <f>IF(I885=".",".",VLOOKUP($I885,'Price List, Weapons &amp; Items'!B:J,3,0))</f>
        <v>Humanitarian</v>
      </c>
      <c r="AP885" s="545" t="str">
        <f t="shared" ca="1" si="175"/>
        <v/>
      </c>
      <c r="AQ885" s="180">
        <f>VLOOKUP($I885,'Price List, Weapons &amp; Items'!B:L,COLUMN('Price List, Weapons &amp; Items'!$L$11)-1,0)</f>
        <v>0</v>
      </c>
      <c r="AR885" s="180">
        <f t="shared" si="181"/>
        <v>0</v>
      </c>
      <c r="AS885" s="180">
        <f t="shared" si="182"/>
        <v>0</v>
      </c>
      <c r="AT885" s="180">
        <f t="shared" si="171"/>
        <v>1</v>
      </c>
      <c r="AU885" s="180" t="str">
        <f t="shared" si="172"/>
        <v>.</v>
      </c>
      <c r="AV885" s="180" t="str">
        <f t="shared" si="173"/>
        <v>.</v>
      </c>
      <c r="AW885" s="180">
        <f>IFERROR(VLOOKUP(B885,'Share, Heavy Weapons to Ukraine'!B:J,COLUMN('Share, Heavy Weapons to Ukraine'!C898)-1,0),0)</f>
        <v>0</v>
      </c>
      <c r="AX885" s="180">
        <f>VLOOKUP('Bilateral Assistance, MAIN DATA'!B885,'Country Summary'!B:F,COLUMN('Country Summary'!C901)-1,FALSE)</f>
        <v>1</v>
      </c>
      <c r="AY885" s="180" t="str">
        <f>IF(AND(AD885=1,D885="Military",H885&lt;&gt;"Not given")=TRUE,IF(SUMIFS(P:P,A:A,A885)&gt;0,ABS((SUMIFS(P:P,A:A,A885)/VLOOKUP("USD",'Exchange Rates'!B:C,2,0)))/S885,"."),".")</f>
        <v>.</v>
      </c>
      <c r="AZ885" s="182" t="str">
        <f>IF(AND(AD885=1,D885="Military",H885&lt;&gt;"Not given")=TRUE,IF(SUMIFS(P:P,A:A,A885)&gt;0,IF((ABS((SUMIFS(P:P,A:A,A885)/VLOOKUP("USD",'Exchange Rates'!B:C,2,0)))/S885)&gt;1,(SUMIFS(P:P,A:A,A885)-S885)/S885,(S885-SUMIFS(P:P,A:A,A885))/SUMIFS(P:P,A:A,A885)),"."),".")</f>
        <v>.</v>
      </c>
      <c r="BA885" s="182"/>
      <c r="BB885" s="182"/>
      <c r="BC885" s="182"/>
      <c r="BD885" s="182"/>
      <c r="BE885" s="182"/>
      <c r="BF885" s="182"/>
      <c r="BG885" s="182"/>
      <c r="BH885" s="182"/>
      <c r="BI885" s="182"/>
      <c r="BJ885" s="182"/>
      <c r="BK885" s="182"/>
      <c r="BL885" s="182"/>
      <c r="BM885" s="182"/>
      <c r="BN885" s="182"/>
      <c r="BO885" s="182"/>
      <c r="BP885" s="182"/>
      <c r="BQ885" s="182"/>
      <c r="BR885" s="182"/>
      <c r="BS885" s="182"/>
    </row>
    <row r="886" spans="1:71" ht="15.9" customHeight="1" x14ac:dyDescent="0.3">
      <c r="A886" s="5" t="s">
        <v>2567</v>
      </c>
      <c r="B886" s="5" t="s">
        <v>2547</v>
      </c>
      <c r="C886" s="174">
        <v>44680</v>
      </c>
      <c r="D886" s="5" t="s">
        <v>256</v>
      </c>
      <c r="E886" s="5" t="s">
        <v>554</v>
      </c>
      <c r="F886" s="175" t="s">
        <v>2568</v>
      </c>
      <c r="G886" s="15" t="s">
        <v>364</v>
      </c>
      <c r="H886" s="176">
        <v>180000</v>
      </c>
      <c r="I886" s="17" t="s">
        <v>2576</v>
      </c>
      <c r="J886" s="113" t="str">
        <f>VLOOKUP($I886,'Price List, Weapons &amp; Items'!B:C,2,0)</f>
        <v>Military equipment</v>
      </c>
      <c r="K886" s="113" t="str">
        <f>IF(I886=".",I886,VLOOKUP($I886,'Price List, Weapons &amp; Items'!B:D,3,0))</f>
        <v>Military equipment</v>
      </c>
      <c r="L886" s="177">
        <f>VLOOKUP(I886,'Price List, Weapons &amp; Items'!B:E,4,0)</f>
        <v>0</v>
      </c>
      <c r="M886" s="542" t="s">
        <v>270</v>
      </c>
      <c r="N886" s="542" t="s">
        <v>270</v>
      </c>
      <c r="O886" s="543">
        <f>VLOOKUP($I886,'Price List, Weapons &amp; Items'!B:G,6,0)</f>
        <v>310</v>
      </c>
      <c r="P886" s="176" t="str">
        <f t="shared" si="176"/>
        <v>.</v>
      </c>
      <c r="Q886" s="176" t="str">
        <f t="shared" si="177"/>
        <v>.</v>
      </c>
      <c r="R886" s="176" t="str">
        <f t="shared" si="174"/>
        <v/>
      </c>
      <c r="S886" s="176" t="str">
        <f>IF(AND(AD886=1,R886&lt;&gt;".")=TRUE,R886/VLOOKUP(G886,'Exchange Rates'!B:C,2,0),IF(R886=".",".",""))</f>
        <v/>
      </c>
      <c r="T886" s="176" t="str">
        <f>IF(AD886=1,IF(AF886="Value is not given at all",".",IF(AF886="Value is given by the source",S886,IF(AF886="Value is calculated with prices",(IF(SUMIFS(Q:Q,A:A,A886)&gt;0,SUMIFS(Q:Q,A:A,A886),"."))/VLOOKUP("USD",'Exchange Rates'!B:C,2,0),"Error with coding"))),"")</f>
        <v/>
      </c>
      <c r="U886" s="15" t="s">
        <v>415</v>
      </c>
      <c r="V886" s="547" t="s">
        <v>2570</v>
      </c>
      <c r="W886" s="547" t="s">
        <v>2571</v>
      </c>
      <c r="X886" s="547" t="s">
        <v>2572</v>
      </c>
      <c r="Y886" s="188" t="s">
        <v>260</v>
      </c>
      <c r="Z886" s="15">
        <v>0</v>
      </c>
      <c r="AA886" s="180">
        <v>0</v>
      </c>
      <c r="AB886" s="184" t="s">
        <v>260</v>
      </c>
      <c r="AC886" s="544" t="str">
        <f>""</f>
        <v/>
      </c>
      <c r="AD886" s="181">
        <v>0</v>
      </c>
      <c r="AE886" s="181" t="s">
        <v>264</v>
      </c>
      <c r="AF886" s="181" t="s">
        <v>265</v>
      </c>
      <c r="AG886" s="181">
        <v>1</v>
      </c>
      <c r="AH886" s="181">
        <v>4</v>
      </c>
      <c r="AI886" s="181">
        <v>0</v>
      </c>
      <c r="AJ886" s="181">
        <f>VLOOKUP($I886,'Price List, Weapons &amp; Items'!B:F,5,0)</f>
        <v>0</v>
      </c>
      <c r="AK886" s="181">
        <f t="shared" si="178"/>
        <v>0</v>
      </c>
      <c r="AL886" s="181">
        <f t="shared" si="179"/>
        <v>0</v>
      </c>
      <c r="AM886" s="181">
        <f t="shared" si="180"/>
        <v>0</v>
      </c>
      <c r="AN886" s="180" t="str">
        <f>VLOOKUP($I886,'Price List, Weapons &amp; Items'!B:L,COLUMN('Price List, Weapons &amp; Items'!$J$11)-1,0)</f>
        <v>Media reports (incl. social media)</v>
      </c>
      <c r="AO886" s="180" t="str">
        <f>IF(I886=".",".",VLOOKUP($I886,'Price List, Weapons &amp; Items'!B:J,3,0))</f>
        <v>Military equipment</v>
      </c>
      <c r="AP886" s="545" t="str">
        <f t="shared" ca="1" si="175"/>
        <v/>
      </c>
      <c r="AQ886" s="180" t="str">
        <f>VLOOKUP($I886,'Price List, Weapons &amp; Items'!B:L,COLUMN('Price List, Weapons &amp; Items'!$L$11)-1,0)</f>
        <v>no price, 0 count</v>
      </c>
      <c r="AR886" s="180">
        <f t="shared" si="181"/>
        <v>0</v>
      </c>
      <c r="AS886" s="180">
        <f t="shared" si="182"/>
        <v>0</v>
      </c>
      <c r="AT886" s="180">
        <f t="shared" si="171"/>
        <v>1</v>
      </c>
      <c r="AU886" s="180" t="str">
        <f t="shared" si="172"/>
        <v>.</v>
      </c>
      <c r="AV886" s="180" t="str">
        <f t="shared" si="173"/>
        <v>.</v>
      </c>
      <c r="AW886" s="180">
        <f>IFERROR(VLOOKUP(B886,'Share, Heavy Weapons to Ukraine'!B:J,COLUMN('Share, Heavy Weapons to Ukraine'!C899)-1,0),0)</f>
        <v>0</v>
      </c>
      <c r="AX886" s="180">
        <f>VLOOKUP('Bilateral Assistance, MAIN DATA'!B886,'Country Summary'!B:F,COLUMN('Country Summary'!C902)-1,FALSE)</f>
        <v>1</v>
      </c>
      <c r="AY886" s="180" t="str">
        <f>IF(AND(AD886=1,D886="Military",H886&lt;&gt;"Not given")=TRUE,IF(SUMIFS(P:P,A:A,A886)&gt;0,ABS((SUMIFS(P:P,A:A,A886)/VLOOKUP("USD",'Exchange Rates'!B:C,2,0)))/S886,"."),".")</f>
        <v>.</v>
      </c>
      <c r="AZ886" s="182" t="str">
        <f>IF(AND(AD886=1,D886="Military",H886&lt;&gt;"Not given")=TRUE,IF(SUMIFS(P:P,A:A,A886)&gt;0,IF((ABS((SUMIFS(P:P,A:A,A886)/VLOOKUP("USD",'Exchange Rates'!B:C,2,0)))/S886)&gt;1,(SUMIFS(P:P,A:A,A886)-S886)/S886,(S886-SUMIFS(P:P,A:A,A886))/SUMIFS(P:P,A:A,A886)),"."),".")</f>
        <v>.</v>
      </c>
      <c r="BA886" s="182"/>
      <c r="BB886" s="182"/>
      <c r="BC886" s="182"/>
      <c r="BD886" s="182"/>
      <c r="BE886" s="182"/>
      <c r="BF886" s="182"/>
      <c r="BG886" s="182"/>
      <c r="BH886" s="182"/>
      <c r="BI886" s="182"/>
      <c r="BJ886" s="182"/>
      <c r="BK886" s="182"/>
      <c r="BL886" s="182"/>
      <c r="BM886" s="182"/>
      <c r="BN886" s="182"/>
      <c r="BO886" s="182"/>
      <c r="BP886" s="182"/>
      <c r="BQ886" s="182"/>
      <c r="BR886" s="182"/>
      <c r="BS886" s="182"/>
    </row>
    <row r="887" spans="1:71" ht="15.9" customHeight="1" x14ac:dyDescent="0.3">
      <c r="A887" s="5" t="s">
        <v>2567</v>
      </c>
      <c r="B887" s="5" t="s">
        <v>2547</v>
      </c>
      <c r="C887" s="174">
        <v>44680</v>
      </c>
      <c r="D887" s="5" t="s">
        <v>256</v>
      </c>
      <c r="E887" s="5" t="s">
        <v>554</v>
      </c>
      <c r="F887" s="175" t="s">
        <v>2568</v>
      </c>
      <c r="G887" s="15" t="s">
        <v>364</v>
      </c>
      <c r="H887" s="176">
        <v>180000</v>
      </c>
      <c r="I887" s="17" t="s">
        <v>2577</v>
      </c>
      <c r="J887" s="113" t="str">
        <f>VLOOKUP($I887,'Price List, Weapons &amp; Items'!B:C,2,0)</f>
        <v>Humanitarian</v>
      </c>
      <c r="K887" s="113" t="str">
        <f>IF(I887=".",I887,VLOOKUP($I887,'Price List, Weapons &amp; Items'!B:D,3,0))</f>
        <v>Humanitarian</v>
      </c>
      <c r="L887" s="177">
        <f>VLOOKUP(I887,'Price List, Weapons &amp; Items'!B:E,4,0)</f>
        <v>0</v>
      </c>
      <c r="M887" s="542" t="s">
        <v>270</v>
      </c>
      <c r="N887" s="542" t="s">
        <v>270</v>
      </c>
      <c r="O887" s="543">
        <f>VLOOKUP($I887,'Price List, Weapons &amp; Items'!B:G,6,0)</f>
        <v>27.35</v>
      </c>
      <c r="P887" s="176" t="str">
        <f t="shared" si="176"/>
        <v>.</v>
      </c>
      <c r="Q887" s="176" t="str">
        <f t="shared" si="177"/>
        <v>.</v>
      </c>
      <c r="R887" s="176" t="str">
        <f t="shared" si="174"/>
        <v/>
      </c>
      <c r="S887" s="176" t="str">
        <f>IF(AND(AD887=1,R887&lt;&gt;".")=TRUE,R887/VLOOKUP(G887,'Exchange Rates'!B:C,2,0),IF(R887=".",".",""))</f>
        <v/>
      </c>
      <c r="T887" s="176" t="str">
        <f>IF(AD887=1,IF(AF887="Value is not given at all",".",IF(AF887="Value is given by the source",S887,IF(AF887="Value is calculated with prices",(IF(SUMIFS(Q:Q,A:A,A887)&gt;0,SUMIFS(Q:Q,A:A,A887),"."))/VLOOKUP("USD",'Exchange Rates'!B:C,2,0),"Error with coding"))),"")</f>
        <v/>
      </c>
      <c r="U887" s="15" t="s">
        <v>415</v>
      </c>
      <c r="V887" s="547" t="s">
        <v>2570</v>
      </c>
      <c r="W887" s="547" t="s">
        <v>2571</v>
      </c>
      <c r="X887" s="547" t="s">
        <v>2572</v>
      </c>
      <c r="Y887" s="188" t="s">
        <v>260</v>
      </c>
      <c r="Z887" s="15">
        <v>0</v>
      </c>
      <c r="AA887" s="180">
        <v>0</v>
      </c>
      <c r="AB887" s="184" t="s">
        <v>260</v>
      </c>
      <c r="AC887" s="544" t="str">
        <f>""</f>
        <v/>
      </c>
      <c r="AD887" s="181">
        <v>0</v>
      </c>
      <c r="AE887" s="181" t="s">
        <v>264</v>
      </c>
      <c r="AF887" s="181" t="s">
        <v>265</v>
      </c>
      <c r="AG887" s="181">
        <v>1</v>
      </c>
      <c r="AH887" s="181">
        <v>4</v>
      </c>
      <c r="AI887" s="181">
        <v>0</v>
      </c>
      <c r="AJ887" s="181">
        <f>VLOOKUP($I887,'Price List, Weapons &amp; Items'!B:F,5,0)</f>
        <v>0</v>
      </c>
      <c r="AK887" s="181">
        <f t="shared" si="178"/>
        <v>0</v>
      </c>
      <c r="AL887" s="181">
        <f t="shared" si="179"/>
        <v>0</v>
      </c>
      <c r="AM887" s="181">
        <f t="shared" si="180"/>
        <v>0</v>
      </c>
      <c r="AN887" s="180" t="str">
        <f>VLOOKUP($I887,'Price List, Weapons &amp; Items'!B:L,COLUMN('Price List, Weapons &amp; Items'!$J$11)-1,0)</f>
        <v>Online marketplaces and stores</v>
      </c>
      <c r="AO887" s="180" t="str">
        <f>IF(I887=".",".",VLOOKUP($I887,'Price List, Weapons &amp; Items'!B:J,3,0))</f>
        <v>Humanitarian</v>
      </c>
      <c r="AP887" s="545" t="str">
        <f t="shared" ca="1" si="175"/>
        <v/>
      </c>
      <c r="AQ887" s="180">
        <f>VLOOKUP($I887,'Price List, Weapons &amp; Items'!B:L,COLUMN('Price List, Weapons &amp; Items'!$L$11)-1,0)</f>
        <v>0</v>
      </c>
      <c r="AR887" s="180">
        <f t="shared" si="181"/>
        <v>0</v>
      </c>
      <c r="AS887" s="180">
        <f t="shared" si="182"/>
        <v>0</v>
      </c>
      <c r="AT887" s="180">
        <f t="shared" si="171"/>
        <v>1</v>
      </c>
      <c r="AU887" s="180" t="str">
        <f t="shared" si="172"/>
        <v>.</v>
      </c>
      <c r="AV887" s="180" t="str">
        <f t="shared" si="173"/>
        <v>.</v>
      </c>
      <c r="AW887" s="180">
        <f>IFERROR(VLOOKUP(B887,'Share, Heavy Weapons to Ukraine'!B:J,COLUMN('Share, Heavy Weapons to Ukraine'!C900)-1,0),0)</f>
        <v>0</v>
      </c>
      <c r="AX887" s="180">
        <f>VLOOKUP('Bilateral Assistance, MAIN DATA'!B887,'Country Summary'!B:F,COLUMN('Country Summary'!C903)-1,FALSE)</f>
        <v>1</v>
      </c>
      <c r="AY887" s="180" t="str">
        <f>IF(AND(AD887=1,D887="Military",H887&lt;&gt;"Not given")=TRUE,IF(SUMIFS(P:P,A:A,A887)&gt;0,ABS((SUMIFS(P:P,A:A,A887)/VLOOKUP("USD",'Exchange Rates'!B:C,2,0)))/S887,"."),".")</f>
        <v>.</v>
      </c>
      <c r="AZ887" s="182" t="str">
        <f>IF(AND(AD887=1,D887="Military",H887&lt;&gt;"Not given")=TRUE,IF(SUMIFS(P:P,A:A,A887)&gt;0,IF((ABS((SUMIFS(P:P,A:A,A887)/VLOOKUP("USD",'Exchange Rates'!B:C,2,0)))/S887)&gt;1,(SUMIFS(P:P,A:A,A887)-S887)/S887,(S887-SUMIFS(P:P,A:A,A887))/SUMIFS(P:P,A:A,A887)),"."),".")</f>
        <v>.</v>
      </c>
      <c r="BA887" s="182"/>
      <c r="BB887" s="182"/>
      <c r="BC887" s="182"/>
      <c r="BD887" s="182"/>
      <c r="BE887" s="182"/>
      <c r="BF887" s="182"/>
      <c r="BG887" s="182"/>
      <c r="BH887" s="182"/>
      <c r="BI887" s="182"/>
      <c r="BJ887" s="182"/>
      <c r="BK887" s="182"/>
      <c r="BL887" s="182"/>
      <c r="BM887" s="182"/>
      <c r="BN887" s="182"/>
      <c r="BO887" s="182"/>
      <c r="BP887" s="182"/>
      <c r="BQ887" s="182"/>
      <c r="BR887" s="182"/>
      <c r="BS887" s="182"/>
    </row>
    <row r="888" spans="1:71" ht="15.9" customHeight="1" x14ac:dyDescent="0.3">
      <c r="A888" s="5" t="s">
        <v>2578</v>
      </c>
      <c r="B888" s="5" t="s">
        <v>2547</v>
      </c>
      <c r="C888" s="174">
        <v>44890</v>
      </c>
      <c r="D888" s="5" t="s">
        <v>256</v>
      </c>
      <c r="E888" s="5" t="s">
        <v>257</v>
      </c>
      <c r="F888" s="175" t="s">
        <v>2579</v>
      </c>
      <c r="G888" s="15" t="s">
        <v>364</v>
      </c>
      <c r="H888" s="176">
        <v>133939</v>
      </c>
      <c r="I888" s="17" t="s">
        <v>260</v>
      </c>
      <c r="J888" s="113" t="str">
        <f>VLOOKUP($I888,'Price List, Weapons &amp; Items'!B:C,2,0)</f>
        <v>.</v>
      </c>
      <c r="K888" s="113" t="str">
        <f>IF(I888=".",I888,VLOOKUP($I888,'Price List, Weapons &amp; Items'!B:D,3,0))</f>
        <v>.</v>
      </c>
      <c r="L888" s="177">
        <f>VLOOKUP(I888,'Price List, Weapons &amp; Items'!B:E,4,0)</f>
        <v>0</v>
      </c>
      <c r="M888" s="542" t="s">
        <v>260</v>
      </c>
      <c r="N888" s="542" t="s">
        <v>260</v>
      </c>
      <c r="O888" s="543" t="str">
        <f>VLOOKUP($I888,'Price List, Weapons &amp; Items'!B:G,6,0)</f>
        <v>.</v>
      </c>
      <c r="P888" s="176" t="str">
        <f t="shared" si="176"/>
        <v>.</v>
      </c>
      <c r="Q888" s="176" t="str">
        <f t="shared" si="177"/>
        <v>.</v>
      </c>
      <c r="R888" s="176">
        <f t="shared" si="174"/>
        <v>133939</v>
      </c>
      <c r="S888" s="176">
        <f>IF(AND(AD888=1,R888&lt;&gt;".")=TRUE,R888/VLOOKUP(G888,'Exchange Rates'!B:C,2,0),IF(R888=".",".",""))</f>
        <v>133939</v>
      </c>
      <c r="T888" s="176" t="str">
        <f>IF(AD888=1,IF(AF888="Value is not given at all",".",IF(AF888="Value is given by the source",S888,IF(AF888="Value is calculated with prices",(IF(SUMIFS(Q:Q,A:A,A888)&gt;0,SUMIFS(Q:Q,A:A,A888),"."))/VLOOKUP("USD",'Exchange Rates'!B:C,2,0),"Error with coding"))),"")</f>
        <v>.</v>
      </c>
      <c r="U888" s="15" t="s">
        <v>261</v>
      </c>
      <c r="V888" s="547" t="s">
        <v>2580</v>
      </c>
      <c r="W888" s="680" t="s">
        <v>260</v>
      </c>
      <c r="X888" s="680" t="s">
        <v>260</v>
      </c>
      <c r="Y888" s="188" t="s">
        <v>260</v>
      </c>
      <c r="Z888" s="15">
        <v>0</v>
      </c>
      <c r="AA888" s="180">
        <v>1</v>
      </c>
      <c r="AB888" s="184" t="s">
        <v>260</v>
      </c>
      <c r="AC888" s="544"/>
      <c r="AD888" s="181">
        <v>1</v>
      </c>
      <c r="AE888" s="181" t="s">
        <v>264</v>
      </c>
      <c r="AF888" s="181" t="s">
        <v>265</v>
      </c>
      <c r="AG888" s="181">
        <v>1</v>
      </c>
      <c r="AH888" s="181">
        <v>11</v>
      </c>
      <c r="AI888" s="181">
        <v>0</v>
      </c>
      <c r="AJ888" s="181">
        <f>VLOOKUP($I888,'Price List, Weapons &amp; Items'!B:F,5,0)</f>
        <v>0</v>
      </c>
      <c r="AK888" s="181">
        <f t="shared" si="178"/>
        <v>0</v>
      </c>
      <c r="AL888" s="181">
        <f t="shared" si="179"/>
        <v>0</v>
      </c>
      <c r="AM888" s="181">
        <f t="shared" si="180"/>
        <v>0</v>
      </c>
      <c r="AN888" s="180" t="str">
        <f>VLOOKUP($I888,'Price List, Weapons &amp; Items'!B:L,COLUMN('Price List, Weapons &amp; Items'!$J$11)-1,0)</f>
        <v>.</v>
      </c>
      <c r="AO888" s="180" t="str">
        <f>IF(I888=".",".",VLOOKUP($I888,'Price List, Weapons &amp; Items'!B:J,3,0))</f>
        <v>.</v>
      </c>
      <c r="AP888" s="545" t="e">
        <f t="shared" ca="1" si="175"/>
        <v>#NAME?</v>
      </c>
      <c r="AQ888" s="180" t="str">
        <f>VLOOKUP($I888,'Price List, Weapons &amp; Items'!B:L,COLUMN('Price List, Weapons &amp; Items'!$L$11)-1,0)</f>
        <v>no price, 0 count</v>
      </c>
      <c r="AR888" s="180">
        <f t="shared" si="181"/>
        <v>1</v>
      </c>
      <c r="AS888" s="180">
        <f t="shared" si="182"/>
        <v>0</v>
      </c>
      <c r="AT888" s="180">
        <f t="shared" si="171"/>
        <v>1</v>
      </c>
      <c r="AU888" s="180" t="str">
        <f t="shared" si="172"/>
        <v>.</v>
      </c>
      <c r="AV888" s="180" t="str">
        <f t="shared" si="173"/>
        <v>.</v>
      </c>
      <c r="AW888" s="180">
        <f>IFERROR(VLOOKUP(B888,'Share, Heavy Weapons to Ukraine'!B:J,COLUMN('Share, Heavy Weapons to Ukraine'!C901)-1,0),0)</f>
        <v>0</v>
      </c>
      <c r="AX888" s="180">
        <f>VLOOKUP('Bilateral Assistance, MAIN DATA'!B888,'Country Summary'!B:F,COLUMN('Country Summary'!C904)-1,FALSE)</f>
        <v>1</v>
      </c>
      <c r="AY888" s="180" t="str">
        <f>IF(AND(AD888=1,D888="Military",H888&lt;&gt;"Not given")=TRUE,IF(SUMIFS(P:P,A:A,A888)&gt;0,ABS((SUMIFS(P:P,A:A,A888)/VLOOKUP("USD",'Exchange Rates'!B:C,2,0)))/S888,"."),".")</f>
        <v>.</v>
      </c>
      <c r="AZ888" s="182" t="str">
        <f>IF(AND(AD888=1,D888="Military",H888&lt;&gt;"Not given")=TRUE,IF(SUMIFS(P:P,A:A,A888)&gt;0,IF((ABS((SUMIFS(P:P,A:A,A888)/VLOOKUP("USD",'Exchange Rates'!B:C,2,0)))/S888)&gt;1,(SUMIFS(P:P,A:A,A888)-S888)/S888,(S888-SUMIFS(P:P,A:A,A888))/SUMIFS(P:P,A:A,A888)),"."),".")</f>
        <v>.</v>
      </c>
      <c r="BA888" s="182"/>
      <c r="BB888" s="182"/>
      <c r="BC888" s="182"/>
      <c r="BD888" s="182"/>
      <c r="BE888" s="182"/>
      <c r="BF888" s="182"/>
      <c r="BG888" s="182"/>
      <c r="BH888" s="182"/>
      <c r="BI888" s="182"/>
      <c r="BJ888" s="182"/>
      <c r="BK888" s="182"/>
      <c r="BL888" s="182"/>
      <c r="BM888" s="182"/>
      <c r="BN888" s="182"/>
      <c r="BO888" s="182"/>
      <c r="BP888" s="182"/>
      <c r="BQ888" s="182"/>
      <c r="BR888" s="182"/>
      <c r="BS888" s="182"/>
    </row>
    <row r="889" spans="1:71" ht="15.9" customHeight="1" x14ac:dyDescent="0.3">
      <c r="A889" s="5" t="s">
        <v>2581</v>
      </c>
      <c r="B889" s="5" t="s">
        <v>2547</v>
      </c>
      <c r="C889" s="174">
        <v>44900</v>
      </c>
      <c r="D889" s="5" t="s">
        <v>256</v>
      </c>
      <c r="E889" s="5" t="s">
        <v>554</v>
      </c>
      <c r="F889" s="175" t="s">
        <v>2582</v>
      </c>
      <c r="G889" s="15" t="s">
        <v>364</v>
      </c>
      <c r="H889" s="176">
        <v>100000</v>
      </c>
      <c r="I889" s="17" t="s">
        <v>260</v>
      </c>
      <c r="J889" s="113" t="str">
        <f>VLOOKUP($I889,'Price List, Weapons &amp; Items'!B:C,2,0)</f>
        <v>.</v>
      </c>
      <c r="K889" s="113" t="str">
        <f>IF(I889=".",I889,VLOOKUP($I889,'Price List, Weapons &amp; Items'!B:D,3,0))</f>
        <v>.</v>
      </c>
      <c r="L889" s="177">
        <f>VLOOKUP(I889,'Price List, Weapons &amp; Items'!B:E,4,0)</f>
        <v>0</v>
      </c>
      <c r="M889" s="542" t="s">
        <v>260</v>
      </c>
      <c r="N889" s="542" t="s">
        <v>260</v>
      </c>
      <c r="O889" s="543" t="str">
        <f>VLOOKUP($I889,'Price List, Weapons &amp; Items'!B:G,6,0)</f>
        <v>.</v>
      </c>
      <c r="P889" s="176" t="str">
        <f t="shared" si="176"/>
        <v>.</v>
      </c>
      <c r="Q889" s="176" t="str">
        <f t="shared" si="177"/>
        <v>.</v>
      </c>
      <c r="R889" s="176">
        <f t="shared" si="174"/>
        <v>100000</v>
      </c>
      <c r="S889" s="176">
        <f>IF(AND(AD889=1,R889&lt;&gt;".")=TRUE,R889/VLOOKUP(G889,'Exchange Rates'!B:C,2,0),IF(R889=".",".",""))</f>
        <v>100000</v>
      </c>
      <c r="T889" s="176" t="str">
        <f>IF(AD889=1,IF(AF889="Value is not given at all",".",IF(AF889="Value is given by the source",S889,IF(AF889="Value is calculated with prices",(IF(SUMIFS(Q:Q,A:A,A889)&gt;0,SUMIFS(Q:Q,A:A,A889),"."))/VLOOKUP("USD",'Exchange Rates'!B:C,2,0),"Error with coding"))),"")</f>
        <v>.</v>
      </c>
      <c r="U889" s="15" t="s">
        <v>261</v>
      </c>
      <c r="V889" s="547" t="s">
        <v>2583</v>
      </c>
      <c r="W889" s="680" t="s">
        <v>260</v>
      </c>
      <c r="X889" s="680" t="s">
        <v>260</v>
      </c>
      <c r="Y889" s="188" t="s">
        <v>260</v>
      </c>
      <c r="Z889" s="15">
        <v>0</v>
      </c>
      <c r="AA889" s="180">
        <v>1</v>
      </c>
      <c r="AB889" s="184" t="s">
        <v>260</v>
      </c>
      <c r="AC889" s="544"/>
      <c r="AD889" s="181">
        <v>1</v>
      </c>
      <c r="AE889" s="181" t="s">
        <v>264</v>
      </c>
      <c r="AF889" s="181" t="s">
        <v>265</v>
      </c>
      <c r="AG889" s="181">
        <v>1</v>
      </c>
      <c r="AH889" s="181">
        <v>12</v>
      </c>
      <c r="AI889" s="181">
        <v>0</v>
      </c>
      <c r="AJ889" s="181">
        <f>VLOOKUP($I889,'Price List, Weapons &amp; Items'!B:F,5,0)</f>
        <v>0</v>
      </c>
      <c r="AK889" s="181">
        <f t="shared" si="178"/>
        <v>0</v>
      </c>
      <c r="AL889" s="181">
        <f t="shared" si="179"/>
        <v>0</v>
      </c>
      <c r="AM889" s="181">
        <f t="shared" si="180"/>
        <v>0</v>
      </c>
      <c r="AN889" s="180" t="str">
        <f>VLOOKUP($I889,'Price List, Weapons &amp; Items'!B:L,COLUMN('Price List, Weapons &amp; Items'!$J$11)-1,0)</f>
        <v>.</v>
      </c>
      <c r="AO889" s="180" t="str">
        <f>IF(I889=".",".",VLOOKUP($I889,'Price List, Weapons &amp; Items'!B:J,3,0))</f>
        <v>.</v>
      </c>
      <c r="AP889" s="545" t="e">
        <f t="shared" ca="1" si="175"/>
        <v>#NAME?</v>
      </c>
      <c r="AQ889" s="180" t="str">
        <f>VLOOKUP($I889,'Price List, Weapons &amp; Items'!B:L,COLUMN('Price List, Weapons &amp; Items'!$L$11)-1,0)</f>
        <v>no price, 0 count</v>
      </c>
      <c r="AR889" s="180">
        <f t="shared" si="181"/>
        <v>1</v>
      </c>
      <c r="AS889" s="180">
        <f t="shared" si="182"/>
        <v>0</v>
      </c>
      <c r="AT889" s="180">
        <f t="shared" si="171"/>
        <v>1</v>
      </c>
      <c r="AU889" s="180" t="str">
        <f t="shared" si="172"/>
        <v>.</v>
      </c>
      <c r="AV889" s="180" t="str">
        <f t="shared" si="173"/>
        <v>.</v>
      </c>
      <c r="AW889" s="180">
        <f>IFERROR(VLOOKUP(B889,'Share, Heavy Weapons to Ukraine'!B:J,COLUMN('Share, Heavy Weapons to Ukraine'!C902)-1,0),0)</f>
        <v>0</v>
      </c>
      <c r="AX889" s="180">
        <f>VLOOKUP('Bilateral Assistance, MAIN DATA'!B889,'Country Summary'!B:F,COLUMN('Country Summary'!C905)-1,FALSE)</f>
        <v>1</v>
      </c>
      <c r="AY889" s="180" t="str">
        <f>IF(AND(AD889=1,D889="Military",H889&lt;&gt;"Not given")=TRUE,IF(SUMIFS(P:P,A:A,A889)&gt;0,ABS((SUMIFS(P:P,A:A,A889)/VLOOKUP("USD",'Exchange Rates'!B:C,2,0)))/S889,"."),".")</f>
        <v>.</v>
      </c>
      <c r="AZ889" s="182" t="str">
        <f>IF(AND(AD889=1,D889="Military",H889&lt;&gt;"Not given")=TRUE,IF(SUMIFS(P:P,A:A,A889)&gt;0,IF((ABS((SUMIFS(P:P,A:A,A889)/VLOOKUP("USD",'Exchange Rates'!B:C,2,0)))/S889)&gt;1,(SUMIFS(P:P,A:A,A889)-S889)/S889,(S889-SUMIFS(P:P,A:A,A889))/SUMIFS(P:P,A:A,A889)),"."),".")</f>
        <v>.</v>
      </c>
      <c r="BA889" s="182"/>
      <c r="BB889" s="182"/>
      <c r="BC889" s="182"/>
      <c r="BD889" s="182"/>
      <c r="BE889" s="182"/>
      <c r="BF889" s="182"/>
      <c r="BG889" s="182"/>
      <c r="BH889" s="182"/>
      <c r="BI889" s="182"/>
      <c r="BJ889" s="182"/>
      <c r="BK889" s="182"/>
      <c r="BL889" s="182"/>
      <c r="BM889" s="182"/>
      <c r="BN889" s="182"/>
      <c r="BO889" s="182"/>
      <c r="BP889" s="182"/>
      <c r="BQ889" s="182"/>
      <c r="BR889" s="182"/>
      <c r="BS889" s="182"/>
    </row>
    <row r="890" spans="1:71" ht="15.9" customHeight="1" x14ac:dyDescent="0.3">
      <c r="A890" s="5" t="s">
        <v>2584</v>
      </c>
      <c r="B890" s="5" t="s">
        <v>2547</v>
      </c>
      <c r="C890" s="174">
        <v>44925</v>
      </c>
      <c r="D890" s="5" t="s">
        <v>256</v>
      </c>
      <c r="E890" s="5" t="s">
        <v>267</v>
      </c>
      <c r="F890" s="175" t="s">
        <v>2585</v>
      </c>
      <c r="G890" s="15" t="s">
        <v>364</v>
      </c>
      <c r="H890" s="176">
        <v>580000</v>
      </c>
      <c r="I890" s="17" t="s">
        <v>466</v>
      </c>
      <c r="J890" s="113" t="str">
        <f>VLOOKUP($I890,'Price List, Weapons &amp; Items'!B:C,2,0)</f>
        <v>Humanitarian</v>
      </c>
      <c r="K890" s="113" t="str">
        <f>IF(I890=".",I890,VLOOKUP($I890,'Price List, Weapons &amp; Items'!B:D,3,0))</f>
        <v>Humanitarian</v>
      </c>
      <c r="L890" s="177">
        <f>VLOOKUP(I890,'Price List, Weapons &amp; Items'!B:E,4,0)</f>
        <v>0</v>
      </c>
      <c r="M890" s="542">
        <v>3</v>
      </c>
      <c r="N890" s="542">
        <v>3</v>
      </c>
      <c r="O890" s="543">
        <f>VLOOKUP($I890,'Price List, Weapons &amp; Items'!B:G,6,0)</f>
        <v>220000</v>
      </c>
      <c r="P890" s="176">
        <f t="shared" si="176"/>
        <v>660000</v>
      </c>
      <c r="Q890" s="176">
        <f t="shared" si="177"/>
        <v>660000</v>
      </c>
      <c r="R890" s="176">
        <f t="shared" si="174"/>
        <v>580000</v>
      </c>
      <c r="S890" s="176">
        <f>IF(AND(AD890=1,R890&lt;&gt;".")=TRUE,R890/VLOOKUP(G890,'Exchange Rates'!B:C,2,0),IF(R890=".",".",""))</f>
        <v>580000</v>
      </c>
      <c r="T890" s="176">
        <f>IF(AD890=1,IF(AF890="Value is not given at all",".",IF(AF890="Value is given by the source",S890,IF(AF890="Value is calculated with prices",(IF(SUMIFS(Q:Q,A:A,A890)&gt;0,SUMIFS(Q:Q,A:A,A890),"."))/VLOOKUP("USD",'Exchange Rates'!B:C,2,0),"Error with coding"))),"")</f>
        <v>580000</v>
      </c>
      <c r="U890" s="15" t="s">
        <v>261</v>
      </c>
      <c r="V890" s="681" t="s">
        <v>2586</v>
      </c>
      <c r="W890" s="681" t="s">
        <v>2587</v>
      </c>
      <c r="X890" s="681" t="s">
        <v>2588</v>
      </c>
      <c r="Y890" s="188" t="s">
        <v>260</v>
      </c>
      <c r="Z890" s="15">
        <v>0</v>
      </c>
      <c r="AA890" s="180">
        <v>1</v>
      </c>
      <c r="AB890" s="677" t="s">
        <v>2586</v>
      </c>
      <c r="AC890" s="544"/>
      <c r="AD890" s="181">
        <v>1</v>
      </c>
      <c r="AE890" s="181" t="s">
        <v>264</v>
      </c>
      <c r="AF890" s="181" t="s">
        <v>264</v>
      </c>
      <c r="AG890" s="181">
        <v>1</v>
      </c>
      <c r="AH890" s="181">
        <v>12</v>
      </c>
      <c r="AI890" s="181">
        <v>0</v>
      </c>
      <c r="AJ890" s="181">
        <f>VLOOKUP($I890,'Price List, Weapons &amp; Items'!B:F,5,0)</f>
        <v>0</v>
      </c>
      <c r="AK890" s="181">
        <f t="shared" si="178"/>
        <v>0</v>
      </c>
      <c r="AL890" s="181">
        <f t="shared" si="179"/>
        <v>0</v>
      </c>
      <c r="AM890" s="181">
        <f t="shared" si="180"/>
        <v>0</v>
      </c>
      <c r="AN890" s="180" t="str">
        <f>VLOOKUP($I890,'Price List, Weapons &amp; Items'!B:L,COLUMN('Price List, Weapons &amp; Items'!$J$11)-1,0)</f>
        <v>Miscellaneous</v>
      </c>
      <c r="AO890" s="180" t="str">
        <f>IF(I890=".",".",VLOOKUP($I890,'Price List, Weapons &amp; Items'!B:J,3,0))</f>
        <v>Humanitarian</v>
      </c>
      <c r="AP890" s="545" t="e">
        <f t="shared" ca="1" si="175"/>
        <v>#NAME?</v>
      </c>
      <c r="AQ890" s="180">
        <f>VLOOKUP($I890,'Price List, Weapons &amp; Items'!B:L,COLUMN('Price List, Weapons &amp; Items'!$L$11)-1,0)</f>
        <v>0</v>
      </c>
      <c r="AR890" s="180">
        <f t="shared" si="181"/>
        <v>1</v>
      </c>
      <c r="AS890" s="180">
        <f t="shared" si="182"/>
        <v>0</v>
      </c>
      <c r="AT890" s="180">
        <f t="shared" si="171"/>
        <v>1</v>
      </c>
      <c r="AU890" s="180" t="str">
        <f t="shared" si="172"/>
        <v>.</v>
      </c>
      <c r="AV890" s="180" t="str">
        <f t="shared" si="173"/>
        <v>.</v>
      </c>
      <c r="AW890" s="180">
        <f>IFERROR(VLOOKUP(B890,'Share, Heavy Weapons to Ukraine'!B:J,COLUMN('Share, Heavy Weapons to Ukraine'!C903)-1,0),0)</f>
        <v>0</v>
      </c>
      <c r="AX890" s="180">
        <f>VLOOKUP('Bilateral Assistance, MAIN DATA'!B890,'Country Summary'!B:F,COLUMN('Country Summary'!C906)-1,FALSE)</f>
        <v>1</v>
      </c>
      <c r="AY890" s="180" t="str">
        <f>IF(AND(AD890=1,D890="Military",H890&lt;&gt;"Not given")=TRUE,IF(SUMIFS(P:P,A:A,A890)&gt;0,ABS((SUMIFS(P:P,A:A,A890)/VLOOKUP("USD",'Exchange Rates'!B:C,2,0)))/S890,"."),".")</f>
        <v>.</v>
      </c>
      <c r="AZ890" s="182" t="str">
        <f>IF(AND(AD890=1,D890="Military",H890&lt;&gt;"Not given")=TRUE,IF(SUMIFS(P:P,A:A,A890)&gt;0,IF((ABS((SUMIFS(P:P,A:A,A890)/VLOOKUP("USD",'Exchange Rates'!B:C,2,0)))/S890)&gt;1,(SUMIFS(P:P,A:A,A890)-S890)/S890,(S890-SUMIFS(P:P,A:A,A890))/SUMIFS(P:P,A:A,A890)),"."),".")</f>
        <v>.</v>
      </c>
      <c r="BA890" s="182"/>
      <c r="BB890" s="182"/>
      <c r="BC890" s="182"/>
      <c r="BD890" s="182"/>
      <c r="BE890" s="182"/>
      <c r="BF890" s="182"/>
      <c r="BG890" s="182"/>
      <c r="BH890" s="182"/>
      <c r="BI890" s="182"/>
      <c r="BJ890" s="182"/>
      <c r="BK890" s="182"/>
      <c r="BL890" s="182"/>
      <c r="BM890" s="182"/>
      <c r="BN890" s="182"/>
      <c r="BO890" s="182"/>
      <c r="BP890" s="182"/>
      <c r="BQ890" s="182"/>
      <c r="BR890" s="182"/>
      <c r="BS890" s="182"/>
    </row>
    <row r="891" spans="1:71" ht="15.9" customHeight="1" x14ac:dyDescent="0.3">
      <c r="A891" s="5" t="s">
        <v>2589</v>
      </c>
      <c r="B891" s="5" t="s">
        <v>2547</v>
      </c>
      <c r="C891" s="174">
        <v>44915</v>
      </c>
      <c r="D891" s="5" t="s">
        <v>256</v>
      </c>
      <c r="E891" s="5" t="s">
        <v>554</v>
      </c>
      <c r="F891" s="175" t="s">
        <v>2590</v>
      </c>
      <c r="G891" s="15" t="s">
        <v>364</v>
      </c>
      <c r="H891" s="176">
        <f>4300000-H890-H889-H888-H887-H881-H879-H878</f>
        <v>1403061</v>
      </c>
      <c r="I891" s="17" t="s">
        <v>260</v>
      </c>
      <c r="J891" s="113" t="str">
        <f>VLOOKUP($I891,'Price List, Weapons &amp; Items'!B:C,2,0)</f>
        <v>.</v>
      </c>
      <c r="K891" s="113" t="str">
        <f>IF(I891=".",I891,VLOOKUP($I891,'Price List, Weapons &amp; Items'!B:D,3,0))</f>
        <v>.</v>
      </c>
      <c r="L891" s="177">
        <f>VLOOKUP(I891,'Price List, Weapons &amp; Items'!B:E,4,0)</f>
        <v>0</v>
      </c>
      <c r="M891" s="542" t="s">
        <v>260</v>
      </c>
      <c r="N891" s="542" t="s">
        <v>260</v>
      </c>
      <c r="O891" s="543" t="str">
        <f>VLOOKUP($I891,'Price List, Weapons &amp; Items'!B:G,6,0)</f>
        <v>.</v>
      </c>
      <c r="P891" s="176" t="str">
        <f t="shared" si="176"/>
        <v>.</v>
      </c>
      <c r="Q891" s="176" t="str">
        <f t="shared" si="177"/>
        <v>.</v>
      </c>
      <c r="R891" s="176">
        <f t="shared" si="174"/>
        <v>1403061</v>
      </c>
      <c r="S891" s="176">
        <f>IF(AND(AD891=1,R891&lt;&gt;".")=TRUE,R891/VLOOKUP(G891,'Exchange Rates'!B:C,2,0),IF(R891=".",".",""))</f>
        <v>1403061</v>
      </c>
      <c r="T891" s="176">
        <f>IF(AD891=1,IF(AF891="Value is not given at all",".",IF(AF891="Value is given by the source",S891,IF(AF891="Value is calculated with prices",(IF(SUMIFS(Q:Q,A:A,A891)&gt;0,SUMIFS(Q:Q,A:A,A891),"."))/VLOOKUP("USD",'Exchange Rates'!B:C,2,0),"Error with coding"))),"")</f>
        <v>1403061</v>
      </c>
      <c r="U891" s="15" t="s">
        <v>261</v>
      </c>
      <c r="V891" s="681" t="s">
        <v>2586</v>
      </c>
      <c r="W891" s="681" t="s">
        <v>2587</v>
      </c>
      <c r="X891" s="680" t="s">
        <v>260</v>
      </c>
      <c r="Y891" s="188" t="s">
        <v>260</v>
      </c>
      <c r="Z891" s="15">
        <v>0</v>
      </c>
      <c r="AA891" s="180">
        <v>1</v>
      </c>
      <c r="AB891" s="184" t="s">
        <v>260</v>
      </c>
      <c r="AC891" s="544"/>
      <c r="AD891" s="181">
        <v>1</v>
      </c>
      <c r="AE891" s="181" t="s">
        <v>264</v>
      </c>
      <c r="AF891" s="181" t="s">
        <v>264</v>
      </c>
      <c r="AG891" s="181">
        <v>1</v>
      </c>
      <c r="AH891" s="181">
        <v>12</v>
      </c>
      <c r="AI891" s="181">
        <v>0</v>
      </c>
      <c r="AJ891" s="181">
        <f>VLOOKUP($I891,'Price List, Weapons &amp; Items'!B:F,5,0)</f>
        <v>0</v>
      </c>
      <c r="AK891" s="181">
        <f t="shared" si="178"/>
        <v>0</v>
      </c>
      <c r="AL891" s="181">
        <f t="shared" si="179"/>
        <v>0</v>
      </c>
      <c r="AM891" s="181">
        <f t="shared" si="180"/>
        <v>0</v>
      </c>
      <c r="AN891" s="180" t="str">
        <f>VLOOKUP($I891,'Price List, Weapons &amp; Items'!B:L,COLUMN('Price List, Weapons &amp; Items'!$J$11)-1,0)</f>
        <v>.</v>
      </c>
      <c r="AO891" s="180" t="str">
        <f>IF(I891=".",".",VLOOKUP($I891,'Price List, Weapons &amp; Items'!B:J,3,0))</f>
        <v>.</v>
      </c>
      <c r="AP891" s="545" t="e">
        <f t="shared" ca="1" si="175"/>
        <v>#NAME?</v>
      </c>
      <c r="AQ891" s="180" t="str">
        <f>VLOOKUP($I891,'Price List, Weapons &amp; Items'!B:L,COLUMN('Price List, Weapons &amp; Items'!$L$11)-1,0)</f>
        <v>no price, 0 count</v>
      </c>
      <c r="AR891" s="180">
        <f t="shared" si="181"/>
        <v>1</v>
      </c>
      <c r="AS891" s="180">
        <f t="shared" si="182"/>
        <v>0</v>
      </c>
      <c r="AT891" s="180">
        <f t="shared" si="171"/>
        <v>1</v>
      </c>
      <c r="AU891" s="180" t="str">
        <f t="shared" si="172"/>
        <v>.</v>
      </c>
      <c r="AV891" s="180" t="str">
        <f t="shared" si="173"/>
        <v>.</v>
      </c>
      <c r="AW891" s="180">
        <f>IFERROR(VLOOKUP(B891,'Share, Heavy Weapons to Ukraine'!B:J,COLUMN('Share, Heavy Weapons to Ukraine'!C904)-1,0),0)</f>
        <v>0</v>
      </c>
      <c r="AX891" s="180">
        <f>VLOOKUP('Bilateral Assistance, MAIN DATA'!B891,'Country Summary'!B:F,COLUMN('Country Summary'!C907)-1,FALSE)</f>
        <v>1</v>
      </c>
      <c r="AY891" s="180" t="str">
        <f>IF(AND(AD891=1,D891="Military",H891&lt;&gt;"Not given")=TRUE,IF(SUMIFS(P:P,A:A,A891)&gt;0,ABS((SUMIFS(P:P,A:A,A891)/VLOOKUP("USD",'Exchange Rates'!B:C,2,0)))/S891,"."),".")</f>
        <v>.</v>
      </c>
      <c r="AZ891" s="182" t="str">
        <f>IF(AND(AD891=1,D891="Military",H891&lt;&gt;"Not given")=TRUE,IF(SUMIFS(P:P,A:A,A891)&gt;0,IF((ABS((SUMIFS(P:P,A:A,A891)/VLOOKUP("USD",'Exchange Rates'!B:C,2,0)))/S891)&gt;1,(SUMIFS(P:P,A:A,A891)-S891)/S891,(S891-SUMIFS(P:P,A:A,A891))/SUMIFS(P:P,A:A,A891)),"."),".")</f>
        <v>.</v>
      </c>
      <c r="BA891" s="182"/>
      <c r="BB891" s="182"/>
      <c r="BC891" s="182"/>
      <c r="BD891" s="182"/>
      <c r="BE891" s="182"/>
      <c r="BF891" s="182"/>
      <c r="BG891" s="182"/>
      <c r="BH891" s="182"/>
      <c r="BI891" s="182"/>
      <c r="BJ891" s="182"/>
      <c r="BK891" s="182"/>
      <c r="BL891" s="182"/>
      <c r="BM891" s="182"/>
      <c r="BN891" s="182"/>
      <c r="BO891" s="182"/>
      <c r="BP891" s="182"/>
      <c r="BQ891" s="182"/>
      <c r="BR891" s="182"/>
      <c r="BS891" s="182"/>
    </row>
    <row r="892" spans="1:71" ht="15.9" customHeight="1" x14ac:dyDescent="0.3">
      <c r="A892" s="5" t="s">
        <v>2591</v>
      </c>
      <c r="B892" s="5" t="s">
        <v>2547</v>
      </c>
      <c r="C892" s="174" t="s">
        <v>2592</v>
      </c>
      <c r="D892" s="5" t="s">
        <v>285</v>
      </c>
      <c r="E892" s="5" t="s">
        <v>286</v>
      </c>
      <c r="F892" s="175" t="s">
        <v>2593</v>
      </c>
      <c r="G892" s="15" t="s">
        <v>346</v>
      </c>
      <c r="H892" s="176">
        <v>7000000</v>
      </c>
      <c r="I892" s="185" t="s">
        <v>2594</v>
      </c>
      <c r="J892" s="113" t="str">
        <f>VLOOKUP($I892,'Price List, Weapons &amp; Items'!B:C,2,0)</f>
        <v>Light armaments &amp; infantry</v>
      </c>
      <c r="K892" s="113" t="str">
        <f>IF(I892=".",I892,VLOOKUP($I892,'Price List, Weapons &amp; Items'!B:D,3,0))</f>
        <v>Small Arms and Light Weapons (SALW)</v>
      </c>
      <c r="L892" s="177">
        <f>VLOOKUP(I892,'Price List, Weapons &amp; Items'!B:E,4,0)</f>
        <v>0</v>
      </c>
      <c r="M892" s="542" t="s">
        <v>270</v>
      </c>
      <c r="N892" s="542" t="s">
        <v>270</v>
      </c>
      <c r="O892" s="543">
        <f>VLOOKUP($I892,'Price List, Weapons &amp; Items'!B:G,6,0)</f>
        <v>800</v>
      </c>
      <c r="P892" s="176" t="str">
        <f t="shared" si="176"/>
        <v>.</v>
      </c>
      <c r="Q892" s="176" t="str">
        <f t="shared" si="177"/>
        <v>.</v>
      </c>
      <c r="R892" s="176">
        <f t="shared" si="174"/>
        <v>7000000</v>
      </c>
      <c r="S892" s="176">
        <f>IF(AND(AD892=1,R892&lt;&gt;".")=TRUE,R892/VLOOKUP(G892,'Exchange Rates'!B:C,2,0),IF(R892=".",".",""))</f>
        <v>6666666.666666666</v>
      </c>
      <c r="T892" s="176">
        <f>IF(AD892=1,IF(AF892="Value is not given at all",".",IF(AF892="Value is given by the source",S892,IF(AF892="Value is calculated with prices",(IF(SUMIFS(Q:Q,A:A,A892)&gt;0,SUMIFS(Q:Q,A:A,A892),"."))/VLOOKUP("USD",'Exchange Rates'!B:C,2,0),"Error with coding"))),"")</f>
        <v>6666666.666666666</v>
      </c>
      <c r="U892" s="15" t="s">
        <v>415</v>
      </c>
      <c r="V892" s="547" t="s">
        <v>2595</v>
      </c>
      <c r="W892" s="547" t="s">
        <v>2596</v>
      </c>
      <c r="X892" s="547" t="s">
        <v>2597</v>
      </c>
      <c r="Z892" s="15">
        <v>0</v>
      </c>
      <c r="AA892" s="180">
        <v>0</v>
      </c>
      <c r="AB892" s="550" t="s">
        <v>2595</v>
      </c>
      <c r="AC892" s="544" t="str">
        <f>""</f>
        <v/>
      </c>
      <c r="AD892" s="183">
        <v>1</v>
      </c>
      <c r="AE892" s="183" t="s">
        <v>264</v>
      </c>
      <c r="AF892" s="183" t="s">
        <v>264</v>
      </c>
      <c r="AG892" s="183">
        <v>0</v>
      </c>
      <c r="AH892" s="183">
        <v>0</v>
      </c>
      <c r="AI892" s="183">
        <v>0</v>
      </c>
      <c r="AJ892" s="181">
        <f>VLOOKUP($I892,'Price List, Weapons &amp; Items'!B:F,5,0)</f>
        <v>0</v>
      </c>
      <c r="AK892" s="181">
        <f t="shared" si="178"/>
        <v>0</v>
      </c>
      <c r="AL892" s="181">
        <f t="shared" si="179"/>
        <v>0</v>
      </c>
      <c r="AM892" s="181">
        <f t="shared" si="180"/>
        <v>0</v>
      </c>
      <c r="AN892" s="180" t="str">
        <f>VLOOKUP($I892,'Price List, Weapons &amp; Items'!B:L,COLUMN('Price List, Weapons &amp; Items'!$J$11)-1,0)</f>
        <v>Military media (incl. websites)</v>
      </c>
      <c r="AO892" s="180" t="str">
        <f>IF(I892=".",".",VLOOKUP($I892,'Price List, Weapons &amp; Items'!B:J,3,0))</f>
        <v>Small Arms and Light Weapons (SALW)</v>
      </c>
      <c r="AP892" s="545" t="e">
        <f t="shared" ca="1" si="175"/>
        <v>#NAME?</v>
      </c>
      <c r="AQ892" s="180" t="str">
        <f>VLOOKUP($I892,'Price List, Weapons &amp; Items'!B:L,COLUMN('Price List, Weapons &amp; Items'!$L$11)-1,0)</f>
        <v>no price, 0 count</v>
      </c>
      <c r="AR892" s="180">
        <f t="shared" si="181"/>
        <v>0</v>
      </c>
      <c r="AS892" s="180">
        <f t="shared" si="182"/>
        <v>1</v>
      </c>
      <c r="AT892" s="180" t="str">
        <f t="shared" si="171"/>
        <v>Value is not in date format</v>
      </c>
      <c r="AU892" s="180" t="str">
        <f t="shared" si="172"/>
        <v>.</v>
      </c>
      <c r="AV892" s="180" t="str">
        <f t="shared" si="173"/>
        <v>.</v>
      </c>
      <c r="AW892" s="180">
        <f>IFERROR(VLOOKUP(B892,'Share, Heavy Weapons to Ukraine'!B:J,COLUMN('Share, Heavy Weapons to Ukraine'!C905)-1,0),0)</f>
        <v>0</v>
      </c>
      <c r="AX892" s="180">
        <f>VLOOKUP('Bilateral Assistance, MAIN DATA'!B892,'Country Summary'!B:F,COLUMN('Country Summary'!C908)-1,FALSE)</f>
        <v>1</v>
      </c>
      <c r="AY892" s="180" t="str">
        <f>IF(AND(AD892=1,D892="Military",H892&lt;&gt;"Not given")=TRUE,IF(SUMIFS(P:P,A:A,A892)&gt;0,ABS((SUMIFS(P:P,A:A,A892)/VLOOKUP("USD",'Exchange Rates'!B:C,2,0)))/S892,"."),".")</f>
        <v>.</v>
      </c>
      <c r="AZ892" s="182" t="str">
        <f>IF(AND(AD892=1,D892="Military",H892&lt;&gt;"Not given")=TRUE,IF(SUMIFS(P:P,A:A,A892)&gt;0,IF((ABS((SUMIFS(P:P,A:A,A892)/VLOOKUP("USD",'Exchange Rates'!B:C,2,0)))/S892)&gt;1,(SUMIFS(P:P,A:A,A892)-S892)/S892,(S892-SUMIFS(P:P,A:A,A892))/SUMIFS(P:P,A:A,A892)),"."),".")</f>
        <v>.</v>
      </c>
      <c r="BA892" s="182"/>
      <c r="BB892" s="182"/>
      <c r="BC892" s="182"/>
      <c r="BD892" s="182"/>
      <c r="BE892" s="182"/>
      <c r="BF892" s="182"/>
      <c r="BG892" s="182"/>
      <c r="BH892" s="182"/>
      <c r="BI892" s="182"/>
      <c r="BJ892" s="182"/>
      <c r="BK892" s="182"/>
      <c r="BL892" s="182"/>
      <c r="BM892" s="182"/>
      <c r="BN892" s="182"/>
      <c r="BO892" s="182"/>
      <c r="BP892" s="182"/>
      <c r="BQ892" s="182"/>
      <c r="BR892" s="182"/>
      <c r="BS892" s="182"/>
    </row>
    <row r="893" spans="1:71" ht="15.9" customHeight="1" x14ac:dyDescent="0.3">
      <c r="A893" s="5" t="s">
        <v>2591</v>
      </c>
      <c r="B893" s="5" t="s">
        <v>2547</v>
      </c>
      <c r="C893" s="174" t="s">
        <v>2592</v>
      </c>
      <c r="D893" s="5" t="s">
        <v>285</v>
      </c>
      <c r="E893" s="5" t="s">
        <v>286</v>
      </c>
      <c r="F893" s="175" t="s">
        <v>2593</v>
      </c>
      <c r="G893" s="15" t="s">
        <v>346</v>
      </c>
      <c r="H893" s="176">
        <v>7000000</v>
      </c>
      <c r="I893" s="185" t="s">
        <v>463</v>
      </c>
      <c r="J893" s="113" t="str">
        <f>VLOOKUP($I893,'Price List, Weapons &amp; Items'!B:C,2,0)</f>
        <v>Military equipment</v>
      </c>
      <c r="K893" s="113" t="str">
        <f>IF(I893=".",I893,VLOOKUP($I893,'Price List, Weapons &amp; Items'!B:D,3,0))</f>
        <v>Military equipment</v>
      </c>
      <c r="L893" s="177">
        <f>VLOOKUP(I893,'Price List, Weapons &amp; Items'!B:E,4,0)</f>
        <v>0</v>
      </c>
      <c r="M893" s="542" t="s">
        <v>270</v>
      </c>
      <c r="N893" s="542" t="s">
        <v>270</v>
      </c>
      <c r="O893" s="543">
        <f>VLOOKUP($I893,'Price List, Weapons &amp; Items'!B:G,6,0)</f>
        <v>1400</v>
      </c>
      <c r="P893" s="176" t="str">
        <f t="shared" si="176"/>
        <v>.</v>
      </c>
      <c r="Q893" s="176" t="str">
        <f t="shared" si="177"/>
        <v>.</v>
      </c>
      <c r="R893" s="176" t="str">
        <f t="shared" si="174"/>
        <v/>
      </c>
      <c r="S893" s="176" t="str">
        <f>IF(AND(AD893=1,R893&lt;&gt;".")=TRUE,R893/VLOOKUP(G893,'Exchange Rates'!B:C,2,0),IF(R893=".",".",""))</f>
        <v/>
      </c>
      <c r="T893" s="176" t="str">
        <f>IF(AD893=1,IF(AF893="Value is not given at all",".",IF(AF893="Value is given by the source",S893,IF(AF893="Value is calculated with prices",(IF(SUMIFS(Q:Q,A:A,A893)&gt;0,SUMIFS(Q:Q,A:A,A893),"."))/VLOOKUP("USD",'Exchange Rates'!B:C,2,0),"Error with coding"))),"")</f>
        <v/>
      </c>
      <c r="U893" s="15" t="s">
        <v>415</v>
      </c>
      <c r="V893" s="547" t="s">
        <v>2595</v>
      </c>
      <c r="W893" s="547" t="s">
        <v>2596</v>
      </c>
      <c r="X893" s="547" t="s">
        <v>2597</v>
      </c>
      <c r="Z893" s="15">
        <v>0</v>
      </c>
      <c r="AA893" s="180">
        <v>0</v>
      </c>
      <c r="AB893" s="550" t="s">
        <v>2595</v>
      </c>
      <c r="AC893" s="544" t="str">
        <f>""</f>
        <v/>
      </c>
      <c r="AD893" s="183">
        <v>0</v>
      </c>
      <c r="AE893" s="183" t="s">
        <v>264</v>
      </c>
      <c r="AF893" s="183" t="s">
        <v>264</v>
      </c>
      <c r="AG893" s="183">
        <v>0</v>
      </c>
      <c r="AH893" s="183">
        <v>0</v>
      </c>
      <c r="AI893" s="183">
        <v>0</v>
      </c>
      <c r="AJ893" s="181">
        <f>VLOOKUP($I893,'Price List, Weapons &amp; Items'!B:F,5,0)</f>
        <v>0</v>
      </c>
      <c r="AK893" s="181">
        <f t="shared" si="178"/>
        <v>0</v>
      </c>
      <c r="AL893" s="181">
        <f t="shared" si="179"/>
        <v>0</v>
      </c>
      <c r="AM893" s="181">
        <f t="shared" si="180"/>
        <v>0</v>
      </c>
      <c r="AN893" s="180" t="str">
        <f>VLOOKUP($I893,'Price List, Weapons &amp; Items'!B:L,COLUMN('Price List, Weapons &amp; Items'!$J$11)-1,0)</f>
        <v>Military media (incl. websites)</v>
      </c>
      <c r="AO893" s="180" t="str">
        <f>IF(I893=".",".",VLOOKUP($I893,'Price List, Weapons &amp; Items'!B:J,3,0))</f>
        <v>Military equipment</v>
      </c>
      <c r="AP893" s="545" t="str">
        <f t="shared" ca="1" si="175"/>
        <v/>
      </c>
      <c r="AQ893" s="180">
        <f>VLOOKUP($I893,'Price List, Weapons &amp; Items'!B:L,COLUMN('Price List, Weapons &amp; Items'!$L$11)-1,0)</f>
        <v>2</v>
      </c>
      <c r="AR893" s="180">
        <f t="shared" si="181"/>
        <v>0</v>
      </c>
      <c r="AS893" s="180">
        <f t="shared" si="182"/>
        <v>1</v>
      </c>
      <c r="AT893" s="180" t="str">
        <f t="shared" ref="AT893:AT956" si="183">IFERROR(IF(VALUE(TEXT(C893,"mm"))=AH893,".",IF(TEXT(C893,"mm")="01",".",1)),"Value is not in date format")</f>
        <v>Value is not in date format</v>
      </c>
      <c r="AU893" s="180" t="str">
        <f t="shared" si="172"/>
        <v>.</v>
      </c>
      <c r="AV893" s="180" t="str">
        <f t="shared" si="173"/>
        <v>.</v>
      </c>
      <c r="AW893" s="180">
        <f>IFERROR(VLOOKUP(B893,'Share, Heavy Weapons to Ukraine'!B:J,COLUMN('Share, Heavy Weapons to Ukraine'!C906)-1,0),0)</f>
        <v>0</v>
      </c>
      <c r="AX893" s="180">
        <f>VLOOKUP('Bilateral Assistance, MAIN DATA'!B893,'Country Summary'!B:F,COLUMN('Country Summary'!C909)-1,FALSE)</f>
        <v>1</v>
      </c>
      <c r="AY893" s="180" t="str">
        <f>IF(AND(AD893=1,D893="Military",H893&lt;&gt;"Not given")=TRUE,IF(SUMIFS(P:P,A:A,A893)&gt;0,ABS((SUMIFS(P:P,A:A,A893)/VLOOKUP("USD",'Exchange Rates'!B:C,2,0)))/S893,"."),".")</f>
        <v>.</v>
      </c>
      <c r="AZ893" s="182" t="str">
        <f>IF(AND(AD893=1,D893="Military",H893&lt;&gt;"Not given")=TRUE,IF(SUMIFS(P:P,A:A,A893)&gt;0,IF((ABS((SUMIFS(P:P,A:A,A893)/VLOOKUP("USD",'Exchange Rates'!B:C,2,0)))/S893)&gt;1,(SUMIFS(P:P,A:A,A893)-S893)/S893,(S893-SUMIFS(P:P,A:A,A893))/SUMIFS(P:P,A:A,A893)),"."),".")</f>
        <v>.</v>
      </c>
      <c r="BA893" s="182"/>
      <c r="BB893" s="182"/>
      <c r="BC893" s="182"/>
      <c r="BD893" s="182"/>
      <c r="BE893" s="182"/>
      <c r="BF893" s="182"/>
      <c r="BG893" s="182"/>
      <c r="BH893" s="182"/>
      <c r="BI893" s="182"/>
      <c r="BJ893" s="182"/>
      <c r="BK893" s="182"/>
      <c r="BL893" s="182"/>
      <c r="BM893" s="182"/>
      <c r="BN893" s="182"/>
      <c r="BO893" s="182"/>
      <c r="BP893" s="182"/>
      <c r="BQ893" s="182"/>
      <c r="BR893" s="182"/>
      <c r="BS893" s="182"/>
    </row>
    <row r="894" spans="1:71" ht="15.9" customHeight="1" x14ac:dyDescent="0.3">
      <c r="A894" s="17" t="s">
        <v>2598</v>
      </c>
      <c r="B894" s="17" t="s">
        <v>2547</v>
      </c>
      <c r="C894" s="174">
        <v>44728</v>
      </c>
      <c r="D894" s="5" t="s">
        <v>285</v>
      </c>
      <c r="E894" s="5" t="s">
        <v>286</v>
      </c>
      <c r="F894" s="175" t="s">
        <v>2599</v>
      </c>
      <c r="G894" s="15" t="s">
        <v>346</v>
      </c>
      <c r="H894" s="176" t="s">
        <v>341</v>
      </c>
      <c r="I894" s="185" t="s">
        <v>2600</v>
      </c>
      <c r="J894" s="113" t="str">
        <f>VLOOKUP($I894,'Price List, Weapons &amp; Items'!B:C,2,0)</f>
        <v>Heavy weapon</v>
      </c>
      <c r="K894" s="113" t="str">
        <f>IF(I894=".",I894,VLOOKUP($I894,'Price List, Weapons &amp; Items'!B:D,3,0))</f>
        <v>Infantry fighting vehicle (IFV)</v>
      </c>
      <c r="L894" s="177">
        <f>VLOOKUP(I894,'Price List, Weapons &amp; Items'!B:E,4,0)</f>
        <v>1</v>
      </c>
      <c r="M894" s="542">
        <v>35</v>
      </c>
      <c r="N894" s="542">
        <v>35</v>
      </c>
      <c r="O894" s="543">
        <f>VLOOKUP($I894,'Price List, Weapons &amp; Items'!B:G,6,0)</f>
        <v>709034.8872</v>
      </c>
      <c r="P894" s="176">
        <f t="shared" si="176"/>
        <v>24816221.052000001</v>
      </c>
      <c r="Q894" s="176">
        <f t="shared" si="177"/>
        <v>24816221.052000001</v>
      </c>
      <c r="R894" s="176">
        <f t="shared" si="174"/>
        <v>24816221.052000001</v>
      </c>
      <c r="S894" s="176">
        <f>IF(AND(AD894=1,R894&lt;&gt;".")=TRUE,R894/VLOOKUP(G894,'Exchange Rates'!B:C,2,0),IF(R894=".",".",""))</f>
        <v>23634496.239999998</v>
      </c>
      <c r="T894" s="176">
        <f>IF(AD894=1,IF(AF894="Value is not given at all",".",IF(AF894="Value is given by the source",S894,IF(AF894="Value is calculated with prices",(IF(SUMIFS(Q:Q,A:A,A894)&gt;0,SUMIFS(Q:Q,A:A,A894),"."))/VLOOKUP("USD",'Exchange Rates'!B:C,2,0),"Error with coding"))),"")</f>
        <v>23634496.239999998</v>
      </c>
      <c r="U894" s="15" t="s">
        <v>261</v>
      </c>
      <c r="V894" s="300" t="s">
        <v>2601</v>
      </c>
      <c r="W894" s="300" t="s">
        <v>2602</v>
      </c>
      <c r="X894" s="144" t="s">
        <v>260</v>
      </c>
      <c r="Y894" s="144" t="s">
        <v>260</v>
      </c>
      <c r="Z894" s="15">
        <v>0</v>
      </c>
      <c r="AA894" s="180">
        <v>0</v>
      </c>
      <c r="AB894" s="550" t="s">
        <v>2601</v>
      </c>
      <c r="AC894" s="544" t="str">
        <f>""</f>
        <v/>
      </c>
      <c r="AD894" s="183">
        <v>1</v>
      </c>
      <c r="AE894" s="183" t="s">
        <v>332</v>
      </c>
      <c r="AF894" s="183" t="s">
        <v>332</v>
      </c>
      <c r="AG894" s="183">
        <v>1</v>
      </c>
      <c r="AH894" s="181">
        <v>6</v>
      </c>
      <c r="AI894" s="181">
        <v>0</v>
      </c>
      <c r="AJ894" s="181">
        <f>VLOOKUP($I894,'Price List, Weapons &amp; Items'!B:F,5,0)</f>
        <v>1</v>
      </c>
      <c r="AK894" s="181">
        <f t="shared" si="178"/>
        <v>0</v>
      </c>
      <c r="AL894" s="181">
        <f t="shared" si="179"/>
        <v>0</v>
      </c>
      <c r="AM894" s="181">
        <f t="shared" si="180"/>
        <v>0</v>
      </c>
      <c r="AN894" s="180" t="str">
        <f>VLOOKUP($I894,'Price List, Weapons &amp; Items'!B:L,COLUMN('Price List, Weapons &amp; Items'!$J$11)-1,0)</f>
        <v>Contracts</v>
      </c>
      <c r="AO894" s="180" t="str">
        <f>IF(I894=".",".",VLOOKUP($I894,'Price List, Weapons &amp; Items'!B:J,3,0))</f>
        <v>Infantry fighting vehicle (IFV)</v>
      </c>
      <c r="AP894" s="545" t="e">
        <f t="shared" ca="1" si="175"/>
        <v>#NAME?</v>
      </c>
      <c r="AQ894" s="180">
        <f>VLOOKUP($I894,'Price List, Weapons &amp; Items'!B:L,COLUMN('Price List, Weapons &amp; Items'!$L$11)-1,0)</f>
        <v>2</v>
      </c>
      <c r="AR894" s="180">
        <f t="shared" si="181"/>
        <v>1</v>
      </c>
      <c r="AS894" s="180">
        <f t="shared" si="182"/>
        <v>1</v>
      </c>
      <c r="AT894" s="180">
        <f t="shared" si="183"/>
        <v>1</v>
      </c>
      <c r="AU894" s="180" t="str">
        <f t="shared" si="172"/>
        <v>.</v>
      </c>
      <c r="AV894" s="180" t="str">
        <f t="shared" si="173"/>
        <v>.</v>
      </c>
      <c r="AW894" s="180">
        <f>IFERROR(VLOOKUP(B894,'Share, Heavy Weapons to Ukraine'!B:J,COLUMN('Share, Heavy Weapons to Ukraine'!C907)-1,0),0)</f>
        <v>0</v>
      </c>
      <c r="AX894" s="180">
        <f>VLOOKUP('Bilateral Assistance, MAIN DATA'!B894,'Country Summary'!B:F,COLUMN('Country Summary'!C910)-1,FALSE)</f>
        <v>1</v>
      </c>
      <c r="AY894" s="180" t="str">
        <f>IF(AND(AD894=1,D894="Military",H894&lt;&gt;"Not given")=TRUE,IF(SUMIFS(P:P,A:A,A894)&gt;0,ABS((SUMIFS(P:P,A:A,A894)/VLOOKUP("USD",'Exchange Rates'!B:C,2,0)))/S894,"."),".")</f>
        <v>.</v>
      </c>
      <c r="AZ894" s="182" t="str">
        <f>IF(AND(AD894=1,D894="Military",H894&lt;&gt;"Not given")=TRUE,IF(SUMIFS(P:P,A:A,A894)&gt;0,IF((ABS((SUMIFS(P:P,A:A,A894)/VLOOKUP("USD",'Exchange Rates'!B:C,2,0)))/S894)&gt;1,(SUMIFS(P:P,A:A,A894)-S894)/S894,(S894-SUMIFS(P:P,A:A,A894))/SUMIFS(P:P,A:A,A894)),"."),".")</f>
        <v>.</v>
      </c>
      <c r="BA894" s="182"/>
      <c r="BB894" s="182"/>
      <c r="BC894" s="182"/>
      <c r="BD894" s="182"/>
      <c r="BE894" s="182"/>
      <c r="BF894" s="182"/>
      <c r="BG894" s="182"/>
      <c r="BH894" s="182"/>
      <c r="BI894" s="182"/>
      <c r="BJ894" s="182"/>
      <c r="BK894" s="182"/>
      <c r="BL894" s="182"/>
      <c r="BM894" s="182"/>
      <c r="BN894" s="182"/>
      <c r="BO894" s="182"/>
      <c r="BP894" s="182"/>
      <c r="BQ894" s="182"/>
      <c r="BR894" s="182"/>
      <c r="BS894" s="182"/>
    </row>
    <row r="895" spans="1:71" ht="15.9" customHeight="1" x14ac:dyDescent="0.3">
      <c r="A895" s="17" t="s">
        <v>2603</v>
      </c>
      <c r="B895" s="17" t="s">
        <v>2547</v>
      </c>
      <c r="C895" s="174">
        <v>44771</v>
      </c>
      <c r="D895" s="5" t="s">
        <v>285</v>
      </c>
      <c r="E895" s="5" t="s">
        <v>294</v>
      </c>
      <c r="F895" s="175" t="s">
        <v>2604</v>
      </c>
      <c r="G895" s="15" t="s">
        <v>260</v>
      </c>
      <c r="H895" s="176" t="s">
        <v>341</v>
      </c>
      <c r="I895" s="17" t="s">
        <v>2502</v>
      </c>
      <c r="J895" s="113" t="str">
        <f>VLOOKUP($I895,'Price List, Weapons &amp; Items'!B:C,2,0)</f>
        <v>Military equipment</v>
      </c>
      <c r="K895" s="113" t="str">
        <f>IF(I895=".",I895,VLOOKUP($I895,'Price List, Weapons &amp; Items'!B:D,3,0))</f>
        <v>Military equipment</v>
      </c>
      <c r="L895" s="177">
        <f>VLOOKUP(I895,'Price List, Weapons &amp; Items'!B:E,4,0)</f>
        <v>0</v>
      </c>
      <c r="M895" s="187" t="s">
        <v>270</v>
      </c>
      <c r="N895" s="542" t="s">
        <v>270</v>
      </c>
      <c r="O895" s="543">
        <f>VLOOKUP($I895,'Price List, Weapons &amp; Items'!B:G,6,0)</f>
        <v>365200</v>
      </c>
      <c r="P895" s="176" t="str">
        <f t="shared" si="176"/>
        <v>.</v>
      </c>
      <c r="Q895" s="176" t="str">
        <f t="shared" si="177"/>
        <v>.</v>
      </c>
      <c r="R895" s="176" t="str">
        <f t="shared" si="174"/>
        <v>.</v>
      </c>
      <c r="S895" s="176" t="str">
        <f>IF(AND(AD895=1,R895&lt;&gt;".")=TRUE,R895/VLOOKUP(G895,'Exchange Rates'!B:C,2,0),IF(R895=".",".",""))</f>
        <v>.</v>
      </c>
      <c r="T895" s="176" t="str">
        <f>IF(AD895=1,IF(AF895="Value is not given at all",".",IF(AF895="Value is given by the source",S895,IF(AF895="Value is calculated with prices",(IF(SUMIFS(Q:Q,A:A,A895)&gt;0,SUMIFS(Q:Q,A:A,A895),"."))/VLOOKUP("USD",'Exchange Rates'!B:C,2,0),"Error with coding"))),"")</f>
        <v>.</v>
      </c>
      <c r="U895" s="15" t="s">
        <v>261</v>
      </c>
      <c r="V895" s="300" t="s">
        <v>2605</v>
      </c>
      <c r="W895" s="300" t="s">
        <v>2606</v>
      </c>
      <c r="X895" s="300" t="s">
        <v>2607</v>
      </c>
      <c r="Y895" s="144" t="s">
        <v>260</v>
      </c>
      <c r="Z895" s="15">
        <v>0</v>
      </c>
      <c r="AA895" s="180">
        <v>0</v>
      </c>
      <c r="AB895" s="550" t="s">
        <v>2605</v>
      </c>
      <c r="AC895" s="544" t="str">
        <f>""</f>
        <v/>
      </c>
      <c r="AD895" s="183">
        <v>1</v>
      </c>
      <c r="AE895" s="183" t="s">
        <v>265</v>
      </c>
      <c r="AF895" s="183" t="s">
        <v>265</v>
      </c>
      <c r="AG895" s="183">
        <v>1</v>
      </c>
      <c r="AH895" s="181">
        <v>7</v>
      </c>
      <c r="AI895" s="181">
        <v>0</v>
      </c>
      <c r="AJ895" s="181">
        <f>VLOOKUP($I895,'Price List, Weapons &amp; Items'!B:F,5,0)</f>
        <v>0</v>
      </c>
      <c r="AK895" s="181">
        <f t="shared" si="178"/>
        <v>0</v>
      </c>
      <c r="AL895" s="181">
        <f t="shared" si="179"/>
        <v>0</v>
      </c>
      <c r="AM895" s="181">
        <f t="shared" si="180"/>
        <v>0</v>
      </c>
      <c r="AN895" s="180" t="str">
        <f>VLOOKUP($I895,'Price List, Weapons &amp; Items'!B:L,COLUMN('Price List, Weapons &amp; Items'!$J$11)-1,0)</f>
        <v>Media reports (incl. social media)</v>
      </c>
      <c r="AO895" s="180" t="str">
        <f>IF(I895=".",".",VLOOKUP($I895,'Price List, Weapons &amp; Items'!B:J,3,0))</f>
        <v>Military equipment</v>
      </c>
      <c r="AP895" s="545" t="e">
        <f t="shared" ca="1" si="175"/>
        <v>#NAME?</v>
      </c>
      <c r="AQ895" s="180">
        <f>VLOOKUP($I895,'Price List, Weapons &amp; Items'!B:L,COLUMN('Price List, Weapons &amp; Items'!$L$11)-1,0)</f>
        <v>1</v>
      </c>
      <c r="AR895" s="180">
        <f t="shared" si="181"/>
        <v>1</v>
      </c>
      <c r="AS895" s="180">
        <f t="shared" si="182"/>
        <v>1</v>
      </c>
      <c r="AT895" s="180">
        <f t="shared" si="183"/>
        <v>1</v>
      </c>
      <c r="AU895" s="180" t="str">
        <f t="shared" ref="AU895:AU958" si="184">IF(AND(A895=A894,C895=C894)=TRUE,IF(F895=F894,".","1"),".")</f>
        <v>.</v>
      </c>
      <c r="AV895" s="180" t="str">
        <f t="shared" ref="AV895:AV958" si="185">IF(T895&lt;&gt;".",IF(T895&gt;S895,1,"."),".")</f>
        <v>.</v>
      </c>
      <c r="AW895" s="180">
        <f>IFERROR(VLOOKUP(B895,'Share, Heavy Weapons to Ukraine'!B:J,COLUMN('Share, Heavy Weapons to Ukraine'!C908)-1,0),0)</f>
        <v>0</v>
      </c>
      <c r="AX895" s="180">
        <f>VLOOKUP('Bilateral Assistance, MAIN DATA'!B895,'Country Summary'!B:F,COLUMN('Country Summary'!C911)-1,FALSE)</f>
        <v>1</v>
      </c>
      <c r="AY895" s="180" t="str">
        <f>IF(AND(AD895=1,D895="Military",H895&lt;&gt;"Not given")=TRUE,IF(SUMIFS(P:P,A:A,A895)&gt;0,ABS((SUMIFS(P:P,A:A,A895)/VLOOKUP("USD",'Exchange Rates'!B:C,2,0)))/S895,"."),".")</f>
        <v>.</v>
      </c>
      <c r="AZ895" s="182" t="str">
        <f>IF(AND(AD895=1,D895="Military",H895&lt;&gt;"Not given")=TRUE,IF(SUMIFS(P:P,A:A,A895)&gt;0,IF((ABS((SUMIFS(P:P,A:A,A895)/VLOOKUP("USD",'Exchange Rates'!B:C,2,0)))/S895)&gt;1,(SUMIFS(P:P,A:A,A895)-S895)/S895,(S895-SUMIFS(P:P,A:A,A895))/SUMIFS(P:P,A:A,A895)),"."),".")</f>
        <v>.</v>
      </c>
      <c r="BA895" s="182"/>
      <c r="BB895" s="182"/>
      <c r="BC895" s="182"/>
      <c r="BD895" s="182"/>
      <c r="BE895" s="182"/>
      <c r="BF895" s="182"/>
      <c r="BG895" s="182"/>
      <c r="BH895" s="182"/>
      <c r="BI895" s="182"/>
      <c r="BJ895" s="182"/>
      <c r="BK895" s="182"/>
      <c r="BL895" s="182"/>
      <c r="BM895" s="182"/>
      <c r="BN895" s="182"/>
      <c r="BO895" s="182"/>
      <c r="BP895" s="182"/>
      <c r="BQ895" s="182"/>
      <c r="BR895" s="182"/>
      <c r="BS895" s="182"/>
    </row>
    <row r="896" spans="1:71" ht="15.9" customHeight="1" x14ac:dyDescent="0.3">
      <c r="A896" s="17" t="s">
        <v>2608</v>
      </c>
      <c r="B896" s="17" t="s">
        <v>2547</v>
      </c>
      <c r="C896" s="555">
        <v>44824</v>
      </c>
      <c r="D896" s="19" t="s">
        <v>285</v>
      </c>
      <c r="E896" s="19" t="s">
        <v>339</v>
      </c>
      <c r="F896" s="19" t="s">
        <v>2609</v>
      </c>
      <c r="G896" s="15" t="s">
        <v>364</v>
      </c>
      <c r="H896" s="176" t="s">
        <v>341</v>
      </c>
      <c r="I896" s="17" t="s">
        <v>2610</v>
      </c>
      <c r="J896" s="113" t="str">
        <f>VLOOKUP($I896,'Price List, Weapons &amp; Items'!B:C,2,0)</f>
        <v>Heavy weapon</v>
      </c>
      <c r="K896" s="113" t="str">
        <f>IF(I896=".",I896,VLOOKUP($I896,'Price List, Weapons &amp; Items'!B:D,3,0))</f>
        <v>Main battle tank (MBT)</v>
      </c>
      <c r="L896" s="177">
        <f>VLOOKUP(I896,'Price List, Weapons &amp; Items'!B:E,4,0)</f>
        <v>1</v>
      </c>
      <c r="M896" s="187">
        <v>28</v>
      </c>
      <c r="N896" s="542">
        <v>28</v>
      </c>
      <c r="O896" s="543">
        <f>VLOOKUP($I896,'Price List, Weapons &amp; Items'!B:G,6,0)</f>
        <v>968420</v>
      </c>
      <c r="P896" s="176">
        <f t="shared" si="176"/>
        <v>27115760</v>
      </c>
      <c r="Q896" s="176">
        <f t="shared" si="177"/>
        <v>27115760</v>
      </c>
      <c r="R896" s="176">
        <f t="shared" si="174"/>
        <v>27115760</v>
      </c>
      <c r="S896" s="176">
        <f>IF(AND(AD896=1,R896&lt;&gt;".")=TRUE,R896/VLOOKUP(G896,'Exchange Rates'!B:C,2,0),IF(R896=".",".",""))</f>
        <v>27115760</v>
      </c>
      <c r="T896" s="176">
        <f>IF(AD896=1,IF(AF896="Value is not given at all",".",IF(AF896="Value is given by the source",S896,IF(AF896="Value is calculated with prices",(IF(SUMIFS(Q:Q,A:A,A896)&gt;0,SUMIFS(Q:Q,A:A,A896),"."))/VLOOKUP("USD",'Exchange Rates'!B:C,2,0),"Error with coding"))),"")</f>
        <v>25824533.333333332</v>
      </c>
      <c r="U896" s="15" t="s">
        <v>261</v>
      </c>
      <c r="V896" s="552" t="s">
        <v>2611</v>
      </c>
      <c r="W896" s="552" t="s">
        <v>2612</v>
      </c>
      <c r="X896" s="144" t="s">
        <v>260</v>
      </c>
      <c r="Y896" s="144" t="s">
        <v>260</v>
      </c>
      <c r="Z896" s="15">
        <v>0</v>
      </c>
      <c r="AA896" s="180">
        <v>1</v>
      </c>
      <c r="AB896" s="666" t="s">
        <v>2613</v>
      </c>
      <c r="AC896" s="544" t="str">
        <f>""</f>
        <v/>
      </c>
      <c r="AD896" s="183">
        <v>1</v>
      </c>
      <c r="AE896" s="183" t="s">
        <v>332</v>
      </c>
      <c r="AF896" s="183" t="s">
        <v>332</v>
      </c>
      <c r="AG896" s="183">
        <v>1</v>
      </c>
      <c r="AH896" s="181">
        <v>9</v>
      </c>
      <c r="AI896" s="181">
        <v>0</v>
      </c>
      <c r="AJ896" s="181">
        <f>VLOOKUP($I896,'Price List, Weapons &amp; Items'!B:F,5,0)</f>
        <v>1</v>
      </c>
      <c r="AK896" s="181">
        <f t="shared" si="178"/>
        <v>0</v>
      </c>
      <c r="AL896" s="181">
        <f t="shared" si="179"/>
        <v>0</v>
      </c>
      <c r="AM896" s="181">
        <f t="shared" si="180"/>
        <v>0</v>
      </c>
      <c r="AN896" s="180" t="str">
        <f>VLOOKUP($I896,'Price List, Weapons &amp; Items'!B:L,COLUMN('Price List, Weapons &amp; Items'!$J$11)-1,0)</f>
        <v>Media reports (incl. social media)</v>
      </c>
      <c r="AO896" s="180" t="str">
        <f>IF(I896=".",".",VLOOKUP($I896,'Price List, Weapons &amp; Items'!B:J,3,0))</f>
        <v>Main battle tank (MBT)</v>
      </c>
      <c r="AP896" s="545" t="e">
        <f t="shared" ca="1" si="175"/>
        <v>#NAME?</v>
      </c>
      <c r="AQ896" s="180">
        <f>VLOOKUP($I896,'Price List, Weapons &amp; Items'!B:L,COLUMN('Price List, Weapons &amp; Items'!$L$11)-1,0)</f>
        <v>2</v>
      </c>
      <c r="AR896" s="180">
        <f t="shared" si="181"/>
        <v>1</v>
      </c>
      <c r="AS896" s="180">
        <f t="shared" si="182"/>
        <v>1</v>
      </c>
      <c r="AT896" s="180">
        <f t="shared" si="183"/>
        <v>1</v>
      </c>
      <c r="AU896" s="180" t="str">
        <f t="shared" si="184"/>
        <v>.</v>
      </c>
      <c r="AV896" s="180" t="str">
        <f t="shared" si="185"/>
        <v>.</v>
      </c>
      <c r="AW896" s="180">
        <f>IFERROR(VLOOKUP(B896,'Share, Heavy Weapons to Ukraine'!B:J,COLUMN('Share, Heavy Weapons to Ukraine'!C909)-1,0),0)</f>
        <v>0</v>
      </c>
      <c r="AX896" s="180">
        <f>VLOOKUP('Bilateral Assistance, MAIN DATA'!B896,'Country Summary'!B:F,COLUMN('Country Summary'!C912)-1,FALSE)</f>
        <v>1</v>
      </c>
      <c r="AY896" s="180" t="str">
        <f>IF(AND(AD896=1,D896="Military",H896&lt;&gt;"Not given")=TRUE,IF(SUMIFS(P:P,A:A,A896)&gt;0,ABS((SUMIFS(P:P,A:A,A896)/VLOOKUP("USD",'Exchange Rates'!B:C,2,0)))/S896,"."),".")</f>
        <v>.</v>
      </c>
      <c r="AZ896" s="182" t="str">
        <f>IF(AND(AD896=1,D896="Military",H896&lt;&gt;"Not given")=TRUE,IF(SUMIFS(P:P,A:A,A896)&gt;0,IF((ABS((SUMIFS(P:P,A:A,A896)/VLOOKUP("USD",'Exchange Rates'!B:C,2,0)))/S896)&gt;1,(SUMIFS(P:P,A:A,A896)-S896)/S896,(S896-SUMIFS(P:P,A:A,A896))/SUMIFS(P:P,A:A,A896)),"."),".")</f>
        <v>.</v>
      </c>
      <c r="BA896" s="182"/>
      <c r="BB896" s="182"/>
      <c r="BC896" s="182"/>
      <c r="BD896" s="182"/>
      <c r="BE896" s="182"/>
      <c r="BF896" s="182"/>
      <c r="BG896" s="182"/>
      <c r="BH896" s="182"/>
      <c r="BI896" s="182"/>
      <c r="BJ896" s="182"/>
      <c r="BK896" s="182"/>
      <c r="BL896" s="182"/>
      <c r="BM896" s="182"/>
      <c r="BN896" s="182"/>
      <c r="BO896" s="182"/>
      <c r="BP896" s="182"/>
      <c r="BQ896" s="182"/>
      <c r="BR896" s="182"/>
      <c r="BS896" s="182"/>
    </row>
    <row r="897" spans="1:71" s="514" customFormat="1" ht="15.9" customHeight="1" x14ac:dyDescent="0.3">
      <c r="A897" s="17" t="s">
        <v>2614</v>
      </c>
      <c r="B897" s="17" t="s">
        <v>2615</v>
      </c>
      <c r="C897" s="174">
        <v>44618</v>
      </c>
      <c r="D897" s="5" t="s">
        <v>256</v>
      </c>
      <c r="E897" s="5" t="s">
        <v>2616</v>
      </c>
      <c r="F897" s="175" t="s">
        <v>2617</v>
      </c>
      <c r="G897" s="15" t="s">
        <v>364</v>
      </c>
      <c r="H897" s="176">
        <v>150000</v>
      </c>
      <c r="I897" s="17" t="s">
        <v>260</v>
      </c>
      <c r="J897" s="113" t="str">
        <f>VLOOKUP($I897,'Price List, Weapons &amp; Items'!B:C,2,0)</f>
        <v>.</v>
      </c>
      <c r="K897" s="113" t="str">
        <f>IF(I897=".",I897,VLOOKUP($I897,'Price List, Weapons &amp; Items'!B:D,3,0))</f>
        <v>.</v>
      </c>
      <c r="L897" s="177">
        <f>VLOOKUP(I897,'Price List, Weapons &amp; Items'!B:E,4,0)</f>
        <v>0</v>
      </c>
      <c r="M897" s="542" t="s">
        <v>260</v>
      </c>
      <c r="N897" s="542" t="s">
        <v>260</v>
      </c>
      <c r="O897" s="543" t="str">
        <f>VLOOKUP($I897,'Price List, Weapons &amp; Items'!B:G,6,0)</f>
        <v>.</v>
      </c>
      <c r="P897" s="176" t="str">
        <f t="shared" si="176"/>
        <v>.</v>
      </c>
      <c r="Q897" s="176" t="str">
        <f t="shared" si="177"/>
        <v>.</v>
      </c>
      <c r="R897" s="176">
        <f t="shared" si="174"/>
        <v>150000</v>
      </c>
      <c r="S897" s="176">
        <f>IF(AND(AD897=1,R897&lt;&gt;".")=TRUE,R897/VLOOKUP(G897,'Exchange Rates'!B:C,2,0),IF(R897=".",".",""))</f>
        <v>150000</v>
      </c>
      <c r="T897" s="176" t="str">
        <f>IF(AD897=1,IF(AF897="Value is not given at all",".",IF(AF897="Value is given by the source",S897,IF(AF897="Value is calculated with prices",(IF(SUMIFS(Q:Q,A:A,A897)&gt;0,SUMIFS(Q:Q,A:A,A897),"."))/VLOOKUP("USD",'Exchange Rates'!B:C,2,0),"Error with coding"))),"")</f>
        <v>.</v>
      </c>
      <c r="U897" s="15" t="s">
        <v>261</v>
      </c>
      <c r="V897" s="300" t="s">
        <v>2618</v>
      </c>
      <c r="W897" s="300" t="s">
        <v>2619</v>
      </c>
      <c r="X897" s="300" t="s">
        <v>2620</v>
      </c>
      <c r="Y897" s="175" t="s">
        <v>260</v>
      </c>
      <c r="Z897" s="15">
        <v>0</v>
      </c>
      <c r="AA897" s="180">
        <v>0</v>
      </c>
      <c r="AB897" s="184" t="s">
        <v>260</v>
      </c>
      <c r="AC897" s="544" t="str">
        <f>""</f>
        <v/>
      </c>
      <c r="AD897" s="183">
        <v>1</v>
      </c>
      <c r="AE897" s="183" t="s">
        <v>264</v>
      </c>
      <c r="AF897" s="183" t="s">
        <v>265</v>
      </c>
      <c r="AG897" s="183">
        <v>1</v>
      </c>
      <c r="AH897" s="181">
        <v>2</v>
      </c>
      <c r="AI897" s="181">
        <v>0</v>
      </c>
      <c r="AJ897" s="181">
        <f>VLOOKUP($I897,'Price List, Weapons &amp; Items'!B:F,5,0)</f>
        <v>0</v>
      </c>
      <c r="AK897" s="181">
        <f t="shared" si="178"/>
        <v>0</v>
      </c>
      <c r="AL897" s="181">
        <f t="shared" si="179"/>
        <v>0</v>
      </c>
      <c r="AM897" s="181">
        <f t="shared" si="180"/>
        <v>0</v>
      </c>
      <c r="AN897" s="180" t="str">
        <f>VLOOKUP($I897,'Price List, Weapons &amp; Items'!B:L,COLUMN('Price List, Weapons &amp; Items'!$J$11)-1,0)</f>
        <v>.</v>
      </c>
      <c r="AO897" s="180" t="str">
        <f>IF(I897=".",".",VLOOKUP($I897,'Price List, Weapons &amp; Items'!B:J,3,0))</f>
        <v>.</v>
      </c>
      <c r="AP897" s="545" t="e">
        <f t="shared" ca="1" si="175"/>
        <v>#NAME?</v>
      </c>
      <c r="AQ897" s="180" t="str">
        <f>VLOOKUP($I897,'Price List, Weapons &amp; Items'!B:L,COLUMN('Price List, Weapons &amp; Items'!$L$11)-1,0)</f>
        <v>no price, 0 count</v>
      </c>
      <c r="AR897" s="180">
        <f t="shared" si="181"/>
        <v>1</v>
      </c>
      <c r="AS897" s="180">
        <f t="shared" si="182"/>
        <v>0</v>
      </c>
      <c r="AT897" s="180">
        <f t="shared" si="183"/>
        <v>1</v>
      </c>
      <c r="AU897" s="180" t="str">
        <f t="shared" si="184"/>
        <v>.</v>
      </c>
      <c r="AV897" s="180" t="str">
        <f t="shared" si="185"/>
        <v>.</v>
      </c>
      <c r="AW897" s="180">
        <f>IFERROR(VLOOKUP(B897,'Share, Heavy Weapons to Ukraine'!B:J,COLUMN('Share, Heavy Weapons to Ukraine'!C910)-1,0),0)</f>
        <v>0</v>
      </c>
      <c r="AX897" s="180">
        <f>VLOOKUP('Bilateral Assistance, MAIN DATA'!B897,'Country Summary'!B:F,COLUMN('Country Summary'!C913)-1,FALSE)</f>
        <v>1</v>
      </c>
      <c r="AY897" s="180" t="str">
        <f>IF(AND(AD897=1,D897="Military",H897&lt;&gt;"Not given")=TRUE,IF(SUMIFS(P:P,A:A,A897)&gt;0,ABS((SUMIFS(P:P,A:A,A897)/VLOOKUP("USD",'Exchange Rates'!B:C,2,0)))/S897,"."),".")</f>
        <v>.</v>
      </c>
      <c r="AZ897" s="182" t="str">
        <f>IF(AND(AD897=1,D897="Military",H897&lt;&gt;"Not given")=TRUE,IF(SUMIFS(P:P,A:A,A897)&gt;0,IF((ABS((SUMIFS(P:P,A:A,A897)/VLOOKUP("USD",'Exchange Rates'!B:C,2,0)))/S897)&gt;1,(SUMIFS(P:P,A:A,A897)-S897)/S897,(S897-SUMIFS(P:P,A:A,A897))/SUMIFS(P:P,A:A,A897)),"."),".")</f>
        <v>.</v>
      </c>
      <c r="BA897" s="180"/>
      <c r="BB897" s="180"/>
      <c r="BC897" s="180"/>
      <c r="BD897" s="180"/>
      <c r="BE897" s="180"/>
      <c r="BF897" s="180"/>
      <c r="BG897" s="180"/>
      <c r="BH897" s="180"/>
      <c r="BI897" s="180"/>
      <c r="BJ897" s="180"/>
      <c r="BK897" s="180"/>
      <c r="BL897" s="180"/>
      <c r="BM897" s="180"/>
      <c r="BN897" s="180"/>
      <c r="BO897" s="180"/>
      <c r="BP897" s="180"/>
      <c r="BQ897" s="180"/>
      <c r="BR897" s="180"/>
      <c r="BS897" s="180"/>
    </row>
    <row r="898" spans="1:71" s="514" customFormat="1" ht="15.9" customHeight="1" x14ac:dyDescent="0.3">
      <c r="A898" s="5" t="s">
        <v>2621</v>
      </c>
      <c r="B898" s="5" t="s">
        <v>2615</v>
      </c>
      <c r="C898" s="174">
        <v>44635</v>
      </c>
      <c r="D898" s="5" t="s">
        <v>256</v>
      </c>
      <c r="E898" s="5" t="s">
        <v>267</v>
      </c>
      <c r="F898" s="175" t="s">
        <v>2622</v>
      </c>
      <c r="G898" s="15" t="s">
        <v>346</v>
      </c>
      <c r="H898" s="176" t="s">
        <v>341</v>
      </c>
      <c r="I898" s="17" t="s">
        <v>1536</v>
      </c>
      <c r="J898" s="113" t="str">
        <f>VLOOKUP($I898,'Price List, Weapons &amp; Items'!B:C,2,0)</f>
        <v>Humanitarian</v>
      </c>
      <c r="K898" s="113" t="str">
        <f>IF(I898=".",I898,VLOOKUP($I898,'Price List, Weapons &amp; Items'!B:D,3,0))</f>
        <v>Humanitarian</v>
      </c>
      <c r="L898" s="177">
        <f>VLOOKUP(I898,'Price List, Weapons &amp; Items'!B:E,4,0)</f>
        <v>0</v>
      </c>
      <c r="M898" s="542">
        <v>4316</v>
      </c>
      <c r="N898" s="542" t="s">
        <v>270</v>
      </c>
      <c r="O898" s="543">
        <f>VLOOKUP($I898,'Price List, Weapons &amp; Items'!B:G,6,0)</f>
        <v>6000</v>
      </c>
      <c r="P898" s="176">
        <f t="shared" si="176"/>
        <v>25896000</v>
      </c>
      <c r="Q898" s="176" t="str">
        <f t="shared" si="177"/>
        <v>.</v>
      </c>
      <c r="R898" s="176">
        <f t="shared" si="174"/>
        <v>26251200</v>
      </c>
      <c r="S898" s="176">
        <f>IF(AND(AD898=1,R898&lt;&gt;".")=TRUE,R898/VLOOKUP(G898,'Exchange Rates'!B:C,2,0),IF(R898=".",".",""))</f>
        <v>25001142.857142854</v>
      </c>
      <c r="T898" s="176" t="str">
        <f>IF(AD898=1,IF(AF898="Value is not given at all",".",IF(AF898="Value is given by the source",S898,IF(AF898="Value is calculated with prices",(IF(SUMIFS(Q:Q,A:A,A898)&gt;0,SUMIFS(Q:Q,A:A,A898),"."))/VLOOKUP("USD",'Exchange Rates'!B:C,2,0),"Error with coding"))),"")</f>
        <v>.</v>
      </c>
      <c r="U898" s="15" t="s">
        <v>261</v>
      </c>
      <c r="V898" s="547" t="s">
        <v>2623</v>
      </c>
      <c r="W898" s="547" t="s">
        <v>2624</v>
      </c>
      <c r="X898" s="188" t="s">
        <v>260</v>
      </c>
      <c r="Y898" s="188" t="s">
        <v>260</v>
      </c>
      <c r="Z898" s="15">
        <v>0</v>
      </c>
      <c r="AA898" s="180">
        <v>0</v>
      </c>
      <c r="AB898" s="184" t="s">
        <v>260</v>
      </c>
      <c r="AC898" s="544" t="str">
        <f>""</f>
        <v/>
      </c>
      <c r="AD898" s="183">
        <v>1</v>
      </c>
      <c r="AE898" s="183" t="s">
        <v>332</v>
      </c>
      <c r="AF898" s="183" t="s">
        <v>265</v>
      </c>
      <c r="AG898" s="183">
        <v>1</v>
      </c>
      <c r="AH898" s="183">
        <v>3</v>
      </c>
      <c r="AI898" s="183">
        <v>0</v>
      </c>
      <c r="AJ898" s="181">
        <f>VLOOKUP($I898,'Price List, Weapons &amp; Items'!B:F,5,0)</f>
        <v>0</v>
      </c>
      <c r="AK898" s="181">
        <f t="shared" si="178"/>
        <v>0</v>
      </c>
      <c r="AL898" s="181">
        <f t="shared" si="179"/>
        <v>0</v>
      </c>
      <c r="AM898" s="181">
        <f t="shared" si="180"/>
        <v>0</v>
      </c>
      <c r="AN898" s="180" t="str">
        <f>VLOOKUP($I898,'Price List, Weapons &amp; Items'!B:L,COLUMN('Price List, Weapons &amp; Items'!$J$11)-1,0)</f>
        <v>Miscellaneous</v>
      </c>
      <c r="AO898" s="180" t="str">
        <f>IF(I898=".",".",VLOOKUP($I898,'Price List, Weapons &amp; Items'!B:J,3,0))</f>
        <v>Humanitarian</v>
      </c>
      <c r="AP898" s="545" t="e">
        <f t="shared" ca="1" si="175"/>
        <v>#NAME?</v>
      </c>
      <c r="AQ898" s="180">
        <f>VLOOKUP($I898,'Price List, Weapons &amp; Items'!B:L,COLUMN('Price List, Weapons &amp; Items'!$L$11)-1,0)</f>
        <v>0</v>
      </c>
      <c r="AR898" s="180">
        <f t="shared" si="181"/>
        <v>1</v>
      </c>
      <c r="AS898" s="180">
        <f t="shared" si="182"/>
        <v>0</v>
      </c>
      <c r="AT898" s="180">
        <f t="shared" si="183"/>
        <v>1</v>
      </c>
      <c r="AU898" s="180" t="str">
        <f t="shared" si="184"/>
        <v>.</v>
      </c>
      <c r="AV898" s="180" t="str">
        <f t="shared" si="185"/>
        <v>.</v>
      </c>
      <c r="AW898" s="180">
        <f>IFERROR(VLOOKUP(B898,'Share, Heavy Weapons to Ukraine'!B:J,COLUMN('Share, Heavy Weapons to Ukraine'!C911)-1,0),0)</f>
        <v>0</v>
      </c>
      <c r="AX898" s="180">
        <f>VLOOKUP('Bilateral Assistance, MAIN DATA'!B898,'Country Summary'!B:F,COLUMN('Country Summary'!C914)-1,FALSE)</f>
        <v>1</v>
      </c>
      <c r="AY898" s="180" t="str">
        <f>IF(AND(AD898=1,D898="Military",H898&lt;&gt;"Not given")=TRUE,IF(SUMIFS(P:P,A:A,A898)&gt;0,ABS((SUMIFS(P:P,A:A,A898)/VLOOKUP("USD",'Exchange Rates'!B:C,2,0)))/S898,"."),".")</f>
        <v>.</v>
      </c>
      <c r="AZ898" s="182" t="str">
        <f>IF(AND(AD898=1,D898="Military",H898&lt;&gt;"Not given")=TRUE,IF(SUMIFS(P:P,A:A,A898)&gt;0,IF((ABS((SUMIFS(P:P,A:A,A898)/VLOOKUP("USD",'Exchange Rates'!B:C,2,0)))/S898)&gt;1,(SUMIFS(P:P,A:A,A898)-S898)/S898,(S898-SUMIFS(P:P,A:A,A898))/SUMIFS(P:P,A:A,A898)),"."),".")</f>
        <v>.</v>
      </c>
      <c r="BA898" s="180"/>
      <c r="BB898" s="180"/>
      <c r="BC898" s="180"/>
      <c r="BD898" s="180"/>
      <c r="BE898" s="180"/>
      <c r="BF898" s="180"/>
      <c r="BG898" s="180"/>
      <c r="BH898" s="180"/>
      <c r="BI898" s="180"/>
      <c r="BJ898" s="180"/>
      <c r="BK898" s="180"/>
      <c r="BL898" s="180"/>
      <c r="BM898" s="180"/>
      <c r="BN898" s="180"/>
      <c r="BO898" s="180"/>
      <c r="BP898" s="180"/>
      <c r="BQ898" s="180"/>
      <c r="BR898" s="180"/>
      <c r="BS898" s="180"/>
    </row>
    <row r="899" spans="1:71" s="514" customFormat="1" ht="15.9" customHeight="1" x14ac:dyDescent="0.3">
      <c r="A899" s="5" t="s">
        <v>2621</v>
      </c>
      <c r="B899" s="5" t="s">
        <v>2615</v>
      </c>
      <c r="C899" s="174">
        <v>44635</v>
      </c>
      <c r="D899" s="5" t="s">
        <v>256</v>
      </c>
      <c r="E899" s="5" t="s">
        <v>267</v>
      </c>
      <c r="F899" s="175" t="s">
        <v>2622</v>
      </c>
      <c r="G899" s="15" t="s">
        <v>346</v>
      </c>
      <c r="H899" s="176" t="s">
        <v>341</v>
      </c>
      <c r="I899" s="17" t="s">
        <v>2625</v>
      </c>
      <c r="J899" s="113" t="str">
        <f>VLOOKUP($I899,'Price List, Weapons &amp; Items'!B:C,2,0)</f>
        <v>Humanitarian</v>
      </c>
      <c r="K899" s="113" t="str">
        <f>IF(I899=".",I899,VLOOKUP($I899,'Price List, Weapons &amp; Items'!B:D,3,0))</f>
        <v>Humanitarian</v>
      </c>
      <c r="L899" s="177">
        <f>VLOOKUP(I899,'Price List, Weapons &amp; Items'!B:E,4,0)</f>
        <v>0</v>
      </c>
      <c r="M899" s="542">
        <v>1184</v>
      </c>
      <c r="N899" s="542" t="s">
        <v>270</v>
      </c>
      <c r="O899" s="543">
        <f>VLOOKUP($I899,'Price List, Weapons &amp; Items'!B:G,6,0)</f>
        <v>300</v>
      </c>
      <c r="P899" s="176">
        <f t="shared" si="176"/>
        <v>355200</v>
      </c>
      <c r="Q899" s="176" t="str">
        <f t="shared" si="177"/>
        <v>.</v>
      </c>
      <c r="R899" s="176" t="str">
        <f t="shared" si="174"/>
        <v/>
      </c>
      <c r="S899" s="176" t="str">
        <f>IF(AND(AD899=1,R899&lt;&gt;".")=TRUE,R899/VLOOKUP(G899,'Exchange Rates'!B:C,2,0),IF(R899=".",".",""))</f>
        <v/>
      </c>
      <c r="T899" s="176" t="str">
        <f>IF(AD899=1,IF(AF899="Value is not given at all",".",IF(AF899="Value is given by the source",S899,IF(AF899="Value is calculated with prices",(IF(SUMIFS(Q:Q,A:A,A899)&gt;0,SUMIFS(Q:Q,A:A,A899),"."))/VLOOKUP("USD",'Exchange Rates'!B:C,2,0),"Error with coding"))),"")</f>
        <v/>
      </c>
      <c r="U899" s="15" t="s">
        <v>261</v>
      </c>
      <c r="V899" s="547" t="s">
        <v>2623</v>
      </c>
      <c r="W899" s="547" t="s">
        <v>2624</v>
      </c>
      <c r="X899" s="188" t="s">
        <v>260</v>
      </c>
      <c r="Y899" s="188" t="s">
        <v>260</v>
      </c>
      <c r="Z899" s="15">
        <v>0</v>
      </c>
      <c r="AA899" s="180">
        <v>0</v>
      </c>
      <c r="AB899" s="184" t="s">
        <v>260</v>
      </c>
      <c r="AC899" s="544" t="str">
        <f>""</f>
        <v/>
      </c>
      <c r="AD899" s="183">
        <v>0</v>
      </c>
      <c r="AE899" s="183" t="s">
        <v>332</v>
      </c>
      <c r="AF899" s="183" t="s">
        <v>265</v>
      </c>
      <c r="AG899" s="183">
        <v>1</v>
      </c>
      <c r="AH899" s="183">
        <v>3</v>
      </c>
      <c r="AI899" s="183">
        <v>0</v>
      </c>
      <c r="AJ899" s="181">
        <f>VLOOKUP($I899,'Price List, Weapons &amp; Items'!B:F,5,0)</f>
        <v>0</v>
      </c>
      <c r="AK899" s="181">
        <f t="shared" si="178"/>
        <v>0</v>
      </c>
      <c r="AL899" s="181">
        <f t="shared" si="179"/>
        <v>0</v>
      </c>
      <c r="AM899" s="181">
        <f t="shared" si="180"/>
        <v>0</v>
      </c>
      <c r="AN899" s="180" t="str">
        <f>VLOOKUP($I899,'Price List, Weapons &amp; Items'!B:L,COLUMN('Price List, Weapons &amp; Items'!$J$11)-1,0)</f>
        <v>Online marketplaces and stores</v>
      </c>
      <c r="AO899" s="180" t="str">
        <f>IF(I899=".",".",VLOOKUP($I899,'Price List, Weapons &amp; Items'!B:J,3,0))</f>
        <v>Humanitarian</v>
      </c>
      <c r="AP899" s="545" t="str">
        <f t="shared" ca="1" si="175"/>
        <v/>
      </c>
      <c r="AQ899" s="180">
        <f>VLOOKUP($I899,'Price List, Weapons &amp; Items'!B:L,COLUMN('Price List, Weapons &amp; Items'!$L$11)-1,0)</f>
        <v>0</v>
      </c>
      <c r="AR899" s="180">
        <f t="shared" si="181"/>
        <v>1</v>
      </c>
      <c r="AS899" s="180">
        <f t="shared" si="182"/>
        <v>0</v>
      </c>
      <c r="AT899" s="180">
        <f t="shared" si="183"/>
        <v>1</v>
      </c>
      <c r="AU899" s="180" t="str">
        <f t="shared" si="184"/>
        <v>.</v>
      </c>
      <c r="AV899" s="180" t="str">
        <f t="shared" si="185"/>
        <v>.</v>
      </c>
      <c r="AW899" s="180">
        <f>IFERROR(VLOOKUP(B899,'Share, Heavy Weapons to Ukraine'!B:J,COLUMN('Share, Heavy Weapons to Ukraine'!C912)-1,0),0)</f>
        <v>0</v>
      </c>
      <c r="AX899" s="180">
        <f>VLOOKUP('Bilateral Assistance, MAIN DATA'!B899,'Country Summary'!B:F,COLUMN('Country Summary'!C915)-1,FALSE)</f>
        <v>1</v>
      </c>
      <c r="AY899" s="180" t="str">
        <f>IF(AND(AD899=1,D899="Military",H899&lt;&gt;"Not given")=TRUE,IF(SUMIFS(P:P,A:A,A899)&gt;0,ABS((SUMIFS(P:P,A:A,A899)/VLOOKUP("USD",'Exchange Rates'!B:C,2,0)))/S899,"."),".")</f>
        <v>.</v>
      </c>
      <c r="AZ899" s="182" t="str">
        <f>IF(AND(AD899=1,D899="Military",H899&lt;&gt;"Not given")=TRUE,IF(SUMIFS(P:P,A:A,A899)&gt;0,IF((ABS((SUMIFS(P:P,A:A,A899)/VLOOKUP("USD",'Exchange Rates'!B:C,2,0)))/S899)&gt;1,(SUMIFS(P:P,A:A,A899)-S899)/S899,(S899-SUMIFS(P:P,A:A,A899))/SUMIFS(P:P,A:A,A899)),"."),".")</f>
        <v>.</v>
      </c>
      <c r="BA899" s="180"/>
      <c r="BB899" s="180"/>
      <c r="BC899" s="180"/>
      <c r="BD899" s="180"/>
      <c r="BE899" s="180"/>
      <c r="BF899" s="180"/>
      <c r="BG899" s="180"/>
      <c r="BH899" s="180"/>
      <c r="BI899" s="180"/>
      <c r="BJ899" s="180"/>
      <c r="BK899" s="180"/>
      <c r="BL899" s="180"/>
      <c r="BM899" s="180"/>
      <c r="BN899" s="180"/>
      <c r="BO899" s="180"/>
      <c r="BP899" s="180"/>
      <c r="BQ899" s="180"/>
      <c r="BR899" s="180"/>
      <c r="BS899" s="180"/>
    </row>
    <row r="900" spans="1:71" s="514" customFormat="1" ht="15.9" customHeight="1" x14ac:dyDescent="0.3">
      <c r="A900" s="17" t="s">
        <v>2626</v>
      </c>
      <c r="B900" s="17" t="s">
        <v>2615</v>
      </c>
      <c r="C900" s="174">
        <v>44637</v>
      </c>
      <c r="D900" s="5" t="s">
        <v>256</v>
      </c>
      <c r="E900" s="5" t="s">
        <v>2493</v>
      </c>
      <c r="F900" s="175" t="s">
        <v>2627</v>
      </c>
      <c r="G900" s="15" t="s">
        <v>364</v>
      </c>
      <c r="H900" s="176">
        <v>23000000</v>
      </c>
      <c r="I900" s="17" t="s">
        <v>260</v>
      </c>
      <c r="J900" s="113" t="str">
        <f>VLOOKUP($I900,'Price List, Weapons &amp; Items'!B:C,2,0)</f>
        <v>.</v>
      </c>
      <c r="K900" s="113" t="str">
        <f>IF(I900=".",I900,VLOOKUP($I900,'Price List, Weapons &amp; Items'!B:D,3,0))</f>
        <v>.</v>
      </c>
      <c r="L900" s="177">
        <f>VLOOKUP(I900,'Price List, Weapons &amp; Items'!B:E,4,0)</f>
        <v>0</v>
      </c>
      <c r="M900" s="542" t="s">
        <v>260</v>
      </c>
      <c r="N900" s="542" t="s">
        <v>260</v>
      </c>
      <c r="O900" s="543" t="str">
        <f>VLOOKUP($I900,'Price List, Weapons &amp; Items'!B:G,6,0)</f>
        <v>.</v>
      </c>
      <c r="P900" s="176" t="str">
        <f t="shared" si="176"/>
        <v>.</v>
      </c>
      <c r="Q900" s="176" t="str">
        <f t="shared" si="177"/>
        <v>.</v>
      </c>
      <c r="R900" s="176">
        <f t="shared" si="174"/>
        <v>23000000</v>
      </c>
      <c r="S900" s="176">
        <f>IF(AND(AD900=1,R900&lt;&gt;".")=TRUE,R900/VLOOKUP(G900,'Exchange Rates'!B:C,2,0),IF(R900=".",".",""))</f>
        <v>23000000</v>
      </c>
      <c r="T900" s="176" t="str">
        <f>IF(AD900=1,IF(AF900="Value is not given at all",".",IF(AF900="Value is given by the source",S900,IF(AF900="Value is calculated with prices",(IF(SUMIFS(Q:Q,A:A,A900)&gt;0,SUMIFS(Q:Q,A:A,A900),"."))/VLOOKUP("USD",'Exchange Rates'!B:C,2,0),"Error with coding"))),"")</f>
        <v>.</v>
      </c>
      <c r="U900" s="15" t="s">
        <v>261</v>
      </c>
      <c r="V900" s="300" t="s">
        <v>2628</v>
      </c>
      <c r="W900" s="300" t="s">
        <v>2629</v>
      </c>
      <c r="X900" s="175" t="s">
        <v>260</v>
      </c>
      <c r="Y900" s="175" t="s">
        <v>260</v>
      </c>
      <c r="Z900" s="15">
        <v>0</v>
      </c>
      <c r="AA900" s="180">
        <v>0</v>
      </c>
      <c r="AB900" s="184" t="s">
        <v>260</v>
      </c>
      <c r="AC900" s="544" t="str">
        <f>""</f>
        <v/>
      </c>
      <c r="AD900" s="183">
        <v>1</v>
      </c>
      <c r="AE900" s="183" t="s">
        <v>264</v>
      </c>
      <c r="AF900" s="183" t="s">
        <v>265</v>
      </c>
      <c r="AG900" s="183">
        <v>1</v>
      </c>
      <c r="AH900" s="181">
        <v>3</v>
      </c>
      <c r="AI900" s="181">
        <v>0</v>
      </c>
      <c r="AJ900" s="181">
        <f>VLOOKUP($I900,'Price List, Weapons &amp; Items'!B:F,5,0)</f>
        <v>0</v>
      </c>
      <c r="AK900" s="181">
        <f t="shared" si="178"/>
        <v>0</v>
      </c>
      <c r="AL900" s="181">
        <f t="shared" si="179"/>
        <v>0</v>
      </c>
      <c r="AM900" s="181">
        <f t="shared" si="180"/>
        <v>0</v>
      </c>
      <c r="AN900" s="180" t="str">
        <f>VLOOKUP($I900,'Price List, Weapons &amp; Items'!B:L,COLUMN('Price List, Weapons &amp; Items'!$J$11)-1,0)</f>
        <v>.</v>
      </c>
      <c r="AO900" s="180" t="str">
        <f>IF(I900=".",".",VLOOKUP($I900,'Price List, Weapons &amp; Items'!B:J,3,0))</f>
        <v>.</v>
      </c>
      <c r="AP900" s="545" t="e">
        <f t="shared" ca="1" si="175"/>
        <v>#NAME?</v>
      </c>
      <c r="AQ900" s="180" t="str">
        <f>VLOOKUP($I900,'Price List, Weapons &amp; Items'!B:L,COLUMN('Price List, Weapons &amp; Items'!$L$11)-1,0)</f>
        <v>no price, 0 count</v>
      </c>
      <c r="AR900" s="180">
        <f t="shared" si="181"/>
        <v>1</v>
      </c>
      <c r="AS900" s="180">
        <f t="shared" si="182"/>
        <v>0</v>
      </c>
      <c r="AT900" s="180">
        <f t="shared" si="183"/>
        <v>1</v>
      </c>
      <c r="AU900" s="180" t="str">
        <f t="shared" si="184"/>
        <v>.</v>
      </c>
      <c r="AV900" s="180" t="str">
        <f t="shared" si="185"/>
        <v>.</v>
      </c>
      <c r="AW900" s="180">
        <f>IFERROR(VLOOKUP(B900,'Share, Heavy Weapons to Ukraine'!B:J,COLUMN('Share, Heavy Weapons to Ukraine'!C913)-1,0),0)</f>
        <v>0</v>
      </c>
      <c r="AX900" s="180">
        <f>VLOOKUP('Bilateral Assistance, MAIN DATA'!B900,'Country Summary'!B:F,COLUMN('Country Summary'!C916)-1,FALSE)</f>
        <v>1</v>
      </c>
      <c r="AY900" s="180" t="str">
        <f>IF(AND(AD900=1,D900="Military",H900&lt;&gt;"Not given")=TRUE,IF(SUMIFS(P:P,A:A,A900)&gt;0,ABS((SUMIFS(P:P,A:A,A900)/VLOOKUP("USD",'Exchange Rates'!B:C,2,0)))/S900,"."),".")</f>
        <v>.</v>
      </c>
      <c r="AZ900" s="182" t="str">
        <f>IF(AND(AD900=1,D900="Military",H900&lt;&gt;"Not given")=TRUE,IF(SUMIFS(P:P,A:A,A900)&gt;0,IF((ABS((SUMIFS(P:P,A:A,A900)/VLOOKUP("USD",'Exchange Rates'!B:C,2,0)))/S900)&gt;1,(SUMIFS(P:P,A:A,A900)-S900)/S900,(S900-SUMIFS(P:P,A:A,A900))/SUMIFS(P:P,A:A,A900)),"."),".")</f>
        <v>.</v>
      </c>
      <c r="BA900" s="180"/>
      <c r="BB900" s="180"/>
      <c r="BC900" s="180"/>
      <c r="BD900" s="180"/>
      <c r="BE900" s="180"/>
      <c r="BF900" s="180"/>
      <c r="BG900" s="180"/>
      <c r="BH900" s="180"/>
      <c r="BI900" s="180"/>
      <c r="BJ900" s="180"/>
      <c r="BK900" s="180"/>
      <c r="BL900" s="180"/>
      <c r="BM900" s="180"/>
      <c r="BN900" s="180"/>
      <c r="BO900" s="180"/>
      <c r="BP900" s="180"/>
      <c r="BQ900" s="180"/>
      <c r="BR900" s="180"/>
      <c r="BS900" s="180"/>
    </row>
    <row r="901" spans="1:71" s="514" customFormat="1" ht="15.9" customHeight="1" x14ac:dyDescent="0.3">
      <c r="A901" s="17" t="s">
        <v>2630</v>
      </c>
      <c r="B901" s="17" t="s">
        <v>2615</v>
      </c>
      <c r="C901" s="174" t="s">
        <v>2631</v>
      </c>
      <c r="D901" s="5" t="s">
        <v>256</v>
      </c>
      <c r="E901" s="5" t="s">
        <v>267</v>
      </c>
      <c r="F901" s="175" t="s">
        <v>2632</v>
      </c>
      <c r="G901" s="15" t="s">
        <v>364</v>
      </c>
      <c r="H901" s="176">
        <v>1161542</v>
      </c>
      <c r="I901" s="17" t="s">
        <v>701</v>
      </c>
      <c r="J901" s="113" t="str">
        <f>VLOOKUP($I901,'Price List, Weapons &amp; Items'!B:C,2,0)</f>
        <v>Humanitarian</v>
      </c>
      <c r="K901" s="113" t="str">
        <f>IF(I901=".",I901,VLOOKUP($I901,'Price List, Weapons &amp; Items'!B:D,3,0))</f>
        <v>Humanitarian</v>
      </c>
      <c r="L901" s="177">
        <f>VLOOKUP(I901,'Price List, Weapons &amp; Items'!B:E,4,0)</f>
        <v>0</v>
      </c>
      <c r="M901" s="542">
        <v>11</v>
      </c>
      <c r="N901" s="542" t="s">
        <v>270</v>
      </c>
      <c r="O901" s="543">
        <f>VLOOKUP($I901,'Price List, Weapons &amp; Items'!B:G,6,0)</f>
        <v>10000</v>
      </c>
      <c r="P901" s="176">
        <f t="shared" si="176"/>
        <v>110000</v>
      </c>
      <c r="Q901" s="176" t="str">
        <f t="shared" si="177"/>
        <v>.</v>
      </c>
      <c r="R901" s="176">
        <f t="shared" si="174"/>
        <v>1161542</v>
      </c>
      <c r="S901" s="176">
        <f>IF(AND(AD901=1,R901&lt;&gt;".")=TRUE,R901/VLOOKUP(G901,'Exchange Rates'!B:C,2,0),IF(R901=".",".",""))</f>
        <v>1161542</v>
      </c>
      <c r="T901" s="176" t="str">
        <f>IF(AD901=1,IF(AF901="Value is not given at all",".",IF(AF901="Value is given by the source",S901,IF(AF901="Value is calculated with prices",(IF(SUMIFS(Q:Q,A:A,A901)&gt;0,SUMIFS(Q:Q,A:A,A901),"."))/VLOOKUP("USD",'Exchange Rates'!B:C,2,0),"Error with coding"))),"")</f>
        <v>.</v>
      </c>
      <c r="U901" s="15" t="s">
        <v>261</v>
      </c>
      <c r="V901" s="300" t="s">
        <v>2633</v>
      </c>
      <c r="W901" s="300" t="s">
        <v>2634</v>
      </c>
      <c r="X901" s="300" t="s">
        <v>2635</v>
      </c>
      <c r="Y901" s="175" t="s">
        <v>260</v>
      </c>
      <c r="Z901" s="15">
        <v>0</v>
      </c>
      <c r="AA901" s="180">
        <v>0</v>
      </c>
      <c r="AB901" s="17" t="s">
        <v>260</v>
      </c>
      <c r="AC901" s="544" t="str">
        <f>""</f>
        <v/>
      </c>
      <c r="AD901" s="183">
        <v>1</v>
      </c>
      <c r="AE901" s="183" t="s">
        <v>264</v>
      </c>
      <c r="AF901" s="183" t="s">
        <v>265</v>
      </c>
      <c r="AG901" s="183">
        <v>0</v>
      </c>
      <c r="AH901" s="181">
        <v>0</v>
      </c>
      <c r="AI901" s="181">
        <v>0</v>
      </c>
      <c r="AJ901" s="181">
        <f>VLOOKUP($I901,'Price List, Weapons &amp; Items'!B:F,5,0)</f>
        <v>0</v>
      </c>
      <c r="AK901" s="181">
        <f t="shared" si="178"/>
        <v>0</v>
      </c>
      <c r="AL901" s="181">
        <f t="shared" si="179"/>
        <v>0</v>
      </c>
      <c r="AM901" s="181">
        <f t="shared" si="180"/>
        <v>0</v>
      </c>
      <c r="AN901" s="180" t="str">
        <f>VLOOKUP($I901,'Price List, Weapons &amp; Items'!B:L,COLUMN('Price List, Weapons &amp; Items'!$J$11)-1,0)</f>
        <v>Miscellaneous</v>
      </c>
      <c r="AO901" s="180" t="str">
        <f>IF(I901=".",".",VLOOKUP($I901,'Price List, Weapons &amp; Items'!B:J,3,0))</f>
        <v>Humanitarian</v>
      </c>
      <c r="AP901" s="545" t="e">
        <f t="shared" ca="1" si="175"/>
        <v>#NAME?</v>
      </c>
      <c r="AQ901" s="180">
        <f>VLOOKUP($I901,'Price List, Weapons &amp; Items'!B:L,COLUMN('Price List, Weapons &amp; Items'!$L$11)-1,0)</f>
        <v>0</v>
      </c>
      <c r="AR901" s="180">
        <f t="shared" si="181"/>
        <v>1</v>
      </c>
      <c r="AS901" s="180">
        <f t="shared" si="182"/>
        <v>0</v>
      </c>
      <c r="AT901" s="180" t="str">
        <f t="shared" si="183"/>
        <v>Value is not in date format</v>
      </c>
      <c r="AU901" s="180" t="str">
        <f t="shared" si="184"/>
        <v>.</v>
      </c>
      <c r="AV901" s="180" t="str">
        <f t="shared" si="185"/>
        <v>.</v>
      </c>
      <c r="AW901" s="180">
        <f>IFERROR(VLOOKUP(B901,'Share, Heavy Weapons to Ukraine'!B:J,COLUMN('Share, Heavy Weapons to Ukraine'!C914)-1,0),0)</f>
        <v>0</v>
      </c>
      <c r="AX901" s="180">
        <f>VLOOKUP('Bilateral Assistance, MAIN DATA'!B901,'Country Summary'!B:F,COLUMN('Country Summary'!C917)-1,FALSE)</f>
        <v>1</v>
      </c>
      <c r="AY901" s="180" t="str">
        <f>IF(AND(AD901=1,D901="Military",H901&lt;&gt;"Not given")=TRUE,IF(SUMIFS(P:P,A:A,A901)&gt;0,ABS((SUMIFS(P:P,A:A,A901)/VLOOKUP("USD",'Exchange Rates'!B:C,2,0)))/S901,"."),".")</f>
        <v>.</v>
      </c>
      <c r="AZ901" s="182" t="str">
        <f>IF(AND(AD901=1,D901="Military",H901&lt;&gt;"Not given")=TRUE,IF(SUMIFS(P:P,A:A,A901)&gt;0,IF((ABS((SUMIFS(P:P,A:A,A901)/VLOOKUP("USD",'Exchange Rates'!B:C,2,0)))/S901)&gt;1,(SUMIFS(P:P,A:A,A901)-S901)/S901,(S901-SUMIFS(P:P,A:A,A901))/SUMIFS(P:P,A:A,A901)),"."),".")</f>
        <v>.</v>
      </c>
      <c r="BA901" s="180"/>
      <c r="BB901" s="180"/>
      <c r="BC901" s="180"/>
      <c r="BD901" s="180"/>
      <c r="BE901" s="180"/>
      <c r="BF901" s="180"/>
      <c r="BG901" s="180"/>
      <c r="BH901" s="180"/>
      <c r="BI901" s="180"/>
      <c r="BJ901" s="180"/>
      <c r="BK901" s="180"/>
      <c r="BL901" s="180"/>
      <c r="BM901" s="180"/>
      <c r="BN901" s="180"/>
      <c r="BO901" s="180"/>
      <c r="BP901" s="180"/>
      <c r="BQ901" s="180"/>
      <c r="BR901" s="180"/>
      <c r="BS901" s="180"/>
    </row>
    <row r="902" spans="1:71" s="514" customFormat="1" ht="15.9" customHeight="1" x14ac:dyDescent="0.3">
      <c r="A902" s="17" t="s">
        <v>2636</v>
      </c>
      <c r="B902" s="16" t="s">
        <v>2615</v>
      </c>
      <c r="C902" s="174">
        <v>44659</v>
      </c>
      <c r="D902" s="5" t="s">
        <v>256</v>
      </c>
      <c r="E902" s="5" t="s">
        <v>455</v>
      </c>
      <c r="F902" s="175" t="s">
        <v>2637</v>
      </c>
      <c r="G902" s="15" t="s">
        <v>346</v>
      </c>
      <c r="H902" s="176" t="s">
        <v>341</v>
      </c>
      <c r="I902" s="17" t="s">
        <v>701</v>
      </c>
      <c r="J902" s="113" t="str">
        <f>VLOOKUP($I902,'Price List, Weapons &amp; Items'!B:C,2,0)</f>
        <v>Humanitarian</v>
      </c>
      <c r="K902" s="113" t="str">
        <f>IF(I902=".",I902,VLOOKUP($I902,'Price List, Weapons &amp; Items'!B:D,3,0))</f>
        <v>Humanitarian</v>
      </c>
      <c r="L902" s="177">
        <f>VLOOKUP(I902,'Price List, Weapons &amp; Items'!B:E,4,0)</f>
        <v>0</v>
      </c>
      <c r="M902" s="542">
        <v>50</v>
      </c>
      <c r="N902" s="542" t="s">
        <v>270</v>
      </c>
      <c r="O902" s="543">
        <f>VLOOKUP($I902,'Price List, Weapons &amp; Items'!B:G,6,0)</f>
        <v>10000</v>
      </c>
      <c r="P902" s="176">
        <f t="shared" si="176"/>
        <v>500000</v>
      </c>
      <c r="Q902" s="176" t="str">
        <f t="shared" si="177"/>
        <v>.</v>
      </c>
      <c r="R902" s="176">
        <f t="shared" si="174"/>
        <v>500000</v>
      </c>
      <c r="S902" s="176">
        <f>IF(AND(AD902=1,R902&lt;&gt;".")=TRUE,R902/VLOOKUP(G902,'Exchange Rates'!B:C,2,0),IF(R902=".",".",""))</f>
        <v>476190.47619047615</v>
      </c>
      <c r="T902" s="176" t="str">
        <f>IF(AD902=1,IF(AF902="Value is not given at all",".",IF(AF902="Value is given by the source",S902,IF(AF902="Value is calculated with prices",(IF(SUMIFS(Q:Q,A:A,A902)&gt;0,SUMIFS(Q:Q,A:A,A902),"."))/VLOOKUP("USD",'Exchange Rates'!B:C,2,0),"Error with coding"))),"")</f>
        <v>.</v>
      </c>
      <c r="U902" s="15" t="s">
        <v>261</v>
      </c>
      <c r="V902" s="300" t="s">
        <v>2634</v>
      </c>
      <c r="W902" s="300" t="s">
        <v>2635</v>
      </c>
      <c r="X902" s="300" t="s">
        <v>2634</v>
      </c>
      <c r="Y902" s="175" t="s">
        <v>260</v>
      </c>
      <c r="Z902" s="551">
        <v>0</v>
      </c>
      <c r="AA902" s="180">
        <v>0</v>
      </c>
      <c r="AB902" s="184" t="s">
        <v>260</v>
      </c>
      <c r="AC902" s="544" t="str">
        <f>""</f>
        <v/>
      </c>
      <c r="AD902" s="183">
        <v>1</v>
      </c>
      <c r="AE902" s="183" t="s">
        <v>332</v>
      </c>
      <c r="AF902" s="183" t="s">
        <v>265</v>
      </c>
      <c r="AG902" s="183">
        <v>1</v>
      </c>
      <c r="AH902" s="181">
        <v>4</v>
      </c>
      <c r="AI902" s="181">
        <v>0</v>
      </c>
      <c r="AJ902" s="181">
        <f>VLOOKUP($I902,'Price List, Weapons &amp; Items'!B:F,5,0)</f>
        <v>0</v>
      </c>
      <c r="AK902" s="181">
        <f t="shared" si="178"/>
        <v>0</v>
      </c>
      <c r="AL902" s="181">
        <f t="shared" si="179"/>
        <v>0</v>
      </c>
      <c r="AM902" s="181">
        <f t="shared" si="180"/>
        <v>0</v>
      </c>
      <c r="AN902" s="180" t="str">
        <f>VLOOKUP($I902,'Price List, Weapons &amp; Items'!B:L,COLUMN('Price List, Weapons &amp; Items'!$J$11)-1,0)</f>
        <v>Miscellaneous</v>
      </c>
      <c r="AO902" s="180" t="str">
        <f>IF(I902=".",".",VLOOKUP($I902,'Price List, Weapons &amp; Items'!B:J,3,0))</f>
        <v>Humanitarian</v>
      </c>
      <c r="AP902" s="545" t="e">
        <f t="shared" ca="1" si="175"/>
        <v>#NAME?</v>
      </c>
      <c r="AQ902" s="180">
        <f>VLOOKUP($I902,'Price List, Weapons &amp; Items'!B:L,COLUMN('Price List, Weapons &amp; Items'!$L$11)-1,0)</f>
        <v>0</v>
      </c>
      <c r="AR902" s="180">
        <f t="shared" si="181"/>
        <v>1</v>
      </c>
      <c r="AS902" s="180">
        <f t="shared" si="182"/>
        <v>0</v>
      </c>
      <c r="AT902" s="180">
        <f t="shared" si="183"/>
        <v>1</v>
      </c>
      <c r="AU902" s="180" t="str">
        <f t="shared" si="184"/>
        <v>.</v>
      </c>
      <c r="AV902" s="180" t="str">
        <f t="shared" si="185"/>
        <v>.</v>
      </c>
      <c r="AW902" s="180">
        <f>IFERROR(VLOOKUP(B902,'Share, Heavy Weapons to Ukraine'!B:J,COLUMN('Share, Heavy Weapons to Ukraine'!C915)-1,0),0)</f>
        <v>0</v>
      </c>
      <c r="AX902" s="180">
        <f>VLOOKUP('Bilateral Assistance, MAIN DATA'!B902,'Country Summary'!B:F,COLUMN('Country Summary'!C918)-1,FALSE)</f>
        <v>1</v>
      </c>
      <c r="AY902" s="180" t="str">
        <f>IF(AND(AD902=1,D902="Military",H902&lt;&gt;"Not given")=TRUE,IF(SUMIFS(P:P,A:A,A902)&gt;0,ABS((SUMIFS(P:P,A:A,A902)/VLOOKUP("USD",'Exchange Rates'!B:C,2,0)))/S902,"."),".")</f>
        <v>.</v>
      </c>
      <c r="AZ902" s="182" t="str">
        <f>IF(AND(AD902=1,D902="Military",H902&lt;&gt;"Not given")=TRUE,IF(SUMIFS(P:P,A:A,A902)&gt;0,IF((ABS((SUMIFS(P:P,A:A,A902)/VLOOKUP("USD",'Exchange Rates'!B:C,2,0)))/S902)&gt;1,(SUMIFS(P:P,A:A,A902)-S902)/S902,(S902-SUMIFS(P:P,A:A,A902))/SUMIFS(P:P,A:A,A902)),"."),".")</f>
        <v>.</v>
      </c>
      <c r="BA902" s="180"/>
      <c r="BB902" s="180"/>
      <c r="BC902" s="180"/>
      <c r="BD902" s="180"/>
      <c r="BE902" s="180"/>
      <c r="BF902" s="180"/>
      <c r="BG902" s="180"/>
      <c r="BH902" s="180"/>
      <c r="BI902" s="180"/>
      <c r="BJ902" s="180"/>
      <c r="BK902" s="180"/>
      <c r="BL902" s="180"/>
      <c r="BM902" s="180"/>
      <c r="BN902" s="180"/>
      <c r="BO902" s="180"/>
      <c r="BP902" s="180"/>
      <c r="BQ902" s="180"/>
      <c r="BR902" s="180"/>
      <c r="BS902" s="180"/>
    </row>
    <row r="903" spans="1:71" s="514" customFormat="1" ht="15.9" customHeight="1" x14ac:dyDescent="0.3">
      <c r="A903" s="17" t="s">
        <v>2638</v>
      </c>
      <c r="B903" s="17" t="s">
        <v>2615</v>
      </c>
      <c r="C903" s="174">
        <v>44719</v>
      </c>
      <c r="D903" s="5" t="s">
        <v>256</v>
      </c>
      <c r="E903" s="5" t="s">
        <v>362</v>
      </c>
      <c r="F903" s="175" t="s">
        <v>2639</v>
      </c>
      <c r="G903" s="15" t="s">
        <v>364</v>
      </c>
      <c r="H903" s="176">
        <v>50000000</v>
      </c>
      <c r="I903" s="17" t="s">
        <v>260</v>
      </c>
      <c r="J903" s="113" t="str">
        <f>VLOOKUP($I903,'Price List, Weapons &amp; Items'!B:C,2,0)</f>
        <v>.</v>
      </c>
      <c r="K903" s="113" t="str">
        <f>IF(I903=".",I903,VLOOKUP($I903,'Price List, Weapons &amp; Items'!B:D,3,0))</f>
        <v>.</v>
      </c>
      <c r="L903" s="177">
        <f>VLOOKUP(I903,'Price List, Weapons &amp; Items'!B:E,4,0)</f>
        <v>0</v>
      </c>
      <c r="M903" s="187" t="s">
        <v>260</v>
      </c>
      <c r="N903" s="187" t="s">
        <v>260</v>
      </c>
      <c r="O903" s="543" t="str">
        <f>VLOOKUP($I903,'Price List, Weapons &amp; Items'!B:G,6,0)</f>
        <v>.</v>
      </c>
      <c r="P903" s="176" t="str">
        <f t="shared" si="176"/>
        <v>.</v>
      </c>
      <c r="Q903" s="176" t="str">
        <f t="shared" si="177"/>
        <v>.</v>
      </c>
      <c r="R903" s="176">
        <f t="shared" si="174"/>
        <v>50000000</v>
      </c>
      <c r="S903" s="176">
        <f>IF(AND(AD903=1,R903&lt;&gt;".")=TRUE,R903/VLOOKUP(G903,'Exchange Rates'!B:C,2,0),IF(R903=".",".",""))</f>
        <v>50000000</v>
      </c>
      <c r="T903" s="176" t="str">
        <f>IF(AD903=1,IF(AF903="Value is not given at all",".",IF(AF903="Value is given by the source",S903,IF(AF903="Value is calculated with prices",(IF(SUMIFS(Q:Q,A:A,A903)&gt;0,SUMIFS(Q:Q,A:A,A903),"."))/VLOOKUP("USD",'Exchange Rates'!B:C,2,0),"Error with coding"))),"")</f>
        <v>.</v>
      </c>
      <c r="U903" s="15" t="s">
        <v>415</v>
      </c>
      <c r="V903" s="300" t="s">
        <v>2640</v>
      </c>
      <c r="W903" s="300" t="s">
        <v>2641</v>
      </c>
      <c r="X903" s="175" t="s">
        <v>260</v>
      </c>
      <c r="Y903" s="175" t="s">
        <v>260</v>
      </c>
      <c r="Z903" s="15">
        <v>0</v>
      </c>
      <c r="AA903" s="180">
        <v>0</v>
      </c>
      <c r="AB903" s="17" t="s">
        <v>260</v>
      </c>
      <c r="AC903" s="544" t="str">
        <f>""</f>
        <v/>
      </c>
      <c r="AD903" s="183">
        <v>1</v>
      </c>
      <c r="AE903" s="183" t="s">
        <v>264</v>
      </c>
      <c r="AF903" s="183" t="s">
        <v>265</v>
      </c>
      <c r="AG903" s="183">
        <v>1</v>
      </c>
      <c r="AH903" s="181">
        <v>6</v>
      </c>
      <c r="AI903" s="181">
        <v>0</v>
      </c>
      <c r="AJ903" s="181">
        <f>VLOOKUP($I903,'Price List, Weapons &amp; Items'!B:F,5,0)</f>
        <v>0</v>
      </c>
      <c r="AK903" s="181">
        <f t="shared" si="178"/>
        <v>0</v>
      </c>
      <c r="AL903" s="181">
        <f t="shared" si="179"/>
        <v>0</v>
      </c>
      <c r="AM903" s="181">
        <f t="shared" si="180"/>
        <v>0</v>
      </c>
      <c r="AN903" s="180" t="str">
        <f>VLOOKUP($I903,'Price List, Weapons &amp; Items'!B:L,COLUMN('Price List, Weapons &amp; Items'!$J$11)-1,0)</f>
        <v>.</v>
      </c>
      <c r="AO903" s="180" t="str">
        <f>IF(I903=".",".",VLOOKUP($I903,'Price List, Weapons &amp; Items'!B:J,3,0))</f>
        <v>.</v>
      </c>
      <c r="AP903" s="545" t="e">
        <f t="shared" ca="1" si="175"/>
        <v>#NAME?</v>
      </c>
      <c r="AQ903" s="180" t="str">
        <f>VLOOKUP($I903,'Price List, Weapons &amp; Items'!B:L,COLUMN('Price List, Weapons &amp; Items'!$L$11)-1,0)</f>
        <v>no price, 0 count</v>
      </c>
      <c r="AR903" s="180">
        <f t="shared" si="181"/>
        <v>0</v>
      </c>
      <c r="AS903" s="180">
        <f t="shared" si="182"/>
        <v>0</v>
      </c>
      <c r="AT903" s="180">
        <f t="shared" si="183"/>
        <v>1</v>
      </c>
      <c r="AU903" s="180" t="str">
        <f t="shared" si="184"/>
        <v>.</v>
      </c>
      <c r="AV903" s="180" t="str">
        <f t="shared" si="185"/>
        <v>.</v>
      </c>
      <c r="AW903" s="180">
        <f>IFERROR(VLOOKUP(B903,'Share, Heavy Weapons to Ukraine'!B:J,COLUMN('Share, Heavy Weapons to Ukraine'!C916)-1,0),0)</f>
        <v>0</v>
      </c>
      <c r="AX903" s="180">
        <f>VLOOKUP('Bilateral Assistance, MAIN DATA'!B903,'Country Summary'!B:F,COLUMN('Country Summary'!C919)-1,FALSE)</f>
        <v>1</v>
      </c>
      <c r="AY903" s="180" t="str">
        <f>IF(AND(AD903=1,D903="Military",H903&lt;&gt;"Not given")=TRUE,IF(SUMIFS(P:P,A:A,A903)&gt;0,ABS((SUMIFS(P:P,A:A,A903)/VLOOKUP("USD",'Exchange Rates'!B:C,2,0)))/S903,"."),".")</f>
        <v>.</v>
      </c>
      <c r="AZ903" s="182" t="str">
        <f>IF(AND(AD903=1,D903="Military",H903&lt;&gt;"Not given")=TRUE,IF(SUMIFS(P:P,A:A,A903)&gt;0,IF((ABS((SUMIFS(P:P,A:A,A903)/VLOOKUP("USD",'Exchange Rates'!B:C,2,0)))/S903)&gt;1,(SUMIFS(P:P,A:A,A903)-S903)/S903,(S903-SUMIFS(P:P,A:A,A903))/SUMIFS(P:P,A:A,A903)),"."),".")</f>
        <v>.</v>
      </c>
      <c r="BA903" s="180"/>
      <c r="BB903" s="180"/>
      <c r="BC903" s="180"/>
      <c r="BD903" s="180"/>
      <c r="BE903" s="180"/>
      <c r="BF903" s="180"/>
      <c r="BG903" s="180"/>
      <c r="BH903" s="180"/>
      <c r="BI903" s="180"/>
      <c r="BJ903" s="180"/>
      <c r="BK903" s="180"/>
      <c r="BL903" s="180"/>
      <c r="BM903" s="180"/>
      <c r="BN903" s="180"/>
      <c r="BO903" s="180"/>
      <c r="BP903" s="180"/>
      <c r="BQ903" s="180"/>
      <c r="BR903" s="180"/>
      <c r="BS903" s="180"/>
    </row>
    <row r="904" spans="1:71" ht="15.9" customHeight="1" x14ac:dyDescent="0.3">
      <c r="A904" s="5" t="s">
        <v>2642</v>
      </c>
      <c r="B904" s="5" t="s">
        <v>2615</v>
      </c>
      <c r="C904" s="174">
        <v>44622</v>
      </c>
      <c r="D904" s="5" t="s">
        <v>285</v>
      </c>
      <c r="E904" s="5" t="s">
        <v>339</v>
      </c>
      <c r="F904" s="175" t="s">
        <v>2643</v>
      </c>
      <c r="G904" s="15" t="s">
        <v>346</v>
      </c>
      <c r="H904" s="176" t="s">
        <v>341</v>
      </c>
      <c r="I904" s="17" t="s">
        <v>2644</v>
      </c>
      <c r="J904" s="113" t="str">
        <f>VLOOKUP($I904,'Price List, Weapons &amp; Items'!B:C,2,0)</f>
        <v>Portable defence system</v>
      </c>
      <c r="K904" s="113" t="str">
        <f>IF(I904=".",I904,VLOOKUP($I904,'Price List, Weapons &amp; Items'!B:D,3,0))</f>
        <v>Grenade launcher</v>
      </c>
      <c r="L904" s="177">
        <f>VLOOKUP(I904,'Price List, Weapons &amp; Items'!B:E,4,0)</f>
        <v>0</v>
      </c>
      <c r="M904" s="542">
        <v>1370</v>
      </c>
      <c r="N904" s="542">
        <v>1370</v>
      </c>
      <c r="O904" s="543">
        <f>VLOOKUP($I904,'Price List, Weapons &amp; Items'!B:G,6,0)</f>
        <v>20000</v>
      </c>
      <c r="P904" s="176">
        <f t="shared" si="176"/>
        <v>27400000</v>
      </c>
      <c r="Q904" s="176">
        <f t="shared" si="177"/>
        <v>27400000</v>
      </c>
      <c r="R904" s="176">
        <f t="shared" si="174"/>
        <v>27995000</v>
      </c>
      <c r="S904" s="176">
        <f>IF(AND(AD904=1,R904&lt;&gt;".")=TRUE,R904/VLOOKUP(G904,'Exchange Rates'!B:C,2,0),IF(R904=".",".",""))</f>
        <v>26661904.761904761</v>
      </c>
      <c r="T904" s="176">
        <f>IF(AD904=1,IF(AF904="Value is not given at all",".",IF(AF904="Value is given by the source",S904,IF(AF904="Value is calculated with prices",(IF(SUMIFS(Q:Q,A:A,A904)&gt;0,SUMIFS(Q:Q,A:A,A904),"."))/VLOOKUP("USD",'Exchange Rates'!B:C,2,0),"Error with coding"))),"")</f>
        <v>26661904.761904761</v>
      </c>
      <c r="U904" s="15" t="s">
        <v>415</v>
      </c>
      <c r="V904" s="547" t="s">
        <v>2645</v>
      </c>
      <c r="W904" s="547" t="s">
        <v>2646</v>
      </c>
      <c r="X904" s="188" t="s">
        <v>260</v>
      </c>
      <c r="Y904" s="188" t="s">
        <v>260</v>
      </c>
      <c r="Z904" s="15">
        <v>0</v>
      </c>
      <c r="AA904" s="180">
        <v>0</v>
      </c>
      <c r="AB904" s="549" t="s">
        <v>2647</v>
      </c>
      <c r="AC904" s="544" t="str">
        <f>""</f>
        <v/>
      </c>
      <c r="AD904" s="181">
        <v>1</v>
      </c>
      <c r="AE904" s="181" t="s">
        <v>332</v>
      </c>
      <c r="AF904" s="181" t="s">
        <v>332</v>
      </c>
      <c r="AG904" s="181">
        <v>1</v>
      </c>
      <c r="AH904" s="181">
        <v>3</v>
      </c>
      <c r="AI904" s="181">
        <v>0</v>
      </c>
      <c r="AJ904" s="181">
        <f>VLOOKUP($I904,'Price List, Weapons &amp; Items'!B:F,5,0)</f>
        <v>0</v>
      </c>
      <c r="AK904" s="181">
        <f t="shared" si="178"/>
        <v>0</v>
      </c>
      <c r="AL904" s="181">
        <f t="shared" si="179"/>
        <v>0</v>
      </c>
      <c r="AM904" s="181">
        <f t="shared" si="180"/>
        <v>0</v>
      </c>
      <c r="AN904" s="180" t="str">
        <f>VLOOKUP($I904,'Price List, Weapons &amp; Items'!B:L,COLUMN('Price List, Weapons &amp; Items'!$J$11)-1,0)</f>
        <v>Miscellaneous</v>
      </c>
      <c r="AO904" s="180" t="str">
        <f>IF(I904=".",".",VLOOKUP($I904,'Price List, Weapons &amp; Items'!B:J,3,0))</f>
        <v>Grenade launcher</v>
      </c>
      <c r="AP904" s="545" t="e">
        <f t="shared" ca="1" si="175"/>
        <v>#NAME?</v>
      </c>
      <c r="AQ904" s="180">
        <f>VLOOKUP($I904,'Price List, Weapons &amp; Items'!B:L,COLUMN('Price List, Weapons &amp; Items'!$L$11)-1,0)</f>
        <v>2</v>
      </c>
      <c r="AR904" s="180">
        <f t="shared" si="181"/>
        <v>0</v>
      </c>
      <c r="AS904" s="180">
        <f t="shared" si="182"/>
        <v>1</v>
      </c>
      <c r="AT904" s="180">
        <f t="shared" si="183"/>
        <v>1</v>
      </c>
      <c r="AU904" s="180" t="str">
        <f t="shared" si="184"/>
        <v>.</v>
      </c>
      <c r="AV904" s="180" t="str">
        <f t="shared" si="185"/>
        <v>.</v>
      </c>
      <c r="AW904" s="180">
        <f>IFERROR(VLOOKUP(B904,'Share, Heavy Weapons to Ukraine'!B:J,COLUMN('Share, Heavy Weapons to Ukraine'!C917)-1,0),0)</f>
        <v>0</v>
      </c>
      <c r="AX904" s="180">
        <f>VLOOKUP('Bilateral Assistance, MAIN DATA'!B904,'Country Summary'!B:F,COLUMN('Country Summary'!C920)-1,FALSE)</f>
        <v>1</v>
      </c>
      <c r="AY904" s="180" t="str">
        <f>IF(AND(AD904=1,D904="Military",H904&lt;&gt;"Not given")=TRUE,IF(SUMIFS(P:P,A:A,A904)&gt;0,ABS((SUMIFS(P:P,A:A,A904)/VLOOKUP("USD",'Exchange Rates'!B:C,2,0)))/S904,"."),".")</f>
        <v>.</v>
      </c>
      <c r="AZ904" s="182" t="str">
        <f>IF(AND(AD904=1,D904="Military",H904&lt;&gt;"Not given")=TRUE,IF(SUMIFS(P:P,A:A,A904)&gt;0,IF((ABS((SUMIFS(P:P,A:A,A904)/VLOOKUP("USD",'Exchange Rates'!B:C,2,0)))/S904)&gt;1,(SUMIFS(P:P,A:A,A904)-S904)/S904,(S904-SUMIFS(P:P,A:A,A904))/SUMIFS(P:P,A:A,A904)),"."),".")</f>
        <v>.</v>
      </c>
      <c r="BA904" s="182"/>
      <c r="BB904" s="182"/>
      <c r="BC904" s="182"/>
      <c r="BD904" s="182"/>
      <c r="BE904" s="182"/>
      <c r="BF904" s="182"/>
      <c r="BG904" s="182"/>
      <c r="BH904" s="182"/>
      <c r="BI904" s="182"/>
      <c r="BJ904" s="182"/>
      <c r="BK904" s="182"/>
      <c r="BL904" s="182"/>
      <c r="BM904" s="182"/>
      <c r="BN904" s="182"/>
      <c r="BO904" s="182"/>
      <c r="BP904" s="182"/>
      <c r="BQ904" s="182"/>
      <c r="BR904" s="182"/>
      <c r="BS904" s="182"/>
    </row>
    <row r="905" spans="1:71" ht="15.9" customHeight="1" x14ac:dyDescent="0.3">
      <c r="A905" s="5" t="s">
        <v>2642</v>
      </c>
      <c r="B905" s="5" t="s">
        <v>2615</v>
      </c>
      <c r="C905" s="174">
        <v>44622</v>
      </c>
      <c r="D905" s="5" t="s">
        <v>285</v>
      </c>
      <c r="E905" s="5" t="s">
        <v>339</v>
      </c>
      <c r="F905" s="175" t="s">
        <v>2643</v>
      </c>
      <c r="G905" s="15" t="s">
        <v>346</v>
      </c>
      <c r="H905" s="176" t="s">
        <v>341</v>
      </c>
      <c r="I905" s="17" t="s">
        <v>2648</v>
      </c>
      <c r="J905" s="113" t="str">
        <f>VLOOKUP($I905,'Price List, Weapons &amp; Items'!B:C,2,0)</f>
        <v>Ammunition for light infantry</v>
      </c>
      <c r="K905" s="113" t="str">
        <f>IF(I905=".",I905,VLOOKUP($I905,'Price List, Weapons &amp; Items'!B:D,3,0))</f>
        <v>Small Arms and Light Weapons (SALW) ammunition</v>
      </c>
      <c r="L905" s="177">
        <f>VLOOKUP(I905,'Price List, Weapons &amp; Items'!B:E,4,0)</f>
        <v>0</v>
      </c>
      <c r="M905" s="542">
        <v>700000</v>
      </c>
      <c r="N905" s="542">
        <v>700000</v>
      </c>
      <c r="O905" s="543">
        <f>VLOOKUP($I905,'Price List, Weapons &amp; Items'!B:G,6,0)</f>
        <v>0.85</v>
      </c>
      <c r="P905" s="176">
        <f t="shared" si="176"/>
        <v>595000</v>
      </c>
      <c r="Q905" s="176">
        <f t="shared" si="177"/>
        <v>595000</v>
      </c>
      <c r="R905" s="176" t="str">
        <f t="shared" si="174"/>
        <v/>
      </c>
      <c r="S905" s="176" t="str">
        <f>IF(AND(AD905=1,R905&lt;&gt;".")=TRUE,R905/VLOOKUP(G905,'Exchange Rates'!B:C,2,0),IF(R905=".",".",""))</f>
        <v/>
      </c>
      <c r="T905" s="176" t="str">
        <f>IF(AD905=1,IF(AF905="Value is not given at all",".",IF(AF905="Value is given by the source",S905,IF(AF905="Value is calculated with prices",(IF(SUMIFS(Q:Q,A:A,A905)&gt;0,SUMIFS(Q:Q,A:A,A905),"."))/VLOOKUP("USD",'Exchange Rates'!B:C,2,0),"Error with coding"))),"")</f>
        <v/>
      </c>
      <c r="U905" s="15" t="s">
        <v>415</v>
      </c>
      <c r="V905" s="547" t="s">
        <v>2645</v>
      </c>
      <c r="W905" s="547" t="s">
        <v>2646</v>
      </c>
      <c r="X905" s="188" t="s">
        <v>260</v>
      </c>
      <c r="Y905" s="188" t="s">
        <v>260</v>
      </c>
      <c r="Z905" s="15">
        <v>0</v>
      </c>
      <c r="AA905" s="180">
        <v>0</v>
      </c>
      <c r="AB905" s="549" t="s">
        <v>2647</v>
      </c>
      <c r="AC905" s="544" t="str">
        <f>""</f>
        <v/>
      </c>
      <c r="AD905" s="181">
        <v>0</v>
      </c>
      <c r="AE905" s="181" t="s">
        <v>332</v>
      </c>
      <c r="AF905" s="181" t="s">
        <v>332</v>
      </c>
      <c r="AG905" s="181">
        <v>1</v>
      </c>
      <c r="AH905" s="181">
        <v>3</v>
      </c>
      <c r="AI905" s="181">
        <v>0</v>
      </c>
      <c r="AJ905" s="181">
        <f>VLOOKUP($I905,'Price List, Weapons &amp; Items'!B:F,5,0)</f>
        <v>0</v>
      </c>
      <c r="AK905" s="181">
        <f t="shared" si="178"/>
        <v>0</v>
      </c>
      <c r="AL905" s="181">
        <f t="shared" si="179"/>
        <v>0</v>
      </c>
      <c r="AM905" s="181">
        <f t="shared" si="180"/>
        <v>0</v>
      </c>
      <c r="AN905" s="180" t="str">
        <f>VLOOKUP($I905,'Price List, Weapons &amp; Items'!B:L,COLUMN('Price List, Weapons &amp; Items'!$J$11)-1,0)</f>
        <v>Online marketplaces and stores</v>
      </c>
      <c r="AO905" s="180" t="str">
        <f>IF(I905=".",".",VLOOKUP($I905,'Price List, Weapons &amp; Items'!B:J,3,0))</f>
        <v>Small Arms and Light Weapons (SALW) ammunition</v>
      </c>
      <c r="AP905" s="545" t="str">
        <f t="shared" ca="1" si="175"/>
        <v/>
      </c>
      <c r="AQ905" s="180">
        <f>VLOOKUP($I905,'Price List, Weapons &amp; Items'!B:L,COLUMN('Price List, Weapons &amp; Items'!$L$11)-1,0)</f>
        <v>1</v>
      </c>
      <c r="AR905" s="180">
        <f t="shared" si="181"/>
        <v>0</v>
      </c>
      <c r="AS905" s="180">
        <f t="shared" si="182"/>
        <v>1</v>
      </c>
      <c r="AT905" s="180">
        <f t="shared" si="183"/>
        <v>1</v>
      </c>
      <c r="AU905" s="180" t="str">
        <f t="shared" si="184"/>
        <v>.</v>
      </c>
      <c r="AV905" s="180" t="str">
        <f t="shared" si="185"/>
        <v>.</v>
      </c>
      <c r="AW905" s="180">
        <f>IFERROR(VLOOKUP(B905,'Share, Heavy Weapons to Ukraine'!B:J,COLUMN('Share, Heavy Weapons to Ukraine'!C918)-1,0),0)</f>
        <v>0</v>
      </c>
      <c r="AX905" s="180">
        <f>VLOOKUP('Bilateral Assistance, MAIN DATA'!B905,'Country Summary'!B:F,COLUMN('Country Summary'!C921)-1,FALSE)</f>
        <v>1</v>
      </c>
      <c r="AY905" s="180" t="str">
        <f>IF(AND(AD905=1,D905="Military",H905&lt;&gt;"Not given")=TRUE,IF(SUMIFS(P:P,A:A,A905)&gt;0,ABS((SUMIFS(P:P,A:A,A905)/VLOOKUP("USD",'Exchange Rates'!B:C,2,0)))/S905,"."),".")</f>
        <v>.</v>
      </c>
      <c r="AZ905" s="182" t="str">
        <f>IF(AND(AD905=1,D905="Military",H905&lt;&gt;"Not given")=TRUE,IF(SUMIFS(P:P,A:A,A905)&gt;0,IF((ABS((SUMIFS(P:P,A:A,A905)/VLOOKUP("USD",'Exchange Rates'!B:C,2,0)))/S905)&gt;1,(SUMIFS(P:P,A:A,A905)-S905)/S905,(S905-SUMIFS(P:P,A:A,A905))/SUMIFS(P:P,A:A,A905)),"."),".")</f>
        <v>.</v>
      </c>
      <c r="BA905" s="182"/>
      <c r="BB905" s="182"/>
      <c r="BC905" s="182"/>
      <c r="BD905" s="182"/>
      <c r="BE905" s="182"/>
      <c r="BF905" s="182"/>
      <c r="BG905" s="182"/>
      <c r="BH905" s="182"/>
      <c r="BI905" s="182"/>
      <c r="BJ905" s="182"/>
      <c r="BK905" s="182"/>
      <c r="BL905" s="182"/>
      <c r="BM905" s="182"/>
      <c r="BN905" s="182"/>
      <c r="BO905" s="182"/>
      <c r="BP905" s="182"/>
      <c r="BQ905" s="182"/>
      <c r="BR905" s="182"/>
      <c r="BS905" s="182"/>
    </row>
    <row r="906" spans="1:71" ht="15.9" customHeight="1" x14ac:dyDescent="0.3">
      <c r="A906" s="5" t="s">
        <v>2642</v>
      </c>
      <c r="B906" s="5" t="s">
        <v>2615</v>
      </c>
      <c r="C906" s="174">
        <v>44622</v>
      </c>
      <c r="D906" s="5" t="s">
        <v>285</v>
      </c>
      <c r="E906" s="5" t="s">
        <v>339</v>
      </c>
      <c r="F906" s="175" t="s">
        <v>2643</v>
      </c>
      <c r="G906" s="15" t="s">
        <v>346</v>
      </c>
      <c r="H906" s="176" t="s">
        <v>341</v>
      </c>
      <c r="I906" s="17" t="s">
        <v>2649</v>
      </c>
      <c r="J906" s="113" t="str">
        <f>VLOOKUP($I906,'Price List, Weapons &amp; Items'!B:C,2,0)</f>
        <v>Light armaments &amp; infantry</v>
      </c>
      <c r="K906" s="113" t="str">
        <f>IF(I906=".",I906,VLOOKUP($I906,'Price List, Weapons &amp; Items'!B:D,3,0))</f>
        <v>Small Arms and Light Weapons (SALW)</v>
      </c>
      <c r="L906" s="177">
        <f>VLOOKUP(I906,'Price List, Weapons &amp; Items'!B:E,4,0)</f>
        <v>0</v>
      </c>
      <c r="M906" s="542" t="s">
        <v>270</v>
      </c>
      <c r="N906" s="542" t="s">
        <v>270</v>
      </c>
      <c r="O906" s="543">
        <f>VLOOKUP($I906,'Price List, Weapons &amp; Items'!B:G,6,0)</f>
        <v>5300</v>
      </c>
      <c r="P906" s="176" t="str">
        <f t="shared" si="176"/>
        <v>.</v>
      </c>
      <c r="Q906" s="176" t="str">
        <f t="shared" si="177"/>
        <v>.</v>
      </c>
      <c r="R906" s="176" t="str">
        <f t="shared" si="174"/>
        <v/>
      </c>
      <c r="S906" s="176" t="str">
        <f>IF(AND(AD906=1,R906&lt;&gt;".")=TRUE,R906/VLOOKUP(G906,'Exchange Rates'!B:C,2,0),IF(R906=".",".",""))</f>
        <v/>
      </c>
      <c r="T906" s="176" t="str">
        <f>IF(AD906=1,IF(AF906="Value is not given at all",".",IF(AF906="Value is given by the source",S906,IF(AF906="Value is calculated with prices",(IF(SUMIFS(Q:Q,A:A,A906)&gt;0,SUMIFS(Q:Q,A:A,A906),"."))/VLOOKUP("USD",'Exchange Rates'!B:C,2,0),"Error with coding"))),"")</f>
        <v/>
      </c>
      <c r="U906" s="15" t="s">
        <v>415</v>
      </c>
      <c r="V906" s="547" t="s">
        <v>2645</v>
      </c>
      <c r="W906" s="547" t="s">
        <v>2646</v>
      </c>
      <c r="X906" s="188" t="s">
        <v>260</v>
      </c>
      <c r="Y906" s="188" t="s">
        <v>260</v>
      </c>
      <c r="Z906" s="15">
        <v>0</v>
      </c>
      <c r="AA906" s="180">
        <v>0</v>
      </c>
      <c r="AB906" s="549" t="s">
        <v>2647</v>
      </c>
      <c r="AC906" s="544" t="str">
        <f>""</f>
        <v/>
      </c>
      <c r="AD906" s="181">
        <v>0</v>
      </c>
      <c r="AE906" s="181" t="s">
        <v>332</v>
      </c>
      <c r="AF906" s="181" t="s">
        <v>332</v>
      </c>
      <c r="AG906" s="181">
        <v>1</v>
      </c>
      <c r="AH906" s="181">
        <v>3</v>
      </c>
      <c r="AI906" s="181">
        <v>0</v>
      </c>
      <c r="AJ906" s="181">
        <f>VLOOKUP($I906,'Price List, Weapons &amp; Items'!B:F,5,0)</f>
        <v>0</v>
      </c>
      <c r="AK906" s="181">
        <f t="shared" si="178"/>
        <v>0</v>
      </c>
      <c r="AL906" s="181">
        <f t="shared" si="179"/>
        <v>0</v>
      </c>
      <c r="AM906" s="181">
        <f t="shared" si="180"/>
        <v>0</v>
      </c>
      <c r="AN906" s="180" t="str">
        <f>VLOOKUP($I906,'Price List, Weapons &amp; Items'!B:L,COLUMN('Price List, Weapons &amp; Items'!$J$11)-1,0)</f>
        <v>Miscellaneous</v>
      </c>
      <c r="AO906" s="180" t="str">
        <f>IF(I906=".",".",VLOOKUP($I906,'Price List, Weapons &amp; Items'!B:J,3,0))</f>
        <v>Small Arms and Light Weapons (SALW)</v>
      </c>
      <c r="AP906" s="545" t="str">
        <f t="shared" ca="1" si="175"/>
        <v/>
      </c>
      <c r="AQ906" s="180" t="str">
        <f>VLOOKUP($I906,'Price List, Weapons &amp; Items'!B:L,COLUMN('Price List, Weapons &amp; Items'!$L$11)-1,0)</f>
        <v>no price, 0 count</v>
      </c>
      <c r="AR906" s="180">
        <f t="shared" si="181"/>
        <v>0</v>
      </c>
      <c r="AS906" s="180">
        <f t="shared" si="182"/>
        <v>1</v>
      </c>
      <c r="AT906" s="180">
        <f t="shared" si="183"/>
        <v>1</v>
      </c>
      <c r="AU906" s="180" t="str">
        <f t="shared" si="184"/>
        <v>.</v>
      </c>
      <c r="AV906" s="180" t="str">
        <f t="shared" si="185"/>
        <v>.</v>
      </c>
      <c r="AW906" s="180">
        <f>IFERROR(VLOOKUP(B906,'Share, Heavy Weapons to Ukraine'!B:J,COLUMN('Share, Heavy Weapons to Ukraine'!C919)-1,0),0)</f>
        <v>0</v>
      </c>
      <c r="AX906" s="180">
        <f>VLOOKUP('Bilateral Assistance, MAIN DATA'!B906,'Country Summary'!B:F,COLUMN('Country Summary'!C922)-1,FALSE)</f>
        <v>1</v>
      </c>
      <c r="AY906" s="180" t="str">
        <f>IF(AND(AD906=1,D906="Military",H906&lt;&gt;"Not given")=TRUE,IF(SUMIFS(P:P,A:A,A906)&gt;0,ABS((SUMIFS(P:P,A:A,A906)/VLOOKUP("USD",'Exchange Rates'!B:C,2,0)))/S906,"."),".")</f>
        <v>.</v>
      </c>
      <c r="AZ906" s="182" t="str">
        <f>IF(AND(AD906=1,D906="Military",H906&lt;&gt;"Not given")=TRUE,IF(SUMIFS(P:P,A:A,A906)&gt;0,IF((ABS((SUMIFS(P:P,A:A,A906)/VLOOKUP("USD",'Exchange Rates'!B:C,2,0)))/S906)&gt;1,(SUMIFS(P:P,A:A,A906)-S906)/S906,(S906-SUMIFS(P:P,A:A,A906))/SUMIFS(P:P,A:A,A906)),"."),".")</f>
        <v>.</v>
      </c>
      <c r="BA906" s="182"/>
      <c r="BB906" s="182"/>
      <c r="BC906" s="182"/>
      <c r="BD906" s="182"/>
      <c r="BE906" s="182"/>
      <c r="BF906" s="182"/>
      <c r="BG906" s="182"/>
      <c r="BH906" s="182"/>
      <c r="BI906" s="182"/>
      <c r="BJ906" s="182"/>
      <c r="BK906" s="182"/>
      <c r="BL906" s="182"/>
      <c r="BM906" s="182"/>
      <c r="BN906" s="182"/>
      <c r="BO906" s="182"/>
      <c r="BP906" s="182"/>
      <c r="BQ906" s="182"/>
      <c r="BR906" s="182"/>
      <c r="BS906" s="182"/>
    </row>
    <row r="907" spans="1:71" ht="15.9" customHeight="1" x14ac:dyDescent="0.3">
      <c r="A907" s="17" t="s">
        <v>2650</v>
      </c>
      <c r="B907" s="17" t="s">
        <v>2615</v>
      </c>
      <c r="C907" s="174">
        <v>44631</v>
      </c>
      <c r="D907" s="5" t="s">
        <v>285</v>
      </c>
      <c r="E907" s="5" t="s">
        <v>339</v>
      </c>
      <c r="F907" s="175" t="s">
        <v>2651</v>
      </c>
      <c r="G907" s="15" t="s">
        <v>260</v>
      </c>
      <c r="H907" s="176" t="s">
        <v>341</v>
      </c>
      <c r="I907" s="17" t="s">
        <v>260</v>
      </c>
      <c r="J907" s="113" t="str">
        <f>VLOOKUP($I907,'Price List, Weapons &amp; Items'!B:C,2,0)</f>
        <v>.</v>
      </c>
      <c r="K907" s="113" t="str">
        <f>IF(I907=".",I907,VLOOKUP($I907,'Price List, Weapons &amp; Items'!B:D,3,0))</f>
        <v>.</v>
      </c>
      <c r="L907" s="177">
        <f>VLOOKUP(I907,'Price List, Weapons &amp; Items'!B:E,4,0)</f>
        <v>0</v>
      </c>
      <c r="M907" s="542" t="s">
        <v>260</v>
      </c>
      <c r="N907" s="542" t="s">
        <v>260</v>
      </c>
      <c r="O907" s="543" t="str">
        <f>VLOOKUP($I907,'Price List, Weapons &amp; Items'!B:G,6,0)</f>
        <v>.</v>
      </c>
      <c r="P907" s="176" t="str">
        <f t="shared" si="176"/>
        <v>.</v>
      </c>
      <c r="Q907" s="176" t="str">
        <f t="shared" si="177"/>
        <v>.</v>
      </c>
      <c r="R907" s="176" t="str">
        <f t="shared" si="174"/>
        <v>.</v>
      </c>
      <c r="S907" s="176" t="str">
        <f>IF(AND(AD907=1,R907&lt;&gt;".")=TRUE,R907/VLOOKUP(G907,'Exchange Rates'!B:C,2,0),IF(R907=".",".",""))</f>
        <v>.</v>
      </c>
      <c r="T907" s="176" t="str">
        <f>IF(AD907=1,IF(AF907="Value is not given at all",".",IF(AF907="Value is given by the source",S907,IF(AF907="Value is calculated with prices",(IF(SUMIFS(Q:Q,A:A,A907)&gt;0,SUMIFS(Q:Q,A:A,A907),"."))/VLOOKUP("USD",'Exchange Rates'!B:C,2,0),"Error with coding"))),"")</f>
        <v>.</v>
      </c>
      <c r="U907" s="15" t="s">
        <v>415</v>
      </c>
      <c r="V907" s="300" t="s">
        <v>2652</v>
      </c>
      <c r="W907" s="300" t="s">
        <v>2653</v>
      </c>
      <c r="X907" s="175" t="s">
        <v>260</v>
      </c>
      <c r="Y907" s="175" t="s">
        <v>260</v>
      </c>
      <c r="Z907" s="15">
        <v>0</v>
      </c>
      <c r="AA907" s="180">
        <v>0</v>
      </c>
      <c r="AB907" s="184" t="s">
        <v>260</v>
      </c>
      <c r="AC907" s="544" t="str">
        <f>""</f>
        <v/>
      </c>
      <c r="AD907" s="183">
        <v>1</v>
      </c>
      <c r="AE907" s="183" t="s">
        <v>265</v>
      </c>
      <c r="AF907" s="183" t="s">
        <v>265</v>
      </c>
      <c r="AG907" s="183">
        <v>1</v>
      </c>
      <c r="AH907" s="181">
        <v>3</v>
      </c>
      <c r="AI907" s="181">
        <v>0</v>
      </c>
      <c r="AJ907" s="181">
        <f>VLOOKUP($I907,'Price List, Weapons &amp; Items'!B:F,5,0)</f>
        <v>0</v>
      </c>
      <c r="AK907" s="181">
        <f t="shared" si="178"/>
        <v>0</v>
      </c>
      <c r="AL907" s="181">
        <f t="shared" si="179"/>
        <v>0</v>
      </c>
      <c r="AM907" s="181">
        <f t="shared" si="180"/>
        <v>0</v>
      </c>
      <c r="AN907" s="180" t="str">
        <f>VLOOKUP($I907,'Price List, Weapons &amp; Items'!B:L,COLUMN('Price List, Weapons &amp; Items'!$J$11)-1,0)</f>
        <v>.</v>
      </c>
      <c r="AO907" s="180" t="str">
        <f>IF(I907=".",".",VLOOKUP($I907,'Price List, Weapons &amp; Items'!B:J,3,0))</f>
        <v>.</v>
      </c>
      <c r="AP907" s="545" t="e">
        <f t="shared" ca="1" si="175"/>
        <v>#NAME?</v>
      </c>
      <c r="AQ907" s="180" t="str">
        <f>VLOOKUP($I907,'Price List, Weapons &amp; Items'!B:L,COLUMN('Price List, Weapons &amp; Items'!$L$11)-1,0)</f>
        <v>no price, 0 count</v>
      </c>
      <c r="AR907" s="180">
        <f t="shared" si="181"/>
        <v>0</v>
      </c>
      <c r="AS907" s="180">
        <f t="shared" si="182"/>
        <v>1</v>
      </c>
      <c r="AT907" s="180">
        <f t="shared" si="183"/>
        <v>1</v>
      </c>
      <c r="AU907" s="180" t="str">
        <f t="shared" si="184"/>
        <v>.</v>
      </c>
      <c r="AV907" s="180" t="str">
        <f t="shared" si="185"/>
        <v>.</v>
      </c>
      <c r="AW907" s="180">
        <f>IFERROR(VLOOKUP(B907,'Share, Heavy Weapons to Ukraine'!B:J,COLUMN('Share, Heavy Weapons to Ukraine'!C920)-1,0),0)</f>
        <v>0</v>
      </c>
      <c r="AX907" s="180">
        <f>VLOOKUP('Bilateral Assistance, MAIN DATA'!B907,'Country Summary'!B:F,COLUMN('Country Summary'!C923)-1,FALSE)</f>
        <v>1</v>
      </c>
      <c r="AY907" s="180" t="str">
        <f>IF(AND(AD907=1,D907="Military",H907&lt;&gt;"Not given")=TRUE,IF(SUMIFS(P:P,A:A,A907)&gt;0,ABS((SUMIFS(P:P,A:A,A907)/VLOOKUP("USD",'Exchange Rates'!B:C,2,0)))/S907,"."),".")</f>
        <v>.</v>
      </c>
      <c r="AZ907" s="182" t="str">
        <f>IF(AND(AD907=1,D907="Military",H907&lt;&gt;"Not given")=TRUE,IF(SUMIFS(P:P,A:A,A907)&gt;0,IF((ABS((SUMIFS(P:P,A:A,A907)/VLOOKUP("USD",'Exchange Rates'!B:C,2,0)))/S907)&gt;1,(SUMIFS(P:P,A:A,A907)-S907)/S907,(S907-SUMIFS(P:P,A:A,A907))/SUMIFS(P:P,A:A,A907)),"."),".")</f>
        <v>.</v>
      </c>
      <c r="BA907" s="182"/>
      <c r="BB907" s="182"/>
      <c r="BC907" s="182"/>
      <c r="BD907" s="182"/>
      <c r="BE907" s="182"/>
      <c r="BF907" s="182"/>
      <c r="BG907" s="182"/>
      <c r="BH907" s="182"/>
      <c r="BI907" s="182"/>
      <c r="BJ907" s="182"/>
      <c r="BK907" s="182"/>
      <c r="BL907" s="182"/>
      <c r="BM907" s="182"/>
      <c r="BN907" s="182"/>
      <c r="BO907" s="182"/>
      <c r="BP907" s="182"/>
      <c r="BQ907" s="182"/>
      <c r="BR907" s="182"/>
      <c r="BS907" s="182"/>
    </row>
    <row r="908" spans="1:71" ht="15.9" customHeight="1" x14ac:dyDescent="0.3">
      <c r="A908" s="17" t="s">
        <v>2654</v>
      </c>
      <c r="B908" s="17" t="s">
        <v>2615</v>
      </c>
      <c r="C908" s="174">
        <v>44649</v>
      </c>
      <c r="D908" s="5" t="s">
        <v>285</v>
      </c>
      <c r="E908" s="5" t="s">
        <v>294</v>
      </c>
      <c r="F908" s="175" t="s">
        <v>2655</v>
      </c>
      <c r="G908" s="15" t="s">
        <v>346</v>
      </c>
      <c r="H908" s="176" t="s">
        <v>341</v>
      </c>
      <c r="I908" s="17" t="s">
        <v>2656</v>
      </c>
      <c r="J908" s="113" t="str">
        <f>VLOOKUP($I908,'Price List, Weapons &amp; Items'!B:C,2,0)</f>
        <v>Humanitarian</v>
      </c>
      <c r="K908" s="113" t="str">
        <f>IF(I908=".",I908,VLOOKUP($I908,'Price List, Weapons &amp; Items'!B:D,3,0))</f>
        <v>Humanitarian</v>
      </c>
      <c r="L908" s="177">
        <f>VLOOKUP(I908,'Price List, Weapons &amp; Items'!B:E,4,0)</f>
        <v>0</v>
      </c>
      <c r="M908" s="542">
        <v>1</v>
      </c>
      <c r="N908" s="542">
        <v>1</v>
      </c>
      <c r="O908" s="543">
        <f>VLOOKUP($I908,'Price List, Weapons &amp; Items'!B:G,6,0)</f>
        <v>644000</v>
      </c>
      <c r="P908" s="176">
        <f t="shared" si="176"/>
        <v>644000</v>
      </c>
      <c r="Q908" s="176">
        <f t="shared" si="177"/>
        <v>644000</v>
      </c>
      <c r="R908" s="176">
        <f t="shared" si="174"/>
        <v>644000</v>
      </c>
      <c r="S908" s="176">
        <f>IF(AND(AD908=1,R908&lt;&gt;".")=TRUE,R908/VLOOKUP(G908,'Exchange Rates'!B:C,2,0),IF(R908=".",".",""))</f>
        <v>613333.33333333326</v>
      </c>
      <c r="T908" s="176">
        <f>IF(AD908=1,IF(AF908="Value is not given at all",".",IF(AF908="Value is given by the source",S908,IF(AF908="Value is calculated with prices",(IF(SUMIFS(Q:Q,A:A,A908)&gt;0,SUMIFS(Q:Q,A:A,A908),"."))/VLOOKUP("USD",'Exchange Rates'!B:C,2,0),"Error with coding"))),"")</f>
        <v>613333.33333333326</v>
      </c>
      <c r="U908" s="15" t="s">
        <v>261</v>
      </c>
      <c r="V908" s="300" t="s">
        <v>2657</v>
      </c>
      <c r="W908" s="175" t="s">
        <v>260</v>
      </c>
      <c r="X908" s="175" t="s">
        <v>260</v>
      </c>
      <c r="Y908" s="175" t="s">
        <v>260</v>
      </c>
      <c r="Z908" s="15">
        <v>0</v>
      </c>
      <c r="AA908" s="180">
        <v>0</v>
      </c>
      <c r="AB908" s="549" t="s">
        <v>2658</v>
      </c>
      <c r="AC908" s="544" t="str">
        <f>""</f>
        <v/>
      </c>
      <c r="AD908" s="183">
        <v>1</v>
      </c>
      <c r="AE908" s="183" t="s">
        <v>332</v>
      </c>
      <c r="AF908" s="183" t="s">
        <v>332</v>
      </c>
      <c r="AG908" s="183">
        <v>1</v>
      </c>
      <c r="AH908" s="181">
        <v>3</v>
      </c>
      <c r="AI908" s="181">
        <v>0</v>
      </c>
      <c r="AJ908" s="181">
        <f>VLOOKUP($I908,'Price List, Weapons &amp; Items'!B:F,5,0)</f>
        <v>0</v>
      </c>
      <c r="AK908" s="181">
        <f t="shared" si="178"/>
        <v>0</v>
      </c>
      <c r="AL908" s="181">
        <f t="shared" si="179"/>
        <v>0</v>
      </c>
      <c r="AM908" s="181">
        <f t="shared" si="180"/>
        <v>0</v>
      </c>
      <c r="AN908" s="180" t="str">
        <f>VLOOKUP($I908,'Price List, Weapons &amp; Items'!B:L,COLUMN('Price List, Weapons &amp; Items'!$J$11)-1,0)</f>
        <v>Miscellaneous</v>
      </c>
      <c r="AO908" s="180" t="str">
        <f>IF(I908=".",".",VLOOKUP($I908,'Price List, Weapons &amp; Items'!B:J,3,0))</f>
        <v>Humanitarian</v>
      </c>
      <c r="AP908" s="545" t="e">
        <f t="shared" ca="1" si="175"/>
        <v>#NAME?</v>
      </c>
      <c r="AQ908" s="180">
        <f>VLOOKUP($I908,'Price List, Weapons &amp; Items'!B:L,COLUMN('Price List, Weapons &amp; Items'!$L$11)-1,0)</f>
        <v>0</v>
      </c>
      <c r="AR908" s="180">
        <f t="shared" si="181"/>
        <v>1</v>
      </c>
      <c r="AS908" s="180">
        <f t="shared" si="182"/>
        <v>1</v>
      </c>
      <c r="AT908" s="180">
        <f t="shared" si="183"/>
        <v>1</v>
      </c>
      <c r="AU908" s="180" t="str">
        <f t="shared" si="184"/>
        <v>.</v>
      </c>
      <c r="AV908" s="180" t="str">
        <f t="shared" si="185"/>
        <v>.</v>
      </c>
      <c r="AW908" s="180">
        <f>IFERROR(VLOOKUP(B908,'Share, Heavy Weapons to Ukraine'!B:J,COLUMN('Share, Heavy Weapons to Ukraine'!C921)-1,0),0)</f>
        <v>0</v>
      </c>
      <c r="AX908" s="180">
        <f>VLOOKUP('Bilateral Assistance, MAIN DATA'!B908,'Country Summary'!B:F,COLUMN('Country Summary'!C924)-1,FALSE)</f>
        <v>1</v>
      </c>
      <c r="AY908" s="180" t="str">
        <f>IF(AND(AD908=1,D908="Military",H908&lt;&gt;"Not given")=TRUE,IF(SUMIFS(P:P,A:A,A908)&gt;0,ABS((SUMIFS(P:P,A:A,A908)/VLOOKUP("USD",'Exchange Rates'!B:C,2,0)))/S908,"."),".")</f>
        <v>.</v>
      </c>
      <c r="AZ908" s="182" t="str">
        <f>IF(AND(AD908=1,D908="Military",H908&lt;&gt;"Not given")=TRUE,IF(SUMIFS(P:P,A:A,A908)&gt;0,IF((ABS((SUMIFS(P:P,A:A,A908)/VLOOKUP("USD",'Exchange Rates'!B:C,2,0)))/S908)&gt;1,(SUMIFS(P:P,A:A,A908)-S908)/S908,(S908-SUMIFS(P:P,A:A,A908))/SUMIFS(P:P,A:A,A908)),"."),".")</f>
        <v>.</v>
      </c>
      <c r="BA908" s="182"/>
      <c r="BB908" s="182"/>
      <c r="BC908" s="182"/>
      <c r="BD908" s="182"/>
      <c r="BE908" s="182"/>
      <c r="BF908" s="182"/>
      <c r="BG908" s="182"/>
      <c r="BH908" s="182"/>
      <c r="BI908" s="182"/>
      <c r="BJ908" s="182"/>
      <c r="BK908" s="182"/>
      <c r="BL908" s="182"/>
      <c r="BM908" s="182"/>
      <c r="BN908" s="182"/>
      <c r="BO908" s="182"/>
      <c r="BP908" s="182"/>
      <c r="BQ908" s="182"/>
      <c r="BR908" s="182"/>
      <c r="BS908" s="182"/>
    </row>
    <row r="909" spans="1:71" ht="15.9" customHeight="1" x14ac:dyDescent="0.3">
      <c r="A909" s="5" t="s">
        <v>2659</v>
      </c>
      <c r="B909" s="5" t="s">
        <v>2615</v>
      </c>
      <c r="C909" s="174">
        <v>44672</v>
      </c>
      <c r="D909" s="5" t="s">
        <v>285</v>
      </c>
      <c r="E909" s="5" t="s">
        <v>286</v>
      </c>
      <c r="F909" s="175" t="s">
        <v>2660</v>
      </c>
      <c r="G909" s="15" t="s">
        <v>346</v>
      </c>
      <c r="H909" s="176" t="s">
        <v>341</v>
      </c>
      <c r="I909" s="17" t="s">
        <v>2661</v>
      </c>
      <c r="J909" s="113" t="str">
        <f>VLOOKUP($I909,'Price List, Weapons &amp; Items'!B:C,2,0)</f>
        <v>Ammunition for light infantry</v>
      </c>
      <c r="K909" s="113" t="str">
        <f>IF(I909=".",I909,VLOOKUP($I909,'Price List, Weapons &amp; Items'!B:D,3,0))</f>
        <v>Small Arms and Light Weapons (SALW) ammunition</v>
      </c>
      <c r="L909" s="177">
        <f>VLOOKUP(I909,'Price List, Weapons &amp; Items'!B:E,4,0)</f>
        <v>0</v>
      </c>
      <c r="M909" s="542">
        <v>200</v>
      </c>
      <c r="N909" s="542">
        <v>200</v>
      </c>
      <c r="O909" s="543">
        <f>VLOOKUP($I909,'Price List, Weapons &amp; Items'!B:G,6,0)</f>
        <v>85000</v>
      </c>
      <c r="P909" s="176">
        <f t="shared" si="176"/>
        <v>17000000</v>
      </c>
      <c r="Q909" s="176">
        <f t="shared" si="177"/>
        <v>17000000</v>
      </c>
      <c r="R909" s="176">
        <f t="shared" si="174"/>
        <v>26234600</v>
      </c>
      <c r="S909" s="176">
        <f>IF(AND(AD909=1,R909&lt;&gt;".")=TRUE,R909/VLOOKUP(G909,'Exchange Rates'!B:C,2,0),IF(R909=".",".",""))</f>
        <v>24985333.333333332</v>
      </c>
      <c r="T909" s="176">
        <f>IF(AD909=1,IF(AF909="Value is not given at all",".",IF(AF909="Value is given by the source",S909,IF(AF909="Value is calculated with prices",(IF(SUMIFS(Q:Q,A:A,A909)&gt;0,SUMIFS(Q:Q,A:A,A909),"."))/VLOOKUP("USD",'Exchange Rates'!B:C,2,0),"Error with coding"))),"")</f>
        <v>24985333.333333332</v>
      </c>
      <c r="U909" s="15" t="s">
        <v>261</v>
      </c>
      <c r="V909" s="547" t="s">
        <v>2662</v>
      </c>
      <c r="W909" s="547" t="s">
        <v>2663</v>
      </c>
      <c r="X909" s="547" t="s">
        <v>2664</v>
      </c>
      <c r="Y909" s="547" t="s">
        <v>2665</v>
      </c>
      <c r="Z909" s="15">
        <v>0</v>
      </c>
      <c r="AA909" s="180">
        <v>0</v>
      </c>
      <c r="AB909" s="550" t="s">
        <v>2666</v>
      </c>
      <c r="AC909" s="544" t="str">
        <f>""</f>
        <v/>
      </c>
      <c r="AD909" s="183">
        <v>1</v>
      </c>
      <c r="AE909" s="183" t="s">
        <v>332</v>
      </c>
      <c r="AF909" s="183" t="s">
        <v>332</v>
      </c>
      <c r="AG909" s="183">
        <v>1</v>
      </c>
      <c r="AH909" s="183">
        <v>4</v>
      </c>
      <c r="AI909" s="183">
        <v>0</v>
      </c>
      <c r="AJ909" s="181">
        <f>VLOOKUP($I909,'Price List, Weapons &amp; Items'!B:F,5,0)</f>
        <v>0</v>
      </c>
      <c r="AK909" s="181">
        <f t="shared" si="178"/>
        <v>0</v>
      </c>
      <c r="AL909" s="181">
        <f t="shared" si="179"/>
        <v>0</v>
      </c>
      <c r="AM909" s="181">
        <f t="shared" si="180"/>
        <v>0</v>
      </c>
      <c r="AN909" s="180" t="str">
        <f>VLOOKUP($I909,'Price List, Weapons &amp; Items'!B:L,COLUMN('Price List, Weapons &amp; Items'!$J$11)-1,0)</f>
        <v>Online marketplaces and stores</v>
      </c>
      <c r="AO909" s="180" t="str">
        <f>IF(I909=".",".",VLOOKUP($I909,'Price List, Weapons &amp; Items'!B:J,3,0))</f>
        <v>Small Arms and Light Weapons (SALW) ammunition</v>
      </c>
      <c r="AP909" s="545" t="e">
        <f t="shared" ca="1" si="175"/>
        <v>#NAME?</v>
      </c>
      <c r="AQ909" s="180">
        <f>VLOOKUP($I909,'Price List, Weapons &amp; Items'!B:L,COLUMN('Price List, Weapons &amp; Items'!$L$11)-1,0)</f>
        <v>2</v>
      </c>
      <c r="AR909" s="180">
        <f t="shared" si="181"/>
        <v>1</v>
      </c>
      <c r="AS909" s="180">
        <f t="shared" si="182"/>
        <v>1</v>
      </c>
      <c r="AT909" s="180">
        <f t="shared" si="183"/>
        <v>1</v>
      </c>
      <c r="AU909" s="180" t="str">
        <f t="shared" si="184"/>
        <v>.</v>
      </c>
      <c r="AV909" s="180" t="str">
        <f t="shared" si="185"/>
        <v>.</v>
      </c>
      <c r="AW909" s="180">
        <f>IFERROR(VLOOKUP(B909,'Share, Heavy Weapons to Ukraine'!B:J,COLUMN('Share, Heavy Weapons to Ukraine'!C922)-1,0),0)</f>
        <v>0</v>
      </c>
      <c r="AX909" s="180">
        <f>VLOOKUP('Bilateral Assistance, MAIN DATA'!B909,'Country Summary'!B:F,COLUMN('Country Summary'!C925)-1,FALSE)</f>
        <v>1</v>
      </c>
      <c r="AY909" s="180" t="str">
        <f>IF(AND(AD909=1,D909="Military",H909&lt;&gt;"Not given")=TRUE,IF(SUMIFS(P:P,A:A,A909)&gt;0,ABS((SUMIFS(P:P,A:A,A909)/VLOOKUP("USD",'Exchange Rates'!B:C,2,0)))/S909,"."),".")</f>
        <v>.</v>
      </c>
      <c r="AZ909" s="182" t="str">
        <f>IF(AND(AD909=1,D909="Military",H909&lt;&gt;"Not given")=TRUE,IF(SUMIFS(P:P,A:A,A909)&gt;0,IF((ABS((SUMIFS(P:P,A:A,A909)/VLOOKUP("USD",'Exchange Rates'!B:C,2,0)))/S909)&gt;1,(SUMIFS(P:P,A:A,A909)-S909)/S909,(S909-SUMIFS(P:P,A:A,A909))/SUMIFS(P:P,A:A,A909)),"."),".")</f>
        <v>.</v>
      </c>
      <c r="BA909" s="182"/>
      <c r="BB909" s="182"/>
      <c r="BC909" s="182"/>
      <c r="BD909" s="182"/>
      <c r="BE909" s="182"/>
      <c r="BF909" s="182"/>
      <c r="BG909" s="182"/>
      <c r="BH909" s="182"/>
      <c r="BI909" s="182"/>
      <c r="BJ909" s="182"/>
      <c r="BK909" s="182"/>
      <c r="BL909" s="182"/>
      <c r="BM909" s="182"/>
      <c r="BN909" s="182"/>
      <c r="BO909" s="182"/>
      <c r="BP909" s="182"/>
      <c r="BQ909" s="182"/>
      <c r="BR909" s="182"/>
      <c r="BS909" s="182"/>
    </row>
    <row r="910" spans="1:71" ht="15.9" customHeight="1" x14ac:dyDescent="0.3">
      <c r="A910" s="5" t="s">
        <v>2659</v>
      </c>
      <c r="B910" s="5" t="s">
        <v>2615</v>
      </c>
      <c r="C910" s="174">
        <v>44672</v>
      </c>
      <c r="D910" s="5" t="s">
        <v>285</v>
      </c>
      <c r="E910" s="5" t="s">
        <v>286</v>
      </c>
      <c r="F910" s="175" t="s">
        <v>2660</v>
      </c>
      <c r="G910" s="15" t="s">
        <v>346</v>
      </c>
      <c r="H910" s="176" t="s">
        <v>341</v>
      </c>
      <c r="I910" s="17" t="s">
        <v>2667</v>
      </c>
      <c r="J910" s="113" t="str">
        <f>VLOOKUP($I910,'Price List, Weapons &amp; Items'!B:C,2,0)</f>
        <v>Military equipment</v>
      </c>
      <c r="K910" s="113" t="str">
        <f>IF(I910=".",I910,VLOOKUP($I910,'Price List, Weapons &amp; Items'!B:D,3,0))</f>
        <v>Armoured Utility Vehicle (AUV)</v>
      </c>
      <c r="L910" s="177">
        <f>VLOOKUP(I910,'Price List, Weapons &amp; Items'!B:E,4,0)</f>
        <v>0</v>
      </c>
      <c r="M910" s="542">
        <v>20</v>
      </c>
      <c r="N910" s="542">
        <v>20</v>
      </c>
      <c r="O910" s="543">
        <f>VLOOKUP($I910,'Price List, Weapons &amp; Items'!B:G,6,0)</f>
        <v>461730</v>
      </c>
      <c r="P910" s="176">
        <f t="shared" si="176"/>
        <v>9234600</v>
      </c>
      <c r="Q910" s="176">
        <f t="shared" si="177"/>
        <v>9234600</v>
      </c>
      <c r="R910" s="176" t="str">
        <f t="shared" si="174"/>
        <v/>
      </c>
      <c r="S910" s="176" t="str">
        <f>IF(AND(AD910=1,R910&lt;&gt;".")=TRUE,R910/VLOOKUP(G910,'Exchange Rates'!B:C,2,0),IF(R910=".",".",""))</f>
        <v/>
      </c>
      <c r="T910" s="176" t="str">
        <f>IF(AD910=1,IF(AF910="Value is not given at all",".",IF(AF910="Value is given by the source",S910,IF(AF910="Value is calculated with prices",(IF(SUMIFS(Q:Q,A:A,A910)&gt;0,SUMIFS(Q:Q,A:A,A910),"."))/VLOOKUP("USD",'Exchange Rates'!B:C,2,0),"Error with coding"))),"")</f>
        <v/>
      </c>
      <c r="U910" s="15" t="s">
        <v>261</v>
      </c>
      <c r="V910" s="547" t="s">
        <v>2662</v>
      </c>
      <c r="W910" s="547" t="s">
        <v>2663</v>
      </c>
      <c r="X910" s="547" t="s">
        <v>2664</v>
      </c>
      <c r="Y910" s="547" t="s">
        <v>2665</v>
      </c>
      <c r="Z910" s="15">
        <v>0</v>
      </c>
      <c r="AA910" s="180">
        <v>0</v>
      </c>
      <c r="AB910" s="550" t="s">
        <v>2664</v>
      </c>
      <c r="AC910" s="544" t="str">
        <f>""</f>
        <v/>
      </c>
      <c r="AD910" s="183">
        <v>0</v>
      </c>
      <c r="AE910" s="183" t="s">
        <v>332</v>
      </c>
      <c r="AF910" s="183" t="s">
        <v>332</v>
      </c>
      <c r="AG910" s="183">
        <v>1</v>
      </c>
      <c r="AH910" s="183">
        <v>4</v>
      </c>
      <c r="AI910" s="183">
        <v>0</v>
      </c>
      <c r="AJ910" s="181">
        <f>VLOOKUP($I910,'Price List, Weapons &amp; Items'!B:F,5,0)</f>
        <v>1</v>
      </c>
      <c r="AK910" s="181">
        <f t="shared" si="178"/>
        <v>0</v>
      </c>
      <c r="AL910" s="181">
        <f t="shared" si="179"/>
        <v>0</v>
      </c>
      <c r="AM910" s="181">
        <f t="shared" si="180"/>
        <v>0</v>
      </c>
      <c r="AN910" s="180" t="str">
        <f>VLOOKUP($I910,'Price List, Weapons &amp; Items'!B:L,COLUMN('Price List, Weapons &amp; Items'!$J$11)-1,0)</f>
        <v>Media reports (incl. social media)</v>
      </c>
      <c r="AO910" s="180" t="str">
        <f>IF(I910=".",".",VLOOKUP($I910,'Price List, Weapons &amp; Items'!B:J,3,0))</f>
        <v>Armoured Utility Vehicle (AUV)</v>
      </c>
      <c r="AP910" s="545" t="str">
        <f t="shared" ca="1" si="175"/>
        <v/>
      </c>
      <c r="AQ910" s="180">
        <f>VLOOKUP($I910,'Price List, Weapons &amp; Items'!B:L,COLUMN('Price List, Weapons &amp; Items'!$L$11)-1,0)</f>
        <v>2</v>
      </c>
      <c r="AR910" s="180">
        <f t="shared" si="181"/>
        <v>1</v>
      </c>
      <c r="AS910" s="180">
        <f t="shared" si="182"/>
        <v>1</v>
      </c>
      <c r="AT910" s="180">
        <f t="shared" si="183"/>
        <v>1</v>
      </c>
      <c r="AU910" s="180" t="str">
        <f t="shared" si="184"/>
        <v>.</v>
      </c>
      <c r="AV910" s="180" t="str">
        <f t="shared" si="185"/>
        <v>.</v>
      </c>
      <c r="AW910" s="180">
        <f>IFERROR(VLOOKUP(B910,'Share, Heavy Weapons to Ukraine'!B:J,COLUMN('Share, Heavy Weapons to Ukraine'!C923)-1,0),0)</f>
        <v>0</v>
      </c>
      <c r="AX910" s="180">
        <f>VLOOKUP('Bilateral Assistance, MAIN DATA'!B910,'Country Summary'!B:F,COLUMN('Country Summary'!C926)-1,FALSE)</f>
        <v>1</v>
      </c>
      <c r="AY910" s="180" t="str">
        <f>IF(AND(AD910=1,D910="Military",H910&lt;&gt;"Not given")=TRUE,IF(SUMIFS(P:P,A:A,A910)&gt;0,ABS((SUMIFS(P:P,A:A,A910)/VLOOKUP("USD",'Exchange Rates'!B:C,2,0)))/S910,"."),".")</f>
        <v>.</v>
      </c>
      <c r="AZ910" s="182" t="str">
        <f>IF(AND(AD910=1,D910="Military",H910&lt;&gt;"Not given")=TRUE,IF(SUMIFS(P:P,A:A,A910)&gt;0,IF((ABS((SUMIFS(P:P,A:A,A910)/VLOOKUP("USD",'Exchange Rates'!B:C,2,0)))/S910)&gt;1,(SUMIFS(P:P,A:A,A910)-S910)/S910,(S910-SUMIFS(P:P,A:A,A910))/SUMIFS(P:P,A:A,A910)),"."),".")</f>
        <v>.</v>
      </c>
      <c r="BA910" s="182"/>
      <c r="BB910" s="182"/>
      <c r="BC910" s="182"/>
      <c r="BD910" s="182"/>
      <c r="BE910" s="182"/>
      <c r="BF910" s="182"/>
      <c r="BG910" s="182"/>
      <c r="BH910" s="182"/>
      <c r="BI910" s="182"/>
      <c r="BJ910" s="182"/>
      <c r="BK910" s="182"/>
      <c r="BL910" s="182"/>
      <c r="BM910" s="182"/>
      <c r="BN910" s="182"/>
      <c r="BO910" s="182"/>
      <c r="BP910" s="182"/>
      <c r="BQ910" s="182"/>
      <c r="BR910" s="182"/>
      <c r="BS910" s="182"/>
    </row>
    <row r="911" spans="1:71" ht="15.9" customHeight="1" x14ac:dyDescent="0.3">
      <c r="A911" s="5" t="s">
        <v>2659</v>
      </c>
      <c r="B911" s="5" t="s">
        <v>2615</v>
      </c>
      <c r="C911" s="174">
        <v>44672</v>
      </c>
      <c r="D911" s="5" t="s">
        <v>285</v>
      </c>
      <c r="E911" s="5" t="s">
        <v>286</v>
      </c>
      <c r="F911" s="175" t="s">
        <v>2660</v>
      </c>
      <c r="G911" s="15" t="s">
        <v>346</v>
      </c>
      <c r="H911" s="176" t="s">
        <v>341</v>
      </c>
      <c r="I911" s="17" t="s">
        <v>2668</v>
      </c>
      <c r="J911" s="113" t="str">
        <f>VLOOKUP($I911,'Price List, Weapons &amp; Items'!B:C,2,0)</f>
        <v>Military equipment</v>
      </c>
      <c r="K911" s="113" t="str">
        <f>IF(I911=".",I911,VLOOKUP($I911,'Price List, Weapons &amp; Items'!B:D,3,0))</f>
        <v>non combat military vehicle</v>
      </c>
      <c r="L911" s="177">
        <f>VLOOKUP(I911,'Price List, Weapons &amp; Items'!B:E,4,0)</f>
        <v>0</v>
      </c>
      <c r="M911" s="542">
        <v>30</v>
      </c>
      <c r="N911" s="542">
        <v>30</v>
      </c>
      <c r="O911" s="543" t="str">
        <f>VLOOKUP($I911,'Price List, Weapons &amp; Items'!B:G,6,0)</f>
        <v>.</v>
      </c>
      <c r="P911" s="176" t="str">
        <f t="shared" si="176"/>
        <v>No price</v>
      </c>
      <c r="Q911" s="176" t="str">
        <f t="shared" si="177"/>
        <v>No price</v>
      </c>
      <c r="R911" s="176" t="str">
        <f t="shared" si="174"/>
        <v/>
      </c>
      <c r="S911" s="176" t="str">
        <f>IF(AND(AD911=1,R911&lt;&gt;".")=TRUE,R911/VLOOKUP(G911,'Exchange Rates'!B:C,2,0),IF(R911=".",".",""))</f>
        <v/>
      </c>
      <c r="T911" s="176" t="str">
        <f>IF(AD911=1,IF(AF911="Value is not given at all",".",IF(AF911="Value is given by the source",S911,IF(AF911="Value is calculated with prices",(IF(SUMIFS(Q:Q,A:A,A911)&gt;0,SUMIFS(Q:Q,A:A,A911),"."))/VLOOKUP("USD",'Exchange Rates'!B:C,2,0),"Error with coding"))),"")</f>
        <v/>
      </c>
      <c r="U911" s="15" t="s">
        <v>261</v>
      </c>
      <c r="V911" s="547" t="s">
        <v>2662</v>
      </c>
      <c r="W911" s="547" t="s">
        <v>2663</v>
      </c>
      <c r="X911" s="547" t="s">
        <v>2664</v>
      </c>
      <c r="Y911" s="547" t="s">
        <v>2665</v>
      </c>
      <c r="Z911" s="15">
        <v>0</v>
      </c>
      <c r="AA911" s="180">
        <v>0</v>
      </c>
      <c r="AB911" s="550" t="s">
        <v>2666</v>
      </c>
      <c r="AC911" s="544" t="str">
        <f>""</f>
        <v/>
      </c>
      <c r="AD911" s="183">
        <v>0</v>
      </c>
      <c r="AE911" s="183" t="s">
        <v>332</v>
      </c>
      <c r="AF911" s="183" t="s">
        <v>332</v>
      </c>
      <c r="AG911" s="183">
        <v>1</v>
      </c>
      <c r="AH911" s="183">
        <v>4</v>
      </c>
      <c r="AI911" s="183">
        <v>0</v>
      </c>
      <c r="AJ911" s="181">
        <f>VLOOKUP($I911,'Price List, Weapons &amp; Items'!B:F,5,0)</f>
        <v>0</v>
      </c>
      <c r="AK911" s="181">
        <f t="shared" si="178"/>
        <v>0</v>
      </c>
      <c r="AL911" s="181">
        <f t="shared" si="179"/>
        <v>0</v>
      </c>
      <c r="AM911" s="181">
        <f t="shared" si="180"/>
        <v>0</v>
      </c>
      <c r="AN911" s="180" t="str">
        <f>VLOOKUP($I911,'Price List, Weapons &amp; Items'!B:L,COLUMN('Price List, Weapons &amp; Items'!$J$11)-1,0)</f>
        <v>.</v>
      </c>
      <c r="AO911" s="180" t="str">
        <f>IF(I911=".",".",VLOOKUP($I911,'Price List, Weapons &amp; Items'!B:J,3,0))</f>
        <v>non combat military vehicle</v>
      </c>
      <c r="AP911" s="545" t="str">
        <f t="shared" ca="1" si="175"/>
        <v/>
      </c>
      <c r="AQ911" s="180">
        <f>VLOOKUP($I911,'Price List, Weapons &amp; Items'!B:L,COLUMN('Price List, Weapons &amp; Items'!$L$11)-1,0)</f>
        <v>0</v>
      </c>
      <c r="AR911" s="180">
        <f t="shared" si="181"/>
        <v>1</v>
      </c>
      <c r="AS911" s="180">
        <f t="shared" si="182"/>
        <v>1</v>
      </c>
      <c r="AT911" s="180">
        <f t="shared" si="183"/>
        <v>1</v>
      </c>
      <c r="AU911" s="180" t="str">
        <f t="shared" si="184"/>
        <v>.</v>
      </c>
      <c r="AV911" s="180" t="str">
        <f t="shared" si="185"/>
        <v>.</v>
      </c>
      <c r="AW911" s="180">
        <f>IFERROR(VLOOKUP(B911,'Share, Heavy Weapons to Ukraine'!B:J,COLUMN('Share, Heavy Weapons to Ukraine'!C924)-1,0),0)</f>
        <v>0</v>
      </c>
      <c r="AX911" s="180">
        <f>VLOOKUP('Bilateral Assistance, MAIN DATA'!B911,'Country Summary'!B:F,COLUMN('Country Summary'!C927)-1,FALSE)</f>
        <v>1</v>
      </c>
      <c r="AY911" s="180" t="str">
        <f>IF(AND(AD911=1,D911="Military",H911&lt;&gt;"Not given")=TRUE,IF(SUMIFS(P:P,A:A,A911)&gt;0,ABS((SUMIFS(P:P,A:A,A911)/VLOOKUP("USD",'Exchange Rates'!B:C,2,0)))/S911,"."),".")</f>
        <v>.</v>
      </c>
      <c r="AZ911" s="182" t="str">
        <f>IF(AND(AD911=1,D911="Military",H911&lt;&gt;"Not given")=TRUE,IF(SUMIFS(P:P,A:A,A911)&gt;0,IF((ABS((SUMIFS(P:P,A:A,A911)/VLOOKUP("USD",'Exchange Rates'!B:C,2,0)))/S911)&gt;1,(SUMIFS(P:P,A:A,A911)-S911)/S911,(S911-SUMIFS(P:P,A:A,A911))/SUMIFS(P:P,A:A,A911)),"."),".")</f>
        <v>.</v>
      </c>
      <c r="BA911" s="182"/>
      <c r="BB911" s="182"/>
      <c r="BC911" s="182"/>
      <c r="BD911" s="182"/>
      <c r="BE911" s="182"/>
      <c r="BF911" s="182"/>
      <c r="BG911" s="182"/>
      <c r="BH911" s="182"/>
      <c r="BI911" s="182"/>
      <c r="BJ911" s="182"/>
      <c r="BK911" s="182"/>
      <c r="BL911" s="182"/>
      <c r="BM911" s="182"/>
      <c r="BN911" s="182"/>
      <c r="BO911" s="182"/>
      <c r="BP911" s="182"/>
      <c r="BQ911" s="182"/>
      <c r="BR911" s="182"/>
      <c r="BS911" s="182"/>
    </row>
    <row r="912" spans="1:71" ht="15.9" customHeight="1" x14ac:dyDescent="0.3">
      <c r="A912" s="17" t="s">
        <v>2669</v>
      </c>
      <c r="B912" s="17" t="s">
        <v>2615</v>
      </c>
      <c r="C912" s="174">
        <v>44717</v>
      </c>
      <c r="D912" s="5" t="s">
        <v>285</v>
      </c>
      <c r="E912" s="5" t="s">
        <v>339</v>
      </c>
      <c r="F912" s="175" t="s">
        <v>2670</v>
      </c>
      <c r="G912" s="15" t="s">
        <v>346</v>
      </c>
      <c r="H912" s="176" t="s">
        <v>341</v>
      </c>
      <c r="I912" s="17" t="s">
        <v>2671</v>
      </c>
      <c r="J912" s="113" t="str">
        <f>VLOOKUP($I912,'Price List, Weapons &amp; Items'!B:C,2,0)</f>
        <v>Ammunition for heavy weapon</v>
      </c>
      <c r="K912" s="113" t="str">
        <f>IF(I912=".",I912,VLOOKUP($I912,'Price List, Weapons &amp; Items'!B:D,3,0))</f>
        <v>Anti-aircraft system ammunition</v>
      </c>
      <c r="L912" s="177">
        <f>VLOOKUP(I912,'Price List, Weapons &amp; Items'!B:E,4,0)</f>
        <v>0</v>
      </c>
      <c r="M912" s="542" t="s">
        <v>270</v>
      </c>
      <c r="N912" s="542" t="s">
        <v>270</v>
      </c>
      <c r="O912" s="543">
        <f>VLOOKUP($I912,'Price List, Weapons &amp; Items'!B:G,6,0)</f>
        <v>100000</v>
      </c>
      <c r="P912" s="176" t="str">
        <f t="shared" si="176"/>
        <v>.</v>
      </c>
      <c r="Q912" s="176" t="str">
        <f t="shared" si="177"/>
        <v>.</v>
      </c>
      <c r="R912" s="176" t="str">
        <f t="shared" si="174"/>
        <v>.</v>
      </c>
      <c r="S912" s="176" t="str">
        <f>IF(AND(AD912=1,R912&lt;&gt;".")=TRUE,R912/VLOOKUP(G912,'Exchange Rates'!B:C,2,0),IF(R912=".",".",""))</f>
        <v>.</v>
      </c>
      <c r="T912" s="176" t="str">
        <f>IF(AD912=1,IF(AF912="Value is not given at all",".",IF(AF912="Value is given by the source",S912,IF(AF912="Value is calculated with prices",(IF(SUMIFS(Q:Q,A:A,A912)&gt;0,SUMIFS(Q:Q,A:A,A912),"."))/VLOOKUP("USD",'Exchange Rates'!B:C,2,0),"Error with coding"))),"")</f>
        <v>.</v>
      </c>
      <c r="U912" s="15" t="s">
        <v>415</v>
      </c>
      <c r="V912" s="300" t="s">
        <v>2672</v>
      </c>
      <c r="W912" s="300" t="s">
        <v>2673</v>
      </c>
      <c r="X912" s="300" t="s">
        <v>2674</v>
      </c>
      <c r="Y912" s="300" t="s">
        <v>2675</v>
      </c>
      <c r="Z912" s="15">
        <v>0</v>
      </c>
      <c r="AA912" s="180">
        <v>0</v>
      </c>
      <c r="AB912" s="184" t="s">
        <v>260</v>
      </c>
      <c r="AC912" s="544" t="str">
        <f>""</f>
        <v/>
      </c>
      <c r="AD912" s="183">
        <v>1</v>
      </c>
      <c r="AE912" s="183" t="s">
        <v>332</v>
      </c>
      <c r="AF912" s="183" t="s">
        <v>265</v>
      </c>
      <c r="AG912" s="183">
        <v>1</v>
      </c>
      <c r="AH912" s="181">
        <v>6</v>
      </c>
      <c r="AI912" s="181">
        <v>0</v>
      </c>
      <c r="AJ912" s="181">
        <f>VLOOKUP($I912,'Price List, Weapons &amp; Items'!B:F,5,0)</f>
        <v>0</v>
      </c>
      <c r="AK912" s="181">
        <f t="shared" si="178"/>
        <v>0</v>
      </c>
      <c r="AL912" s="181">
        <f t="shared" si="179"/>
        <v>0</v>
      </c>
      <c r="AM912" s="181">
        <f t="shared" si="180"/>
        <v>0</v>
      </c>
      <c r="AN912" s="180" t="str">
        <f>VLOOKUP($I912,'Price List, Weapons &amp; Items'!B:L,COLUMN('Price List, Weapons &amp; Items'!$J$11)-1,0)</f>
        <v>Military media (incl. websites)</v>
      </c>
      <c r="AO912" s="180" t="str">
        <f>IF(I912=".",".",VLOOKUP($I912,'Price List, Weapons &amp; Items'!B:J,3,0))</f>
        <v>Anti-aircraft system ammunition</v>
      </c>
      <c r="AP912" s="545" t="e">
        <f t="shared" ca="1" si="175"/>
        <v>#NAME?</v>
      </c>
      <c r="AQ912" s="180" t="str">
        <f>VLOOKUP($I912,'Price List, Weapons &amp; Items'!B:L,COLUMN('Price List, Weapons &amp; Items'!$L$11)-1,0)</f>
        <v>no price, 0 count</v>
      </c>
      <c r="AR912" s="180">
        <f t="shared" si="181"/>
        <v>0</v>
      </c>
      <c r="AS912" s="180">
        <f t="shared" si="182"/>
        <v>1</v>
      </c>
      <c r="AT912" s="180">
        <f t="shared" si="183"/>
        <v>1</v>
      </c>
      <c r="AU912" s="180" t="str">
        <f t="shared" si="184"/>
        <v>.</v>
      </c>
      <c r="AV912" s="180" t="str">
        <f t="shared" si="185"/>
        <v>.</v>
      </c>
      <c r="AW912" s="180">
        <f>IFERROR(VLOOKUP(B912,'Share, Heavy Weapons to Ukraine'!B:J,COLUMN('Share, Heavy Weapons to Ukraine'!C925)-1,0),0)</f>
        <v>0</v>
      </c>
      <c r="AX912" s="180">
        <f>VLOOKUP('Bilateral Assistance, MAIN DATA'!B912,'Country Summary'!B:F,COLUMN('Country Summary'!C928)-1,FALSE)</f>
        <v>1</v>
      </c>
      <c r="AY912" s="180" t="str">
        <f>IF(AND(AD912=1,D912="Military",H912&lt;&gt;"Not given")=TRUE,IF(SUMIFS(P:P,A:A,A912)&gt;0,ABS((SUMIFS(P:P,A:A,A912)/VLOOKUP("USD",'Exchange Rates'!B:C,2,0)))/S912,"."),".")</f>
        <v>.</v>
      </c>
      <c r="AZ912" s="182" t="str">
        <f>IF(AND(AD912=1,D912="Military",H912&lt;&gt;"Not given")=TRUE,IF(SUMIFS(P:P,A:A,A912)&gt;0,IF((ABS((SUMIFS(P:P,A:A,A912)/VLOOKUP("USD",'Exchange Rates'!B:C,2,0)))/S912)&gt;1,(SUMIFS(P:P,A:A,A912)-S912)/S912,(S912-SUMIFS(P:P,A:A,A912))/SUMIFS(P:P,A:A,A912)),"."),".")</f>
        <v>.</v>
      </c>
      <c r="BA912" s="182"/>
      <c r="BB912" s="182"/>
      <c r="BC912" s="182"/>
      <c r="BD912" s="182"/>
      <c r="BE912" s="182"/>
      <c r="BF912" s="182"/>
      <c r="BG912" s="182"/>
      <c r="BH912" s="182"/>
      <c r="BI912" s="182"/>
      <c r="BJ912" s="182"/>
      <c r="BK912" s="182"/>
      <c r="BL912" s="182"/>
      <c r="BM912" s="182"/>
      <c r="BN912" s="182"/>
      <c r="BO912" s="182"/>
      <c r="BP912" s="182"/>
      <c r="BQ912" s="182"/>
      <c r="BR912" s="182"/>
      <c r="BS912" s="182"/>
    </row>
    <row r="913" spans="1:71" ht="15.9" customHeight="1" x14ac:dyDescent="0.3">
      <c r="A913" s="17" t="s">
        <v>2676</v>
      </c>
      <c r="B913" s="17" t="s">
        <v>2615</v>
      </c>
      <c r="C913" s="174">
        <v>44754</v>
      </c>
      <c r="D913" s="5" t="s">
        <v>285</v>
      </c>
      <c r="E913" s="5" t="s">
        <v>339</v>
      </c>
      <c r="F913" s="175" t="s">
        <v>2677</v>
      </c>
      <c r="G913" s="15" t="s">
        <v>346</v>
      </c>
      <c r="H913" s="176" t="s">
        <v>341</v>
      </c>
      <c r="I913" s="175" t="s">
        <v>324</v>
      </c>
      <c r="J913" s="113" t="str">
        <f>VLOOKUP($I913,'Price List, Weapons &amp; Items'!B:C,2,0)</f>
        <v>Heavy weapon</v>
      </c>
      <c r="K913" s="113" t="str">
        <f>IF(I913=".",I913,VLOOKUP($I913,'Price List, Weapons &amp; Items'!B:D,3,0))</f>
        <v>Armoured Personnel Carrier (APC)</v>
      </c>
      <c r="L913" s="177">
        <f>VLOOKUP(I913,'Price List, Weapons &amp; Items'!B:E,4,0)</f>
        <v>0</v>
      </c>
      <c r="M913" s="542">
        <v>20</v>
      </c>
      <c r="N913" s="542" t="s">
        <v>270</v>
      </c>
      <c r="O913" s="543">
        <f>VLOOKUP($I913,'Price List, Weapons &amp; Items'!B:G,6,0)</f>
        <v>300000</v>
      </c>
      <c r="P913" s="176">
        <f t="shared" si="176"/>
        <v>6000000</v>
      </c>
      <c r="Q913" s="176" t="str">
        <f t="shared" si="177"/>
        <v>.</v>
      </c>
      <c r="R913" s="176">
        <f t="shared" si="174"/>
        <v>6000000</v>
      </c>
      <c r="S913" s="176">
        <f>IF(AND(AD913=1,R913&lt;&gt;".")=TRUE,R913/VLOOKUP(G913,'Exchange Rates'!B:C,2,0),IF(R913=".",".",""))</f>
        <v>5714285.7142857136</v>
      </c>
      <c r="T913" s="176" t="str">
        <f>IF(AD913=1,IF(AF913="Value is not given at all",".",IF(AF913="Value is given by the source",S913,IF(AF913="Value is calculated with prices",(IF(SUMIFS(Q:Q,A:A,A913)&gt;0,SUMIFS(Q:Q,A:A,A913),"."))/VLOOKUP("USD",'Exchange Rates'!B:C,2,0),"Error with coding"))),"")</f>
        <v>.</v>
      </c>
      <c r="U913" s="177" t="s">
        <v>415</v>
      </c>
      <c r="V913" s="556" t="s">
        <v>2678</v>
      </c>
      <c r="W913" s="582" t="s">
        <v>2679</v>
      </c>
      <c r="X913" s="218" t="s">
        <v>260</v>
      </c>
      <c r="Y913" s="218" t="s">
        <v>260</v>
      </c>
      <c r="Z913" s="177">
        <v>0</v>
      </c>
      <c r="AA913" s="180">
        <v>0</v>
      </c>
      <c r="AB913" s="184" t="s">
        <v>260</v>
      </c>
      <c r="AC913" s="544" t="str">
        <f>""</f>
        <v/>
      </c>
      <c r="AD913" s="183">
        <v>1</v>
      </c>
      <c r="AE913" s="183" t="s">
        <v>265</v>
      </c>
      <c r="AF913" s="183" t="s">
        <v>265</v>
      </c>
      <c r="AG913" s="183">
        <v>1</v>
      </c>
      <c r="AH913" s="181">
        <v>7</v>
      </c>
      <c r="AI913" s="181">
        <v>0</v>
      </c>
      <c r="AJ913" s="181">
        <f>VLOOKUP($I913,'Price List, Weapons &amp; Items'!B:F,5,0)</f>
        <v>1</v>
      </c>
      <c r="AK913" s="181">
        <f t="shared" si="178"/>
        <v>0</v>
      </c>
      <c r="AL913" s="181">
        <f t="shared" si="179"/>
        <v>1</v>
      </c>
      <c r="AM913" s="181">
        <f t="shared" si="180"/>
        <v>0</v>
      </c>
      <c r="AN913" s="180" t="str">
        <f>VLOOKUP($I913,'Price List, Weapons &amp; Items'!B:L,COLUMN('Price List, Weapons &amp; Items'!$J$11)-1,0)</f>
        <v>Military media (incl. websites)</v>
      </c>
      <c r="AO913" s="180" t="str">
        <f>IF(I913=".",".",VLOOKUP($I913,'Price List, Weapons &amp; Items'!B:J,3,0))</f>
        <v>Armoured Personnel Carrier (APC)</v>
      </c>
      <c r="AP913" s="545" t="e">
        <f t="shared" ca="1" si="175"/>
        <v>#NAME?</v>
      </c>
      <c r="AQ913" s="180">
        <f>VLOOKUP($I913,'Price List, Weapons &amp; Items'!B:L,COLUMN('Price List, Weapons &amp; Items'!$L$11)-1,0)</f>
        <v>2</v>
      </c>
      <c r="AR913" s="180">
        <f t="shared" si="181"/>
        <v>0</v>
      </c>
      <c r="AS913" s="180">
        <f t="shared" si="182"/>
        <v>1</v>
      </c>
      <c r="AT913" s="180">
        <f t="shared" si="183"/>
        <v>1</v>
      </c>
      <c r="AU913" s="180" t="str">
        <f t="shared" si="184"/>
        <v>.</v>
      </c>
      <c r="AV913" s="180" t="str">
        <f t="shared" si="185"/>
        <v>.</v>
      </c>
      <c r="AW913" s="180">
        <f>IFERROR(VLOOKUP(B913,'Share, Heavy Weapons to Ukraine'!B:J,COLUMN('Share, Heavy Weapons to Ukraine'!C926)-1,0),0)</f>
        <v>0</v>
      </c>
      <c r="AX913" s="180">
        <f>VLOOKUP('Bilateral Assistance, MAIN DATA'!B913,'Country Summary'!B:F,COLUMN('Country Summary'!C929)-1,FALSE)</f>
        <v>1</v>
      </c>
      <c r="AY913" s="180" t="str">
        <f>IF(AND(AD913=1,D913="Military",H913&lt;&gt;"Not given")=TRUE,IF(SUMIFS(P:P,A:A,A913)&gt;0,ABS((SUMIFS(P:P,A:A,A913)/VLOOKUP("USD",'Exchange Rates'!B:C,2,0)))/S913,"."),".")</f>
        <v>.</v>
      </c>
      <c r="AZ913" s="182" t="str">
        <f>IF(AND(AD913=1,D913="Military",H913&lt;&gt;"Not given")=TRUE,IF(SUMIFS(P:P,A:A,A913)&gt;0,IF((ABS((SUMIFS(P:P,A:A,A913)/VLOOKUP("USD",'Exchange Rates'!B:C,2,0)))/S913)&gt;1,(SUMIFS(P:P,A:A,A913)-S913)/S913,(S913-SUMIFS(P:P,A:A,A913))/SUMIFS(P:P,A:A,A913)),"."),".")</f>
        <v>.</v>
      </c>
      <c r="BA913" s="182"/>
      <c r="BB913" s="182"/>
      <c r="BC913" s="182"/>
      <c r="BD913" s="182"/>
      <c r="BE913" s="182"/>
      <c r="BF913" s="182"/>
      <c r="BG913" s="182"/>
      <c r="BH913" s="182"/>
      <c r="BI913" s="182"/>
      <c r="BJ913" s="182"/>
      <c r="BK913" s="182"/>
      <c r="BL913" s="182"/>
      <c r="BM913" s="182"/>
      <c r="BN913" s="182"/>
      <c r="BO913" s="182"/>
      <c r="BP913" s="182"/>
      <c r="BQ913" s="182"/>
      <c r="BR913" s="182"/>
      <c r="BS913" s="182"/>
    </row>
    <row r="914" spans="1:71" ht="15.9" customHeight="1" x14ac:dyDescent="0.3">
      <c r="A914" s="17" t="s">
        <v>2680</v>
      </c>
      <c r="B914" s="17" t="s">
        <v>2615</v>
      </c>
      <c r="C914" s="174">
        <v>44797</v>
      </c>
      <c r="D914" s="5" t="s">
        <v>285</v>
      </c>
      <c r="E914" s="5" t="s">
        <v>286</v>
      </c>
      <c r="F914" s="175" t="s">
        <v>2681</v>
      </c>
      <c r="G914" s="15" t="s">
        <v>346</v>
      </c>
      <c r="H914" s="176" t="s">
        <v>341</v>
      </c>
      <c r="I914" s="175" t="s">
        <v>1262</v>
      </c>
      <c r="J914" s="113" t="str">
        <f>VLOOKUP($I914,'Price List, Weapons &amp; Items'!B:C,2,0)</f>
        <v>Ammunition for heavy weapon</v>
      </c>
      <c r="K914" s="113" t="str">
        <f>IF(I914=".",I914,VLOOKUP($I914,'Price List, Weapons &amp; Items'!B:D,3,0))</f>
        <v>155mm howitzer ammunition</v>
      </c>
      <c r="L914" s="177">
        <f>VLOOKUP(I914,'Price List, Weapons &amp; Items'!B:E,4,0)</f>
        <v>0</v>
      </c>
      <c r="M914" s="542">
        <v>1000</v>
      </c>
      <c r="N914" s="542">
        <v>1000</v>
      </c>
      <c r="O914" s="543">
        <f>VLOOKUP($I914,'Price List, Weapons &amp; Items'!B:G,6,0)</f>
        <v>3800</v>
      </c>
      <c r="P914" s="176">
        <f t="shared" si="176"/>
        <v>3800000</v>
      </c>
      <c r="Q914" s="176">
        <f t="shared" si="177"/>
        <v>3800000</v>
      </c>
      <c r="R914" s="176">
        <f t="shared" si="174"/>
        <v>10742047.380952381</v>
      </c>
      <c r="S914" s="176">
        <f>IF(AND(AD914=1,R914&lt;&gt;".")=TRUE,R914/VLOOKUP(G914,'Exchange Rates'!B:C,2,0),IF(R914=".",".",""))</f>
        <v>10230521.315192742</v>
      </c>
      <c r="T914" s="176">
        <f>IF(AD914=1,IF(AF914="Value is not given at all",".",IF(AF914="Value is given by the source",S914,IF(AF914="Value is calculated with prices",(IF(SUMIFS(Q:Q,A:A,A914)&gt;0,SUMIFS(Q:Q,A:A,A914),"."))/VLOOKUP("USD",'Exchange Rates'!B:C,2,0),"Error with coding"))),"")</f>
        <v>7962947.6190476185</v>
      </c>
      <c r="U914" s="177" t="s">
        <v>415</v>
      </c>
      <c r="V914" s="546" t="s">
        <v>2682</v>
      </c>
      <c r="W914" s="556" t="s">
        <v>2683</v>
      </c>
      <c r="X914" s="304" t="s">
        <v>2684</v>
      </c>
      <c r="Y914" s="582" t="s">
        <v>2685</v>
      </c>
      <c r="Z914" s="177">
        <v>0</v>
      </c>
      <c r="AA914" s="180">
        <v>0</v>
      </c>
      <c r="AB914" s="576" t="s">
        <v>2686</v>
      </c>
      <c r="AC914" s="544" t="str">
        <f>""</f>
        <v/>
      </c>
      <c r="AD914" s="183">
        <v>1</v>
      </c>
      <c r="AE914" s="183" t="s">
        <v>332</v>
      </c>
      <c r="AF914" s="183" t="s">
        <v>332</v>
      </c>
      <c r="AG914" s="183">
        <v>1</v>
      </c>
      <c r="AH914" s="181">
        <v>8</v>
      </c>
      <c r="AI914" s="181">
        <v>0</v>
      </c>
      <c r="AJ914" s="181">
        <f>VLOOKUP($I914,'Price List, Weapons &amp; Items'!B:F,5,0)</f>
        <v>1</v>
      </c>
      <c r="AK914" s="181">
        <f t="shared" si="178"/>
        <v>0</v>
      </c>
      <c r="AL914" s="181">
        <f t="shared" si="179"/>
        <v>0</v>
      </c>
      <c r="AM914" s="181">
        <f t="shared" si="180"/>
        <v>1</v>
      </c>
      <c r="AN914" s="180" t="str">
        <f>VLOOKUP($I914,'Price List, Weapons &amp; Items'!B:L,COLUMN('Price List, Weapons &amp; Items'!$J$11)-1,0)</f>
        <v>Government information</v>
      </c>
      <c r="AO914" s="180" t="str">
        <f>IF(I914=".",".",VLOOKUP($I914,'Price List, Weapons &amp; Items'!B:J,3,0))</f>
        <v>155mm howitzer ammunition</v>
      </c>
      <c r="AP914" s="545" t="e">
        <f t="shared" ca="1" si="175"/>
        <v>#NAME?</v>
      </c>
      <c r="AQ914" s="180">
        <f>VLOOKUP($I914,'Price List, Weapons &amp; Items'!B:L,COLUMN('Price List, Weapons &amp; Items'!$L$11)-1,0)</f>
        <v>2</v>
      </c>
      <c r="AR914" s="180">
        <f t="shared" si="181"/>
        <v>0</v>
      </c>
      <c r="AS914" s="180">
        <f t="shared" si="182"/>
        <v>1</v>
      </c>
      <c r="AT914" s="180">
        <f t="shared" si="183"/>
        <v>1</v>
      </c>
      <c r="AU914" s="180" t="str">
        <f t="shared" si="184"/>
        <v>.</v>
      </c>
      <c r="AV914" s="180" t="str">
        <f t="shared" si="185"/>
        <v>.</v>
      </c>
      <c r="AW914" s="180">
        <f>IFERROR(VLOOKUP(B914,'Share, Heavy Weapons to Ukraine'!B:J,COLUMN('Share, Heavy Weapons to Ukraine'!C927)-1,0),0)</f>
        <v>0</v>
      </c>
      <c r="AX914" s="180">
        <f>VLOOKUP('Bilateral Assistance, MAIN DATA'!B914,'Country Summary'!B:F,COLUMN('Country Summary'!C930)-1,FALSE)</f>
        <v>1</v>
      </c>
      <c r="AY914" s="180" t="str">
        <f>IF(AND(AD914=1,D914="Military",H914&lt;&gt;"Not given")=TRUE,IF(SUMIFS(P:P,A:A,A914)&gt;0,ABS((SUMIFS(P:P,A:A,A914)/VLOOKUP("USD",'Exchange Rates'!B:C,2,0)))/S914,"."),".")</f>
        <v>.</v>
      </c>
      <c r="AZ914" s="182" t="str">
        <f>IF(AND(AD914=1,D914="Military",H914&lt;&gt;"Not given")=TRUE,IF(SUMIFS(P:P,A:A,A914)&gt;0,IF((ABS((SUMIFS(P:P,A:A,A914)/VLOOKUP("USD",'Exchange Rates'!B:C,2,0)))/S914)&gt;1,(SUMIFS(P:P,A:A,A914)-S914)/S914,(S914-SUMIFS(P:P,A:A,A914))/SUMIFS(P:P,A:A,A914)),"."),".")</f>
        <v>.</v>
      </c>
      <c r="BA914" s="182"/>
      <c r="BB914" s="182"/>
      <c r="BC914" s="182"/>
      <c r="BD914" s="182"/>
      <c r="BE914" s="182"/>
      <c r="BF914" s="182"/>
      <c r="BG914" s="182"/>
      <c r="BH914" s="182"/>
      <c r="BI914" s="182"/>
      <c r="BJ914" s="182"/>
      <c r="BK914" s="182"/>
      <c r="BL914" s="182"/>
      <c r="BM914" s="182"/>
      <c r="BN914" s="182"/>
      <c r="BO914" s="182"/>
      <c r="BP914" s="182"/>
      <c r="BQ914" s="182"/>
      <c r="BR914" s="182"/>
      <c r="BS914" s="182"/>
    </row>
    <row r="915" spans="1:71" ht="15.9" customHeight="1" x14ac:dyDescent="0.3">
      <c r="A915" s="17" t="s">
        <v>2680</v>
      </c>
      <c r="B915" s="17" t="s">
        <v>2615</v>
      </c>
      <c r="C915" s="174">
        <v>44797</v>
      </c>
      <c r="D915" s="5" t="s">
        <v>285</v>
      </c>
      <c r="E915" s="5" t="s">
        <v>286</v>
      </c>
      <c r="F915" s="175" t="s">
        <v>2681</v>
      </c>
      <c r="G915" s="15" t="s">
        <v>346</v>
      </c>
      <c r="H915" s="176" t="s">
        <v>341</v>
      </c>
      <c r="I915" s="175" t="s">
        <v>2687</v>
      </c>
      <c r="J915" s="113" t="str">
        <f>VLOOKUP($I915,'Price List, Weapons &amp; Items'!B:C,2,0)</f>
        <v>Heavy weapon</v>
      </c>
      <c r="K915" s="113" t="str">
        <f>IF(I915=".",I915,VLOOKUP($I915,'Price List, Weapons &amp; Items'!B:D,3,0))</f>
        <v>unknown howitzer</v>
      </c>
      <c r="L915" s="177">
        <f>VLOOKUP(I915,'Price List, Weapons &amp; Items'!B:E,4,0)</f>
        <v>0</v>
      </c>
      <c r="M915" s="542" t="s">
        <v>270</v>
      </c>
      <c r="N915" s="542" t="s">
        <v>270</v>
      </c>
      <c r="O915" s="543">
        <f>VLOOKUP($I915,'Price List, Weapons &amp; Items'!B:G,6,0)</f>
        <v>5170000</v>
      </c>
      <c r="P915" s="176" t="str">
        <f t="shared" si="176"/>
        <v>.</v>
      </c>
      <c r="Q915" s="176" t="str">
        <f t="shared" si="177"/>
        <v>.</v>
      </c>
      <c r="R915" s="176" t="str">
        <f t="shared" si="174"/>
        <v/>
      </c>
      <c r="S915" s="176" t="str">
        <f>IF(AND(AD915=1,R915&lt;&gt;".")=TRUE,R915/VLOOKUP(G915,'Exchange Rates'!B:C,2,0),IF(R915=".",".",""))</f>
        <v/>
      </c>
      <c r="T915" s="176" t="str">
        <f>IF(AD915=1,IF(AF915="Value is not given at all",".",IF(AF915="Value is given by the source",S915,IF(AF915="Value is calculated with prices",(IF(SUMIFS(Q:Q,A:A,A915)&gt;0,SUMIFS(Q:Q,A:A,A915),"."))/VLOOKUP("USD",'Exchange Rates'!B:C,2,0),"Error with coding"))),"")</f>
        <v/>
      </c>
      <c r="U915" s="177" t="s">
        <v>415</v>
      </c>
      <c r="V915" s="546" t="s">
        <v>2682</v>
      </c>
      <c r="W915" s="556" t="s">
        <v>2683</v>
      </c>
      <c r="X915" s="304" t="s">
        <v>2684</v>
      </c>
      <c r="Y915" s="582" t="s">
        <v>2685</v>
      </c>
      <c r="Z915" s="177">
        <v>0</v>
      </c>
      <c r="AA915" s="180">
        <v>0</v>
      </c>
      <c r="AB915" s="576" t="s">
        <v>2686</v>
      </c>
      <c r="AC915" s="544" t="str">
        <f>""</f>
        <v/>
      </c>
      <c r="AD915" s="183">
        <v>0</v>
      </c>
      <c r="AE915" s="183" t="s">
        <v>332</v>
      </c>
      <c r="AF915" s="183" t="s">
        <v>332</v>
      </c>
      <c r="AG915" s="183">
        <v>1</v>
      </c>
      <c r="AH915" s="181">
        <v>8</v>
      </c>
      <c r="AI915" s="181">
        <v>0</v>
      </c>
      <c r="AJ915" s="181">
        <f>VLOOKUP($I915,'Price List, Weapons &amp; Items'!B:F,5,0)</f>
        <v>0</v>
      </c>
      <c r="AK915" s="181">
        <f t="shared" si="178"/>
        <v>0</v>
      </c>
      <c r="AL915" s="181">
        <f t="shared" si="179"/>
        <v>0</v>
      </c>
      <c r="AM915" s="181">
        <f t="shared" si="180"/>
        <v>0</v>
      </c>
      <c r="AN915" s="180" t="str">
        <f>VLOOKUP($I915,'Price List, Weapons &amp; Items'!B:L,COLUMN('Price List, Weapons &amp; Items'!$J$11)-1,0)</f>
        <v>Military media (incl. websites)</v>
      </c>
      <c r="AO915" s="180" t="str">
        <f>IF(I915=".",".",VLOOKUP($I915,'Price List, Weapons &amp; Items'!B:J,3,0))</f>
        <v>unknown howitzer</v>
      </c>
      <c r="AP915" s="545" t="str">
        <f t="shared" ca="1" si="175"/>
        <v/>
      </c>
      <c r="AQ915" s="180">
        <f>VLOOKUP($I915,'Price List, Weapons &amp; Items'!B:L,COLUMN('Price List, Weapons &amp; Items'!$L$11)-1,0)</f>
        <v>2</v>
      </c>
      <c r="AR915" s="180">
        <f t="shared" si="181"/>
        <v>0</v>
      </c>
      <c r="AS915" s="180">
        <f t="shared" si="182"/>
        <v>1</v>
      </c>
      <c r="AT915" s="180">
        <f t="shared" si="183"/>
        <v>1</v>
      </c>
      <c r="AU915" s="180" t="str">
        <f t="shared" si="184"/>
        <v>.</v>
      </c>
      <c r="AV915" s="180" t="str">
        <f t="shared" si="185"/>
        <v>.</v>
      </c>
      <c r="AW915" s="180">
        <f>IFERROR(VLOOKUP(B915,'Share, Heavy Weapons to Ukraine'!B:J,COLUMN('Share, Heavy Weapons to Ukraine'!C928)-1,0),0)</f>
        <v>0</v>
      </c>
      <c r="AX915" s="180">
        <f>VLOOKUP('Bilateral Assistance, MAIN DATA'!B915,'Country Summary'!B:F,COLUMN('Country Summary'!C931)-1,FALSE)</f>
        <v>1</v>
      </c>
      <c r="AY915" s="180" t="str">
        <f>IF(AND(AD915=1,D915="Military",H915&lt;&gt;"Not given")=TRUE,IF(SUMIFS(P:P,A:A,A915)&gt;0,ABS((SUMIFS(P:P,A:A,A915)/VLOOKUP("USD",'Exchange Rates'!B:C,2,0)))/S915,"."),".")</f>
        <v>.</v>
      </c>
      <c r="AZ915" s="182" t="str">
        <f>IF(AND(AD915=1,D915="Military",H915&lt;&gt;"Not given")=TRUE,IF(SUMIFS(P:P,A:A,A915)&gt;0,IF((ABS((SUMIFS(P:P,A:A,A915)/VLOOKUP("USD",'Exchange Rates'!B:C,2,0)))/S915)&gt;1,(SUMIFS(P:P,A:A,A915)-S915)/S915,(S915-SUMIFS(P:P,A:A,A915))/SUMIFS(P:P,A:A,A915)),"."),".")</f>
        <v>.</v>
      </c>
      <c r="BA915" s="182"/>
      <c r="BB915" s="182"/>
      <c r="BC915" s="182"/>
      <c r="BD915" s="182"/>
      <c r="BE915" s="182"/>
      <c r="BF915" s="182"/>
      <c r="BG915" s="182"/>
      <c r="BH915" s="182"/>
      <c r="BI915" s="182"/>
      <c r="BJ915" s="182"/>
      <c r="BK915" s="182"/>
      <c r="BL915" s="182"/>
      <c r="BM915" s="182"/>
      <c r="BN915" s="182"/>
      <c r="BO915" s="182"/>
      <c r="BP915" s="182"/>
      <c r="BQ915" s="182"/>
      <c r="BR915" s="182"/>
      <c r="BS915" s="182"/>
    </row>
    <row r="916" spans="1:71" ht="15.9" customHeight="1" x14ac:dyDescent="0.3">
      <c r="A916" s="17" t="s">
        <v>2680</v>
      </c>
      <c r="B916" s="17" t="s">
        <v>2615</v>
      </c>
      <c r="C916" s="174">
        <v>44797</v>
      </c>
      <c r="D916" s="5" t="s">
        <v>285</v>
      </c>
      <c r="E916" s="5" t="s">
        <v>286</v>
      </c>
      <c r="F916" s="175" t="s">
        <v>2681</v>
      </c>
      <c r="G916" s="15" t="s">
        <v>346</v>
      </c>
      <c r="H916" s="176" t="s">
        <v>341</v>
      </c>
      <c r="I916" s="175" t="s">
        <v>2688</v>
      </c>
      <c r="J916" s="113" t="str">
        <f>VLOOKUP($I916,'Price List, Weapons &amp; Items'!B:C,2,0)</f>
        <v>Humanitarian</v>
      </c>
      <c r="K916" s="113" t="str">
        <f>IF(I916=".",I916,VLOOKUP($I916,'Price List, Weapons &amp; Items'!B:D,3,0))</f>
        <v>Humanitarian</v>
      </c>
      <c r="L916" s="177">
        <f>VLOOKUP(I916,'Price List, Weapons &amp; Items'!B:E,4,0)</f>
        <v>0</v>
      </c>
      <c r="M916" s="542">
        <v>1000</v>
      </c>
      <c r="N916" s="542" t="s">
        <v>270</v>
      </c>
      <c r="O916" s="543">
        <f>VLOOKUP($I916,'Price List, Weapons &amp; Items'!B:G,6,0)</f>
        <v>2380.9523809523807</v>
      </c>
      <c r="P916" s="176">
        <f t="shared" si="176"/>
        <v>2380952.3809523806</v>
      </c>
      <c r="Q916" s="176" t="str">
        <f t="shared" si="177"/>
        <v>.</v>
      </c>
      <c r="R916" s="176" t="str">
        <f t="shared" si="174"/>
        <v/>
      </c>
      <c r="S916" s="176" t="str">
        <f>IF(AND(AD916=1,R916&lt;&gt;".")=TRUE,R916/VLOOKUP(G916,'Exchange Rates'!B:C,2,0),IF(R916=".",".",""))</f>
        <v/>
      </c>
      <c r="T916" s="176" t="str">
        <f>IF(AD916=1,IF(AF916="Value is not given at all",".",IF(AF916="Value is given by the source",S916,IF(AF916="Value is calculated with prices",(IF(SUMIFS(Q:Q,A:A,A916)&gt;0,SUMIFS(Q:Q,A:A,A916),"."))/VLOOKUP("USD",'Exchange Rates'!B:C,2,0),"Error with coding"))),"")</f>
        <v/>
      </c>
      <c r="U916" s="177" t="s">
        <v>415</v>
      </c>
      <c r="V916" s="546" t="s">
        <v>2682</v>
      </c>
      <c r="W916" s="556" t="s">
        <v>2683</v>
      </c>
      <c r="X916" s="304" t="s">
        <v>2684</v>
      </c>
      <c r="Y916" s="582" t="s">
        <v>2685</v>
      </c>
      <c r="Z916" s="177">
        <v>0</v>
      </c>
      <c r="AA916" s="180">
        <v>0</v>
      </c>
      <c r="AB916" s="576" t="s">
        <v>2686</v>
      </c>
      <c r="AC916" s="544" t="str">
        <f>""</f>
        <v/>
      </c>
      <c r="AD916" s="183">
        <v>0</v>
      </c>
      <c r="AE916" s="183" t="s">
        <v>332</v>
      </c>
      <c r="AF916" s="183" t="s">
        <v>332</v>
      </c>
      <c r="AG916" s="183">
        <v>1</v>
      </c>
      <c r="AH916" s="181">
        <v>8</v>
      </c>
      <c r="AI916" s="181">
        <v>0</v>
      </c>
      <c r="AJ916" s="181">
        <f>VLOOKUP($I916,'Price List, Weapons &amp; Items'!B:F,5,0)</f>
        <v>0</v>
      </c>
      <c r="AK916" s="181">
        <f t="shared" si="178"/>
        <v>0</v>
      </c>
      <c r="AL916" s="181">
        <f t="shared" si="179"/>
        <v>0</v>
      </c>
      <c r="AM916" s="181">
        <f t="shared" si="180"/>
        <v>0</v>
      </c>
      <c r="AN916" s="180" t="str">
        <f>VLOOKUP($I916,'Price List, Weapons &amp; Items'!B:L,COLUMN('Price List, Weapons &amp; Items'!$J$11)-1,0)</f>
        <v>Media reports (incl. social media)</v>
      </c>
      <c r="AO916" s="180" t="str">
        <f>IF(I916=".",".",VLOOKUP($I916,'Price List, Weapons &amp; Items'!B:J,3,0))</f>
        <v>Humanitarian</v>
      </c>
      <c r="AP916" s="545" t="str">
        <f t="shared" ca="1" si="175"/>
        <v/>
      </c>
      <c r="AQ916" s="180">
        <f>VLOOKUP($I916,'Price List, Weapons &amp; Items'!B:L,COLUMN('Price List, Weapons &amp; Items'!$L$11)-1,0)</f>
        <v>0</v>
      </c>
      <c r="AR916" s="180">
        <f t="shared" si="181"/>
        <v>0</v>
      </c>
      <c r="AS916" s="180">
        <f t="shared" si="182"/>
        <v>1</v>
      </c>
      <c r="AT916" s="180">
        <f t="shared" si="183"/>
        <v>1</v>
      </c>
      <c r="AU916" s="180" t="str">
        <f t="shared" si="184"/>
        <v>.</v>
      </c>
      <c r="AV916" s="180" t="str">
        <f t="shared" si="185"/>
        <v>.</v>
      </c>
      <c r="AW916" s="180">
        <f>IFERROR(VLOOKUP(B916,'Share, Heavy Weapons to Ukraine'!B:J,COLUMN('Share, Heavy Weapons to Ukraine'!C929)-1,0),0)</f>
        <v>0</v>
      </c>
      <c r="AX916" s="180">
        <f>VLOOKUP('Bilateral Assistance, MAIN DATA'!B916,'Country Summary'!B:F,COLUMN('Country Summary'!C932)-1,FALSE)</f>
        <v>1</v>
      </c>
      <c r="AY916" s="180" t="str">
        <f>IF(AND(AD916=1,D916="Military",H916&lt;&gt;"Not given")=TRUE,IF(SUMIFS(P:P,A:A,A916)&gt;0,ABS((SUMIFS(P:P,A:A,A916)/VLOOKUP("USD",'Exchange Rates'!B:C,2,0)))/S916,"."),".")</f>
        <v>.</v>
      </c>
      <c r="AZ916" s="182" t="str">
        <f>IF(AND(AD916=1,D916="Military",H916&lt;&gt;"Not given")=TRUE,IF(SUMIFS(P:P,A:A,A916)&gt;0,IF((ABS((SUMIFS(P:P,A:A,A916)/VLOOKUP("USD",'Exchange Rates'!B:C,2,0)))/S916)&gt;1,(SUMIFS(P:P,A:A,A916)-S916)/S916,(S916-SUMIFS(P:P,A:A,A916))/SUMIFS(P:P,A:A,A916)),"."),".")</f>
        <v>.</v>
      </c>
      <c r="BA916" s="182"/>
      <c r="BB916" s="182"/>
      <c r="BC916" s="182"/>
      <c r="BD916" s="182"/>
      <c r="BE916" s="182"/>
      <c r="BF916" s="182"/>
      <c r="BG916" s="182"/>
      <c r="BH916" s="182"/>
      <c r="BI916" s="182"/>
      <c r="BJ916" s="182"/>
      <c r="BK916" s="182"/>
      <c r="BL916" s="182"/>
      <c r="BM916" s="182"/>
      <c r="BN916" s="182"/>
      <c r="BO916" s="182"/>
      <c r="BP916" s="182"/>
      <c r="BQ916" s="182"/>
      <c r="BR916" s="182"/>
      <c r="BS916" s="182"/>
    </row>
    <row r="917" spans="1:71" ht="15.9" customHeight="1" x14ac:dyDescent="0.3">
      <c r="A917" s="17" t="s">
        <v>2680</v>
      </c>
      <c r="B917" s="17" t="s">
        <v>2615</v>
      </c>
      <c r="C917" s="174">
        <v>44797</v>
      </c>
      <c r="D917" s="5" t="s">
        <v>285</v>
      </c>
      <c r="E917" s="5" t="s">
        <v>286</v>
      </c>
      <c r="F917" s="175" t="s">
        <v>2681</v>
      </c>
      <c r="G917" s="15" t="s">
        <v>346</v>
      </c>
      <c r="H917" s="176" t="s">
        <v>341</v>
      </c>
      <c r="I917" s="175" t="s">
        <v>453</v>
      </c>
      <c r="J917" s="113" t="str">
        <f>VLOOKUP($I917,'Price List, Weapons &amp; Items'!B:C,2,0)</f>
        <v>Military equipment</v>
      </c>
      <c r="K917" s="113" t="str">
        <f>IF(I917=".",I917,VLOOKUP($I917,'Price List, Weapons &amp; Items'!B:D,3,0))</f>
        <v>Military equipment</v>
      </c>
      <c r="L917" s="177">
        <f>VLOOKUP(I917,'Price List, Weapons &amp; Items'!B:E,4,0)</f>
        <v>0</v>
      </c>
      <c r="M917" s="542">
        <v>77000</v>
      </c>
      <c r="N917" s="542">
        <v>77000</v>
      </c>
      <c r="O917" s="543">
        <f>VLOOKUP($I917,'Price List, Weapons &amp; Items'!B:G,6,0)</f>
        <v>59.234999999999999</v>
      </c>
      <c r="P917" s="176">
        <f t="shared" si="176"/>
        <v>4561095</v>
      </c>
      <c r="Q917" s="176">
        <f t="shared" si="177"/>
        <v>4561095</v>
      </c>
      <c r="R917" s="176" t="str">
        <f t="shared" ref="R917:R980" si="186">IF(AD917=1,IF(H917&lt;&gt;"Not given",H917,IF(TYPE(H917)=2,IF(SUMIFS(P:P,A:A,A917)&gt;0,SUMIFS(P:P,A:A,A917),"."),"Format error")),"")</f>
        <v/>
      </c>
      <c r="S917" s="176" t="str">
        <f>IF(AND(AD917=1,R917&lt;&gt;".")=TRUE,R917/VLOOKUP(G917,'Exchange Rates'!B:C,2,0),IF(R917=".",".",""))</f>
        <v/>
      </c>
      <c r="T917" s="176" t="str">
        <f>IF(AD917=1,IF(AF917="Value is not given at all",".",IF(AF917="Value is given by the source",S917,IF(AF917="Value is calculated with prices",(IF(SUMIFS(Q:Q,A:A,A917)&gt;0,SUMIFS(Q:Q,A:A,A917),"."))/VLOOKUP("USD",'Exchange Rates'!B:C,2,0),"Error with coding"))),"")</f>
        <v/>
      </c>
      <c r="U917" s="177" t="s">
        <v>415</v>
      </c>
      <c r="V917" s="546" t="s">
        <v>2682</v>
      </c>
      <c r="W917" s="556" t="s">
        <v>2683</v>
      </c>
      <c r="X917" s="304" t="s">
        <v>2684</v>
      </c>
      <c r="Y917" s="582" t="s">
        <v>2685</v>
      </c>
      <c r="Z917" s="177">
        <v>0</v>
      </c>
      <c r="AA917" s="180">
        <v>0</v>
      </c>
      <c r="AB917" s="576" t="s">
        <v>2686</v>
      </c>
      <c r="AC917" s="544" t="str">
        <f>""</f>
        <v/>
      </c>
      <c r="AD917" s="183">
        <v>0</v>
      </c>
      <c r="AE917" s="183" t="s">
        <v>332</v>
      </c>
      <c r="AF917" s="183" t="s">
        <v>332</v>
      </c>
      <c r="AG917" s="183">
        <v>1</v>
      </c>
      <c r="AH917" s="181">
        <v>8</v>
      </c>
      <c r="AI917" s="181">
        <v>0</v>
      </c>
      <c r="AJ917" s="181">
        <f>VLOOKUP($I917,'Price List, Weapons &amp; Items'!B:F,5,0)</f>
        <v>0</v>
      </c>
      <c r="AK917" s="181">
        <f t="shared" si="178"/>
        <v>0</v>
      </c>
      <c r="AL917" s="181">
        <f t="shared" si="179"/>
        <v>0</v>
      </c>
      <c r="AM917" s="181">
        <f t="shared" si="180"/>
        <v>0</v>
      </c>
      <c r="AN917" s="180" t="str">
        <f>VLOOKUP($I917,'Price List, Weapons &amp; Items'!B:L,COLUMN('Price List, Weapons &amp; Items'!$J$11)-1,0)</f>
        <v>Government information</v>
      </c>
      <c r="AO917" s="180" t="str">
        <f>IF(I917=".",".",VLOOKUP($I917,'Price List, Weapons &amp; Items'!B:J,3,0))</f>
        <v>Military equipment</v>
      </c>
      <c r="AP917" s="545" t="str">
        <f t="shared" ref="AP917:AP980" ca="1" si="187">IF(AD917=1,_xlfn.ARRAYTOTEXT(OFFSET(I917,0,0,COUNTIF(A:A,A917),1)),"")</f>
        <v/>
      </c>
      <c r="AQ917" s="180">
        <f>VLOOKUP($I917,'Price List, Weapons &amp; Items'!B:L,COLUMN('Price List, Weapons &amp; Items'!$L$11)-1,0)</f>
        <v>2</v>
      </c>
      <c r="AR917" s="180">
        <f t="shared" si="181"/>
        <v>0</v>
      </c>
      <c r="AS917" s="180">
        <f t="shared" si="182"/>
        <v>1</v>
      </c>
      <c r="AT917" s="180">
        <f t="shared" si="183"/>
        <v>1</v>
      </c>
      <c r="AU917" s="180" t="str">
        <f t="shared" si="184"/>
        <v>.</v>
      </c>
      <c r="AV917" s="180" t="str">
        <f t="shared" si="185"/>
        <v>.</v>
      </c>
      <c r="AW917" s="180">
        <f>IFERROR(VLOOKUP(B917,'Share, Heavy Weapons to Ukraine'!B:J,COLUMN('Share, Heavy Weapons to Ukraine'!C930)-1,0),0)</f>
        <v>0</v>
      </c>
      <c r="AX917" s="180">
        <f>VLOOKUP('Bilateral Assistance, MAIN DATA'!B917,'Country Summary'!B:F,COLUMN('Country Summary'!C933)-1,FALSE)</f>
        <v>1</v>
      </c>
      <c r="AY917" s="180" t="str">
        <f>IF(AND(AD917=1,D917="Military",H917&lt;&gt;"Not given")=TRUE,IF(SUMIFS(P:P,A:A,A917)&gt;0,ABS((SUMIFS(P:P,A:A,A917)/VLOOKUP("USD",'Exchange Rates'!B:C,2,0)))/S917,"."),".")</f>
        <v>.</v>
      </c>
      <c r="AZ917" s="182" t="str">
        <f>IF(AND(AD917=1,D917="Military",H917&lt;&gt;"Not given")=TRUE,IF(SUMIFS(P:P,A:A,A917)&gt;0,IF((ABS((SUMIFS(P:P,A:A,A917)/VLOOKUP("USD",'Exchange Rates'!B:C,2,0)))/S917)&gt;1,(SUMIFS(P:P,A:A,A917)-S917)/S917,(S917-SUMIFS(P:P,A:A,A917))/SUMIFS(P:P,A:A,A917)),"."),".")</f>
        <v>.</v>
      </c>
      <c r="BA917" s="182"/>
      <c r="BB917" s="182"/>
      <c r="BC917" s="182"/>
      <c r="BD917" s="182"/>
      <c r="BE917" s="182"/>
      <c r="BF917" s="182"/>
      <c r="BG917" s="182"/>
      <c r="BH917" s="182"/>
      <c r="BI917" s="182"/>
      <c r="BJ917" s="182"/>
      <c r="BK917" s="182"/>
      <c r="BL917" s="182"/>
      <c r="BM917" s="182"/>
      <c r="BN917" s="182"/>
      <c r="BO917" s="182"/>
      <c r="BP917" s="182"/>
      <c r="BQ917" s="182"/>
      <c r="BR917" s="182"/>
      <c r="BS917" s="182"/>
    </row>
    <row r="918" spans="1:71" ht="15.9" customHeight="1" x14ac:dyDescent="0.3">
      <c r="A918" s="17" t="s">
        <v>2680</v>
      </c>
      <c r="B918" s="17" t="s">
        <v>2615</v>
      </c>
      <c r="C918" s="174">
        <v>44797</v>
      </c>
      <c r="D918" s="5" t="s">
        <v>285</v>
      </c>
      <c r="E918" s="5" t="s">
        <v>286</v>
      </c>
      <c r="F918" s="175" t="s">
        <v>2681</v>
      </c>
      <c r="G918" s="15" t="s">
        <v>346</v>
      </c>
      <c r="H918" s="176" t="s">
        <v>341</v>
      </c>
      <c r="I918" s="193" t="s">
        <v>2689</v>
      </c>
      <c r="J918" s="113" t="str">
        <f>VLOOKUP($I918,'Price List, Weapons &amp; Items'!B:C,2,0)</f>
        <v>Heavy weapon</v>
      </c>
      <c r="K918" s="113" t="str">
        <f>IF(I918=".",I918,VLOOKUP($I918,'Price List, Weapons &amp; Items'!B:D,3,0))</f>
        <v>Anti-aircraft surface-to-air missile (SAM) system (short-range)</v>
      </c>
      <c r="L918" s="177">
        <f>VLOOKUP(I918,'Price List, Weapons &amp; Items'!B:E,4,0)</f>
        <v>0</v>
      </c>
      <c r="M918" s="542" t="s">
        <v>270</v>
      </c>
      <c r="N918" s="542" t="s">
        <v>270</v>
      </c>
      <c r="O918" s="543">
        <f>VLOOKUP($I918,'Price List, Weapons &amp; Items'!B:G,6,0)</f>
        <v>325604.28000000003</v>
      </c>
      <c r="P918" s="176" t="str">
        <f t="shared" si="176"/>
        <v>.</v>
      </c>
      <c r="Q918" s="176" t="str">
        <f t="shared" si="177"/>
        <v>.</v>
      </c>
      <c r="R918" s="176" t="str">
        <f t="shared" si="186"/>
        <v/>
      </c>
      <c r="S918" s="176" t="str">
        <f>IF(AND(AD918=1,R918&lt;&gt;".")=TRUE,R918/VLOOKUP(G918,'Exchange Rates'!B:C,2,0),IF(R918=".",".",""))</f>
        <v/>
      </c>
      <c r="T918" s="176" t="str">
        <f>IF(AD918=1,IF(AF918="Value is not given at all",".",IF(AF918="Value is given by the source",S918,IF(AF918="Value is calculated with prices",(IF(SUMIFS(Q:Q,A:A,A918)&gt;0,SUMIFS(Q:Q,A:A,A918),"."))/VLOOKUP("USD",'Exchange Rates'!B:C,2,0),"Error with coding"))),"")</f>
        <v/>
      </c>
      <c r="U918" s="177" t="s">
        <v>415</v>
      </c>
      <c r="V918" s="546" t="s">
        <v>2682</v>
      </c>
      <c r="W918" s="556" t="s">
        <v>2683</v>
      </c>
      <c r="X918" s="304" t="s">
        <v>2684</v>
      </c>
      <c r="Y918" s="582" t="s">
        <v>2685</v>
      </c>
      <c r="Z918" s="177">
        <v>0</v>
      </c>
      <c r="AA918" s="180">
        <v>0</v>
      </c>
      <c r="AB918" s="576" t="s">
        <v>2686</v>
      </c>
      <c r="AC918" s="544" t="str">
        <f>""</f>
        <v/>
      </c>
      <c r="AD918" s="183">
        <v>0</v>
      </c>
      <c r="AE918" s="183" t="s">
        <v>332</v>
      </c>
      <c r="AF918" s="183" t="s">
        <v>332</v>
      </c>
      <c r="AG918" s="183">
        <v>1</v>
      </c>
      <c r="AH918" s="181">
        <v>8</v>
      </c>
      <c r="AI918" s="181">
        <v>0</v>
      </c>
      <c r="AJ918" s="181">
        <f>VLOOKUP($I918,'Price List, Weapons &amp; Items'!B:F,5,0)</f>
        <v>0</v>
      </c>
      <c r="AK918" s="181">
        <f t="shared" si="178"/>
        <v>0</v>
      </c>
      <c r="AL918" s="181">
        <f t="shared" si="179"/>
        <v>0</v>
      </c>
      <c r="AM918" s="181">
        <f t="shared" si="180"/>
        <v>0</v>
      </c>
      <c r="AN918" s="180" t="str">
        <f>VLOOKUP($I918,'Price List, Weapons &amp; Items'!B:L,COLUMN('Price List, Weapons &amp; Items'!$J$11)-1,0)</f>
        <v>Contracts</v>
      </c>
      <c r="AO918" s="180" t="str">
        <f>IF(I918=".",".",VLOOKUP($I918,'Price List, Weapons &amp; Items'!B:J,3,0))</f>
        <v>Anti-aircraft surface-to-air missile (SAM) system (short-range)</v>
      </c>
      <c r="AP918" s="545" t="str">
        <f t="shared" ca="1" si="187"/>
        <v/>
      </c>
      <c r="AQ918" s="180" t="str">
        <f>VLOOKUP($I918,'Price List, Weapons &amp; Items'!B:L,COLUMN('Price List, Weapons &amp; Items'!$L$11)-1,0)</f>
        <v>no price, 0 count</v>
      </c>
      <c r="AR918" s="180">
        <f t="shared" si="181"/>
        <v>0</v>
      </c>
      <c r="AS918" s="180">
        <f t="shared" si="182"/>
        <v>1</v>
      </c>
      <c r="AT918" s="180">
        <f t="shared" si="183"/>
        <v>1</v>
      </c>
      <c r="AU918" s="180" t="str">
        <f t="shared" si="184"/>
        <v>.</v>
      </c>
      <c r="AV918" s="180" t="str">
        <f t="shared" si="185"/>
        <v>.</v>
      </c>
      <c r="AW918" s="180">
        <f>IFERROR(VLOOKUP(B918,'Share, Heavy Weapons to Ukraine'!B:J,COLUMN('Share, Heavy Weapons to Ukraine'!C931)-1,0),0)</f>
        <v>0</v>
      </c>
      <c r="AX918" s="180">
        <f>VLOOKUP('Bilateral Assistance, MAIN DATA'!B918,'Country Summary'!B:F,COLUMN('Country Summary'!C934)-1,FALSE)</f>
        <v>1</v>
      </c>
      <c r="AY918" s="180" t="str">
        <f>IF(AND(AD918=1,D918="Military",H918&lt;&gt;"Not given")=TRUE,IF(SUMIFS(P:P,A:A,A918)&gt;0,ABS((SUMIFS(P:P,A:A,A918)/VLOOKUP("USD",'Exchange Rates'!B:C,2,0)))/S918,"."),".")</f>
        <v>.</v>
      </c>
      <c r="AZ918" s="182" t="str">
        <f>IF(AND(AD918=1,D918="Military",H918&lt;&gt;"Not given")=TRUE,IF(SUMIFS(P:P,A:A,A918)&gt;0,IF((ABS((SUMIFS(P:P,A:A,A918)/VLOOKUP("USD",'Exchange Rates'!B:C,2,0)))/S918)&gt;1,(SUMIFS(P:P,A:A,A918)-S918)/S918,(S918-SUMIFS(P:P,A:A,A918))/SUMIFS(P:P,A:A,A918)),"."),".")</f>
        <v>.</v>
      </c>
      <c r="BA918" s="182"/>
      <c r="BB918" s="182"/>
      <c r="BC918" s="182"/>
      <c r="BD918" s="182"/>
      <c r="BE918" s="182"/>
      <c r="BF918" s="182"/>
      <c r="BG918" s="182"/>
      <c r="BH918" s="182"/>
      <c r="BI918" s="182"/>
      <c r="BJ918" s="182"/>
      <c r="BK918" s="182"/>
      <c r="BL918" s="182"/>
      <c r="BM918" s="182"/>
      <c r="BN918" s="182"/>
      <c r="BO918" s="182"/>
      <c r="BP918" s="182"/>
      <c r="BQ918" s="182"/>
      <c r="BR918" s="182"/>
      <c r="BS918" s="182"/>
    </row>
    <row r="919" spans="1:71" ht="15.9" customHeight="1" x14ac:dyDescent="0.3">
      <c r="A919" s="17" t="s">
        <v>2690</v>
      </c>
      <c r="B919" s="17" t="s">
        <v>2615</v>
      </c>
      <c r="C919" s="174">
        <v>44840</v>
      </c>
      <c r="D919" s="5" t="s">
        <v>285</v>
      </c>
      <c r="E919" s="5" t="s">
        <v>286</v>
      </c>
      <c r="F919" s="175" t="s">
        <v>2691</v>
      </c>
      <c r="G919" s="15" t="s">
        <v>346</v>
      </c>
      <c r="H919" s="176" t="s">
        <v>341</v>
      </c>
      <c r="I919" s="175" t="s">
        <v>2692</v>
      </c>
      <c r="J919" s="113" t="str">
        <f>VLOOKUP($I919,'Price List, Weapons &amp; Items'!B:C,2,0)</f>
        <v>Military equipment</v>
      </c>
      <c r="K919" s="113" t="str">
        <f>IF(I919=".",I919,VLOOKUP($I919,'Price List, Weapons &amp; Items'!B:D,3,0))</f>
        <v>Armoured Utility Vehicle (AUV)</v>
      </c>
      <c r="L919" s="177">
        <f>VLOOKUP(I919,'Price List, Weapons &amp; Items'!B:E,4,0)</f>
        <v>0</v>
      </c>
      <c r="M919" s="542">
        <v>8</v>
      </c>
      <c r="N919" s="542">
        <v>8</v>
      </c>
      <c r="O919" s="543">
        <f>VLOOKUP($I919,'Price List, Weapons &amp; Items'!B:G,6,0)</f>
        <v>60000</v>
      </c>
      <c r="P919" s="176">
        <f t="shared" si="176"/>
        <v>480000</v>
      </c>
      <c r="Q919" s="176">
        <f t="shared" si="177"/>
        <v>480000</v>
      </c>
      <c r="R919" s="176">
        <f t="shared" si="186"/>
        <v>5429730</v>
      </c>
      <c r="S919" s="176">
        <f>IF(AND(AD919=1,R919&lt;&gt;".")=TRUE,R919/VLOOKUP(G919,'Exchange Rates'!B:C,2,0),IF(R919=".",".",""))</f>
        <v>5171171.4285714282</v>
      </c>
      <c r="T919" s="176">
        <f>IF(AD919=1,IF(AF919="Value is not given at all",".",IF(AF919="Value is given by the source",S919,IF(AF919="Value is calculated with prices",(IF(SUMIFS(Q:Q,A:A,A919)&gt;0,SUMIFS(Q:Q,A:A,A919),"."))/VLOOKUP("USD",'Exchange Rates'!B:C,2,0),"Error with coding"))),"")</f>
        <v>5171171.4285714282</v>
      </c>
      <c r="U919" s="177" t="s">
        <v>261</v>
      </c>
      <c r="V919" s="582" t="s">
        <v>2682</v>
      </c>
      <c r="W919" s="556" t="s">
        <v>2693</v>
      </c>
      <c r="X919" s="175" t="s">
        <v>260</v>
      </c>
      <c r="Y919" s="175" t="s">
        <v>260</v>
      </c>
      <c r="Z919" s="177">
        <v>0</v>
      </c>
      <c r="AA919" s="180">
        <v>0</v>
      </c>
      <c r="AB919" s="576" t="s">
        <v>2682</v>
      </c>
      <c r="AC919" s="544" t="str">
        <f>""</f>
        <v/>
      </c>
      <c r="AD919" s="183">
        <v>1</v>
      </c>
      <c r="AE919" s="183" t="s">
        <v>332</v>
      </c>
      <c r="AF919" s="183" t="s">
        <v>332</v>
      </c>
      <c r="AG919" s="183">
        <v>1</v>
      </c>
      <c r="AH919" s="181">
        <v>10</v>
      </c>
      <c r="AI919" s="181">
        <v>0</v>
      </c>
      <c r="AJ919" s="181">
        <f>VLOOKUP($I919,'Price List, Weapons &amp; Items'!B:F,5,0)</f>
        <v>1</v>
      </c>
      <c r="AK919" s="181">
        <f t="shared" si="178"/>
        <v>0</v>
      </c>
      <c r="AL919" s="181">
        <f t="shared" si="179"/>
        <v>0</v>
      </c>
      <c r="AM919" s="181">
        <f t="shared" si="180"/>
        <v>0</v>
      </c>
      <c r="AN919" s="180" t="str">
        <f>VLOOKUP($I919,'Price List, Weapons &amp; Items'!B:L,COLUMN('Price List, Weapons &amp; Items'!$J$11)-1,0)</f>
        <v>Media reports (incl. social media)</v>
      </c>
      <c r="AO919" s="180" t="str">
        <f>IF(I919=".",".",VLOOKUP($I919,'Price List, Weapons &amp; Items'!B:J,3,0))</f>
        <v>Armoured Utility Vehicle (AUV)</v>
      </c>
      <c r="AP919" s="545" t="e">
        <f t="shared" ca="1" si="187"/>
        <v>#NAME?</v>
      </c>
      <c r="AQ919" s="180">
        <f>VLOOKUP($I919,'Price List, Weapons &amp; Items'!B:L,COLUMN('Price List, Weapons &amp; Items'!$L$11)-1,0)</f>
        <v>1</v>
      </c>
      <c r="AR919" s="180">
        <f t="shared" si="181"/>
        <v>1</v>
      </c>
      <c r="AS919" s="180">
        <f t="shared" si="182"/>
        <v>1</v>
      </c>
      <c r="AT919" s="180">
        <f t="shared" si="183"/>
        <v>1</v>
      </c>
      <c r="AU919" s="180" t="str">
        <f t="shared" si="184"/>
        <v>.</v>
      </c>
      <c r="AV919" s="180" t="str">
        <f t="shared" si="185"/>
        <v>.</v>
      </c>
      <c r="AW919" s="180">
        <f>IFERROR(VLOOKUP(B919,'Share, Heavy Weapons to Ukraine'!B:J,COLUMN('Share, Heavy Weapons to Ukraine'!C932)-1,0),0)</f>
        <v>0</v>
      </c>
      <c r="AX919" s="180">
        <f>VLOOKUP('Bilateral Assistance, MAIN DATA'!B919,'Country Summary'!B:F,COLUMN('Country Summary'!C935)-1,FALSE)</f>
        <v>1</v>
      </c>
      <c r="AY919" s="180" t="str">
        <f>IF(AND(AD919=1,D919="Military",H919&lt;&gt;"Not given")=TRUE,IF(SUMIFS(P:P,A:A,A919)&gt;0,ABS((SUMIFS(P:P,A:A,A919)/VLOOKUP("USD",'Exchange Rates'!B:C,2,0)))/S919,"."),".")</f>
        <v>.</v>
      </c>
      <c r="AZ919" s="182" t="str">
        <f>IF(AND(AD919=1,D919="Military",H919&lt;&gt;"Not given")=TRUE,IF(SUMIFS(P:P,A:A,A919)&gt;0,IF((ABS((SUMIFS(P:P,A:A,A919)/VLOOKUP("USD",'Exchange Rates'!B:C,2,0)))/S919)&gt;1,(SUMIFS(P:P,A:A,A919)-S919)/S919,(S919-SUMIFS(P:P,A:A,A919))/SUMIFS(P:P,A:A,A919)),"."),".")</f>
        <v>.</v>
      </c>
      <c r="BA919" s="182"/>
      <c r="BB919" s="182"/>
      <c r="BC919" s="182"/>
      <c r="BD919" s="182"/>
      <c r="BE919" s="182"/>
      <c r="BF919" s="182"/>
      <c r="BG919" s="182"/>
      <c r="BH919" s="182"/>
      <c r="BI919" s="182"/>
      <c r="BJ919" s="182"/>
      <c r="BK919" s="182"/>
      <c r="BL919" s="182"/>
      <c r="BM919" s="182"/>
      <c r="BN919" s="182"/>
      <c r="BO919" s="182"/>
      <c r="BP919" s="182"/>
      <c r="BQ919" s="182"/>
      <c r="BR919" s="182"/>
      <c r="BS919" s="182"/>
    </row>
    <row r="920" spans="1:71" ht="15.9" customHeight="1" x14ac:dyDescent="0.3">
      <c r="A920" s="17" t="s">
        <v>2690</v>
      </c>
      <c r="B920" s="17" t="s">
        <v>2615</v>
      </c>
      <c r="C920" s="174">
        <v>44840</v>
      </c>
      <c r="D920" s="5" t="s">
        <v>285</v>
      </c>
      <c r="E920" s="5" t="s">
        <v>286</v>
      </c>
      <c r="F920" s="175" t="s">
        <v>2691</v>
      </c>
      <c r="G920" s="15" t="s">
        <v>346</v>
      </c>
      <c r="H920" s="176" t="s">
        <v>341</v>
      </c>
      <c r="I920" s="156" t="s">
        <v>1943</v>
      </c>
      <c r="J920" s="113" t="str">
        <f>VLOOKUP($I920,'Price List, Weapons &amp; Items'!B:C,2,0)</f>
        <v>Military equipment</v>
      </c>
      <c r="K920" s="113" t="str">
        <f>IF(I920=".",I920,VLOOKUP($I920,'Price List, Weapons &amp; Items'!B:D,3,0))</f>
        <v>Military equipment</v>
      </c>
      <c r="L920" s="177">
        <f>VLOOKUP(I920,'Price List, Weapons &amp; Items'!B:E,4,0)</f>
        <v>0</v>
      </c>
      <c r="M920" s="542">
        <v>9</v>
      </c>
      <c r="N920" s="542">
        <v>9</v>
      </c>
      <c r="O920" s="543">
        <f>VLOOKUP($I920,'Price List, Weapons &amp; Items'!B:G,6,0)</f>
        <v>350000</v>
      </c>
      <c r="P920" s="176">
        <f t="shared" si="176"/>
        <v>3150000</v>
      </c>
      <c r="Q920" s="176">
        <f t="shared" si="177"/>
        <v>3150000</v>
      </c>
      <c r="R920" s="176" t="str">
        <f t="shared" si="186"/>
        <v/>
      </c>
      <c r="S920" s="176" t="str">
        <f>IF(AND(AD920=1,R920&lt;&gt;".")=TRUE,R920/VLOOKUP(G920,'Exchange Rates'!B:C,2,0),IF(R920=".",".",""))</f>
        <v/>
      </c>
      <c r="T920" s="176" t="str">
        <f>IF(AD920=1,IF(AF920="Value is not given at all",".",IF(AF920="Value is given by the source",S920,IF(AF920="Value is calculated with prices",(IF(SUMIFS(Q:Q,A:A,A920)&gt;0,SUMIFS(Q:Q,A:A,A920),"."))/VLOOKUP("USD",'Exchange Rates'!B:C,2,0),"Error with coding"))),"")</f>
        <v/>
      </c>
      <c r="U920" s="177" t="s">
        <v>261</v>
      </c>
      <c r="V920" s="582" t="s">
        <v>2682</v>
      </c>
      <c r="W920" s="556" t="s">
        <v>2693</v>
      </c>
      <c r="X920" s="175" t="s">
        <v>260</v>
      </c>
      <c r="Y920" s="175" t="s">
        <v>260</v>
      </c>
      <c r="Z920" s="177">
        <v>0</v>
      </c>
      <c r="AA920" s="180">
        <v>0</v>
      </c>
      <c r="AB920" s="576" t="s">
        <v>2682</v>
      </c>
      <c r="AC920" s="544" t="str">
        <f>""</f>
        <v/>
      </c>
      <c r="AD920" s="183">
        <v>0</v>
      </c>
      <c r="AE920" s="183" t="s">
        <v>332</v>
      </c>
      <c r="AF920" s="183" t="s">
        <v>332</v>
      </c>
      <c r="AG920" s="183">
        <v>1</v>
      </c>
      <c r="AH920" s="181">
        <v>10</v>
      </c>
      <c r="AI920" s="181">
        <v>0</v>
      </c>
      <c r="AJ920" s="181">
        <f>VLOOKUP($I920,'Price List, Weapons &amp; Items'!B:F,5,0)</f>
        <v>0</v>
      </c>
      <c r="AK920" s="181">
        <f t="shared" si="178"/>
        <v>0</v>
      </c>
      <c r="AL920" s="181">
        <f t="shared" si="179"/>
        <v>0</v>
      </c>
      <c r="AM920" s="181">
        <f t="shared" si="180"/>
        <v>0</v>
      </c>
      <c r="AN920" s="180" t="str">
        <f>VLOOKUP($I920,'Price List, Weapons &amp; Items'!B:L,COLUMN('Price List, Weapons &amp; Items'!$J$11)-1,0)</f>
        <v>Media reports (incl. social media)</v>
      </c>
      <c r="AO920" s="180" t="str">
        <f>IF(I920=".",".",VLOOKUP($I920,'Price List, Weapons &amp; Items'!B:J,3,0))</f>
        <v>Military equipment</v>
      </c>
      <c r="AP920" s="545" t="str">
        <f t="shared" ca="1" si="187"/>
        <v/>
      </c>
      <c r="AQ920" s="180">
        <f>VLOOKUP($I920,'Price List, Weapons &amp; Items'!B:L,COLUMN('Price List, Weapons &amp; Items'!$L$11)-1,0)</f>
        <v>2</v>
      </c>
      <c r="AR920" s="180">
        <f t="shared" si="181"/>
        <v>1</v>
      </c>
      <c r="AS920" s="180">
        <f t="shared" si="182"/>
        <v>1</v>
      </c>
      <c r="AT920" s="180">
        <f t="shared" si="183"/>
        <v>1</v>
      </c>
      <c r="AU920" s="180" t="str">
        <f t="shared" si="184"/>
        <v>.</v>
      </c>
      <c r="AV920" s="180" t="str">
        <f t="shared" si="185"/>
        <v>.</v>
      </c>
      <c r="AW920" s="180">
        <f>IFERROR(VLOOKUP(B920,'Share, Heavy Weapons to Ukraine'!B:J,COLUMN('Share, Heavy Weapons to Ukraine'!C933)-1,0),0)</f>
        <v>0</v>
      </c>
      <c r="AX920" s="180">
        <f>VLOOKUP('Bilateral Assistance, MAIN DATA'!B920,'Country Summary'!B:F,COLUMN('Country Summary'!C936)-1,FALSE)</f>
        <v>1</v>
      </c>
      <c r="AY920" s="180" t="str">
        <f>IF(AND(AD920=1,D920="Military",H920&lt;&gt;"Not given")=TRUE,IF(SUMIFS(P:P,A:A,A920)&gt;0,ABS((SUMIFS(P:P,A:A,A920)/VLOOKUP("USD",'Exchange Rates'!B:C,2,0)))/S920,"."),".")</f>
        <v>.</v>
      </c>
      <c r="AZ920" s="182" t="str">
        <f>IF(AND(AD920=1,D920="Military",H920&lt;&gt;"Not given")=TRUE,IF(SUMIFS(P:P,A:A,A920)&gt;0,IF((ABS((SUMIFS(P:P,A:A,A920)/VLOOKUP("USD",'Exchange Rates'!B:C,2,0)))/S920)&gt;1,(SUMIFS(P:P,A:A,A920)-S920)/S920,(S920-SUMIFS(P:P,A:A,A920))/SUMIFS(P:P,A:A,A920)),"."),".")</f>
        <v>.</v>
      </c>
      <c r="BA920" s="182"/>
      <c r="BB920" s="182"/>
      <c r="BC920" s="182"/>
      <c r="BD920" s="182"/>
      <c r="BE920" s="182"/>
      <c r="BF920" s="182"/>
      <c r="BG920" s="182"/>
      <c r="BH920" s="182"/>
      <c r="BI920" s="182"/>
      <c r="BJ920" s="182"/>
      <c r="BK920" s="182"/>
      <c r="BL920" s="182"/>
      <c r="BM920" s="182"/>
      <c r="BN920" s="182"/>
      <c r="BO920" s="182"/>
      <c r="BP920" s="182"/>
      <c r="BQ920" s="182"/>
      <c r="BR920" s="182"/>
      <c r="BS920" s="182"/>
    </row>
    <row r="921" spans="1:71" ht="15.9" customHeight="1" x14ac:dyDescent="0.3">
      <c r="A921" s="17" t="s">
        <v>2690</v>
      </c>
      <c r="B921" s="17" t="s">
        <v>2615</v>
      </c>
      <c r="C921" s="174">
        <v>44840</v>
      </c>
      <c r="D921" s="5" t="s">
        <v>285</v>
      </c>
      <c r="E921" s="5" t="s">
        <v>286</v>
      </c>
      <c r="F921" s="175" t="s">
        <v>2691</v>
      </c>
      <c r="G921" s="15" t="s">
        <v>346</v>
      </c>
      <c r="H921" s="176" t="s">
        <v>341</v>
      </c>
      <c r="I921" s="156" t="s">
        <v>2656</v>
      </c>
      <c r="J921" s="113" t="str">
        <f>VLOOKUP($I921,'Price List, Weapons &amp; Items'!B:C,2,0)</f>
        <v>Humanitarian</v>
      </c>
      <c r="K921" s="113" t="str">
        <f>IF(I921=".",I921,VLOOKUP($I921,'Price List, Weapons &amp; Items'!B:D,3,0))</f>
        <v>Humanitarian</v>
      </c>
      <c r="L921" s="177">
        <f>VLOOKUP(I921,'Price List, Weapons &amp; Items'!B:E,4,0)</f>
        <v>0</v>
      </c>
      <c r="M921" s="542">
        <v>2</v>
      </c>
      <c r="N921" s="542">
        <v>2</v>
      </c>
      <c r="O921" s="543">
        <f>VLOOKUP($I921,'Price List, Weapons &amp; Items'!B:G,6,0)</f>
        <v>644000</v>
      </c>
      <c r="P921" s="176">
        <f t="shared" si="176"/>
        <v>1288000</v>
      </c>
      <c r="Q921" s="176">
        <f t="shared" si="177"/>
        <v>1288000</v>
      </c>
      <c r="R921" s="176" t="str">
        <f t="shared" si="186"/>
        <v/>
      </c>
      <c r="S921" s="176" t="str">
        <f>IF(AND(AD921=1,R921&lt;&gt;".")=TRUE,R921/VLOOKUP(G921,'Exchange Rates'!B:C,2,0),IF(R921=".",".",""))</f>
        <v/>
      </c>
      <c r="T921" s="176" t="str">
        <f>IF(AD921=1,IF(AF921="Value is not given at all",".",IF(AF921="Value is given by the source",S921,IF(AF921="Value is calculated with prices",(IF(SUMIFS(Q:Q,A:A,A921)&gt;0,SUMIFS(Q:Q,A:A,A921),"."))/VLOOKUP("USD",'Exchange Rates'!B:C,2,0),"Error with coding"))),"")</f>
        <v/>
      </c>
      <c r="U921" s="177" t="s">
        <v>261</v>
      </c>
      <c r="V921" s="582" t="s">
        <v>2682</v>
      </c>
      <c r="W921" s="556" t="s">
        <v>2693</v>
      </c>
      <c r="X921" s="175" t="s">
        <v>260</v>
      </c>
      <c r="Y921" s="175" t="s">
        <v>260</v>
      </c>
      <c r="Z921" s="177">
        <v>0</v>
      </c>
      <c r="AA921" s="180">
        <v>0</v>
      </c>
      <c r="AB921" s="576" t="s">
        <v>2682</v>
      </c>
      <c r="AC921" s="544" t="str">
        <f>""</f>
        <v/>
      </c>
      <c r="AD921" s="183">
        <v>0</v>
      </c>
      <c r="AE921" s="183" t="s">
        <v>332</v>
      </c>
      <c r="AF921" s="183" t="s">
        <v>332</v>
      </c>
      <c r="AG921" s="183">
        <v>1</v>
      </c>
      <c r="AH921" s="181">
        <v>10</v>
      </c>
      <c r="AI921" s="181">
        <v>0</v>
      </c>
      <c r="AJ921" s="181">
        <f>VLOOKUP($I921,'Price List, Weapons &amp; Items'!B:F,5,0)</f>
        <v>0</v>
      </c>
      <c r="AK921" s="181">
        <f t="shared" si="178"/>
        <v>0</v>
      </c>
      <c r="AL921" s="181">
        <f t="shared" si="179"/>
        <v>0</v>
      </c>
      <c r="AM921" s="181">
        <f t="shared" si="180"/>
        <v>0</v>
      </c>
      <c r="AN921" s="180" t="str">
        <f>VLOOKUP($I921,'Price List, Weapons &amp; Items'!B:L,COLUMN('Price List, Weapons &amp; Items'!$J$11)-1,0)</f>
        <v>Miscellaneous</v>
      </c>
      <c r="AO921" s="180" t="str">
        <f>IF(I921=".",".",VLOOKUP($I921,'Price List, Weapons &amp; Items'!B:J,3,0))</f>
        <v>Humanitarian</v>
      </c>
      <c r="AP921" s="545" t="str">
        <f t="shared" ca="1" si="187"/>
        <v/>
      </c>
      <c r="AQ921" s="180">
        <f>VLOOKUP($I921,'Price List, Weapons &amp; Items'!B:L,COLUMN('Price List, Weapons &amp; Items'!$L$11)-1,0)</f>
        <v>0</v>
      </c>
      <c r="AR921" s="180">
        <f t="shared" si="181"/>
        <v>1</v>
      </c>
      <c r="AS921" s="180">
        <f t="shared" si="182"/>
        <v>1</v>
      </c>
      <c r="AT921" s="180">
        <f t="shared" si="183"/>
        <v>1</v>
      </c>
      <c r="AU921" s="180" t="str">
        <f t="shared" si="184"/>
        <v>.</v>
      </c>
      <c r="AV921" s="180" t="str">
        <f t="shared" si="185"/>
        <v>.</v>
      </c>
      <c r="AW921" s="180">
        <f>IFERROR(VLOOKUP(B921,'Share, Heavy Weapons to Ukraine'!B:J,COLUMN('Share, Heavy Weapons to Ukraine'!C934)-1,0),0)</f>
        <v>0</v>
      </c>
      <c r="AX921" s="180">
        <f>VLOOKUP('Bilateral Assistance, MAIN DATA'!B921,'Country Summary'!B:F,COLUMN('Country Summary'!C937)-1,FALSE)</f>
        <v>1</v>
      </c>
      <c r="AY921" s="180" t="str">
        <f>IF(AND(AD921=1,D921="Military",H921&lt;&gt;"Not given")=TRUE,IF(SUMIFS(P:P,A:A,A921)&gt;0,ABS((SUMIFS(P:P,A:A,A921)/VLOOKUP("USD",'Exchange Rates'!B:C,2,0)))/S921,"."),".")</f>
        <v>.</v>
      </c>
      <c r="AZ921" s="182" t="str">
        <f>IF(AND(AD921=1,D921="Military",H921&lt;&gt;"Not given")=TRUE,IF(SUMIFS(P:P,A:A,A921)&gt;0,IF((ABS((SUMIFS(P:P,A:A,A921)/VLOOKUP("USD",'Exchange Rates'!B:C,2,0)))/S921)&gt;1,(SUMIFS(P:P,A:A,A921)-S921)/S921,(S921-SUMIFS(P:P,A:A,A921))/SUMIFS(P:P,A:A,A921)),"."),".")</f>
        <v>.</v>
      </c>
      <c r="BA921" s="182"/>
      <c r="BB921" s="182"/>
      <c r="BC921" s="182"/>
      <c r="BD921" s="182"/>
      <c r="BE921" s="182"/>
      <c r="BF921" s="182"/>
      <c r="BG921" s="182"/>
      <c r="BH921" s="182"/>
      <c r="BI921" s="182"/>
      <c r="BJ921" s="182"/>
      <c r="BK921" s="182"/>
      <c r="BL921" s="182"/>
      <c r="BM921" s="182"/>
      <c r="BN921" s="182"/>
      <c r="BO921" s="182"/>
      <c r="BP921" s="182"/>
      <c r="BQ921" s="182"/>
      <c r="BR921" s="182"/>
      <c r="BS921" s="182"/>
    </row>
    <row r="922" spans="1:71" ht="15.9" customHeight="1" x14ac:dyDescent="0.3">
      <c r="A922" s="17" t="s">
        <v>2690</v>
      </c>
      <c r="B922" s="17" t="s">
        <v>2615</v>
      </c>
      <c r="C922" s="174">
        <v>44840</v>
      </c>
      <c r="D922" s="5" t="s">
        <v>285</v>
      </c>
      <c r="E922" s="5" t="s">
        <v>286</v>
      </c>
      <c r="F922" s="175" t="s">
        <v>2691</v>
      </c>
      <c r="G922" s="15" t="s">
        <v>346</v>
      </c>
      <c r="H922" s="176" t="s">
        <v>341</v>
      </c>
      <c r="I922" s="156" t="s">
        <v>2667</v>
      </c>
      <c r="J922" s="113" t="str">
        <f>VLOOKUP($I922,'Price List, Weapons &amp; Items'!B:C,2,0)</f>
        <v>Military equipment</v>
      </c>
      <c r="K922" s="113" t="str">
        <f>IF(I922=".",I922,VLOOKUP($I922,'Price List, Weapons &amp; Items'!B:D,3,0))</f>
        <v>Armoured Utility Vehicle (AUV)</v>
      </c>
      <c r="L922" s="177">
        <f>VLOOKUP(I922,'Price List, Weapons &amp; Items'!B:E,4,0)</f>
        <v>0</v>
      </c>
      <c r="M922" s="542">
        <v>1</v>
      </c>
      <c r="N922" s="542">
        <v>1</v>
      </c>
      <c r="O922" s="543">
        <f>VLOOKUP($I922,'Price List, Weapons &amp; Items'!B:G,6,0)</f>
        <v>461730</v>
      </c>
      <c r="P922" s="176">
        <f t="shared" si="176"/>
        <v>461730</v>
      </c>
      <c r="Q922" s="176">
        <f t="shared" si="177"/>
        <v>461730</v>
      </c>
      <c r="R922" s="176" t="str">
        <f t="shared" si="186"/>
        <v/>
      </c>
      <c r="S922" s="176" t="str">
        <f>IF(AND(AD922=1,R922&lt;&gt;".")=TRUE,R922/VLOOKUP(G922,'Exchange Rates'!B:C,2,0),IF(R922=".",".",""))</f>
        <v/>
      </c>
      <c r="T922" s="176" t="str">
        <f>IF(AD922=1,IF(AF922="Value is not given at all",".",IF(AF922="Value is given by the source",S922,IF(AF922="Value is calculated with prices",(IF(SUMIFS(Q:Q,A:A,A922)&gt;0,SUMIFS(Q:Q,A:A,A922),"."))/VLOOKUP("USD",'Exchange Rates'!B:C,2,0),"Error with coding"))),"")</f>
        <v/>
      </c>
      <c r="U922" s="177" t="s">
        <v>261</v>
      </c>
      <c r="V922" s="582" t="s">
        <v>2682</v>
      </c>
      <c r="W922" s="556" t="s">
        <v>2693</v>
      </c>
      <c r="X922" s="175" t="s">
        <v>260</v>
      </c>
      <c r="Y922" s="175" t="s">
        <v>260</v>
      </c>
      <c r="Z922" s="177">
        <v>0</v>
      </c>
      <c r="AA922" s="180">
        <v>0</v>
      </c>
      <c r="AB922" s="576" t="s">
        <v>2682</v>
      </c>
      <c r="AC922" s="544" t="str">
        <f>""</f>
        <v/>
      </c>
      <c r="AD922" s="183">
        <v>0</v>
      </c>
      <c r="AE922" s="183" t="s">
        <v>332</v>
      </c>
      <c r="AF922" s="183" t="s">
        <v>332</v>
      </c>
      <c r="AG922" s="183">
        <v>1</v>
      </c>
      <c r="AH922" s="181">
        <v>10</v>
      </c>
      <c r="AI922" s="181">
        <v>0</v>
      </c>
      <c r="AJ922" s="181">
        <f>VLOOKUP($I922,'Price List, Weapons &amp; Items'!B:F,5,0)</f>
        <v>1</v>
      </c>
      <c r="AK922" s="181">
        <f t="shared" si="178"/>
        <v>0</v>
      </c>
      <c r="AL922" s="181">
        <f t="shared" si="179"/>
        <v>0</v>
      </c>
      <c r="AM922" s="181">
        <f t="shared" si="180"/>
        <v>0</v>
      </c>
      <c r="AN922" s="180" t="str">
        <f>VLOOKUP($I922,'Price List, Weapons &amp; Items'!B:L,COLUMN('Price List, Weapons &amp; Items'!$J$11)-1,0)</f>
        <v>Media reports (incl. social media)</v>
      </c>
      <c r="AO922" s="180" t="str">
        <f>IF(I922=".",".",VLOOKUP($I922,'Price List, Weapons &amp; Items'!B:J,3,0))</f>
        <v>Armoured Utility Vehicle (AUV)</v>
      </c>
      <c r="AP922" s="545" t="str">
        <f t="shared" ca="1" si="187"/>
        <v/>
      </c>
      <c r="AQ922" s="180">
        <f>VLOOKUP($I922,'Price List, Weapons &amp; Items'!B:L,COLUMN('Price List, Weapons &amp; Items'!$L$11)-1,0)</f>
        <v>2</v>
      </c>
      <c r="AR922" s="180">
        <f t="shared" si="181"/>
        <v>1</v>
      </c>
      <c r="AS922" s="180">
        <f t="shared" si="182"/>
        <v>1</v>
      </c>
      <c r="AT922" s="180">
        <f t="shared" si="183"/>
        <v>1</v>
      </c>
      <c r="AU922" s="180" t="str">
        <f t="shared" si="184"/>
        <v>.</v>
      </c>
      <c r="AV922" s="180" t="str">
        <f t="shared" si="185"/>
        <v>.</v>
      </c>
      <c r="AW922" s="180">
        <f>IFERROR(VLOOKUP(B922,'Share, Heavy Weapons to Ukraine'!B:J,COLUMN('Share, Heavy Weapons to Ukraine'!C935)-1,0),0)</f>
        <v>0</v>
      </c>
      <c r="AX922" s="180">
        <f>VLOOKUP('Bilateral Assistance, MAIN DATA'!B922,'Country Summary'!B:F,COLUMN('Country Summary'!C938)-1,FALSE)</f>
        <v>1</v>
      </c>
      <c r="AY922" s="180" t="str">
        <f>IF(AND(AD922=1,D922="Military",H922&lt;&gt;"Not given")=TRUE,IF(SUMIFS(P:P,A:A,A922)&gt;0,ABS((SUMIFS(P:P,A:A,A922)/VLOOKUP("USD",'Exchange Rates'!B:C,2,0)))/S922,"."),".")</f>
        <v>.</v>
      </c>
      <c r="AZ922" s="182" t="str">
        <f>IF(AND(AD922=1,D922="Military",H922&lt;&gt;"Not given")=TRUE,IF(SUMIFS(P:P,A:A,A922)&gt;0,IF((ABS((SUMIFS(P:P,A:A,A922)/VLOOKUP("USD",'Exchange Rates'!B:C,2,0)))/S922)&gt;1,(SUMIFS(P:P,A:A,A922)-S922)/S922,(S922-SUMIFS(P:P,A:A,A922))/SUMIFS(P:P,A:A,A922)),"."),".")</f>
        <v>.</v>
      </c>
      <c r="BA922" s="182"/>
      <c r="BB922" s="182"/>
      <c r="BC922" s="182"/>
      <c r="BD922" s="182"/>
      <c r="BE922" s="182"/>
      <c r="BF922" s="182"/>
      <c r="BG922" s="182"/>
      <c r="BH922" s="182"/>
      <c r="BI922" s="182"/>
      <c r="BJ922" s="182"/>
      <c r="BK922" s="182"/>
      <c r="BL922" s="182"/>
      <c r="BM922" s="182"/>
      <c r="BN922" s="182"/>
      <c r="BO922" s="182"/>
      <c r="BP922" s="182"/>
      <c r="BQ922" s="182"/>
      <c r="BR922" s="182"/>
      <c r="BS922" s="182"/>
    </row>
    <row r="923" spans="1:71" ht="15.9" customHeight="1" x14ac:dyDescent="0.3">
      <c r="A923" s="17" t="s">
        <v>2690</v>
      </c>
      <c r="B923" s="17" t="s">
        <v>2615</v>
      </c>
      <c r="C923" s="174">
        <v>44840</v>
      </c>
      <c r="D923" s="5" t="s">
        <v>285</v>
      </c>
      <c r="E923" s="5" t="s">
        <v>286</v>
      </c>
      <c r="F923" s="175" t="s">
        <v>2691</v>
      </c>
      <c r="G923" s="15" t="s">
        <v>346</v>
      </c>
      <c r="H923" s="176" t="s">
        <v>341</v>
      </c>
      <c r="I923" s="156" t="s">
        <v>1164</v>
      </c>
      <c r="J923" s="113" t="str">
        <f>VLOOKUP($I923,'Price List, Weapons &amp; Items'!B:C,2,0)</f>
        <v>Humanitarian</v>
      </c>
      <c r="K923" s="113" t="str">
        <f>IF(I923=".",I923,VLOOKUP($I923,'Price List, Weapons &amp; Items'!B:D,3,0))</f>
        <v>Humanitarian</v>
      </c>
      <c r="L923" s="177">
        <f>VLOOKUP(I923,'Price List, Weapons &amp; Items'!B:E,4,0)</f>
        <v>0</v>
      </c>
      <c r="M923" s="542">
        <v>5</v>
      </c>
      <c r="N923" s="542">
        <v>5</v>
      </c>
      <c r="O923" s="543">
        <f>VLOOKUP($I923,'Price List, Weapons &amp; Items'!B:G,6,0)</f>
        <v>10000</v>
      </c>
      <c r="P923" s="176">
        <f t="shared" si="176"/>
        <v>50000</v>
      </c>
      <c r="Q923" s="176">
        <f t="shared" si="177"/>
        <v>50000</v>
      </c>
      <c r="R923" s="176" t="str">
        <f t="shared" si="186"/>
        <v/>
      </c>
      <c r="S923" s="176" t="str">
        <f>IF(AND(AD923=1,R923&lt;&gt;".")=TRUE,R923/VLOOKUP(G923,'Exchange Rates'!B:C,2,0),IF(R923=".",".",""))</f>
        <v/>
      </c>
      <c r="T923" s="176" t="str">
        <f>IF(AD923=1,IF(AF923="Value is not given at all",".",IF(AF923="Value is given by the source",S923,IF(AF923="Value is calculated with prices",(IF(SUMIFS(Q:Q,A:A,A923)&gt;0,SUMIFS(Q:Q,A:A,A923),"."))/VLOOKUP("USD",'Exchange Rates'!B:C,2,0),"Error with coding"))),"")</f>
        <v/>
      </c>
      <c r="U923" s="177" t="s">
        <v>261</v>
      </c>
      <c r="V923" s="582" t="s">
        <v>2682</v>
      </c>
      <c r="W923" s="556" t="s">
        <v>2693</v>
      </c>
      <c r="X923" s="175" t="s">
        <v>260</v>
      </c>
      <c r="Y923" s="175" t="s">
        <v>260</v>
      </c>
      <c r="Z923" s="177">
        <v>0</v>
      </c>
      <c r="AA923" s="180">
        <v>0</v>
      </c>
      <c r="AB923" s="576" t="s">
        <v>2682</v>
      </c>
      <c r="AC923" s="544" t="str">
        <f>""</f>
        <v/>
      </c>
      <c r="AD923" s="183">
        <v>0</v>
      </c>
      <c r="AE923" s="183" t="s">
        <v>332</v>
      </c>
      <c r="AF923" s="183" t="s">
        <v>332</v>
      </c>
      <c r="AG923" s="183">
        <v>1</v>
      </c>
      <c r="AH923" s="181">
        <v>10</v>
      </c>
      <c r="AI923" s="181">
        <v>0</v>
      </c>
      <c r="AJ923" s="181">
        <f>VLOOKUP($I923,'Price List, Weapons &amp; Items'!B:F,5,0)</f>
        <v>0</v>
      </c>
      <c r="AK923" s="181">
        <f t="shared" si="178"/>
        <v>0</v>
      </c>
      <c r="AL923" s="181">
        <f t="shared" si="179"/>
        <v>0</v>
      </c>
      <c r="AM923" s="181">
        <f t="shared" si="180"/>
        <v>0</v>
      </c>
      <c r="AN923" s="180" t="str">
        <f>VLOOKUP($I923,'Price List, Weapons &amp; Items'!B:L,COLUMN('Price List, Weapons &amp; Items'!$J$11)-1,0)</f>
        <v>Miscellaneous</v>
      </c>
      <c r="AO923" s="180" t="str">
        <f>IF(I923=".",".",VLOOKUP($I923,'Price List, Weapons &amp; Items'!B:J,3,0))</f>
        <v>Humanitarian</v>
      </c>
      <c r="AP923" s="545" t="str">
        <f t="shared" ca="1" si="187"/>
        <v/>
      </c>
      <c r="AQ923" s="180">
        <f>VLOOKUP($I923,'Price List, Weapons &amp; Items'!B:L,COLUMN('Price List, Weapons &amp; Items'!$L$11)-1,0)</f>
        <v>0</v>
      </c>
      <c r="AR923" s="180">
        <f t="shared" si="181"/>
        <v>1</v>
      </c>
      <c r="AS923" s="180">
        <f t="shared" si="182"/>
        <v>1</v>
      </c>
      <c r="AT923" s="180">
        <f t="shared" si="183"/>
        <v>1</v>
      </c>
      <c r="AU923" s="180" t="str">
        <f t="shared" si="184"/>
        <v>.</v>
      </c>
      <c r="AV923" s="180" t="str">
        <f t="shared" si="185"/>
        <v>.</v>
      </c>
      <c r="AW923" s="180">
        <f>IFERROR(VLOOKUP(B923,'Share, Heavy Weapons to Ukraine'!B:J,COLUMN('Share, Heavy Weapons to Ukraine'!C936)-1,0),0)</f>
        <v>0</v>
      </c>
      <c r="AX923" s="180">
        <f>VLOOKUP('Bilateral Assistance, MAIN DATA'!B923,'Country Summary'!B:F,COLUMN('Country Summary'!C939)-1,FALSE)</f>
        <v>1</v>
      </c>
      <c r="AY923" s="180" t="str">
        <f>IF(AND(AD923=1,D923="Military",H923&lt;&gt;"Not given")=TRUE,IF(SUMIFS(P:P,A:A,A923)&gt;0,ABS((SUMIFS(P:P,A:A,A923)/VLOOKUP("USD",'Exchange Rates'!B:C,2,0)))/S923,"."),".")</f>
        <v>.</v>
      </c>
      <c r="AZ923" s="182" t="str">
        <f>IF(AND(AD923=1,D923="Military",H923&lt;&gt;"Not given")=TRUE,IF(SUMIFS(P:P,A:A,A923)&gt;0,IF((ABS((SUMIFS(P:P,A:A,A923)/VLOOKUP("USD",'Exchange Rates'!B:C,2,0)))/S923)&gt;1,(SUMIFS(P:P,A:A,A923)-S923)/S923,(S923-SUMIFS(P:P,A:A,A923))/SUMIFS(P:P,A:A,A923)),"."),".")</f>
        <v>.</v>
      </c>
      <c r="BA923" s="182"/>
      <c r="BB923" s="182"/>
      <c r="BC923" s="182"/>
      <c r="BD923" s="182"/>
      <c r="BE923" s="182"/>
      <c r="BF923" s="182"/>
      <c r="BG923" s="182"/>
      <c r="BH923" s="182"/>
      <c r="BI923" s="182"/>
      <c r="BJ923" s="182"/>
      <c r="BK923" s="182"/>
      <c r="BL923" s="182"/>
      <c r="BM923" s="182"/>
      <c r="BN923" s="182"/>
      <c r="BO923" s="182"/>
      <c r="BP923" s="182"/>
      <c r="BQ923" s="182"/>
      <c r="BR923" s="182"/>
      <c r="BS923" s="182"/>
    </row>
    <row r="924" spans="1:71" ht="15.9" customHeight="1" x14ac:dyDescent="0.3">
      <c r="A924" s="17" t="s">
        <v>2694</v>
      </c>
      <c r="B924" s="17" t="s">
        <v>2615</v>
      </c>
      <c r="C924" s="174">
        <v>44847</v>
      </c>
      <c r="D924" s="5" t="s">
        <v>285</v>
      </c>
      <c r="E924" s="5" t="s">
        <v>339</v>
      </c>
      <c r="F924" s="175" t="s">
        <v>2695</v>
      </c>
      <c r="G924" s="15" t="s">
        <v>346</v>
      </c>
      <c r="H924" s="176" t="s">
        <v>341</v>
      </c>
      <c r="I924" s="156" t="s">
        <v>2696</v>
      </c>
      <c r="J924" s="113" t="str">
        <f>VLOOKUP($I924,'Price List, Weapons &amp; Items'!B:C,2,0)</f>
        <v>Heavy weapon</v>
      </c>
      <c r="K924" s="113" t="str">
        <f>IF(I924=".",I924,VLOOKUP($I924,'Price List, Weapons &amp; Items'!B:D,3,0))</f>
        <v>Anti-aircraft surface-to-air missile (SAM) system (medium-range)</v>
      </c>
      <c r="L924" s="177">
        <f>VLOOKUP(I924,'Price List, Weapons &amp; Items'!B:E,4,0)</f>
        <v>0</v>
      </c>
      <c r="M924" s="542">
        <v>4</v>
      </c>
      <c r="N924" s="542">
        <v>4</v>
      </c>
      <c r="O924" s="543">
        <f>VLOOKUP($I924,'Price List, Weapons &amp; Items'!B:G,6,0)</f>
        <v>325604.28293370258</v>
      </c>
      <c r="P924" s="176">
        <f t="shared" si="176"/>
        <v>1302417.1317348103</v>
      </c>
      <c r="Q924" s="176">
        <f t="shared" si="177"/>
        <v>1302417.1317348103</v>
      </c>
      <c r="R924" s="176">
        <f t="shared" si="186"/>
        <v>1302417.1317348103</v>
      </c>
      <c r="S924" s="176">
        <f>IF(AND(AD924=1,R924&lt;&gt;".")=TRUE,R924/VLOOKUP(G924,'Exchange Rates'!B:C,2,0),IF(R924=".",".",""))</f>
        <v>1240397.2683188668</v>
      </c>
      <c r="T924" s="176">
        <f>IF(AD924=1,IF(AF924="Value is not given at all",".",IF(AF924="Value is given by the source",S924,IF(AF924="Value is calculated with prices",(IF(SUMIFS(Q:Q,A:A,A924)&gt;0,SUMIFS(Q:Q,A:A,A924),"."))/VLOOKUP("USD",'Exchange Rates'!B:C,2,0),"Error with coding"))),"")</f>
        <v>1240397.2683188668</v>
      </c>
      <c r="U924" s="177" t="s">
        <v>261</v>
      </c>
      <c r="V924" s="582" t="s">
        <v>2697</v>
      </c>
      <c r="W924" s="558" t="s">
        <v>2698</v>
      </c>
      <c r="X924" s="175" t="s">
        <v>260</v>
      </c>
      <c r="Y924" s="175" t="s">
        <v>260</v>
      </c>
      <c r="Z924" s="177">
        <v>0</v>
      </c>
      <c r="AA924" s="180">
        <v>0</v>
      </c>
      <c r="AB924" s="563" t="s">
        <v>2699</v>
      </c>
      <c r="AC924" s="544" t="str">
        <f>""</f>
        <v/>
      </c>
      <c r="AD924" s="183">
        <v>1</v>
      </c>
      <c r="AE924" s="183" t="s">
        <v>332</v>
      </c>
      <c r="AF924" s="183" t="s">
        <v>332</v>
      </c>
      <c r="AG924" s="183">
        <v>1</v>
      </c>
      <c r="AH924" s="181">
        <v>10</v>
      </c>
      <c r="AI924" s="181">
        <v>0</v>
      </c>
      <c r="AJ924" s="181">
        <f>VLOOKUP($I924,'Price List, Weapons &amp; Items'!B:F,5,0)</f>
        <v>0</v>
      </c>
      <c r="AK924" s="181">
        <f t="shared" si="178"/>
        <v>0</v>
      </c>
      <c r="AL924" s="181">
        <f t="shared" si="179"/>
        <v>0</v>
      </c>
      <c r="AM924" s="181">
        <f t="shared" si="180"/>
        <v>0</v>
      </c>
      <c r="AN924" s="180" t="str">
        <f>VLOOKUP($I924,'Price List, Weapons &amp; Items'!B:L,COLUMN('Price List, Weapons &amp; Items'!$J$11)-1,0)</f>
        <v>Contracts</v>
      </c>
      <c r="AO924" s="180" t="str">
        <f>IF(I924=".",".",VLOOKUP($I924,'Price List, Weapons &amp; Items'!B:J,3,0))</f>
        <v>Anti-aircraft surface-to-air missile (SAM) system (medium-range)</v>
      </c>
      <c r="AP924" s="545" t="e">
        <f t="shared" ca="1" si="187"/>
        <v>#NAME?</v>
      </c>
      <c r="AQ924" s="180">
        <f>VLOOKUP($I924,'Price List, Weapons &amp; Items'!B:L,COLUMN('Price List, Weapons &amp; Items'!$L$11)-1,0)</f>
        <v>2</v>
      </c>
      <c r="AR924" s="180">
        <f t="shared" si="181"/>
        <v>1</v>
      </c>
      <c r="AS924" s="180">
        <f t="shared" si="182"/>
        <v>1</v>
      </c>
      <c r="AT924" s="180">
        <f t="shared" si="183"/>
        <v>1</v>
      </c>
      <c r="AU924" s="180" t="str">
        <f t="shared" si="184"/>
        <v>.</v>
      </c>
      <c r="AV924" s="180" t="str">
        <f t="shared" si="185"/>
        <v>.</v>
      </c>
      <c r="AW924" s="180">
        <f>IFERROR(VLOOKUP(B924,'Share, Heavy Weapons to Ukraine'!B:J,COLUMN('Share, Heavy Weapons to Ukraine'!C937)-1,0),0)</f>
        <v>0</v>
      </c>
      <c r="AX924" s="180">
        <f>VLOOKUP('Bilateral Assistance, MAIN DATA'!B924,'Country Summary'!B:F,COLUMN('Country Summary'!C940)-1,FALSE)</f>
        <v>1</v>
      </c>
      <c r="AY924" s="180" t="str">
        <f>IF(AND(AD924=1,D924="Military",H924&lt;&gt;"Not given")=TRUE,IF(SUMIFS(P:P,A:A,A924)&gt;0,ABS((SUMIFS(P:P,A:A,A924)/VLOOKUP("USD",'Exchange Rates'!B:C,2,0)))/S924,"."),".")</f>
        <v>.</v>
      </c>
      <c r="AZ924" s="182" t="str">
        <f>IF(AND(AD924=1,D924="Military",H924&lt;&gt;"Not given")=TRUE,IF(SUMIFS(P:P,A:A,A924)&gt;0,IF((ABS((SUMIFS(P:P,A:A,A924)/VLOOKUP("USD",'Exchange Rates'!B:C,2,0)))/S924)&gt;1,(SUMIFS(P:P,A:A,A924)-S924)/S924,(S924-SUMIFS(P:P,A:A,A924))/SUMIFS(P:P,A:A,A924)),"."),".")</f>
        <v>.</v>
      </c>
      <c r="BA924" s="182"/>
      <c r="BB924" s="182"/>
      <c r="BC924" s="182"/>
      <c r="BD924" s="182"/>
      <c r="BE924" s="182"/>
      <c r="BF924" s="182"/>
      <c r="BG924" s="182"/>
      <c r="BH924" s="182"/>
      <c r="BI924" s="182"/>
      <c r="BJ924" s="182"/>
      <c r="BK924" s="182"/>
      <c r="BL924" s="182"/>
      <c r="BM924" s="182"/>
      <c r="BN924" s="182"/>
      <c r="BO924" s="182"/>
      <c r="BP924" s="182"/>
      <c r="BQ924" s="182"/>
      <c r="BR924" s="182"/>
      <c r="BS924" s="182"/>
    </row>
    <row r="925" spans="1:71" ht="15.9" customHeight="1" x14ac:dyDescent="0.3">
      <c r="A925" s="17" t="s">
        <v>2694</v>
      </c>
      <c r="B925" s="17" t="s">
        <v>2615</v>
      </c>
      <c r="C925" s="174">
        <v>44847</v>
      </c>
      <c r="D925" s="5" t="s">
        <v>285</v>
      </c>
      <c r="E925" s="5" t="s">
        <v>339</v>
      </c>
      <c r="F925" s="175" t="s">
        <v>2695</v>
      </c>
      <c r="G925" s="15" t="s">
        <v>346</v>
      </c>
      <c r="H925" s="176" t="s">
        <v>341</v>
      </c>
      <c r="I925" s="175" t="s">
        <v>2700</v>
      </c>
      <c r="J925" s="113" t="str">
        <f>VLOOKUP($I925,'Price List, Weapons &amp; Items'!B:C,2,0)</f>
        <v>Heavy weapon</v>
      </c>
      <c r="K925" s="113" t="str">
        <f>IF(I925=".",I925,VLOOKUP($I925,'Price List, Weapons &amp; Items'!B:D,3,0))</f>
        <v>Anti-aircraft surface-to-air missile (SAM) system (short-range)</v>
      </c>
      <c r="L925" s="177">
        <f>VLOOKUP(I925,'Price List, Weapons &amp; Items'!B:E,4,0)</f>
        <v>0</v>
      </c>
      <c r="M925" s="542" t="s">
        <v>270</v>
      </c>
      <c r="N925" s="542" t="s">
        <v>270</v>
      </c>
      <c r="O925" s="543" t="str">
        <f>VLOOKUP($I925,'Price List, Weapons &amp; Items'!B:G,6,0)</f>
        <v>.</v>
      </c>
      <c r="P925" s="176" t="str">
        <f t="shared" si="176"/>
        <v>.</v>
      </c>
      <c r="Q925" s="176" t="str">
        <f t="shared" si="177"/>
        <v>.</v>
      </c>
      <c r="R925" s="176" t="str">
        <f t="shared" si="186"/>
        <v/>
      </c>
      <c r="S925" s="176" t="str">
        <f>IF(AND(AD925=1,R925&lt;&gt;".")=TRUE,R925/VLOOKUP(G925,'Exchange Rates'!B:C,2,0),IF(R925=".",".",""))</f>
        <v/>
      </c>
      <c r="T925" s="176" t="str">
        <f>IF(AD925=1,IF(AF925="Value is not given at all",".",IF(AF925="Value is given by the source",S925,IF(AF925="Value is calculated with prices",(IF(SUMIFS(Q:Q,A:A,A925)&gt;0,SUMIFS(Q:Q,A:A,A925),"."))/VLOOKUP("USD",'Exchange Rates'!B:C,2,0),"Error with coding"))),"")</f>
        <v/>
      </c>
      <c r="U925" s="177" t="s">
        <v>261</v>
      </c>
      <c r="V925" s="582" t="s">
        <v>2697</v>
      </c>
      <c r="W925" s="558" t="s">
        <v>2698</v>
      </c>
      <c r="X925" s="689" t="s">
        <v>260</v>
      </c>
      <c r="Y925" s="175" t="s">
        <v>260</v>
      </c>
      <c r="Z925" s="177">
        <v>0</v>
      </c>
      <c r="AA925" s="180">
        <v>0</v>
      </c>
      <c r="AB925" s="563" t="s">
        <v>2699</v>
      </c>
      <c r="AC925" s="544" t="str">
        <f>""</f>
        <v/>
      </c>
      <c r="AD925" s="183">
        <v>0</v>
      </c>
      <c r="AE925" s="183" t="s">
        <v>332</v>
      </c>
      <c r="AF925" s="183" t="s">
        <v>332</v>
      </c>
      <c r="AG925" s="183">
        <v>1</v>
      </c>
      <c r="AH925" s="181">
        <v>10</v>
      </c>
      <c r="AI925" s="181">
        <v>0</v>
      </c>
      <c r="AJ925" s="181">
        <f>VLOOKUP($I925,'Price List, Weapons &amp; Items'!B:F,5,0)</f>
        <v>0</v>
      </c>
      <c r="AK925" s="181">
        <f t="shared" si="178"/>
        <v>0</v>
      </c>
      <c r="AL925" s="181">
        <f t="shared" si="179"/>
        <v>0</v>
      </c>
      <c r="AM925" s="181">
        <f t="shared" si="180"/>
        <v>0</v>
      </c>
      <c r="AN925" s="180" t="str">
        <f>VLOOKUP($I925,'Price List, Weapons &amp; Items'!B:L,COLUMN('Price List, Weapons &amp; Items'!$J$11)-1,0)</f>
        <v>.</v>
      </c>
      <c r="AO925" s="180" t="str">
        <f>IF(I925=".",".",VLOOKUP($I925,'Price List, Weapons &amp; Items'!B:J,3,0))</f>
        <v>Anti-aircraft surface-to-air missile (SAM) system (short-range)</v>
      </c>
      <c r="AP925" s="545" t="str">
        <f t="shared" ca="1" si="187"/>
        <v/>
      </c>
      <c r="AQ925" s="180" t="str">
        <f>VLOOKUP($I925,'Price List, Weapons &amp; Items'!B:L,COLUMN('Price List, Weapons &amp; Items'!$L$11)-1,0)</f>
        <v>no price, 0 count</v>
      </c>
      <c r="AR925" s="180">
        <f t="shared" si="181"/>
        <v>1</v>
      </c>
      <c r="AS925" s="180">
        <f t="shared" si="182"/>
        <v>1</v>
      </c>
      <c r="AT925" s="180">
        <f t="shared" si="183"/>
        <v>1</v>
      </c>
      <c r="AU925" s="180" t="str">
        <f t="shared" si="184"/>
        <v>.</v>
      </c>
      <c r="AV925" s="180" t="str">
        <f t="shared" si="185"/>
        <v>.</v>
      </c>
      <c r="AW925" s="180">
        <f>IFERROR(VLOOKUP(B925,'Share, Heavy Weapons to Ukraine'!B:J,COLUMN('Share, Heavy Weapons to Ukraine'!C938)-1,0),0)</f>
        <v>0</v>
      </c>
      <c r="AX925" s="180">
        <f>VLOOKUP('Bilateral Assistance, MAIN DATA'!B925,'Country Summary'!B:F,COLUMN('Country Summary'!C941)-1,FALSE)</f>
        <v>1</v>
      </c>
      <c r="AY925" s="180" t="str">
        <f>IF(AND(AD925=1,D925="Military",H925&lt;&gt;"Not given")=TRUE,IF(SUMIFS(P:P,A:A,A925)&gt;0,ABS((SUMIFS(P:P,A:A,A925)/VLOOKUP("USD",'Exchange Rates'!B:C,2,0)))/S925,"."),".")</f>
        <v>.</v>
      </c>
      <c r="AZ925" s="182" t="str">
        <f>IF(AND(AD925=1,D925="Military",H925&lt;&gt;"Not given")=TRUE,IF(SUMIFS(P:P,A:A,A925)&gt;0,IF((ABS((SUMIFS(P:P,A:A,A925)/VLOOKUP("USD",'Exchange Rates'!B:C,2,0)))/S925)&gt;1,(SUMIFS(P:P,A:A,A925)-S925)/S925,(S925-SUMIFS(P:P,A:A,A925))/SUMIFS(P:P,A:A,A925)),"."),".")</f>
        <v>.</v>
      </c>
      <c r="BA925" s="182"/>
      <c r="BB925" s="182"/>
      <c r="BC925" s="182"/>
      <c r="BD925" s="182"/>
      <c r="BE925" s="182"/>
      <c r="BF925" s="182"/>
      <c r="BG925" s="182"/>
      <c r="BH925" s="182"/>
      <c r="BI925" s="182"/>
      <c r="BJ925" s="182"/>
      <c r="BK925" s="182"/>
      <c r="BL925" s="182"/>
      <c r="BM925" s="182"/>
      <c r="BN925" s="182"/>
      <c r="BO925" s="182"/>
      <c r="BP925" s="182"/>
      <c r="BQ925" s="182"/>
      <c r="BR925" s="182"/>
      <c r="BS925" s="182"/>
    </row>
    <row r="926" spans="1:71" ht="15.9" customHeight="1" x14ac:dyDescent="0.3">
      <c r="A926" s="17" t="s">
        <v>2694</v>
      </c>
      <c r="B926" s="17" t="s">
        <v>2615</v>
      </c>
      <c r="C926" s="174">
        <v>44847</v>
      </c>
      <c r="D926" s="5" t="s">
        <v>285</v>
      </c>
      <c r="E926" s="5" t="s">
        <v>339</v>
      </c>
      <c r="F926" s="175" t="s">
        <v>2695</v>
      </c>
      <c r="G926" s="15" t="s">
        <v>346</v>
      </c>
      <c r="H926" s="176" t="s">
        <v>341</v>
      </c>
      <c r="I926" s="156" t="s">
        <v>2671</v>
      </c>
      <c r="J926" s="113" t="str">
        <f>VLOOKUP($I926,'Price List, Weapons &amp; Items'!B:C,2,0)</f>
        <v>Ammunition for heavy weapon</v>
      </c>
      <c r="K926" s="113" t="str">
        <f>IF(I926=".",I926,VLOOKUP($I926,'Price List, Weapons &amp; Items'!B:D,3,0))</f>
        <v>Anti-aircraft system ammunition</v>
      </c>
      <c r="L926" s="177">
        <f>VLOOKUP(I926,'Price List, Weapons &amp; Items'!B:E,4,0)</f>
        <v>0</v>
      </c>
      <c r="M926" s="542" t="s">
        <v>270</v>
      </c>
      <c r="N926" s="542" t="s">
        <v>270</v>
      </c>
      <c r="O926" s="543">
        <f>VLOOKUP($I926,'Price List, Weapons &amp; Items'!B:G,6,0)</f>
        <v>100000</v>
      </c>
      <c r="P926" s="176" t="str">
        <f t="shared" si="176"/>
        <v>.</v>
      </c>
      <c r="Q926" s="176" t="str">
        <f t="shared" si="177"/>
        <v>.</v>
      </c>
      <c r="R926" s="176" t="str">
        <f t="shared" si="186"/>
        <v/>
      </c>
      <c r="S926" s="176" t="str">
        <f>IF(AND(AD926=1,R926&lt;&gt;".")=TRUE,R926/VLOOKUP(G926,'Exchange Rates'!B:C,2,0),IF(R926=".",".",""))</f>
        <v/>
      </c>
      <c r="T926" s="176" t="str">
        <f>IF(AD926=1,IF(AF926="Value is not given at all",".",IF(AF926="Value is given by the source",S926,IF(AF926="Value is calculated with prices",(IF(SUMIFS(Q:Q,A:A,A926)&gt;0,SUMIFS(Q:Q,A:A,A926),"."))/VLOOKUP("USD",'Exchange Rates'!B:C,2,0),"Error with coding"))),"")</f>
        <v/>
      </c>
      <c r="U926" s="177" t="s">
        <v>261</v>
      </c>
      <c r="V926" s="582" t="s">
        <v>2697</v>
      </c>
      <c r="W926" s="558" t="s">
        <v>2698</v>
      </c>
      <c r="X926" s="175" t="s">
        <v>260</v>
      </c>
      <c r="Y926" s="175" t="s">
        <v>260</v>
      </c>
      <c r="Z926" s="177">
        <v>0</v>
      </c>
      <c r="AA926" s="180">
        <v>0</v>
      </c>
      <c r="AB926" s="563" t="s">
        <v>2699</v>
      </c>
      <c r="AC926" s="544" t="str">
        <f>""</f>
        <v/>
      </c>
      <c r="AD926" s="183">
        <v>0</v>
      </c>
      <c r="AE926" s="183" t="s">
        <v>332</v>
      </c>
      <c r="AF926" s="183" t="s">
        <v>332</v>
      </c>
      <c r="AG926" s="183">
        <v>1</v>
      </c>
      <c r="AH926" s="181">
        <v>10</v>
      </c>
      <c r="AI926" s="181">
        <v>0</v>
      </c>
      <c r="AJ926" s="181">
        <f>VLOOKUP($I926,'Price List, Weapons &amp; Items'!B:F,5,0)</f>
        <v>0</v>
      </c>
      <c r="AK926" s="181">
        <f t="shared" si="178"/>
        <v>0</v>
      </c>
      <c r="AL926" s="181">
        <f t="shared" si="179"/>
        <v>0</v>
      </c>
      <c r="AM926" s="181">
        <f t="shared" si="180"/>
        <v>0</v>
      </c>
      <c r="AN926" s="180" t="str">
        <f>VLOOKUP($I926,'Price List, Weapons &amp; Items'!B:L,COLUMN('Price List, Weapons &amp; Items'!$J$11)-1,0)</f>
        <v>Military media (incl. websites)</v>
      </c>
      <c r="AO926" s="180" t="str">
        <f>IF(I926=".",".",VLOOKUP($I926,'Price List, Weapons &amp; Items'!B:J,3,0))</f>
        <v>Anti-aircraft system ammunition</v>
      </c>
      <c r="AP926" s="545" t="str">
        <f t="shared" ca="1" si="187"/>
        <v/>
      </c>
      <c r="AQ926" s="180" t="str">
        <f>VLOOKUP($I926,'Price List, Weapons &amp; Items'!B:L,COLUMN('Price List, Weapons &amp; Items'!$L$11)-1,0)</f>
        <v>no price, 0 count</v>
      </c>
      <c r="AR926" s="180">
        <f t="shared" si="181"/>
        <v>1</v>
      </c>
      <c r="AS926" s="180">
        <f t="shared" si="182"/>
        <v>1</v>
      </c>
      <c r="AT926" s="180">
        <f t="shared" si="183"/>
        <v>1</v>
      </c>
      <c r="AU926" s="180" t="str">
        <f t="shared" si="184"/>
        <v>.</v>
      </c>
      <c r="AV926" s="180" t="str">
        <f t="shared" si="185"/>
        <v>.</v>
      </c>
      <c r="AW926" s="180">
        <f>IFERROR(VLOOKUP(B926,'Share, Heavy Weapons to Ukraine'!B:J,COLUMN('Share, Heavy Weapons to Ukraine'!C939)-1,0),0)</f>
        <v>0</v>
      </c>
      <c r="AX926" s="180">
        <f>VLOOKUP('Bilateral Assistance, MAIN DATA'!B926,'Country Summary'!B:F,COLUMN('Country Summary'!C942)-1,FALSE)</f>
        <v>1</v>
      </c>
      <c r="AY926" s="180" t="str">
        <f>IF(AND(AD926=1,D926="Military",H926&lt;&gt;"Not given")=TRUE,IF(SUMIFS(P:P,A:A,A926)&gt;0,ABS((SUMIFS(P:P,A:A,A926)/VLOOKUP("USD",'Exchange Rates'!B:C,2,0)))/S926,"."),".")</f>
        <v>.</v>
      </c>
      <c r="AZ926" s="182" t="str">
        <f>IF(AND(AD926=1,D926="Military",H926&lt;&gt;"Not given")=TRUE,IF(SUMIFS(P:P,A:A,A926)&gt;0,IF((ABS((SUMIFS(P:P,A:A,A926)/VLOOKUP("USD",'Exchange Rates'!B:C,2,0)))/S926)&gt;1,(SUMIFS(P:P,A:A,A926)-S926)/S926,(S926-SUMIFS(P:P,A:A,A926))/SUMIFS(P:P,A:A,A926)),"."),".")</f>
        <v>.</v>
      </c>
      <c r="BA926" s="182"/>
      <c r="BB926" s="182"/>
      <c r="BC926" s="182"/>
      <c r="BD926" s="182"/>
      <c r="BE926" s="182"/>
      <c r="BF926" s="182"/>
      <c r="BG926" s="182"/>
      <c r="BH926" s="182"/>
      <c r="BI926" s="182"/>
      <c r="BJ926" s="182"/>
      <c r="BK926" s="182"/>
      <c r="BL926" s="182"/>
      <c r="BM926" s="182"/>
      <c r="BN926" s="182"/>
      <c r="BO926" s="182"/>
      <c r="BP926" s="182"/>
      <c r="BQ926" s="182"/>
      <c r="BR926" s="182"/>
      <c r="BS926" s="182"/>
    </row>
    <row r="927" spans="1:71" ht="15.9" customHeight="1" x14ac:dyDescent="0.3">
      <c r="A927" s="17" t="s">
        <v>2701</v>
      </c>
      <c r="B927" s="17" t="s">
        <v>2615</v>
      </c>
      <c r="C927" s="174">
        <v>44867</v>
      </c>
      <c r="D927" s="5" t="s">
        <v>285</v>
      </c>
      <c r="E927" s="5" t="s">
        <v>339</v>
      </c>
      <c r="F927" s="175" t="s">
        <v>2702</v>
      </c>
      <c r="G927" s="15" t="s">
        <v>346</v>
      </c>
      <c r="H927" s="176" t="s">
        <v>341</v>
      </c>
      <c r="I927" s="156" t="s">
        <v>2696</v>
      </c>
      <c r="J927" s="113" t="str">
        <f>VLOOKUP($I927,'Price List, Weapons &amp; Items'!B:C,2,0)</f>
        <v>Heavy weapon</v>
      </c>
      <c r="K927" s="113" t="str">
        <f>IF(I927=".",I927,VLOOKUP($I927,'Price List, Weapons &amp; Items'!B:D,3,0))</f>
        <v>Anti-aircraft surface-to-air missile (SAM) system (medium-range)</v>
      </c>
      <c r="L927" s="177">
        <f>VLOOKUP(I927,'Price List, Weapons &amp; Items'!B:E,4,0)</f>
        <v>0</v>
      </c>
      <c r="M927" s="542">
        <v>2</v>
      </c>
      <c r="N927" s="542">
        <v>2</v>
      </c>
      <c r="O927" s="543">
        <f>VLOOKUP($I927,'Price List, Weapons &amp; Items'!B:G,6,0)</f>
        <v>325604.28293370258</v>
      </c>
      <c r="P927" s="176">
        <f t="shared" si="176"/>
        <v>651208.56586740515</v>
      </c>
      <c r="Q927" s="176">
        <f t="shared" si="177"/>
        <v>651208.56586740515</v>
      </c>
      <c r="R927" s="176">
        <f t="shared" si="186"/>
        <v>8931982.7219532821</v>
      </c>
      <c r="S927" s="176">
        <f>IF(AND(AD927=1,R927&lt;&gt;".")=TRUE,R927/VLOOKUP(G927,'Exchange Rates'!B:C,2,0),IF(R927=".",".",""))</f>
        <v>8506650.2113840785</v>
      </c>
      <c r="T927" s="176">
        <f>IF(AD927=1,IF(AF927="Value is not given at all",".",IF(AF927="Value is given by the source",S927,IF(AF927="Value is calculated with prices",(IF(SUMIFS(Q:Q,A:A,A927)&gt;0,SUMIFS(Q:Q,A:A,A927),"."))/VLOOKUP("USD",'Exchange Rates'!B:C,2,0),"Error with coding"))),"")</f>
        <v>620198.63415943342</v>
      </c>
      <c r="U927" s="177" t="s">
        <v>415</v>
      </c>
      <c r="V927" s="556" t="s">
        <v>2703</v>
      </c>
      <c r="W927" s="582" t="s">
        <v>2704</v>
      </c>
      <c r="X927" s="175" t="s">
        <v>260</v>
      </c>
      <c r="Y927" s="175" t="s">
        <v>260</v>
      </c>
      <c r="Z927" s="177">
        <v>0</v>
      </c>
      <c r="AA927" s="180">
        <v>0</v>
      </c>
      <c r="AB927" s="550" t="s">
        <v>2705</v>
      </c>
      <c r="AC927" s="544" t="str">
        <f>""</f>
        <v/>
      </c>
      <c r="AD927" s="183">
        <v>1</v>
      </c>
      <c r="AE927" s="183" t="s">
        <v>332</v>
      </c>
      <c r="AF927" s="183" t="s">
        <v>332</v>
      </c>
      <c r="AG927" s="183">
        <v>1</v>
      </c>
      <c r="AH927" s="181">
        <v>11</v>
      </c>
      <c r="AI927" s="181">
        <v>0</v>
      </c>
      <c r="AJ927" s="181">
        <f>VLOOKUP($I927,'Price List, Weapons &amp; Items'!B:F,5,0)</f>
        <v>0</v>
      </c>
      <c r="AK927" s="181">
        <f t="shared" si="178"/>
        <v>0</v>
      </c>
      <c r="AL927" s="181">
        <f t="shared" si="179"/>
        <v>0</v>
      </c>
      <c r="AM927" s="181">
        <f t="shared" si="180"/>
        <v>0</v>
      </c>
      <c r="AN927" s="180" t="str">
        <f>VLOOKUP($I927,'Price List, Weapons &amp; Items'!B:L,COLUMN('Price List, Weapons &amp; Items'!$J$11)-1,0)</f>
        <v>Contracts</v>
      </c>
      <c r="AO927" s="180" t="str">
        <f>IF(I927=".",".",VLOOKUP($I927,'Price List, Weapons &amp; Items'!B:J,3,0))</f>
        <v>Anti-aircraft surface-to-air missile (SAM) system (medium-range)</v>
      </c>
      <c r="AP927" s="545" t="e">
        <f t="shared" ca="1" si="187"/>
        <v>#NAME?</v>
      </c>
      <c r="AQ927" s="180">
        <f>VLOOKUP($I927,'Price List, Weapons &amp; Items'!B:L,COLUMN('Price List, Weapons &amp; Items'!$L$11)-1,0)</f>
        <v>2</v>
      </c>
      <c r="AR927" s="180">
        <f t="shared" si="181"/>
        <v>0</v>
      </c>
      <c r="AS927" s="180">
        <f t="shared" si="182"/>
        <v>1</v>
      </c>
      <c r="AT927" s="180">
        <f t="shared" si="183"/>
        <v>1</v>
      </c>
      <c r="AU927" s="180" t="str">
        <f t="shared" si="184"/>
        <v>.</v>
      </c>
      <c r="AV927" s="180" t="str">
        <f t="shared" si="185"/>
        <v>.</v>
      </c>
      <c r="AW927" s="180">
        <f>IFERROR(VLOOKUP(B927,'Share, Heavy Weapons to Ukraine'!B:J,COLUMN('Share, Heavy Weapons to Ukraine'!C940)-1,0),0)</f>
        <v>0</v>
      </c>
      <c r="AX927" s="180">
        <f>VLOOKUP('Bilateral Assistance, MAIN DATA'!B927,'Country Summary'!B:F,COLUMN('Country Summary'!C943)-1,FALSE)</f>
        <v>1</v>
      </c>
      <c r="AY927" s="180" t="str">
        <f>IF(AND(AD927=1,D927="Military",H927&lt;&gt;"Not given")=TRUE,IF(SUMIFS(P:P,A:A,A927)&gt;0,ABS((SUMIFS(P:P,A:A,A927)/VLOOKUP("USD",'Exchange Rates'!B:C,2,0)))/S927,"."),".")</f>
        <v>.</v>
      </c>
      <c r="AZ927" s="182" t="str">
        <f>IF(AND(AD927=1,D927="Military",H927&lt;&gt;"Not given")=TRUE,IF(SUMIFS(P:P,A:A,A927)&gt;0,IF((ABS((SUMIFS(P:P,A:A,A927)/VLOOKUP("USD",'Exchange Rates'!B:C,2,0)))/S927)&gt;1,(SUMIFS(P:P,A:A,A927)-S927)/S927,(S927-SUMIFS(P:P,A:A,A927))/SUMIFS(P:P,A:A,A927)),"."),".")</f>
        <v>.</v>
      </c>
      <c r="BA927" s="182"/>
      <c r="BB927" s="182"/>
      <c r="BC927" s="182"/>
      <c r="BD927" s="182"/>
      <c r="BE927" s="182"/>
      <c r="BF927" s="182"/>
      <c r="BG927" s="182"/>
      <c r="BH927" s="182"/>
      <c r="BI927" s="182"/>
      <c r="BJ927" s="182"/>
      <c r="BK927" s="182"/>
      <c r="BL927" s="182"/>
      <c r="BM927" s="182"/>
      <c r="BN927" s="182"/>
      <c r="BO927" s="182"/>
      <c r="BP927" s="182"/>
      <c r="BQ927" s="182"/>
      <c r="BR927" s="182"/>
      <c r="BS927" s="182"/>
    </row>
    <row r="928" spans="1:71" ht="15.9" customHeight="1" x14ac:dyDescent="0.3">
      <c r="A928" s="17" t="s">
        <v>2701</v>
      </c>
      <c r="B928" s="17" t="s">
        <v>2615</v>
      </c>
      <c r="C928" s="174">
        <v>44867</v>
      </c>
      <c r="D928" s="5" t="s">
        <v>285</v>
      </c>
      <c r="E928" s="5" t="s">
        <v>339</v>
      </c>
      <c r="F928" s="175" t="s">
        <v>2702</v>
      </c>
      <c r="G928" s="15" t="s">
        <v>346</v>
      </c>
      <c r="H928" s="176" t="s">
        <v>341</v>
      </c>
      <c r="I928" s="175" t="s">
        <v>2706</v>
      </c>
      <c r="J928" s="113" t="str">
        <f>VLOOKUP($I928,'Price List, Weapons &amp; Items'!B:C,2,0)</f>
        <v>Heavy weapon</v>
      </c>
      <c r="K928" s="113" t="str">
        <f>IF(I928=".",I928,VLOOKUP($I928,'Price List, Weapons &amp; Items'!B:D,3,0))</f>
        <v>105mm howitzer</v>
      </c>
      <c r="L928" s="177">
        <f>VLOOKUP(I928,'Price List, Weapons &amp; Items'!B:E,4,0)</f>
        <v>0</v>
      </c>
      <c r="M928" s="542">
        <v>6</v>
      </c>
      <c r="N928" s="542" t="s">
        <v>270</v>
      </c>
      <c r="O928" s="543">
        <f>VLOOKUP($I928,'Price List, Weapons &amp; Items'!B:G,6,0)</f>
        <v>1380129.0260143129</v>
      </c>
      <c r="P928" s="176">
        <f t="shared" si="176"/>
        <v>8280774.1560858767</v>
      </c>
      <c r="Q928" s="176" t="str">
        <f t="shared" si="177"/>
        <v>.</v>
      </c>
      <c r="R928" s="176" t="str">
        <f t="shared" si="186"/>
        <v/>
      </c>
      <c r="S928" s="176" t="str">
        <f>IF(AND(AD928=1,R928&lt;&gt;".")=TRUE,R928/VLOOKUP(G928,'Exchange Rates'!B:C,2,0),IF(R928=".",".",""))</f>
        <v/>
      </c>
      <c r="T928" s="176" t="str">
        <f>IF(AD928=1,IF(AF928="Value is not given at all",".",IF(AF928="Value is given by the source",S928,IF(AF928="Value is calculated with prices",(IF(SUMIFS(Q:Q,A:A,A928)&gt;0,SUMIFS(Q:Q,A:A,A928),"."))/VLOOKUP("USD",'Exchange Rates'!B:C,2,0),"Error with coding"))),"")</f>
        <v/>
      </c>
      <c r="U928" s="177" t="s">
        <v>415</v>
      </c>
      <c r="V928" s="556" t="s">
        <v>2703</v>
      </c>
      <c r="W928" s="582" t="s">
        <v>2704</v>
      </c>
      <c r="X928" s="175" t="s">
        <v>260</v>
      </c>
      <c r="Y928" s="175" t="s">
        <v>260</v>
      </c>
      <c r="Z928" s="177">
        <v>0</v>
      </c>
      <c r="AA928" s="180">
        <v>0</v>
      </c>
      <c r="AB928" s="550" t="s">
        <v>2705</v>
      </c>
      <c r="AC928" s="544" t="str">
        <f>""</f>
        <v/>
      </c>
      <c r="AD928" s="183">
        <v>0</v>
      </c>
      <c r="AE928" s="183" t="s">
        <v>332</v>
      </c>
      <c r="AF928" s="183" t="s">
        <v>332</v>
      </c>
      <c r="AG928" s="183">
        <v>1</v>
      </c>
      <c r="AH928" s="181">
        <v>11</v>
      </c>
      <c r="AI928" s="181">
        <v>0</v>
      </c>
      <c r="AJ928" s="181">
        <f>VLOOKUP($I928,'Price List, Weapons &amp; Items'!B:F,5,0)</f>
        <v>0</v>
      </c>
      <c r="AK928" s="181">
        <f t="shared" si="178"/>
        <v>0</v>
      </c>
      <c r="AL928" s="181">
        <f t="shared" si="179"/>
        <v>0</v>
      </c>
      <c r="AM928" s="181">
        <f t="shared" si="180"/>
        <v>0</v>
      </c>
      <c r="AN928" s="180" t="str">
        <f>VLOOKUP($I928,'Price List, Weapons &amp; Items'!B:L,COLUMN('Price List, Weapons &amp; Items'!$J$11)-1,0)</f>
        <v>.</v>
      </c>
      <c r="AO928" s="180" t="str">
        <f>IF(I928=".",".",VLOOKUP($I928,'Price List, Weapons &amp; Items'!B:J,3,0))</f>
        <v>105mm howitzer</v>
      </c>
      <c r="AP928" s="545" t="str">
        <f t="shared" ca="1" si="187"/>
        <v/>
      </c>
      <c r="AQ928" s="180">
        <f>VLOOKUP($I928,'Price List, Weapons &amp; Items'!B:L,COLUMN('Price List, Weapons &amp; Items'!$L$11)-1,0)</f>
        <v>2</v>
      </c>
      <c r="AR928" s="180">
        <f t="shared" si="181"/>
        <v>0</v>
      </c>
      <c r="AS928" s="180">
        <f t="shared" si="182"/>
        <v>1</v>
      </c>
      <c r="AT928" s="180">
        <f t="shared" si="183"/>
        <v>1</v>
      </c>
      <c r="AU928" s="180" t="str">
        <f t="shared" si="184"/>
        <v>.</v>
      </c>
      <c r="AV928" s="180" t="str">
        <f t="shared" si="185"/>
        <v>.</v>
      </c>
      <c r="AW928" s="180">
        <f>IFERROR(VLOOKUP(B928,'Share, Heavy Weapons to Ukraine'!B:J,COLUMN('Share, Heavy Weapons to Ukraine'!C941)-1,0),0)</f>
        <v>0</v>
      </c>
      <c r="AX928" s="180">
        <f>VLOOKUP('Bilateral Assistance, MAIN DATA'!B928,'Country Summary'!B:F,COLUMN('Country Summary'!C944)-1,FALSE)</f>
        <v>1</v>
      </c>
      <c r="AY928" s="180" t="str">
        <f>IF(AND(AD928=1,D928="Military",H928&lt;&gt;"Not given")=TRUE,IF(SUMIFS(P:P,A:A,A928)&gt;0,ABS((SUMIFS(P:P,A:A,A928)/VLOOKUP("USD",'Exchange Rates'!B:C,2,0)))/S928,"."),".")</f>
        <v>.</v>
      </c>
      <c r="AZ928" s="182" t="str">
        <f>IF(AND(AD928=1,D928="Military",H928&lt;&gt;"Not given")=TRUE,IF(SUMIFS(P:P,A:A,A928)&gt;0,IF((ABS((SUMIFS(P:P,A:A,A928)/VLOOKUP("USD",'Exchange Rates'!B:C,2,0)))/S928)&gt;1,(SUMIFS(P:P,A:A,A928)-S928)/S928,(S928-SUMIFS(P:P,A:A,A928))/SUMIFS(P:P,A:A,A928)),"."),".")</f>
        <v>.</v>
      </c>
      <c r="BA928" s="182"/>
      <c r="BB928" s="182"/>
      <c r="BC928" s="182"/>
      <c r="BD928" s="182"/>
      <c r="BE928" s="182"/>
      <c r="BF928" s="182"/>
      <c r="BG928" s="182"/>
      <c r="BH928" s="182"/>
      <c r="BI928" s="182"/>
      <c r="BJ928" s="182"/>
      <c r="BK928" s="182"/>
      <c r="BL928" s="182"/>
      <c r="BM928" s="182"/>
      <c r="BN928" s="182"/>
      <c r="BO928" s="182"/>
      <c r="BP928" s="182"/>
      <c r="BQ928" s="182"/>
      <c r="BR928" s="182"/>
      <c r="BS928" s="182"/>
    </row>
    <row r="929" spans="1:71" ht="15.9" customHeight="1" x14ac:dyDescent="0.3">
      <c r="A929" s="17" t="s">
        <v>2701</v>
      </c>
      <c r="B929" s="17" t="s">
        <v>2615</v>
      </c>
      <c r="C929" s="174">
        <v>44867</v>
      </c>
      <c r="D929" s="5" t="s">
        <v>285</v>
      </c>
      <c r="E929" s="5" t="s">
        <v>339</v>
      </c>
      <c r="F929" s="175" t="s">
        <v>2702</v>
      </c>
      <c r="G929" s="15" t="s">
        <v>346</v>
      </c>
      <c r="H929" s="176" t="s">
        <v>341</v>
      </c>
      <c r="I929" s="156" t="s">
        <v>704</v>
      </c>
      <c r="J929" s="113" t="str">
        <f>VLOOKUP($I929,'Price List, Weapons &amp; Items'!B:C,2,0)</f>
        <v>Humanitarian</v>
      </c>
      <c r="K929" s="113" t="str">
        <f>IF(I929=".",I929,VLOOKUP($I929,'Price List, Weapons &amp; Items'!B:D,3,0))</f>
        <v>Humanitarian</v>
      </c>
      <c r="L929" s="177">
        <f>VLOOKUP(I929,'Price List, Weapons &amp; Items'!B:E,4,0)</f>
        <v>0</v>
      </c>
      <c r="M929" s="542" t="s">
        <v>270</v>
      </c>
      <c r="N929" s="542" t="s">
        <v>270</v>
      </c>
      <c r="O929" s="543" t="str">
        <f>VLOOKUP($I929,'Price List, Weapons &amp; Items'!B:G,6,0)</f>
        <v>.</v>
      </c>
      <c r="P929" s="176" t="str">
        <f t="shared" si="176"/>
        <v>.</v>
      </c>
      <c r="Q929" s="176" t="str">
        <f t="shared" si="177"/>
        <v>.</v>
      </c>
      <c r="R929" s="176" t="str">
        <f t="shared" si="186"/>
        <v/>
      </c>
      <c r="S929" s="176" t="str">
        <f>IF(AND(AD929=1,R929&lt;&gt;".")=TRUE,R929/VLOOKUP(G929,'Exchange Rates'!B:C,2,0),IF(R929=".",".",""))</f>
        <v/>
      </c>
      <c r="T929" s="176" t="str">
        <f>IF(AD929=1,IF(AF929="Value is not given at all",".",IF(AF929="Value is given by the source",S929,IF(AF929="Value is calculated with prices",(IF(SUMIFS(Q:Q,A:A,A929)&gt;0,SUMIFS(Q:Q,A:A,A929),"."))/VLOOKUP("USD",'Exchange Rates'!B:C,2,0),"Error with coding"))),"")</f>
        <v/>
      </c>
      <c r="U929" s="177" t="s">
        <v>415</v>
      </c>
      <c r="V929" s="556" t="s">
        <v>2703</v>
      </c>
      <c r="W929" s="582" t="s">
        <v>2704</v>
      </c>
      <c r="X929" s="175" t="s">
        <v>260</v>
      </c>
      <c r="Y929" s="175" t="s">
        <v>260</v>
      </c>
      <c r="Z929" s="177">
        <v>0</v>
      </c>
      <c r="AA929" s="180">
        <v>0</v>
      </c>
      <c r="AB929" s="550" t="s">
        <v>2705</v>
      </c>
      <c r="AC929" s="544" t="str">
        <f>""</f>
        <v/>
      </c>
      <c r="AD929" s="183">
        <v>0</v>
      </c>
      <c r="AE929" s="183" t="s">
        <v>332</v>
      </c>
      <c r="AF929" s="183" t="s">
        <v>332</v>
      </c>
      <c r="AG929" s="183">
        <v>1</v>
      </c>
      <c r="AH929" s="181">
        <v>11</v>
      </c>
      <c r="AI929" s="181">
        <v>0</v>
      </c>
      <c r="AJ929" s="181">
        <f>VLOOKUP($I929,'Price List, Weapons &amp; Items'!B:F,5,0)</f>
        <v>0</v>
      </c>
      <c r="AK929" s="181">
        <f t="shared" si="178"/>
        <v>0</v>
      </c>
      <c r="AL929" s="181">
        <f t="shared" si="179"/>
        <v>0</v>
      </c>
      <c r="AM929" s="181">
        <f t="shared" si="180"/>
        <v>0</v>
      </c>
      <c r="AN929" s="180" t="str">
        <f>VLOOKUP($I929,'Price List, Weapons &amp; Items'!B:L,COLUMN('Price List, Weapons &amp; Items'!$J$11)-1,0)</f>
        <v>Media reports (incl. social media)</v>
      </c>
      <c r="AO929" s="180" t="str">
        <f>IF(I929=".",".",VLOOKUP($I929,'Price List, Weapons &amp; Items'!B:J,3,0))</f>
        <v>Humanitarian</v>
      </c>
      <c r="AP929" s="545" t="str">
        <f t="shared" ca="1" si="187"/>
        <v/>
      </c>
      <c r="AQ929" s="180">
        <f>VLOOKUP($I929,'Price List, Weapons &amp; Items'!B:L,COLUMN('Price List, Weapons &amp; Items'!$L$11)-1,0)</f>
        <v>0</v>
      </c>
      <c r="AR929" s="180">
        <f t="shared" si="181"/>
        <v>0</v>
      </c>
      <c r="AS929" s="180">
        <f t="shared" si="182"/>
        <v>1</v>
      </c>
      <c r="AT929" s="180">
        <f t="shared" si="183"/>
        <v>1</v>
      </c>
      <c r="AU929" s="180" t="str">
        <f t="shared" si="184"/>
        <v>.</v>
      </c>
      <c r="AV929" s="180" t="str">
        <f t="shared" si="185"/>
        <v>.</v>
      </c>
      <c r="AW929" s="180">
        <f>IFERROR(VLOOKUP(B929,'Share, Heavy Weapons to Ukraine'!B:J,COLUMN('Share, Heavy Weapons to Ukraine'!C942)-1,0),0)</f>
        <v>0</v>
      </c>
      <c r="AX929" s="180">
        <f>VLOOKUP('Bilateral Assistance, MAIN DATA'!B929,'Country Summary'!B:F,COLUMN('Country Summary'!C945)-1,FALSE)</f>
        <v>1</v>
      </c>
      <c r="AY929" s="180" t="str">
        <f>IF(AND(AD929=1,D929="Military",H929&lt;&gt;"Not given")=TRUE,IF(SUMIFS(P:P,A:A,A929)&gt;0,ABS((SUMIFS(P:P,A:A,A929)/VLOOKUP("USD",'Exchange Rates'!B:C,2,0)))/S929,"."),".")</f>
        <v>.</v>
      </c>
      <c r="AZ929" s="182" t="str">
        <f>IF(AND(AD929=1,D929="Military",H929&lt;&gt;"Not given")=TRUE,IF(SUMIFS(P:P,A:A,A929)&gt;0,IF((ABS((SUMIFS(P:P,A:A,A929)/VLOOKUP("USD",'Exchange Rates'!B:C,2,0)))/S929)&gt;1,(SUMIFS(P:P,A:A,A929)-S929)/S929,(S929-SUMIFS(P:P,A:A,A929))/SUMIFS(P:P,A:A,A929)),"."),".")</f>
        <v>.</v>
      </c>
      <c r="BA929" s="182"/>
      <c r="BB929" s="182"/>
      <c r="BC929" s="182"/>
      <c r="BD929" s="182"/>
      <c r="BE929" s="182"/>
      <c r="BF929" s="182"/>
      <c r="BG929" s="182"/>
      <c r="BH929" s="182"/>
      <c r="BI929" s="182"/>
      <c r="BJ929" s="182"/>
      <c r="BK929" s="182"/>
      <c r="BL929" s="182"/>
      <c r="BM929" s="182"/>
      <c r="BN929" s="182"/>
      <c r="BO929" s="182"/>
      <c r="BP929" s="182"/>
      <c r="BQ929" s="182"/>
      <c r="BR929" s="182"/>
      <c r="BS929" s="182"/>
    </row>
    <row r="930" spans="1:71" ht="15.9" customHeight="1" x14ac:dyDescent="0.3">
      <c r="A930" s="185" t="s">
        <v>2707</v>
      </c>
      <c r="B930" s="17" t="s">
        <v>2615</v>
      </c>
      <c r="C930" s="174">
        <v>44748</v>
      </c>
      <c r="D930" s="5" t="s">
        <v>405</v>
      </c>
      <c r="E930" s="5" t="s">
        <v>362</v>
      </c>
      <c r="F930" s="175" t="s">
        <v>2708</v>
      </c>
      <c r="G930" s="15" t="s">
        <v>364</v>
      </c>
      <c r="H930" s="176">
        <v>100000000</v>
      </c>
      <c r="I930" s="185" t="s">
        <v>260</v>
      </c>
      <c r="J930" s="113" t="str">
        <f>VLOOKUP($I930,'Price List, Weapons &amp; Items'!B:C,2,0)</f>
        <v>.</v>
      </c>
      <c r="K930" s="113" t="str">
        <f>IF(I930=".",I930,VLOOKUP($I930,'Price List, Weapons &amp; Items'!B:D,3,0))</f>
        <v>.</v>
      </c>
      <c r="L930" s="177">
        <f>VLOOKUP(I930,'Price List, Weapons &amp; Items'!B:E,4,0)</f>
        <v>0</v>
      </c>
      <c r="M930" s="187" t="s">
        <v>260</v>
      </c>
      <c r="N930" s="187" t="s">
        <v>260</v>
      </c>
      <c r="O930" s="543" t="str">
        <f>VLOOKUP($I930,'Price List, Weapons &amp; Items'!B:G,6,0)</f>
        <v>.</v>
      </c>
      <c r="P930" s="176" t="str">
        <f t="shared" si="176"/>
        <v>.</v>
      </c>
      <c r="Q930" s="176" t="str">
        <f t="shared" si="177"/>
        <v>.</v>
      </c>
      <c r="R930" s="176">
        <f t="shared" si="186"/>
        <v>100000000</v>
      </c>
      <c r="S930" s="176">
        <f>IF(AND(AD930=1,R930&lt;&gt;".")=TRUE,R930/VLOOKUP(G930,'Exchange Rates'!B:C,2,0),IF(R930=".",".",""))</f>
        <v>100000000</v>
      </c>
      <c r="T930" s="176">
        <f>IF(AD930=1,IF(AF930="Value is not given at all",".",IF(AF930="Value is given by the source",S930,IF(AF930="Value is calculated with prices",(IF(SUMIFS(Q:Q,A:A,A930)&gt;0,SUMIFS(Q:Q,A:A,A930),"."))/VLOOKUP("USD",'Exchange Rates'!B:C,2,0),"Error with coding"))),"")</f>
        <v>100000000</v>
      </c>
      <c r="U930" s="15" t="s">
        <v>415</v>
      </c>
      <c r="V930" s="300" t="s">
        <v>2640</v>
      </c>
      <c r="W930" s="300" t="s">
        <v>2641</v>
      </c>
      <c r="X930" s="175" t="s">
        <v>260</v>
      </c>
      <c r="Y930" s="175" t="s">
        <v>260</v>
      </c>
      <c r="Z930" s="15">
        <v>1</v>
      </c>
      <c r="AA930" s="180">
        <v>0</v>
      </c>
      <c r="AB930" s="17" t="s">
        <v>260</v>
      </c>
      <c r="AC930" s="544" t="str">
        <f>""</f>
        <v/>
      </c>
      <c r="AD930" s="183">
        <v>1</v>
      </c>
      <c r="AE930" s="183" t="s">
        <v>264</v>
      </c>
      <c r="AF930" s="183" t="s">
        <v>264</v>
      </c>
      <c r="AG930" s="183">
        <v>1</v>
      </c>
      <c r="AH930" s="181">
        <v>6</v>
      </c>
      <c r="AI930" s="181">
        <v>0</v>
      </c>
      <c r="AJ930" s="181">
        <f>VLOOKUP($I930,'Price List, Weapons &amp; Items'!B:F,5,0)</f>
        <v>0</v>
      </c>
      <c r="AK930" s="181">
        <f t="shared" si="178"/>
        <v>0</v>
      </c>
      <c r="AL930" s="181">
        <f t="shared" si="179"/>
        <v>0</v>
      </c>
      <c r="AM930" s="181">
        <f t="shared" si="180"/>
        <v>0</v>
      </c>
      <c r="AN930" s="180" t="str">
        <f>VLOOKUP($I930,'Price List, Weapons &amp; Items'!B:L,COLUMN('Price List, Weapons &amp; Items'!$J$11)-1,0)</f>
        <v>.</v>
      </c>
      <c r="AO930" s="180" t="str">
        <f>IF(I930=".",".",VLOOKUP($I930,'Price List, Weapons &amp; Items'!B:J,3,0))</f>
        <v>.</v>
      </c>
      <c r="AP930" s="545" t="e">
        <f t="shared" ca="1" si="187"/>
        <v>#NAME?</v>
      </c>
      <c r="AQ930" s="180" t="str">
        <f>VLOOKUP($I930,'Price List, Weapons &amp; Items'!B:L,COLUMN('Price List, Weapons &amp; Items'!$L$11)-1,0)</f>
        <v>no price, 0 count</v>
      </c>
      <c r="AR930" s="180">
        <f t="shared" si="181"/>
        <v>0</v>
      </c>
      <c r="AS930" s="180">
        <f t="shared" si="182"/>
        <v>0</v>
      </c>
      <c r="AT930" s="180">
        <f t="shared" si="183"/>
        <v>1</v>
      </c>
      <c r="AU930" s="180" t="str">
        <f t="shared" si="184"/>
        <v>.</v>
      </c>
      <c r="AV930" s="180" t="str">
        <f t="shared" si="185"/>
        <v>.</v>
      </c>
      <c r="AW930" s="180">
        <f>IFERROR(VLOOKUP(B930,'Share, Heavy Weapons to Ukraine'!B:J,COLUMN('Share, Heavy Weapons to Ukraine'!C943)-1,0),0)</f>
        <v>0</v>
      </c>
      <c r="AX930" s="180">
        <f>VLOOKUP('Bilateral Assistance, MAIN DATA'!B930,'Country Summary'!B:F,COLUMN('Country Summary'!C946)-1,FALSE)</f>
        <v>1</v>
      </c>
      <c r="AY930" s="180" t="str">
        <f>IF(AND(AD930=1,D930="Military",H930&lt;&gt;"Not given")=TRUE,IF(SUMIFS(P:P,A:A,A930)&gt;0,ABS((SUMIFS(P:P,A:A,A930)/VLOOKUP("USD",'Exchange Rates'!B:C,2,0)))/S930,"."),".")</f>
        <v>.</v>
      </c>
      <c r="AZ930" s="182" t="str">
        <f>IF(AND(AD930=1,D930="Military",H930&lt;&gt;"Not given")=TRUE,IF(SUMIFS(P:P,A:A,A930)&gt;0,IF((ABS((SUMIFS(P:P,A:A,A930)/VLOOKUP("USD",'Exchange Rates'!B:C,2,0)))/S930)&gt;1,(SUMIFS(P:P,A:A,A930)-S930)/S930,(S930-SUMIFS(P:P,A:A,A930))/SUMIFS(P:P,A:A,A930)),"."),".")</f>
        <v>.</v>
      </c>
      <c r="BA930" s="182"/>
      <c r="BB930" s="182"/>
      <c r="BC930" s="182"/>
      <c r="BD930" s="182"/>
      <c r="BE930" s="182"/>
      <c r="BF930" s="182"/>
      <c r="BG930" s="182"/>
      <c r="BH930" s="182"/>
      <c r="BI930" s="182"/>
      <c r="BJ930" s="182"/>
      <c r="BK930" s="182"/>
      <c r="BL930" s="182"/>
      <c r="BM930" s="182"/>
      <c r="BN930" s="182"/>
      <c r="BO930" s="182"/>
      <c r="BP930" s="182"/>
      <c r="BQ930" s="182"/>
      <c r="BR930" s="182"/>
      <c r="BS930" s="182"/>
    </row>
    <row r="931" spans="1:71" ht="15.9" customHeight="1" x14ac:dyDescent="0.3">
      <c r="A931" s="185" t="s">
        <v>2709</v>
      </c>
      <c r="B931" s="17" t="s">
        <v>2615</v>
      </c>
      <c r="C931" s="174">
        <v>44748</v>
      </c>
      <c r="D931" s="5" t="s">
        <v>405</v>
      </c>
      <c r="E931" s="5" t="s">
        <v>376</v>
      </c>
      <c r="F931" s="175" t="s">
        <v>2710</v>
      </c>
      <c r="G931" s="15" t="s">
        <v>364</v>
      </c>
      <c r="H931" s="176">
        <v>100000000</v>
      </c>
      <c r="I931" s="185" t="s">
        <v>260</v>
      </c>
      <c r="J931" s="113" t="str">
        <f>VLOOKUP($I931,'Price List, Weapons &amp; Items'!B:C,2,0)</f>
        <v>.</v>
      </c>
      <c r="K931" s="113" t="str">
        <f>IF(I931=".",I931,VLOOKUP($I931,'Price List, Weapons &amp; Items'!B:D,3,0))</f>
        <v>.</v>
      </c>
      <c r="L931" s="177">
        <f>VLOOKUP(I931,'Price List, Weapons &amp; Items'!B:E,4,0)</f>
        <v>0</v>
      </c>
      <c r="M931" s="187" t="s">
        <v>260</v>
      </c>
      <c r="N931" s="187" t="s">
        <v>260</v>
      </c>
      <c r="O931" s="543" t="str">
        <f>VLOOKUP($I931,'Price List, Weapons &amp; Items'!B:G,6,0)</f>
        <v>.</v>
      </c>
      <c r="P931" s="176" t="str">
        <f t="shared" si="176"/>
        <v>.</v>
      </c>
      <c r="Q931" s="176" t="str">
        <f t="shared" si="177"/>
        <v>.</v>
      </c>
      <c r="R931" s="176">
        <f t="shared" si="186"/>
        <v>100000000</v>
      </c>
      <c r="S931" s="176">
        <f>IF(AND(AD931=1,R931&lt;&gt;".")=TRUE,R931/VLOOKUP(G931,'Exchange Rates'!B:C,2,0),IF(R931=".",".",""))</f>
        <v>100000000</v>
      </c>
      <c r="T931" s="176">
        <f>IF(AD931=1,IF(AF931="Value is not given at all",".",IF(AF931="Value is given by the source",S931,IF(AF931="Value is calculated with prices",(IF(SUMIFS(Q:Q,A:A,A931)&gt;0,SUMIFS(Q:Q,A:A,A931),"."))/VLOOKUP("USD",'Exchange Rates'!B:C,2,0),"Error with coding"))),"")</f>
        <v>100000000</v>
      </c>
      <c r="U931" s="15" t="s">
        <v>415</v>
      </c>
      <c r="V931" s="300" t="s">
        <v>2640</v>
      </c>
      <c r="W931" s="300" t="s">
        <v>2641</v>
      </c>
      <c r="X931" s="175" t="s">
        <v>260</v>
      </c>
      <c r="Y931" s="175" t="s">
        <v>260</v>
      </c>
      <c r="Z931" s="15">
        <v>0</v>
      </c>
      <c r="AA931" s="180">
        <v>0</v>
      </c>
      <c r="AB931" s="17" t="s">
        <v>260</v>
      </c>
      <c r="AC931" s="544" t="str">
        <f>""</f>
        <v/>
      </c>
      <c r="AD931" s="183">
        <v>1</v>
      </c>
      <c r="AE931" s="183" t="s">
        <v>264</v>
      </c>
      <c r="AF931" s="183" t="s">
        <v>264</v>
      </c>
      <c r="AG931" s="183">
        <v>1</v>
      </c>
      <c r="AH931" s="181">
        <v>6</v>
      </c>
      <c r="AI931" s="181">
        <v>0</v>
      </c>
      <c r="AJ931" s="181">
        <f>VLOOKUP($I931,'Price List, Weapons &amp; Items'!B:F,5,0)</f>
        <v>0</v>
      </c>
      <c r="AK931" s="181">
        <f t="shared" si="178"/>
        <v>0</v>
      </c>
      <c r="AL931" s="181">
        <f t="shared" si="179"/>
        <v>0</v>
      </c>
      <c r="AM931" s="181">
        <f t="shared" si="180"/>
        <v>0</v>
      </c>
      <c r="AN931" s="180" t="str">
        <f>VLOOKUP($I931,'Price List, Weapons &amp; Items'!B:L,COLUMN('Price List, Weapons &amp; Items'!$J$11)-1,0)</f>
        <v>.</v>
      </c>
      <c r="AO931" s="180" t="str">
        <f>IF(I931=".",".",VLOOKUP($I931,'Price List, Weapons &amp; Items'!B:J,3,0))</f>
        <v>.</v>
      </c>
      <c r="AP931" s="545" t="e">
        <f t="shared" ca="1" si="187"/>
        <v>#NAME?</v>
      </c>
      <c r="AQ931" s="180" t="str">
        <f>VLOOKUP($I931,'Price List, Weapons &amp; Items'!B:L,COLUMN('Price List, Weapons &amp; Items'!$L$11)-1,0)</f>
        <v>no price, 0 count</v>
      </c>
      <c r="AR931" s="180">
        <f t="shared" si="181"/>
        <v>0</v>
      </c>
      <c r="AS931" s="180">
        <f t="shared" si="182"/>
        <v>0</v>
      </c>
      <c r="AT931" s="180">
        <f t="shared" si="183"/>
        <v>1</v>
      </c>
      <c r="AU931" s="180" t="str">
        <f t="shared" si="184"/>
        <v>.</v>
      </c>
      <c r="AV931" s="180" t="str">
        <f t="shared" si="185"/>
        <v>.</v>
      </c>
      <c r="AW931" s="180">
        <f>IFERROR(VLOOKUP(B931,'Share, Heavy Weapons to Ukraine'!B:J,COLUMN('Share, Heavy Weapons to Ukraine'!C944)-1,0),0)</f>
        <v>0</v>
      </c>
      <c r="AX931" s="180">
        <f>VLOOKUP('Bilateral Assistance, MAIN DATA'!B931,'Country Summary'!B:F,COLUMN('Country Summary'!C947)-1,FALSE)</f>
        <v>1</v>
      </c>
      <c r="AY931" s="180" t="str">
        <f>IF(AND(AD931=1,D931="Military",H931&lt;&gt;"Not given")=TRUE,IF(SUMIFS(P:P,A:A,A931)&gt;0,ABS((SUMIFS(P:P,A:A,A931)/VLOOKUP("USD",'Exchange Rates'!B:C,2,0)))/S931,"."),".")</f>
        <v>.</v>
      </c>
      <c r="AZ931" s="182" t="str">
        <f>IF(AND(AD931=1,D931="Military",H931&lt;&gt;"Not given")=TRUE,IF(SUMIFS(P:P,A:A,A931)&gt;0,IF((ABS((SUMIFS(P:P,A:A,A931)/VLOOKUP("USD",'Exchange Rates'!B:C,2,0)))/S931)&gt;1,(SUMIFS(P:P,A:A,A931)-S931)/S931,(S931-SUMIFS(P:P,A:A,A931))/SUMIFS(P:P,A:A,A931)),"."),".")</f>
        <v>.</v>
      </c>
      <c r="BA931" s="182"/>
      <c r="BB931" s="182"/>
      <c r="BC931" s="182"/>
      <c r="BD931" s="182"/>
      <c r="BE931" s="182"/>
      <c r="BF931" s="182"/>
      <c r="BG931" s="182"/>
      <c r="BH931" s="182"/>
      <c r="BI931" s="182"/>
      <c r="BJ931" s="182"/>
      <c r="BK931" s="182"/>
      <c r="BL931" s="182"/>
      <c r="BM931" s="182"/>
      <c r="BN931" s="182"/>
      <c r="BO931" s="182"/>
      <c r="BP931" s="182"/>
      <c r="BQ931" s="182"/>
      <c r="BR931" s="182"/>
      <c r="BS931" s="182"/>
    </row>
    <row r="932" spans="1:71" ht="15.9" customHeight="1" x14ac:dyDescent="0.3">
      <c r="A932" s="185" t="s">
        <v>2711</v>
      </c>
      <c r="B932" s="17" t="s">
        <v>2615</v>
      </c>
      <c r="C932" s="174">
        <v>44937</v>
      </c>
      <c r="D932" s="5" t="s">
        <v>405</v>
      </c>
      <c r="E932" s="5" t="s">
        <v>362</v>
      </c>
      <c r="F932" s="175" t="s">
        <v>2712</v>
      </c>
      <c r="G932" s="15" t="s">
        <v>364</v>
      </c>
      <c r="H932" s="176">
        <v>4500000</v>
      </c>
      <c r="I932" s="185" t="s">
        <v>260</v>
      </c>
      <c r="J932" s="113" t="str">
        <f>VLOOKUP($I932,'Price List, Weapons &amp; Items'!B:C,2,0)</f>
        <v>.</v>
      </c>
      <c r="K932" s="113" t="str">
        <f>IF(I932=".",I932,VLOOKUP($I932,'Price List, Weapons &amp; Items'!B:D,3,0))</f>
        <v>.</v>
      </c>
      <c r="L932" s="177">
        <f>VLOOKUP(I932,'Price List, Weapons &amp; Items'!B:E,4,0)</f>
        <v>0</v>
      </c>
      <c r="M932" s="187" t="s">
        <v>260</v>
      </c>
      <c r="N932" s="187" t="s">
        <v>260</v>
      </c>
      <c r="O932" s="543" t="str">
        <f>VLOOKUP($I932,'Price List, Weapons &amp; Items'!B:G,6,0)</f>
        <v>.</v>
      </c>
      <c r="P932" s="176" t="str">
        <f t="shared" si="176"/>
        <v>.</v>
      </c>
      <c r="Q932" s="176" t="str">
        <f t="shared" si="177"/>
        <v>.</v>
      </c>
      <c r="R932" s="176">
        <f t="shared" si="186"/>
        <v>4500000</v>
      </c>
      <c r="S932" s="176">
        <f>IF(AND(AD932=1,R932&lt;&gt;".")=TRUE,R932/VLOOKUP(G932,'Exchange Rates'!B:C,2,0),IF(R932=".",".",""))</f>
        <v>4500000</v>
      </c>
      <c r="T932" s="176">
        <f>IF(AD932=1,IF(AF932="Value is not given at all",".",IF(AF932="Value is given by the source",S932,IF(AF932="Value is calculated with prices",(IF(SUMIFS(Q:Q,A:A,A932)&gt;0,SUMIFS(Q:Q,A:A,A932),"."))/VLOOKUP("USD",'Exchange Rates'!B:C,2,0),"Error with coding"))),"")</f>
        <v>4500000</v>
      </c>
      <c r="U932" s="15" t="s">
        <v>261</v>
      </c>
      <c r="V932" s="300" t="s">
        <v>2713</v>
      </c>
      <c r="W932" s="144" t="s">
        <v>260</v>
      </c>
      <c r="X932" s="175" t="s">
        <v>260</v>
      </c>
      <c r="Y932" s="175" t="s">
        <v>260</v>
      </c>
      <c r="Z932" s="15">
        <v>0</v>
      </c>
      <c r="AA932" s="199">
        <v>1</v>
      </c>
      <c r="AB932" s="17" t="s">
        <v>260</v>
      </c>
      <c r="AC932" s="544" t="str">
        <f>""</f>
        <v/>
      </c>
      <c r="AD932" s="183">
        <v>1</v>
      </c>
      <c r="AE932" s="183" t="s">
        <v>264</v>
      </c>
      <c r="AF932" s="183" t="s">
        <v>264</v>
      </c>
      <c r="AG932" s="183">
        <v>1</v>
      </c>
      <c r="AH932" s="181">
        <v>13</v>
      </c>
      <c r="AI932" s="181">
        <v>0</v>
      </c>
      <c r="AJ932" s="181">
        <f>VLOOKUP($I932,'Price List, Weapons &amp; Items'!B:F,5,0)</f>
        <v>0</v>
      </c>
      <c r="AK932" s="181">
        <f t="shared" si="178"/>
        <v>0</v>
      </c>
      <c r="AL932" s="181">
        <f t="shared" si="179"/>
        <v>0</v>
      </c>
      <c r="AM932" s="181">
        <f t="shared" si="180"/>
        <v>0</v>
      </c>
      <c r="AN932" s="180" t="str">
        <f>VLOOKUP($I932,'Price List, Weapons &amp; Items'!B:L,COLUMN('Price List, Weapons &amp; Items'!$J$11)-1,0)</f>
        <v>.</v>
      </c>
      <c r="AO932" s="180" t="str">
        <f>IF(I932=".",".",VLOOKUP($I932,'Price List, Weapons &amp; Items'!B:J,3,0))</f>
        <v>.</v>
      </c>
      <c r="AP932" s="545" t="e">
        <f t="shared" ca="1" si="187"/>
        <v>#NAME?</v>
      </c>
      <c r="AQ932" s="180" t="str">
        <f>VLOOKUP($I932,'Price List, Weapons &amp; Items'!B:L,COLUMN('Price List, Weapons &amp; Items'!$L$11)-1,0)</f>
        <v>no price, 0 count</v>
      </c>
      <c r="AR932" s="180">
        <f t="shared" si="181"/>
        <v>1</v>
      </c>
      <c r="AS932" s="180">
        <f t="shared" si="182"/>
        <v>0</v>
      </c>
      <c r="AT932" s="180">
        <f t="shared" si="183"/>
        <v>1</v>
      </c>
      <c r="AU932" s="180" t="str">
        <f t="shared" si="184"/>
        <v>.</v>
      </c>
      <c r="AV932" s="180" t="str">
        <f t="shared" si="185"/>
        <v>.</v>
      </c>
      <c r="AW932" s="180">
        <f>IFERROR(VLOOKUP(B932,'Share, Heavy Weapons to Ukraine'!B:J,COLUMN('Share, Heavy Weapons to Ukraine'!C945)-1,0),0)</f>
        <v>0</v>
      </c>
      <c r="AX932" s="180">
        <f>VLOOKUP('Bilateral Assistance, MAIN DATA'!B932,'Country Summary'!B:F,COLUMN('Country Summary'!C948)-1,FALSE)</f>
        <v>1</v>
      </c>
      <c r="AY932" s="180" t="str">
        <f>IF(AND(AD932=1,D932="Military",H932&lt;&gt;"Not given")=TRUE,IF(SUMIFS(P:P,A:A,A932)&gt;0,ABS((SUMIFS(P:P,A:A,A932)/VLOOKUP("USD",'Exchange Rates'!B:C,2,0)))/S932,"."),".")</f>
        <v>.</v>
      </c>
      <c r="AZ932" s="182" t="str">
        <f>IF(AND(AD932=1,D932="Military",H932&lt;&gt;"Not given")=TRUE,IF(SUMIFS(P:P,A:A,A932)&gt;0,IF((ABS((SUMIFS(P:P,A:A,A932)/VLOOKUP("USD",'Exchange Rates'!B:C,2,0)))/S932)&gt;1,(SUMIFS(P:P,A:A,A932)-S932)/S932,(S932-SUMIFS(P:P,A:A,A932))/SUMIFS(P:P,A:A,A932)),"."),".")</f>
        <v>.</v>
      </c>
      <c r="BA932" s="182"/>
      <c r="BB932" s="182"/>
      <c r="BC932" s="182"/>
      <c r="BD932" s="182"/>
      <c r="BE932" s="182"/>
      <c r="BF932" s="182"/>
      <c r="BG932" s="182"/>
      <c r="BH932" s="182"/>
      <c r="BI932" s="182"/>
      <c r="BJ932" s="182"/>
      <c r="BK932" s="182"/>
      <c r="BL932" s="182"/>
      <c r="BM932" s="182"/>
      <c r="BN932" s="182"/>
      <c r="BO932" s="182"/>
      <c r="BP932" s="182"/>
      <c r="BQ932" s="182"/>
      <c r="BR932" s="182"/>
      <c r="BS932" s="182"/>
    </row>
    <row r="933" spans="1:71" ht="15.9" customHeight="1" x14ac:dyDescent="0.3">
      <c r="A933" s="17" t="s">
        <v>2714</v>
      </c>
      <c r="B933" s="17" t="s">
        <v>2715</v>
      </c>
      <c r="C933" s="174">
        <v>44673</v>
      </c>
      <c r="D933" s="5" t="s">
        <v>256</v>
      </c>
      <c r="E933" s="5" t="s">
        <v>267</v>
      </c>
      <c r="F933" s="175" t="s">
        <v>2716</v>
      </c>
      <c r="G933" s="15" t="s">
        <v>260</v>
      </c>
      <c r="H933" s="176" t="s">
        <v>341</v>
      </c>
      <c r="I933" s="17" t="s">
        <v>260</v>
      </c>
      <c r="J933" s="113" t="str">
        <f>VLOOKUP($I933,'Price List, Weapons &amp; Items'!B:C,2,0)</f>
        <v>.</v>
      </c>
      <c r="K933" s="113" t="str">
        <f>IF(I933=".",I933,VLOOKUP($I933,'Price List, Weapons &amp; Items'!B:D,3,0))</f>
        <v>.</v>
      </c>
      <c r="L933" s="177">
        <f>VLOOKUP(I933,'Price List, Weapons &amp; Items'!B:E,4,0)</f>
        <v>0</v>
      </c>
      <c r="M933" s="542" t="s">
        <v>260</v>
      </c>
      <c r="N933" s="542" t="s">
        <v>260</v>
      </c>
      <c r="O933" s="543" t="str">
        <f>VLOOKUP($I933,'Price List, Weapons &amp; Items'!B:G,6,0)</f>
        <v>.</v>
      </c>
      <c r="P933" s="176" t="str">
        <f t="shared" si="176"/>
        <v>.</v>
      </c>
      <c r="Q933" s="176" t="str">
        <f t="shared" si="177"/>
        <v>.</v>
      </c>
      <c r="R933" s="176" t="str">
        <f t="shared" si="186"/>
        <v>.</v>
      </c>
      <c r="S933" s="176" t="str">
        <f>IF(AND(AD933=1,R933&lt;&gt;".")=TRUE,R933/VLOOKUP(G933,'Exchange Rates'!B:C,2,0),IF(R933=".",".",""))</f>
        <v>.</v>
      </c>
      <c r="T933" s="176" t="str">
        <f>IF(AD933=1,IF(AF933="Value is not given at all",".",IF(AF933="Value is given by the source",S933,IF(AF933="Value is calculated with prices",(IF(SUMIFS(Q:Q,A:A,A933)&gt;0,SUMIFS(Q:Q,A:A,A933),"."))/VLOOKUP("USD",'Exchange Rates'!B:C,2,0),"Error with coding"))),"")</f>
        <v>.</v>
      </c>
      <c r="U933" s="15" t="s">
        <v>261</v>
      </c>
      <c r="V933" s="300" t="s">
        <v>2717</v>
      </c>
      <c r="W933" s="529" t="s">
        <v>260</v>
      </c>
      <c r="X933" s="529" t="s">
        <v>260</v>
      </c>
      <c r="Y933" s="175" t="s">
        <v>260</v>
      </c>
      <c r="Z933" s="15">
        <v>0</v>
      </c>
      <c r="AA933" s="180">
        <v>0</v>
      </c>
      <c r="AB933" s="184" t="s">
        <v>260</v>
      </c>
      <c r="AC933" s="544" t="str">
        <f>""</f>
        <v/>
      </c>
      <c r="AD933" s="183">
        <v>1</v>
      </c>
      <c r="AE933" s="183" t="s">
        <v>265</v>
      </c>
      <c r="AF933" s="183" t="s">
        <v>265</v>
      </c>
      <c r="AG933" s="183">
        <v>1</v>
      </c>
      <c r="AH933" s="181">
        <v>4</v>
      </c>
      <c r="AI933" s="181">
        <v>0</v>
      </c>
      <c r="AJ933" s="181">
        <f>VLOOKUP($I933,'Price List, Weapons &amp; Items'!B:F,5,0)</f>
        <v>0</v>
      </c>
      <c r="AK933" s="181">
        <f t="shared" si="178"/>
        <v>0</v>
      </c>
      <c r="AL933" s="181">
        <f t="shared" si="179"/>
        <v>0</v>
      </c>
      <c r="AM933" s="181">
        <f t="shared" si="180"/>
        <v>0</v>
      </c>
      <c r="AN933" s="180" t="str">
        <f>VLOOKUP($I933,'Price List, Weapons &amp; Items'!B:L,COLUMN('Price List, Weapons &amp; Items'!$J$11)-1,0)</f>
        <v>.</v>
      </c>
      <c r="AO933" s="180" t="str">
        <f>IF(I933=".",".",VLOOKUP($I933,'Price List, Weapons &amp; Items'!B:J,3,0))</f>
        <v>.</v>
      </c>
      <c r="AP933" s="545" t="e">
        <f t="shared" ca="1" si="187"/>
        <v>#NAME?</v>
      </c>
      <c r="AQ933" s="180" t="str">
        <f>VLOOKUP($I933,'Price List, Weapons &amp; Items'!B:L,COLUMN('Price List, Weapons &amp; Items'!$L$11)-1,0)</f>
        <v>no price, 0 count</v>
      </c>
      <c r="AR933" s="180">
        <f t="shared" si="181"/>
        <v>1</v>
      </c>
      <c r="AS933" s="180">
        <f t="shared" si="182"/>
        <v>0</v>
      </c>
      <c r="AT933" s="180">
        <f t="shared" si="183"/>
        <v>1</v>
      </c>
      <c r="AU933" s="180" t="str">
        <f t="shared" si="184"/>
        <v>.</v>
      </c>
      <c r="AV933" s="180" t="str">
        <f t="shared" si="185"/>
        <v>.</v>
      </c>
      <c r="AW933" s="180">
        <f>IFERROR(VLOOKUP(B933,'Share, Heavy Weapons to Ukraine'!B:J,COLUMN('Share, Heavy Weapons to Ukraine'!C946)-1,0),0)</f>
        <v>0</v>
      </c>
      <c r="AX933" s="180">
        <f>VLOOKUP('Bilateral Assistance, MAIN DATA'!B933,'Country Summary'!B:F,COLUMN('Country Summary'!C949)-1,FALSE)</f>
        <v>1</v>
      </c>
      <c r="AY933" s="180" t="str">
        <f>IF(AND(AD933=1,D933="Military",H933&lt;&gt;"Not given")=TRUE,IF(SUMIFS(P:P,A:A,A933)&gt;0,ABS((SUMIFS(P:P,A:A,A933)/VLOOKUP("USD",'Exchange Rates'!B:C,2,0)))/S933,"."),".")</f>
        <v>.</v>
      </c>
      <c r="AZ933" s="182" t="str">
        <f>IF(AND(AD933=1,D933="Military",H933&lt;&gt;"Not given")=TRUE,IF(SUMIFS(P:P,A:A,A933)&gt;0,IF((ABS((SUMIFS(P:P,A:A,A933)/VLOOKUP("USD",'Exchange Rates'!B:C,2,0)))/S933)&gt;1,(SUMIFS(P:P,A:A,A933)-S933)/S933,(S933-SUMIFS(P:P,A:A,A933))/SUMIFS(P:P,A:A,A933)),"."),".")</f>
        <v>.</v>
      </c>
      <c r="BA933" s="182"/>
      <c r="BB933" s="182"/>
      <c r="BC933" s="182"/>
      <c r="BD933" s="182"/>
      <c r="BE933" s="182"/>
      <c r="BF933" s="182"/>
      <c r="BG933" s="182"/>
      <c r="BH933" s="182"/>
      <c r="BI933" s="182"/>
      <c r="BJ933" s="182"/>
      <c r="BK933" s="182"/>
      <c r="BL933" s="182"/>
      <c r="BM933" s="182"/>
      <c r="BN933" s="182"/>
      <c r="BO933" s="182"/>
      <c r="BP933" s="182"/>
      <c r="BQ933" s="182"/>
      <c r="BR933" s="182"/>
      <c r="BS933" s="182"/>
    </row>
    <row r="934" spans="1:71" s="514" customFormat="1" ht="15.9" customHeight="1" x14ac:dyDescent="0.3">
      <c r="A934" s="17" t="s">
        <v>2718</v>
      </c>
      <c r="B934" s="17" t="s">
        <v>2715</v>
      </c>
      <c r="C934" s="174" t="s">
        <v>2719</v>
      </c>
      <c r="D934" s="5" t="s">
        <v>256</v>
      </c>
      <c r="E934" s="5" t="s">
        <v>554</v>
      </c>
      <c r="F934" s="175" t="s">
        <v>2720</v>
      </c>
      <c r="G934" s="15" t="s">
        <v>2721</v>
      </c>
      <c r="H934" s="176">
        <v>570000000</v>
      </c>
      <c r="I934" s="17" t="s">
        <v>260</v>
      </c>
      <c r="J934" s="113" t="str">
        <f>VLOOKUP($I934,'Price List, Weapons &amp; Items'!B:C,2,0)</f>
        <v>.</v>
      </c>
      <c r="K934" s="113" t="str">
        <f>IF(I934=".",I934,VLOOKUP($I934,'Price List, Weapons &amp; Items'!B:D,3,0))</f>
        <v>.</v>
      </c>
      <c r="L934" s="177">
        <f>VLOOKUP(I934,'Price List, Weapons &amp; Items'!B:E,4,0)</f>
        <v>0</v>
      </c>
      <c r="M934" s="542" t="s">
        <v>260</v>
      </c>
      <c r="N934" s="542" t="s">
        <v>260</v>
      </c>
      <c r="O934" s="543" t="str">
        <f>VLOOKUP($I934,'Price List, Weapons &amp; Items'!B:G,6,0)</f>
        <v>.</v>
      </c>
      <c r="P934" s="176" t="str">
        <f t="shared" si="176"/>
        <v>.</v>
      </c>
      <c r="Q934" s="176" t="str">
        <f t="shared" si="177"/>
        <v>.</v>
      </c>
      <c r="R934" s="176">
        <f t="shared" si="186"/>
        <v>570000000</v>
      </c>
      <c r="S934" s="176">
        <f>IF(AND(AD934=1,R934&lt;&gt;".")=TRUE,R934/VLOOKUP(G934,'Exchange Rates'!B:C,2,0),IF(R934=".",".",""))</f>
        <v>52303174.894476049</v>
      </c>
      <c r="T934" s="176" t="str">
        <f>IF(AD934=1,IF(AF934="Value is not given at all",".",IF(AF934="Value is given by the source",S934,IF(AF934="Value is calculated with prices",(IF(SUMIFS(Q:Q,A:A,A934)&gt;0,SUMIFS(Q:Q,A:A,A934),"."))/VLOOKUP("USD",'Exchange Rates'!B:C,2,0),"Error with coding"))),"")</f>
        <v>.</v>
      </c>
      <c r="U934" s="15" t="s">
        <v>261</v>
      </c>
      <c r="V934" s="300" t="s">
        <v>2722</v>
      </c>
      <c r="W934" s="300" t="s">
        <v>2723</v>
      </c>
      <c r="X934" s="300" t="s">
        <v>2724</v>
      </c>
      <c r="Y934" s="175" t="s">
        <v>260</v>
      </c>
      <c r="Z934" s="15">
        <v>0</v>
      </c>
      <c r="AA934" s="180">
        <v>0</v>
      </c>
      <c r="AB934" s="17" t="s">
        <v>260</v>
      </c>
      <c r="AC934" s="544" t="str">
        <f>""</f>
        <v/>
      </c>
      <c r="AD934" s="183">
        <v>1</v>
      </c>
      <c r="AE934" s="183" t="s">
        <v>264</v>
      </c>
      <c r="AF934" s="183" t="s">
        <v>265</v>
      </c>
      <c r="AG934" s="183">
        <v>1</v>
      </c>
      <c r="AH934" s="181">
        <v>5</v>
      </c>
      <c r="AI934" s="181">
        <v>0</v>
      </c>
      <c r="AJ934" s="181">
        <f>VLOOKUP($I934,'Price List, Weapons &amp; Items'!B:F,5,0)</f>
        <v>0</v>
      </c>
      <c r="AK934" s="181">
        <f t="shared" si="178"/>
        <v>0</v>
      </c>
      <c r="AL934" s="181">
        <f t="shared" si="179"/>
        <v>0</v>
      </c>
      <c r="AM934" s="181">
        <f t="shared" si="180"/>
        <v>0</v>
      </c>
      <c r="AN934" s="180" t="str">
        <f>VLOOKUP($I934,'Price List, Weapons &amp; Items'!B:L,COLUMN('Price List, Weapons &amp; Items'!$J$11)-1,0)</f>
        <v>.</v>
      </c>
      <c r="AO934" s="180" t="str">
        <f>IF(I934=".",".",VLOOKUP($I934,'Price List, Weapons &amp; Items'!B:J,3,0))</f>
        <v>.</v>
      </c>
      <c r="AP934" s="545" t="e">
        <f t="shared" ca="1" si="187"/>
        <v>#NAME?</v>
      </c>
      <c r="AQ934" s="180" t="str">
        <f>VLOOKUP($I934,'Price List, Weapons &amp; Items'!B:L,COLUMN('Price List, Weapons &amp; Items'!$L$11)-1,0)</f>
        <v>no price, 0 count</v>
      </c>
      <c r="AR934" s="180">
        <f t="shared" si="181"/>
        <v>1</v>
      </c>
      <c r="AS934" s="180">
        <f t="shared" si="182"/>
        <v>0</v>
      </c>
      <c r="AT934" s="180" t="str">
        <f t="shared" si="183"/>
        <v>Value is not in date format</v>
      </c>
      <c r="AU934" s="180" t="str">
        <f t="shared" si="184"/>
        <v>.</v>
      </c>
      <c r="AV934" s="180" t="str">
        <f t="shared" si="185"/>
        <v>.</v>
      </c>
      <c r="AW934" s="180">
        <f>IFERROR(VLOOKUP(B934,'Share, Heavy Weapons to Ukraine'!B:J,COLUMN('Share, Heavy Weapons to Ukraine'!C947)-1,0),0)</f>
        <v>0</v>
      </c>
      <c r="AX934" s="180">
        <f>VLOOKUP('Bilateral Assistance, MAIN DATA'!B934,'Country Summary'!B:F,COLUMN('Country Summary'!C950)-1,FALSE)</f>
        <v>1</v>
      </c>
      <c r="AY934" s="180" t="str">
        <f>IF(AND(AD934=1,D934="Military",H934&lt;&gt;"Not given")=TRUE,IF(SUMIFS(P:P,A:A,A934)&gt;0,ABS((SUMIFS(P:P,A:A,A934)/VLOOKUP("USD",'Exchange Rates'!B:C,2,0)))/S934,"."),".")</f>
        <v>.</v>
      </c>
      <c r="AZ934" s="182" t="str">
        <f>IF(AND(AD934=1,D934="Military",H934&lt;&gt;"Not given")=TRUE,IF(SUMIFS(P:P,A:A,A934)&gt;0,IF((ABS((SUMIFS(P:P,A:A,A934)/VLOOKUP("USD",'Exchange Rates'!B:C,2,0)))/S934)&gt;1,(SUMIFS(P:P,A:A,A934)-S934)/S934,(S934-SUMIFS(P:P,A:A,A934))/SUMIFS(P:P,A:A,A934)),"."),".")</f>
        <v>.</v>
      </c>
      <c r="BA934" s="180"/>
      <c r="BB934" s="180"/>
      <c r="BC934" s="180"/>
      <c r="BD934" s="180"/>
      <c r="BE934" s="180"/>
      <c r="BF934" s="180"/>
      <c r="BG934" s="180"/>
      <c r="BH934" s="180"/>
      <c r="BI934" s="180"/>
      <c r="BJ934" s="180"/>
      <c r="BK934" s="180"/>
      <c r="BL934" s="180"/>
      <c r="BM934" s="180"/>
      <c r="BN934" s="180"/>
      <c r="BO934" s="180"/>
      <c r="BP934" s="180"/>
      <c r="BQ934" s="180"/>
      <c r="BR934" s="180"/>
      <c r="BS934" s="180"/>
    </row>
    <row r="935" spans="1:71" s="514" customFormat="1" ht="15.9" customHeight="1" x14ac:dyDescent="0.3">
      <c r="A935" s="17" t="s">
        <v>2725</v>
      </c>
      <c r="B935" s="17" t="s">
        <v>2715</v>
      </c>
      <c r="C935" s="174">
        <v>44686</v>
      </c>
      <c r="D935" s="5" t="s">
        <v>256</v>
      </c>
      <c r="E935" s="5" t="s">
        <v>257</v>
      </c>
      <c r="F935" s="175" t="s">
        <v>2726</v>
      </c>
      <c r="G935" s="15" t="s">
        <v>2721</v>
      </c>
      <c r="H935" s="176">
        <v>230000000</v>
      </c>
      <c r="I935" s="17" t="s">
        <v>260</v>
      </c>
      <c r="J935" s="113" t="str">
        <f>VLOOKUP($I935,'Price List, Weapons &amp; Items'!B:C,2,0)</f>
        <v>.</v>
      </c>
      <c r="K935" s="113" t="str">
        <f>IF(I935=".",I935,VLOOKUP($I935,'Price List, Weapons &amp; Items'!B:D,3,0))</f>
        <v>.</v>
      </c>
      <c r="L935" s="177">
        <f>VLOOKUP(I935,'Price List, Weapons &amp; Items'!B:E,4,0)</f>
        <v>0</v>
      </c>
      <c r="M935" s="542" t="s">
        <v>260</v>
      </c>
      <c r="N935" s="542" t="s">
        <v>260</v>
      </c>
      <c r="O935" s="543" t="str">
        <f>VLOOKUP($I935,'Price List, Weapons &amp; Items'!B:G,6,0)</f>
        <v>.</v>
      </c>
      <c r="P935" s="176" t="str">
        <f t="shared" si="176"/>
        <v>.</v>
      </c>
      <c r="Q935" s="176" t="str">
        <f t="shared" si="177"/>
        <v>.</v>
      </c>
      <c r="R935" s="176">
        <f t="shared" si="186"/>
        <v>230000000</v>
      </c>
      <c r="S935" s="176">
        <f>IF(AND(AD935=1,R935&lt;&gt;".")=TRUE,R935/VLOOKUP(G935,'Exchange Rates'!B:C,2,0),IF(R935=".",".",""))</f>
        <v>21104789.869700864</v>
      </c>
      <c r="T935" s="176" t="str">
        <f>IF(AD935=1,IF(AF935="Value is not given at all",".",IF(AF935="Value is given by the source",S935,IF(AF935="Value is calculated with prices",(IF(SUMIFS(Q:Q,A:A,A935)&gt;0,SUMIFS(Q:Q,A:A,A935),"."))/VLOOKUP("USD",'Exchange Rates'!B:C,2,0),"Error with coding"))),"")</f>
        <v>.</v>
      </c>
      <c r="U935" s="15" t="s">
        <v>261</v>
      </c>
      <c r="V935" s="300" t="s">
        <v>2727</v>
      </c>
      <c r="W935" s="300" t="s">
        <v>2728</v>
      </c>
      <c r="X935" s="300" t="s">
        <v>2729</v>
      </c>
      <c r="Y935" s="175" t="s">
        <v>260</v>
      </c>
      <c r="Z935" s="15">
        <v>0</v>
      </c>
      <c r="AA935" s="180">
        <v>0</v>
      </c>
      <c r="AB935" s="17" t="s">
        <v>260</v>
      </c>
      <c r="AC935" s="544" t="str">
        <f>""</f>
        <v/>
      </c>
      <c r="AD935" s="183">
        <v>1</v>
      </c>
      <c r="AE935" s="183" t="s">
        <v>264</v>
      </c>
      <c r="AF935" s="183" t="s">
        <v>265</v>
      </c>
      <c r="AG935" s="183">
        <v>1</v>
      </c>
      <c r="AH935" s="181">
        <v>5</v>
      </c>
      <c r="AI935" s="181">
        <v>0</v>
      </c>
      <c r="AJ935" s="181">
        <f>VLOOKUP($I935,'Price List, Weapons &amp; Items'!B:F,5,0)</f>
        <v>0</v>
      </c>
      <c r="AK935" s="181">
        <f t="shared" si="178"/>
        <v>0</v>
      </c>
      <c r="AL935" s="181">
        <f t="shared" si="179"/>
        <v>0</v>
      </c>
      <c r="AM935" s="181">
        <f t="shared" si="180"/>
        <v>0</v>
      </c>
      <c r="AN935" s="180" t="str">
        <f>VLOOKUP($I935,'Price List, Weapons &amp; Items'!B:L,COLUMN('Price List, Weapons &amp; Items'!$J$11)-1,0)</f>
        <v>.</v>
      </c>
      <c r="AO935" s="180" t="str">
        <f>IF(I935=".",".",VLOOKUP($I935,'Price List, Weapons &amp; Items'!B:J,3,0))</f>
        <v>.</v>
      </c>
      <c r="AP935" s="545" t="e">
        <f t="shared" ca="1" si="187"/>
        <v>#NAME?</v>
      </c>
      <c r="AQ935" s="180" t="str">
        <f>VLOOKUP($I935,'Price List, Weapons &amp; Items'!B:L,COLUMN('Price List, Weapons &amp; Items'!$L$11)-1,0)</f>
        <v>no price, 0 count</v>
      </c>
      <c r="AR935" s="180">
        <f t="shared" si="181"/>
        <v>1</v>
      </c>
      <c r="AS935" s="180">
        <f t="shared" si="182"/>
        <v>0</v>
      </c>
      <c r="AT935" s="180">
        <f t="shared" si="183"/>
        <v>1</v>
      </c>
      <c r="AU935" s="180" t="str">
        <f t="shared" si="184"/>
        <v>.</v>
      </c>
      <c r="AV935" s="180" t="str">
        <f t="shared" si="185"/>
        <v>.</v>
      </c>
      <c r="AW935" s="180">
        <f>IFERROR(VLOOKUP(B935,'Share, Heavy Weapons to Ukraine'!B:J,COLUMN('Share, Heavy Weapons to Ukraine'!C948)-1,0),0)</f>
        <v>0</v>
      </c>
      <c r="AX935" s="180">
        <f>VLOOKUP('Bilateral Assistance, MAIN DATA'!B935,'Country Summary'!B:F,COLUMN('Country Summary'!C951)-1,FALSE)</f>
        <v>1</v>
      </c>
      <c r="AY935" s="180" t="str">
        <f>IF(AND(AD935=1,D935="Military",H935&lt;&gt;"Not given")=TRUE,IF(SUMIFS(P:P,A:A,A935)&gt;0,ABS((SUMIFS(P:P,A:A,A935)/VLOOKUP("USD",'Exchange Rates'!B:C,2,0)))/S935,"."),".")</f>
        <v>.</v>
      </c>
      <c r="AZ935" s="182" t="str">
        <f>IF(AND(AD935=1,D935="Military",H935&lt;&gt;"Not given")=TRUE,IF(SUMIFS(P:P,A:A,A935)&gt;0,IF((ABS((SUMIFS(P:P,A:A,A935)/VLOOKUP("USD",'Exchange Rates'!B:C,2,0)))/S935)&gt;1,(SUMIFS(P:P,A:A,A935)-S935)/S935,(S935-SUMIFS(P:P,A:A,A935))/SUMIFS(P:P,A:A,A935)),"."),".")</f>
        <v>.</v>
      </c>
      <c r="BA935" s="180"/>
      <c r="BB935" s="180"/>
      <c r="BC935" s="180"/>
      <c r="BD935" s="180"/>
      <c r="BE935" s="180"/>
      <c r="BF935" s="180"/>
      <c r="BG935" s="180"/>
      <c r="BH935" s="180"/>
      <c r="BI935" s="180"/>
      <c r="BJ935" s="180"/>
      <c r="BK935" s="180"/>
      <c r="BL935" s="180"/>
      <c r="BM935" s="180"/>
      <c r="BN935" s="180"/>
      <c r="BO935" s="180"/>
      <c r="BP935" s="180"/>
      <c r="BQ935" s="180"/>
      <c r="BR935" s="180"/>
      <c r="BS935" s="180"/>
    </row>
    <row r="936" spans="1:71" s="514" customFormat="1" ht="15.9" customHeight="1" x14ac:dyDescent="0.3">
      <c r="A936" s="17" t="s">
        <v>2730</v>
      </c>
      <c r="B936" s="17" t="s">
        <v>2715</v>
      </c>
      <c r="C936" s="174">
        <v>44714</v>
      </c>
      <c r="D936" s="5" t="s">
        <v>256</v>
      </c>
      <c r="E936" s="5" t="s">
        <v>257</v>
      </c>
      <c r="F936" s="175" t="s">
        <v>2731</v>
      </c>
      <c r="G936" s="15" t="s">
        <v>2721</v>
      </c>
      <c r="H936" s="176">
        <v>100000000</v>
      </c>
      <c r="I936" s="17" t="s">
        <v>260</v>
      </c>
      <c r="J936" s="113" t="str">
        <f>VLOOKUP($I936,'Price List, Weapons &amp; Items'!B:C,2,0)</f>
        <v>.</v>
      </c>
      <c r="K936" s="113" t="str">
        <f>IF(I936=".",I936,VLOOKUP($I936,'Price List, Weapons &amp; Items'!B:D,3,0))</f>
        <v>.</v>
      </c>
      <c r="L936" s="177">
        <f>VLOOKUP(I936,'Price List, Weapons &amp; Items'!B:E,4,0)</f>
        <v>0</v>
      </c>
      <c r="M936" s="542" t="s">
        <v>260</v>
      </c>
      <c r="N936" s="542" t="s">
        <v>260</v>
      </c>
      <c r="O936" s="543" t="str">
        <f>VLOOKUP($I936,'Price List, Weapons &amp; Items'!B:G,6,0)</f>
        <v>.</v>
      </c>
      <c r="P936" s="176" t="str">
        <f t="shared" si="176"/>
        <v>.</v>
      </c>
      <c r="Q936" s="176" t="str">
        <f t="shared" si="177"/>
        <v>.</v>
      </c>
      <c r="R936" s="176">
        <f t="shared" si="186"/>
        <v>100000000</v>
      </c>
      <c r="S936" s="176">
        <f>IF(AND(AD936=1,R936&lt;&gt;".")=TRUE,R936/VLOOKUP(G936,'Exchange Rates'!B:C,2,0),IF(R936=".",".",""))</f>
        <v>9175995.595522115</v>
      </c>
      <c r="T936" s="176" t="str">
        <f>IF(AD936=1,IF(AF936="Value is not given at all",".",IF(AF936="Value is given by the source",S936,IF(AF936="Value is calculated with prices",(IF(SUMIFS(Q:Q,A:A,A936)&gt;0,SUMIFS(Q:Q,A:A,A936),"."))/VLOOKUP("USD",'Exchange Rates'!B:C,2,0),"Error with coding"))),"")</f>
        <v>.</v>
      </c>
      <c r="U936" s="15" t="s">
        <v>261</v>
      </c>
      <c r="V936" s="300" t="s">
        <v>2732</v>
      </c>
      <c r="W936" s="175" t="s">
        <v>260</v>
      </c>
      <c r="X936" s="175" t="s">
        <v>260</v>
      </c>
      <c r="Y936" s="175" t="s">
        <v>260</v>
      </c>
      <c r="Z936" s="15">
        <v>0</v>
      </c>
      <c r="AA936" s="180">
        <v>0</v>
      </c>
      <c r="AB936" s="17" t="s">
        <v>260</v>
      </c>
      <c r="AC936" s="544" t="str">
        <f>""</f>
        <v/>
      </c>
      <c r="AD936" s="183">
        <v>1</v>
      </c>
      <c r="AE936" s="183" t="s">
        <v>264</v>
      </c>
      <c r="AF936" s="183" t="s">
        <v>265</v>
      </c>
      <c r="AG936" s="183">
        <v>1</v>
      </c>
      <c r="AH936" s="181">
        <v>6</v>
      </c>
      <c r="AI936" s="181">
        <v>0</v>
      </c>
      <c r="AJ936" s="181">
        <f>VLOOKUP($I936,'Price List, Weapons &amp; Items'!B:F,5,0)</f>
        <v>0</v>
      </c>
      <c r="AK936" s="181">
        <f t="shared" si="178"/>
        <v>0</v>
      </c>
      <c r="AL936" s="181">
        <f t="shared" si="179"/>
        <v>0</v>
      </c>
      <c r="AM936" s="181">
        <f t="shared" si="180"/>
        <v>0</v>
      </c>
      <c r="AN936" s="180" t="str">
        <f>VLOOKUP($I936,'Price List, Weapons &amp; Items'!B:L,COLUMN('Price List, Weapons &amp; Items'!$J$11)-1,0)</f>
        <v>.</v>
      </c>
      <c r="AO936" s="180" t="str">
        <f>IF(I936=".",".",VLOOKUP($I936,'Price List, Weapons &amp; Items'!B:J,3,0))</f>
        <v>.</v>
      </c>
      <c r="AP936" s="545" t="e">
        <f t="shared" ca="1" si="187"/>
        <v>#NAME?</v>
      </c>
      <c r="AQ936" s="180" t="str">
        <f>VLOOKUP($I936,'Price List, Weapons &amp; Items'!B:L,COLUMN('Price List, Weapons &amp; Items'!$L$11)-1,0)</f>
        <v>no price, 0 count</v>
      </c>
      <c r="AR936" s="180">
        <f t="shared" si="181"/>
        <v>1</v>
      </c>
      <c r="AS936" s="180">
        <f t="shared" si="182"/>
        <v>0</v>
      </c>
      <c r="AT936" s="180">
        <f t="shared" si="183"/>
        <v>1</v>
      </c>
      <c r="AU936" s="180" t="str">
        <f t="shared" si="184"/>
        <v>.</v>
      </c>
      <c r="AV936" s="180" t="str">
        <f t="shared" si="185"/>
        <v>.</v>
      </c>
      <c r="AW936" s="180">
        <f>IFERROR(VLOOKUP(B936,'Share, Heavy Weapons to Ukraine'!B:J,COLUMN('Share, Heavy Weapons to Ukraine'!C949)-1,0),0)</f>
        <v>0</v>
      </c>
      <c r="AX936" s="180">
        <f>VLOOKUP('Bilateral Assistance, MAIN DATA'!B936,'Country Summary'!B:F,COLUMN('Country Summary'!C952)-1,FALSE)</f>
        <v>1</v>
      </c>
      <c r="AY936" s="180" t="str">
        <f>IF(AND(AD936=1,D936="Military",H936&lt;&gt;"Not given")=TRUE,IF(SUMIFS(P:P,A:A,A936)&gt;0,ABS((SUMIFS(P:P,A:A,A936)/VLOOKUP("USD",'Exchange Rates'!B:C,2,0)))/S936,"."),".")</f>
        <v>.</v>
      </c>
      <c r="AZ936" s="182" t="str">
        <f>IF(AND(AD936=1,D936="Military",H936&lt;&gt;"Not given")=TRUE,IF(SUMIFS(P:P,A:A,A936)&gt;0,IF((ABS((SUMIFS(P:P,A:A,A936)/VLOOKUP("USD",'Exchange Rates'!B:C,2,0)))/S936)&gt;1,(SUMIFS(P:P,A:A,A936)-S936)/S936,(S936-SUMIFS(P:P,A:A,A936))/SUMIFS(P:P,A:A,A936)),"."),".")</f>
        <v>.</v>
      </c>
      <c r="BA936" s="180"/>
      <c r="BB936" s="180"/>
      <c r="BC936" s="180"/>
      <c r="BD936" s="180"/>
      <c r="BE936" s="180"/>
      <c r="BF936" s="180"/>
      <c r="BG936" s="180"/>
      <c r="BH936" s="180"/>
      <c r="BI936" s="180"/>
      <c r="BJ936" s="180"/>
      <c r="BK936" s="180"/>
      <c r="BL936" s="180"/>
      <c r="BM936" s="180"/>
      <c r="BN936" s="180"/>
      <c r="BO936" s="180"/>
      <c r="BP936" s="180"/>
      <c r="BQ936" s="180"/>
      <c r="BR936" s="180"/>
      <c r="BS936" s="180"/>
    </row>
    <row r="937" spans="1:71" s="514" customFormat="1" ht="15.9" customHeight="1" x14ac:dyDescent="0.3">
      <c r="A937" s="17" t="s">
        <v>2733</v>
      </c>
      <c r="B937" s="17" t="s">
        <v>2715</v>
      </c>
      <c r="C937" s="174">
        <v>44817</v>
      </c>
      <c r="D937" s="5" t="s">
        <v>256</v>
      </c>
      <c r="E937" s="5" t="s">
        <v>1150</v>
      </c>
      <c r="F937" s="175" t="s">
        <v>2734</v>
      </c>
      <c r="G937" s="15" t="s">
        <v>346</v>
      </c>
      <c r="H937" s="176" t="s">
        <v>341</v>
      </c>
      <c r="I937" s="17" t="s">
        <v>2735</v>
      </c>
      <c r="J937" s="113" t="str">
        <f>VLOOKUP($I937,'Price List, Weapons &amp; Items'!B:C,2,0)</f>
        <v>Humanitarian</v>
      </c>
      <c r="K937" s="113" t="str">
        <f>IF(I937=".",I937,VLOOKUP($I937,'Price List, Weapons &amp; Items'!B:D,3,0))</f>
        <v>Humanitarian</v>
      </c>
      <c r="L937" s="177">
        <f>VLOOKUP(I937,'Price List, Weapons &amp; Items'!B:E,4,0)</f>
        <v>0</v>
      </c>
      <c r="M937" s="542">
        <v>500000</v>
      </c>
      <c r="N937" s="542" t="s">
        <v>270</v>
      </c>
      <c r="O937" s="543">
        <f>VLOOKUP($I937,'Price List, Weapons &amp; Items'!B:G,6,0)</f>
        <v>19.5</v>
      </c>
      <c r="P937" s="176">
        <f t="shared" si="176"/>
        <v>9750000</v>
      </c>
      <c r="Q937" s="176" t="str">
        <f t="shared" si="177"/>
        <v>.</v>
      </c>
      <c r="R937" s="176">
        <f t="shared" si="186"/>
        <v>9750000</v>
      </c>
      <c r="S937" s="176">
        <f>IF(AND(AD937=1,R937&lt;&gt;".")=TRUE,R937/VLOOKUP(G937,'Exchange Rates'!B:C,2,0),IF(R937=".",".",""))</f>
        <v>9285714.2857142854</v>
      </c>
      <c r="T937" s="176" t="str">
        <f>IF(AD937=1,IF(AF937="Value is not given at all",".",IF(AF937="Value is given by the source",S937,IF(AF937="Value is calculated with prices",(IF(SUMIFS(Q:Q,A:A,A937)&gt;0,SUMIFS(Q:Q,A:A,A937),"."))/VLOOKUP("USD",'Exchange Rates'!B:C,2,0),"Error with coding"))),"")</f>
        <v>.</v>
      </c>
      <c r="U937" s="15" t="s">
        <v>261</v>
      </c>
      <c r="V937" s="300" t="s">
        <v>2736</v>
      </c>
      <c r="W937" s="175" t="s">
        <v>260</v>
      </c>
      <c r="X937" s="175" t="s">
        <v>260</v>
      </c>
      <c r="Y937" s="175" t="s">
        <v>260</v>
      </c>
      <c r="Z937" s="15">
        <v>0</v>
      </c>
      <c r="AA937" s="180">
        <v>0</v>
      </c>
      <c r="AB937" s="17" t="s">
        <v>260</v>
      </c>
      <c r="AC937" s="544" t="str">
        <f>""</f>
        <v/>
      </c>
      <c r="AD937" s="183">
        <v>1</v>
      </c>
      <c r="AE937" s="183" t="s">
        <v>332</v>
      </c>
      <c r="AF937" s="183" t="s">
        <v>265</v>
      </c>
      <c r="AG937" s="183">
        <v>1</v>
      </c>
      <c r="AH937" s="181">
        <v>9</v>
      </c>
      <c r="AI937" s="181">
        <v>0</v>
      </c>
      <c r="AJ937" s="181">
        <f>VLOOKUP($I937,'Price List, Weapons &amp; Items'!B:F,5,0)</f>
        <v>0</v>
      </c>
      <c r="AK937" s="181">
        <f t="shared" si="178"/>
        <v>0</v>
      </c>
      <c r="AL937" s="181">
        <f t="shared" si="179"/>
        <v>0</v>
      </c>
      <c r="AM937" s="181">
        <f t="shared" si="180"/>
        <v>0</v>
      </c>
      <c r="AN937" s="180" t="str">
        <f>VLOOKUP($I937,'Price List, Weapons &amp; Items'!B:L,COLUMN('Price List, Weapons &amp; Items'!$J$11)-1,0)</f>
        <v>Media reports (incl. social media)</v>
      </c>
      <c r="AO937" s="180" t="str">
        <f>IF(I937=".",".",VLOOKUP($I937,'Price List, Weapons &amp; Items'!B:J,3,0))</f>
        <v>Humanitarian</v>
      </c>
      <c r="AP937" s="545" t="e">
        <f t="shared" ca="1" si="187"/>
        <v>#NAME?</v>
      </c>
      <c r="AQ937" s="180">
        <f>VLOOKUP($I937,'Price List, Weapons &amp; Items'!B:L,COLUMN('Price List, Weapons &amp; Items'!$L$11)-1,0)</f>
        <v>0</v>
      </c>
      <c r="AR937" s="180">
        <f t="shared" si="181"/>
        <v>1</v>
      </c>
      <c r="AS937" s="180">
        <f t="shared" si="182"/>
        <v>0</v>
      </c>
      <c r="AT937" s="180">
        <f t="shared" si="183"/>
        <v>1</v>
      </c>
      <c r="AU937" s="180" t="str">
        <f t="shared" si="184"/>
        <v>.</v>
      </c>
      <c r="AV937" s="180" t="str">
        <f t="shared" si="185"/>
        <v>.</v>
      </c>
      <c r="AW937" s="180">
        <f>IFERROR(VLOOKUP(B937,'Share, Heavy Weapons to Ukraine'!B:J,COLUMN('Share, Heavy Weapons to Ukraine'!C950)-1,0),0)</f>
        <v>0</v>
      </c>
      <c r="AX937" s="180">
        <f>VLOOKUP('Bilateral Assistance, MAIN DATA'!B937,'Country Summary'!B:F,COLUMN('Country Summary'!C953)-1,FALSE)</f>
        <v>1</v>
      </c>
      <c r="AY937" s="180" t="str">
        <f>IF(AND(AD937=1,D937="Military",H937&lt;&gt;"Not given")=TRUE,IF(SUMIFS(P:P,A:A,A937)&gt;0,ABS((SUMIFS(P:P,A:A,A937)/VLOOKUP("USD",'Exchange Rates'!B:C,2,0)))/S937,"."),".")</f>
        <v>.</v>
      </c>
      <c r="AZ937" s="182" t="str">
        <f>IF(AND(AD937=1,D937="Military",H937&lt;&gt;"Not given")=TRUE,IF(SUMIFS(P:P,A:A,A937)&gt;0,IF((ABS((SUMIFS(P:P,A:A,A937)/VLOOKUP("USD",'Exchange Rates'!B:C,2,0)))/S937)&gt;1,(SUMIFS(P:P,A:A,A937)-S937)/S937,(S937-SUMIFS(P:P,A:A,A937))/SUMIFS(P:P,A:A,A937)),"."),".")</f>
        <v>.</v>
      </c>
      <c r="BA937" s="180"/>
      <c r="BB937" s="180"/>
      <c r="BC937" s="180"/>
      <c r="BD937" s="180"/>
      <c r="BE937" s="180"/>
      <c r="BF937" s="180"/>
      <c r="BG937" s="180"/>
      <c r="BH937" s="180"/>
      <c r="BI937" s="180"/>
      <c r="BJ937" s="180"/>
      <c r="BK937" s="180"/>
      <c r="BL937" s="180"/>
      <c r="BM937" s="180"/>
      <c r="BN937" s="180"/>
      <c r="BO937" s="180"/>
      <c r="BP937" s="180"/>
      <c r="BQ937" s="180"/>
      <c r="BR937" s="180"/>
      <c r="BS937" s="180"/>
    </row>
    <row r="938" spans="1:71" s="514" customFormat="1" ht="15.9" customHeight="1" x14ac:dyDescent="0.3">
      <c r="A938" s="17" t="s">
        <v>2737</v>
      </c>
      <c r="B938" s="17" t="s">
        <v>2715</v>
      </c>
      <c r="C938" s="174">
        <v>44881</v>
      </c>
      <c r="D938" s="5" t="s">
        <v>256</v>
      </c>
      <c r="E938" s="5" t="s">
        <v>554</v>
      </c>
      <c r="F938" s="175" t="s">
        <v>2738</v>
      </c>
      <c r="G938" s="15" t="s">
        <v>2721</v>
      </c>
      <c r="H938" s="176">
        <v>170000000</v>
      </c>
      <c r="I938" s="17" t="s">
        <v>260</v>
      </c>
      <c r="J938" s="113" t="str">
        <f>VLOOKUP($I938,'Price List, Weapons &amp; Items'!B:C,2,0)</f>
        <v>.</v>
      </c>
      <c r="K938" s="113" t="str">
        <f>IF(I938=".",I938,VLOOKUP($I938,'Price List, Weapons &amp; Items'!B:D,3,0))</f>
        <v>.</v>
      </c>
      <c r="L938" s="177">
        <f>VLOOKUP(I938,'Price List, Weapons &amp; Items'!B:E,4,0)</f>
        <v>0</v>
      </c>
      <c r="M938" s="542" t="s">
        <v>260</v>
      </c>
      <c r="N938" s="542" t="s">
        <v>260</v>
      </c>
      <c r="O938" s="543" t="str">
        <f>VLOOKUP($I938,'Price List, Weapons &amp; Items'!B:G,6,0)</f>
        <v>.</v>
      </c>
      <c r="P938" s="176" t="str">
        <f t="shared" si="176"/>
        <v>.</v>
      </c>
      <c r="Q938" s="176" t="str">
        <f t="shared" si="177"/>
        <v>.</v>
      </c>
      <c r="R938" s="176">
        <f t="shared" si="186"/>
        <v>170000000</v>
      </c>
      <c r="S938" s="176">
        <f>IF(AND(AD938=1,R938&lt;&gt;".")=TRUE,R938/VLOOKUP(G938,'Exchange Rates'!B:C,2,0),IF(R938=".",".",""))</f>
        <v>15599192.512387594</v>
      </c>
      <c r="T938" s="176" t="str">
        <f>IF(AD938=1,IF(AF938="Value is not given at all",".",IF(AF938="Value is given by the source",S938,IF(AF938="Value is calculated with prices",(IF(SUMIFS(Q:Q,A:A,A938)&gt;0,SUMIFS(Q:Q,A:A,A938),"."))/VLOOKUP("USD",'Exchange Rates'!B:C,2,0),"Error with coding"))),"")</f>
        <v>.</v>
      </c>
      <c r="U938" s="15" t="s">
        <v>261</v>
      </c>
      <c r="V938" s="300" t="s">
        <v>2739</v>
      </c>
      <c r="W938" s="144" t="s">
        <v>260</v>
      </c>
      <c r="X938" s="144" t="s">
        <v>260</v>
      </c>
      <c r="Y938" s="668" t="s">
        <v>260</v>
      </c>
      <c r="Z938" s="15">
        <v>0</v>
      </c>
      <c r="AA938" s="180">
        <v>0</v>
      </c>
      <c r="AB938" s="669" t="s">
        <v>260</v>
      </c>
      <c r="AC938" s="544" t="str">
        <f>""</f>
        <v/>
      </c>
      <c r="AD938" s="183">
        <v>1</v>
      </c>
      <c r="AE938" s="183" t="s">
        <v>264</v>
      </c>
      <c r="AF938" s="183" t="s">
        <v>265</v>
      </c>
      <c r="AG938" s="183">
        <v>1</v>
      </c>
      <c r="AH938" s="181">
        <v>11</v>
      </c>
      <c r="AI938" s="181">
        <v>0</v>
      </c>
      <c r="AJ938" s="181">
        <f>VLOOKUP($I938,'Price List, Weapons &amp; Items'!B:F,5,0)</f>
        <v>0</v>
      </c>
      <c r="AK938" s="181">
        <f t="shared" si="178"/>
        <v>0</v>
      </c>
      <c r="AL938" s="181">
        <f t="shared" si="179"/>
        <v>0</v>
      </c>
      <c r="AM938" s="181">
        <f t="shared" si="180"/>
        <v>0</v>
      </c>
      <c r="AN938" s="180" t="str">
        <f>VLOOKUP($I938,'Price List, Weapons &amp; Items'!B:L,COLUMN('Price List, Weapons &amp; Items'!$J$11)-1,0)</f>
        <v>.</v>
      </c>
      <c r="AO938" s="180" t="str">
        <f>IF(I938=".",".",VLOOKUP($I938,'Price List, Weapons &amp; Items'!B:J,3,0))</f>
        <v>.</v>
      </c>
      <c r="AP938" s="545" t="e">
        <f t="shared" ca="1" si="187"/>
        <v>#NAME?</v>
      </c>
      <c r="AQ938" s="180" t="str">
        <f>VLOOKUP($I938,'Price List, Weapons &amp; Items'!B:L,COLUMN('Price List, Weapons &amp; Items'!$L$11)-1,0)</f>
        <v>no price, 0 count</v>
      </c>
      <c r="AR938" s="180">
        <f t="shared" si="181"/>
        <v>1</v>
      </c>
      <c r="AS938" s="180">
        <f t="shared" si="182"/>
        <v>0</v>
      </c>
      <c r="AT938" s="180">
        <f t="shared" si="183"/>
        <v>1</v>
      </c>
      <c r="AU938" s="180" t="str">
        <f t="shared" si="184"/>
        <v>.</v>
      </c>
      <c r="AV938" s="180" t="str">
        <f t="shared" si="185"/>
        <v>.</v>
      </c>
      <c r="AW938" s="180">
        <f>IFERROR(VLOOKUP(B938,'Share, Heavy Weapons to Ukraine'!B:J,COLUMN('Share, Heavy Weapons to Ukraine'!C951)-1,0),0)</f>
        <v>0</v>
      </c>
      <c r="AX938" s="180">
        <f>VLOOKUP('Bilateral Assistance, MAIN DATA'!B938,'Country Summary'!B:F,COLUMN('Country Summary'!C954)-1,FALSE)</f>
        <v>1</v>
      </c>
      <c r="AY938" s="180" t="str">
        <f>IF(AND(AD938=1,D938="Military",H938&lt;&gt;"Not given")=TRUE,IF(SUMIFS(P:P,A:A,A938)&gt;0,ABS((SUMIFS(P:P,A:A,A938)/VLOOKUP("USD",'Exchange Rates'!B:C,2,0)))/S938,"."),".")</f>
        <v>.</v>
      </c>
      <c r="AZ938" s="182" t="str">
        <f>IF(AND(AD938=1,D938="Military",H938&lt;&gt;"Not given")=TRUE,IF(SUMIFS(P:P,A:A,A938)&gt;0,IF((ABS((SUMIFS(P:P,A:A,A938)/VLOOKUP("USD",'Exchange Rates'!B:C,2,0)))/S938)&gt;1,(SUMIFS(P:P,A:A,A938)-S938)/S938,(S938-SUMIFS(P:P,A:A,A938))/SUMIFS(P:P,A:A,A938)),"."),".")</f>
        <v>.</v>
      </c>
      <c r="BA938" s="180"/>
      <c r="BB938" s="180"/>
      <c r="BC938" s="180"/>
      <c r="BD938" s="180"/>
      <c r="BE938" s="180"/>
      <c r="BF938" s="180"/>
      <c r="BG938" s="180"/>
      <c r="BH938" s="180"/>
      <c r="BI938" s="180"/>
      <c r="BJ938" s="180"/>
      <c r="BK938" s="180"/>
      <c r="BL938" s="180"/>
      <c r="BM938" s="180"/>
      <c r="BN938" s="180"/>
      <c r="BO938" s="180"/>
      <c r="BP938" s="180"/>
      <c r="BQ938" s="180"/>
      <c r="BR938" s="180"/>
      <c r="BS938" s="180"/>
    </row>
    <row r="939" spans="1:71" ht="15.9" customHeight="1" x14ac:dyDescent="0.3">
      <c r="A939" s="5" t="s">
        <v>2740</v>
      </c>
      <c r="B939" s="5" t="s">
        <v>2715</v>
      </c>
      <c r="C939" s="174">
        <v>44619</v>
      </c>
      <c r="D939" s="5" t="s">
        <v>285</v>
      </c>
      <c r="E939" s="5" t="s">
        <v>286</v>
      </c>
      <c r="F939" s="175" t="s">
        <v>2741</v>
      </c>
      <c r="G939" s="15" t="s">
        <v>2721</v>
      </c>
      <c r="H939" s="176">
        <v>400000000</v>
      </c>
      <c r="I939" s="17" t="s">
        <v>463</v>
      </c>
      <c r="J939" s="113" t="str">
        <f>VLOOKUP($I939,'Price List, Weapons &amp; Items'!B:C,2,0)</f>
        <v>Military equipment</v>
      </c>
      <c r="K939" s="113" t="str">
        <f>IF(I939=".",I939,VLOOKUP($I939,'Price List, Weapons &amp; Items'!B:D,3,0))</f>
        <v>Military equipment</v>
      </c>
      <c r="L939" s="177">
        <f>VLOOKUP(I939,'Price List, Weapons &amp; Items'!B:E,4,0)</f>
        <v>0</v>
      </c>
      <c r="M939" s="542">
        <v>5000</v>
      </c>
      <c r="N939" s="542">
        <v>5000</v>
      </c>
      <c r="O939" s="543">
        <f>VLOOKUP($I939,'Price List, Weapons &amp; Items'!B:G,6,0)</f>
        <v>1400</v>
      </c>
      <c r="P939" s="176">
        <f t="shared" si="176"/>
        <v>7000000</v>
      </c>
      <c r="Q939" s="176">
        <f t="shared" si="177"/>
        <v>7000000</v>
      </c>
      <c r="R939" s="176">
        <f t="shared" si="186"/>
        <v>400000000</v>
      </c>
      <c r="S939" s="176">
        <f>IF(AND(AD939=1,R939&lt;&gt;".")=TRUE,R939/VLOOKUP(G939,'Exchange Rates'!B:C,2,0),IF(R939=".",".",""))</f>
        <v>36703982.38208846</v>
      </c>
      <c r="T939" s="176">
        <f>IF(AD939=1,IF(AF939="Value is not given at all",".",IF(AF939="Value is given by the source",S939,IF(AF939="Value is calculated with prices",(IF(SUMIFS(Q:Q,A:A,A939)&gt;0,SUMIFS(Q:Q,A:A,A939),"."))/VLOOKUP("USD",'Exchange Rates'!B:C,2,0),"Error with coding"))),"")</f>
        <v>36703982.38208846</v>
      </c>
      <c r="U939" s="15" t="s">
        <v>261</v>
      </c>
      <c r="V939" s="547" t="s">
        <v>2742</v>
      </c>
      <c r="W939" s="547" t="s">
        <v>2743</v>
      </c>
      <c r="X939" s="547" t="s">
        <v>2744</v>
      </c>
      <c r="Y939" s="188" t="s">
        <v>260</v>
      </c>
      <c r="Z939" s="15">
        <v>0</v>
      </c>
      <c r="AA939" s="180">
        <v>0</v>
      </c>
      <c r="AB939" s="549" t="s">
        <v>2745</v>
      </c>
      <c r="AC939" s="544" t="str">
        <f>""</f>
        <v/>
      </c>
      <c r="AD939" s="181">
        <v>1</v>
      </c>
      <c r="AE939" s="181" t="s">
        <v>264</v>
      </c>
      <c r="AF939" s="181" t="s">
        <v>264</v>
      </c>
      <c r="AG939" s="181">
        <v>1</v>
      </c>
      <c r="AH939" s="181">
        <v>2</v>
      </c>
      <c r="AI939" s="181">
        <v>0</v>
      </c>
      <c r="AJ939" s="181">
        <f>VLOOKUP($I939,'Price List, Weapons &amp; Items'!B:F,5,0)</f>
        <v>0</v>
      </c>
      <c r="AK939" s="181">
        <f t="shared" si="178"/>
        <v>0</v>
      </c>
      <c r="AL939" s="181">
        <f t="shared" si="179"/>
        <v>0</v>
      </c>
      <c r="AM939" s="181">
        <f t="shared" si="180"/>
        <v>0</v>
      </c>
      <c r="AN939" s="180" t="str">
        <f>VLOOKUP($I939,'Price List, Weapons &amp; Items'!B:L,COLUMN('Price List, Weapons &amp; Items'!$J$11)-1,0)</f>
        <v>Military media (incl. websites)</v>
      </c>
      <c r="AO939" s="180" t="str">
        <f>IF(I939=".",".",VLOOKUP($I939,'Price List, Weapons &amp; Items'!B:J,3,0))</f>
        <v>Military equipment</v>
      </c>
      <c r="AP939" s="545" t="e">
        <f t="shared" ca="1" si="187"/>
        <v>#NAME?</v>
      </c>
      <c r="AQ939" s="180">
        <f>VLOOKUP($I939,'Price List, Weapons &amp; Items'!B:L,COLUMN('Price List, Weapons &amp; Items'!$L$11)-1,0)</f>
        <v>2</v>
      </c>
      <c r="AR939" s="180">
        <f t="shared" si="181"/>
        <v>1</v>
      </c>
      <c r="AS939" s="180">
        <f t="shared" si="182"/>
        <v>1</v>
      </c>
      <c r="AT939" s="180">
        <f t="shared" si="183"/>
        <v>1</v>
      </c>
      <c r="AU939" s="180" t="str">
        <f t="shared" si="184"/>
        <v>.</v>
      </c>
      <c r="AV939" s="180" t="str">
        <f t="shared" si="185"/>
        <v>.</v>
      </c>
      <c r="AW939" s="180">
        <f>IFERROR(VLOOKUP(B939,'Share, Heavy Weapons to Ukraine'!B:J,COLUMN('Share, Heavy Weapons to Ukraine'!C952)-1,0),0)</f>
        <v>0</v>
      </c>
      <c r="AX939" s="180">
        <f>VLOOKUP('Bilateral Assistance, MAIN DATA'!B939,'Country Summary'!B:F,COLUMN('Country Summary'!C955)-1,FALSE)</f>
        <v>1</v>
      </c>
      <c r="AY939" s="180">
        <f>IF(AND(AD939=1,D939="Military",H939&lt;&gt;"Not given")=TRUE,IF(SUMIFS(P:P,A:A,A939)&gt;0,ABS((SUMIFS(P:P,A:A,A939)/VLOOKUP("USD",'Exchange Rates'!B:C,2,0)))/S939,"."),".")</f>
        <v>0.5156622228571428</v>
      </c>
      <c r="AZ939" s="182">
        <f>IF(AND(AD939=1,D939="Military",H939&lt;&gt;"Not given")=TRUE,IF(SUMIFS(P:P,A:A,A939)&gt;0,IF((ABS((SUMIFS(P:P,A:A,A939)/VLOOKUP("USD",'Exchange Rates'!B:C,2,0)))/S939)&gt;1,(SUMIFS(P:P,A:A,A939)-S939)/S939,(S939-SUMIFS(P:P,A:A,A939))/SUMIFS(P:P,A:A,A939)),"."),".")</f>
        <v>0.84690851911561604</v>
      </c>
      <c r="BA939" s="182"/>
      <c r="BB939" s="182"/>
      <c r="BC939" s="182"/>
      <c r="BD939" s="182"/>
      <c r="BE939" s="182"/>
      <c r="BF939" s="182"/>
      <c r="BG939" s="182"/>
      <c r="BH939" s="182"/>
      <c r="BI939" s="182"/>
      <c r="BJ939" s="182"/>
      <c r="BK939" s="182"/>
      <c r="BL939" s="182"/>
      <c r="BM939" s="182"/>
      <c r="BN939" s="182"/>
      <c r="BO939" s="182"/>
      <c r="BP939" s="182"/>
      <c r="BQ939" s="182"/>
      <c r="BR939" s="182"/>
      <c r="BS939" s="182"/>
    </row>
    <row r="940" spans="1:71" ht="15.9" customHeight="1" x14ac:dyDescent="0.3">
      <c r="A940" s="5" t="s">
        <v>2740</v>
      </c>
      <c r="B940" s="5" t="s">
        <v>2715</v>
      </c>
      <c r="C940" s="174">
        <v>44619</v>
      </c>
      <c r="D940" s="5" t="s">
        <v>285</v>
      </c>
      <c r="E940" s="5" t="s">
        <v>286</v>
      </c>
      <c r="F940" s="175" t="s">
        <v>2741</v>
      </c>
      <c r="G940" s="15" t="s">
        <v>2721</v>
      </c>
      <c r="H940" s="176">
        <v>400000000</v>
      </c>
      <c r="I940" s="17" t="s">
        <v>499</v>
      </c>
      <c r="J940" s="113" t="str">
        <f>VLOOKUP($I940,'Price List, Weapons &amp; Items'!B:C,2,0)</f>
        <v>Military equipment</v>
      </c>
      <c r="K940" s="113" t="str">
        <f>IF(I940=".",I940,VLOOKUP($I940,'Price List, Weapons &amp; Items'!B:D,3,0))</f>
        <v>Military equipment</v>
      </c>
      <c r="L940" s="177">
        <f>VLOOKUP(I940,'Price List, Weapons &amp; Items'!B:E,4,0)</f>
        <v>0</v>
      </c>
      <c r="M940" s="542">
        <v>5000</v>
      </c>
      <c r="N940" s="542">
        <v>5000</v>
      </c>
      <c r="O940" s="543">
        <f>VLOOKUP($I940,'Price List, Weapons &amp; Items'!B:G,6,0)</f>
        <v>500</v>
      </c>
      <c r="P940" s="176">
        <f t="shared" si="176"/>
        <v>2500000</v>
      </c>
      <c r="Q940" s="176">
        <f t="shared" si="177"/>
        <v>2500000</v>
      </c>
      <c r="R940" s="176" t="str">
        <f t="shared" si="186"/>
        <v/>
      </c>
      <c r="S940" s="176" t="str">
        <f>IF(AND(AD940=1,R940&lt;&gt;".")=TRUE,R940/VLOOKUP(G940,'Exchange Rates'!B:C,2,0),IF(R940=".",".",""))</f>
        <v/>
      </c>
      <c r="T940" s="176" t="str">
        <f>IF(AD940=1,IF(AF940="Value is not given at all",".",IF(AF940="Value is given by the source",S940,IF(AF940="Value is calculated with prices",(IF(SUMIFS(Q:Q,A:A,A940)&gt;0,SUMIFS(Q:Q,A:A,A940),"."))/VLOOKUP("USD",'Exchange Rates'!B:C,2,0),"Error with coding"))),"")</f>
        <v/>
      </c>
      <c r="U940" s="15" t="s">
        <v>261</v>
      </c>
      <c r="V940" s="547" t="s">
        <v>2742</v>
      </c>
      <c r="W940" s="547" t="s">
        <v>2743</v>
      </c>
      <c r="X940" s="547" t="s">
        <v>2744</v>
      </c>
      <c r="Y940" s="188" t="s">
        <v>260</v>
      </c>
      <c r="Z940" s="15">
        <v>0</v>
      </c>
      <c r="AA940" s="180">
        <v>0</v>
      </c>
      <c r="AB940" s="549" t="s">
        <v>2745</v>
      </c>
      <c r="AC940" s="544" t="str">
        <f>""</f>
        <v/>
      </c>
      <c r="AD940" s="181">
        <v>0</v>
      </c>
      <c r="AE940" s="181" t="s">
        <v>264</v>
      </c>
      <c r="AF940" s="181" t="s">
        <v>264</v>
      </c>
      <c r="AG940" s="181">
        <v>1</v>
      </c>
      <c r="AH940" s="181">
        <v>2</v>
      </c>
      <c r="AI940" s="181">
        <v>0</v>
      </c>
      <c r="AJ940" s="181">
        <f>VLOOKUP($I940,'Price List, Weapons &amp; Items'!B:F,5,0)</f>
        <v>0</v>
      </c>
      <c r="AK940" s="181">
        <f t="shared" si="178"/>
        <v>0</v>
      </c>
      <c r="AL940" s="181">
        <f t="shared" si="179"/>
        <v>0</v>
      </c>
      <c r="AM940" s="181">
        <f t="shared" si="180"/>
        <v>0</v>
      </c>
      <c r="AN940" s="180" t="str">
        <f>VLOOKUP($I940,'Price List, Weapons &amp; Items'!B:L,COLUMN('Price List, Weapons &amp; Items'!$J$11)-1,0)</f>
        <v>Military media (incl. websites)</v>
      </c>
      <c r="AO940" s="180" t="str">
        <f>IF(I940=".",".",VLOOKUP($I940,'Price List, Weapons &amp; Items'!B:J,3,0))</f>
        <v>Military equipment</v>
      </c>
      <c r="AP940" s="545" t="str">
        <f t="shared" ca="1" si="187"/>
        <v/>
      </c>
      <c r="AQ940" s="180">
        <f>VLOOKUP($I940,'Price List, Weapons &amp; Items'!B:L,COLUMN('Price List, Weapons &amp; Items'!$L$11)-1,0)</f>
        <v>2</v>
      </c>
      <c r="AR940" s="180">
        <f t="shared" si="181"/>
        <v>1</v>
      </c>
      <c r="AS940" s="180">
        <f t="shared" si="182"/>
        <v>1</v>
      </c>
      <c r="AT940" s="180">
        <f t="shared" si="183"/>
        <v>1</v>
      </c>
      <c r="AU940" s="180" t="str">
        <f t="shared" si="184"/>
        <v>.</v>
      </c>
      <c r="AV940" s="180" t="str">
        <f t="shared" si="185"/>
        <v>.</v>
      </c>
      <c r="AW940" s="180">
        <f>IFERROR(VLOOKUP(B940,'Share, Heavy Weapons to Ukraine'!B:J,COLUMN('Share, Heavy Weapons to Ukraine'!C953)-1,0),0)</f>
        <v>0</v>
      </c>
      <c r="AX940" s="180">
        <f>VLOOKUP('Bilateral Assistance, MAIN DATA'!B940,'Country Summary'!B:F,COLUMN('Country Summary'!C956)-1,FALSE)</f>
        <v>1</v>
      </c>
      <c r="AY940" s="180" t="str">
        <f>IF(AND(AD940=1,D940="Military",H940&lt;&gt;"Not given")=TRUE,IF(SUMIFS(P:P,A:A,A940)&gt;0,ABS((SUMIFS(P:P,A:A,A940)/VLOOKUP("USD",'Exchange Rates'!B:C,2,0)))/S940,"."),".")</f>
        <v>.</v>
      </c>
      <c r="AZ940" s="182" t="str">
        <f>IF(AND(AD940=1,D940="Military",H940&lt;&gt;"Not given")=TRUE,IF(SUMIFS(P:P,A:A,A940)&gt;0,IF((ABS((SUMIFS(P:P,A:A,A940)/VLOOKUP("USD",'Exchange Rates'!B:C,2,0)))/S940)&gt;1,(SUMIFS(P:P,A:A,A940)-S940)/S940,(S940-SUMIFS(P:P,A:A,A940))/SUMIFS(P:P,A:A,A940)),"."),".")</f>
        <v>.</v>
      </c>
      <c r="BA940" s="182"/>
      <c r="BB940" s="182"/>
      <c r="BC940" s="182"/>
      <c r="BD940" s="182"/>
      <c r="BE940" s="182"/>
      <c r="BF940" s="182"/>
      <c r="BG940" s="182"/>
      <c r="BH940" s="182"/>
      <c r="BI940" s="182"/>
      <c r="BJ940" s="182"/>
      <c r="BK940" s="182"/>
      <c r="BL940" s="182"/>
      <c r="BM940" s="182"/>
      <c r="BN940" s="182"/>
      <c r="BO940" s="182"/>
      <c r="BP940" s="182"/>
      <c r="BQ940" s="182"/>
      <c r="BR940" s="182"/>
      <c r="BS940" s="182"/>
    </row>
    <row r="941" spans="1:71" ht="15.9" customHeight="1" x14ac:dyDescent="0.3">
      <c r="A941" s="5" t="s">
        <v>2740</v>
      </c>
      <c r="B941" s="5" t="s">
        <v>2715</v>
      </c>
      <c r="C941" s="174">
        <v>44619</v>
      </c>
      <c r="D941" s="5" t="s">
        <v>285</v>
      </c>
      <c r="E941" s="5" t="s">
        <v>286</v>
      </c>
      <c r="F941" s="175" t="s">
        <v>2741</v>
      </c>
      <c r="G941" s="15" t="s">
        <v>2721</v>
      </c>
      <c r="H941" s="176">
        <v>400000000</v>
      </c>
      <c r="I941" s="17" t="s">
        <v>2746</v>
      </c>
      <c r="J941" s="113" t="str">
        <f>VLOOKUP($I941,'Price List, Weapons &amp; Items'!B:C,2,0)</f>
        <v>Portable defence system</v>
      </c>
      <c r="K941" s="113" t="str">
        <f>IF(I941=".",I941,VLOOKUP($I941,'Price List, Weapons &amp; Items'!B:D,3,0))</f>
        <v>MANPADS</v>
      </c>
      <c r="L941" s="177">
        <f>VLOOKUP(I941,'Price List, Weapons &amp; Items'!B:E,4,0)</f>
        <v>0</v>
      </c>
      <c r="M941" s="542">
        <v>5000</v>
      </c>
      <c r="N941" s="542">
        <v>5000</v>
      </c>
      <c r="O941" s="543">
        <f>VLOOKUP($I941,'Price List, Weapons &amp; Items'!B:G,6,0)</f>
        <v>1480.64</v>
      </c>
      <c r="P941" s="176">
        <f t="shared" si="176"/>
        <v>7403200.0000000009</v>
      </c>
      <c r="Q941" s="176">
        <f t="shared" si="177"/>
        <v>7403200.0000000009</v>
      </c>
      <c r="R941" s="176" t="str">
        <f t="shared" si="186"/>
        <v/>
      </c>
      <c r="S941" s="176" t="str">
        <f>IF(AND(AD941=1,R941&lt;&gt;".")=TRUE,R941/VLOOKUP(G941,'Exchange Rates'!B:C,2,0),IF(R941=".",".",""))</f>
        <v/>
      </c>
      <c r="T941" s="176" t="str">
        <f>IF(AD941=1,IF(AF941="Value is not given at all",".",IF(AF941="Value is given by the source",S941,IF(AF941="Value is calculated with prices",(IF(SUMIFS(Q:Q,A:A,A941)&gt;0,SUMIFS(Q:Q,A:A,A941),"."))/VLOOKUP("USD",'Exchange Rates'!B:C,2,0),"Error with coding"))),"")</f>
        <v/>
      </c>
      <c r="U941" s="15" t="s">
        <v>261</v>
      </c>
      <c r="V941" s="547" t="s">
        <v>2742</v>
      </c>
      <c r="W941" s="547" t="s">
        <v>2743</v>
      </c>
      <c r="X941" s="547" t="s">
        <v>2744</v>
      </c>
      <c r="Y941" s="188" t="s">
        <v>260</v>
      </c>
      <c r="Z941" s="15">
        <v>0</v>
      </c>
      <c r="AA941" s="180">
        <v>0</v>
      </c>
      <c r="AB941" s="549" t="s">
        <v>2745</v>
      </c>
      <c r="AC941" s="544" t="str">
        <f>""</f>
        <v/>
      </c>
      <c r="AD941" s="181">
        <v>0</v>
      </c>
      <c r="AE941" s="181" t="s">
        <v>264</v>
      </c>
      <c r="AF941" s="181" t="s">
        <v>264</v>
      </c>
      <c r="AG941" s="181">
        <v>1</v>
      </c>
      <c r="AH941" s="181">
        <v>2</v>
      </c>
      <c r="AI941" s="181">
        <v>0</v>
      </c>
      <c r="AJ941" s="181">
        <f>VLOOKUP($I941,'Price List, Weapons &amp; Items'!B:F,5,0)</f>
        <v>0</v>
      </c>
      <c r="AK941" s="181">
        <f t="shared" si="178"/>
        <v>0</v>
      </c>
      <c r="AL941" s="181">
        <f t="shared" si="179"/>
        <v>0</v>
      </c>
      <c r="AM941" s="181">
        <f t="shared" si="180"/>
        <v>0</v>
      </c>
      <c r="AN941" s="180" t="str">
        <f>VLOOKUP($I941,'Price List, Weapons &amp; Items'!B:L,COLUMN('Price List, Weapons &amp; Items'!$J$11)-1,0)</f>
        <v>Military media (incl. websites)</v>
      </c>
      <c r="AO941" s="180" t="str">
        <f>IF(I941=".",".",VLOOKUP($I941,'Price List, Weapons &amp; Items'!B:J,3,0))</f>
        <v>MANPADS</v>
      </c>
      <c r="AP941" s="545" t="str">
        <f t="shared" ca="1" si="187"/>
        <v/>
      </c>
      <c r="AQ941" s="180">
        <f>VLOOKUP($I941,'Price List, Weapons &amp; Items'!B:L,COLUMN('Price List, Weapons &amp; Items'!$L$11)-1,0)</f>
        <v>2</v>
      </c>
      <c r="AR941" s="180">
        <f t="shared" si="181"/>
        <v>1</v>
      </c>
      <c r="AS941" s="180">
        <f t="shared" si="182"/>
        <v>1</v>
      </c>
      <c r="AT941" s="180">
        <f t="shared" si="183"/>
        <v>1</v>
      </c>
      <c r="AU941" s="180" t="str">
        <f t="shared" si="184"/>
        <v>.</v>
      </c>
      <c r="AV941" s="180" t="str">
        <f t="shared" si="185"/>
        <v>.</v>
      </c>
      <c r="AW941" s="180">
        <f>IFERROR(VLOOKUP(B941,'Share, Heavy Weapons to Ukraine'!B:J,COLUMN('Share, Heavy Weapons to Ukraine'!C954)-1,0),0)</f>
        <v>0</v>
      </c>
      <c r="AX941" s="180">
        <f>VLOOKUP('Bilateral Assistance, MAIN DATA'!B941,'Country Summary'!B:F,COLUMN('Country Summary'!C957)-1,FALSE)</f>
        <v>1</v>
      </c>
      <c r="AY941" s="180" t="str">
        <f>IF(AND(AD941=1,D941="Military",H941&lt;&gt;"Not given")=TRUE,IF(SUMIFS(P:P,A:A,A941)&gt;0,ABS((SUMIFS(P:P,A:A,A941)/VLOOKUP("USD",'Exchange Rates'!B:C,2,0)))/S941,"."),".")</f>
        <v>.</v>
      </c>
      <c r="AZ941" s="182" t="str">
        <f>IF(AND(AD941=1,D941="Military",H941&lt;&gt;"Not given")=TRUE,IF(SUMIFS(P:P,A:A,A941)&gt;0,IF((ABS((SUMIFS(P:P,A:A,A941)/VLOOKUP("USD",'Exchange Rates'!B:C,2,0)))/S941)&gt;1,(SUMIFS(P:P,A:A,A941)-S941)/S941,(S941-SUMIFS(P:P,A:A,A941))/SUMIFS(P:P,A:A,A941)),"."),".")</f>
        <v>.</v>
      </c>
      <c r="BA941" s="182"/>
      <c r="BB941" s="182"/>
      <c r="BC941" s="182"/>
      <c r="BD941" s="182"/>
      <c r="BE941" s="182"/>
      <c r="BF941" s="182"/>
      <c r="BG941" s="182"/>
      <c r="BH941" s="182"/>
      <c r="BI941" s="182"/>
      <c r="BJ941" s="182"/>
      <c r="BK941" s="182"/>
      <c r="BL941" s="182"/>
      <c r="BM941" s="182"/>
      <c r="BN941" s="182"/>
      <c r="BO941" s="182"/>
      <c r="BP941" s="182"/>
      <c r="BQ941" s="182"/>
      <c r="BR941" s="182"/>
      <c r="BS941" s="182"/>
    </row>
    <row r="942" spans="1:71" ht="15.9" customHeight="1" x14ac:dyDescent="0.3">
      <c r="A942" s="5" t="s">
        <v>2740</v>
      </c>
      <c r="B942" s="5" t="s">
        <v>2715</v>
      </c>
      <c r="C942" s="174">
        <v>44619</v>
      </c>
      <c r="D942" s="5" t="s">
        <v>285</v>
      </c>
      <c r="E942" s="5" t="s">
        <v>286</v>
      </c>
      <c r="F942" s="175" t="s">
        <v>2741</v>
      </c>
      <c r="G942" s="15" t="s">
        <v>2721</v>
      </c>
      <c r="H942" s="176">
        <v>400000000</v>
      </c>
      <c r="I942" s="17" t="s">
        <v>302</v>
      </c>
      <c r="J942" s="113" t="str">
        <f>VLOOKUP($I942,'Price List, Weapons &amp; Items'!B:C,2,0)</f>
        <v>Military equipment</v>
      </c>
      <c r="K942" s="113" t="str">
        <f>IF(I942=".",I942,VLOOKUP($I942,'Price List, Weapons &amp; Items'!B:D,3,0))</f>
        <v>Military equipment</v>
      </c>
      <c r="L942" s="177">
        <f>VLOOKUP(I942,'Price List, Weapons &amp; Items'!B:E,4,0)</f>
        <v>0</v>
      </c>
      <c r="M942" s="542">
        <v>135000</v>
      </c>
      <c r="N942" s="542">
        <v>135000</v>
      </c>
      <c r="O942" s="543">
        <f>VLOOKUP($I942,'Price List, Weapons &amp; Items'!B:G,6,0)</f>
        <v>22</v>
      </c>
      <c r="P942" s="176">
        <f t="shared" ref="P942:P1008" si="188">IF(TYPE(M942)=1,IF(TYPE(O942)=1,M942*O942,"No price"),".")</f>
        <v>2970000</v>
      </c>
      <c r="Q942" s="176">
        <f t="shared" ref="Q942:Q1008" si="189">IF(TYPE(N942)=1,IF(TYPE(O942)=1,N942*O942,"No price"),".")</f>
        <v>2970000</v>
      </c>
      <c r="R942" s="176" t="str">
        <f t="shared" si="186"/>
        <v/>
      </c>
      <c r="S942" s="176" t="str">
        <f>IF(AND(AD942=1,R942&lt;&gt;".")=TRUE,R942/VLOOKUP(G942,'Exchange Rates'!B:C,2,0),IF(R942=".",".",""))</f>
        <v/>
      </c>
      <c r="T942" s="176" t="str">
        <f>IF(AD942=1,IF(AF942="Value is not given at all",".",IF(AF942="Value is given by the source",S942,IF(AF942="Value is calculated with prices",(IF(SUMIFS(Q:Q,A:A,A942)&gt;0,SUMIFS(Q:Q,A:A,A942),"."))/VLOOKUP("USD",'Exchange Rates'!B:C,2,0),"Error with coding"))),"")</f>
        <v/>
      </c>
      <c r="U942" s="15" t="s">
        <v>261</v>
      </c>
      <c r="V942" s="547" t="s">
        <v>2742</v>
      </c>
      <c r="W942" s="547" t="s">
        <v>2743</v>
      </c>
      <c r="X942" s="547" t="s">
        <v>2744</v>
      </c>
      <c r="Y942" s="188" t="s">
        <v>260</v>
      </c>
      <c r="Z942" s="15">
        <v>0</v>
      </c>
      <c r="AA942" s="180">
        <v>0</v>
      </c>
      <c r="AB942" s="549" t="s">
        <v>2745</v>
      </c>
      <c r="AC942" s="544" t="str">
        <f>""</f>
        <v/>
      </c>
      <c r="AD942" s="181">
        <v>0</v>
      </c>
      <c r="AE942" s="181" t="s">
        <v>264</v>
      </c>
      <c r="AF942" s="181" t="s">
        <v>264</v>
      </c>
      <c r="AG942" s="181">
        <v>1</v>
      </c>
      <c r="AH942" s="181">
        <v>2</v>
      </c>
      <c r="AI942" s="181">
        <v>0</v>
      </c>
      <c r="AJ942" s="181">
        <f>VLOOKUP($I942,'Price List, Weapons &amp; Items'!B:F,5,0)</f>
        <v>0</v>
      </c>
      <c r="AK942" s="181">
        <f t="shared" ref="AK942:AK1008" si="190">IF(AND(AJ942=1,M942="undisclosed")=TRUE,1,0)</f>
        <v>0</v>
      </c>
      <c r="AL942" s="181">
        <f t="shared" ref="AL942:AL1008" si="191">IF(AND(AJ942=1,N942="undisclosed")=TRUE,1,0)</f>
        <v>0</v>
      </c>
      <c r="AM942" s="181">
        <f t="shared" ref="AM942:AM1008" si="192">IFERROR(IF(SEARCH("ammuni",I942,1)&gt;0,1,0),0)</f>
        <v>0</v>
      </c>
      <c r="AN942" s="180" t="str">
        <f>VLOOKUP($I942,'Price List, Weapons &amp; Items'!B:L,COLUMN('Price List, Weapons &amp; Items'!$J$11)-1,0)</f>
        <v>Online marketplaces and stores</v>
      </c>
      <c r="AO942" s="180" t="str">
        <f>IF(I942=".",".",VLOOKUP($I942,'Price List, Weapons &amp; Items'!B:J,3,0))</f>
        <v>Military equipment</v>
      </c>
      <c r="AP942" s="545" t="str">
        <f t="shared" ca="1" si="187"/>
        <v/>
      </c>
      <c r="AQ942" s="180">
        <f>VLOOKUP($I942,'Price List, Weapons &amp; Items'!B:L,COLUMN('Price List, Weapons &amp; Items'!$L$11)-1,0)</f>
        <v>2</v>
      </c>
      <c r="AR942" s="180">
        <f t="shared" ref="AR942:AR1008" si="193">IF(U942="Yes",1,0)</f>
        <v>1</v>
      </c>
      <c r="AS942" s="180">
        <f t="shared" ref="AS942:AS1008" si="194">IF(D942="Military",IF(OR(IFERROR(SEARCH("equipment",E942,1),0)&gt;0,IFERROR(SEARCH("weapons",E942,1),0)&gt;0),1,0),0)</f>
        <v>1</v>
      </c>
      <c r="AT942" s="180">
        <f t="shared" si="183"/>
        <v>1</v>
      </c>
      <c r="AU942" s="180" t="str">
        <f t="shared" si="184"/>
        <v>.</v>
      </c>
      <c r="AV942" s="180" t="str">
        <f t="shared" si="185"/>
        <v>.</v>
      </c>
      <c r="AW942" s="180">
        <f>IFERROR(VLOOKUP(B942,'Share, Heavy Weapons to Ukraine'!B:J,COLUMN('Share, Heavy Weapons to Ukraine'!C955)-1,0),0)</f>
        <v>0</v>
      </c>
      <c r="AX942" s="180">
        <f>VLOOKUP('Bilateral Assistance, MAIN DATA'!B942,'Country Summary'!B:F,COLUMN('Country Summary'!C958)-1,FALSE)</f>
        <v>1</v>
      </c>
      <c r="AY942" s="180" t="str">
        <f>IF(AND(AD942=1,D942="Military",H942&lt;&gt;"Not given")=TRUE,IF(SUMIFS(P:P,A:A,A942)&gt;0,ABS((SUMIFS(P:P,A:A,A942)/VLOOKUP("USD",'Exchange Rates'!B:C,2,0)))/S942,"."),".")</f>
        <v>.</v>
      </c>
      <c r="AZ942" s="182" t="str">
        <f>IF(AND(AD942=1,D942="Military",H942&lt;&gt;"Not given")=TRUE,IF(SUMIFS(P:P,A:A,A942)&gt;0,IF((ABS((SUMIFS(P:P,A:A,A942)/VLOOKUP("USD",'Exchange Rates'!B:C,2,0)))/S942)&gt;1,(SUMIFS(P:P,A:A,A942)-S942)/S942,(S942-SUMIFS(P:P,A:A,A942))/SUMIFS(P:P,A:A,A942)),"."),".")</f>
        <v>.</v>
      </c>
      <c r="BA942" s="182"/>
      <c r="BB942" s="182"/>
      <c r="BC942" s="182"/>
      <c r="BD942" s="182"/>
      <c r="BE942" s="182"/>
      <c r="BF942" s="182"/>
      <c r="BG942" s="182"/>
      <c r="BH942" s="182"/>
      <c r="BI942" s="182"/>
      <c r="BJ942" s="182"/>
      <c r="BK942" s="182"/>
      <c r="BL942" s="182"/>
      <c r="BM942" s="182"/>
      <c r="BN942" s="182"/>
      <c r="BO942" s="182"/>
      <c r="BP942" s="182"/>
      <c r="BQ942" s="182"/>
      <c r="BR942" s="182"/>
      <c r="BS942" s="182"/>
    </row>
    <row r="943" spans="1:71" ht="15.9" customHeight="1" x14ac:dyDescent="0.3">
      <c r="A943" s="17" t="s">
        <v>2747</v>
      </c>
      <c r="B943" s="17" t="s">
        <v>2715</v>
      </c>
      <c r="C943" s="174">
        <v>44619</v>
      </c>
      <c r="D943" s="5" t="s">
        <v>285</v>
      </c>
      <c r="E943" s="5" t="s">
        <v>362</v>
      </c>
      <c r="F943" s="175" t="s">
        <v>2748</v>
      </c>
      <c r="G943" s="15" t="s">
        <v>2721</v>
      </c>
      <c r="H943" s="176">
        <v>500000000</v>
      </c>
      <c r="I943" s="17" t="s">
        <v>260</v>
      </c>
      <c r="J943" s="113" t="str">
        <f>VLOOKUP($I943,'Price List, Weapons &amp; Items'!B:C,2,0)</f>
        <v>.</v>
      </c>
      <c r="K943" s="113" t="str">
        <f>IF(I943=".",I943,VLOOKUP($I943,'Price List, Weapons &amp; Items'!B:D,3,0))</f>
        <v>.</v>
      </c>
      <c r="L943" s="177">
        <f>VLOOKUP(I943,'Price List, Weapons &amp; Items'!B:E,4,0)</f>
        <v>0</v>
      </c>
      <c r="M943" s="542" t="s">
        <v>260</v>
      </c>
      <c r="N943" s="542" t="s">
        <v>260</v>
      </c>
      <c r="O943" s="543" t="str">
        <f>VLOOKUP($I943,'Price List, Weapons &amp; Items'!B:G,6,0)</f>
        <v>.</v>
      </c>
      <c r="P943" s="176" t="str">
        <f t="shared" si="188"/>
        <v>.</v>
      </c>
      <c r="Q943" s="176" t="str">
        <f t="shared" si="189"/>
        <v>.</v>
      </c>
      <c r="R943" s="176">
        <f t="shared" si="186"/>
        <v>500000000</v>
      </c>
      <c r="S943" s="176">
        <f>IF(AND(AD943=1,R943&lt;&gt;".")=TRUE,R943/VLOOKUP(G943,'Exchange Rates'!B:C,2,0),IF(R943=".",".",""))</f>
        <v>45879977.977610573</v>
      </c>
      <c r="T943" s="176" t="str">
        <f>IF(AD943=1,IF(AF943="Value is not given at all",".",IF(AF943="Value is given by the source",S943,IF(AF943="Value is calculated with prices",(IF(SUMIFS(Q:Q,A:A,A943)&gt;0,SUMIFS(Q:Q,A:A,A943),"."))/VLOOKUP("USD",'Exchange Rates'!B:C,2,0),"Error with coding"))),"")</f>
        <v>.</v>
      </c>
      <c r="U943" s="15" t="s">
        <v>261</v>
      </c>
      <c r="V943" s="300" t="s">
        <v>2749</v>
      </c>
      <c r="W943" s="300" t="s">
        <v>2744</v>
      </c>
      <c r="X943" s="175" t="s">
        <v>260</v>
      </c>
      <c r="Y943" s="175" t="s">
        <v>260</v>
      </c>
      <c r="Z943" s="15">
        <v>0</v>
      </c>
      <c r="AA943" s="180">
        <v>0</v>
      </c>
      <c r="AB943" s="184" t="s">
        <v>260</v>
      </c>
      <c r="AC943" s="544" t="str">
        <f>""</f>
        <v/>
      </c>
      <c r="AD943" s="181">
        <v>1</v>
      </c>
      <c r="AE943" s="181" t="s">
        <v>264</v>
      </c>
      <c r="AF943" s="181" t="s">
        <v>265</v>
      </c>
      <c r="AG943" s="181">
        <v>1</v>
      </c>
      <c r="AH943" s="181">
        <v>2</v>
      </c>
      <c r="AI943" s="181">
        <v>0</v>
      </c>
      <c r="AJ943" s="181">
        <f>VLOOKUP($I943,'Price List, Weapons &amp; Items'!B:F,5,0)</f>
        <v>0</v>
      </c>
      <c r="AK943" s="181">
        <f t="shared" si="190"/>
        <v>0</v>
      </c>
      <c r="AL943" s="181">
        <f t="shared" si="191"/>
        <v>0</v>
      </c>
      <c r="AM943" s="181">
        <f t="shared" si="192"/>
        <v>0</v>
      </c>
      <c r="AN943" s="180" t="str">
        <f>VLOOKUP($I943,'Price List, Weapons &amp; Items'!B:L,COLUMN('Price List, Weapons &amp; Items'!$J$11)-1,0)</f>
        <v>.</v>
      </c>
      <c r="AO943" s="180" t="str">
        <f>IF(I943=".",".",VLOOKUP($I943,'Price List, Weapons &amp; Items'!B:J,3,0))</f>
        <v>.</v>
      </c>
      <c r="AP943" s="545" t="e">
        <f t="shared" ca="1" si="187"/>
        <v>#NAME?</v>
      </c>
      <c r="AQ943" s="180" t="str">
        <f>VLOOKUP($I943,'Price List, Weapons &amp; Items'!B:L,COLUMN('Price List, Weapons &amp; Items'!$L$11)-1,0)</f>
        <v>no price, 0 count</v>
      </c>
      <c r="AR943" s="180">
        <f t="shared" si="193"/>
        <v>1</v>
      </c>
      <c r="AS943" s="180">
        <f t="shared" si="194"/>
        <v>0</v>
      </c>
      <c r="AT943" s="180">
        <f t="shared" si="183"/>
        <v>1</v>
      </c>
      <c r="AU943" s="180" t="str">
        <f t="shared" si="184"/>
        <v>.</v>
      </c>
      <c r="AV943" s="180" t="str">
        <f t="shared" si="185"/>
        <v>.</v>
      </c>
      <c r="AW943" s="180">
        <f>IFERROR(VLOOKUP(B943,'Share, Heavy Weapons to Ukraine'!B:J,COLUMN('Share, Heavy Weapons to Ukraine'!C956)-1,0),0)</f>
        <v>0</v>
      </c>
      <c r="AX943" s="180">
        <f>VLOOKUP('Bilateral Assistance, MAIN DATA'!B943,'Country Summary'!B:F,COLUMN('Country Summary'!C959)-1,FALSE)</f>
        <v>1</v>
      </c>
      <c r="AY943" s="180" t="str">
        <f>IF(AND(AD943=1,D943="Military",H943&lt;&gt;"Not given")=TRUE,IF(SUMIFS(P:P,A:A,A943)&gt;0,ABS((SUMIFS(P:P,A:A,A943)/VLOOKUP("USD",'Exchange Rates'!B:C,2,0)))/S943,"."),".")</f>
        <v>.</v>
      </c>
      <c r="AZ943" s="182" t="str">
        <f>IF(AND(AD943=1,D943="Military",H943&lt;&gt;"Not given")=TRUE,IF(SUMIFS(P:P,A:A,A943)&gt;0,IF((ABS((SUMIFS(P:P,A:A,A943)/VLOOKUP("USD",'Exchange Rates'!B:C,2,0)))/S943)&gt;1,(SUMIFS(P:P,A:A,A943)-S943)/S943,(S943-SUMIFS(P:P,A:A,A943))/SUMIFS(P:P,A:A,A943)),"."),".")</f>
        <v>.</v>
      </c>
      <c r="BA943" s="182"/>
      <c r="BB943" s="182"/>
      <c r="BC943" s="182"/>
      <c r="BD943" s="182"/>
      <c r="BE943" s="182"/>
      <c r="BF943" s="182"/>
      <c r="BG943" s="182"/>
      <c r="BH943" s="182"/>
      <c r="BI943" s="182"/>
      <c r="BJ943" s="182"/>
      <c r="BK943" s="182"/>
      <c r="BL943" s="182"/>
      <c r="BM943" s="182"/>
      <c r="BN943" s="182"/>
      <c r="BO943" s="182"/>
      <c r="BP943" s="182"/>
      <c r="BQ943" s="182"/>
      <c r="BR943" s="182"/>
      <c r="BS943" s="182"/>
    </row>
    <row r="944" spans="1:71" ht="15.9" customHeight="1" x14ac:dyDescent="0.3">
      <c r="A944" s="17" t="s">
        <v>2750</v>
      </c>
      <c r="B944" s="17" t="s">
        <v>2715</v>
      </c>
      <c r="C944" s="174">
        <v>44643</v>
      </c>
      <c r="D944" s="5" t="s">
        <v>285</v>
      </c>
      <c r="E944" s="5" t="s">
        <v>286</v>
      </c>
      <c r="F944" s="175" t="s">
        <v>2751</v>
      </c>
      <c r="G944" s="15" t="s">
        <v>346</v>
      </c>
      <c r="H944" s="176" t="s">
        <v>341</v>
      </c>
      <c r="I944" s="17" t="s">
        <v>2746</v>
      </c>
      <c r="J944" s="113" t="str">
        <f>VLOOKUP($I944,'Price List, Weapons &amp; Items'!B:C,2,0)</f>
        <v>Portable defence system</v>
      </c>
      <c r="K944" s="113" t="str">
        <f>IF(I944=".",I944,VLOOKUP($I944,'Price List, Weapons &amp; Items'!B:D,3,0))</f>
        <v>MANPADS</v>
      </c>
      <c r="L944" s="177">
        <f>VLOOKUP(I944,'Price List, Weapons &amp; Items'!B:E,4,0)</f>
        <v>0</v>
      </c>
      <c r="M944" s="542">
        <v>5000</v>
      </c>
      <c r="N944" s="542">
        <v>5000</v>
      </c>
      <c r="O944" s="543">
        <f>VLOOKUP($I944,'Price List, Weapons &amp; Items'!B:G,6,0)</f>
        <v>1480.64</v>
      </c>
      <c r="P944" s="176">
        <f t="shared" si="188"/>
        <v>7403200.0000000009</v>
      </c>
      <c r="Q944" s="176">
        <f t="shared" si="189"/>
        <v>7403200.0000000009</v>
      </c>
      <c r="R944" s="176">
        <f t="shared" si="186"/>
        <v>7403200.0000000009</v>
      </c>
      <c r="S944" s="176">
        <f>IF(AND(AD944=1,R944&lt;&gt;".")=TRUE,R944/VLOOKUP(G944,'Exchange Rates'!B:C,2,0),IF(R944=".",".",""))</f>
        <v>7050666.666666667</v>
      </c>
      <c r="T944" s="176">
        <f>IF(AD944=1,IF(AF944="Value is not given at all",".",IF(AF944="Value is given by the source",S944,IF(AF944="Value is calculated with prices",(IF(SUMIFS(Q:Q,A:A,A944)&gt;0,SUMIFS(Q:Q,A:A,A944),"."))/VLOOKUP("USD",'Exchange Rates'!B:C,2,0),"Error with coding"))),"")</f>
        <v>7050666.666666667</v>
      </c>
      <c r="U944" s="15" t="s">
        <v>261</v>
      </c>
      <c r="V944" s="300" t="s">
        <v>2752</v>
      </c>
      <c r="W944" s="300" t="s">
        <v>2753</v>
      </c>
      <c r="X944" s="175" t="s">
        <v>260</v>
      </c>
      <c r="Y944" s="175" t="s">
        <v>260</v>
      </c>
      <c r="Z944" s="15">
        <v>0</v>
      </c>
      <c r="AA944" s="180">
        <v>0</v>
      </c>
      <c r="AB944" s="549" t="s">
        <v>2754</v>
      </c>
      <c r="AC944" s="544" t="str">
        <f>""</f>
        <v/>
      </c>
      <c r="AD944" s="181">
        <v>1</v>
      </c>
      <c r="AE944" s="181" t="s">
        <v>332</v>
      </c>
      <c r="AF944" s="181" t="s">
        <v>332</v>
      </c>
      <c r="AG944" s="181">
        <v>1</v>
      </c>
      <c r="AH944" s="181">
        <v>3</v>
      </c>
      <c r="AI944" s="181">
        <v>0</v>
      </c>
      <c r="AJ944" s="181">
        <f>VLOOKUP($I944,'Price List, Weapons &amp; Items'!B:F,5,0)</f>
        <v>0</v>
      </c>
      <c r="AK944" s="181">
        <f t="shared" si="190"/>
        <v>0</v>
      </c>
      <c r="AL944" s="181">
        <f t="shared" si="191"/>
        <v>0</v>
      </c>
      <c r="AM944" s="181">
        <f t="shared" si="192"/>
        <v>0</v>
      </c>
      <c r="AN944" s="180" t="str">
        <f>VLOOKUP($I944,'Price List, Weapons &amp; Items'!B:L,COLUMN('Price List, Weapons &amp; Items'!$J$11)-1,0)</f>
        <v>Military media (incl. websites)</v>
      </c>
      <c r="AO944" s="180" t="str">
        <f>IF(I944=".",".",VLOOKUP($I944,'Price List, Weapons &amp; Items'!B:J,3,0))</f>
        <v>MANPADS</v>
      </c>
      <c r="AP944" s="545" t="e">
        <f t="shared" ca="1" si="187"/>
        <v>#NAME?</v>
      </c>
      <c r="AQ944" s="180">
        <f>VLOOKUP($I944,'Price List, Weapons &amp; Items'!B:L,COLUMN('Price List, Weapons &amp; Items'!$L$11)-1,0)</f>
        <v>2</v>
      </c>
      <c r="AR944" s="180">
        <f t="shared" si="193"/>
        <v>1</v>
      </c>
      <c r="AS944" s="180">
        <f t="shared" si="194"/>
        <v>1</v>
      </c>
      <c r="AT944" s="180">
        <f t="shared" si="183"/>
        <v>1</v>
      </c>
      <c r="AU944" s="180" t="str">
        <f t="shared" si="184"/>
        <v>.</v>
      </c>
      <c r="AV944" s="180" t="str">
        <f t="shared" si="185"/>
        <v>.</v>
      </c>
      <c r="AW944" s="180">
        <f>IFERROR(VLOOKUP(B944,'Share, Heavy Weapons to Ukraine'!B:J,COLUMN('Share, Heavy Weapons to Ukraine'!C957)-1,0),0)</f>
        <v>0</v>
      </c>
      <c r="AX944" s="180">
        <f>VLOOKUP('Bilateral Assistance, MAIN DATA'!B944,'Country Summary'!B:F,COLUMN('Country Summary'!C960)-1,FALSE)</f>
        <v>1</v>
      </c>
      <c r="AY944" s="180" t="str">
        <f>IF(AND(AD944=1,D944="Military",H944&lt;&gt;"Not given")=TRUE,IF(SUMIFS(P:P,A:A,A944)&gt;0,ABS((SUMIFS(P:P,A:A,A944)/VLOOKUP("USD",'Exchange Rates'!B:C,2,0)))/S944,"."),".")</f>
        <v>.</v>
      </c>
      <c r="AZ944" s="182" t="str">
        <f>IF(AND(AD944=1,D944="Military",H944&lt;&gt;"Not given")=TRUE,IF(SUMIFS(P:P,A:A,A944)&gt;0,IF((ABS((SUMIFS(P:P,A:A,A944)/VLOOKUP("USD",'Exchange Rates'!B:C,2,0)))/S944)&gt;1,(SUMIFS(P:P,A:A,A944)-S944)/S944,(S944-SUMIFS(P:P,A:A,A944))/SUMIFS(P:P,A:A,A944)),"."),".")</f>
        <v>.</v>
      </c>
      <c r="BA944" s="182"/>
      <c r="BB944" s="182"/>
      <c r="BC944" s="182"/>
      <c r="BD944" s="182"/>
      <c r="BE944" s="182"/>
      <c r="BF944" s="182"/>
      <c r="BG944" s="182"/>
      <c r="BH944" s="182"/>
      <c r="BI944" s="182"/>
      <c r="BJ944" s="182"/>
      <c r="BK944" s="182"/>
      <c r="BL944" s="182"/>
      <c r="BM944" s="182"/>
      <c r="BN944" s="182"/>
      <c r="BO944" s="182"/>
      <c r="BP944" s="182"/>
      <c r="BQ944" s="182"/>
      <c r="BR944" s="182"/>
      <c r="BS944" s="182"/>
    </row>
    <row r="945" spans="1:71" ht="15.9" customHeight="1" x14ac:dyDescent="0.3">
      <c r="A945" s="5" t="s">
        <v>2755</v>
      </c>
      <c r="B945" s="5" t="s">
        <v>2715</v>
      </c>
      <c r="C945" s="174">
        <v>44714</v>
      </c>
      <c r="D945" s="5" t="s">
        <v>285</v>
      </c>
      <c r="E945" s="5" t="s">
        <v>286</v>
      </c>
      <c r="F945" s="175" t="s">
        <v>2756</v>
      </c>
      <c r="G945" s="15" t="s">
        <v>2721</v>
      </c>
      <c r="H945" s="176">
        <v>262000000</v>
      </c>
      <c r="I945" s="17" t="s">
        <v>2746</v>
      </c>
      <c r="J945" s="113" t="str">
        <f>VLOOKUP($I945,'Price List, Weapons &amp; Items'!B:C,2,0)</f>
        <v>Portable defence system</v>
      </c>
      <c r="K945" s="113" t="str">
        <f>IF(I945=".",I945,VLOOKUP($I945,'Price List, Weapons &amp; Items'!B:D,3,0))</f>
        <v>MANPADS</v>
      </c>
      <c r="L945" s="177">
        <f>VLOOKUP(I945,'Price List, Weapons &amp; Items'!B:E,4,0)</f>
        <v>0</v>
      </c>
      <c r="M945" s="542">
        <v>5000</v>
      </c>
      <c r="N945" s="542" t="s">
        <v>270</v>
      </c>
      <c r="O945" s="543">
        <f>VLOOKUP($I945,'Price List, Weapons &amp; Items'!B:G,6,0)</f>
        <v>1480.64</v>
      </c>
      <c r="P945" s="176">
        <f t="shared" si="188"/>
        <v>7403200.0000000009</v>
      </c>
      <c r="Q945" s="176" t="str">
        <f t="shared" si="189"/>
        <v>.</v>
      </c>
      <c r="R945" s="176">
        <f t="shared" si="186"/>
        <v>262000000</v>
      </c>
      <c r="S945" s="176">
        <f>IF(AND(AD945=1,R945&lt;&gt;".")=TRUE,R945/VLOOKUP(G945,'Exchange Rates'!B:C,2,0),IF(R945=".",".",""))</f>
        <v>24041108.460267939</v>
      </c>
      <c r="T945" s="176" t="str">
        <f>IF(AD945=1,IF(AF945="Value is not given at all",".",IF(AF945="Value is given by the source",S945,IF(AF945="Value is calculated with prices",(IF(SUMIFS(Q:Q,A:A,A945)&gt;0,SUMIFS(Q:Q,A:A,A945),"."))/VLOOKUP("USD",'Exchange Rates'!B:C,2,0),"Error with coding"))),"")</f>
        <v>.</v>
      </c>
      <c r="U945" s="15" t="s">
        <v>261</v>
      </c>
      <c r="V945" s="533" t="s">
        <v>2757</v>
      </c>
      <c r="W945" s="547" t="s">
        <v>2758</v>
      </c>
      <c r="X945" s="547" t="s">
        <v>2759</v>
      </c>
      <c r="Y945" s="188" t="s">
        <v>260</v>
      </c>
      <c r="Z945" s="15">
        <v>0</v>
      </c>
      <c r="AA945" s="180">
        <v>0</v>
      </c>
      <c r="AB945" s="17" t="s">
        <v>260</v>
      </c>
      <c r="AC945" s="544" t="str">
        <f>""</f>
        <v/>
      </c>
      <c r="AD945" s="181">
        <v>1</v>
      </c>
      <c r="AE945" s="181" t="s">
        <v>264</v>
      </c>
      <c r="AF945" s="181" t="s">
        <v>265</v>
      </c>
      <c r="AG945" s="181">
        <v>1</v>
      </c>
      <c r="AH945" s="181">
        <v>6</v>
      </c>
      <c r="AI945" s="181">
        <v>0</v>
      </c>
      <c r="AJ945" s="181">
        <f>VLOOKUP($I945,'Price List, Weapons &amp; Items'!B:F,5,0)</f>
        <v>0</v>
      </c>
      <c r="AK945" s="181">
        <f t="shared" si="190"/>
        <v>0</v>
      </c>
      <c r="AL945" s="181">
        <f t="shared" si="191"/>
        <v>0</v>
      </c>
      <c r="AM945" s="181">
        <f t="shared" si="192"/>
        <v>0</v>
      </c>
      <c r="AN945" s="180" t="str">
        <f>VLOOKUP($I945,'Price List, Weapons &amp; Items'!B:L,COLUMN('Price List, Weapons &amp; Items'!$J$11)-1,0)</f>
        <v>Military media (incl. websites)</v>
      </c>
      <c r="AO945" s="180" t="str">
        <f>IF(I945=".",".",VLOOKUP($I945,'Price List, Weapons &amp; Items'!B:J,3,0))</f>
        <v>MANPADS</v>
      </c>
      <c r="AP945" s="545" t="e">
        <f t="shared" ca="1" si="187"/>
        <v>#NAME?</v>
      </c>
      <c r="AQ945" s="180">
        <f>VLOOKUP($I945,'Price List, Weapons &amp; Items'!B:L,COLUMN('Price List, Weapons &amp; Items'!$L$11)-1,0)</f>
        <v>2</v>
      </c>
      <c r="AR945" s="180">
        <f t="shared" si="193"/>
        <v>1</v>
      </c>
      <c r="AS945" s="180">
        <f t="shared" si="194"/>
        <v>1</v>
      </c>
      <c r="AT945" s="180">
        <f t="shared" si="183"/>
        <v>1</v>
      </c>
      <c r="AU945" s="180" t="str">
        <f t="shared" si="184"/>
        <v>.</v>
      </c>
      <c r="AV945" s="180" t="str">
        <f t="shared" si="185"/>
        <v>.</v>
      </c>
      <c r="AW945" s="180">
        <f>IFERROR(VLOOKUP(B945,'Share, Heavy Weapons to Ukraine'!B:J,COLUMN('Share, Heavy Weapons to Ukraine'!C958)-1,0),0)</f>
        <v>0</v>
      </c>
      <c r="AX945" s="180">
        <f>VLOOKUP('Bilateral Assistance, MAIN DATA'!B945,'Country Summary'!B:F,COLUMN('Country Summary'!C961)-1,FALSE)</f>
        <v>1</v>
      </c>
      <c r="AY945" s="180">
        <f>IF(AND(AD945=1,D945="Military",H945&lt;&gt;"Not given")=TRUE,IF(SUMIFS(P:P,A:A,A945)&gt;0,ABS((SUMIFS(P:P,A:A,A945)/VLOOKUP("USD",'Exchange Rates'!B:C,2,0)))/S945,"."),".")</f>
        <v>0.29327544020356233</v>
      </c>
      <c r="AZ945" s="182">
        <f>IF(AND(AD945=1,D945="Military",H945&lt;&gt;"Not given")=TRUE,IF(SUMIFS(P:P,A:A,A945)&gt;0,IF((ABS((SUMIFS(P:P,A:A,A945)/VLOOKUP("USD",'Exchange Rates'!B:C,2,0)))/S945)&gt;1,(SUMIFS(P:P,A:A,A945)-S945)/S945,(S945-SUMIFS(P:P,A:A,A945))/SUMIFS(P:P,A:A,A945)),"."),".")</f>
        <v>2.2473941620201989</v>
      </c>
      <c r="BA945" s="182"/>
      <c r="BB945" s="182"/>
      <c r="BC945" s="182"/>
      <c r="BD945" s="182"/>
      <c r="BE945" s="182"/>
      <c r="BF945" s="182"/>
      <c r="BG945" s="182"/>
      <c r="BH945" s="182"/>
      <c r="BI945" s="182"/>
      <c r="BJ945" s="182"/>
      <c r="BK945" s="182"/>
      <c r="BL945" s="182"/>
      <c r="BM945" s="182"/>
      <c r="BN945" s="182"/>
      <c r="BO945" s="182"/>
      <c r="BP945" s="182"/>
      <c r="BQ945" s="182"/>
      <c r="BR945" s="182"/>
      <c r="BS945" s="182"/>
    </row>
    <row r="946" spans="1:71" ht="15.9" customHeight="1" x14ac:dyDescent="0.3">
      <c r="A946" s="5" t="s">
        <v>2755</v>
      </c>
      <c r="B946" s="5" t="s">
        <v>2715</v>
      </c>
      <c r="C946" s="174">
        <v>44714</v>
      </c>
      <c r="D946" s="5" t="s">
        <v>285</v>
      </c>
      <c r="E946" s="5" t="s">
        <v>286</v>
      </c>
      <c r="F946" s="175" t="s">
        <v>2756</v>
      </c>
      <c r="G946" s="15" t="s">
        <v>2721</v>
      </c>
      <c r="H946" s="176">
        <v>262000000</v>
      </c>
      <c r="I946" s="17" t="s">
        <v>2760</v>
      </c>
      <c r="J946" s="113" t="str">
        <f>VLOOKUP($I946,'Price List, Weapons &amp; Items'!B:C,2,0)</f>
        <v>Heavy weapon</v>
      </c>
      <c r="K946" s="113" t="str">
        <f>IF(I946=".",I946,VLOOKUP($I946,'Price List, Weapons &amp; Items'!B:D,3,0))</f>
        <v>Anti-ship missle system</v>
      </c>
      <c r="L946" s="177">
        <f>VLOOKUP(I946,'Price List, Weapons &amp; Items'!B:E,4,0)</f>
        <v>0</v>
      </c>
      <c r="M946" s="542">
        <v>1</v>
      </c>
      <c r="N946" s="542" t="s">
        <v>270</v>
      </c>
      <c r="O946" s="543" t="str">
        <f>VLOOKUP($I946,'Price List, Weapons &amp; Items'!B:G,6,0)</f>
        <v>.</v>
      </c>
      <c r="P946" s="176" t="str">
        <f t="shared" si="188"/>
        <v>No price</v>
      </c>
      <c r="Q946" s="176" t="str">
        <f t="shared" si="189"/>
        <v>.</v>
      </c>
      <c r="R946" s="176" t="str">
        <f t="shared" si="186"/>
        <v/>
      </c>
      <c r="S946" s="176" t="str">
        <f>IF(AND(AD946=1,R946&lt;&gt;".")=TRUE,R946/VLOOKUP(G946,'Exchange Rates'!B:C,2,0),IF(R946=".",".",""))</f>
        <v/>
      </c>
      <c r="T946" s="176" t="str">
        <f>IF(AD946=1,IF(AF946="Value is not given at all",".",IF(AF946="Value is given by the source",S946,IF(AF946="Value is calculated with prices",(IF(SUMIFS(Q:Q,A:A,A946)&gt;0,SUMIFS(Q:Q,A:A,A946),"."))/VLOOKUP("USD",'Exchange Rates'!B:C,2,0),"Error with coding"))),"")</f>
        <v/>
      </c>
      <c r="U946" s="15" t="s">
        <v>261</v>
      </c>
      <c r="V946" s="533" t="s">
        <v>2757</v>
      </c>
      <c r="W946" s="547" t="s">
        <v>2758</v>
      </c>
      <c r="X946" s="547" t="s">
        <v>2759</v>
      </c>
      <c r="Y946" s="188" t="s">
        <v>260</v>
      </c>
      <c r="Z946" s="15">
        <v>0</v>
      </c>
      <c r="AA946" s="180">
        <v>0</v>
      </c>
      <c r="AB946" s="17" t="s">
        <v>260</v>
      </c>
      <c r="AC946" s="544" t="str">
        <f>""</f>
        <v/>
      </c>
      <c r="AD946" s="181">
        <v>0</v>
      </c>
      <c r="AE946" s="181" t="s">
        <v>264</v>
      </c>
      <c r="AF946" s="181" t="s">
        <v>265</v>
      </c>
      <c r="AG946" s="181">
        <v>1</v>
      </c>
      <c r="AH946" s="181">
        <v>6</v>
      </c>
      <c r="AI946" s="181">
        <v>0</v>
      </c>
      <c r="AJ946" s="181">
        <f>VLOOKUP($I946,'Price List, Weapons &amp; Items'!B:F,5,0)</f>
        <v>0</v>
      </c>
      <c r="AK946" s="181">
        <f t="shared" si="190"/>
        <v>0</v>
      </c>
      <c r="AL946" s="181">
        <f t="shared" si="191"/>
        <v>0</v>
      </c>
      <c r="AM946" s="181">
        <f t="shared" si="192"/>
        <v>0</v>
      </c>
      <c r="AN946" s="180" t="str">
        <f>VLOOKUP($I946,'Price List, Weapons &amp; Items'!B:L,COLUMN('Price List, Weapons &amp; Items'!$J$11)-1,0)</f>
        <v>.</v>
      </c>
      <c r="AO946" s="180" t="str">
        <f>IF(I946=".",".",VLOOKUP($I946,'Price List, Weapons &amp; Items'!B:J,3,0))</f>
        <v>Anti-ship missle system</v>
      </c>
      <c r="AP946" s="545" t="str">
        <f t="shared" ca="1" si="187"/>
        <v/>
      </c>
      <c r="AQ946" s="180">
        <f>VLOOKUP($I946,'Price List, Weapons &amp; Items'!B:L,COLUMN('Price List, Weapons &amp; Items'!$L$11)-1,0)</f>
        <v>0</v>
      </c>
      <c r="AR946" s="180">
        <f t="shared" si="193"/>
        <v>1</v>
      </c>
      <c r="AS946" s="180">
        <f t="shared" si="194"/>
        <v>1</v>
      </c>
      <c r="AT946" s="180">
        <f t="shared" si="183"/>
        <v>1</v>
      </c>
      <c r="AU946" s="180" t="str">
        <f t="shared" si="184"/>
        <v>.</v>
      </c>
      <c r="AV946" s="180" t="str">
        <f t="shared" si="185"/>
        <v>.</v>
      </c>
      <c r="AW946" s="180">
        <f>IFERROR(VLOOKUP(B946,'Share, Heavy Weapons to Ukraine'!B:J,COLUMN('Share, Heavy Weapons to Ukraine'!C959)-1,0),0)</f>
        <v>0</v>
      </c>
      <c r="AX946" s="180">
        <f>VLOOKUP('Bilateral Assistance, MAIN DATA'!B946,'Country Summary'!B:F,COLUMN('Country Summary'!C962)-1,FALSE)</f>
        <v>1</v>
      </c>
      <c r="AY946" s="180" t="str">
        <f>IF(AND(AD946=1,D946="Military",H946&lt;&gt;"Not given")=TRUE,IF(SUMIFS(P:P,A:A,A946)&gt;0,ABS((SUMIFS(P:P,A:A,A946)/VLOOKUP("USD",'Exchange Rates'!B:C,2,0)))/S946,"."),".")</f>
        <v>.</v>
      </c>
      <c r="AZ946" s="182" t="str">
        <f>IF(AND(AD946=1,D946="Military",H946&lt;&gt;"Not given")=TRUE,IF(SUMIFS(P:P,A:A,A946)&gt;0,IF((ABS((SUMIFS(P:P,A:A,A946)/VLOOKUP("USD",'Exchange Rates'!B:C,2,0)))/S946)&gt;1,(SUMIFS(P:P,A:A,A946)-S946)/S946,(S946-SUMIFS(P:P,A:A,A946))/SUMIFS(P:P,A:A,A946)),"."),".")</f>
        <v>.</v>
      </c>
      <c r="BA946" s="182"/>
      <c r="BB946" s="182"/>
      <c r="BC946" s="182"/>
      <c r="BD946" s="182"/>
      <c r="BE946" s="182"/>
      <c r="BF946" s="182"/>
      <c r="BG946" s="182"/>
      <c r="BH946" s="182"/>
      <c r="BI946" s="182"/>
      <c r="BJ946" s="182"/>
      <c r="BK946" s="182"/>
      <c r="BL946" s="182"/>
      <c r="BM946" s="182"/>
      <c r="BN946" s="182"/>
      <c r="BO946" s="182"/>
      <c r="BP946" s="182"/>
      <c r="BQ946" s="182"/>
      <c r="BR946" s="182"/>
      <c r="BS946" s="182"/>
    </row>
    <row r="947" spans="1:71" ht="15.9" customHeight="1" x14ac:dyDescent="0.3">
      <c r="A947" s="5" t="s">
        <v>2755</v>
      </c>
      <c r="B947" s="5" t="s">
        <v>2715</v>
      </c>
      <c r="C947" s="174">
        <v>44714</v>
      </c>
      <c r="D947" s="5" t="s">
        <v>285</v>
      </c>
      <c r="E947" s="5" t="s">
        <v>286</v>
      </c>
      <c r="F947" s="175" t="s">
        <v>2756</v>
      </c>
      <c r="G947" s="15" t="s">
        <v>2721</v>
      </c>
      <c r="H947" s="176">
        <v>262000000</v>
      </c>
      <c r="I947" s="17" t="s">
        <v>2761</v>
      </c>
      <c r="J947" s="113" t="str">
        <f>VLOOKUP($I947,'Price List, Weapons &amp; Items'!B:C,2,0)</f>
        <v>Light armaments &amp; infantry</v>
      </c>
      <c r="K947" s="113" t="str">
        <f>IF(I947=".",I947,VLOOKUP($I947,'Price List, Weapons &amp; Items'!B:D,3,0))</f>
        <v>Anti-materiel rifle</v>
      </c>
      <c r="L947" s="177">
        <f>VLOOKUP(I947,'Price List, Weapons &amp; Items'!B:E,4,0)</f>
        <v>0</v>
      </c>
      <c r="M947" s="542" t="s">
        <v>270</v>
      </c>
      <c r="N947" s="542" t="s">
        <v>270</v>
      </c>
      <c r="O947" s="543">
        <f>VLOOKUP($I947,'Price List, Weapons &amp; Items'!B:G,6,0)</f>
        <v>12807.38</v>
      </c>
      <c r="P947" s="176" t="str">
        <f t="shared" si="188"/>
        <v>.</v>
      </c>
      <c r="Q947" s="176" t="str">
        <f t="shared" si="189"/>
        <v>.</v>
      </c>
      <c r="R947" s="176" t="str">
        <f t="shared" si="186"/>
        <v/>
      </c>
      <c r="S947" s="176" t="str">
        <f>IF(AND(AD947=1,R947&lt;&gt;".")=TRUE,R947/VLOOKUP(G947,'Exchange Rates'!B:C,2,0),IF(R947=".",".",""))</f>
        <v/>
      </c>
      <c r="T947" s="176" t="str">
        <f>IF(AD947=1,IF(AF947="Value is not given at all",".",IF(AF947="Value is given by the source",S947,IF(AF947="Value is calculated with prices",(IF(SUMIFS(Q:Q,A:A,A947)&gt;0,SUMIFS(Q:Q,A:A,A947),"."))/VLOOKUP("USD",'Exchange Rates'!B:C,2,0),"Error with coding"))),"")</f>
        <v/>
      </c>
      <c r="U947" s="15" t="s">
        <v>261</v>
      </c>
      <c r="V947" s="533" t="s">
        <v>2757</v>
      </c>
      <c r="W947" s="547" t="s">
        <v>2758</v>
      </c>
      <c r="X947" s="547" t="s">
        <v>2759</v>
      </c>
      <c r="Y947" s="188" t="s">
        <v>260</v>
      </c>
      <c r="Z947" s="15">
        <v>0</v>
      </c>
      <c r="AA947" s="180">
        <v>0</v>
      </c>
      <c r="AB947" s="17" t="s">
        <v>260</v>
      </c>
      <c r="AC947" s="544" t="str">
        <f>""</f>
        <v/>
      </c>
      <c r="AD947" s="181">
        <v>0</v>
      </c>
      <c r="AE947" s="181" t="s">
        <v>264</v>
      </c>
      <c r="AF947" s="181" t="s">
        <v>265</v>
      </c>
      <c r="AG947" s="181">
        <v>1</v>
      </c>
      <c r="AH947" s="181">
        <v>6</v>
      </c>
      <c r="AI947" s="181">
        <v>0</v>
      </c>
      <c r="AJ947" s="181">
        <f>VLOOKUP($I947,'Price List, Weapons &amp; Items'!B:F,5,0)</f>
        <v>0</v>
      </c>
      <c r="AK947" s="181">
        <f t="shared" si="190"/>
        <v>0</v>
      </c>
      <c r="AL947" s="181">
        <f t="shared" si="191"/>
        <v>0</v>
      </c>
      <c r="AM947" s="181">
        <f t="shared" si="192"/>
        <v>0</v>
      </c>
      <c r="AN947" s="180" t="str">
        <f>VLOOKUP($I947,'Price List, Weapons &amp; Items'!B:L,COLUMN('Price List, Weapons &amp; Items'!$J$11)-1,0)</f>
        <v>Military media (incl. websites)</v>
      </c>
      <c r="AO947" s="180" t="str">
        <f>IF(I947=".",".",VLOOKUP($I947,'Price List, Weapons &amp; Items'!B:J,3,0))</f>
        <v>Anti-materiel rifle</v>
      </c>
      <c r="AP947" s="545" t="str">
        <f t="shared" ca="1" si="187"/>
        <v/>
      </c>
      <c r="AQ947" s="180" t="str">
        <f>VLOOKUP($I947,'Price List, Weapons &amp; Items'!B:L,COLUMN('Price List, Weapons &amp; Items'!$L$11)-1,0)</f>
        <v>no price, 0 count</v>
      </c>
      <c r="AR947" s="180">
        <f t="shared" si="193"/>
        <v>1</v>
      </c>
      <c r="AS947" s="180">
        <f t="shared" si="194"/>
        <v>1</v>
      </c>
      <c r="AT947" s="180">
        <f t="shared" si="183"/>
        <v>1</v>
      </c>
      <c r="AU947" s="180" t="str">
        <f t="shared" si="184"/>
        <v>.</v>
      </c>
      <c r="AV947" s="180" t="str">
        <f t="shared" si="185"/>
        <v>.</v>
      </c>
      <c r="AW947" s="180">
        <f>IFERROR(VLOOKUP(B947,'Share, Heavy Weapons to Ukraine'!B:J,COLUMN('Share, Heavy Weapons to Ukraine'!C960)-1,0),0)</f>
        <v>0</v>
      </c>
      <c r="AX947" s="180">
        <f>VLOOKUP('Bilateral Assistance, MAIN DATA'!B947,'Country Summary'!B:F,COLUMN('Country Summary'!C963)-1,FALSE)</f>
        <v>1</v>
      </c>
      <c r="AY947" s="180" t="str">
        <f>IF(AND(AD947=1,D947="Military",H947&lt;&gt;"Not given")=TRUE,IF(SUMIFS(P:P,A:A,A947)&gt;0,ABS((SUMIFS(P:P,A:A,A947)/VLOOKUP("USD",'Exchange Rates'!B:C,2,0)))/S947,"."),".")</f>
        <v>.</v>
      </c>
      <c r="AZ947" s="182" t="str">
        <f>IF(AND(AD947=1,D947="Military",H947&lt;&gt;"Not given")=TRUE,IF(SUMIFS(P:P,A:A,A947)&gt;0,IF((ABS((SUMIFS(P:P,A:A,A947)/VLOOKUP("USD",'Exchange Rates'!B:C,2,0)))/S947)&gt;1,(SUMIFS(P:P,A:A,A947)-S947)/S947,(S947-SUMIFS(P:P,A:A,A947))/SUMIFS(P:P,A:A,A947)),"."),".")</f>
        <v>.</v>
      </c>
      <c r="BA947" s="182"/>
      <c r="BB947" s="182"/>
      <c r="BC947" s="182"/>
      <c r="BD947" s="182"/>
      <c r="BE947" s="182"/>
      <c r="BF947" s="182"/>
      <c r="BG947" s="182"/>
      <c r="BH947" s="182"/>
      <c r="BI947" s="182"/>
      <c r="BJ947" s="182"/>
      <c r="BK947" s="182"/>
      <c r="BL947" s="182"/>
      <c r="BM947" s="182"/>
      <c r="BN947" s="182"/>
      <c r="BO947" s="182"/>
      <c r="BP947" s="182"/>
      <c r="BQ947" s="182"/>
      <c r="BR947" s="182"/>
      <c r="BS947" s="182"/>
    </row>
    <row r="948" spans="1:71" ht="15.9" customHeight="1" x14ac:dyDescent="0.3">
      <c r="A948" s="17" t="s">
        <v>2762</v>
      </c>
      <c r="B948" s="17" t="s">
        <v>2715</v>
      </c>
      <c r="C948" s="174">
        <v>44714</v>
      </c>
      <c r="D948" s="5" t="s">
        <v>285</v>
      </c>
      <c r="E948" s="5" t="s">
        <v>362</v>
      </c>
      <c r="F948" s="175" t="s">
        <v>2763</v>
      </c>
      <c r="G948" s="15" t="s">
        <v>2721</v>
      </c>
      <c r="H948" s="176">
        <v>578000000</v>
      </c>
      <c r="I948" s="17" t="s">
        <v>260</v>
      </c>
      <c r="J948" s="113" t="str">
        <f>VLOOKUP($I948,'Price List, Weapons &amp; Items'!B:C,2,0)</f>
        <v>.</v>
      </c>
      <c r="K948" s="113" t="str">
        <f>IF(I948=".",I948,VLOOKUP($I948,'Price List, Weapons &amp; Items'!B:D,3,0))</f>
        <v>.</v>
      </c>
      <c r="L948" s="177">
        <f>VLOOKUP(I948,'Price List, Weapons &amp; Items'!B:E,4,0)</f>
        <v>0</v>
      </c>
      <c r="M948" s="542" t="s">
        <v>260</v>
      </c>
      <c r="N948" s="542" t="s">
        <v>260</v>
      </c>
      <c r="O948" s="543" t="str">
        <f>VLOOKUP($I948,'Price List, Weapons &amp; Items'!B:G,6,0)</f>
        <v>.</v>
      </c>
      <c r="P948" s="176" t="str">
        <f t="shared" si="188"/>
        <v>.</v>
      </c>
      <c r="Q948" s="176" t="str">
        <f t="shared" si="189"/>
        <v>.</v>
      </c>
      <c r="R948" s="176">
        <f t="shared" si="186"/>
        <v>578000000</v>
      </c>
      <c r="S948" s="176">
        <f>IF(AND(AD948=1,R948&lt;&gt;".")=TRUE,R948/VLOOKUP(G948,'Exchange Rates'!B:C,2,0),IF(R948=".",".",""))</f>
        <v>53037254.542117819</v>
      </c>
      <c r="T948" s="176" t="str">
        <f>IF(AD948=1,IF(AF948="Value is not given at all",".",IF(AF948="Value is given by the source",S948,IF(AF948="Value is calculated with prices",(IF(SUMIFS(Q:Q,A:A,A948)&gt;0,SUMIFS(Q:Q,A:A,A948),"."))/VLOOKUP("USD",'Exchange Rates'!B:C,2,0),"Error with coding"))),"")</f>
        <v>.</v>
      </c>
      <c r="U948" s="15" t="s">
        <v>261</v>
      </c>
      <c r="V948" s="300" t="s">
        <v>2732</v>
      </c>
      <c r="W948" s="300" t="s">
        <v>2758</v>
      </c>
      <c r="X948" s="300" t="s">
        <v>2759</v>
      </c>
      <c r="Y948" s="175" t="s">
        <v>260</v>
      </c>
      <c r="Z948" s="15">
        <v>0</v>
      </c>
      <c r="AA948" s="180">
        <v>0</v>
      </c>
      <c r="AB948" s="17" t="s">
        <v>260</v>
      </c>
      <c r="AC948" s="544" t="str">
        <f>""</f>
        <v/>
      </c>
      <c r="AD948" s="181">
        <v>1</v>
      </c>
      <c r="AE948" s="181" t="s">
        <v>264</v>
      </c>
      <c r="AF948" s="181" t="s">
        <v>265</v>
      </c>
      <c r="AG948" s="181">
        <v>1</v>
      </c>
      <c r="AH948" s="181">
        <v>6</v>
      </c>
      <c r="AI948" s="181">
        <v>0</v>
      </c>
      <c r="AJ948" s="181">
        <f>VLOOKUP($I948,'Price List, Weapons &amp; Items'!B:F,5,0)</f>
        <v>0</v>
      </c>
      <c r="AK948" s="181">
        <f t="shared" si="190"/>
        <v>0</v>
      </c>
      <c r="AL948" s="181">
        <f t="shared" si="191"/>
        <v>0</v>
      </c>
      <c r="AM948" s="181">
        <f t="shared" si="192"/>
        <v>0</v>
      </c>
      <c r="AN948" s="180" t="str">
        <f>VLOOKUP($I948,'Price List, Weapons &amp; Items'!B:L,COLUMN('Price List, Weapons &amp; Items'!$J$11)-1,0)</f>
        <v>.</v>
      </c>
      <c r="AO948" s="180" t="str">
        <f>IF(I948=".",".",VLOOKUP($I948,'Price List, Weapons &amp; Items'!B:J,3,0))</f>
        <v>.</v>
      </c>
      <c r="AP948" s="545" t="e">
        <f t="shared" ca="1" si="187"/>
        <v>#NAME?</v>
      </c>
      <c r="AQ948" s="180" t="str">
        <f>VLOOKUP($I948,'Price List, Weapons &amp; Items'!B:L,COLUMN('Price List, Weapons &amp; Items'!$L$11)-1,0)</f>
        <v>no price, 0 count</v>
      </c>
      <c r="AR948" s="180">
        <f t="shared" si="193"/>
        <v>1</v>
      </c>
      <c r="AS948" s="180">
        <f t="shared" si="194"/>
        <v>0</v>
      </c>
      <c r="AT948" s="180">
        <f t="shared" si="183"/>
        <v>1</v>
      </c>
      <c r="AU948" s="180" t="str">
        <f t="shared" si="184"/>
        <v>.</v>
      </c>
      <c r="AV948" s="180" t="str">
        <f t="shared" si="185"/>
        <v>.</v>
      </c>
      <c r="AW948" s="180">
        <f>IFERROR(VLOOKUP(B948,'Share, Heavy Weapons to Ukraine'!B:J,COLUMN('Share, Heavy Weapons to Ukraine'!C961)-1,0),0)</f>
        <v>0</v>
      </c>
      <c r="AX948" s="180">
        <f>VLOOKUP('Bilateral Assistance, MAIN DATA'!B948,'Country Summary'!B:F,COLUMN('Country Summary'!C964)-1,FALSE)</f>
        <v>1</v>
      </c>
      <c r="AY948" s="180" t="str">
        <f>IF(AND(AD948=1,D948="Military",H948&lt;&gt;"Not given")=TRUE,IF(SUMIFS(P:P,A:A,A948)&gt;0,ABS((SUMIFS(P:P,A:A,A948)/VLOOKUP("USD",'Exchange Rates'!B:C,2,0)))/S948,"."),".")</f>
        <v>.</v>
      </c>
      <c r="AZ948" s="182" t="str">
        <f>IF(AND(AD948=1,D948="Military",H948&lt;&gt;"Not given")=TRUE,IF(SUMIFS(P:P,A:A,A948)&gt;0,IF((ABS((SUMIFS(P:P,A:A,A948)/VLOOKUP("USD",'Exchange Rates'!B:C,2,0)))/S948)&gt;1,(SUMIFS(P:P,A:A,A948)-S948)/S948,(S948-SUMIFS(P:P,A:A,A948))/SUMIFS(P:P,A:A,A948)),"."),".")</f>
        <v>.</v>
      </c>
      <c r="BA948" s="182"/>
      <c r="BB948" s="182"/>
      <c r="BC948" s="182"/>
      <c r="BD948" s="182"/>
      <c r="BE948" s="182"/>
      <c r="BF948" s="182"/>
      <c r="BG948" s="182"/>
      <c r="BH948" s="182"/>
      <c r="BI948" s="182"/>
      <c r="BJ948" s="182"/>
      <c r="BK948" s="182"/>
      <c r="BL948" s="182"/>
      <c r="BM948" s="182"/>
      <c r="BN948" s="182"/>
      <c r="BO948" s="182"/>
      <c r="BP948" s="182"/>
      <c r="BQ948" s="182"/>
      <c r="BR948" s="182"/>
      <c r="BS948" s="182"/>
    </row>
    <row r="949" spans="1:71" ht="15.9" customHeight="1" x14ac:dyDescent="0.3">
      <c r="A949" s="17" t="s">
        <v>2764</v>
      </c>
      <c r="B949" s="17" t="s">
        <v>2715</v>
      </c>
      <c r="C949" s="174">
        <v>44714</v>
      </c>
      <c r="D949" s="5" t="s">
        <v>285</v>
      </c>
      <c r="E949" s="5" t="s">
        <v>362</v>
      </c>
      <c r="F949" s="175" t="s">
        <v>2765</v>
      </c>
      <c r="G949" s="15" t="s">
        <v>2721</v>
      </c>
      <c r="H949" s="176">
        <v>60000000</v>
      </c>
      <c r="I949" s="17" t="s">
        <v>260</v>
      </c>
      <c r="J949" s="113" t="str">
        <f>VLOOKUP($I949,'Price List, Weapons &amp; Items'!B:C,2,0)</f>
        <v>.</v>
      </c>
      <c r="K949" s="113" t="str">
        <f>IF(I949=".",I949,VLOOKUP($I949,'Price List, Weapons &amp; Items'!B:D,3,0))</f>
        <v>.</v>
      </c>
      <c r="L949" s="177">
        <f>VLOOKUP(I949,'Price List, Weapons &amp; Items'!B:E,4,0)</f>
        <v>0</v>
      </c>
      <c r="M949" s="542" t="s">
        <v>260</v>
      </c>
      <c r="N949" s="542" t="s">
        <v>260</v>
      </c>
      <c r="O949" s="543" t="str">
        <f>VLOOKUP($I949,'Price List, Weapons &amp; Items'!B:G,6,0)</f>
        <v>.</v>
      </c>
      <c r="P949" s="176" t="str">
        <f t="shared" si="188"/>
        <v>.</v>
      </c>
      <c r="Q949" s="176" t="str">
        <f t="shared" si="189"/>
        <v>.</v>
      </c>
      <c r="R949" s="176">
        <f t="shared" si="186"/>
        <v>60000000</v>
      </c>
      <c r="S949" s="176">
        <f>IF(AND(AD949=1,R949&lt;&gt;".")=TRUE,R949/VLOOKUP(G949,'Exchange Rates'!B:C,2,0),IF(R949=".",".",""))</f>
        <v>5505597.3573132688</v>
      </c>
      <c r="T949" s="176" t="str">
        <f>IF(AD949=1,IF(AF949="Value is not given at all",".",IF(AF949="Value is given by the source",S949,IF(AF949="Value is calculated with prices",(IF(SUMIFS(Q:Q,A:A,A949)&gt;0,SUMIFS(Q:Q,A:A,A949),"."))/VLOOKUP("USD",'Exchange Rates'!B:C,2,0),"Error with coding"))),"")</f>
        <v>.</v>
      </c>
      <c r="U949" s="15" t="s">
        <v>261</v>
      </c>
      <c r="V949" s="300" t="s">
        <v>2732</v>
      </c>
      <c r="W949" s="300" t="s">
        <v>2758</v>
      </c>
      <c r="X949" s="300" t="s">
        <v>2759</v>
      </c>
      <c r="Y949" s="175" t="s">
        <v>260</v>
      </c>
      <c r="Z949" s="15">
        <v>0</v>
      </c>
      <c r="AA949" s="180">
        <v>0</v>
      </c>
      <c r="AB949" s="17" t="s">
        <v>260</v>
      </c>
      <c r="AC949" s="544" t="str">
        <f>""</f>
        <v/>
      </c>
      <c r="AD949" s="181">
        <v>1</v>
      </c>
      <c r="AE949" s="181" t="s">
        <v>264</v>
      </c>
      <c r="AF949" s="181" t="s">
        <v>265</v>
      </c>
      <c r="AG949" s="181">
        <v>1</v>
      </c>
      <c r="AH949" s="181">
        <v>6</v>
      </c>
      <c r="AI949" s="181">
        <v>0</v>
      </c>
      <c r="AJ949" s="181">
        <f>VLOOKUP($I949,'Price List, Weapons &amp; Items'!B:F,5,0)</f>
        <v>0</v>
      </c>
      <c r="AK949" s="181">
        <f t="shared" si="190"/>
        <v>0</v>
      </c>
      <c r="AL949" s="181">
        <f t="shared" si="191"/>
        <v>0</v>
      </c>
      <c r="AM949" s="181">
        <f t="shared" si="192"/>
        <v>0</v>
      </c>
      <c r="AN949" s="180" t="str">
        <f>VLOOKUP($I949,'Price List, Weapons &amp; Items'!B:L,COLUMN('Price List, Weapons &amp; Items'!$J$11)-1,0)</f>
        <v>.</v>
      </c>
      <c r="AO949" s="180" t="str">
        <f>IF(I949=".",".",VLOOKUP($I949,'Price List, Weapons &amp; Items'!B:J,3,0))</f>
        <v>.</v>
      </c>
      <c r="AP949" s="545" t="e">
        <f t="shared" ca="1" si="187"/>
        <v>#NAME?</v>
      </c>
      <c r="AQ949" s="180" t="str">
        <f>VLOOKUP($I949,'Price List, Weapons &amp; Items'!B:L,COLUMN('Price List, Weapons &amp; Items'!$L$11)-1,0)</f>
        <v>no price, 0 count</v>
      </c>
      <c r="AR949" s="180">
        <f t="shared" si="193"/>
        <v>1</v>
      </c>
      <c r="AS949" s="180">
        <f t="shared" si="194"/>
        <v>0</v>
      </c>
      <c r="AT949" s="180">
        <f t="shared" si="183"/>
        <v>1</v>
      </c>
      <c r="AU949" s="180" t="str">
        <f t="shared" si="184"/>
        <v>.</v>
      </c>
      <c r="AV949" s="180" t="str">
        <f t="shared" si="185"/>
        <v>.</v>
      </c>
      <c r="AW949" s="180">
        <f>IFERROR(VLOOKUP(B949,'Share, Heavy Weapons to Ukraine'!B:J,COLUMN('Share, Heavy Weapons to Ukraine'!C962)-1,0),0)</f>
        <v>0</v>
      </c>
      <c r="AX949" s="180">
        <f>VLOOKUP('Bilateral Assistance, MAIN DATA'!B949,'Country Summary'!B:F,COLUMN('Country Summary'!C965)-1,FALSE)</f>
        <v>1</v>
      </c>
      <c r="AY949" s="180" t="str">
        <f>IF(AND(AD949=1,D949="Military",H949&lt;&gt;"Not given")=TRUE,IF(SUMIFS(P:P,A:A,A949)&gt;0,ABS((SUMIFS(P:P,A:A,A949)/VLOOKUP("USD",'Exchange Rates'!B:C,2,0)))/S949,"."),".")</f>
        <v>.</v>
      </c>
      <c r="AZ949" s="182" t="str">
        <f>IF(AND(AD949=1,D949="Military",H949&lt;&gt;"Not given")=TRUE,IF(SUMIFS(P:P,A:A,A949)&gt;0,IF((ABS((SUMIFS(P:P,A:A,A949)/VLOOKUP("USD",'Exchange Rates'!B:C,2,0)))/S949)&gt;1,(SUMIFS(P:P,A:A,A949)-S949)/S949,(S949-SUMIFS(P:P,A:A,A949))/SUMIFS(P:P,A:A,A949)),"."),".")</f>
        <v>.</v>
      </c>
      <c r="BA949" s="182"/>
      <c r="BB949" s="182"/>
      <c r="BC949" s="182"/>
      <c r="BD949" s="182"/>
      <c r="BE949" s="182"/>
      <c r="BF949" s="182"/>
      <c r="BG949" s="182"/>
      <c r="BH949" s="182"/>
      <c r="BI949" s="182"/>
      <c r="BJ949" s="182"/>
      <c r="BK949" s="182"/>
      <c r="BL949" s="182"/>
      <c r="BM949" s="182"/>
      <c r="BN949" s="182"/>
      <c r="BO949" s="182"/>
      <c r="BP949" s="182"/>
      <c r="BQ949" s="182"/>
      <c r="BR949" s="182"/>
      <c r="BS949" s="182"/>
    </row>
    <row r="950" spans="1:71" ht="15.9" customHeight="1" x14ac:dyDescent="0.3">
      <c r="A950" s="17" t="s">
        <v>2766</v>
      </c>
      <c r="B950" s="17" t="s">
        <v>2715</v>
      </c>
      <c r="C950" s="174">
        <v>44754</v>
      </c>
      <c r="D950" s="5" t="s">
        <v>285</v>
      </c>
      <c r="E950" s="5" t="s">
        <v>362</v>
      </c>
      <c r="F950" s="175" t="s">
        <v>2767</v>
      </c>
      <c r="G950" s="15" t="s">
        <v>2721</v>
      </c>
      <c r="H950" s="176">
        <v>577700000</v>
      </c>
      <c r="I950" s="17" t="s">
        <v>260</v>
      </c>
      <c r="J950" s="113" t="str">
        <f>VLOOKUP($I950,'Price List, Weapons &amp; Items'!B:C,2,0)</f>
        <v>.</v>
      </c>
      <c r="K950" s="113" t="str">
        <f>IF(I950=".",I950,VLOOKUP($I950,'Price List, Weapons &amp; Items'!B:D,3,0))</f>
        <v>.</v>
      </c>
      <c r="L950" s="177">
        <f>VLOOKUP(I950,'Price List, Weapons &amp; Items'!B:E,4,0)</f>
        <v>0</v>
      </c>
      <c r="M950" s="542" t="s">
        <v>260</v>
      </c>
      <c r="N950" s="542" t="s">
        <v>260</v>
      </c>
      <c r="O950" s="543" t="str">
        <f>VLOOKUP($I950,'Price List, Weapons &amp; Items'!B:G,6,0)</f>
        <v>.</v>
      </c>
      <c r="P950" s="176" t="str">
        <f t="shared" si="188"/>
        <v>.</v>
      </c>
      <c r="Q950" s="176" t="str">
        <f t="shared" si="189"/>
        <v>.</v>
      </c>
      <c r="R950" s="176">
        <f t="shared" si="186"/>
        <v>577700000</v>
      </c>
      <c r="S950" s="176">
        <f>IF(AND(AD950=1,R950&lt;&gt;".")=TRUE,R950/VLOOKUP(G950,'Exchange Rates'!B:C,2,0),IF(R950=".",".",""))</f>
        <v>53009726.555331253</v>
      </c>
      <c r="T950" s="176" t="str">
        <f>IF(AD950=1,IF(AF950="Value is not given at all",".",IF(AF950="Value is given by the source",S950,IF(AF950="Value is calculated with prices",(IF(SUMIFS(Q:Q,A:A,A950)&gt;0,SUMIFS(Q:Q,A:A,A950),"."))/VLOOKUP("USD",'Exchange Rates'!B:C,2,0),"Error with coding"))),"")</f>
        <v>.</v>
      </c>
      <c r="U950" s="15" t="s">
        <v>261</v>
      </c>
      <c r="V950" s="300" t="s">
        <v>2768</v>
      </c>
      <c r="W950" s="144" t="s">
        <v>260</v>
      </c>
      <c r="X950" s="144" t="s">
        <v>260</v>
      </c>
      <c r="Y950" s="175" t="s">
        <v>260</v>
      </c>
      <c r="Z950" s="15">
        <v>0</v>
      </c>
      <c r="AA950" s="180">
        <v>0</v>
      </c>
      <c r="AB950" s="17" t="s">
        <v>260</v>
      </c>
      <c r="AC950" s="544" t="str">
        <f>""</f>
        <v/>
      </c>
      <c r="AD950" s="181">
        <v>1</v>
      </c>
      <c r="AE950" s="181" t="s">
        <v>264</v>
      </c>
      <c r="AF950" s="181" t="s">
        <v>265</v>
      </c>
      <c r="AG950" s="181">
        <v>1</v>
      </c>
      <c r="AH950" s="181">
        <v>7</v>
      </c>
      <c r="AI950" s="181">
        <v>0</v>
      </c>
      <c r="AJ950" s="181">
        <f>VLOOKUP($I950,'Price List, Weapons &amp; Items'!B:F,5,0)</f>
        <v>0</v>
      </c>
      <c r="AK950" s="181">
        <f t="shared" si="190"/>
        <v>0</v>
      </c>
      <c r="AL950" s="181">
        <f t="shared" si="191"/>
        <v>0</v>
      </c>
      <c r="AM950" s="181">
        <f t="shared" si="192"/>
        <v>0</v>
      </c>
      <c r="AN950" s="180" t="str">
        <f>VLOOKUP($I950,'Price List, Weapons &amp; Items'!B:L,COLUMN('Price List, Weapons &amp; Items'!$J$11)-1,0)</f>
        <v>.</v>
      </c>
      <c r="AO950" s="180" t="str">
        <f>IF(I950=".",".",VLOOKUP($I950,'Price List, Weapons &amp; Items'!B:J,3,0))</f>
        <v>.</v>
      </c>
      <c r="AP950" s="545" t="e">
        <f t="shared" ca="1" si="187"/>
        <v>#NAME?</v>
      </c>
      <c r="AQ950" s="180" t="str">
        <f>VLOOKUP($I950,'Price List, Weapons &amp; Items'!B:L,COLUMN('Price List, Weapons &amp; Items'!$L$11)-1,0)</f>
        <v>no price, 0 count</v>
      </c>
      <c r="AR950" s="180">
        <f t="shared" si="193"/>
        <v>1</v>
      </c>
      <c r="AS950" s="180">
        <f t="shared" si="194"/>
        <v>0</v>
      </c>
      <c r="AT950" s="180">
        <f t="shared" si="183"/>
        <v>1</v>
      </c>
      <c r="AU950" s="180" t="str">
        <f t="shared" si="184"/>
        <v>.</v>
      </c>
      <c r="AV950" s="180" t="str">
        <f t="shared" si="185"/>
        <v>.</v>
      </c>
      <c r="AW950" s="180">
        <f>IFERROR(VLOOKUP(B950,'Share, Heavy Weapons to Ukraine'!B:J,COLUMN('Share, Heavy Weapons to Ukraine'!C963)-1,0),0)</f>
        <v>0</v>
      </c>
      <c r="AX950" s="180">
        <f>VLOOKUP('Bilateral Assistance, MAIN DATA'!B950,'Country Summary'!B:F,COLUMN('Country Summary'!C966)-1,FALSE)</f>
        <v>1</v>
      </c>
      <c r="AY950" s="180" t="str">
        <f>IF(AND(AD950=1,D950="Military",H950&lt;&gt;"Not given")=TRUE,IF(SUMIFS(P:P,A:A,A950)&gt;0,ABS((SUMIFS(P:P,A:A,A950)/VLOOKUP("USD",'Exchange Rates'!B:C,2,0)))/S950,"."),".")</f>
        <v>.</v>
      </c>
      <c r="AZ950" s="182" t="str">
        <f>IF(AND(AD950=1,D950="Military",H950&lt;&gt;"Not given")=TRUE,IF(SUMIFS(P:P,A:A,A950)&gt;0,IF((ABS((SUMIFS(P:P,A:A,A950)/VLOOKUP("USD",'Exchange Rates'!B:C,2,0)))/S950)&gt;1,(SUMIFS(P:P,A:A,A950)-S950)/S950,(S950-SUMIFS(P:P,A:A,A950))/SUMIFS(P:P,A:A,A950)),"."),".")</f>
        <v>.</v>
      </c>
      <c r="BA950" s="182"/>
      <c r="BB950" s="182"/>
      <c r="BC950" s="182"/>
      <c r="BD950" s="182"/>
      <c r="BE950" s="182"/>
      <c r="BF950" s="182"/>
      <c r="BG950" s="182"/>
      <c r="BH950" s="182"/>
      <c r="BI950" s="182"/>
      <c r="BJ950" s="182"/>
      <c r="BK950" s="182"/>
      <c r="BL950" s="182"/>
      <c r="BM950" s="182"/>
      <c r="BN950" s="182"/>
      <c r="BO950" s="182"/>
      <c r="BP950" s="182"/>
      <c r="BQ950" s="182"/>
      <c r="BR950" s="182"/>
      <c r="BS950" s="182"/>
    </row>
    <row r="951" spans="1:71" ht="15.9" customHeight="1" x14ac:dyDescent="0.3">
      <c r="A951" s="17" t="s">
        <v>2769</v>
      </c>
      <c r="B951" s="17" t="s">
        <v>2715</v>
      </c>
      <c r="C951" s="174">
        <v>44801</v>
      </c>
      <c r="D951" s="5" t="s">
        <v>285</v>
      </c>
      <c r="E951" s="5" t="s">
        <v>286</v>
      </c>
      <c r="F951" s="175" t="s">
        <v>2770</v>
      </c>
      <c r="G951" s="15" t="s">
        <v>2721</v>
      </c>
      <c r="H951" s="176">
        <v>500000000</v>
      </c>
      <c r="I951" s="17" t="s">
        <v>1262</v>
      </c>
      <c r="J951" s="113" t="str">
        <f>VLOOKUP($I951,'Price List, Weapons &amp; Items'!B:C,2,0)</f>
        <v>Ammunition for heavy weapon</v>
      </c>
      <c r="K951" s="113" t="str">
        <f>IF(I951=".",I951,VLOOKUP($I951,'Price List, Weapons &amp; Items'!B:D,3,0))</f>
        <v>155mm howitzer ammunition</v>
      </c>
      <c r="L951" s="177">
        <f>VLOOKUP(I951,'Price List, Weapons &amp; Items'!B:E,4,0)</f>
        <v>0</v>
      </c>
      <c r="M951" s="542" t="s">
        <v>270</v>
      </c>
      <c r="N951" s="542" t="s">
        <v>270</v>
      </c>
      <c r="O951" s="543">
        <f>VLOOKUP($I951,'Price List, Weapons &amp; Items'!B:G,6,0)</f>
        <v>3800</v>
      </c>
      <c r="P951" s="176" t="str">
        <f t="shared" si="188"/>
        <v>.</v>
      </c>
      <c r="Q951" s="176" t="str">
        <f t="shared" si="189"/>
        <v>.</v>
      </c>
      <c r="R951" s="176">
        <f t="shared" si="186"/>
        <v>500000000</v>
      </c>
      <c r="S951" s="176">
        <f>IF(AND(AD951=1,R951&lt;&gt;".")=TRUE,R951/VLOOKUP(G951,'Exchange Rates'!B:C,2,0),IF(R951=".",".",""))</f>
        <v>45879977.977610573</v>
      </c>
      <c r="T951" s="176" t="str">
        <f>IF(AD951=1,IF(AF951="Value is not given at all",".",IF(AF951="Value is given by the source",S951,IF(AF951="Value is calculated with prices",(IF(SUMIFS(Q:Q,A:A,A951)&gt;0,SUMIFS(Q:Q,A:A,A951),"."))/VLOOKUP("USD",'Exchange Rates'!B:C,2,0),"Error with coding"))),"")</f>
        <v>.</v>
      </c>
      <c r="U951" s="15" t="s">
        <v>261</v>
      </c>
      <c r="V951" s="300" t="s">
        <v>2771</v>
      </c>
      <c r="W951" s="564" t="s">
        <v>2772</v>
      </c>
      <c r="X951" s="560" t="s">
        <v>2773</v>
      </c>
      <c r="Y951" s="546" t="s">
        <v>2774</v>
      </c>
      <c r="Z951" s="15">
        <v>0</v>
      </c>
      <c r="AA951" s="180">
        <v>0</v>
      </c>
      <c r="AB951" s="561" t="s">
        <v>2774</v>
      </c>
      <c r="AC951" s="544" t="str">
        <f>""</f>
        <v/>
      </c>
      <c r="AD951" s="181">
        <v>1</v>
      </c>
      <c r="AE951" s="181" t="s">
        <v>264</v>
      </c>
      <c r="AF951" s="181" t="s">
        <v>265</v>
      </c>
      <c r="AG951" s="181">
        <v>1</v>
      </c>
      <c r="AH951" s="181">
        <v>8</v>
      </c>
      <c r="AI951" s="181">
        <v>0</v>
      </c>
      <c r="AJ951" s="181">
        <f>VLOOKUP($I951,'Price List, Weapons &amp; Items'!B:F,5,0)</f>
        <v>1</v>
      </c>
      <c r="AK951" s="181">
        <f t="shared" si="190"/>
        <v>1</v>
      </c>
      <c r="AL951" s="181">
        <f t="shared" si="191"/>
        <v>1</v>
      </c>
      <c r="AM951" s="181">
        <f t="shared" si="192"/>
        <v>1</v>
      </c>
      <c r="AN951" s="180" t="str">
        <f>VLOOKUP($I951,'Price List, Weapons &amp; Items'!B:L,COLUMN('Price List, Weapons &amp; Items'!$J$11)-1,0)</f>
        <v>Government information</v>
      </c>
      <c r="AO951" s="180" t="str">
        <f>IF(I951=".",".",VLOOKUP($I951,'Price List, Weapons &amp; Items'!B:J,3,0))</f>
        <v>155mm howitzer ammunition</v>
      </c>
      <c r="AP951" s="545" t="e">
        <f t="shared" ca="1" si="187"/>
        <v>#NAME?</v>
      </c>
      <c r="AQ951" s="180">
        <f>VLOOKUP($I951,'Price List, Weapons &amp; Items'!B:L,COLUMN('Price List, Weapons &amp; Items'!$L$11)-1,0)</f>
        <v>2</v>
      </c>
      <c r="AR951" s="180">
        <f t="shared" si="193"/>
        <v>1</v>
      </c>
      <c r="AS951" s="180">
        <f t="shared" si="194"/>
        <v>1</v>
      </c>
      <c r="AT951" s="180">
        <f t="shared" si="183"/>
        <v>1</v>
      </c>
      <c r="AU951" s="180" t="str">
        <f t="shared" si="184"/>
        <v>.</v>
      </c>
      <c r="AV951" s="180" t="str">
        <f t="shared" si="185"/>
        <v>.</v>
      </c>
      <c r="AW951" s="180">
        <f>IFERROR(VLOOKUP(B951,'Share, Heavy Weapons to Ukraine'!B:J,COLUMN('Share, Heavy Weapons to Ukraine'!C964)-1,0),0)</f>
        <v>0</v>
      </c>
      <c r="AX951" s="180">
        <f>VLOOKUP('Bilateral Assistance, MAIN DATA'!B951,'Country Summary'!B:F,COLUMN('Country Summary'!C967)-1,FALSE)</f>
        <v>1</v>
      </c>
      <c r="AY951" s="180" t="str">
        <f>IF(AND(AD951=1,D951="Military",H951&lt;&gt;"Not given")=TRUE,IF(SUMIFS(P:P,A:A,A951)&gt;0,ABS((SUMIFS(P:P,A:A,A951)/VLOOKUP("USD",'Exchange Rates'!B:C,2,0)))/S951,"."),".")</f>
        <v>.</v>
      </c>
      <c r="AZ951" s="182" t="str">
        <f>IF(AND(AD951=1,D951="Military",H951&lt;&gt;"Not given")=TRUE,IF(SUMIFS(P:P,A:A,A951)&gt;0,IF((ABS((SUMIFS(P:P,A:A,A951)/VLOOKUP("USD",'Exchange Rates'!B:C,2,0)))/S951)&gt;1,(SUMIFS(P:P,A:A,A951)-S951)/S951,(S951-SUMIFS(P:P,A:A,A951))/SUMIFS(P:P,A:A,A951)),"."),".")</f>
        <v>.</v>
      </c>
      <c r="BA951" s="182"/>
      <c r="BB951" s="182"/>
      <c r="BC951" s="182"/>
      <c r="BD951" s="182"/>
      <c r="BE951" s="182"/>
      <c r="BF951" s="182"/>
      <c r="BG951" s="182"/>
      <c r="BH951" s="182"/>
      <c r="BI951" s="182"/>
      <c r="BJ951" s="182"/>
      <c r="BK951" s="182"/>
      <c r="BL951" s="182"/>
      <c r="BM951" s="182"/>
      <c r="BN951" s="182"/>
      <c r="BO951" s="182"/>
      <c r="BP951" s="182"/>
      <c r="BQ951" s="182"/>
      <c r="BR951" s="182"/>
      <c r="BS951" s="182"/>
    </row>
    <row r="952" spans="1:71" ht="15.9" customHeight="1" x14ac:dyDescent="0.3">
      <c r="A952" s="17" t="s">
        <v>2775</v>
      </c>
      <c r="B952" s="17" t="s">
        <v>2715</v>
      </c>
      <c r="C952" s="174">
        <v>44881</v>
      </c>
      <c r="D952" s="5" t="s">
        <v>285</v>
      </c>
      <c r="E952" s="5" t="s">
        <v>286</v>
      </c>
      <c r="F952" s="175" t="s">
        <v>2776</v>
      </c>
      <c r="G952" s="15" t="s">
        <v>2721</v>
      </c>
      <c r="H952" s="176">
        <v>3000000000</v>
      </c>
      <c r="I952" s="17" t="s">
        <v>260</v>
      </c>
      <c r="J952" s="113" t="str">
        <f>VLOOKUP($I952,'Price List, Weapons &amp; Items'!B:C,2,0)</f>
        <v>.</v>
      </c>
      <c r="K952" s="113" t="str">
        <f>IF(I952=".",I952,VLOOKUP($I952,'Price List, Weapons &amp; Items'!B:D,3,0))</f>
        <v>.</v>
      </c>
      <c r="L952" s="177">
        <f>VLOOKUP(I952,'Price List, Weapons &amp; Items'!B:E,4,0)</f>
        <v>0</v>
      </c>
      <c r="M952" s="542" t="s">
        <v>260</v>
      </c>
      <c r="N952" s="542" t="s">
        <v>260</v>
      </c>
      <c r="O952" s="543" t="str">
        <f>VLOOKUP($I952,'Price List, Weapons &amp; Items'!B:G,6,0)</f>
        <v>.</v>
      </c>
      <c r="P952" s="176" t="str">
        <f t="shared" si="188"/>
        <v>.</v>
      </c>
      <c r="Q952" s="176" t="str">
        <f t="shared" si="189"/>
        <v>.</v>
      </c>
      <c r="R952" s="176">
        <f t="shared" si="186"/>
        <v>3000000000</v>
      </c>
      <c r="S952" s="176">
        <f>IF(AND(AD952=1,R952&lt;&gt;".")=TRUE,R952/VLOOKUP(G952,'Exchange Rates'!B:C,2,0),IF(R952=".",".",""))</f>
        <v>275279867.86566341</v>
      </c>
      <c r="T952" s="176">
        <f>IF(AD952=1,IF(AF952="Value is not given at all",".",IF(AF952="Value is given by the source",S952,IF(AF952="Value is calculated with prices",(IF(SUMIFS(Q:Q,A:A,A952)&gt;0,SUMIFS(Q:Q,A:A,A952),"."))/VLOOKUP("USD",'Exchange Rates'!B:C,2,0),"Error with coding"))),"")</f>
        <v>275279867.86566341</v>
      </c>
      <c r="U952" s="15" t="s">
        <v>261</v>
      </c>
      <c r="V952" s="305" t="s">
        <v>2739</v>
      </c>
      <c r="W952" s="144" t="s">
        <v>260</v>
      </c>
      <c r="X952" s="144" t="s">
        <v>260</v>
      </c>
      <c r="Y952" s="668" t="s">
        <v>260</v>
      </c>
      <c r="Z952" s="15">
        <v>0</v>
      </c>
      <c r="AA952" s="180">
        <v>0</v>
      </c>
      <c r="AB952" s="583" t="s">
        <v>2777</v>
      </c>
      <c r="AC952" s="544" t="str">
        <f>""</f>
        <v/>
      </c>
      <c r="AD952" s="181">
        <v>1</v>
      </c>
      <c r="AE952" s="181" t="s">
        <v>264</v>
      </c>
      <c r="AF952" s="181" t="s">
        <v>264</v>
      </c>
      <c r="AG952" s="181">
        <v>1</v>
      </c>
      <c r="AH952" s="181">
        <v>11</v>
      </c>
      <c r="AI952" s="181">
        <v>0</v>
      </c>
      <c r="AJ952" s="181">
        <f>VLOOKUP($I952,'Price List, Weapons &amp; Items'!B:F,5,0)</f>
        <v>0</v>
      </c>
      <c r="AK952" s="181">
        <f t="shared" si="190"/>
        <v>0</v>
      </c>
      <c r="AL952" s="181">
        <f t="shared" si="191"/>
        <v>0</v>
      </c>
      <c r="AM952" s="181">
        <f t="shared" si="192"/>
        <v>0</v>
      </c>
      <c r="AN952" s="180" t="str">
        <f>VLOOKUP($I952,'Price List, Weapons &amp; Items'!B:L,COLUMN('Price List, Weapons &amp; Items'!$J$11)-1,0)</f>
        <v>.</v>
      </c>
      <c r="AO952" s="180" t="str">
        <f>IF(I952=".",".",VLOOKUP($I952,'Price List, Weapons &amp; Items'!B:J,3,0))</f>
        <v>.</v>
      </c>
      <c r="AP952" s="545" t="e">
        <f t="shared" ca="1" si="187"/>
        <v>#NAME?</v>
      </c>
      <c r="AQ952" s="180" t="str">
        <f>VLOOKUP($I952,'Price List, Weapons &amp; Items'!B:L,COLUMN('Price List, Weapons &amp; Items'!$L$11)-1,0)</f>
        <v>no price, 0 count</v>
      </c>
      <c r="AR952" s="180">
        <f t="shared" si="193"/>
        <v>1</v>
      </c>
      <c r="AS952" s="180">
        <f t="shared" si="194"/>
        <v>1</v>
      </c>
      <c r="AT952" s="180">
        <f t="shared" si="183"/>
        <v>1</v>
      </c>
      <c r="AU952" s="180" t="str">
        <f t="shared" si="184"/>
        <v>.</v>
      </c>
      <c r="AV952" s="180" t="str">
        <f t="shared" si="185"/>
        <v>.</v>
      </c>
      <c r="AW952" s="180">
        <f>IFERROR(VLOOKUP(B952,'Share, Heavy Weapons to Ukraine'!B:J,COLUMN('Share, Heavy Weapons to Ukraine'!C965)-1,0),0)</f>
        <v>0</v>
      </c>
      <c r="AX952" s="180">
        <f>VLOOKUP('Bilateral Assistance, MAIN DATA'!B952,'Country Summary'!B:F,COLUMN('Country Summary'!C968)-1,FALSE)</f>
        <v>1</v>
      </c>
      <c r="AY952" s="180" t="str">
        <f>IF(AND(AD952=1,D952="Military",H952&lt;&gt;"Not given")=TRUE,IF(SUMIFS(P:P,A:A,A952)&gt;0,ABS((SUMIFS(P:P,A:A,A952)/VLOOKUP("USD",'Exchange Rates'!B:C,2,0)))/S952,"."),".")</f>
        <v>.</v>
      </c>
      <c r="AZ952" s="182" t="str">
        <f>IF(AND(AD952=1,D952="Military",H952&lt;&gt;"Not given")=TRUE,IF(SUMIFS(P:P,A:A,A952)&gt;0,IF((ABS((SUMIFS(P:P,A:A,A952)/VLOOKUP("USD",'Exchange Rates'!B:C,2,0)))/S952)&gt;1,(SUMIFS(P:P,A:A,A952)-S952)/S952,(S952-SUMIFS(P:P,A:A,A952))/SUMIFS(P:P,A:A,A952)),"."),".")</f>
        <v>.</v>
      </c>
      <c r="BA952" s="182"/>
      <c r="BB952" s="182"/>
      <c r="BC952" s="182"/>
      <c r="BD952" s="182"/>
      <c r="BE952" s="182"/>
      <c r="BF952" s="182"/>
      <c r="BG952" s="182"/>
      <c r="BH952" s="182"/>
      <c r="BI952" s="182"/>
      <c r="BJ952" s="182"/>
      <c r="BK952" s="182"/>
      <c r="BL952" s="182"/>
      <c r="BM952" s="182"/>
      <c r="BN952" s="182"/>
      <c r="BO952" s="182"/>
      <c r="BP952" s="182"/>
      <c r="BQ952" s="182"/>
      <c r="BR952" s="182"/>
      <c r="BS952" s="182"/>
    </row>
    <row r="953" spans="1:71" ht="15.9" customHeight="1" x14ac:dyDescent="0.3">
      <c r="A953" s="17" t="s">
        <v>2778</v>
      </c>
      <c r="B953" s="17" t="s">
        <v>2715</v>
      </c>
      <c r="C953" s="174">
        <v>44936</v>
      </c>
      <c r="D953" s="5" t="s">
        <v>285</v>
      </c>
      <c r="E953" s="5" t="s">
        <v>339</v>
      </c>
      <c r="F953" s="175" t="s">
        <v>2779</v>
      </c>
      <c r="G953" s="15" t="s">
        <v>2721</v>
      </c>
      <c r="H953" s="176" t="s">
        <v>341</v>
      </c>
      <c r="I953" s="17" t="s">
        <v>2780</v>
      </c>
      <c r="J953" s="113" t="str">
        <f>VLOOKUP($I953,'Price List, Weapons &amp; Items'!B:C,2,0)</f>
        <v>Heavy weapon</v>
      </c>
      <c r="K953" s="113" t="str">
        <f>IF(I953=".",I953,VLOOKUP($I953,'Price List, Weapons &amp; Items'!B:D,3,0))</f>
        <v>155mm howitzer</v>
      </c>
      <c r="L953" s="177">
        <f>VLOOKUP(I953,'Price List, Weapons &amp; Items'!B:E,4,0)</f>
        <v>0</v>
      </c>
      <c r="M953" s="542" t="s">
        <v>270</v>
      </c>
      <c r="N953" s="542" t="s">
        <v>270</v>
      </c>
      <c r="O953" s="543">
        <f>VLOOKUP($I953,'Price List, Weapons &amp; Items'!B:G,6,0)</f>
        <v>4000000</v>
      </c>
      <c r="P953" s="176" t="str">
        <f t="shared" si="188"/>
        <v>.</v>
      </c>
      <c r="Q953" s="176" t="str">
        <f t="shared" si="189"/>
        <v>.</v>
      </c>
      <c r="R953" s="176" t="str">
        <f t="shared" si="186"/>
        <v>.</v>
      </c>
      <c r="S953" s="176" t="str">
        <f>IF(AND(AD953=1,R953&lt;&gt;".")=TRUE,R953/VLOOKUP(G953,'Exchange Rates'!B:C,2,0),IF(R953=".",".",""))</f>
        <v>.</v>
      </c>
      <c r="T953" s="176" t="str">
        <f>IF(AD953=1,IF(AF953="Value is not given at all",".",IF(AF953="Value is given by the source",S953,IF(AF953="Value is calculated with prices",(IF(SUMIFS(Q:Q,A:A,A953)&gt;0,SUMIFS(Q:Q,A:A,A953),"."))/VLOOKUP("USD",'Exchange Rates'!B:C,2,0),"Error with coding"))),"")</f>
        <v>.</v>
      </c>
      <c r="U953" s="15" t="s">
        <v>415</v>
      </c>
      <c r="V953" s="305" t="s">
        <v>2781</v>
      </c>
      <c r="W953" s="144" t="s">
        <v>260</v>
      </c>
      <c r="X953" s="144" t="s">
        <v>260</v>
      </c>
      <c r="Y953" s="668" t="s">
        <v>260</v>
      </c>
      <c r="Z953" s="15">
        <v>0</v>
      </c>
      <c r="AA953" s="180">
        <v>0</v>
      </c>
      <c r="AB953" s="694" t="s">
        <v>260</v>
      </c>
      <c r="AC953" s="544"/>
      <c r="AD953" s="181">
        <v>1</v>
      </c>
      <c r="AE953" s="181" t="s">
        <v>265</v>
      </c>
      <c r="AF953" s="181" t="s">
        <v>265</v>
      </c>
      <c r="AG953" s="181">
        <v>1</v>
      </c>
      <c r="AH953" s="181">
        <v>13</v>
      </c>
      <c r="AI953" s="181">
        <v>0</v>
      </c>
      <c r="AJ953" s="181">
        <f>VLOOKUP($I953,'Price List, Weapons &amp; Items'!B:F,5,0)</f>
        <v>0</v>
      </c>
      <c r="AK953" s="181">
        <f t="shared" si="190"/>
        <v>0</v>
      </c>
      <c r="AL953" s="181">
        <f t="shared" si="191"/>
        <v>0</v>
      </c>
      <c r="AM953" s="181">
        <f t="shared" si="192"/>
        <v>0</v>
      </c>
      <c r="AN953" s="180" t="str">
        <f>VLOOKUP($I953,'Price List, Weapons &amp; Items'!B:L,COLUMN('Price List, Weapons &amp; Items'!$J$11)-1,0)</f>
        <v>Media reports (incl. social media)</v>
      </c>
      <c r="AO953" s="180" t="str">
        <f>IF(I953=".",".",VLOOKUP($I953,'Price List, Weapons &amp; Items'!B:J,3,0))</f>
        <v>155mm howitzer</v>
      </c>
      <c r="AP953" s="545" t="e">
        <f t="shared" ca="1" si="187"/>
        <v>#NAME?</v>
      </c>
      <c r="AQ953" s="180" t="str">
        <f>VLOOKUP($I953,'Price List, Weapons &amp; Items'!B:L,COLUMN('Price List, Weapons &amp; Items'!$L$11)-1,0)</f>
        <v>no price, 0 count</v>
      </c>
      <c r="AR953" s="180">
        <f t="shared" si="193"/>
        <v>0</v>
      </c>
      <c r="AS953" s="180">
        <f t="shared" si="194"/>
        <v>1</v>
      </c>
      <c r="AT953" s="180">
        <f t="shared" si="183"/>
        <v>1</v>
      </c>
      <c r="AU953" s="180" t="str">
        <f t="shared" si="184"/>
        <v>.</v>
      </c>
      <c r="AV953" s="180" t="str">
        <f t="shared" si="185"/>
        <v>.</v>
      </c>
      <c r="AW953" s="180">
        <f>IFERROR(VLOOKUP(B953,'Share, Heavy Weapons to Ukraine'!B:J,COLUMN('Share, Heavy Weapons to Ukraine'!C966)-1,0),0)</f>
        <v>0</v>
      </c>
      <c r="AX953" s="180">
        <f>VLOOKUP('Bilateral Assistance, MAIN DATA'!B953,'Country Summary'!B:F,COLUMN('Country Summary'!C969)-1,FALSE)</f>
        <v>1</v>
      </c>
      <c r="AY953" s="180" t="str">
        <f>IF(AND(AD953=1,D953="Military",H953&lt;&gt;"Not given")=TRUE,IF(SUMIFS(P:P,A:A,A953)&gt;0,ABS((SUMIFS(P:P,A:A,A953)/VLOOKUP("USD",'Exchange Rates'!B:C,2,0)))/S953,"."),".")</f>
        <v>.</v>
      </c>
      <c r="AZ953" s="182" t="str">
        <f>IF(AND(AD953=1,D953="Military",H953&lt;&gt;"Not given")=TRUE,IF(SUMIFS(P:P,A:A,A953)&gt;0,IF((ABS((SUMIFS(P:P,A:A,A953)/VLOOKUP("USD",'Exchange Rates'!B:C,2,0)))/S953)&gt;1,(SUMIFS(P:P,A:A,A953)-S953)/S953,(S953-SUMIFS(P:P,A:A,A953))/SUMIFS(P:P,A:A,A953)),"."),".")</f>
        <v>.</v>
      </c>
      <c r="BA953" s="182"/>
      <c r="BB953" s="182"/>
      <c r="BC953" s="182"/>
      <c r="BD953" s="182"/>
      <c r="BE953" s="182"/>
      <c r="BF953" s="182"/>
      <c r="BG953" s="182"/>
      <c r="BH953" s="182"/>
      <c r="BI953" s="182"/>
      <c r="BJ953" s="182"/>
      <c r="BK953" s="182"/>
      <c r="BL953" s="182"/>
      <c r="BM953" s="182"/>
      <c r="BN953" s="182"/>
      <c r="BO953" s="182"/>
      <c r="BP953" s="182"/>
      <c r="BQ953" s="182"/>
      <c r="BR953" s="182"/>
      <c r="BS953" s="182"/>
    </row>
    <row r="954" spans="1:71" ht="15.9" customHeight="1" x14ac:dyDescent="0.3">
      <c r="A954" s="17" t="s">
        <v>2782</v>
      </c>
      <c r="B954" s="17" t="s">
        <v>2715</v>
      </c>
      <c r="C954" s="174">
        <v>44627</v>
      </c>
      <c r="D954" s="5" t="s">
        <v>405</v>
      </c>
      <c r="E954" s="5" t="s">
        <v>376</v>
      </c>
      <c r="F954" s="175" t="s">
        <v>2783</v>
      </c>
      <c r="G954" s="15" t="s">
        <v>346</v>
      </c>
      <c r="H954" s="176">
        <v>50000000</v>
      </c>
      <c r="I954" s="17" t="s">
        <v>260</v>
      </c>
      <c r="J954" s="113" t="str">
        <f>VLOOKUP($I954,'Price List, Weapons &amp; Items'!B:C,2,0)</f>
        <v>.</v>
      </c>
      <c r="K954" s="113" t="str">
        <f>IF(I954=".",I954,VLOOKUP($I954,'Price List, Weapons &amp; Items'!B:D,3,0))</f>
        <v>.</v>
      </c>
      <c r="L954" s="177">
        <f>VLOOKUP(I954,'Price List, Weapons &amp; Items'!B:E,4,0)</f>
        <v>0</v>
      </c>
      <c r="M954" s="542" t="s">
        <v>260</v>
      </c>
      <c r="N954" s="542" t="s">
        <v>260</v>
      </c>
      <c r="O954" s="543" t="str">
        <f>VLOOKUP($I954,'Price List, Weapons &amp; Items'!B:G,6,0)</f>
        <v>.</v>
      </c>
      <c r="P954" s="176" t="str">
        <f t="shared" si="188"/>
        <v>.</v>
      </c>
      <c r="Q954" s="176" t="str">
        <f t="shared" si="189"/>
        <v>.</v>
      </c>
      <c r="R954" s="176">
        <f t="shared" si="186"/>
        <v>50000000</v>
      </c>
      <c r="S954" s="176">
        <f>IF(AND(AD954=1,R954&lt;&gt;".")=TRUE,R954/VLOOKUP(G954,'Exchange Rates'!B:C,2,0),IF(R954=".",".",""))</f>
        <v>47619047.619047619</v>
      </c>
      <c r="T954" s="176" t="str">
        <f>IF(AD954=1,IF(AF954="Value is not given at all",".",IF(AF954="Value is given by the source",S954,IF(AF954="Value is calculated with prices",(IF(SUMIFS(Q:Q,A:A,A954)&gt;0,SUMIFS(Q:Q,A:A,A954),"."))/VLOOKUP("USD",'Exchange Rates'!B:C,2,0),"Error with coding"))),"")</f>
        <v>.</v>
      </c>
      <c r="U954" s="15" t="s">
        <v>261</v>
      </c>
      <c r="V954" s="300" t="s">
        <v>930</v>
      </c>
      <c r="W954" s="175" t="s">
        <v>260</v>
      </c>
      <c r="X954" s="175" t="s">
        <v>260</v>
      </c>
      <c r="Y954" s="175" t="s">
        <v>260</v>
      </c>
      <c r="Z954" s="15">
        <v>1</v>
      </c>
      <c r="AA954" s="180">
        <v>0</v>
      </c>
      <c r="AB954" s="184" t="s">
        <v>260</v>
      </c>
      <c r="AC954" s="544" t="str">
        <f>""</f>
        <v/>
      </c>
      <c r="AD954" s="181">
        <v>1</v>
      </c>
      <c r="AE954" s="181" t="s">
        <v>264</v>
      </c>
      <c r="AF954" s="181" t="s">
        <v>265</v>
      </c>
      <c r="AG954" s="181">
        <v>1</v>
      </c>
      <c r="AH954" s="181">
        <v>3</v>
      </c>
      <c r="AI954" s="181">
        <v>0</v>
      </c>
      <c r="AJ954" s="181">
        <f>VLOOKUP($I954,'Price List, Weapons &amp; Items'!B:F,5,0)</f>
        <v>0</v>
      </c>
      <c r="AK954" s="181">
        <f t="shared" si="190"/>
        <v>0</v>
      </c>
      <c r="AL954" s="181">
        <f t="shared" si="191"/>
        <v>0</v>
      </c>
      <c r="AM954" s="181">
        <f t="shared" si="192"/>
        <v>0</v>
      </c>
      <c r="AN954" s="180" t="str">
        <f>VLOOKUP($I954,'Price List, Weapons &amp; Items'!B:L,COLUMN('Price List, Weapons &amp; Items'!$J$11)-1,0)</f>
        <v>.</v>
      </c>
      <c r="AO954" s="180" t="str">
        <f>IF(I954=".",".",VLOOKUP($I954,'Price List, Weapons &amp; Items'!B:J,3,0))</f>
        <v>.</v>
      </c>
      <c r="AP954" s="545" t="e">
        <f t="shared" ca="1" si="187"/>
        <v>#NAME?</v>
      </c>
      <c r="AQ954" s="180" t="str">
        <f>VLOOKUP($I954,'Price List, Weapons &amp; Items'!B:L,COLUMN('Price List, Weapons &amp; Items'!$L$11)-1,0)</f>
        <v>no price, 0 count</v>
      </c>
      <c r="AR954" s="180">
        <f t="shared" si="193"/>
        <v>1</v>
      </c>
      <c r="AS954" s="180">
        <f t="shared" si="194"/>
        <v>0</v>
      </c>
      <c r="AT954" s="180">
        <f t="shared" si="183"/>
        <v>1</v>
      </c>
      <c r="AU954" s="180" t="str">
        <f t="shared" si="184"/>
        <v>.</v>
      </c>
      <c r="AV954" s="180" t="str">
        <f t="shared" si="185"/>
        <v>.</v>
      </c>
      <c r="AW954" s="180">
        <f>IFERROR(VLOOKUP(B954,'Share, Heavy Weapons to Ukraine'!B:J,COLUMN('Share, Heavy Weapons to Ukraine'!C967)-1,0),0)</f>
        <v>0</v>
      </c>
      <c r="AX954" s="180">
        <f>VLOOKUP('Bilateral Assistance, MAIN DATA'!B954,'Country Summary'!B:F,COLUMN('Country Summary'!C970)-1,FALSE)</f>
        <v>1</v>
      </c>
      <c r="AY954" s="180" t="str">
        <f>IF(AND(AD954=1,D954="Military",H954&lt;&gt;"Not given")=TRUE,IF(SUMIFS(P:P,A:A,A954)&gt;0,ABS((SUMIFS(P:P,A:A,A954)/VLOOKUP("USD",'Exchange Rates'!B:C,2,0)))/S954,"."),".")</f>
        <v>.</v>
      </c>
      <c r="AZ954" s="182" t="str">
        <f>IF(AND(AD954=1,D954="Military",H954&lt;&gt;"Not given")=TRUE,IF(SUMIFS(P:P,A:A,A954)&gt;0,IF((ABS((SUMIFS(P:P,A:A,A954)/VLOOKUP("USD",'Exchange Rates'!B:C,2,0)))/S954)&gt;1,(SUMIFS(P:P,A:A,A954)-S954)/S954,(S954-SUMIFS(P:P,A:A,A954))/SUMIFS(P:P,A:A,A954)),"."),".")</f>
        <v>.</v>
      </c>
      <c r="BA954" s="182"/>
      <c r="BB954" s="182"/>
      <c r="BC954" s="182"/>
      <c r="BD954" s="182"/>
      <c r="BE954" s="182"/>
      <c r="BF954" s="182"/>
      <c r="BG954" s="182"/>
      <c r="BH954" s="182"/>
      <c r="BI954" s="182"/>
      <c r="BJ954" s="182"/>
      <c r="BK954" s="182"/>
      <c r="BL954" s="182"/>
      <c r="BM954" s="182"/>
      <c r="BN954" s="182"/>
      <c r="BO954" s="182"/>
      <c r="BP954" s="182"/>
      <c r="BQ954" s="182"/>
      <c r="BR954" s="182"/>
      <c r="BS954" s="182"/>
    </row>
    <row r="955" spans="1:71" ht="15.9" customHeight="1" x14ac:dyDescent="0.3">
      <c r="A955" s="17" t="s">
        <v>2784</v>
      </c>
      <c r="B955" s="17" t="s">
        <v>2715</v>
      </c>
      <c r="C955" s="174">
        <v>44673</v>
      </c>
      <c r="D955" s="5" t="s">
        <v>405</v>
      </c>
      <c r="E955" s="5" t="s">
        <v>376</v>
      </c>
      <c r="F955" s="175" t="s">
        <v>2785</v>
      </c>
      <c r="G955" s="15" t="s">
        <v>364</v>
      </c>
      <c r="H955" s="176">
        <v>44000000</v>
      </c>
      <c r="I955" s="17" t="s">
        <v>260</v>
      </c>
      <c r="J955" s="113" t="str">
        <f>VLOOKUP($I955,'Price List, Weapons &amp; Items'!B:C,2,0)</f>
        <v>.</v>
      </c>
      <c r="K955" s="113" t="str">
        <f>IF(I955=".",I955,VLOOKUP($I955,'Price List, Weapons &amp; Items'!B:D,3,0))</f>
        <v>.</v>
      </c>
      <c r="L955" s="177">
        <f>VLOOKUP(I955,'Price List, Weapons &amp; Items'!B:E,4,0)</f>
        <v>0</v>
      </c>
      <c r="M955" s="542" t="s">
        <v>260</v>
      </c>
      <c r="N955" s="542" t="s">
        <v>260</v>
      </c>
      <c r="O955" s="543" t="str">
        <f>VLOOKUP($I955,'Price List, Weapons &amp; Items'!B:G,6,0)</f>
        <v>.</v>
      </c>
      <c r="P955" s="176" t="str">
        <f t="shared" si="188"/>
        <v>.</v>
      </c>
      <c r="Q955" s="176" t="str">
        <f t="shared" si="189"/>
        <v>.</v>
      </c>
      <c r="R955" s="176">
        <f t="shared" si="186"/>
        <v>44000000</v>
      </c>
      <c r="S955" s="176">
        <f>IF(AND(AD955=1,R955&lt;&gt;".")=TRUE,R955/VLOOKUP(G955,'Exchange Rates'!B:C,2,0),IF(R955=".",".",""))</f>
        <v>44000000</v>
      </c>
      <c r="T955" s="176" t="str">
        <f>IF(AD955=1,IF(AF955="Value is not given at all",".",IF(AF955="Value is given by the source",S955,IF(AF955="Value is calculated with prices",(IF(SUMIFS(Q:Q,A:A,A955)&gt;0,SUMIFS(Q:Q,A:A,A955),"."))/VLOOKUP("USD",'Exchange Rates'!B:C,2,0),"Error with coding"))),"")</f>
        <v>.</v>
      </c>
      <c r="U955" s="15" t="s">
        <v>261</v>
      </c>
      <c r="V955" s="300" t="s">
        <v>2786</v>
      </c>
      <c r="W955" s="175" t="s">
        <v>260</v>
      </c>
      <c r="X955" s="175" t="s">
        <v>260</v>
      </c>
      <c r="Y955" s="175" t="s">
        <v>260</v>
      </c>
      <c r="Z955" s="15">
        <v>1</v>
      </c>
      <c r="AA955" s="180">
        <v>0</v>
      </c>
      <c r="AB955" s="184" t="s">
        <v>260</v>
      </c>
      <c r="AC955" s="544" t="str">
        <f>""</f>
        <v/>
      </c>
      <c r="AD955" s="181">
        <v>1</v>
      </c>
      <c r="AE955" s="181" t="s">
        <v>264</v>
      </c>
      <c r="AF955" s="181" t="s">
        <v>265</v>
      </c>
      <c r="AG955" s="181">
        <v>1</v>
      </c>
      <c r="AH955" s="181">
        <v>4</v>
      </c>
      <c r="AI955" s="181">
        <v>0</v>
      </c>
      <c r="AJ955" s="181">
        <f>VLOOKUP($I955,'Price List, Weapons &amp; Items'!B:F,5,0)</f>
        <v>0</v>
      </c>
      <c r="AK955" s="181">
        <f t="shared" si="190"/>
        <v>0</v>
      </c>
      <c r="AL955" s="181">
        <f t="shared" si="191"/>
        <v>0</v>
      </c>
      <c r="AM955" s="181">
        <f t="shared" si="192"/>
        <v>0</v>
      </c>
      <c r="AN955" s="180" t="str">
        <f>VLOOKUP($I955,'Price List, Weapons &amp; Items'!B:L,COLUMN('Price List, Weapons &amp; Items'!$J$11)-1,0)</f>
        <v>.</v>
      </c>
      <c r="AO955" s="180" t="str">
        <f>IF(I955=".",".",VLOOKUP($I955,'Price List, Weapons &amp; Items'!B:J,3,0))</f>
        <v>.</v>
      </c>
      <c r="AP955" s="545" t="e">
        <f t="shared" ca="1" si="187"/>
        <v>#NAME?</v>
      </c>
      <c r="AQ955" s="180" t="str">
        <f>VLOOKUP($I955,'Price List, Weapons &amp; Items'!B:L,COLUMN('Price List, Weapons &amp; Items'!$L$11)-1,0)</f>
        <v>no price, 0 count</v>
      </c>
      <c r="AR955" s="180">
        <f t="shared" si="193"/>
        <v>1</v>
      </c>
      <c r="AS955" s="180">
        <f t="shared" si="194"/>
        <v>0</v>
      </c>
      <c r="AT955" s="180">
        <f t="shared" si="183"/>
        <v>1</v>
      </c>
      <c r="AU955" s="180" t="str">
        <f t="shared" si="184"/>
        <v>.</v>
      </c>
      <c r="AV955" s="180" t="str">
        <f t="shared" si="185"/>
        <v>.</v>
      </c>
      <c r="AW955" s="180">
        <f>IFERROR(VLOOKUP(B955,'Share, Heavy Weapons to Ukraine'!B:J,COLUMN('Share, Heavy Weapons to Ukraine'!C968)-1,0),0)</f>
        <v>0</v>
      </c>
      <c r="AX955" s="180">
        <f>VLOOKUP('Bilateral Assistance, MAIN DATA'!B955,'Country Summary'!B:F,COLUMN('Country Summary'!C971)-1,FALSE)</f>
        <v>1</v>
      </c>
      <c r="AY955" s="180" t="str">
        <f>IF(AND(AD955=1,D955="Military",H955&lt;&gt;"Not given")=TRUE,IF(SUMIFS(P:P,A:A,A955)&gt;0,ABS((SUMIFS(P:P,A:A,A955)/VLOOKUP("USD",'Exchange Rates'!B:C,2,0)))/S955,"."),".")</f>
        <v>.</v>
      </c>
      <c r="AZ955" s="182" t="str">
        <f>IF(AND(AD955=1,D955="Military",H955&lt;&gt;"Not given")=TRUE,IF(SUMIFS(P:P,A:A,A955)&gt;0,IF((ABS((SUMIFS(P:P,A:A,A955)/VLOOKUP("USD",'Exchange Rates'!B:C,2,0)))/S955)&gt;1,(SUMIFS(P:P,A:A,A955)-S955)/S955,(S955-SUMIFS(P:P,A:A,A955))/SUMIFS(P:P,A:A,A955)),"."),".")</f>
        <v>.</v>
      </c>
      <c r="BA955" s="182"/>
      <c r="BB955" s="182"/>
      <c r="BC955" s="182"/>
      <c r="BD955" s="182"/>
      <c r="BE955" s="182"/>
      <c r="BF955" s="182"/>
      <c r="BG955" s="182"/>
      <c r="BH955" s="182"/>
      <c r="BI955" s="182"/>
      <c r="BJ955" s="182"/>
      <c r="BK955" s="182"/>
      <c r="BL955" s="182"/>
      <c r="BM955" s="182"/>
      <c r="BN955" s="182"/>
      <c r="BO955" s="182"/>
      <c r="BP955" s="182"/>
      <c r="BQ955" s="182"/>
      <c r="BR955" s="182"/>
      <c r="BS955" s="182"/>
    </row>
    <row r="956" spans="1:71" ht="15.9" customHeight="1" x14ac:dyDescent="0.3">
      <c r="A956" s="17" t="s">
        <v>2787</v>
      </c>
      <c r="B956" s="17" t="s">
        <v>2715</v>
      </c>
      <c r="C956" s="174">
        <v>44801</v>
      </c>
      <c r="D956" s="5" t="s">
        <v>405</v>
      </c>
      <c r="E956" s="5" t="s">
        <v>362</v>
      </c>
      <c r="F956" s="175" t="s">
        <v>2788</v>
      </c>
      <c r="G956" s="15" t="s">
        <v>2721</v>
      </c>
      <c r="H956" s="176">
        <v>500000000</v>
      </c>
      <c r="I956" s="17" t="s">
        <v>260</v>
      </c>
      <c r="J956" s="113" t="str">
        <f>VLOOKUP($I956,'Price List, Weapons &amp; Items'!B:C,2,0)</f>
        <v>.</v>
      </c>
      <c r="K956" s="113" t="str">
        <f>IF(I956=".",I956,VLOOKUP($I956,'Price List, Weapons &amp; Items'!B:D,3,0))</f>
        <v>.</v>
      </c>
      <c r="L956" s="177">
        <f>VLOOKUP(I956,'Price List, Weapons &amp; Items'!B:E,4,0)</f>
        <v>0</v>
      </c>
      <c r="M956" s="542" t="s">
        <v>260</v>
      </c>
      <c r="N956" s="542" t="s">
        <v>260</v>
      </c>
      <c r="O956" s="543" t="str">
        <f>VLOOKUP($I956,'Price List, Weapons &amp; Items'!B:G,6,0)</f>
        <v>.</v>
      </c>
      <c r="P956" s="176" t="str">
        <f t="shared" si="188"/>
        <v>.</v>
      </c>
      <c r="Q956" s="176" t="str">
        <f t="shared" si="189"/>
        <v>.</v>
      </c>
      <c r="R956" s="176">
        <f t="shared" si="186"/>
        <v>500000000</v>
      </c>
      <c r="S956" s="176">
        <f>IF(AND(AD956=1,R956&lt;&gt;".")=TRUE,R956/VLOOKUP(G956,'Exchange Rates'!B:C,2,0),IF(R956=".",".",""))</f>
        <v>45879977.977610573</v>
      </c>
      <c r="T956" s="176" t="str">
        <f>IF(AD956=1,IF(AF956="Value is not given at all",".",IF(AF956="Value is given by the source",S956,IF(AF956="Value is calculated with prices",(IF(SUMIFS(Q:Q,A:A,A956)&gt;0,SUMIFS(Q:Q,A:A,A956),"."))/VLOOKUP("USD",'Exchange Rates'!B:C,2,0),"Error with coding"))),"")</f>
        <v>.</v>
      </c>
      <c r="U956" s="15" t="s">
        <v>261</v>
      </c>
      <c r="V956" s="300" t="s">
        <v>2771</v>
      </c>
      <c r="W956" s="564" t="s">
        <v>2772</v>
      </c>
      <c r="X956" s="560" t="s">
        <v>2773</v>
      </c>
      <c r="Y956" s="175" t="s">
        <v>260</v>
      </c>
      <c r="Z956" s="15">
        <v>0</v>
      </c>
      <c r="AA956" s="180">
        <v>0</v>
      </c>
      <c r="AB956" s="184" t="s">
        <v>260</v>
      </c>
      <c r="AC956" s="544" t="str">
        <f>""</f>
        <v/>
      </c>
      <c r="AD956" s="181">
        <v>1</v>
      </c>
      <c r="AE956" s="181" t="s">
        <v>264</v>
      </c>
      <c r="AF956" s="181" t="s">
        <v>265</v>
      </c>
      <c r="AG956" s="181">
        <v>1</v>
      </c>
      <c r="AH956" s="181">
        <v>8</v>
      </c>
      <c r="AI956" s="181">
        <v>0</v>
      </c>
      <c r="AJ956" s="181">
        <f>VLOOKUP($I956,'Price List, Weapons &amp; Items'!B:F,5,0)</f>
        <v>0</v>
      </c>
      <c r="AK956" s="181">
        <f t="shared" si="190"/>
        <v>0</v>
      </c>
      <c r="AL956" s="181">
        <f t="shared" si="191"/>
        <v>0</v>
      </c>
      <c r="AM956" s="181">
        <f t="shared" si="192"/>
        <v>0</v>
      </c>
      <c r="AN956" s="180" t="str">
        <f>VLOOKUP($I956,'Price List, Weapons &amp; Items'!B:L,COLUMN('Price List, Weapons &amp; Items'!$J$11)-1,0)</f>
        <v>.</v>
      </c>
      <c r="AO956" s="180" t="str">
        <f>IF(I956=".",".",VLOOKUP($I956,'Price List, Weapons &amp; Items'!B:J,3,0))</f>
        <v>.</v>
      </c>
      <c r="AP956" s="545" t="e">
        <f t="shared" ca="1" si="187"/>
        <v>#NAME?</v>
      </c>
      <c r="AQ956" s="180" t="str">
        <f>VLOOKUP($I956,'Price List, Weapons &amp; Items'!B:L,COLUMN('Price List, Weapons &amp; Items'!$L$11)-1,0)</f>
        <v>no price, 0 count</v>
      </c>
      <c r="AR956" s="180">
        <f t="shared" si="193"/>
        <v>1</v>
      </c>
      <c r="AS956" s="180">
        <f t="shared" si="194"/>
        <v>0</v>
      </c>
      <c r="AT956" s="180">
        <f t="shared" si="183"/>
        <v>1</v>
      </c>
      <c r="AU956" s="180" t="str">
        <f t="shared" si="184"/>
        <v>.</v>
      </c>
      <c r="AV956" s="180" t="str">
        <f t="shared" si="185"/>
        <v>.</v>
      </c>
      <c r="AW956" s="180">
        <f>IFERROR(VLOOKUP(B956,'Share, Heavy Weapons to Ukraine'!B:J,COLUMN('Share, Heavy Weapons to Ukraine'!C969)-1,0),0)</f>
        <v>0</v>
      </c>
      <c r="AX956" s="180">
        <f>VLOOKUP('Bilateral Assistance, MAIN DATA'!B956,'Country Summary'!B:F,COLUMN('Country Summary'!C972)-1,FALSE)</f>
        <v>1</v>
      </c>
      <c r="AY956" s="180" t="str">
        <f>IF(AND(AD956=1,D956="Military",H956&lt;&gt;"Not given")=TRUE,IF(SUMIFS(P:P,A:A,A956)&gt;0,ABS((SUMIFS(P:P,A:A,A956)/VLOOKUP("USD",'Exchange Rates'!B:C,2,0)))/S956,"."),".")</f>
        <v>.</v>
      </c>
      <c r="AZ956" s="182" t="str">
        <f>IF(AND(AD956=1,D956="Military",H956&lt;&gt;"Not given")=TRUE,IF(SUMIFS(P:P,A:A,A956)&gt;0,IF((ABS((SUMIFS(P:P,A:A,A956)/VLOOKUP("USD",'Exchange Rates'!B:C,2,0)))/S956)&gt;1,(SUMIFS(P:P,A:A,A956)-S956)/S956,(S956-SUMIFS(P:P,A:A,A956))/SUMIFS(P:P,A:A,A956)),"."),".")</f>
        <v>.</v>
      </c>
      <c r="BA956" s="182"/>
      <c r="BB956" s="182"/>
      <c r="BC956" s="182"/>
      <c r="BD956" s="182"/>
      <c r="BE956" s="182"/>
      <c r="BF956" s="182"/>
      <c r="BG956" s="182"/>
      <c r="BH956" s="182"/>
      <c r="BI956" s="182"/>
      <c r="BJ956" s="182"/>
      <c r="BK956" s="182"/>
      <c r="BL956" s="182"/>
      <c r="BM956" s="182"/>
      <c r="BN956" s="182"/>
      <c r="BO956" s="182"/>
      <c r="BP956" s="182"/>
      <c r="BQ956" s="182"/>
      <c r="BR956" s="182"/>
      <c r="BS956" s="182"/>
    </row>
    <row r="957" spans="1:71" ht="15.9" customHeight="1" x14ac:dyDescent="0.3">
      <c r="A957" s="17" t="s">
        <v>2789</v>
      </c>
      <c r="B957" s="17" t="s">
        <v>2715</v>
      </c>
      <c r="C957" s="174">
        <v>44881</v>
      </c>
      <c r="D957" s="5" t="s">
        <v>405</v>
      </c>
      <c r="E957" s="5" t="s">
        <v>362</v>
      </c>
      <c r="F957" s="175" t="s">
        <v>2790</v>
      </c>
      <c r="G957" s="15" t="s">
        <v>2721</v>
      </c>
      <c r="H957" s="176">
        <v>140000000</v>
      </c>
      <c r="I957" s="17" t="s">
        <v>260</v>
      </c>
      <c r="J957" s="113" t="str">
        <f>VLOOKUP($I957,'Price List, Weapons &amp; Items'!B:C,2,0)</f>
        <v>.</v>
      </c>
      <c r="K957" s="113" t="str">
        <f>IF(I957=".",I957,VLOOKUP($I957,'Price List, Weapons &amp; Items'!B:D,3,0))</f>
        <v>.</v>
      </c>
      <c r="L957" s="177">
        <f>VLOOKUP(I957,'Price List, Weapons &amp; Items'!B:E,4,0)</f>
        <v>0</v>
      </c>
      <c r="M957" s="542" t="s">
        <v>260</v>
      </c>
      <c r="N957" s="542" t="s">
        <v>260</v>
      </c>
      <c r="O957" s="543" t="str">
        <f>VLOOKUP($I957,'Price List, Weapons &amp; Items'!B:G,6,0)</f>
        <v>.</v>
      </c>
      <c r="P957" s="176" t="str">
        <f t="shared" si="188"/>
        <v>.</v>
      </c>
      <c r="Q957" s="176" t="str">
        <f t="shared" si="189"/>
        <v>.</v>
      </c>
      <c r="R957" s="176">
        <f t="shared" si="186"/>
        <v>140000000</v>
      </c>
      <c r="S957" s="176">
        <f>IF(AND(AD957=1,R957&lt;&gt;".")=TRUE,R957/VLOOKUP(G957,'Exchange Rates'!B:C,2,0),IF(R957=".",".",""))</f>
        <v>12846393.83373096</v>
      </c>
      <c r="T957" s="176" t="str">
        <f>IF(AD957=1,IF(AF957="Value is not given at all",".",IF(AF957="Value is given by the source",S957,IF(AF957="Value is calculated with prices",(IF(SUMIFS(Q:Q,A:A,A957)&gt;0,SUMIFS(Q:Q,A:A,A957),"."))/VLOOKUP("USD",'Exchange Rates'!B:C,2,0),"Error with coding"))),"")</f>
        <v>.</v>
      </c>
      <c r="U957" s="15" t="s">
        <v>261</v>
      </c>
      <c r="V957" s="300" t="s">
        <v>2739</v>
      </c>
      <c r="W957" s="144" t="s">
        <v>260</v>
      </c>
      <c r="X957" s="144" t="s">
        <v>260</v>
      </c>
      <c r="Y957" s="668" t="s">
        <v>260</v>
      </c>
      <c r="Z957" s="15">
        <v>1</v>
      </c>
      <c r="AA957" s="180">
        <v>0</v>
      </c>
      <c r="AB957" s="669" t="s">
        <v>260</v>
      </c>
      <c r="AC957" s="544" t="str">
        <f>""</f>
        <v/>
      </c>
      <c r="AD957" s="181">
        <v>1</v>
      </c>
      <c r="AE957" s="181" t="s">
        <v>264</v>
      </c>
      <c r="AF957" s="181" t="s">
        <v>265</v>
      </c>
      <c r="AG957" s="181">
        <v>1</v>
      </c>
      <c r="AH957" s="181">
        <v>11</v>
      </c>
      <c r="AI957" s="181">
        <v>0</v>
      </c>
      <c r="AJ957" s="181">
        <f>VLOOKUP($I957,'Price List, Weapons &amp; Items'!B:F,5,0)</f>
        <v>0</v>
      </c>
      <c r="AK957" s="181">
        <f t="shared" si="190"/>
        <v>0</v>
      </c>
      <c r="AL957" s="181">
        <f t="shared" si="191"/>
        <v>0</v>
      </c>
      <c r="AM957" s="181">
        <f t="shared" si="192"/>
        <v>0</v>
      </c>
      <c r="AN957" s="180" t="str">
        <f>VLOOKUP($I957,'Price List, Weapons &amp; Items'!B:L,COLUMN('Price List, Weapons &amp; Items'!$J$11)-1,0)</f>
        <v>.</v>
      </c>
      <c r="AO957" s="180" t="str">
        <f>IF(I957=".",".",VLOOKUP($I957,'Price List, Weapons &amp; Items'!B:J,3,0))</f>
        <v>.</v>
      </c>
      <c r="AP957" s="545" t="e">
        <f t="shared" ca="1" si="187"/>
        <v>#NAME?</v>
      </c>
      <c r="AQ957" s="180" t="str">
        <f>VLOOKUP($I957,'Price List, Weapons &amp; Items'!B:L,COLUMN('Price List, Weapons &amp; Items'!$L$11)-1,0)</f>
        <v>no price, 0 count</v>
      </c>
      <c r="AR957" s="180">
        <f t="shared" si="193"/>
        <v>1</v>
      </c>
      <c r="AS957" s="180">
        <f t="shared" si="194"/>
        <v>0</v>
      </c>
      <c r="AT957" s="180">
        <f t="shared" ref="AT957:AT1023" si="195">IFERROR(IF(VALUE(TEXT(C957,"mm"))=AH957,".",IF(TEXT(C957,"mm")="01",".",1)),"Value is not in date format")</f>
        <v>1</v>
      </c>
      <c r="AU957" s="180" t="str">
        <f t="shared" si="184"/>
        <v>.</v>
      </c>
      <c r="AV957" s="180" t="str">
        <f t="shared" si="185"/>
        <v>.</v>
      </c>
      <c r="AW957" s="180">
        <f>IFERROR(VLOOKUP(B957,'Share, Heavy Weapons to Ukraine'!B:J,COLUMN('Share, Heavy Weapons to Ukraine'!C970)-1,0),0)</f>
        <v>0</v>
      </c>
      <c r="AX957" s="180">
        <f>VLOOKUP('Bilateral Assistance, MAIN DATA'!B957,'Country Summary'!B:F,COLUMN('Country Summary'!C973)-1,FALSE)</f>
        <v>1</v>
      </c>
      <c r="AY957" s="180" t="str">
        <f>IF(AND(AD957=1,D957="Military",H957&lt;&gt;"Not given")=TRUE,IF(SUMIFS(P:P,A:A,A957)&gt;0,ABS((SUMIFS(P:P,A:A,A957)/VLOOKUP("USD",'Exchange Rates'!B:C,2,0)))/S957,"."),".")</f>
        <v>.</v>
      </c>
      <c r="AZ957" s="182" t="str">
        <f>IF(AND(AD957=1,D957="Military",H957&lt;&gt;"Not given")=TRUE,IF(SUMIFS(P:P,A:A,A957)&gt;0,IF((ABS((SUMIFS(P:P,A:A,A957)/VLOOKUP("USD",'Exchange Rates'!B:C,2,0)))/S957)&gt;1,(SUMIFS(P:P,A:A,A957)-S957)/S957,(S957-SUMIFS(P:P,A:A,A957))/SUMIFS(P:P,A:A,A957)),"."),".")</f>
        <v>.</v>
      </c>
      <c r="BA957" s="182"/>
      <c r="BB957" s="182"/>
      <c r="BC957" s="182"/>
      <c r="BD957" s="182"/>
      <c r="BE957" s="182"/>
      <c r="BF957" s="182"/>
      <c r="BG957" s="182"/>
      <c r="BH957" s="182"/>
      <c r="BI957" s="182"/>
      <c r="BJ957" s="182"/>
      <c r="BK957" s="182"/>
      <c r="BL957" s="182"/>
      <c r="BM957" s="182"/>
      <c r="BN957" s="182"/>
      <c r="BO957" s="182"/>
      <c r="BP957" s="182"/>
      <c r="BQ957" s="182"/>
      <c r="BR957" s="182"/>
      <c r="BS957" s="182"/>
    </row>
    <row r="958" spans="1:71" ht="15.9" customHeight="1" x14ac:dyDescent="0.3">
      <c r="A958" s="17" t="s">
        <v>2791</v>
      </c>
      <c r="B958" s="17" t="s">
        <v>2792</v>
      </c>
      <c r="C958" s="174">
        <v>44631</v>
      </c>
      <c r="D958" s="5" t="s">
        <v>256</v>
      </c>
      <c r="E958" s="5" t="s">
        <v>1995</v>
      </c>
      <c r="F958" s="175" t="s">
        <v>2793</v>
      </c>
      <c r="G958" s="15" t="s">
        <v>2794</v>
      </c>
      <c r="H958" s="176">
        <v>60000000</v>
      </c>
      <c r="I958" s="184" t="s">
        <v>260</v>
      </c>
      <c r="J958" s="113" t="str">
        <f>VLOOKUP($I958,'Price List, Weapons &amp; Items'!B:C,2,0)</f>
        <v>.</v>
      </c>
      <c r="K958" s="113" t="str">
        <f>IF(I958=".",I958,VLOOKUP($I958,'Price List, Weapons &amp; Items'!B:D,3,0))</f>
        <v>.</v>
      </c>
      <c r="L958" s="177">
        <f>VLOOKUP(I958,'Price List, Weapons &amp; Items'!B:E,4,0)</f>
        <v>0</v>
      </c>
      <c r="M958" s="542" t="s">
        <v>260</v>
      </c>
      <c r="N958" s="542" t="s">
        <v>260</v>
      </c>
      <c r="O958" s="543" t="str">
        <f>VLOOKUP($I958,'Price List, Weapons &amp; Items'!B:G,6,0)</f>
        <v>.</v>
      </c>
      <c r="P958" s="176" t="str">
        <f t="shared" si="188"/>
        <v>.</v>
      </c>
      <c r="Q958" s="176" t="str">
        <f t="shared" si="189"/>
        <v>.</v>
      </c>
      <c r="R958" s="176">
        <f t="shared" si="186"/>
        <v>60000000</v>
      </c>
      <c r="S958" s="176">
        <f>IF(AND(AD958=1,R958&lt;&gt;".")=TRUE,R958/VLOOKUP(G958,'Exchange Rates'!B:C,2,0),IF(R958=".",".",""))</f>
        <v>61000406.669377796</v>
      </c>
      <c r="T958" s="176" t="str">
        <f>IF(AD958=1,IF(AF958="Value is not given at all",".",IF(AF958="Value is given by the source",S958,IF(AF958="Value is calculated with prices",(IF(SUMIFS(Q:Q,A:A,A958)&gt;0,SUMIFS(Q:Q,A:A,A958),"."))/VLOOKUP("USD",'Exchange Rates'!B:C,2,0),"Error with coding"))),"")</f>
        <v>.</v>
      </c>
      <c r="U958" s="15" t="s">
        <v>261</v>
      </c>
      <c r="V958" s="300" t="s">
        <v>2795</v>
      </c>
      <c r="W958" s="300" t="s">
        <v>2796</v>
      </c>
      <c r="X958" s="300" t="s">
        <v>2797</v>
      </c>
      <c r="Y958" s="300" t="s">
        <v>2798</v>
      </c>
      <c r="Z958" s="15">
        <v>0</v>
      </c>
      <c r="AA958" s="180">
        <v>0</v>
      </c>
      <c r="AB958" s="552" t="s">
        <v>2799</v>
      </c>
      <c r="AC958" s="544" t="str">
        <f>""</f>
        <v/>
      </c>
      <c r="AD958" s="181">
        <v>1</v>
      </c>
      <c r="AE958" s="181" t="s">
        <v>264</v>
      </c>
      <c r="AF958" s="181" t="s">
        <v>265</v>
      </c>
      <c r="AG958" s="181">
        <v>1</v>
      </c>
      <c r="AH958" s="181">
        <v>3</v>
      </c>
      <c r="AI958" s="181">
        <v>0</v>
      </c>
      <c r="AJ958" s="181">
        <f>VLOOKUP($I958,'Price List, Weapons &amp; Items'!B:F,5,0)</f>
        <v>0</v>
      </c>
      <c r="AK958" s="181">
        <f t="shared" si="190"/>
        <v>0</v>
      </c>
      <c r="AL958" s="181">
        <f t="shared" si="191"/>
        <v>0</v>
      </c>
      <c r="AM958" s="181">
        <f t="shared" si="192"/>
        <v>0</v>
      </c>
      <c r="AN958" s="180" t="str">
        <f>VLOOKUP($I958,'Price List, Weapons &amp; Items'!B:L,COLUMN('Price List, Weapons &amp; Items'!$J$11)-1,0)</f>
        <v>.</v>
      </c>
      <c r="AO958" s="180" t="str">
        <f>IF(I958=".",".",VLOOKUP($I958,'Price List, Weapons &amp; Items'!B:J,3,0))</f>
        <v>.</v>
      </c>
      <c r="AP958" s="545" t="e">
        <f t="shared" ca="1" si="187"/>
        <v>#NAME?</v>
      </c>
      <c r="AQ958" s="180" t="str">
        <f>VLOOKUP($I958,'Price List, Weapons &amp; Items'!B:L,COLUMN('Price List, Weapons &amp; Items'!$L$11)-1,0)</f>
        <v>no price, 0 count</v>
      </c>
      <c r="AR958" s="180">
        <f t="shared" si="193"/>
        <v>1</v>
      </c>
      <c r="AS958" s="180">
        <f t="shared" si="194"/>
        <v>0</v>
      </c>
      <c r="AT958" s="180">
        <f t="shared" si="195"/>
        <v>1</v>
      </c>
      <c r="AU958" s="180" t="str">
        <f t="shared" si="184"/>
        <v>.</v>
      </c>
      <c r="AV958" s="180" t="str">
        <f t="shared" si="185"/>
        <v>.</v>
      </c>
      <c r="AW958" s="180">
        <f>IFERROR(VLOOKUP(B958,'Share, Heavy Weapons to Ukraine'!B:J,COLUMN('Share, Heavy Weapons to Ukraine'!C971)-1,0),0)</f>
        <v>0</v>
      </c>
      <c r="AX958" s="180">
        <f>VLOOKUP('Bilateral Assistance, MAIN DATA'!B958,'Country Summary'!B:F,COLUMN('Country Summary'!C974)-1,FALSE)</f>
        <v>0</v>
      </c>
      <c r="AY958" s="180" t="str">
        <f>IF(AND(AD958=1,D958="Military",H958&lt;&gt;"Not given")=TRUE,IF(SUMIFS(P:P,A:A,A958)&gt;0,ABS((SUMIFS(P:P,A:A,A958)/VLOOKUP("USD",'Exchange Rates'!B:C,2,0)))/S958,"."),".")</f>
        <v>.</v>
      </c>
      <c r="AZ958" s="182" t="str">
        <f>IF(AND(AD958=1,D958="Military",H958&lt;&gt;"Not given")=TRUE,IF(SUMIFS(P:P,A:A,A958)&gt;0,IF((ABS((SUMIFS(P:P,A:A,A958)/VLOOKUP("USD",'Exchange Rates'!B:C,2,0)))/S958)&gt;1,(SUMIFS(P:P,A:A,A958)-S958)/S958,(S958-SUMIFS(P:P,A:A,A958))/SUMIFS(P:P,A:A,A958)),"."),".")</f>
        <v>.</v>
      </c>
      <c r="BA958" s="182"/>
      <c r="BB958" s="182"/>
      <c r="BC958" s="182"/>
      <c r="BD958" s="182"/>
      <c r="BE958" s="182"/>
      <c r="BF958" s="182"/>
      <c r="BG958" s="182"/>
      <c r="BH958" s="182"/>
      <c r="BI958" s="182"/>
      <c r="BJ958" s="182"/>
      <c r="BK958" s="182"/>
      <c r="BL958" s="182"/>
      <c r="BM958" s="182"/>
      <c r="BN958" s="182"/>
      <c r="BO958" s="182"/>
      <c r="BP958" s="182"/>
      <c r="BQ958" s="182"/>
      <c r="BR958" s="182"/>
      <c r="BS958" s="182"/>
    </row>
    <row r="959" spans="1:71" ht="15.9" customHeight="1" x14ac:dyDescent="0.3">
      <c r="A959" s="19" t="s">
        <v>2800</v>
      </c>
      <c r="B959" s="19" t="s">
        <v>2792</v>
      </c>
      <c r="C959" s="555">
        <v>44783</v>
      </c>
      <c r="D959" s="19" t="s">
        <v>256</v>
      </c>
      <c r="E959" s="19" t="s">
        <v>1995</v>
      </c>
      <c r="F959" s="19" t="s">
        <v>2801</v>
      </c>
      <c r="G959" s="15" t="s">
        <v>2794</v>
      </c>
      <c r="H959" s="176">
        <v>20000000</v>
      </c>
      <c r="I959" s="184" t="s">
        <v>2802</v>
      </c>
      <c r="J959" s="113" t="str">
        <f>VLOOKUP($I959,'Price List, Weapons &amp; Items'!B:C,2,0)</f>
        <v>Humanitarian</v>
      </c>
      <c r="K959" s="113" t="str">
        <f>IF(I959=".",I959,VLOOKUP($I959,'Price List, Weapons &amp; Items'!B:D,3,0))</f>
        <v>Humanitarian</v>
      </c>
      <c r="L959" s="177">
        <f>VLOOKUP(I959,'Price List, Weapons &amp; Items'!B:E,4,0)</f>
        <v>0</v>
      </c>
      <c r="M959" s="542">
        <v>71</v>
      </c>
      <c r="N959" s="542" t="s">
        <v>270</v>
      </c>
      <c r="O959" s="543" t="str">
        <f>VLOOKUP($I959,'Price List, Weapons &amp; Items'!B:G,6,0)</f>
        <v>.</v>
      </c>
      <c r="P959" s="176" t="str">
        <f t="shared" si="188"/>
        <v>No price</v>
      </c>
      <c r="Q959" s="176" t="str">
        <f t="shared" si="189"/>
        <v>.</v>
      </c>
      <c r="R959" s="176">
        <f t="shared" si="186"/>
        <v>20000000</v>
      </c>
      <c r="S959" s="176">
        <f>IF(AND(AD959=1,R959&lt;&gt;".")=TRUE,R959/VLOOKUP(G959,'Exchange Rates'!B:C,2,0),IF(R959=".",".",""))</f>
        <v>20333468.889792599</v>
      </c>
      <c r="T959" s="176" t="s">
        <v>260</v>
      </c>
      <c r="U959" s="15" t="s">
        <v>261</v>
      </c>
      <c r="V959" s="304" t="s">
        <v>2799</v>
      </c>
      <c r="W959" s="144" t="s">
        <v>260</v>
      </c>
      <c r="X959" s="144" t="s">
        <v>260</v>
      </c>
      <c r="Y959" s="144" t="s">
        <v>260</v>
      </c>
      <c r="Z959" s="15">
        <v>0</v>
      </c>
      <c r="AA959" s="180">
        <v>0</v>
      </c>
      <c r="AB959" s="552" t="s">
        <v>2799</v>
      </c>
      <c r="AC959" s="544" t="str">
        <f>""</f>
        <v/>
      </c>
      <c r="AD959" s="181">
        <v>1</v>
      </c>
      <c r="AE959" s="181" t="s">
        <v>264</v>
      </c>
      <c r="AF959" s="181" t="s">
        <v>265</v>
      </c>
      <c r="AG959" s="181">
        <v>1</v>
      </c>
      <c r="AH959" s="181">
        <v>8</v>
      </c>
      <c r="AI959" s="181">
        <v>0</v>
      </c>
      <c r="AJ959" s="181">
        <f>VLOOKUP($I959,'Price List, Weapons &amp; Items'!B:F,5,0)</f>
        <v>0</v>
      </c>
      <c r="AK959" s="181">
        <f t="shared" si="190"/>
        <v>0</v>
      </c>
      <c r="AL959" s="181">
        <f t="shared" si="191"/>
        <v>0</v>
      </c>
      <c r="AM959" s="181">
        <f t="shared" si="192"/>
        <v>0</v>
      </c>
      <c r="AN959" s="180" t="str">
        <f>VLOOKUP($I959,'Price List, Weapons &amp; Items'!B:L,COLUMN('Price List, Weapons &amp; Items'!$J$11)-1,0)</f>
        <v>.</v>
      </c>
      <c r="AO959" s="180" t="str">
        <f>IF(I959=".",".",VLOOKUP($I959,'Price List, Weapons &amp; Items'!B:J,3,0))</f>
        <v>Humanitarian</v>
      </c>
      <c r="AP959" s="545" t="e">
        <f t="shared" ca="1" si="187"/>
        <v>#NAME?</v>
      </c>
      <c r="AQ959" s="180">
        <f>VLOOKUP($I959,'Price List, Weapons &amp; Items'!B:L,COLUMN('Price List, Weapons &amp; Items'!$L$11)-1,0)</f>
        <v>0</v>
      </c>
      <c r="AR959" s="180">
        <f t="shared" si="193"/>
        <v>1</v>
      </c>
      <c r="AS959" s="180">
        <f t="shared" si="194"/>
        <v>0</v>
      </c>
      <c r="AT959" s="180">
        <f t="shared" si="195"/>
        <v>1</v>
      </c>
      <c r="AU959" s="180" t="str">
        <f t="shared" ref="AU959:AU1025" si="196">IF(AND(A959=A958,C959=C958)=TRUE,IF(F959=F958,".","1"),".")</f>
        <v>.</v>
      </c>
      <c r="AV959" s="180" t="str">
        <f t="shared" ref="AV959:AV1025" si="197">IF(T959&lt;&gt;".",IF(T959&gt;S959,1,"."),".")</f>
        <v>.</v>
      </c>
      <c r="AW959" s="180">
        <f>IFERROR(VLOOKUP(B959,'Share, Heavy Weapons to Ukraine'!B:J,COLUMN('Share, Heavy Weapons to Ukraine'!C972)-1,0),0)</f>
        <v>0</v>
      </c>
      <c r="AX959" s="180">
        <f>VLOOKUP('Bilateral Assistance, MAIN DATA'!B959,'Country Summary'!B:F,COLUMN('Country Summary'!C975)-1,FALSE)</f>
        <v>0</v>
      </c>
      <c r="AY959" s="180" t="str">
        <f>IF(AND(AD959=1,D959="Military",H959&lt;&gt;"Not given")=TRUE,IF(SUMIFS(P:P,A:A,A959)&gt;0,ABS((SUMIFS(P:P,A:A,A959)/VLOOKUP("USD",'Exchange Rates'!B:C,2,0)))/S959,"."),".")</f>
        <v>.</v>
      </c>
      <c r="AZ959" s="182" t="str">
        <f>IF(AND(AD959=1,D959="Military",H959&lt;&gt;"Not given")=TRUE,IF(SUMIFS(P:P,A:A,A959)&gt;0,IF((ABS((SUMIFS(P:P,A:A,A959)/VLOOKUP("USD",'Exchange Rates'!B:C,2,0)))/S959)&gt;1,(SUMIFS(P:P,A:A,A959)-S959)/S959,(S959-SUMIFS(P:P,A:A,A959))/SUMIFS(P:P,A:A,A959)),"."),".")</f>
        <v>.</v>
      </c>
      <c r="BA959" s="182"/>
      <c r="BB959" s="182"/>
      <c r="BC959" s="182"/>
      <c r="BD959" s="182"/>
      <c r="BE959" s="182"/>
      <c r="BF959" s="182"/>
      <c r="BG959" s="182"/>
      <c r="BH959" s="182"/>
      <c r="BI959" s="182"/>
      <c r="BJ959" s="182"/>
      <c r="BK959" s="182"/>
      <c r="BL959" s="182"/>
      <c r="BM959" s="182"/>
      <c r="BN959" s="182"/>
      <c r="BO959" s="182"/>
      <c r="BP959" s="182"/>
      <c r="BQ959" s="182"/>
      <c r="BR959" s="182"/>
      <c r="BS959" s="182"/>
    </row>
    <row r="960" spans="1:71" ht="15.9" customHeight="1" x14ac:dyDescent="0.3">
      <c r="A960" s="19" t="s">
        <v>2800</v>
      </c>
      <c r="B960" s="19" t="s">
        <v>2792</v>
      </c>
      <c r="C960" s="555">
        <v>44783</v>
      </c>
      <c r="D960" s="19" t="s">
        <v>256</v>
      </c>
      <c r="E960" s="19" t="s">
        <v>1995</v>
      </c>
      <c r="F960" s="19" t="s">
        <v>2801</v>
      </c>
      <c r="G960" s="15" t="s">
        <v>2794</v>
      </c>
      <c r="H960" s="176">
        <v>20000000</v>
      </c>
      <c r="I960" s="184" t="s">
        <v>701</v>
      </c>
      <c r="J960" s="113" t="str">
        <f>VLOOKUP($I960,'Price List, Weapons &amp; Items'!B:C,2,0)</f>
        <v>Humanitarian</v>
      </c>
      <c r="K960" s="113" t="str">
        <f>IF(I960=".",I960,VLOOKUP($I960,'Price List, Weapons &amp; Items'!B:D,3,0))</f>
        <v>Humanitarian</v>
      </c>
      <c r="L960" s="177">
        <f>VLOOKUP(I960,'Price List, Weapons &amp; Items'!B:E,4,0)</f>
        <v>0</v>
      </c>
      <c r="M960" s="542">
        <v>11</v>
      </c>
      <c r="N960" s="542" t="s">
        <v>270</v>
      </c>
      <c r="O960" s="543">
        <f>VLOOKUP($I960,'Price List, Weapons &amp; Items'!B:G,6,0)</f>
        <v>10000</v>
      </c>
      <c r="P960" s="176">
        <f t="shared" si="188"/>
        <v>110000</v>
      </c>
      <c r="Q960" s="176" t="str">
        <f t="shared" si="189"/>
        <v>.</v>
      </c>
      <c r="R960" s="176" t="str">
        <f t="shared" si="186"/>
        <v/>
      </c>
      <c r="S960" s="176" t="str">
        <f>IF(AND(AD960=1,R960&lt;&gt;".")=TRUE,R960/VLOOKUP(G960,'Exchange Rates'!B:C,2,0),IF(R960=".",".",""))</f>
        <v/>
      </c>
      <c r="T960" s="176" t="str">
        <f>IF(AD960=1,IF(AF960="Value is not given at all",".",IF(AF960="Value is given by the source",S960,IF(AF960="Value is calculated with prices",(IF(SUMIFS(Q:Q,A:A,A960)&gt;0,SUMIFS(Q:Q,A:A,A960),"."))/VLOOKUP("USD",'Exchange Rates'!B:C,2,0),"Error with coding"))),"")</f>
        <v/>
      </c>
      <c r="U960" s="15" t="s">
        <v>261</v>
      </c>
      <c r="V960" s="552" t="s">
        <v>2799</v>
      </c>
      <c r="W960" s="144" t="s">
        <v>260</v>
      </c>
      <c r="X960" s="144" t="s">
        <v>260</v>
      </c>
      <c r="Y960" s="144" t="s">
        <v>260</v>
      </c>
      <c r="Z960" s="15">
        <v>0</v>
      </c>
      <c r="AA960" s="180">
        <v>0</v>
      </c>
      <c r="AB960" s="552" t="s">
        <v>2799</v>
      </c>
      <c r="AC960" s="544" t="str">
        <f>""</f>
        <v/>
      </c>
      <c r="AD960" s="181">
        <v>0</v>
      </c>
      <c r="AE960" s="181" t="s">
        <v>264</v>
      </c>
      <c r="AF960" s="181" t="s">
        <v>264</v>
      </c>
      <c r="AG960" s="181">
        <v>1</v>
      </c>
      <c r="AH960" s="181">
        <v>8</v>
      </c>
      <c r="AI960" s="181">
        <v>0</v>
      </c>
      <c r="AJ960" s="181">
        <f>VLOOKUP($I960,'Price List, Weapons &amp; Items'!B:F,5,0)</f>
        <v>0</v>
      </c>
      <c r="AK960" s="181">
        <f t="shared" si="190"/>
        <v>0</v>
      </c>
      <c r="AL960" s="181">
        <f t="shared" si="191"/>
        <v>0</v>
      </c>
      <c r="AM960" s="181">
        <f t="shared" si="192"/>
        <v>0</v>
      </c>
      <c r="AN960" s="180" t="str">
        <f>VLOOKUP($I960,'Price List, Weapons &amp; Items'!B:L,COLUMN('Price List, Weapons &amp; Items'!$J$11)-1,0)</f>
        <v>Miscellaneous</v>
      </c>
      <c r="AO960" s="180" t="str">
        <f>IF(I960=".",".",VLOOKUP($I960,'Price List, Weapons &amp; Items'!B:J,3,0))</f>
        <v>Humanitarian</v>
      </c>
      <c r="AP960" s="545" t="str">
        <f t="shared" ca="1" si="187"/>
        <v/>
      </c>
      <c r="AQ960" s="180">
        <f>VLOOKUP($I960,'Price List, Weapons &amp; Items'!B:L,COLUMN('Price List, Weapons &amp; Items'!$L$11)-1,0)</f>
        <v>0</v>
      </c>
      <c r="AR960" s="180">
        <f t="shared" si="193"/>
        <v>1</v>
      </c>
      <c r="AS960" s="180">
        <f t="shared" si="194"/>
        <v>0</v>
      </c>
      <c r="AT960" s="180">
        <f t="shared" si="195"/>
        <v>1</v>
      </c>
      <c r="AU960" s="180" t="str">
        <f t="shared" si="196"/>
        <v>.</v>
      </c>
      <c r="AV960" s="180" t="str">
        <f t="shared" si="197"/>
        <v>.</v>
      </c>
      <c r="AW960" s="180">
        <f>IFERROR(VLOOKUP(B960,'Share, Heavy Weapons to Ukraine'!B:J,COLUMN('Share, Heavy Weapons to Ukraine'!C973)-1,0),0)</f>
        <v>0</v>
      </c>
      <c r="AX960" s="180">
        <f>VLOOKUP('Bilateral Assistance, MAIN DATA'!B960,'Country Summary'!B:F,COLUMN('Country Summary'!C976)-1,FALSE)</f>
        <v>0</v>
      </c>
      <c r="AY960" s="180" t="str">
        <f>IF(AND(AD960=1,D960="Military",H960&lt;&gt;"Not given")=TRUE,IF(SUMIFS(P:P,A:A,A960)&gt;0,ABS((SUMIFS(P:P,A:A,A960)/VLOOKUP("USD",'Exchange Rates'!B:C,2,0)))/S960,"."),".")</f>
        <v>.</v>
      </c>
      <c r="AZ960" s="182" t="str">
        <f>IF(AND(AD960=1,D960="Military",H960&lt;&gt;"Not given")=TRUE,IF(SUMIFS(P:P,A:A,A960)&gt;0,IF((ABS((SUMIFS(P:P,A:A,A960)/VLOOKUP("USD",'Exchange Rates'!B:C,2,0)))/S960)&gt;1,(SUMIFS(P:P,A:A,A960)-S960)/S960,(S960-SUMIFS(P:P,A:A,A960))/SUMIFS(P:P,A:A,A960)),"."),".")</f>
        <v>.</v>
      </c>
      <c r="BA960" s="182"/>
      <c r="BB960" s="182"/>
      <c r="BC960" s="182"/>
      <c r="BD960" s="182"/>
      <c r="BE960" s="182"/>
      <c r="BF960" s="182"/>
      <c r="BG960" s="182"/>
      <c r="BH960" s="182"/>
      <c r="BI960" s="182"/>
      <c r="BJ960" s="182"/>
      <c r="BK960" s="182"/>
      <c r="BL960" s="182"/>
      <c r="BM960" s="182"/>
      <c r="BN960" s="182"/>
      <c r="BO960" s="182"/>
      <c r="BP960" s="182"/>
      <c r="BQ960" s="182"/>
      <c r="BR960" s="182"/>
      <c r="BS960" s="182"/>
    </row>
    <row r="961" spans="1:71" ht="15.9" customHeight="1" x14ac:dyDescent="0.3">
      <c r="A961" s="19" t="s">
        <v>2800</v>
      </c>
      <c r="B961" s="19" t="s">
        <v>2792</v>
      </c>
      <c r="C961" s="555">
        <v>44783</v>
      </c>
      <c r="D961" s="19" t="s">
        <v>256</v>
      </c>
      <c r="E961" s="19" t="s">
        <v>1995</v>
      </c>
      <c r="F961" s="19" t="s">
        <v>2801</v>
      </c>
      <c r="G961" s="15" t="s">
        <v>2794</v>
      </c>
      <c r="H961" s="176">
        <v>20000000</v>
      </c>
      <c r="I961" s="184" t="s">
        <v>2803</v>
      </c>
      <c r="J961" s="113" t="str">
        <f>VLOOKUP($I961,'Price List, Weapons &amp; Items'!B:C,2,0)</f>
        <v>Humanitarian</v>
      </c>
      <c r="K961" s="113" t="str">
        <f>IF(I961=".",I961,VLOOKUP($I961,'Price List, Weapons &amp; Items'!B:D,3,0))</f>
        <v>Humanitarian</v>
      </c>
      <c r="L961" s="177">
        <f>VLOOKUP(I961,'Price List, Weapons &amp; Items'!B:E,4,0)</f>
        <v>0</v>
      </c>
      <c r="M961" s="542">
        <v>10</v>
      </c>
      <c r="N961" s="542" t="s">
        <v>270</v>
      </c>
      <c r="O961" s="543">
        <f>VLOOKUP($I961,'Price List, Weapons &amp; Items'!B:G,6,0)</f>
        <v>11168</v>
      </c>
      <c r="P961" s="176">
        <f t="shared" si="188"/>
        <v>111680</v>
      </c>
      <c r="Q961" s="176" t="str">
        <f t="shared" si="189"/>
        <v>.</v>
      </c>
      <c r="R961" s="176" t="str">
        <f t="shared" si="186"/>
        <v/>
      </c>
      <c r="S961" s="176" t="str">
        <f>IF(AND(AD961=1,R961&lt;&gt;".")=TRUE,R961/VLOOKUP(G961,'Exchange Rates'!B:C,2,0),IF(R961=".",".",""))</f>
        <v/>
      </c>
      <c r="T961" s="176" t="str">
        <f>IF(AD961=1,IF(AF961="Value is not given at all",".",IF(AF961="Value is given by the source",S961,IF(AF961="Value is calculated with prices",(IF(SUMIFS(Q:Q,A:A,A961)&gt;0,SUMIFS(Q:Q,A:A,A961),"."))/VLOOKUP("USD",'Exchange Rates'!B:C,2,0),"Error with coding"))),"")</f>
        <v/>
      </c>
      <c r="U961" s="15" t="s">
        <v>261</v>
      </c>
      <c r="V961" s="552" t="s">
        <v>2799</v>
      </c>
      <c r="W961" s="144" t="s">
        <v>260</v>
      </c>
      <c r="X961" s="144" t="s">
        <v>260</v>
      </c>
      <c r="Y961" s="144" t="s">
        <v>260</v>
      </c>
      <c r="Z961" s="15">
        <v>0</v>
      </c>
      <c r="AA961" s="180">
        <v>0</v>
      </c>
      <c r="AB961" s="552" t="s">
        <v>2799</v>
      </c>
      <c r="AC961" s="544" t="str">
        <f>""</f>
        <v/>
      </c>
      <c r="AD961" s="181">
        <v>0</v>
      </c>
      <c r="AE961" s="181" t="s">
        <v>264</v>
      </c>
      <c r="AF961" s="181" t="s">
        <v>264</v>
      </c>
      <c r="AG961" s="181">
        <v>1</v>
      </c>
      <c r="AH961" s="181">
        <v>8</v>
      </c>
      <c r="AI961" s="181">
        <v>0</v>
      </c>
      <c r="AJ961" s="181">
        <f>VLOOKUP($I961,'Price List, Weapons &amp; Items'!B:F,5,0)</f>
        <v>0</v>
      </c>
      <c r="AK961" s="181">
        <f t="shared" si="190"/>
        <v>0</v>
      </c>
      <c r="AL961" s="181">
        <f t="shared" si="191"/>
        <v>0</v>
      </c>
      <c r="AM961" s="181">
        <f t="shared" si="192"/>
        <v>0</v>
      </c>
      <c r="AN961" s="180" t="str">
        <f>VLOOKUP($I961,'Price List, Weapons &amp; Items'!B:L,COLUMN('Price List, Weapons &amp; Items'!$J$11)-1,0)</f>
        <v>Miscellaneous</v>
      </c>
      <c r="AO961" s="180" t="str">
        <f>IF(I961=".",".",VLOOKUP($I961,'Price List, Weapons &amp; Items'!B:J,3,0))</f>
        <v>Humanitarian</v>
      </c>
      <c r="AP961" s="545" t="str">
        <f t="shared" ca="1" si="187"/>
        <v/>
      </c>
      <c r="AQ961" s="180">
        <f>VLOOKUP($I961,'Price List, Weapons &amp; Items'!B:L,COLUMN('Price List, Weapons &amp; Items'!$L$11)-1,0)</f>
        <v>0</v>
      </c>
      <c r="AR961" s="180">
        <f t="shared" si="193"/>
        <v>1</v>
      </c>
      <c r="AS961" s="180">
        <f t="shared" si="194"/>
        <v>0</v>
      </c>
      <c r="AT961" s="180">
        <f t="shared" si="195"/>
        <v>1</v>
      </c>
      <c r="AU961" s="180" t="str">
        <f t="shared" si="196"/>
        <v>.</v>
      </c>
      <c r="AV961" s="180" t="str">
        <f t="shared" si="197"/>
        <v>.</v>
      </c>
      <c r="AW961" s="180">
        <f>IFERROR(VLOOKUP(B961,'Share, Heavy Weapons to Ukraine'!B:J,COLUMN('Share, Heavy Weapons to Ukraine'!C974)-1,0),0)</f>
        <v>0</v>
      </c>
      <c r="AX961" s="180">
        <f>VLOOKUP('Bilateral Assistance, MAIN DATA'!B961,'Country Summary'!B:F,COLUMN('Country Summary'!C977)-1,FALSE)</f>
        <v>0</v>
      </c>
      <c r="AY961" s="180" t="str">
        <f>IF(AND(AD961=1,D961="Military",H961&lt;&gt;"Not given")=TRUE,IF(SUMIFS(P:P,A:A,A961)&gt;0,ABS((SUMIFS(P:P,A:A,A961)/VLOOKUP("USD",'Exchange Rates'!B:C,2,0)))/S961,"."),".")</f>
        <v>.</v>
      </c>
      <c r="AZ961" s="182" t="str">
        <f>IF(AND(AD961=1,D961="Military",H961&lt;&gt;"Not given")=TRUE,IF(SUMIFS(P:P,A:A,A961)&gt;0,IF((ABS((SUMIFS(P:P,A:A,A961)/VLOOKUP("USD",'Exchange Rates'!B:C,2,0)))/S961)&gt;1,(SUMIFS(P:P,A:A,A961)-S961)/S961,(S961-SUMIFS(P:P,A:A,A961))/SUMIFS(P:P,A:A,A961)),"."),".")</f>
        <v>.</v>
      </c>
      <c r="BA961" s="182"/>
      <c r="BB961" s="182"/>
      <c r="BC961" s="182"/>
      <c r="BD961" s="182"/>
      <c r="BE961" s="182"/>
      <c r="BF961" s="182"/>
      <c r="BG961" s="182"/>
      <c r="BH961" s="182"/>
      <c r="BI961" s="182"/>
      <c r="BJ961" s="182"/>
      <c r="BK961" s="182"/>
      <c r="BL961" s="182"/>
      <c r="BM961" s="182"/>
      <c r="BN961" s="182"/>
      <c r="BO961" s="182"/>
      <c r="BP961" s="182"/>
      <c r="BQ961" s="182"/>
      <c r="BR961" s="182"/>
      <c r="BS961" s="182"/>
    </row>
    <row r="962" spans="1:71" ht="15.9" customHeight="1" x14ac:dyDescent="0.3">
      <c r="A962" s="19" t="s">
        <v>2800</v>
      </c>
      <c r="B962" s="19" t="s">
        <v>2792</v>
      </c>
      <c r="C962" s="555">
        <v>44783</v>
      </c>
      <c r="D962" s="19" t="s">
        <v>256</v>
      </c>
      <c r="E962" s="19" t="s">
        <v>1995</v>
      </c>
      <c r="F962" s="19" t="s">
        <v>2801</v>
      </c>
      <c r="G962" s="15" t="s">
        <v>2794</v>
      </c>
      <c r="H962" s="176">
        <v>20000000</v>
      </c>
      <c r="I962" s="184" t="s">
        <v>2804</v>
      </c>
      <c r="J962" s="113" t="str">
        <f>VLOOKUP($I962,'Price List, Weapons &amp; Items'!B:C,2,0)</f>
        <v>Humanitarian</v>
      </c>
      <c r="K962" s="113" t="str">
        <f>IF(I962=".",I962,VLOOKUP($I962,'Price List, Weapons &amp; Items'!B:D,3,0))</f>
        <v>Humanitarian</v>
      </c>
      <c r="L962" s="177">
        <f>VLOOKUP(I962,'Price List, Weapons &amp; Items'!B:E,4,0)</f>
        <v>0</v>
      </c>
      <c r="M962" s="542">
        <v>15</v>
      </c>
      <c r="N962" s="542" t="s">
        <v>270</v>
      </c>
      <c r="O962" s="543">
        <f>VLOOKUP($I962,'Price List, Weapons &amp; Items'!B:G,6,0)</f>
        <v>325</v>
      </c>
      <c r="P962" s="176">
        <f t="shared" si="188"/>
        <v>4875</v>
      </c>
      <c r="Q962" s="176" t="str">
        <f t="shared" si="189"/>
        <v>.</v>
      </c>
      <c r="R962" s="176" t="str">
        <f t="shared" si="186"/>
        <v/>
      </c>
      <c r="S962" s="176" t="str">
        <f>IF(AND(AD962=1,R962&lt;&gt;".")=TRUE,R962/VLOOKUP(G962,'Exchange Rates'!B:C,2,0),IF(R962=".",".",""))</f>
        <v/>
      </c>
      <c r="T962" s="176" t="str">
        <f>IF(AD962=1,IF(AF962="Value is not given at all",".",IF(AF962="Value is given by the source",S962,IF(AF962="Value is calculated with prices",(IF(SUMIFS(Q:Q,A:A,A962)&gt;0,SUMIFS(Q:Q,A:A,A962),"."))/VLOOKUP("USD",'Exchange Rates'!B:C,2,0),"Error with coding"))),"")</f>
        <v/>
      </c>
      <c r="U962" s="15" t="s">
        <v>261</v>
      </c>
      <c r="V962" s="552" t="s">
        <v>2799</v>
      </c>
      <c r="W962" s="144" t="s">
        <v>260</v>
      </c>
      <c r="X962" s="144" t="s">
        <v>260</v>
      </c>
      <c r="Y962" s="144" t="s">
        <v>260</v>
      </c>
      <c r="Z962" s="15">
        <v>0</v>
      </c>
      <c r="AA962" s="180">
        <v>0</v>
      </c>
      <c r="AB962" s="552" t="s">
        <v>2799</v>
      </c>
      <c r="AC962" s="544" t="str">
        <f>""</f>
        <v/>
      </c>
      <c r="AD962" s="181">
        <v>0</v>
      </c>
      <c r="AE962" s="181" t="s">
        <v>264</v>
      </c>
      <c r="AF962" s="181" t="s">
        <v>264</v>
      </c>
      <c r="AG962" s="181">
        <v>1</v>
      </c>
      <c r="AH962" s="181">
        <v>8</v>
      </c>
      <c r="AI962" s="181">
        <v>0</v>
      </c>
      <c r="AJ962" s="181">
        <f>VLOOKUP($I962,'Price List, Weapons &amp; Items'!B:F,5,0)</f>
        <v>0</v>
      </c>
      <c r="AK962" s="181">
        <f t="shared" si="190"/>
        <v>0</v>
      </c>
      <c r="AL962" s="181">
        <f t="shared" si="191"/>
        <v>0</v>
      </c>
      <c r="AM962" s="181">
        <f t="shared" si="192"/>
        <v>0</v>
      </c>
      <c r="AN962" s="180" t="str">
        <f>VLOOKUP($I962,'Price List, Weapons &amp; Items'!B:L,COLUMN('Price List, Weapons &amp; Items'!$J$11)-1,0)</f>
        <v>Online marketplace and stores</v>
      </c>
      <c r="AO962" s="180" t="str">
        <f>IF(I962=".",".",VLOOKUP($I962,'Price List, Weapons &amp; Items'!B:J,3,0))</f>
        <v>Humanitarian</v>
      </c>
      <c r="AP962" s="545" t="str">
        <f t="shared" ca="1" si="187"/>
        <v/>
      </c>
      <c r="AQ962" s="180">
        <f>VLOOKUP($I962,'Price List, Weapons &amp; Items'!B:L,COLUMN('Price List, Weapons &amp; Items'!$L$11)-1,0)</f>
        <v>0</v>
      </c>
      <c r="AR962" s="180">
        <f t="shared" si="193"/>
        <v>1</v>
      </c>
      <c r="AS962" s="180">
        <f t="shared" si="194"/>
        <v>0</v>
      </c>
      <c r="AT962" s="180">
        <f t="shared" si="195"/>
        <v>1</v>
      </c>
      <c r="AU962" s="180" t="str">
        <f t="shared" si="196"/>
        <v>.</v>
      </c>
      <c r="AV962" s="180" t="str">
        <f t="shared" si="197"/>
        <v>.</v>
      </c>
      <c r="AW962" s="180">
        <f>IFERROR(VLOOKUP(B962,'Share, Heavy Weapons to Ukraine'!B:J,COLUMN('Share, Heavy Weapons to Ukraine'!C975)-1,0),0)</f>
        <v>0</v>
      </c>
      <c r="AX962" s="180">
        <f>VLOOKUP('Bilateral Assistance, MAIN DATA'!B962,'Country Summary'!B:F,COLUMN('Country Summary'!C978)-1,FALSE)</f>
        <v>0</v>
      </c>
      <c r="AY962" s="180" t="str">
        <f>IF(AND(AD962=1,D962="Military",H962&lt;&gt;"Not given")=TRUE,IF(SUMIFS(P:P,A:A,A962)&gt;0,ABS((SUMIFS(P:P,A:A,A962)/VLOOKUP("USD",'Exchange Rates'!B:C,2,0)))/S962,"."),".")</f>
        <v>.</v>
      </c>
      <c r="AZ962" s="182" t="str">
        <f>IF(AND(AD962=1,D962="Military",H962&lt;&gt;"Not given")=TRUE,IF(SUMIFS(P:P,A:A,A962)&gt;0,IF((ABS((SUMIFS(P:P,A:A,A962)/VLOOKUP("USD",'Exchange Rates'!B:C,2,0)))/S962)&gt;1,(SUMIFS(P:P,A:A,A962)-S962)/S962,(S962-SUMIFS(P:P,A:A,A962))/SUMIFS(P:P,A:A,A962)),"."),".")</f>
        <v>.</v>
      </c>
      <c r="BA962" s="182"/>
      <c r="BB962" s="182"/>
      <c r="BC962" s="182"/>
      <c r="BD962" s="182"/>
      <c r="BE962" s="182"/>
      <c r="BF962" s="182"/>
      <c r="BG962" s="182"/>
      <c r="BH962" s="182"/>
      <c r="BI962" s="182"/>
      <c r="BJ962" s="182"/>
      <c r="BK962" s="182"/>
      <c r="BL962" s="182"/>
      <c r="BM962" s="182"/>
      <c r="BN962" s="182"/>
      <c r="BO962" s="182"/>
      <c r="BP962" s="182"/>
      <c r="BQ962" s="182"/>
      <c r="BR962" s="182"/>
      <c r="BS962" s="182"/>
    </row>
    <row r="963" spans="1:71" ht="15.9" customHeight="1" x14ac:dyDescent="0.3">
      <c r="A963" s="19" t="s">
        <v>2800</v>
      </c>
      <c r="B963" s="19" t="s">
        <v>2792</v>
      </c>
      <c r="C963" s="555">
        <v>44783</v>
      </c>
      <c r="D963" s="19" t="s">
        <v>256</v>
      </c>
      <c r="E963" s="19" t="s">
        <v>1995</v>
      </c>
      <c r="F963" s="19" t="s">
        <v>2801</v>
      </c>
      <c r="G963" s="15" t="s">
        <v>2794</v>
      </c>
      <c r="H963" s="176">
        <v>20000000</v>
      </c>
      <c r="I963" s="184" t="s">
        <v>2805</v>
      </c>
      <c r="J963" s="113" t="str">
        <f>VLOOKUP($I963,'Price List, Weapons &amp; Items'!B:C,2,0)</f>
        <v>Humanitarian</v>
      </c>
      <c r="K963" s="113" t="str">
        <f>IF(I963=".",I963,VLOOKUP($I963,'Price List, Weapons &amp; Items'!B:D,3,0))</f>
        <v>Humanitarian</v>
      </c>
      <c r="L963" s="177">
        <f>VLOOKUP(I963,'Price List, Weapons &amp; Items'!B:E,4,0)</f>
        <v>0</v>
      </c>
      <c r="M963" s="542">
        <v>11</v>
      </c>
      <c r="N963" s="542" t="s">
        <v>270</v>
      </c>
      <c r="O963" s="543" t="str">
        <f>VLOOKUP($I963,'Price List, Weapons &amp; Items'!B:G,6,0)</f>
        <v>.</v>
      </c>
      <c r="P963" s="176" t="str">
        <f t="shared" si="188"/>
        <v>No price</v>
      </c>
      <c r="Q963" s="176" t="str">
        <f t="shared" si="189"/>
        <v>.</v>
      </c>
      <c r="R963" s="176" t="str">
        <f t="shared" si="186"/>
        <v/>
      </c>
      <c r="S963" s="176" t="str">
        <f>IF(AND(AD963=1,R963&lt;&gt;".")=TRUE,R963/VLOOKUP(G963,'Exchange Rates'!B:C,2,0),IF(R963=".",".",""))</f>
        <v/>
      </c>
      <c r="T963" s="176" t="str">
        <f>IF(AD963=1,IF(AF963="Value is not given at all",".",IF(AF963="Value is given by the source",S963,IF(AF963="Value is calculated with prices",(IF(SUMIFS(Q:Q,A:A,A963)&gt;0,SUMIFS(Q:Q,A:A,A963),"."))/VLOOKUP("USD",'Exchange Rates'!B:C,2,0),"Error with coding"))),"")</f>
        <v/>
      </c>
      <c r="U963" s="15" t="s">
        <v>261</v>
      </c>
      <c r="V963" s="552" t="s">
        <v>2799</v>
      </c>
      <c r="W963" s="144" t="s">
        <v>260</v>
      </c>
      <c r="X963" s="144" t="s">
        <v>260</v>
      </c>
      <c r="Y963" s="144" t="s">
        <v>260</v>
      </c>
      <c r="Z963" s="15">
        <v>0</v>
      </c>
      <c r="AA963" s="180">
        <v>0</v>
      </c>
      <c r="AB963" s="552" t="s">
        <v>2799</v>
      </c>
      <c r="AC963" s="544" t="str">
        <f>""</f>
        <v/>
      </c>
      <c r="AD963" s="181">
        <v>0</v>
      </c>
      <c r="AE963" s="181" t="s">
        <v>264</v>
      </c>
      <c r="AF963" s="181" t="s">
        <v>264</v>
      </c>
      <c r="AG963" s="181">
        <v>1</v>
      </c>
      <c r="AH963" s="181">
        <v>8</v>
      </c>
      <c r="AI963" s="181">
        <v>0</v>
      </c>
      <c r="AJ963" s="181">
        <f>VLOOKUP($I963,'Price List, Weapons &amp; Items'!B:F,5,0)</f>
        <v>0</v>
      </c>
      <c r="AK963" s="181">
        <f t="shared" si="190"/>
        <v>0</v>
      </c>
      <c r="AL963" s="181">
        <f t="shared" si="191"/>
        <v>0</v>
      </c>
      <c r="AM963" s="181">
        <f t="shared" si="192"/>
        <v>0</v>
      </c>
      <c r="AN963" s="180" t="str">
        <f>VLOOKUP($I963,'Price List, Weapons &amp; Items'!B:L,COLUMN('Price List, Weapons &amp; Items'!$J$11)-1,0)</f>
        <v>.</v>
      </c>
      <c r="AO963" s="180" t="str">
        <f>IF(I963=".",".",VLOOKUP($I963,'Price List, Weapons &amp; Items'!B:J,3,0))</f>
        <v>Humanitarian</v>
      </c>
      <c r="AP963" s="545" t="str">
        <f t="shared" ca="1" si="187"/>
        <v/>
      </c>
      <c r="AQ963" s="180">
        <f>VLOOKUP($I963,'Price List, Weapons &amp; Items'!B:L,COLUMN('Price List, Weapons &amp; Items'!$L$11)-1,0)</f>
        <v>0</v>
      </c>
      <c r="AR963" s="180">
        <f t="shared" si="193"/>
        <v>1</v>
      </c>
      <c r="AS963" s="180">
        <f t="shared" si="194"/>
        <v>0</v>
      </c>
      <c r="AT963" s="180">
        <f t="shared" si="195"/>
        <v>1</v>
      </c>
      <c r="AU963" s="180" t="str">
        <f t="shared" si="196"/>
        <v>.</v>
      </c>
      <c r="AV963" s="180" t="str">
        <f t="shared" si="197"/>
        <v>.</v>
      </c>
      <c r="AW963" s="180">
        <f>IFERROR(VLOOKUP(B963,'Share, Heavy Weapons to Ukraine'!B:J,COLUMN('Share, Heavy Weapons to Ukraine'!C976)-1,0),0)</f>
        <v>0</v>
      </c>
      <c r="AX963" s="180">
        <f>VLOOKUP('Bilateral Assistance, MAIN DATA'!B963,'Country Summary'!B:F,COLUMN('Country Summary'!C979)-1,FALSE)</f>
        <v>0</v>
      </c>
      <c r="AY963" s="180" t="str">
        <f>IF(AND(AD963=1,D963="Military",H963&lt;&gt;"Not given")=TRUE,IF(SUMIFS(P:P,A:A,A963)&gt;0,ABS((SUMIFS(P:P,A:A,A963)/VLOOKUP("USD",'Exchange Rates'!B:C,2,0)))/S963,"."),".")</f>
        <v>.</v>
      </c>
      <c r="AZ963" s="182" t="str">
        <f>IF(AND(AD963=1,D963="Military",H963&lt;&gt;"Not given")=TRUE,IF(SUMIFS(P:P,A:A,A963)&gt;0,IF((ABS((SUMIFS(P:P,A:A,A963)/VLOOKUP("USD",'Exchange Rates'!B:C,2,0)))/S963)&gt;1,(SUMIFS(P:P,A:A,A963)-S963)/S963,(S963-SUMIFS(P:P,A:A,A963))/SUMIFS(P:P,A:A,A963)),"."),".")</f>
        <v>.</v>
      </c>
      <c r="BA963" s="182"/>
      <c r="BB963" s="182"/>
      <c r="BC963" s="182"/>
      <c r="BD963" s="182"/>
      <c r="BE963" s="182"/>
      <c r="BF963" s="182"/>
      <c r="BG963" s="182"/>
      <c r="BH963" s="182"/>
      <c r="BI963" s="182"/>
      <c r="BJ963" s="182"/>
      <c r="BK963" s="182"/>
      <c r="BL963" s="182"/>
      <c r="BM963" s="182"/>
      <c r="BN963" s="182"/>
      <c r="BO963" s="182"/>
      <c r="BP963" s="182"/>
      <c r="BQ963" s="182"/>
      <c r="BR963" s="182"/>
      <c r="BS963" s="182"/>
    </row>
    <row r="964" spans="1:71" ht="15.9" customHeight="1" x14ac:dyDescent="0.3">
      <c r="A964" s="19" t="s">
        <v>2806</v>
      </c>
      <c r="B964" s="19" t="s">
        <v>2792</v>
      </c>
      <c r="C964" s="555">
        <v>44867</v>
      </c>
      <c r="D964" s="19" t="s">
        <v>256</v>
      </c>
      <c r="E964" s="19" t="s">
        <v>1995</v>
      </c>
      <c r="F964" s="19" t="s">
        <v>2807</v>
      </c>
      <c r="G964" s="15" t="s">
        <v>2794</v>
      </c>
      <c r="H964" s="176">
        <v>100000000</v>
      </c>
      <c r="I964" s="184" t="s">
        <v>260</v>
      </c>
      <c r="J964" s="113" t="str">
        <f>VLOOKUP($I964,'Price List, Weapons &amp; Items'!B:C,2,0)</f>
        <v>.</v>
      </c>
      <c r="K964" s="113" t="str">
        <f>IF(I964=".",I964,VLOOKUP($I964,'Price List, Weapons &amp; Items'!B:D,3,0))</f>
        <v>.</v>
      </c>
      <c r="L964" s="177">
        <f>VLOOKUP(I964,'Price List, Weapons &amp; Items'!B:E,4,0)</f>
        <v>0</v>
      </c>
      <c r="M964" s="542" t="s">
        <v>260</v>
      </c>
      <c r="N964" s="542" t="s">
        <v>260</v>
      </c>
      <c r="O964" s="543" t="str">
        <f>VLOOKUP($I964,'Price List, Weapons &amp; Items'!B:G,6,0)</f>
        <v>.</v>
      </c>
      <c r="P964" s="176" t="str">
        <f t="shared" si="188"/>
        <v>.</v>
      </c>
      <c r="Q964" s="176" t="str">
        <f t="shared" si="189"/>
        <v>.</v>
      </c>
      <c r="R964" s="176">
        <f t="shared" si="186"/>
        <v>100000000</v>
      </c>
      <c r="S964" s="176">
        <f>IF(AND(AD964=1,R964&lt;&gt;".")=TRUE,R964/VLOOKUP(G964,'Exchange Rates'!B:C,2,0),IF(R964=".",".",""))</f>
        <v>101667344.44896299</v>
      </c>
      <c r="T964" s="176" t="str">
        <f>IF(AD964=1,IF(AF964="Value is not given at all",".",IF(AF964="Value is given by the source",S964,IF(AF964="Value is calculated with prices",(IF(SUMIFS(Q:Q,A:A,A964)&gt;0,SUMIFS(Q:Q,A:A,A964),"."))/VLOOKUP("USD",'Exchange Rates'!B:C,2,0),"Error with coding"))),"")</f>
        <v>.</v>
      </c>
      <c r="U964" s="15" t="s">
        <v>261</v>
      </c>
      <c r="V964" s="305" t="s">
        <v>2808</v>
      </c>
      <c r="W964" s="300" t="s">
        <v>2809</v>
      </c>
      <c r="X964" s="975" t="s">
        <v>2810</v>
      </c>
      <c r="Y964" s="668" t="s">
        <v>260</v>
      </c>
      <c r="Z964" s="15">
        <v>0</v>
      </c>
      <c r="AA964" s="180">
        <v>0</v>
      </c>
      <c r="AB964" s="669" t="s">
        <v>260</v>
      </c>
      <c r="AC964" s="544" t="str">
        <f>""</f>
        <v/>
      </c>
      <c r="AD964" s="181">
        <v>1</v>
      </c>
      <c r="AE964" s="181" t="s">
        <v>264</v>
      </c>
      <c r="AF964" s="181" t="s">
        <v>265</v>
      </c>
      <c r="AG964" s="181">
        <v>1</v>
      </c>
      <c r="AH964" s="181">
        <v>11</v>
      </c>
      <c r="AI964" s="181">
        <v>0</v>
      </c>
      <c r="AJ964" s="181">
        <f>VLOOKUP($I964,'Price List, Weapons &amp; Items'!B:F,5,0)</f>
        <v>0</v>
      </c>
      <c r="AK964" s="181">
        <f t="shared" si="190"/>
        <v>0</v>
      </c>
      <c r="AL964" s="181">
        <f t="shared" si="191"/>
        <v>0</v>
      </c>
      <c r="AM964" s="181">
        <f t="shared" si="192"/>
        <v>0</v>
      </c>
      <c r="AN964" s="180" t="str">
        <f>VLOOKUP($I964,'Price List, Weapons &amp; Items'!B:L,COLUMN('Price List, Weapons &amp; Items'!$J$11)-1,0)</f>
        <v>.</v>
      </c>
      <c r="AO964" s="180" t="str">
        <f>IF(I964=".",".",VLOOKUP($I964,'Price List, Weapons &amp; Items'!B:J,3,0))</f>
        <v>.</v>
      </c>
      <c r="AP964" s="545" t="e">
        <f t="shared" ca="1" si="187"/>
        <v>#NAME?</v>
      </c>
      <c r="AQ964" s="180" t="str">
        <f>VLOOKUP($I964,'Price List, Weapons &amp; Items'!B:L,COLUMN('Price List, Weapons &amp; Items'!$L$11)-1,0)</f>
        <v>no price, 0 count</v>
      </c>
      <c r="AR964" s="180">
        <f t="shared" si="193"/>
        <v>1</v>
      </c>
      <c r="AS964" s="180">
        <f t="shared" si="194"/>
        <v>0</v>
      </c>
      <c r="AT964" s="180">
        <f t="shared" si="195"/>
        <v>1</v>
      </c>
      <c r="AU964" s="180" t="str">
        <f t="shared" si="196"/>
        <v>.</v>
      </c>
      <c r="AV964" s="180" t="str">
        <f t="shared" si="197"/>
        <v>.</v>
      </c>
      <c r="AW964" s="180">
        <f>IFERROR(VLOOKUP(B964,'Share, Heavy Weapons to Ukraine'!B:J,COLUMN('Share, Heavy Weapons to Ukraine'!C977)-1,0),0)</f>
        <v>0</v>
      </c>
      <c r="AX964" s="180">
        <f>VLOOKUP('Bilateral Assistance, MAIN DATA'!B964,'Country Summary'!B:F,COLUMN('Country Summary'!C980)-1,FALSE)</f>
        <v>0</v>
      </c>
      <c r="AY964" s="180" t="str">
        <f>IF(AND(AD964=1,D964="Military",H964&lt;&gt;"Not given")=TRUE,IF(SUMIFS(P:P,A:A,A964)&gt;0,ABS((SUMIFS(P:P,A:A,A964)/VLOOKUP("USD",'Exchange Rates'!B:C,2,0)))/S964,"."),".")</f>
        <v>.</v>
      </c>
      <c r="AZ964" s="182" t="str">
        <f>IF(AND(AD964=1,D964="Military",H964&lt;&gt;"Not given")=TRUE,IF(SUMIFS(P:P,A:A,A964)&gt;0,IF((ABS((SUMIFS(P:P,A:A,A964)/VLOOKUP("USD",'Exchange Rates'!B:C,2,0)))/S964)&gt;1,(SUMIFS(P:P,A:A,A964)-S964)/S964,(S964-SUMIFS(P:P,A:A,A964))/SUMIFS(P:P,A:A,A964)),"."),".")</f>
        <v>.</v>
      </c>
      <c r="BA964" s="182"/>
      <c r="BB964" s="182"/>
      <c r="BC964" s="182"/>
      <c r="BD964" s="182"/>
      <c r="BE964" s="182"/>
      <c r="BF964" s="182"/>
      <c r="BG964" s="182"/>
      <c r="BH964" s="182"/>
      <c r="BI964" s="182"/>
      <c r="BJ964" s="182"/>
      <c r="BK964" s="182"/>
      <c r="BL964" s="182"/>
      <c r="BM964" s="182"/>
      <c r="BN964" s="182"/>
      <c r="BO964" s="182"/>
      <c r="BP964" s="182"/>
      <c r="BQ964" s="182"/>
      <c r="BR964" s="182"/>
      <c r="BS964" s="182"/>
    </row>
    <row r="965" spans="1:71" ht="15.9" customHeight="1" x14ac:dyDescent="0.3">
      <c r="A965" s="19" t="s">
        <v>2811</v>
      </c>
      <c r="B965" s="19" t="s">
        <v>2792</v>
      </c>
      <c r="C965" s="555" t="s">
        <v>2812</v>
      </c>
      <c r="D965" s="19" t="s">
        <v>405</v>
      </c>
      <c r="E965" s="19" t="s">
        <v>362</v>
      </c>
      <c r="F965" s="19" t="s">
        <v>2813</v>
      </c>
      <c r="G965" s="15" t="s">
        <v>2794</v>
      </c>
      <c r="H965" s="176">
        <v>23000000</v>
      </c>
      <c r="I965" s="184" t="s">
        <v>260</v>
      </c>
      <c r="J965" s="113" t="str">
        <f>VLOOKUP($I965,'Price List, Weapons &amp; Items'!B:C,2,0)</f>
        <v>.</v>
      </c>
      <c r="K965" s="113" t="str">
        <f>IF(I965=".",I965,VLOOKUP($I965,'Price List, Weapons &amp; Items'!B:D,3,0))</f>
        <v>.</v>
      </c>
      <c r="L965" s="177">
        <f>VLOOKUP(I965,'Price List, Weapons &amp; Items'!B:E,4,0)</f>
        <v>0</v>
      </c>
      <c r="M965" s="542" t="s">
        <v>260</v>
      </c>
      <c r="N965" s="542" t="s">
        <v>260</v>
      </c>
      <c r="O965" s="543" t="str">
        <f>VLOOKUP($I965,'Price List, Weapons &amp; Items'!B:G,6,0)</f>
        <v>.</v>
      </c>
      <c r="P965" s="176" t="str">
        <f t="shared" si="188"/>
        <v>.</v>
      </c>
      <c r="Q965" s="176" t="str">
        <f t="shared" si="189"/>
        <v>.</v>
      </c>
      <c r="R965" s="176">
        <f t="shared" si="186"/>
        <v>23000000</v>
      </c>
      <c r="S965" s="176">
        <f>IF(AND(AD965=1,R965&lt;&gt;".")=TRUE,R965/VLOOKUP(G965,'Exchange Rates'!B:C,2,0),IF(R965=".",".",""))</f>
        <v>23383489.223261487</v>
      </c>
      <c r="T965" s="176" t="str">
        <f>IF(AD965=1,IF(AF965="Value is not given at all",".",IF(AF965="Value is given by the source",S965,IF(AF965="Value is calculated with prices",(IF(SUMIFS(Q:Q,A:A,A965)&gt;0,SUMIFS(Q:Q,A:A,A965),"."))/VLOOKUP("USD",'Exchange Rates'!B:C,2,0),"Error with coding"))),"")</f>
        <v>.</v>
      </c>
      <c r="U965" s="15" t="s">
        <v>261</v>
      </c>
      <c r="V965" s="671" t="s">
        <v>2810</v>
      </c>
      <c r="W965" s="667" t="s">
        <v>2814</v>
      </c>
      <c r="X965" s="975"/>
      <c r="Y965" s="668" t="s">
        <v>260</v>
      </c>
      <c r="Z965" s="15">
        <v>1</v>
      </c>
      <c r="AA965" s="180">
        <v>1</v>
      </c>
      <c r="AB965" s="669" t="s">
        <v>260</v>
      </c>
      <c r="AC965" s="544" t="str">
        <f>""</f>
        <v/>
      </c>
      <c r="AD965" s="181">
        <v>1</v>
      </c>
      <c r="AE965" s="181" t="s">
        <v>264</v>
      </c>
      <c r="AF965" s="181" t="s">
        <v>265</v>
      </c>
      <c r="AG965" s="181">
        <v>1</v>
      </c>
      <c r="AH965" s="181">
        <v>12</v>
      </c>
      <c r="AI965" s="181">
        <v>0</v>
      </c>
      <c r="AJ965" s="181">
        <f>VLOOKUP($I965,'Price List, Weapons &amp; Items'!B:F,5,0)</f>
        <v>0</v>
      </c>
      <c r="AK965" s="181">
        <f t="shared" si="190"/>
        <v>0</v>
      </c>
      <c r="AL965" s="181">
        <f t="shared" si="191"/>
        <v>0</v>
      </c>
      <c r="AM965" s="181">
        <f t="shared" si="192"/>
        <v>0</v>
      </c>
      <c r="AN965" s="180" t="str">
        <f>VLOOKUP($I965,'Price List, Weapons &amp; Items'!B:L,COLUMN('Price List, Weapons &amp; Items'!$J$11)-1,0)</f>
        <v>.</v>
      </c>
      <c r="AO965" s="180" t="str">
        <f>IF(I965=".",".",VLOOKUP($I965,'Price List, Weapons &amp; Items'!B:J,3,0))</f>
        <v>.</v>
      </c>
      <c r="AP965" s="545" t="e">
        <f t="shared" ca="1" si="187"/>
        <v>#NAME?</v>
      </c>
      <c r="AQ965" s="180" t="str">
        <f>VLOOKUP($I965,'Price List, Weapons &amp; Items'!B:L,COLUMN('Price List, Weapons &amp; Items'!$L$11)-1,0)</f>
        <v>no price, 0 count</v>
      </c>
      <c r="AR965" s="180">
        <f t="shared" si="193"/>
        <v>1</v>
      </c>
      <c r="AS965" s="180">
        <f t="shared" si="194"/>
        <v>0</v>
      </c>
      <c r="AT965" s="180" t="str">
        <f t="shared" si="195"/>
        <v>Value is not in date format</v>
      </c>
      <c r="AU965" s="180" t="str">
        <f t="shared" si="196"/>
        <v>.</v>
      </c>
      <c r="AV965" s="180" t="str">
        <f t="shared" si="197"/>
        <v>.</v>
      </c>
      <c r="AW965" s="180">
        <f>IFERROR(VLOOKUP(B965,'Share, Heavy Weapons to Ukraine'!B:J,COLUMN('Share, Heavy Weapons to Ukraine'!C978)-1,0),0)</f>
        <v>0</v>
      </c>
      <c r="AX965" s="180">
        <f>VLOOKUP('Bilateral Assistance, MAIN DATA'!B965,'Country Summary'!B:F,COLUMN('Country Summary'!C981)-1,FALSE)</f>
        <v>0</v>
      </c>
      <c r="AY965" s="180" t="str">
        <f>IF(AND(AD965=1,D965="Military",H965&lt;&gt;"Not given")=TRUE,IF(SUMIFS(P:P,A:A,A965)&gt;0,ABS((SUMIFS(P:P,A:A,A965)/VLOOKUP("USD",'Exchange Rates'!B:C,2,0)))/S965,"."),".")</f>
        <v>.</v>
      </c>
      <c r="AZ965" s="182" t="str">
        <f>IF(AND(AD965=1,D965="Military",H965&lt;&gt;"Not given")=TRUE,IF(SUMIFS(P:P,A:A,A965)&gt;0,IF((ABS((SUMIFS(P:P,A:A,A965)/VLOOKUP("USD",'Exchange Rates'!B:C,2,0)))/S965)&gt;1,(SUMIFS(P:P,A:A,A965)-S965)/S965,(S965-SUMIFS(P:P,A:A,A965))/SUMIFS(P:P,A:A,A965)),"."),".")</f>
        <v>.</v>
      </c>
      <c r="BA965" s="182"/>
      <c r="BB965" s="182"/>
      <c r="BC965" s="182"/>
      <c r="BD965" s="182"/>
      <c r="BE965" s="182"/>
      <c r="BF965" s="182"/>
      <c r="BG965" s="182"/>
      <c r="BH965" s="182"/>
      <c r="BI965" s="182"/>
      <c r="BJ965" s="182"/>
      <c r="BK965" s="182"/>
      <c r="BL965" s="182"/>
      <c r="BM965" s="182"/>
      <c r="BN965" s="182"/>
      <c r="BO965" s="182"/>
      <c r="BP965" s="182"/>
      <c r="BQ965" s="182"/>
      <c r="BR965" s="182"/>
      <c r="BS965" s="182"/>
    </row>
    <row r="966" spans="1:71" ht="15.9" customHeight="1" x14ac:dyDescent="0.3">
      <c r="A966" s="19" t="s">
        <v>2815</v>
      </c>
      <c r="B966" s="19" t="s">
        <v>2792</v>
      </c>
      <c r="C966" s="555" t="s">
        <v>2812</v>
      </c>
      <c r="D966" s="19" t="s">
        <v>405</v>
      </c>
      <c r="E966" s="19" t="s">
        <v>362</v>
      </c>
      <c r="F966" s="19" t="s">
        <v>2816</v>
      </c>
      <c r="G966" s="15" t="s">
        <v>2794</v>
      </c>
      <c r="H966" s="176">
        <v>15000000</v>
      </c>
      <c r="I966" s="184" t="s">
        <v>260</v>
      </c>
      <c r="J966" s="113" t="str">
        <f>VLOOKUP($I966,'Price List, Weapons &amp; Items'!B:C,2,0)</f>
        <v>.</v>
      </c>
      <c r="K966" s="113" t="str">
        <f>IF(I966=".",I966,VLOOKUP($I966,'Price List, Weapons &amp; Items'!B:D,3,0))</f>
        <v>.</v>
      </c>
      <c r="L966" s="177">
        <f>VLOOKUP(I966,'Price List, Weapons &amp; Items'!B:E,4,0)</f>
        <v>0</v>
      </c>
      <c r="M966" s="542" t="s">
        <v>260</v>
      </c>
      <c r="N966" s="542" t="s">
        <v>260</v>
      </c>
      <c r="O966" s="543" t="str">
        <f>VLOOKUP($I966,'Price List, Weapons &amp; Items'!B:G,6,0)</f>
        <v>.</v>
      </c>
      <c r="P966" s="176" t="str">
        <f t="shared" si="188"/>
        <v>.</v>
      </c>
      <c r="Q966" s="176" t="str">
        <f t="shared" si="189"/>
        <v>.</v>
      </c>
      <c r="R966" s="176">
        <f t="shared" si="186"/>
        <v>15000000</v>
      </c>
      <c r="S966" s="176">
        <f>IF(AND(AD966=1,R966&lt;&gt;".")=TRUE,R966/VLOOKUP(G966,'Exchange Rates'!B:C,2,0),IF(R966=".",".",""))</f>
        <v>15250101.667344449</v>
      </c>
      <c r="T966" s="176" t="str">
        <f>IF(AD966=1,IF(AF966="Value is not given at all",".",IF(AF966="Value is given by the source",S966,IF(AF966="Value is calculated with prices",(IF(SUMIFS(Q:Q,A:A,A966)&gt;0,SUMIFS(Q:Q,A:A,A966),"."))/VLOOKUP("USD",'Exchange Rates'!B:C,2,0),"Error with coding"))),"")</f>
        <v>.</v>
      </c>
      <c r="U966" s="15" t="s">
        <v>261</v>
      </c>
      <c r="V966" s="671" t="s">
        <v>2810</v>
      </c>
      <c r="W966" s="1049" t="s">
        <v>2814</v>
      </c>
      <c r="X966" s="975"/>
      <c r="Y966" s="668" t="s">
        <v>260</v>
      </c>
      <c r="Z966" s="15">
        <v>1</v>
      </c>
      <c r="AA966" s="180">
        <v>1</v>
      </c>
      <c r="AB966" s="669" t="s">
        <v>260</v>
      </c>
      <c r="AC966" s="544"/>
      <c r="AD966" s="181">
        <v>1</v>
      </c>
      <c r="AE966" s="181" t="s">
        <v>264</v>
      </c>
      <c r="AF966" s="181" t="s">
        <v>265</v>
      </c>
      <c r="AG966" s="181">
        <v>1</v>
      </c>
      <c r="AH966" s="181">
        <v>12</v>
      </c>
      <c r="AI966" s="181">
        <v>0</v>
      </c>
      <c r="AJ966" s="181">
        <f>VLOOKUP($I966,'Price List, Weapons &amp; Items'!B:F,5,0)</f>
        <v>0</v>
      </c>
      <c r="AK966" s="181">
        <f t="shared" si="190"/>
        <v>0</v>
      </c>
      <c r="AL966" s="181">
        <f t="shared" si="191"/>
        <v>0</v>
      </c>
      <c r="AM966" s="181">
        <f t="shared" si="192"/>
        <v>0</v>
      </c>
      <c r="AN966" s="180" t="str">
        <f>VLOOKUP($I966,'Price List, Weapons &amp; Items'!B:L,COLUMN('Price List, Weapons &amp; Items'!$J$11)-1,0)</f>
        <v>.</v>
      </c>
      <c r="AO966" s="180" t="str">
        <f>IF(I966=".",".",VLOOKUP($I966,'Price List, Weapons &amp; Items'!B:J,3,0))</f>
        <v>.</v>
      </c>
      <c r="AP966" s="545" t="e">
        <f t="shared" ca="1" si="187"/>
        <v>#NAME?</v>
      </c>
      <c r="AQ966" s="180" t="str">
        <f>VLOOKUP($I966,'Price List, Weapons &amp; Items'!B:L,COLUMN('Price List, Weapons &amp; Items'!$L$11)-1,0)</f>
        <v>no price, 0 count</v>
      </c>
      <c r="AR966" s="180">
        <f t="shared" si="193"/>
        <v>1</v>
      </c>
      <c r="AS966" s="180">
        <f t="shared" si="194"/>
        <v>0</v>
      </c>
      <c r="AT966" s="180" t="str">
        <f t="shared" si="195"/>
        <v>Value is not in date format</v>
      </c>
      <c r="AU966" s="180" t="str">
        <f t="shared" si="196"/>
        <v>.</v>
      </c>
      <c r="AV966" s="180" t="str">
        <f t="shared" si="197"/>
        <v>.</v>
      </c>
      <c r="AW966" s="180">
        <f>IFERROR(VLOOKUP(B966,'Share, Heavy Weapons to Ukraine'!B:J,COLUMN('Share, Heavy Weapons to Ukraine'!C979)-1,0),0)</f>
        <v>0</v>
      </c>
      <c r="AX966" s="180">
        <f>VLOOKUP('Bilateral Assistance, MAIN DATA'!B966,'Country Summary'!B:F,COLUMN('Country Summary'!C982)-1,FALSE)</f>
        <v>0</v>
      </c>
      <c r="AY966" s="180" t="str">
        <f>IF(AND(AD966=1,D966="Military",H966&lt;&gt;"Not given")=TRUE,IF(SUMIFS(P:P,A:A,A966)&gt;0,ABS((SUMIFS(P:P,A:A,A966)/VLOOKUP("USD",'Exchange Rates'!B:C,2,0)))/S966,"."),".")</f>
        <v>.</v>
      </c>
      <c r="AZ966" s="182" t="str">
        <f>IF(AND(AD966=1,D966="Military",H966&lt;&gt;"Not given")=TRUE,IF(SUMIFS(P:P,A:A,A966)&gt;0,IF((ABS((SUMIFS(P:P,A:A,A966)/VLOOKUP("USD",'Exchange Rates'!B:C,2,0)))/S966)&gt;1,(SUMIFS(P:P,A:A,A966)-S966)/S966,(S966-SUMIFS(P:P,A:A,A966))/SUMIFS(P:P,A:A,A966)),"."),".")</f>
        <v>.</v>
      </c>
      <c r="BA966" s="182"/>
      <c r="BB966" s="182"/>
      <c r="BC966" s="182"/>
      <c r="BD966" s="182"/>
      <c r="BE966" s="182"/>
      <c r="BF966" s="182"/>
      <c r="BG966" s="182"/>
      <c r="BH966" s="182"/>
      <c r="BI966" s="182"/>
      <c r="BJ966" s="182"/>
      <c r="BK966" s="182"/>
      <c r="BL966" s="182"/>
      <c r="BM966" s="182"/>
      <c r="BN966" s="182"/>
      <c r="BO966" s="182"/>
      <c r="BP966" s="182"/>
      <c r="BQ966" s="182"/>
      <c r="BR966" s="182"/>
      <c r="BS966" s="182"/>
    </row>
    <row r="967" spans="1:71" ht="15.9" customHeight="1" x14ac:dyDescent="0.3">
      <c r="A967" s="19" t="s">
        <v>2817</v>
      </c>
      <c r="B967" s="19" t="s">
        <v>2792</v>
      </c>
      <c r="C967" s="555" t="s">
        <v>2812</v>
      </c>
      <c r="D967" s="19" t="s">
        <v>405</v>
      </c>
      <c r="E967" s="19" t="s">
        <v>376</v>
      </c>
      <c r="F967" s="19" t="s">
        <v>2818</v>
      </c>
      <c r="G967" s="15" t="s">
        <v>2794</v>
      </c>
      <c r="H967" s="176">
        <v>20000000</v>
      </c>
      <c r="I967" s="184" t="s">
        <v>260</v>
      </c>
      <c r="J967" s="113" t="str">
        <f>VLOOKUP($I967,'Price List, Weapons &amp; Items'!B:C,2,0)</f>
        <v>.</v>
      </c>
      <c r="K967" s="113" t="str">
        <f>IF(I967=".",I967,VLOOKUP($I967,'Price List, Weapons &amp; Items'!B:D,3,0))</f>
        <v>.</v>
      </c>
      <c r="L967" s="177">
        <f>VLOOKUP(I967,'Price List, Weapons &amp; Items'!B:E,4,0)</f>
        <v>0</v>
      </c>
      <c r="M967" s="542" t="s">
        <v>260</v>
      </c>
      <c r="N967" s="542" t="s">
        <v>260</v>
      </c>
      <c r="O967" s="543" t="str">
        <f>VLOOKUP($I967,'Price List, Weapons &amp; Items'!B:G,6,0)</f>
        <v>.</v>
      </c>
      <c r="P967" s="176" t="str">
        <f t="shared" si="188"/>
        <v>.</v>
      </c>
      <c r="Q967" s="176" t="str">
        <f t="shared" si="189"/>
        <v>.</v>
      </c>
      <c r="R967" s="176">
        <f t="shared" si="186"/>
        <v>20000000</v>
      </c>
      <c r="S967" s="176">
        <f>IF(AND(AD967=1,R967&lt;&gt;".")=TRUE,R967/VLOOKUP(G967,'Exchange Rates'!B:C,2,0),IF(R967=".",".",""))</f>
        <v>20333468.889792599</v>
      </c>
      <c r="T967" s="176" t="str">
        <f>IF(AD967=1,IF(AF967="Value is not given at all",".",IF(AF967="Value is given by the source",S967,IF(AF967="Value is calculated with prices",(IF(SUMIFS(Q:Q,A:A,A967)&gt;0,SUMIFS(Q:Q,A:A,A967),"."))/VLOOKUP("USD",'Exchange Rates'!B:C,2,0),"Error with coding"))),"")</f>
        <v>.</v>
      </c>
      <c r="U967" s="15" t="s">
        <v>261</v>
      </c>
      <c r="V967" s="1023" t="s">
        <v>2810</v>
      </c>
      <c r="W967" s="667" t="s">
        <v>2814</v>
      </c>
      <c r="X967" s="975"/>
      <c r="Y967" s="668" t="s">
        <v>260</v>
      </c>
      <c r="Z967" s="15">
        <v>0</v>
      </c>
      <c r="AA967" s="180">
        <v>1</v>
      </c>
      <c r="AB967" s="669" t="s">
        <v>260</v>
      </c>
      <c r="AC967" s="544"/>
      <c r="AD967" s="181">
        <v>1</v>
      </c>
      <c r="AE967" s="181" t="s">
        <v>264</v>
      </c>
      <c r="AF967" s="181" t="s">
        <v>265</v>
      </c>
      <c r="AG967" s="181">
        <v>1</v>
      </c>
      <c r="AH967" s="181">
        <v>12</v>
      </c>
      <c r="AI967" s="181">
        <v>0</v>
      </c>
      <c r="AJ967" s="181">
        <f>VLOOKUP($I967,'Price List, Weapons &amp; Items'!B:F,5,0)</f>
        <v>0</v>
      </c>
      <c r="AK967" s="181">
        <f t="shared" si="190"/>
        <v>0</v>
      </c>
      <c r="AL967" s="181">
        <f t="shared" si="191"/>
        <v>0</v>
      </c>
      <c r="AM967" s="181">
        <f t="shared" si="192"/>
        <v>0</v>
      </c>
      <c r="AN967" s="180" t="str">
        <f>VLOOKUP($I967,'Price List, Weapons &amp; Items'!B:L,COLUMN('Price List, Weapons &amp; Items'!$J$11)-1,0)</f>
        <v>.</v>
      </c>
      <c r="AO967" s="180" t="str">
        <f>IF(I967=".",".",VLOOKUP($I967,'Price List, Weapons &amp; Items'!B:J,3,0))</f>
        <v>.</v>
      </c>
      <c r="AP967" s="545" t="e">
        <f t="shared" ca="1" si="187"/>
        <v>#NAME?</v>
      </c>
      <c r="AQ967" s="180" t="str">
        <f>VLOOKUP($I967,'Price List, Weapons &amp; Items'!B:L,COLUMN('Price List, Weapons &amp; Items'!$L$11)-1,0)</f>
        <v>no price, 0 count</v>
      </c>
      <c r="AR967" s="180">
        <f t="shared" si="193"/>
        <v>1</v>
      </c>
      <c r="AS967" s="180">
        <f t="shared" si="194"/>
        <v>0</v>
      </c>
      <c r="AT967" s="180" t="str">
        <f t="shared" si="195"/>
        <v>Value is not in date format</v>
      </c>
      <c r="AU967" s="180" t="str">
        <f t="shared" si="196"/>
        <v>.</v>
      </c>
      <c r="AV967" s="180" t="str">
        <f t="shared" si="197"/>
        <v>.</v>
      </c>
      <c r="AW967" s="180">
        <f>IFERROR(VLOOKUP(B967,'Share, Heavy Weapons to Ukraine'!B:J,COLUMN('Share, Heavy Weapons to Ukraine'!C980)-1,0),0)</f>
        <v>0</v>
      </c>
      <c r="AX967" s="180">
        <f>VLOOKUP('Bilateral Assistance, MAIN DATA'!B967,'Country Summary'!B:F,COLUMN('Country Summary'!C983)-1,FALSE)</f>
        <v>0</v>
      </c>
      <c r="AY967" s="180" t="str">
        <f>IF(AND(AD967=1,D967="Military",H967&lt;&gt;"Not given")=TRUE,IF(SUMIFS(P:P,A:A,A967)&gt;0,ABS((SUMIFS(P:P,A:A,A967)/VLOOKUP("USD",'Exchange Rates'!B:C,2,0)))/S967,"."),".")</f>
        <v>.</v>
      </c>
      <c r="AZ967" s="182" t="str">
        <f>IF(AND(AD967=1,D967="Military",H967&lt;&gt;"Not given")=TRUE,IF(SUMIFS(P:P,A:A,A967)&gt;0,IF((ABS((SUMIFS(P:P,A:A,A967)/VLOOKUP("USD",'Exchange Rates'!B:C,2,0)))/S967)&gt;1,(SUMIFS(P:P,A:A,A967)-S967)/S967,(S967-SUMIFS(P:P,A:A,A967))/SUMIFS(P:P,A:A,A967)),"."),".")</f>
        <v>.</v>
      </c>
      <c r="BA967" s="182"/>
      <c r="BB967" s="182"/>
      <c r="BC967" s="182"/>
      <c r="BD967" s="182"/>
      <c r="BE967" s="182"/>
      <c r="BF967" s="182"/>
      <c r="BG967" s="182"/>
      <c r="BH967" s="182"/>
      <c r="BI967" s="182"/>
      <c r="BJ967" s="182"/>
      <c r="BK967" s="182"/>
      <c r="BL967" s="182"/>
      <c r="BM967" s="182"/>
      <c r="BN967" s="182"/>
      <c r="BO967" s="182"/>
      <c r="BP967" s="182"/>
      <c r="BQ967" s="182"/>
      <c r="BR967" s="182"/>
      <c r="BS967" s="182"/>
    </row>
    <row r="968" spans="1:71" ht="15.9" customHeight="1" x14ac:dyDescent="0.3">
      <c r="A968" s="17" t="s">
        <v>2819</v>
      </c>
      <c r="B968" s="17" t="s">
        <v>2820</v>
      </c>
      <c r="C968" s="174">
        <v>44595</v>
      </c>
      <c r="D968" s="5" t="s">
        <v>285</v>
      </c>
      <c r="E968" s="5" t="s">
        <v>339</v>
      </c>
      <c r="F968" s="175" t="s">
        <v>2821</v>
      </c>
      <c r="G968" s="15" t="s">
        <v>346</v>
      </c>
      <c r="H968" s="176" t="s">
        <v>341</v>
      </c>
      <c r="I968" s="17" t="s">
        <v>2822</v>
      </c>
      <c r="J968" s="113" t="str">
        <f>VLOOKUP($I968,'Price List, Weapons &amp; Items'!B:C,2,0)</f>
        <v>Aviation and drones</v>
      </c>
      <c r="K968" s="113" t="str">
        <f>IF(I968=".",I968,VLOOKUP($I968,'Price List, Weapons &amp; Items'!B:D,3,0))</f>
        <v>drone</v>
      </c>
      <c r="L968" s="177">
        <f>VLOOKUP(I968,'Price List, Weapons &amp; Items'!B:E,4,0)</f>
        <v>0</v>
      </c>
      <c r="M968" s="542">
        <v>5</v>
      </c>
      <c r="N968" s="542" t="s">
        <v>270</v>
      </c>
      <c r="O968" s="543">
        <f>VLOOKUP($I968,'Price List, Weapons &amp; Items'!B:G,6,0)</f>
        <v>9530000</v>
      </c>
      <c r="P968" s="176">
        <f t="shared" si="188"/>
        <v>47650000</v>
      </c>
      <c r="Q968" s="176" t="str">
        <f t="shared" si="189"/>
        <v>.</v>
      </c>
      <c r="R968" s="176">
        <f t="shared" si="186"/>
        <v>47650000</v>
      </c>
      <c r="S968" s="176">
        <f>IF(AND(AD968=1,R968&lt;&gt;".")=TRUE,R968/VLOOKUP(G968,'Exchange Rates'!B:C,2,0),IF(R968=".",".",""))</f>
        <v>45380952.380952381</v>
      </c>
      <c r="T968" s="176" t="str">
        <f>IF(AD968=1,IF(AF968="Value is not given at all",".",IF(AF968="Value is given by the source",S968,IF(AF968="Value is calculated with prices",(IF(SUMIFS(Q:Q,A:A,A968)&gt;0,SUMIFS(Q:Q,A:A,A968),"."))/VLOOKUP("USD",'Exchange Rates'!B:C,2,0),"Error with coding"))),"")</f>
        <v>.</v>
      </c>
      <c r="U968" s="15" t="s">
        <v>415</v>
      </c>
      <c r="V968" s="300" t="s">
        <v>2823</v>
      </c>
      <c r="W968" s="175" t="s">
        <v>260</v>
      </c>
      <c r="X968" s="175" t="s">
        <v>260</v>
      </c>
      <c r="Y968" s="175" t="s">
        <v>260</v>
      </c>
      <c r="Z968" s="15">
        <v>0</v>
      </c>
      <c r="AA968" s="180">
        <v>0</v>
      </c>
      <c r="AB968" s="549" t="s">
        <v>2824</v>
      </c>
      <c r="AC968" s="544" t="str">
        <f>""</f>
        <v/>
      </c>
      <c r="AD968" s="181">
        <v>1</v>
      </c>
      <c r="AE968" s="181" t="s">
        <v>332</v>
      </c>
      <c r="AF968" s="181" t="s">
        <v>265</v>
      </c>
      <c r="AG968" s="181">
        <v>1</v>
      </c>
      <c r="AH968" s="181">
        <v>2</v>
      </c>
      <c r="AI968" s="181">
        <v>1</v>
      </c>
      <c r="AJ968" s="181">
        <f>VLOOKUP($I968,'Price List, Weapons &amp; Items'!B:F,5,0)</f>
        <v>0</v>
      </c>
      <c r="AK968" s="181">
        <f t="shared" si="190"/>
        <v>0</v>
      </c>
      <c r="AL968" s="181">
        <f t="shared" si="191"/>
        <v>0</v>
      </c>
      <c r="AM968" s="181">
        <f t="shared" si="192"/>
        <v>0</v>
      </c>
      <c r="AN968" s="180" t="str">
        <f>VLOOKUP($I968,'Price List, Weapons &amp; Items'!B:L,COLUMN('Price List, Weapons &amp; Items'!$J$11)-1,0)</f>
        <v>Contracts</v>
      </c>
      <c r="AO968" s="180" t="str">
        <f>IF(I968=".",".",VLOOKUP($I968,'Price List, Weapons &amp; Items'!B:J,3,0))</f>
        <v>drone</v>
      </c>
      <c r="AP968" s="545" t="e">
        <f t="shared" ca="1" si="187"/>
        <v>#NAME?</v>
      </c>
      <c r="AQ968" s="180">
        <f>VLOOKUP($I968,'Price List, Weapons &amp; Items'!B:L,COLUMN('Price List, Weapons &amp; Items'!$L$11)-1,0)</f>
        <v>2</v>
      </c>
      <c r="AR968" s="180">
        <f t="shared" si="193"/>
        <v>0</v>
      </c>
      <c r="AS968" s="180">
        <f t="shared" si="194"/>
        <v>1</v>
      </c>
      <c r="AT968" s="180">
        <f t="shared" si="195"/>
        <v>1</v>
      </c>
      <c r="AU968" s="180" t="str">
        <f>IF(AND(A968=A964,C968=C964)=TRUE,IF(F968=F964,".","1"),".")</f>
        <v>.</v>
      </c>
      <c r="AV968" s="180" t="str">
        <f t="shared" si="197"/>
        <v>.</v>
      </c>
      <c r="AW968" s="180">
        <f>IFERROR(VLOOKUP(B968,'Share, Heavy Weapons to Ukraine'!B:J,COLUMN('Share, Heavy Weapons to Ukraine'!C981)-1,0),0)</f>
        <v>1</v>
      </c>
      <c r="AX968" s="180">
        <f>VLOOKUP('Bilateral Assistance, MAIN DATA'!B968,'Country Summary'!B:F,COLUMN('Country Summary'!C984)-1,FALSE)</f>
        <v>0</v>
      </c>
      <c r="AY968" s="180" t="str">
        <f>IF(AND(AD968=1,D968="Military",H968&lt;&gt;"Not given")=TRUE,IF(SUMIFS(P:P,A:A,A968)&gt;0,ABS((SUMIFS(P:P,A:A,A968)/VLOOKUP("USD",'Exchange Rates'!B:C,2,0)))/S968,"."),".")</f>
        <v>.</v>
      </c>
      <c r="AZ968" s="182" t="str">
        <f>IF(AND(AD968=1,D968="Military",H968&lt;&gt;"Not given")=TRUE,IF(SUMIFS(P:P,A:A,A968)&gt;0,IF((ABS((SUMIFS(P:P,A:A,A968)/VLOOKUP("USD",'Exchange Rates'!B:C,2,0)))/S968)&gt;1,(SUMIFS(P:P,A:A,A968)-S968)/S968,(S968-SUMIFS(P:P,A:A,A968))/SUMIFS(P:P,A:A,A968)),"."),".")</f>
        <v>.</v>
      </c>
      <c r="BA968" s="182"/>
      <c r="BB968" s="182"/>
      <c r="BC968" s="182"/>
      <c r="BD968" s="182"/>
      <c r="BE968" s="182"/>
      <c r="BF968" s="182"/>
      <c r="BG968" s="182"/>
      <c r="BH968" s="182"/>
      <c r="BI968" s="182"/>
      <c r="BJ968" s="182"/>
      <c r="BK968" s="182"/>
      <c r="BL968" s="182"/>
      <c r="BM968" s="182"/>
      <c r="BN968" s="182"/>
      <c r="BO968" s="182"/>
      <c r="BP968" s="182"/>
      <c r="BQ968" s="182"/>
      <c r="BR968" s="182"/>
      <c r="BS968" s="182"/>
    </row>
    <row r="969" spans="1:71" ht="15.9" customHeight="1" x14ac:dyDescent="0.3">
      <c r="A969" s="17" t="s">
        <v>2825</v>
      </c>
      <c r="B969" s="17" t="s">
        <v>2820</v>
      </c>
      <c r="C969" s="174">
        <v>44795</v>
      </c>
      <c r="D969" s="5" t="s">
        <v>285</v>
      </c>
      <c r="E969" s="19" t="s">
        <v>286</v>
      </c>
      <c r="F969" s="19" t="s">
        <v>2826</v>
      </c>
      <c r="G969" s="15" t="s">
        <v>346</v>
      </c>
      <c r="H969" s="176" t="s">
        <v>341</v>
      </c>
      <c r="I969" s="19" t="s">
        <v>2827</v>
      </c>
      <c r="J969" s="113" t="str">
        <f>VLOOKUP($I969,'Price List, Weapons &amp; Items'!B:C,2,0)</f>
        <v>Heavy weapon</v>
      </c>
      <c r="K969" s="113" t="str">
        <f>IF(I969=".",I969,VLOOKUP($I969,'Price List, Weapons &amp; Items'!B:D,3,0))</f>
        <v>Armoured Utility Vehicle (AUV)</v>
      </c>
      <c r="L969" s="177">
        <f>VLOOKUP(I969,'Price List, Weapons &amp; Items'!B:E,4,0)</f>
        <v>0</v>
      </c>
      <c r="M969" s="542">
        <v>50</v>
      </c>
      <c r="N969" s="542">
        <v>50</v>
      </c>
      <c r="O969" s="543">
        <f>VLOOKUP($I969,'Price List, Weapons &amp; Items'!B:G,6,0)</f>
        <v>335470</v>
      </c>
      <c r="P969" s="176">
        <f t="shared" si="188"/>
        <v>16773500</v>
      </c>
      <c r="Q969" s="176">
        <f t="shared" si="189"/>
        <v>16773500</v>
      </c>
      <c r="R969" s="176">
        <f t="shared" si="186"/>
        <v>16773500</v>
      </c>
      <c r="S969" s="176">
        <f>IF(AND(AD969=1,R969&lt;&gt;".")=TRUE,R969/VLOOKUP(G969,'Exchange Rates'!B:C,2,0),IF(R969=".",".",""))</f>
        <v>15974761.904761905</v>
      </c>
      <c r="T969" s="176">
        <f>IF(AD969=1,IF(AF969="Value is not given at all",".",IF(AF969="Value is given by the source",S969,IF(AF969="Value is calculated with prices",(IF(SUMIFS(Q:Q,A:A,A969)&gt;0,SUMIFS(Q:Q,A:A,A969),"."))/VLOOKUP("USD",'Exchange Rates'!B:C,2,0),"Error with coding"))),"")</f>
        <v>15974761.904761905</v>
      </c>
      <c r="U969" s="15" t="s">
        <v>415</v>
      </c>
      <c r="V969" s="304" t="s">
        <v>2828</v>
      </c>
      <c r="W969" s="175" t="s">
        <v>260</v>
      </c>
      <c r="X969" s="175" t="s">
        <v>260</v>
      </c>
      <c r="Y969" s="175" t="s">
        <v>260</v>
      </c>
      <c r="Z969" s="15">
        <v>0</v>
      </c>
      <c r="AA969" s="180">
        <v>0</v>
      </c>
      <c r="AB969" s="304" t="s">
        <v>2828</v>
      </c>
      <c r="AC969" s="544" t="str">
        <f>""</f>
        <v/>
      </c>
      <c r="AD969" s="181">
        <v>1</v>
      </c>
      <c r="AE969" s="181" t="s">
        <v>332</v>
      </c>
      <c r="AF969" s="181" t="s">
        <v>332</v>
      </c>
      <c r="AG969" s="181">
        <v>1</v>
      </c>
      <c r="AH969" s="181">
        <v>8</v>
      </c>
      <c r="AI969" s="181">
        <v>0</v>
      </c>
      <c r="AJ969" s="181">
        <f>VLOOKUP($I969,'Price List, Weapons &amp; Items'!B:F,5,0)</f>
        <v>1</v>
      </c>
      <c r="AK969" s="181">
        <f t="shared" si="190"/>
        <v>0</v>
      </c>
      <c r="AL969" s="181">
        <f t="shared" si="191"/>
        <v>0</v>
      </c>
      <c r="AM969" s="181">
        <f t="shared" si="192"/>
        <v>0</v>
      </c>
      <c r="AN969" s="180" t="str">
        <f>VLOOKUP($I969,'Price List, Weapons &amp; Items'!B:L,COLUMN('Price List, Weapons &amp; Items'!$J$11)-1,0)</f>
        <v>Contract</v>
      </c>
      <c r="AO969" s="180" t="str">
        <f>IF(I969=".",".",VLOOKUP($I969,'Price List, Weapons &amp; Items'!B:J,3,0))</f>
        <v>Armoured Utility Vehicle (AUV)</v>
      </c>
      <c r="AP969" s="545" t="e">
        <f t="shared" ca="1" si="187"/>
        <v>#NAME?</v>
      </c>
      <c r="AQ969" s="180">
        <f>VLOOKUP($I969,'Price List, Weapons &amp; Items'!B:L,COLUMN('Price List, Weapons &amp; Items'!$L$11)-1,0)</f>
        <v>2</v>
      </c>
      <c r="AR969" s="180">
        <f t="shared" si="193"/>
        <v>0</v>
      </c>
      <c r="AS969" s="180">
        <f t="shared" si="194"/>
        <v>1</v>
      </c>
      <c r="AT969" s="180">
        <f t="shared" si="195"/>
        <v>1</v>
      </c>
      <c r="AU969" s="180" t="str">
        <f t="shared" si="196"/>
        <v>.</v>
      </c>
      <c r="AV969" s="180" t="str">
        <f t="shared" si="197"/>
        <v>.</v>
      </c>
      <c r="AW969" s="180">
        <f>IFERROR(VLOOKUP(B969,'Share, Heavy Weapons to Ukraine'!B:J,COLUMN('Share, Heavy Weapons to Ukraine'!C979)-1,0),0)</f>
        <v>1</v>
      </c>
      <c r="AX969" s="180">
        <f>VLOOKUP('Bilateral Assistance, MAIN DATA'!B969,'Country Summary'!B:F,COLUMN('Country Summary'!C985)-1,FALSE)</f>
        <v>0</v>
      </c>
      <c r="AY969" s="180" t="str">
        <f>IF(AND(AD969=1,D969="Military",H969&lt;&gt;"Not given")=TRUE,IF(SUMIFS(P:P,A:A,A969)&gt;0,ABS((SUMIFS(P:P,A:A,A969)/VLOOKUP("USD",'Exchange Rates'!B:C,2,0)))/S969,"."),".")</f>
        <v>.</v>
      </c>
      <c r="AZ969" s="182" t="str">
        <f>IF(AND(AD969=1,D969="Military",H969&lt;&gt;"Not given")=TRUE,IF(SUMIFS(P:P,A:A,A969)&gt;0,IF((ABS((SUMIFS(P:P,A:A,A969)/VLOOKUP("USD",'Exchange Rates'!B:C,2,0)))/S969)&gt;1,(SUMIFS(P:P,A:A,A969)-S969)/S969,(S969-SUMIFS(P:P,A:A,A969))/SUMIFS(P:P,A:A,A969)),"."),".")</f>
        <v>.</v>
      </c>
      <c r="BA969" s="182"/>
      <c r="BB969" s="182"/>
      <c r="BC969" s="182"/>
      <c r="BD969" s="182"/>
      <c r="BE969" s="182"/>
      <c r="BF969" s="182"/>
      <c r="BG969" s="182"/>
      <c r="BH969" s="182"/>
      <c r="BI969" s="182"/>
      <c r="BJ969" s="182"/>
      <c r="BK969" s="182"/>
      <c r="BL969" s="182"/>
      <c r="BM969" s="182"/>
      <c r="BN969" s="182"/>
      <c r="BO969" s="182"/>
      <c r="BP969" s="182"/>
      <c r="BQ969" s="182"/>
      <c r="BR969" s="182"/>
      <c r="BS969" s="182"/>
    </row>
    <row r="970" spans="1:71" ht="15.9" customHeight="1" x14ac:dyDescent="0.3">
      <c r="A970" s="5" t="s">
        <v>2829</v>
      </c>
      <c r="B970" s="5" t="s">
        <v>2820</v>
      </c>
      <c r="C970" s="174">
        <v>44618</v>
      </c>
      <c r="D970" s="5" t="s">
        <v>256</v>
      </c>
      <c r="E970" s="5" t="s">
        <v>267</v>
      </c>
      <c r="F970" s="175" t="s">
        <v>2830</v>
      </c>
      <c r="G970" s="15" t="s">
        <v>346</v>
      </c>
      <c r="H970" s="176" t="s">
        <v>341</v>
      </c>
      <c r="I970" s="17" t="s">
        <v>1169</v>
      </c>
      <c r="J970" s="113" t="str">
        <f>VLOOKUP($I970,'Price List, Weapons &amp; Items'!B:C,2,0)</f>
        <v>Humanitarian</v>
      </c>
      <c r="K970" s="113" t="str">
        <f>IF(I970=".",I970,VLOOKUP($I970,'Price List, Weapons &amp; Items'!B:D,3,0))</f>
        <v>Humanitarian</v>
      </c>
      <c r="L970" s="177">
        <f>VLOOKUP(I970,'Price List, Weapons &amp; Items'!B:E,4,0)</f>
        <v>0</v>
      </c>
      <c r="M970" s="542">
        <v>1536</v>
      </c>
      <c r="N970" s="542" t="s">
        <v>270</v>
      </c>
      <c r="O970" s="543">
        <f>VLOOKUP($I970,'Price List, Weapons &amp; Items'!B:G,6,0)</f>
        <v>22</v>
      </c>
      <c r="P970" s="176">
        <f t="shared" si="188"/>
        <v>33792</v>
      </c>
      <c r="Q970" s="176" t="str">
        <f t="shared" si="189"/>
        <v>.</v>
      </c>
      <c r="R970" s="176">
        <f t="shared" si="186"/>
        <v>248032</v>
      </c>
      <c r="S970" s="176">
        <f>IF(AND(AD970=1,R970&lt;&gt;".")=TRUE,R970/VLOOKUP(G970,'Exchange Rates'!B:C,2,0),IF(R970=".",".",""))</f>
        <v>236220.95238095237</v>
      </c>
      <c r="T970" s="176" t="str">
        <f>IF(AD970=1,IF(AF970="Value is not given at all",".",IF(AF970="Value is given by the source",S970,IF(AF970="Value is calculated with prices",(IF(SUMIFS(Q:Q,A:A,A970)&gt;0,SUMIFS(Q:Q,A:A,A970),"."))/VLOOKUP("USD",'Exchange Rates'!B:C,2,0),"Error with coding"))),"")</f>
        <v>.</v>
      </c>
      <c r="U970" s="15" t="s">
        <v>261</v>
      </c>
      <c r="V970" s="547" t="s">
        <v>2831</v>
      </c>
      <c r="W970" s="188" t="s">
        <v>260</v>
      </c>
      <c r="X970" s="188" t="s">
        <v>260</v>
      </c>
      <c r="Y970" s="188" t="s">
        <v>260</v>
      </c>
      <c r="Z970" s="15">
        <v>0</v>
      </c>
      <c r="AA970" s="180">
        <v>0</v>
      </c>
      <c r="AB970" s="184" t="s">
        <v>260</v>
      </c>
      <c r="AC970" s="544" t="str">
        <f>""</f>
        <v/>
      </c>
      <c r="AD970" s="181">
        <v>1</v>
      </c>
      <c r="AE970" s="181" t="s">
        <v>332</v>
      </c>
      <c r="AF970" s="181" t="s">
        <v>265</v>
      </c>
      <c r="AG970" s="181">
        <v>1</v>
      </c>
      <c r="AH970" s="181">
        <v>2</v>
      </c>
      <c r="AI970" s="181">
        <v>0</v>
      </c>
      <c r="AJ970" s="181">
        <f>VLOOKUP($I970,'Price List, Weapons &amp; Items'!B:F,5,0)</f>
        <v>0</v>
      </c>
      <c r="AK970" s="181">
        <f t="shared" si="190"/>
        <v>0</v>
      </c>
      <c r="AL970" s="181">
        <f t="shared" si="191"/>
        <v>0</v>
      </c>
      <c r="AM970" s="181">
        <f t="shared" si="192"/>
        <v>0</v>
      </c>
      <c r="AN970" s="180" t="str">
        <f>VLOOKUP($I970,'Price List, Weapons &amp; Items'!B:L,COLUMN('Price List, Weapons &amp; Items'!$J$11)-1,0)</f>
        <v>Online marketplaces and stores</v>
      </c>
      <c r="AO970" s="180" t="str">
        <f>IF(I970=".",".",VLOOKUP($I970,'Price List, Weapons &amp; Items'!B:J,3,0))</f>
        <v>Humanitarian</v>
      </c>
      <c r="AP970" s="545" t="e">
        <f t="shared" ca="1" si="187"/>
        <v>#NAME?</v>
      </c>
      <c r="AQ970" s="180">
        <f>VLOOKUP($I970,'Price List, Weapons &amp; Items'!B:L,COLUMN('Price List, Weapons &amp; Items'!$L$11)-1,0)</f>
        <v>0</v>
      </c>
      <c r="AR970" s="180">
        <f t="shared" si="193"/>
        <v>1</v>
      </c>
      <c r="AS970" s="180">
        <f t="shared" si="194"/>
        <v>0</v>
      </c>
      <c r="AT970" s="180">
        <f t="shared" si="195"/>
        <v>1</v>
      </c>
      <c r="AU970" s="180" t="str">
        <f t="shared" si="196"/>
        <v>.</v>
      </c>
      <c r="AV970" s="180" t="str">
        <f t="shared" si="197"/>
        <v>.</v>
      </c>
      <c r="AW970" s="180">
        <f>IFERROR(VLOOKUP(B970,'Share, Heavy Weapons to Ukraine'!B:J,COLUMN('Share, Heavy Weapons to Ukraine'!C980)-1,0),0)</f>
        <v>1</v>
      </c>
      <c r="AX970" s="180">
        <f>VLOOKUP('Bilateral Assistance, MAIN DATA'!B970,'Country Summary'!B:F,COLUMN('Country Summary'!C983)-1,FALSE)</f>
        <v>0</v>
      </c>
      <c r="AY970" s="180" t="str">
        <f>IF(AND(AD970=1,D970="Military",H970&lt;&gt;"Not given")=TRUE,IF(SUMIFS(P:P,A:A,A970)&gt;0,ABS((SUMIFS(P:P,A:A,A970)/VLOOKUP("USD",'Exchange Rates'!B:C,2,0)))/S970,"."),".")</f>
        <v>.</v>
      </c>
      <c r="AZ970" s="182" t="str">
        <f>IF(AND(AD970=1,D970="Military",H970&lt;&gt;"Not given")=TRUE,IF(SUMIFS(P:P,A:A,A970)&gt;0,IF((ABS((SUMIFS(P:P,A:A,A970)/VLOOKUP("USD",'Exchange Rates'!B:C,2,0)))/S970)&gt;1,(SUMIFS(P:P,A:A,A970)-S970)/S970,(S970-SUMIFS(P:P,A:A,A970))/SUMIFS(P:P,A:A,A970)),"."),".")</f>
        <v>.</v>
      </c>
      <c r="BA970" s="182"/>
      <c r="BB970" s="182"/>
      <c r="BC970" s="182"/>
      <c r="BD970" s="182"/>
      <c r="BE970" s="182"/>
      <c r="BF970" s="182"/>
      <c r="BG970" s="182"/>
      <c r="BH970" s="182"/>
      <c r="BI970" s="182"/>
      <c r="BJ970" s="182"/>
      <c r="BK970" s="182"/>
      <c r="BL970" s="182"/>
      <c r="BM970" s="182"/>
      <c r="BN970" s="182"/>
      <c r="BO970" s="182"/>
      <c r="BP970" s="182"/>
      <c r="BQ970" s="182"/>
      <c r="BR970" s="182"/>
      <c r="BS970" s="182"/>
    </row>
    <row r="971" spans="1:71" ht="15.9" customHeight="1" x14ac:dyDescent="0.3">
      <c r="A971" s="5" t="s">
        <v>2829</v>
      </c>
      <c r="B971" s="5" t="s">
        <v>2820</v>
      </c>
      <c r="C971" s="174">
        <v>44618</v>
      </c>
      <c r="D971" s="5" t="s">
        <v>256</v>
      </c>
      <c r="E971" s="5" t="s">
        <v>267</v>
      </c>
      <c r="F971" s="175" t="s">
        <v>2830</v>
      </c>
      <c r="G971" s="15" t="s">
        <v>346</v>
      </c>
      <c r="H971" s="176" t="s">
        <v>341</v>
      </c>
      <c r="I971" s="17" t="s">
        <v>1133</v>
      </c>
      <c r="J971" s="113" t="str">
        <f>VLOOKUP($I971,'Price List, Weapons &amp; Items'!B:C,2,0)</f>
        <v>Humanitarian</v>
      </c>
      <c r="K971" s="113" t="str">
        <f>IF(I971=".",I971,VLOOKUP($I971,'Price List, Weapons &amp; Items'!B:D,3,0))</f>
        <v>Humanitarian</v>
      </c>
      <c r="L971" s="177">
        <f>VLOOKUP(I971,'Price List, Weapons &amp; Items'!B:E,4,0)</f>
        <v>0</v>
      </c>
      <c r="M971" s="542">
        <v>240</v>
      </c>
      <c r="N971" s="542" t="s">
        <v>270</v>
      </c>
      <c r="O971" s="543">
        <f>VLOOKUP($I971,'Price List, Weapons &amp; Items'!B:G,6,0)</f>
        <v>200</v>
      </c>
      <c r="P971" s="176">
        <f t="shared" si="188"/>
        <v>48000</v>
      </c>
      <c r="Q971" s="176" t="str">
        <f t="shared" si="189"/>
        <v>.</v>
      </c>
      <c r="R971" s="176" t="str">
        <f t="shared" si="186"/>
        <v/>
      </c>
      <c r="S971" s="176" t="str">
        <f>IF(AND(AD971=1,R971&lt;&gt;".")=TRUE,R971/VLOOKUP(G971,'Exchange Rates'!B:C,2,0),IF(R971=".",".",""))</f>
        <v/>
      </c>
      <c r="T971" s="176" t="str">
        <f>IF(AD971=1,IF(AF971="Value is not given at all",".",IF(AF971="Value is given by the source",S971,IF(AF971="Value is calculated with prices",(IF(SUMIFS(Q:Q,A:A,A971)&gt;0,SUMIFS(Q:Q,A:A,A971),"."))/VLOOKUP("USD",'Exchange Rates'!B:C,2,0),"Error with coding"))),"")</f>
        <v/>
      </c>
      <c r="U971" s="15" t="s">
        <v>261</v>
      </c>
      <c r="V971" s="547" t="s">
        <v>2831</v>
      </c>
      <c r="W971" s="188" t="s">
        <v>260</v>
      </c>
      <c r="X971" s="188" t="s">
        <v>260</v>
      </c>
      <c r="Y971" s="188" t="s">
        <v>260</v>
      </c>
      <c r="Z971" s="15">
        <v>0</v>
      </c>
      <c r="AA971" s="180">
        <v>0</v>
      </c>
      <c r="AB971" s="184" t="s">
        <v>260</v>
      </c>
      <c r="AC971" s="544" t="str">
        <f>""</f>
        <v/>
      </c>
      <c r="AD971" s="181">
        <v>0</v>
      </c>
      <c r="AE971" s="181" t="s">
        <v>332</v>
      </c>
      <c r="AF971" s="181" t="s">
        <v>265</v>
      </c>
      <c r="AG971" s="181">
        <v>1</v>
      </c>
      <c r="AH971" s="181">
        <v>2</v>
      </c>
      <c r="AI971" s="181">
        <v>0</v>
      </c>
      <c r="AJ971" s="181">
        <f>VLOOKUP($I971,'Price List, Weapons &amp; Items'!B:F,5,0)</f>
        <v>0</v>
      </c>
      <c r="AK971" s="181">
        <f t="shared" si="190"/>
        <v>0</v>
      </c>
      <c r="AL971" s="181">
        <f t="shared" si="191"/>
        <v>0</v>
      </c>
      <c r="AM971" s="181">
        <f t="shared" si="192"/>
        <v>0</v>
      </c>
      <c r="AN971" s="180" t="str">
        <f>VLOOKUP($I971,'Price List, Weapons &amp; Items'!B:L,COLUMN('Price List, Weapons &amp; Items'!$J$11)-1,0)</f>
        <v>Media reports (incl. social media)</v>
      </c>
      <c r="AO971" s="180" t="str">
        <f>IF(I971=".",".",VLOOKUP($I971,'Price List, Weapons &amp; Items'!B:J,3,0))</f>
        <v>Humanitarian</v>
      </c>
      <c r="AP971" s="545" t="str">
        <f t="shared" ca="1" si="187"/>
        <v/>
      </c>
      <c r="AQ971" s="180">
        <f>VLOOKUP($I971,'Price List, Weapons &amp; Items'!B:L,COLUMN('Price List, Weapons &amp; Items'!$L$11)-1,0)</f>
        <v>0</v>
      </c>
      <c r="AR971" s="180">
        <f t="shared" si="193"/>
        <v>1</v>
      </c>
      <c r="AS971" s="180">
        <f t="shared" si="194"/>
        <v>0</v>
      </c>
      <c r="AT971" s="180">
        <f t="shared" si="195"/>
        <v>1</v>
      </c>
      <c r="AU971" s="180" t="str">
        <f t="shared" si="196"/>
        <v>.</v>
      </c>
      <c r="AV971" s="180" t="str">
        <f t="shared" si="197"/>
        <v>.</v>
      </c>
      <c r="AW971" s="180">
        <f>IFERROR(VLOOKUP(B971,'Share, Heavy Weapons to Ukraine'!B:J,COLUMN('Share, Heavy Weapons to Ukraine'!C981)-1,0),0)</f>
        <v>1</v>
      </c>
      <c r="AX971" s="180">
        <f>VLOOKUP('Bilateral Assistance, MAIN DATA'!B971,'Country Summary'!B:F,COLUMN('Country Summary'!C984)-1,FALSE)</f>
        <v>0</v>
      </c>
      <c r="AY971" s="180" t="str">
        <f>IF(AND(AD971=1,D971="Military",H971&lt;&gt;"Not given")=TRUE,IF(SUMIFS(P:P,A:A,A971)&gt;0,ABS((SUMIFS(P:P,A:A,A971)/VLOOKUP("USD",'Exchange Rates'!B:C,2,0)))/S971,"."),".")</f>
        <v>.</v>
      </c>
      <c r="AZ971" s="182" t="str">
        <f>IF(AND(AD971=1,D971="Military",H971&lt;&gt;"Not given")=TRUE,IF(SUMIFS(P:P,A:A,A971)&gt;0,IF((ABS((SUMIFS(P:P,A:A,A971)/VLOOKUP("USD",'Exchange Rates'!B:C,2,0)))/S971)&gt;1,(SUMIFS(P:P,A:A,A971)-S971)/S971,(S971-SUMIFS(P:P,A:A,A971))/SUMIFS(P:P,A:A,A971)),"."),".")</f>
        <v>.</v>
      </c>
      <c r="BA971" s="182"/>
      <c r="BB971" s="182"/>
      <c r="BC971" s="182"/>
      <c r="BD971" s="182"/>
      <c r="BE971" s="182"/>
      <c r="BF971" s="182"/>
      <c r="BG971" s="182"/>
      <c r="BH971" s="182"/>
      <c r="BI971" s="182"/>
      <c r="BJ971" s="182"/>
      <c r="BK971" s="182"/>
      <c r="BL971" s="182"/>
      <c r="BM971" s="182"/>
      <c r="BN971" s="182"/>
      <c r="BO971" s="182"/>
      <c r="BP971" s="182"/>
      <c r="BQ971" s="182"/>
      <c r="BR971" s="182"/>
      <c r="BS971" s="182"/>
    </row>
    <row r="972" spans="1:71" ht="15.9" customHeight="1" x14ac:dyDescent="0.3">
      <c r="A972" s="5" t="s">
        <v>2829</v>
      </c>
      <c r="B972" s="5" t="s">
        <v>2820</v>
      </c>
      <c r="C972" s="174">
        <v>44618</v>
      </c>
      <c r="D972" s="5" t="s">
        <v>256</v>
      </c>
      <c r="E972" s="5" t="s">
        <v>267</v>
      </c>
      <c r="F972" s="175" t="s">
        <v>2830</v>
      </c>
      <c r="G972" s="15" t="s">
        <v>346</v>
      </c>
      <c r="H972" s="176" t="s">
        <v>341</v>
      </c>
      <c r="I972" s="17" t="s">
        <v>1137</v>
      </c>
      <c r="J972" s="113" t="str">
        <f>VLOOKUP($I972,'Price List, Weapons &amp; Items'!B:C,2,0)</f>
        <v>Humanitarian</v>
      </c>
      <c r="K972" s="113" t="str">
        <f>IF(I972=".",I972,VLOOKUP($I972,'Price List, Weapons &amp; Items'!B:D,3,0))</f>
        <v>Humanitarian</v>
      </c>
      <c r="L972" s="177">
        <f>VLOOKUP(I972,'Price List, Weapons &amp; Items'!B:E,4,0)</f>
        <v>0</v>
      </c>
      <c r="M972" s="542">
        <v>1680</v>
      </c>
      <c r="N972" s="542" t="s">
        <v>270</v>
      </c>
      <c r="O972" s="543">
        <f>VLOOKUP($I972,'Price List, Weapons &amp; Items'!B:G,6,0)</f>
        <v>43</v>
      </c>
      <c r="P972" s="176">
        <f t="shared" si="188"/>
        <v>72240</v>
      </c>
      <c r="Q972" s="176" t="str">
        <f t="shared" si="189"/>
        <v>.</v>
      </c>
      <c r="R972" s="176" t="str">
        <f t="shared" si="186"/>
        <v/>
      </c>
      <c r="S972" s="176" t="str">
        <f>IF(AND(AD972=1,R972&lt;&gt;".")=TRUE,R972/VLOOKUP(G972,'Exchange Rates'!B:C,2,0),IF(R972=".",".",""))</f>
        <v/>
      </c>
      <c r="T972" s="176" t="str">
        <f>IF(AD972=1,IF(AF972="Value is not given at all",".",IF(AF972="Value is given by the source",S972,IF(AF972="Value is calculated with prices",(IF(SUMIFS(Q:Q,A:A,A972)&gt;0,SUMIFS(Q:Q,A:A,A972),"."))/VLOOKUP("USD",'Exchange Rates'!B:C,2,0),"Error with coding"))),"")</f>
        <v/>
      </c>
      <c r="U972" s="15" t="s">
        <v>261</v>
      </c>
      <c r="V972" s="547" t="s">
        <v>2831</v>
      </c>
      <c r="W972" s="188" t="s">
        <v>260</v>
      </c>
      <c r="X972" s="188" t="s">
        <v>260</v>
      </c>
      <c r="Y972" s="188" t="s">
        <v>260</v>
      </c>
      <c r="Z972" s="15">
        <v>0</v>
      </c>
      <c r="AA972" s="180">
        <v>0</v>
      </c>
      <c r="AB972" s="184" t="s">
        <v>260</v>
      </c>
      <c r="AC972" s="544" t="str">
        <f>""</f>
        <v/>
      </c>
      <c r="AD972" s="181">
        <v>0</v>
      </c>
      <c r="AE972" s="181" t="s">
        <v>332</v>
      </c>
      <c r="AF972" s="181" t="s">
        <v>265</v>
      </c>
      <c r="AG972" s="181">
        <v>1</v>
      </c>
      <c r="AH972" s="181">
        <v>2</v>
      </c>
      <c r="AI972" s="181">
        <v>0</v>
      </c>
      <c r="AJ972" s="181">
        <f>VLOOKUP($I972,'Price List, Weapons &amp; Items'!B:F,5,0)</f>
        <v>0</v>
      </c>
      <c r="AK972" s="181">
        <f t="shared" si="190"/>
        <v>0</v>
      </c>
      <c r="AL972" s="181">
        <f t="shared" si="191"/>
        <v>0</v>
      </c>
      <c r="AM972" s="181">
        <f t="shared" si="192"/>
        <v>0</v>
      </c>
      <c r="AN972" s="180" t="str">
        <f>VLOOKUP($I972,'Price List, Weapons &amp; Items'!B:L,COLUMN('Price List, Weapons &amp; Items'!$J$11)-1,0)</f>
        <v>Media reports (incl. social media)</v>
      </c>
      <c r="AO972" s="180" t="str">
        <f>IF(I972=".",".",VLOOKUP($I972,'Price List, Weapons &amp; Items'!B:J,3,0))</f>
        <v>Humanitarian</v>
      </c>
      <c r="AP972" s="545" t="str">
        <f t="shared" ca="1" si="187"/>
        <v/>
      </c>
      <c r="AQ972" s="180">
        <f>VLOOKUP($I972,'Price List, Weapons &amp; Items'!B:L,COLUMN('Price List, Weapons &amp; Items'!$L$11)-1,0)</f>
        <v>0</v>
      </c>
      <c r="AR972" s="180">
        <f t="shared" si="193"/>
        <v>1</v>
      </c>
      <c r="AS972" s="180">
        <f t="shared" si="194"/>
        <v>0</v>
      </c>
      <c r="AT972" s="180">
        <f t="shared" si="195"/>
        <v>1</v>
      </c>
      <c r="AU972" s="180" t="str">
        <f t="shared" si="196"/>
        <v>.</v>
      </c>
      <c r="AV972" s="180" t="str">
        <f t="shared" si="197"/>
        <v>.</v>
      </c>
      <c r="AW972" s="180">
        <f>IFERROR(VLOOKUP(B972,'Share, Heavy Weapons to Ukraine'!B:J,COLUMN('Share, Heavy Weapons to Ukraine'!C982)-1,0),0)</f>
        <v>1</v>
      </c>
      <c r="AX972" s="180">
        <f>VLOOKUP('Bilateral Assistance, MAIN DATA'!B972,'Country Summary'!B:F,COLUMN('Country Summary'!C985)-1,FALSE)</f>
        <v>0</v>
      </c>
      <c r="AY972" s="180" t="str">
        <f>IF(AND(AD972=1,D972="Military",H972&lt;&gt;"Not given")=TRUE,IF(SUMIFS(P:P,A:A,A972)&gt;0,ABS((SUMIFS(P:P,A:A,A972)/VLOOKUP("USD",'Exchange Rates'!B:C,2,0)))/S972,"."),".")</f>
        <v>.</v>
      </c>
      <c r="AZ972" s="182" t="str">
        <f>IF(AND(AD972=1,D972="Military",H972&lt;&gt;"Not given")=TRUE,IF(SUMIFS(P:P,A:A,A972)&gt;0,IF((ABS((SUMIFS(P:P,A:A,A972)/VLOOKUP("USD",'Exchange Rates'!B:C,2,0)))/S972)&gt;1,(SUMIFS(P:P,A:A,A972)-S972)/S972,(S972-SUMIFS(P:P,A:A,A972))/SUMIFS(P:P,A:A,A972)),"."),".")</f>
        <v>.</v>
      </c>
      <c r="BA972" s="182"/>
      <c r="BB972" s="182"/>
      <c r="BC972" s="182"/>
      <c r="BD972" s="182"/>
      <c r="BE972" s="182"/>
      <c r="BF972" s="182"/>
      <c r="BG972" s="182"/>
      <c r="BH972" s="182"/>
      <c r="BI972" s="182"/>
      <c r="BJ972" s="182"/>
      <c r="BK972" s="182"/>
      <c r="BL972" s="182"/>
      <c r="BM972" s="182"/>
      <c r="BN972" s="182"/>
      <c r="BO972" s="182"/>
      <c r="BP972" s="182"/>
      <c r="BQ972" s="182"/>
      <c r="BR972" s="182"/>
      <c r="BS972" s="182"/>
    </row>
    <row r="973" spans="1:71" ht="15.9" customHeight="1" x14ac:dyDescent="0.3">
      <c r="A973" s="5" t="s">
        <v>2829</v>
      </c>
      <c r="B973" s="5" t="s">
        <v>2820</v>
      </c>
      <c r="C973" s="174">
        <v>44618</v>
      </c>
      <c r="D973" s="5" t="s">
        <v>256</v>
      </c>
      <c r="E973" s="5" t="s">
        <v>267</v>
      </c>
      <c r="F973" s="175" t="s">
        <v>2830</v>
      </c>
      <c r="G973" s="15" t="s">
        <v>346</v>
      </c>
      <c r="H973" s="176" t="s">
        <v>341</v>
      </c>
      <c r="I973" s="17" t="s">
        <v>1738</v>
      </c>
      <c r="J973" s="113" t="str">
        <f>VLOOKUP($I973,'Price List, Weapons &amp; Items'!B:C,2,0)</f>
        <v>Humanitarian</v>
      </c>
      <c r="K973" s="113" t="str">
        <f>IF(I973=".",I973,VLOOKUP($I973,'Price List, Weapons &amp; Items'!B:D,3,0))</f>
        <v>Humanitarian</v>
      </c>
      <c r="L973" s="177">
        <f>VLOOKUP(I973,'Price List, Weapons &amp; Items'!B:E,4,0)</f>
        <v>0</v>
      </c>
      <c r="M973" s="542">
        <v>200</v>
      </c>
      <c r="N973" s="542" t="s">
        <v>270</v>
      </c>
      <c r="O973" s="543">
        <f>VLOOKUP($I973,'Price List, Weapons &amp; Items'!B:G,6,0)</f>
        <v>200</v>
      </c>
      <c r="P973" s="176">
        <f t="shared" si="188"/>
        <v>40000</v>
      </c>
      <c r="Q973" s="176" t="str">
        <f t="shared" si="189"/>
        <v>.</v>
      </c>
      <c r="R973" s="176" t="str">
        <f t="shared" si="186"/>
        <v/>
      </c>
      <c r="S973" s="176" t="str">
        <f>IF(AND(AD973=1,R973&lt;&gt;".")=TRUE,R973/VLOOKUP(G973,'Exchange Rates'!B:C,2,0),IF(R973=".",".",""))</f>
        <v/>
      </c>
      <c r="T973" s="176" t="str">
        <f>IF(AD973=1,IF(AF973="Value is not given at all",".",IF(AF973="Value is given by the source",S973,IF(AF973="Value is calculated with prices",(IF(SUMIFS(Q:Q,A:A,A973)&gt;0,SUMIFS(Q:Q,A:A,A973),"."))/VLOOKUP("USD",'Exchange Rates'!B:C,2,0),"Error with coding"))),"")</f>
        <v/>
      </c>
      <c r="U973" s="15" t="s">
        <v>261</v>
      </c>
      <c r="V973" s="547" t="s">
        <v>2831</v>
      </c>
      <c r="W973" s="188" t="s">
        <v>260</v>
      </c>
      <c r="X973" s="188" t="s">
        <v>260</v>
      </c>
      <c r="Y973" s="188" t="s">
        <v>260</v>
      </c>
      <c r="Z973" s="15">
        <v>0</v>
      </c>
      <c r="AA973" s="180">
        <v>0</v>
      </c>
      <c r="AB973" s="184" t="s">
        <v>260</v>
      </c>
      <c r="AC973" s="544" t="str">
        <f>""</f>
        <v/>
      </c>
      <c r="AD973" s="181">
        <v>0</v>
      </c>
      <c r="AE973" s="181" t="s">
        <v>332</v>
      </c>
      <c r="AF973" s="181" t="s">
        <v>265</v>
      </c>
      <c r="AG973" s="181">
        <v>1</v>
      </c>
      <c r="AH973" s="181">
        <v>2</v>
      </c>
      <c r="AI973" s="181">
        <v>0</v>
      </c>
      <c r="AJ973" s="181">
        <f>VLOOKUP($I973,'Price List, Weapons &amp; Items'!B:F,5,0)</f>
        <v>0</v>
      </c>
      <c r="AK973" s="181">
        <f t="shared" si="190"/>
        <v>0</v>
      </c>
      <c r="AL973" s="181">
        <f t="shared" si="191"/>
        <v>0</v>
      </c>
      <c r="AM973" s="181">
        <f t="shared" si="192"/>
        <v>0</v>
      </c>
      <c r="AN973" s="180" t="str">
        <f>VLOOKUP($I973,'Price List, Weapons &amp; Items'!B:L,COLUMN('Price List, Weapons &amp; Items'!$J$11)-1,0)</f>
        <v>Online marketplaces and stores</v>
      </c>
      <c r="AO973" s="180" t="str">
        <f>IF(I973=".",".",VLOOKUP($I973,'Price List, Weapons &amp; Items'!B:J,3,0))</f>
        <v>Humanitarian</v>
      </c>
      <c r="AP973" s="545" t="str">
        <f t="shared" ca="1" si="187"/>
        <v/>
      </c>
      <c r="AQ973" s="180">
        <f>VLOOKUP($I973,'Price List, Weapons &amp; Items'!B:L,COLUMN('Price List, Weapons &amp; Items'!$L$11)-1,0)</f>
        <v>0</v>
      </c>
      <c r="AR973" s="180">
        <f t="shared" si="193"/>
        <v>1</v>
      </c>
      <c r="AS973" s="180">
        <f t="shared" si="194"/>
        <v>0</v>
      </c>
      <c r="AT973" s="180">
        <f t="shared" si="195"/>
        <v>1</v>
      </c>
      <c r="AU973" s="180" t="str">
        <f t="shared" si="196"/>
        <v>.</v>
      </c>
      <c r="AV973" s="180" t="str">
        <f t="shared" si="197"/>
        <v>.</v>
      </c>
      <c r="AW973" s="180">
        <f>IFERROR(VLOOKUP(B973,'Share, Heavy Weapons to Ukraine'!B:J,COLUMN('Share, Heavy Weapons to Ukraine'!C983)-1,0),0)</f>
        <v>1</v>
      </c>
      <c r="AX973" s="180">
        <f>VLOOKUP('Bilateral Assistance, MAIN DATA'!B973,'Country Summary'!B:F,COLUMN('Country Summary'!C986)-1,FALSE)</f>
        <v>0</v>
      </c>
      <c r="AY973" s="180" t="str">
        <f>IF(AND(AD973=1,D973="Military",H973&lt;&gt;"Not given")=TRUE,IF(SUMIFS(P:P,A:A,A973)&gt;0,ABS((SUMIFS(P:P,A:A,A973)/VLOOKUP("USD",'Exchange Rates'!B:C,2,0)))/S973,"."),".")</f>
        <v>.</v>
      </c>
      <c r="AZ973" s="182" t="str">
        <f>IF(AND(AD973=1,D973="Military",H973&lt;&gt;"Not given")=TRUE,IF(SUMIFS(P:P,A:A,A973)&gt;0,IF((ABS((SUMIFS(P:P,A:A,A973)/VLOOKUP("USD",'Exchange Rates'!B:C,2,0)))/S973)&gt;1,(SUMIFS(P:P,A:A,A973)-S973)/S973,(S973-SUMIFS(P:P,A:A,A973))/SUMIFS(P:P,A:A,A973)),"."),".")</f>
        <v>.</v>
      </c>
      <c r="BA973" s="182"/>
      <c r="BB973" s="182"/>
      <c r="BC973" s="182"/>
      <c r="BD973" s="182"/>
      <c r="BE973" s="182"/>
      <c r="BF973" s="182"/>
      <c r="BG973" s="182"/>
      <c r="BH973" s="182"/>
      <c r="BI973" s="182"/>
      <c r="BJ973" s="182"/>
      <c r="BK973" s="182"/>
      <c r="BL973" s="182"/>
      <c r="BM973" s="182"/>
      <c r="BN973" s="182"/>
      <c r="BO973" s="182"/>
      <c r="BP973" s="182"/>
      <c r="BQ973" s="182"/>
      <c r="BR973" s="182"/>
      <c r="BS973" s="182"/>
    </row>
    <row r="974" spans="1:71" ht="15.9" customHeight="1" x14ac:dyDescent="0.3">
      <c r="A974" s="5" t="s">
        <v>2829</v>
      </c>
      <c r="B974" s="5" t="s">
        <v>2820</v>
      </c>
      <c r="C974" s="174">
        <v>44618</v>
      </c>
      <c r="D974" s="5" t="s">
        <v>256</v>
      </c>
      <c r="E974" s="5" t="s">
        <v>267</v>
      </c>
      <c r="F974" s="175" t="s">
        <v>2830</v>
      </c>
      <c r="G974" s="15" t="s">
        <v>346</v>
      </c>
      <c r="H974" s="176" t="s">
        <v>341</v>
      </c>
      <c r="I974" s="17" t="s">
        <v>1035</v>
      </c>
      <c r="J974" s="113" t="str">
        <f>VLOOKUP($I974,'Price List, Weapons &amp; Items'!B:C,2,0)</f>
        <v>Humanitarian</v>
      </c>
      <c r="K974" s="113" t="str">
        <f>IF(I974=".",I974,VLOOKUP($I974,'Price List, Weapons &amp; Items'!B:D,3,0))</f>
        <v>Humanitarian</v>
      </c>
      <c r="L974" s="177">
        <f>VLOOKUP(I974,'Price List, Weapons &amp; Items'!B:E,4,0)</f>
        <v>0</v>
      </c>
      <c r="M974" s="542">
        <v>18</v>
      </c>
      <c r="N974" s="542" t="s">
        <v>270</v>
      </c>
      <c r="O974" s="543">
        <f>VLOOKUP($I974,'Price List, Weapons &amp; Items'!B:G,6,0)</f>
        <v>3000</v>
      </c>
      <c r="P974" s="176">
        <f t="shared" si="188"/>
        <v>54000</v>
      </c>
      <c r="Q974" s="176" t="str">
        <f t="shared" si="189"/>
        <v>.</v>
      </c>
      <c r="R974" s="176" t="str">
        <f t="shared" si="186"/>
        <v/>
      </c>
      <c r="S974" s="176" t="str">
        <f>IF(AND(AD974=1,R974&lt;&gt;".")=TRUE,R974/VLOOKUP(G974,'Exchange Rates'!B:C,2,0),IF(R974=".",".",""))</f>
        <v/>
      </c>
      <c r="T974" s="176" t="str">
        <f>IF(AD974=1,IF(AF974="Value is not given at all",".",IF(AF974="Value is given by the source",S974,IF(AF974="Value is calculated with prices",(IF(SUMIFS(Q:Q,A:A,A974)&gt;0,SUMIFS(Q:Q,A:A,A974),"."))/VLOOKUP("USD",'Exchange Rates'!B:C,2,0),"Error with coding"))),"")</f>
        <v/>
      </c>
      <c r="U974" s="15" t="s">
        <v>261</v>
      </c>
      <c r="V974" s="547" t="s">
        <v>2831</v>
      </c>
      <c r="W974" s="188" t="s">
        <v>260</v>
      </c>
      <c r="X974" s="188" t="s">
        <v>260</v>
      </c>
      <c r="Y974" s="188" t="s">
        <v>260</v>
      </c>
      <c r="Z974" s="15">
        <v>0</v>
      </c>
      <c r="AA974" s="180">
        <v>0</v>
      </c>
      <c r="AB974" s="184" t="s">
        <v>260</v>
      </c>
      <c r="AC974" s="544" t="str">
        <f>""</f>
        <v/>
      </c>
      <c r="AD974" s="181">
        <v>0</v>
      </c>
      <c r="AE974" s="181" t="s">
        <v>332</v>
      </c>
      <c r="AF974" s="181" t="s">
        <v>265</v>
      </c>
      <c r="AG974" s="181">
        <v>1</v>
      </c>
      <c r="AH974" s="181">
        <v>2</v>
      </c>
      <c r="AI974" s="181">
        <v>0</v>
      </c>
      <c r="AJ974" s="181">
        <f>VLOOKUP($I974,'Price List, Weapons &amp; Items'!B:F,5,0)</f>
        <v>0</v>
      </c>
      <c r="AK974" s="181">
        <f t="shared" si="190"/>
        <v>0</v>
      </c>
      <c r="AL974" s="181">
        <f t="shared" si="191"/>
        <v>0</v>
      </c>
      <c r="AM974" s="181">
        <f t="shared" si="192"/>
        <v>0</v>
      </c>
      <c r="AN974" s="180" t="str">
        <f>VLOOKUP($I974,'Price List, Weapons &amp; Items'!B:L,COLUMN('Price List, Weapons &amp; Items'!$J$11)-1,0)</f>
        <v>Online marketplaces and stores</v>
      </c>
      <c r="AO974" s="180" t="str">
        <f>IF(I974=".",".",VLOOKUP($I974,'Price List, Weapons &amp; Items'!B:J,3,0))</f>
        <v>Humanitarian</v>
      </c>
      <c r="AP974" s="545" t="str">
        <f t="shared" ca="1" si="187"/>
        <v/>
      </c>
      <c r="AQ974" s="180">
        <f>VLOOKUP($I974,'Price List, Weapons &amp; Items'!B:L,COLUMN('Price List, Weapons &amp; Items'!$L$11)-1,0)</f>
        <v>0</v>
      </c>
      <c r="AR974" s="180">
        <f t="shared" si="193"/>
        <v>1</v>
      </c>
      <c r="AS974" s="180">
        <f t="shared" si="194"/>
        <v>0</v>
      </c>
      <c r="AT974" s="180">
        <f t="shared" si="195"/>
        <v>1</v>
      </c>
      <c r="AU974" s="180" t="str">
        <f t="shared" si="196"/>
        <v>.</v>
      </c>
      <c r="AV974" s="180" t="str">
        <f t="shared" si="197"/>
        <v>.</v>
      </c>
      <c r="AW974" s="180">
        <f>IFERROR(VLOOKUP(B974,'Share, Heavy Weapons to Ukraine'!B:J,COLUMN('Share, Heavy Weapons to Ukraine'!C984)-1,0),0)</f>
        <v>1</v>
      </c>
      <c r="AX974" s="180">
        <f>VLOOKUP('Bilateral Assistance, MAIN DATA'!B974,'Country Summary'!B:F,COLUMN('Country Summary'!C987)-1,FALSE)</f>
        <v>0</v>
      </c>
      <c r="AY974" s="180" t="str">
        <f>IF(AND(AD974=1,D974="Military",H974&lt;&gt;"Not given")=TRUE,IF(SUMIFS(P:P,A:A,A974)&gt;0,ABS((SUMIFS(P:P,A:A,A974)/VLOOKUP("USD",'Exchange Rates'!B:C,2,0)))/S974,"."),".")</f>
        <v>.</v>
      </c>
      <c r="AZ974" s="182" t="str">
        <f>IF(AND(AD974=1,D974="Military",H974&lt;&gt;"Not given")=TRUE,IF(SUMIFS(P:P,A:A,A974)&gt;0,IF((ABS((SUMIFS(P:P,A:A,A974)/VLOOKUP("USD",'Exchange Rates'!B:C,2,0)))/S974)&gt;1,(SUMIFS(P:P,A:A,A974)-S974)/S974,(S974-SUMIFS(P:P,A:A,A974))/SUMIFS(P:P,A:A,A974)),"."),".")</f>
        <v>.</v>
      </c>
      <c r="BA974" s="182"/>
      <c r="BB974" s="182"/>
      <c r="BC974" s="182"/>
      <c r="BD974" s="182"/>
      <c r="BE974" s="182"/>
      <c r="BF974" s="182"/>
      <c r="BG974" s="182"/>
      <c r="BH974" s="182"/>
      <c r="BI974" s="182"/>
      <c r="BJ974" s="182"/>
      <c r="BK974" s="182"/>
      <c r="BL974" s="182"/>
      <c r="BM974" s="182"/>
      <c r="BN974" s="182"/>
      <c r="BO974" s="182"/>
      <c r="BP974" s="182"/>
      <c r="BQ974" s="182"/>
      <c r="BR974" s="182"/>
      <c r="BS974" s="182"/>
    </row>
    <row r="975" spans="1:71" ht="15.9" customHeight="1" x14ac:dyDescent="0.3">
      <c r="A975" s="17" t="s">
        <v>2832</v>
      </c>
      <c r="B975" s="17" t="s">
        <v>2820</v>
      </c>
      <c r="C975" s="174">
        <v>44633</v>
      </c>
      <c r="D975" s="5" t="s">
        <v>256</v>
      </c>
      <c r="E975" s="5" t="s">
        <v>257</v>
      </c>
      <c r="F975" s="175" t="s">
        <v>2833</v>
      </c>
      <c r="G975" s="15" t="s">
        <v>260</v>
      </c>
      <c r="H975" s="176" t="s">
        <v>341</v>
      </c>
      <c r="I975" s="17" t="s">
        <v>260</v>
      </c>
      <c r="J975" s="113" t="str">
        <f>VLOOKUP($I975,'Price List, Weapons &amp; Items'!B:C,2,0)</f>
        <v>.</v>
      </c>
      <c r="K975" s="113" t="str">
        <f>IF(I975=".",I975,VLOOKUP($I975,'Price List, Weapons &amp; Items'!B:D,3,0))</f>
        <v>.</v>
      </c>
      <c r="L975" s="177">
        <f>VLOOKUP(I975,'Price List, Weapons &amp; Items'!B:E,4,0)</f>
        <v>0</v>
      </c>
      <c r="M975" s="542" t="s">
        <v>260</v>
      </c>
      <c r="N975" s="542" t="s">
        <v>260</v>
      </c>
      <c r="O975" s="543" t="str">
        <f>VLOOKUP($I975,'Price List, Weapons &amp; Items'!B:G,6,0)</f>
        <v>.</v>
      </c>
      <c r="P975" s="176" t="str">
        <f t="shared" si="188"/>
        <v>.</v>
      </c>
      <c r="Q975" s="176" t="str">
        <f t="shared" si="189"/>
        <v>.</v>
      </c>
      <c r="R975" s="176" t="str">
        <f t="shared" si="186"/>
        <v>.</v>
      </c>
      <c r="S975" s="176" t="str">
        <f>IF(AND(AD975=1,R975&lt;&gt;".")=TRUE,R975/VLOOKUP(G975,'Exchange Rates'!B:C,2,0),IF(R975=".",".",""))</f>
        <v>.</v>
      </c>
      <c r="T975" s="176" t="str">
        <f>IF(AD975=1,IF(AF975="Value is not given at all",".",IF(AF975="Value is given by the source",S975,IF(AF975="Value is calculated with prices",(IF(SUMIFS(Q:Q,A:A,A975)&gt;0,SUMIFS(Q:Q,A:A,A975),"."))/VLOOKUP("USD",'Exchange Rates'!B:C,2,0),"Error with coding"))),"")</f>
        <v>.</v>
      </c>
      <c r="U975" s="15" t="s">
        <v>261</v>
      </c>
      <c r="V975" s="300" t="s">
        <v>2834</v>
      </c>
      <c r="W975" s="175" t="s">
        <v>260</v>
      </c>
      <c r="X975" s="175" t="s">
        <v>260</v>
      </c>
      <c r="Y975" s="175" t="s">
        <v>260</v>
      </c>
      <c r="Z975" s="15">
        <v>0</v>
      </c>
      <c r="AA975" s="180">
        <v>0</v>
      </c>
      <c r="AB975" s="184" t="s">
        <v>260</v>
      </c>
      <c r="AC975" s="544" t="str">
        <f>""</f>
        <v/>
      </c>
      <c r="AD975" s="181">
        <v>1</v>
      </c>
      <c r="AE975" s="181" t="s">
        <v>265</v>
      </c>
      <c r="AF975" s="181" t="s">
        <v>265</v>
      </c>
      <c r="AG975" s="181">
        <v>1</v>
      </c>
      <c r="AH975" s="181">
        <v>3</v>
      </c>
      <c r="AI975" s="181">
        <v>0</v>
      </c>
      <c r="AJ975" s="181">
        <f>VLOOKUP($I975,'Price List, Weapons &amp; Items'!B:F,5,0)</f>
        <v>0</v>
      </c>
      <c r="AK975" s="181">
        <f t="shared" si="190"/>
        <v>0</v>
      </c>
      <c r="AL975" s="181">
        <f t="shared" si="191"/>
        <v>0</v>
      </c>
      <c r="AM975" s="181">
        <f t="shared" si="192"/>
        <v>0</v>
      </c>
      <c r="AN975" s="180" t="str">
        <f>VLOOKUP($I975,'Price List, Weapons &amp; Items'!B:L,COLUMN('Price List, Weapons &amp; Items'!$J$11)-1,0)</f>
        <v>.</v>
      </c>
      <c r="AO975" s="180" t="str">
        <f>IF(I975=".",".",VLOOKUP($I975,'Price List, Weapons &amp; Items'!B:J,3,0))</f>
        <v>.</v>
      </c>
      <c r="AP975" s="545" t="e">
        <f t="shared" ca="1" si="187"/>
        <v>#NAME?</v>
      </c>
      <c r="AQ975" s="180" t="str">
        <f>VLOOKUP($I975,'Price List, Weapons &amp; Items'!B:L,COLUMN('Price List, Weapons &amp; Items'!$L$11)-1,0)</f>
        <v>no price, 0 count</v>
      </c>
      <c r="AR975" s="180">
        <f t="shared" si="193"/>
        <v>1</v>
      </c>
      <c r="AS975" s="180">
        <f t="shared" si="194"/>
        <v>0</v>
      </c>
      <c r="AT975" s="180">
        <f t="shared" si="195"/>
        <v>1</v>
      </c>
      <c r="AU975" s="180" t="str">
        <f t="shared" si="196"/>
        <v>.</v>
      </c>
      <c r="AV975" s="180" t="str">
        <f t="shared" si="197"/>
        <v>.</v>
      </c>
      <c r="AW975" s="180">
        <f>IFERROR(VLOOKUP(B975,'Share, Heavy Weapons to Ukraine'!B:J,COLUMN('Share, Heavy Weapons to Ukraine'!C985)-1,0),0)</f>
        <v>1</v>
      </c>
      <c r="AX975" s="180">
        <f>VLOOKUP('Bilateral Assistance, MAIN DATA'!B975,'Country Summary'!B:F,COLUMN('Country Summary'!C988)-1,FALSE)</f>
        <v>0</v>
      </c>
      <c r="AY975" s="180" t="str">
        <f>IF(AND(AD975=1,D975="Military",H975&lt;&gt;"Not given")=TRUE,IF(SUMIFS(P:P,A:A,A975)&gt;0,ABS((SUMIFS(P:P,A:A,A975)/VLOOKUP("USD",'Exchange Rates'!B:C,2,0)))/S975,"."),".")</f>
        <v>.</v>
      </c>
      <c r="AZ975" s="182" t="str">
        <f>IF(AND(AD975=1,D975="Military",H975&lt;&gt;"Not given")=TRUE,IF(SUMIFS(P:P,A:A,A975)&gt;0,IF((ABS((SUMIFS(P:P,A:A,A975)/VLOOKUP("USD",'Exchange Rates'!B:C,2,0)))/S975)&gt;1,(SUMIFS(P:P,A:A,A975)-S975)/S975,(S975-SUMIFS(P:P,A:A,A975))/SUMIFS(P:P,A:A,A975)),"."),".")</f>
        <v>.</v>
      </c>
      <c r="BA975" s="182"/>
      <c r="BB975" s="182"/>
      <c r="BC975" s="182"/>
      <c r="BD975" s="182"/>
      <c r="BE975" s="182"/>
      <c r="BF975" s="182"/>
      <c r="BG975" s="182"/>
      <c r="BH975" s="182"/>
      <c r="BI975" s="182"/>
      <c r="BJ975" s="182"/>
      <c r="BK975" s="182"/>
      <c r="BL975" s="182"/>
      <c r="BM975" s="182"/>
      <c r="BN975" s="182"/>
      <c r="BO975" s="182"/>
      <c r="BP975" s="182"/>
      <c r="BQ975" s="182"/>
      <c r="BR975" s="182"/>
      <c r="BS975" s="182"/>
    </row>
    <row r="976" spans="1:71" ht="15.9" customHeight="1" x14ac:dyDescent="0.3">
      <c r="A976" s="17" t="s">
        <v>2835</v>
      </c>
      <c r="B976" s="17" t="s">
        <v>2820</v>
      </c>
      <c r="C976" s="174" t="s">
        <v>2836</v>
      </c>
      <c r="D976" s="5" t="s">
        <v>256</v>
      </c>
      <c r="E976" s="5" t="s">
        <v>257</v>
      </c>
      <c r="F976" s="175" t="s">
        <v>2837</v>
      </c>
      <c r="G976" s="15" t="s">
        <v>260</v>
      </c>
      <c r="H976" s="176" t="s">
        <v>341</v>
      </c>
      <c r="I976" s="17" t="s">
        <v>260</v>
      </c>
      <c r="J976" s="113" t="str">
        <f>VLOOKUP($I976,'Price List, Weapons &amp; Items'!B:C,2,0)</f>
        <v>.</v>
      </c>
      <c r="K976" s="113" t="str">
        <f>IF(I976=".",I976,VLOOKUP($I976,'Price List, Weapons &amp; Items'!B:D,3,0))</f>
        <v>.</v>
      </c>
      <c r="L976" s="177">
        <f>VLOOKUP(I976,'Price List, Weapons &amp; Items'!B:E,4,0)</f>
        <v>0</v>
      </c>
      <c r="M976" s="542" t="s">
        <v>260</v>
      </c>
      <c r="N976" s="542" t="s">
        <v>260</v>
      </c>
      <c r="O976" s="543" t="str">
        <f>VLOOKUP($I976,'Price List, Weapons &amp; Items'!B:G,6,0)</f>
        <v>.</v>
      </c>
      <c r="P976" s="176" t="str">
        <f t="shared" si="188"/>
        <v>.</v>
      </c>
      <c r="Q976" s="176" t="str">
        <f t="shared" si="189"/>
        <v>.</v>
      </c>
      <c r="R976" s="176" t="str">
        <f t="shared" si="186"/>
        <v>.</v>
      </c>
      <c r="S976" s="176" t="str">
        <f>IF(AND(AD976=1,R976&lt;&gt;".")=TRUE,R976/VLOOKUP(G976,'Exchange Rates'!B:C,2,0),IF(R976=".",".",""))</f>
        <v>.</v>
      </c>
      <c r="T976" s="176" t="str">
        <f>IF(AD976=1,IF(AF976="Value is not given at all",".",IF(AF976="Value is given by the source",S976,IF(AF976="Value is calculated with prices",(IF(SUMIFS(Q:Q,A:A,A976)&gt;0,SUMIFS(Q:Q,A:A,A976),"."))/VLOOKUP("USD",'Exchange Rates'!B:C,2,0),"Error with coding"))),"")</f>
        <v>.</v>
      </c>
      <c r="U976" s="15" t="s">
        <v>261</v>
      </c>
      <c r="V976" s="300" t="s">
        <v>2838</v>
      </c>
      <c r="W976" s="175" t="s">
        <v>260</v>
      </c>
      <c r="X976" s="175" t="s">
        <v>260</v>
      </c>
      <c r="Y976" s="175" t="s">
        <v>260</v>
      </c>
      <c r="Z976" s="15">
        <v>0</v>
      </c>
      <c r="AA976" s="180">
        <v>0</v>
      </c>
      <c r="AB976" s="17" t="s">
        <v>260</v>
      </c>
      <c r="AC976" s="544" t="str">
        <f>""</f>
        <v/>
      </c>
      <c r="AD976" s="183">
        <v>1</v>
      </c>
      <c r="AE976" s="183" t="s">
        <v>265</v>
      </c>
      <c r="AF976" s="183" t="s">
        <v>265</v>
      </c>
      <c r="AG976" s="183">
        <v>0</v>
      </c>
      <c r="AH976" s="181">
        <v>0</v>
      </c>
      <c r="AI976" s="181">
        <v>0</v>
      </c>
      <c r="AJ976" s="181">
        <f>VLOOKUP($I976,'Price List, Weapons &amp; Items'!B:F,5,0)</f>
        <v>0</v>
      </c>
      <c r="AK976" s="181">
        <f t="shared" si="190"/>
        <v>0</v>
      </c>
      <c r="AL976" s="181">
        <f t="shared" si="191"/>
        <v>0</v>
      </c>
      <c r="AM976" s="181">
        <f t="shared" si="192"/>
        <v>0</v>
      </c>
      <c r="AN976" s="180" t="str">
        <f>VLOOKUP($I976,'Price List, Weapons &amp; Items'!B:L,COLUMN('Price List, Weapons &amp; Items'!$J$11)-1,0)</f>
        <v>.</v>
      </c>
      <c r="AO976" s="180" t="str">
        <f>IF(I976=".",".",VLOOKUP($I976,'Price List, Weapons &amp; Items'!B:J,3,0))</f>
        <v>.</v>
      </c>
      <c r="AP976" s="545" t="e">
        <f t="shared" ca="1" si="187"/>
        <v>#NAME?</v>
      </c>
      <c r="AQ976" s="180" t="str">
        <f>VLOOKUP($I976,'Price List, Weapons &amp; Items'!B:L,COLUMN('Price List, Weapons &amp; Items'!$L$11)-1,0)</f>
        <v>no price, 0 count</v>
      </c>
      <c r="AR976" s="180">
        <f t="shared" si="193"/>
        <v>1</v>
      </c>
      <c r="AS976" s="180">
        <f t="shared" si="194"/>
        <v>0</v>
      </c>
      <c r="AT976" s="180" t="str">
        <f t="shared" si="195"/>
        <v>Value is not in date format</v>
      </c>
      <c r="AU976" s="180" t="str">
        <f t="shared" si="196"/>
        <v>.</v>
      </c>
      <c r="AV976" s="180" t="str">
        <f t="shared" si="197"/>
        <v>.</v>
      </c>
      <c r="AW976" s="180">
        <f>IFERROR(VLOOKUP(B976,'Share, Heavy Weapons to Ukraine'!B:J,COLUMN('Share, Heavy Weapons to Ukraine'!C986)-1,0),0)</f>
        <v>1</v>
      </c>
      <c r="AX976" s="180">
        <f>VLOOKUP('Bilateral Assistance, MAIN DATA'!B976,'Country Summary'!B:F,COLUMN('Country Summary'!C989)-1,FALSE)</f>
        <v>0</v>
      </c>
      <c r="AY976" s="180" t="str">
        <f>IF(AND(AD976=1,D976="Military",H976&lt;&gt;"Not given")=TRUE,IF(SUMIFS(P:P,A:A,A976)&gt;0,ABS((SUMIFS(P:P,A:A,A976)/VLOOKUP("USD",'Exchange Rates'!B:C,2,0)))/S976,"."),".")</f>
        <v>.</v>
      </c>
      <c r="AZ976" s="182" t="str">
        <f>IF(AND(AD976=1,D976="Military",H976&lt;&gt;"Not given")=TRUE,IF(SUMIFS(P:P,A:A,A976)&gt;0,IF((ABS((SUMIFS(P:P,A:A,A976)/VLOOKUP("USD",'Exchange Rates'!B:C,2,0)))/S976)&gt;1,(SUMIFS(P:P,A:A,A976)-S976)/S976,(S976-SUMIFS(P:P,A:A,A976))/SUMIFS(P:P,A:A,A976)),"."),".")</f>
        <v>.</v>
      </c>
      <c r="BA976" s="182"/>
      <c r="BB976" s="182"/>
      <c r="BC976" s="182"/>
      <c r="BD976" s="182"/>
      <c r="BE976" s="182"/>
      <c r="BF976" s="182"/>
      <c r="BG976" s="182"/>
      <c r="BH976" s="182"/>
      <c r="BI976" s="182"/>
      <c r="BJ976" s="182"/>
      <c r="BK976" s="182"/>
      <c r="BL976" s="182"/>
      <c r="BM976" s="182"/>
      <c r="BN976" s="182"/>
      <c r="BO976" s="182"/>
      <c r="BP976" s="182"/>
      <c r="BQ976" s="182"/>
      <c r="BR976" s="182"/>
      <c r="BS976" s="182"/>
    </row>
    <row r="977" spans="1:71" ht="15.9" customHeight="1" x14ac:dyDescent="0.3">
      <c r="A977" s="17" t="s">
        <v>2839</v>
      </c>
      <c r="B977" s="17" t="s">
        <v>2840</v>
      </c>
      <c r="C977" s="174">
        <v>44673</v>
      </c>
      <c r="D977" s="5" t="s">
        <v>256</v>
      </c>
      <c r="E977" s="5" t="s">
        <v>362</v>
      </c>
      <c r="F977" s="175" t="s">
        <v>2841</v>
      </c>
      <c r="G977" s="15" t="s">
        <v>346</v>
      </c>
      <c r="H977" s="176">
        <v>3000000</v>
      </c>
      <c r="I977" s="17" t="s">
        <v>260</v>
      </c>
      <c r="J977" s="113" t="str">
        <f>VLOOKUP($I977,'Price List, Weapons &amp; Items'!B:C,2,0)</f>
        <v>.</v>
      </c>
      <c r="K977" s="113" t="str">
        <f>IF(I977=".",I977,VLOOKUP($I977,'Price List, Weapons &amp; Items'!B:D,3,0))</f>
        <v>.</v>
      </c>
      <c r="L977" s="177">
        <f>VLOOKUP(I977,'Price List, Weapons &amp; Items'!B:E,4,0)</f>
        <v>0</v>
      </c>
      <c r="M977" s="542" t="s">
        <v>260</v>
      </c>
      <c r="N977" s="542" t="s">
        <v>260</v>
      </c>
      <c r="O977" s="543" t="str">
        <f>VLOOKUP($I977,'Price List, Weapons &amp; Items'!B:G,6,0)</f>
        <v>.</v>
      </c>
      <c r="P977" s="176" t="str">
        <f t="shared" si="188"/>
        <v>.</v>
      </c>
      <c r="Q977" s="176" t="str">
        <f t="shared" si="189"/>
        <v>.</v>
      </c>
      <c r="R977" s="176">
        <f t="shared" si="186"/>
        <v>3000000</v>
      </c>
      <c r="S977" s="176">
        <f>IF(AND(AD977=1,R977&lt;&gt;".")=TRUE,R977/VLOOKUP(G977,'Exchange Rates'!B:C,2,0),IF(R977=".",".",""))</f>
        <v>2857142.8571428568</v>
      </c>
      <c r="T977" s="176" t="str">
        <f>IF(AD977=1,IF(AF977="Value is not given at all",".",IF(AF977="Value is given by the source",S977,IF(AF977="Value is calculated with prices",(IF(SUMIFS(Q:Q,A:A,A977)&gt;0,SUMIFS(Q:Q,A:A,A977),"."))/VLOOKUP("USD",'Exchange Rates'!B:C,2,0),"Error with coding"))),"")</f>
        <v>.</v>
      </c>
      <c r="U977" s="15" t="s">
        <v>415</v>
      </c>
      <c r="V977" s="300" t="s">
        <v>2842</v>
      </c>
      <c r="W977" s="175" t="s">
        <v>260</v>
      </c>
      <c r="X977" s="175" t="s">
        <v>260</v>
      </c>
      <c r="Y977" s="175" t="s">
        <v>260</v>
      </c>
      <c r="Z977" s="15">
        <v>0</v>
      </c>
      <c r="AA977" s="180">
        <v>0</v>
      </c>
      <c r="AB977" s="17" t="s">
        <v>260</v>
      </c>
      <c r="AC977" s="544" t="str">
        <f>""</f>
        <v/>
      </c>
      <c r="AD977" s="183">
        <v>1</v>
      </c>
      <c r="AE977" s="183" t="s">
        <v>264</v>
      </c>
      <c r="AF977" s="183" t="s">
        <v>265</v>
      </c>
      <c r="AG977" s="183">
        <v>1</v>
      </c>
      <c r="AH977" s="181">
        <v>4</v>
      </c>
      <c r="AI977" s="181">
        <v>0</v>
      </c>
      <c r="AJ977" s="181">
        <f>VLOOKUP($I977,'Price List, Weapons &amp; Items'!B:F,5,0)</f>
        <v>0</v>
      </c>
      <c r="AK977" s="181">
        <f t="shared" si="190"/>
        <v>0</v>
      </c>
      <c r="AL977" s="181">
        <f t="shared" si="191"/>
        <v>0</v>
      </c>
      <c r="AM977" s="181">
        <f t="shared" si="192"/>
        <v>0</v>
      </c>
      <c r="AN977" s="180" t="str">
        <f>VLOOKUP($I977,'Price List, Weapons &amp; Items'!B:L,COLUMN('Price List, Weapons &amp; Items'!$J$11)-1,0)</f>
        <v>.</v>
      </c>
      <c r="AO977" s="180" t="str">
        <f>IF(I977=".",".",VLOOKUP($I977,'Price List, Weapons &amp; Items'!B:J,3,0))</f>
        <v>.</v>
      </c>
      <c r="AP977" s="545" t="e">
        <f t="shared" ca="1" si="187"/>
        <v>#NAME?</v>
      </c>
      <c r="AQ977" s="180" t="str">
        <f>VLOOKUP($I977,'Price List, Weapons &amp; Items'!B:L,COLUMN('Price List, Weapons &amp; Items'!$L$11)-1,0)</f>
        <v>no price, 0 count</v>
      </c>
      <c r="AR977" s="180">
        <f t="shared" si="193"/>
        <v>0</v>
      </c>
      <c r="AS977" s="180">
        <f t="shared" si="194"/>
        <v>0</v>
      </c>
      <c r="AT977" s="180">
        <f t="shared" si="195"/>
        <v>1</v>
      </c>
      <c r="AU977" s="180" t="str">
        <f t="shared" si="196"/>
        <v>.</v>
      </c>
      <c r="AV977" s="180" t="str">
        <f t="shared" si="197"/>
        <v>.</v>
      </c>
      <c r="AW977" s="180">
        <f>IFERROR(VLOOKUP(B977,'Share, Heavy Weapons to Ukraine'!B:J,COLUMN('Share, Heavy Weapons to Ukraine'!C987)-1,0),0)</f>
        <v>0</v>
      </c>
      <c r="AX977" s="180">
        <f>VLOOKUP('Bilateral Assistance, MAIN DATA'!B977,'Country Summary'!B:F,COLUMN('Country Summary'!C990)-1,FALSE)</f>
        <v>0</v>
      </c>
      <c r="AY977" s="180" t="str">
        <f>IF(AND(AD977=1,D977="Military",H977&lt;&gt;"Not given")=TRUE,IF(SUMIFS(P:P,A:A,A977)&gt;0,ABS((SUMIFS(P:P,A:A,A977)/VLOOKUP("USD",'Exchange Rates'!B:C,2,0)))/S977,"."),".")</f>
        <v>.</v>
      </c>
      <c r="AZ977" s="182" t="str">
        <f>IF(AND(AD977=1,D977="Military",H977&lt;&gt;"Not given")=TRUE,IF(SUMIFS(P:P,A:A,A977)&gt;0,IF((ABS((SUMIFS(P:P,A:A,A977)/VLOOKUP("USD",'Exchange Rates'!B:C,2,0)))/S977)&gt;1,(SUMIFS(P:P,A:A,A977)-S977)/S977,(S977-SUMIFS(P:P,A:A,A977))/SUMIFS(P:P,A:A,A977)),"."),".")</f>
        <v>.</v>
      </c>
      <c r="BA977" s="182"/>
      <c r="BB977" s="182"/>
      <c r="BC977" s="182"/>
      <c r="BD977" s="182"/>
      <c r="BE977" s="182"/>
      <c r="BF977" s="182"/>
      <c r="BG977" s="182"/>
      <c r="BH977" s="182"/>
      <c r="BI977" s="182"/>
      <c r="BJ977" s="182"/>
      <c r="BK977" s="182"/>
      <c r="BL977" s="182"/>
      <c r="BM977" s="182"/>
      <c r="BN977" s="182"/>
      <c r="BO977" s="182"/>
      <c r="BP977" s="182"/>
      <c r="BQ977" s="182"/>
      <c r="BR977" s="182"/>
      <c r="BS977" s="182"/>
    </row>
    <row r="978" spans="1:71" ht="15.9" customHeight="1" x14ac:dyDescent="0.3">
      <c r="A978" s="17" t="s">
        <v>2843</v>
      </c>
      <c r="B978" s="17" t="s">
        <v>2840</v>
      </c>
      <c r="C978" s="174">
        <v>44674</v>
      </c>
      <c r="D978" s="5" t="s">
        <v>256</v>
      </c>
      <c r="E978" s="5" t="s">
        <v>362</v>
      </c>
      <c r="F978" s="175" t="s">
        <v>2844</v>
      </c>
      <c r="G978" s="15" t="s">
        <v>346</v>
      </c>
      <c r="H978" s="176">
        <v>5000000</v>
      </c>
      <c r="I978" s="17" t="s">
        <v>260</v>
      </c>
      <c r="J978" s="113" t="str">
        <f>VLOOKUP($I978,'Price List, Weapons &amp; Items'!B:C,2,0)</f>
        <v>.</v>
      </c>
      <c r="K978" s="113" t="str">
        <f>IF(I978=".",I978,VLOOKUP($I978,'Price List, Weapons &amp; Items'!B:D,3,0))</f>
        <v>.</v>
      </c>
      <c r="L978" s="177">
        <f>VLOOKUP(I978,'Price List, Weapons &amp; Items'!B:E,4,0)</f>
        <v>0</v>
      </c>
      <c r="M978" s="542" t="s">
        <v>260</v>
      </c>
      <c r="N978" s="542" t="s">
        <v>260</v>
      </c>
      <c r="O978" s="543" t="str">
        <f>VLOOKUP($I978,'Price List, Weapons &amp; Items'!B:G,6,0)</f>
        <v>.</v>
      </c>
      <c r="P978" s="176" t="str">
        <f t="shared" si="188"/>
        <v>.</v>
      </c>
      <c r="Q978" s="176" t="str">
        <f t="shared" si="189"/>
        <v>.</v>
      </c>
      <c r="R978" s="176">
        <f t="shared" si="186"/>
        <v>5000000</v>
      </c>
      <c r="S978" s="176">
        <f>IF(AND(AD978=1,R978&lt;&gt;".")=TRUE,R978/VLOOKUP(G978,'Exchange Rates'!B:C,2,0),IF(R978=".",".",""))</f>
        <v>4761904.7619047621</v>
      </c>
      <c r="T978" s="176" t="str">
        <f>IF(AD978=1,IF(AF978="Value is not given at all",".",IF(AF978="Value is given by the source",S978,IF(AF978="Value is calculated with prices",(IF(SUMIFS(Q:Q,A:A,A978)&gt;0,SUMIFS(Q:Q,A:A,A978),"."))/VLOOKUP("USD",'Exchange Rates'!B:C,2,0),"Error with coding"))),"")</f>
        <v>.</v>
      </c>
      <c r="U978" s="15" t="s">
        <v>415</v>
      </c>
      <c r="V978" s="558" t="s">
        <v>2842</v>
      </c>
      <c r="W978" s="175" t="s">
        <v>260</v>
      </c>
      <c r="X978" s="175" t="s">
        <v>260</v>
      </c>
      <c r="Y978" s="175" t="s">
        <v>260</v>
      </c>
      <c r="Z978" s="15">
        <v>0</v>
      </c>
      <c r="AA978" s="180">
        <v>0</v>
      </c>
      <c r="AB978" s="17" t="s">
        <v>260</v>
      </c>
      <c r="AC978" s="544" t="str">
        <f>""</f>
        <v/>
      </c>
      <c r="AD978" s="183">
        <v>1</v>
      </c>
      <c r="AE978" s="183" t="s">
        <v>264</v>
      </c>
      <c r="AF978" s="183" t="s">
        <v>265</v>
      </c>
      <c r="AG978" s="183">
        <v>1</v>
      </c>
      <c r="AH978" s="181">
        <v>4</v>
      </c>
      <c r="AI978" s="181">
        <v>0</v>
      </c>
      <c r="AJ978" s="181">
        <f>VLOOKUP($I978,'Price List, Weapons &amp; Items'!B:F,5,0)</f>
        <v>0</v>
      </c>
      <c r="AK978" s="181">
        <f t="shared" si="190"/>
        <v>0</v>
      </c>
      <c r="AL978" s="181">
        <f t="shared" si="191"/>
        <v>0</v>
      </c>
      <c r="AM978" s="181">
        <f t="shared" si="192"/>
        <v>0</v>
      </c>
      <c r="AN978" s="180" t="str">
        <f>VLOOKUP($I978,'Price List, Weapons &amp; Items'!B:L,COLUMN('Price List, Weapons &amp; Items'!$J$11)-1,0)</f>
        <v>.</v>
      </c>
      <c r="AO978" s="180" t="str">
        <f>IF(I978=".",".",VLOOKUP($I978,'Price List, Weapons &amp; Items'!B:J,3,0))</f>
        <v>.</v>
      </c>
      <c r="AP978" s="545" t="e">
        <f t="shared" ca="1" si="187"/>
        <v>#NAME?</v>
      </c>
      <c r="AQ978" s="180" t="str">
        <f>VLOOKUP($I978,'Price List, Weapons &amp; Items'!B:L,COLUMN('Price List, Weapons &amp; Items'!$L$11)-1,0)</f>
        <v>no price, 0 count</v>
      </c>
      <c r="AR978" s="180">
        <f t="shared" si="193"/>
        <v>0</v>
      </c>
      <c r="AS978" s="180">
        <f t="shared" si="194"/>
        <v>0</v>
      </c>
      <c r="AT978" s="180">
        <f t="shared" si="195"/>
        <v>1</v>
      </c>
      <c r="AU978" s="180" t="str">
        <f t="shared" si="196"/>
        <v>.</v>
      </c>
      <c r="AV978" s="180" t="str">
        <f t="shared" si="197"/>
        <v>.</v>
      </c>
      <c r="AW978" s="180">
        <f>IFERROR(VLOOKUP(B978,'Share, Heavy Weapons to Ukraine'!B:J,COLUMN('Share, Heavy Weapons to Ukraine'!C988)-1,0),0)</f>
        <v>0</v>
      </c>
      <c r="AX978" s="180">
        <f>VLOOKUP('Bilateral Assistance, MAIN DATA'!B978,'Country Summary'!B:F,COLUMN('Country Summary'!C991)-1,FALSE)</f>
        <v>0</v>
      </c>
      <c r="AY978" s="180" t="str">
        <f>IF(AND(AD978=1,D978="Military",H978&lt;&gt;"Not given")=TRUE,IF(SUMIFS(P:P,A:A,A978)&gt;0,ABS((SUMIFS(P:P,A:A,A978)/VLOOKUP("USD",'Exchange Rates'!B:C,2,0)))/S978,"."),".")</f>
        <v>.</v>
      </c>
      <c r="AZ978" s="182" t="str">
        <f>IF(AND(AD978=1,D978="Military",H978&lt;&gt;"Not given")=TRUE,IF(SUMIFS(P:P,A:A,A978)&gt;0,IF((ABS((SUMIFS(P:P,A:A,A978)/VLOOKUP("USD",'Exchange Rates'!B:C,2,0)))/S978)&gt;1,(SUMIFS(P:P,A:A,A978)-S978)/S978,(S978-SUMIFS(P:P,A:A,A978))/SUMIFS(P:P,A:A,A978)),"."),".")</f>
        <v>.</v>
      </c>
      <c r="BA978" s="182"/>
      <c r="BB978" s="182"/>
      <c r="BC978" s="182"/>
      <c r="BD978" s="182"/>
      <c r="BE978" s="182"/>
      <c r="BF978" s="182"/>
      <c r="BG978" s="182"/>
      <c r="BH978" s="182"/>
      <c r="BI978" s="182"/>
      <c r="BJ978" s="182"/>
      <c r="BK978" s="182"/>
      <c r="BL978" s="182"/>
      <c r="BM978" s="182"/>
      <c r="BN978" s="182"/>
      <c r="BO978" s="182"/>
      <c r="BP978" s="182"/>
      <c r="BQ978" s="182"/>
      <c r="BR978" s="182"/>
      <c r="BS978" s="182"/>
    </row>
    <row r="979" spans="1:71" ht="15.9" customHeight="1" x14ac:dyDescent="0.3">
      <c r="A979" s="17" t="s">
        <v>2845</v>
      </c>
      <c r="B979" s="17" t="s">
        <v>2840</v>
      </c>
      <c r="C979" s="174">
        <v>44714</v>
      </c>
      <c r="D979" s="5" t="s">
        <v>256</v>
      </c>
      <c r="E979" s="5" t="s">
        <v>362</v>
      </c>
      <c r="F979" s="175" t="s">
        <v>2846</v>
      </c>
      <c r="G979" s="15" t="s">
        <v>346</v>
      </c>
      <c r="H979" s="176">
        <v>2000000</v>
      </c>
      <c r="I979" s="17" t="s">
        <v>260</v>
      </c>
      <c r="J979" s="113" t="str">
        <f>VLOOKUP($I979,'Price List, Weapons &amp; Items'!B:C,2,0)</f>
        <v>.</v>
      </c>
      <c r="K979" s="113" t="str">
        <f>IF(I979=".",I979,VLOOKUP($I979,'Price List, Weapons &amp; Items'!B:D,3,0))</f>
        <v>.</v>
      </c>
      <c r="L979" s="177">
        <f>VLOOKUP(I979,'Price List, Weapons &amp; Items'!B:E,4,0)</f>
        <v>0</v>
      </c>
      <c r="M979" s="542" t="s">
        <v>260</v>
      </c>
      <c r="N979" s="542" t="s">
        <v>260</v>
      </c>
      <c r="O979" s="543" t="str">
        <f>VLOOKUP($I979,'Price List, Weapons &amp; Items'!B:G,6,0)</f>
        <v>.</v>
      </c>
      <c r="P979" s="176" t="str">
        <f t="shared" si="188"/>
        <v>.</v>
      </c>
      <c r="Q979" s="176" t="str">
        <f t="shared" si="189"/>
        <v>.</v>
      </c>
      <c r="R979" s="176">
        <f t="shared" si="186"/>
        <v>2000000</v>
      </c>
      <c r="S979" s="176">
        <f>IF(AND(AD979=1,R979&lt;&gt;".")=TRUE,R979/VLOOKUP(G979,'Exchange Rates'!B:C,2,0),IF(R979=".",".",""))</f>
        <v>1904761.9047619046</v>
      </c>
      <c r="T979" s="176" t="str">
        <f>IF(AD979=1,IF(AF979="Value is not given at all",".",IF(AF979="Value is given by the source",S979,IF(AF979="Value is calculated with prices",(IF(SUMIFS(Q:Q,A:A,A979)&gt;0,SUMIFS(Q:Q,A:A,A979),"."))/VLOOKUP("USD",'Exchange Rates'!B:C,2,0),"Error with coding"))),"")</f>
        <v>.</v>
      </c>
      <c r="U979" s="15" t="s">
        <v>415</v>
      </c>
      <c r="V979" s="300" t="s">
        <v>2847</v>
      </c>
      <c r="W979" s="175" t="s">
        <v>260</v>
      </c>
      <c r="X979" s="175" t="s">
        <v>260</v>
      </c>
      <c r="Y979" s="175" t="s">
        <v>260</v>
      </c>
      <c r="Z979" s="15">
        <v>0</v>
      </c>
      <c r="AA979" s="180">
        <v>0</v>
      </c>
      <c r="AB979" s="17" t="s">
        <v>260</v>
      </c>
      <c r="AC979" s="544" t="str">
        <f>""</f>
        <v/>
      </c>
      <c r="AD979" s="183">
        <v>1</v>
      </c>
      <c r="AE979" s="183" t="s">
        <v>264</v>
      </c>
      <c r="AF979" s="183" t="s">
        <v>265</v>
      </c>
      <c r="AG979" s="183">
        <v>1</v>
      </c>
      <c r="AH979" s="181">
        <v>6</v>
      </c>
      <c r="AI979" s="181">
        <v>0</v>
      </c>
      <c r="AJ979" s="181">
        <f>VLOOKUP($I979,'Price List, Weapons &amp; Items'!B:F,5,0)</f>
        <v>0</v>
      </c>
      <c r="AK979" s="181">
        <f t="shared" si="190"/>
        <v>0</v>
      </c>
      <c r="AL979" s="181">
        <f t="shared" si="191"/>
        <v>0</v>
      </c>
      <c r="AM979" s="181">
        <f t="shared" si="192"/>
        <v>0</v>
      </c>
      <c r="AN979" s="180" t="str">
        <f>VLOOKUP($I979,'Price List, Weapons &amp; Items'!B:L,COLUMN('Price List, Weapons &amp; Items'!$J$11)-1,0)</f>
        <v>.</v>
      </c>
      <c r="AO979" s="180" t="str">
        <f>IF(I979=".",".",VLOOKUP($I979,'Price List, Weapons &amp; Items'!B:J,3,0))</f>
        <v>.</v>
      </c>
      <c r="AP979" s="545" t="e">
        <f t="shared" ca="1" si="187"/>
        <v>#NAME?</v>
      </c>
      <c r="AQ979" s="180" t="str">
        <f>VLOOKUP($I979,'Price List, Weapons &amp; Items'!B:L,COLUMN('Price List, Weapons &amp; Items'!$L$11)-1,0)</f>
        <v>no price, 0 count</v>
      </c>
      <c r="AR979" s="180">
        <f t="shared" si="193"/>
        <v>0</v>
      </c>
      <c r="AS979" s="180">
        <f t="shared" si="194"/>
        <v>0</v>
      </c>
      <c r="AT979" s="180">
        <f t="shared" si="195"/>
        <v>1</v>
      </c>
      <c r="AU979" s="180" t="str">
        <f t="shared" si="196"/>
        <v>.</v>
      </c>
      <c r="AV979" s="180" t="str">
        <f t="shared" si="197"/>
        <v>.</v>
      </c>
      <c r="AW979" s="180">
        <f>IFERROR(VLOOKUP(B979,'Share, Heavy Weapons to Ukraine'!B:J,COLUMN('Share, Heavy Weapons to Ukraine'!C989)-1,0),0)</f>
        <v>0</v>
      </c>
      <c r="AX979" s="180">
        <f>VLOOKUP('Bilateral Assistance, MAIN DATA'!B979,'Country Summary'!B:F,COLUMN('Country Summary'!C992)-1,FALSE)</f>
        <v>0</v>
      </c>
      <c r="AY979" s="180" t="str">
        <f>IF(AND(AD979=1,D979="Military",H979&lt;&gt;"Not given")=TRUE,IF(SUMIFS(P:P,A:A,A979)&gt;0,ABS((SUMIFS(P:P,A:A,A979)/VLOOKUP("USD",'Exchange Rates'!B:C,2,0)))/S979,"."),".")</f>
        <v>.</v>
      </c>
      <c r="AZ979" s="182" t="str">
        <f>IF(AND(AD979=1,D979="Military",H979&lt;&gt;"Not given")=TRUE,IF(SUMIFS(P:P,A:A,A979)&gt;0,IF((ABS((SUMIFS(P:P,A:A,A979)/VLOOKUP("USD",'Exchange Rates'!B:C,2,0)))/S979)&gt;1,(SUMIFS(P:P,A:A,A979)-S979)/S979,(S979-SUMIFS(P:P,A:A,A979))/SUMIFS(P:P,A:A,A979)),"."),".")</f>
        <v>.</v>
      </c>
      <c r="BA979" s="182"/>
      <c r="BB979" s="182"/>
      <c r="BC979" s="182"/>
      <c r="BD979" s="182"/>
      <c r="BE979" s="182"/>
      <c r="BF979" s="182"/>
      <c r="BG979" s="182"/>
      <c r="BH979" s="182"/>
      <c r="BI979" s="182"/>
      <c r="BJ979" s="182"/>
      <c r="BK979" s="182"/>
      <c r="BL979" s="182"/>
      <c r="BM979" s="182"/>
      <c r="BN979" s="182"/>
      <c r="BO979" s="182"/>
      <c r="BP979" s="182"/>
      <c r="BQ979" s="182"/>
      <c r="BR979" s="182"/>
      <c r="BS979" s="182"/>
    </row>
    <row r="980" spans="1:71" ht="15.9" customHeight="1" x14ac:dyDescent="0.3">
      <c r="A980" s="17" t="s">
        <v>2848</v>
      </c>
      <c r="B980" s="17" t="s">
        <v>2840</v>
      </c>
      <c r="C980" s="174">
        <v>44714</v>
      </c>
      <c r="D980" s="5" t="s">
        <v>256</v>
      </c>
      <c r="E980" s="5" t="s">
        <v>362</v>
      </c>
      <c r="F980" s="175" t="s">
        <v>2849</v>
      </c>
      <c r="G980" s="15" t="s">
        <v>346</v>
      </c>
      <c r="H980" s="176">
        <v>500000</v>
      </c>
      <c r="I980" s="17" t="s">
        <v>260</v>
      </c>
      <c r="J980" s="113" t="str">
        <f>VLOOKUP($I980,'Price List, Weapons &amp; Items'!B:C,2,0)</f>
        <v>.</v>
      </c>
      <c r="K980" s="113" t="str">
        <f>IF(I980=".",I980,VLOOKUP($I980,'Price List, Weapons &amp; Items'!B:D,3,0))</f>
        <v>.</v>
      </c>
      <c r="L980" s="177">
        <f>VLOOKUP(I980,'Price List, Weapons &amp; Items'!B:E,4,0)</f>
        <v>0</v>
      </c>
      <c r="M980" s="542" t="s">
        <v>260</v>
      </c>
      <c r="N980" s="542" t="s">
        <v>260</v>
      </c>
      <c r="O980" s="543" t="str">
        <f>VLOOKUP($I980,'Price List, Weapons &amp; Items'!B:G,6,0)</f>
        <v>.</v>
      </c>
      <c r="P980" s="176" t="str">
        <f t="shared" si="188"/>
        <v>.</v>
      </c>
      <c r="Q980" s="176" t="str">
        <f t="shared" si="189"/>
        <v>.</v>
      </c>
      <c r="R980" s="176">
        <f t="shared" si="186"/>
        <v>500000</v>
      </c>
      <c r="S980" s="176">
        <f>IF(AND(AD980=1,R980&lt;&gt;".")=TRUE,R980/VLOOKUP(G980,'Exchange Rates'!B:C,2,0),IF(R980=".",".",""))</f>
        <v>476190.47619047615</v>
      </c>
      <c r="T980" s="176" t="str">
        <f>IF(AD980=1,IF(AF980="Value is not given at all",".",IF(AF980="Value is given by the source",S980,IF(AF980="Value is calculated with prices",(IF(SUMIFS(Q:Q,A:A,A980)&gt;0,SUMIFS(Q:Q,A:A,A980),"."))/VLOOKUP("USD",'Exchange Rates'!B:C,2,0),"Error with coding"))),"")</f>
        <v>.</v>
      </c>
      <c r="U980" s="15" t="s">
        <v>415</v>
      </c>
      <c r="V980" s="300" t="s">
        <v>2847</v>
      </c>
      <c r="W980" s="175" t="s">
        <v>260</v>
      </c>
      <c r="X980" s="175" t="s">
        <v>260</v>
      </c>
      <c r="Y980" s="175" t="s">
        <v>260</v>
      </c>
      <c r="Z980" s="15">
        <v>0</v>
      </c>
      <c r="AA980" s="180">
        <v>0</v>
      </c>
      <c r="AB980" s="17" t="s">
        <v>260</v>
      </c>
      <c r="AC980" s="544" t="str">
        <f>""</f>
        <v/>
      </c>
      <c r="AD980" s="183">
        <v>1</v>
      </c>
      <c r="AE980" s="183" t="s">
        <v>264</v>
      </c>
      <c r="AF980" s="183" t="s">
        <v>265</v>
      </c>
      <c r="AG980" s="183">
        <v>1</v>
      </c>
      <c r="AH980" s="181">
        <v>6</v>
      </c>
      <c r="AI980" s="181">
        <v>0</v>
      </c>
      <c r="AJ980" s="181">
        <f>VLOOKUP($I980,'Price List, Weapons &amp; Items'!B:F,5,0)</f>
        <v>0</v>
      </c>
      <c r="AK980" s="181">
        <f t="shared" si="190"/>
        <v>0</v>
      </c>
      <c r="AL980" s="181">
        <f t="shared" si="191"/>
        <v>0</v>
      </c>
      <c r="AM980" s="181">
        <f t="shared" si="192"/>
        <v>0</v>
      </c>
      <c r="AN980" s="180" t="str">
        <f>VLOOKUP($I980,'Price List, Weapons &amp; Items'!B:L,COLUMN('Price List, Weapons &amp; Items'!$J$11)-1,0)</f>
        <v>.</v>
      </c>
      <c r="AO980" s="180" t="str">
        <f>IF(I980=".",".",VLOOKUP($I980,'Price List, Weapons &amp; Items'!B:J,3,0))</f>
        <v>.</v>
      </c>
      <c r="AP980" s="545" t="e">
        <f t="shared" ca="1" si="187"/>
        <v>#NAME?</v>
      </c>
      <c r="AQ980" s="180" t="str">
        <f>VLOOKUP($I980,'Price List, Weapons &amp; Items'!B:L,COLUMN('Price List, Weapons &amp; Items'!$L$11)-1,0)</f>
        <v>no price, 0 count</v>
      </c>
      <c r="AR980" s="180">
        <f t="shared" si="193"/>
        <v>0</v>
      </c>
      <c r="AS980" s="180">
        <f t="shared" si="194"/>
        <v>0</v>
      </c>
      <c r="AT980" s="180">
        <f t="shared" si="195"/>
        <v>1</v>
      </c>
      <c r="AU980" s="180" t="str">
        <f t="shared" si="196"/>
        <v>.</v>
      </c>
      <c r="AV980" s="180" t="str">
        <f t="shared" si="197"/>
        <v>.</v>
      </c>
      <c r="AW980" s="180">
        <f>IFERROR(VLOOKUP(B980,'Share, Heavy Weapons to Ukraine'!B:J,COLUMN('Share, Heavy Weapons to Ukraine'!C990)-1,0),0)</f>
        <v>0</v>
      </c>
      <c r="AX980" s="180">
        <f>VLOOKUP('Bilateral Assistance, MAIN DATA'!B980,'Country Summary'!B:F,COLUMN('Country Summary'!C993)-1,FALSE)</f>
        <v>0</v>
      </c>
      <c r="AY980" s="180" t="str">
        <f>IF(AND(AD980=1,D980="Military",H980&lt;&gt;"Not given")=TRUE,IF(SUMIFS(P:P,A:A,A980)&gt;0,ABS((SUMIFS(P:P,A:A,A980)/VLOOKUP("USD",'Exchange Rates'!B:C,2,0)))/S980,"."),".")</f>
        <v>.</v>
      </c>
      <c r="AZ980" s="182" t="str">
        <f>IF(AND(AD980=1,D980="Military",H980&lt;&gt;"Not given")=TRUE,IF(SUMIFS(P:P,A:A,A980)&gt;0,IF((ABS((SUMIFS(P:P,A:A,A980)/VLOOKUP("USD",'Exchange Rates'!B:C,2,0)))/S980)&gt;1,(SUMIFS(P:P,A:A,A980)-S980)/S980,(S980-SUMIFS(P:P,A:A,A980))/SUMIFS(P:P,A:A,A980)),"."),".")</f>
        <v>.</v>
      </c>
      <c r="BA980" s="182"/>
      <c r="BB980" s="182"/>
      <c r="BC980" s="182"/>
      <c r="BD980" s="182"/>
      <c r="BE980" s="182"/>
      <c r="BF980" s="182"/>
      <c r="BG980" s="182"/>
      <c r="BH980" s="182"/>
      <c r="BI980" s="182"/>
      <c r="BJ980" s="182"/>
      <c r="BK980" s="182"/>
      <c r="BL980" s="182"/>
      <c r="BM980" s="182"/>
      <c r="BN980" s="182"/>
      <c r="BO980" s="182"/>
      <c r="BP980" s="182"/>
      <c r="BQ980" s="182"/>
      <c r="BR980" s="182"/>
      <c r="BS980" s="182"/>
    </row>
    <row r="981" spans="1:71" ht="15.9" customHeight="1" x14ac:dyDescent="0.3">
      <c r="A981" s="17" t="s">
        <v>2850</v>
      </c>
      <c r="B981" s="17" t="s">
        <v>2840</v>
      </c>
      <c r="C981" s="174">
        <v>44714</v>
      </c>
      <c r="D981" s="5" t="s">
        <v>256</v>
      </c>
      <c r="E981" s="5" t="s">
        <v>362</v>
      </c>
      <c r="F981" s="175" t="s">
        <v>2851</v>
      </c>
      <c r="G981" s="15" t="s">
        <v>346</v>
      </c>
      <c r="H981" s="176">
        <v>500000</v>
      </c>
      <c r="I981" s="17" t="s">
        <v>260</v>
      </c>
      <c r="J981" s="113" t="str">
        <f>VLOOKUP($I981,'Price List, Weapons &amp; Items'!B:C,2,0)</f>
        <v>.</v>
      </c>
      <c r="K981" s="113" t="str">
        <f>IF(I981=".",I981,VLOOKUP($I981,'Price List, Weapons &amp; Items'!B:D,3,0))</f>
        <v>.</v>
      </c>
      <c r="L981" s="177">
        <f>VLOOKUP(I981,'Price List, Weapons &amp; Items'!B:E,4,0)</f>
        <v>0</v>
      </c>
      <c r="M981" s="542" t="s">
        <v>260</v>
      </c>
      <c r="N981" s="542" t="s">
        <v>260</v>
      </c>
      <c r="O981" s="543" t="str">
        <f>VLOOKUP($I981,'Price List, Weapons &amp; Items'!B:G,6,0)</f>
        <v>.</v>
      </c>
      <c r="P981" s="176" t="str">
        <f t="shared" si="188"/>
        <v>.</v>
      </c>
      <c r="Q981" s="176" t="str">
        <f t="shared" si="189"/>
        <v>.</v>
      </c>
      <c r="R981" s="176">
        <f t="shared" ref="R981:R1044" si="198">IF(AD981=1,IF(H981&lt;&gt;"Not given",H981,IF(TYPE(H981)=2,IF(SUMIFS(P:P,A:A,A981)&gt;0,SUMIFS(P:P,A:A,A981),"."),"Format error")),"")</f>
        <v>500000</v>
      </c>
      <c r="S981" s="176">
        <f>IF(AND(AD981=1,R981&lt;&gt;".")=TRUE,R981/VLOOKUP(G981,'Exchange Rates'!B:C,2,0),IF(R981=".",".",""))</f>
        <v>476190.47619047615</v>
      </c>
      <c r="T981" s="176" t="str">
        <f>IF(AD981=1,IF(AF981="Value is not given at all",".",IF(AF981="Value is given by the source",S981,IF(AF981="Value is calculated with prices",(IF(SUMIFS(Q:Q,A:A,A981)&gt;0,SUMIFS(Q:Q,A:A,A981),"."))/VLOOKUP("USD",'Exchange Rates'!B:C,2,0),"Error with coding"))),"")</f>
        <v>.</v>
      </c>
      <c r="U981" s="15" t="s">
        <v>415</v>
      </c>
      <c r="V981" s="558" t="s">
        <v>2847</v>
      </c>
      <c r="W981" s="175" t="s">
        <v>260</v>
      </c>
      <c r="X981" s="175" t="s">
        <v>260</v>
      </c>
      <c r="Y981" s="175" t="s">
        <v>260</v>
      </c>
      <c r="Z981" s="15">
        <v>0</v>
      </c>
      <c r="AA981" s="180">
        <v>0</v>
      </c>
      <c r="AB981" s="17" t="s">
        <v>260</v>
      </c>
      <c r="AC981" s="544" t="str">
        <f>""</f>
        <v/>
      </c>
      <c r="AD981" s="183">
        <v>1</v>
      </c>
      <c r="AE981" s="183" t="s">
        <v>264</v>
      </c>
      <c r="AF981" s="183" t="s">
        <v>265</v>
      </c>
      <c r="AG981" s="183">
        <v>1</v>
      </c>
      <c r="AH981" s="181">
        <v>6</v>
      </c>
      <c r="AI981" s="181">
        <v>0</v>
      </c>
      <c r="AJ981" s="181">
        <f>VLOOKUP($I981,'Price List, Weapons &amp; Items'!B:F,5,0)</f>
        <v>0</v>
      </c>
      <c r="AK981" s="181">
        <f t="shared" si="190"/>
        <v>0</v>
      </c>
      <c r="AL981" s="181">
        <f t="shared" si="191"/>
        <v>0</v>
      </c>
      <c r="AM981" s="181">
        <f t="shared" si="192"/>
        <v>0</v>
      </c>
      <c r="AN981" s="180" t="str">
        <f>VLOOKUP($I981,'Price List, Weapons &amp; Items'!B:L,COLUMN('Price List, Weapons &amp; Items'!$J$11)-1,0)</f>
        <v>.</v>
      </c>
      <c r="AO981" s="180" t="str">
        <f>IF(I981=".",".",VLOOKUP($I981,'Price List, Weapons &amp; Items'!B:J,3,0))</f>
        <v>.</v>
      </c>
      <c r="AP981" s="545" t="e">
        <f t="shared" ref="AP981:AP1044" ca="1" si="199">IF(AD981=1,_xlfn.ARRAYTOTEXT(OFFSET(I981,0,0,COUNTIF(A:A,A981),1)),"")</f>
        <v>#NAME?</v>
      </c>
      <c r="AQ981" s="180" t="str">
        <f>VLOOKUP($I981,'Price List, Weapons &amp; Items'!B:L,COLUMN('Price List, Weapons &amp; Items'!$L$11)-1,0)</f>
        <v>no price, 0 count</v>
      </c>
      <c r="AR981" s="180">
        <f t="shared" si="193"/>
        <v>0</v>
      </c>
      <c r="AS981" s="180">
        <f t="shared" si="194"/>
        <v>0</v>
      </c>
      <c r="AT981" s="180">
        <f t="shared" si="195"/>
        <v>1</v>
      </c>
      <c r="AU981" s="180" t="str">
        <f t="shared" si="196"/>
        <v>.</v>
      </c>
      <c r="AV981" s="180" t="str">
        <f t="shared" si="197"/>
        <v>.</v>
      </c>
      <c r="AW981" s="180">
        <f>IFERROR(VLOOKUP(B981,'Share, Heavy Weapons to Ukraine'!B:J,COLUMN('Share, Heavy Weapons to Ukraine'!C991)-1,0),0)</f>
        <v>0</v>
      </c>
      <c r="AX981" s="180">
        <f>VLOOKUP('Bilateral Assistance, MAIN DATA'!B981,'Country Summary'!B:F,COLUMN('Country Summary'!C994)-1,FALSE)</f>
        <v>0</v>
      </c>
      <c r="AY981" s="180" t="str">
        <f>IF(AND(AD981=1,D981="Military",H981&lt;&gt;"Not given")=TRUE,IF(SUMIFS(P:P,A:A,A981)&gt;0,ABS((SUMIFS(P:P,A:A,A981)/VLOOKUP("USD",'Exchange Rates'!B:C,2,0)))/S981,"."),".")</f>
        <v>.</v>
      </c>
      <c r="AZ981" s="182" t="str">
        <f>IF(AND(AD981=1,D981="Military",H981&lt;&gt;"Not given")=TRUE,IF(SUMIFS(P:P,A:A,A981)&gt;0,IF((ABS((SUMIFS(P:P,A:A,A981)/VLOOKUP("USD",'Exchange Rates'!B:C,2,0)))/S981)&gt;1,(SUMIFS(P:P,A:A,A981)-S981)/S981,(S981-SUMIFS(P:P,A:A,A981))/SUMIFS(P:P,A:A,A981)),"."),".")</f>
        <v>.</v>
      </c>
      <c r="BA981" s="182"/>
      <c r="BB981" s="182"/>
      <c r="BC981" s="182"/>
      <c r="BD981" s="182"/>
      <c r="BE981" s="182"/>
      <c r="BF981" s="182"/>
      <c r="BG981" s="182"/>
      <c r="BH981" s="182"/>
      <c r="BI981" s="182"/>
      <c r="BJ981" s="182"/>
      <c r="BK981" s="182"/>
      <c r="BL981" s="182"/>
      <c r="BM981" s="182"/>
      <c r="BN981" s="182"/>
      <c r="BO981" s="182"/>
      <c r="BP981" s="182"/>
      <c r="BQ981" s="182"/>
      <c r="BR981" s="182"/>
      <c r="BS981" s="182"/>
    </row>
    <row r="982" spans="1:71" ht="15.9" customHeight="1" x14ac:dyDescent="0.3">
      <c r="A982" s="17" t="s">
        <v>2852</v>
      </c>
      <c r="B982" s="17" t="s">
        <v>2840</v>
      </c>
      <c r="C982" s="174">
        <v>44714</v>
      </c>
      <c r="D982" s="5" t="s">
        <v>256</v>
      </c>
      <c r="E982" s="5" t="s">
        <v>362</v>
      </c>
      <c r="F982" s="175" t="s">
        <v>2853</v>
      </c>
      <c r="G982" s="15" t="s">
        <v>346</v>
      </c>
      <c r="H982" s="176">
        <v>500000</v>
      </c>
      <c r="I982" s="17" t="s">
        <v>260</v>
      </c>
      <c r="J982" s="113" t="str">
        <f>VLOOKUP($I982,'Price List, Weapons &amp; Items'!B:C,2,0)</f>
        <v>.</v>
      </c>
      <c r="K982" s="113" t="str">
        <f>IF(I982=".",I982,VLOOKUP($I982,'Price List, Weapons &amp; Items'!B:D,3,0))</f>
        <v>.</v>
      </c>
      <c r="L982" s="177">
        <f>VLOOKUP(I982,'Price List, Weapons &amp; Items'!B:E,4,0)</f>
        <v>0</v>
      </c>
      <c r="M982" s="542" t="s">
        <v>260</v>
      </c>
      <c r="N982" s="542" t="s">
        <v>260</v>
      </c>
      <c r="O982" s="543" t="str">
        <f>VLOOKUP($I982,'Price List, Weapons &amp; Items'!B:G,6,0)</f>
        <v>.</v>
      </c>
      <c r="P982" s="176" t="str">
        <f t="shared" si="188"/>
        <v>.</v>
      </c>
      <c r="Q982" s="176" t="str">
        <f t="shared" si="189"/>
        <v>.</v>
      </c>
      <c r="R982" s="176">
        <f t="shared" si="198"/>
        <v>500000</v>
      </c>
      <c r="S982" s="176">
        <f>IF(AND(AD982=1,R982&lt;&gt;".")=TRUE,R982/VLOOKUP(G982,'Exchange Rates'!B:C,2,0),IF(R982=".",".",""))</f>
        <v>476190.47619047615</v>
      </c>
      <c r="T982" s="176" t="str">
        <f>IF(AD982=1,IF(AF982="Value is not given at all",".",IF(AF982="Value is given by the source",S982,IF(AF982="Value is calculated with prices",(IF(SUMIFS(Q:Q,A:A,A982)&gt;0,SUMIFS(Q:Q,A:A,A982),"."))/VLOOKUP("USD",'Exchange Rates'!B:C,2,0),"Error with coding"))),"")</f>
        <v>.</v>
      </c>
      <c r="U982" s="15" t="s">
        <v>415</v>
      </c>
      <c r="V982" s="300" t="s">
        <v>2847</v>
      </c>
      <c r="W982" s="175" t="s">
        <v>260</v>
      </c>
      <c r="X982" s="175" t="s">
        <v>260</v>
      </c>
      <c r="Y982" s="175" t="s">
        <v>260</v>
      </c>
      <c r="Z982" s="15">
        <v>0</v>
      </c>
      <c r="AA982" s="180">
        <v>0</v>
      </c>
      <c r="AB982" s="17" t="s">
        <v>260</v>
      </c>
      <c r="AC982" s="544" t="str">
        <f>""</f>
        <v/>
      </c>
      <c r="AD982" s="183">
        <v>1</v>
      </c>
      <c r="AE982" s="183" t="s">
        <v>264</v>
      </c>
      <c r="AF982" s="183" t="s">
        <v>265</v>
      </c>
      <c r="AG982" s="183">
        <v>1</v>
      </c>
      <c r="AH982" s="181">
        <v>6</v>
      </c>
      <c r="AI982" s="181">
        <v>0</v>
      </c>
      <c r="AJ982" s="181">
        <f>VLOOKUP($I982,'Price List, Weapons &amp; Items'!B:F,5,0)</f>
        <v>0</v>
      </c>
      <c r="AK982" s="181">
        <f t="shared" si="190"/>
        <v>0</v>
      </c>
      <c r="AL982" s="181">
        <f t="shared" si="191"/>
        <v>0</v>
      </c>
      <c r="AM982" s="181">
        <f t="shared" si="192"/>
        <v>0</v>
      </c>
      <c r="AN982" s="180" t="str">
        <f>VLOOKUP($I982,'Price List, Weapons &amp; Items'!B:L,COLUMN('Price List, Weapons &amp; Items'!$J$11)-1,0)</f>
        <v>.</v>
      </c>
      <c r="AO982" s="180" t="str">
        <f>IF(I982=".",".",VLOOKUP($I982,'Price List, Weapons &amp; Items'!B:J,3,0))</f>
        <v>.</v>
      </c>
      <c r="AP982" s="545" t="e">
        <f t="shared" ca="1" si="199"/>
        <v>#NAME?</v>
      </c>
      <c r="AQ982" s="180" t="str">
        <f>VLOOKUP($I982,'Price List, Weapons &amp; Items'!B:L,COLUMN('Price List, Weapons &amp; Items'!$L$11)-1,0)</f>
        <v>no price, 0 count</v>
      </c>
      <c r="AR982" s="180">
        <f t="shared" si="193"/>
        <v>0</v>
      </c>
      <c r="AS982" s="180">
        <f t="shared" si="194"/>
        <v>0</v>
      </c>
      <c r="AT982" s="180">
        <f t="shared" si="195"/>
        <v>1</v>
      </c>
      <c r="AU982" s="180" t="str">
        <f t="shared" si="196"/>
        <v>.</v>
      </c>
      <c r="AV982" s="180" t="str">
        <f t="shared" si="197"/>
        <v>.</v>
      </c>
      <c r="AW982" s="180">
        <f>IFERROR(VLOOKUP(B982,'Share, Heavy Weapons to Ukraine'!B:J,COLUMN('Share, Heavy Weapons to Ukraine'!C992)-1,0),0)</f>
        <v>0</v>
      </c>
      <c r="AX982" s="180">
        <f>VLOOKUP('Bilateral Assistance, MAIN DATA'!B982,'Country Summary'!B:F,COLUMN('Country Summary'!C995)-1,FALSE)</f>
        <v>0</v>
      </c>
      <c r="AY982" s="180" t="str">
        <f>IF(AND(AD982=1,D982="Military",H982&lt;&gt;"Not given")=TRUE,IF(SUMIFS(P:P,A:A,A982)&gt;0,ABS((SUMIFS(P:P,A:A,A982)/VLOOKUP("USD",'Exchange Rates'!B:C,2,0)))/S982,"."),".")</f>
        <v>.</v>
      </c>
      <c r="AZ982" s="182" t="str">
        <f>IF(AND(AD982=1,D982="Military",H982&lt;&gt;"Not given")=TRUE,IF(SUMIFS(P:P,A:A,A982)&gt;0,IF((ABS((SUMIFS(P:P,A:A,A982)/VLOOKUP("USD",'Exchange Rates'!B:C,2,0)))/S982)&gt;1,(SUMIFS(P:P,A:A,A982)-S982)/S982,(S982-SUMIFS(P:P,A:A,A982))/SUMIFS(P:P,A:A,A982)),"."),".")</f>
        <v>.</v>
      </c>
      <c r="BA982" s="182"/>
      <c r="BB982" s="182"/>
      <c r="BC982" s="182"/>
      <c r="BD982" s="182"/>
      <c r="BE982" s="182"/>
      <c r="BF982" s="182"/>
      <c r="BG982" s="182"/>
      <c r="BH982" s="182"/>
      <c r="BI982" s="182"/>
      <c r="BJ982" s="182"/>
      <c r="BK982" s="182"/>
      <c r="BL982" s="182"/>
      <c r="BM982" s="182"/>
      <c r="BN982" s="182"/>
      <c r="BO982" s="182"/>
      <c r="BP982" s="182"/>
      <c r="BQ982" s="182"/>
      <c r="BR982" s="182"/>
      <c r="BS982" s="182"/>
    </row>
    <row r="983" spans="1:71" ht="15.9" customHeight="1" x14ac:dyDescent="0.3">
      <c r="A983" s="17" t="s">
        <v>2854</v>
      </c>
      <c r="B983" s="17" t="s">
        <v>2840</v>
      </c>
      <c r="C983" s="174">
        <v>44714</v>
      </c>
      <c r="D983" s="5" t="s">
        <v>256</v>
      </c>
      <c r="E983" s="5" t="s">
        <v>362</v>
      </c>
      <c r="F983" s="175" t="s">
        <v>2855</v>
      </c>
      <c r="G983" s="15" t="s">
        <v>346</v>
      </c>
      <c r="H983" s="176">
        <v>500000</v>
      </c>
      <c r="I983" s="17" t="s">
        <v>260</v>
      </c>
      <c r="J983" s="113" t="str">
        <f>VLOOKUP($I983,'Price List, Weapons &amp; Items'!B:C,2,0)</f>
        <v>.</v>
      </c>
      <c r="K983" s="113" t="str">
        <f>IF(I983=".",I983,VLOOKUP($I983,'Price List, Weapons &amp; Items'!B:D,3,0))</f>
        <v>.</v>
      </c>
      <c r="L983" s="177">
        <f>VLOOKUP(I983,'Price List, Weapons &amp; Items'!B:E,4,0)</f>
        <v>0</v>
      </c>
      <c r="M983" s="542" t="s">
        <v>260</v>
      </c>
      <c r="N983" s="542" t="s">
        <v>260</v>
      </c>
      <c r="O983" s="543" t="str">
        <f>VLOOKUP($I983,'Price List, Weapons &amp; Items'!B:G,6,0)</f>
        <v>.</v>
      </c>
      <c r="P983" s="176" t="str">
        <f t="shared" si="188"/>
        <v>.</v>
      </c>
      <c r="Q983" s="176" t="str">
        <f t="shared" si="189"/>
        <v>.</v>
      </c>
      <c r="R983" s="176">
        <f t="shared" si="198"/>
        <v>500000</v>
      </c>
      <c r="S983" s="176">
        <f>IF(AND(AD983=1,R983&lt;&gt;".")=TRUE,R983/VLOOKUP(G983,'Exchange Rates'!B:C,2,0),IF(R983=".",".",""))</f>
        <v>476190.47619047615</v>
      </c>
      <c r="T983" s="176" t="str">
        <f>IF(AD983=1,IF(AF983="Value is not given at all",".",IF(AF983="Value is given by the source",S983,IF(AF983="Value is calculated with prices",(IF(SUMIFS(Q:Q,A:A,A983)&gt;0,SUMIFS(Q:Q,A:A,A983),"."))/VLOOKUP("USD",'Exchange Rates'!B:C,2,0),"Error with coding"))),"")</f>
        <v>.</v>
      </c>
      <c r="U983" s="15" t="s">
        <v>415</v>
      </c>
      <c r="V983" s="300" t="s">
        <v>2847</v>
      </c>
      <c r="W983" s="175" t="s">
        <v>260</v>
      </c>
      <c r="X983" s="175" t="s">
        <v>260</v>
      </c>
      <c r="Y983" s="175" t="s">
        <v>260</v>
      </c>
      <c r="Z983" s="15">
        <v>0</v>
      </c>
      <c r="AA983" s="180">
        <v>0</v>
      </c>
      <c r="AB983" s="17" t="s">
        <v>260</v>
      </c>
      <c r="AC983" s="544" t="str">
        <f>""</f>
        <v/>
      </c>
      <c r="AD983" s="183">
        <v>1</v>
      </c>
      <c r="AE983" s="183" t="s">
        <v>264</v>
      </c>
      <c r="AF983" s="183" t="s">
        <v>265</v>
      </c>
      <c r="AG983" s="183">
        <v>1</v>
      </c>
      <c r="AH983" s="181">
        <v>6</v>
      </c>
      <c r="AI983" s="181">
        <v>0</v>
      </c>
      <c r="AJ983" s="181">
        <f>VLOOKUP($I983,'Price List, Weapons &amp; Items'!B:F,5,0)</f>
        <v>0</v>
      </c>
      <c r="AK983" s="181">
        <f t="shared" si="190"/>
        <v>0</v>
      </c>
      <c r="AL983" s="181">
        <f t="shared" si="191"/>
        <v>0</v>
      </c>
      <c r="AM983" s="181">
        <f t="shared" si="192"/>
        <v>0</v>
      </c>
      <c r="AN983" s="180" t="str">
        <f>VLOOKUP($I983,'Price List, Weapons &amp; Items'!B:L,COLUMN('Price List, Weapons &amp; Items'!$J$11)-1,0)</f>
        <v>.</v>
      </c>
      <c r="AO983" s="180" t="str">
        <f>IF(I983=".",".",VLOOKUP($I983,'Price List, Weapons &amp; Items'!B:J,3,0))</f>
        <v>.</v>
      </c>
      <c r="AP983" s="545" t="e">
        <f t="shared" ca="1" si="199"/>
        <v>#NAME?</v>
      </c>
      <c r="AQ983" s="180" t="str">
        <f>VLOOKUP($I983,'Price List, Weapons &amp; Items'!B:L,COLUMN('Price List, Weapons &amp; Items'!$L$11)-1,0)</f>
        <v>no price, 0 count</v>
      </c>
      <c r="AR983" s="180">
        <f t="shared" si="193"/>
        <v>0</v>
      </c>
      <c r="AS983" s="180">
        <f t="shared" si="194"/>
        <v>0</v>
      </c>
      <c r="AT983" s="180">
        <f t="shared" si="195"/>
        <v>1</v>
      </c>
      <c r="AU983" s="180" t="str">
        <f t="shared" si="196"/>
        <v>.</v>
      </c>
      <c r="AV983" s="180" t="str">
        <f t="shared" si="197"/>
        <v>.</v>
      </c>
      <c r="AW983" s="180">
        <f>IFERROR(VLOOKUP(B983,'Share, Heavy Weapons to Ukraine'!B:J,COLUMN('Share, Heavy Weapons to Ukraine'!C993)-1,0),0)</f>
        <v>0</v>
      </c>
      <c r="AX983" s="180">
        <f>VLOOKUP('Bilateral Assistance, MAIN DATA'!B983,'Country Summary'!B:F,COLUMN('Country Summary'!C996)-1,FALSE)</f>
        <v>0</v>
      </c>
      <c r="AY983" s="180" t="str">
        <f>IF(AND(AD983=1,D983="Military",H983&lt;&gt;"Not given")=TRUE,IF(SUMIFS(P:P,A:A,A983)&gt;0,ABS((SUMIFS(P:P,A:A,A983)/VLOOKUP("USD",'Exchange Rates'!B:C,2,0)))/S983,"."),".")</f>
        <v>.</v>
      </c>
      <c r="AZ983" s="182" t="str">
        <f>IF(AND(AD983=1,D983="Military",H983&lt;&gt;"Not given")=TRUE,IF(SUMIFS(P:P,A:A,A983)&gt;0,IF((ABS((SUMIFS(P:P,A:A,A983)/VLOOKUP("USD",'Exchange Rates'!B:C,2,0)))/S983)&gt;1,(SUMIFS(P:P,A:A,A983)-S983)/S983,(S983-SUMIFS(P:P,A:A,A983))/SUMIFS(P:P,A:A,A983)),"."),".")</f>
        <v>.</v>
      </c>
      <c r="BA983" s="182"/>
      <c r="BB983" s="182"/>
      <c r="BC983" s="182"/>
      <c r="BD983" s="182"/>
      <c r="BE983" s="182"/>
      <c r="BF983" s="182"/>
      <c r="BG983" s="182"/>
      <c r="BH983" s="182"/>
      <c r="BI983" s="182"/>
      <c r="BJ983" s="182"/>
      <c r="BK983" s="182"/>
      <c r="BL983" s="182"/>
      <c r="BM983" s="182"/>
      <c r="BN983" s="182"/>
      <c r="BO983" s="182"/>
      <c r="BP983" s="182"/>
      <c r="BQ983" s="182"/>
      <c r="BR983" s="182"/>
      <c r="BS983" s="182"/>
    </row>
    <row r="984" spans="1:71" ht="15.9" customHeight="1" x14ac:dyDescent="0.3">
      <c r="A984" s="17" t="s">
        <v>2856</v>
      </c>
      <c r="B984" s="17" t="s">
        <v>2840</v>
      </c>
      <c r="C984" s="174">
        <v>44732</v>
      </c>
      <c r="D984" s="5" t="s">
        <v>256</v>
      </c>
      <c r="E984" s="5" t="s">
        <v>362</v>
      </c>
      <c r="F984" s="175" t="s">
        <v>2857</v>
      </c>
      <c r="G984" s="15" t="s">
        <v>346</v>
      </c>
      <c r="H984" s="176">
        <v>500000</v>
      </c>
      <c r="I984" s="17" t="s">
        <v>260</v>
      </c>
      <c r="J984" s="113" t="str">
        <f>VLOOKUP($I984,'Price List, Weapons &amp; Items'!B:C,2,0)</f>
        <v>.</v>
      </c>
      <c r="K984" s="113" t="str">
        <f>IF(I984=".",I984,VLOOKUP($I984,'Price List, Weapons &amp; Items'!B:D,3,0))</f>
        <v>.</v>
      </c>
      <c r="L984" s="177">
        <f>VLOOKUP(I984,'Price List, Weapons &amp; Items'!B:E,4,0)</f>
        <v>0</v>
      </c>
      <c r="M984" s="542" t="s">
        <v>260</v>
      </c>
      <c r="N984" s="542" t="s">
        <v>260</v>
      </c>
      <c r="O984" s="543" t="str">
        <f>VLOOKUP($I984,'Price List, Weapons &amp; Items'!B:G,6,0)</f>
        <v>.</v>
      </c>
      <c r="P984" s="176" t="str">
        <f t="shared" si="188"/>
        <v>.</v>
      </c>
      <c r="Q984" s="176" t="str">
        <f t="shared" si="189"/>
        <v>.</v>
      </c>
      <c r="R984" s="176">
        <f t="shared" si="198"/>
        <v>500000</v>
      </c>
      <c r="S984" s="176">
        <f>IF(AND(AD984=1,R984&lt;&gt;".")=TRUE,R984/VLOOKUP(G984,'Exchange Rates'!B:C,2,0),IF(R984=".",".",""))</f>
        <v>476190.47619047615</v>
      </c>
      <c r="T984" s="176" t="str">
        <f>IF(AD984=1,IF(AF984="Value is not given at all",".",IF(AF984="Value is given by the source",S984,IF(AF984="Value is calculated with prices",(IF(SUMIFS(Q:Q,A:A,A984)&gt;0,SUMIFS(Q:Q,A:A,A984),"."))/VLOOKUP("USD",'Exchange Rates'!B:C,2,0),"Error with coding"))),"")</f>
        <v>.</v>
      </c>
      <c r="U984" s="15" t="s">
        <v>415</v>
      </c>
      <c r="V984" s="300" t="s">
        <v>2858</v>
      </c>
      <c r="W984" s="175" t="s">
        <v>260</v>
      </c>
      <c r="X984" s="175" t="s">
        <v>260</v>
      </c>
      <c r="Y984" s="175" t="s">
        <v>260</v>
      </c>
      <c r="Z984" s="15">
        <v>0</v>
      </c>
      <c r="AA984" s="180">
        <v>0</v>
      </c>
      <c r="AB984" s="17" t="s">
        <v>260</v>
      </c>
      <c r="AC984" s="544" t="str">
        <f>""</f>
        <v/>
      </c>
      <c r="AD984" s="183">
        <v>1</v>
      </c>
      <c r="AE984" s="183" t="s">
        <v>264</v>
      </c>
      <c r="AF984" s="183" t="s">
        <v>265</v>
      </c>
      <c r="AG984" s="183">
        <v>1</v>
      </c>
      <c r="AH984" s="181">
        <v>6</v>
      </c>
      <c r="AI984" s="181">
        <v>0</v>
      </c>
      <c r="AJ984" s="181">
        <f>VLOOKUP($I984,'Price List, Weapons &amp; Items'!B:F,5,0)</f>
        <v>0</v>
      </c>
      <c r="AK984" s="181">
        <f t="shared" si="190"/>
        <v>0</v>
      </c>
      <c r="AL984" s="181">
        <f t="shared" si="191"/>
        <v>0</v>
      </c>
      <c r="AM984" s="181">
        <f t="shared" si="192"/>
        <v>0</v>
      </c>
      <c r="AN984" s="180" t="str">
        <f>VLOOKUP($I984,'Price List, Weapons &amp; Items'!B:L,COLUMN('Price List, Weapons &amp; Items'!$J$11)-1,0)</f>
        <v>.</v>
      </c>
      <c r="AO984" s="180" t="str">
        <f>IF(I984=".",".",VLOOKUP($I984,'Price List, Weapons &amp; Items'!B:J,3,0))</f>
        <v>.</v>
      </c>
      <c r="AP984" s="545" t="e">
        <f t="shared" ca="1" si="199"/>
        <v>#NAME?</v>
      </c>
      <c r="AQ984" s="180" t="str">
        <f>VLOOKUP($I984,'Price List, Weapons &amp; Items'!B:L,COLUMN('Price List, Weapons &amp; Items'!$L$11)-1,0)</f>
        <v>no price, 0 count</v>
      </c>
      <c r="AR984" s="180">
        <f t="shared" si="193"/>
        <v>0</v>
      </c>
      <c r="AS984" s="180">
        <f t="shared" si="194"/>
        <v>0</v>
      </c>
      <c r="AT984" s="180">
        <f t="shared" si="195"/>
        <v>1</v>
      </c>
      <c r="AU984" s="180" t="str">
        <f t="shared" si="196"/>
        <v>.</v>
      </c>
      <c r="AV984" s="180" t="str">
        <f t="shared" si="197"/>
        <v>.</v>
      </c>
      <c r="AW984" s="180">
        <f>IFERROR(VLOOKUP(B984,'Share, Heavy Weapons to Ukraine'!B:J,COLUMN('Share, Heavy Weapons to Ukraine'!C994)-1,0),0)</f>
        <v>0</v>
      </c>
      <c r="AX984" s="180">
        <f>VLOOKUP('Bilateral Assistance, MAIN DATA'!B984,'Country Summary'!B:F,COLUMN('Country Summary'!C997)-1,FALSE)</f>
        <v>0</v>
      </c>
      <c r="AY984" s="180" t="str">
        <f>IF(AND(AD984=1,D984="Military",H984&lt;&gt;"Not given")=TRUE,IF(SUMIFS(P:P,A:A,A984)&gt;0,ABS((SUMIFS(P:P,A:A,A984)/VLOOKUP("USD",'Exchange Rates'!B:C,2,0)))/S984,"."),".")</f>
        <v>.</v>
      </c>
      <c r="AZ984" s="182" t="str">
        <f>IF(AND(AD984=1,D984="Military",H984&lt;&gt;"Not given")=TRUE,IF(SUMIFS(P:P,A:A,A984)&gt;0,IF((ABS((SUMIFS(P:P,A:A,A984)/VLOOKUP("USD",'Exchange Rates'!B:C,2,0)))/S984)&gt;1,(SUMIFS(P:P,A:A,A984)-S984)/S984,(S984-SUMIFS(P:P,A:A,A984))/SUMIFS(P:P,A:A,A984)),"."),".")</f>
        <v>.</v>
      </c>
      <c r="BA984" s="182"/>
      <c r="BB984" s="182"/>
      <c r="BC984" s="182"/>
      <c r="BD984" s="182"/>
      <c r="BE984" s="182"/>
      <c r="BF984" s="182"/>
      <c r="BG984" s="182"/>
      <c r="BH984" s="182"/>
      <c r="BI984" s="182"/>
      <c r="BJ984" s="182"/>
      <c r="BK984" s="182"/>
      <c r="BL984" s="182"/>
      <c r="BM984" s="182"/>
      <c r="BN984" s="182"/>
      <c r="BO984" s="182"/>
      <c r="BP984" s="182"/>
      <c r="BQ984" s="182"/>
      <c r="BR984" s="182"/>
      <c r="BS984" s="182"/>
    </row>
    <row r="985" spans="1:71" ht="15.9" customHeight="1" x14ac:dyDescent="0.3">
      <c r="A985" s="17" t="s">
        <v>2859</v>
      </c>
      <c r="B985" s="17" t="s">
        <v>2840</v>
      </c>
      <c r="C985" s="174">
        <v>44861</v>
      </c>
      <c r="D985" s="5" t="s">
        <v>256</v>
      </c>
      <c r="E985" s="5" t="s">
        <v>878</v>
      </c>
      <c r="F985" s="175" t="s">
        <v>2860</v>
      </c>
      <c r="G985" s="15" t="s">
        <v>346</v>
      </c>
      <c r="H985" s="176">
        <v>56000000</v>
      </c>
      <c r="I985" s="17" t="s">
        <v>260</v>
      </c>
      <c r="J985" s="113" t="str">
        <f>VLOOKUP($I985,'Price List, Weapons &amp; Items'!B:C,2,0)</f>
        <v>.</v>
      </c>
      <c r="K985" s="113" t="str">
        <f>IF(I985=".",I985,VLOOKUP($I985,'Price List, Weapons &amp; Items'!B:D,3,0))</f>
        <v>.</v>
      </c>
      <c r="L985" s="177">
        <f>VLOOKUP(I985,'Price List, Weapons &amp; Items'!B:E,4,0)</f>
        <v>0</v>
      </c>
      <c r="M985" s="542" t="s">
        <v>260</v>
      </c>
      <c r="N985" s="542" t="s">
        <v>260</v>
      </c>
      <c r="O985" s="543" t="str">
        <f>VLOOKUP($I985,'Price List, Weapons &amp; Items'!B:G,6,0)</f>
        <v>.</v>
      </c>
      <c r="P985" s="176" t="str">
        <f t="shared" si="188"/>
        <v>.</v>
      </c>
      <c r="Q985" s="176" t="str">
        <f t="shared" si="189"/>
        <v>.</v>
      </c>
      <c r="R985" s="176">
        <f t="shared" si="198"/>
        <v>56000000</v>
      </c>
      <c r="S985" s="176">
        <f>IF(AND(AD985=1,R985&lt;&gt;".")=TRUE,R985/VLOOKUP(G985,'Exchange Rates'!B:C,2,0),IF(R985=".",".",""))</f>
        <v>53333333.333333328</v>
      </c>
      <c r="T985" s="176" t="str">
        <f>IF(AD985=1,IF(AF985="Value is not given at all",".",IF(AF985="Value is given by the source",S985,IF(AF985="Value is calculated with prices",(IF(SUMIFS(Q:Q,A:A,A985)&gt;0,SUMIFS(Q:Q,A:A,A985),"."))/VLOOKUP("USD",'Exchange Rates'!B:C,2,0),"Error with coding"))),"")</f>
        <v>.</v>
      </c>
      <c r="U985" s="15" t="s">
        <v>261</v>
      </c>
      <c r="V985" s="305" t="s">
        <v>2861</v>
      </c>
      <c r="W985" s="305" t="s">
        <v>2862</v>
      </c>
      <c r="X985" s="175" t="s">
        <v>260</v>
      </c>
      <c r="Y985" s="668" t="s">
        <v>260</v>
      </c>
      <c r="Z985" s="15">
        <v>0</v>
      </c>
      <c r="AA985" s="180">
        <v>0</v>
      </c>
      <c r="AB985" s="669" t="s">
        <v>260</v>
      </c>
      <c r="AC985" s="544" t="str">
        <f>""</f>
        <v/>
      </c>
      <c r="AD985" s="183">
        <v>1</v>
      </c>
      <c r="AE985" s="183" t="s">
        <v>264</v>
      </c>
      <c r="AF985" s="183" t="s">
        <v>265</v>
      </c>
      <c r="AG985" s="183">
        <v>1</v>
      </c>
      <c r="AH985" s="181">
        <v>10</v>
      </c>
      <c r="AI985" s="181">
        <v>0</v>
      </c>
      <c r="AJ985" s="181">
        <f>VLOOKUP($I985,'Price List, Weapons &amp; Items'!B:F,5,0)</f>
        <v>0</v>
      </c>
      <c r="AK985" s="181">
        <f t="shared" si="190"/>
        <v>0</v>
      </c>
      <c r="AL985" s="181">
        <f t="shared" si="191"/>
        <v>0</v>
      </c>
      <c r="AM985" s="181">
        <f t="shared" si="192"/>
        <v>0</v>
      </c>
      <c r="AN985" s="180" t="str">
        <f>VLOOKUP($I985,'Price List, Weapons &amp; Items'!B:L,COLUMN('Price List, Weapons &amp; Items'!$J$11)-1,0)</f>
        <v>.</v>
      </c>
      <c r="AO985" s="180" t="str">
        <f>IF(I985=".",".",VLOOKUP($I985,'Price List, Weapons &amp; Items'!B:J,3,0))</f>
        <v>.</v>
      </c>
      <c r="AP985" s="545" t="e">
        <f t="shared" ca="1" si="199"/>
        <v>#NAME?</v>
      </c>
      <c r="AQ985" s="180" t="str">
        <f>VLOOKUP($I985,'Price List, Weapons &amp; Items'!B:L,COLUMN('Price List, Weapons &amp; Items'!$L$11)-1,0)</f>
        <v>no price, 0 count</v>
      </c>
      <c r="AR985" s="180">
        <f t="shared" si="193"/>
        <v>1</v>
      </c>
      <c r="AS985" s="180">
        <f t="shared" si="194"/>
        <v>0</v>
      </c>
      <c r="AT985" s="180">
        <f t="shared" si="195"/>
        <v>1</v>
      </c>
      <c r="AU985" s="180" t="str">
        <f t="shared" si="196"/>
        <v>.</v>
      </c>
      <c r="AV985" s="180" t="str">
        <f t="shared" si="197"/>
        <v>.</v>
      </c>
      <c r="AW985" s="180">
        <f>IFERROR(VLOOKUP(B985,'Share, Heavy Weapons to Ukraine'!B:J,COLUMN('Share, Heavy Weapons to Ukraine'!C995)-1,0),0)</f>
        <v>0</v>
      </c>
      <c r="AX985" s="180">
        <f>VLOOKUP('Bilateral Assistance, MAIN DATA'!B985,'Country Summary'!B:F,COLUMN('Country Summary'!C998)-1,FALSE)</f>
        <v>0</v>
      </c>
      <c r="AY985" s="180" t="str">
        <f>IF(AND(AD985=1,D985="Military",H985&lt;&gt;"Not given")=TRUE,IF(SUMIFS(P:P,A:A,A985)&gt;0,ABS((SUMIFS(P:P,A:A,A985)/VLOOKUP("USD",'Exchange Rates'!B:C,2,0)))/S985,"."),".")</f>
        <v>.</v>
      </c>
      <c r="AZ985" s="182" t="str">
        <f>IF(AND(AD985=1,D985="Military",H985&lt;&gt;"Not given")=TRUE,IF(SUMIFS(P:P,A:A,A985)&gt;0,IF((ABS((SUMIFS(P:P,A:A,A985)/VLOOKUP("USD",'Exchange Rates'!B:C,2,0)))/S985)&gt;1,(SUMIFS(P:P,A:A,A985)-S985)/S985,(S985-SUMIFS(P:P,A:A,A985))/SUMIFS(P:P,A:A,A985)),"."),".")</f>
        <v>.</v>
      </c>
      <c r="BA985" s="182"/>
      <c r="BB985" s="182"/>
      <c r="BC985" s="182"/>
      <c r="BD985" s="182"/>
      <c r="BE985" s="182"/>
      <c r="BF985" s="182"/>
      <c r="BG985" s="182"/>
      <c r="BH985" s="182"/>
      <c r="BI985" s="182"/>
      <c r="BJ985" s="182"/>
      <c r="BK985" s="182"/>
      <c r="BL985" s="182"/>
      <c r="BM985" s="182"/>
      <c r="BN985" s="182"/>
      <c r="BO985" s="182"/>
      <c r="BP985" s="182"/>
      <c r="BQ985" s="182"/>
      <c r="BR985" s="182"/>
      <c r="BS985" s="182"/>
    </row>
    <row r="986" spans="1:71" ht="15.9" customHeight="1" x14ac:dyDescent="0.3">
      <c r="A986" s="17" t="s">
        <v>2863</v>
      </c>
      <c r="B986" s="17" t="s">
        <v>2864</v>
      </c>
      <c r="C986" s="174">
        <v>44619</v>
      </c>
      <c r="D986" s="5" t="s">
        <v>256</v>
      </c>
      <c r="E986" s="5" t="s">
        <v>554</v>
      </c>
      <c r="F986" s="175" t="s">
        <v>2865</v>
      </c>
      <c r="G986" s="15" t="s">
        <v>2866</v>
      </c>
      <c r="H986" s="176">
        <v>40000000</v>
      </c>
      <c r="I986" s="17" t="s">
        <v>260</v>
      </c>
      <c r="J986" s="113" t="str">
        <f>VLOOKUP($I986,'Price List, Weapons &amp; Items'!B:C,2,0)</f>
        <v>.</v>
      </c>
      <c r="K986" s="113" t="str">
        <f>IF(I986=".",I986,VLOOKUP($I986,'Price List, Weapons &amp; Items'!B:D,3,0))</f>
        <v>.</v>
      </c>
      <c r="L986" s="177">
        <f>VLOOKUP(I986,'Price List, Weapons &amp; Items'!B:E,4,0)</f>
        <v>0</v>
      </c>
      <c r="M986" s="542" t="s">
        <v>260</v>
      </c>
      <c r="N986" s="542" t="s">
        <v>260</v>
      </c>
      <c r="O986" s="543" t="str">
        <f>VLOOKUP($I986,'Price List, Weapons &amp; Items'!B:G,6,0)</f>
        <v>.</v>
      </c>
      <c r="P986" s="176" t="str">
        <f t="shared" si="188"/>
        <v>.</v>
      </c>
      <c r="Q986" s="176" t="str">
        <f t="shared" si="189"/>
        <v>.</v>
      </c>
      <c r="R986" s="176">
        <f t="shared" si="198"/>
        <v>40000000</v>
      </c>
      <c r="S986" s="176">
        <f>IF(AND(AD986=1,R986&lt;&gt;".")=TRUE,R986/VLOOKUP(G986,'Exchange Rates'!B:C,2,0),IF(R986=".",".",""))</f>
        <v>46406942.478594795</v>
      </c>
      <c r="T986" s="176" t="str">
        <f>IF(AD986=1,IF(AF986="Value is not given at all",".",IF(AF986="Value is given by the source",S986,IF(AF986="Value is calculated with prices",(IF(SUMIFS(Q:Q,A:A,A986)&gt;0,SUMIFS(Q:Q,A:A,A986),"."))/VLOOKUP("USD",'Exchange Rates'!B:C,2,0),"Error with coding"))),"")</f>
        <v>.</v>
      </c>
      <c r="U986" s="15" t="s">
        <v>415</v>
      </c>
      <c r="V986" s="300" t="s">
        <v>2867</v>
      </c>
      <c r="W986" s="175" t="s">
        <v>260</v>
      </c>
      <c r="X986" s="175" t="s">
        <v>260</v>
      </c>
      <c r="Y986" s="175" t="s">
        <v>260</v>
      </c>
      <c r="Z986" s="15">
        <v>0</v>
      </c>
      <c r="AA986" s="180">
        <v>0</v>
      </c>
      <c r="AB986" s="184" t="s">
        <v>260</v>
      </c>
      <c r="AC986" s="544" t="str">
        <f>""</f>
        <v/>
      </c>
      <c r="AD986" s="181">
        <v>1</v>
      </c>
      <c r="AE986" s="181" t="s">
        <v>264</v>
      </c>
      <c r="AF986" s="181" t="s">
        <v>265</v>
      </c>
      <c r="AG986" s="181">
        <v>1</v>
      </c>
      <c r="AH986" s="181">
        <v>2</v>
      </c>
      <c r="AI986" s="181">
        <v>0</v>
      </c>
      <c r="AJ986" s="181">
        <f>VLOOKUP($I986,'Price List, Weapons &amp; Items'!B:F,5,0)</f>
        <v>0</v>
      </c>
      <c r="AK986" s="181">
        <f t="shared" si="190"/>
        <v>0</v>
      </c>
      <c r="AL986" s="181">
        <f t="shared" si="191"/>
        <v>0</v>
      </c>
      <c r="AM986" s="181">
        <f t="shared" si="192"/>
        <v>0</v>
      </c>
      <c r="AN986" s="180" t="str">
        <f>VLOOKUP($I986,'Price List, Weapons &amp; Items'!B:L,COLUMN('Price List, Weapons &amp; Items'!$J$11)-1,0)</f>
        <v>.</v>
      </c>
      <c r="AO986" s="180" t="str">
        <f>IF(I986=".",".",VLOOKUP($I986,'Price List, Weapons &amp; Items'!B:J,3,0))</f>
        <v>.</v>
      </c>
      <c r="AP986" s="545" t="e">
        <f t="shared" ca="1" si="199"/>
        <v>#NAME?</v>
      </c>
      <c r="AQ986" s="180" t="str">
        <f>VLOOKUP($I986,'Price List, Weapons &amp; Items'!B:L,COLUMN('Price List, Weapons &amp; Items'!$L$11)-1,0)</f>
        <v>no price, 0 count</v>
      </c>
      <c r="AR986" s="180">
        <f t="shared" si="193"/>
        <v>0</v>
      </c>
      <c r="AS986" s="180">
        <f t="shared" si="194"/>
        <v>0</v>
      </c>
      <c r="AT986" s="180">
        <f t="shared" si="195"/>
        <v>1</v>
      </c>
      <c r="AU986" s="180" t="str">
        <f t="shared" si="196"/>
        <v>.</v>
      </c>
      <c r="AV986" s="180" t="str">
        <f t="shared" si="197"/>
        <v>.</v>
      </c>
      <c r="AW986" s="180">
        <f>IFERROR(VLOOKUP(B986,'Share, Heavy Weapons to Ukraine'!B:J,COLUMN('Share, Heavy Weapons to Ukraine'!C996)-1,0),0)</f>
        <v>1</v>
      </c>
      <c r="AX986" s="180">
        <f>VLOOKUP('Bilateral Assistance, MAIN DATA'!B986,'Country Summary'!B:F,COLUMN('Country Summary'!C999)-1,FALSE)</f>
        <v>0</v>
      </c>
      <c r="AY986" s="180" t="str">
        <f>IF(AND(AD986=1,D986="Military",H986&lt;&gt;"Not given")=TRUE,IF(SUMIFS(P:P,A:A,A986)&gt;0,ABS((SUMIFS(P:P,A:A,A986)/VLOOKUP("USD",'Exchange Rates'!B:C,2,0)))/S986,"."),".")</f>
        <v>.</v>
      </c>
      <c r="AZ986" s="182" t="str">
        <f>IF(AND(AD986=1,D986="Military",H986&lt;&gt;"Not given")=TRUE,IF(SUMIFS(P:P,A:A,A986)&gt;0,IF((ABS((SUMIFS(P:P,A:A,A986)/VLOOKUP("USD",'Exchange Rates'!B:C,2,0)))/S986)&gt;1,(SUMIFS(P:P,A:A,A986)-S986)/S986,(S986-SUMIFS(P:P,A:A,A986))/SUMIFS(P:P,A:A,A986)),"."),".")</f>
        <v>.</v>
      </c>
      <c r="BA986" s="182"/>
      <c r="BB986" s="182"/>
      <c r="BC986" s="182"/>
      <c r="BD986" s="182"/>
      <c r="BE986" s="182"/>
      <c r="BF986" s="182"/>
      <c r="BG986" s="182"/>
      <c r="BH986" s="182"/>
      <c r="BI986" s="182"/>
      <c r="BJ986" s="182"/>
      <c r="BK986" s="182"/>
      <c r="BL986" s="182"/>
      <c r="BM986" s="182"/>
      <c r="BN986" s="182"/>
      <c r="BO986" s="182"/>
      <c r="BP986" s="182"/>
      <c r="BQ986" s="182"/>
      <c r="BR986" s="182"/>
      <c r="BS986" s="182"/>
    </row>
    <row r="987" spans="1:71" ht="15.9" customHeight="1" x14ac:dyDescent="0.3">
      <c r="A987" s="17" t="s">
        <v>2868</v>
      </c>
      <c r="B987" s="17" t="s">
        <v>2864</v>
      </c>
      <c r="C987" s="174">
        <v>44621</v>
      </c>
      <c r="D987" s="5" t="s">
        <v>256</v>
      </c>
      <c r="E987" s="5" t="s">
        <v>554</v>
      </c>
      <c r="F987" s="175" t="s">
        <v>2869</v>
      </c>
      <c r="G987" s="15" t="s">
        <v>2866</v>
      </c>
      <c r="H987" s="176">
        <v>40000000</v>
      </c>
      <c r="I987" s="17" t="s">
        <v>260</v>
      </c>
      <c r="J987" s="113" t="str">
        <f>VLOOKUP($I987,'Price List, Weapons &amp; Items'!B:C,2,0)</f>
        <v>.</v>
      </c>
      <c r="K987" s="113" t="str">
        <f>IF(I987=".",I987,VLOOKUP($I987,'Price List, Weapons &amp; Items'!B:D,3,0))</f>
        <v>.</v>
      </c>
      <c r="L987" s="177">
        <f>VLOOKUP(I987,'Price List, Weapons &amp; Items'!B:E,4,0)</f>
        <v>0</v>
      </c>
      <c r="M987" s="542" t="s">
        <v>260</v>
      </c>
      <c r="N987" s="542" t="s">
        <v>260</v>
      </c>
      <c r="O987" s="543" t="str">
        <f>VLOOKUP($I987,'Price List, Weapons &amp; Items'!B:G,6,0)</f>
        <v>.</v>
      </c>
      <c r="P987" s="176" t="str">
        <f t="shared" si="188"/>
        <v>.</v>
      </c>
      <c r="Q987" s="176" t="str">
        <f t="shared" si="189"/>
        <v>.</v>
      </c>
      <c r="R987" s="176">
        <f t="shared" si="198"/>
        <v>40000000</v>
      </c>
      <c r="S987" s="176">
        <f>IF(AND(AD987=1,R987&lt;&gt;".")=TRUE,R987/VLOOKUP(G987,'Exchange Rates'!B:C,2,0),IF(R987=".",".",""))</f>
        <v>46406942.478594795</v>
      </c>
      <c r="T987" s="176" t="str">
        <f>IF(AD987=1,IF(AF987="Value is not given at all",".",IF(AF987="Value is given by the source",S987,IF(AF987="Value is calculated with prices",(IF(SUMIFS(Q:Q,A:A,A987)&gt;0,SUMIFS(Q:Q,A:A,A987),"."))/VLOOKUP("USD",'Exchange Rates'!B:C,2,0),"Error with coding"))),"")</f>
        <v>.</v>
      </c>
      <c r="U987" s="15" t="s">
        <v>415</v>
      </c>
      <c r="V987" s="300" t="s">
        <v>2870</v>
      </c>
      <c r="W987" s="300" t="s">
        <v>2871</v>
      </c>
      <c r="X987" s="300" t="s">
        <v>2872</v>
      </c>
      <c r="Y987" s="175" t="s">
        <v>260</v>
      </c>
      <c r="Z987" s="15">
        <v>0</v>
      </c>
      <c r="AA987" s="180">
        <v>0</v>
      </c>
      <c r="AB987" s="184" t="s">
        <v>260</v>
      </c>
      <c r="AC987" s="544" t="str">
        <f>""</f>
        <v/>
      </c>
      <c r="AD987" s="181">
        <v>1</v>
      </c>
      <c r="AE987" s="181" t="s">
        <v>264</v>
      </c>
      <c r="AF987" s="181" t="s">
        <v>265</v>
      </c>
      <c r="AG987" s="181">
        <v>1</v>
      </c>
      <c r="AH987" s="181">
        <v>3</v>
      </c>
      <c r="AI987" s="181">
        <v>0</v>
      </c>
      <c r="AJ987" s="181">
        <f>VLOOKUP($I987,'Price List, Weapons &amp; Items'!B:F,5,0)</f>
        <v>0</v>
      </c>
      <c r="AK987" s="181">
        <f t="shared" si="190"/>
        <v>0</v>
      </c>
      <c r="AL987" s="181">
        <f t="shared" si="191"/>
        <v>0</v>
      </c>
      <c r="AM987" s="181">
        <f t="shared" si="192"/>
        <v>0</v>
      </c>
      <c r="AN987" s="180" t="str">
        <f>VLOOKUP($I987,'Price List, Weapons &amp; Items'!B:L,COLUMN('Price List, Weapons &amp; Items'!$J$11)-1,0)</f>
        <v>.</v>
      </c>
      <c r="AO987" s="180" t="str">
        <f>IF(I987=".",".",VLOOKUP($I987,'Price List, Weapons &amp; Items'!B:J,3,0))</f>
        <v>.</v>
      </c>
      <c r="AP987" s="545" t="e">
        <f t="shared" ca="1" si="199"/>
        <v>#NAME?</v>
      </c>
      <c r="AQ987" s="180" t="str">
        <f>VLOOKUP($I987,'Price List, Weapons &amp; Items'!B:L,COLUMN('Price List, Weapons &amp; Items'!$L$11)-1,0)</f>
        <v>no price, 0 count</v>
      </c>
      <c r="AR987" s="180">
        <f t="shared" si="193"/>
        <v>0</v>
      </c>
      <c r="AS987" s="180">
        <f t="shared" si="194"/>
        <v>0</v>
      </c>
      <c r="AT987" s="180">
        <f t="shared" si="195"/>
        <v>1</v>
      </c>
      <c r="AU987" s="180" t="str">
        <f t="shared" si="196"/>
        <v>.</v>
      </c>
      <c r="AV987" s="180" t="str">
        <f t="shared" si="197"/>
        <v>.</v>
      </c>
      <c r="AW987" s="180">
        <f>IFERROR(VLOOKUP(B987,'Share, Heavy Weapons to Ukraine'!B:J,COLUMN('Share, Heavy Weapons to Ukraine'!C997)-1,0),0)</f>
        <v>1</v>
      </c>
      <c r="AX987" s="180">
        <f>VLOOKUP('Bilateral Assistance, MAIN DATA'!B987,'Country Summary'!B:F,COLUMN('Country Summary'!C1000)-1,FALSE)</f>
        <v>0</v>
      </c>
      <c r="AY987" s="180" t="str">
        <f>IF(AND(AD987=1,D987="Military",H987&lt;&gt;"Not given")=TRUE,IF(SUMIFS(P:P,A:A,A987)&gt;0,ABS((SUMIFS(P:P,A:A,A987)/VLOOKUP("USD",'Exchange Rates'!B:C,2,0)))/S987,"."),".")</f>
        <v>.</v>
      </c>
      <c r="AZ987" s="182" t="str">
        <f>IF(AND(AD987=1,D987="Military",H987&lt;&gt;"Not given")=TRUE,IF(SUMIFS(P:P,A:A,A987)&gt;0,IF((ABS((SUMIFS(P:P,A:A,A987)/VLOOKUP("USD",'Exchange Rates'!B:C,2,0)))/S987)&gt;1,(SUMIFS(P:P,A:A,A987)-S987)/S987,(S987-SUMIFS(P:P,A:A,A987))/SUMIFS(P:P,A:A,A987)),"."),".")</f>
        <v>.</v>
      </c>
      <c r="BA987" s="182"/>
      <c r="BB987" s="182"/>
      <c r="BC987" s="182"/>
      <c r="BD987" s="182"/>
      <c r="BE987" s="182"/>
      <c r="BF987" s="182"/>
      <c r="BG987" s="182"/>
      <c r="BH987" s="182"/>
      <c r="BI987" s="182"/>
      <c r="BJ987" s="182"/>
      <c r="BK987" s="182"/>
      <c r="BL987" s="182"/>
      <c r="BM987" s="182"/>
      <c r="BN987" s="182"/>
      <c r="BO987" s="182"/>
      <c r="BP987" s="182"/>
      <c r="BQ987" s="182"/>
      <c r="BR987" s="182"/>
      <c r="BS987" s="182"/>
    </row>
    <row r="988" spans="1:71" ht="15.9" customHeight="1" x14ac:dyDescent="0.3">
      <c r="A988" s="17" t="s">
        <v>2873</v>
      </c>
      <c r="B988" s="17" t="s">
        <v>2864</v>
      </c>
      <c r="C988" s="174">
        <v>44627</v>
      </c>
      <c r="D988" s="5" t="s">
        <v>256</v>
      </c>
      <c r="E988" s="5" t="s">
        <v>554</v>
      </c>
      <c r="F988" s="175" t="s">
        <v>2874</v>
      </c>
      <c r="G988" s="15" t="s">
        <v>2866</v>
      </c>
      <c r="H988" s="176">
        <v>230000000</v>
      </c>
      <c r="I988" s="17" t="s">
        <v>260</v>
      </c>
      <c r="J988" s="113" t="str">
        <f>VLOOKUP($I988,'Price List, Weapons &amp; Items'!B:C,2,0)</f>
        <v>.</v>
      </c>
      <c r="K988" s="113" t="str">
        <f>IF(I988=".",I988,VLOOKUP($I988,'Price List, Weapons &amp; Items'!B:D,3,0))</f>
        <v>.</v>
      </c>
      <c r="L988" s="177">
        <f>VLOOKUP(I988,'Price List, Weapons &amp; Items'!B:E,4,0)</f>
        <v>0</v>
      </c>
      <c r="M988" s="542" t="s">
        <v>260</v>
      </c>
      <c r="N988" s="542" t="s">
        <v>260</v>
      </c>
      <c r="O988" s="543" t="str">
        <f>VLOOKUP($I988,'Price List, Weapons &amp; Items'!B:G,6,0)</f>
        <v>.</v>
      </c>
      <c r="P988" s="176" t="str">
        <f t="shared" si="188"/>
        <v>.</v>
      </c>
      <c r="Q988" s="176" t="str">
        <f t="shared" si="189"/>
        <v>.</v>
      </c>
      <c r="R988" s="176">
        <f t="shared" si="198"/>
        <v>230000000</v>
      </c>
      <c r="S988" s="176">
        <f>IF(AND(AD988=1,R988&lt;&gt;".")=TRUE,R988/VLOOKUP(G988,'Exchange Rates'!B:C,2,0),IF(R988=".",".",""))</f>
        <v>266839919.25192007</v>
      </c>
      <c r="T988" s="176" t="str">
        <f>IF(AD988=1,IF(AF988="Value is not given at all",".",IF(AF988="Value is given by the source",S988,IF(AF988="Value is calculated with prices",(IF(SUMIFS(Q:Q,A:A,A988)&gt;0,SUMIFS(Q:Q,A:A,A988),"."))/VLOOKUP("USD",'Exchange Rates'!B:C,2,0),"Error with coding"))),"")</f>
        <v>.</v>
      </c>
      <c r="U988" s="15" t="s">
        <v>415</v>
      </c>
      <c r="V988" s="300" t="s">
        <v>2875</v>
      </c>
      <c r="W988" s="175" t="s">
        <v>260</v>
      </c>
      <c r="X988" s="175" t="s">
        <v>260</v>
      </c>
      <c r="Y988" s="175" t="s">
        <v>260</v>
      </c>
      <c r="Z988" s="15">
        <v>0</v>
      </c>
      <c r="AA988" s="180">
        <v>0</v>
      </c>
      <c r="AB988" s="184" t="s">
        <v>260</v>
      </c>
      <c r="AC988" s="544" t="str">
        <f>""</f>
        <v/>
      </c>
      <c r="AD988" s="181">
        <v>1</v>
      </c>
      <c r="AE988" s="181" t="s">
        <v>264</v>
      </c>
      <c r="AF988" s="181" t="s">
        <v>265</v>
      </c>
      <c r="AG988" s="181">
        <v>1</v>
      </c>
      <c r="AH988" s="181">
        <v>3</v>
      </c>
      <c r="AI988" s="181">
        <v>0</v>
      </c>
      <c r="AJ988" s="181">
        <f>VLOOKUP($I988,'Price List, Weapons &amp; Items'!B:F,5,0)</f>
        <v>0</v>
      </c>
      <c r="AK988" s="181">
        <f t="shared" si="190"/>
        <v>0</v>
      </c>
      <c r="AL988" s="181">
        <f t="shared" si="191"/>
        <v>0</v>
      </c>
      <c r="AM988" s="181">
        <f t="shared" si="192"/>
        <v>0</v>
      </c>
      <c r="AN988" s="180" t="str">
        <f>VLOOKUP($I988,'Price List, Weapons &amp; Items'!B:L,COLUMN('Price List, Weapons &amp; Items'!$J$11)-1,0)</f>
        <v>.</v>
      </c>
      <c r="AO988" s="180" t="str">
        <f>IF(I988=".",".",VLOOKUP($I988,'Price List, Weapons &amp; Items'!B:J,3,0))</f>
        <v>.</v>
      </c>
      <c r="AP988" s="545" t="e">
        <f t="shared" ca="1" si="199"/>
        <v>#NAME?</v>
      </c>
      <c r="AQ988" s="180" t="str">
        <f>VLOOKUP($I988,'Price List, Weapons &amp; Items'!B:L,COLUMN('Price List, Weapons &amp; Items'!$L$11)-1,0)</f>
        <v>no price, 0 count</v>
      </c>
      <c r="AR988" s="180">
        <f t="shared" si="193"/>
        <v>0</v>
      </c>
      <c r="AS988" s="180">
        <f t="shared" si="194"/>
        <v>0</v>
      </c>
      <c r="AT988" s="180">
        <f t="shared" si="195"/>
        <v>1</v>
      </c>
      <c r="AU988" s="180" t="str">
        <f t="shared" si="196"/>
        <v>.</v>
      </c>
      <c r="AV988" s="180" t="str">
        <f t="shared" si="197"/>
        <v>.</v>
      </c>
      <c r="AW988" s="180">
        <f>IFERROR(VLOOKUP(B988,'Share, Heavy Weapons to Ukraine'!B:J,COLUMN('Share, Heavy Weapons to Ukraine'!C998)-1,0),0)</f>
        <v>1</v>
      </c>
      <c r="AX988" s="180">
        <f>VLOOKUP('Bilateral Assistance, MAIN DATA'!B988,'Country Summary'!B:F,COLUMN('Country Summary'!C1001)-1,FALSE)</f>
        <v>0</v>
      </c>
      <c r="AY988" s="180" t="str">
        <f>IF(AND(AD988=1,D988="Military",H988&lt;&gt;"Not given")=TRUE,IF(SUMIFS(P:P,A:A,A988)&gt;0,ABS((SUMIFS(P:P,A:A,A988)/VLOOKUP("USD",'Exchange Rates'!B:C,2,0)))/S988,"."),".")</f>
        <v>.</v>
      </c>
      <c r="AZ988" s="182" t="str">
        <f>IF(AND(AD988=1,D988="Military",H988&lt;&gt;"Not given")=TRUE,IF(SUMIFS(P:P,A:A,A988)&gt;0,IF((ABS((SUMIFS(P:P,A:A,A988)/VLOOKUP("USD",'Exchange Rates'!B:C,2,0)))/S988)&gt;1,(SUMIFS(P:P,A:A,A988)-S988)/S988,(S988-SUMIFS(P:P,A:A,A988))/SUMIFS(P:P,A:A,A988)),"."),".")</f>
        <v>.</v>
      </c>
      <c r="BA988" s="182"/>
      <c r="BB988" s="182"/>
      <c r="BC988" s="182"/>
      <c r="BD988" s="182"/>
      <c r="BE988" s="182"/>
      <c r="BF988" s="182"/>
      <c r="BG988" s="182"/>
      <c r="BH988" s="182"/>
      <c r="BI988" s="182"/>
      <c r="BJ988" s="182"/>
      <c r="BK988" s="182"/>
      <c r="BL988" s="182"/>
      <c r="BM988" s="182"/>
      <c r="BN988" s="182"/>
      <c r="BO988" s="182"/>
      <c r="BP988" s="182"/>
      <c r="BQ988" s="182"/>
      <c r="BR988" s="182"/>
      <c r="BS988" s="182"/>
    </row>
    <row r="989" spans="1:71" ht="15.9" customHeight="1" x14ac:dyDescent="0.3">
      <c r="A989" s="17" t="s">
        <v>2876</v>
      </c>
      <c r="B989" s="17" t="s">
        <v>2864</v>
      </c>
      <c r="C989" s="174">
        <v>44634</v>
      </c>
      <c r="D989" s="5" t="s">
        <v>256</v>
      </c>
      <c r="E989" s="5" t="s">
        <v>267</v>
      </c>
      <c r="F989" s="175" t="s">
        <v>2877</v>
      </c>
      <c r="G989" s="15" t="s">
        <v>2866</v>
      </c>
      <c r="H989" s="176">
        <v>7000000</v>
      </c>
      <c r="I989" s="17" t="s">
        <v>704</v>
      </c>
      <c r="J989" s="113" t="str">
        <f>VLOOKUP($I989,'Price List, Weapons &amp; Items'!B:C,2,0)</f>
        <v>Humanitarian</v>
      </c>
      <c r="K989" s="113" t="str">
        <f>IF(I989=".",I989,VLOOKUP($I989,'Price List, Weapons &amp; Items'!B:D,3,0))</f>
        <v>Humanitarian</v>
      </c>
      <c r="L989" s="177">
        <f>VLOOKUP(I989,'Price List, Weapons &amp; Items'!B:E,4,0)</f>
        <v>0</v>
      </c>
      <c r="M989" s="542">
        <f>569 +287</f>
        <v>856</v>
      </c>
      <c r="N989" s="542" t="s">
        <v>270</v>
      </c>
      <c r="O989" s="543" t="str">
        <f>VLOOKUP($I989,'Price List, Weapons &amp; Items'!B:G,6,0)</f>
        <v>.</v>
      </c>
      <c r="P989" s="176" t="str">
        <f t="shared" si="188"/>
        <v>No price</v>
      </c>
      <c r="Q989" s="176" t="str">
        <f t="shared" si="189"/>
        <v>.</v>
      </c>
      <c r="R989" s="176">
        <f t="shared" si="198"/>
        <v>7000000</v>
      </c>
      <c r="S989" s="176">
        <f>IF(AND(AD989=1,R989&lt;&gt;".")=TRUE,R989/VLOOKUP(G989,'Exchange Rates'!B:C,2,0),IF(R989=".",".",""))</f>
        <v>8121214.9337540893</v>
      </c>
      <c r="T989" s="176" t="str">
        <f>IF(AD989=1,IF(AF989="Value is not given at all",".",IF(AF989="Value is given by the source",S989,IF(AF989="Value is calculated with prices",(IF(SUMIFS(Q:Q,A:A,A989)&gt;0,SUMIFS(Q:Q,A:A,A989),"."))/VLOOKUP("USD",'Exchange Rates'!B:C,2,0),"Error with coding"))),"")</f>
        <v>.</v>
      </c>
      <c r="U989" s="15" t="s">
        <v>261</v>
      </c>
      <c r="V989" s="300" t="s">
        <v>2878</v>
      </c>
      <c r="W989" s="546" t="s">
        <v>2879</v>
      </c>
      <c r="X989" s="553" t="s">
        <v>2880</v>
      </c>
      <c r="Y989" s="175" t="s">
        <v>260</v>
      </c>
      <c r="Z989" s="15">
        <v>0</v>
      </c>
      <c r="AA989" s="180">
        <v>0</v>
      </c>
      <c r="AB989" s="184" t="s">
        <v>260</v>
      </c>
      <c r="AC989" s="544" t="str">
        <f>""</f>
        <v/>
      </c>
      <c r="AD989" s="181">
        <v>1</v>
      </c>
      <c r="AE989" s="181" t="s">
        <v>264</v>
      </c>
      <c r="AF989" s="181" t="s">
        <v>265</v>
      </c>
      <c r="AG989" s="181">
        <v>1</v>
      </c>
      <c r="AH989" s="181">
        <v>3</v>
      </c>
      <c r="AI989" s="181">
        <v>0</v>
      </c>
      <c r="AJ989" s="181">
        <f>VLOOKUP($I989,'Price List, Weapons &amp; Items'!B:F,5,0)</f>
        <v>0</v>
      </c>
      <c r="AK989" s="181">
        <f t="shared" si="190"/>
        <v>0</v>
      </c>
      <c r="AL989" s="181">
        <f t="shared" si="191"/>
        <v>0</v>
      </c>
      <c r="AM989" s="181">
        <f t="shared" si="192"/>
        <v>0</v>
      </c>
      <c r="AN989" s="180" t="str">
        <f>VLOOKUP($I989,'Price List, Weapons &amp; Items'!B:L,COLUMN('Price List, Weapons &amp; Items'!$J$11)-1,0)</f>
        <v>Media reports (incl. social media)</v>
      </c>
      <c r="AO989" s="180" t="str">
        <f>IF(I989=".",".",VLOOKUP($I989,'Price List, Weapons &amp; Items'!B:J,3,0))</f>
        <v>Humanitarian</v>
      </c>
      <c r="AP989" s="545" t="e">
        <f t="shared" ca="1" si="199"/>
        <v>#NAME?</v>
      </c>
      <c r="AQ989" s="180">
        <f>VLOOKUP($I989,'Price List, Weapons &amp; Items'!B:L,COLUMN('Price List, Weapons &amp; Items'!$L$11)-1,0)</f>
        <v>0</v>
      </c>
      <c r="AR989" s="180">
        <f t="shared" si="193"/>
        <v>1</v>
      </c>
      <c r="AS989" s="180">
        <f t="shared" si="194"/>
        <v>0</v>
      </c>
      <c r="AT989" s="180">
        <f t="shared" si="195"/>
        <v>1</v>
      </c>
      <c r="AU989" s="180" t="str">
        <f t="shared" si="196"/>
        <v>.</v>
      </c>
      <c r="AV989" s="180" t="str">
        <f t="shared" si="197"/>
        <v>.</v>
      </c>
      <c r="AW989" s="180">
        <f>IFERROR(VLOOKUP(B989,'Share, Heavy Weapons to Ukraine'!B:J,COLUMN('Share, Heavy Weapons to Ukraine'!C999)-1,0),0)</f>
        <v>1</v>
      </c>
      <c r="AX989" s="180">
        <f>VLOOKUP('Bilateral Assistance, MAIN DATA'!B989,'Country Summary'!B:F,COLUMN('Country Summary'!C1002)-1,FALSE)</f>
        <v>0</v>
      </c>
      <c r="AY989" s="180" t="str">
        <f>IF(AND(AD989=1,D989="Military",H989&lt;&gt;"Not given")=TRUE,IF(SUMIFS(P:P,A:A,A989)&gt;0,ABS((SUMIFS(P:P,A:A,A989)/VLOOKUP("USD",'Exchange Rates'!B:C,2,0)))/S989,"."),".")</f>
        <v>.</v>
      </c>
      <c r="AZ989" s="182" t="str">
        <f>IF(AND(AD989=1,D989="Military",H989&lt;&gt;"Not given")=TRUE,IF(SUMIFS(P:P,A:A,A989)&gt;0,IF((ABS((SUMIFS(P:P,A:A,A989)/VLOOKUP("USD",'Exchange Rates'!B:C,2,0)))/S989)&gt;1,(SUMIFS(P:P,A:A,A989)-S989)/S989,(S989-SUMIFS(P:P,A:A,A989))/SUMIFS(P:P,A:A,A989)),"."),".")</f>
        <v>.</v>
      </c>
      <c r="BA989" s="182"/>
      <c r="BB989" s="182"/>
      <c r="BC989" s="182"/>
      <c r="BD989" s="182"/>
      <c r="BE989" s="182"/>
      <c r="BF989" s="182"/>
      <c r="BG989" s="182"/>
      <c r="BH989" s="182"/>
      <c r="BI989" s="182"/>
      <c r="BJ989" s="182"/>
      <c r="BK989" s="182"/>
      <c r="BL989" s="182"/>
      <c r="BM989" s="182"/>
      <c r="BN989" s="182"/>
      <c r="BO989" s="182"/>
      <c r="BP989" s="182"/>
      <c r="BQ989" s="182"/>
      <c r="BR989" s="182"/>
      <c r="BS989" s="182"/>
    </row>
    <row r="990" spans="1:71" ht="15.9" customHeight="1" x14ac:dyDescent="0.3">
      <c r="A990" s="17" t="s">
        <v>2881</v>
      </c>
      <c r="B990" s="17" t="s">
        <v>2864</v>
      </c>
      <c r="C990" s="174">
        <v>44656</v>
      </c>
      <c r="D990" s="5" t="s">
        <v>256</v>
      </c>
      <c r="E990" s="5" t="s">
        <v>257</v>
      </c>
      <c r="F990" s="175" t="s">
        <v>2882</v>
      </c>
      <c r="G990" s="15" t="s">
        <v>2866</v>
      </c>
      <c r="H990" s="176">
        <v>10000000</v>
      </c>
      <c r="I990" s="17" t="s">
        <v>260</v>
      </c>
      <c r="J990" s="113" t="str">
        <f>VLOOKUP($I990,'Price List, Weapons &amp; Items'!B:C,2,0)</f>
        <v>.</v>
      </c>
      <c r="K990" s="113" t="str">
        <f>IF(I990=".",I990,VLOOKUP($I990,'Price List, Weapons &amp; Items'!B:D,3,0))</f>
        <v>.</v>
      </c>
      <c r="L990" s="177">
        <f>VLOOKUP(I990,'Price List, Weapons &amp; Items'!B:E,4,0)</f>
        <v>0</v>
      </c>
      <c r="M990" s="542" t="s">
        <v>260</v>
      </c>
      <c r="N990" s="542" t="s">
        <v>260</v>
      </c>
      <c r="O990" s="543" t="str">
        <f>VLOOKUP($I990,'Price List, Weapons &amp; Items'!B:G,6,0)</f>
        <v>.</v>
      </c>
      <c r="P990" s="176" t="str">
        <f t="shared" si="188"/>
        <v>.</v>
      </c>
      <c r="Q990" s="176" t="str">
        <f t="shared" si="189"/>
        <v>.</v>
      </c>
      <c r="R990" s="176">
        <f t="shared" si="198"/>
        <v>10000000</v>
      </c>
      <c r="S990" s="176">
        <f>IF(AND(AD990=1,R990&lt;&gt;".")=TRUE,R990/VLOOKUP(G990,'Exchange Rates'!B:C,2,0),IF(R990=".",".",""))</f>
        <v>11601735.619648699</v>
      </c>
      <c r="T990" s="176" t="str">
        <f>IF(AD990=1,IF(AF990="Value is not given at all",".",IF(AF990="Value is given by the source",S990,IF(AF990="Value is calculated with prices",(IF(SUMIFS(Q:Q,A:A,A990)&gt;0,SUMIFS(Q:Q,A:A,A990),"."))/VLOOKUP("USD",'Exchange Rates'!B:C,2,0),"Error with coding"))),"")</f>
        <v>.</v>
      </c>
      <c r="U990" s="15" t="s">
        <v>261</v>
      </c>
      <c r="V990" s="300" t="s">
        <v>2883</v>
      </c>
      <c r="W990" s="300" t="s">
        <v>2884</v>
      </c>
      <c r="X990" s="175" t="s">
        <v>260</v>
      </c>
      <c r="Y990" s="175" t="s">
        <v>260</v>
      </c>
      <c r="Z990" s="15">
        <v>0</v>
      </c>
      <c r="AA990" s="180">
        <v>0</v>
      </c>
      <c r="AB990" s="184" t="s">
        <v>260</v>
      </c>
      <c r="AC990" s="544" t="str">
        <f>""</f>
        <v/>
      </c>
      <c r="AD990" s="181">
        <v>1</v>
      </c>
      <c r="AE990" s="181" t="s">
        <v>264</v>
      </c>
      <c r="AF990" s="181" t="s">
        <v>265</v>
      </c>
      <c r="AG990" s="181">
        <v>1</v>
      </c>
      <c r="AH990" s="181">
        <v>4</v>
      </c>
      <c r="AI990" s="181">
        <v>0</v>
      </c>
      <c r="AJ990" s="181">
        <f>VLOOKUP($I990,'Price List, Weapons &amp; Items'!B:F,5,0)</f>
        <v>0</v>
      </c>
      <c r="AK990" s="181">
        <f t="shared" si="190"/>
        <v>0</v>
      </c>
      <c r="AL990" s="181">
        <f t="shared" si="191"/>
        <v>0</v>
      </c>
      <c r="AM990" s="181">
        <f t="shared" si="192"/>
        <v>0</v>
      </c>
      <c r="AN990" s="180" t="str">
        <f>VLOOKUP($I990,'Price List, Weapons &amp; Items'!B:L,COLUMN('Price List, Weapons &amp; Items'!$J$11)-1,0)</f>
        <v>.</v>
      </c>
      <c r="AO990" s="180" t="str">
        <f>IF(I990=".",".",VLOOKUP($I990,'Price List, Weapons &amp; Items'!B:J,3,0))</f>
        <v>.</v>
      </c>
      <c r="AP990" s="545" t="e">
        <f t="shared" ca="1" si="199"/>
        <v>#NAME?</v>
      </c>
      <c r="AQ990" s="180" t="str">
        <f>VLOOKUP($I990,'Price List, Weapons &amp; Items'!B:L,COLUMN('Price List, Weapons &amp; Items'!$L$11)-1,0)</f>
        <v>no price, 0 count</v>
      </c>
      <c r="AR990" s="180">
        <f t="shared" si="193"/>
        <v>1</v>
      </c>
      <c r="AS990" s="180">
        <f t="shared" si="194"/>
        <v>0</v>
      </c>
      <c r="AT990" s="180">
        <f t="shared" si="195"/>
        <v>1</v>
      </c>
      <c r="AU990" s="180" t="str">
        <f t="shared" si="196"/>
        <v>.</v>
      </c>
      <c r="AV990" s="180" t="str">
        <f t="shared" si="197"/>
        <v>.</v>
      </c>
      <c r="AW990" s="180">
        <f>IFERROR(VLOOKUP(B990,'Share, Heavy Weapons to Ukraine'!B:J,COLUMN('Share, Heavy Weapons to Ukraine'!C1000)-1,0),0)</f>
        <v>1</v>
      </c>
      <c r="AX990" s="180">
        <f>VLOOKUP('Bilateral Assistance, MAIN DATA'!B990,'Country Summary'!B:F,COLUMN('Country Summary'!C1003)-1,FALSE)</f>
        <v>0</v>
      </c>
      <c r="AY990" s="180" t="str">
        <f>IF(AND(AD990=1,D990="Military",H990&lt;&gt;"Not given")=TRUE,IF(SUMIFS(P:P,A:A,A990)&gt;0,ABS((SUMIFS(P:P,A:A,A990)/VLOOKUP("USD",'Exchange Rates'!B:C,2,0)))/S990,"."),".")</f>
        <v>.</v>
      </c>
      <c r="AZ990" s="182" t="str">
        <f>IF(AND(AD990=1,D990="Military",H990&lt;&gt;"Not given")=TRUE,IF(SUMIFS(P:P,A:A,A990)&gt;0,IF((ABS((SUMIFS(P:P,A:A,A990)/VLOOKUP("USD",'Exchange Rates'!B:C,2,0)))/S990)&gt;1,(SUMIFS(P:P,A:A,A990)-S990)/S990,(S990-SUMIFS(P:P,A:A,A990))/SUMIFS(P:P,A:A,A990)),"."),".")</f>
        <v>.</v>
      </c>
      <c r="BA990" s="182"/>
      <c r="BB990" s="182"/>
      <c r="BC990" s="182"/>
      <c r="BD990" s="182"/>
      <c r="BE990" s="182"/>
      <c r="BF990" s="182"/>
      <c r="BG990" s="182"/>
      <c r="BH990" s="182"/>
      <c r="BI990" s="182"/>
      <c r="BJ990" s="182"/>
      <c r="BK990" s="182"/>
      <c r="BL990" s="182"/>
      <c r="BM990" s="182"/>
      <c r="BN990" s="182"/>
      <c r="BO990" s="182"/>
      <c r="BP990" s="182"/>
      <c r="BQ990" s="182"/>
      <c r="BR990" s="182"/>
      <c r="BS990" s="182"/>
    </row>
    <row r="991" spans="1:71" ht="15.9" customHeight="1" x14ac:dyDescent="0.3">
      <c r="A991" s="17" t="s">
        <v>2885</v>
      </c>
      <c r="B991" s="17" t="s">
        <v>2864</v>
      </c>
      <c r="C991" s="174">
        <v>44753</v>
      </c>
      <c r="D991" s="5" t="s">
        <v>256</v>
      </c>
      <c r="E991" s="5" t="s">
        <v>362</v>
      </c>
      <c r="F991" s="175" t="s">
        <v>2886</v>
      </c>
      <c r="G991" s="15" t="s">
        <v>2866</v>
      </c>
      <c r="H991" s="176">
        <v>5000000</v>
      </c>
      <c r="I991" s="17" t="s">
        <v>260</v>
      </c>
      <c r="J991" s="113" t="str">
        <f>VLOOKUP($I991,'Price List, Weapons &amp; Items'!B:C,2,0)</f>
        <v>.</v>
      </c>
      <c r="K991" s="113" t="str">
        <f>IF(I991=".",I991,VLOOKUP($I991,'Price List, Weapons &amp; Items'!B:D,3,0))</f>
        <v>.</v>
      </c>
      <c r="L991" s="177">
        <f>VLOOKUP(I991,'Price List, Weapons &amp; Items'!B:E,4,0)</f>
        <v>0</v>
      </c>
      <c r="M991" s="542" t="s">
        <v>260</v>
      </c>
      <c r="N991" s="542" t="s">
        <v>260</v>
      </c>
      <c r="O991" s="543" t="str">
        <f>VLOOKUP($I991,'Price List, Weapons &amp; Items'!B:G,6,0)</f>
        <v>.</v>
      </c>
      <c r="P991" s="176" t="str">
        <f t="shared" si="188"/>
        <v>.</v>
      </c>
      <c r="Q991" s="176" t="str">
        <f t="shared" si="189"/>
        <v>.</v>
      </c>
      <c r="R991" s="176">
        <f t="shared" si="198"/>
        <v>5000000</v>
      </c>
      <c r="S991" s="176">
        <f>IF(AND(AD991=1,R991&lt;&gt;".")=TRUE,R991/VLOOKUP(G991,'Exchange Rates'!B:C,2,0),IF(R991=".",".",""))</f>
        <v>5800867.8098243494</v>
      </c>
      <c r="T991" s="176" t="str">
        <f>IF(AD991=1,IF(AF991="Value is not given at all",".",IF(AF991="Value is given by the source",S991,IF(AF991="Value is calculated with prices",(IF(SUMIFS(Q:Q,A:A,A991)&gt;0,SUMIFS(Q:Q,A:A,A991),"."))/VLOOKUP("USD",'Exchange Rates'!B:C,2,0),"Error with coding"))),"")</f>
        <v>.</v>
      </c>
      <c r="U991" s="15" t="s">
        <v>261</v>
      </c>
      <c r="V991" s="300" t="s">
        <v>2887</v>
      </c>
      <c r="W991" s="144" t="s">
        <v>260</v>
      </c>
      <c r="X991" s="175" t="s">
        <v>260</v>
      </c>
      <c r="Y991" s="175" t="s">
        <v>260</v>
      </c>
      <c r="Z991" s="15">
        <v>0</v>
      </c>
      <c r="AA991" s="180">
        <v>0</v>
      </c>
      <c r="AB991" s="184" t="s">
        <v>260</v>
      </c>
      <c r="AC991" s="544" t="str">
        <f>""</f>
        <v/>
      </c>
      <c r="AD991" s="181">
        <v>1</v>
      </c>
      <c r="AE991" s="181" t="s">
        <v>264</v>
      </c>
      <c r="AF991" s="181" t="s">
        <v>265</v>
      </c>
      <c r="AG991" s="181">
        <v>1</v>
      </c>
      <c r="AH991" s="181">
        <v>7</v>
      </c>
      <c r="AI991" s="181">
        <v>0</v>
      </c>
      <c r="AJ991" s="181">
        <f>VLOOKUP($I991,'Price List, Weapons &amp; Items'!B:F,5,0)</f>
        <v>0</v>
      </c>
      <c r="AK991" s="181">
        <f t="shared" si="190"/>
        <v>0</v>
      </c>
      <c r="AL991" s="181">
        <f t="shared" si="191"/>
        <v>0</v>
      </c>
      <c r="AM991" s="181">
        <f t="shared" si="192"/>
        <v>0</v>
      </c>
      <c r="AN991" s="180" t="str">
        <f>VLOOKUP($I991,'Price List, Weapons &amp; Items'!B:L,COLUMN('Price List, Weapons &amp; Items'!$J$11)-1,0)</f>
        <v>.</v>
      </c>
      <c r="AO991" s="180" t="str">
        <f>IF(I991=".",".",VLOOKUP($I991,'Price List, Weapons &amp; Items'!B:J,3,0))</f>
        <v>.</v>
      </c>
      <c r="AP991" s="545" t="e">
        <f t="shared" ca="1" si="199"/>
        <v>#NAME?</v>
      </c>
      <c r="AQ991" s="180" t="str">
        <f>VLOOKUP($I991,'Price List, Weapons &amp; Items'!B:L,COLUMN('Price List, Weapons &amp; Items'!$L$11)-1,0)</f>
        <v>no price, 0 count</v>
      </c>
      <c r="AR991" s="180">
        <f t="shared" si="193"/>
        <v>1</v>
      </c>
      <c r="AS991" s="180">
        <f t="shared" si="194"/>
        <v>0</v>
      </c>
      <c r="AT991" s="180">
        <f t="shared" si="195"/>
        <v>1</v>
      </c>
      <c r="AU991" s="180" t="str">
        <f t="shared" si="196"/>
        <v>.</v>
      </c>
      <c r="AV991" s="180" t="str">
        <f t="shared" si="197"/>
        <v>.</v>
      </c>
      <c r="AW991" s="180">
        <f>IFERROR(VLOOKUP(B991,'Share, Heavy Weapons to Ukraine'!B:J,COLUMN('Share, Heavy Weapons to Ukraine'!C1001)-1,0),0)</f>
        <v>1</v>
      </c>
      <c r="AX991" s="180">
        <f>VLOOKUP('Bilateral Assistance, MAIN DATA'!B991,'Country Summary'!B:F,COLUMN('Country Summary'!C1004)-1,FALSE)</f>
        <v>0</v>
      </c>
      <c r="AY991" s="180" t="str">
        <f>IF(AND(AD991=1,D991="Military",H991&lt;&gt;"Not given")=TRUE,IF(SUMIFS(P:P,A:A,A991)&gt;0,ABS((SUMIFS(P:P,A:A,A991)/VLOOKUP("USD",'Exchange Rates'!B:C,2,0)))/S991,"."),".")</f>
        <v>.</v>
      </c>
      <c r="AZ991" s="182" t="str">
        <f>IF(AND(AD991=1,D991="Military",H991&lt;&gt;"Not given")=TRUE,IF(SUMIFS(P:P,A:A,A991)&gt;0,IF((ABS((SUMIFS(P:P,A:A,A991)/VLOOKUP("USD",'Exchange Rates'!B:C,2,0)))/S991)&gt;1,(SUMIFS(P:P,A:A,A991)-S991)/S991,(S991-SUMIFS(P:P,A:A,A991))/SUMIFS(P:P,A:A,A991)),"."),".")</f>
        <v>.</v>
      </c>
      <c r="BA991" s="182"/>
      <c r="BB991" s="182"/>
      <c r="BC991" s="182"/>
      <c r="BD991" s="182"/>
      <c r="BE991" s="182"/>
      <c r="BF991" s="182"/>
      <c r="BG991" s="182"/>
      <c r="BH991" s="182"/>
      <c r="BI991" s="182"/>
      <c r="BJ991" s="182"/>
      <c r="BK991" s="182"/>
      <c r="BL991" s="182"/>
      <c r="BM991" s="182"/>
      <c r="BN991" s="182"/>
      <c r="BO991" s="182"/>
      <c r="BP991" s="182"/>
      <c r="BQ991" s="182"/>
      <c r="BR991" s="182"/>
      <c r="BS991" s="182"/>
    </row>
    <row r="992" spans="1:71" ht="15.9" customHeight="1" x14ac:dyDescent="0.3">
      <c r="A992" s="17" t="s">
        <v>2888</v>
      </c>
      <c r="B992" s="17" t="s">
        <v>2864</v>
      </c>
      <c r="C992" s="174">
        <v>44861</v>
      </c>
      <c r="D992" s="5" t="s">
        <v>256</v>
      </c>
      <c r="E992" s="5" t="s">
        <v>267</v>
      </c>
      <c r="F992" s="175" t="s">
        <v>2889</v>
      </c>
      <c r="G992" s="15" t="s">
        <v>346</v>
      </c>
      <c r="H992" s="176" t="s">
        <v>341</v>
      </c>
      <c r="I992" s="17" t="s">
        <v>373</v>
      </c>
      <c r="J992" s="113" t="str">
        <f>VLOOKUP($I992,'Price List, Weapons &amp; Items'!B:C,2,0)</f>
        <v>Humanitarian</v>
      </c>
      <c r="K992" s="113" t="str">
        <f>IF(I992=".",I992,VLOOKUP($I992,'Price List, Weapons &amp; Items'!B:D,3,0))</f>
        <v>Humanitarian</v>
      </c>
      <c r="L992" s="177">
        <f>VLOOKUP(I992,'Price List, Weapons &amp; Items'!B:E,4,0)</f>
        <v>0</v>
      </c>
      <c r="M992" s="542">
        <v>9</v>
      </c>
      <c r="N992" s="542">
        <v>9</v>
      </c>
      <c r="O992" s="543">
        <f>VLOOKUP($I992,'Price List, Weapons &amp; Items'!B:G,6,0)</f>
        <v>400000</v>
      </c>
      <c r="P992" s="176">
        <f t="shared" si="188"/>
        <v>3600000</v>
      </c>
      <c r="Q992" s="176">
        <f t="shared" si="189"/>
        <v>3600000</v>
      </c>
      <c r="R992" s="176">
        <f t="shared" si="198"/>
        <v>3600000</v>
      </c>
      <c r="S992" s="176">
        <f>IF(AND(AD992=1,R992&lt;&gt;".")=TRUE,R992/VLOOKUP(G992,'Exchange Rates'!B:C,2,0),IF(R992=".",".",""))</f>
        <v>3428571.4285714286</v>
      </c>
      <c r="T992" s="176" t="str">
        <f>IF(AD992=1,IF(AF992="Value is not given at all",".",IF(AF992="Value is given by the source",S992,IF(AF992="Value is calculated with prices",(IF(SUMIFS(Q:Q,A:A,A992)&gt;0,SUMIFS(Q:Q,A:A,A992),"."))/VLOOKUP("USD",'Exchange Rates'!B:C,2,0),"Error with coding"))),"")</f>
        <v>.</v>
      </c>
      <c r="U992" s="15" t="s">
        <v>261</v>
      </c>
      <c r="V992" s="300" t="s">
        <v>2890</v>
      </c>
      <c r="W992" s="144" t="s">
        <v>260</v>
      </c>
      <c r="X992" s="175" t="s">
        <v>260</v>
      </c>
      <c r="Y992" s="175" t="s">
        <v>260</v>
      </c>
      <c r="Z992" s="15">
        <v>0</v>
      </c>
      <c r="AA992" s="180">
        <v>0</v>
      </c>
      <c r="AB992" s="563" t="s">
        <v>2890</v>
      </c>
      <c r="AC992" s="544" t="str">
        <f>""</f>
        <v/>
      </c>
      <c r="AD992" s="181">
        <v>1</v>
      </c>
      <c r="AE992" s="181" t="s">
        <v>332</v>
      </c>
      <c r="AF992" s="181" t="s">
        <v>265</v>
      </c>
      <c r="AG992" s="181">
        <v>1</v>
      </c>
      <c r="AH992" s="181">
        <v>10</v>
      </c>
      <c r="AI992" s="181">
        <v>0</v>
      </c>
      <c r="AJ992" s="181">
        <f>VLOOKUP($I992,'Price List, Weapons &amp; Items'!B:F,5,0)</f>
        <v>0</v>
      </c>
      <c r="AK992" s="181">
        <f t="shared" si="190"/>
        <v>0</v>
      </c>
      <c r="AL992" s="181">
        <f t="shared" si="191"/>
        <v>0</v>
      </c>
      <c r="AM992" s="181">
        <f t="shared" si="192"/>
        <v>0</v>
      </c>
      <c r="AN992" s="180" t="str">
        <f>VLOOKUP($I992,'Price List, Weapons &amp; Items'!B:L,COLUMN('Price List, Weapons &amp; Items'!$J$11)-1,0)</f>
        <v>Media reports (incl. social media)</v>
      </c>
      <c r="AO992" s="180" t="str">
        <f>IF(I992=".",".",VLOOKUP($I992,'Price List, Weapons &amp; Items'!B:J,3,0))</f>
        <v>Humanitarian</v>
      </c>
      <c r="AP992" s="545" t="e">
        <f t="shared" ca="1" si="199"/>
        <v>#NAME?</v>
      </c>
      <c r="AQ992" s="180">
        <f>VLOOKUP($I992,'Price List, Weapons &amp; Items'!B:L,COLUMN('Price List, Weapons &amp; Items'!$L$11)-1,0)</f>
        <v>0</v>
      </c>
      <c r="AR992" s="180">
        <f t="shared" si="193"/>
        <v>1</v>
      </c>
      <c r="AS992" s="180">
        <f t="shared" si="194"/>
        <v>0</v>
      </c>
      <c r="AT992" s="180">
        <f t="shared" si="195"/>
        <v>1</v>
      </c>
      <c r="AU992" s="180" t="str">
        <f t="shared" si="196"/>
        <v>.</v>
      </c>
      <c r="AV992" s="180" t="str">
        <f t="shared" si="197"/>
        <v>.</v>
      </c>
      <c r="AW992" s="180">
        <f>IFERROR(VLOOKUP(B992,'Share, Heavy Weapons to Ukraine'!B:J,COLUMN('Share, Heavy Weapons to Ukraine'!C1002)-1,0),0)</f>
        <v>1</v>
      </c>
      <c r="AX992" s="180">
        <f>VLOOKUP('Bilateral Assistance, MAIN DATA'!B992,'Country Summary'!B:F,COLUMN('Country Summary'!C1005)-1,FALSE)</f>
        <v>0</v>
      </c>
      <c r="AY992" s="180" t="str">
        <f>IF(AND(AD992=1,D992="Military",H992&lt;&gt;"Not given")=TRUE,IF(SUMIFS(P:P,A:A,A992)&gt;0,ABS((SUMIFS(P:P,A:A,A992)/VLOOKUP("USD",'Exchange Rates'!B:C,2,0)))/S992,"."),".")</f>
        <v>.</v>
      </c>
      <c r="AZ992" s="182" t="str">
        <f>IF(AND(AD992=1,D992="Military",H992&lt;&gt;"Not given")=TRUE,IF(SUMIFS(P:P,A:A,A992)&gt;0,IF((ABS((SUMIFS(P:P,A:A,A992)/VLOOKUP("USD",'Exchange Rates'!B:C,2,0)))/S992)&gt;1,(SUMIFS(P:P,A:A,A992)-S992)/S992,(S992-SUMIFS(P:P,A:A,A992))/SUMIFS(P:P,A:A,A992)),"."),".")</f>
        <v>.</v>
      </c>
      <c r="BA992" s="182"/>
      <c r="BB992" s="182"/>
      <c r="BC992" s="182"/>
      <c r="BD992" s="182"/>
      <c r="BE992" s="182"/>
      <c r="BF992" s="182"/>
      <c r="BG992" s="182"/>
      <c r="BH992" s="182"/>
      <c r="BI992" s="182"/>
      <c r="BJ992" s="182"/>
      <c r="BK992" s="182"/>
      <c r="BL992" s="182"/>
      <c r="BM992" s="182"/>
      <c r="BN992" s="182"/>
      <c r="BO992" s="182"/>
      <c r="BP992" s="182"/>
      <c r="BQ992" s="182"/>
      <c r="BR992" s="182"/>
      <c r="BS992" s="182"/>
    </row>
    <row r="993" spans="1:71" ht="15.9" customHeight="1" x14ac:dyDescent="0.3">
      <c r="A993" s="17" t="s">
        <v>2891</v>
      </c>
      <c r="B993" s="17" t="s">
        <v>2864</v>
      </c>
      <c r="C993" s="174">
        <v>44881</v>
      </c>
      <c r="D993" s="5" t="s">
        <v>256</v>
      </c>
      <c r="E993" s="5" t="s">
        <v>362</v>
      </c>
      <c r="F993" s="175" t="s">
        <v>2892</v>
      </c>
      <c r="G993" s="15" t="s">
        <v>2866</v>
      </c>
      <c r="H993" s="176">
        <v>10000000</v>
      </c>
      <c r="I993" s="17" t="s">
        <v>260</v>
      </c>
      <c r="J993" s="113" t="str">
        <f>VLOOKUP($I993,'Price List, Weapons &amp; Items'!B:C,2,0)</f>
        <v>.</v>
      </c>
      <c r="K993" s="113" t="str">
        <f>IF(I993=".",I993,VLOOKUP($I993,'Price List, Weapons &amp; Items'!B:D,3,0))</f>
        <v>.</v>
      </c>
      <c r="L993" s="177">
        <f>VLOOKUP(I993,'Price List, Weapons &amp; Items'!B:E,4,0)</f>
        <v>0</v>
      </c>
      <c r="M993" s="542" t="s">
        <v>260</v>
      </c>
      <c r="N993" s="542" t="s">
        <v>260</v>
      </c>
      <c r="O993" s="543" t="str">
        <f>VLOOKUP($I993,'Price List, Weapons &amp; Items'!B:G,6,0)</f>
        <v>.</v>
      </c>
      <c r="P993" s="176" t="str">
        <f t="shared" si="188"/>
        <v>.</v>
      </c>
      <c r="Q993" s="176" t="str">
        <f t="shared" si="189"/>
        <v>.</v>
      </c>
      <c r="R993" s="176">
        <f t="shared" si="198"/>
        <v>10000000</v>
      </c>
      <c r="S993" s="176">
        <f>IF(AND(AD993=1,R993&lt;&gt;".")=TRUE,R993/VLOOKUP(G993,'Exchange Rates'!B:C,2,0),IF(R993=".",".",""))</f>
        <v>11601735.619648699</v>
      </c>
      <c r="T993" s="176" t="str">
        <f>IF(AD993=1,IF(AF993="Value is not given at all",".",IF(AF993="Value is given by the source",S993,IF(AF993="Value is calculated with prices",(IF(SUMIFS(Q:Q,A:A,A993)&gt;0,SUMIFS(Q:Q,A:A,A993),"."))/VLOOKUP("USD",'Exchange Rates'!B:C,2,0),"Error with coding"))),"")</f>
        <v>.</v>
      </c>
      <c r="U993" s="15" t="s">
        <v>261</v>
      </c>
      <c r="V993" s="300" t="s">
        <v>2893</v>
      </c>
      <c r="W993" s="144" t="s">
        <v>260</v>
      </c>
      <c r="X993" s="175" t="s">
        <v>260</v>
      </c>
      <c r="Y993" s="175" t="s">
        <v>260</v>
      </c>
      <c r="Z993" s="15">
        <v>0</v>
      </c>
      <c r="AA993" s="180">
        <v>0</v>
      </c>
      <c r="AB993" s="184" t="s">
        <v>260</v>
      </c>
      <c r="AC993" s="544" t="str">
        <f>""</f>
        <v/>
      </c>
      <c r="AD993" s="181">
        <v>1</v>
      </c>
      <c r="AE993" s="181" t="s">
        <v>264</v>
      </c>
      <c r="AF993" s="181" t="s">
        <v>265</v>
      </c>
      <c r="AG993" s="181">
        <v>1</v>
      </c>
      <c r="AH993" s="181">
        <v>11</v>
      </c>
      <c r="AI993" s="181">
        <v>0</v>
      </c>
      <c r="AJ993" s="181">
        <f>VLOOKUP($I993,'Price List, Weapons &amp; Items'!B:F,5,0)</f>
        <v>0</v>
      </c>
      <c r="AK993" s="181">
        <f t="shared" si="190"/>
        <v>0</v>
      </c>
      <c r="AL993" s="181">
        <f t="shared" si="191"/>
        <v>0</v>
      </c>
      <c r="AM993" s="181">
        <f t="shared" si="192"/>
        <v>0</v>
      </c>
      <c r="AN993" s="180" t="str">
        <f>VLOOKUP($I993,'Price List, Weapons &amp; Items'!B:L,COLUMN('Price List, Weapons &amp; Items'!$J$11)-1,0)</f>
        <v>.</v>
      </c>
      <c r="AO993" s="180" t="str">
        <f>IF(I993=".",".",VLOOKUP($I993,'Price List, Weapons &amp; Items'!B:J,3,0))</f>
        <v>.</v>
      </c>
      <c r="AP993" s="545" t="e">
        <f t="shared" ca="1" si="199"/>
        <v>#NAME?</v>
      </c>
      <c r="AQ993" s="180" t="str">
        <f>VLOOKUP($I993,'Price List, Weapons &amp; Items'!B:L,COLUMN('Price List, Weapons &amp; Items'!$L$11)-1,0)</f>
        <v>no price, 0 count</v>
      </c>
      <c r="AR993" s="180">
        <f t="shared" si="193"/>
        <v>1</v>
      </c>
      <c r="AS993" s="180">
        <f t="shared" si="194"/>
        <v>0</v>
      </c>
      <c r="AT993" s="180">
        <f t="shared" si="195"/>
        <v>1</v>
      </c>
      <c r="AU993" s="180" t="str">
        <f t="shared" si="196"/>
        <v>.</v>
      </c>
      <c r="AV993" s="180" t="str">
        <f t="shared" si="197"/>
        <v>.</v>
      </c>
      <c r="AW993" s="180">
        <f>IFERROR(VLOOKUP(B993,'Share, Heavy Weapons to Ukraine'!B:J,COLUMN('Share, Heavy Weapons to Ukraine'!C1003)-1,0),0)</f>
        <v>1</v>
      </c>
      <c r="AX993" s="180">
        <f>VLOOKUP('Bilateral Assistance, MAIN DATA'!B993,'Country Summary'!B:F,COLUMN('Country Summary'!C1006)-1,FALSE)</f>
        <v>0</v>
      </c>
      <c r="AY993" s="180" t="str">
        <f>IF(AND(AD993=1,D993="Military",H993&lt;&gt;"Not given")=TRUE,IF(SUMIFS(P:P,A:A,A993)&gt;0,ABS((SUMIFS(P:P,A:A,A993)/VLOOKUP("USD",'Exchange Rates'!B:C,2,0)))/S993,"."),".")</f>
        <v>.</v>
      </c>
      <c r="AZ993" s="182" t="str">
        <f>IF(AND(AD993=1,D993="Military",H993&lt;&gt;"Not given")=TRUE,IF(SUMIFS(P:P,A:A,A993)&gt;0,IF((ABS((SUMIFS(P:P,A:A,A993)/VLOOKUP("USD",'Exchange Rates'!B:C,2,0)))/S993)&gt;1,(SUMIFS(P:P,A:A,A993)-S993)/S993,(S993-SUMIFS(P:P,A:A,A993))/SUMIFS(P:P,A:A,A993)),"."),".")</f>
        <v>.</v>
      </c>
      <c r="BA993" s="182"/>
      <c r="BB993" s="182"/>
      <c r="BC993" s="182"/>
      <c r="BD993" s="182"/>
      <c r="BE993" s="182"/>
      <c r="BF993" s="182"/>
      <c r="BG993" s="182"/>
      <c r="BH993" s="182"/>
      <c r="BI993" s="182"/>
      <c r="BJ993" s="182"/>
      <c r="BK993" s="182"/>
      <c r="BL993" s="182"/>
      <c r="BM993" s="182"/>
      <c r="BN993" s="182"/>
      <c r="BO993" s="182"/>
      <c r="BP993" s="182"/>
      <c r="BQ993" s="182"/>
      <c r="BR993" s="182"/>
      <c r="BS993" s="182"/>
    </row>
    <row r="994" spans="1:71" ht="15.9" customHeight="1" x14ac:dyDescent="0.3">
      <c r="A994" s="17" t="s">
        <v>2894</v>
      </c>
      <c r="B994" s="17" t="s">
        <v>2864</v>
      </c>
      <c r="C994" s="174">
        <v>44593</v>
      </c>
      <c r="D994" s="5" t="s">
        <v>285</v>
      </c>
      <c r="E994" s="5" t="s">
        <v>339</v>
      </c>
      <c r="F994" s="175" t="s">
        <v>2895</v>
      </c>
      <c r="G994" s="15" t="s">
        <v>346</v>
      </c>
      <c r="H994" s="176" t="s">
        <v>341</v>
      </c>
      <c r="I994" s="17" t="s">
        <v>2031</v>
      </c>
      <c r="J994" s="113" t="str">
        <f>VLOOKUP($I994,'Price List, Weapons &amp; Items'!B:C,2,0)</f>
        <v>Portable defence system</v>
      </c>
      <c r="K994" s="113" t="str">
        <f>IF(I994=".",I994,VLOOKUP($I994,'Price List, Weapons &amp; Items'!B:D,3,0))</f>
        <v>Light Anti-armor Weapon (LAW)</v>
      </c>
      <c r="L994" s="177">
        <f>VLOOKUP(I994,'Price List, Weapons &amp; Items'!B:E,4,0)</f>
        <v>0</v>
      </c>
      <c r="M994" s="542">
        <v>2000</v>
      </c>
      <c r="N994" s="542">
        <v>2000</v>
      </c>
      <c r="O994" s="543">
        <f>VLOOKUP($I994,'Price List, Weapons &amp; Items'!B:G,6,0)</f>
        <v>40000</v>
      </c>
      <c r="P994" s="176">
        <f t="shared" si="188"/>
        <v>80000000</v>
      </c>
      <c r="Q994" s="176">
        <f t="shared" si="189"/>
        <v>80000000</v>
      </c>
      <c r="R994" s="176">
        <f t="shared" si="198"/>
        <v>80000000</v>
      </c>
      <c r="S994" s="176">
        <f>IF(AND(AD994=1,R994&lt;&gt;".")=TRUE,R994/VLOOKUP(G994,'Exchange Rates'!B:C,2,0),IF(R994=".",".",""))</f>
        <v>76190476.190476194</v>
      </c>
      <c r="T994" s="176">
        <f>IF(AD994=1,IF(AF994="Value is not given at all",".",IF(AF994="Value is given by the source",S994,IF(AF994="Value is calculated with prices",(IF(SUMIFS(Q:Q,A:A,A994)&gt;0,SUMIFS(Q:Q,A:A,A994),"."))/VLOOKUP("USD",'Exchange Rates'!B:C,2,0),"Error with coding"))),"")</f>
        <v>76190476.190476194</v>
      </c>
      <c r="U994" s="15" t="s">
        <v>261</v>
      </c>
      <c r="V994" s="300" t="s">
        <v>2896</v>
      </c>
      <c r="W994" s="300" t="s">
        <v>2897</v>
      </c>
      <c r="X994" s="175" t="s">
        <v>260</v>
      </c>
      <c r="Y994" s="175" t="s">
        <v>260</v>
      </c>
      <c r="Z994" s="15">
        <v>0</v>
      </c>
      <c r="AA994" s="180">
        <v>0</v>
      </c>
      <c r="AB994" s="549" t="s">
        <v>2898</v>
      </c>
      <c r="AC994" s="544" t="str">
        <f>""</f>
        <v/>
      </c>
      <c r="AD994" s="181">
        <v>1</v>
      </c>
      <c r="AE994" s="181" t="s">
        <v>332</v>
      </c>
      <c r="AF994" s="181" t="s">
        <v>332</v>
      </c>
      <c r="AG994" s="181">
        <v>1</v>
      </c>
      <c r="AH994" s="181">
        <v>2</v>
      </c>
      <c r="AI994" s="181">
        <v>1</v>
      </c>
      <c r="AJ994" s="181">
        <f>VLOOKUP($I994,'Price List, Weapons &amp; Items'!B:F,5,0)</f>
        <v>0</v>
      </c>
      <c r="AK994" s="181">
        <f t="shared" si="190"/>
        <v>0</v>
      </c>
      <c r="AL994" s="181">
        <f t="shared" si="191"/>
        <v>0</v>
      </c>
      <c r="AM994" s="181">
        <f t="shared" si="192"/>
        <v>0</v>
      </c>
      <c r="AN994" s="180" t="str">
        <f>VLOOKUP($I994,'Price List, Weapons &amp; Items'!B:L,COLUMN('Price List, Weapons &amp; Items'!$J$11)-1,0)</f>
        <v>Media reports (incl. social media)</v>
      </c>
      <c r="AO994" s="180" t="str">
        <f>IF(I994=".",".",VLOOKUP($I994,'Price List, Weapons &amp; Items'!B:J,3,0))</f>
        <v>Light Anti-armor Weapon (LAW)</v>
      </c>
      <c r="AP994" s="545" t="e">
        <f t="shared" ca="1" si="199"/>
        <v>#NAME?</v>
      </c>
      <c r="AQ994" s="180">
        <f>VLOOKUP($I994,'Price List, Weapons &amp; Items'!B:L,COLUMN('Price List, Weapons &amp; Items'!$L$11)-1,0)</f>
        <v>2</v>
      </c>
      <c r="AR994" s="180">
        <f t="shared" si="193"/>
        <v>1</v>
      </c>
      <c r="AS994" s="180">
        <f t="shared" si="194"/>
        <v>1</v>
      </c>
      <c r="AT994" s="180">
        <f t="shared" si="195"/>
        <v>1</v>
      </c>
      <c r="AU994" s="180" t="str">
        <f t="shared" si="196"/>
        <v>.</v>
      </c>
      <c r="AV994" s="180" t="str">
        <f t="shared" si="197"/>
        <v>.</v>
      </c>
      <c r="AW994" s="180">
        <f>IFERROR(VLOOKUP(B994,'Share, Heavy Weapons to Ukraine'!B:J,COLUMN('Share, Heavy Weapons to Ukraine'!C1004)-1,0),0)</f>
        <v>1</v>
      </c>
      <c r="AX994" s="180">
        <f>VLOOKUP('Bilateral Assistance, MAIN DATA'!B994,'Country Summary'!B:F,COLUMN('Country Summary'!C1007)-1,FALSE)</f>
        <v>0</v>
      </c>
      <c r="AY994" s="180" t="str">
        <f>IF(AND(AD994=1,D994="Military",H994&lt;&gt;"Not given")=TRUE,IF(SUMIFS(P:P,A:A,A994)&gt;0,ABS((SUMIFS(P:P,A:A,A994)/VLOOKUP("USD",'Exchange Rates'!B:C,2,0)))/S994,"."),".")</f>
        <v>.</v>
      </c>
      <c r="AZ994" s="182" t="str">
        <f>IF(AND(AD994=1,D994="Military",H994&lt;&gt;"Not given")=TRUE,IF(SUMIFS(P:P,A:A,A994)&gt;0,IF((ABS((SUMIFS(P:P,A:A,A994)/VLOOKUP("USD",'Exchange Rates'!B:C,2,0)))/S994)&gt;1,(SUMIFS(P:P,A:A,A994)-S994)/S994,(S994-SUMIFS(P:P,A:A,A994))/SUMIFS(P:P,A:A,A994)),"."),".")</f>
        <v>.</v>
      </c>
      <c r="BA994" s="182"/>
      <c r="BB994" s="182"/>
      <c r="BC994" s="182"/>
      <c r="BD994" s="182"/>
      <c r="BE994" s="182"/>
      <c r="BF994" s="182"/>
      <c r="BG994" s="182"/>
      <c r="BH994" s="182"/>
      <c r="BI994" s="182"/>
      <c r="BJ994" s="182"/>
      <c r="BK994" s="182"/>
      <c r="BL994" s="182"/>
      <c r="BM994" s="182"/>
      <c r="BN994" s="182"/>
      <c r="BO994" s="182"/>
      <c r="BP994" s="182"/>
      <c r="BQ994" s="182"/>
      <c r="BR994" s="182"/>
      <c r="BS994" s="182"/>
    </row>
    <row r="995" spans="1:71" ht="15.9" customHeight="1" x14ac:dyDescent="0.3">
      <c r="A995" s="17" t="s">
        <v>2899</v>
      </c>
      <c r="B995" s="17" t="s">
        <v>2864</v>
      </c>
      <c r="C995" s="174">
        <v>44629</v>
      </c>
      <c r="D995" s="5" t="s">
        <v>285</v>
      </c>
      <c r="E995" s="5" t="s">
        <v>339</v>
      </c>
      <c r="F995" s="175" t="s">
        <v>2900</v>
      </c>
      <c r="G995" s="15" t="s">
        <v>346</v>
      </c>
      <c r="H995" s="176" t="s">
        <v>341</v>
      </c>
      <c r="I995" s="17" t="s">
        <v>2031</v>
      </c>
      <c r="J995" s="113" t="str">
        <f>VLOOKUP($I995,'Price List, Weapons &amp; Items'!B:C,2,0)</f>
        <v>Portable defence system</v>
      </c>
      <c r="K995" s="113" t="str">
        <f>IF(I995=".",I995,VLOOKUP($I995,'Price List, Weapons &amp; Items'!B:D,3,0))</f>
        <v>Light Anti-armor Weapon (LAW)</v>
      </c>
      <c r="L995" s="177">
        <f>VLOOKUP(I995,'Price List, Weapons &amp; Items'!B:E,4,0)</f>
        <v>0</v>
      </c>
      <c r="M995" s="542">
        <v>3165</v>
      </c>
      <c r="N995" s="542">
        <v>3165</v>
      </c>
      <c r="O995" s="543">
        <f>VLOOKUP($I995,'Price List, Weapons &amp; Items'!B:G,6,0)</f>
        <v>40000</v>
      </c>
      <c r="P995" s="176">
        <f t="shared" si="188"/>
        <v>126600000</v>
      </c>
      <c r="Q995" s="176">
        <f t="shared" si="189"/>
        <v>126600000</v>
      </c>
      <c r="R995" s="176">
        <f t="shared" si="198"/>
        <v>126600000</v>
      </c>
      <c r="S995" s="176">
        <f>IF(AND(AD995=1,R995&lt;&gt;".")=TRUE,R995/VLOOKUP(G995,'Exchange Rates'!B:C,2,0),IF(R995=".",".",""))</f>
        <v>120571428.57142857</v>
      </c>
      <c r="T995" s="176">
        <f>IF(AD995=1,IF(AF995="Value is not given at all",".",IF(AF995="Value is given by the source",S995,IF(AF995="Value is calculated with prices",(IF(SUMIFS(Q:Q,A:A,A995)&gt;0,SUMIFS(Q:Q,A:A,A995),"."))/VLOOKUP("USD",'Exchange Rates'!B:C,2,0),"Error with coding"))),"")</f>
        <v>120571428.57142857</v>
      </c>
      <c r="U995" s="15" t="s">
        <v>415</v>
      </c>
      <c r="V995" s="300" t="s">
        <v>2901</v>
      </c>
      <c r="W995" s="175" t="s">
        <v>260</v>
      </c>
      <c r="X995" s="175" t="s">
        <v>260</v>
      </c>
      <c r="Y995" s="175" t="s">
        <v>260</v>
      </c>
      <c r="Z995" s="15">
        <v>0</v>
      </c>
      <c r="AA995" s="180">
        <v>0</v>
      </c>
      <c r="AB995" s="549" t="s">
        <v>2898</v>
      </c>
      <c r="AC995" s="544" t="str">
        <f>""</f>
        <v/>
      </c>
      <c r="AD995" s="181">
        <v>1</v>
      </c>
      <c r="AE995" s="181" t="s">
        <v>332</v>
      </c>
      <c r="AF995" s="181" t="s">
        <v>332</v>
      </c>
      <c r="AG995" s="181">
        <v>1</v>
      </c>
      <c r="AH995" s="181">
        <v>3</v>
      </c>
      <c r="AI995" s="181">
        <v>0</v>
      </c>
      <c r="AJ995" s="181">
        <f>VLOOKUP($I995,'Price List, Weapons &amp; Items'!B:F,5,0)</f>
        <v>0</v>
      </c>
      <c r="AK995" s="181">
        <f t="shared" si="190"/>
        <v>0</v>
      </c>
      <c r="AL995" s="181">
        <f t="shared" si="191"/>
        <v>0</v>
      </c>
      <c r="AM995" s="181">
        <f t="shared" si="192"/>
        <v>0</v>
      </c>
      <c r="AN995" s="180" t="str">
        <f>VLOOKUP($I995,'Price List, Weapons &amp; Items'!B:L,COLUMN('Price List, Weapons &amp; Items'!$J$11)-1,0)</f>
        <v>Media reports (incl. social media)</v>
      </c>
      <c r="AO995" s="180" t="str">
        <f>IF(I995=".",".",VLOOKUP($I995,'Price List, Weapons &amp; Items'!B:J,3,0))</f>
        <v>Light Anti-armor Weapon (LAW)</v>
      </c>
      <c r="AP995" s="545" t="e">
        <f t="shared" ca="1" si="199"/>
        <v>#NAME?</v>
      </c>
      <c r="AQ995" s="180">
        <f>VLOOKUP($I995,'Price List, Weapons &amp; Items'!B:L,COLUMN('Price List, Weapons &amp; Items'!$L$11)-1,0)</f>
        <v>2</v>
      </c>
      <c r="AR995" s="180">
        <f t="shared" si="193"/>
        <v>0</v>
      </c>
      <c r="AS995" s="180">
        <f t="shared" si="194"/>
        <v>1</v>
      </c>
      <c r="AT995" s="180">
        <f t="shared" si="195"/>
        <v>1</v>
      </c>
      <c r="AU995" s="180" t="str">
        <f t="shared" si="196"/>
        <v>.</v>
      </c>
      <c r="AV995" s="180" t="str">
        <f t="shared" si="197"/>
        <v>.</v>
      </c>
      <c r="AW995" s="180">
        <f>IFERROR(VLOOKUP(B995,'Share, Heavy Weapons to Ukraine'!B:J,COLUMN('Share, Heavy Weapons to Ukraine'!C1005)-1,0),0)</f>
        <v>1</v>
      </c>
      <c r="AX995" s="180">
        <f>VLOOKUP('Bilateral Assistance, MAIN DATA'!B995,'Country Summary'!B:F,COLUMN('Country Summary'!C1008)-1,FALSE)</f>
        <v>0</v>
      </c>
      <c r="AY995" s="180" t="str">
        <f>IF(AND(AD995=1,D995="Military",H995&lt;&gt;"Not given")=TRUE,IF(SUMIFS(P:P,A:A,A995)&gt;0,ABS((SUMIFS(P:P,A:A,A995)/VLOOKUP("USD",'Exchange Rates'!B:C,2,0)))/S995,"."),".")</f>
        <v>.</v>
      </c>
      <c r="AZ995" s="182" t="str">
        <f>IF(AND(AD995=1,D995="Military",H995&lt;&gt;"Not given")=TRUE,IF(SUMIFS(P:P,A:A,A995)&gt;0,IF((ABS((SUMIFS(P:P,A:A,A995)/VLOOKUP("USD",'Exchange Rates'!B:C,2,0)))/S995)&gt;1,(SUMIFS(P:P,A:A,A995)-S995)/S995,(S995-SUMIFS(P:P,A:A,A995))/SUMIFS(P:P,A:A,A995)),"."),".")</f>
        <v>.</v>
      </c>
      <c r="BA995" s="182"/>
      <c r="BB995" s="182"/>
      <c r="BC995" s="182"/>
      <c r="BD995" s="182"/>
      <c r="BE995" s="182"/>
      <c r="BF995" s="182"/>
      <c r="BG995" s="182"/>
      <c r="BH995" s="182"/>
      <c r="BI995" s="182"/>
      <c r="BJ995" s="182"/>
      <c r="BK995" s="182"/>
      <c r="BL995" s="182"/>
      <c r="BM995" s="182"/>
      <c r="BN995" s="182"/>
      <c r="BO995" s="182"/>
      <c r="BP995" s="182"/>
      <c r="BQ995" s="182"/>
      <c r="BR995" s="182"/>
      <c r="BS995" s="182"/>
    </row>
    <row r="996" spans="1:71" ht="15.9" customHeight="1" x14ac:dyDescent="0.3">
      <c r="A996" s="17" t="s">
        <v>2902</v>
      </c>
      <c r="B996" s="17" t="s">
        <v>2864</v>
      </c>
      <c r="C996" s="174">
        <v>44629</v>
      </c>
      <c r="D996" s="5" t="s">
        <v>285</v>
      </c>
      <c r="E996" s="5" t="s">
        <v>339</v>
      </c>
      <c r="F996" s="175" t="s">
        <v>2903</v>
      </c>
      <c r="G996" s="15" t="s">
        <v>260</v>
      </c>
      <c r="H996" s="176" t="s">
        <v>341</v>
      </c>
      <c r="I996" s="17" t="s">
        <v>2904</v>
      </c>
      <c r="J996" s="113" t="str">
        <f>VLOOKUP($I996,'Price List, Weapons &amp; Items'!B:C,2,0)</f>
        <v>Portable defence system</v>
      </c>
      <c r="K996" s="113" t="str">
        <f>IF(I996=".",I996,VLOOKUP($I996,'Price List, Weapons &amp; Items'!B:D,3,0))</f>
        <v>MANPADS</v>
      </c>
      <c r="L996" s="177">
        <f>VLOOKUP(I996,'Price List, Weapons &amp; Items'!B:E,4,0)</f>
        <v>0</v>
      </c>
      <c r="M996" s="542" t="s">
        <v>270</v>
      </c>
      <c r="N996" s="542" t="s">
        <v>270</v>
      </c>
      <c r="O996" s="543">
        <f>VLOOKUP($I996,'Price List, Weapons &amp; Items'!B:G,6,0)</f>
        <v>1750000</v>
      </c>
      <c r="P996" s="176" t="str">
        <f t="shared" si="188"/>
        <v>.</v>
      </c>
      <c r="Q996" s="176" t="str">
        <f t="shared" si="189"/>
        <v>.</v>
      </c>
      <c r="R996" s="176" t="str">
        <f t="shared" si="198"/>
        <v>.</v>
      </c>
      <c r="S996" s="176" t="str">
        <f>IF(AND(AD996=1,R996&lt;&gt;".")=TRUE,R996/VLOOKUP(G996,'Exchange Rates'!B:C,2,0),IF(R996=".",".",""))</f>
        <v>.</v>
      </c>
      <c r="T996" s="176" t="str">
        <f>IF(AD996=1,IF(AF996="Value is not given at all",".",IF(AF996="Value is given by the source",S996,IF(AF996="Value is calculated with prices",(IF(SUMIFS(Q:Q,A:A,A996)&gt;0,SUMIFS(Q:Q,A:A,A996),"."))/VLOOKUP("USD",'Exchange Rates'!B:C,2,0),"Error with coding"))),"")</f>
        <v>.</v>
      </c>
      <c r="U996" s="15" t="s">
        <v>415</v>
      </c>
      <c r="V996" s="300" t="s">
        <v>2905</v>
      </c>
      <c r="W996" s="300" t="s">
        <v>2906</v>
      </c>
      <c r="X996" s="175" t="s">
        <v>260</v>
      </c>
      <c r="Y996" s="175" t="s">
        <v>260</v>
      </c>
      <c r="Z996" s="15">
        <v>0</v>
      </c>
      <c r="AA996" s="180">
        <v>0</v>
      </c>
      <c r="AB996" s="549" t="s">
        <v>2907</v>
      </c>
      <c r="AC996" s="544" t="str">
        <f>""</f>
        <v/>
      </c>
      <c r="AD996" s="181">
        <v>1</v>
      </c>
      <c r="AE996" s="181" t="s">
        <v>265</v>
      </c>
      <c r="AF996" s="181" t="s">
        <v>265</v>
      </c>
      <c r="AG996" s="181">
        <v>1</v>
      </c>
      <c r="AH996" s="181">
        <v>3</v>
      </c>
      <c r="AI996" s="181">
        <v>0</v>
      </c>
      <c r="AJ996" s="181">
        <f>VLOOKUP($I996,'Price List, Weapons &amp; Items'!B:F,5,0)</f>
        <v>0</v>
      </c>
      <c r="AK996" s="181">
        <f t="shared" si="190"/>
        <v>0</v>
      </c>
      <c r="AL996" s="181">
        <f t="shared" si="191"/>
        <v>0</v>
      </c>
      <c r="AM996" s="181">
        <f t="shared" si="192"/>
        <v>0</v>
      </c>
      <c r="AN996" s="180" t="str">
        <f>VLOOKUP($I996,'Price List, Weapons &amp; Items'!B:L,COLUMN('Price List, Weapons &amp; Items'!$J$11)-1,0)</f>
        <v>Contracts</v>
      </c>
      <c r="AO996" s="180" t="str">
        <f>IF(I996=".",".",VLOOKUP($I996,'Price List, Weapons &amp; Items'!B:J,3,0))</f>
        <v>MANPADS</v>
      </c>
      <c r="AP996" s="545" t="e">
        <f t="shared" ca="1" si="199"/>
        <v>#NAME?</v>
      </c>
      <c r="AQ996" s="180" t="str">
        <f>VLOOKUP($I996,'Price List, Weapons &amp; Items'!B:L,COLUMN('Price List, Weapons &amp; Items'!$L$11)-1,0)</f>
        <v>no price, 0 count</v>
      </c>
      <c r="AR996" s="180">
        <f t="shared" si="193"/>
        <v>0</v>
      </c>
      <c r="AS996" s="180">
        <f t="shared" si="194"/>
        <v>1</v>
      </c>
      <c r="AT996" s="180">
        <f t="shared" si="195"/>
        <v>1</v>
      </c>
      <c r="AU996" s="180" t="str">
        <f t="shared" si="196"/>
        <v>.</v>
      </c>
      <c r="AV996" s="180" t="str">
        <f t="shared" si="197"/>
        <v>.</v>
      </c>
      <c r="AW996" s="180">
        <f>IFERROR(VLOOKUP(B996,'Share, Heavy Weapons to Ukraine'!B:J,COLUMN('Share, Heavy Weapons to Ukraine'!C1006)-1,0),0)</f>
        <v>1</v>
      </c>
      <c r="AX996" s="180">
        <f>VLOOKUP('Bilateral Assistance, MAIN DATA'!B996,'Country Summary'!B:F,COLUMN('Country Summary'!C1009)-1,FALSE)</f>
        <v>0</v>
      </c>
      <c r="AY996" s="180" t="str">
        <f>IF(AND(AD996=1,D996="Military",H996&lt;&gt;"Not given")=TRUE,IF(SUMIFS(P:P,A:A,A996)&gt;0,ABS((SUMIFS(P:P,A:A,A996)/VLOOKUP("USD",'Exchange Rates'!B:C,2,0)))/S996,"."),".")</f>
        <v>.</v>
      </c>
      <c r="AZ996" s="182" t="str">
        <f>IF(AND(AD996=1,D996="Military",H996&lt;&gt;"Not given")=TRUE,IF(SUMIFS(P:P,A:A,A996)&gt;0,IF((ABS((SUMIFS(P:P,A:A,A996)/VLOOKUP("USD",'Exchange Rates'!B:C,2,0)))/S996)&gt;1,(SUMIFS(P:P,A:A,A996)-S996)/S996,(S996-SUMIFS(P:P,A:A,A996))/SUMIFS(P:P,A:A,A996)),"."),".")</f>
        <v>.</v>
      </c>
      <c r="BA996" s="182"/>
      <c r="BB996" s="182"/>
      <c r="BC996" s="182"/>
      <c r="BD996" s="182"/>
      <c r="BE996" s="182"/>
      <c r="BF996" s="182"/>
      <c r="BG996" s="182"/>
      <c r="BH996" s="182"/>
      <c r="BI996" s="182"/>
      <c r="BJ996" s="182"/>
      <c r="BK996" s="182"/>
      <c r="BL996" s="182"/>
      <c r="BM996" s="182"/>
      <c r="BN996" s="182"/>
      <c r="BO996" s="182"/>
      <c r="BP996" s="182"/>
      <c r="BQ996" s="182"/>
      <c r="BR996" s="182"/>
      <c r="BS996" s="182"/>
    </row>
    <row r="997" spans="1:71" ht="15.9" customHeight="1" x14ac:dyDescent="0.3">
      <c r="A997" s="17" t="s">
        <v>2908</v>
      </c>
      <c r="B997" s="17" t="s">
        <v>2864</v>
      </c>
      <c r="C997" s="174">
        <v>44643</v>
      </c>
      <c r="D997" s="5" t="s">
        <v>285</v>
      </c>
      <c r="E997" s="5" t="s">
        <v>339</v>
      </c>
      <c r="F997" s="175" t="s">
        <v>2909</v>
      </c>
      <c r="G997" s="15" t="s">
        <v>346</v>
      </c>
      <c r="H997" s="176" t="s">
        <v>341</v>
      </c>
      <c r="I997" s="17" t="s">
        <v>2910</v>
      </c>
      <c r="J997" s="113" t="str">
        <f>VLOOKUP($I997,'Price List, Weapons &amp; Items'!B:C,2,0)</f>
        <v>Ammunition for portable defence system</v>
      </c>
      <c r="K997" s="113" t="str">
        <f>IF(I997=".",I997,VLOOKUP($I997,'Price List, Weapons &amp; Items'!B:D,3,0))</f>
        <v>Light Anti-armor Weapon (LAW) ammunition</v>
      </c>
      <c r="L997" s="177">
        <f>VLOOKUP(I997,'Price List, Weapons &amp; Items'!B:E,4,0)</f>
        <v>0</v>
      </c>
      <c r="M997" s="542">
        <v>6000</v>
      </c>
      <c r="N997" s="542" t="s">
        <v>270</v>
      </c>
      <c r="O997" s="543">
        <f>VLOOKUP($I997,'Price List, Weapons &amp; Items'!B:G,6,0)</f>
        <v>20000</v>
      </c>
      <c r="P997" s="176">
        <f t="shared" si="188"/>
        <v>120000000</v>
      </c>
      <c r="Q997" s="176" t="str">
        <f t="shared" si="189"/>
        <v>.</v>
      </c>
      <c r="R997" s="176">
        <f t="shared" si="198"/>
        <v>120000000</v>
      </c>
      <c r="S997" s="176">
        <f>IF(AND(AD997=1,R997&lt;&gt;".")=TRUE,R997/VLOOKUP(G997,'Exchange Rates'!B:C,2,0),IF(R997=".",".",""))</f>
        <v>114285714.28571428</v>
      </c>
      <c r="T997" s="176" t="str">
        <f>IF(AD997=1,IF(AF997="Value is not given at all",".",IF(AF997="Value is given by the source",S997,IF(AF997="Value is calculated with prices",(IF(SUMIFS(Q:Q,A:A,A997)&gt;0,SUMIFS(Q:Q,A:A,A997),"."))/VLOOKUP("USD",'Exchange Rates'!B:C,2,0),"Error with coding"))),"")</f>
        <v>.</v>
      </c>
      <c r="U997" s="15" t="s">
        <v>415</v>
      </c>
      <c r="V997" s="300" t="s">
        <v>2911</v>
      </c>
      <c r="W997" s="300" t="s">
        <v>2912</v>
      </c>
      <c r="X997" s="175" t="s">
        <v>260</v>
      </c>
      <c r="Y997" s="175" t="s">
        <v>260</v>
      </c>
      <c r="Z997" s="15">
        <v>0</v>
      </c>
      <c r="AA997" s="180">
        <v>0</v>
      </c>
      <c r="AB997" s="184" t="s">
        <v>260</v>
      </c>
      <c r="AC997" s="544" t="str">
        <f>""</f>
        <v/>
      </c>
      <c r="AD997" s="181">
        <v>1</v>
      </c>
      <c r="AE997" s="181" t="s">
        <v>332</v>
      </c>
      <c r="AF997" s="181" t="s">
        <v>265</v>
      </c>
      <c r="AG997" s="181">
        <v>1</v>
      </c>
      <c r="AH997" s="181">
        <v>3</v>
      </c>
      <c r="AI997" s="181">
        <v>0</v>
      </c>
      <c r="AJ997" s="181">
        <f>VLOOKUP($I997,'Price List, Weapons &amp; Items'!B:F,5,0)</f>
        <v>0</v>
      </c>
      <c r="AK997" s="181">
        <f t="shared" si="190"/>
        <v>0</v>
      </c>
      <c r="AL997" s="181">
        <f t="shared" si="191"/>
        <v>0</v>
      </c>
      <c r="AM997" s="181">
        <f t="shared" si="192"/>
        <v>0</v>
      </c>
      <c r="AN997" s="180" t="str">
        <f>VLOOKUP($I997,'Price List, Weapons &amp; Items'!B:L,COLUMN('Price List, Weapons &amp; Items'!$J$11)-1,0)</f>
        <v>Media reports (incl. social media)</v>
      </c>
      <c r="AO997" s="180" t="str">
        <f>IF(I997=".",".",VLOOKUP($I997,'Price List, Weapons &amp; Items'!B:J,3,0))</f>
        <v>Light Anti-armor Weapon (LAW) ammunition</v>
      </c>
      <c r="AP997" s="545" t="e">
        <f t="shared" ca="1" si="199"/>
        <v>#NAME?</v>
      </c>
      <c r="AQ997" s="180">
        <f>VLOOKUP($I997,'Price List, Weapons &amp; Items'!B:L,COLUMN('Price List, Weapons &amp; Items'!$L$11)-1,0)</f>
        <v>2</v>
      </c>
      <c r="AR997" s="180">
        <f t="shared" si="193"/>
        <v>0</v>
      </c>
      <c r="AS997" s="180">
        <f t="shared" si="194"/>
        <v>1</v>
      </c>
      <c r="AT997" s="180">
        <f t="shared" si="195"/>
        <v>1</v>
      </c>
      <c r="AU997" s="180" t="str">
        <f t="shared" si="196"/>
        <v>.</v>
      </c>
      <c r="AV997" s="180" t="str">
        <f t="shared" si="197"/>
        <v>.</v>
      </c>
      <c r="AW997" s="180">
        <f>IFERROR(VLOOKUP(B997,'Share, Heavy Weapons to Ukraine'!B:J,COLUMN('Share, Heavy Weapons to Ukraine'!C1007)-1,0),0)</f>
        <v>1</v>
      </c>
      <c r="AX997" s="180">
        <f>VLOOKUP('Bilateral Assistance, MAIN DATA'!B997,'Country Summary'!B:F,COLUMN('Country Summary'!C1010)-1,FALSE)</f>
        <v>0</v>
      </c>
      <c r="AY997" s="180" t="str">
        <f>IF(AND(AD997=1,D997="Military",H997&lt;&gt;"Not given")=TRUE,IF(SUMIFS(P:P,A:A,A997)&gt;0,ABS((SUMIFS(P:P,A:A,A997)/VLOOKUP("USD",'Exchange Rates'!B:C,2,0)))/S997,"."),".")</f>
        <v>.</v>
      </c>
      <c r="AZ997" s="182" t="str">
        <f>IF(AND(AD997=1,D997="Military",H997&lt;&gt;"Not given")=TRUE,IF(SUMIFS(P:P,A:A,A997)&gt;0,IF((ABS((SUMIFS(P:P,A:A,A997)/VLOOKUP("USD",'Exchange Rates'!B:C,2,0)))/S997)&gt;1,(SUMIFS(P:P,A:A,A997)-S997)/S997,(S997-SUMIFS(P:P,A:A,A997))/SUMIFS(P:P,A:A,A997)),"."),".")</f>
        <v>.</v>
      </c>
      <c r="BA997" s="182"/>
      <c r="BB997" s="182"/>
      <c r="BC997" s="182"/>
      <c r="BD997" s="182"/>
      <c r="BE997" s="182"/>
      <c r="BF997" s="182"/>
      <c r="BG997" s="182"/>
      <c r="BH997" s="182"/>
      <c r="BI997" s="182"/>
      <c r="BJ997" s="182"/>
      <c r="BK997" s="182"/>
      <c r="BL997" s="182"/>
      <c r="BM997" s="182"/>
      <c r="BN997" s="182"/>
      <c r="BO997" s="182"/>
      <c r="BP997" s="182"/>
      <c r="BQ997" s="182"/>
      <c r="BR997" s="182"/>
      <c r="BS997" s="182"/>
    </row>
    <row r="998" spans="1:71" ht="15.9" customHeight="1" x14ac:dyDescent="0.3">
      <c r="A998" s="5" t="s">
        <v>2913</v>
      </c>
      <c r="B998" s="5" t="s">
        <v>2864</v>
      </c>
      <c r="C998" s="174">
        <v>44644</v>
      </c>
      <c r="D998" s="5" t="s">
        <v>285</v>
      </c>
      <c r="E998" s="5" t="s">
        <v>339</v>
      </c>
      <c r="F998" s="175" t="s">
        <v>2914</v>
      </c>
      <c r="G998" s="15" t="s">
        <v>346</v>
      </c>
      <c r="H998" s="176" t="s">
        <v>341</v>
      </c>
      <c r="I998" s="17" t="s">
        <v>2915</v>
      </c>
      <c r="J998" s="113" t="str">
        <f>VLOOKUP($I998,'Price List, Weapons &amp; Items'!B:C,2,0)</f>
        <v>Ammunition for portable defence system</v>
      </c>
      <c r="K998" s="113" t="str">
        <f>IF(I998=".",I998,VLOOKUP($I998,'Price List, Weapons &amp; Items'!B:D,3,0))</f>
        <v>Light Anti-armor Weapon (LAW) ammunition</v>
      </c>
      <c r="L998" s="177">
        <f>VLOOKUP(I998,'Price List, Weapons &amp; Items'!B:E,4,0)</f>
        <v>0</v>
      </c>
      <c r="M998" s="542">
        <v>6000</v>
      </c>
      <c r="N998" s="542">
        <f>M998</f>
        <v>6000</v>
      </c>
      <c r="O998" s="543">
        <f>VLOOKUP($I998,'Price List, Weapons &amp; Items'!B:G,6,0)</f>
        <v>78000</v>
      </c>
      <c r="P998" s="176">
        <f t="shared" si="188"/>
        <v>468000000</v>
      </c>
      <c r="Q998" s="176">
        <f t="shared" si="189"/>
        <v>468000000</v>
      </c>
      <c r="R998" s="176">
        <f t="shared" si="198"/>
        <v>468000000</v>
      </c>
      <c r="S998" s="176">
        <f>IF(AND(AD998=1,R998&lt;&gt;".")=TRUE,R998/VLOOKUP(G998,'Exchange Rates'!B:C,2,0),IF(R998=".",".",""))</f>
        <v>445714285.71428567</v>
      </c>
      <c r="T998" s="176">
        <f>IF(AD998=1,IF(AF998="Value is not given at all",".",IF(AF998="Value is given by the source",S998,IF(AF998="Value is calculated with prices",(IF(SUMIFS(Q:Q,A:A,A998)&gt;0,SUMIFS(Q:Q,A:A,A998),"."))/VLOOKUP("USD",'Exchange Rates'!B:C,2,0),"Error with coding"))),"")</f>
        <v>445714285.71428567</v>
      </c>
      <c r="U998" s="15" t="s">
        <v>261</v>
      </c>
      <c r="V998" s="547" t="s">
        <v>2916</v>
      </c>
      <c r="W998" s="547" t="s">
        <v>2917</v>
      </c>
      <c r="X998" s="188" t="s">
        <v>260</v>
      </c>
      <c r="Y998" s="188" t="s">
        <v>260</v>
      </c>
      <c r="Z998" s="15">
        <v>0</v>
      </c>
      <c r="AA998" s="180">
        <v>0</v>
      </c>
      <c r="AB998" s="549" t="s">
        <v>2918</v>
      </c>
      <c r="AC998" s="544" t="str">
        <f>""</f>
        <v/>
      </c>
      <c r="AD998" s="181">
        <v>1</v>
      </c>
      <c r="AE998" s="181" t="s">
        <v>332</v>
      </c>
      <c r="AF998" s="181" t="s">
        <v>332</v>
      </c>
      <c r="AG998" s="181">
        <v>1</v>
      </c>
      <c r="AH998" s="181">
        <v>3</v>
      </c>
      <c r="AI998" s="181">
        <v>0</v>
      </c>
      <c r="AJ998" s="181">
        <f>VLOOKUP($I998,'Price List, Weapons &amp; Items'!B:F,5,0)</f>
        <v>0</v>
      </c>
      <c r="AK998" s="181">
        <f t="shared" si="190"/>
        <v>0</v>
      </c>
      <c r="AL998" s="181">
        <f t="shared" si="191"/>
        <v>0</v>
      </c>
      <c r="AM998" s="181">
        <f t="shared" si="192"/>
        <v>0</v>
      </c>
      <c r="AN998" s="180" t="str">
        <f>VLOOKUP($I998,'Price List, Weapons &amp; Items'!B:L,COLUMN('Price List, Weapons &amp; Items'!$J$11)-1,0)</f>
        <v>Military media (incl. websites)</v>
      </c>
      <c r="AO998" s="180" t="str">
        <f>IF(I998=".",".",VLOOKUP($I998,'Price List, Weapons &amp; Items'!B:J,3,0))</f>
        <v>Light Anti-armor Weapon (LAW) ammunition</v>
      </c>
      <c r="AP998" s="545" t="e">
        <f t="shared" ca="1" si="199"/>
        <v>#NAME?</v>
      </c>
      <c r="AQ998" s="180">
        <f>VLOOKUP($I998,'Price List, Weapons &amp; Items'!B:L,COLUMN('Price List, Weapons &amp; Items'!$L$11)-1,0)</f>
        <v>2</v>
      </c>
      <c r="AR998" s="180">
        <f t="shared" si="193"/>
        <v>1</v>
      </c>
      <c r="AS998" s="180">
        <f t="shared" si="194"/>
        <v>1</v>
      </c>
      <c r="AT998" s="180">
        <f t="shared" si="195"/>
        <v>1</v>
      </c>
      <c r="AU998" s="180" t="str">
        <f t="shared" si="196"/>
        <v>.</v>
      </c>
      <c r="AV998" s="180" t="str">
        <f t="shared" si="197"/>
        <v>.</v>
      </c>
      <c r="AW998" s="180">
        <f>IFERROR(VLOOKUP(B998,'Share, Heavy Weapons to Ukraine'!B:J,COLUMN('Share, Heavy Weapons to Ukraine'!C1008)-1,0),0)</f>
        <v>1</v>
      </c>
      <c r="AX998" s="180">
        <f>VLOOKUP('Bilateral Assistance, MAIN DATA'!B998,'Country Summary'!B:F,COLUMN('Country Summary'!C1011)-1,FALSE)</f>
        <v>0</v>
      </c>
      <c r="AY998" s="180" t="str">
        <f>IF(AND(AD998=1,D998="Military",H998&lt;&gt;"Not given")=TRUE,IF(SUMIFS(P:P,A:A,A998)&gt;0,ABS((SUMIFS(P:P,A:A,A998)/VLOOKUP("USD",'Exchange Rates'!B:C,2,0)))/S998,"."),".")</f>
        <v>.</v>
      </c>
      <c r="AZ998" s="182" t="str">
        <f>IF(AND(AD998=1,D998="Military",H998&lt;&gt;"Not given")=TRUE,IF(SUMIFS(P:P,A:A,A998)&gt;0,IF((ABS((SUMIFS(P:P,A:A,A998)/VLOOKUP("USD",'Exchange Rates'!B:C,2,0)))/S998)&gt;1,(SUMIFS(P:P,A:A,A998)-S998)/S998,(S998-SUMIFS(P:P,A:A,A998))/SUMIFS(P:P,A:A,A998)),"."),".")</f>
        <v>.</v>
      </c>
      <c r="BA998" s="182"/>
      <c r="BB998" s="182"/>
      <c r="BC998" s="182"/>
      <c r="BD998" s="182"/>
      <c r="BE998" s="182"/>
      <c r="BF998" s="182"/>
      <c r="BG998" s="182"/>
      <c r="BH998" s="182"/>
      <c r="BI998" s="182"/>
      <c r="BJ998" s="182"/>
      <c r="BK998" s="182"/>
      <c r="BL998" s="182"/>
      <c r="BM998" s="182"/>
      <c r="BN998" s="182"/>
      <c r="BO998" s="182"/>
      <c r="BP998" s="182"/>
      <c r="BQ998" s="182"/>
      <c r="BR998" s="182"/>
      <c r="BS998" s="182"/>
    </row>
    <row r="999" spans="1:71" ht="15.9" customHeight="1" x14ac:dyDescent="0.3">
      <c r="A999" s="5" t="s">
        <v>2913</v>
      </c>
      <c r="B999" s="5" t="s">
        <v>2864</v>
      </c>
      <c r="C999" s="174">
        <v>44644</v>
      </c>
      <c r="D999" s="5" t="s">
        <v>285</v>
      </c>
      <c r="E999" s="5" t="s">
        <v>339</v>
      </c>
      <c r="F999" s="175" t="s">
        <v>2914</v>
      </c>
      <c r="G999" s="15" t="s">
        <v>346</v>
      </c>
      <c r="H999" s="176" t="s">
        <v>341</v>
      </c>
      <c r="I999" s="17" t="s">
        <v>2919</v>
      </c>
      <c r="J999" s="113" t="str">
        <f>VLOOKUP($I999,'Price List, Weapons &amp; Items'!B:C,2,0)</f>
        <v>Ammunition for portable defence system</v>
      </c>
      <c r="K999" s="113" t="str">
        <f>IF(I999=".",I999,VLOOKUP($I999,'Price List, Weapons &amp; Items'!B:D,3,0))</f>
        <v>MANPADS ammunition</v>
      </c>
      <c r="L999" s="177">
        <f>VLOOKUP(I999,'Price List, Weapons &amp; Items'!B:E,4,0)</f>
        <v>0</v>
      </c>
      <c r="M999" s="542" t="s">
        <v>270</v>
      </c>
      <c r="N999" s="542" t="str">
        <f>M999</f>
        <v>undisclosed</v>
      </c>
      <c r="O999" s="543">
        <f>VLOOKUP($I999,'Price List, Weapons &amp; Items'!B:G,6,0)</f>
        <v>194000</v>
      </c>
      <c r="P999" s="176" t="str">
        <f t="shared" si="188"/>
        <v>.</v>
      </c>
      <c r="Q999" s="176" t="str">
        <f t="shared" si="189"/>
        <v>.</v>
      </c>
      <c r="R999" s="176" t="str">
        <f t="shared" si="198"/>
        <v/>
      </c>
      <c r="S999" s="176" t="str">
        <f>IF(AND(AD999=1,R999&lt;&gt;".")=TRUE,R999/VLOOKUP(G999,'Exchange Rates'!B:C,2,0),IF(R999=".",".",""))</f>
        <v/>
      </c>
      <c r="T999" s="176" t="str">
        <f>IF(AD999=1,IF(AF999="Value is not given at all",".",IF(AF999="Value is given by the source",S999,IF(AF999="Value is calculated with prices",(IF(SUMIFS(Q:Q,A:A,A999)&gt;0,SUMIFS(Q:Q,A:A,A999),"."))/VLOOKUP("USD",'Exchange Rates'!B:C,2,0),"Error with coding"))),"")</f>
        <v/>
      </c>
      <c r="U999" s="15" t="s">
        <v>261</v>
      </c>
      <c r="V999" s="547" t="s">
        <v>2916</v>
      </c>
      <c r="W999" s="547" t="s">
        <v>2917</v>
      </c>
      <c r="X999" s="188" t="s">
        <v>260</v>
      </c>
      <c r="Y999" s="188" t="s">
        <v>260</v>
      </c>
      <c r="Z999" s="15">
        <v>0</v>
      </c>
      <c r="AA999" s="180">
        <v>0</v>
      </c>
      <c r="AB999" s="549" t="s">
        <v>2918</v>
      </c>
      <c r="AC999" s="544" t="str">
        <f>""</f>
        <v/>
      </c>
      <c r="AD999" s="181">
        <v>0</v>
      </c>
      <c r="AE999" s="181" t="s">
        <v>332</v>
      </c>
      <c r="AF999" s="181" t="s">
        <v>332</v>
      </c>
      <c r="AG999" s="181">
        <v>1</v>
      </c>
      <c r="AH999" s="181">
        <v>3</v>
      </c>
      <c r="AI999" s="181">
        <v>0</v>
      </c>
      <c r="AJ999" s="181">
        <f>VLOOKUP($I999,'Price List, Weapons &amp; Items'!B:F,5,0)</f>
        <v>0</v>
      </c>
      <c r="AK999" s="181">
        <f t="shared" si="190"/>
        <v>0</v>
      </c>
      <c r="AL999" s="181">
        <f t="shared" si="191"/>
        <v>0</v>
      </c>
      <c r="AM999" s="181">
        <f t="shared" si="192"/>
        <v>0</v>
      </c>
      <c r="AN999" s="180" t="str">
        <f>VLOOKUP($I999,'Price List, Weapons &amp; Items'!B:L,COLUMN('Price List, Weapons &amp; Items'!$J$11)-1,0)</f>
        <v>Contracts</v>
      </c>
      <c r="AO999" s="180" t="str">
        <f>IF(I999=".",".",VLOOKUP($I999,'Price List, Weapons &amp; Items'!B:J,3,0))</f>
        <v>MANPADS ammunition</v>
      </c>
      <c r="AP999" s="545" t="str">
        <f t="shared" ca="1" si="199"/>
        <v/>
      </c>
      <c r="AQ999" s="180" t="str">
        <f>VLOOKUP($I999,'Price List, Weapons &amp; Items'!B:L,COLUMN('Price List, Weapons &amp; Items'!$L$11)-1,0)</f>
        <v>no price, 0 count</v>
      </c>
      <c r="AR999" s="180">
        <f t="shared" si="193"/>
        <v>1</v>
      </c>
      <c r="AS999" s="180">
        <f t="shared" si="194"/>
        <v>1</v>
      </c>
      <c r="AT999" s="180">
        <f t="shared" si="195"/>
        <v>1</v>
      </c>
      <c r="AU999" s="180" t="str">
        <f t="shared" si="196"/>
        <v>.</v>
      </c>
      <c r="AV999" s="180" t="str">
        <f t="shared" si="197"/>
        <v>.</v>
      </c>
      <c r="AW999" s="180">
        <f>IFERROR(VLOOKUP(B999,'Share, Heavy Weapons to Ukraine'!B:J,COLUMN('Share, Heavy Weapons to Ukraine'!C1009)-1,0),0)</f>
        <v>1</v>
      </c>
      <c r="AX999" s="180">
        <f>VLOOKUP('Bilateral Assistance, MAIN DATA'!B999,'Country Summary'!B:F,COLUMN('Country Summary'!C1012)-1,FALSE)</f>
        <v>0</v>
      </c>
      <c r="AY999" s="180" t="str">
        <f>IF(AND(AD999=1,D999="Military",H999&lt;&gt;"Not given")=TRUE,IF(SUMIFS(P:P,A:A,A999)&gt;0,ABS((SUMIFS(P:P,A:A,A999)/VLOOKUP("USD",'Exchange Rates'!B:C,2,0)))/S999,"."),".")</f>
        <v>.</v>
      </c>
      <c r="AZ999" s="182" t="str">
        <f>IF(AND(AD999=1,D999="Military",H999&lt;&gt;"Not given")=TRUE,IF(SUMIFS(P:P,A:A,A999)&gt;0,IF((ABS((SUMIFS(P:P,A:A,A999)/VLOOKUP("USD",'Exchange Rates'!B:C,2,0)))/S999)&gt;1,(SUMIFS(P:P,A:A,A999)-S999)/S999,(S999-SUMIFS(P:P,A:A,A999))/SUMIFS(P:P,A:A,A999)),"."),".")</f>
        <v>.</v>
      </c>
      <c r="BA999" s="182"/>
      <c r="BB999" s="182"/>
      <c r="BC999" s="182"/>
      <c r="BD999" s="182"/>
      <c r="BE999" s="182"/>
      <c r="BF999" s="182"/>
      <c r="BG999" s="182"/>
      <c r="BH999" s="182"/>
      <c r="BI999" s="182"/>
      <c r="BJ999" s="182"/>
      <c r="BK999" s="182"/>
      <c r="BL999" s="182"/>
      <c r="BM999" s="182"/>
      <c r="BN999" s="182"/>
      <c r="BO999" s="182"/>
      <c r="BP999" s="182"/>
      <c r="BQ999" s="182"/>
      <c r="BR999" s="182"/>
      <c r="BS999" s="182"/>
    </row>
    <row r="1000" spans="1:71" ht="15.9" customHeight="1" x14ac:dyDescent="0.3">
      <c r="A1000" s="5" t="s">
        <v>2920</v>
      </c>
      <c r="B1000" s="5" t="s">
        <v>2864</v>
      </c>
      <c r="C1000" s="174">
        <v>44659</v>
      </c>
      <c r="D1000" s="5" t="s">
        <v>285</v>
      </c>
      <c r="E1000" s="5" t="s">
        <v>286</v>
      </c>
      <c r="F1000" s="175" t="s">
        <v>2921</v>
      </c>
      <c r="G1000" s="15" t="s">
        <v>2866</v>
      </c>
      <c r="H1000" s="176">
        <v>100000000</v>
      </c>
      <c r="I1000" s="17" t="s">
        <v>2031</v>
      </c>
      <c r="J1000" s="113" t="str">
        <f>VLOOKUP($I1000,'Price List, Weapons &amp; Items'!B:C,2,0)</f>
        <v>Portable defence system</v>
      </c>
      <c r="K1000" s="113" t="str">
        <f>IF(I1000=".",I1000,VLOOKUP($I1000,'Price List, Weapons &amp; Items'!B:D,3,0))</f>
        <v>Light Anti-armor Weapon (LAW)</v>
      </c>
      <c r="L1000" s="177">
        <f>VLOOKUP(I1000,'Price List, Weapons &amp; Items'!B:E,4,0)</f>
        <v>0</v>
      </c>
      <c r="M1000" s="542">
        <v>800</v>
      </c>
      <c r="N1000" s="542">
        <v>800</v>
      </c>
      <c r="O1000" s="543">
        <f>VLOOKUP($I1000,'Price List, Weapons &amp; Items'!B:G,6,0)</f>
        <v>40000</v>
      </c>
      <c r="P1000" s="176">
        <f t="shared" si="188"/>
        <v>32000000</v>
      </c>
      <c r="Q1000" s="176">
        <f t="shared" si="189"/>
        <v>32000000</v>
      </c>
      <c r="R1000" s="176">
        <f t="shared" si="198"/>
        <v>100000000</v>
      </c>
      <c r="S1000" s="176">
        <f>IF(AND(AD1000=1,R1000&lt;&gt;".")=TRUE,R1000/VLOOKUP(G1000,'Exchange Rates'!B:C,2,0),IF(R1000=".",".",""))</f>
        <v>116017356.19648699</v>
      </c>
      <c r="T1000" s="176">
        <f>IF(AD1000=1,IF(AF1000="Value is not given at all",".",IF(AF1000="Value is given by the source",S1000,IF(AF1000="Value is calculated with prices",(IF(SUMIFS(Q:Q,A:A,A1000)&gt;0,SUMIFS(Q:Q,A:A,A1000),"."))/VLOOKUP("USD",'Exchange Rates'!B:C,2,0),"Error with coding"))),"")</f>
        <v>116017356.19648699</v>
      </c>
      <c r="U1000" s="15" t="s">
        <v>261</v>
      </c>
      <c r="V1000" s="547" t="s">
        <v>2922</v>
      </c>
      <c r="W1000" s="547" t="s">
        <v>2923</v>
      </c>
      <c r="X1000" s="547" t="s">
        <v>2924</v>
      </c>
      <c r="Y1000" s="547" t="s">
        <v>2925</v>
      </c>
      <c r="Z1000" s="15">
        <v>0</v>
      </c>
      <c r="AA1000" s="180">
        <v>0</v>
      </c>
      <c r="AB1000" s="184" t="s">
        <v>260</v>
      </c>
      <c r="AC1000" s="544" t="str">
        <f>""</f>
        <v/>
      </c>
      <c r="AD1000" s="181">
        <v>1</v>
      </c>
      <c r="AE1000" s="181" t="s">
        <v>264</v>
      </c>
      <c r="AF1000" s="181" t="s">
        <v>264</v>
      </c>
      <c r="AG1000" s="181">
        <v>1</v>
      </c>
      <c r="AH1000" s="181">
        <v>4</v>
      </c>
      <c r="AI1000" s="181">
        <v>0</v>
      </c>
      <c r="AJ1000" s="181">
        <f>VLOOKUP($I1000,'Price List, Weapons &amp; Items'!B:F,5,0)</f>
        <v>0</v>
      </c>
      <c r="AK1000" s="181">
        <f t="shared" si="190"/>
        <v>0</v>
      </c>
      <c r="AL1000" s="181">
        <f t="shared" si="191"/>
        <v>0</v>
      </c>
      <c r="AM1000" s="181">
        <f t="shared" si="192"/>
        <v>0</v>
      </c>
      <c r="AN1000" s="180" t="str">
        <f>VLOOKUP($I1000,'Price List, Weapons &amp; Items'!B:L,COLUMN('Price List, Weapons &amp; Items'!$J$11)-1,0)</f>
        <v>Media reports (incl. social media)</v>
      </c>
      <c r="AO1000" s="180" t="str">
        <f>IF(I1000=".",".",VLOOKUP($I1000,'Price List, Weapons &amp; Items'!B:J,3,0))</f>
        <v>Light Anti-armor Weapon (LAW)</v>
      </c>
      <c r="AP1000" s="545" t="e">
        <f t="shared" ca="1" si="199"/>
        <v>#NAME?</v>
      </c>
      <c r="AQ1000" s="180">
        <f>VLOOKUP($I1000,'Price List, Weapons &amp; Items'!B:L,COLUMN('Price List, Weapons &amp; Items'!$L$11)-1,0)</f>
        <v>2</v>
      </c>
      <c r="AR1000" s="180">
        <f t="shared" si="193"/>
        <v>1</v>
      </c>
      <c r="AS1000" s="180">
        <f t="shared" si="194"/>
        <v>1</v>
      </c>
      <c r="AT1000" s="180">
        <f t="shared" si="195"/>
        <v>1</v>
      </c>
      <c r="AU1000" s="180" t="str">
        <f t="shared" si="196"/>
        <v>.</v>
      </c>
      <c r="AV1000" s="180" t="str">
        <f t="shared" si="197"/>
        <v>.</v>
      </c>
      <c r="AW1000" s="180">
        <f>IFERROR(VLOOKUP(B1000,'Share, Heavy Weapons to Ukraine'!B:J,COLUMN('Share, Heavy Weapons to Ukraine'!C1010)-1,0),0)</f>
        <v>1</v>
      </c>
      <c r="AX1000" s="180">
        <f>VLOOKUP('Bilateral Assistance, MAIN DATA'!B1000,'Country Summary'!B:F,COLUMN('Country Summary'!C1013)-1,FALSE)</f>
        <v>0</v>
      </c>
      <c r="AY1000" s="180">
        <f>IF(AND(AD1000=1,D1000="Military",H1000&lt;&gt;"Not given")=TRUE,IF(SUMIFS(P:P,A:A,A1000)&gt;0,ABS((SUMIFS(P:P,A:A,A1000)/VLOOKUP("USD",'Exchange Rates'!B:C,2,0)))/S1000,"."),".")</f>
        <v>1.3349808809523811</v>
      </c>
      <c r="AZ1000" s="182">
        <f>IF(AND(AD1000=1,D1000="Military",H1000&lt;&gt;"Not given")=TRUE,IF(SUMIFS(P:P,A:A,A1000)&gt;0,IF((ABS((SUMIFS(P:P,A:A,A1000)/VLOOKUP("USD",'Exchange Rates'!B:C,2,0)))/S1000)&gt;1,(SUMIFS(P:P,A:A,A1000)-S1000)/S1000,(S1000-SUMIFS(P:P,A:A,A1000))/SUMIFS(P:P,A:A,A1000)),"."),".")</f>
        <v>0.40172992499999999</v>
      </c>
      <c r="BA1000" s="182"/>
      <c r="BB1000" s="182"/>
      <c r="BC1000" s="182"/>
      <c r="BD1000" s="182"/>
      <c r="BE1000" s="182"/>
      <c r="BF1000" s="182"/>
      <c r="BG1000" s="182"/>
      <c r="BH1000" s="182"/>
      <c r="BI1000" s="182"/>
      <c r="BJ1000" s="182"/>
      <c r="BK1000" s="182"/>
      <c r="BL1000" s="182"/>
      <c r="BM1000" s="182"/>
      <c r="BN1000" s="182"/>
      <c r="BO1000" s="182"/>
      <c r="BP1000" s="182"/>
      <c r="BQ1000" s="182"/>
      <c r="BR1000" s="182"/>
      <c r="BS1000" s="182"/>
    </row>
    <row r="1001" spans="1:71" ht="15.9" customHeight="1" x14ac:dyDescent="0.3">
      <c r="A1001" s="5" t="s">
        <v>2920</v>
      </c>
      <c r="B1001" s="5" t="s">
        <v>2864</v>
      </c>
      <c r="C1001" s="174">
        <v>44659</v>
      </c>
      <c r="D1001" s="5" t="s">
        <v>285</v>
      </c>
      <c r="E1001" s="5" t="s">
        <v>286</v>
      </c>
      <c r="F1001" s="175" t="s">
        <v>2921</v>
      </c>
      <c r="G1001" s="15" t="s">
        <v>2866</v>
      </c>
      <c r="H1001" s="176">
        <v>100000000</v>
      </c>
      <c r="I1001" s="17" t="s">
        <v>946</v>
      </c>
      <c r="J1001" s="113" t="str">
        <f>VLOOKUP($I1001,'Price List, Weapons &amp; Items'!B:C,2,0)</f>
        <v>Ammunition for portable defence system</v>
      </c>
      <c r="K1001" s="113" t="str">
        <f>IF(I1001=".",I1001,VLOOKUP($I1001,'Price List, Weapons &amp; Items'!B:D,3,0))</f>
        <v>Light Anti-armor Weapon (LAW) ammunition</v>
      </c>
      <c r="L1001" s="177">
        <f>VLOOKUP(I1001,'Price List, Weapons &amp; Items'!B:E,4,0)</f>
        <v>0</v>
      </c>
      <c r="M1001" s="542" t="s">
        <v>270</v>
      </c>
      <c r="N1001" s="542">
        <v>201</v>
      </c>
      <c r="O1001" s="543">
        <f>VLOOKUP($I1001,'Price List, Weapons &amp; Items'!B:G,6,0)</f>
        <v>78000</v>
      </c>
      <c r="P1001" s="176" t="str">
        <f t="shared" si="188"/>
        <v>.</v>
      </c>
      <c r="Q1001" s="176">
        <f t="shared" si="189"/>
        <v>15678000</v>
      </c>
      <c r="R1001" s="176" t="str">
        <f t="shared" si="198"/>
        <v/>
      </c>
      <c r="S1001" s="176" t="str">
        <f>IF(AND(AD1001=1,R1001&lt;&gt;".")=TRUE,R1001/VLOOKUP(G1001,'Exchange Rates'!B:C,2,0),IF(R1001=".",".",""))</f>
        <v/>
      </c>
      <c r="T1001" s="176" t="str">
        <f>IF(AD1001=1,IF(AF1001="Value is not given at all",".",IF(AF1001="Value is given by the source",S1001,IF(AF1001="Value is calculated with prices",(IF(SUMIFS(Q:Q,A:A,A1001)&gt;0,SUMIFS(Q:Q,A:A,A1001),"."))/VLOOKUP("USD",'Exchange Rates'!B:C,2,0),"Error with coding"))),"")</f>
        <v/>
      </c>
      <c r="U1001" s="15" t="s">
        <v>261</v>
      </c>
      <c r="V1001" s="547" t="s">
        <v>2922</v>
      </c>
      <c r="W1001" s="547" t="s">
        <v>2923</v>
      </c>
      <c r="X1001" s="547" t="s">
        <v>2924</v>
      </c>
      <c r="Y1001" s="547" t="s">
        <v>2925</v>
      </c>
      <c r="Z1001" s="15">
        <v>0</v>
      </c>
      <c r="AA1001" s="180">
        <v>0</v>
      </c>
      <c r="AB1001" s="549" t="s">
        <v>2898</v>
      </c>
      <c r="AC1001" s="544" t="str">
        <f>""</f>
        <v/>
      </c>
      <c r="AD1001" s="181">
        <v>0</v>
      </c>
      <c r="AE1001" s="181" t="s">
        <v>264</v>
      </c>
      <c r="AF1001" s="181" t="s">
        <v>264</v>
      </c>
      <c r="AG1001" s="181">
        <v>1</v>
      </c>
      <c r="AH1001" s="181">
        <v>4</v>
      </c>
      <c r="AI1001" s="181">
        <v>0</v>
      </c>
      <c r="AJ1001" s="181">
        <f>VLOOKUP($I1001,'Price List, Weapons &amp; Items'!B:F,5,0)</f>
        <v>0</v>
      </c>
      <c r="AK1001" s="181">
        <f t="shared" si="190"/>
        <v>0</v>
      </c>
      <c r="AL1001" s="181">
        <f t="shared" si="191"/>
        <v>0</v>
      </c>
      <c r="AM1001" s="181">
        <f t="shared" si="192"/>
        <v>0</v>
      </c>
      <c r="AN1001" s="180" t="str">
        <f>VLOOKUP($I1001,'Price List, Weapons &amp; Items'!B:L,COLUMN('Price List, Weapons &amp; Items'!$J$11)-1,0)</f>
        <v>Military media (incl. websites)</v>
      </c>
      <c r="AO1001" s="180" t="str">
        <f>IF(I1001=".",".",VLOOKUP($I1001,'Price List, Weapons &amp; Items'!B:J,3,0))</f>
        <v>Light Anti-armor Weapon (LAW) ammunition</v>
      </c>
      <c r="AP1001" s="545" t="str">
        <f t="shared" ca="1" si="199"/>
        <v/>
      </c>
      <c r="AQ1001" s="180">
        <f>VLOOKUP($I1001,'Price List, Weapons &amp; Items'!B:L,COLUMN('Price List, Weapons &amp; Items'!$L$11)-1,0)</f>
        <v>2</v>
      </c>
      <c r="AR1001" s="180">
        <f t="shared" si="193"/>
        <v>1</v>
      </c>
      <c r="AS1001" s="180">
        <f t="shared" si="194"/>
        <v>1</v>
      </c>
      <c r="AT1001" s="180">
        <f t="shared" si="195"/>
        <v>1</v>
      </c>
      <c r="AU1001" s="180" t="str">
        <f t="shared" si="196"/>
        <v>.</v>
      </c>
      <c r="AV1001" s="180" t="str">
        <f t="shared" si="197"/>
        <v>.</v>
      </c>
      <c r="AW1001" s="180">
        <f>IFERROR(VLOOKUP(B1001,'Share, Heavy Weapons to Ukraine'!B:J,COLUMN('Share, Heavy Weapons to Ukraine'!C1011)-1,0),0)</f>
        <v>1</v>
      </c>
      <c r="AX1001" s="180">
        <f>VLOOKUP('Bilateral Assistance, MAIN DATA'!B1001,'Country Summary'!B:F,COLUMN('Country Summary'!C1014)-1,FALSE)</f>
        <v>0</v>
      </c>
      <c r="AY1001" s="180" t="str">
        <f>IF(AND(AD1001=1,D1001="Military",H1001&lt;&gt;"Not given")=TRUE,IF(SUMIFS(P:P,A:A,A1001)&gt;0,ABS((SUMIFS(P:P,A:A,A1001)/VLOOKUP("USD",'Exchange Rates'!B:C,2,0)))/S1001,"."),".")</f>
        <v>.</v>
      </c>
      <c r="AZ1001" s="182" t="str">
        <f>IF(AND(AD1001=1,D1001="Military",H1001&lt;&gt;"Not given")=TRUE,IF(SUMIFS(P:P,A:A,A1001)&gt;0,IF((ABS((SUMIFS(P:P,A:A,A1001)/VLOOKUP("USD",'Exchange Rates'!B:C,2,0)))/S1001)&gt;1,(SUMIFS(P:P,A:A,A1001)-S1001)/S1001,(S1001-SUMIFS(P:P,A:A,A1001))/SUMIFS(P:P,A:A,A1001)),"."),".")</f>
        <v>.</v>
      </c>
      <c r="BA1001" s="182"/>
      <c r="BB1001" s="182"/>
      <c r="BC1001" s="182"/>
      <c r="BD1001" s="182"/>
      <c r="BE1001" s="182"/>
      <c r="BF1001" s="182"/>
      <c r="BG1001" s="182"/>
      <c r="BH1001" s="182"/>
      <c r="BI1001" s="182"/>
      <c r="BJ1001" s="182"/>
      <c r="BK1001" s="182"/>
      <c r="BL1001" s="182"/>
      <c r="BM1001" s="182"/>
      <c r="BN1001" s="182"/>
      <c r="BO1001" s="182"/>
      <c r="BP1001" s="182"/>
      <c r="BQ1001" s="182"/>
      <c r="BR1001" s="182"/>
      <c r="BS1001" s="182"/>
    </row>
    <row r="1002" spans="1:71" ht="15.9" customHeight="1" x14ac:dyDescent="0.3">
      <c r="A1002" s="5" t="s">
        <v>2920</v>
      </c>
      <c r="B1002" s="5" t="s">
        <v>2864</v>
      </c>
      <c r="C1002" s="174">
        <v>44659</v>
      </c>
      <c r="D1002" s="5" t="s">
        <v>285</v>
      </c>
      <c r="E1002" s="5" t="s">
        <v>286</v>
      </c>
      <c r="F1002" s="175" t="s">
        <v>2921</v>
      </c>
      <c r="G1002" s="15" t="s">
        <v>2866</v>
      </c>
      <c r="H1002" s="176">
        <v>100000000</v>
      </c>
      <c r="I1002" s="17" t="s">
        <v>2926</v>
      </c>
      <c r="J1002" s="113" t="str">
        <f>VLOOKUP($I1002,'Price List, Weapons &amp; Items'!B:C,2,0)</f>
        <v>Aviation and drones</v>
      </c>
      <c r="K1002" s="113" t="str">
        <f>IF(I1002=".",I1002,VLOOKUP($I1002,'Price List, Weapons &amp; Items'!B:D,3,0))</f>
        <v>drone</v>
      </c>
      <c r="L1002" s="177">
        <f>VLOOKUP(I1002,'Price List, Weapons &amp; Items'!B:E,4,0)</f>
        <v>0</v>
      </c>
      <c r="M1002" s="542" t="s">
        <v>270</v>
      </c>
      <c r="N1002" s="542" t="s">
        <v>270</v>
      </c>
      <c r="O1002" s="543">
        <f>VLOOKUP($I1002,'Price List, Weapons &amp; Items'!B:G,6,0)</f>
        <v>6000</v>
      </c>
      <c r="P1002" s="176" t="str">
        <f t="shared" si="188"/>
        <v>.</v>
      </c>
      <c r="Q1002" s="176" t="str">
        <f t="shared" si="189"/>
        <v>.</v>
      </c>
      <c r="R1002" s="176" t="str">
        <f t="shared" si="198"/>
        <v/>
      </c>
      <c r="S1002" s="176" t="str">
        <f>IF(AND(AD1002=1,R1002&lt;&gt;".")=TRUE,R1002/VLOOKUP(G1002,'Exchange Rates'!B:C,2,0),IF(R1002=".",".",""))</f>
        <v/>
      </c>
      <c r="T1002" s="176" t="str">
        <f>IF(AD1002=1,IF(AF1002="Value is not given at all",".",IF(AF1002="Value is given by the source",S1002,IF(AF1002="Value is calculated with prices",(IF(SUMIFS(Q:Q,A:A,A1002)&gt;0,SUMIFS(Q:Q,A:A,A1002),"."))/VLOOKUP("USD",'Exchange Rates'!B:C,2,0),"Error with coding"))),"")</f>
        <v/>
      </c>
      <c r="U1002" s="15" t="s">
        <v>261</v>
      </c>
      <c r="V1002" s="547" t="s">
        <v>2922</v>
      </c>
      <c r="W1002" s="547" t="s">
        <v>2923</v>
      </c>
      <c r="X1002" s="547" t="s">
        <v>2924</v>
      </c>
      <c r="Y1002" s="547" t="s">
        <v>2925</v>
      </c>
      <c r="Z1002" s="15">
        <v>0</v>
      </c>
      <c r="AA1002" s="180">
        <v>0</v>
      </c>
      <c r="AB1002" s="184" t="s">
        <v>260</v>
      </c>
      <c r="AC1002" s="544" t="str">
        <f>""</f>
        <v/>
      </c>
      <c r="AD1002" s="181">
        <v>0</v>
      </c>
      <c r="AE1002" s="181" t="s">
        <v>264</v>
      </c>
      <c r="AF1002" s="181" t="s">
        <v>264</v>
      </c>
      <c r="AG1002" s="181">
        <v>1</v>
      </c>
      <c r="AH1002" s="181">
        <v>4</v>
      </c>
      <c r="AI1002" s="181">
        <v>0</v>
      </c>
      <c r="AJ1002" s="181">
        <f>VLOOKUP($I1002,'Price List, Weapons &amp; Items'!B:F,5,0)</f>
        <v>0</v>
      </c>
      <c r="AK1002" s="181">
        <f t="shared" si="190"/>
        <v>0</v>
      </c>
      <c r="AL1002" s="181">
        <f t="shared" si="191"/>
        <v>0</v>
      </c>
      <c r="AM1002" s="181">
        <f t="shared" si="192"/>
        <v>0</v>
      </c>
      <c r="AN1002" s="180" t="str">
        <f>VLOOKUP($I1002,'Price List, Weapons &amp; Items'!B:L,COLUMN('Price List, Weapons &amp; Items'!$J$11)-1,0)</f>
        <v>Miscellaneous</v>
      </c>
      <c r="AO1002" s="180" t="str">
        <f>IF(I1002=".",".",VLOOKUP($I1002,'Price List, Weapons &amp; Items'!B:J,3,0))</f>
        <v>drone</v>
      </c>
      <c r="AP1002" s="545" t="str">
        <f t="shared" ca="1" si="199"/>
        <v/>
      </c>
      <c r="AQ1002" s="180">
        <f>VLOOKUP($I1002,'Price List, Weapons &amp; Items'!B:L,COLUMN('Price List, Weapons &amp; Items'!$L$11)-1,0)</f>
        <v>2</v>
      </c>
      <c r="AR1002" s="180">
        <f t="shared" si="193"/>
        <v>1</v>
      </c>
      <c r="AS1002" s="180">
        <f t="shared" si="194"/>
        <v>1</v>
      </c>
      <c r="AT1002" s="180">
        <f t="shared" si="195"/>
        <v>1</v>
      </c>
      <c r="AU1002" s="180" t="str">
        <f t="shared" si="196"/>
        <v>.</v>
      </c>
      <c r="AV1002" s="180" t="str">
        <f t="shared" si="197"/>
        <v>.</v>
      </c>
      <c r="AW1002" s="180">
        <f>IFERROR(VLOOKUP(B1002,'Share, Heavy Weapons to Ukraine'!B:J,COLUMN('Share, Heavy Weapons to Ukraine'!C1012)-1,0),0)</f>
        <v>1</v>
      </c>
      <c r="AX1002" s="180">
        <f>VLOOKUP('Bilateral Assistance, MAIN DATA'!B1002,'Country Summary'!B:F,COLUMN('Country Summary'!C1015)-1,FALSE)</f>
        <v>0</v>
      </c>
      <c r="AY1002" s="180" t="str">
        <f>IF(AND(AD1002=1,D1002="Military",H1002&lt;&gt;"Not given")=TRUE,IF(SUMIFS(P:P,A:A,A1002)&gt;0,ABS((SUMIFS(P:P,A:A,A1002)/VLOOKUP("USD",'Exchange Rates'!B:C,2,0)))/S1002,"."),".")</f>
        <v>.</v>
      </c>
      <c r="AZ1002" s="182" t="str">
        <f>IF(AND(AD1002=1,D1002="Military",H1002&lt;&gt;"Not given")=TRUE,IF(SUMIFS(P:P,A:A,A1002)&gt;0,IF((ABS((SUMIFS(P:P,A:A,A1002)/VLOOKUP("USD",'Exchange Rates'!B:C,2,0)))/S1002)&gt;1,(SUMIFS(P:P,A:A,A1002)-S1002)/S1002,(S1002-SUMIFS(P:P,A:A,A1002))/SUMIFS(P:P,A:A,A1002)),"."),".")</f>
        <v>.</v>
      </c>
      <c r="BA1002" s="182"/>
      <c r="BB1002" s="182"/>
      <c r="BC1002" s="182"/>
      <c r="BD1002" s="182"/>
      <c r="BE1002" s="182"/>
      <c r="BF1002" s="182"/>
      <c r="BG1002" s="182"/>
      <c r="BH1002" s="182"/>
      <c r="BI1002" s="182"/>
      <c r="BJ1002" s="182"/>
      <c r="BK1002" s="182"/>
      <c r="BL1002" s="182"/>
      <c r="BM1002" s="182"/>
      <c r="BN1002" s="182"/>
      <c r="BO1002" s="182"/>
      <c r="BP1002" s="182"/>
      <c r="BQ1002" s="182"/>
      <c r="BR1002" s="182"/>
      <c r="BS1002" s="182"/>
    </row>
    <row r="1003" spans="1:71" ht="15.9" customHeight="1" x14ac:dyDescent="0.3">
      <c r="A1003" s="5" t="s">
        <v>2920</v>
      </c>
      <c r="B1003" s="5" t="s">
        <v>2864</v>
      </c>
      <c r="C1003" s="174">
        <v>44659</v>
      </c>
      <c r="D1003" s="5" t="s">
        <v>285</v>
      </c>
      <c r="E1003" s="5" t="s">
        <v>286</v>
      </c>
      <c r="F1003" s="175" t="s">
        <v>2921</v>
      </c>
      <c r="G1003" s="15" t="s">
        <v>2866</v>
      </c>
      <c r="H1003" s="176">
        <v>100000000</v>
      </c>
      <c r="I1003" s="17" t="s">
        <v>2904</v>
      </c>
      <c r="J1003" s="113" t="str">
        <f>VLOOKUP($I1003,'Price List, Weapons &amp; Items'!B:C,2,0)</f>
        <v>Portable defence system</v>
      </c>
      <c r="K1003" s="113" t="str">
        <f>IF(I1003=".",I1003,VLOOKUP($I1003,'Price List, Weapons &amp; Items'!B:D,3,0))</f>
        <v>MANPADS</v>
      </c>
      <c r="L1003" s="177">
        <f>VLOOKUP(I1003,'Price List, Weapons &amp; Items'!B:E,4,0)</f>
        <v>0</v>
      </c>
      <c r="M1003" s="542" t="s">
        <v>270</v>
      </c>
      <c r="N1003" s="542" t="s">
        <v>270</v>
      </c>
      <c r="O1003" s="543">
        <f>VLOOKUP($I1003,'Price List, Weapons &amp; Items'!B:G,6,0)</f>
        <v>1750000</v>
      </c>
      <c r="P1003" s="176" t="str">
        <f t="shared" si="188"/>
        <v>.</v>
      </c>
      <c r="Q1003" s="176" t="str">
        <f t="shared" si="189"/>
        <v>.</v>
      </c>
      <c r="R1003" s="176" t="str">
        <f t="shared" si="198"/>
        <v/>
      </c>
      <c r="S1003" s="176" t="str">
        <f>IF(AND(AD1003=1,R1003&lt;&gt;".")=TRUE,R1003/VLOOKUP(G1003,'Exchange Rates'!B:C,2,0),IF(R1003=".",".",""))</f>
        <v/>
      </c>
      <c r="T1003" s="176" t="str">
        <f>IF(AD1003=1,IF(AF1003="Value is not given at all",".",IF(AF1003="Value is given by the source",S1003,IF(AF1003="Value is calculated with prices",(IF(SUMIFS(Q:Q,A:A,A1003)&gt;0,SUMIFS(Q:Q,A:A,A1003),"."))/VLOOKUP("USD",'Exchange Rates'!B:C,2,0),"Error with coding"))),"")</f>
        <v/>
      </c>
      <c r="U1003" s="15" t="s">
        <v>261</v>
      </c>
      <c r="V1003" s="547" t="s">
        <v>2922</v>
      </c>
      <c r="W1003" s="547" t="s">
        <v>2923</v>
      </c>
      <c r="X1003" s="547" t="s">
        <v>2924</v>
      </c>
      <c r="Y1003" s="547" t="s">
        <v>2925</v>
      </c>
      <c r="Z1003" s="15">
        <v>0</v>
      </c>
      <c r="AA1003" s="180">
        <v>0</v>
      </c>
      <c r="AB1003" s="184" t="s">
        <v>260</v>
      </c>
      <c r="AC1003" s="544" t="str">
        <f>""</f>
        <v/>
      </c>
      <c r="AD1003" s="181">
        <v>0</v>
      </c>
      <c r="AE1003" s="181" t="s">
        <v>264</v>
      </c>
      <c r="AF1003" s="181" t="s">
        <v>264</v>
      </c>
      <c r="AG1003" s="181">
        <v>1</v>
      </c>
      <c r="AH1003" s="181">
        <v>4</v>
      </c>
      <c r="AI1003" s="181">
        <v>0</v>
      </c>
      <c r="AJ1003" s="181">
        <f>VLOOKUP($I1003,'Price List, Weapons &amp; Items'!B:F,5,0)</f>
        <v>0</v>
      </c>
      <c r="AK1003" s="181">
        <f t="shared" si="190"/>
        <v>0</v>
      </c>
      <c r="AL1003" s="181">
        <f t="shared" si="191"/>
        <v>0</v>
      </c>
      <c r="AM1003" s="181">
        <f t="shared" si="192"/>
        <v>0</v>
      </c>
      <c r="AN1003" s="180" t="str">
        <f>VLOOKUP($I1003,'Price List, Weapons &amp; Items'!B:L,COLUMN('Price List, Weapons &amp; Items'!$J$11)-1,0)</f>
        <v>Contracts</v>
      </c>
      <c r="AO1003" s="180" t="str">
        <f>IF(I1003=".",".",VLOOKUP($I1003,'Price List, Weapons &amp; Items'!B:J,3,0))</f>
        <v>MANPADS</v>
      </c>
      <c r="AP1003" s="545" t="str">
        <f t="shared" ca="1" si="199"/>
        <v/>
      </c>
      <c r="AQ1003" s="180" t="str">
        <f>VLOOKUP($I1003,'Price List, Weapons &amp; Items'!B:L,COLUMN('Price List, Weapons &amp; Items'!$L$11)-1,0)</f>
        <v>no price, 0 count</v>
      </c>
      <c r="AR1003" s="180">
        <f t="shared" si="193"/>
        <v>1</v>
      </c>
      <c r="AS1003" s="180">
        <f t="shared" si="194"/>
        <v>1</v>
      </c>
      <c r="AT1003" s="180">
        <f t="shared" si="195"/>
        <v>1</v>
      </c>
      <c r="AU1003" s="180" t="str">
        <f t="shared" si="196"/>
        <v>.</v>
      </c>
      <c r="AV1003" s="180" t="str">
        <f t="shared" si="197"/>
        <v>.</v>
      </c>
      <c r="AW1003" s="180">
        <f>IFERROR(VLOOKUP(B1003,'Share, Heavy Weapons to Ukraine'!B:J,COLUMN('Share, Heavy Weapons to Ukraine'!C1013)-1,0),0)</f>
        <v>1</v>
      </c>
      <c r="AX1003" s="180">
        <f>VLOOKUP('Bilateral Assistance, MAIN DATA'!B1003,'Country Summary'!B:F,COLUMN('Country Summary'!C1016)-1,FALSE)</f>
        <v>0</v>
      </c>
      <c r="AY1003" s="180" t="str">
        <f>IF(AND(AD1003=1,D1003="Military",H1003&lt;&gt;"Not given")=TRUE,IF(SUMIFS(P:P,A:A,A1003)&gt;0,ABS((SUMIFS(P:P,A:A,A1003)/VLOOKUP("USD",'Exchange Rates'!B:C,2,0)))/S1003,"."),".")</f>
        <v>.</v>
      </c>
      <c r="AZ1003" s="182" t="str">
        <f>IF(AND(AD1003=1,D1003="Military",H1003&lt;&gt;"Not given")=TRUE,IF(SUMIFS(P:P,A:A,A1003)&gt;0,IF((ABS((SUMIFS(P:P,A:A,A1003)/VLOOKUP("USD",'Exchange Rates'!B:C,2,0)))/S1003)&gt;1,(SUMIFS(P:P,A:A,A1003)-S1003)/S1003,(S1003-SUMIFS(P:P,A:A,A1003))/SUMIFS(P:P,A:A,A1003)),"."),".")</f>
        <v>.</v>
      </c>
      <c r="BA1003" s="182"/>
      <c r="BB1003" s="182"/>
      <c r="BC1003" s="182"/>
      <c r="BD1003" s="182"/>
      <c r="BE1003" s="182"/>
      <c r="BF1003" s="182"/>
      <c r="BG1003" s="182"/>
      <c r="BH1003" s="182"/>
      <c r="BI1003" s="182"/>
      <c r="BJ1003" s="182"/>
      <c r="BK1003" s="182"/>
      <c r="BL1003" s="182"/>
      <c r="BM1003" s="182"/>
      <c r="BN1003" s="182"/>
      <c r="BO1003" s="182"/>
      <c r="BP1003" s="182"/>
      <c r="BQ1003" s="182"/>
      <c r="BR1003" s="182"/>
      <c r="BS1003" s="182"/>
    </row>
    <row r="1004" spans="1:71" ht="15.9" customHeight="1" x14ac:dyDescent="0.3">
      <c r="A1004" s="5" t="s">
        <v>2920</v>
      </c>
      <c r="B1004" s="5" t="s">
        <v>2864</v>
      </c>
      <c r="C1004" s="174">
        <v>44659</v>
      </c>
      <c r="D1004" s="5" t="s">
        <v>285</v>
      </c>
      <c r="E1004" s="5" t="s">
        <v>286</v>
      </c>
      <c r="F1004" s="175" t="s">
        <v>2921</v>
      </c>
      <c r="G1004" s="15" t="s">
        <v>2866</v>
      </c>
      <c r="H1004" s="176">
        <v>100000000</v>
      </c>
      <c r="I1004" s="17" t="s">
        <v>463</v>
      </c>
      <c r="J1004" s="113" t="str">
        <f>VLOOKUP($I1004,'Price List, Weapons &amp; Items'!B:C,2,0)</f>
        <v>Military equipment</v>
      </c>
      <c r="K1004" s="113" t="str">
        <f>IF(I1004=".",I1004,VLOOKUP($I1004,'Price List, Weapons &amp; Items'!B:D,3,0))</f>
        <v>Military equipment</v>
      </c>
      <c r="L1004" s="177">
        <f>VLOOKUP(I1004,'Price List, Weapons &amp; Items'!B:E,4,0)</f>
        <v>0</v>
      </c>
      <c r="M1004" s="542">
        <v>82000</v>
      </c>
      <c r="N1004" s="542">
        <v>82000</v>
      </c>
      <c r="O1004" s="543">
        <f>VLOOKUP($I1004,'Price List, Weapons &amp; Items'!B:G,6,0)</f>
        <v>1400</v>
      </c>
      <c r="P1004" s="176">
        <f t="shared" si="188"/>
        <v>114800000</v>
      </c>
      <c r="Q1004" s="176">
        <f t="shared" si="189"/>
        <v>114800000</v>
      </c>
      <c r="R1004" s="176" t="str">
        <f t="shared" si="198"/>
        <v/>
      </c>
      <c r="S1004" s="176" t="str">
        <f>IF(AND(AD1004=1,R1004&lt;&gt;".")=TRUE,R1004/VLOOKUP(G1004,'Exchange Rates'!B:C,2,0),IF(R1004=".",".",""))</f>
        <v/>
      </c>
      <c r="T1004" s="176" t="str">
        <f>IF(AD1004=1,IF(AF1004="Value is not given at all",".",IF(AF1004="Value is given by the source",S1004,IF(AF1004="Value is calculated with prices",(IF(SUMIFS(Q:Q,A:A,A1004)&gt;0,SUMIFS(Q:Q,A:A,A1004),"."))/VLOOKUP("USD",'Exchange Rates'!B:C,2,0),"Error with coding"))),"")</f>
        <v/>
      </c>
      <c r="U1004" s="15" t="s">
        <v>261</v>
      </c>
      <c r="V1004" s="547" t="s">
        <v>2922</v>
      </c>
      <c r="W1004" s="547" t="s">
        <v>2923</v>
      </c>
      <c r="X1004" s="547" t="s">
        <v>2924</v>
      </c>
      <c r="Y1004" s="547" t="s">
        <v>2925</v>
      </c>
      <c r="Z1004" s="15">
        <v>0</v>
      </c>
      <c r="AA1004" s="180">
        <v>0</v>
      </c>
      <c r="AB1004" s="184" t="s">
        <v>260</v>
      </c>
      <c r="AC1004" s="544" t="str">
        <f>""</f>
        <v/>
      </c>
      <c r="AD1004" s="181">
        <v>0</v>
      </c>
      <c r="AE1004" s="181" t="s">
        <v>264</v>
      </c>
      <c r="AF1004" s="181" t="s">
        <v>264</v>
      </c>
      <c r="AG1004" s="181">
        <v>1</v>
      </c>
      <c r="AH1004" s="181">
        <v>4</v>
      </c>
      <c r="AI1004" s="181">
        <v>0</v>
      </c>
      <c r="AJ1004" s="181">
        <f>VLOOKUP($I1004,'Price List, Weapons &amp; Items'!B:F,5,0)</f>
        <v>0</v>
      </c>
      <c r="AK1004" s="181">
        <f t="shared" si="190"/>
        <v>0</v>
      </c>
      <c r="AL1004" s="181">
        <f t="shared" si="191"/>
        <v>0</v>
      </c>
      <c r="AM1004" s="181">
        <f t="shared" si="192"/>
        <v>0</v>
      </c>
      <c r="AN1004" s="180" t="str">
        <f>VLOOKUP($I1004,'Price List, Weapons &amp; Items'!B:L,COLUMN('Price List, Weapons &amp; Items'!$J$11)-1,0)</f>
        <v>Military media (incl. websites)</v>
      </c>
      <c r="AO1004" s="180" t="str">
        <f>IF(I1004=".",".",VLOOKUP($I1004,'Price List, Weapons &amp; Items'!B:J,3,0))</f>
        <v>Military equipment</v>
      </c>
      <c r="AP1004" s="545" t="str">
        <f t="shared" ca="1" si="199"/>
        <v/>
      </c>
      <c r="AQ1004" s="180">
        <f>VLOOKUP($I1004,'Price List, Weapons &amp; Items'!B:L,COLUMN('Price List, Weapons &amp; Items'!$L$11)-1,0)</f>
        <v>2</v>
      </c>
      <c r="AR1004" s="180">
        <f t="shared" si="193"/>
        <v>1</v>
      </c>
      <c r="AS1004" s="180">
        <f t="shared" si="194"/>
        <v>1</v>
      </c>
      <c r="AT1004" s="180">
        <f t="shared" si="195"/>
        <v>1</v>
      </c>
      <c r="AU1004" s="180" t="str">
        <f t="shared" si="196"/>
        <v>.</v>
      </c>
      <c r="AV1004" s="180" t="str">
        <f t="shared" si="197"/>
        <v>.</v>
      </c>
      <c r="AW1004" s="180">
        <f>IFERROR(VLOOKUP(B1004,'Share, Heavy Weapons to Ukraine'!B:J,COLUMN('Share, Heavy Weapons to Ukraine'!C1014)-1,0),0)</f>
        <v>1</v>
      </c>
      <c r="AX1004" s="180">
        <f>VLOOKUP('Bilateral Assistance, MAIN DATA'!B1004,'Country Summary'!B:F,COLUMN('Country Summary'!C1017)-1,FALSE)</f>
        <v>0</v>
      </c>
      <c r="AY1004" s="180" t="str">
        <f>IF(AND(AD1004=1,D1004="Military",H1004&lt;&gt;"Not given")=TRUE,IF(SUMIFS(P:P,A:A,A1004)&gt;0,ABS((SUMIFS(P:P,A:A,A1004)/VLOOKUP("USD",'Exchange Rates'!B:C,2,0)))/S1004,"."),".")</f>
        <v>.</v>
      </c>
      <c r="AZ1004" s="182" t="str">
        <f>IF(AND(AD1004=1,D1004="Military",H1004&lt;&gt;"Not given")=TRUE,IF(SUMIFS(P:P,A:A,A1004)&gt;0,IF((ABS((SUMIFS(P:P,A:A,A1004)/VLOOKUP("USD",'Exchange Rates'!B:C,2,0)))/S1004)&gt;1,(SUMIFS(P:P,A:A,A1004)-S1004)/S1004,(S1004-SUMIFS(P:P,A:A,A1004))/SUMIFS(P:P,A:A,A1004)),"."),".")</f>
        <v>.</v>
      </c>
      <c r="BA1004" s="182"/>
      <c r="BB1004" s="182"/>
      <c r="BC1004" s="182"/>
      <c r="BD1004" s="182"/>
      <c r="BE1004" s="182"/>
      <c r="BF1004" s="182"/>
      <c r="BG1004" s="182"/>
      <c r="BH1004" s="182"/>
      <c r="BI1004" s="182"/>
      <c r="BJ1004" s="182"/>
      <c r="BK1004" s="182"/>
      <c r="BL1004" s="182"/>
      <c r="BM1004" s="182"/>
      <c r="BN1004" s="182"/>
      <c r="BO1004" s="182"/>
      <c r="BP1004" s="182"/>
      <c r="BQ1004" s="182"/>
      <c r="BR1004" s="182"/>
      <c r="BS1004" s="182"/>
    </row>
    <row r="1005" spans="1:71" ht="15.9" customHeight="1" x14ac:dyDescent="0.3">
      <c r="A1005" s="5" t="s">
        <v>2920</v>
      </c>
      <c r="B1005" s="5" t="s">
        <v>2864</v>
      </c>
      <c r="C1005" s="174">
        <v>44659</v>
      </c>
      <c r="D1005" s="5" t="s">
        <v>285</v>
      </c>
      <c r="E1005" s="5" t="s">
        <v>286</v>
      </c>
      <c r="F1005" s="175" t="s">
        <v>2921</v>
      </c>
      <c r="G1005" s="15" t="s">
        <v>2866</v>
      </c>
      <c r="H1005" s="176">
        <v>100000000</v>
      </c>
      <c r="I1005" s="17" t="s">
        <v>499</v>
      </c>
      <c r="J1005" s="113" t="str">
        <f>VLOOKUP($I1005,'Price List, Weapons &amp; Items'!B:C,2,0)</f>
        <v>Military equipment</v>
      </c>
      <c r="K1005" s="113" t="str">
        <f>IF(I1005=".",I1005,VLOOKUP($I1005,'Price List, Weapons &amp; Items'!B:D,3,0))</f>
        <v>Military equipment</v>
      </c>
      <c r="L1005" s="177">
        <f>VLOOKUP(I1005,'Price List, Weapons &amp; Items'!B:E,4,0)</f>
        <v>0</v>
      </c>
      <c r="M1005" s="542">
        <v>8450</v>
      </c>
      <c r="N1005" s="542">
        <v>8450</v>
      </c>
      <c r="O1005" s="543">
        <f>VLOOKUP($I1005,'Price List, Weapons &amp; Items'!B:G,6,0)</f>
        <v>500</v>
      </c>
      <c r="P1005" s="176">
        <f t="shared" si="188"/>
        <v>4225000</v>
      </c>
      <c r="Q1005" s="176">
        <f t="shared" si="189"/>
        <v>4225000</v>
      </c>
      <c r="R1005" s="176" t="str">
        <f t="shared" si="198"/>
        <v/>
      </c>
      <c r="S1005" s="176" t="str">
        <f>IF(AND(AD1005=1,R1005&lt;&gt;".")=TRUE,R1005/VLOOKUP(G1005,'Exchange Rates'!B:C,2,0),IF(R1005=".",".",""))</f>
        <v/>
      </c>
      <c r="T1005" s="176" t="str">
        <f>IF(AD1005=1,IF(AF1005="Value is not given at all",".",IF(AF1005="Value is given by the source",S1005,IF(AF1005="Value is calculated with prices",(IF(SUMIFS(Q:Q,A:A,A1005)&gt;0,SUMIFS(Q:Q,A:A,A1005),"."))/VLOOKUP("USD",'Exchange Rates'!B:C,2,0),"Error with coding"))),"")</f>
        <v/>
      </c>
      <c r="U1005" s="15" t="s">
        <v>261</v>
      </c>
      <c r="V1005" s="547" t="s">
        <v>2922</v>
      </c>
      <c r="W1005" s="547" t="s">
        <v>2923</v>
      </c>
      <c r="X1005" s="547" t="s">
        <v>2924</v>
      </c>
      <c r="Y1005" s="547" t="s">
        <v>2925</v>
      </c>
      <c r="Z1005" s="15">
        <v>0</v>
      </c>
      <c r="AA1005" s="180">
        <v>0</v>
      </c>
      <c r="AB1005" s="184" t="s">
        <v>260</v>
      </c>
      <c r="AC1005" s="544" t="str">
        <f>""</f>
        <v/>
      </c>
      <c r="AD1005" s="181">
        <v>0</v>
      </c>
      <c r="AE1005" s="181" t="s">
        <v>264</v>
      </c>
      <c r="AF1005" s="181" t="s">
        <v>264</v>
      </c>
      <c r="AG1005" s="181">
        <v>1</v>
      </c>
      <c r="AH1005" s="181">
        <v>4</v>
      </c>
      <c r="AI1005" s="181">
        <v>0</v>
      </c>
      <c r="AJ1005" s="181">
        <f>VLOOKUP($I1005,'Price List, Weapons &amp; Items'!B:F,5,0)</f>
        <v>0</v>
      </c>
      <c r="AK1005" s="181">
        <f t="shared" si="190"/>
        <v>0</v>
      </c>
      <c r="AL1005" s="181">
        <f t="shared" si="191"/>
        <v>0</v>
      </c>
      <c r="AM1005" s="181">
        <f t="shared" si="192"/>
        <v>0</v>
      </c>
      <c r="AN1005" s="180" t="str">
        <f>VLOOKUP($I1005,'Price List, Weapons &amp; Items'!B:L,COLUMN('Price List, Weapons &amp; Items'!$J$11)-1,0)</f>
        <v>Military media (incl. websites)</v>
      </c>
      <c r="AO1005" s="180" t="str">
        <f>IF(I1005=".",".",VLOOKUP($I1005,'Price List, Weapons &amp; Items'!B:J,3,0))</f>
        <v>Military equipment</v>
      </c>
      <c r="AP1005" s="545" t="str">
        <f t="shared" ca="1" si="199"/>
        <v/>
      </c>
      <c r="AQ1005" s="180">
        <f>VLOOKUP($I1005,'Price List, Weapons &amp; Items'!B:L,COLUMN('Price List, Weapons &amp; Items'!$L$11)-1,0)</f>
        <v>2</v>
      </c>
      <c r="AR1005" s="180">
        <f t="shared" si="193"/>
        <v>1</v>
      </c>
      <c r="AS1005" s="180">
        <f t="shared" si="194"/>
        <v>1</v>
      </c>
      <c r="AT1005" s="180">
        <f t="shared" si="195"/>
        <v>1</v>
      </c>
      <c r="AU1005" s="180" t="str">
        <f t="shared" si="196"/>
        <v>.</v>
      </c>
      <c r="AV1005" s="180" t="str">
        <f t="shared" si="197"/>
        <v>.</v>
      </c>
      <c r="AW1005" s="180">
        <f>IFERROR(VLOOKUP(B1005,'Share, Heavy Weapons to Ukraine'!B:J,COLUMN('Share, Heavy Weapons to Ukraine'!C1015)-1,0),0)</f>
        <v>1</v>
      </c>
      <c r="AX1005" s="180">
        <f>VLOOKUP('Bilateral Assistance, MAIN DATA'!B1005,'Country Summary'!B:F,COLUMN('Country Summary'!C1018)-1,FALSE)</f>
        <v>0</v>
      </c>
      <c r="AY1005" s="180" t="str">
        <f>IF(AND(AD1005=1,D1005="Military",H1005&lt;&gt;"Not given")=TRUE,IF(SUMIFS(P:P,A:A,A1005)&gt;0,ABS((SUMIFS(P:P,A:A,A1005)/VLOOKUP("USD",'Exchange Rates'!B:C,2,0)))/S1005,"."),".")</f>
        <v>.</v>
      </c>
      <c r="AZ1005" s="182" t="str">
        <f>IF(AND(AD1005=1,D1005="Military",H1005&lt;&gt;"Not given")=TRUE,IF(SUMIFS(P:P,A:A,A1005)&gt;0,IF((ABS((SUMIFS(P:P,A:A,A1005)/VLOOKUP("USD",'Exchange Rates'!B:C,2,0)))/S1005)&gt;1,(SUMIFS(P:P,A:A,A1005)-S1005)/S1005,(S1005-SUMIFS(P:P,A:A,A1005))/SUMIFS(P:P,A:A,A1005)),"."),".")</f>
        <v>.</v>
      </c>
      <c r="BA1005" s="182"/>
      <c r="BB1005" s="182"/>
      <c r="BC1005" s="182"/>
      <c r="BD1005" s="182"/>
      <c r="BE1005" s="182"/>
      <c r="BF1005" s="182"/>
      <c r="BG1005" s="182"/>
      <c r="BH1005" s="182"/>
      <c r="BI1005" s="182"/>
      <c r="BJ1005" s="182"/>
      <c r="BK1005" s="182"/>
      <c r="BL1005" s="182"/>
      <c r="BM1005" s="182"/>
      <c r="BN1005" s="182"/>
      <c r="BO1005" s="182"/>
      <c r="BP1005" s="182"/>
      <c r="BQ1005" s="182"/>
      <c r="BR1005" s="182"/>
      <c r="BS1005" s="182"/>
    </row>
    <row r="1006" spans="1:71" ht="15.9" customHeight="1" x14ac:dyDescent="0.3">
      <c r="A1006" s="5" t="s">
        <v>2920</v>
      </c>
      <c r="B1006" s="5" t="s">
        <v>2864</v>
      </c>
      <c r="C1006" s="174">
        <v>44659</v>
      </c>
      <c r="D1006" s="5" t="s">
        <v>285</v>
      </c>
      <c r="E1006" s="5" t="s">
        <v>286</v>
      </c>
      <c r="F1006" s="175" t="s">
        <v>2921</v>
      </c>
      <c r="G1006" s="15" t="s">
        <v>2866</v>
      </c>
      <c r="H1006" s="176">
        <v>100000000</v>
      </c>
      <c r="I1006" s="17" t="s">
        <v>598</v>
      </c>
      <c r="J1006" s="113" t="str">
        <f>VLOOKUP($I1006,'Price List, Weapons &amp; Items'!B:C,2,0)</f>
        <v>Military equipment</v>
      </c>
      <c r="K1006" s="113" t="str">
        <f>IF(I1006=".",I1006,VLOOKUP($I1006,'Price List, Weapons &amp; Items'!B:D,3,0))</f>
        <v>Military equipment</v>
      </c>
      <c r="L1006" s="177">
        <f>VLOOKUP(I1006,'Price List, Weapons &amp; Items'!B:E,4,0)</f>
        <v>0</v>
      </c>
      <c r="M1006" s="542">
        <v>5000</v>
      </c>
      <c r="N1006" s="542">
        <v>5000</v>
      </c>
      <c r="O1006" s="543">
        <f>VLOOKUP($I1006,'Price List, Weapons &amp; Items'!B:G,6,0)</f>
        <v>2320</v>
      </c>
      <c r="P1006" s="176">
        <f t="shared" si="188"/>
        <v>11600000</v>
      </c>
      <c r="Q1006" s="176">
        <f t="shared" si="189"/>
        <v>11600000</v>
      </c>
      <c r="R1006" s="176" t="str">
        <f t="shared" si="198"/>
        <v/>
      </c>
      <c r="S1006" s="176" t="str">
        <f>IF(AND(AD1006=1,R1006&lt;&gt;".")=TRUE,R1006/VLOOKUP(G1006,'Exchange Rates'!B:C,2,0),IF(R1006=".",".",""))</f>
        <v/>
      </c>
      <c r="T1006" s="176" t="str">
        <f>IF(AD1006=1,IF(AF1006="Value is not given at all",".",IF(AF1006="Value is given by the source",S1006,IF(AF1006="Value is calculated with prices",(IF(SUMIFS(Q:Q,A:A,A1006)&gt;0,SUMIFS(Q:Q,A:A,A1006),"."))/VLOOKUP("USD",'Exchange Rates'!B:C,2,0),"Error with coding"))),"")</f>
        <v/>
      </c>
      <c r="U1006" s="15" t="s">
        <v>261</v>
      </c>
      <c r="V1006" s="547" t="s">
        <v>2922</v>
      </c>
      <c r="W1006" s="547" t="s">
        <v>2923</v>
      </c>
      <c r="X1006" s="547" t="s">
        <v>2924</v>
      </c>
      <c r="Y1006" s="547" t="s">
        <v>2925</v>
      </c>
      <c r="Z1006" s="15">
        <v>0</v>
      </c>
      <c r="AA1006" s="180">
        <v>0</v>
      </c>
      <c r="AB1006" s="549" t="s">
        <v>2898</v>
      </c>
      <c r="AC1006" s="544" t="str">
        <f>""</f>
        <v/>
      </c>
      <c r="AD1006" s="181">
        <v>0</v>
      </c>
      <c r="AE1006" s="181" t="s">
        <v>264</v>
      </c>
      <c r="AF1006" s="181" t="s">
        <v>264</v>
      </c>
      <c r="AG1006" s="181">
        <v>1</v>
      </c>
      <c r="AH1006" s="181">
        <v>4</v>
      </c>
      <c r="AI1006" s="181">
        <v>0</v>
      </c>
      <c r="AJ1006" s="181">
        <f>VLOOKUP($I1006,'Price List, Weapons &amp; Items'!B:F,5,0)</f>
        <v>0</v>
      </c>
      <c r="AK1006" s="181">
        <f t="shared" si="190"/>
        <v>0</v>
      </c>
      <c r="AL1006" s="181">
        <f t="shared" si="191"/>
        <v>0</v>
      </c>
      <c r="AM1006" s="181">
        <f t="shared" si="192"/>
        <v>0</v>
      </c>
      <c r="AN1006" s="180" t="str">
        <f>VLOOKUP($I1006,'Price List, Weapons &amp; Items'!B:L,COLUMN('Price List, Weapons &amp; Items'!$J$11)-1,0)</f>
        <v>Media reports (incl. social media)</v>
      </c>
      <c r="AO1006" s="180" t="str">
        <f>IF(I1006=".",".",VLOOKUP($I1006,'Price List, Weapons &amp; Items'!B:J,3,0))</f>
        <v>Military equipment</v>
      </c>
      <c r="AP1006" s="545" t="str">
        <f t="shared" ca="1" si="199"/>
        <v/>
      </c>
      <c r="AQ1006" s="180">
        <f>VLOOKUP($I1006,'Price List, Weapons &amp; Items'!B:L,COLUMN('Price List, Weapons &amp; Items'!$L$11)-1,0)</f>
        <v>2</v>
      </c>
      <c r="AR1006" s="180">
        <f t="shared" si="193"/>
        <v>1</v>
      </c>
      <c r="AS1006" s="180">
        <f t="shared" si="194"/>
        <v>1</v>
      </c>
      <c r="AT1006" s="180">
        <f t="shared" si="195"/>
        <v>1</v>
      </c>
      <c r="AU1006" s="180" t="str">
        <f t="shared" si="196"/>
        <v>.</v>
      </c>
      <c r="AV1006" s="180" t="str">
        <f t="shared" si="197"/>
        <v>.</v>
      </c>
      <c r="AW1006" s="180">
        <f>IFERROR(VLOOKUP(B1006,'Share, Heavy Weapons to Ukraine'!B:J,COLUMN('Share, Heavy Weapons to Ukraine'!C1016)-1,0),0)</f>
        <v>1</v>
      </c>
      <c r="AX1006" s="180">
        <f>VLOOKUP('Bilateral Assistance, MAIN DATA'!B1006,'Country Summary'!B:F,COLUMN('Country Summary'!C1019)-1,FALSE)</f>
        <v>0</v>
      </c>
      <c r="AY1006" s="180" t="str">
        <f>IF(AND(AD1006=1,D1006="Military",H1006&lt;&gt;"Not given")=TRUE,IF(SUMIFS(P:P,A:A,A1006)&gt;0,ABS((SUMIFS(P:P,A:A,A1006)/VLOOKUP("USD",'Exchange Rates'!B:C,2,0)))/S1006,"."),".")</f>
        <v>.</v>
      </c>
      <c r="AZ1006" s="182" t="str">
        <f>IF(AND(AD1006=1,D1006="Military",H1006&lt;&gt;"Not given")=TRUE,IF(SUMIFS(P:P,A:A,A1006)&gt;0,IF((ABS((SUMIFS(P:P,A:A,A1006)/VLOOKUP("USD",'Exchange Rates'!B:C,2,0)))/S1006)&gt;1,(SUMIFS(P:P,A:A,A1006)-S1006)/S1006,(S1006-SUMIFS(P:P,A:A,A1006))/SUMIFS(P:P,A:A,A1006)),"."),".")</f>
        <v>.</v>
      </c>
      <c r="BA1006" s="182"/>
      <c r="BB1006" s="182"/>
      <c r="BC1006" s="182"/>
      <c r="BD1006" s="182"/>
      <c r="BE1006" s="182"/>
      <c r="BF1006" s="182"/>
      <c r="BG1006" s="182"/>
      <c r="BH1006" s="182"/>
      <c r="BI1006" s="182"/>
      <c r="BJ1006" s="182"/>
      <c r="BK1006" s="182"/>
      <c r="BL1006" s="182"/>
      <c r="BM1006" s="182"/>
      <c r="BN1006" s="182"/>
      <c r="BO1006" s="182"/>
      <c r="BP1006" s="182"/>
      <c r="BQ1006" s="182"/>
      <c r="BR1006" s="182"/>
      <c r="BS1006" s="182"/>
    </row>
    <row r="1007" spans="1:71" s="505" customFormat="1" ht="15.9" customHeight="1" x14ac:dyDescent="0.3">
      <c r="A1007" s="5" t="s">
        <v>2927</v>
      </c>
      <c r="B1007" s="5" t="s">
        <v>2864</v>
      </c>
      <c r="C1007" s="174">
        <v>44660</v>
      </c>
      <c r="D1007" s="5" t="s">
        <v>285</v>
      </c>
      <c r="E1007" s="5" t="s">
        <v>339</v>
      </c>
      <c r="F1007" s="175" t="s">
        <v>2928</v>
      </c>
      <c r="G1007" s="15" t="s">
        <v>346</v>
      </c>
      <c r="H1007" s="176" t="s">
        <v>341</v>
      </c>
      <c r="I1007" s="185" t="s">
        <v>2929</v>
      </c>
      <c r="J1007" s="113" t="str">
        <f>VLOOKUP($I1007,'Price List, Weapons &amp; Items'!B:C,2,0)</f>
        <v>Heavy weapon</v>
      </c>
      <c r="K1007" s="113" t="str">
        <f>IF(I1007=".",I1007,VLOOKUP($I1007,'Price List, Weapons &amp; Items'!B:D,3,0))</f>
        <v>Protected Patrol Vehicle (PPV)</v>
      </c>
      <c r="L1007" s="177">
        <f>VLOOKUP(I1007,'Price List, Weapons &amp; Items'!B:E,4,0)</f>
        <v>0</v>
      </c>
      <c r="M1007" s="542">
        <v>80</v>
      </c>
      <c r="N1007" s="542">
        <v>80</v>
      </c>
      <c r="O1007" s="543">
        <f>VLOOKUP($I1007,'Price List, Weapons &amp; Items'!B:G,6,0)</f>
        <v>743989.18081292231</v>
      </c>
      <c r="P1007" s="176">
        <f t="shared" si="188"/>
        <v>59519134.465033785</v>
      </c>
      <c r="Q1007" s="176">
        <f t="shared" si="189"/>
        <v>59519134.465033785</v>
      </c>
      <c r="R1007" s="176">
        <f t="shared" si="198"/>
        <v>63531834.465033785</v>
      </c>
      <c r="S1007" s="176">
        <f>IF(AND(AD1007=1,R1007&lt;&gt;".")=TRUE,R1007/VLOOKUP(G1007,'Exchange Rates'!B:C,2,0),IF(R1007=".",".",""))</f>
        <v>60506509.014317885</v>
      </c>
      <c r="T1007" s="176">
        <f>IF(AD1007=1,IF(AF1007="Value is not given at all",".",IF(AF1007="Value is given by the source",S1007,IF(AF1007="Value is calculated with prices",(IF(SUMIFS(Q:Q,A:A,A1007)&gt;0,SUMIFS(Q:Q,A:A,A1007),"."))/VLOOKUP("USD",'Exchange Rates'!B:C,2,0),"Error with coding"))),"")</f>
        <v>60506509.014317885</v>
      </c>
      <c r="U1007" s="15" t="s">
        <v>415</v>
      </c>
      <c r="V1007" s="547" t="s">
        <v>2924</v>
      </c>
      <c r="W1007" s="547" t="s">
        <v>2930</v>
      </c>
      <c r="X1007" s="188" t="s">
        <v>260</v>
      </c>
      <c r="Y1007" s="188" t="s">
        <v>260</v>
      </c>
      <c r="Z1007" s="15">
        <v>0</v>
      </c>
      <c r="AA1007" s="180">
        <v>0</v>
      </c>
      <c r="AB1007" s="549" t="s">
        <v>2898</v>
      </c>
      <c r="AC1007" s="544" t="str">
        <f>""</f>
        <v/>
      </c>
      <c r="AD1007" s="183">
        <v>1</v>
      </c>
      <c r="AE1007" s="183" t="s">
        <v>332</v>
      </c>
      <c r="AF1007" s="183" t="s">
        <v>332</v>
      </c>
      <c r="AG1007" s="183">
        <v>1</v>
      </c>
      <c r="AH1007" s="183">
        <v>4</v>
      </c>
      <c r="AI1007" s="183">
        <v>0</v>
      </c>
      <c r="AJ1007" s="181">
        <f>VLOOKUP($I1007,'Price List, Weapons &amp; Items'!B:F,5,0)</f>
        <v>1</v>
      </c>
      <c r="AK1007" s="181">
        <f t="shared" si="190"/>
        <v>0</v>
      </c>
      <c r="AL1007" s="181">
        <f t="shared" si="191"/>
        <v>0</v>
      </c>
      <c r="AM1007" s="181">
        <f t="shared" si="192"/>
        <v>0</v>
      </c>
      <c r="AN1007" s="180" t="str">
        <f>VLOOKUP($I1007,'Price List, Weapons &amp; Items'!B:L,COLUMN('Price List, Weapons &amp; Items'!$J$11)-1,0)</f>
        <v>Contracts</v>
      </c>
      <c r="AO1007" s="180" t="str">
        <f>IF(I1007=".",".",VLOOKUP($I1007,'Price List, Weapons &amp; Items'!B:J,3,0))</f>
        <v>Protected Patrol Vehicle (PPV)</v>
      </c>
      <c r="AP1007" s="545" t="e">
        <f t="shared" ca="1" si="199"/>
        <v>#NAME?</v>
      </c>
      <c r="AQ1007" s="180">
        <f>VLOOKUP($I1007,'Price List, Weapons &amp; Items'!B:L,COLUMN('Price List, Weapons &amp; Items'!$L$11)-1,0)</f>
        <v>2</v>
      </c>
      <c r="AR1007" s="180">
        <f t="shared" si="193"/>
        <v>0</v>
      </c>
      <c r="AS1007" s="180">
        <f t="shared" si="194"/>
        <v>1</v>
      </c>
      <c r="AT1007" s="180">
        <f t="shared" si="195"/>
        <v>1</v>
      </c>
      <c r="AU1007" s="180" t="str">
        <f t="shared" si="196"/>
        <v>.</v>
      </c>
      <c r="AV1007" s="180" t="str">
        <f t="shared" si="197"/>
        <v>.</v>
      </c>
      <c r="AW1007" s="180">
        <f>IFERROR(VLOOKUP(B1007,'Share, Heavy Weapons to Ukraine'!B:J,COLUMN('Share, Heavy Weapons to Ukraine'!C1017)-1,0),0)</f>
        <v>1</v>
      </c>
      <c r="AX1007" s="180">
        <f>VLOOKUP('Bilateral Assistance, MAIN DATA'!B1007,'Country Summary'!B:F,COLUMN('Country Summary'!C1020)-1,FALSE)</f>
        <v>0</v>
      </c>
      <c r="AY1007" s="180" t="str">
        <f>IF(AND(AD1007=1,D1007="Military",H1007&lt;&gt;"Not given")=TRUE,IF(SUMIFS(P:P,A:A,A1007)&gt;0,ABS((SUMIFS(P:P,A:A,A1007)/VLOOKUP("USD",'Exchange Rates'!B:C,2,0)))/S1007,"."),".")</f>
        <v>.</v>
      </c>
      <c r="AZ1007" s="182" t="str">
        <f>IF(AND(AD1007=1,D1007="Military",H1007&lt;&gt;"Not given")=TRUE,IF(SUMIFS(P:P,A:A,A1007)&gt;0,IF((ABS((SUMIFS(P:P,A:A,A1007)/VLOOKUP("USD",'Exchange Rates'!B:C,2,0)))/S1007)&gt;1,(SUMIFS(P:P,A:A,A1007)-S1007)/S1007,(S1007-SUMIFS(P:P,A:A,A1007))/SUMIFS(P:P,A:A,A1007)),"."),".")</f>
        <v>.</v>
      </c>
      <c r="BA1007" s="17"/>
      <c r="BB1007" s="17"/>
      <c r="BC1007" s="17"/>
      <c r="BD1007" s="17"/>
      <c r="BE1007" s="17"/>
      <c r="BF1007" s="17"/>
      <c r="BG1007" s="17"/>
      <c r="BH1007" s="17"/>
      <c r="BI1007" s="17"/>
      <c r="BJ1007" s="17"/>
      <c r="BK1007" s="17"/>
      <c r="BL1007" s="17"/>
      <c r="BM1007" s="17"/>
      <c r="BN1007" s="17"/>
      <c r="BO1007" s="17"/>
      <c r="BP1007" s="17"/>
      <c r="BQ1007" s="17"/>
      <c r="BR1007" s="17"/>
      <c r="BS1007" s="17"/>
    </row>
    <row r="1008" spans="1:71" s="505" customFormat="1" ht="15.9" customHeight="1" x14ac:dyDescent="0.3">
      <c r="A1008" s="5" t="s">
        <v>2927</v>
      </c>
      <c r="B1008" s="5" t="s">
        <v>2864</v>
      </c>
      <c r="C1008" s="174">
        <v>44660</v>
      </c>
      <c r="D1008" s="5" t="s">
        <v>285</v>
      </c>
      <c r="E1008" s="5" t="s">
        <v>339</v>
      </c>
      <c r="F1008" s="175" t="s">
        <v>2928</v>
      </c>
      <c r="G1008" s="15" t="s">
        <v>346</v>
      </c>
      <c r="H1008" s="176" t="s">
        <v>341</v>
      </c>
      <c r="I1008" s="17" t="s">
        <v>2931</v>
      </c>
      <c r="J1008" s="113" t="str">
        <f>VLOOKUP($I1008,'Price List, Weapons &amp; Items'!B:C,2,0)</f>
        <v>Heavy weapon</v>
      </c>
      <c r="K1008" s="113" t="str">
        <f>IF(I1008=".",I1008,VLOOKUP($I1008,'Price List, Weapons &amp; Items'!B:D,3,0))</f>
        <v>Anti-Ship system</v>
      </c>
      <c r="L1008" s="177">
        <f>VLOOKUP(I1008,'Price List, Weapons &amp; Items'!B:E,4,0)</f>
        <v>0</v>
      </c>
      <c r="M1008" s="542" t="s">
        <v>270</v>
      </c>
      <c r="N1008" s="542" t="s">
        <v>270</v>
      </c>
      <c r="O1008" s="543">
        <f>VLOOKUP($I1008,'Price List, Weapons &amp; Items'!B:G,6,0)</f>
        <v>3960000</v>
      </c>
      <c r="P1008" s="176" t="str">
        <f t="shared" si="188"/>
        <v>.</v>
      </c>
      <c r="Q1008" s="176" t="str">
        <f t="shared" si="189"/>
        <v>.</v>
      </c>
      <c r="R1008" s="176" t="str">
        <f t="shared" si="198"/>
        <v/>
      </c>
      <c r="S1008" s="176" t="str">
        <f>IF(AND(AD1008=1,R1008&lt;&gt;".")=TRUE,R1008/VLOOKUP(G1008,'Exchange Rates'!B:C,2,0),IF(R1008=".",".",""))</f>
        <v/>
      </c>
      <c r="T1008" s="176" t="str">
        <f>IF(AD1008=1,IF(AF1008="Value is not given at all",".",IF(AF1008="Value is given by the source",S1008,IF(AF1008="Value is calculated with prices",(IF(SUMIFS(Q:Q,A:A,A1008)&gt;0,SUMIFS(Q:Q,A:A,A1008),"."))/VLOOKUP("USD",'Exchange Rates'!B:C,2,0),"Error with coding"))),"")</f>
        <v/>
      </c>
      <c r="U1008" s="15" t="s">
        <v>415</v>
      </c>
      <c r="V1008" s="547" t="s">
        <v>2924</v>
      </c>
      <c r="W1008" s="547" t="s">
        <v>2930</v>
      </c>
      <c r="X1008" s="188" t="s">
        <v>260</v>
      </c>
      <c r="Y1008" s="188" t="s">
        <v>260</v>
      </c>
      <c r="Z1008" s="15">
        <v>0</v>
      </c>
      <c r="AA1008" s="180">
        <v>0</v>
      </c>
      <c r="AB1008" s="184" t="s">
        <v>260</v>
      </c>
      <c r="AC1008" s="544" t="str">
        <f>""</f>
        <v/>
      </c>
      <c r="AD1008" s="183">
        <v>0</v>
      </c>
      <c r="AE1008" s="183" t="s">
        <v>332</v>
      </c>
      <c r="AF1008" s="183" t="s">
        <v>332</v>
      </c>
      <c r="AG1008" s="183">
        <v>1</v>
      </c>
      <c r="AH1008" s="183">
        <v>4</v>
      </c>
      <c r="AI1008" s="183">
        <v>0</v>
      </c>
      <c r="AJ1008" s="181">
        <f>VLOOKUP($I1008,'Price List, Weapons &amp; Items'!B:F,5,0)</f>
        <v>0</v>
      </c>
      <c r="AK1008" s="181">
        <f t="shared" si="190"/>
        <v>0</v>
      </c>
      <c r="AL1008" s="181">
        <f t="shared" si="191"/>
        <v>0</v>
      </c>
      <c r="AM1008" s="181">
        <f t="shared" si="192"/>
        <v>0</v>
      </c>
      <c r="AN1008" s="180" t="str">
        <f>VLOOKUP($I1008,'Price List, Weapons &amp; Items'!B:L,COLUMN('Price List, Weapons &amp; Items'!$J$11)-1,0)</f>
        <v>Military media (incl. websites)</v>
      </c>
      <c r="AO1008" s="180" t="str">
        <f>IF(I1008=".",".",VLOOKUP($I1008,'Price List, Weapons &amp; Items'!B:J,3,0))</f>
        <v>Anti-Ship system</v>
      </c>
      <c r="AP1008" s="545" t="str">
        <f t="shared" ca="1" si="199"/>
        <v/>
      </c>
      <c r="AQ1008" s="180" t="str">
        <f>VLOOKUP($I1008,'Price List, Weapons &amp; Items'!B:L,COLUMN('Price List, Weapons &amp; Items'!$L$11)-1,0)</f>
        <v>no price, 0 count</v>
      </c>
      <c r="AR1008" s="180">
        <f t="shared" si="193"/>
        <v>0</v>
      </c>
      <c r="AS1008" s="180">
        <f t="shared" si="194"/>
        <v>1</v>
      </c>
      <c r="AT1008" s="180">
        <f t="shared" si="195"/>
        <v>1</v>
      </c>
      <c r="AU1008" s="180" t="str">
        <f t="shared" si="196"/>
        <v>.</v>
      </c>
      <c r="AV1008" s="180" t="str">
        <f t="shared" si="197"/>
        <v>.</v>
      </c>
      <c r="AW1008" s="180">
        <f>IFERROR(VLOOKUP(B1008,'Share, Heavy Weapons to Ukraine'!B:J,COLUMN('Share, Heavy Weapons to Ukraine'!C1018)-1,0),0)</f>
        <v>1</v>
      </c>
      <c r="AX1008" s="180">
        <f>VLOOKUP('Bilateral Assistance, MAIN DATA'!B1008,'Country Summary'!B:F,COLUMN('Country Summary'!C1021)-1,FALSE)</f>
        <v>0</v>
      </c>
      <c r="AY1008" s="180" t="str">
        <f>IF(AND(AD1008=1,D1008="Military",H1008&lt;&gt;"Not given")=TRUE,IF(SUMIFS(P:P,A:A,A1008)&gt;0,ABS((SUMIFS(P:P,A:A,A1008)/VLOOKUP("USD",'Exchange Rates'!B:C,2,0)))/S1008,"."),".")</f>
        <v>.</v>
      </c>
      <c r="AZ1008" s="182" t="str">
        <f>IF(AND(AD1008=1,D1008="Military",H1008&lt;&gt;"Not given")=TRUE,IF(SUMIFS(P:P,A:A,A1008)&gt;0,IF((ABS((SUMIFS(P:P,A:A,A1008)/VLOOKUP("USD",'Exchange Rates'!B:C,2,0)))/S1008)&gt;1,(SUMIFS(P:P,A:A,A1008)-S1008)/S1008,(S1008-SUMIFS(P:P,A:A,A1008))/SUMIFS(P:P,A:A,A1008)),"."),".")</f>
        <v>.</v>
      </c>
      <c r="BA1008" s="17"/>
      <c r="BB1008" s="17"/>
      <c r="BC1008" s="17"/>
      <c r="BD1008" s="17"/>
      <c r="BE1008" s="17"/>
      <c r="BF1008" s="17"/>
      <c r="BG1008" s="17"/>
      <c r="BH1008" s="17"/>
      <c r="BI1008" s="17"/>
      <c r="BJ1008" s="17"/>
      <c r="BK1008" s="17"/>
      <c r="BL1008" s="17"/>
      <c r="BM1008" s="17"/>
      <c r="BN1008" s="17"/>
      <c r="BO1008" s="17"/>
      <c r="BP1008" s="17"/>
      <c r="BQ1008" s="17"/>
      <c r="BR1008" s="17"/>
      <c r="BS1008" s="17"/>
    </row>
    <row r="1009" spans="1:71" s="505" customFormat="1" ht="15.9" customHeight="1" x14ac:dyDescent="0.3">
      <c r="A1009" s="5" t="s">
        <v>2927</v>
      </c>
      <c r="B1009" s="5" t="s">
        <v>2864</v>
      </c>
      <c r="C1009" s="174">
        <v>44660</v>
      </c>
      <c r="D1009" s="5" t="s">
        <v>285</v>
      </c>
      <c r="E1009" s="5" t="s">
        <v>339</v>
      </c>
      <c r="F1009" s="175" t="s">
        <v>2928</v>
      </c>
      <c r="G1009" s="15" t="s">
        <v>346</v>
      </c>
      <c r="H1009" s="176" t="s">
        <v>341</v>
      </c>
      <c r="I1009" s="17" t="s">
        <v>2932</v>
      </c>
      <c r="J1009" s="113" t="str">
        <f>VLOOKUP($I1009,'Price List, Weapons &amp; Items'!B:C,2,0)</f>
        <v>Heavy weapon</v>
      </c>
      <c r="K1009" s="113" t="str">
        <f>IF(I1009=".",I1009,VLOOKUP($I1009,'Price List, Weapons &amp; Items'!B:D,3,0))</f>
        <v>Armoured Utility Vehicle (AUV)</v>
      </c>
      <c r="L1009" s="177">
        <f>VLOOKUP(I1009,'Price List, Weapons &amp; Items'!B:E,4,0)</f>
        <v>0</v>
      </c>
      <c r="M1009" s="542">
        <v>5</v>
      </c>
      <c r="N1009" s="542">
        <v>5</v>
      </c>
      <c r="O1009" s="543">
        <f>VLOOKUP($I1009,'Price List, Weapons &amp; Items'!B:G,6,0)</f>
        <v>32540</v>
      </c>
      <c r="P1009" s="176">
        <f t="shared" ref="P1009:P1059" si="200">IF(TYPE(M1009)=1,IF(TYPE(O1009)=1,M1009*O1009,"No price"),".")</f>
        <v>162700</v>
      </c>
      <c r="Q1009" s="176">
        <f t="shared" ref="Q1009:Q1059" si="201">IF(TYPE(N1009)=1,IF(TYPE(O1009)=1,N1009*O1009,"No price"),".")</f>
        <v>162700</v>
      </c>
      <c r="R1009" s="176" t="str">
        <f t="shared" si="198"/>
        <v/>
      </c>
      <c r="S1009" s="176" t="str">
        <f>IF(AND(AD1009=1,R1009&lt;&gt;".")=TRUE,R1009/VLOOKUP(G1009,'Exchange Rates'!B:C,2,0),IF(R1009=".",".",""))</f>
        <v/>
      </c>
      <c r="T1009" s="176" t="str">
        <f>IF(AD1009=1,IF(AF1009="Value is not given at all",".",IF(AF1009="Value is given by the source",S1009,IF(AF1009="Value is calculated with prices",(IF(SUMIFS(Q:Q,A:A,A1009)&gt;0,SUMIFS(Q:Q,A:A,A1009),"."))/VLOOKUP("USD",'Exchange Rates'!B:C,2,0),"Error with coding"))),"")</f>
        <v/>
      </c>
      <c r="U1009" s="15" t="s">
        <v>415</v>
      </c>
      <c r="V1009" s="547" t="s">
        <v>2924</v>
      </c>
      <c r="W1009" s="547" t="s">
        <v>2930</v>
      </c>
      <c r="X1009" s="976" t="s">
        <v>2933</v>
      </c>
      <c r="Y1009" s="188" t="s">
        <v>260</v>
      </c>
      <c r="Z1009" s="15">
        <v>0</v>
      </c>
      <c r="AA1009" s="180">
        <v>0</v>
      </c>
      <c r="AB1009" s="576" t="s">
        <v>2925</v>
      </c>
      <c r="AC1009" s="544" t="str">
        <f>""</f>
        <v/>
      </c>
      <c r="AD1009" s="183">
        <v>0</v>
      </c>
      <c r="AE1009" s="183" t="s">
        <v>332</v>
      </c>
      <c r="AF1009" s="183" t="s">
        <v>332</v>
      </c>
      <c r="AG1009" s="183">
        <v>1</v>
      </c>
      <c r="AH1009" s="183">
        <v>4</v>
      </c>
      <c r="AI1009" s="183">
        <v>0</v>
      </c>
      <c r="AJ1009" s="181">
        <f>VLOOKUP($I1009,'Price List, Weapons &amp; Items'!B:F,5,0)</f>
        <v>1</v>
      </c>
      <c r="AK1009" s="181">
        <f t="shared" ref="AK1009:AK1074" si="202">IF(AND(AJ1009=1,M1009="undisclosed")=TRUE,1,0)</f>
        <v>0</v>
      </c>
      <c r="AL1009" s="181">
        <f t="shared" ref="AL1009:AL1074" si="203">IF(AND(AJ1009=1,N1009="undisclosed")=TRUE,1,0)</f>
        <v>0</v>
      </c>
      <c r="AM1009" s="181">
        <f t="shared" ref="AM1009:AM1074" si="204">IFERROR(IF(SEARCH("ammuni",I1009,1)&gt;0,1,0),0)</f>
        <v>0</v>
      </c>
      <c r="AN1009" s="180" t="str">
        <f>VLOOKUP($I1009,'Price List, Weapons &amp; Items'!B:L,COLUMN('Price List, Weapons &amp; Items'!$J$11)-1,0)</f>
        <v>.</v>
      </c>
      <c r="AO1009" s="180" t="str">
        <f>IF(I1009=".",".",VLOOKUP($I1009,'Price List, Weapons &amp; Items'!B:J,3,0))</f>
        <v>Armoured Utility Vehicle (AUV)</v>
      </c>
      <c r="AP1009" s="545" t="str">
        <f t="shared" ca="1" si="199"/>
        <v/>
      </c>
      <c r="AQ1009" s="180">
        <f>VLOOKUP($I1009,'Price List, Weapons &amp; Items'!B:L,COLUMN('Price List, Weapons &amp; Items'!$L$11)-1,0)</f>
        <v>1</v>
      </c>
      <c r="AR1009" s="180">
        <f t="shared" ref="AR1009:AR1074" si="205">IF(U1009="Yes",1,0)</f>
        <v>0</v>
      </c>
      <c r="AS1009" s="180">
        <f t="shared" ref="AS1009:AS1074" si="206">IF(D1009="Military",IF(OR(IFERROR(SEARCH("equipment",E1009,1),0)&gt;0,IFERROR(SEARCH("weapons",E1009,1),0)&gt;0),1,0),0)</f>
        <v>1</v>
      </c>
      <c r="AT1009" s="180">
        <f t="shared" si="195"/>
        <v>1</v>
      </c>
      <c r="AU1009" s="180" t="str">
        <f t="shared" si="196"/>
        <v>.</v>
      </c>
      <c r="AV1009" s="180" t="str">
        <f t="shared" si="197"/>
        <v>.</v>
      </c>
      <c r="AW1009" s="180">
        <f>IFERROR(VLOOKUP(B1009,'Share, Heavy Weapons to Ukraine'!B:J,COLUMN('Share, Heavy Weapons to Ukraine'!C1019)-1,0),0)</f>
        <v>1</v>
      </c>
      <c r="AX1009" s="180">
        <f>VLOOKUP('Bilateral Assistance, MAIN DATA'!B1009,'Country Summary'!B:F,COLUMN('Country Summary'!C1022)-1,FALSE)</f>
        <v>0</v>
      </c>
      <c r="AY1009" s="180" t="str">
        <f>IF(AND(AD1009=1,D1009="Military",H1009&lt;&gt;"Not given")=TRUE,IF(SUMIFS(P:P,A:A,A1009)&gt;0,ABS((SUMIFS(P:P,A:A,A1009)/VLOOKUP("USD",'Exchange Rates'!B:C,2,0)))/S1009,"."),".")</f>
        <v>.</v>
      </c>
      <c r="AZ1009" s="182" t="str">
        <f>IF(AND(AD1009=1,D1009="Military",H1009&lt;&gt;"Not given")=TRUE,IF(SUMIFS(P:P,A:A,A1009)&gt;0,IF((ABS((SUMIFS(P:P,A:A,A1009)/VLOOKUP("USD",'Exchange Rates'!B:C,2,0)))/S1009)&gt;1,(SUMIFS(P:P,A:A,A1009)-S1009)/S1009,(S1009-SUMIFS(P:P,A:A,A1009))/SUMIFS(P:P,A:A,A1009)),"."),".")</f>
        <v>.</v>
      </c>
      <c r="BA1009" s="17"/>
      <c r="BB1009" s="17"/>
      <c r="BC1009" s="17"/>
      <c r="BD1009" s="17"/>
      <c r="BE1009" s="17"/>
      <c r="BF1009" s="17"/>
      <c r="BG1009" s="17"/>
      <c r="BH1009" s="17"/>
      <c r="BI1009" s="17"/>
      <c r="BJ1009" s="17"/>
      <c r="BK1009" s="17"/>
      <c r="BL1009" s="17"/>
      <c r="BM1009" s="17"/>
      <c r="BN1009" s="17"/>
      <c r="BO1009" s="17"/>
      <c r="BP1009" s="17"/>
      <c r="BQ1009" s="17"/>
      <c r="BR1009" s="17"/>
      <c r="BS1009" s="17"/>
    </row>
    <row r="1010" spans="1:71" s="505" customFormat="1" ht="15.9" customHeight="1" x14ac:dyDescent="0.3">
      <c r="A1010" s="5" t="s">
        <v>2927</v>
      </c>
      <c r="B1010" s="5" t="s">
        <v>2864</v>
      </c>
      <c r="C1010" s="174">
        <v>44660</v>
      </c>
      <c r="D1010" s="5" t="s">
        <v>285</v>
      </c>
      <c r="E1010" s="5" t="s">
        <v>339</v>
      </c>
      <c r="F1010" s="175" t="s">
        <v>2928</v>
      </c>
      <c r="G1010" s="15" t="s">
        <v>346</v>
      </c>
      <c r="H1010" s="176" t="s">
        <v>341</v>
      </c>
      <c r="I1010" s="17" t="s">
        <v>2934</v>
      </c>
      <c r="J1010" s="113" t="str">
        <f>VLOOKUP($I1010,'Price List, Weapons &amp; Items'!B:C,2,0)</f>
        <v>Heavy weapon</v>
      </c>
      <c r="K1010" s="113" t="str">
        <f>IF(I1010=".",I1010,VLOOKUP($I1010,'Price List, Weapons &amp; Items'!B:D,3,0))</f>
        <v>Armoured Personnel Carrier (APC)</v>
      </c>
      <c r="L1010" s="177">
        <f>VLOOKUP(I1010,'Price List, Weapons &amp; Items'!B:E,4,0)</f>
        <v>0</v>
      </c>
      <c r="M1010" s="542">
        <v>35</v>
      </c>
      <c r="N1010" s="542">
        <v>35</v>
      </c>
      <c r="O1010" s="543">
        <f>VLOOKUP($I1010,'Price List, Weapons &amp; Items'!B:G,6,0)</f>
        <v>110000</v>
      </c>
      <c r="P1010" s="176">
        <f t="shared" si="200"/>
        <v>3850000</v>
      </c>
      <c r="Q1010" s="176">
        <f t="shared" si="201"/>
        <v>3850000</v>
      </c>
      <c r="R1010" s="176" t="str">
        <f t="shared" si="198"/>
        <v/>
      </c>
      <c r="S1010" s="176" t="str">
        <f>IF(AND(AD1010=1,R1010&lt;&gt;".")=TRUE,R1010/VLOOKUP(G1010,'Exchange Rates'!B:C,2,0),IF(R1010=".",".",""))</f>
        <v/>
      </c>
      <c r="T1010" s="176" t="str">
        <f>IF(AD1010=1,IF(AF1010="Value is not given at all",".",IF(AF1010="Value is given by the source",S1010,IF(AF1010="Value is calculated with prices",(IF(SUMIFS(Q:Q,A:A,A1010)&gt;0,SUMIFS(Q:Q,A:A,A1010),"."))/VLOOKUP("USD",'Exchange Rates'!B:C,2,0),"Error with coding"))),"")</f>
        <v/>
      </c>
      <c r="U1010" s="15" t="s">
        <v>415</v>
      </c>
      <c r="V1010" s="547" t="s">
        <v>2924</v>
      </c>
      <c r="W1010" s="547" t="s">
        <v>2930</v>
      </c>
      <c r="X1010" s="976" t="s">
        <v>2933</v>
      </c>
      <c r="Y1010" s="188" t="s">
        <v>260</v>
      </c>
      <c r="Z1010" s="15">
        <v>0</v>
      </c>
      <c r="AA1010" s="180">
        <v>0</v>
      </c>
      <c r="AB1010" s="576" t="s">
        <v>2925</v>
      </c>
      <c r="AC1010" s="544" t="str">
        <f>""</f>
        <v/>
      </c>
      <c r="AD1010" s="183">
        <v>0</v>
      </c>
      <c r="AE1010" s="183" t="s">
        <v>332</v>
      </c>
      <c r="AF1010" s="183" t="s">
        <v>332</v>
      </c>
      <c r="AG1010" s="183">
        <v>1</v>
      </c>
      <c r="AH1010" s="183">
        <v>4</v>
      </c>
      <c r="AI1010" s="183">
        <v>0</v>
      </c>
      <c r="AJ1010" s="181">
        <f>VLOOKUP($I1010,'Price List, Weapons &amp; Items'!B:F,5,0)</f>
        <v>1</v>
      </c>
      <c r="AK1010" s="181">
        <f t="shared" si="202"/>
        <v>0</v>
      </c>
      <c r="AL1010" s="181">
        <f t="shared" si="203"/>
        <v>0</v>
      </c>
      <c r="AM1010" s="181">
        <f t="shared" si="204"/>
        <v>0</v>
      </c>
      <c r="AN1010" s="180" t="str">
        <f>VLOOKUP($I1010,'Price List, Weapons &amp; Items'!B:L,COLUMN('Price List, Weapons &amp; Items'!$J$11)-1,0)</f>
        <v>Contracts</v>
      </c>
      <c r="AO1010" s="180" t="str">
        <f>IF(I1010=".",".",VLOOKUP($I1010,'Price List, Weapons &amp; Items'!B:J,3,0))</f>
        <v>Armoured Personnel Carrier (APC)</v>
      </c>
      <c r="AP1010" s="545" t="str">
        <f t="shared" ca="1" si="199"/>
        <v/>
      </c>
      <c r="AQ1010" s="180">
        <f>VLOOKUP($I1010,'Price List, Weapons &amp; Items'!B:L,COLUMN('Price List, Weapons &amp; Items'!$L$11)-1,0)</f>
        <v>2</v>
      </c>
      <c r="AR1010" s="180">
        <f t="shared" si="205"/>
        <v>0</v>
      </c>
      <c r="AS1010" s="180">
        <f t="shared" si="206"/>
        <v>1</v>
      </c>
      <c r="AT1010" s="180">
        <f t="shared" si="195"/>
        <v>1</v>
      </c>
      <c r="AU1010" s="180" t="str">
        <f t="shared" si="196"/>
        <v>.</v>
      </c>
      <c r="AV1010" s="180" t="str">
        <f t="shared" si="197"/>
        <v>.</v>
      </c>
      <c r="AW1010" s="180">
        <f>IFERROR(VLOOKUP(B1010,'Share, Heavy Weapons to Ukraine'!B:J,COLUMN('Share, Heavy Weapons to Ukraine'!C1020)-1,0),0)</f>
        <v>1</v>
      </c>
      <c r="AX1010" s="180">
        <f>VLOOKUP('Bilateral Assistance, MAIN DATA'!B1010,'Country Summary'!B:F,COLUMN('Country Summary'!C1023)-1,FALSE)</f>
        <v>0</v>
      </c>
      <c r="AY1010" s="180" t="str">
        <f>IF(AND(AD1010=1,D1010="Military",H1010&lt;&gt;"Not given")=TRUE,IF(SUMIFS(P:P,A:A,A1010)&gt;0,ABS((SUMIFS(P:P,A:A,A1010)/VLOOKUP("USD",'Exchange Rates'!B:C,2,0)))/S1010,"."),".")</f>
        <v>.</v>
      </c>
      <c r="AZ1010" s="182" t="str">
        <f>IF(AND(AD1010=1,D1010="Military",H1010&lt;&gt;"Not given")=TRUE,IF(SUMIFS(P:P,A:A,A1010)&gt;0,IF((ABS((SUMIFS(P:P,A:A,A1010)/VLOOKUP("USD",'Exchange Rates'!B:C,2,0)))/S1010)&gt;1,(SUMIFS(P:P,A:A,A1010)-S1010)/S1010,(S1010-SUMIFS(P:P,A:A,A1010))/SUMIFS(P:P,A:A,A1010)),"."),".")</f>
        <v>.</v>
      </c>
      <c r="BA1010" s="17"/>
      <c r="BB1010" s="17"/>
      <c r="BC1010" s="17"/>
      <c r="BD1010" s="17"/>
      <c r="BE1010" s="17"/>
      <c r="BF1010" s="17"/>
      <c r="BG1010" s="17"/>
      <c r="BH1010" s="17"/>
      <c r="BI1010" s="17"/>
      <c r="BJ1010" s="17"/>
      <c r="BK1010" s="17"/>
      <c r="BL1010" s="17"/>
      <c r="BM1010" s="17"/>
      <c r="BN1010" s="17"/>
      <c r="BO1010" s="17"/>
      <c r="BP1010" s="17"/>
      <c r="BQ1010" s="17"/>
      <c r="BR1010" s="17"/>
      <c r="BS1010" s="17"/>
    </row>
    <row r="1011" spans="1:71" ht="15.9" customHeight="1" x14ac:dyDescent="0.3">
      <c r="A1011" s="17" t="s">
        <v>2935</v>
      </c>
      <c r="B1011" s="17" t="s">
        <v>2864</v>
      </c>
      <c r="C1011" s="174">
        <v>44700</v>
      </c>
      <c r="D1011" s="5" t="s">
        <v>285</v>
      </c>
      <c r="E1011" s="5" t="s">
        <v>339</v>
      </c>
      <c r="F1011" s="175" t="s">
        <v>2936</v>
      </c>
      <c r="G1011" s="15" t="s">
        <v>346</v>
      </c>
      <c r="H1011" s="176" t="s">
        <v>341</v>
      </c>
      <c r="I1011" s="17" t="s">
        <v>2937</v>
      </c>
      <c r="J1011" s="113" t="str">
        <f>VLOOKUP($I1011,'Price List, Weapons &amp; Items'!B:C,2,0)</f>
        <v>Heavy weapon</v>
      </c>
      <c r="K1011" s="113" t="str">
        <f>IF(I1011=".",I1011,VLOOKUP($I1011,'Price List, Weapons &amp; Items'!B:D,3,0))</f>
        <v>Anti-aircraft surface-to-air missile (SAM) system (point-defense)</v>
      </c>
      <c r="L1011" s="177">
        <f>VLOOKUP(I1011,'Price List, Weapons &amp; Items'!B:E,4,0)</f>
        <v>0</v>
      </c>
      <c r="M1011" s="542">
        <v>6</v>
      </c>
      <c r="N1011" s="542">
        <v>6</v>
      </c>
      <c r="O1011" s="543">
        <f>VLOOKUP($I1011,'Price List, Weapons &amp; Items'!B:G,6,0)</f>
        <v>16000</v>
      </c>
      <c r="P1011" s="176">
        <f t="shared" si="200"/>
        <v>96000</v>
      </c>
      <c r="Q1011" s="176">
        <f t="shared" si="201"/>
        <v>96000</v>
      </c>
      <c r="R1011" s="176">
        <f t="shared" si="198"/>
        <v>96000</v>
      </c>
      <c r="S1011" s="176">
        <f>IF(AND(AD1011=1,R1011&lt;&gt;".")=TRUE,R1011/VLOOKUP(G1011,'Exchange Rates'!B:C,2,0),IF(R1011=".",".",""))</f>
        <v>91428.57142857142</v>
      </c>
      <c r="T1011" s="176">
        <f>IF(AD1011=1,IF(AF1011="Value is not given at all",".",IF(AF1011="Value is given by the source",S1011,IF(AF1011="Value is calculated with prices",(IF(SUMIFS(Q:Q,A:A,A1011)&gt;0,SUMIFS(Q:Q,A:A,A1011),"."))/VLOOKUP("USD",'Exchange Rates'!B:C,2,0),"Error with coding"))),"")</f>
        <v>91428.57142857142</v>
      </c>
      <c r="U1011" s="177" t="s">
        <v>415</v>
      </c>
      <c r="V1011" s="300" t="s">
        <v>2938</v>
      </c>
      <c r="W1011" s="300" t="s">
        <v>2925</v>
      </c>
      <c r="X1011" s="175" t="s">
        <v>260</v>
      </c>
      <c r="Y1011" s="175" t="s">
        <v>260</v>
      </c>
      <c r="Z1011" s="15">
        <v>0</v>
      </c>
      <c r="AA1011" s="180">
        <v>0</v>
      </c>
      <c r="AB1011" s="550" t="s">
        <v>2925</v>
      </c>
      <c r="AC1011" s="544" t="str">
        <f>""</f>
        <v/>
      </c>
      <c r="AD1011" s="181">
        <v>1</v>
      </c>
      <c r="AE1011" s="181" t="s">
        <v>332</v>
      </c>
      <c r="AF1011" s="181" t="s">
        <v>332</v>
      </c>
      <c r="AG1011" s="181">
        <v>1</v>
      </c>
      <c r="AH1011" s="181">
        <v>5</v>
      </c>
      <c r="AI1011" s="181">
        <v>0</v>
      </c>
      <c r="AJ1011" s="181">
        <f>VLOOKUP($I1011,'Price List, Weapons &amp; Items'!B:F,5,0)</f>
        <v>0</v>
      </c>
      <c r="AK1011" s="181">
        <f t="shared" si="202"/>
        <v>0</v>
      </c>
      <c r="AL1011" s="181">
        <f t="shared" si="203"/>
        <v>0</v>
      </c>
      <c r="AM1011" s="181">
        <f t="shared" si="204"/>
        <v>0</v>
      </c>
      <c r="AN1011" s="180" t="str">
        <f>VLOOKUP($I1011,'Price List, Weapons &amp; Items'!B:L,COLUMN('Price List, Weapons &amp; Items'!$J$11)-1,0)</f>
        <v>Online marketplaces and stores</v>
      </c>
      <c r="AO1011" s="180" t="str">
        <f>IF(I1011=".",".",VLOOKUP($I1011,'Price List, Weapons &amp; Items'!B:J,3,0))</f>
        <v>Anti-aircraft surface-to-air missile (SAM) system (point-defense)</v>
      </c>
      <c r="AP1011" s="545" t="e">
        <f t="shared" ca="1" si="199"/>
        <v>#NAME?</v>
      </c>
      <c r="AQ1011" s="180">
        <f>VLOOKUP($I1011,'Price List, Weapons &amp; Items'!B:L,COLUMN('Price List, Weapons &amp; Items'!$L$11)-1,0)</f>
        <v>1</v>
      </c>
      <c r="AR1011" s="180">
        <f t="shared" si="205"/>
        <v>0</v>
      </c>
      <c r="AS1011" s="180">
        <f t="shared" si="206"/>
        <v>1</v>
      </c>
      <c r="AT1011" s="180">
        <f t="shared" si="195"/>
        <v>1</v>
      </c>
      <c r="AU1011" s="180" t="str">
        <f t="shared" si="196"/>
        <v>.</v>
      </c>
      <c r="AV1011" s="180" t="str">
        <f t="shared" si="197"/>
        <v>.</v>
      </c>
      <c r="AW1011" s="180">
        <f>IFERROR(VLOOKUP(B1011,'Share, Heavy Weapons to Ukraine'!B:J,COLUMN('Share, Heavy Weapons to Ukraine'!C1021)-1,0),0)</f>
        <v>1</v>
      </c>
      <c r="AX1011" s="180">
        <f>VLOOKUP('Bilateral Assistance, MAIN DATA'!B1011,'Country Summary'!B:F,COLUMN('Country Summary'!C1024)-1,FALSE)</f>
        <v>0</v>
      </c>
      <c r="AY1011" s="180" t="str">
        <f>IF(AND(AD1011=1,D1011="Military",H1011&lt;&gt;"Not given")=TRUE,IF(SUMIFS(P:P,A:A,A1011)&gt;0,ABS((SUMIFS(P:P,A:A,A1011)/VLOOKUP("USD",'Exchange Rates'!B:C,2,0)))/S1011,"."),".")</f>
        <v>.</v>
      </c>
      <c r="AZ1011" s="182" t="str">
        <f>IF(AND(AD1011=1,D1011="Military",H1011&lt;&gt;"Not given")=TRUE,IF(SUMIFS(P:P,A:A,A1011)&gt;0,IF((ABS((SUMIFS(P:P,A:A,A1011)/VLOOKUP("USD",'Exchange Rates'!B:C,2,0)))/S1011)&gt;1,(SUMIFS(P:P,A:A,A1011)-S1011)/S1011,(S1011-SUMIFS(P:P,A:A,A1011))/SUMIFS(P:P,A:A,A1011)),"."),".")</f>
        <v>.</v>
      </c>
      <c r="BA1011" s="182"/>
      <c r="BB1011" s="182"/>
      <c r="BC1011" s="182"/>
      <c r="BD1011" s="182"/>
      <c r="BE1011" s="182"/>
      <c r="BF1011" s="182"/>
      <c r="BG1011" s="182"/>
      <c r="BH1011" s="182"/>
      <c r="BI1011" s="182"/>
      <c r="BJ1011" s="182"/>
      <c r="BK1011" s="182"/>
      <c r="BL1011" s="182"/>
      <c r="BM1011" s="182"/>
      <c r="BN1011" s="182"/>
      <c r="BO1011" s="182"/>
      <c r="BP1011" s="182"/>
      <c r="BQ1011" s="182"/>
      <c r="BR1011" s="182"/>
      <c r="BS1011" s="182"/>
    </row>
    <row r="1012" spans="1:71" ht="15.9" customHeight="1" x14ac:dyDescent="0.3">
      <c r="A1012" s="5" t="s">
        <v>2939</v>
      </c>
      <c r="B1012" s="5" t="s">
        <v>2864</v>
      </c>
      <c r="C1012" s="174">
        <v>44701</v>
      </c>
      <c r="D1012" s="5" t="s">
        <v>285</v>
      </c>
      <c r="E1012" s="5" t="s">
        <v>286</v>
      </c>
      <c r="F1012" s="175" t="s">
        <v>2940</v>
      </c>
      <c r="G1012" s="15" t="s">
        <v>2866</v>
      </c>
      <c r="H1012" s="176">
        <v>1300000000</v>
      </c>
      <c r="I1012" s="17" t="s">
        <v>2941</v>
      </c>
      <c r="J1012" s="113" t="str">
        <f>VLOOKUP($I1012,'Price List, Weapons &amp; Items'!B:C,2,0)</f>
        <v>Military equipment</v>
      </c>
      <c r="K1012" s="113" t="str">
        <f>IF(I1012=".",I1012,VLOOKUP($I1012,'Price List, Weapons &amp; Items'!B:D,3,0))</f>
        <v>Radar or imagery systems</v>
      </c>
      <c r="L1012" s="177">
        <f>VLOOKUP(I1012,'Price List, Weapons &amp; Items'!B:E,4,0)</f>
        <v>0</v>
      </c>
      <c r="M1012" s="542" t="s">
        <v>270</v>
      </c>
      <c r="N1012" s="542" t="s">
        <v>270</v>
      </c>
      <c r="O1012" s="543" t="str">
        <f>VLOOKUP($I1012,'Price List, Weapons &amp; Items'!B:G,6,0)</f>
        <v>.</v>
      </c>
      <c r="P1012" s="176" t="str">
        <f t="shared" si="200"/>
        <v>.</v>
      </c>
      <c r="Q1012" s="176" t="str">
        <f t="shared" si="201"/>
        <v>.</v>
      </c>
      <c r="R1012" s="176">
        <f t="shared" si="198"/>
        <v>1300000000</v>
      </c>
      <c r="S1012" s="176">
        <f>IF(AND(AD1012=1,R1012&lt;&gt;".")=TRUE,R1012/VLOOKUP(G1012,'Exchange Rates'!B:C,2,0),IF(R1012=".",".",""))</f>
        <v>1508225630.5543308</v>
      </c>
      <c r="T1012" s="176">
        <f>IF(AD1012=1,IF(AF1012="Value is not given at all",".",IF(AF1012="Value is given by the source",S1012,IF(AF1012="Value is calculated with prices",(IF(SUMIFS(Q:Q,A:A,A1012)&gt;0,SUMIFS(Q:Q,A:A,A1012),"."))/VLOOKUP("USD",'Exchange Rates'!B:C,2,0),"Error with coding"))),"")</f>
        <v>161962878.10260549</v>
      </c>
      <c r="U1012" s="15" t="s">
        <v>261</v>
      </c>
      <c r="V1012" s="547" t="s">
        <v>2942</v>
      </c>
      <c r="W1012" s="547" t="s">
        <v>2943</v>
      </c>
      <c r="X1012" s="188" t="s">
        <v>260</v>
      </c>
      <c r="Y1012" s="188" t="s">
        <v>260</v>
      </c>
      <c r="Z1012" s="15">
        <v>0</v>
      </c>
      <c r="AA1012" s="180">
        <v>0</v>
      </c>
      <c r="AB1012" s="550" t="s">
        <v>2944</v>
      </c>
      <c r="AC1012" s="544" t="str">
        <f>""</f>
        <v/>
      </c>
      <c r="AD1012" s="183">
        <v>1</v>
      </c>
      <c r="AE1012" s="183" t="s">
        <v>264</v>
      </c>
      <c r="AF1012" s="183" t="s">
        <v>332</v>
      </c>
      <c r="AG1012" s="183">
        <v>1</v>
      </c>
      <c r="AH1012" s="183">
        <v>5</v>
      </c>
      <c r="AI1012" s="183">
        <v>0</v>
      </c>
      <c r="AJ1012" s="181">
        <f>VLOOKUP($I1012,'Price List, Weapons &amp; Items'!B:F,5,0)</f>
        <v>0</v>
      </c>
      <c r="AK1012" s="181">
        <f t="shared" si="202"/>
        <v>0</v>
      </c>
      <c r="AL1012" s="181">
        <f t="shared" si="203"/>
        <v>0</v>
      </c>
      <c r="AM1012" s="181">
        <f t="shared" si="204"/>
        <v>0</v>
      </c>
      <c r="AN1012" s="180" t="str">
        <f>VLOOKUP($I1012,'Price List, Weapons &amp; Items'!B:L,COLUMN('Price List, Weapons &amp; Items'!$J$11)-1,0)</f>
        <v>.</v>
      </c>
      <c r="AO1012" s="180" t="str">
        <f>IF(I1012=".",".",VLOOKUP($I1012,'Price List, Weapons &amp; Items'!B:J,3,0))</f>
        <v>Radar or imagery systems</v>
      </c>
      <c r="AP1012" s="545" t="e">
        <f t="shared" ca="1" si="199"/>
        <v>#NAME?</v>
      </c>
      <c r="AQ1012" s="180" t="str">
        <f>VLOOKUP($I1012,'Price List, Weapons &amp; Items'!B:L,COLUMN('Price List, Weapons &amp; Items'!$L$11)-1,0)</f>
        <v>no price, 0 count</v>
      </c>
      <c r="AR1012" s="180">
        <f t="shared" si="205"/>
        <v>1</v>
      </c>
      <c r="AS1012" s="180">
        <f t="shared" si="206"/>
        <v>1</v>
      </c>
      <c r="AT1012" s="180">
        <f t="shared" si="195"/>
        <v>1</v>
      </c>
      <c r="AU1012" s="180" t="str">
        <f t="shared" si="196"/>
        <v>.</v>
      </c>
      <c r="AV1012" s="180" t="str">
        <f t="shared" si="197"/>
        <v>.</v>
      </c>
      <c r="AW1012" s="180">
        <f>IFERROR(VLOOKUP(B1012,'Share, Heavy Weapons to Ukraine'!B:J,COLUMN('Share, Heavy Weapons to Ukraine'!C1022)-1,0),0)</f>
        <v>1</v>
      </c>
      <c r="AX1012" s="180">
        <f>VLOOKUP('Bilateral Assistance, MAIN DATA'!B1012,'Country Summary'!B:F,COLUMN('Country Summary'!C1025)-1,FALSE)</f>
        <v>0</v>
      </c>
      <c r="AY1012" s="180">
        <f>IF(AND(AD1012=1,D1012="Military",H1012&lt;&gt;"Not given")=TRUE,IF(SUMIFS(P:P,A:A,A1012)&gt;0,ABS((SUMIFS(P:P,A:A,A1012)/VLOOKUP("USD",'Exchange Rates'!B:C,2,0)))/S1012,"."),".")</f>
        <v>0.10738637165519983</v>
      </c>
      <c r="AZ1012" s="182">
        <f>IF(AND(AD1012=1,D1012="Military",H1012&lt;&gt;"Not given")=TRUE,IF(SUMIFS(P:P,A:A,A1012)&gt;0,IF((ABS((SUMIFS(P:P,A:A,A1012)/VLOOKUP("USD",'Exchange Rates'!B:C,2,0)))/S1012)&gt;1,(SUMIFS(P:P,A:A,A1012)-S1012)/S1012,(S1012-SUMIFS(P:P,A:A,A1012))/SUMIFS(P:P,A:A,A1012)),"."),".")</f>
        <v>7.8687320160037864</v>
      </c>
      <c r="BA1012" s="182"/>
      <c r="BB1012" s="182"/>
      <c r="BC1012" s="182"/>
      <c r="BD1012" s="182"/>
      <c r="BE1012" s="182"/>
      <c r="BF1012" s="182"/>
      <c r="BG1012" s="182"/>
      <c r="BH1012" s="182"/>
      <c r="BI1012" s="182"/>
      <c r="BJ1012" s="182"/>
      <c r="BK1012" s="182"/>
      <c r="BL1012" s="182"/>
      <c r="BM1012" s="182"/>
      <c r="BN1012" s="182"/>
      <c r="BO1012" s="182"/>
      <c r="BP1012" s="182"/>
      <c r="BQ1012" s="182"/>
      <c r="BR1012" s="182"/>
      <c r="BS1012" s="182"/>
    </row>
    <row r="1013" spans="1:71" ht="15.9" customHeight="1" x14ac:dyDescent="0.3">
      <c r="A1013" s="5" t="s">
        <v>2939</v>
      </c>
      <c r="B1013" s="5" t="s">
        <v>2864</v>
      </c>
      <c r="C1013" s="174">
        <v>44701</v>
      </c>
      <c r="D1013" s="5" t="s">
        <v>285</v>
      </c>
      <c r="E1013" s="5" t="s">
        <v>286</v>
      </c>
      <c r="F1013" s="175" t="s">
        <v>2940</v>
      </c>
      <c r="G1013" s="15" t="s">
        <v>2866</v>
      </c>
      <c r="H1013" s="176">
        <v>1300000000</v>
      </c>
      <c r="I1013" s="17" t="s">
        <v>2945</v>
      </c>
      <c r="J1013" s="113" t="str">
        <f>VLOOKUP($I1013,'Price List, Weapons &amp; Items'!B:C,2,0)</f>
        <v>Aviation and drones</v>
      </c>
      <c r="K1013" s="113" t="str">
        <f>IF(I1013=".",I1013,VLOOKUP($I1013,'Price List, Weapons &amp; Items'!B:D,3,0))</f>
        <v>Drone</v>
      </c>
      <c r="L1013" s="177">
        <f>VLOOKUP(I1013,'Price List, Weapons &amp; Items'!B:E,4,0)</f>
        <v>0</v>
      </c>
      <c r="M1013" s="542" t="s">
        <v>270</v>
      </c>
      <c r="N1013" s="542" t="s">
        <v>270</v>
      </c>
      <c r="O1013" s="543">
        <f>VLOOKUP($I1013,'Price List, Weapons &amp; Items'!B:G,6,0)</f>
        <v>64000</v>
      </c>
      <c r="P1013" s="176" t="str">
        <f t="shared" si="200"/>
        <v>.</v>
      </c>
      <c r="Q1013" s="176" t="str">
        <f t="shared" si="201"/>
        <v>.</v>
      </c>
      <c r="R1013" s="176" t="str">
        <f t="shared" si="198"/>
        <v/>
      </c>
      <c r="S1013" s="176" t="str">
        <f>IF(AND(AD1013=1,R1013&lt;&gt;".")=TRUE,R1013/VLOOKUP(G1013,'Exchange Rates'!B:C,2,0),IF(R1013=".",".",""))</f>
        <v/>
      </c>
      <c r="T1013" s="176" t="str">
        <f>IF(AD1013=1,IF(AF1013="Value is not given at all",".",IF(AF1013="Value is given by the source",S1013,IF(AF1013="Value is calculated with prices",(IF(SUMIFS(Q:Q,A:A,A1013)&gt;0,SUMIFS(Q:Q,A:A,A1013),"."))/VLOOKUP("USD",'Exchange Rates'!B:C,2,0),"Error with coding"))),"")</f>
        <v/>
      </c>
      <c r="U1013" s="15" t="s">
        <v>261</v>
      </c>
      <c r="V1013" s="547" t="s">
        <v>2942</v>
      </c>
      <c r="W1013" s="547" t="s">
        <v>2943</v>
      </c>
      <c r="X1013" s="188" t="s">
        <v>260</v>
      </c>
      <c r="Y1013" s="188" t="s">
        <v>260</v>
      </c>
      <c r="Z1013" s="15">
        <v>0</v>
      </c>
      <c r="AA1013" s="180">
        <v>0</v>
      </c>
      <c r="AB1013" s="17" t="s">
        <v>260</v>
      </c>
      <c r="AC1013" s="544" t="str">
        <f>""</f>
        <v/>
      </c>
      <c r="AD1013" s="183">
        <v>0</v>
      </c>
      <c r="AE1013" s="183" t="s">
        <v>264</v>
      </c>
      <c r="AF1013" s="183" t="s">
        <v>332</v>
      </c>
      <c r="AG1013" s="183">
        <v>1</v>
      </c>
      <c r="AH1013" s="183">
        <v>5</v>
      </c>
      <c r="AI1013" s="183">
        <v>0</v>
      </c>
      <c r="AJ1013" s="181">
        <f>VLOOKUP($I1013,'Price List, Weapons &amp; Items'!B:F,5,0)</f>
        <v>0</v>
      </c>
      <c r="AK1013" s="181">
        <f t="shared" si="202"/>
        <v>0</v>
      </c>
      <c r="AL1013" s="181">
        <f t="shared" si="203"/>
        <v>0</v>
      </c>
      <c r="AM1013" s="181">
        <f t="shared" si="204"/>
        <v>0</v>
      </c>
      <c r="AN1013" s="180" t="str">
        <f>VLOOKUP($I1013,'Price List, Weapons &amp; Items'!B:L,COLUMN('Price List, Weapons &amp; Items'!$J$11)-1,0)</f>
        <v>Miscellaneous</v>
      </c>
      <c r="AO1013" s="180" t="str">
        <f>IF(I1013=".",".",VLOOKUP($I1013,'Price List, Weapons &amp; Items'!B:J,3,0))</f>
        <v>Drone</v>
      </c>
      <c r="AP1013" s="545" t="str">
        <f t="shared" ca="1" si="199"/>
        <v/>
      </c>
      <c r="AQ1013" s="180" t="str">
        <f>VLOOKUP($I1013,'Price List, Weapons &amp; Items'!B:L,COLUMN('Price List, Weapons &amp; Items'!$L$11)-1,0)</f>
        <v>no price, 0 count</v>
      </c>
      <c r="AR1013" s="180">
        <f t="shared" si="205"/>
        <v>1</v>
      </c>
      <c r="AS1013" s="180">
        <f t="shared" si="206"/>
        <v>1</v>
      </c>
      <c r="AT1013" s="180">
        <f t="shared" si="195"/>
        <v>1</v>
      </c>
      <c r="AU1013" s="180" t="str">
        <f t="shared" si="196"/>
        <v>.</v>
      </c>
      <c r="AV1013" s="180" t="str">
        <f t="shared" si="197"/>
        <v>.</v>
      </c>
      <c r="AW1013" s="180">
        <f>IFERROR(VLOOKUP(B1013,'Share, Heavy Weapons to Ukraine'!B:J,COLUMN('Share, Heavy Weapons to Ukraine'!C1023)-1,0),0)</f>
        <v>1</v>
      </c>
      <c r="AX1013" s="180">
        <f>VLOOKUP('Bilateral Assistance, MAIN DATA'!B1013,'Country Summary'!B:F,COLUMN('Country Summary'!C1026)-1,FALSE)</f>
        <v>0</v>
      </c>
      <c r="AY1013" s="180" t="str">
        <f>IF(AND(AD1013=1,D1013="Military",H1013&lt;&gt;"Not given")=TRUE,IF(SUMIFS(P:P,A:A,A1013)&gt;0,ABS((SUMIFS(P:P,A:A,A1013)/VLOOKUP("USD",'Exchange Rates'!B:C,2,0)))/S1013,"."),".")</f>
        <v>.</v>
      </c>
      <c r="AZ1013" s="182" t="str">
        <f>IF(AND(AD1013=1,D1013="Military",H1013&lt;&gt;"Not given")=TRUE,IF(SUMIFS(P:P,A:A,A1013)&gt;0,IF((ABS((SUMIFS(P:P,A:A,A1013)/VLOOKUP("USD",'Exchange Rates'!B:C,2,0)))/S1013)&gt;1,(SUMIFS(P:P,A:A,A1013)-S1013)/S1013,(S1013-SUMIFS(P:P,A:A,A1013))/SUMIFS(P:P,A:A,A1013)),"."),".")</f>
        <v>.</v>
      </c>
      <c r="BA1013" s="182"/>
      <c r="BB1013" s="182"/>
      <c r="BC1013" s="182"/>
      <c r="BD1013" s="182"/>
      <c r="BE1013" s="182"/>
      <c r="BF1013" s="182"/>
      <c r="BG1013" s="182"/>
      <c r="BH1013" s="182"/>
      <c r="BI1013" s="182"/>
      <c r="BJ1013" s="182"/>
      <c r="BK1013" s="182"/>
      <c r="BL1013" s="182"/>
      <c r="BM1013" s="182"/>
      <c r="BN1013" s="182"/>
      <c r="BO1013" s="182"/>
      <c r="BP1013" s="182"/>
      <c r="BQ1013" s="182"/>
      <c r="BR1013" s="182"/>
      <c r="BS1013" s="182"/>
    </row>
    <row r="1014" spans="1:71" ht="15.9" customHeight="1" x14ac:dyDescent="0.3">
      <c r="A1014" s="5" t="s">
        <v>2939</v>
      </c>
      <c r="B1014" s="5" t="s">
        <v>2864</v>
      </c>
      <c r="C1014" s="174">
        <v>44701</v>
      </c>
      <c r="D1014" s="5" t="s">
        <v>285</v>
      </c>
      <c r="E1014" s="5" t="s">
        <v>286</v>
      </c>
      <c r="F1014" s="175" t="s">
        <v>2940</v>
      </c>
      <c r="G1014" s="15" t="s">
        <v>2866</v>
      </c>
      <c r="H1014" s="176">
        <v>1300000000</v>
      </c>
      <c r="I1014" s="17" t="s">
        <v>598</v>
      </c>
      <c r="J1014" s="113" t="str">
        <f>VLOOKUP($I1014,'Price List, Weapons &amp; Items'!B:C,2,0)</f>
        <v>Military equipment</v>
      </c>
      <c r="K1014" s="113" t="str">
        <f>IF(I1014=".",I1014,VLOOKUP($I1014,'Price List, Weapons &amp; Items'!B:D,3,0))</f>
        <v>Military equipment</v>
      </c>
      <c r="L1014" s="177">
        <f>VLOOKUP(I1014,'Price List, Weapons &amp; Items'!B:E,4,0)</f>
        <v>0</v>
      </c>
      <c r="M1014" s="542">
        <v>2000</v>
      </c>
      <c r="N1014" s="542">
        <v>2000</v>
      </c>
      <c r="O1014" s="543">
        <f>VLOOKUP($I1014,'Price List, Weapons &amp; Items'!B:G,6,0)</f>
        <v>2320</v>
      </c>
      <c r="P1014" s="176">
        <f t="shared" si="200"/>
        <v>4640000</v>
      </c>
      <c r="Q1014" s="176">
        <f t="shared" si="201"/>
        <v>4640000</v>
      </c>
      <c r="R1014" s="176" t="str">
        <f t="shared" si="198"/>
        <v/>
      </c>
      <c r="S1014" s="176" t="str">
        <f>IF(AND(AD1014=1,R1014&lt;&gt;".")=TRUE,R1014/VLOOKUP(G1014,'Exchange Rates'!B:C,2,0),IF(R1014=".",".",""))</f>
        <v/>
      </c>
      <c r="T1014" s="176" t="str">
        <f>IF(AD1014=1,IF(AF1014="Value is not given at all",".",IF(AF1014="Value is given by the source",S1014,IF(AF1014="Value is calculated with prices",(IF(SUMIFS(Q:Q,A:A,A1014)&gt;0,SUMIFS(Q:Q,A:A,A1014),"."))/VLOOKUP("USD",'Exchange Rates'!B:C,2,0),"Error with coding"))),"")</f>
        <v/>
      </c>
      <c r="U1014" s="15" t="s">
        <v>261</v>
      </c>
      <c r="V1014" s="547" t="s">
        <v>2942</v>
      </c>
      <c r="W1014" s="547" t="s">
        <v>2943</v>
      </c>
      <c r="X1014" s="188" t="s">
        <v>260</v>
      </c>
      <c r="Y1014" s="188" t="s">
        <v>260</v>
      </c>
      <c r="Z1014" s="15">
        <v>0</v>
      </c>
      <c r="AA1014" s="180">
        <v>0</v>
      </c>
      <c r="AB1014" s="17" t="s">
        <v>260</v>
      </c>
      <c r="AC1014" s="544" t="str">
        <f>""</f>
        <v/>
      </c>
      <c r="AD1014" s="183">
        <v>0</v>
      </c>
      <c r="AE1014" s="183" t="s">
        <v>264</v>
      </c>
      <c r="AF1014" s="183" t="s">
        <v>332</v>
      </c>
      <c r="AG1014" s="183">
        <v>1</v>
      </c>
      <c r="AH1014" s="183">
        <v>5</v>
      </c>
      <c r="AI1014" s="183">
        <v>0</v>
      </c>
      <c r="AJ1014" s="181">
        <f>VLOOKUP($I1014,'Price List, Weapons &amp; Items'!B:F,5,0)</f>
        <v>0</v>
      </c>
      <c r="AK1014" s="181">
        <f t="shared" si="202"/>
        <v>0</v>
      </c>
      <c r="AL1014" s="181">
        <f t="shared" si="203"/>
        <v>0</v>
      </c>
      <c r="AM1014" s="181">
        <f t="shared" si="204"/>
        <v>0</v>
      </c>
      <c r="AN1014" s="180" t="str">
        <f>VLOOKUP($I1014,'Price List, Weapons &amp; Items'!B:L,COLUMN('Price List, Weapons &amp; Items'!$J$11)-1,0)</f>
        <v>Media reports (incl. social media)</v>
      </c>
      <c r="AO1014" s="180" t="str">
        <f>IF(I1014=".",".",VLOOKUP($I1014,'Price List, Weapons &amp; Items'!B:J,3,0))</f>
        <v>Military equipment</v>
      </c>
      <c r="AP1014" s="545" t="str">
        <f t="shared" ca="1" si="199"/>
        <v/>
      </c>
      <c r="AQ1014" s="180">
        <f>VLOOKUP($I1014,'Price List, Weapons &amp; Items'!B:L,COLUMN('Price List, Weapons &amp; Items'!$L$11)-1,0)</f>
        <v>2</v>
      </c>
      <c r="AR1014" s="180">
        <f t="shared" si="205"/>
        <v>1</v>
      </c>
      <c r="AS1014" s="180">
        <f t="shared" si="206"/>
        <v>1</v>
      </c>
      <c r="AT1014" s="180">
        <f t="shared" si="195"/>
        <v>1</v>
      </c>
      <c r="AU1014" s="180" t="str">
        <f t="shared" si="196"/>
        <v>.</v>
      </c>
      <c r="AV1014" s="180" t="str">
        <f t="shared" si="197"/>
        <v>.</v>
      </c>
      <c r="AW1014" s="180">
        <f>IFERROR(VLOOKUP(B1014,'Share, Heavy Weapons to Ukraine'!B:J,COLUMN('Share, Heavy Weapons to Ukraine'!C1024)-1,0),0)</f>
        <v>1</v>
      </c>
      <c r="AX1014" s="180">
        <f>VLOOKUP('Bilateral Assistance, MAIN DATA'!B1014,'Country Summary'!B:F,COLUMN('Country Summary'!C1027)-1,FALSE)</f>
        <v>0</v>
      </c>
      <c r="AY1014" s="180" t="str">
        <f>IF(AND(AD1014=1,D1014="Military",H1014&lt;&gt;"Not given")=TRUE,IF(SUMIFS(P:P,A:A,A1014)&gt;0,ABS((SUMIFS(P:P,A:A,A1014)/VLOOKUP("USD",'Exchange Rates'!B:C,2,0)))/S1014,"."),".")</f>
        <v>.</v>
      </c>
      <c r="AZ1014" s="182" t="str">
        <f>IF(AND(AD1014=1,D1014="Military",H1014&lt;&gt;"Not given")=TRUE,IF(SUMIFS(P:P,A:A,A1014)&gt;0,IF((ABS((SUMIFS(P:P,A:A,A1014)/VLOOKUP("USD",'Exchange Rates'!B:C,2,0)))/S1014)&gt;1,(SUMIFS(P:P,A:A,A1014)-S1014)/S1014,(S1014-SUMIFS(P:P,A:A,A1014))/SUMIFS(P:P,A:A,A1014)),"."),".")</f>
        <v>.</v>
      </c>
      <c r="BA1014" s="182"/>
      <c r="BB1014" s="182"/>
      <c r="BC1014" s="182"/>
      <c r="BD1014" s="182"/>
      <c r="BE1014" s="182"/>
      <c r="BF1014" s="182"/>
      <c r="BG1014" s="182"/>
      <c r="BH1014" s="182"/>
      <c r="BI1014" s="182"/>
      <c r="BJ1014" s="182"/>
      <c r="BK1014" s="182"/>
      <c r="BL1014" s="182"/>
      <c r="BM1014" s="182"/>
      <c r="BN1014" s="182"/>
      <c r="BO1014" s="182"/>
      <c r="BP1014" s="182"/>
      <c r="BQ1014" s="182"/>
      <c r="BR1014" s="182"/>
      <c r="BS1014" s="182"/>
    </row>
    <row r="1015" spans="1:71" ht="15.9" customHeight="1" x14ac:dyDescent="0.3">
      <c r="A1015" s="5" t="s">
        <v>2939</v>
      </c>
      <c r="B1015" s="5" t="s">
        <v>2864</v>
      </c>
      <c r="C1015" s="174">
        <v>44701</v>
      </c>
      <c r="D1015" s="5" t="s">
        <v>285</v>
      </c>
      <c r="E1015" s="5" t="s">
        <v>286</v>
      </c>
      <c r="F1015" s="175" t="s">
        <v>2940</v>
      </c>
      <c r="G1015" s="15" t="s">
        <v>2866</v>
      </c>
      <c r="H1015" s="176">
        <v>1300000000</v>
      </c>
      <c r="I1015" s="17" t="s">
        <v>2946</v>
      </c>
      <c r="J1015" s="113" t="str">
        <f>VLOOKUP($I1015,'Price List, Weapons &amp; Items'!B:C,2,0)</f>
        <v>Ammunition for heavy weapon</v>
      </c>
      <c r="K1015" s="113" t="str">
        <f>IF(I1015=".",I1015,VLOOKUP($I1015,'Price List, Weapons &amp; Items'!B:D,3,0))</f>
        <v>howitzer ammunition</v>
      </c>
      <c r="L1015" s="177">
        <f>VLOOKUP(I1015,'Price List, Weapons &amp; Items'!B:E,4,0)</f>
        <v>0</v>
      </c>
      <c r="M1015" s="542">
        <v>16000</v>
      </c>
      <c r="N1015" s="542">
        <v>16000</v>
      </c>
      <c r="O1015" s="543">
        <f>VLOOKUP($I1015,'Price List, Weapons &amp; Items'!B:G,6,0)</f>
        <v>2000</v>
      </c>
      <c r="P1015" s="176">
        <f t="shared" si="200"/>
        <v>32000000</v>
      </c>
      <c r="Q1015" s="176">
        <f t="shared" si="201"/>
        <v>32000000</v>
      </c>
      <c r="R1015" s="176" t="str">
        <f t="shared" si="198"/>
        <v/>
      </c>
      <c r="S1015" s="176" t="str">
        <f>IF(AND(AD1015=1,R1015&lt;&gt;".")=TRUE,R1015/VLOOKUP(G1015,'Exchange Rates'!B:C,2,0),IF(R1015=".",".",""))</f>
        <v/>
      </c>
      <c r="T1015" s="176" t="str">
        <f>IF(AD1015=1,IF(AF1015="Value is not given at all",".",IF(AF1015="Value is given by the source",S1015,IF(AF1015="Value is calculated with prices",(IF(SUMIFS(Q:Q,A:A,A1015)&gt;0,SUMIFS(Q:Q,A:A,A1015),"."))/VLOOKUP("USD",'Exchange Rates'!B:C,2,0),"Error with coding"))),"")</f>
        <v/>
      </c>
      <c r="U1015" s="15" t="s">
        <v>261</v>
      </c>
      <c r="V1015" s="547" t="s">
        <v>2942</v>
      </c>
      <c r="W1015" s="547" t="s">
        <v>2943</v>
      </c>
      <c r="X1015" s="188" t="s">
        <v>260</v>
      </c>
      <c r="Y1015" s="188" t="s">
        <v>260</v>
      </c>
      <c r="Z1015" s="15">
        <v>0</v>
      </c>
      <c r="AA1015" s="180">
        <v>0</v>
      </c>
      <c r="AB1015" s="561" t="s">
        <v>2925</v>
      </c>
      <c r="AC1015" s="544" t="str">
        <f>""</f>
        <v/>
      </c>
      <c r="AD1015" s="183">
        <v>0</v>
      </c>
      <c r="AE1015" s="183" t="s">
        <v>264</v>
      </c>
      <c r="AF1015" s="183" t="s">
        <v>332</v>
      </c>
      <c r="AG1015" s="183">
        <v>1</v>
      </c>
      <c r="AH1015" s="183">
        <v>5</v>
      </c>
      <c r="AI1015" s="183">
        <v>0</v>
      </c>
      <c r="AJ1015" s="181">
        <f>VLOOKUP($I1015,'Price List, Weapons &amp; Items'!B:F,5,0)</f>
        <v>0</v>
      </c>
      <c r="AK1015" s="181">
        <f t="shared" si="202"/>
        <v>0</v>
      </c>
      <c r="AL1015" s="181">
        <f t="shared" si="203"/>
        <v>0</v>
      </c>
      <c r="AM1015" s="181">
        <f t="shared" si="204"/>
        <v>0</v>
      </c>
      <c r="AN1015" s="180" t="str">
        <f>VLOOKUP($I1015,'Price List, Weapons &amp; Items'!B:L,COLUMN('Price List, Weapons &amp; Items'!$J$11)-1,0)</f>
        <v>Media reports (incl. social media)</v>
      </c>
      <c r="AO1015" s="180" t="str">
        <f>IF(I1015=".",".",VLOOKUP($I1015,'Price List, Weapons &amp; Items'!B:J,3,0))</f>
        <v>howitzer ammunition</v>
      </c>
      <c r="AP1015" s="545" t="str">
        <f t="shared" ca="1" si="199"/>
        <v/>
      </c>
      <c r="AQ1015" s="180">
        <f>VLOOKUP($I1015,'Price List, Weapons &amp; Items'!B:L,COLUMN('Price List, Weapons &amp; Items'!$L$11)-1,0)</f>
        <v>2</v>
      </c>
      <c r="AR1015" s="180">
        <f t="shared" si="205"/>
        <v>1</v>
      </c>
      <c r="AS1015" s="180">
        <f t="shared" si="206"/>
        <v>1</v>
      </c>
      <c r="AT1015" s="180">
        <f t="shared" si="195"/>
        <v>1</v>
      </c>
      <c r="AU1015" s="180" t="str">
        <f t="shared" si="196"/>
        <v>.</v>
      </c>
      <c r="AV1015" s="180" t="str">
        <f t="shared" si="197"/>
        <v>.</v>
      </c>
      <c r="AW1015" s="180">
        <f>IFERROR(VLOOKUP(B1015,'Share, Heavy Weapons to Ukraine'!B:J,COLUMN('Share, Heavy Weapons to Ukraine'!C1025)-1,0),0)</f>
        <v>1</v>
      </c>
      <c r="AX1015" s="180">
        <f>VLOOKUP('Bilateral Assistance, MAIN DATA'!B1015,'Country Summary'!B:F,COLUMN('Country Summary'!C1028)-1,FALSE)</f>
        <v>0</v>
      </c>
      <c r="AY1015" s="180" t="str">
        <f>IF(AND(AD1015=1,D1015="Military",H1015&lt;&gt;"Not given")=TRUE,IF(SUMIFS(P:P,A:A,A1015)&gt;0,ABS((SUMIFS(P:P,A:A,A1015)/VLOOKUP("USD",'Exchange Rates'!B:C,2,0)))/S1015,"."),".")</f>
        <v>.</v>
      </c>
      <c r="AZ1015" s="182" t="str">
        <f>IF(AND(AD1015=1,D1015="Military",H1015&lt;&gt;"Not given")=TRUE,IF(SUMIFS(P:P,A:A,A1015)&gt;0,IF((ABS((SUMIFS(P:P,A:A,A1015)/VLOOKUP("USD",'Exchange Rates'!B:C,2,0)))/S1015)&gt;1,(SUMIFS(P:P,A:A,A1015)-S1015)/S1015,(S1015-SUMIFS(P:P,A:A,A1015))/SUMIFS(P:P,A:A,A1015)),"."),".")</f>
        <v>.</v>
      </c>
      <c r="BA1015" s="182"/>
      <c r="BB1015" s="182"/>
      <c r="BC1015" s="182"/>
      <c r="BD1015" s="182"/>
      <c r="BE1015" s="182"/>
      <c r="BF1015" s="182"/>
      <c r="BG1015" s="182"/>
      <c r="BH1015" s="182"/>
      <c r="BI1015" s="182"/>
      <c r="BJ1015" s="182"/>
      <c r="BK1015" s="182"/>
      <c r="BL1015" s="182"/>
      <c r="BM1015" s="182"/>
      <c r="BN1015" s="182"/>
      <c r="BO1015" s="182"/>
      <c r="BP1015" s="182"/>
      <c r="BQ1015" s="182"/>
      <c r="BR1015" s="182"/>
      <c r="BS1015" s="182"/>
    </row>
    <row r="1016" spans="1:71" ht="15.9" customHeight="1" x14ac:dyDescent="0.3">
      <c r="A1016" s="5" t="s">
        <v>2939</v>
      </c>
      <c r="B1016" s="5" t="s">
        <v>2864</v>
      </c>
      <c r="C1016" s="174">
        <v>44701</v>
      </c>
      <c r="D1016" s="5" t="s">
        <v>285</v>
      </c>
      <c r="E1016" s="5" t="s">
        <v>286</v>
      </c>
      <c r="F1016" s="175" t="s">
        <v>2940</v>
      </c>
      <c r="G1016" s="15" t="s">
        <v>2866</v>
      </c>
      <c r="H1016" s="176">
        <v>1300000000</v>
      </c>
      <c r="I1016" s="17" t="s">
        <v>2947</v>
      </c>
      <c r="J1016" s="113" t="str">
        <f>VLOOKUP($I1016,'Price List, Weapons &amp; Items'!B:C,2,0)</f>
        <v>Military equipment</v>
      </c>
      <c r="K1016" s="113" t="str">
        <f>IF(I1016=".",I1016,VLOOKUP($I1016,'Price List, Weapons &amp; Items'!B:D,3,0))</f>
        <v>Military equipment</v>
      </c>
      <c r="L1016" s="177">
        <f>VLOOKUP(I1016,'Price List, Weapons &amp; Items'!B:E,4,0)</f>
        <v>0</v>
      </c>
      <c r="M1016" s="542" t="s">
        <v>270</v>
      </c>
      <c r="N1016" s="542" t="s">
        <v>270</v>
      </c>
      <c r="O1016" s="543" t="str">
        <f>VLOOKUP($I1016,'Price List, Weapons &amp; Items'!B:G,6,0)</f>
        <v>.</v>
      </c>
      <c r="P1016" s="176" t="str">
        <f t="shared" si="200"/>
        <v>.</v>
      </c>
      <c r="Q1016" s="176" t="str">
        <f t="shared" si="201"/>
        <v>.</v>
      </c>
      <c r="R1016" s="176" t="str">
        <f t="shared" si="198"/>
        <v/>
      </c>
      <c r="S1016" s="176" t="str">
        <f>IF(AND(AD1016=1,R1016&lt;&gt;".")=TRUE,R1016/VLOOKUP(G1016,'Exchange Rates'!B:C,2,0),IF(R1016=".",".",""))</f>
        <v/>
      </c>
      <c r="T1016" s="176" t="str">
        <f>IF(AD1016=1,IF(AF1016="Value is not given at all",".",IF(AF1016="Value is given by the source",S1016,IF(AF1016="Value is calculated with prices",(IF(SUMIFS(Q:Q,A:A,A1016)&gt;0,SUMIFS(Q:Q,A:A,A1016),"."))/VLOOKUP("USD",'Exchange Rates'!B:C,2,0),"Error with coding"))),"")</f>
        <v/>
      </c>
      <c r="U1016" s="15" t="s">
        <v>261</v>
      </c>
      <c r="V1016" s="547" t="s">
        <v>2942</v>
      </c>
      <c r="W1016" s="547" t="s">
        <v>2943</v>
      </c>
      <c r="X1016" s="188" t="s">
        <v>260</v>
      </c>
      <c r="Y1016" s="188" t="s">
        <v>260</v>
      </c>
      <c r="Z1016" s="15">
        <v>0</v>
      </c>
      <c r="AA1016" s="180">
        <v>0</v>
      </c>
      <c r="AB1016" s="17" t="s">
        <v>260</v>
      </c>
      <c r="AC1016" s="544" t="str">
        <f>""</f>
        <v/>
      </c>
      <c r="AD1016" s="183">
        <v>0</v>
      </c>
      <c r="AE1016" s="183" t="s">
        <v>264</v>
      </c>
      <c r="AF1016" s="183" t="s">
        <v>332</v>
      </c>
      <c r="AG1016" s="183">
        <v>1</v>
      </c>
      <c r="AH1016" s="183">
        <v>5</v>
      </c>
      <c r="AI1016" s="183">
        <v>0</v>
      </c>
      <c r="AJ1016" s="181">
        <f>VLOOKUP($I1016,'Price List, Weapons &amp; Items'!B:F,5,0)</f>
        <v>0</v>
      </c>
      <c r="AK1016" s="181">
        <f t="shared" si="202"/>
        <v>0</v>
      </c>
      <c r="AL1016" s="181">
        <f t="shared" si="203"/>
        <v>0</v>
      </c>
      <c r="AM1016" s="181">
        <f t="shared" si="204"/>
        <v>0</v>
      </c>
      <c r="AN1016" s="180" t="str">
        <f>VLOOKUP($I1016,'Price List, Weapons &amp; Items'!B:L,COLUMN('Price List, Weapons &amp; Items'!$J$11)-1,0)</f>
        <v>.</v>
      </c>
      <c r="AO1016" s="180" t="str">
        <f>IF(I1016=".",".",VLOOKUP($I1016,'Price List, Weapons &amp; Items'!B:J,3,0))</f>
        <v>Military equipment</v>
      </c>
      <c r="AP1016" s="545" t="str">
        <f t="shared" ca="1" si="199"/>
        <v/>
      </c>
      <c r="AQ1016" s="180" t="str">
        <f>VLOOKUP($I1016,'Price List, Weapons &amp; Items'!B:L,COLUMN('Price List, Weapons &amp; Items'!$L$11)-1,0)</f>
        <v>no price, 0 count</v>
      </c>
      <c r="AR1016" s="180">
        <f t="shared" si="205"/>
        <v>1</v>
      </c>
      <c r="AS1016" s="180">
        <f t="shared" si="206"/>
        <v>1</v>
      </c>
      <c r="AT1016" s="180">
        <f t="shared" si="195"/>
        <v>1</v>
      </c>
      <c r="AU1016" s="180" t="str">
        <f t="shared" si="196"/>
        <v>.</v>
      </c>
      <c r="AV1016" s="180" t="str">
        <f t="shared" si="197"/>
        <v>.</v>
      </c>
      <c r="AW1016" s="180">
        <f>IFERROR(VLOOKUP(B1016,'Share, Heavy Weapons to Ukraine'!B:J,COLUMN('Share, Heavy Weapons to Ukraine'!C1026)-1,0),0)</f>
        <v>1</v>
      </c>
      <c r="AX1016" s="180">
        <f>VLOOKUP('Bilateral Assistance, MAIN DATA'!B1016,'Country Summary'!B:F,COLUMN('Country Summary'!C1029)-1,FALSE)</f>
        <v>0</v>
      </c>
      <c r="AY1016" s="180" t="str">
        <f>IF(AND(AD1016=1,D1016="Military",H1016&lt;&gt;"Not given")=TRUE,IF(SUMIFS(P:P,A:A,A1016)&gt;0,ABS((SUMIFS(P:P,A:A,A1016)/VLOOKUP("USD",'Exchange Rates'!B:C,2,0)))/S1016,"."),".")</f>
        <v>.</v>
      </c>
      <c r="AZ1016" s="182" t="str">
        <f>IF(AND(AD1016=1,D1016="Military",H1016&lt;&gt;"Not given")=TRUE,IF(SUMIFS(P:P,A:A,A1016)&gt;0,IF((ABS((SUMIFS(P:P,A:A,A1016)/VLOOKUP("USD",'Exchange Rates'!B:C,2,0)))/S1016)&gt;1,(SUMIFS(P:P,A:A,A1016)-S1016)/S1016,(S1016-SUMIFS(P:P,A:A,A1016))/SUMIFS(P:P,A:A,A1016)),"."),".")</f>
        <v>.</v>
      </c>
      <c r="BA1016" s="182"/>
      <c r="BB1016" s="182"/>
      <c r="BC1016" s="182"/>
      <c r="BD1016" s="182"/>
      <c r="BE1016" s="182"/>
      <c r="BF1016" s="182"/>
      <c r="BG1016" s="182"/>
      <c r="BH1016" s="182"/>
      <c r="BI1016" s="182"/>
      <c r="BJ1016" s="182"/>
      <c r="BK1016" s="182"/>
      <c r="BL1016" s="182"/>
      <c r="BM1016" s="182"/>
      <c r="BN1016" s="182"/>
      <c r="BO1016" s="182"/>
      <c r="BP1016" s="182"/>
      <c r="BQ1016" s="182"/>
      <c r="BR1016" s="182"/>
      <c r="BS1016" s="182"/>
    </row>
    <row r="1017" spans="1:71" ht="15.9" customHeight="1" x14ac:dyDescent="0.3">
      <c r="A1017" s="5" t="s">
        <v>2939</v>
      </c>
      <c r="B1017" s="5" t="s">
        <v>2864</v>
      </c>
      <c r="C1017" s="174">
        <v>44684</v>
      </c>
      <c r="D1017" s="5" t="s">
        <v>285</v>
      </c>
      <c r="E1017" s="5" t="s">
        <v>286</v>
      </c>
      <c r="F1017" s="175" t="s">
        <v>2940</v>
      </c>
      <c r="G1017" s="15" t="s">
        <v>2866</v>
      </c>
      <c r="H1017" s="176">
        <v>1300000000</v>
      </c>
      <c r="I1017" s="17" t="s">
        <v>2948</v>
      </c>
      <c r="J1017" s="113" t="str">
        <f>VLOOKUP($I1017,'Price List, Weapons &amp; Items'!B:C,2,0)</f>
        <v>Air-launched ammunition</v>
      </c>
      <c r="K1017" s="113" t="str">
        <f>IF(I1017=".",I1017,VLOOKUP($I1017,'Price List, Weapons &amp; Items'!B:D,3,0))</f>
        <v>Air-to-surface missile (ASM)</v>
      </c>
      <c r="L1017" s="177">
        <f>VLOOKUP(I1017,'Price List, Weapons &amp; Items'!B:E,4,0)</f>
        <v>0</v>
      </c>
      <c r="M1017" s="542">
        <v>200</v>
      </c>
      <c r="N1017" s="542">
        <v>200</v>
      </c>
      <c r="O1017" s="543">
        <f>VLOOKUP($I1017,'Price List, Weapons &amp; Items'!B:G,6,0)</f>
        <v>220000</v>
      </c>
      <c r="P1017" s="176">
        <f t="shared" si="200"/>
        <v>44000000</v>
      </c>
      <c r="Q1017" s="176">
        <f t="shared" si="201"/>
        <v>44000000</v>
      </c>
      <c r="R1017" s="176" t="str">
        <f t="shared" si="198"/>
        <v/>
      </c>
      <c r="S1017" s="176" t="str">
        <f>IF(AND(AD1017=1,R1017&lt;&gt;".")=TRUE,R1017/VLOOKUP(G1017,'Exchange Rates'!B:C,2,0),IF(R1017=".",".",""))</f>
        <v/>
      </c>
      <c r="T1017" s="176" t="str">
        <f>IF(AD1017=1,IF(AF1017="Value is not given at all",".",IF(AF1017="Value is given by the source",S1017,IF(AF1017="Value is calculated with prices",(IF(SUMIFS(Q:Q,A:A,A1017)&gt;0,SUMIFS(Q:Q,A:A,A1017),"."))/VLOOKUP("USD",'Exchange Rates'!B:C,2,0),"Error with coding"))),"")</f>
        <v/>
      </c>
      <c r="U1017" s="15" t="s">
        <v>261</v>
      </c>
      <c r="V1017" s="547" t="s">
        <v>2942</v>
      </c>
      <c r="W1017" s="547" t="s">
        <v>2943</v>
      </c>
      <c r="X1017" s="188" t="s">
        <v>260</v>
      </c>
      <c r="Y1017" s="188" t="s">
        <v>260</v>
      </c>
      <c r="Z1017" s="15">
        <v>0</v>
      </c>
      <c r="AA1017" s="180">
        <v>0</v>
      </c>
      <c r="AB1017" s="17" t="s">
        <v>260</v>
      </c>
      <c r="AC1017" s="544" t="str">
        <f>""</f>
        <v/>
      </c>
      <c r="AD1017" s="183">
        <v>0</v>
      </c>
      <c r="AE1017" s="183" t="s">
        <v>264</v>
      </c>
      <c r="AF1017" s="183" t="s">
        <v>332</v>
      </c>
      <c r="AG1017" s="183">
        <v>1</v>
      </c>
      <c r="AH1017" s="181">
        <v>5</v>
      </c>
      <c r="AI1017" s="181">
        <v>0</v>
      </c>
      <c r="AJ1017" s="181">
        <f>VLOOKUP($I1017,'Price List, Weapons &amp; Items'!B:F,5,0)</f>
        <v>0</v>
      </c>
      <c r="AK1017" s="181">
        <f t="shared" si="202"/>
        <v>0</v>
      </c>
      <c r="AL1017" s="181">
        <f t="shared" si="203"/>
        <v>0</v>
      </c>
      <c r="AM1017" s="181">
        <f t="shared" si="204"/>
        <v>0</v>
      </c>
      <c r="AN1017" s="180" t="str">
        <f>VLOOKUP($I1017,'Price List, Weapons &amp; Items'!B:L,COLUMN('Price List, Weapons &amp; Items'!$J$11)-1,0)</f>
        <v>Government information</v>
      </c>
      <c r="AO1017" s="180" t="str">
        <f>IF(I1017=".",".",VLOOKUP($I1017,'Price List, Weapons &amp; Items'!B:J,3,0))</f>
        <v>Air-to-surface missile (ASM)</v>
      </c>
      <c r="AP1017" s="545" t="str">
        <f t="shared" ca="1" si="199"/>
        <v/>
      </c>
      <c r="AQ1017" s="180">
        <f>VLOOKUP($I1017,'Price List, Weapons &amp; Items'!B:L,COLUMN('Price List, Weapons &amp; Items'!$L$11)-1,0)</f>
        <v>2</v>
      </c>
      <c r="AR1017" s="180">
        <f t="shared" si="205"/>
        <v>1</v>
      </c>
      <c r="AS1017" s="180">
        <f t="shared" si="206"/>
        <v>1</v>
      </c>
      <c r="AT1017" s="180">
        <f t="shared" si="195"/>
        <v>1</v>
      </c>
      <c r="AU1017" s="180" t="str">
        <f t="shared" si="196"/>
        <v>.</v>
      </c>
      <c r="AV1017" s="180" t="str">
        <f t="shared" si="197"/>
        <v>.</v>
      </c>
      <c r="AW1017" s="180">
        <f>IFERROR(VLOOKUP(B1017,'Share, Heavy Weapons to Ukraine'!B:J,COLUMN('Share, Heavy Weapons to Ukraine'!C1027)-1,0),0)</f>
        <v>1</v>
      </c>
      <c r="AX1017" s="180">
        <f>VLOOKUP('Bilateral Assistance, MAIN DATA'!B1017,'Country Summary'!B:F,COLUMN('Country Summary'!C1030)-1,FALSE)</f>
        <v>0</v>
      </c>
      <c r="AY1017" s="180" t="str">
        <f>IF(AND(AD1017=1,D1017="Military",H1017&lt;&gt;"Not given")=TRUE,IF(SUMIFS(P:P,A:A,A1017)&gt;0,ABS((SUMIFS(P:P,A:A,A1017)/VLOOKUP("USD",'Exchange Rates'!B:C,2,0)))/S1017,"."),".")</f>
        <v>.</v>
      </c>
      <c r="AZ1017" s="182" t="str">
        <f>IF(AND(AD1017=1,D1017="Military",H1017&lt;&gt;"Not given")=TRUE,IF(SUMIFS(P:P,A:A,A1017)&gt;0,IF((ABS((SUMIFS(P:P,A:A,A1017)/VLOOKUP("USD",'Exchange Rates'!B:C,2,0)))/S1017)&gt;1,(SUMIFS(P:P,A:A,A1017)-S1017)/S1017,(S1017-SUMIFS(P:P,A:A,A1017))/SUMIFS(P:P,A:A,A1017)),"."),".")</f>
        <v>.</v>
      </c>
      <c r="BA1017" s="182"/>
      <c r="BB1017" s="182"/>
      <c r="BC1017" s="182"/>
      <c r="BD1017" s="182"/>
      <c r="BE1017" s="182"/>
      <c r="BF1017" s="182"/>
      <c r="BG1017" s="182"/>
      <c r="BH1017" s="182"/>
      <c r="BI1017" s="182"/>
      <c r="BJ1017" s="182"/>
      <c r="BK1017" s="182"/>
      <c r="BL1017" s="182"/>
      <c r="BM1017" s="182"/>
      <c r="BN1017" s="182"/>
      <c r="BO1017" s="182"/>
      <c r="BP1017" s="182"/>
      <c r="BQ1017" s="182"/>
      <c r="BR1017" s="182"/>
      <c r="BS1017" s="182"/>
    </row>
    <row r="1018" spans="1:71" ht="15.9" customHeight="1" x14ac:dyDescent="0.3">
      <c r="A1018" s="5" t="s">
        <v>2939</v>
      </c>
      <c r="B1018" s="5" t="s">
        <v>2864</v>
      </c>
      <c r="C1018" s="174">
        <v>44718</v>
      </c>
      <c r="D1018" s="5" t="s">
        <v>285</v>
      </c>
      <c r="E1018" s="5" t="s">
        <v>286</v>
      </c>
      <c r="F1018" s="175" t="s">
        <v>2940</v>
      </c>
      <c r="G1018" s="15" t="s">
        <v>2866</v>
      </c>
      <c r="H1018" s="176">
        <v>1300000000</v>
      </c>
      <c r="I1018" s="17" t="s">
        <v>1273</v>
      </c>
      <c r="J1018" s="113" t="str">
        <f>VLOOKUP($I1018,'Price List, Weapons &amp; Items'!B:C,2,0)</f>
        <v>Heavy weapon</v>
      </c>
      <c r="K1018" s="113" t="str">
        <f>IF(I1018=".",I1018,VLOOKUP($I1018,'Price List, Weapons &amp; Items'!B:D,3,0))</f>
        <v>227mm MLRS</v>
      </c>
      <c r="L1018" s="177">
        <f>VLOOKUP(I1018,'Price List, Weapons &amp; Items'!B:E,4,0)</f>
        <v>0</v>
      </c>
      <c r="M1018" s="542">
        <v>3</v>
      </c>
      <c r="N1018" s="542">
        <v>3</v>
      </c>
      <c r="O1018" s="543">
        <f>VLOOKUP($I1018,'Price List, Weapons &amp; Items'!B:G,6,0)</f>
        <v>13615659.128881287</v>
      </c>
      <c r="P1018" s="176">
        <f t="shared" si="200"/>
        <v>40846977.386643857</v>
      </c>
      <c r="Q1018" s="176">
        <f t="shared" si="201"/>
        <v>40846977.386643857</v>
      </c>
      <c r="R1018" s="176" t="str">
        <f t="shared" si="198"/>
        <v/>
      </c>
      <c r="S1018" s="176" t="str">
        <f>IF(AND(AD1018=1,R1018&lt;&gt;".")=TRUE,R1018/VLOOKUP(G1018,'Exchange Rates'!B:C,2,0),IF(R1018=".",".",""))</f>
        <v/>
      </c>
      <c r="T1018" s="176" t="str">
        <f>IF(AD1018=1,IF(AF1018="Value is not given at all",".",IF(AF1018="Value is given by the source",S1018,IF(AF1018="Value is calculated with prices",(IF(SUMIFS(Q:Q,A:A,A1018)&gt;0,SUMIFS(Q:Q,A:A,A1018),"."))/VLOOKUP("USD",'Exchange Rates'!B:C,2,0),"Error with coding"))),"")</f>
        <v/>
      </c>
      <c r="U1018" s="15" t="s">
        <v>261</v>
      </c>
      <c r="V1018" s="300" t="s">
        <v>2949</v>
      </c>
      <c r="W1018" s="546" t="s">
        <v>2950</v>
      </c>
      <c r="X1018" s="188" t="s">
        <v>260</v>
      </c>
      <c r="Y1018" s="188" t="s">
        <v>260</v>
      </c>
      <c r="Z1018" s="15">
        <v>0</v>
      </c>
      <c r="AA1018" s="180">
        <v>0</v>
      </c>
      <c r="AB1018" s="561" t="s">
        <v>2951</v>
      </c>
      <c r="AC1018" s="544" t="str">
        <f>""</f>
        <v/>
      </c>
      <c r="AD1018" s="183">
        <v>0</v>
      </c>
      <c r="AE1018" s="183" t="s">
        <v>264</v>
      </c>
      <c r="AF1018" s="183" t="s">
        <v>332</v>
      </c>
      <c r="AG1018" s="183">
        <v>1</v>
      </c>
      <c r="AH1018" s="181">
        <v>6</v>
      </c>
      <c r="AI1018" s="181">
        <v>0</v>
      </c>
      <c r="AJ1018" s="181">
        <f>VLOOKUP($I1018,'Price List, Weapons &amp; Items'!B:F,5,0)</f>
        <v>1</v>
      </c>
      <c r="AK1018" s="181">
        <f t="shared" si="202"/>
        <v>0</v>
      </c>
      <c r="AL1018" s="181">
        <f t="shared" si="203"/>
        <v>0</v>
      </c>
      <c r="AM1018" s="181">
        <f t="shared" si="204"/>
        <v>0</v>
      </c>
      <c r="AN1018" s="180" t="str">
        <f>VLOOKUP($I1018,'Price List, Weapons &amp; Items'!B:L,COLUMN('Price List, Weapons &amp; Items'!$J$11)-1,0)</f>
        <v>Contracts</v>
      </c>
      <c r="AO1018" s="180" t="str">
        <f>IF(I1018=".",".",VLOOKUP($I1018,'Price List, Weapons &amp; Items'!B:J,3,0))</f>
        <v>227mm MLRS</v>
      </c>
      <c r="AP1018" s="545" t="str">
        <f t="shared" ca="1" si="199"/>
        <v/>
      </c>
      <c r="AQ1018" s="180">
        <f>VLOOKUP($I1018,'Price List, Weapons &amp; Items'!B:L,COLUMN('Price List, Weapons &amp; Items'!$L$11)-1,0)</f>
        <v>2</v>
      </c>
      <c r="AR1018" s="180">
        <f t="shared" si="205"/>
        <v>1</v>
      </c>
      <c r="AS1018" s="180">
        <f t="shared" si="206"/>
        <v>1</v>
      </c>
      <c r="AT1018" s="180">
        <f t="shared" si="195"/>
        <v>1</v>
      </c>
      <c r="AU1018" s="180" t="str">
        <f t="shared" si="196"/>
        <v>.</v>
      </c>
      <c r="AV1018" s="180" t="str">
        <f t="shared" si="197"/>
        <v>.</v>
      </c>
      <c r="AW1018" s="180">
        <f>IFERROR(VLOOKUP(B1018,'Share, Heavy Weapons to Ukraine'!B:J,COLUMN('Share, Heavy Weapons to Ukraine'!C1028)-1,0),0)</f>
        <v>1</v>
      </c>
      <c r="AX1018" s="180">
        <f>VLOOKUP('Bilateral Assistance, MAIN DATA'!B1018,'Country Summary'!B:F,COLUMN('Country Summary'!C1031)-1,FALSE)</f>
        <v>0</v>
      </c>
      <c r="AY1018" s="180" t="str">
        <f>IF(AND(AD1018=1,D1018="Military",H1018&lt;&gt;"Not given")=TRUE,IF(SUMIFS(P:P,A:A,A1018)&gt;0,ABS((SUMIFS(P:P,A:A,A1018)/VLOOKUP("USD",'Exchange Rates'!B:C,2,0)))/S1018,"."),".")</f>
        <v>.</v>
      </c>
      <c r="AZ1018" s="182" t="str">
        <f>IF(AND(AD1018=1,D1018="Military",H1018&lt;&gt;"Not given")=TRUE,IF(SUMIFS(P:P,A:A,A1018)&gt;0,IF((ABS((SUMIFS(P:P,A:A,A1018)/VLOOKUP("USD",'Exchange Rates'!B:C,2,0)))/S1018)&gt;1,(SUMIFS(P:P,A:A,A1018)-S1018)/S1018,(S1018-SUMIFS(P:P,A:A,A1018))/SUMIFS(P:P,A:A,A1018)),"."),".")</f>
        <v>.</v>
      </c>
      <c r="BA1018" s="182"/>
      <c r="BB1018" s="182"/>
      <c r="BC1018" s="182"/>
      <c r="BD1018" s="182"/>
      <c r="BE1018" s="182"/>
      <c r="BF1018" s="182"/>
      <c r="BG1018" s="182"/>
      <c r="BH1018" s="182"/>
      <c r="BI1018" s="182"/>
      <c r="BJ1018" s="182"/>
      <c r="BK1018" s="182"/>
      <c r="BL1018" s="182"/>
      <c r="BM1018" s="182"/>
      <c r="BN1018" s="182"/>
      <c r="BO1018" s="182"/>
      <c r="BP1018" s="182"/>
      <c r="BQ1018" s="182"/>
      <c r="BR1018" s="182"/>
      <c r="BS1018" s="182"/>
    </row>
    <row r="1019" spans="1:71" ht="15.9" customHeight="1" x14ac:dyDescent="0.3">
      <c r="A1019" s="5" t="s">
        <v>2939</v>
      </c>
      <c r="B1019" s="5" t="s">
        <v>2864</v>
      </c>
      <c r="C1019" s="174">
        <v>44718</v>
      </c>
      <c r="D1019" s="5" t="s">
        <v>285</v>
      </c>
      <c r="E1019" s="5" t="s">
        <v>286</v>
      </c>
      <c r="F1019" s="175" t="s">
        <v>2940</v>
      </c>
      <c r="G1019" s="15" t="s">
        <v>2866</v>
      </c>
      <c r="H1019" s="176">
        <v>1300000000</v>
      </c>
      <c r="I1019" s="17" t="s">
        <v>2952</v>
      </c>
      <c r="J1019" s="113" t="str">
        <f>VLOOKUP($I1019,'Price List, Weapons &amp; Items'!B:C,2,0)</f>
        <v>Ammunition for heavy weapon</v>
      </c>
      <c r="K1019" s="113" t="str">
        <f>IF(I1019=".",I1019,VLOOKUP($I1019,'Price List, Weapons &amp; Items'!B:D,3,0))</f>
        <v>298mm MLRS ammunition</v>
      </c>
      <c r="L1019" s="177">
        <f>VLOOKUP(I1019,'Price List, Weapons &amp; Items'!B:E,4,0)</f>
        <v>0</v>
      </c>
      <c r="M1019" s="542" t="s">
        <v>270</v>
      </c>
      <c r="N1019" s="542" t="s">
        <v>270</v>
      </c>
      <c r="O1019" s="543">
        <f>VLOOKUP($I1019,'Price List, Weapons &amp; Items'!B:G,6,0)</f>
        <v>625000</v>
      </c>
      <c r="P1019" s="176" t="str">
        <f t="shared" si="200"/>
        <v>.</v>
      </c>
      <c r="Q1019" s="176" t="str">
        <f t="shared" si="201"/>
        <v>.</v>
      </c>
      <c r="R1019" s="176" t="str">
        <f t="shared" si="198"/>
        <v/>
      </c>
      <c r="S1019" s="176" t="str">
        <f>IF(AND(AD1019=1,R1019&lt;&gt;".")=TRUE,R1019/VLOOKUP(G1019,'Exchange Rates'!B:C,2,0),IF(R1019=".",".",""))</f>
        <v/>
      </c>
      <c r="T1019" s="176" t="str">
        <f>IF(AD1019=1,IF(AF1019="Value is not given at all",".",IF(AF1019="Value is given by the source",S1019,IF(AF1019="Value is calculated with prices",(IF(SUMIFS(Q:Q,A:A,A1019)&gt;0,SUMIFS(Q:Q,A:A,A1019),"."))/VLOOKUP("USD",'Exchange Rates'!B:C,2,0),"Error with coding"))),"")</f>
        <v/>
      </c>
      <c r="U1019" s="15" t="s">
        <v>261</v>
      </c>
      <c r="V1019" s="300" t="s">
        <v>2949</v>
      </c>
      <c r="W1019" s="175" t="s">
        <v>260</v>
      </c>
      <c r="X1019" s="188" t="s">
        <v>260</v>
      </c>
      <c r="Y1019" s="188" t="s">
        <v>260</v>
      </c>
      <c r="Z1019" s="15">
        <v>0</v>
      </c>
      <c r="AA1019" s="180">
        <v>0</v>
      </c>
      <c r="AB1019" s="17" t="s">
        <v>260</v>
      </c>
      <c r="AC1019" s="544" t="str">
        <f>""</f>
        <v/>
      </c>
      <c r="AD1019" s="183">
        <v>0</v>
      </c>
      <c r="AE1019" s="183" t="s">
        <v>264</v>
      </c>
      <c r="AF1019" s="183" t="s">
        <v>332</v>
      </c>
      <c r="AG1019" s="183">
        <v>1</v>
      </c>
      <c r="AH1019" s="181">
        <v>6</v>
      </c>
      <c r="AI1019" s="181">
        <v>0</v>
      </c>
      <c r="AJ1019" s="181">
        <f>VLOOKUP($I1019,'Price List, Weapons &amp; Items'!B:F,5,0)</f>
        <v>0</v>
      </c>
      <c r="AK1019" s="181">
        <f t="shared" si="202"/>
        <v>0</v>
      </c>
      <c r="AL1019" s="181">
        <f t="shared" si="203"/>
        <v>0</v>
      </c>
      <c r="AM1019" s="181">
        <f t="shared" si="204"/>
        <v>0</v>
      </c>
      <c r="AN1019" s="180" t="str">
        <f>VLOOKUP($I1019,'Price List, Weapons &amp; Items'!B:L,COLUMN('Price List, Weapons &amp; Items'!$J$11)-1,0)</f>
        <v>Government information</v>
      </c>
      <c r="AO1019" s="180" t="str">
        <f>IF(I1019=".",".",VLOOKUP($I1019,'Price List, Weapons &amp; Items'!B:J,3,0))</f>
        <v>298mm MLRS ammunition</v>
      </c>
      <c r="AP1019" s="545" t="str">
        <f t="shared" ca="1" si="199"/>
        <v/>
      </c>
      <c r="AQ1019" s="180" t="str">
        <f>VLOOKUP($I1019,'Price List, Weapons &amp; Items'!B:L,COLUMN('Price List, Weapons &amp; Items'!$L$11)-1,0)</f>
        <v>no price, 0 count</v>
      </c>
      <c r="AR1019" s="180">
        <f t="shared" si="205"/>
        <v>1</v>
      </c>
      <c r="AS1019" s="180">
        <f t="shared" si="206"/>
        <v>1</v>
      </c>
      <c r="AT1019" s="180">
        <f t="shared" si="195"/>
        <v>1</v>
      </c>
      <c r="AU1019" s="180" t="str">
        <f t="shared" si="196"/>
        <v>.</v>
      </c>
      <c r="AV1019" s="180" t="str">
        <f t="shared" si="197"/>
        <v>.</v>
      </c>
      <c r="AW1019" s="180">
        <f>IFERROR(VLOOKUP(B1019,'Share, Heavy Weapons to Ukraine'!B:J,COLUMN('Share, Heavy Weapons to Ukraine'!C1029)-1,0),0)</f>
        <v>1</v>
      </c>
      <c r="AX1019" s="180">
        <f>VLOOKUP('Bilateral Assistance, MAIN DATA'!B1019,'Country Summary'!B:F,COLUMN('Country Summary'!C1032)-1,FALSE)</f>
        <v>0</v>
      </c>
      <c r="AY1019" s="180" t="str">
        <f>IF(AND(AD1019=1,D1019="Military",H1019&lt;&gt;"Not given")=TRUE,IF(SUMIFS(P:P,A:A,A1019)&gt;0,ABS((SUMIFS(P:P,A:A,A1019)/VLOOKUP("USD",'Exchange Rates'!B:C,2,0)))/S1019,"."),".")</f>
        <v>.</v>
      </c>
      <c r="AZ1019" s="182" t="str">
        <f>IF(AND(AD1019=1,D1019="Military",H1019&lt;&gt;"Not given")=TRUE,IF(SUMIFS(P:P,A:A,A1019)&gt;0,IF((ABS((SUMIFS(P:P,A:A,A1019)/VLOOKUP("USD",'Exchange Rates'!B:C,2,0)))/S1019)&gt;1,(SUMIFS(P:P,A:A,A1019)-S1019)/S1019,(S1019-SUMIFS(P:P,A:A,A1019))/SUMIFS(P:P,A:A,A1019)),"."),".")</f>
        <v>.</v>
      </c>
      <c r="BA1019" s="182"/>
      <c r="BB1019" s="182"/>
      <c r="BC1019" s="182"/>
      <c r="BD1019" s="182"/>
      <c r="BE1019" s="182"/>
      <c r="BF1019" s="182"/>
      <c r="BG1019" s="182"/>
      <c r="BH1019" s="182"/>
      <c r="BI1019" s="182"/>
      <c r="BJ1019" s="182"/>
      <c r="BK1019" s="182"/>
      <c r="BL1019" s="182"/>
      <c r="BM1019" s="182"/>
      <c r="BN1019" s="182"/>
      <c r="BO1019" s="182"/>
      <c r="BP1019" s="182"/>
      <c r="BQ1019" s="182"/>
      <c r="BR1019" s="182"/>
      <c r="BS1019" s="182"/>
    </row>
    <row r="1020" spans="1:71" ht="15.9" customHeight="1" x14ac:dyDescent="0.3">
      <c r="A1020" s="5" t="s">
        <v>2939</v>
      </c>
      <c r="B1020" s="5" t="s">
        <v>2864</v>
      </c>
      <c r="C1020" s="174" t="s">
        <v>2953</v>
      </c>
      <c r="D1020" s="5" t="s">
        <v>285</v>
      </c>
      <c r="E1020" s="5" t="s">
        <v>286</v>
      </c>
      <c r="F1020" s="175" t="s">
        <v>2954</v>
      </c>
      <c r="G1020" s="15" t="s">
        <v>2866</v>
      </c>
      <c r="H1020" s="176">
        <v>1300000000</v>
      </c>
      <c r="I1020" s="17" t="s">
        <v>1788</v>
      </c>
      <c r="J1020" s="113" t="str">
        <f>VLOOKUP($I1020,'Price List, Weapons &amp; Items'!B:C,2,0)</f>
        <v>Heavy weapon</v>
      </c>
      <c r="K1020" s="113" t="str">
        <f>IF(I1020=".",I1020,VLOOKUP($I1020,'Price List, Weapons &amp; Items'!B:D,3,0))</f>
        <v>155mm howitzer</v>
      </c>
      <c r="L1020" s="177">
        <f>VLOOKUP(I1020,'Price List, Weapons &amp; Items'!B:E,4,0)</f>
        <v>0</v>
      </c>
      <c r="M1020" s="542">
        <v>28</v>
      </c>
      <c r="N1020" s="542">
        <v>28</v>
      </c>
      <c r="O1020" s="543">
        <f>VLOOKUP($I1020,'Price List, Weapons &amp; Items'!B:G,6,0)</f>
        <v>1734787.30789614</v>
      </c>
      <c r="P1020" s="176">
        <f t="shared" si="200"/>
        <v>48574044.621091917</v>
      </c>
      <c r="Q1020" s="176">
        <f t="shared" si="201"/>
        <v>48574044.621091917</v>
      </c>
      <c r="R1020" s="176" t="str">
        <f t="shared" si="198"/>
        <v/>
      </c>
      <c r="S1020" s="176" t="str">
        <f>IF(AND(AD1020=1,R1020&lt;&gt;".")=TRUE,R1020/VLOOKUP(G1020,'Exchange Rates'!B:C,2,0),IF(R1020=".",".",""))</f>
        <v/>
      </c>
      <c r="T1020" s="176" t="str">
        <f>IF(AD1020=1,IF(AF1020="Value is not given at all",".",IF(AF1020="Value is given by the source",S1020,IF(AF1020="Value is calculated with prices",(IF(SUMIFS(Q:Q,A:A,A1020)&gt;0,SUMIFS(Q:Q,A:A,A1020),"."))/VLOOKUP("USD",'Exchange Rates'!B:C,2,0),"Error with coding"))),"")</f>
        <v/>
      </c>
      <c r="U1020" s="15" t="s">
        <v>261</v>
      </c>
      <c r="V1020" s="546" t="s">
        <v>2955</v>
      </c>
      <c r="W1020" s="300" t="s">
        <v>2956</v>
      </c>
      <c r="X1020" s="546" t="s">
        <v>2957</v>
      </c>
      <c r="Y1020" s="175" t="s">
        <v>260</v>
      </c>
      <c r="Z1020" s="15">
        <v>0</v>
      </c>
      <c r="AA1020" s="180">
        <v>0</v>
      </c>
      <c r="AB1020" s="575" t="s">
        <v>2957</v>
      </c>
      <c r="AC1020" s="544" t="str">
        <f>""</f>
        <v/>
      </c>
      <c r="AD1020" s="183">
        <v>0</v>
      </c>
      <c r="AE1020" s="183" t="s">
        <v>264</v>
      </c>
      <c r="AF1020" s="183" t="s">
        <v>332</v>
      </c>
      <c r="AG1020" s="183">
        <v>6</v>
      </c>
      <c r="AH1020" s="181">
        <v>0</v>
      </c>
      <c r="AI1020" s="181">
        <v>0</v>
      </c>
      <c r="AJ1020" s="181">
        <f>VLOOKUP($I1020,'Price List, Weapons &amp; Items'!B:F,5,0)</f>
        <v>1</v>
      </c>
      <c r="AK1020" s="181">
        <f t="shared" si="202"/>
        <v>0</v>
      </c>
      <c r="AL1020" s="181">
        <f t="shared" si="203"/>
        <v>0</v>
      </c>
      <c r="AM1020" s="181">
        <f t="shared" si="204"/>
        <v>0</v>
      </c>
      <c r="AN1020" s="180" t="str">
        <f>VLOOKUP($I1020,'Price List, Weapons &amp; Items'!B:L,COLUMN('Price List, Weapons &amp; Items'!$J$11)-1,0)</f>
        <v>Contracts</v>
      </c>
      <c r="AO1020" s="180" t="str">
        <f>IF(I1020=".",".",VLOOKUP($I1020,'Price List, Weapons &amp; Items'!B:J,3,0))</f>
        <v>155mm howitzer</v>
      </c>
      <c r="AP1020" s="545" t="str">
        <f t="shared" ca="1" si="199"/>
        <v/>
      </c>
      <c r="AQ1020" s="180">
        <f>VLOOKUP($I1020,'Price List, Weapons &amp; Items'!B:L,COLUMN('Price List, Weapons &amp; Items'!$L$11)-1,0)</f>
        <v>2</v>
      </c>
      <c r="AR1020" s="180">
        <f t="shared" si="205"/>
        <v>1</v>
      </c>
      <c r="AS1020" s="180">
        <f t="shared" si="206"/>
        <v>1</v>
      </c>
      <c r="AT1020" s="180" t="str">
        <f t="shared" si="195"/>
        <v>Value is not in date format</v>
      </c>
      <c r="AU1020" s="180" t="str">
        <f t="shared" si="196"/>
        <v>.</v>
      </c>
      <c r="AV1020" s="180" t="str">
        <f t="shared" si="197"/>
        <v>.</v>
      </c>
      <c r="AW1020" s="180">
        <f>IFERROR(VLOOKUP(B1020,'Share, Heavy Weapons to Ukraine'!B:J,COLUMN('Share, Heavy Weapons to Ukraine'!C1030)-1,0),0)</f>
        <v>1</v>
      </c>
      <c r="AX1020" s="180">
        <f>VLOOKUP('Bilateral Assistance, MAIN DATA'!B1020,'Country Summary'!B:F,COLUMN('Country Summary'!C1033)-1,FALSE)</f>
        <v>0</v>
      </c>
      <c r="AY1020" s="180" t="str">
        <f>IF(AND(AD1020=1,D1020="Military",H1020&lt;&gt;"Not given")=TRUE,IF(SUMIFS(P:P,A:A,A1020)&gt;0,ABS((SUMIFS(P:P,A:A,A1020)/VLOOKUP("USD",'Exchange Rates'!B:C,2,0)))/S1020,"."),".")</f>
        <v>.</v>
      </c>
      <c r="AZ1020" s="182" t="str">
        <f>IF(AND(AD1020=1,D1020="Military",H1020&lt;&gt;"Not given")=TRUE,IF(SUMIFS(P:P,A:A,A1020)&gt;0,IF((ABS((SUMIFS(P:P,A:A,A1020)/VLOOKUP("USD",'Exchange Rates'!B:C,2,0)))/S1020)&gt;1,(SUMIFS(P:P,A:A,A1020)-S1020)/S1020,(S1020-SUMIFS(P:P,A:A,A1020))/SUMIFS(P:P,A:A,A1020)),"."),".")</f>
        <v>.</v>
      </c>
      <c r="BA1020" s="182"/>
      <c r="BB1020" s="182"/>
      <c r="BC1020" s="182"/>
      <c r="BD1020" s="182"/>
      <c r="BE1020" s="182"/>
      <c r="BF1020" s="182"/>
      <c r="BG1020" s="182"/>
      <c r="BH1020" s="182"/>
      <c r="BI1020" s="182"/>
      <c r="BJ1020" s="182"/>
      <c r="BK1020" s="182"/>
      <c r="BL1020" s="182"/>
      <c r="BM1020" s="182"/>
      <c r="BN1020" s="182"/>
      <c r="BO1020" s="182"/>
      <c r="BP1020" s="182"/>
      <c r="BQ1020" s="182"/>
      <c r="BR1020" s="182"/>
      <c r="BS1020" s="182"/>
    </row>
    <row r="1021" spans="1:71" ht="15.9" customHeight="1" x14ac:dyDescent="0.3">
      <c r="A1021" s="5" t="s">
        <v>2958</v>
      </c>
      <c r="B1021" s="5" t="s">
        <v>2864</v>
      </c>
      <c r="C1021" s="174">
        <v>44742</v>
      </c>
      <c r="D1021" s="5" t="s">
        <v>285</v>
      </c>
      <c r="E1021" s="5" t="s">
        <v>286</v>
      </c>
      <c r="F1021" s="175" t="s">
        <v>2959</v>
      </c>
      <c r="G1021" s="15" t="s">
        <v>2866</v>
      </c>
      <c r="H1021" s="176">
        <v>1000000000</v>
      </c>
      <c r="I1021" s="17" t="s">
        <v>2960</v>
      </c>
      <c r="J1021" s="113" t="str">
        <f>VLOOKUP($I1021,'Price List, Weapons &amp; Items'!B:C,2,0)</f>
        <v>Heavy weapon</v>
      </c>
      <c r="K1021" s="113" t="str">
        <f>IF(I1021=".",I1021,VLOOKUP($I1021,'Price List, Weapons &amp; Items'!B:D,3,0))</f>
        <v>105mm howitzer</v>
      </c>
      <c r="L1021" s="177">
        <f>VLOOKUP(I1021,'Price List, Weapons &amp; Items'!B:E,4,0)</f>
        <v>0</v>
      </c>
      <c r="M1021" s="542">
        <v>36</v>
      </c>
      <c r="N1021" s="542">
        <v>36</v>
      </c>
      <c r="O1021" s="543">
        <f>VLOOKUP($I1021,'Price List, Weapons &amp; Items'!B:G,6,0)</f>
        <v>1272482.2760025531</v>
      </c>
      <c r="P1021" s="176">
        <f t="shared" si="200"/>
        <v>45809361.936091907</v>
      </c>
      <c r="Q1021" s="176">
        <f t="shared" si="201"/>
        <v>45809361.936091907</v>
      </c>
      <c r="R1021" s="176">
        <f t="shared" si="198"/>
        <v>1000000000</v>
      </c>
      <c r="S1021" s="176">
        <f>IF(AND(AD1021=1,R1021&lt;&gt;".")=TRUE,R1021/VLOOKUP(G1021,'Exchange Rates'!B:C,2,0),IF(R1021=".",".",""))</f>
        <v>1160173561.96487</v>
      </c>
      <c r="T1021" s="176" t="str">
        <f>IF(AD1021=1,IF(AF1021="Value is not given at all",".",IF(AF1021="Value is given by the source",S1021,IF(AF1021="Value is calculated with prices",(IF(SUMIFS(Q:Q,A:A,A1021)&gt;0,SUMIFS(Q:Q,A:A,A1021),"."))/VLOOKUP("USD",'Exchange Rates'!B:C,2,0),"Error with coding"))),"")</f>
        <v>.</v>
      </c>
      <c r="U1021" s="177" t="s">
        <v>261</v>
      </c>
      <c r="V1021" s="584" t="s">
        <v>2961</v>
      </c>
      <c r="W1021" s="585" t="s">
        <v>2925</v>
      </c>
      <c r="X1021" s="546" t="s">
        <v>2957</v>
      </c>
      <c r="Y1021" s="683" t="s">
        <v>260</v>
      </c>
      <c r="Z1021" s="177">
        <v>0</v>
      </c>
      <c r="AA1021" s="180">
        <v>0</v>
      </c>
      <c r="AB1021" s="575" t="s">
        <v>2957</v>
      </c>
      <c r="AC1021" s="544" t="str">
        <f>""</f>
        <v/>
      </c>
      <c r="AD1021" s="183">
        <v>1</v>
      </c>
      <c r="AE1021" s="183" t="s">
        <v>264</v>
      </c>
      <c r="AF1021" s="183" t="s">
        <v>265</v>
      </c>
      <c r="AG1021" s="183">
        <v>1</v>
      </c>
      <c r="AH1021" s="183">
        <v>6</v>
      </c>
      <c r="AI1021" s="183">
        <v>0</v>
      </c>
      <c r="AJ1021" s="181">
        <f>VLOOKUP($I1021,'Price List, Weapons &amp; Items'!B:F,5,0)</f>
        <v>0</v>
      </c>
      <c r="AK1021" s="181">
        <f t="shared" si="202"/>
        <v>0</v>
      </c>
      <c r="AL1021" s="181">
        <f t="shared" si="203"/>
        <v>0</v>
      </c>
      <c r="AM1021" s="181">
        <f t="shared" si="204"/>
        <v>0</v>
      </c>
      <c r="AN1021" s="180" t="str">
        <f>VLOOKUP($I1021,'Price List, Weapons &amp; Items'!B:L,COLUMN('Price List, Weapons &amp; Items'!$J$11)-1,0)</f>
        <v>Contracts</v>
      </c>
      <c r="AO1021" s="180" t="str">
        <f>IF(I1021=".",".",VLOOKUP($I1021,'Price List, Weapons &amp; Items'!B:J,3,0))</f>
        <v>105mm howitzer</v>
      </c>
      <c r="AP1021" s="545" t="e">
        <f t="shared" ca="1" si="199"/>
        <v>#NAME?</v>
      </c>
      <c r="AQ1021" s="180">
        <f>VLOOKUP($I1021,'Price List, Weapons &amp; Items'!B:L,COLUMN('Price List, Weapons &amp; Items'!$L$11)-1,0)</f>
        <v>2</v>
      </c>
      <c r="AR1021" s="180">
        <f t="shared" si="205"/>
        <v>1</v>
      </c>
      <c r="AS1021" s="180">
        <f t="shared" si="206"/>
        <v>1</v>
      </c>
      <c r="AT1021" s="180">
        <f t="shared" si="195"/>
        <v>1</v>
      </c>
      <c r="AU1021" s="180" t="str">
        <f t="shared" si="196"/>
        <v>.</v>
      </c>
      <c r="AV1021" s="180" t="str">
        <f t="shared" si="197"/>
        <v>.</v>
      </c>
      <c r="AW1021" s="180">
        <f>IFERROR(VLOOKUP(B1021,'Share, Heavy Weapons to Ukraine'!B:J,COLUMN('Share, Heavy Weapons to Ukraine'!C1031)-1,0),0)</f>
        <v>1</v>
      </c>
      <c r="AX1021" s="180">
        <f>VLOOKUP('Bilateral Assistance, MAIN DATA'!B1021,'Country Summary'!B:F,COLUMN('Country Summary'!C1034)-1,FALSE)</f>
        <v>0</v>
      </c>
      <c r="AY1021" s="180">
        <f>IF(AND(AD1021=1,D1021="Military",H1021&lt;&gt;"Not given")=TRUE,IF(SUMIFS(P:P,A:A,A1021)&gt;0,ABS((SUMIFS(P:P,A:A,A1021)/VLOOKUP("USD",'Exchange Rates'!B:C,2,0)))/S1021,"."),".")</f>
        <v>0.22476893238678605</v>
      </c>
      <c r="AZ1021" s="182">
        <f>IF(AND(AD1021=1,D1021="Military",H1021&lt;&gt;"Not given")=TRUE,IF(SUMIFS(P:P,A:A,A1021)&gt;0,IF((ABS((SUMIFS(P:P,A:A,A1021)/VLOOKUP("USD",'Exchange Rates'!B:C,2,0)))/S1021)&gt;1,(SUMIFS(P:P,A:A,A1021)-S1021)/S1021,(S1021-SUMIFS(P:P,A:A,A1021))/SUMIFS(P:P,A:A,A1021)),"."),".")</f>
        <v>3.2371556525529055</v>
      </c>
      <c r="BA1021" s="182"/>
      <c r="BB1021" s="182"/>
      <c r="BC1021" s="182"/>
      <c r="BD1021" s="182"/>
      <c r="BE1021" s="182"/>
      <c r="BF1021" s="182"/>
      <c r="BG1021" s="182"/>
      <c r="BH1021" s="182"/>
      <c r="BI1021" s="182"/>
      <c r="BJ1021" s="182"/>
      <c r="BK1021" s="182"/>
      <c r="BL1021" s="182"/>
      <c r="BM1021" s="182"/>
      <c r="BN1021" s="182"/>
      <c r="BO1021" s="182"/>
      <c r="BP1021" s="182"/>
      <c r="BQ1021" s="182"/>
      <c r="BR1021" s="182"/>
      <c r="BS1021" s="182"/>
    </row>
    <row r="1022" spans="1:71" ht="15.9" customHeight="1" x14ac:dyDescent="0.3">
      <c r="A1022" s="5" t="s">
        <v>2958</v>
      </c>
      <c r="B1022" s="5" t="s">
        <v>2864</v>
      </c>
      <c r="C1022" s="174">
        <v>44742</v>
      </c>
      <c r="D1022" s="5" t="s">
        <v>285</v>
      </c>
      <c r="E1022" s="5" t="s">
        <v>286</v>
      </c>
      <c r="F1022" s="175" t="s">
        <v>2959</v>
      </c>
      <c r="G1022" s="15" t="s">
        <v>2866</v>
      </c>
      <c r="H1022" s="176">
        <v>1000000000</v>
      </c>
      <c r="I1022" s="17" t="s">
        <v>2946</v>
      </c>
      <c r="J1022" s="113" t="str">
        <f>VLOOKUP($I1022,'Price List, Weapons &amp; Items'!B:C,2,0)</f>
        <v>Ammunition for heavy weapon</v>
      </c>
      <c r="K1022" s="113" t="str">
        <f>IF(I1022=".",I1022,VLOOKUP($I1022,'Price List, Weapons &amp; Items'!B:D,3,0))</f>
        <v>howitzer ammunition</v>
      </c>
      <c r="L1022" s="177">
        <f>VLOOKUP(I1022,'Price List, Weapons &amp; Items'!B:E,4,0)</f>
        <v>0</v>
      </c>
      <c r="M1022" s="542">
        <v>50000</v>
      </c>
      <c r="N1022" s="542">
        <v>50000</v>
      </c>
      <c r="O1022" s="543">
        <f>VLOOKUP($I1022,'Price List, Weapons &amp; Items'!B:G,6,0)</f>
        <v>2000</v>
      </c>
      <c r="P1022" s="176">
        <f t="shared" si="200"/>
        <v>100000000</v>
      </c>
      <c r="Q1022" s="176">
        <f t="shared" si="201"/>
        <v>100000000</v>
      </c>
      <c r="R1022" s="176" t="str">
        <f t="shared" si="198"/>
        <v/>
      </c>
      <c r="S1022" s="176" t="str">
        <f>IF(AND(AD1022=1,R1022&lt;&gt;".")=TRUE,R1022/VLOOKUP(G1022,'Exchange Rates'!B:C,2,0),IF(R1022=".",".",""))</f>
        <v/>
      </c>
      <c r="T1022" s="176" t="str">
        <f>IF(AD1022=1,IF(AF1022="Value is not given at all",".",IF(AF1022="Value is given by the source",S1022,IF(AF1022="Value is calculated with prices",(IF(SUMIFS(Q:Q,A:A,A1022)&gt;0,SUMIFS(Q:Q,A:A,A1022),"."))/VLOOKUP("USD",'Exchange Rates'!B:C,2,0),"Error with coding"))),"")</f>
        <v/>
      </c>
      <c r="U1022" s="177" t="s">
        <v>261</v>
      </c>
      <c r="V1022" s="584" t="s">
        <v>2962</v>
      </c>
      <c r="W1022" s="585" t="s">
        <v>2925</v>
      </c>
      <c r="X1022" s="683" t="s">
        <v>260</v>
      </c>
      <c r="Y1022" s="683" t="s">
        <v>260</v>
      </c>
      <c r="Z1022" s="177">
        <v>0</v>
      </c>
      <c r="AA1022" s="180">
        <v>0</v>
      </c>
      <c r="AB1022" s="576" t="s">
        <v>2925</v>
      </c>
      <c r="AC1022" s="544" t="str">
        <f>""</f>
        <v/>
      </c>
      <c r="AD1022" s="183">
        <v>0</v>
      </c>
      <c r="AE1022" s="183" t="s">
        <v>264</v>
      </c>
      <c r="AF1022" s="183" t="s">
        <v>265</v>
      </c>
      <c r="AG1022" s="183">
        <v>1</v>
      </c>
      <c r="AH1022" s="183">
        <v>6</v>
      </c>
      <c r="AI1022" s="183">
        <v>0</v>
      </c>
      <c r="AJ1022" s="181">
        <f>VLOOKUP($I1022,'Price List, Weapons &amp; Items'!B:F,5,0)</f>
        <v>0</v>
      </c>
      <c r="AK1022" s="181">
        <f t="shared" si="202"/>
        <v>0</v>
      </c>
      <c r="AL1022" s="181">
        <f t="shared" si="203"/>
        <v>0</v>
      </c>
      <c r="AM1022" s="181">
        <f t="shared" si="204"/>
        <v>0</v>
      </c>
      <c r="AN1022" s="180" t="str">
        <f>VLOOKUP($I1022,'Price List, Weapons &amp; Items'!B:L,COLUMN('Price List, Weapons &amp; Items'!$J$11)-1,0)</f>
        <v>Media reports (incl. social media)</v>
      </c>
      <c r="AO1022" s="180" t="str">
        <f>IF(I1022=".",".",VLOOKUP($I1022,'Price List, Weapons &amp; Items'!B:J,3,0))</f>
        <v>howitzer ammunition</v>
      </c>
      <c r="AP1022" s="545" t="str">
        <f t="shared" ca="1" si="199"/>
        <v/>
      </c>
      <c r="AQ1022" s="180">
        <f>VLOOKUP($I1022,'Price List, Weapons &amp; Items'!B:L,COLUMN('Price List, Weapons &amp; Items'!$L$11)-1,0)</f>
        <v>2</v>
      </c>
      <c r="AR1022" s="180">
        <f t="shared" si="205"/>
        <v>1</v>
      </c>
      <c r="AS1022" s="180">
        <f t="shared" si="206"/>
        <v>1</v>
      </c>
      <c r="AT1022" s="180">
        <f t="shared" si="195"/>
        <v>1</v>
      </c>
      <c r="AU1022" s="180" t="str">
        <f t="shared" si="196"/>
        <v>.</v>
      </c>
      <c r="AV1022" s="180" t="str">
        <f t="shared" si="197"/>
        <v>.</v>
      </c>
      <c r="AW1022" s="180">
        <f>IFERROR(VLOOKUP(B1022,'Share, Heavy Weapons to Ukraine'!B:J,COLUMN('Share, Heavy Weapons to Ukraine'!C1032)-1,0),0)</f>
        <v>1</v>
      </c>
      <c r="AX1022" s="180">
        <f>VLOOKUP('Bilateral Assistance, MAIN DATA'!B1022,'Country Summary'!B:F,COLUMN('Country Summary'!C1035)-1,FALSE)</f>
        <v>0</v>
      </c>
      <c r="AY1022" s="180" t="str">
        <f>IF(AND(AD1022=1,D1022="Military",H1022&lt;&gt;"Not given")=TRUE,IF(SUMIFS(P:P,A:A,A1022)&gt;0,ABS((SUMIFS(P:P,A:A,A1022)/VLOOKUP("USD",'Exchange Rates'!B:C,2,0)))/S1022,"."),".")</f>
        <v>.</v>
      </c>
      <c r="AZ1022" s="182" t="str">
        <f>IF(AND(AD1022=1,D1022="Military",H1022&lt;&gt;"Not given")=TRUE,IF(SUMIFS(P:P,A:A,A1022)&gt;0,IF((ABS((SUMIFS(P:P,A:A,A1022)/VLOOKUP("USD",'Exchange Rates'!B:C,2,0)))/S1022)&gt;1,(SUMIFS(P:P,A:A,A1022)-S1022)/S1022,(S1022-SUMIFS(P:P,A:A,A1022))/SUMIFS(P:P,A:A,A1022)),"."),".")</f>
        <v>.</v>
      </c>
      <c r="BA1022" s="182"/>
      <c r="BB1022" s="182"/>
      <c r="BC1022" s="182"/>
      <c r="BD1022" s="182"/>
      <c r="BE1022" s="182"/>
      <c r="BF1022" s="182"/>
      <c r="BG1022" s="182"/>
      <c r="BH1022" s="182"/>
      <c r="BI1022" s="182"/>
      <c r="BJ1022" s="182"/>
      <c r="BK1022" s="182"/>
      <c r="BL1022" s="182"/>
      <c r="BM1022" s="182"/>
      <c r="BN1022" s="182"/>
      <c r="BO1022" s="182"/>
      <c r="BP1022" s="182"/>
      <c r="BQ1022" s="182"/>
      <c r="BR1022" s="182"/>
      <c r="BS1022" s="182"/>
    </row>
    <row r="1023" spans="1:71" ht="15.9" customHeight="1" x14ac:dyDescent="0.3">
      <c r="A1023" s="5" t="s">
        <v>2958</v>
      </c>
      <c r="B1023" s="5" t="s">
        <v>2864</v>
      </c>
      <c r="C1023" s="174">
        <v>44742</v>
      </c>
      <c r="D1023" s="5" t="s">
        <v>285</v>
      </c>
      <c r="E1023" s="5" t="s">
        <v>286</v>
      </c>
      <c r="F1023" s="175" t="s">
        <v>2959</v>
      </c>
      <c r="G1023" s="15" t="s">
        <v>2866</v>
      </c>
      <c r="H1023" s="176">
        <v>1000000000</v>
      </c>
      <c r="I1023" s="17" t="s">
        <v>2031</v>
      </c>
      <c r="J1023" s="113" t="str">
        <f>VLOOKUP($I1023,'Price List, Weapons &amp; Items'!B:C,2,0)</f>
        <v>Portable defence system</v>
      </c>
      <c r="K1023" s="113" t="str">
        <f>IF(I1023=".",I1023,VLOOKUP($I1023,'Price List, Weapons &amp; Items'!B:D,3,0))</f>
        <v>Light Anti-armor Weapon (LAW)</v>
      </c>
      <c r="L1023" s="177">
        <f>VLOOKUP(I1023,'Price List, Weapons &amp; Items'!B:E,4,0)</f>
        <v>0</v>
      </c>
      <c r="M1023" s="542">
        <v>1600</v>
      </c>
      <c r="N1023" s="542">
        <v>1600</v>
      </c>
      <c r="O1023" s="543">
        <f>VLOOKUP($I1023,'Price List, Weapons &amp; Items'!B:G,6,0)</f>
        <v>40000</v>
      </c>
      <c r="P1023" s="176">
        <f t="shared" si="200"/>
        <v>64000000</v>
      </c>
      <c r="Q1023" s="176">
        <f t="shared" si="201"/>
        <v>64000000</v>
      </c>
      <c r="R1023" s="176" t="str">
        <f t="shared" si="198"/>
        <v/>
      </c>
      <c r="S1023" s="176" t="str">
        <f>IF(AND(AD1023=1,R1023&lt;&gt;".")=TRUE,R1023/VLOOKUP(G1023,'Exchange Rates'!B:C,2,0),IF(R1023=".",".",""))</f>
        <v/>
      </c>
      <c r="T1023" s="176" t="str">
        <f>IF(AD1023=1,IF(AF1023="Value is not given at all",".",IF(AF1023="Value is given by the source",S1023,IF(AF1023="Value is calculated with prices",(IF(SUMIFS(Q:Q,A:A,A1023)&gt;0,SUMIFS(Q:Q,A:A,A1023),"."))/VLOOKUP("USD",'Exchange Rates'!B:C,2,0),"Error with coding"))),"")</f>
        <v/>
      </c>
      <c r="U1023" s="177" t="s">
        <v>261</v>
      </c>
      <c r="V1023" s="584" t="s">
        <v>2962</v>
      </c>
      <c r="W1023" s="585" t="s">
        <v>2925</v>
      </c>
      <c r="X1023" s="683" t="s">
        <v>260</v>
      </c>
      <c r="Y1023" s="683" t="s">
        <v>260</v>
      </c>
      <c r="Z1023" s="177">
        <v>0</v>
      </c>
      <c r="AA1023" s="180">
        <v>0</v>
      </c>
      <c r="AB1023" s="576" t="s">
        <v>2925</v>
      </c>
      <c r="AC1023" s="544" t="str">
        <f>""</f>
        <v/>
      </c>
      <c r="AD1023" s="183">
        <v>0</v>
      </c>
      <c r="AE1023" s="183" t="s">
        <v>264</v>
      </c>
      <c r="AF1023" s="183" t="s">
        <v>265</v>
      </c>
      <c r="AG1023" s="183">
        <v>1</v>
      </c>
      <c r="AH1023" s="183">
        <v>6</v>
      </c>
      <c r="AI1023" s="183">
        <v>0</v>
      </c>
      <c r="AJ1023" s="181">
        <f>VLOOKUP($I1023,'Price List, Weapons &amp; Items'!B:F,5,0)</f>
        <v>0</v>
      </c>
      <c r="AK1023" s="181">
        <f t="shared" si="202"/>
        <v>0</v>
      </c>
      <c r="AL1023" s="181">
        <f t="shared" si="203"/>
        <v>0</v>
      </c>
      <c r="AM1023" s="181">
        <f t="shared" si="204"/>
        <v>0</v>
      </c>
      <c r="AN1023" s="180" t="str">
        <f>VLOOKUP($I1023,'Price List, Weapons &amp; Items'!B:L,COLUMN('Price List, Weapons &amp; Items'!$J$11)-1,0)</f>
        <v>Media reports (incl. social media)</v>
      </c>
      <c r="AO1023" s="180" t="str">
        <f>IF(I1023=".",".",VLOOKUP($I1023,'Price List, Weapons &amp; Items'!B:J,3,0))</f>
        <v>Light Anti-armor Weapon (LAW)</v>
      </c>
      <c r="AP1023" s="545" t="str">
        <f t="shared" ca="1" si="199"/>
        <v/>
      </c>
      <c r="AQ1023" s="180">
        <f>VLOOKUP($I1023,'Price List, Weapons &amp; Items'!B:L,COLUMN('Price List, Weapons &amp; Items'!$L$11)-1,0)</f>
        <v>2</v>
      </c>
      <c r="AR1023" s="180">
        <f t="shared" si="205"/>
        <v>1</v>
      </c>
      <c r="AS1023" s="180">
        <f t="shared" si="206"/>
        <v>1</v>
      </c>
      <c r="AT1023" s="180">
        <f t="shared" si="195"/>
        <v>1</v>
      </c>
      <c r="AU1023" s="180" t="str">
        <f t="shared" si="196"/>
        <v>.</v>
      </c>
      <c r="AV1023" s="180" t="str">
        <f t="shared" si="197"/>
        <v>.</v>
      </c>
      <c r="AW1023" s="180">
        <f>IFERROR(VLOOKUP(B1023,'Share, Heavy Weapons to Ukraine'!B:J,COLUMN('Share, Heavy Weapons to Ukraine'!C1033)-1,0),0)</f>
        <v>1</v>
      </c>
      <c r="AX1023" s="180">
        <f>VLOOKUP('Bilateral Assistance, MAIN DATA'!B1023,'Country Summary'!B:F,COLUMN('Country Summary'!C1036)-1,FALSE)</f>
        <v>0</v>
      </c>
      <c r="AY1023" s="180" t="str">
        <f>IF(AND(AD1023=1,D1023="Military",H1023&lt;&gt;"Not given")=TRUE,IF(SUMIFS(P:P,A:A,A1023)&gt;0,ABS((SUMIFS(P:P,A:A,A1023)/VLOOKUP("USD",'Exchange Rates'!B:C,2,0)))/S1023,"."),".")</f>
        <v>.</v>
      </c>
      <c r="AZ1023" s="182" t="str">
        <f>IF(AND(AD1023=1,D1023="Military",H1023&lt;&gt;"Not given")=TRUE,IF(SUMIFS(P:P,A:A,A1023)&gt;0,IF((ABS((SUMIFS(P:P,A:A,A1023)/VLOOKUP("USD",'Exchange Rates'!B:C,2,0)))/S1023)&gt;1,(SUMIFS(P:P,A:A,A1023)-S1023)/S1023,(S1023-SUMIFS(P:P,A:A,A1023))/SUMIFS(P:P,A:A,A1023)),"."),".")</f>
        <v>.</v>
      </c>
      <c r="BA1023" s="182"/>
      <c r="BB1023" s="182"/>
      <c r="BC1023" s="182"/>
      <c r="BD1023" s="182"/>
      <c r="BE1023" s="182"/>
      <c r="BF1023" s="182"/>
      <c r="BG1023" s="182"/>
      <c r="BH1023" s="182"/>
      <c r="BI1023" s="182"/>
      <c r="BJ1023" s="182"/>
      <c r="BK1023" s="182"/>
      <c r="BL1023" s="182"/>
      <c r="BM1023" s="182"/>
      <c r="BN1023" s="182"/>
      <c r="BO1023" s="182"/>
      <c r="BP1023" s="182"/>
      <c r="BQ1023" s="182"/>
      <c r="BR1023" s="182"/>
      <c r="BS1023" s="182"/>
    </row>
    <row r="1024" spans="1:71" ht="15.9" customHeight="1" x14ac:dyDescent="0.3">
      <c r="A1024" s="5" t="s">
        <v>2958</v>
      </c>
      <c r="B1024" s="5" t="s">
        <v>2864</v>
      </c>
      <c r="C1024" s="174">
        <v>44742</v>
      </c>
      <c r="D1024" s="5" t="s">
        <v>285</v>
      </c>
      <c r="E1024" s="5" t="s">
        <v>286</v>
      </c>
      <c r="F1024" s="175" t="s">
        <v>2959</v>
      </c>
      <c r="G1024" s="15" t="s">
        <v>2866</v>
      </c>
      <c r="H1024" s="176">
        <v>1000000000</v>
      </c>
      <c r="I1024" s="190" t="s">
        <v>2926</v>
      </c>
      <c r="J1024" s="113" t="str">
        <f>VLOOKUP($I1024,'Price List, Weapons &amp; Items'!B:C,2,0)</f>
        <v>Aviation and drones</v>
      </c>
      <c r="K1024" s="113" t="str">
        <f>IF(I1024=".",I1024,VLOOKUP($I1024,'Price List, Weapons &amp; Items'!B:D,3,0))</f>
        <v>drone</v>
      </c>
      <c r="L1024" s="177">
        <f>VLOOKUP(I1024,'Price List, Weapons &amp; Items'!B:E,4,0)</f>
        <v>0</v>
      </c>
      <c r="M1024" s="542">
        <v>200</v>
      </c>
      <c r="N1024" s="542" t="s">
        <v>270</v>
      </c>
      <c r="O1024" s="543">
        <f>VLOOKUP($I1024,'Price List, Weapons &amp; Items'!B:G,6,0)</f>
        <v>6000</v>
      </c>
      <c r="P1024" s="176">
        <f t="shared" si="200"/>
        <v>1200000</v>
      </c>
      <c r="Q1024" s="176" t="str">
        <f t="shared" si="201"/>
        <v>.</v>
      </c>
      <c r="R1024" s="176" t="str">
        <f t="shared" si="198"/>
        <v/>
      </c>
      <c r="S1024" s="176" t="str">
        <f>IF(AND(AD1024=1,R1024&lt;&gt;".")=TRUE,R1024/VLOOKUP(G1024,'Exchange Rates'!B:C,2,0),IF(R1024=".",".",""))</f>
        <v/>
      </c>
      <c r="T1024" s="176" t="str">
        <f>IF(AD1024=1,IF(AF1024="Value is not given at all",".",IF(AF1024="Value is given by the source",S1024,IF(AF1024="Value is calculated with prices",(IF(SUMIFS(Q:Q,A:A,A1024)&gt;0,SUMIFS(Q:Q,A:A,A1024),"."))/VLOOKUP("USD",'Exchange Rates'!B:C,2,0),"Error with coding"))),"")</f>
        <v/>
      </c>
      <c r="U1024" s="177" t="s">
        <v>261</v>
      </c>
      <c r="V1024" s="584" t="s">
        <v>2962</v>
      </c>
      <c r="W1024" s="585" t="s">
        <v>2925</v>
      </c>
      <c r="X1024" s="683" t="s">
        <v>260</v>
      </c>
      <c r="Y1024" s="683" t="s">
        <v>260</v>
      </c>
      <c r="Z1024" s="177">
        <v>0</v>
      </c>
      <c r="AA1024" s="180">
        <v>0</v>
      </c>
      <c r="AB1024" s="184" t="s">
        <v>260</v>
      </c>
      <c r="AC1024" s="544" t="str">
        <f>""</f>
        <v/>
      </c>
      <c r="AD1024" s="183">
        <v>0</v>
      </c>
      <c r="AE1024" s="183" t="s">
        <v>264</v>
      </c>
      <c r="AF1024" s="183" t="s">
        <v>265</v>
      </c>
      <c r="AG1024" s="183">
        <v>1</v>
      </c>
      <c r="AH1024" s="183">
        <v>6</v>
      </c>
      <c r="AI1024" s="183">
        <v>0</v>
      </c>
      <c r="AJ1024" s="181">
        <f>VLOOKUP($I1024,'Price List, Weapons &amp; Items'!B:F,5,0)</f>
        <v>0</v>
      </c>
      <c r="AK1024" s="181">
        <f t="shared" si="202"/>
        <v>0</v>
      </c>
      <c r="AL1024" s="181">
        <f t="shared" si="203"/>
        <v>0</v>
      </c>
      <c r="AM1024" s="181">
        <f t="shared" si="204"/>
        <v>0</v>
      </c>
      <c r="AN1024" s="180" t="str">
        <f>VLOOKUP($I1024,'Price List, Weapons &amp; Items'!B:L,COLUMN('Price List, Weapons &amp; Items'!$J$11)-1,0)</f>
        <v>Miscellaneous</v>
      </c>
      <c r="AO1024" s="180" t="str">
        <f>IF(I1024=".",".",VLOOKUP($I1024,'Price List, Weapons &amp; Items'!B:J,3,0))</f>
        <v>drone</v>
      </c>
      <c r="AP1024" s="545" t="str">
        <f t="shared" ca="1" si="199"/>
        <v/>
      </c>
      <c r="AQ1024" s="180">
        <f>VLOOKUP($I1024,'Price List, Weapons &amp; Items'!B:L,COLUMN('Price List, Weapons &amp; Items'!$L$11)-1,0)</f>
        <v>2</v>
      </c>
      <c r="AR1024" s="180">
        <f t="shared" si="205"/>
        <v>1</v>
      </c>
      <c r="AS1024" s="180">
        <f t="shared" si="206"/>
        <v>1</v>
      </c>
      <c r="AT1024" s="180">
        <f t="shared" ref="AT1024:AT1087" si="207">IFERROR(IF(VALUE(TEXT(C1024,"mm"))=AH1024,".",IF(TEXT(C1024,"mm")="01",".",1)),"Value is not in date format")</f>
        <v>1</v>
      </c>
      <c r="AU1024" s="180" t="str">
        <f t="shared" si="196"/>
        <v>.</v>
      </c>
      <c r="AV1024" s="180" t="str">
        <f t="shared" si="197"/>
        <v>.</v>
      </c>
      <c r="AW1024" s="180">
        <f>IFERROR(VLOOKUP(B1024,'Share, Heavy Weapons to Ukraine'!B:J,COLUMN('Share, Heavy Weapons to Ukraine'!C1034)-1,0),0)</f>
        <v>1</v>
      </c>
      <c r="AX1024" s="180">
        <f>VLOOKUP('Bilateral Assistance, MAIN DATA'!B1024,'Country Summary'!B:F,COLUMN('Country Summary'!C1037)-1,FALSE)</f>
        <v>0</v>
      </c>
      <c r="AY1024" s="180" t="str">
        <f>IF(AND(AD1024=1,D1024="Military",H1024&lt;&gt;"Not given")=TRUE,IF(SUMIFS(P:P,A:A,A1024)&gt;0,ABS((SUMIFS(P:P,A:A,A1024)/VLOOKUP("USD",'Exchange Rates'!B:C,2,0)))/S1024,"."),".")</f>
        <v>.</v>
      </c>
      <c r="AZ1024" s="182" t="str">
        <f>IF(AND(AD1024=1,D1024="Military",H1024&lt;&gt;"Not given")=TRUE,IF(SUMIFS(P:P,A:A,A1024)&gt;0,IF((ABS((SUMIFS(P:P,A:A,A1024)/VLOOKUP("USD",'Exchange Rates'!B:C,2,0)))/S1024)&gt;1,(SUMIFS(P:P,A:A,A1024)-S1024)/S1024,(S1024-SUMIFS(P:P,A:A,A1024))/SUMIFS(P:P,A:A,A1024)),"."),".")</f>
        <v>.</v>
      </c>
      <c r="BA1024" s="182"/>
      <c r="BB1024" s="182"/>
      <c r="BC1024" s="182"/>
      <c r="BD1024" s="182"/>
      <c r="BE1024" s="182"/>
      <c r="BF1024" s="182"/>
      <c r="BG1024" s="182"/>
      <c r="BH1024" s="182"/>
      <c r="BI1024" s="182"/>
      <c r="BJ1024" s="182"/>
      <c r="BK1024" s="182"/>
      <c r="BL1024" s="182"/>
      <c r="BM1024" s="182"/>
      <c r="BN1024" s="182"/>
      <c r="BO1024" s="182"/>
      <c r="BP1024" s="182"/>
      <c r="BQ1024" s="182"/>
      <c r="BR1024" s="182"/>
      <c r="BS1024" s="182"/>
    </row>
    <row r="1025" spans="1:71" ht="15.9" customHeight="1" x14ac:dyDescent="0.3">
      <c r="A1025" s="5" t="s">
        <v>2958</v>
      </c>
      <c r="B1025" s="5" t="s">
        <v>2864</v>
      </c>
      <c r="C1025" s="174">
        <v>44742</v>
      </c>
      <c r="D1025" s="5" t="s">
        <v>285</v>
      </c>
      <c r="E1025" s="5" t="s">
        <v>286</v>
      </c>
      <c r="F1025" s="175" t="s">
        <v>2959</v>
      </c>
      <c r="G1025" s="15" t="s">
        <v>2866</v>
      </c>
      <c r="H1025" s="176">
        <v>1000000000</v>
      </c>
      <c r="I1025" s="17" t="s">
        <v>2963</v>
      </c>
      <c r="J1025" s="113" t="str">
        <f>VLOOKUP($I1025,'Price List, Weapons &amp; Items'!B:C,2,0)</f>
        <v>Aviation and drones</v>
      </c>
      <c r="K1025" s="113" t="str">
        <f>IF(I1025=".",I1025,VLOOKUP($I1025,'Price List, Weapons &amp; Items'!B:D,3,0))</f>
        <v>drone</v>
      </c>
      <c r="L1025" s="177">
        <f>VLOOKUP(I1025,'Price List, Weapons &amp; Items'!B:E,4,0)</f>
        <v>0</v>
      </c>
      <c r="M1025" s="542">
        <v>200</v>
      </c>
      <c r="N1025" s="542" t="s">
        <v>270</v>
      </c>
      <c r="O1025" s="543">
        <f>VLOOKUP($I1025,'Price List, Weapons &amp; Items'!B:G,6,0)</f>
        <v>75265.911143968755</v>
      </c>
      <c r="P1025" s="176">
        <f t="shared" si="200"/>
        <v>15053182.228793751</v>
      </c>
      <c r="Q1025" s="176" t="str">
        <f t="shared" si="201"/>
        <v>.</v>
      </c>
      <c r="R1025" s="176" t="str">
        <f t="shared" si="198"/>
        <v/>
      </c>
      <c r="S1025" s="176" t="str">
        <f>IF(AND(AD1025=1,R1025&lt;&gt;".")=TRUE,R1025/VLOOKUP(G1025,'Exchange Rates'!B:C,2,0),IF(R1025=".",".",""))</f>
        <v/>
      </c>
      <c r="T1025" s="176" t="str">
        <f>IF(AD1025=1,IF(AF1025="Value is not given at all",".",IF(AF1025="Value is given by the source",S1025,IF(AF1025="Value is calculated with prices",(IF(SUMIFS(Q:Q,A:A,A1025)&gt;0,SUMIFS(Q:Q,A:A,A1025),"."))/VLOOKUP("USD",'Exchange Rates'!B:C,2,0),"Error with coding"))),"")</f>
        <v/>
      </c>
      <c r="U1025" s="177" t="s">
        <v>261</v>
      </c>
      <c r="V1025" s="584" t="s">
        <v>2962</v>
      </c>
      <c r="W1025" s="585" t="s">
        <v>2925</v>
      </c>
      <c r="X1025" s="683" t="s">
        <v>260</v>
      </c>
      <c r="Y1025" s="683" t="s">
        <v>260</v>
      </c>
      <c r="Z1025" s="177">
        <v>0</v>
      </c>
      <c r="AA1025" s="180">
        <v>0</v>
      </c>
      <c r="AB1025" s="184" t="s">
        <v>260</v>
      </c>
      <c r="AC1025" s="544" t="str">
        <f>""</f>
        <v/>
      </c>
      <c r="AD1025" s="183">
        <v>0</v>
      </c>
      <c r="AE1025" s="183" t="s">
        <v>264</v>
      </c>
      <c r="AF1025" s="183" t="s">
        <v>265</v>
      </c>
      <c r="AG1025" s="183">
        <v>1</v>
      </c>
      <c r="AH1025" s="183">
        <v>6</v>
      </c>
      <c r="AI1025" s="183">
        <v>0</v>
      </c>
      <c r="AJ1025" s="181">
        <f>VLOOKUP($I1025,'Price List, Weapons &amp; Items'!B:F,5,0)</f>
        <v>0</v>
      </c>
      <c r="AK1025" s="181">
        <f t="shared" si="202"/>
        <v>0</v>
      </c>
      <c r="AL1025" s="181">
        <f t="shared" si="203"/>
        <v>0</v>
      </c>
      <c r="AM1025" s="181">
        <f t="shared" si="204"/>
        <v>0</v>
      </c>
      <c r="AN1025" s="180" t="str">
        <f>VLOOKUP($I1025,'Price List, Weapons &amp; Items'!B:L,COLUMN('Price List, Weapons &amp; Items'!$J$11)-1,0)</f>
        <v>Media reports (incl. social media)</v>
      </c>
      <c r="AO1025" s="180" t="str">
        <f>IF(I1025=".",".",VLOOKUP($I1025,'Price List, Weapons &amp; Items'!B:J,3,0))</f>
        <v>drone</v>
      </c>
      <c r="AP1025" s="545" t="str">
        <f t="shared" ca="1" si="199"/>
        <v/>
      </c>
      <c r="AQ1025" s="180">
        <f>VLOOKUP($I1025,'Price List, Weapons &amp; Items'!B:L,COLUMN('Price List, Weapons &amp; Items'!$L$11)-1,0)</f>
        <v>2</v>
      </c>
      <c r="AR1025" s="180">
        <f t="shared" si="205"/>
        <v>1</v>
      </c>
      <c r="AS1025" s="180">
        <f t="shared" si="206"/>
        <v>1</v>
      </c>
      <c r="AT1025" s="180">
        <f t="shared" si="207"/>
        <v>1</v>
      </c>
      <c r="AU1025" s="180" t="str">
        <f t="shared" si="196"/>
        <v>.</v>
      </c>
      <c r="AV1025" s="180" t="str">
        <f t="shared" si="197"/>
        <v>.</v>
      </c>
      <c r="AW1025" s="180">
        <f>IFERROR(VLOOKUP(B1025,'Share, Heavy Weapons to Ukraine'!B:J,COLUMN('Share, Heavy Weapons to Ukraine'!C1035)-1,0),0)</f>
        <v>1</v>
      </c>
      <c r="AX1025" s="180">
        <f>VLOOKUP('Bilateral Assistance, MAIN DATA'!B1025,'Country Summary'!B:F,COLUMN('Country Summary'!C1038)-1,FALSE)</f>
        <v>0</v>
      </c>
      <c r="AY1025" s="180" t="str">
        <f>IF(AND(AD1025=1,D1025="Military",H1025&lt;&gt;"Not given")=TRUE,IF(SUMIFS(P:P,A:A,A1025)&gt;0,ABS((SUMIFS(P:P,A:A,A1025)/VLOOKUP("USD",'Exchange Rates'!B:C,2,0)))/S1025,"."),".")</f>
        <v>.</v>
      </c>
      <c r="AZ1025" s="182" t="str">
        <f>IF(AND(AD1025=1,D1025="Military",H1025&lt;&gt;"Not given")=TRUE,IF(SUMIFS(P:P,A:A,A1025)&gt;0,IF((ABS((SUMIFS(P:P,A:A,A1025)/VLOOKUP("USD",'Exchange Rates'!B:C,2,0)))/S1025)&gt;1,(SUMIFS(P:P,A:A,A1025)-S1025)/S1025,(S1025-SUMIFS(P:P,A:A,A1025))/SUMIFS(P:P,A:A,A1025)),"."),".")</f>
        <v>.</v>
      </c>
      <c r="BA1025" s="182"/>
      <c r="BB1025" s="182"/>
      <c r="BC1025" s="182"/>
      <c r="BD1025" s="182"/>
      <c r="BE1025" s="182"/>
      <c r="BF1025" s="182"/>
      <c r="BG1025" s="182"/>
      <c r="BH1025" s="182"/>
      <c r="BI1025" s="182"/>
      <c r="BJ1025" s="182"/>
      <c r="BK1025" s="182"/>
      <c r="BL1025" s="182"/>
      <c r="BM1025" s="182"/>
      <c r="BN1025" s="182"/>
      <c r="BO1025" s="182"/>
      <c r="BP1025" s="182"/>
      <c r="BQ1025" s="182"/>
      <c r="BR1025" s="182"/>
      <c r="BS1025" s="182"/>
    </row>
    <row r="1026" spans="1:71" ht="15.9" customHeight="1" x14ac:dyDescent="0.3">
      <c r="A1026" s="5" t="s">
        <v>2958</v>
      </c>
      <c r="B1026" s="5" t="s">
        <v>2864</v>
      </c>
      <c r="C1026" s="174">
        <v>44784</v>
      </c>
      <c r="D1026" s="5" t="s">
        <v>285</v>
      </c>
      <c r="E1026" s="5" t="s">
        <v>286</v>
      </c>
      <c r="F1026" s="175" t="s">
        <v>2964</v>
      </c>
      <c r="G1026" s="15" t="s">
        <v>2866</v>
      </c>
      <c r="H1026" s="176">
        <v>1000000000</v>
      </c>
      <c r="I1026" s="17" t="s">
        <v>1273</v>
      </c>
      <c r="J1026" s="113" t="str">
        <f>VLOOKUP($I1026,'Price List, Weapons &amp; Items'!B:C,2,0)</f>
        <v>Heavy weapon</v>
      </c>
      <c r="K1026" s="113" t="str">
        <f>IF(I1026=".",I1026,VLOOKUP($I1026,'Price List, Weapons &amp; Items'!B:D,3,0))</f>
        <v>227mm MLRS</v>
      </c>
      <c r="L1026" s="177">
        <f>VLOOKUP(I1026,'Price List, Weapons &amp; Items'!B:E,4,0)</f>
        <v>0</v>
      </c>
      <c r="M1026" s="542">
        <v>3</v>
      </c>
      <c r="N1026" s="542" t="s">
        <v>270</v>
      </c>
      <c r="O1026" s="543">
        <f>VLOOKUP($I1026,'Price List, Weapons &amp; Items'!B:G,6,0)</f>
        <v>13615659.128881287</v>
      </c>
      <c r="P1026" s="176">
        <f t="shared" si="200"/>
        <v>40846977.386643857</v>
      </c>
      <c r="Q1026" s="176" t="str">
        <f t="shared" si="201"/>
        <v>.</v>
      </c>
      <c r="R1026" s="176" t="str">
        <f t="shared" si="198"/>
        <v/>
      </c>
      <c r="S1026" s="176" t="str">
        <f>IF(AND(AD1026=1,R1026&lt;&gt;".")=TRUE,R1026/VLOOKUP(G1026,'Exchange Rates'!B:C,2,0),IF(R1026=".",".",""))</f>
        <v/>
      </c>
      <c r="T1026" s="176" t="str">
        <f>IF(AD1026=1,IF(AF1026="Value is not given at all",".",IF(AF1026="Value is given by the source",S1026,IF(AF1026="Value is calculated with prices",(IF(SUMIFS(Q:Q,A:A,A1026)&gt;0,SUMIFS(Q:Q,A:A,A1026),"."))/VLOOKUP("USD",'Exchange Rates'!B:C,2,0),"Error with coding"))),"")</f>
        <v/>
      </c>
      <c r="U1026" s="177" t="s">
        <v>261</v>
      </c>
      <c r="V1026" s="584" t="s">
        <v>2965</v>
      </c>
      <c r="W1026" s="584" t="s">
        <v>2966</v>
      </c>
      <c r="X1026" s="546" t="s">
        <v>2967</v>
      </c>
      <c r="Y1026" s="175" t="s">
        <v>260</v>
      </c>
      <c r="Z1026" s="177">
        <v>0</v>
      </c>
      <c r="AA1026" s="180">
        <v>0</v>
      </c>
      <c r="AB1026" s="563" t="s">
        <v>2968</v>
      </c>
      <c r="AC1026" s="544" t="str">
        <f>""</f>
        <v/>
      </c>
      <c r="AD1026" s="183">
        <v>0</v>
      </c>
      <c r="AE1026" s="183" t="s">
        <v>264</v>
      </c>
      <c r="AF1026" s="183" t="s">
        <v>265</v>
      </c>
      <c r="AG1026" s="183">
        <v>1</v>
      </c>
      <c r="AH1026" s="183">
        <v>8</v>
      </c>
      <c r="AI1026" s="183">
        <v>0</v>
      </c>
      <c r="AJ1026" s="181">
        <f>VLOOKUP($I1026,'Price List, Weapons &amp; Items'!B:F,5,0)</f>
        <v>1</v>
      </c>
      <c r="AK1026" s="181">
        <f t="shared" si="202"/>
        <v>0</v>
      </c>
      <c r="AL1026" s="181">
        <f t="shared" si="203"/>
        <v>1</v>
      </c>
      <c r="AM1026" s="181">
        <f t="shared" si="204"/>
        <v>0</v>
      </c>
      <c r="AN1026" s="180" t="str">
        <f>VLOOKUP($I1026,'Price List, Weapons &amp; Items'!B:L,COLUMN('Price List, Weapons &amp; Items'!$J$11)-1,0)</f>
        <v>Contracts</v>
      </c>
      <c r="AO1026" s="180" t="str">
        <f>IF(I1026=".",".",VLOOKUP($I1026,'Price List, Weapons &amp; Items'!B:J,3,0))</f>
        <v>227mm MLRS</v>
      </c>
      <c r="AP1026" s="545" t="str">
        <f t="shared" ca="1" si="199"/>
        <v/>
      </c>
      <c r="AQ1026" s="180">
        <f>VLOOKUP($I1026,'Price List, Weapons &amp; Items'!B:L,COLUMN('Price List, Weapons &amp; Items'!$L$11)-1,0)</f>
        <v>2</v>
      </c>
      <c r="AR1026" s="180">
        <f t="shared" si="205"/>
        <v>1</v>
      </c>
      <c r="AS1026" s="180">
        <f t="shared" si="206"/>
        <v>1</v>
      </c>
      <c r="AT1026" s="180">
        <f t="shared" si="207"/>
        <v>1</v>
      </c>
      <c r="AU1026" s="180" t="str">
        <f t="shared" ref="AU1026:AU1089" si="208">IF(AND(A1026=A1025,C1026=C1025)=TRUE,IF(F1026=F1025,".","1"),".")</f>
        <v>.</v>
      </c>
      <c r="AV1026" s="180" t="str">
        <f t="shared" ref="AV1026:AV1089" si="209">IF(T1026&lt;&gt;".",IF(T1026&gt;S1026,1,"."),".")</f>
        <v>.</v>
      </c>
      <c r="AW1026" s="180">
        <f>IFERROR(VLOOKUP(B1026,'Share, Heavy Weapons to Ukraine'!B:J,COLUMN('Share, Heavy Weapons to Ukraine'!C1036)-1,0),0)</f>
        <v>1</v>
      </c>
      <c r="AX1026" s="180">
        <f>VLOOKUP('Bilateral Assistance, MAIN DATA'!B1026,'Country Summary'!B:F,COLUMN('Country Summary'!C1039)-1,FALSE)</f>
        <v>0</v>
      </c>
      <c r="AY1026" s="180" t="str">
        <f>IF(AND(AD1026=1,D1026="Military",H1026&lt;&gt;"Not given")=TRUE,IF(SUMIFS(P:P,A:A,A1026)&gt;0,ABS((SUMIFS(P:P,A:A,A1026)/VLOOKUP("USD",'Exchange Rates'!B:C,2,0)))/S1026,"."),".")</f>
        <v>.</v>
      </c>
      <c r="AZ1026" s="182" t="str">
        <f>IF(AND(AD1026=1,D1026="Military",H1026&lt;&gt;"Not given")=TRUE,IF(SUMIFS(P:P,A:A,A1026)&gt;0,IF((ABS((SUMIFS(P:P,A:A,A1026)/VLOOKUP("USD",'Exchange Rates'!B:C,2,0)))/S1026)&gt;1,(SUMIFS(P:P,A:A,A1026)-S1026)/S1026,(S1026-SUMIFS(P:P,A:A,A1026))/SUMIFS(P:P,A:A,A1026)),"."),".")</f>
        <v>.</v>
      </c>
      <c r="BA1026" s="182"/>
      <c r="BB1026" s="182"/>
      <c r="BC1026" s="182"/>
      <c r="BD1026" s="182"/>
      <c r="BE1026" s="182"/>
      <c r="BF1026" s="182"/>
      <c r="BG1026" s="182"/>
      <c r="BH1026" s="182"/>
      <c r="BI1026" s="182"/>
      <c r="BJ1026" s="182"/>
      <c r="BK1026" s="182"/>
      <c r="BL1026" s="182"/>
      <c r="BM1026" s="182"/>
      <c r="BN1026" s="182"/>
      <c r="BO1026" s="182"/>
      <c r="BP1026" s="182"/>
      <c r="BQ1026" s="182"/>
      <c r="BR1026" s="182"/>
      <c r="BS1026" s="182"/>
    </row>
    <row r="1027" spans="1:71" ht="15.9" customHeight="1" x14ac:dyDescent="0.3">
      <c r="A1027" s="5" t="s">
        <v>2958</v>
      </c>
      <c r="B1027" s="5" t="s">
        <v>2864</v>
      </c>
      <c r="C1027" s="174">
        <v>44784</v>
      </c>
      <c r="D1027" s="5" t="s">
        <v>285</v>
      </c>
      <c r="E1027" s="5" t="s">
        <v>286</v>
      </c>
      <c r="F1027" s="175" t="s">
        <v>2964</v>
      </c>
      <c r="G1027" s="15" t="s">
        <v>2866</v>
      </c>
      <c r="H1027" s="176">
        <v>1000000000</v>
      </c>
      <c r="I1027" s="17" t="s">
        <v>2952</v>
      </c>
      <c r="J1027" s="113" t="str">
        <f>VLOOKUP($I1027,'Price List, Weapons &amp; Items'!B:C,2,0)</f>
        <v>Ammunition for heavy weapon</v>
      </c>
      <c r="K1027" s="113" t="str">
        <f>IF(I1027=".",I1027,VLOOKUP($I1027,'Price List, Weapons &amp; Items'!B:D,3,0))</f>
        <v>298mm MLRS ammunition</v>
      </c>
      <c r="L1027" s="177">
        <f>VLOOKUP(I1027,'Price List, Weapons &amp; Items'!B:E,4,0)</f>
        <v>0</v>
      </c>
      <c r="M1027" s="542" t="s">
        <v>270</v>
      </c>
      <c r="N1027" s="542" t="s">
        <v>270</v>
      </c>
      <c r="O1027" s="543">
        <f>VLOOKUP($I1027,'Price List, Weapons &amp; Items'!B:G,6,0)</f>
        <v>625000</v>
      </c>
      <c r="P1027" s="176" t="str">
        <f t="shared" si="200"/>
        <v>.</v>
      </c>
      <c r="Q1027" s="176" t="str">
        <f t="shared" si="201"/>
        <v>.</v>
      </c>
      <c r="R1027" s="176" t="str">
        <f t="shared" si="198"/>
        <v/>
      </c>
      <c r="S1027" s="176" t="str">
        <f>IF(AND(AD1027=1,R1027&lt;&gt;".")=TRUE,R1027/VLOOKUP(G1027,'Exchange Rates'!B:C,2,0),IF(R1027=".",".",""))</f>
        <v/>
      </c>
      <c r="T1027" s="176" t="str">
        <f>IF(AD1027=1,IF(AF1027="Value is not given at all",".",IF(AF1027="Value is given by the source",S1027,IF(AF1027="Value is calculated with prices",(IF(SUMIFS(Q:Q,A:A,A1027)&gt;0,SUMIFS(Q:Q,A:A,A1027),"."))/VLOOKUP("USD",'Exchange Rates'!B:C,2,0),"Error with coding"))),"")</f>
        <v/>
      </c>
      <c r="U1027" s="177" t="s">
        <v>261</v>
      </c>
      <c r="V1027" s="584" t="s">
        <v>2969</v>
      </c>
      <c r="W1027" s="584" t="s">
        <v>2966</v>
      </c>
      <c r="X1027" s="175" t="s">
        <v>260</v>
      </c>
      <c r="Y1027" s="175" t="s">
        <v>260</v>
      </c>
      <c r="Z1027" s="177">
        <v>0</v>
      </c>
      <c r="AA1027" s="180">
        <v>0</v>
      </c>
      <c r="AB1027" s="184" t="s">
        <v>260</v>
      </c>
      <c r="AC1027" s="544" t="str">
        <f>""</f>
        <v/>
      </c>
      <c r="AD1027" s="183">
        <v>0</v>
      </c>
      <c r="AE1027" s="183" t="s">
        <v>264</v>
      </c>
      <c r="AF1027" s="183" t="s">
        <v>265</v>
      </c>
      <c r="AG1027" s="183">
        <v>1</v>
      </c>
      <c r="AH1027" s="183">
        <v>8</v>
      </c>
      <c r="AI1027" s="183">
        <v>0</v>
      </c>
      <c r="AJ1027" s="181">
        <f>VLOOKUP($I1027,'Price List, Weapons &amp; Items'!B:F,5,0)</f>
        <v>0</v>
      </c>
      <c r="AK1027" s="181">
        <f t="shared" si="202"/>
        <v>0</v>
      </c>
      <c r="AL1027" s="181">
        <f t="shared" si="203"/>
        <v>0</v>
      </c>
      <c r="AM1027" s="181">
        <f t="shared" si="204"/>
        <v>0</v>
      </c>
      <c r="AN1027" s="180" t="str">
        <f>VLOOKUP($I1027,'Price List, Weapons &amp; Items'!B:L,COLUMN('Price List, Weapons &amp; Items'!$J$11)-1,0)</f>
        <v>Government information</v>
      </c>
      <c r="AO1027" s="180" t="str">
        <f>IF(I1027=".",".",VLOOKUP($I1027,'Price List, Weapons &amp; Items'!B:J,3,0))</f>
        <v>298mm MLRS ammunition</v>
      </c>
      <c r="AP1027" s="545" t="str">
        <f t="shared" ca="1" si="199"/>
        <v/>
      </c>
      <c r="AQ1027" s="180" t="str">
        <f>VLOOKUP($I1027,'Price List, Weapons &amp; Items'!B:L,COLUMN('Price List, Weapons &amp; Items'!$L$11)-1,0)</f>
        <v>no price, 0 count</v>
      </c>
      <c r="AR1027" s="180">
        <f t="shared" si="205"/>
        <v>1</v>
      </c>
      <c r="AS1027" s="180">
        <f t="shared" si="206"/>
        <v>1</v>
      </c>
      <c r="AT1027" s="180">
        <f t="shared" si="207"/>
        <v>1</v>
      </c>
      <c r="AU1027" s="180" t="str">
        <f t="shared" si="208"/>
        <v>.</v>
      </c>
      <c r="AV1027" s="180" t="str">
        <f t="shared" si="209"/>
        <v>.</v>
      </c>
      <c r="AW1027" s="180">
        <f>IFERROR(VLOOKUP(B1027,'Share, Heavy Weapons to Ukraine'!B:J,COLUMN('Share, Heavy Weapons to Ukraine'!C1037)-1,0),0)</f>
        <v>1</v>
      </c>
      <c r="AX1027" s="180">
        <f>VLOOKUP('Bilateral Assistance, MAIN DATA'!B1027,'Country Summary'!B:F,COLUMN('Country Summary'!C1040)-1,FALSE)</f>
        <v>0</v>
      </c>
      <c r="AY1027" s="180" t="str">
        <f>IF(AND(AD1027=1,D1027="Military",H1027&lt;&gt;"Not given")=TRUE,IF(SUMIFS(P:P,A:A,A1027)&gt;0,ABS((SUMIFS(P:P,A:A,A1027)/VLOOKUP("USD",'Exchange Rates'!B:C,2,0)))/S1027,"."),".")</f>
        <v>.</v>
      </c>
      <c r="AZ1027" s="182" t="str">
        <f>IF(AND(AD1027=1,D1027="Military",H1027&lt;&gt;"Not given")=TRUE,IF(SUMIFS(P:P,A:A,A1027)&gt;0,IF((ABS((SUMIFS(P:P,A:A,A1027)/VLOOKUP("USD",'Exchange Rates'!B:C,2,0)))/S1027)&gt;1,(SUMIFS(P:P,A:A,A1027)-S1027)/S1027,(S1027-SUMIFS(P:P,A:A,A1027))/SUMIFS(P:P,A:A,A1027)),"."),".")</f>
        <v>.</v>
      </c>
      <c r="BA1027" s="182"/>
      <c r="BB1027" s="182"/>
      <c r="BC1027" s="182"/>
      <c r="BD1027" s="182"/>
      <c r="BE1027" s="182"/>
      <c r="BF1027" s="182"/>
      <c r="BG1027" s="182"/>
      <c r="BH1027" s="182"/>
      <c r="BI1027" s="182"/>
      <c r="BJ1027" s="182"/>
      <c r="BK1027" s="182"/>
      <c r="BL1027" s="182"/>
      <c r="BM1027" s="182"/>
      <c r="BN1027" s="182"/>
      <c r="BO1027" s="182"/>
      <c r="BP1027" s="182"/>
      <c r="BQ1027" s="182"/>
      <c r="BR1027" s="182"/>
      <c r="BS1027" s="182"/>
    </row>
    <row r="1028" spans="1:71" ht="15.9" customHeight="1" x14ac:dyDescent="0.3">
      <c r="A1028" s="5" t="s">
        <v>2958</v>
      </c>
      <c r="B1028" s="5" t="s">
        <v>2864</v>
      </c>
      <c r="C1028" s="174">
        <v>44797</v>
      </c>
      <c r="D1028" s="5" t="s">
        <v>285</v>
      </c>
      <c r="E1028" s="5" t="s">
        <v>286</v>
      </c>
      <c r="F1028" s="175" t="s">
        <v>2970</v>
      </c>
      <c r="G1028" s="15" t="s">
        <v>2866</v>
      </c>
      <c r="H1028" s="176">
        <v>1000000000</v>
      </c>
      <c r="I1028" s="17" t="s">
        <v>2251</v>
      </c>
      <c r="J1028" s="113" t="str">
        <f>VLOOKUP($I1028,'Price List, Weapons &amp; Items'!B:C,2,0)</f>
        <v>Aviation and drones</v>
      </c>
      <c r="K1028" s="113" t="str">
        <f>IF(I1028=".",I1028,VLOOKUP($I1028,'Price List, Weapons &amp; Items'!B:D,3,0))</f>
        <v>drone</v>
      </c>
      <c r="L1028" s="177">
        <f>VLOOKUP(I1028,'Price List, Weapons &amp; Items'!B:E,4,0)</f>
        <v>0</v>
      </c>
      <c r="M1028" s="542">
        <v>850</v>
      </c>
      <c r="N1028" s="542" t="s">
        <v>270</v>
      </c>
      <c r="O1028" s="543" t="str">
        <f>VLOOKUP($I1028,'Price List, Weapons &amp; Items'!B:G,6,0)</f>
        <v>.</v>
      </c>
      <c r="P1028" s="176" t="str">
        <f t="shared" si="200"/>
        <v>No price</v>
      </c>
      <c r="Q1028" s="176" t="str">
        <f t="shared" si="201"/>
        <v>.</v>
      </c>
      <c r="R1028" s="176" t="str">
        <f t="shared" si="198"/>
        <v/>
      </c>
      <c r="S1028" s="176" t="str">
        <f>IF(AND(AD1028=1,R1028&lt;&gt;".")=TRUE,R1028/VLOOKUP(G1028,'Exchange Rates'!B:C,2,0),IF(R1028=".",".",""))</f>
        <v/>
      </c>
      <c r="T1028" s="176" t="str">
        <f>IF(AD1028=1,IF(AF1028="Value is not given at all",".",IF(AF1028="Value is given by the source",S1028,IF(AF1028="Value is calculated with prices",(IF(SUMIFS(Q:Q,A:A,A1028)&gt;0,SUMIFS(Q:Q,A:A,A1028),"."))/VLOOKUP("USD",'Exchange Rates'!B:C,2,0),"Error with coding"))),"")</f>
        <v/>
      </c>
      <c r="U1028" s="177" t="s">
        <v>261</v>
      </c>
      <c r="V1028" s="584" t="s">
        <v>2971</v>
      </c>
      <c r="W1028" s="683" t="s">
        <v>260</v>
      </c>
      <c r="X1028" s="175" t="s">
        <v>260</v>
      </c>
      <c r="Y1028" s="175" t="s">
        <v>260</v>
      </c>
      <c r="Z1028" s="177">
        <v>0</v>
      </c>
      <c r="AA1028" s="180">
        <v>0</v>
      </c>
      <c r="AB1028" s="184" t="s">
        <v>260</v>
      </c>
      <c r="AC1028" s="544" t="str">
        <f>""</f>
        <v/>
      </c>
      <c r="AD1028" s="183">
        <v>0</v>
      </c>
      <c r="AE1028" s="183" t="s">
        <v>264</v>
      </c>
      <c r="AF1028" s="183" t="s">
        <v>265</v>
      </c>
      <c r="AG1028" s="183">
        <v>1</v>
      </c>
      <c r="AH1028" s="183">
        <v>8</v>
      </c>
      <c r="AI1028" s="183">
        <v>0</v>
      </c>
      <c r="AJ1028" s="181">
        <f>VLOOKUP($I1028,'Price List, Weapons &amp; Items'!B:F,5,0)</f>
        <v>0</v>
      </c>
      <c r="AK1028" s="181">
        <f t="shared" si="202"/>
        <v>0</v>
      </c>
      <c r="AL1028" s="181">
        <f t="shared" si="203"/>
        <v>0</v>
      </c>
      <c r="AM1028" s="181">
        <f t="shared" si="204"/>
        <v>0</v>
      </c>
      <c r="AN1028" s="180" t="str">
        <f>VLOOKUP($I1028,'Price List, Weapons &amp; Items'!B:L,COLUMN('Price List, Weapons &amp; Items'!$J$11)-1,0)</f>
        <v>.</v>
      </c>
      <c r="AO1028" s="180" t="str">
        <f>IF(I1028=".",".",VLOOKUP($I1028,'Price List, Weapons &amp; Items'!B:J,3,0))</f>
        <v>drone</v>
      </c>
      <c r="AP1028" s="545" t="str">
        <f t="shared" ca="1" si="199"/>
        <v/>
      </c>
      <c r="AQ1028" s="180">
        <f>VLOOKUP($I1028,'Price List, Weapons &amp; Items'!B:L,COLUMN('Price List, Weapons &amp; Items'!$L$11)-1,0)</f>
        <v>0</v>
      </c>
      <c r="AR1028" s="180">
        <f t="shared" si="205"/>
        <v>1</v>
      </c>
      <c r="AS1028" s="180">
        <f t="shared" si="206"/>
        <v>1</v>
      </c>
      <c r="AT1028" s="180">
        <f t="shared" si="207"/>
        <v>1</v>
      </c>
      <c r="AU1028" s="180" t="str">
        <f t="shared" si="208"/>
        <v>.</v>
      </c>
      <c r="AV1028" s="180" t="str">
        <f t="shared" si="209"/>
        <v>.</v>
      </c>
      <c r="AW1028" s="180">
        <f>IFERROR(VLOOKUP(B1028,'Share, Heavy Weapons to Ukraine'!B:J,COLUMN('Share, Heavy Weapons to Ukraine'!C1038)-1,0),0)</f>
        <v>1</v>
      </c>
      <c r="AX1028" s="180">
        <f>VLOOKUP('Bilateral Assistance, MAIN DATA'!B1028,'Country Summary'!B:F,COLUMN('Country Summary'!C1041)-1,FALSE)</f>
        <v>0</v>
      </c>
      <c r="AY1028" s="180" t="str">
        <f>IF(AND(AD1028=1,D1028="Military",H1028&lt;&gt;"Not given")=TRUE,IF(SUMIFS(P:P,A:A,A1028)&gt;0,ABS((SUMIFS(P:P,A:A,A1028)/VLOOKUP("USD",'Exchange Rates'!B:C,2,0)))/S1028,"."),".")</f>
        <v>.</v>
      </c>
      <c r="AZ1028" s="182" t="str">
        <f>IF(AND(AD1028=1,D1028="Military",H1028&lt;&gt;"Not given")=TRUE,IF(SUMIFS(P:P,A:A,A1028)&gt;0,IF((ABS((SUMIFS(P:P,A:A,A1028)/VLOOKUP("USD",'Exchange Rates'!B:C,2,0)))/S1028)&gt;1,(SUMIFS(P:P,A:A,A1028)-S1028)/S1028,(S1028-SUMIFS(P:P,A:A,A1028))/SUMIFS(P:P,A:A,A1028)),"."),".")</f>
        <v>.</v>
      </c>
      <c r="BA1028" s="182"/>
      <c r="BB1028" s="182"/>
      <c r="BC1028" s="182"/>
      <c r="BD1028" s="182"/>
      <c r="BE1028" s="182"/>
      <c r="BF1028" s="182"/>
      <c r="BG1028" s="182"/>
      <c r="BH1028" s="182"/>
      <c r="BI1028" s="182"/>
      <c r="BJ1028" s="182"/>
      <c r="BK1028" s="182"/>
      <c r="BL1028" s="182"/>
      <c r="BM1028" s="182"/>
      <c r="BN1028" s="182"/>
      <c r="BO1028" s="182"/>
      <c r="BP1028" s="182"/>
      <c r="BQ1028" s="182"/>
      <c r="BR1028" s="182"/>
      <c r="BS1028" s="182"/>
    </row>
    <row r="1029" spans="1:71" ht="15.9" customHeight="1" x14ac:dyDescent="0.3">
      <c r="A1029" s="5" t="s">
        <v>2958</v>
      </c>
      <c r="B1029" s="5" t="s">
        <v>2864</v>
      </c>
      <c r="C1029" s="174">
        <v>44797</v>
      </c>
      <c r="D1029" s="5" t="s">
        <v>285</v>
      </c>
      <c r="E1029" s="5" t="s">
        <v>286</v>
      </c>
      <c r="F1029" s="175" t="s">
        <v>2970</v>
      </c>
      <c r="G1029" s="15" t="s">
        <v>2866</v>
      </c>
      <c r="H1029" s="176">
        <v>1000000000</v>
      </c>
      <c r="I1029" s="17" t="s">
        <v>2972</v>
      </c>
      <c r="J1029" s="113" t="str">
        <f>VLOOKUP($I1029,'Price List, Weapons &amp; Items'!B:C,2,0)</f>
        <v>Aviation and drones</v>
      </c>
      <c r="K1029" s="113" t="str">
        <f>IF(I1029=".",I1029,VLOOKUP($I1029,'Price List, Weapons &amp; Items'!B:D,3,0))</f>
        <v>drone</v>
      </c>
      <c r="L1029" s="177">
        <f>VLOOKUP(I1029,'Price List, Weapons &amp; Items'!B:E,4,0)</f>
        <v>0</v>
      </c>
      <c r="M1029" s="542">
        <v>1150</v>
      </c>
      <c r="N1029" s="542" t="s">
        <v>270</v>
      </c>
      <c r="O1029" s="543">
        <f>VLOOKUP($I1029,'Price List, Weapons &amp; Items'!B:G,6,0)</f>
        <v>6000</v>
      </c>
      <c r="P1029" s="176">
        <f t="shared" si="200"/>
        <v>6900000</v>
      </c>
      <c r="Q1029" s="176" t="str">
        <f t="shared" si="201"/>
        <v>.</v>
      </c>
      <c r="R1029" s="176" t="str">
        <f t="shared" si="198"/>
        <v/>
      </c>
      <c r="S1029" s="176" t="str">
        <f>IF(AND(AD1029=1,R1029&lt;&gt;".")=TRUE,R1029/VLOOKUP(G1029,'Exchange Rates'!B:C,2,0),IF(R1029=".",".",""))</f>
        <v/>
      </c>
      <c r="T1029" s="176" t="str">
        <f>IF(AD1029=1,IF(AF1029="Value is not given at all",".",IF(AF1029="Value is given by the source",S1029,IF(AF1029="Value is calculated with prices",(IF(SUMIFS(Q:Q,A:A,A1029)&gt;0,SUMIFS(Q:Q,A:A,A1029),"."))/VLOOKUP("USD",'Exchange Rates'!B:C,2,0),"Error with coding"))),"")</f>
        <v/>
      </c>
      <c r="U1029" s="177" t="s">
        <v>261</v>
      </c>
      <c r="V1029" s="584" t="s">
        <v>2971</v>
      </c>
      <c r="W1029" s="683" t="s">
        <v>260</v>
      </c>
      <c r="X1029" s="175" t="s">
        <v>260</v>
      </c>
      <c r="Y1029" s="175" t="s">
        <v>260</v>
      </c>
      <c r="Z1029" s="177">
        <v>0</v>
      </c>
      <c r="AA1029" s="180">
        <v>0</v>
      </c>
      <c r="AB1029" s="184" t="s">
        <v>260</v>
      </c>
      <c r="AC1029" s="544" t="str">
        <f>""</f>
        <v/>
      </c>
      <c r="AD1029" s="183">
        <v>0</v>
      </c>
      <c r="AE1029" s="183" t="s">
        <v>264</v>
      </c>
      <c r="AF1029" s="183" t="s">
        <v>265</v>
      </c>
      <c r="AG1029" s="183">
        <v>1</v>
      </c>
      <c r="AH1029" s="183">
        <v>8</v>
      </c>
      <c r="AI1029" s="183">
        <v>0</v>
      </c>
      <c r="AJ1029" s="181">
        <f>VLOOKUP($I1029,'Price List, Weapons &amp; Items'!B:F,5,0)</f>
        <v>0</v>
      </c>
      <c r="AK1029" s="181">
        <f t="shared" si="202"/>
        <v>0</v>
      </c>
      <c r="AL1029" s="181">
        <f t="shared" si="203"/>
        <v>0</v>
      </c>
      <c r="AM1029" s="181">
        <f t="shared" si="204"/>
        <v>0</v>
      </c>
      <c r="AN1029" s="180" t="str">
        <f>VLOOKUP($I1029,'Price List, Weapons &amp; Items'!B:L,COLUMN('Price List, Weapons &amp; Items'!$J$11)-1,0)</f>
        <v>Miscellaneous</v>
      </c>
      <c r="AO1029" s="180" t="str">
        <f>IF(I1029=".",".",VLOOKUP($I1029,'Price List, Weapons &amp; Items'!B:J,3,0))</f>
        <v>drone</v>
      </c>
      <c r="AP1029" s="545" t="str">
        <f t="shared" ca="1" si="199"/>
        <v/>
      </c>
      <c r="AQ1029" s="180">
        <f>VLOOKUP($I1029,'Price List, Weapons &amp; Items'!B:L,COLUMN('Price List, Weapons &amp; Items'!$L$11)-1,0)</f>
        <v>2</v>
      </c>
      <c r="AR1029" s="180">
        <f t="shared" si="205"/>
        <v>1</v>
      </c>
      <c r="AS1029" s="180">
        <f t="shared" si="206"/>
        <v>1</v>
      </c>
      <c r="AT1029" s="180">
        <f t="shared" si="207"/>
        <v>1</v>
      </c>
      <c r="AU1029" s="180" t="str">
        <f t="shared" si="208"/>
        <v>.</v>
      </c>
      <c r="AV1029" s="180" t="str">
        <f t="shared" si="209"/>
        <v>.</v>
      </c>
      <c r="AW1029" s="180">
        <f>IFERROR(VLOOKUP(B1029,'Share, Heavy Weapons to Ukraine'!B:J,COLUMN('Share, Heavy Weapons to Ukraine'!C1039)-1,0),0)</f>
        <v>1</v>
      </c>
      <c r="AX1029" s="180">
        <f>VLOOKUP('Bilateral Assistance, MAIN DATA'!B1029,'Country Summary'!B:F,COLUMN('Country Summary'!C1042)-1,FALSE)</f>
        <v>0</v>
      </c>
      <c r="AY1029" s="180" t="str">
        <f>IF(AND(AD1029=1,D1029="Military",H1029&lt;&gt;"Not given")=TRUE,IF(SUMIFS(P:P,A:A,A1029)&gt;0,ABS((SUMIFS(P:P,A:A,A1029)/VLOOKUP("USD",'Exchange Rates'!B:C,2,0)))/S1029,"."),".")</f>
        <v>.</v>
      </c>
      <c r="AZ1029" s="182" t="str">
        <f>IF(AND(AD1029=1,D1029="Military",H1029&lt;&gt;"Not given")=TRUE,IF(SUMIFS(P:P,A:A,A1029)&gt;0,IF((ABS((SUMIFS(P:P,A:A,A1029)/VLOOKUP("USD",'Exchange Rates'!B:C,2,0)))/S1029)&gt;1,(SUMIFS(P:P,A:A,A1029)-S1029)/S1029,(S1029-SUMIFS(P:P,A:A,A1029))/SUMIFS(P:P,A:A,A1029)),"."),".")</f>
        <v>.</v>
      </c>
      <c r="BA1029" s="182"/>
      <c r="BB1029" s="182"/>
      <c r="BC1029" s="182"/>
      <c r="BD1029" s="182"/>
      <c r="BE1029" s="182"/>
      <c r="BF1029" s="182"/>
      <c r="BG1029" s="182"/>
      <c r="BH1029" s="182"/>
      <c r="BI1029" s="182"/>
      <c r="BJ1029" s="182"/>
      <c r="BK1029" s="182"/>
      <c r="BL1029" s="182"/>
      <c r="BM1029" s="182"/>
      <c r="BN1029" s="182"/>
      <c r="BO1029" s="182"/>
      <c r="BP1029" s="182"/>
      <c r="BQ1029" s="182"/>
      <c r="BR1029" s="182"/>
      <c r="BS1029" s="182"/>
    </row>
    <row r="1030" spans="1:71" ht="15.9" customHeight="1" x14ac:dyDescent="0.3">
      <c r="A1030" s="5" t="s">
        <v>2958</v>
      </c>
      <c r="B1030" s="5" t="s">
        <v>2864</v>
      </c>
      <c r="C1030" s="174">
        <v>44800</v>
      </c>
      <c r="D1030" s="5" t="s">
        <v>285</v>
      </c>
      <c r="E1030" s="5" t="s">
        <v>286</v>
      </c>
      <c r="F1030" s="175" t="s">
        <v>2973</v>
      </c>
      <c r="G1030" s="15" t="s">
        <v>2866</v>
      </c>
      <c r="H1030" s="176">
        <v>1000000000</v>
      </c>
      <c r="I1030" s="17" t="s">
        <v>2974</v>
      </c>
      <c r="J1030" s="113" t="str">
        <f>VLOOKUP($I1030,'Price List, Weapons &amp; Items'!B:C,2,0)</f>
        <v>Aviation and drones</v>
      </c>
      <c r="K1030" s="113" t="str">
        <f>IF(I1030=".",I1030,VLOOKUP($I1030,'Price List, Weapons &amp; Items'!B:D,3,0))</f>
        <v>drone</v>
      </c>
      <c r="L1030" s="177">
        <f>VLOOKUP(I1030,'Price List, Weapons &amp; Items'!B:E,4,0)</f>
        <v>0</v>
      </c>
      <c r="M1030" s="542">
        <v>6</v>
      </c>
      <c r="N1030" s="542" t="s">
        <v>270</v>
      </c>
      <c r="O1030" s="543" t="str">
        <f>VLOOKUP($I1030,'Price List, Weapons &amp; Items'!B:G,6,0)</f>
        <v>.</v>
      </c>
      <c r="P1030" s="176" t="str">
        <f t="shared" si="200"/>
        <v>No price</v>
      </c>
      <c r="Q1030" s="176" t="str">
        <f t="shared" si="201"/>
        <v>.</v>
      </c>
      <c r="R1030" s="176" t="str">
        <f t="shared" si="198"/>
        <v/>
      </c>
      <c r="S1030" s="176" t="str">
        <f>IF(AND(AD1030=1,R1030&lt;&gt;".")=TRUE,R1030/VLOOKUP(G1030,'Exchange Rates'!B:C,2,0),IF(R1030=".",".",""))</f>
        <v/>
      </c>
      <c r="T1030" s="176" t="str">
        <f>IF(AD1030=1,IF(AF1030="Value is not given at all",".",IF(AF1030="Value is given by the source",S1030,IF(AF1030="Value is calculated with prices",(IF(SUMIFS(Q:Q,A:A,A1030)&gt;0,SUMIFS(Q:Q,A:A,A1030),"."))/VLOOKUP("USD",'Exchange Rates'!B:C,2,0),"Error with coding"))),"")</f>
        <v/>
      </c>
      <c r="U1030" s="177" t="s">
        <v>261</v>
      </c>
      <c r="V1030" s="584" t="s">
        <v>2971</v>
      </c>
      <c r="W1030" s="683" t="s">
        <v>260</v>
      </c>
      <c r="X1030" s="175" t="s">
        <v>260</v>
      </c>
      <c r="Y1030" s="175" t="s">
        <v>260</v>
      </c>
      <c r="Z1030" s="177">
        <v>0</v>
      </c>
      <c r="AA1030" s="180">
        <v>0</v>
      </c>
      <c r="AB1030" s="184" t="s">
        <v>260</v>
      </c>
      <c r="AC1030" s="544" t="str">
        <f>""</f>
        <v/>
      </c>
      <c r="AD1030" s="183">
        <v>0</v>
      </c>
      <c r="AE1030" s="183" t="s">
        <v>264</v>
      </c>
      <c r="AF1030" s="183" t="s">
        <v>265</v>
      </c>
      <c r="AG1030" s="183">
        <v>1</v>
      </c>
      <c r="AH1030" s="183">
        <v>8</v>
      </c>
      <c r="AI1030" s="183">
        <v>0</v>
      </c>
      <c r="AJ1030" s="181">
        <f>VLOOKUP($I1030,'Price List, Weapons &amp; Items'!B:F,5,0)</f>
        <v>0</v>
      </c>
      <c r="AK1030" s="181">
        <f t="shared" si="202"/>
        <v>0</v>
      </c>
      <c r="AL1030" s="181">
        <f t="shared" si="203"/>
        <v>0</v>
      </c>
      <c r="AM1030" s="181">
        <f t="shared" si="204"/>
        <v>0</v>
      </c>
      <c r="AN1030" s="180" t="str">
        <f>VLOOKUP($I1030,'Price List, Weapons &amp; Items'!B:L,COLUMN('Price List, Weapons &amp; Items'!$J$11)-1,0)</f>
        <v>.</v>
      </c>
      <c r="AO1030" s="180" t="str">
        <f>IF(I1030=".",".",VLOOKUP($I1030,'Price List, Weapons &amp; Items'!B:J,3,0))</f>
        <v>drone</v>
      </c>
      <c r="AP1030" s="545" t="str">
        <f t="shared" ca="1" si="199"/>
        <v/>
      </c>
      <c r="AQ1030" s="180">
        <f>VLOOKUP($I1030,'Price List, Weapons &amp; Items'!B:L,COLUMN('Price List, Weapons &amp; Items'!$L$11)-1,0)</f>
        <v>0</v>
      </c>
      <c r="AR1030" s="180">
        <f t="shared" si="205"/>
        <v>1</v>
      </c>
      <c r="AS1030" s="180">
        <f t="shared" si="206"/>
        <v>1</v>
      </c>
      <c r="AT1030" s="180">
        <f t="shared" si="207"/>
        <v>1</v>
      </c>
      <c r="AU1030" s="180" t="str">
        <f t="shared" si="208"/>
        <v>.</v>
      </c>
      <c r="AV1030" s="180" t="str">
        <f t="shared" si="209"/>
        <v>.</v>
      </c>
      <c r="AW1030" s="180">
        <f>IFERROR(VLOOKUP(B1030,'Share, Heavy Weapons to Ukraine'!B:J,COLUMN('Share, Heavy Weapons to Ukraine'!C1040)-1,0),0)</f>
        <v>1</v>
      </c>
      <c r="AX1030" s="180">
        <f>VLOOKUP('Bilateral Assistance, MAIN DATA'!B1030,'Country Summary'!B:F,COLUMN('Country Summary'!C1043)-1,FALSE)</f>
        <v>0</v>
      </c>
      <c r="AY1030" s="180" t="str">
        <f>IF(AND(AD1030=1,D1030="Military",H1030&lt;&gt;"Not given")=TRUE,IF(SUMIFS(P:P,A:A,A1030)&gt;0,ABS((SUMIFS(P:P,A:A,A1030)/VLOOKUP("USD",'Exchange Rates'!B:C,2,0)))/S1030,"."),".")</f>
        <v>.</v>
      </c>
      <c r="AZ1030" s="182" t="str">
        <f>IF(AND(AD1030=1,D1030="Military",H1030&lt;&gt;"Not given")=TRUE,IF(SUMIFS(P:P,A:A,A1030)&gt;0,IF((ABS((SUMIFS(P:P,A:A,A1030)/VLOOKUP("USD",'Exchange Rates'!B:C,2,0)))/S1030)&gt;1,(SUMIFS(P:P,A:A,A1030)-S1030)/S1030,(S1030-SUMIFS(P:P,A:A,A1030))/SUMIFS(P:P,A:A,A1030)),"."),".")</f>
        <v>.</v>
      </c>
      <c r="BA1030" s="182"/>
      <c r="BB1030" s="182"/>
      <c r="BC1030" s="182"/>
      <c r="BD1030" s="182"/>
      <c r="BE1030" s="182"/>
      <c r="BF1030" s="182"/>
      <c r="BG1030" s="182"/>
      <c r="BH1030" s="182"/>
      <c r="BI1030" s="182"/>
      <c r="BJ1030" s="182"/>
      <c r="BK1030" s="182"/>
      <c r="BL1030" s="182"/>
      <c r="BM1030" s="182"/>
      <c r="BN1030" s="182"/>
      <c r="BO1030" s="182"/>
      <c r="BP1030" s="182"/>
      <c r="BQ1030" s="182"/>
      <c r="BR1030" s="182"/>
      <c r="BS1030" s="182"/>
    </row>
    <row r="1031" spans="1:71" ht="15.9" customHeight="1" x14ac:dyDescent="0.3">
      <c r="A1031" s="17" t="s">
        <v>2975</v>
      </c>
      <c r="B1031" s="17" t="s">
        <v>2864</v>
      </c>
      <c r="C1031" s="174">
        <v>44774</v>
      </c>
      <c r="D1031" s="5" t="s">
        <v>285</v>
      </c>
      <c r="E1031" s="5" t="s">
        <v>339</v>
      </c>
      <c r="F1031" s="175" t="s">
        <v>2976</v>
      </c>
      <c r="G1031" s="15" t="s">
        <v>346</v>
      </c>
      <c r="H1031" s="176" t="s">
        <v>341</v>
      </c>
      <c r="I1031" s="17" t="s">
        <v>2977</v>
      </c>
      <c r="J1031" s="113" t="str">
        <f>VLOOKUP($I1031,'Price List, Weapons &amp; Items'!B:C,2,0)</f>
        <v>Heavy weapon</v>
      </c>
      <c r="K1031" s="113" t="str">
        <f>IF(I1031=".",I1031,VLOOKUP($I1031,'Price List, Weapons &amp; Items'!B:D,3,0))</f>
        <v>Mine Vessels</v>
      </c>
      <c r="L1031" s="177">
        <f>VLOOKUP(I1031,'Price List, Weapons &amp; Items'!B:E,4,0)</f>
        <v>0</v>
      </c>
      <c r="M1031" s="187">
        <v>2</v>
      </c>
      <c r="N1031" s="542" t="s">
        <v>270</v>
      </c>
      <c r="O1031" s="543">
        <f>VLOOKUP($I1031,'Price List, Weapons &amp; Items'!B:G,6,0)</f>
        <v>87000000</v>
      </c>
      <c r="P1031" s="176">
        <f t="shared" si="200"/>
        <v>174000000</v>
      </c>
      <c r="Q1031" s="176" t="str">
        <f t="shared" si="201"/>
        <v>.</v>
      </c>
      <c r="R1031" s="176">
        <f t="shared" si="198"/>
        <v>174000000</v>
      </c>
      <c r="S1031" s="176">
        <f>IF(AND(AD1031=1,R1031&lt;&gt;".")=TRUE,R1031/VLOOKUP(G1031,'Exchange Rates'!B:C,2,0),IF(R1031=".",".",""))</f>
        <v>165714285.7142857</v>
      </c>
      <c r="T1031" s="176" t="str">
        <f>IF(AD1031=1,IF(AF1031="Value is not given at all",".",IF(AF1031="Value is given by the source",S1031,IF(AF1031="Value is calculated with prices",(IF(SUMIFS(Q:Q,A:A,A1031)&gt;0,SUMIFS(Q:Q,A:A,A1031),"."))/VLOOKUP("USD",'Exchange Rates'!B:C,2,0),"Error with coding"))),"")</f>
        <v>.</v>
      </c>
      <c r="U1031" s="15" t="s">
        <v>415</v>
      </c>
      <c r="V1031" s="300" t="s">
        <v>2978</v>
      </c>
      <c r="W1031" s="300" t="s">
        <v>2979</v>
      </c>
      <c r="X1031" s="175" t="s">
        <v>260</v>
      </c>
      <c r="Y1031" s="175" t="s">
        <v>260</v>
      </c>
      <c r="Z1031" s="15">
        <v>0</v>
      </c>
      <c r="AA1031" s="180">
        <v>0</v>
      </c>
      <c r="AB1031" s="17" t="s">
        <v>260</v>
      </c>
      <c r="AC1031" s="544" t="str">
        <f>""</f>
        <v/>
      </c>
      <c r="AD1031" s="183">
        <v>1</v>
      </c>
      <c r="AE1031" s="183" t="s">
        <v>332</v>
      </c>
      <c r="AF1031" s="183" t="s">
        <v>265</v>
      </c>
      <c r="AG1031" s="183">
        <v>1</v>
      </c>
      <c r="AH1031" s="181">
        <v>8</v>
      </c>
      <c r="AI1031" s="181">
        <v>0</v>
      </c>
      <c r="AJ1031" s="181">
        <f>VLOOKUP($I1031,'Price List, Weapons &amp; Items'!B:F,5,0)</f>
        <v>0</v>
      </c>
      <c r="AK1031" s="181">
        <f t="shared" si="202"/>
        <v>0</v>
      </c>
      <c r="AL1031" s="181">
        <f t="shared" si="203"/>
        <v>0</v>
      </c>
      <c r="AM1031" s="181">
        <f t="shared" si="204"/>
        <v>0</v>
      </c>
      <c r="AN1031" s="180" t="str">
        <f>VLOOKUP($I1031,'Price List, Weapons &amp; Items'!B:L,COLUMN('Price List, Weapons &amp; Items'!$J$11)-1,0)</f>
        <v>Contracts</v>
      </c>
      <c r="AO1031" s="180" t="str">
        <f>IF(I1031=".",".",VLOOKUP($I1031,'Price List, Weapons &amp; Items'!B:J,3,0))</f>
        <v>Mine Vessels</v>
      </c>
      <c r="AP1031" s="545" t="e">
        <f t="shared" ca="1" si="199"/>
        <v>#NAME?</v>
      </c>
      <c r="AQ1031" s="180">
        <f>VLOOKUP($I1031,'Price List, Weapons &amp; Items'!B:L,COLUMN('Price List, Weapons &amp; Items'!$L$11)-1,0)</f>
        <v>2</v>
      </c>
      <c r="AR1031" s="180">
        <f t="shared" si="205"/>
        <v>0</v>
      </c>
      <c r="AS1031" s="180">
        <f t="shared" si="206"/>
        <v>1</v>
      </c>
      <c r="AT1031" s="180">
        <f t="shared" si="207"/>
        <v>1</v>
      </c>
      <c r="AU1031" s="180" t="str">
        <f t="shared" si="208"/>
        <v>.</v>
      </c>
      <c r="AV1031" s="180" t="str">
        <f t="shared" si="209"/>
        <v>.</v>
      </c>
      <c r="AW1031" s="180">
        <f>IFERROR(VLOOKUP(B1031,'Share, Heavy Weapons to Ukraine'!B:J,COLUMN('Share, Heavy Weapons to Ukraine'!C1041)-1,0),0)</f>
        <v>1</v>
      </c>
      <c r="AX1031" s="180">
        <f>VLOOKUP('Bilateral Assistance, MAIN DATA'!B1031,'Country Summary'!B:F,COLUMN('Country Summary'!C1044)-1,FALSE)</f>
        <v>0</v>
      </c>
      <c r="AY1031" s="180" t="str">
        <f>IF(AND(AD1031=1,D1031="Military",H1031&lt;&gt;"Not given")=TRUE,IF(SUMIFS(P:P,A:A,A1031)&gt;0,ABS((SUMIFS(P:P,A:A,A1031)/VLOOKUP("USD",'Exchange Rates'!B:C,2,0)))/S1031,"."),".")</f>
        <v>.</v>
      </c>
      <c r="AZ1031" s="182" t="str">
        <f>IF(AND(AD1031=1,D1031="Military",H1031&lt;&gt;"Not given")=TRUE,IF(SUMIFS(P:P,A:A,A1031)&gt;0,IF((ABS((SUMIFS(P:P,A:A,A1031)/VLOOKUP("USD",'Exchange Rates'!B:C,2,0)))/S1031)&gt;1,(SUMIFS(P:P,A:A,A1031)-S1031)/S1031,(S1031-SUMIFS(P:P,A:A,A1031))/SUMIFS(P:P,A:A,A1031)),"."),".")</f>
        <v>.</v>
      </c>
      <c r="BA1031" s="182"/>
      <c r="BB1031" s="182"/>
      <c r="BC1031" s="182"/>
      <c r="BD1031" s="182"/>
      <c r="BE1031" s="182"/>
      <c r="BF1031" s="182"/>
      <c r="BG1031" s="182"/>
      <c r="BH1031" s="182"/>
      <c r="BI1031" s="182"/>
      <c r="BJ1031" s="182"/>
      <c r="BK1031" s="182"/>
      <c r="BL1031" s="182"/>
      <c r="BM1031" s="182"/>
      <c r="BN1031" s="182"/>
      <c r="BO1031" s="182"/>
      <c r="BP1031" s="182"/>
      <c r="BQ1031" s="182"/>
      <c r="BR1031" s="182"/>
      <c r="BS1031" s="182"/>
    </row>
    <row r="1032" spans="1:71" ht="15.9" customHeight="1" x14ac:dyDescent="0.3">
      <c r="A1032" s="5" t="s">
        <v>2980</v>
      </c>
      <c r="B1032" s="5" t="s">
        <v>2864</v>
      </c>
      <c r="C1032" s="174">
        <v>44847</v>
      </c>
      <c r="D1032" s="5" t="s">
        <v>285</v>
      </c>
      <c r="E1032" s="5" t="s">
        <v>339</v>
      </c>
      <c r="F1032" s="175" t="s">
        <v>2981</v>
      </c>
      <c r="G1032" s="15" t="s">
        <v>2866</v>
      </c>
      <c r="H1032" s="176" t="s">
        <v>341</v>
      </c>
      <c r="I1032" s="182" t="s">
        <v>2982</v>
      </c>
      <c r="J1032" s="113" t="str">
        <f>VLOOKUP($I1032,'Price List, Weapons &amp; Items'!B:C,2,0)</f>
        <v>Heavy weapon</v>
      </c>
      <c r="K1032" s="113" t="str">
        <f>IF(I1032=".",I1032,VLOOKUP($I1032,'Price List, Weapons &amp; Items'!B:D,3,0))</f>
        <v>Surface-to-air missile (SAM)</v>
      </c>
      <c r="L1032" s="177">
        <f>VLOOKUP(I1032,'Price List, Weapons &amp; Items'!B:E,4,0)</f>
        <v>0</v>
      </c>
      <c r="M1032" s="542" t="s">
        <v>270</v>
      </c>
      <c r="N1032" s="542" t="s">
        <v>270</v>
      </c>
      <c r="O1032" s="543">
        <f>VLOOKUP($I1032,'Price List, Weapons &amp; Items'!B:G,6,0)</f>
        <v>1392389.093089018</v>
      </c>
      <c r="P1032" s="176" t="str">
        <f t="shared" si="200"/>
        <v>.</v>
      </c>
      <c r="Q1032" s="176" t="str">
        <f t="shared" si="201"/>
        <v>.</v>
      </c>
      <c r="R1032" s="176">
        <f t="shared" si="198"/>
        <v>230018170.96804595</v>
      </c>
      <c r="S1032" s="176">
        <f>IF(AND(AD1032=1,R1032&lt;&gt;".")=TRUE,R1032/VLOOKUP(G1032,'Exchange Rates'!B:C,2,0),IF(R1032=".",".",""))</f>
        <v>266861000.72864228</v>
      </c>
      <c r="T1032" s="176" t="str">
        <f>IF(AD1032=1,IF(AF1032="Value is not given at all",".",IF(AF1032="Value is given by the source",S1032,IF(AF1032="Value is calculated with prices",(IF(SUMIFS(Q:Q,A:A,A1032)&gt;0,SUMIFS(Q:Q,A:A,A1032),"."))/VLOOKUP("USD",'Exchange Rates'!B:C,2,0),"Error with coding"))),"")</f>
        <v>.</v>
      </c>
      <c r="U1032" s="177" t="s">
        <v>261</v>
      </c>
      <c r="V1032" s="584" t="s">
        <v>2983</v>
      </c>
      <c r="W1032" s="683" t="s">
        <v>260</v>
      </c>
      <c r="X1032" s="683" t="s">
        <v>260</v>
      </c>
      <c r="Y1032" s="683" t="s">
        <v>260</v>
      </c>
      <c r="Z1032" s="177">
        <v>0</v>
      </c>
      <c r="AA1032" s="180">
        <v>0</v>
      </c>
      <c r="AB1032" s="184" t="s">
        <v>260</v>
      </c>
      <c r="AC1032" s="544" t="str">
        <f>""</f>
        <v/>
      </c>
      <c r="AD1032" s="183">
        <v>1</v>
      </c>
      <c r="AE1032" s="183" t="s">
        <v>332</v>
      </c>
      <c r="AF1032" s="183" t="s">
        <v>265</v>
      </c>
      <c r="AG1032" s="183">
        <v>1</v>
      </c>
      <c r="AH1032" s="183">
        <v>10</v>
      </c>
      <c r="AI1032" s="181">
        <v>0</v>
      </c>
      <c r="AJ1032" s="181">
        <f>VLOOKUP($I1032,'Price List, Weapons &amp; Items'!B:F,5,0)</f>
        <v>0</v>
      </c>
      <c r="AK1032" s="181">
        <f t="shared" si="202"/>
        <v>0</v>
      </c>
      <c r="AL1032" s="181">
        <f t="shared" si="203"/>
        <v>0</v>
      </c>
      <c r="AM1032" s="181">
        <f t="shared" si="204"/>
        <v>0</v>
      </c>
      <c r="AN1032" s="180" t="str">
        <f>VLOOKUP($I1032,'Price List, Weapons &amp; Items'!B:L,COLUMN('Price List, Weapons &amp; Items'!$J$11)-1,0)</f>
        <v>Contracts</v>
      </c>
      <c r="AO1032" s="180" t="str">
        <f>IF(I1032=".",".",VLOOKUP($I1032,'Price List, Weapons &amp; Items'!B:J,3,0))</f>
        <v>Surface-to-air missile (SAM)</v>
      </c>
      <c r="AP1032" s="545" t="e">
        <f t="shared" ca="1" si="199"/>
        <v>#NAME?</v>
      </c>
      <c r="AQ1032" s="180" t="str">
        <f>VLOOKUP($I1032,'Price List, Weapons &amp; Items'!B:L,COLUMN('Price List, Weapons &amp; Items'!$L$11)-1,0)</f>
        <v>no price, 0 count</v>
      </c>
      <c r="AR1032" s="180">
        <f t="shared" si="205"/>
        <v>1</v>
      </c>
      <c r="AS1032" s="180">
        <f t="shared" si="206"/>
        <v>1</v>
      </c>
      <c r="AT1032" s="180">
        <f t="shared" si="207"/>
        <v>1</v>
      </c>
      <c r="AU1032" s="180" t="str">
        <f t="shared" si="208"/>
        <v>.</v>
      </c>
      <c r="AV1032" s="180" t="str">
        <f t="shared" si="209"/>
        <v>.</v>
      </c>
      <c r="AW1032" s="180">
        <f>IFERROR(VLOOKUP(B1032,'Share, Heavy Weapons to Ukraine'!B:J,COLUMN('Share, Heavy Weapons to Ukraine'!C1042)-1,0),0)</f>
        <v>1</v>
      </c>
      <c r="AX1032" s="180">
        <f>VLOOKUP('Bilateral Assistance, MAIN DATA'!B1032,'Country Summary'!B:F,COLUMN('Country Summary'!C1045)-1,FALSE)</f>
        <v>0</v>
      </c>
      <c r="AY1032" s="180" t="str">
        <f>IF(AND(AD1032=1,D1032="Military",H1032&lt;&gt;"Not given")=TRUE,IF(SUMIFS(P:P,A:A,A1032)&gt;0,ABS((SUMIFS(P:P,A:A,A1032)/VLOOKUP("USD",'Exchange Rates'!B:C,2,0)))/S1032,"."),".")</f>
        <v>.</v>
      </c>
      <c r="AZ1032" s="182" t="str">
        <f>IF(AND(AD1032=1,D1032="Military",H1032&lt;&gt;"Not given")=TRUE,IF(SUMIFS(P:P,A:A,A1032)&gt;0,IF((ABS((SUMIFS(P:P,A:A,A1032)/VLOOKUP("USD",'Exchange Rates'!B:C,2,0)))/S1032)&gt;1,(SUMIFS(P:P,A:A,A1032)-S1032)/S1032,(S1032-SUMIFS(P:P,A:A,A1032))/SUMIFS(P:P,A:A,A1032)),"."),".")</f>
        <v>.</v>
      </c>
      <c r="BA1032" s="182"/>
      <c r="BB1032" s="182"/>
      <c r="BC1032" s="182"/>
      <c r="BD1032" s="182"/>
      <c r="BE1032" s="182"/>
      <c r="BF1032" s="182"/>
      <c r="BG1032" s="182"/>
      <c r="BH1032" s="182"/>
      <c r="BI1032" s="182"/>
      <c r="BJ1032" s="182"/>
      <c r="BK1032" s="182"/>
      <c r="BL1032" s="182"/>
      <c r="BM1032" s="182"/>
      <c r="BN1032" s="182"/>
      <c r="BO1032" s="182"/>
      <c r="BP1032" s="182"/>
      <c r="BQ1032" s="182"/>
      <c r="BR1032" s="182"/>
      <c r="BS1032" s="182"/>
    </row>
    <row r="1033" spans="1:71" ht="15.9" customHeight="1" x14ac:dyDescent="0.3">
      <c r="A1033" s="5" t="s">
        <v>2980</v>
      </c>
      <c r="B1033" s="5" t="s">
        <v>2864</v>
      </c>
      <c r="C1033" s="174">
        <v>44847</v>
      </c>
      <c r="D1033" s="5" t="s">
        <v>285</v>
      </c>
      <c r="E1033" s="5" t="s">
        <v>339</v>
      </c>
      <c r="F1033" s="175" t="s">
        <v>2981</v>
      </c>
      <c r="G1033" s="15" t="s">
        <v>2866</v>
      </c>
      <c r="H1033" s="176" t="s">
        <v>341</v>
      </c>
      <c r="I1033" s="17" t="s">
        <v>2984</v>
      </c>
      <c r="J1033" s="113" t="str">
        <f>VLOOKUP($I1033,'Price List, Weapons &amp; Items'!B:C,2,0)</f>
        <v>Heavy weapon</v>
      </c>
      <c r="K1033" s="113" t="str">
        <f>IF(I1033=".",I1033,VLOOKUP($I1033,'Price List, Weapons &amp; Items'!B:D,3,0))</f>
        <v>Surface-to-air missile (SAM)</v>
      </c>
      <c r="L1033" s="177">
        <f>VLOOKUP(I1033,'Price List, Weapons &amp; Items'!B:E,4,0)</f>
        <v>0</v>
      </c>
      <c r="M1033" s="542">
        <v>200</v>
      </c>
      <c r="N1033" s="542" t="s">
        <v>270</v>
      </c>
      <c r="O1033" s="543" t="str">
        <f>VLOOKUP($I1033,'Price List, Weapons &amp; Items'!B:G,6,0)</f>
        <v>.</v>
      </c>
      <c r="P1033" s="176" t="str">
        <f t="shared" si="200"/>
        <v>No price</v>
      </c>
      <c r="Q1033" s="176" t="str">
        <f t="shared" si="201"/>
        <v>.</v>
      </c>
      <c r="R1033" s="176" t="str">
        <f t="shared" si="198"/>
        <v/>
      </c>
      <c r="S1033" s="176" t="str">
        <f>IF(AND(AD1033=1,R1033&lt;&gt;".")=TRUE,R1033/VLOOKUP(G1033,'Exchange Rates'!B:C,2,0),IF(R1033=".",".",""))</f>
        <v/>
      </c>
      <c r="T1033" s="176" t="str">
        <f>IF(AD1033=1,IF(AF1033="Value is not given at all",".",IF(AF1033="Value is given by the source",S1033,IF(AF1033="Value is calculated with prices",(IF(SUMIFS(Q:Q,A:A,A1033)&gt;0,SUMIFS(Q:Q,A:A,A1033),"."))/VLOOKUP("USD",'Exchange Rates'!B:C,2,0),"Error with coding"))),"")</f>
        <v/>
      </c>
      <c r="U1033" s="177" t="s">
        <v>261</v>
      </c>
      <c r="V1033" s="584" t="s">
        <v>2983</v>
      </c>
      <c r="W1033" s="683" t="s">
        <v>260</v>
      </c>
      <c r="X1033" s="683" t="s">
        <v>260</v>
      </c>
      <c r="Y1033" s="683" t="s">
        <v>260</v>
      </c>
      <c r="Z1033" s="177">
        <v>0</v>
      </c>
      <c r="AA1033" s="180">
        <v>0</v>
      </c>
      <c r="AB1033" s="184" t="s">
        <v>260</v>
      </c>
      <c r="AC1033" s="544" t="str">
        <f>""</f>
        <v/>
      </c>
      <c r="AD1033" s="183">
        <v>0</v>
      </c>
      <c r="AE1033" s="183" t="s">
        <v>332</v>
      </c>
      <c r="AF1033" s="183" t="s">
        <v>265</v>
      </c>
      <c r="AG1033" s="183">
        <v>1</v>
      </c>
      <c r="AH1033" s="183">
        <v>10</v>
      </c>
      <c r="AI1033" s="181">
        <v>0</v>
      </c>
      <c r="AJ1033" s="181">
        <f>VLOOKUP($I1033,'Price List, Weapons &amp; Items'!B:F,5,0)</f>
        <v>0</v>
      </c>
      <c r="AK1033" s="181">
        <f t="shared" si="202"/>
        <v>0</v>
      </c>
      <c r="AL1033" s="181">
        <f t="shared" si="203"/>
        <v>0</v>
      </c>
      <c r="AM1033" s="181">
        <f t="shared" si="204"/>
        <v>0</v>
      </c>
      <c r="AN1033" s="180" t="str">
        <f>VLOOKUP($I1033,'Price List, Weapons &amp; Items'!B:L,COLUMN('Price List, Weapons &amp; Items'!$J$11)-1,0)</f>
        <v>.</v>
      </c>
      <c r="AO1033" s="180" t="str">
        <f>IF(I1033=".",".",VLOOKUP($I1033,'Price List, Weapons &amp; Items'!B:J,3,0))</f>
        <v>Surface-to-air missile (SAM)</v>
      </c>
      <c r="AP1033" s="545" t="str">
        <f t="shared" ca="1" si="199"/>
        <v/>
      </c>
      <c r="AQ1033" s="180">
        <f>VLOOKUP($I1033,'Price List, Weapons &amp; Items'!B:L,COLUMN('Price List, Weapons &amp; Items'!$L$11)-1,0)</f>
        <v>0</v>
      </c>
      <c r="AR1033" s="180">
        <f t="shared" si="205"/>
        <v>1</v>
      </c>
      <c r="AS1033" s="180">
        <f t="shared" si="206"/>
        <v>1</v>
      </c>
      <c r="AT1033" s="180">
        <f t="shared" si="207"/>
        <v>1</v>
      </c>
      <c r="AU1033" s="180" t="str">
        <f t="shared" si="208"/>
        <v>.</v>
      </c>
      <c r="AV1033" s="180" t="str">
        <f t="shared" si="209"/>
        <v>.</v>
      </c>
      <c r="AW1033" s="180">
        <f>IFERROR(VLOOKUP(B1033,'Share, Heavy Weapons to Ukraine'!B:J,COLUMN('Share, Heavy Weapons to Ukraine'!C1043)-1,0),0)</f>
        <v>1</v>
      </c>
      <c r="AX1033" s="180">
        <f>VLOOKUP('Bilateral Assistance, MAIN DATA'!B1033,'Country Summary'!B:F,COLUMN('Country Summary'!C1046)-1,FALSE)</f>
        <v>0</v>
      </c>
      <c r="AY1033" s="180" t="str">
        <f>IF(AND(AD1033=1,D1033="Military",H1033&lt;&gt;"Not given")=TRUE,IF(SUMIFS(P:P,A:A,A1033)&gt;0,ABS((SUMIFS(P:P,A:A,A1033)/VLOOKUP("USD",'Exchange Rates'!B:C,2,0)))/S1033,"."),".")</f>
        <v>.</v>
      </c>
      <c r="AZ1033" s="182" t="str">
        <f>IF(AND(AD1033=1,D1033="Military",H1033&lt;&gt;"Not given")=TRUE,IF(SUMIFS(P:P,A:A,A1033)&gt;0,IF((ABS((SUMIFS(P:P,A:A,A1033)/VLOOKUP("USD",'Exchange Rates'!B:C,2,0)))/S1033)&gt;1,(SUMIFS(P:P,A:A,A1033)-S1033)/S1033,(S1033-SUMIFS(P:P,A:A,A1033))/SUMIFS(P:P,A:A,A1033)),"."),".")</f>
        <v>.</v>
      </c>
      <c r="BA1033" s="182"/>
      <c r="BB1033" s="182"/>
      <c r="BC1033" s="182"/>
      <c r="BD1033" s="182"/>
      <c r="BE1033" s="182"/>
      <c r="BF1033" s="182"/>
      <c r="BG1033" s="182"/>
      <c r="BH1033" s="182"/>
      <c r="BI1033" s="182"/>
      <c r="BJ1033" s="182"/>
      <c r="BK1033" s="182"/>
      <c r="BL1033" s="182"/>
      <c r="BM1033" s="182"/>
      <c r="BN1033" s="182"/>
      <c r="BO1033" s="182"/>
      <c r="BP1033" s="182"/>
      <c r="BQ1033" s="182"/>
      <c r="BR1033" s="182"/>
      <c r="BS1033" s="182"/>
    </row>
    <row r="1034" spans="1:71" ht="15.9" customHeight="1" x14ac:dyDescent="0.3">
      <c r="A1034" s="5" t="s">
        <v>2980</v>
      </c>
      <c r="B1034" s="5" t="s">
        <v>2864</v>
      </c>
      <c r="C1034" s="174">
        <v>44847</v>
      </c>
      <c r="D1034" s="5" t="s">
        <v>285</v>
      </c>
      <c r="E1034" s="5" t="s">
        <v>339</v>
      </c>
      <c r="F1034" s="175" t="s">
        <v>2981</v>
      </c>
      <c r="G1034" s="15" t="s">
        <v>2866</v>
      </c>
      <c r="H1034" s="176" t="s">
        <v>341</v>
      </c>
      <c r="I1034" s="185" t="s">
        <v>1407</v>
      </c>
      <c r="J1034" s="113" t="str">
        <f>VLOOKUP($I1034,'Price List, Weapons &amp; Items'!B:C,2,0)</f>
        <v>Aviation and drones</v>
      </c>
      <c r="K1034" s="113" t="str">
        <f>IF(I1034=".",I1034,VLOOKUP($I1034,'Price List, Weapons &amp; Items'!B:D,3,0))</f>
        <v>drone</v>
      </c>
      <c r="L1034" s="177">
        <f>VLOOKUP(I1034,'Price List, Weapons &amp; Items'!B:E,4,0)</f>
        <v>0</v>
      </c>
      <c r="M1034" s="542">
        <v>200</v>
      </c>
      <c r="N1034" s="542" t="s">
        <v>270</v>
      </c>
      <c r="O1034" s="543">
        <f>VLOOKUP($I1034,'Price List, Weapons &amp; Items'!B:G,6,0)</f>
        <v>1035567.45</v>
      </c>
      <c r="P1034" s="176">
        <f t="shared" si="200"/>
        <v>207113490</v>
      </c>
      <c r="Q1034" s="176" t="str">
        <f t="shared" si="201"/>
        <v>.</v>
      </c>
      <c r="R1034" s="176" t="str">
        <f t="shared" si="198"/>
        <v/>
      </c>
      <c r="S1034" s="176" t="str">
        <f>IF(AND(AD1034=1,R1034&lt;&gt;".")=TRUE,R1034/VLOOKUP(G1034,'Exchange Rates'!B:C,2,0),IF(R1034=".",".",""))</f>
        <v/>
      </c>
      <c r="T1034" s="176" t="str">
        <f>IF(AD1034=1,IF(AF1034="Value is not given at all",".",IF(AF1034="Value is given by the source",S1034,IF(AF1034="Value is calculated with prices",(IF(SUMIFS(Q:Q,A:A,A1034)&gt;0,SUMIFS(Q:Q,A:A,A1034),"."))/VLOOKUP("USD",'Exchange Rates'!B:C,2,0),"Error with coding"))),"")</f>
        <v/>
      </c>
      <c r="U1034" s="177" t="s">
        <v>261</v>
      </c>
      <c r="V1034" s="584" t="s">
        <v>2983</v>
      </c>
      <c r="W1034" s="683" t="s">
        <v>260</v>
      </c>
      <c r="X1034" s="683" t="s">
        <v>260</v>
      </c>
      <c r="Y1034" s="683" t="s">
        <v>260</v>
      </c>
      <c r="Z1034" s="177">
        <v>0</v>
      </c>
      <c r="AA1034" s="180">
        <v>0</v>
      </c>
      <c r="AB1034" s="184" t="s">
        <v>260</v>
      </c>
      <c r="AC1034" s="544" t="str">
        <f>""</f>
        <v/>
      </c>
      <c r="AD1034" s="183">
        <v>0</v>
      </c>
      <c r="AE1034" s="183" t="s">
        <v>332</v>
      </c>
      <c r="AF1034" s="183" t="s">
        <v>265</v>
      </c>
      <c r="AG1034" s="183">
        <v>1</v>
      </c>
      <c r="AH1034" s="183">
        <v>10</v>
      </c>
      <c r="AI1034" s="181">
        <v>0</v>
      </c>
      <c r="AJ1034" s="181">
        <f>VLOOKUP($I1034,'Price List, Weapons &amp; Items'!B:F,5,0)</f>
        <v>0</v>
      </c>
      <c r="AK1034" s="181">
        <f t="shared" si="202"/>
        <v>0</v>
      </c>
      <c r="AL1034" s="181">
        <f t="shared" si="203"/>
        <v>0</v>
      </c>
      <c r="AM1034" s="181">
        <f t="shared" si="204"/>
        <v>0</v>
      </c>
      <c r="AN1034" s="180" t="str">
        <f>VLOOKUP($I1034,'Price List, Weapons &amp; Items'!B:L,COLUMN('Price List, Weapons &amp; Items'!$J$11)-1,0)</f>
        <v>Miscellaneous</v>
      </c>
      <c r="AO1034" s="180" t="str">
        <f>IF(I1034=".",".",VLOOKUP($I1034,'Price List, Weapons &amp; Items'!B:J,3,0))</f>
        <v>drone</v>
      </c>
      <c r="AP1034" s="545" t="str">
        <f t="shared" ca="1" si="199"/>
        <v/>
      </c>
      <c r="AQ1034" s="180">
        <f>VLOOKUP($I1034,'Price List, Weapons &amp; Items'!B:L,COLUMN('Price List, Weapons &amp; Items'!$L$11)-1,0)</f>
        <v>2</v>
      </c>
      <c r="AR1034" s="180">
        <f t="shared" si="205"/>
        <v>1</v>
      </c>
      <c r="AS1034" s="180">
        <f t="shared" si="206"/>
        <v>1</v>
      </c>
      <c r="AT1034" s="180">
        <f t="shared" si="207"/>
        <v>1</v>
      </c>
      <c r="AU1034" s="180" t="str">
        <f t="shared" si="208"/>
        <v>.</v>
      </c>
      <c r="AV1034" s="180" t="str">
        <f t="shared" si="209"/>
        <v>.</v>
      </c>
      <c r="AW1034" s="180">
        <f>IFERROR(VLOOKUP(B1034,'Share, Heavy Weapons to Ukraine'!B:J,COLUMN('Share, Heavy Weapons to Ukraine'!C1044)-1,0),0)</f>
        <v>1</v>
      </c>
      <c r="AX1034" s="180">
        <f>VLOOKUP('Bilateral Assistance, MAIN DATA'!B1034,'Country Summary'!B:F,COLUMN('Country Summary'!C1047)-1,FALSE)</f>
        <v>0</v>
      </c>
      <c r="AY1034" s="180" t="str">
        <f>IF(AND(AD1034=1,D1034="Military",H1034&lt;&gt;"Not given")=TRUE,IF(SUMIFS(P:P,A:A,A1034)&gt;0,ABS((SUMIFS(P:P,A:A,A1034)/VLOOKUP("USD",'Exchange Rates'!B:C,2,0)))/S1034,"."),".")</f>
        <v>.</v>
      </c>
      <c r="AZ1034" s="182" t="str">
        <f>IF(AND(AD1034=1,D1034="Military",H1034&lt;&gt;"Not given")=TRUE,IF(SUMIFS(P:P,A:A,A1034)&gt;0,IF((ABS((SUMIFS(P:P,A:A,A1034)/VLOOKUP("USD",'Exchange Rates'!B:C,2,0)))/S1034)&gt;1,(SUMIFS(P:P,A:A,A1034)-S1034)/S1034,(S1034-SUMIFS(P:P,A:A,A1034))/SUMIFS(P:P,A:A,A1034)),"."),".")</f>
        <v>.</v>
      </c>
      <c r="BA1034" s="182"/>
      <c r="BB1034" s="182"/>
      <c r="BC1034" s="182"/>
      <c r="BD1034" s="182"/>
      <c r="BE1034" s="182"/>
      <c r="BF1034" s="182"/>
      <c r="BG1034" s="182"/>
      <c r="BH1034" s="182"/>
      <c r="BI1034" s="182"/>
      <c r="BJ1034" s="182"/>
      <c r="BK1034" s="182"/>
      <c r="BL1034" s="182"/>
      <c r="BM1034" s="182"/>
      <c r="BN1034" s="182"/>
      <c r="BO1034" s="182"/>
      <c r="BP1034" s="182"/>
      <c r="BQ1034" s="182"/>
      <c r="BR1034" s="182"/>
      <c r="BS1034" s="182"/>
    </row>
    <row r="1035" spans="1:71" ht="15.9" customHeight="1" x14ac:dyDescent="0.3">
      <c r="A1035" s="5" t="s">
        <v>2980</v>
      </c>
      <c r="B1035" s="5" t="s">
        <v>2864</v>
      </c>
      <c r="C1035" s="174">
        <v>44847</v>
      </c>
      <c r="D1035" s="5" t="s">
        <v>285</v>
      </c>
      <c r="E1035" s="5" t="s">
        <v>339</v>
      </c>
      <c r="F1035" s="175" t="s">
        <v>2981</v>
      </c>
      <c r="G1035" s="15" t="s">
        <v>2866</v>
      </c>
      <c r="H1035" s="176" t="s">
        <v>341</v>
      </c>
      <c r="I1035" s="17" t="s">
        <v>2960</v>
      </c>
      <c r="J1035" s="113" t="str">
        <f>VLOOKUP($I1035,'Price List, Weapons &amp; Items'!B:C,2,0)</f>
        <v>Heavy weapon</v>
      </c>
      <c r="K1035" s="113" t="str">
        <f>IF(I1035=".",I1035,VLOOKUP($I1035,'Price List, Weapons &amp; Items'!B:D,3,0))</f>
        <v>105mm howitzer</v>
      </c>
      <c r="L1035" s="177">
        <f>VLOOKUP(I1035,'Price List, Weapons &amp; Items'!B:E,4,0)</f>
        <v>0</v>
      </c>
      <c r="M1035" s="542">
        <v>18</v>
      </c>
      <c r="N1035" s="542" t="s">
        <v>270</v>
      </c>
      <c r="O1035" s="543">
        <f>VLOOKUP($I1035,'Price List, Weapons &amp; Items'!B:G,6,0)</f>
        <v>1272482.2760025531</v>
      </c>
      <c r="P1035" s="176">
        <f t="shared" si="200"/>
        <v>22904680.968045954</v>
      </c>
      <c r="Q1035" s="176" t="str">
        <f t="shared" si="201"/>
        <v>.</v>
      </c>
      <c r="R1035" s="176" t="str">
        <f t="shared" si="198"/>
        <v/>
      </c>
      <c r="S1035" s="176" t="str">
        <f>IF(AND(AD1035=1,R1035&lt;&gt;".")=TRUE,R1035/VLOOKUP(G1035,'Exchange Rates'!B:C,2,0),IF(R1035=".",".",""))</f>
        <v/>
      </c>
      <c r="T1035" s="176" t="str">
        <f>IF(AD1035=1,IF(AF1035="Value is not given at all",".",IF(AF1035="Value is given by the source",S1035,IF(AF1035="Value is calculated with prices",(IF(SUMIFS(Q:Q,A:A,A1035)&gt;0,SUMIFS(Q:Q,A:A,A1035),"."))/VLOOKUP("USD",'Exchange Rates'!B:C,2,0),"Error with coding"))),"")</f>
        <v/>
      </c>
      <c r="U1035" s="177" t="s">
        <v>261</v>
      </c>
      <c r="V1035" s="584" t="s">
        <v>2983</v>
      </c>
      <c r="W1035" s="683" t="s">
        <v>260</v>
      </c>
      <c r="X1035" s="683" t="s">
        <v>260</v>
      </c>
      <c r="Y1035" s="683" t="s">
        <v>260</v>
      </c>
      <c r="Z1035" s="177">
        <v>0</v>
      </c>
      <c r="AA1035" s="180">
        <v>0</v>
      </c>
      <c r="AB1035" s="184" t="s">
        <v>260</v>
      </c>
      <c r="AC1035" s="544" t="str">
        <f>""</f>
        <v/>
      </c>
      <c r="AD1035" s="183">
        <v>0</v>
      </c>
      <c r="AE1035" s="183" t="s">
        <v>332</v>
      </c>
      <c r="AF1035" s="183" t="s">
        <v>265</v>
      </c>
      <c r="AG1035" s="183">
        <v>1</v>
      </c>
      <c r="AH1035" s="183">
        <v>10</v>
      </c>
      <c r="AI1035" s="181">
        <v>0</v>
      </c>
      <c r="AJ1035" s="181">
        <f>VLOOKUP($I1035,'Price List, Weapons &amp; Items'!B:F,5,0)</f>
        <v>0</v>
      </c>
      <c r="AK1035" s="181">
        <f t="shared" si="202"/>
        <v>0</v>
      </c>
      <c r="AL1035" s="181">
        <f t="shared" si="203"/>
        <v>0</v>
      </c>
      <c r="AM1035" s="181">
        <f t="shared" si="204"/>
        <v>0</v>
      </c>
      <c r="AN1035" s="180" t="str">
        <f>VLOOKUP($I1035,'Price List, Weapons &amp; Items'!B:L,COLUMN('Price List, Weapons &amp; Items'!$J$11)-1,0)</f>
        <v>Contracts</v>
      </c>
      <c r="AO1035" s="180" t="str">
        <f>IF(I1035=".",".",VLOOKUP($I1035,'Price List, Weapons &amp; Items'!B:J,3,0))</f>
        <v>105mm howitzer</v>
      </c>
      <c r="AP1035" s="545" t="str">
        <f t="shared" ca="1" si="199"/>
        <v/>
      </c>
      <c r="AQ1035" s="180">
        <f>VLOOKUP($I1035,'Price List, Weapons &amp; Items'!B:L,COLUMN('Price List, Weapons &amp; Items'!$L$11)-1,0)</f>
        <v>2</v>
      </c>
      <c r="AR1035" s="180">
        <f t="shared" si="205"/>
        <v>1</v>
      </c>
      <c r="AS1035" s="180">
        <f t="shared" si="206"/>
        <v>1</v>
      </c>
      <c r="AT1035" s="180">
        <f t="shared" si="207"/>
        <v>1</v>
      </c>
      <c r="AU1035" s="180" t="str">
        <f t="shared" si="208"/>
        <v>.</v>
      </c>
      <c r="AV1035" s="180" t="str">
        <f t="shared" si="209"/>
        <v>.</v>
      </c>
      <c r="AW1035" s="180">
        <f>IFERROR(VLOOKUP(B1035,'Share, Heavy Weapons to Ukraine'!B:J,COLUMN('Share, Heavy Weapons to Ukraine'!C1045)-1,0),0)</f>
        <v>1</v>
      </c>
      <c r="AX1035" s="180">
        <f>VLOOKUP('Bilateral Assistance, MAIN DATA'!B1035,'Country Summary'!B:F,COLUMN('Country Summary'!C1048)-1,FALSE)</f>
        <v>0</v>
      </c>
      <c r="AY1035" s="180" t="str">
        <f>IF(AND(AD1035=1,D1035="Military",H1035&lt;&gt;"Not given")=TRUE,IF(SUMIFS(P:P,A:A,A1035)&gt;0,ABS((SUMIFS(P:P,A:A,A1035)/VLOOKUP("USD",'Exchange Rates'!B:C,2,0)))/S1035,"."),".")</f>
        <v>.</v>
      </c>
      <c r="AZ1035" s="182" t="str">
        <f>IF(AND(AD1035=1,D1035="Military",H1035&lt;&gt;"Not given")=TRUE,IF(SUMIFS(P:P,A:A,A1035)&gt;0,IF((ABS((SUMIFS(P:P,A:A,A1035)/VLOOKUP("USD",'Exchange Rates'!B:C,2,0)))/S1035)&gt;1,(SUMIFS(P:P,A:A,A1035)-S1035)/S1035,(S1035-SUMIFS(P:P,A:A,A1035))/SUMIFS(P:P,A:A,A1035)),"."),".")</f>
        <v>.</v>
      </c>
      <c r="BA1035" s="182"/>
      <c r="BB1035" s="182"/>
      <c r="BC1035" s="182"/>
      <c r="BD1035" s="182"/>
      <c r="BE1035" s="182"/>
      <c r="BF1035" s="182"/>
      <c r="BG1035" s="182"/>
      <c r="BH1035" s="182"/>
      <c r="BI1035" s="182"/>
      <c r="BJ1035" s="182"/>
      <c r="BK1035" s="182"/>
      <c r="BL1035" s="182"/>
      <c r="BM1035" s="182"/>
      <c r="BN1035" s="182"/>
      <c r="BO1035" s="182"/>
      <c r="BP1035" s="182"/>
      <c r="BQ1035" s="182"/>
      <c r="BR1035" s="182"/>
      <c r="BS1035" s="182"/>
    </row>
    <row r="1036" spans="1:71" ht="15.9" customHeight="1" x14ac:dyDescent="0.3">
      <c r="A1036" s="5" t="s">
        <v>2985</v>
      </c>
      <c r="B1036" s="5" t="s">
        <v>2864</v>
      </c>
      <c r="C1036" s="174">
        <v>44847</v>
      </c>
      <c r="D1036" s="5" t="s">
        <v>285</v>
      </c>
      <c r="E1036" s="5" t="s">
        <v>294</v>
      </c>
      <c r="F1036" s="175" t="s">
        <v>2986</v>
      </c>
      <c r="G1036" s="15" t="s">
        <v>2866</v>
      </c>
      <c r="H1036" s="176">
        <v>10000000</v>
      </c>
      <c r="I1036" s="17" t="s">
        <v>260</v>
      </c>
      <c r="J1036" s="113" t="str">
        <f>VLOOKUP($I1036,'Price List, Weapons &amp; Items'!B:C,2,0)</f>
        <v>.</v>
      </c>
      <c r="K1036" s="113" t="str">
        <f>IF(I1036=".",I1036,VLOOKUP($I1036,'Price List, Weapons &amp; Items'!B:D,3,0))</f>
        <v>.</v>
      </c>
      <c r="L1036" s="177">
        <f>VLOOKUP(I1036,'Price List, Weapons &amp; Items'!B:E,4,0)</f>
        <v>0</v>
      </c>
      <c r="M1036" s="542" t="s">
        <v>260</v>
      </c>
      <c r="N1036" s="542" t="s">
        <v>260</v>
      </c>
      <c r="O1036" s="543" t="str">
        <f>VLOOKUP($I1036,'Price List, Weapons &amp; Items'!B:G,6,0)</f>
        <v>.</v>
      </c>
      <c r="P1036" s="176" t="str">
        <f t="shared" si="200"/>
        <v>.</v>
      </c>
      <c r="Q1036" s="176" t="str">
        <f t="shared" si="201"/>
        <v>.</v>
      </c>
      <c r="R1036" s="176">
        <f t="shared" si="198"/>
        <v>10000000</v>
      </c>
      <c r="S1036" s="176">
        <f>IF(AND(AD1036=1,R1036&lt;&gt;".")=TRUE,R1036/VLOOKUP(G1036,'Exchange Rates'!B:C,2,0),IF(R1036=".",".",""))</f>
        <v>11601735.619648699</v>
      </c>
      <c r="T1036" s="176" t="str">
        <f>IF(AD1036=1,IF(AF1036="Value is not given at all",".",IF(AF1036="Value is given by the source",S1036,IF(AF1036="Value is calculated with prices",(IF(SUMIFS(Q:Q,A:A,A1036)&gt;0,SUMIFS(Q:Q,A:A,A1036),"."))/VLOOKUP("USD",'Exchange Rates'!B:C,2,0),"Error with coding"))),"")</f>
        <v>.</v>
      </c>
      <c r="U1036" s="177" t="s">
        <v>261</v>
      </c>
      <c r="V1036" s="584" t="s">
        <v>2983</v>
      </c>
      <c r="W1036" s="683" t="s">
        <v>260</v>
      </c>
      <c r="X1036" s="683" t="s">
        <v>260</v>
      </c>
      <c r="Y1036" s="683" t="s">
        <v>260</v>
      </c>
      <c r="Z1036" s="177">
        <v>0</v>
      </c>
      <c r="AA1036" s="180">
        <v>0</v>
      </c>
      <c r="AB1036" s="184" t="s">
        <v>260</v>
      </c>
      <c r="AC1036" s="544" t="str">
        <f>""</f>
        <v/>
      </c>
      <c r="AD1036" s="183">
        <v>1</v>
      </c>
      <c r="AE1036" s="183" t="s">
        <v>264</v>
      </c>
      <c r="AF1036" s="183" t="s">
        <v>265</v>
      </c>
      <c r="AG1036" s="183">
        <v>1</v>
      </c>
      <c r="AH1036" s="183">
        <v>10</v>
      </c>
      <c r="AI1036" s="181">
        <v>0</v>
      </c>
      <c r="AJ1036" s="181">
        <f>VLOOKUP($I1036,'Price List, Weapons &amp; Items'!B:F,5,0)</f>
        <v>0</v>
      </c>
      <c r="AK1036" s="181">
        <f t="shared" si="202"/>
        <v>0</v>
      </c>
      <c r="AL1036" s="181">
        <f t="shared" si="203"/>
        <v>0</v>
      </c>
      <c r="AM1036" s="181">
        <f t="shared" si="204"/>
        <v>0</v>
      </c>
      <c r="AN1036" s="180" t="str">
        <f>VLOOKUP($I1036,'Price List, Weapons &amp; Items'!B:L,COLUMN('Price List, Weapons &amp; Items'!$J$11)-1,0)</f>
        <v>.</v>
      </c>
      <c r="AO1036" s="180" t="str">
        <f>IF(I1036=".",".",VLOOKUP($I1036,'Price List, Weapons &amp; Items'!B:J,3,0))</f>
        <v>.</v>
      </c>
      <c r="AP1036" s="545" t="e">
        <f t="shared" ca="1" si="199"/>
        <v>#NAME?</v>
      </c>
      <c r="AQ1036" s="180" t="str">
        <f>VLOOKUP($I1036,'Price List, Weapons &amp; Items'!B:L,COLUMN('Price List, Weapons &amp; Items'!$L$11)-1,0)</f>
        <v>no price, 0 count</v>
      </c>
      <c r="AR1036" s="180">
        <f t="shared" si="205"/>
        <v>1</v>
      </c>
      <c r="AS1036" s="180">
        <f t="shared" si="206"/>
        <v>1</v>
      </c>
      <c r="AT1036" s="180">
        <f t="shared" si="207"/>
        <v>1</v>
      </c>
      <c r="AU1036" s="180" t="str">
        <f t="shared" si="208"/>
        <v>.</v>
      </c>
      <c r="AV1036" s="180" t="str">
        <f t="shared" si="209"/>
        <v>.</v>
      </c>
      <c r="AW1036" s="180">
        <f>IFERROR(VLOOKUP(B1036,'Share, Heavy Weapons to Ukraine'!B:J,COLUMN('Share, Heavy Weapons to Ukraine'!C1046)-1,0),0)</f>
        <v>1</v>
      </c>
      <c r="AX1036" s="180">
        <f>VLOOKUP('Bilateral Assistance, MAIN DATA'!B1036,'Country Summary'!B:F,COLUMN('Country Summary'!C1049)-1,FALSE)</f>
        <v>0</v>
      </c>
      <c r="AY1036" s="180" t="str">
        <f>IF(AND(AD1036=1,D1036="Military",H1036&lt;&gt;"Not given")=TRUE,IF(SUMIFS(P:P,A:A,A1036)&gt;0,ABS((SUMIFS(P:P,A:A,A1036)/VLOOKUP("USD",'Exchange Rates'!B:C,2,0)))/S1036,"."),".")</f>
        <v>.</v>
      </c>
      <c r="AZ1036" s="182" t="str">
        <f>IF(AND(AD1036=1,D1036="Military",H1036&lt;&gt;"Not given")=TRUE,IF(SUMIFS(P:P,A:A,A1036)&gt;0,IF((ABS((SUMIFS(P:P,A:A,A1036)/VLOOKUP("USD",'Exchange Rates'!B:C,2,0)))/S1036)&gt;1,(SUMIFS(P:P,A:A,A1036)-S1036)/S1036,(S1036-SUMIFS(P:P,A:A,A1036))/SUMIFS(P:P,A:A,A1036)),"."),".")</f>
        <v>.</v>
      </c>
      <c r="BA1036" s="182"/>
      <c r="BB1036" s="182"/>
      <c r="BC1036" s="182"/>
      <c r="BD1036" s="182"/>
      <c r="BE1036" s="182"/>
      <c r="BF1036" s="182"/>
      <c r="BG1036" s="182"/>
      <c r="BH1036" s="182"/>
      <c r="BI1036" s="182"/>
      <c r="BJ1036" s="182"/>
      <c r="BK1036" s="182"/>
      <c r="BL1036" s="182"/>
      <c r="BM1036" s="182"/>
      <c r="BN1036" s="182"/>
      <c r="BO1036" s="182"/>
      <c r="BP1036" s="182"/>
      <c r="BQ1036" s="182"/>
      <c r="BR1036" s="182"/>
      <c r="BS1036" s="182"/>
    </row>
    <row r="1037" spans="1:71" ht="15.9" customHeight="1" x14ac:dyDescent="0.3">
      <c r="A1037" s="5" t="s">
        <v>2987</v>
      </c>
      <c r="B1037" s="5" t="s">
        <v>2864</v>
      </c>
      <c r="C1037" s="174">
        <v>44874</v>
      </c>
      <c r="D1037" s="5" t="s">
        <v>285</v>
      </c>
      <c r="E1037" s="5" t="s">
        <v>339</v>
      </c>
      <c r="F1037" s="175" t="s">
        <v>2988</v>
      </c>
      <c r="G1037" s="15" t="s">
        <v>2866</v>
      </c>
      <c r="H1037" s="176" t="s">
        <v>341</v>
      </c>
      <c r="I1037" s="156" t="s">
        <v>2989</v>
      </c>
      <c r="J1037" s="113" t="str">
        <f>VLOOKUP($I1037,'Price List, Weapons &amp; Items'!B:C,2,0)</f>
        <v>Heavy weapon</v>
      </c>
      <c r="K1037" s="113" t="str">
        <f>IF(I1037=".",I1037,VLOOKUP($I1037,'Price List, Weapons &amp; Items'!B:D,3,0))</f>
        <v>Surface-to-air missile (SAM)</v>
      </c>
      <c r="L1037" s="177">
        <f>VLOOKUP(I1037,'Price List, Weapons &amp; Items'!B:E,4,0)</f>
        <v>0</v>
      </c>
      <c r="M1037" s="542">
        <v>1000</v>
      </c>
      <c r="N1037" s="542">
        <v>1000</v>
      </c>
      <c r="O1037" s="543" t="str">
        <f>VLOOKUP($I1037,'Price List, Weapons &amp; Items'!B:G,6,0)</f>
        <v>.</v>
      </c>
      <c r="P1037" s="176" t="str">
        <f t="shared" si="200"/>
        <v>No price</v>
      </c>
      <c r="Q1037" s="176" t="str">
        <f t="shared" si="201"/>
        <v>No price</v>
      </c>
      <c r="R1037" s="176" t="str">
        <f t="shared" si="198"/>
        <v>.</v>
      </c>
      <c r="S1037" s="176" t="str">
        <f>IF(AND(AD1037=1,R1037&lt;&gt;".")=TRUE,R1037/VLOOKUP(G1037,'Exchange Rates'!B:C,2,0),IF(R1037=".",".",""))</f>
        <v>.</v>
      </c>
      <c r="T1037" s="176" t="str">
        <f>IF(AD1037=1,IF(AF1037="Value is not given at all",".",IF(AF1037="Value is given by the source",S1037,IF(AF1037="Value is calculated with prices",(IF(SUMIFS(Q:Q,A:A,A1037)&gt;0,SUMIFS(Q:Q,A:A,A1037),"."))/VLOOKUP("USD",'Exchange Rates'!B:C,2,0),"Error with coding"))),"")</f>
        <v>.</v>
      </c>
      <c r="U1037" s="177" t="s">
        <v>261</v>
      </c>
      <c r="V1037" s="584" t="s">
        <v>2990</v>
      </c>
      <c r="W1037" s="144" t="s">
        <v>260</v>
      </c>
      <c r="X1037" s="144" t="s">
        <v>260</v>
      </c>
      <c r="Y1037" s="668" t="s">
        <v>260</v>
      </c>
      <c r="Z1037" s="177">
        <v>0</v>
      </c>
      <c r="AA1037" s="180">
        <v>0</v>
      </c>
      <c r="AB1037" s="563" t="s">
        <v>2990</v>
      </c>
      <c r="AC1037" s="544" t="str">
        <f>""</f>
        <v/>
      </c>
      <c r="AD1037" s="183">
        <v>1</v>
      </c>
      <c r="AE1037" s="183" t="s">
        <v>332</v>
      </c>
      <c r="AF1037" s="183" t="s">
        <v>265</v>
      </c>
      <c r="AG1037" s="183">
        <v>1</v>
      </c>
      <c r="AH1037" s="183">
        <v>11</v>
      </c>
      <c r="AI1037" s="181">
        <v>0</v>
      </c>
      <c r="AJ1037" s="181">
        <f>VLOOKUP($I1037,'Price List, Weapons &amp; Items'!B:F,5,0)</f>
        <v>0</v>
      </c>
      <c r="AK1037" s="181">
        <f t="shared" si="202"/>
        <v>0</v>
      </c>
      <c r="AL1037" s="181">
        <f t="shared" si="203"/>
        <v>0</v>
      </c>
      <c r="AM1037" s="181">
        <f t="shared" si="204"/>
        <v>0</v>
      </c>
      <c r="AN1037" s="180" t="str">
        <f>VLOOKUP($I1037,'Price List, Weapons &amp; Items'!B:L,COLUMN('Price List, Weapons &amp; Items'!$J$11)-1,0)</f>
        <v>.</v>
      </c>
      <c r="AO1037" s="180" t="str">
        <f>IF(I1037=".",".",VLOOKUP($I1037,'Price List, Weapons &amp; Items'!B:J,3,0))</f>
        <v>Surface-to-air missile (SAM)</v>
      </c>
      <c r="AP1037" s="545" t="e">
        <f t="shared" ca="1" si="199"/>
        <v>#NAME?</v>
      </c>
      <c r="AQ1037" s="180">
        <f>VLOOKUP($I1037,'Price List, Weapons &amp; Items'!B:L,COLUMN('Price List, Weapons &amp; Items'!$L$11)-1,0)</f>
        <v>0</v>
      </c>
      <c r="AR1037" s="180">
        <f t="shared" si="205"/>
        <v>1</v>
      </c>
      <c r="AS1037" s="180">
        <f t="shared" si="206"/>
        <v>1</v>
      </c>
      <c r="AT1037" s="180">
        <f t="shared" si="207"/>
        <v>1</v>
      </c>
      <c r="AU1037" s="180" t="str">
        <f t="shared" si="208"/>
        <v>.</v>
      </c>
      <c r="AV1037" s="180" t="str">
        <f t="shared" si="209"/>
        <v>.</v>
      </c>
      <c r="AW1037" s="180">
        <f>IFERROR(VLOOKUP(B1037,'Share, Heavy Weapons to Ukraine'!B:J,COLUMN('Share, Heavy Weapons to Ukraine'!C1047)-1,0),0)</f>
        <v>1</v>
      </c>
      <c r="AX1037" s="180">
        <f>VLOOKUP('Bilateral Assistance, MAIN DATA'!B1037,'Country Summary'!B:F,COLUMN('Country Summary'!C1050)-1,FALSE)</f>
        <v>0</v>
      </c>
      <c r="AY1037" s="180" t="str">
        <f>IF(AND(AD1037=1,D1037="Military",H1037&lt;&gt;"Not given")=TRUE,IF(SUMIFS(P:P,A:A,A1037)&gt;0,ABS((SUMIFS(P:P,A:A,A1037)/VLOOKUP("USD",'Exchange Rates'!B:C,2,0)))/S1037,"."),".")</f>
        <v>.</v>
      </c>
      <c r="AZ1037" s="182" t="str">
        <f>IF(AND(AD1037=1,D1037="Military",H1037&lt;&gt;"Not given")=TRUE,IF(SUMIFS(P:P,A:A,A1037)&gt;0,IF((ABS((SUMIFS(P:P,A:A,A1037)/VLOOKUP("USD",'Exchange Rates'!B:C,2,0)))/S1037)&gt;1,(SUMIFS(P:P,A:A,A1037)-S1037)/S1037,(S1037-SUMIFS(P:P,A:A,A1037))/SUMIFS(P:P,A:A,A1037)),"."),".")</f>
        <v>.</v>
      </c>
      <c r="BA1037" s="182"/>
      <c r="BB1037" s="182"/>
      <c r="BC1037" s="182"/>
      <c r="BD1037" s="182"/>
      <c r="BE1037" s="182"/>
      <c r="BF1037" s="182"/>
      <c r="BG1037" s="182"/>
      <c r="BH1037" s="182"/>
      <c r="BI1037" s="182"/>
      <c r="BJ1037" s="182"/>
      <c r="BK1037" s="182"/>
      <c r="BL1037" s="182"/>
      <c r="BM1037" s="182"/>
      <c r="BN1037" s="182"/>
      <c r="BO1037" s="182"/>
      <c r="BP1037" s="182"/>
      <c r="BQ1037" s="182"/>
      <c r="BR1037" s="182"/>
      <c r="BS1037" s="182"/>
    </row>
    <row r="1038" spans="1:71" ht="15.9" customHeight="1" x14ac:dyDescent="0.3">
      <c r="A1038" s="5" t="s">
        <v>2991</v>
      </c>
      <c r="B1038" s="5" t="s">
        <v>2864</v>
      </c>
      <c r="C1038" s="174">
        <v>44884</v>
      </c>
      <c r="D1038" s="5" t="s">
        <v>285</v>
      </c>
      <c r="E1038" s="5" t="s">
        <v>339</v>
      </c>
      <c r="F1038" s="175" t="s">
        <v>2992</v>
      </c>
      <c r="G1038" s="15" t="s">
        <v>2866</v>
      </c>
      <c r="H1038" s="176">
        <v>50000000</v>
      </c>
      <c r="I1038" s="154" t="s">
        <v>2993</v>
      </c>
      <c r="J1038" s="113" t="str">
        <f>VLOOKUP($I1038,'Price List, Weapons &amp; Items'!B:C,2,0)</f>
        <v>Heavy weapon</v>
      </c>
      <c r="K1038" s="113" t="str">
        <f>IF(I1038=".",I1038,VLOOKUP($I1038,'Price List, Weapons &amp; Items'!B:D,3,0))</f>
        <v>Self-propelled anti-aircraft weapon</v>
      </c>
      <c r="L1038" s="177">
        <f>VLOOKUP(I1038,'Price List, Weapons &amp; Items'!B:E,4,0)</f>
        <v>0</v>
      </c>
      <c r="M1038" s="542">
        <v>125</v>
      </c>
      <c r="N1038" s="542" t="s">
        <v>270</v>
      </c>
      <c r="O1038" s="543" t="str">
        <f>VLOOKUP($I1038,'Price List, Weapons &amp; Items'!B:G,6,0)</f>
        <v>.</v>
      </c>
      <c r="P1038" s="176" t="str">
        <f t="shared" si="200"/>
        <v>No price</v>
      </c>
      <c r="Q1038" s="176" t="str">
        <f t="shared" si="201"/>
        <v>.</v>
      </c>
      <c r="R1038" s="176">
        <f t="shared" si="198"/>
        <v>50000000</v>
      </c>
      <c r="S1038" s="176">
        <f>IF(AND(AD1038=1,R1038&lt;&gt;".")=TRUE,R1038/VLOOKUP(G1038,'Exchange Rates'!B:C,2,0),IF(R1038=".",".",""))</f>
        <v>58008678.098243497</v>
      </c>
      <c r="T1038" s="176" t="str">
        <f>IF(AD1038=1,IF(AF1038="Value is not given at all",".",IF(AF1038="Value is given by the source",S1038,IF(AF1038="Value is calculated with prices",(IF(SUMIFS(Q:Q,A:A,A1038)&gt;0,SUMIFS(Q:Q,A:A,A1038),"."))/VLOOKUP("USD",'Exchange Rates'!B:C,2,0),"Error with coding"))),"")</f>
        <v>.</v>
      </c>
      <c r="U1038" s="177" t="s">
        <v>261</v>
      </c>
      <c r="V1038" s="584" t="s">
        <v>2994</v>
      </c>
      <c r="W1038" s="683" t="s">
        <v>260</v>
      </c>
      <c r="X1038" s="175" t="s">
        <v>260</v>
      </c>
      <c r="Y1038" s="175" t="s">
        <v>260</v>
      </c>
      <c r="Z1038" s="177">
        <v>0</v>
      </c>
      <c r="AA1038" s="180">
        <v>0</v>
      </c>
      <c r="AB1038" s="695" t="s">
        <v>260</v>
      </c>
      <c r="AC1038" s="544" t="str">
        <f>""</f>
        <v/>
      </c>
      <c r="AD1038" s="183">
        <v>1</v>
      </c>
      <c r="AE1038" s="183" t="s">
        <v>264</v>
      </c>
      <c r="AF1038" s="183" t="s">
        <v>265</v>
      </c>
      <c r="AG1038" s="183">
        <v>1</v>
      </c>
      <c r="AH1038" s="183">
        <v>11</v>
      </c>
      <c r="AI1038" s="183">
        <v>0</v>
      </c>
      <c r="AJ1038" s="181">
        <f>VLOOKUP($I1038,'Price List, Weapons &amp; Items'!B:F,5,0)</f>
        <v>0</v>
      </c>
      <c r="AK1038" s="181">
        <f t="shared" si="202"/>
        <v>0</v>
      </c>
      <c r="AL1038" s="181">
        <f t="shared" si="203"/>
        <v>0</v>
      </c>
      <c r="AM1038" s="181">
        <f t="shared" si="204"/>
        <v>0</v>
      </c>
      <c r="AN1038" s="180" t="str">
        <f>VLOOKUP($I1038,'Price List, Weapons &amp; Items'!B:L,COLUMN('Price List, Weapons &amp; Items'!$J$11)-1,0)</f>
        <v>.</v>
      </c>
      <c r="AO1038" s="180" t="str">
        <f>IF(I1038=".",".",VLOOKUP($I1038,'Price List, Weapons &amp; Items'!B:J,3,0))</f>
        <v>Self-propelled anti-aircraft weapon</v>
      </c>
      <c r="AP1038" s="545" t="e">
        <f t="shared" ca="1" si="199"/>
        <v>#NAME?</v>
      </c>
      <c r="AQ1038" s="180">
        <f>VLOOKUP($I1038,'Price List, Weapons &amp; Items'!B:L,COLUMN('Price List, Weapons &amp; Items'!$L$11)-1,0)</f>
        <v>0</v>
      </c>
      <c r="AR1038" s="180">
        <f t="shared" si="205"/>
        <v>1</v>
      </c>
      <c r="AS1038" s="180">
        <f t="shared" si="206"/>
        <v>1</v>
      </c>
      <c r="AT1038" s="180">
        <f t="shared" si="207"/>
        <v>1</v>
      </c>
      <c r="AU1038" s="180" t="str">
        <f t="shared" si="208"/>
        <v>.</v>
      </c>
      <c r="AV1038" s="180" t="str">
        <f t="shared" si="209"/>
        <v>.</v>
      </c>
      <c r="AW1038" s="180">
        <f>IFERROR(VLOOKUP(B1038,'Share, Heavy Weapons to Ukraine'!B:J,COLUMN('Share, Heavy Weapons to Ukraine'!C1048)-1,0),0)</f>
        <v>1</v>
      </c>
      <c r="AX1038" s="180">
        <f>VLOOKUP('Bilateral Assistance, MAIN DATA'!B1038,'Country Summary'!B:F,COLUMN('Country Summary'!C1051)-1,FALSE)</f>
        <v>0</v>
      </c>
      <c r="AY1038" s="180" t="str">
        <f>IF(AND(AD1038=1,D1038="Military",H1038&lt;&gt;"Not given")=TRUE,IF(SUMIFS(P:P,A:A,A1038)&gt;0,ABS((SUMIFS(P:P,A:A,A1038)/VLOOKUP("USD",'Exchange Rates'!B:C,2,0)))/S1038,"."),".")</f>
        <v>.</v>
      </c>
      <c r="AZ1038" s="182" t="str">
        <f>IF(AND(AD1038=1,D1038="Military",H1038&lt;&gt;"Not given")=TRUE,IF(SUMIFS(P:P,A:A,A1038)&gt;0,IF((ABS((SUMIFS(P:P,A:A,A1038)/VLOOKUP("USD",'Exchange Rates'!B:C,2,0)))/S1038)&gt;1,(SUMIFS(P:P,A:A,A1038)-S1038)/S1038,(S1038-SUMIFS(P:P,A:A,A1038))/SUMIFS(P:P,A:A,A1038)),"."),".")</f>
        <v>.</v>
      </c>
      <c r="BA1038" s="182"/>
      <c r="BB1038" s="182"/>
      <c r="BC1038" s="182"/>
      <c r="BD1038" s="182"/>
      <c r="BE1038" s="182"/>
      <c r="BF1038" s="182"/>
      <c r="BG1038" s="182"/>
      <c r="BH1038" s="182"/>
      <c r="BI1038" s="182"/>
      <c r="BJ1038" s="182"/>
      <c r="BK1038" s="182"/>
      <c r="BL1038" s="182"/>
      <c r="BM1038" s="182"/>
      <c r="BN1038" s="182"/>
      <c r="BO1038" s="182"/>
      <c r="BP1038" s="182"/>
      <c r="BQ1038" s="182"/>
      <c r="BR1038" s="182"/>
      <c r="BS1038" s="182"/>
    </row>
    <row r="1039" spans="1:71" ht="15.9" customHeight="1" x14ac:dyDescent="0.3">
      <c r="A1039" s="5" t="s">
        <v>2995</v>
      </c>
      <c r="B1039" s="5" t="s">
        <v>2864</v>
      </c>
      <c r="C1039" s="174">
        <v>44888</v>
      </c>
      <c r="D1039" s="5" t="s">
        <v>285</v>
      </c>
      <c r="E1039" s="5" t="s">
        <v>339</v>
      </c>
      <c r="F1039" s="175" t="s">
        <v>2996</v>
      </c>
      <c r="G1039" s="15" t="s">
        <v>346</v>
      </c>
      <c r="H1039" s="176" t="s">
        <v>341</v>
      </c>
      <c r="I1039" s="154" t="s">
        <v>986</v>
      </c>
      <c r="J1039" s="113" t="str">
        <f>VLOOKUP($I1039,'Price List, Weapons &amp; Items'!B:C,2,0)</f>
        <v>Ammunition for heavy weapon</v>
      </c>
      <c r="K1039" s="113" t="str">
        <f>IF(I1039=".",I1039,VLOOKUP($I1039,'Price List, Weapons &amp; Items'!B:D,3,0))</f>
        <v>howitzer ammunition</v>
      </c>
      <c r="L1039" s="177">
        <f>VLOOKUP(I1039,'Price List, Weapons &amp; Items'!B:E,4,0)</f>
        <v>0</v>
      </c>
      <c r="M1039" s="542">
        <v>10000</v>
      </c>
      <c r="N1039" s="542">
        <v>10000</v>
      </c>
      <c r="O1039" s="543">
        <f>VLOOKUP($I1039,'Price List, Weapons &amp; Items'!B:G,6,0)</f>
        <v>2000</v>
      </c>
      <c r="P1039" s="176">
        <f t="shared" si="200"/>
        <v>20000000</v>
      </c>
      <c r="Q1039" s="176">
        <f t="shared" si="201"/>
        <v>20000000</v>
      </c>
      <c r="R1039" s="176">
        <f t="shared" si="198"/>
        <v>32234577.649999999</v>
      </c>
      <c r="S1039" s="176">
        <f>IF(AND(AD1039=1,R1039&lt;&gt;".")=TRUE,R1039/VLOOKUP(G1039,'Exchange Rates'!B:C,2,0),IF(R1039=".",".",""))</f>
        <v>30699597.761904757</v>
      </c>
      <c r="T1039" s="176" t="str">
        <f>IF(AD1039=1,IF(AF1039="Value is not given at all",".",IF(AF1039="Value is given by the source",S1039,IF(AF1039="Value is calculated with prices",(IF(SUMIFS(Q:Q,A:A,A1039)&gt;0,SUMIFS(Q:Q,A:A,A1039),"."))/VLOOKUP("USD",'Exchange Rates'!B:C,2,0),"Error with coding"))),"")</f>
        <v>.</v>
      </c>
      <c r="U1039" s="177" t="s">
        <v>261</v>
      </c>
      <c r="V1039" s="584" t="s">
        <v>2997</v>
      </c>
      <c r="W1039" s="584" t="s">
        <v>2998</v>
      </c>
      <c r="X1039" s="175" t="s">
        <v>260</v>
      </c>
      <c r="Y1039" s="175" t="s">
        <v>260</v>
      </c>
      <c r="Z1039" s="177">
        <v>0</v>
      </c>
      <c r="AA1039" s="199">
        <v>1</v>
      </c>
      <c r="AB1039" s="563" t="s">
        <v>2999</v>
      </c>
      <c r="AC1039" s="544" t="str">
        <f>""</f>
        <v/>
      </c>
      <c r="AD1039" s="183">
        <v>1</v>
      </c>
      <c r="AE1039" s="183" t="s">
        <v>332</v>
      </c>
      <c r="AF1039" s="183" t="s">
        <v>265</v>
      </c>
      <c r="AG1039" s="183">
        <v>1</v>
      </c>
      <c r="AH1039" s="183">
        <v>11</v>
      </c>
      <c r="AI1039" s="183">
        <v>0</v>
      </c>
      <c r="AJ1039" s="181">
        <f>VLOOKUP($I1039,'Price List, Weapons &amp; Items'!B:F,5,0)</f>
        <v>0</v>
      </c>
      <c r="AK1039" s="181">
        <f t="shared" si="202"/>
        <v>0</v>
      </c>
      <c r="AL1039" s="181">
        <f t="shared" si="203"/>
        <v>0</v>
      </c>
      <c r="AM1039" s="181">
        <f t="shared" si="204"/>
        <v>1</v>
      </c>
      <c r="AN1039" s="180" t="str">
        <f>VLOOKUP($I1039,'Price List, Weapons &amp; Items'!B:L,COLUMN('Price List, Weapons &amp; Items'!$J$11)-1,0)</f>
        <v>Media reports (incl. social media)</v>
      </c>
      <c r="AO1039" s="180" t="str">
        <f>IF(I1039=".",".",VLOOKUP($I1039,'Price List, Weapons &amp; Items'!B:J,3,0))</f>
        <v>howitzer ammunition</v>
      </c>
      <c r="AP1039" s="545" t="e">
        <f t="shared" ca="1" si="199"/>
        <v>#NAME?</v>
      </c>
      <c r="AQ1039" s="180">
        <f>VLOOKUP($I1039,'Price List, Weapons &amp; Items'!B:L,COLUMN('Price List, Weapons &amp; Items'!$L$11)-1,0)</f>
        <v>2</v>
      </c>
      <c r="AR1039" s="180">
        <f t="shared" si="205"/>
        <v>1</v>
      </c>
      <c r="AS1039" s="180">
        <f t="shared" si="206"/>
        <v>1</v>
      </c>
      <c r="AT1039" s="180">
        <f t="shared" si="207"/>
        <v>1</v>
      </c>
      <c r="AU1039" s="180" t="str">
        <f t="shared" si="208"/>
        <v>.</v>
      </c>
      <c r="AV1039" s="180" t="str">
        <f t="shared" si="209"/>
        <v>.</v>
      </c>
      <c r="AW1039" s="180">
        <f>IFERROR(VLOOKUP(B1039,'Share, Heavy Weapons to Ukraine'!B:J,COLUMN('Share, Heavy Weapons to Ukraine'!C1049)-1,0),0)</f>
        <v>1</v>
      </c>
      <c r="AX1039" s="180">
        <f>VLOOKUP('Bilateral Assistance, MAIN DATA'!B1039,'Country Summary'!B:F,COLUMN('Country Summary'!C1052)-1,FALSE)</f>
        <v>0</v>
      </c>
      <c r="AY1039" s="180" t="str">
        <f>IF(AND(AD1039=1,D1039="Military",H1039&lt;&gt;"Not given")=TRUE,IF(SUMIFS(P:P,A:A,A1039)&gt;0,ABS((SUMIFS(P:P,A:A,A1039)/VLOOKUP("USD",'Exchange Rates'!B:C,2,0)))/S1039,"."),".")</f>
        <v>.</v>
      </c>
      <c r="AZ1039" s="182" t="str">
        <f>IF(AND(AD1039=1,D1039="Military",H1039&lt;&gt;"Not given")=TRUE,IF(SUMIFS(P:P,A:A,A1039)&gt;0,IF((ABS((SUMIFS(P:P,A:A,A1039)/VLOOKUP("USD",'Exchange Rates'!B:C,2,0)))/S1039)&gt;1,(SUMIFS(P:P,A:A,A1039)-S1039)/S1039,(S1039-SUMIFS(P:P,A:A,A1039))/SUMIFS(P:P,A:A,A1039)),"."),".")</f>
        <v>.</v>
      </c>
      <c r="BA1039" s="182"/>
      <c r="BB1039" s="182"/>
      <c r="BC1039" s="182"/>
      <c r="BD1039" s="182"/>
      <c r="BE1039" s="182"/>
      <c r="BF1039" s="182"/>
      <c r="BG1039" s="182"/>
      <c r="BH1039" s="182"/>
      <c r="BI1039" s="182"/>
      <c r="BJ1039" s="182"/>
      <c r="BK1039" s="182"/>
      <c r="BL1039" s="182"/>
      <c r="BM1039" s="182"/>
      <c r="BN1039" s="182"/>
      <c r="BO1039" s="182"/>
      <c r="BP1039" s="182"/>
      <c r="BQ1039" s="182"/>
      <c r="BR1039" s="182"/>
      <c r="BS1039" s="182"/>
    </row>
    <row r="1040" spans="1:71" ht="15.9" customHeight="1" x14ac:dyDescent="0.3">
      <c r="A1040" s="5" t="s">
        <v>2995</v>
      </c>
      <c r="B1040" s="5" t="s">
        <v>2864</v>
      </c>
      <c r="C1040" s="174">
        <v>44888</v>
      </c>
      <c r="D1040" s="5" t="s">
        <v>285</v>
      </c>
      <c r="E1040" s="5" t="s">
        <v>339</v>
      </c>
      <c r="F1040" s="175" t="s">
        <v>2996</v>
      </c>
      <c r="G1040" s="15" t="s">
        <v>346</v>
      </c>
      <c r="H1040" s="176" t="s">
        <v>341</v>
      </c>
      <c r="I1040" s="154" t="s">
        <v>3000</v>
      </c>
      <c r="J1040" s="113" t="str">
        <f>VLOOKUP($I1040,'Price List, Weapons &amp; Items'!B:C,2,0)</f>
        <v>Aviation and drones</v>
      </c>
      <c r="K1040" s="113" t="str">
        <f>IF(I1040=".",I1040,VLOOKUP($I1040,'Price List, Weapons &amp; Items'!B:D,3,0))</f>
        <v>non combat military helicopter</v>
      </c>
      <c r="L1040" s="177">
        <f>VLOOKUP(I1040,'Price List, Weapons &amp; Items'!B:E,4,0)</f>
        <v>0</v>
      </c>
      <c r="M1040" s="542">
        <v>3</v>
      </c>
      <c r="N1040" s="542">
        <v>3</v>
      </c>
      <c r="O1040" s="543">
        <f>VLOOKUP($I1040,'Price List, Weapons &amp; Items'!B:G,6,0)</f>
        <v>4078192.55</v>
      </c>
      <c r="P1040" s="176">
        <f t="shared" si="200"/>
        <v>12234577.649999999</v>
      </c>
      <c r="Q1040" s="176">
        <f t="shared" si="201"/>
        <v>12234577.649999999</v>
      </c>
      <c r="R1040" s="176" t="str">
        <f t="shared" si="198"/>
        <v/>
      </c>
      <c r="S1040" s="176" t="str">
        <f>IF(AND(AD1040=1,R1040&lt;&gt;".")=TRUE,R1040/VLOOKUP(G1040,'Exchange Rates'!B:C,2,0),IF(R1040=".",".",""))</f>
        <v/>
      </c>
      <c r="T1040" s="176" t="str">
        <f>IF(AD1040=1,IF(AF1040="Value is not given at all",".",IF(AF1040="Value is given by the source",S1040,IF(AF1040="Value is calculated with prices",(IF(SUMIFS(Q:Q,A:A,A1040)&gt;0,SUMIFS(Q:Q,A:A,A1040),"."))/VLOOKUP("USD",'Exchange Rates'!B:C,2,0),"Error with coding"))),"")</f>
        <v/>
      </c>
      <c r="U1040" s="177" t="s">
        <v>261</v>
      </c>
      <c r="V1040" s="584" t="s">
        <v>2997</v>
      </c>
      <c r="W1040" s="584" t="s">
        <v>2998</v>
      </c>
      <c r="X1040" s="175" t="s">
        <v>260</v>
      </c>
      <c r="Y1040" s="175" t="s">
        <v>260</v>
      </c>
      <c r="Z1040" s="177">
        <v>0</v>
      </c>
      <c r="AA1040" s="199">
        <v>1</v>
      </c>
      <c r="AB1040" s="563" t="s">
        <v>2999</v>
      </c>
      <c r="AC1040" s="544" t="str">
        <f>""</f>
        <v/>
      </c>
      <c r="AD1040" s="183">
        <v>0</v>
      </c>
      <c r="AE1040" s="183" t="s">
        <v>332</v>
      </c>
      <c r="AF1040" s="183" t="s">
        <v>265</v>
      </c>
      <c r="AG1040" s="183">
        <v>1</v>
      </c>
      <c r="AH1040" s="183">
        <v>11</v>
      </c>
      <c r="AI1040" s="183">
        <v>0</v>
      </c>
      <c r="AJ1040" s="181">
        <f>VLOOKUP($I1040,'Price List, Weapons &amp; Items'!B:F,5,0)</f>
        <v>0</v>
      </c>
      <c r="AK1040" s="181">
        <f t="shared" si="202"/>
        <v>0</v>
      </c>
      <c r="AL1040" s="181">
        <f t="shared" si="203"/>
        <v>0</v>
      </c>
      <c r="AM1040" s="181">
        <f t="shared" si="204"/>
        <v>0</v>
      </c>
      <c r="AN1040" s="180" t="str">
        <f>VLOOKUP($I1040,'Price List, Weapons &amp; Items'!B:L,COLUMN('Price List, Weapons &amp; Items'!$J$11)-1,0)</f>
        <v>Contracts</v>
      </c>
      <c r="AO1040" s="180" t="str">
        <f>IF(I1040=".",".",VLOOKUP($I1040,'Price List, Weapons &amp; Items'!B:J,3,0))</f>
        <v>non combat military helicopter</v>
      </c>
      <c r="AP1040" s="545" t="str">
        <f t="shared" ca="1" si="199"/>
        <v/>
      </c>
      <c r="AQ1040" s="180">
        <f>VLOOKUP($I1040,'Price List, Weapons &amp; Items'!B:L,COLUMN('Price List, Weapons &amp; Items'!$L$11)-1,0)</f>
        <v>2</v>
      </c>
      <c r="AR1040" s="180">
        <f t="shared" si="205"/>
        <v>1</v>
      </c>
      <c r="AS1040" s="180">
        <f t="shared" si="206"/>
        <v>1</v>
      </c>
      <c r="AT1040" s="180">
        <f t="shared" si="207"/>
        <v>1</v>
      </c>
      <c r="AU1040" s="180" t="str">
        <f t="shared" si="208"/>
        <v>.</v>
      </c>
      <c r="AV1040" s="180" t="str">
        <f t="shared" si="209"/>
        <v>.</v>
      </c>
      <c r="AW1040" s="180">
        <f>IFERROR(VLOOKUP(B1040,'Share, Heavy Weapons to Ukraine'!B:J,COLUMN('Share, Heavy Weapons to Ukraine'!C1050)-1,0),0)</f>
        <v>1</v>
      </c>
      <c r="AX1040" s="180">
        <f>VLOOKUP('Bilateral Assistance, MAIN DATA'!B1040,'Country Summary'!B:F,COLUMN('Country Summary'!C1053)-1,FALSE)</f>
        <v>0</v>
      </c>
      <c r="AY1040" s="180" t="str">
        <f>IF(AND(AD1040=1,D1040="Military",H1040&lt;&gt;"Not given")=TRUE,IF(SUMIFS(P:P,A:A,A1040)&gt;0,ABS((SUMIFS(P:P,A:A,A1040)/VLOOKUP("USD",'Exchange Rates'!B:C,2,0)))/S1040,"."),".")</f>
        <v>.</v>
      </c>
      <c r="AZ1040" s="182" t="str">
        <f>IF(AND(AD1040=1,D1040="Military",H1040&lt;&gt;"Not given")=TRUE,IF(SUMIFS(P:P,A:A,A1040)&gt;0,IF((ABS((SUMIFS(P:P,A:A,A1040)/VLOOKUP("USD",'Exchange Rates'!B:C,2,0)))/S1040)&gt;1,(SUMIFS(P:P,A:A,A1040)-S1040)/S1040,(S1040-SUMIFS(P:P,A:A,A1040))/SUMIFS(P:P,A:A,A1040)),"."),".")</f>
        <v>.</v>
      </c>
      <c r="BA1040" s="182"/>
      <c r="BB1040" s="182"/>
      <c r="BC1040" s="182"/>
      <c r="BD1040" s="182"/>
      <c r="BE1040" s="182"/>
      <c r="BF1040" s="182"/>
      <c r="BG1040" s="182"/>
      <c r="BH1040" s="182"/>
      <c r="BI1040" s="182"/>
      <c r="BJ1040" s="182"/>
      <c r="BK1040" s="182"/>
      <c r="BL1040" s="182"/>
      <c r="BM1040" s="182"/>
      <c r="BN1040" s="182"/>
      <c r="BO1040" s="182"/>
      <c r="BP1040" s="182"/>
      <c r="BQ1040" s="182"/>
      <c r="BR1040" s="182"/>
      <c r="BS1040" s="182"/>
    </row>
    <row r="1041" spans="1:71" ht="15.9" customHeight="1" x14ac:dyDescent="0.3">
      <c r="A1041" s="5" t="s">
        <v>3001</v>
      </c>
      <c r="B1041" s="5" t="s">
        <v>2864</v>
      </c>
      <c r="C1041" s="174">
        <v>44940</v>
      </c>
      <c r="D1041" s="5" t="s">
        <v>285</v>
      </c>
      <c r="E1041" s="5" t="s">
        <v>339</v>
      </c>
      <c r="F1041" s="175" t="s">
        <v>3002</v>
      </c>
      <c r="G1041" s="15" t="s">
        <v>346</v>
      </c>
      <c r="H1041" s="176" t="s">
        <v>341</v>
      </c>
      <c r="I1041" s="154" t="s">
        <v>3003</v>
      </c>
      <c r="J1041" s="113" t="str">
        <f>VLOOKUP($I1041,'Price List, Weapons &amp; Items'!B:C,2,0)</f>
        <v>Heavy weapon</v>
      </c>
      <c r="K1041" s="113" t="str">
        <f>IF(I1041=".",I1041,VLOOKUP($I1041,'Price List, Weapons &amp; Items'!B:D,3,0))</f>
        <v>Main Battle Tank (MBT)</v>
      </c>
      <c r="L1041" s="177">
        <f>VLOOKUP(I1041,'Price List, Weapons &amp; Items'!B:E,4,0)</f>
        <v>0</v>
      </c>
      <c r="M1041" s="542">
        <v>14</v>
      </c>
      <c r="N1041" s="542" t="s">
        <v>270</v>
      </c>
      <c r="O1041" s="543">
        <f>VLOOKUP($I1041,'Price List, Weapons &amp; Items'!B:G,6,0)</f>
        <v>13644373.365967626</v>
      </c>
      <c r="P1041" s="176">
        <f t="shared" si="200"/>
        <v>191021227.12354675</v>
      </c>
      <c r="Q1041" s="176" t="str">
        <f t="shared" si="201"/>
        <v>.</v>
      </c>
      <c r="R1041" s="176">
        <f t="shared" si="198"/>
        <v>789422662.45106387</v>
      </c>
      <c r="S1041" s="176">
        <f>IF(AND(AD1041=1,R1041&lt;&gt;".")=TRUE,R1041/VLOOKUP(G1041,'Exchange Rates'!B:C,2,0),IF(R1041=".",".",""))</f>
        <v>751831107.09625125</v>
      </c>
      <c r="T1041" s="176" t="str">
        <f>IF(AD1041=1,IF(AF1041="Value is not given at all",".",IF(AF1041="Value is given by the source",S1041,IF(AF1041="Value is calculated with prices",(IF(SUMIFS(Q:Q,A:A,A1041)&gt;0,SUMIFS(Q:Q,A:A,A1041),"."))/VLOOKUP("USD",'Exchange Rates'!B:C,2,0),"Error with coding"))),"")</f>
        <v>.</v>
      </c>
      <c r="U1041" s="177" t="s">
        <v>261</v>
      </c>
      <c r="V1041" s="584" t="s">
        <v>3004</v>
      </c>
      <c r="W1041" s="584" t="s">
        <v>3005</v>
      </c>
      <c r="X1041" s="175" t="s">
        <v>260</v>
      </c>
      <c r="Y1041" s="175" t="s">
        <v>260</v>
      </c>
      <c r="Z1041" s="177">
        <v>0</v>
      </c>
      <c r="AA1041" s="15">
        <v>1</v>
      </c>
      <c r="AB1041" s="695" t="s">
        <v>260</v>
      </c>
      <c r="AC1041" s="544" t="str">
        <f>""</f>
        <v/>
      </c>
      <c r="AD1041" s="183">
        <v>1</v>
      </c>
      <c r="AE1041" s="183" t="s">
        <v>332</v>
      </c>
      <c r="AF1041" s="183" t="s">
        <v>265</v>
      </c>
      <c r="AG1041" s="183">
        <v>1</v>
      </c>
      <c r="AH1041" s="183">
        <v>13</v>
      </c>
      <c r="AI1041" s="183">
        <v>0</v>
      </c>
      <c r="AJ1041" s="181">
        <f>VLOOKUP($I1041,'Price List, Weapons &amp; Items'!B:F,5,0)</f>
        <v>1</v>
      </c>
      <c r="AK1041" s="181">
        <f t="shared" si="202"/>
        <v>0</v>
      </c>
      <c r="AL1041" s="181">
        <f t="shared" si="203"/>
        <v>1</v>
      </c>
      <c r="AM1041" s="181">
        <f t="shared" si="204"/>
        <v>0</v>
      </c>
      <c r="AN1041" s="180" t="str">
        <f>VLOOKUP($I1041,'Price List, Weapons &amp; Items'!B:L,COLUMN('Price List, Weapons &amp; Items'!$J$11)-1,0)</f>
        <v>Contracts</v>
      </c>
      <c r="AO1041" s="180" t="str">
        <f>IF(I1041=".",".",VLOOKUP($I1041,'Price List, Weapons &amp; Items'!B:J,3,0))</f>
        <v>Main Battle Tank (MBT)</v>
      </c>
      <c r="AP1041" s="545" t="e">
        <f t="shared" ca="1" si="199"/>
        <v>#NAME?</v>
      </c>
      <c r="AQ1041" s="180">
        <f>VLOOKUP($I1041,'Price List, Weapons &amp; Items'!B:L,COLUMN('Price List, Weapons &amp; Items'!$L$11)-1,0)</f>
        <v>2</v>
      </c>
      <c r="AR1041" s="180">
        <f t="shared" si="205"/>
        <v>1</v>
      </c>
      <c r="AS1041" s="180">
        <f t="shared" si="206"/>
        <v>1</v>
      </c>
      <c r="AT1041" s="180">
        <f t="shared" si="207"/>
        <v>1</v>
      </c>
      <c r="AU1041" s="180" t="str">
        <f t="shared" si="208"/>
        <v>.</v>
      </c>
      <c r="AV1041" s="180" t="str">
        <f t="shared" si="209"/>
        <v>.</v>
      </c>
      <c r="AW1041" s="180">
        <f>IFERROR(VLOOKUP(B1041,'Share, Heavy Weapons to Ukraine'!B:J,COLUMN('Share, Heavy Weapons to Ukraine'!C1051)-1,0),0)</f>
        <v>1</v>
      </c>
      <c r="AX1041" s="180">
        <f>VLOOKUP('Bilateral Assistance, MAIN DATA'!B1041,'Country Summary'!B:F,COLUMN('Country Summary'!C1054)-1,FALSE)</f>
        <v>0</v>
      </c>
      <c r="AY1041" s="180" t="str">
        <f>IF(AND(AD1041=1,D1041="Military",H1041&lt;&gt;"Not given")=TRUE,IF(SUMIFS(P:P,A:A,A1041)&gt;0,ABS((SUMIFS(P:P,A:A,A1041)/VLOOKUP("USD",'Exchange Rates'!B:C,2,0)))/S1041,"."),".")</f>
        <v>.</v>
      </c>
      <c r="AZ1041" s="182" t="str">
        <f>IF(AND(AD1041=1,D1041="Military",H1041&lt;&gt;"Not given")=TRUE,IF(SUMIFS(P:P,A:A,A1041)&gt;0,IF((ABS((SUMIFS(P:P,A:A,A1041)/VLOOKUP("USD",'Exchange Rates'!B:C,2,0)))/S1041)&gt;1,(SUMIFS(P:P,A:A,A1041)-S1041)/S1041,(S1041-SUMIFS(P:P,A:A,A1041))/SUMIFS(P:P,A:A,A1041)),"."),".")</f>
        <v>.</v>
      </c>
      <c r="BA1041" s="182"/>
      <c r="BB1041" s="182"/>
      <c r="BC1041" s="182"/>
      <c r="BD1041" s="182"/>
      <c r="BE1041" s="182"/>
      <c r="BF1041" s="182"/>
      <c r="BG1041" s="182"/>
      <c r="BH1041" s="182"/>
      <c r="BI1041" s="182"/>
      <c r="BJ1041" s="182"/>
      <c r="BK1041" s="182"/>
      <c r="BL1041" s="182"/>
      <c r="BM1041" s="182"/>
      <c r="BN1041" s="182"/>
      <c r="BO1041" s="182"/>
      <c r="BP1041" s="182"/>
      <c r="BQ1041" s="182"/>
      <c r="BR1041" s="182"/>
      <c r="BS1041" s="182"/>
    </row>
    <row r="1042" spans="1:71" ht="15.9" customHeight="1" x14ac:dyDescent="0.3">
      <c r="A1042" s="5" t="s">
        <v>3001</v>
      </c>
      <c r="B1042" s="5" t="s">
        <v>2864</v>
      </c>
      <c r="C1042" s="174">
        <v>44940</v>
      </c>
      <c r="D1042" s="5" t="s">
        <v>285</v>
      </c>
      <c r="E1042" s="5" t="s">
        <v>339</v>
      </c>
      <c r="F1042" s="175" t="s">
        <v>3002</v>
      </c>
      <c r="G1042" s="15" t="s">
        <v>346</v>
      </c>
      <c r="H1042" s="176" t="s">
        <v>341</v>
      </c>
      <c r="I1042" s="154" t="s">
        <v>3006</v>
      </c>
      <c r="J1042" s="113" t="str">
        <f>VLOOKUP($I1042,'Price List, Weapons &amp; Items'!B:C,2,0)</f>
        <v>Heavy weapon</v>
      </c>
      <c r="K1042" s="113" t="str">
        <f>IF(I1042=".",I1042,VLOOKUP($I1042,'Price List, Weapons &amp; Items'!B:D,3,0))</f>
        <v>155mm howitzer</v>
      </c>
      <c r="L1042" s="177">
        <f>VLOOKUP(I1042,'Price List, Weapons &amp; Items'!B:E,4,0)</f>
        <v>0</v>
      </c>
      <c r="M1042" s="542">
        <v>30</v>
      </c>
      <c r="N1042" s="542" t="s">
        <v>270</v>
      </c>
      <c r="O1042" s="543">
        <f>VLOOKUP($I1042,'Price List, Weapons &amp; Items'!B:G,6,0)</f>
        <v>13280047.844250571</v>
      </c>
      <c r="P1042" s="176">
        <f t="shared" si="200"/>
        <v>398401435.32751715</v>
      </c>
      <c r="Q1042" s="176" t="str">
        <f t="shared" si="201"/>
        <v>.</v>
      </c>
      <c r="R1042" s="176" t="str">
        <f t="shared" si="198"/>
        <v/>
      </c>
      <c r="S1042" s="176" t="str">
        <f>IF(AND(AD1042=1,R1042&lt;&gt;".")=TRUE,R1042/VLOOKUP(G1042,'Exchange Rates'!B:C,2,0),IF(R1042=".",".",""))</f>
        <v/>
      </c>
      <c r="T1042" s="176" t="str">
        <f>IF(AD1042=1,IF(AF1042="Value is not given at all",".",IF(AF1042="Value is given by the source",S1042,IF(AF1042="Value is calculated with prices",(IF(SUMIFS(Q:Q,A:A,A1042)&gt;0,SUMIFS(Q:Q,A:A,A1042),"."))/VLOOKUP("USD",'Exchange Rates'!B:C,2,0),"Error with coding"))),"")</f>
        <v/>
      </c>
      <c r="U1042" s="177" t="s">
        <v>261</v>
      </c>
      <c r="V1042" s="584" t="s">
        <v>3004</v>
      </c>
      <c r="W1042" s="584" t="s">
        <v>3005</v>
      </c>
      <c r="X1042" s="175" t="s">
        <v>260</v>
      </c>
      <c r="Y1042" s="175" t="s">
        <v>260</v>
      </c>
      <c r="Z1042" s="177">
        <v>0</v>
      </c>
      <c r="AA1042" s="15">
        <v>1</v>
      </c>
      <c r="AB1042" s="695" t="s">
        <v>260</v>
      </c>
      <c r="AC1042" s="544" t="str">
        <f>""</f>
        <v/>
      </c>
      <c r="AD1042" s="183">
        <v>0</v>
      </c>
      <c r="AE1042" s="183" t="s">
        <v>332</v>
      </c>
      <c r="AF1042" s="183" t="s">
        <v>265</v>
      </c>
      <c r="AG1042" s="183">
        <v>1</v>
      </c>
      <c r="AH1042" s="183">
        <v>13</v>
      </c>
      <c r="AI1042" s="183">
        <v>0</v>
      </c>
      <c r="AJ1042" s="181">
        <f>VLOOKUP($I1042,'Price List, Weapons &amp; Items'!B:F,5,0)</f>
        <v>1</v>
      </c>
      <c r="AK1042" s="181">
        <f t="shared" si="202"/>
        <v>0</v>
      </c>
      <c r="AL1042" s="181">
        <f t="shared" si="203"/>
        <v>1</v>
      </c>
      <c r="AM1042" s="181">
        <f t="shared" si="204"/>
        <v>0</v>
      </c>
      <c r="AN1042" s="180" t="str">
        <f>VLOOKUP($I1042,'Price List, Weapons &amp; Items'!B:L,COLUMN('Price List, Weapons &amp; Items'!$J$11)-1,0)</f>
        <v>Contracts</v>
      </c>
      <c r="AO1042" s="180" t="str">
        <f>IF(I1042=".",".",VLOOKUP($I1042,'Price List, Weapons &amp; Items'!B:J,3,0))</f>
        <v>155mm howitzer</v>
      </c>
      <c r="AP1042" s="545" t="str">
        <f t="shared" ca="1" si="199"/>
        <v/>
      </c>
      <c r="AQ1042" s="180">
        <f>VLOOKUP($I1042,'Price List, Weapons &amp; Items'!B:L,COLUMN('Price List, Weapons &amp; Items'!$L$11)-1,0)</f>
        <v>2</v>
      </c>
      <c r="AR1042" s="180">
        <f t="shared" si="205"/>
        <v>1</v>
      </c>
      <c r="AS1042" s="180">
        <f t="shared" si="206"/>
        <v>1</v>
      </c>
      <c r="AT1042" s="180">
        <f t="shared" si="207"/>
        <v>1</v>
      </c>
      <c r="AU1042" s="180" t="str">
        <f t="shared" si="208"/>
        <v>.</v>
      </c>
      <c r="AV1042" s="180" t="str">
        <f t="shared" si="209"/>
        <v>.</v>
      </c>
      <c r="AW1042" s="180">
        <f>IFERROR(VLOOKUP(B1042,'Share, Heavy Weapons to Ukraine'!B:J,COLUMN('Share, Heavy Weapons to Ukraine'!C1052)-1,0),0)</f>
        <v>1</v>
      </c>
      <c r="AX1042" s="180">
        <f>VLOOKUP('Bilateral Assistance, MAIN DATA'!B1042,'Country Summary'!B:F,COLUMN('Country Summary'!C1055)-1,FALSE)</f>
        <v>0</v>
      </c>
      <c r="AY1042" s="180" t="str">
        <f>IF(AND(AD1042=1,D1042="Military",H1042&lt;&gt;"Not given")=TRUE,IF(SUMIFS(P:P,A:A,A1042)&gt;0,ABS((SUMIFS(P:P,A:A,A1042)/VLOOKUP("USD",'Exchange Rates'!B:C,2,0)))/S1042,"."),".")</f>
        <v>.</v>
      </c>
      <c r="AZ1042" s="182" t="str">
        <f>IF(AND(AD1042=1,D1042="Military",H1042&lt;&gt;"Not given")=TRUE,IF(SUMIFS(P:P,A:A,A1042)&gt;0,IF((ABS((SUMIFS(P:P,A:A,A1042)/VLOOKUP("USD",'Exchange Rates'!B:C,2,0)))/S1042)&gt;1,(SUMIFS(P:P,A:A,A1042)-S1042)/S1042,(S1042-SUMIFS(P:P,A:A,A1042))/SUMIFS(P:P,A:A,A1042)),"."),".")</f>
        <v>.</v>
      </c>
      <c r="BA1042" s="182"/>
      <c r="BB1042" s="182"/>
      <c r="BC1042" s="182"/>
      <c r="BD1042" s="182"/>
      <c r="BE1042" s="182"/>
      <c r="BF1042" s="182"/>
      <c r="BG1042" s="182"/>
      <c r="BH1042" s="182"/>
      <c r="BI1042" s="182"/>
      <c r="BJ1042" s="182"/>
      <c r="BK1042" s="182"/>
      <c r="BL1042" s="182"/>
      <c r="BM1042" s="182"/>
      <c r="BN1042" s="182"/>
      <c r="BO1042" s="182"/>
      <c r="BP1042" s="182"/>
      <c r="BQ1042" s="182"/>
      <c r="BR1042" s="182"/>
      <c r="BS1042" s="182"/>
    </row>
    <row r="1043" spans="1:71" ht="15.9" customHeight="1" x14ac:dyDescent="0.3">
      <c r="A1043" s="5" t="s">
        <v>3001</v>
      </c>
      <c r="B1043" s="5" t="s">
        <v>2864</v>
      </c>
      <c r="C1043" s="174">
        <v>44940</v>
      </c>
      <c r="D1043" s="5" t="s">
        <v>285</v>
      </c>
      <c r="E1043" s="5" t="s">
        <v>339</v>
      </c>
      <c r="F1043" s="175" t="s">
        <v>3002</v>
      </c>
      <c r="G1043" s="15" t="s">
        <v>346</v>
      </c>
      <c r="H1043" s="176" t="s">
        <v>341</v>
      </c>
      <c r="I1043" s="154" t="s">
        <v>986</v>
      </c>
      <c r="J1043" s="113" t="str">
        <f>VLOOKUP($I1043,'Price List, Weapons &amp; Items'!B:C,2,0)</f>
        <v>Ammunition for heavy weapon</v>
      </c>
      <c r="K1043" s="113" t="str">
        <f>IF(I1043=".",I1043,VLOOKUP($I1043,'Price List, Weapons &amp; Items'!B:D,3,0))</f>
        <v>howitzer ammunition</v>
      </c>
      <c r="L1043" s="177">
        <f>VLOOKUP(I1043,'Price List, Weapons &amp; Items'!B:E,4,0)</f>
        <v>0</v>
      </c>
      <c r="M1043" s="542">
        <v>100000</v>
      </c>
      <c r="N1043" s="542" t="s">
        <v>270</v>
      </c>
      <c r="O1043" s="543">
        <f>VLOOKUP($I1043,'Price List, Weapons &amp; Items'!B:G,6,0)</f>
        <v>2000</v>
      </c>
      <c r="P1043" s="176">
        <f t="shared" si="200"/>
        <v>200000000</v>
      </c>
      <c r="Q1043" s="176" t="str">
        <f t="shared" si="201"/>
        <v>.</v>
      </c>
      <c r="R1043" s="176" t="str">
        <f t="shared" si="198"/>
        <v/>
      </c>
      <c r="S1043" s="176" t="str">
        <f>IF(AND(AD1043=1,R1043&lt;&gt;".")=TRUE,R1043/VLOOKUP(G1043,'Exchange Rates'!B:C,2,0),IF(R1043=".",".",""))</f>
        <v/>
      </c>
      <c r="T1043" s="176" t="str">
        <f>IF(AD1043=1,IF(AF1043="Value is not given at all",".",IF(AF1043="Value is given by the source",S1043,IF(AF1043="Value is calculated with prices",(IF(SUMIFS(Q:Q,A:A,A1043)&gt;0,SUMIFS(Q:Q,A:A,A1043),"."))/VLOOKUP("USD",'Exchange Rates'!B:C,2,0),"Error with coding"))),"")</f>
        <v/>
      </c>
      <c r="U1043" s="177" t="s">
        <v>261</v>
      </c>
      <c r="V1043" s="584" t="s">
        <v>3004</v>
      </c>
      <c r="W1043" s="584" t="s">
        <v>3005</v>
      </c>
      <c r="X1043" s="175" t="s">
        <v>260</v>
      </c>
      <c r="Y1043" s="175" t="s">
        <v>260</v>
      </c>
      <c r="Z1043" s="177">
        <v>0</v>
      </c>
      <c r="AA1043" s="15">
        <v>1</v>
      </c>
      <c r="AB1043" s="695" t="s">
        <v>260</v>
      </c>
      <c r="AC1043" s="544" t="str">
        <f>""</f>
        <v/>
      </c>
      <c r="AD1043" s="183">
        <v>0</v>
      </c>
      <c r="AE1043" s="183" t="s">
        <v>332</v>
      </c>
      <c r="AF1043" s="183" t="s">
        <v>265</v>
      </c>
      <c r="AG1043" s="183">
        <v>1</v>
      </c>
      <c r="AH1043" s="183">
        <v>13</v>
      </c>
      <c r="AI1043" s="183">
        <v>0</v>
      </c>
      <c r="AJ1043" s="181">
        <f>VLOOKUP($I1043,'Price List, Weapons &amp; Items'!B:F,5,0)</f>
        <v>0</v>
      </c>
      <c r="AK1043" s="181">
        <f t="shared" si="202"/>
        <v>0</v>
      </c>
      <c r="AL1043" s="181">
        <f t="shared" si="203"/>
        <v>0</v>
      </c>
      <c r="AM1043" s="181">
        <f t="shared" si="204"/>
        <v>1</v>
      </c>
      <c r="AN1043" s="180" t="str">
        <f>VLOOKUP($I1043,'Price List, Weapons &amp; Items'!B:L,COLUMN('Price List, Weapons &amp; Items'!$J$11)-1,0)</f>
        <v>Media reports (incl. social media)</v>
      </c>
      <c r="AO1043" s="180" t="str">
        <f>IF(I1043=".",".",VLOOKUP($I1043,'Price List, Weapons &amp; Items'!B:J,3,0))</f>
        <v>howitzer ammunition</v>
      </c>
      <c r="AP1043" s="545" t="str">
        <f t="shared" ca="1" si="199"/>
        <v/>
      </c>
      <c r="AQ1043" s="180">
        <f>VLOOKUP($I1043,'Price List, Weapons &amp; Items'!B:L,COLUMN('Price List, Weapons &amp; Items'!$L$11)-1,0)</f>
        <v>2</v>
      </c>
      <c r="AR1043" s="180">
        <f t="shared" si="205"/>
        <v>1</v>
      </c>
      <c r="AS1043" s="180">
        <f t="shared" si="206"/>
        <v>1</v>
      </c>
      <c r="AT1043" s="180">
        <f t="shared" si="207"/>
        <v>1</v>
      </c>
      <c r="AU1043" s="180" t="str">
        <f t="shared" si="208"/>
        <v>.</v>
      </c>
      <c r="AV1043" s="180" t="str">
        <f t="shared" si="209"/>
        <v>.</v>
      </c>
      <c r="AW1043" s="180">
        <f>IFERROR(VLOOKUP(B1043,'Share, Heavy Weapons to Ukraine'!B:J,COLUMN('Share, Heavy Weapons to Ukraine'!C1053)-1,0),0)</f>
        <v>1</v>
      </c>
      <c r="AX1043" s="180">
        <f>VLOOKUP('Bilateral Assistance, MAIN DATA'!B1043,'Country Summary'!B:F,COLUMN('Country Summary'!C1056)-1,FALSE)</f>
        <v>0</v>
      </c>
      <c r="AY1043" s="180" t="str">
        <f>IF(AND(AD1043=1,D1043="Military",H1043&lt;&gt;"Not given")=TRUE,IF(SUMIFS(P:P,A:A,A1043)&gt;0,ABS((SUMIFS(P:P,A:A,A1043)/VLOOKUP("USD",'Exchange Rates'!B:C,2,0)))/S1043,"."),".")</f>
        <v>.</v>
      </c>
      <c r="AZ1043" s="182" t="str">
        <f>IF(AND(AD1043=1,D1043="Military",H1043&lt;&gt;"Not given")=TRUE,IF(SUMIFS(P:P,A:A,A1043)&gt;0,IF((ABS((SUMIFS(P:P,A:A,A1043)/VLOOKUP("USD",'Exchange Rates'!B:C,2,0)))/S1043)&gt;1,(SUMIFS(P:P,A:A,A1043)-S1043)/S1043,(S1043-SUMIFS(P:P,A:A,A1043))/SUMIFS(P:P,A:A,A1043)),"."),".")</f>
        <v>.</v>
      </c>
      <c r="BA1043" s="182"/>
      <c r="BB1043" s="182"/>
      <c r="BC1043" s="182"/>
      <c r="BD1043" s="182"/>
      <c r="BE1043" s="182"/>
      <c r="BF1043" s="182"/>
      <c r="BG1043" s="182"/>
      <c r="BH1043" s="182"/>
      <c r="BI1043" s="182"/>
      <c r="BJ1043" s="182"/>
      <c r="BK1043" s="182"/>
      <c r="BL1043" s="182"/>
      <c r="BM1043" s="182"/>
      <c r="BN1043" s="182"/>
      <c r="BO1043" s="182"/>
      <c r="BP1043" s="182"/>
      <c r="BQ1043" s="182"/>
      <c r="BR1043" s="182"/>
      <c r="BS1043" s="182"/>
    </row>
    <row r="1044" spans="1:71" ht="15.9" customHeight="1" x14ac:dyDescent="0.3">
      <c r="A1044" s="5" t="s">
        <v>3001</v>
      </c>
      <c r="B1044" s="5" t="s">
        <v>2864</v>
      </c>
      <c r="C1044" s="174">
        <v>44940</v>
      </c>
      <c r="D1044" s="5" t="s">
        <v>285</v>
      </c>
      <c r="E1044" s="5" t="s">
        <v>339</v>
      </c>
      <c r="F1044" s="175" t="s">
        <v>3002</v>
      </c>
      <c r="G1044" s="15" t="s">
        <v>346</v>
      </c>
      <c r="H1044" s="176" t="s">
        <v>341</v>
      </c>
      <c r="I1044" s="154" t="s">
        <v>3007</v>
      </c>
      <c r="J1044" s="113" t="str">
        <f>VLOOKUP($I1044,'Price List, Weapons &amp; Items'!B:C,2,0)</f>
        <v>Ammunition for heavy weapon</v>
      </c>
      <c r="K1044" s="113" t="str">
        <f>IF(I1044=".",I1044,VLOOKUP($I1044,'Price List, Weapons &amp; Items'!B:D,3,0))</f>
        <v>227mm MLRS ammunition</v>
      </c>
      <c r="L1044" s="177">
        <f>VLOOKUP(I1044,'Price List, Weapons &amp; Items'!B:E,4,0)</f>
        <v>0</v>
      </c>
      <c r="M1044" s="542" t="s">
        <v>270</v>
      </c>
      <c r="N1044" s="542" t="s">
        <v>270</v>
      </c>
      <c r="O1044" s="543">
        <f>VLOOKUP($I1044,'Price List, Weapons &amp; Items'!B:G,6,0)</f>
        <v>168000</v>
      </c>
      <c r="P1044" s="176" t="str">
        <f t="shared" si="200"/>
        <v>.</v>
      </c>
      <c r="Q1044" s="176" t="str">
        <f t="shared" si="201"/>
        <v>.</v>
      </c>
      <c r="R1044" s="176" t="str">
        <f t="shared" si="198"/>
        <v/>
      </c>
      <c r="S1044" s="176" t="str">
        <f>IF(AND(AD1044=1,R1044&lt;&gt;".")=TRUE,R1044/VLOOKUP(G1044,'Exchange Rates'!B:C,2,0),IF(R1044=".",".",""))</f>
        <v/>
      </c>
      <c r="T1044" s="176" t="str">
        <f>IF(AD1044=1,IF(AF1044="Value is not given at all",".",IF(AF1044="Value is given by the source",S1044,IF(AF1044="Value is calculated with prices",(IF(SUMIFS(Q:Q,A:A,A1044)&gt;0,SUMIFS(Q:Q,A:A,A1044),"."))/VLOOKUP("USD",'Exchange Rates'!B:C,2,0),"Error with coding"))),"")</f>
        <v/>
      </c>
      <c r="U1044" s="177" t="s">
        <v>261</v>
      </c>
      <c r="V1044" s="584" t="s">
        <v>3004</v>
      </c>
      <c r="W1044" s="584" t="s">
        <v>3005</v>
      </c>
      <c r="X1044" s="175" t="s">
        <v>260</v>
      </c>
      <c r="Y1044" s="175" t="s">
        <v>260</v>
      </c>
      <c r="Z1044" s="177">
        <v>0</v>
      </c>
      <c r="AA1044" s="15">
        <v>1</v>
      </c>
      <c r="AB1044" s="695" t="s">
        <v>260</v>
      </c>
      <c r="AC1044" s="544" t="str">
        <f>""</f>
        <v/>
      </c>
      <c r="AD1044" s="183">
        <v>0</v>
      </c>
      <c r="AE1044" s="183" t="s">
        <v>332</v>
      </c>
      <c r="AF1044" s="183" t="s">
        <v>265</v>
      </c>
      <c r="AG1044" s="183">
        <v>1</v>
      </c>
      <c r="AH1044" s="183">
        <v>13</v>
      </c>
      <c r="AI1044" s="183">
        <v>0</v>
      </c>
      <c r="AJ1044" s="181">
        <f>VLOOKUP($I1044,'Price List, Weapons &amp; Items'!B:F,5,0)</f>
        <v>1</v>
      </c>
      <c r="AK1044" s="181">
        <f t="shared" si="202"/>
        <v>1</v>
      </c>
      <c r="AL1044" s="181">
        <f t="shared" si="203"/>
        <v>1</v>
      </c>
      <c r="AM1044" s="181">
        <f t="shared" si="204"/>
        <v>0</v>
      </c>
      <c r="AN1044" s="180" t="str">
        <f>VLOOKUP($I1044,'Price List, Weapons &amp; Items'!B:L,COLUMN('Price List, Weapons &amp; Items'!$J$11)-1,0)</f>
        <v>Military media (incl. websites)</v>
      </c>
      <c r="AO1044" s="180" t="str">
        <f>IF(I1044=".",".",VLOOKUP($I1044,'Price List, Weapons &amp; Items'!B:J,3,0))</f>
        <v>227mm MLRS ammunition</v>
      </c>
      <c r="AP1044" s="545" t="str">
        <f t="shared" ca="1" si="199"/>
        <v/>
      </c>
      <c r="AQ1044" s="180" t="str">
        <f>VLOOKUP($I1044,'Price List, Weapons &amp; Items'!B:L,COLUMN('Price List, Weapons &amp; Items'!$L$11)-1,0)</f>
        <v>no price, 0 count</v>
      </c>
      <c r="AR1044" s="180">
        <f t="shared" si="205"/>
        <v>1</v>
      </c>
      <c r="AS1044" s="180">
        <f t="shared" si="206"/>
        <v>1</v>
      </c>
      <c r="AT1044" s="180">
        <f t="shared" si="207"/>
        <v>1</v>
      </c>
      <c r="AU1044" s="180" t="str">
        <f t="shared" si="208"/>
        <v>.</v>
      </c>
      <c r="AV1044" s="180" t="str">
        <f t="shared" si="209"/>
        <v>.</v>
      </c>
      <c r="AW1044" s="180">
        <f>IFERROR(VLOOKUP(B1044,'Share, Heavy Weapons to Ukraine'!B:J,COLUMN('Share, Heavy Weapons to Ukraine'!C1054)-1,0),0)</f>
        <v>1</v>
      </c>
      <c r="AX1044" s="180">
        <f>VLOOKUP('Bilateral Assistance, MAIN DATA'!B1044,'Country Summary'!B:F,COLUMN('Country Summary'!C1057)-1,FALSE)</f>
        <v>0</v>
      </c>
      <c r="AY1044" s="180" t="str">
        <f>IF(AND(AD1044=1,D1044="Military",H1044&lt;&gt;"Not given")=TRUE,IF(SUMIFS(P:P,A:A,A1044)&gt;0,ABS((SUMIFS(P:P,A:A,A1044)/VLOOKUP("USD",'Exchange Rates'!B:C,2,0)))/S1044,"."),".")</f>
        <v>.</v>
      </c>
      <c r="AZ1044" s="182" t="str">
        <f>IF(AND(AD1044=1,D1044="Military",H1044&lt;&gt;"Not given")=TRUE,IF(SUMIFS(P:P,A:A,A1044)&gt;0,IF((ABS((SUMIFS(P:P,A:A,A1044)/VLOOKUP("USD",'Exchange Rates'!B:C,2,0)))/S1044)&gt;1,(SUMIFS(P:P,A:A,A1044)-S1044)/S1044,(S1044-SUMIFS(P:P,A:A,A1044))/SUMIFS(P:P,A:A,A1044)),"."),".")</f>
        <v>.</v>
      </c>
      <c r="BA1044" s="182"/>
      <c r="BB1044" s="182"/>
      <c r="BC1044" s="182"/>
      <c r="BD1044" s="182"/>
      <c r="BE1044" s="182"/>
      <c r="BF1044" s="182"/>
      <c r="BG1044" s="182"/>
      <c r="BH1044" s="182"/>
      <c r="BI1044" s="182"/>
      <c r="BJ1044" s="182"/>
      <c r="BK1044" s="182"/>
      <c r="BL1044" s="182"/>
      <c r="BM1044" s="182"/>
      <c r="BN1044" s="182"/>
      <c r="BO1044" s="182"/>
      <c r="BP1044" s="182"/>
      <c r="BQ1044" s="182"/>
      <c r="BR1044" s="182"/>
      <c r="BS1044" s="182"/>
    </row>
    <row r="1045" spans="1:71" ht="15.9" customHeight="1" x14ac:dyDescent="0.3">
      <c r="A1045" s="5" t="s">
        <v>3001</v>
      </c>
      <c r="B1045" s="5" t="s">
        <v>2864</v>
      </c>
      <c r="C1045" s="174">
        <v>44940</v>
      </c>
      <c r="D1045" s="5" t="s">
        <v>285</v>
      </c>
      <c r="E1045" s="5" t="s">
        <v>339</v>
      </c>
      <c r="F1045" s="175" t="s">
        <v>3002</v>
      </c>
      <c r="G1045" s="15" t="s">
        <v>346</v>
      </c>
      <c r="H1045" s="176" t="s">
        <v>341</v>
      </c>
      <c r="I1045" s="154" t="s">
        <v>2919</v>
      </c>
      <c r="J1045" s="113" t="str">
        <f>VLOOKUP($I1045,'Price List, Weapons &amp; Items'!B:C,2,0)</f>
        <v>Ammunition for portable defence system</v>
      </c>
      <c r="K1045" s="113" t="str">
        <f>IF(I1045=".",I1045,VLOOKUP($I1045,'Price List, Weapons &amp; Items'!B:D,3,0))</f>
        <v>MANPADS ammunition</v>
      </c>
      <c r="L1045" s="177">
        <f>VLOOKUP(I1045,'Price List, Weapons &amp; Items'!B:E,4,0)</f>
        <v>0</v>
      </c>
      <c r="M1045" s="542" t="s">
        <v>270</v>
      </c>
      <c r="N1045" s="542" t="s">
        <v>270</v>
      </c>
      <c r="O1045" s="543">
        <f>VLOOKUP($I1045,'Price List, Weapons &amp; Items'!B:G,6,0)</f>
        <v>194000</v>
      </c>
      <c r="P1045" s="176" t="str">
        <f t="shared" si="200"/>
        <v>.</v>
      </c>
      <c r="Q1045" s="176" t="str">
        <f t="shared" si="201"/>
        <v>.</v>
      </c>
      <c r="R1045" s="176" t="str">
        <f t="shared" ref="R1045:R1072" si="210">IF(AD1045=1,IF(H1045&lt;&gt;"Not given",H1045,IF(TYPE(H1045)=2,IF(SUMIFS(P:P,A:A,A1045)&gt;0,SUMIFS(P:P,A:A,A1045),"."),"Format error")),"")</f>
        <v/>
      </c>
      <c r="S1045" s="176" t="str">
        <f>IF(AND(AD1045=1,R1045&lt;&gt;".")=TRUE,R1045/VLOOKUP(G1045,'Exchange Rates'!B:C,2,0),IF(R1045=".",".",""))</f>
        <v/>
      </c>
      <c r="T1045" s="176" t="str">
        <f>IF(AD1045=1,IF(AF1045="Value is not given at all",".",IF(AF1045="Value is given by the source",S1045,IF(AF1045="Value is calculated with prices",(IF(SUMIFS(Q:Q,A:A,A1045)&gt;0,SUMIFS(Q:Q,A:A,A1045),"."))/VLOOKUP("USD",'Exchange Rates'!B:C,2,0),"Error with coding"))),"")</f>
        <v/>
      </c>
      <c r="U1045" s="177" t="s">
        <v>261</v>
      </c>
      <c r="V1045" s="584" t="s">
        <v>3004</v>
      </c>
      <c r="W1045" s="584" t="s">
        <v>3005</v>
      </c>
      <c r="X1045" s="175" t="s">
        <v>260</v>
      </c>
      <c r="Y1045" s="175" t="s">
        <v>260</v>
      </c>
      <c r="Z1045" s="177">
        <v>0</v>
      </c>
      <c r="AA1045" s="15">
        <v>1</v>
      </c>
      <c r="AB1045" s="695" t="s">
        <v>260</v>
      </c>
      <c r="AC1045" s="544" t="str">
        <f>""</f>
        <v/>
      </c>
      <c r="AD1045" s="183">
        <v>0</v>
      </c>
      <c r="AE1045" s="183" t="s">
        <v>332</v>
      </c>
      <c r="AF1045" s="183" t="s">
        <v>265</v>
      </c>
      <c r="AG1045" s="183">
        <v>1</v>
      </c>
      <c r="AH1045" s="183">
        <v>13</v>
      </c>
      <c r="AI1045" s="183">
        <v>0</v>
      </c>
      <c r="AJ1045" s="181">
        <f>VLOOKUP($I1045,'Price List, Weapons &amp; Items'!B:F,5,0)</f>
        <v>0</v>
      </c>
      <c r="AK1045" s="181">
        <f t="shared" si="202"/>
        <v>0</v>
      </c>
      <c r="AL1045" s="181">
        <f t="shared" si="203"/>
        <v>0</v>
      </c>
      <c r="AM1045" s="181">
        <f t="shared" si="204"/>
        <v>0</v>
      </c>
      <c r="AN1045" s="180" t="str">
        <f>VLOOKUP($I1045,'Price List, Weapons &amp; Items'!B:L,COLUMN('Price List, Weapons &amp; Items'!$J$11)-1,0)</f>
        <v>Contracts</v>
      </c>
      <c r="AO1045" s="180" t="str">
        <f>IF(I1045=".",".",VLOOKUP($I1045,'Price List, Weapons &amp; Items'!B:J,3,0))</f>
        <v>MANPADS ammunition</v>
      </c>
      <c r="AP1045" s="545" t="str">
        <f t="shared" ref="AP1045:AP1108" ca="1" si="211">IF(AD1045=1,_xlfn.ARRAYTOTEXT(OFFSET(I1045,0,0,COUNTIF(A:A,A1045),1)),"")</f>
        <v/>
      </c>
      <c r="AQ1045" s="180" t="str">
        <f>VLOOKUP($I1045,'Price List, Weapons &amp; Items'!B:L,COLUMN('Price List, Weapons &amp; Items'!$L$11)-1,0)</f>
        <v>no price, 0 count</v>
      </c>
      <c r="AR1045" s="180">
        <f t="shared" si="205"/>
        <v>1</v>
      </c>
      <c r="AS1045" s="180">
        <f t="shared" si="206"/>
        <v>1</v>
      </c>
      <c r="AT1045" s="180">
        <f t="shared" si="207"/>
        <v>1</v>
      </c>
      <c r="AU1045" s="180" t="str">
        <f t="shared" si="208"/>
        <v>.</v>
      </c>
      <c r="AV1045" s="180" t="str">
        <f t="shared" si="209"/>
        <v>.</v>
      </c>
      <c r="AW1045" s="180">
        <f>IFERROR(VLOOKUP(B1045,'Share, Heavy Weapons to Ukraine'!B:J,COLUMN('Share, Heavy Weapons to Ukraine'!C1055)-1,0),0)</f>
        <v>1</v>
      </c>
      <c r="AX1045" s="180">
        <f>VLOOKUP('Bilateral Assistance, MAIN DATA'!B1045,'Country Summary'!B:F,COLUMN('Country Summary'!C1058)-1,FALSE)</f>
        <v>0</v>
      </c>
      <c r="AY1045" s="180" t="str">
        <f>IF(AND(AD1045=1,D1045="Military",H1045&lt;&gt;"Not given")=TRUE,IF(SUMIFS(P:P,A:A,A1045)&gt;0,ABS((SUMIFS(P:P,A:A,A1045)/VLOOKUP("USD",'Exchange Rates'!B:C,2,0)))/S1045,"."),".")</f>
        <v>.</v>
      </c>
      <c r="AZ1045" s="182" t="str">
        <f>IF(AND(AD1045=1,D1045="Military",H1045&lt;&gt;"Not given")=TRUE,IF(SUMIFS(P:P,A:A,A1045)&gt;0,IF((ABS((SUMIFS(P:P,A:A,A1045)/VLOOKUP("USD",'Exchange Rates'!B:C,2,0)))/S1045)&gt;1,(SUMIFS(P:P,A:A,A1045)-S1045)/S1045,(S1045-SUMIFS(P:P,A:A,A1045))/SUMIFS(P:P,A:A,A1045)),"."),".")</f>
        <v>.</v>
      </c>
      <c r="BA1045" s="182"/>
      <c r="BB1045" s="182"/>
      <c r="BC1045" s="182"/>
      <c r="BD1045" s="182"/>
      <c r="BE1045" s="182"/>
      <c r="BF1045" s="182"/>
      <c r="BG1045" s="182"/>
      <c r="BH1045" s="182"/>
      <c r="BI1045" s="182"/>
      <c r="BJ1045" s="182"/>
      <c r="BK1045" s="182"/>
      <c r="BL1045" s="182"/>
      <c r="BM1045" s="182"/>
      <c r="BN1045" s="182"/>
      <c r="BO1045" s="182"/>
      <c r="BP1045" s="182"/>
      <c r="BQ1045" s="182"/>
      <c r="BR1045" s="182"/>
      <c r="BS1045" s="182"/>
    </row>
    <row r="1046" spans="1:71" ht="15.9" customHeight="1" x14ac:dyDescent="0.3">
      <c r="A1046" s="5" t="s">
        <v>3001</v>
      </c>
      <c r="B1046" s="5" t="s">
        <v>2864</v>
      </c>
      <c r="C1046" s="174">
        <v>44940</v>
      </c>
      <c r="D1046" s="5" t="s">
        <v>285</v>
      </c>
      <c r="E1046" s="5" t="s">
        <v>339</v>
      </c>
      <c r="F1046" s="175" t="s">
        <v>3002</v>
      </c>
      <c r="G1046" s="15" t="s">
        <v>346</v>
      </c>
      <c r="H1046" s="176" t="s">
        <v>341</v>
      </c>
      <c r="I1046" s="154" t="s">
        <v>2910</v>
      </c>
      <c r="J1046" s="113" t="str">
        <f>VLOOKUP($I1046,'Price List, Weapons &amp; Items'!B:C,2,0)</f>
        <v>Ammunition for portable defence system</v>
      </c>
      <c r="K1046" s="113" t="str">
        <f>IF(I1046=".",I1046,VLOOKUP($I1046,'Price List, Weapons &amp; Items'!B:D,3,0))</f>
        <v>Light Anti-armor Weapon (LAW) ammunition</v>
      </c>
      <c r="L1046" s="177">
        <f>VLOOKUP(I1046,'Price List, Weapons &amp; Items'!B:E,4,0)</f>
        <v>0</v>
      </c>
      <c r="M1046" s="542" t="s">
        <v>270</v>
      </c>
      <c r="N1046" s="542" t="s">
        <v>270</v>
      </c>
      <c r="O1046" s="543">
        <f>VLOOKUP($I1046,'Price List, Weapons &amp; Items'!B:G,6,0)</f>
        <v>20000</v>
      </c>
      <c r="P1046" s="176" t="str">
        <f t="shared" si="200"/>
        <v>.</v>
      </c>
      <c r="Q1046" s="176" t="str">
        <f t="shared" si="201"/>
        <v>.</v>
      </c>
      <c r="R1046" s="176" t="str">
        <f t="shared" si="210"/>
        <v/>
      </c>
      <c r="S1046" s="176" t="str">
        <f>IF(AND(AD1046=1,R1046&lt;&gt;".")=TRUE,R1046/VLOOKUP(G1046,'Exchange Rates'!B:C,2,0),IF(R1046=".",".",""))</f>
        <v/>
      </c>
      <c r="T1046" s="176" t="str">
        <f>IF(AD1046=1,IF(AF1046="Value is not given at all",".",IF(AF1046="Value is given by the source",S1046,IF(AF1046="Value is calculated with prices",(IF(SUMIFS(Q:Q,A:A,A1046)&gt;0,SUMIFS(Q:Q,A:A,A1046),"."))/VLOOKUP("USD",'Exchange Rates'!B:C,2,0),"Error with coding"))),"")</f>
        <v/>
      </c>
      <c r="U1046" s="177" t="s">
        <v>261</v>
      </c>
      <c r="V1046" s="584" t="s">
        <v>3004</v>
      </c>
      <c r="W1046" s="584" t="s">
        <v>3005</v>
      </c>
      <c r="X1046" s="175" t="s">
        <v>260</v>
      </c>
      <c r="Y1046" s="175" t="s">
        <v>260</v>
      </c>
      <c r="Z1046" s="177">
        <v>0</v>
      </c>
      <c r="AA1046" s="15">
        <v>1</v>
      </c>
      <c r="AB1046" s="695" t="s">
        <v>260</v>
      </c>
      <c r="AC1046" s="544" t="str">
        <f>""</f>
        <v/>
      </c>
      <c r="AD1046" s="183">
        <v>0</v>
      </c>
      <c r="AE1046" s="183" t="s">
        <v>332</v>
      </c>
      <c r="AF1046" s="183" t="s">
        <v>265</v>
      </c>
      <c r="AG1046" s="183">
        <v>1</v>
      </c>
      <c r="AH1046" s="183">
        <v>13</v>
      </c>
      <c r="AI1046" s="183">
        <v>0</v>
      </c>
      <c r="AJ1046" s="181">
        <f>VLOOKUP($I1046,'Price List, Weapons &amp; Items'!B:F,5,0)</f>
        <v>0</v>
      </c>
      <c r="AK1046" s="181">
        <f t="shared" si="202"/>
        <v>0</v>
      </c>
      <c r="AL1046" s="181">
        <f t="shared" si="203"/>
        <v>0</v>
      </c>
      <c r="AM1046" s="181">
        <f t="shared" si="204"/>
        <v>0</v>
      </c>
      <c r="AN1046" s="180" t="str">
        <f>VLOOKUP($I1046,'Price List, Weapons &amp; Items'!B:L,COLUMN('Price List, Weapons &amp; Items'!$J$11)-1,0)</f>
        <v>Media reports (incl. social media)</v>
      </c>
      <c r="AO1046" s="180" t="str">
        <f>IF(I1046=".",".",VLOOKUP($I1046,'Price List, Weapons &amp; Items'!B:J,3,0))</f>
        <v>Light Anti-armor Weapon (LAW) ammunition</v>
      </c>
      <c r="AP1046" s="545" t="str">
        <f t="shared" ca="1" si="211"/>
        <v/>
      </c>
      <c r="AQ1046" s="180">
        <f>VLOOKUP($I1046,'Price List, Weapons &amp; Items'!B:L,COLUMN('Price List, Weapons &amp; Items'!$L$11)-1,0)</f>
        <v>2</v>
      </c>
      <c r="AR1046" s="180">
        <f t="shared" si="205"/>
        <v>1</v>
      </c>
      <c r="AS1046" s="180">
        <f t="shared" si="206"/>
        <v>1</v>
      </c>
      <c r="AT1046" s="180">
        <f t="shared" si="207"/>
        <v>1</v>
      </c>
      <c r="AU1046" s="180" t="str">
        <f t="shared" si="208"/>
        <v>.</v>
      </c>
      <c r="AV1046" s="180" t="str">
        <f t="shared" si="209"/>
        <v>.</v>
      </c>
      <c r="AW1046" s="180">
        <f>IFERROR(VLOOKUP(B1046,'Share, Heavy Weapons to Ukraine'!B:J,COLUMN('Share, Heavy Weapons to Ukraine'!C1056)-1,0),0)</f>
        <v>1</v>
      </c>
      <c r="AX1046" s="180">
        <f>VLOOKUP('Bilateral Assistance, MAIN DATA'!B1046,'Country Summary'!B:F,COLUMN('Country Summary'!C1059)-1,FALSE)</f>
        <v>0</v>
      </c>
      <c r="AY1046" s="180" t="str">
        <f>IF(AND(AD1046=1,D1046="Military",H1046&lt;&gt;"Not given")=TRUE,IF(SUMIFS(P:P,A:A,A1046)&gt;0,ABS((SUMIFS(P:P,A:A,A1046)/VLOOKUP("USD",'Exchange Rates'!B:C,2,0)))/S1046,"."),".")</f>
        <v>.</v>
      </c>
      <c r="AZ1046" s="182" t="str">
        <f>IF(AND(AD1046=1,D1046="Military",H1046&lt;&gt;"Not given")=TRUE,IF(SUMIFS(P:P,A:A,A1046)&gt;0,IF((ABS((SUMIFS(P:P,A:A,A1046)/VLOOKUP("USD",'Exchange Rates'!B:C,2,0)))/S1046)&gt;1,(SUMIFS(P:P,A:A,A1046)-S1046)/S1046,(S1046-SUMIFS(P:P,A:A,A1046))/SUMIFS(P:P,A:A,A1046)),"."),".")</f>
        <v>.</v>
      </c>
      <c r="BA1046" s="182"/>
      <c r="BB1046" s="182"/>
      <c r="BC1046" s="182"/>
      <c r="BD1046" s="182"/>
      <c r="BE1046" s="182"/>
      <c r="BF1046" s="182"/>
      <c r="BG1046" s="182"/>
      <c r="BH1046" s="182"/>
      <c r="BI1046" s="182"/>
      <c r="BJ1046" s="182"/>
      <c r="BK1046" s="182"/>
      <c r="BL1046" s="182"/>
      <c r="BM1046" s="182"/>
      <c r="BN1046" s="182"/>
      <c r="BO1046" s="182"/>
      <c r="BP1046" s="182"/>
      <c r="BQ1046" s="182"/>
      <c r="BR1046" s="182"/>
      <c r="BS1046" s="182"/>
    </row>
    <row r="1047" spans="1:71" ht="15.9" customHeight="1" x14ac:dyDescent="0.3">
      <c r="A1047" s="5" t="s">
        <v>3001</v>
      </c>
      <c r="B1047" s="5" t="s">
        <v>2864</v>
      </c>
      <c r="C1047" s="174">
        <v>44940</v>
      </c>
      <c r="D1047" s="5" t="s">
        <v>285</v>
      </c>
      <c r="E1047" s="5" t="s">
        <v>339</v>
      </c>
      <c r="F1047" s="175" t="s">
        <v>3002</v>
      </c>
      <c r="G1047" s="15" t="s">
        <v>346</v>
      </c>
      <c r="H1047" s="176" t="s">
        <v>341</v>
      </c>
      <c r="I1047" s="154" t="s">
        <v>3008</v>
      </c>
      <c r="J1047" s="113" t="str">
        <f>VLOOKUP($I1047,'Price List, Weapons &amp; Items'!B:C,2,0)</f>
        <v>Heavy weapon</v>
      </c>
      <c r="K1047" s="113" t="str">
        <f>IF(I1047=".",I1047,VLOOKUP($I1047,'Price List, Weapons &amp; Items'!B:D,3,0))</f>
        <v>unspecified armoured vehicle</v>
      </c>
      <c r="L1047" s="177">
        <f>VLOOKUP(I1047,'Price List, Weapons &amp; Items'!B:E,4,0)</f>
        <v>0</v>
      </c>
      <c r="M1047" s="542">
        <v>200</v>
      </c>
      <c r="N1047" s="542" t="s">
        <v>270</v>
      </c>
      <c r="O1047" s="543" t="str">
        <f>VLOOKUP($I1047,'Price List, Weapons &amp; Items'!B:G,6,0)</f>
        <v>.</v>
      </c>
      <c r="P1047" s="176" t="str">
        <f t="shared" si="200"/>
        <v>No price</v>
      </c>
      <c r="Q1047" s="176" t="str">
        <f t="shared" si="201"/>
        <v>.</v>
      </c>
      <c r="R1047" s="176" t="str">
        <f t="shared" si="210"/>
        <v/>
      </c>
      <c r="S1047" s="176" t="str">
        <f>IF(AND(AD1047=1,R1047&lt;&gt;".")=TRUE,R1047/VLOOKUP(G1047,'Exchange Rates'!B:C,2,0),IF(R1047=".",".",""))</f>
        <v/>
      </c>
      <c r="T1047" s="176" t="str">
        <f>IF(AD1047=1,IF(AF1047="Value is not given at all",".",IF(AF1047="Value is given by the source",S1047,IF(AF1047="Value is calculated with prices",(IF(SUMIFS(Q:Q,A:A,A1047)&gt;0,SUMIFS(Q:Q,A:A,A1047),"."))/VLOOKUP("USD",'Exchange Rates'!B:C,2,0),"Error with coding"))),"")</f>
        <v/>
      </c>
      <c r="U1047" s="177" t="s">
        <v>261</v>
      </c>
      <c r="V1047" s="584" t="s">
        <v>3004</v>
      </c>
      <c r="W1047" s="584" t="s">
        <v>3005</v>
      </c>
      <c r="X1047" s="175" t="s">
        <v>260</v>
      </c>
      <c r="Y1047" s="175" t="s">
        <v>260</v>
      </c>
      <c r="Z1047" s="177">
        <v>0</v>
      </c>
      <c r="AA1047" s="15">
        <v>1</v>
      </c>
      <c r="AB1047" s="695" t="s">
        <v>260</v>
      </c>
      <c r="AC1047" s="544" t="str">
        <f>""</f>
        <v/>
      </c>
      <c r="AD1047" s="183">
        <v>0</v>
      </c>
      <c r="AE1047" s="183" t="s">
        <v>332</v>
      </c>
      <c r="AF1047" s="183" t="s">
        <v>265</v>
      </c>
      <c r="AG1047" s="183">
        <v>1</v>
      </c>
      <c r="AH1047" s="183">
        <v>13</v>
      </c>
      <c r="AI1047" s="183">
        <v>0</v>
      </c>
      <c r="AJ1047" s="181">
        <f>VLOOKUP($I1047,'Price List, Weapons &amp; Items'!B:F,5,0)</f>
        <v>0</v>
      </c>
      <c r="AK1047" s="181">
        <f t="shared" si="202"/>
        <v>0</v>
      </c>
      <c r="AL1047" s="181">
        <f t="shared" si="203"/>
        <v>0</v>
      </c>
      <c r="AM1047" s="181">
        <f t="shared" si="204"/>
        <v>0</v>
      </c>
      <c r="AN1047" s="180" t="str">
        <f>VLOOKUP($I1047,'Price List, Weapons &amp; Items'!B:L,COLUMN('Price List, Weapons &amp; Items'!$J$11)-1,0)</f>
        <v>.</v>
      </c>
      <c r="AO1047" s="180" t="str">
        <f>IF(I1047=".",".",VLOOKUP($I1047,'Price List, Weapons &amp; Items'!B:J,3,0))</f>
        <v>unspecified armoured vehicle</v>
      </c>
      <c r="AP1047" s="545" t="str">
        <f t="shared" ca="1" si="211"/>
        <v/>
      </c>
      <c r="AQ1047" s="180">
        <f>VLOOKUP($I1047,'Price List, Weapons &amp; Items'!B:L,COLUMN('Price List, Weapons &amp; Items'!$L$11)-1,0)</f>
        <v>0</v>
      </c>
      <c r="AR1047" s="180">
        <f t="shared" si="205"/>
        <v>1</v>
      </c>
      <c r="AS1047" s="180">
        <f t="shared" si="206"/>
        <v>1</v>
      </c>
      <c r="AT1047" s="180">
        <f t="shared" si="207"/>
        <v>1</v>
      </c>
      <c r="AU1047" s="180" t="str">
        <f t="shared" si="208"/>
        <v>.</v>
      </c>
      <c r="AV1047" s="180" t="str">
        <f t="shared" si="209"/>
        <v>.</v>
      </c>
      <c r="AW1047" s="180">
        <f>IFERROR(VLOOKUP(B1047,'Share, Heavy Weapons to Ukraine'!B:J,COLUMN('Share, Heavy Weapons to Ukraine'!C1057)-1,0),0)</f>
        <v>1</v>
      </c>
      <c r="AX1047" s="180">
        <f>VLOOKUP('Bilateral Assistance, MAIN DATA'!B1047,'Country Summary'!B:F,COLUMN('Country Summary'!C1060)-1,FALSE)</f>
        <v>0</v>
      </c>
      <c r="AY1047" s="180" t="str">
        <f>IF(AND(AD1047=1,D1047="Military",H1047&lt;&gt;"Not given")=TRUE,IF(SUMIFS(P:P,A:A,A1047)&gt;0,ABS((SUMIFS(P:P,A:A,A1047)/VLOOKUP("USD",'Exchange Rates'!B:C,2,0)))/S1047,"."),".")</f>
        <v>.</v>
      </c>
      <c r="AZ1047" s="182" t="str">
        <f>IF(AND(AD1047=1,D1047="Military",H1047&lt;&gt;"Not given")=TRUE,IF(SUMIFS(P:P,A:A,A1047)&gt;0,IF((ABS((SUMIFS(P:P,A:A,A1047)/VLOOKUP("USD",'Exchange Rates'!B:C,2,0)))/S1047)&gt;1,(SUMIFS(P:P,A:A,A1047)-S1047)/S1047,(S1047-SUMIFS(P:P,A:A,A1047))/SUMIFS(P:P,A:A,A1047)),"."),".")</f>
        <v>.</v>
      </c>
      <c r="BA1047" s="182"/>
      <c r="BB1047" s="182"/>
      <c r="BC1047" s="182"/>
      <c r="BD1047" s="182"/>
      <c r="BE1047" s="182"/>
      <c r="BF1047" s="182"/>
      <c r="BG1047" s="182"/>
      <c r="BH1047" s="182"/>
      <c r="BI1047" s="182"/>
      <c r="BJ1047" s="182"/>
      <c r="BK1047" s="182"/>
      <c r="BL1047" s="182"/>
      <c r="BM1047" s="182"/>
      <c r="BN1047" s="182"/>
      <c r="BO1047" s="182"/>
      <c r="BP1047" s="182"/>
      <c r="BQ1047" s="182"/>
      <c r="BR1047" s="182"/>
      <c r="BS1047" s="182"/>
    </row>
    <row r="1048" spans="1:71" ht="15.9" customHeight="1" x14ac:dyDescent="0.3">
      <c r="A1048" s="5" t="s">
        <v>3001</v>
      </c>
      <c r="B1048" s="5" t="s">
        <v>2864</v>
      </c>
      <c r="C1048" s="174">
        <v>44940</v>
      </c>
      <c r="D1048" s="5" t="s">
        <v>285</v>
      </c>
      <c r="E1048" s="5" t="s">
        <v>339</v>
      </c>
      <c r="F1048" s="175" t="s">
        <v>3002</v>
      </c>
      <c r="G1048" s="15" t="s">
        <v>346</v>
      </c>
      <c r="H1048" s="176" t="s">
        <v>341</v>
      </c>
      <c r="I1048" s="154" t="s">
        <v>3009</v>
      </c>
      <c r="J1048" s="113" t="str">
        <f>VLOOKUP($I1048,'Price List, Weapons &amp; Items'!B:C,2,0)</f>
        <v>Military equipment</v>
      </c>
      <c r="K1048" s="113" t="str">
        <f>IF(I1048=".",I1048,VLOOKUP($I1048,'Price List, Weapons &amp; Items'!B:D,3,0))</f>
        <v>Military equipment</v>
      </c>
      <c r="L1048" s="177">
        <f>VLOOKUP(I1048,'Price List, Weapons &amp; Items'!B:E,4,0)</f>
        <v>0</v>
      </c>
      <c r="M1048" s="542" t="s">
        <v>270</v>
      </c>
      <c r="N1048" s="542" t="s">
        <v>270</v>
      </c>
      <c r="O1048" s="543">
        <f>VLOOKUP($I1048,'Price List, Weapons &amp; Items'!B:G,6,0)</f>
        <v>34613600</v>
      </c>
      <c r="P1048" s="176" t="str">
        <f t="shared" si="200"/>
        <v>.</v>
      </c>
      <c r="Q1048" s="176" t="str">
        <f t="shared" si="201"/>
        <v>.</v>
      </c>
      <c r="R1048" s="176" t="str">
        <f t="shared" si="210"/>
        <v/>
      </c>
      <c r="S1048" s="176" t="str">
        <f>IF(AND(AD1048=1,R1048&lt;&gt;".")=TRUE,R1048/VLOOKUP(G1048,'Exchange Rates'!B:C,2,0),IF(R1048=".",".",""))</f>
        <v/>
      </c>
      <c r="T1048" s="176" t="str">
        <f>IF(AD1048=1,IF(AF1048="Value is not given at all",".",IF(AF1048="Value is given by the source",S1048,IF(AF1048="Value is calculated with prices",(IF(SUMIFS(Q:Q,A:A,A1048)&gt;0,SUMIFS(Q:Q,A:A,A1048),"."))/VLOOKUP("USD",'Exchange Rates'!B:C,2,0),"Error with coding"))),"")</f>
        <v/>
      </c>
      <c r="U1048" s="177" t="s">
        <v>261</v>
      </c>
      <c r="V1048" s="584" t="s">
        <v>3004</v>
      </c>
      <c r="W1048" s="584" t="s">
        <v>3005</v>
      </c>
      <c r="X1048" s="175" t="s">
        <v>260</v>
      </c>
      <c r="Y1048" s="175" t="s">
        <v>260</v>
      </c>
      <c r="Z1048" s="177">
        <v>0</v>
      </c>
      <c r="AA1048" s="15">
        <v>1</v>
      </c>
      <c r="AB1048" s="695" t="s">
        <v>260</v>
      </c>
      <c r="AC1048" s="544" t="str">
        <f>""</f>
        <v/>
      </c>
      <c r="AD1048" s="183">
        <v>0</v>
      </c>
      <c r="AE1048" s="183" t="s">
        <v>332</v>
      </c>
      <c r="AF1048" s="183" t="s">
        <v>265</v>
      </c>
      <c r="AG1048" s="183">
        <v>1</v>
      </c>
      <c r="AH1048" s="183">
        <v>13</v>
      </c>
      <c r="AI1048" s="183">
        <v>0</v>
      </c>
      <c r="AJ1048" s="181">
        <f>VLOOKUP($I1048,'Price List, Weapons &amp; Items'!B:F,5,0)</f>
        <v>0</v>
      </c>
      <c r="AK1048" s="181">
        <f t="shared" si="202"/>
        <v>0</v>
      </c>
      <c r="AL1048" s="181">
        <f t="shared" si="203"/>
        <v>0</v>
      </c>
      <c r="AM1048" s="181">
        <f t="shared" si="204"/>
        <v>0</v>
      </c>
      <c r="AN1048" s="180" t="str">
        <f>VLOOKUP($I1048,'Price List, Weapons &amp; Items'!B:L,COLUMN('Price List, Weapons &amp; Items'!$J$11)-1,0)</f>
        <v>Government information</v>
      </c>
      <c r="AO1048" s="180" t="str">
        <f>IF(I1048=".",".",VLOOKUP($I1048,'Price List, Weapons &amp; Items'!B:J,3,0))</f>
        <v>Military equipment</v>
      </c>
      <c r="AP1048" s="545" t="str">
        <f t="shared" ca="1" si="211"/>
        <v/>
      </c>
      <c r="AQ1048" s="180" t="str">
        <f>VLOOKUP($I1048,'Price List, Weapons &amp; Items'!B:L,COLUMN('Price List, Weapons &amp; Items'!$L$11)-1,0)</f>
        <v>no price, 0 count</v>
      </c>
      <c r="AR1048" s="180">
        <f t="shared" si="205"/>
        <v>1</v>
      </c>
      <c r="AS1048" s="180">
        <f t="shared" si="206"/>
        <v>1</v>
      </c>
      <c r="AT1048" s="180">
        <f t="shared" si="207"/>
        <v>1</v>
      </c>
      <c r="AU1048" s="180" t="str">
        <f t="shared" si="208"/>
        <v>.</v>
      </c>
      <c r="AV1048" s="180" t="str">
        <f t="shared" si="209"/>
        <v>.</v>
      </c>
      <c r="AW1048" s="180">
        <f>IFERROR(VLOOKUP(B1048,'Share, Heavy Weapons to Ukraine'!B:J,COLUMN('Share, Heavy Weapons to Ukraine'!C1058)-1,0),0)</f>
        <v>1</v>
      </c>
      <c r="AX1048" s="180">
        <f>VLOOKUP('Bilateral Assistance, MAIN DATA'!B1048,'Country Summary'!B:F,COLUMN('Country Summary'!C1061)-1,FALSE)</f>
        <v>0</v>
      </c>
      <c r="AY1048" s="180" t="str">
        <f>IF(AND(AD1048=1,D1048="Military",H1048&lt;&gt;"Not given")=TRUE,IF(SUMIFS(P:P,A:A,A1048)&gt;0,ABS((SUMIFS(P:P,A:A,A1048)/VLOOKUP("USD",'Exchange Rates'!B:C,2,0)))/S1048,"."),".")</f>
        <v>.</v>
      </c>
      <c r="AZ1048" s="182" t="str">
        <f>IF(AND(AD1048=1,D1048="Military",H1048&lt;&gt;"Not given")=TRUE,IF(SUMIFS(P:P,A:A,A1048)&gt;0,IF((ABS((SUMIFS(P:P,A:A,A1048)/VLOOKUP("USD",'Exchange Rates'!B:C,2,0)))/S1048)&gt;1,(SUMIFS(P:P,A:A,A1048)-S1048)/S1048,(S1048-SUMIFS(P:P,A:A,A1048))/SUMIFS(P:P,A:A,A1048)),"."),".")</f>
        <v>.</v>
      </c>
      <c r="BA1048" s="182"/>
      <c r="BB1048" s="182"/>
      <c r="BC1048" s="182"/>
      <c r="BD1048" s="182"/>
      <c r="BE1048" s="182"/>
      <c r="BF1048" s="182"/>
      <c r="BG1048" s="182"/>
      <c r="BH1048" s="182"/>
      <c r="BI1048" s="182"/>
      <c r="BJ1048" s="182"/>
      <c r="BK1048" s="182"/>
      <c r="BL1048" s="182"/>
      <c r="BM1048" s="182"/>
      <c r="BN1048" s="182"/>
      <c r="BO1048" s="182"/>
      <c r="BP1048" s="182"/>
      <c r="BQ1048" s="182"/>
      <c r="BR1048" s="182"/>
      <c r="BS1048" s="182"/>
    </row>
    <row r="1049" spans="1:71" ht="15.9" customHeight="1" x14ac:dyDescent="0.3">
      <c r="A1049" s="5" t="s">
        <v>3001</v>
      </c>
      <c r="B1049" s="5" t="s">
        <v>2864</v>
      </c>
      <c r="C1049" s="174">
        <v>44940</v>
      </c>
      <c r="D1049" s="5" t="s">
        <v>285</v>
      </c>
      <c r="E1049" s="5" t="s">
        <v>339</v>
      </c>
      <c r="F1049" s="175" t="s">
        <v>3002</v>
      </c>
      <c r="G1049" s="15" t="s">
        <v>346</v>
      </c>
      <c r="H1049" s="176" t="s">
        <v>341</v>
      </c>
      <c r="I1049" s="154" t="s">
        <v>3010</v>
      </c>
      <c r="J1049" s="113" t="str">
        <f>VLOOKUP($I1049,'Price List, Weapons &amp; Items'!B:C,2,0)</f>
        <v>Military equipment</v>
      </c>
      <c r="K1049" s="113" t="str">
        <f>IF(I1049=".",I1049,VLOOKUP($I1049,'Price List, Weapons &amp; Items'!B:D,3,0))</f>
        <v>Military equipment</v>
      </c>
      <c r="L1049" s="177">
        <f>VLOOKUP(I1049,'Price List, Weapons &amp; Items'!B:E,4,0)</f>
        <v>0</v>
      </c>
      <c r="M1049" s="542" t="s">
        <v>270</v>
      </c>
      <c r="N1049" s="542" t="s">
        <v>270</v>
      </c>
      <c r="O1049" s="543">
        <f>VLOOKUP($I1049,'Price List, Weapons &amp; Items'!B:G,6,0)</f>
        <v>24724000</v>
      </c>
      <c r="P1049" s="176" t="str">
        <f t="shared" si="200"/>
        <v>.</v>
      </c>
      <c r="Q1049" s="176" t="str">
        <f t="shared" si="201"/>
        <v>.</v>
      </c>
      <c r="R1049" s="176" t="str">
        <f t="shared" si="210"/>
        <v/>
      </c>
      <c r="S1049" s="176" t="str">
        <f>IF(AND(AD1049=1,R1049&lt;&gt;".")=TRUE,R1049/VLOOKUP(G1049,'Exchange Rates'!B:C,2,0),IF(R1049=".",".",""))</f>
        <v/>
      </c>
      <c r="T1049" s="176" t="str">
        <f>IF(AD1049=1,IF(AF1049="Value is not given at all",".",IF(AF1049="Value is given by the source",S1049,IF(AF1049="Value is calculated with prices",(IF(SUMIFS(Q:Q,A:A,A1049)&gt;0,SUMIFS(Q:Q,A:A,A1049),"."))/VLOOKUP("USD",'Exchange Rates'!B:C,2,0),"Error with coding"))),"")</f>
        <v/>
      </c>
      <c r="U1049" s="177" t="s">
        <v>261</v>
      </c>
      <c r="V1049" s="584" t="s">
        <v>3004</v>
      </c>
      <c r="W1049" s="584" t="s">
        <v>3005</v>
      </c>
      <c r="X1049" s="175" t="s">
        <v>260</v>
      </c>
      <c r="Y1049" s="175" t="s">
        <v>260</v>
      </c>
      <c r="Z1049" s="177">
        <v>0</v>
      </c>
      <c r="AA1049" s="15">
        <v>1</v>
      </c>
      <c r="AB1049" s="695" t="s">
        <v>260</v>
      </c>
      <c r="AC1049" s="544" t="str">
        <f>""</f>
        <v/>
      </c>
      <c r="AD1049" s="183">
        <v>0</v>
      </c>
      <c r="AE1049" s="183" t="s">
        <v>332</v>
      </c>
      <c r="AF1049" s="183" t="s">
        <v>265</v>
      </c>
      <c r="AG1049" s="183">
        <v>1</v>
      </c>
      <c r="AH1049" s="183">
        <v>13</v>
      </c>
      <c r="AI1049" s="183">
        <v>0</v>
      </c>
      <c r="AJ1049" s="181">
        <f>VLOOKUP($I1049,'Price List, Weapons &amp; Items'!B:F,5,0)</f>
        <v>0</v>
      </c>
      <c r="AK1049" s="181">
        <f t="shared" si="202"/>
        <v>0</v>
      </c>
      <c r="AL1049" s="181">
        <f t="shared" si="203"/>
        <v>0</v>
      </c>
      <c r="AM1049" s="181">
        <f t="shared" si="204"/>
        <v>0</v>
      </c>
      <c r="AN1049" s="180" t="str">
        <f>VLOOKUP($I1049,'Price List, Weapons &amp; Items'!B:L,COLUMN('Price List, Weapons &amp; Items'!$J$11)-1,0)</f>
        <v>Government information</v>
      </c>
      <c r="AO1049" s="180" t="str">
        <f>IF(I1049=".",".",VLOOKUP($I1049,'Price List, Weapons &amp; Items'!B:J,3,0))</f>
        <v>Military equipment</v>
      </c>
      <c r="AP1049" s="545" t="str">
        <f t="shared" ca="1" si="211"/>
        <v/>
      </c>
      <c r="AQ1049" s="180" t="str">
        <f>VLOOKUP($I1049,'Price List, Weapons &amp; Items'!B:L,COLUMN('Price List, Weapons &amp; Items'!$L$11)-1,0)</f>
        <v>no price, 0 count</v>
      </c>
      <c r="AR1049" s="180">
        <f t="shared" si="205"/>
        <v>1</v>
      </c>
      <c r="AS1049" s="180">
        <f t="shared" si="206"/>
        <v>1</v>
      </c>
      <c r="AT1049" s="180">
        <f t="shared" si="207"/>
        <v>1</v>
      </c>
      <c r="AU1049" s="180" t="str">
        <f t="shared" si="208"/>
        <v>.</v>
      </c>
      <c r="AV1049" s="180" t="str">
        <f t="shared" si="209"/>
        <v>.</v>
      </c>
      <c r="AW1049" s="180">
        <f>IFERROR(VLOOKUP(B1049,'Share, Heavy Weapons to Ukraine'!B:J,COLUMN('Share, Heavy Weapons to Ukraine'!C1059)-1,0),0)</f>
        <v>1</v>
      </c>
      <c r="AX1049" s="180">
        <f>VLOOKUP('Bilateral Assistance, MAIN DATA'!B1049,'Country Summary'!B:F,COLUMN('Country Summary'!C1062)-1,FALSE)</f>
        <v>0</v>
      </c>
      <c r="AY1049" s="180" t="str">
        <f>IF(AND(AD1049=1,D1049="Military",H1049&lt;&gt;"Not given")=TRUE,IF(SUMIFS(P:P,A:A,A1049)&gt;0,ABS((SUMIFS(P:P,A:A,A1049)/VLOOKUP("USD",'Exchange Rates'!B:C,2,0)))/S1049,"."),".")</f>
        <v>.</v>
      </c>
      <c r="AZ1049" s="182" t="str">
        <f>IF(AND(AD1049=1,D1049="Military",H1049&lt;&gt;"Not given")=TRUE,IF(SUMIFS(P:P,A:A,A1049)&gt;0,IF((ABS((SUMIFS(P:P,A:A,A1049)/VLOOKUP("USD",'Exchange Rates'!B:C,2,0)))/S1049)&gt;1,(SUMIFS(P:P,A:A,A1049)-S1049)/S1049,(S1049-SUMIFS(P:P,A:A,A1049))/SUMIFS(P:P,A:A,A1049)),"."),".")</f>
        <v>.</v>
      </c>
      <c r="BA1049" s="182"/>
      <c r="BB1049" s="182"/>
      <c r="BC1049" s="182"/>
      <c r="BD1049" s="182"/>
      <c r="BE1049" s="182"/>
      <c r="BF1049" s="182"/>
      <c r="BG1049" s="182"/>
      <c r="BH1049" s="182"/>
      <c r="BI1049" s="182"/>
      <c r="BJ1049" s="182"/>
      <c r="BK1049" s="182"/>
      <c r="BL1049" s="182"/>
      <c r="BM1049" s="182"/>
      <c r="BN1049" s="182"/>
      <c r="BO1049" s="182"/>
      <c r="BP1049" s="182"/>
      <c r="BQ1049" s="182"/>
      <c r="BR1049" s="182"/>
      <c r="BS1049" s="182"/>
    </row>
    <row r="1050" spans="1:71" ht="15.9" customHeight="1" x14ac:dyDescent="0.3">
      <c r="A1050" s="5" t="s">
        <v>3001</v>
      </c>
      <c r="B1050" s="5" t="s">
        <v>2864</v>
      </c>
      <c r="C1050" s="174">
        <v>44940</v>
      </c>
      <c r="D1050" s="5" t="s">
        <v>285</v>
      </c>
      <c r="E1050" s="5" t="s">
        <v>339</v>
      </c>
      <c r="F1050" s="175" t="s">
        <v>3002</v>
      </c>
      <c r="G1050" s="15" t="s">
        <v>346</v>
      </c>
      <c r="H1050" s="176" t="s">
        <v>341</v>
      </c>
      <c r="I1050" s="154" t="s">
        <v>3011</v>
      </c>
      <c r="J1050" s="113" t="str">
        <f>VLOOKUP($I1050,'Price List, Weapons &amp; Items'!B:C,2,0)</f>
        <v>Military equipment</v>
      </c>
      <c r="K1050" s="113" t="str">
        <f>IF(I1050=".",I1050,VLOOKUP($I1050,'Price List, Weapons &amp; Items'!B:D,3,0))</f>
        <v>Military equipment</v>
      </c>
      <c r="L1050" s="177">
        <f>VLOOKUP(I1050,'Price List, Weapons &amp; Items'!B:E,4,0)</f>
        <v>0</v>
      </c>
      <c r="M1050" s="542">
        <v>100</v>
      </c>
      <c r="N1050" s="542" t="s">
        <v>270</v>
      </c>
      <c r="O1050" s="543" t="str">
        <f>VLOOKUP($I1050,'Price List, Weapons &amp; Items'!B:G,6,0)</f>
        <v>.</v>
      </c>
      <c r="P1050" s="176" t="str">
        <f t="shared" si="200"/>
        <v>No price</v>
      </c>
      <c r="Q1050" s="176" t="str">
        <f t="shared" si="201"/>
        <v>.</v>
      </c>
      <c r="R1050" s="176" t="str">
        <f t="shared" si="210"/>
        <v/>
      </c>
      <c r="S1050" s="176" t="str">
        <f>IF(AND(AD1050=1,R1050&lt;&gt;".")=TRUE,R1050/VLOOKUP(G1050,'Exchange Rates'!B:C,2,0),IF(R1050=".",".",""))</f>
        <v/>
      </c>
      <c r="T1050" s="176" t="str">
        <f>IF(AD1050=1,IF(AF1050="Value is not given at all",".",IF(AF1050="Value is given by the source",S1050,IF(AF1050="Value is calculated with prices",(IF(SUMIFS(Q:Q,A:A,A1050)&gt;0,SUMIFS(Q:Q,A:A,A1050),"."))/VLOOKUP("USD",'Exchange Rates'!B:C,2,0),"Error with coding"))),"")</f>
        <v/>
      </c>
      <c r="U1050" s="177" t="s">
        <v>261</v>
      </c>
      <c r="V1050" s="584" t="s">
        <v>3004</v>
      </c>
      <c r="W1050" s="584" t="s">
        <v>3005</v>
      </c>
      <c r="X1050" s="175" t="s">
        <v>260</v>
      </c>
      <c r="Y1050" s="175" t="s">
        <v>260</v>
      </c>
      <c r="Z1050" s="177">
        <v>0</v>
      </c>
      <c r="AA1050" s="15">
        <v>1</v>
      </c>
      <c r="AB1050" s="695" t="s">
        <v>260</v>
      </c>
      <c r="AC1050" s="544" t="str">
        <f>""</f>
        <v/>
      </c>
      <c r="AD1050" s="183">
        <v>0</v>
      </c>
      <c r="AE1050" s="183" t="s">
        <v>332</v>
      </c>
      <c r="AF1050" s="183" t="s">
        <v>265</v>
      </c>
      <c r="AG1050" s="183">
        <v>1</v>
      </c>
      <c r="AH1050" s="183">
        <v>13</v>
      </c>
      <c r="AI1050" s="183">
        <v>0</v>
      </c>
      <c r="AJ1050" s="181">
        <f>VLOOKUP($I1050,'Price List, Weapons &amp; Items'!B:F,5,0)</f>
        <v>0</v>
      </c>
      <c r="AK1050" s="181">
        <f t="shared" si="202"/>
        <v>0</v>
      </c>
      <c r="AL1050" s="181">
        <f t="shared" si="203"/>
        <v>0</v>
      </c>
      <c r="AM1050" s="181">
        <f t="shared" si="204"/>
        <v>0</v>
      </c>
      <c r="AN1050" s="180" t="str">
        <f>VLOOKUP($I1050,'Price List, Weapons &amp; Items'!B:L,COLUMN('Price List, Weapons &amp; Items'!$J$11)-1,0)</f>
        <v>.</v>
      </c>
      <c r="AO1050" s="180" t="str">
        <f>IF(I1050=".",".",VLOOKUP($I1050,'Price List, Weapons &amp; Items'!B:J,3,0))</f>
        <v>Military equipment</v>
      </c>
      <c r="AP1050" s="545" t="str">
        <f t="shared" ca="1" si="211"/>
        <v/>
      </c>
      <c r="AQ1050" s="180">
        <f>VLOOKUP($I1050,'Price List, Weapons &amp; Items'!B:L,COLUMN('Price List, Weapons &amp; Items'!$L$11)-1,0)</f>
        <v>0</v>
      </c>
      <c r="AR1050" s="180">
        <f t="shared" si="205"/>
        <v>1</v>
      </c>
      <c r="AS1050" s="180">
        <f t="shared" si="206"/>
        <v>1</v>
      </c>
      <c r="AT1050" s="180">
        <f t="shared" si="207"/>
        <v>1</v>
      </c>
      <c r="AU1050" s="180" t="str">
        <f t="shared" si="208"/>
        <v>.</v>
      </c>
      <c r="AV1050" s="180" t="str">
        <f t="shared" si="209"/>
        <v>.</v>
      </c>
      <c r="AW1050" s="180">
        <f>IFERROR(VLOOKUP(B1050,'Share, Heavy Weapons to Ukraine'!B:J,COLUMN('Share, Heavy Weapons to Ukraine'!C1060)-1,0),0)</f>
        <v>1</v>
      </c>
      <c r="AX1050" s="180">
        <f>VLOOKUP('Bilateral Assistance, MAIN DATA'!B1050,'Country Summary'!B:F,COLUMN('Country Summary'!C1063)-1,FALSE)</f>
        <v>0</v>
      </c>
      <c r="AY1050" s="180" t="str">
        <f>IF(AND(AD1050=1,D1050="Military",H1050&lt;&gt;"Not given")=TRUE,IF(SUMIFS(P:P,A:A,A1050)&gt;0,ABS((SUMIFS(P:P,A:A,A1050)/VLOOKUP("USD",'Exchange Rates'!B:C,2,0)))/S1050,"."),".")</f>
        <v>.</v>
      </c>
      <c r="AZ1050" s="182" t="str">
        <f>IF(AND(AD1050=1,D1050="Military",H1050&lt;&gt;"Not given")=TRUE,IF(SUMIFS(P:P,A:A,A1050)&gt;0,IF((ABS((SUMIFS(P:P,A:A,A1050)/VLOOKUP("USD",'Exchange Rates'!B:C,2,0)))/S1050)&gt;1,(SUMIFS(P:P,A:A,A1050)-S1050)/S1050,(S1050-SUMIFS(P:P,A:A,A1050))/SUMIFS(P:P,A:A,A1050)),"."),".")</f>
        <v>.</v>
      </c>
      <c r="BA1050" s="182"/>
      <c r="BB1050" s="182"/>
      <c r="BC1050" s="182"/>
      <c r="BD1050" s="182"/>
      <c r="BE1050" s="182"/>
      <c r="BF1050" s="182"/>
      <c r="BG1050" s="182"/>
      <c r="BH1050" s="182"/>
      <c r="BI1050" s="182"/>
      <c r="BJ1050" s="182"/>
      <c r="BK1050" s="182"/>
      <c r="BL1050" s="182"/>
      <c r="BM1050" s="182"/>
      <c r="BN1050" s="182"/>
      <c r="BO1050" s="182"/>
      <c r="BP1050" s="182"/>
      <c r="BQ1050" s="182"/>
      <c r="BR1050" s="182"/>
      <c r="BS1050" s="182"/>
    </row>
    <row r="1051" spans="1:71" ht="15.9" customHeight="1" x14ac:dyDescent="0.3">
      <c r="A1051" s="17" t="s">
        <v>3012</v>
      </c>
      <c r="B1051" s="17" t="s">
        <v>2864</v>
      </c>
      <c r="C1051" s="174">
        <v>44593</v>
      </c>
      <c r="D1051" s="5" t="s">
        <v>405</v>
      </c>
      <c r="E1051" s="5" t="s">
        <v>362</v>
      </c>
      <c r="F1051" s="175" t="s">
        <v>3013</v>
      </c>
      <c r="G1051" s="15" t="s">
        <v>2866</v>
      </c>
      <c r="H1051" s="176">
        <v>88000000</v>
      </c>
      <c r="I1051" s="17" t="s">
        <v>260</v>
      </c>
      <c r="J1051" s="113" t="str">
        <f>VLOOKUP($I1051,'Price List, Weapons &amp; Items'!B:C,2,0)</f>
        <v>.</v>
      </c>
      <c r="K1051" s="113" t="str">
        <f>IF(I1051=".",I1051,VLOOKUP($I1051,'Price List, Weapons &amp; Items'!B:D,3,0))</f>
        <v>.</v>
      </c>
      <c r="L1051" s="177">
        <f>VLOOKUP(I1051,'Price List, Weapons &amp; Items'!B:E,4,0)</f>
        <v>0</v>
      </c>
      <c r="M1051" s="542" t="s">
        <v>260</v>
      </c>
      <c r="N1051" s="542" t="s">
        <v>260</v>
      </c>
      <c r="O1051" s="543" t="str">
        <f>VLOOKUP($I1051,'Price List, Weapons &amp; Items'!B:G,6,0)</f>
        <v>.</v>
      </c>
      <c r="P1051" s="176" t="str">
        <f t="shared" si="200"/>
        <v>.</v>
      </c>
      <c r="Q1051" s="176" t="str">
        <f t="shared" si="201"/>
        <v>.</v>
      </c>
      <c r="R1051" s="176">
        <f t="shared" si="210"/>
        <v>88000000</v>
      </c>
      <c r="S1051" s="176">
        <f>IF(AND(AD1051=1,R1051&lt;&gt;".")=TRUE,R1051/VLOOKUP(G1051,'Exchange Rates'!B:C,2,0),IF(R1051=".",".",""))</f>
        <v>102095273.45290855</v>
      </c>
      <c r="T1051" s="176" t="str">
        <f>IF(AD1051=1,IF(AF1051="Value is not given at all",".",IF(AF1051="Value is given by the source",S1051,IF(AF1051="Value is calculated with prices",(IF(SUMIFS(Q:Q,A:A,A1051)&gt;0,SUMIFS(Q:Q,A:A,A1051),"."))/VLOOKUP("USD",'Exchange Rates'!B:C,2,0),"Error with coding"))),"")</f>
        <v>.</v>
      </c>
      <c r="U1051" s="15" t="s">
        <v>261</v>
      </c>
      <c r="V1051" s="300" t="s">
        <v>2896</v>
      </c>
      <c r="W1051" s="175" t="s">
        <v>260</v>
      </c>
      <c r="X1051" s="175" t="s">
        <v>260</v>
      </c>
      <c r="Y1051" s="175" t="s">
        <v>260</v>
      </c>
      <c r="Z1051" s="15">
        <v>0</v>
      </c>
      <c r="AA1051" s="180">
        <v>0</v>
      </c>
      <c r="AB1051" s="184" t="s">
        <v>260</v>
      </c>
      <c r="AC1051" s="544" t="str">
        <f>""</f>
        <v/>
      </c>
      <c r="AD1051" s="181">
        <v>1</v>
      </c>
      <c r="AE1051" s="181" t="s">
        <v>264</v>
      </c>
      <c r="AF1051" s="181" t="s">
        <v>265</v>
      </c>
      <c r="AG1051" s="181">
        <v>1</v>
      </c>
      <c r="AH1051" s="181">
        <v>2</v>
      </c>
      <c r="AI1051" s="181">
        <v>1</v>
      </c>
      <c r="AJ1051" s="181">
        <f>VLOOKUP($I1051,'Price List, Weapons &amp; Items'!B:F,5,0)</f>
        <v>0</v>
      </c>
      <c r="AK1051" s="181">
        <f t="shared" si="202"/>
        <v>0</v>
      </c>
      <c r="AL1051" s="181">
        <f t="shared" si="203"/>
        <v>0</v>
      </c>
      <c r="AM1051" s="181">
        <f t="shared" si="204"/>
        <v>0</v>
      </c>
      <c r="AN1051" s="180" t="str">
        <f>VLOOKUP($I1051,'Price List, Weapons &amp; Items'!B:L,COLUMN('Price List, Weapons &amp; Items'!$J$11)-1,0)</f>
        <v>.</v>
      </c>
      <c r="AO1051" s="180" t="str">
        <f>IF(I1051=".",".",VLOOKUP($I1051,'Price List, Weapons &amp; Items'!B:J,3,0))</f>
        <v>.</v>
      </c>
      <c r="AP1051" s="545" t="e">
        <f t="shared" ca="1" si="211"/>
        <v>#NAME?</v>
      </c>
      <c r="AQ1051" s="180" t="str">
        <f>VLOOKUP($I1051,'Price List, Weapons &amp; Items'!B:L,COLUMN('Price List, Weapons &amp; Items'!$L$11)-1,0)</f>
        <v>no price, 0 count</v>
      </c>
      <c r="AR1051" s="180">
        <f t="shared" si="205"/>
        <v>1</v>
      </c>
      <c r="AS1051" s="180">
        <f t="shared" si="206"/>
        <v>0</v>
      </c>
      <c r="AT1051" s="180">
        <f t="shared" si="207"/>
        <v>1</v>
      </c>
      <c r="AU1051" s="180" t="str">
        <f t="shared" si="208"/>
        <v>.</v>
      </c>
      <c r="AV1051" s="180" t="str">
        <f t="shared" si="209"/>
        <v>.</v>
      </c>
      <c r="AW1051" s="180">
        <f>IFERROR(VLOOKUP(B1051,'Share, Heavy Weapons to Ukraine'!B:J,COLUMN('Share, Heavy Weapons to Ukraine'!C1061)-1,0),0)</f>
        <v>1</v>
      </c>
      <c r="AX1051" s="180">
        <f>VLOOKUP('Bilateral Assistance, MAIN DATA'!B1051,'Country Summary'!B:F,COLUMN('Country Summary'!C1064)-1,FALSE)</f>
        <v>0</v>
      </c>
      <c r="AY1051" s="180" t="str">
        <f>IF(AND(AD1051=1,D1051="Military",H1051&lt;&gt;"Not given")=TRUE,IF(SUMIFS(P:P,A:A,A1051)&gt;0,ABS((SUMIFS(P:P,A:A,A1051)/VLOOKUP("USD",'Exchange Rates'!B:C,2,0)))/S1051,"."),".")</f>
        <v>.</v>
      </c>
      <c r="AZ1051" s="182" t="str">
        <f>IF(AND(AD1051=1,D1051="Military",H1051&lt;&gt;"Not given")=TRUE,IF(SUMIFS(P:P,A:A,A1051)&gt;0,IF((ABS((SUMIFS(P:P,A:A,A1051)/VLOOKUP("USD",'Exchange Rates'!B:C,2,0)))/S1051)&gt;1,(SUMIFS(P:P,A:A,A1051)-S1051)/S1051,(S1051-SUMIFS(P:P,A:A,A1051))/SUMIFS(P:P,A:A,A1051)),"."),".")</f>
        <v>.</v>
      </c>
      <c r="BA1051" s="182"/>
      <c r="BB1051" s="182"/>
      <c r="BC1051" s="182"/>
      <c r="BD1051" s="182"/>
      <c r="BE1051" s="182"/>
      <c r="BF1051" s="182"/>
      <c r="BG1051" s="182"/>
      <c r="BH1051" s="182"/>
      <c r="BI1051" s="182"/>
      <c r="BJ1051" s="182"/>
      <c r="BK1051" s="182"/>
      <c r="BL1051" s="182"/>
      <c r="BM1051" s="182"/>
      <c r="BN1051" s="182"/>
      <c r="BO1051" s="182"/>
      <c r="BP1051" s="182"/>
      <c r="BQ1051" s="182"/>
      <c r="BR1051" s="182"/>
      <c r="BS1051" s="182"/>
    </row>
    <row r="1052" spans="1:71" ht="15.9" customHeight="1" x14ac:dyDescent="0.3">
      <c r="A1052" s="17" t="s">
        <v>3014</v>
      </c>
      <c r="B1052" s="17" t="s">
        <v>2864</v>
      </c>
      <c r="C1052" s="174">
        <v>44615</v>
      </c>
      <c r="D1052" s="5" t="s">
        <v>405</v>
      </c>
      <c r="E1052" s="5" t="s">
        <v>518</v>
      </c>
      <c r="F1052" s="175" t="s">
        <v>3015</v>
      </c>
      <c r="G1052" s="15" t="s">
        <v>2866</v>
      </c>
      <c r="H1052" s="176">
        <v>500000000</v>
      </c>
      <c r="I1052" s="17" t="s">
        <v>260</v>
      </c>
      <c r="J1052" s="113" t="str">
        <f>VLOOKUP($I1052,'Price List, Weapons &amp; Items'!B:C,2,0)</f>
        <v>.</v>
      </c>
      <c r="K1052" s="113" t="str">
        <f>IF(I1052=".",I1052,VLOOKUP($I1052,'Price List, Weapons &amp; Items'!B:D,3,0))</f>
        <v>.</v>
      </c>
      <c r="L1052" s="177">
        <f>VLOOKUP(I1052,'Price List, Weapons &amp; Items'!B:E,4,0)</f>
        <v>0</v>
      </c>
      <c r="M1052" s="542" t="s">
        <v>260</v>
      </c>
      <c r="N1052" s="542" t="s">
        <v>260</v>
      </c>
      <c r="O1052" s="543" t="str">
        <f>VLOOKUP($I1052,'Price List, Weapons &amp; Items'!B:G,6,0)</f>
        <v>.</v>
      </c>
      <c r="P1052" s="176" t="str">
        <f t="shared" si="200"/>
        <v>.</v>
      </c>
      <c r="Q1052" s="176" t="str">
        <f t="shared" si="201"/>
        <v>.</v>
      </c>
      <c r="R1052" s="176">
        <f t="shared" si="210"/>
        <v>500000000</v>
      </c>
      <c r="S1052" s="176">
        <f>IF(AND(AD1052=1,R1052&lt;&gt;".")=TRUE,R1052/VLOOKUP(G1052,'Exchange Rates'!B:C,2,0),IF(R1052=".",".",""))</f>
        <v>580086780.98243499</v>
      </c>
      <c r="T1052" s="176" t="str">
        <f>IF(AD1052=1,IF(AF1052="Value is not given at all",".",IF(AF1052="Value is given by the source",S1052,IF(AF1052="Value is calculated with prices",(IF(SUMIFS(Q:Q,A:A,A1052)&gt;0,SUMIFS(Q:Q,A:A,A1052),"."))/VLOOKUP("USD",'Exchange Rates'!B:C,2,0),"Error with coding"))),"")</f>
        <v>.</v>
      </c>
      <c r="U1052" s="15" t="s">
        <v>261</v>
      </c>
      <c r="V1052" s="300" t="s">
        <v>2871</v>
      </c>
      <c r="W1052" s="175" t="s">
        <v>260</v>
      </c>
      <c r="X1052" s="175" t="s">
        <v>260</v>
      </c>
      <c r="Y1052" s="175" t="s">
        <v>260</v>
      </c>
      <c r="Z1052" s="15">
        <v>0</v>
      </c>
      <c r="AA1052" s="180">
        <v>0</v>
      </c>
      <c r="AB1052" s="184" t="s">
        <v>260</v>
      </c>
      <c r="AC1052" s="544" t="str">
        <f>""</f>
        <v/>
      </c>
      <c r="AD1052" s="181">
        <v>1</v>
      </c>
      <c r="AE1052" s="181" t="s">
        <v>264</v>
      </c>
      <c r="AF1052" s="181" t="s">
        <v>265</v>
      </c>
      <c r="AG1052" s="181">
        <v>1</v>
      </c>
      <c r="AH1052" s="181">
        <v>2</v>
      </c>
      <c r="AI1052" s="181">
        <v>1</v>
      </c>
      <c r="AJ1052" s="181">
        <f>VLOOKUP($I1052,'Price List, Weapons &amp; Items'!B:F,5,0)</f>
        <v>0</v>
      </c>
      <c r="AK1052" s="181">
        <f t="shared" si="202"/>
        <v>0</v>
      </c>
      <c r="AL1052" s="181">
        <f t="shared" si="203"/>
        <v>0</v>
      </c>
      <c r="AM1052" s="181">
        <f t="shared" si="204"/>
        <v>0</v>
      </c>
      <c r="AN1052" s="180" t="str">
        <f>VLOOKUP($I1052,'Price List, Weapons &amp; Items'!B:L,COLUMN('Price List, Weapons &amp; Items'!$J$11)-1,0)</f>
        <v>.</v>
      </c>
      <c r="AO1052" s="180" t="str">
        <f>IF(I1052=".",".",VLOOKUP($I1052,'Price List, Weapons &amp; Items'!B:J,3,0))</f>
        <v>.</v>
      </c>
      <c r="AP1052" s="545" t="e">
        <f t="shared" ca="1" si="211"/>
        <v>#NAME?</v>
      </c>
      <c r="AQ1052" s="180" t="str">
        <f>VLOOKUP($I1052,'Price List, Weapons &amp; Items'!B:L,COLUMN('Price List, Weapons &amp; Items'!$L$11)-1,0)</f>
        <v>no price, 0 count</v>
      </c>
      <c r="AR1052" s="180">
        <f t="shared" si="205"/>
        <v>1</v>
      </c>
      <c r="AS1052" s="180">
        <f t="shared" si="206"/>
        <v>0</v>
      </c>
      <c r="AT1052" s="180">
        <f t="shared" si="207"/>
        <v>1</v>
      </c>
      <c r="AU1052" s="180" t="str">
        <f t="shared" si="208"/>
        <v>.</v>
      </c>
      <c r="AV1052" s="180" t="str">
        <f t="shared" si="209"/>
        <v>.</v>
      </c>
      <c r="AW1052" s="180">
        <f>IFERROR(VLOOKUP(B1052,'Share, Heavy Weapons to Ukraine'!B:J,COLUMN('Share, Heavy Weapons to Ukraine'!C1062)-1,0),0)</f>
        <v>1</v>
      </c>
      <c r="AX1052" s="180">
        <f>VLOOKUP('Bilateral Assistance, MAIN DATA'!B1052,'Country Summary'!B:F,COLUMN('Country Summary'!C1065)-1,FALSE)</f>
        <v>0</v>
      </c>
      <c r="AY1052" s="180" t="str">
        <f>IF(AND(AD1052=1,D1052="Military",H1052&lt;&gt;"Not given")=TRUE,IF(SUMIFS(P:P,A:A,A1052)&gt;0,ABS((SUMIFS(P:P,A:A,A1052)/VLOOKUP("USD",'Exchange Rates'!B:C,2,0)))/S1052,"."),".")</f>
        <v>.</v>
      </c>
      <c r="AZ1052" s="182" t="str">
        <f>IF(AND(AD1052=1,D1052="Military",H1052&lt;&gt;"Not given")=TRUE,IF(SUMIFS(P:P,A:A,A1052)&gt;0,IF((ABS((SUMIFS(P:P,A:A,A1052)/VLOOKUP("USD",'Exchange Rates'!B:C,2,0)))/S1052)&gt;1,(SUMIFS(P:P,A:A,A1052)-S1052)/S1052,(S1052-SUMIFS(P:P,A:A,A1052))/SUMIFS(P:P,A:A,A1052)),"."),".")</f>
        <v>.</v>
      </c>
      <c r="BA1052" s="182"/>
      <c r="BB1052" s="182"/>
      <c r="BC1052" s="182"/>
      <c r="BD1052" s="182"/>
      <c r="BE1052" s="182"/>
      <c r="BF1052" s="182"/>
      <c r="BG1052" s="182"/>
      <c r="BH1052" s="182"/>
      <c r="BI1052" s="182"/>
      <c r="BJ1052" s="182"/>
      <c r="BK1052" s="182"/>
      <c r="BL1052" s="182"/>
      <c r="BM1052" s="182"/>
      <c r="BN1052" s="182"/>
      <c r="BO1052" s="182"/>
      <c r="BP1052" s="182"/>
      <c r="BQ1052" s="182"/>
      <c r="BR1052" s="182"/>
      <c r="BS1052" s="182"/>
    </row>
    <row r="1053" spans="1:71" ht="15.9" customHeight="1" x14ac:dyDescent="0.3">
      <c r="A1053" s="17" t="s">
        <v>3016</v>
      </c>
      <c r="B1053" s="17" t="s">
        <v>2864</v>
      </c>
      <c r="C1053" s="174">
        <v>44627</v>
      </c>
      <c r="D1053" s="5" t="s">
        <v>405</v>
      </c>
      <c r="E1053" s="5" t="s">
        <v>362</v>
      </c>
      <c r="F1053" s="175" t="s">
        <v>3017</v>
      </c>
      <c r="G1053" s="15" t="s">
        <v>2866</v>
      </c>
      <c r="H1053" s="176">
        <v>74000000</v>
      </c>
      <c r="I1053" s="17" t="s">
        <v>260</v>
      </c>
      <c r="J1053" s="113" t="str">
        <f>VLOOKUP($I1053,'Price List, Weapons &amp; Items'!B:C,2,0)</f>
        <v>.</v>
      </c>
      <c r="K1053" s="113" t="str">
        <f>IF(I1053=".",I1053,VLOOKUP($I1053,'Price List, Weapons &amp; Items'!B:D,3,0))</f>
        <v>.</v>
      </c>
      <c r="L1053" s="177">
        <f>VLOOKUP(I1053,'Price List, Weapons &amp; Items'!B:E,4,0)</f>
        <v>0</v>
      </c>
      <c r="M1053" s="542" t="s">
        <v>260</v>
      </c>
      <c r="N1053" s="542" t="s">
        <v>260</v>
      </c>
      <c r="O1053" s="543" t="str">
        <f>VLOOKUP($I1053,'Price List, Weapons &amp; Items'!B:G,6,0)</f>
        <v>.</v>
      </c>
      <c r="P1053" s="176" t="str">
        <f t="shared" si="200"/>
        <v>.</v>
      </c>
      <c r="Q1053" s="176" t="str">
        <f t="shared" si="201"/>
        <v>.</v>
      </c>
      <c r="R1053" s="176">
        <f t="shared" si="210"/>
        <v>74000000</v>
      </c>
      <c r="S1053" s="176">
        <f>IF(AND(AD1053=1,R1053&lt;&gt;".")=TRUE,R1053/VLOOKUP(G1053,'Exchange Rates'!B:C,2,0),IF(R1053=".",".",""))</f>
        <v>85852843.585400373</v>
      </c>
      <c r="T1053" s="176" t="str">
        <f>IF(AD1053=1,IF(AF1053="Value is not given at all",".",IF(AF1053="Value is given by the source",S1053,IF(AF1053="Value is calculated with prices",(IF(SUMIFS(Q:Q,A:A,A1053)&gt;0,SUMIFS(Q:Q,A:A,A1053),"."))/VLOOKUP("USD",'Exchange Rates'!B:C,2,0),"Error with coding"))),"")</f>
        <v>.</v>
      </c>
      <c r="U1053" s="15" t="s">
        <v>261</v>
      </c>
      <c r="V1053" s="300" t="s">
        <v>930</v>
      </c>
      <c r="W1053" s="300" t="s">
        <v>3018</v>
      </c>
      <c r="X1053" s="175" t="s">
        <v>260</v>
      </c>
      <c r="Y1053" s="175" t="s">
        <v>260</v>
      </c>
      <c r="Z1053" s="15">
        <v>1</v>
      </c>
      <c r="AA1053" s="180">
        <v>0</v>
      </c>
      <c r="AB1053" s="184" t="s">
        <v>260</v>
      </c>
      <c r="AC1053" s="544" t="str">
        <f>""</f>
        <v/>
      </c>
      <c r="AD1053" s="181">
        <v>1</v>
      </c>
      <c r="AE1053" s="181" t="s">
        <v>264</v>
      </c>
      <c r="AF1053" s="181" t="s">
        <v>265</v>
      </c>
      <c r="AG1053" s="181">
        <v>1</v>
      </c>
      <c r="AH1053" s="181">
        <v>3</v>
      </c>
      <c r="AI1053" s="181">
        <v>0</v>
      </c>
      <c r="AJ1053" s="181">
        <f>VLOOKUP($I1053,'Price List, Weapons &amp; Items'!B:F,5,0)</f>
        <v>0</v>
      </c>
      <c r="AK1053" s="181">
        <f t="shared" si="202"/>
        <v>0</v>
      </c>
      <c r="AL1053" s="181">
        <f t="shared" si="203"/>
        <v>0</v>
      </c>
      <c r="AM1053" s="181">
        <f t="shared" si="204"/>
        <v>0</v>
      </c>
      <c r="AN1053" s="180" t="str">
        <f>VLOOKUP($I1053,'Price List, Weapons &amp; Items'!B:L,COLUMN('Price List, Weapons &amp; Items'!$J$11)-1,0)</f>
        <v>.</v>
      </c>
      <c r="AO1053" s="180" t="str">
        <f>IF(I1053=".",".",VLOOKUP($I1053,'Price List, Weapons &amp; Items'!B:J,3,0))</f>
        <v>.</v>
      </c>
      <c r="AP1053" s="545" t="e">
        <f t="shared" ca="1" si="211"/>
        <v>#NAME?</v>
      </c>
      <c r="AQ1053" s="180" t="str">
        <f>VLOOKUP($I1053,'Price List, Weapons &amp; Items'!B:L,COLUMN('Price List, Weapons &amp; Items'!$L$11)-1,0)</f>
        <v>no price, 0 count</v>
      </c>
      <c r="AR1053" s="180">
        <f t="shared" si="205"/>
        <v>1</v>
      </c>
      <c r="AS1053" s="180">
        <f t="shared" si="206"/>
        <v>0</v>
      </c>
      <c r="AT1053" s="180">
        <f t="shared" si="207"/>
        <v>1</v>
      </c>
      <c r="AU1053" s="180" t="str">
        <f t="shared" si="208"/>
        <v>.</v>
      </c>
      <c r="AV1053" s="180" t="str">
        <f t="shared" si="209"/>
        <v>.</v>
      </c>
      <c r="AW1053" s="180">
        <f>IFERROR(VLOOKUP(B1053,'Share, Heavy Weapons to Ukraine'!B:J,COLUMN('Share, Heavy Weapons to Ukraine'!C1063)-1,0),0)</f>
        <v>1</v>
      </c>
      <c r="AX1053" s="180">
        <f>VLOOKUP('Bilateral Assistance, MAIN DATA'!B1053,'Country Summary'!B:F,COLUMN('Country Summary'!C1066)-1,FALSE)</f>
        <v>0</v>
      </c>
      <c r="AY1053" s="180" t="str">
        <f>IF(AND(AD1053=1,D1053="Military",H1053&lt;&gt;"Not given")=TRUE,IF(SUMIFS(P:P,A:A,A1053)&gt;0,ABS((SUMIFS(P:P,A:A,A1053)/VLOOKUP("USD",'Exchange Rates'!B:C,2,0)))/S1053,"."),".")</f>
        <v>.</v>
      </c>
      <c r="AZ1053" s="182" t="str">
        <f>IF(AND(AD1053=1,D1053="Military",H1053&lt;&gt;"Not given")=TRUE,IF(SUMIFS(P:P,A:A,A1053)&gt;0,IF((ABS((SUMIFS(P:P,A:A,A1053)/VLOOKUP("USD",'Exchange Rates'!B:C,2,0)))/S1053)&gt;1,(SUMIFS(P:P,A:A,A1053)-S1053)/S1053,(S1053-SUMIFS(P:P,A:A,A1053))/SUMIFS(P:P,A:A,A1053)),"."),".")</f>
        <v>.</v>
      </c>
      <c r="BA1053" s="182"/>
      <c r="BB1053" s="182"/>
      <c r="BC1053" s="182"/>
      <c r="BD1053" s="182"/>
      <c r="BE1053" s="182"/>
      <c r="BF1053" s="182"/>
      <c r="BG1053" s="182"/>
      <c r="BH1053" s="182"/>
      <c r="BI1053" s="182"/>
      <c r="BJ1053" s="182"/>
      <c r="BK1053" s="182"/>
      <c r="BL1053" s="182"/>
      <c r="BM1053" s="182"/>
      <c r="BN1053" s="182"/>
      <c r="BO1053" s="182"/>
      <c r="BP1053" s="182"/>
      <c r="BQ1053" s="182"/>
      <c r="BR1053" s="182"/>
      <c r="BS1053" s="182"/>
    </row>
    <row r="1054" spans="1:71" ht="15.9" customHeight="1" x14ac:dyDescent="0.3">
      <c r="A1054" s="17" t="s">
        <v>3019</v>
      </c>
      <c r="B1054" s="17" t="s">
        <v>2864</v>
      </c>
      <c r="C1054" s="174">
        <v>44644</v>
      </c>
      <c r="D1054" s="5" t="s">
        <v>405</v>
      </c>
      <c r="E1054" s="5" t="s">
        <v>362</v>
      </c>
      <c r="F1054" s="175" t="s">
        <v>3020</v>
      </c>
      <c r="G1054" s="15" t="s">
        <v>2866</v>
      </c>
      <c r="H1054" s="176">
        <v>29100000</v>
      </c>
      <c r="I1054" s="17" t="s">
        <v>260</v>
      </c>
      <c r="J1054" s="113" t="str">
        <f>VLOOKUP($I1054,'Price List, Weapons &amp; Items'!B:C,2,0)</f>
        <v>.</v>
      </c>
      <c r="K1054" s="113" t="str">
        <f>IF(I1054=".",I1054,VLOOKUP($I1054,'Price List, Weapons &amp; Items'!B:D,3,0))</f>
        <v>.</v>
      </c>
      <c r="L1054" s="177">
        <f>VLOOKUP(I1054,'Price List, Weapons &amp; Items'!B:E,4,0)</f>
        <v>0</v>
      </c>
      <c r="M1054" s="542" t="s">
        <v>260</v>
      </c>
      <c r="N1054" s="542" t="s">
        <v>260</v>
      </c>
      <c r="O1054" s="543" t="str">
        <f>VLOOKUP($I1054,'Price List, Weapons &amp; Items'!B:G,6,0)</f>
        <v>.</v>
      </c>
      <c r="P1054" s="176" t="str">
        <f t="shared" si="200"/>
        <v>.</v>
      </c>
      <c r="Q1054" s="176" t="str">
        <f t="shared" si="201"/>
        <v>.</v>
      </c>
      <c r="R1054" s="176">
        <f t="shared" si="210"/>
        <v>29100000</v>
      </c>
      <c r="S1054" s="176">
        <f>IF(AND(AD1054=1,R1054&lt;&gt;".")=TRUE,R1054/VLOOKUP(G1054,'Exchange Rates'!B:C,2,0),IF(R1054=".",".",""))</f>
        <v>33761050.653177716</v>
      </c>
      <c r="T1054" s="176" t="str">
        <f>IF(AD1054=1,IF(AF1054="Value is not given at all",".",IF(AF1054="Value is given by the source",S1054,IF(AF1054="Value is calculated with prices",(IF(SUMIFS(Q:Q,A:A,A1054)&gt;0,SUMIFS(Q:Q,A:A,A1054),"."))/VLOOKUP("USD",'Exchange Rates'!B:C,2,0),"Error with coding"))),"")</f>
        <v>.</v>
      </c>
      <c r="U1054" s="15" t="s">
        <v>261</v>
      </c>
      <c r="V1054" s="300" t="s">
        <v>2917</v>
      </c>
      <c r="W1054" s="300" t="s">
        <v>2911</v>
      </c>
      <c r="X1054" s="300" t="s">
        <v>3021</v>
      </c>
      <c r="Y1054" s="175" t="s">
        <v>260</v>
      </c>
      <c r="Z1054" s="15">
        <v>0</v>
      </c>
      <c r="AA1054" s="180">
        <v>0</v>
      </c>
      <c r="AB1054" s="184" t="s">
        <v>260</v>
      </c>
      <c r="AC1054" s="544" t="str">
        <f>""</f>
        <v/>
      </c>
      <c r="AD1054" s="181">
        <v>1</v>
      </c>
      <c r="AE1054" s="181" t="s">
        <v>264</v>
      </c>
      <c r="AF1054" s="181" t="s">
        <v>265</v>
      </c>
      <c r="AG1054" s="181">
        <v>1</v>
      </c>
      <c r="AH1054" s="181">
        <v>3</v>
      </c>
      <c r="AI1054" s="181">
        <v>0</v>
      </c>
      <c r="AJ1054" s="181">
        <f>VLOOKUP($I1054,'Price List, Weapons &amp; Items'!B:F,5,0)</f>
        <v>0</v>
      </c>
      <c r="AK1054" s="181">
        <f t="shared" si="202"/>
        <v>0</v>
      </c>
      <c r="AL1054" s="181">
        <f t="shared" si="203"/>
        <v>0</v>
      </c>
      <c r="AM1054" s="181">
        <f t="shared" si="204"/>
        <v>0</v>
      </c>
      <c r="AN1054" s="180" t="str">
        <f>VLOOKUP($I1054,'Price List, Weapons &amp; Items'!B:L,COLUMN('Price List, Weapons &amp; Items'!$J$11)-1,0)</f>
        <v>.</v>
      </c>
      <c r="AO1054" s="180" t="str">
        <f>IF(I1054=".",".",VLOOKUP($I1054,'Price List, Weapons &amp; Items'!B:J,3,0))</f>
        <v>.</v>
      </c>
      <c r="AP1054" s="545" t="e">
        <f t="shared" ca="1" si="211"/>
        <v>#NAME?</v>
      </c>
      <c r="AQ1054" s="180" t="str">
        <f>VLOOKUP($I1054,'Price List, Weapons &amp; Items'!B:L,COLUMN('Price List, Weapons &amp; Items'!$L$11)-1,0)</f>
        <v>no price, 0 count</v>
      </c>
      <c r="AR1054" s="180">
        <f t="shared" si="205"/>
        <v>1</v>
      </c>
      <c r="AS1054" s="180">
        <f t="shared" si="206"/>
        <v>0</v>
      </c>
      <c r="AT1054" s="180">
        <f t="shared" si="207"/>
        <v>1</v>
      </c>
      <c r="AU1054" s="180" t="str">
        <f t="shared" si="208"/>
        <v>.</v>
      </c>
      <c r="AV1054" s="180" t="str">
        <f t="shared" si="209"/>
        <v>.</v>
      </c>
      <c r="AW1054" s="180">
        <f>IFERROR(VLOOKUP(B1054,'Share, Heavy Weapons to Ukraine'!B:J,COLUMN('Share, Heavy Weapons to Ukraine'!C1064)-1,0),0)</f>
        <v>1</v>
      </c>
      <c r="AX1054" s="180">
        <f>VLOOKUP('Bilateral Assistance, MAIN DATA'!B1054,'Country Summary'!B:F,COLUMN('Country Summary'!C1067)-1,FALSE)</f>
        <v>0</v>
      </c>
      <c r="AY1054" s="180" t="str">
        <f>IF(AND(AD1054=1,D1054="Military",H1054&lt;&gt;"Not given")=TRUE,IF(SUMIFS(P:P,A:A,A1054)&gt;0,ABS((SUMIFS(P:P,A:A,A1054)/VLOOKUP("USD",'Exchange Rates'!B:C,2,0)))/S1054,"."),".")</f>
        <v>.</v>
      </c>
      <c r="AZ1054" s="182" t="str">
        <f>IF(AND(AD1054=1,D1054="Military",H1054&lt;&gt;"Not given")=TRUE,IF(SUMIFS(P:P,A:A,A1054)&gt;0,IF((ABS((SUMIFS(P:P,A:A,A1054)/VLOOKUP("USD",'Exchange Rates'!B:C,2,0)))/S1054)&gt;1,(SUMIFS(P:P,A:A,A1054)-S1054)/S1054,(S1054-SUMIFS(P:P,A:A,A1054))/SUMIFS(P:P,A:A,A1054)),"."),".")</f>
        <v>.</v>
      </c>
      <c r="BA1054" s="182"/>
      <c r="BB1054" s="182"/>
      <c r="BC1054" s="182"/>
      <c r="BD1054" s="182"/>
      <c r="BE1054" s="182"/>
      <c r="BF1054" s="182"/>
      <c r="BG1054" s="182"/>
      <c r="BH1054" s="182"/>
      <c r="BI1054" s="182"/>
      <c r="BJ1054" s="182"/>
      <c r="BK1054" s="182"/>
      <c r="BL1054" s="182"/>
      <c r="BM1054" s="182"/>
      <c r="BN1054" s="182"/>
      <c r="BO1054" s="182"/>
      <c r="BP1054" s="182"/>
      <c r="BQ1054" s="182"/>
      <c r="BR1054" s="182"/>
      <c r="BS1054" s="182"/>
    </row>
    <row r="1055" spans="1:71" ht="15.9" customHeight="1" x14ac:dyDescent="0.3">
      <c r="A1055" s="17" t="s">
        <v>3022</v>
      </c>
      <c r="B1055" s="17" t="s">
        <v>2864</v>
      </c>
      <c r="C1055" s="174">
        <v>44673</v>
      </c>
      <c r="D1055" s="5" t="s">
        <v>405</v>
      </c>
      <c r="E1055" s="5" t="s">
        <v>376</v>
      </c>
      <c r="F1055" s="175" t="s">
        <v>3023</v>
      </c>
      <c r="G1055" s="15" t="s">
        <v>2866</v>
      </c>
      <c r="H1055" s="176">
        <v>730000000</v>
      </c>
      <c r="I1055" s="17" t="s">
        <v>260</v>
      </c>
      <c r="J1055" s="113" t="str">
        <f>VLOOKUP($I1055,'Price List, Weapons &amp; Items'!B:C,2,0)</f>
        <v>.</v>
      </c>
      <c r="K1055" s="113" t="str">
        <f>IF(I1055=".",I1055,VLOOKUP($I1055,'Price List, Weapons &amp; Items'!B:D,3,0))</f>
        <v>.</v>
      </c>
      <c r="L1055" s="177">
        <f>VLOOKUP(I1055,'Price List, Weapons &amp; Items'!B:E,4,0)</f>
        <v>0</v>
      </c>
      <c r="M1055" s="542" t="s">
        <v>260</v>
      </c>
      <c r="N1055" s="542" t="s">
        <v>260</v>
      </c>
      <c r="O1055" s="543" t="str">
        <f>VLOOKUP($I1055,'Price List, Weapons &amp; Items'!B:G,6,0)</f>
        <v>.</v>
      </c>
      <c r="P1055" s="176" t="str">
        <f t="shared" si="200"/>
        <v>.</v>
      </c>
      <c r="Q1055" s="176" t="str">
        <f t="shared" si="201"/>
        <v>.</v>
      </c>
      <c r="R1055" s="176">
        <f t="shared" si="210"/>
        <v>730000000</v>
      </c>
      <c r="S1055" s="176">
        <f>IF(AND(AD1055=1,R1055&lt;&gt;".")=TRUE,R1055/VLOOKUP(G1055,'Exchange Rates'!B:C,2,0),IF(R1055=".",".",""))</f>
        <v>846926700.23435497</v>
      </c>
      <c r="T1055" s="176" t="str">
        <f>IF(AD1055=1,IF(AF1055="Value is not given at all",".",IF(AF1055="Value is given by the source",S1055,IF(AF1055="Value is calculated with prices",(IF(SUMIFS(Q:Q,A:A,A1055)&gt;0,SUMIFS(Q:Q,A:A,A1055),"."))/VLOOKUP("USD",'Exchange Rates'!B:C,2,0),"Error with coding"))),"")</f>
        <v>.</v>
      </c>
      <c r="U1055" s="15" t="s">
        <v>261</v>
      </c>
      <c r="V1055" s="300" t="s">
        <v>3018</v>
      </c>
      <c r="W1055" s="175" t="s">
        <v>260</v>
      </c>
      <c r="X1055" s="175" t="s">
        <v>260</v>
      </c>
      <c r="Y1055" s="175" t="s">
        <v>260</v>
      </c>
      <c r="Z1055" s="15">
        <v>1</v>
      </c>
      <c r="AA1055" s="180">
        <v>0</v>
      </c>
      <c r="AB1055" s="184" t="s">
        <v>260</v>
      </c>
      <c r="AC1055" s="544" t="str">
        <f>""</f>
        <v/>
      </c>
      <c r="AD1055" s="181">
        <v>1</v>
      </c>
      <c r="AE1055" s="181" t="s">
        <v>264</v>
      </c>
      <c r="AF1055" s="181" t="s">
        <v>265</v>
      </c>
      <c r="AG1055" s="181">
        <v>1</v>
      </c>
      <c r="AH1055" s="181">
        <v>4</v>
      </c>
      <c r="AI1055" s="181">
        <v>0</v>
      </c>
      <c r="AJ1055" s="181">
        <f>VLOOKUP($I1055,'Price List, Weapons &amp; Items'!B:F,5,0)</f>
        <v>0</v>
      </c>
      <c r="AK1055" s="181">
        <f t="shared" si="202"/>
        <v>0</v>
      </c>
      <c r="AL1055" s="181">
        <f t="shared" si="203"/>
        <v>0</v>
      </c>
      <c r="AM1055" s="181">
        <f t="shared" si="204"/>
        <v>0</v>
      </c>
      <c r="AN1055" s="180" t="str">
        <f>VLOOKUP($I1055,'Price List, Weapons &amp; Items'!B:L,COLUMN('Price List, Weapons &amp; Items'!$J$11)-1,0)</f>
        <v>.</v>
      </c>
      <c r="AO1055" s="180" t="str">
        <f>IF(I1055=".",".",VLOOKUP($I1055,'Price List, Weapons &amp; Items'!B:J,3,0))</f>
        <v>.</v>
      </c>
      <c r="AP1055" s="545" t="e">
        <f t="shared" ca="1" si="211"/>
        <v>#NAME?</v>
      </c>
      <c r="AQ1055" s="180" t="str">
        <f>VLOOKUP($I1055,'Price List, Weapons &amp; Items'!B:L,COLUMN('Price List, Weapons &amp; Items'!$L$11)-1,0)</f>
        <v>no price, 0 count</v>
      </c>
      <c r="AR1055" s="180">
        <f t="shared" si="205"/>
        <v>1</v>
      </c>
      <c r="AS1055" s="180">
        <f t="shared" si="206"/>
        <v>0</v>
      </c>
      <c r="AT1055" s="180">
        <f t="shared" si="207"/>
        <v>1</v>
      </c>
      <c r="AU1055" s="180" t="str">
        <f t="shared" si="208"/>
        <v>.</v>
      </c>
      <c r="AV1055" s="180" t="str">
        <f t="shared" si="209"/>
        <v>.</v>
      </c>
      <c r="AW1055" s="180">
        <f>IFERROR(VLOOKUP(B1055,'Share, Heavy Weapons to Ukraine'!B:J,COLUMN('Share, Heavy Weapons to Ukraine'!C1065)-1,0),0)</f>
        <v>1</v>
      </c>
      <c r="AX1055" s="180">
        <f>VLOOKUP('Bilateral Assistance, MAIN DATA'!B1055,'Country Summary'!B:F,COLUMN('Country Summary'!C1068)-1,FALSE)</f>
        <v>0</v>
      </c>
      <c r="AY1055" s="180" t="str">
        <f>IF(AND(AD1055=1,D1055="Military",H1055&lt;&gt;"Not given")=TRUE,IF(SUMIFS(P:P,A:A,A1055)&gt;0,ABS((SUMIFS(P:P,A:A,A1055)/VLOOKUP("USD",'Exchange Rates'!B:C,2,0)))/S1055,"."),".")</f>
        <v>.</v>
      </c>
      <c r="AZ1055" s="182" t="str">
        <f>IF(AND(AD1055=1,D1055="Military",H1055&lt;&gt;"Not given")=TRUE,IF(SUMIFS(P:P,A:A,A1055)&gt;0,IF((ABS((SUMIFS(P:P,A:A,A1055)/VLOOKUP("USD",'Exchange Rates'!B:C,2,0)))/S1055)&gt;1,(SUMIFS(P:P,A:A,A1055)-S1055)/S1055,(S1055-SUMIFS(P:P,A:A,A1055))/SUMIFS(P:P,A:A,A1055)),"."),".")</f>
        <v>.</v>
      </c>
      <c r="BA1055" s="182"/>
      <c r="BB1055" s="182"/>
      <c r="BC1055" s="182"/>
      <c r="BD1055" s="182"/>
      <c r="BE1055" s="182"/>
      <c r="BF1055" s="182"/>
      <c r="BG1055" s="182"/>
      <c r="BH1055" s="182"/>
      <c r="BI1055" s="182"/>
      <c r="BJ1055" s="182"/>
      <c r="BK1055" s="182"/>
      <c r="BL1055" s="182"/>
      <c r="BM1055" s="182"/>
      <c r="BN1055" s="182"/>
      <c r="BO1055" s="182"/>
      <c r="BP1055" s="182"/>
      <c r="BQ1055" s="182"/>
      <c r="BR1055" s="182"/>
      <c r="BS1055" s="182"/>
    </row>
    <row r="1056" spans="1:71" ht="15.9" customHeight="1" x14ac:dyDescent="0.3">
      <c r="A1056" s="17" t="s">
        <v>3024</v>
      </c>
      <c r="B1056" s="17" t="s">
        <v>2864</v>
      </c>
      <c r="C1056" s="174">
        <v>44673</v>
      </c>
      <c r="D1056" s="5" t="s">
        <v>405</v>
      </c>
      <c r="E1056" s="5" t="s">
        <v>362</v>
      </c>
      <c r="F1056" s="175" t="s">
        <v>3025</v>
      </c>
      <c r="G1056" s="15" t="s">
        <v>2866</v>
      </c>
      <c r="H1056" s="176">
        <v>320000000</v>
      </c>
      <c r="I1056" s="17" t="s">
        <v>260</v>
      </c>
      <c r="J1056" s="113" t="str">
        <f>VLOOKUP($I1056,'Price List, Weapons &amp; Items'!B:C,2,0)</f>
        <v>.</v>
      </c>
      <c r="K1056" s="113" t="str">
        <f>IF(I1056=".",I1056,VLOOKUP($I1056,'Price List, Weapons &amp; Items'!B:D,3,0))</f>
        <v>.</v>
      </c>
      <c r="L1056" s="177">
        <f>VLOOKUP(I1056,'Price List, Weapons &amp; Items'!B:E,4,0)</f>
        <v>0</v>
      </c>
      <c r="M1056" s="542" t="s">
        <v>260</v>
      </c>
      <c r="N1056" s="542" t="s">
        <v>260</v>
      </c>
      <c r="O1056" s="543" t="str">
        <f>VLOOKUP($I1056,'Price List, Weapons &amp; Items'!B:G,6,0)</f>
        <v>.</v>
      </c>
      <c r="P1056" s="176" t="str">
        <f t="shared" si="200"/>
        <v>.</v>
      </c>
      <c r="Q1056" s="176" t="str">
        <f t="shared" si="201"/>
        <v>.</v>
      </c>
      <c r="R1056" s="176">
        <f t="shared" si="210"/>
        <v>320000000</v>
      </c>
      <c r="S1056" s="176">
        <f>IF(AND(AD1056=1,R1056&lt;&gt;".")=TRUE,R1056/VLOOKUP(G1056,'Exchange Rates'!B:C,2,0),IF(R1056=".",".",""))</f>
        <v>371255539.82875836</v>
      </c>
      <c r="T1056" s="176" t="str">
        <f>IF(AD1056=1,IF(AF1056="Value is not given at all",".",IF(AF1056="Value is given by the source",S1056,IF(AF1056="Value is calculated with prices",(IF(SUMIFS(Q:Q,A:A,A1056)&gt;0,SUMIFS(Q:Q,A:A,A1056),"."))/VLOOKUP("USD",'Exchange Rates'!B:C,2,0),"Error with coding"))),"")</f>
        <v>.</v>
      </c>
      <c r="U1056" s="15" t="s">
        <v>261</v>
      </c>
      <c r="V1056" s="300" t="s">
        <v>3018</v>
      </c>
      <c r="W1056" s="175" t="s">
        <v>260</v>
      </c>
      <c r="X1056" s="175" t="s">
        <v>260</v>
      </c>
      <c r="Y1056" s="175" t="s">
        <v>260</v>
      </c>
      <c r="Z1056" s="15">
        <v>0</v>
      </c>
      <c r="AA1056" s="180">
        <v>0</v>
      </c>
      <c r="AB1056" s="184" t="s">
        <v>260</v>
      </c>
      <c r="AC1056" s="544" t="str">
        <f>""</f>
        <v/>
      </c>
      <c r="AD1056" s="181">
        <v>1</v>
      </c>
      <c r="AE1056" s="181" t="s">
        <v>264</v>
      </c>
      <c r="AF1056" s="181" t="s">
        <v>265</v>
      </c>
      <c r="AG1056" s="181">
        <v>1</v>
      </c>
      <c r="AH1056" s="181">
        <v>4</v>
      </c>
      <c r="AI1056" s="181">
        <v>0</v>
      </c>
      <c r="AJ1056" s="181">
        <f>VLOOKUP($I1056,'Price List, Weapons &amp; Items'!B:F,5,0)</f>
        <v>0</v>
      </c>
      <c r="AK1056" s="181">
        <f t="shared" si="202"/>
        <v>0</v>
      </c>
      <c r="AL1056" s="181">
        <f t="shared" si="203"/>
        <v>0</v>
      </c>
      <c r="AM1056" s="181">
        <f t="shared" si="204"/>
        <v>0</v>
      </c>
      <c r="AN1056" s="180" t="str">
        <f>VLOOKUP($I1056,'Price List, Weapons &amp; Items'!B:L,COLUMN('Price List, Weapons &amp; Items'!$J$11)-1,0)</f>
        <v>.</v>
      </c>
      <c r="AO1056" s="180" t="str">
        <f>IF(I1056=".",".",VLOOKUP($I1056,'Price List, Weapons &amp; Items'!B:J,3,0))</f>
        <v>.</v>
      </c>
      <c r="AP1056" s="545" t="e">
        <f t="shared" ca="1" si="211"/>
        <v>#NAME?</v>
      </c>
      <c r="AQ1056" s="180" t="str">
        <f>VLOOKUP($I1056,'Price List, Weapons &amp; Items'!B:L,COLUMN('Price List, Weapons &amp; Items'!$L$11)-1,0)</f>
        <v>no price, 0 count</v>
      </c>
      <c r="AR1056" s="180">
        <f t="shared" si="205"/>
        <v>1</v>
      </c>
      <c r="AS1056" s="180">
        <f t="shared" si="206"/>
        <v>0</v>
      </c>
      <c r="AT1056" s="180">
        <f t="shared" si="207"/>
        <v>1</v>
      </c>
      <c r="AU1056" s="180" t="str">
        <f t="shared" si="208"/>
        <v>.</v>
      </c>
      <c r="AV1056" s="180" t="str">
        <f t="shared" si="209"/>
        <v>.</v>
      </c>
      <c r="AW1056" s="180">
        <f>IFERROR(VLOOKUP(B1056,'Share, Heavy Weapons to Ukraine'!B:J,COLUMN('Share, Heavy Weapons to Ukraine'!C1066)-1,0),0)</f>
        <v>1</v>
      </c>
      <c r="AX1056" s="180">
        <f>VLOOKUP('Bilateral Assistance, MAIN DATA'!B1056,'Country Summary'!B:F,COLUMN('Country Summary'!C1069)-1,FALSE)</f>
        <v>0</v>
      </c>
      <c r="AY1056" s="180" t="str">
        <f>IF(AND(AD1056=1,D1056="Military",H1056&lt;&gt;"Not given")=TRUE,IF(SUMIFS(P:P,A:A,A1056)&gt;0,ABS((SUMIFS(P:P,A:A,A1056)/VLOOKUP("USD",'Exchange Rates'!B:C,2,0)))/S1056,"."),".")</f>
        <v>.</v>
      </c>
      <c r="AZ1056" s="182" t="str">
        <f>IF(AND(AD1056=1,D1056="Military",H1056&lt;&gt;"Not given")=TRUE,IF(SUMIFS(P:P,A:A,A1056)&gt;0,IF((ABS((SUMIFS(P:P,A:A,A1056)/VLOOKUP("USD",'Exchange Rates'!B:C,2,0)))/S1056)&gt;1,(SUMIFS(P:P,A:A,A1056)-S1056)/S1056,(S1056-SUMIFS(P:P,A:A,A1056))/SUMIFS(P:P,A:A,A1056)),"."),".")</f>
        <v>.</v>
      </c>
      <c r="BA1056" s="182"/>
      <c r="BB1056" s="182"/>
      <c r="BC1056" s="182"/>
      <c r="BD1056" s="182"/>
      <c r="BE1056" s="182"/>
      <c r="BF1056" s="182"/>
      <c r="BG1056" s="182"/>
      <c r="BH1056" s="182"/>
      <c r="BI1056" s="182"/>
      <c r="BJ1056" s="182"/>
      <c r="BK1056" s="182"/>
      <c r="BL1056" s="182"/>
      <c r="BM1056" s="182"/>
      <c r="BN1056" s="182"/>
      <c r="BO1056" s="182"/>
      <c r="BP1056" s="182"/>
      <c r="BQ1056" s="182"/>
      <c r="BR1056" s="182"/>
      <c r="BS1056" s="182"/>
    </row>
    <row r="1057" spans="1:71" s="505" customFormat="1" ht="15.9" customHeight="1" x14ac:dyDescent="0.3">
      <c r="A1057" s="17" t="s">
        <v>3026</v>
      </c>
      <c r="B1057" s="17" t="s">
        <v>2864</v>
      </c>
      <c r="C1057" s="174">
        <v>44700</v>
      </c>
      <c r="D1057" s="5" t="s">
        <v>405</v>
      </c>
      <c r="E1057" s="5" t="s">
        <v>362</v>
      </c>
      <c r="F1057" s="175" t="s">
        <v>3027</v>
      </c>
      <c r="G1057" s="15" t="s">
        <v>346</v>
      </c>
      <c r="H1057" s="176">
        <v>50000000</v>
      </c>
      <c r="I1057" s="17" t="s">
        <v>260</v>
      </c>
      <c r="J1057" s="113" t="str">
        <f>VLOOKUP($I1057,'Price List, Weapons &amp; Items'!B:C,2,0)</f>
        <v>.</v>
      </c>
      <c r="K1057" s="113" t="str">
        <f>IF(I1057=".",I1057,VLOOKUP($I1057,'Price List, Weapons &amp; Items'!B:D,3,0))</f>
        <v>.</v>
      </c>
      <c r="L1057" s="177">
        <f>VLOOKUP(I1057,'Price List, Weapons &amp; Items'!B:E,4,0)</f>
        <v>0</v>
      </c>
      <c r="M1057" s="542" t="s">
        <v>260</v>
      </c>
      <c r="N1057" s="542" t="s">
        <v>260</v>
      </c>
      <c r="O1057" s="543" t="str">
        <f>VLOOKUP($I1057,'Price List, Weapons &amp; Items'!B:G,6,0)</f>
        <v>.</v>
      </c>
      <c r="P1057" s="176" t="str">
        <f t="shared" si="200"/>
        <v>.</v>
      </c>
      <c r="Q1057" s="176" t="str">
        <f t="shared" si="201"/>
        <v>.</v>
      </c>
      <c r="R1057" s="176">
        <f t="shared" si="210"/>
        <v>50000000</v>
      </c>
      <c r="S1057" s="176">
        <f>IF(AND(AD1057=1,R1057&lt;&gt;".")=TRUE,R1057/VLOOKUP(G1057,'Exchange Rates'!B:C,2,0),IF(R1057=".",".",""))</f>
        <v>47619047.619047619</v>
      </c>
      <c r="T1057" s="176" t="str">
        <f>IF(AD1057=1,IF(AF1057="Value is not given at all",".",IF(AF1057="Value is given by the source",S1057,IF(AF1057="Value is calculated with prices",(IF(SUMIFS(Q:Q,A:A,A1057)&gt;0,SUMIFS(Q:Q,A:A,A1057),"."))/VLOOKUP("USD",'Exchange Rates'!B:C,2,0),"Error with coding"))),"")</f>
        <v>.</v>
      </c>
      <c r="U1057" s="15" t="s">
        <v>415</v>
      </c>
      <c r="V1057" s="300" t="s">
        <v>3028</v>
      </c>
      <c r="W1057" s="175" t="s">
        <v>260</v>
      </c>
      <c r="X1057" s="175" t="s">
        <v>260</v>
      </c>
      <c r="Y1057" s="175" t="s">
        <v>260</v>
      </c>
      <c r="Z1057" s="15">
        <v>0</v>
      </c>
      <c r="AA1057" s="180">
        <v>0</v>
      </c>
      <c r="AB1057" s="17" t="s">
        <v>260</v>
      </c>
      <c r="AC1057" s="544" t="str">
        <f>""</f>
        <v/>
      </c>
      <c r="AD1057" s="183">
        <v>1</v>
      </c>
      <c r="AE1057" s="183" t="s">
        <v>264</v>
      </c>
      <c r="AF1057" s="183" t="s">
        <v>265</v>
      </c>
      <c r="AG1057" s="183">
        <v>1</v>
      </c>
      <c r="AH1057" s="181">
        <v>5</v>
      </c>
      <c r="AI1057" s="181">
        <v>0</v>
      </c>
      <c r="AJ1057" s="181">
        <f>VLOOKUP($I1057,'Price List, Weapons &amp; Items'!B:F,5,0)</f>
        <v>0</v>
      </c>
      <c r="AK1057" s="181">
        <f t="shared" si="202"/>
        <v>0</v>
      </c>
      <c r="AL1057" s="181">
        <f t="shared" si="203"/>
        <v>0</v>
      </c>
      <c r="AM1057" s="181">
        <f t="shared" si="204"/>
        <v>0</v>
      </c>
      <c r="AN1057" s="180" t="str">
        <f>VLOOKUP($I1057,'Price List, Weapons &amp; Items'!B:L,COLUMN('Price List, Weapons &amp; Items'!$J$11)-1,0)</f>
        <v>.</v>
      </c>
      <c r="AO1057" s="180" t="str">
        <f>IF(I1057=".",".",VLOOKUP($I1057,'Price List, Weapons &amp; Items'!B:J,3,0))</f>
        <v>.</v>
      </c>
      <c r="AP1057" s="545" t="e">
        <f t="shared" ca="1" si="211"/>
        <v>#NAME?</v>
      </c>
      <c r="AQ1057" s="180" t="str">
        <f>VLOOKUP($I1057,'Price List, Weapons &amp; Items'!B:L,COLUMN('Price List, Weapons &amp; Items'!$L$11)-1,0)</f>
        <v>no price, 0 count</v>
      </c>
      <c r="AR1057" s="180">
        <f t="shared" si="205"/>
        <v>0</v>
      </c>
      <c r="AS1057" s="180">
        <f t="shared" si="206"/>
        <v>0</v>
      </c>
      <c r="AT1057" s="180">
        <f t="shared" si="207"/>
        <v>1</v>
      </c>
      <c r="AU1057" s="180" t="str">
        <f t="shared" si="208"/>
        <v>.</v>
      </c>
      <c r="AV1057" s="180" t="str">
        <f t="shared" si="209"/>
        <v>.</v>
      </c>
      <c r="AW1057" s="180">
        <f>IFERROR(VLOOKUP(B1057,'Share, Heavy Weapons to Ukraine'!B:J,COLUMN('Share, Heavy Weapons to Ukraine'!C1067)-1,0),0)</f>
        <v>1</v>
      </c>
      <c r="AX1057" s="180">
        <f>VLOOKUP('Bilateral Assistance, MAIN DATA'!B1057,'Country Summary'!B:F,COLUMN('Country Summary'!C1070)-1,FALSE)</f>
        <v>0</v>
      </c>
      <c r="AY1057" s="180" t="str">
        <f>IF(AND(AD1057=1,D1057="Military",H1057&lt;&gt;"Not given")=TRUE,IF(SUMIFS(P:P,A:A,A1057)&gt;0,ABS((SUMIFS(P:P,A:A,A1057)/VLOOKUP("USD",'Exchange Rates'!B:C,2,0)))/S1057,"."),".")</f>
        <v>.</v>
      </c>
      <c r="AZ1057" s="182" t="str">
        <f>IF(AND(AD1057=1,D1057="Military",H1057&lt;&gt;"Not given")=TRUE,IF(SUMIFS(P:P,A:A,A1057)&gt;0,IF((ABS((SUMIFS(P:P,A:A,A1057)/VLOOKUP("USD",'Exchange Rates'!B:C,2,0)))/S1057)&gt;1,(SUMIFS(P:P,A:A,A1057)-S1057)/S1057,(S1057-SUMIFS(P:P,A:A,A1057))/SUMIFS(P:P,A:A,A1057)),"."),".")</f>
        <v>.</v>
      </c>
      <c r="BA1057" s="17"/>
      <c r="BB1057" s="17"/>
      <c r="BC1057" s="17"/>
      <c r="BD1057" s="17"/>
      <c r="BE1057" s="17"/>
      <c r="BF1057" s="17"/>
      <c r="BG1057" s="17"/>
      <c r="BH1057" s="17"/>
      <c r="BI1057" s="17"/>
      <c r="BJ1057" s="17"/>
      <c r="BK1057" s="17"/>
      <c r="BL1057" s="17"/>
      <c r="BM1057" s="17"/>
      <c r="BN1057" s="17"/>
      <c r="BO1057" s="17"/>
      <c r="BP1057" s="17"/>
      <c r="BQ1057" s="17"/>
      <c r="BR1057" s="17"/>
      <c r="BS1057" s="17"/>
    </row>
    <row r="1058" spans="1:71" s="505" customFormat="1" ht="15.9" customHeight="1" x14ac:dyDescent="0.3">
      <c r="A1058" s="17" t="s">
        <v>3029</v>
      </c>
      <c r="B1058" s="17" t="s">
        <v>2864</v>
      </c>
      <c r="C1058" s="174">
        <v>44834</v>
      </c>
      <c r="D1058" s="5" t="s">
        <v>405</v>
      </c>
      <c r="E1058" s="5" t="s">
        <v>376</v>
      </c>
      <c r="F1058" s="175" t="s">
        <v>3030</v>
      </c>
      <c r="G1058" s="15" t="s">
        <v>346</v>
      </c>
      <c r="H1058" s="176">
        <v>500000000</v>
      </c>
      <c r="I1058" s="17" t="s">
        <v>260</v>
      </c>
      <c r="J1058" s="113" t="str">
        <f>VLOOKUP($I1058,'Price List, Weapons &amp; Items'!B:C,2,0)</f>
        <v>.</v>
      </c>
      <c r="K1058" s="113" t="str">
        <f>IF(I1058=".",I1058,VLOOKUP($I1058,'Price List, Weapons &amp; Items'!B:D,3,0))</f>
        <v>.</v>
      </c>
      <c r="L1058" s="177">
        <f>VLOOKUP(I1058,'Price List, Weapons &amp; Items'!B:E,4,0)</f>
        <v>0</v>
      </c>
      <c r="M1058" s="542" t="s">
        <v>260</v>
      </c>
      <c r="N1058" s="542" t="s">
        <v>260</v>
      </c>
      <c r="O1058" s="543" t="str">
        <f>VLOOKUP($I1058,'Price List, Weapons &amp; Items'!B:G,6,0)</f>
        <v>.</v>
      </c>
      <c r="P1058" s="176" t="str">
        <f t="shared" si="200"/>
        <v>.</v>
      </c>
      <c r="Q1058" s="176" t="str">
        <f t="shared" si="201"/>
        <v>.</v>
      </c>
      <c r="R1058" s="176">
        <f t="shared" si="210"/>
        <v>500000000</v>
      </c>
      <c r="S1058" s="176">
        <f>IF(AND(AD1058=1,R1058&lt;&gt;".")=TRUE,R1058/VLOOKUP(G1058,'Exchange Rates'!B:C,2,0),IF(R1058=".",".",""))</f>
        <v>476190476.19047618</v>
      </c>
      <c r="T1058" s="176" t="str">
        <f>IF(AD1058=1,IF(AF1058="Value is not given at all",".",IF(AF1058="Value is given by the source",S1058,IF(AF1058="Value is calculated with prices",(IF(SUMIFS(Q:Q,A:A,A1058)&gt;0,SUMIFS(Q:Q,A:A,A1058),"."))/VLOOKUP("USD",'Exchange Rates'!B:C,2,0),"Error with coding"))),"")</f>
        <v>.</v>
      </c>
      <c r="U1058" s="15" t="s">
        <v>261</v>
      </c>
      <c r="V1058" s="300" t="s">
        <v>934</v>
      </c>
      <c r="W1058" s="546" t="s">
        <v>3031</v>
      </c>
      <c r="X1058" s="546" t="s">
        <v>3032</v>
      </c>
      <c r="Y1058" s="175" t="s">
        <v>260</v>
      </c>
      <c r="Z1058" s="15">
        <v>1</v>
      </c>
      <c r="AA1058" s="15">
        <v>1</v>
      </c>
      <c r="AB1058" s="17" t="s">
        <v>260</v>
      </c>
      <c r="AC1058" s="544" t="str">
        <f>""</f>
        <v/>
      </c>
      <c r="AD1058" s="183">
        <v>1</v>
      </c>
      <c r="AE1058" s="183" t="s">
        <v>264</v>
      </c>
      <c r="AF1058" s="183" t="s">
        <v>265</v>
      </c>
      <c r="AG1058" s="183">
        <v>1</v>
      </c>
      <c r="AH1058" s="181">
        <v>9</v>
      </c>
      <c r="AI1058" s="181">
        <v>0</v>
      </c>
      <c r="AJ1058" s="181">
        <f>VLOOKUP($I1058,'Price List, Weapons &amp; Items'!B:F,5,0)</f>
        <v>0</v>
      </c>
      <c r="AK1058" s="181">
        <f t="shared" si="202"/>
        <v>0</v>
      </c>
      <c r="AL1058" s="181">
        <f t="shared" si="203"/>
        <v>0</v>
      </c>
      <c r="AM1058" s="181">
        <f t="shared" si="204"/>
        <v>0</v>
      </c>
      <c r="AN1058" s="180" t="str">
        <f>VLOOKUP($I1058,'Price List, Weapons &amp; Items'!B:L,COLUMN('Price List, Weapons &amp; Items'!$J$11)-1,0)</f>
        <v>.</v>
      </c>
      <c r="AO1058" s="180" t="str">
        <f>IF(I1058=".",".",VLOOKUP($I1058,'Price List, Weapons &amp; Items'!B:J,3,0))</f>
        <v>.</v>
      </c>
      <c r="AP1058" s="545" t="e">
        <f t="shared" ca="1" si="211"/>
        <v>#NAME?</v>
      </c>
      <c r="AQ1058" s="180" t="str">
        <f>VLOOKUP($I1058,'Price List, Weapons &amp; Items'!B:L,COLUMN('Price List, Weapons &amp; Items'!$L$11)-1,0)</f>
        <v>no price, 0 count</v>
      </c>
      <c r="AR1058" s="180">
        <f t="shared" si="205"/>
        <v>1</v>
      </c>
      <c r="AS1058" s="180">
        <f t="shared" si="206"/>
        <v>0</v>
      </c>
      <c r="AT1058" s="180">
        <f t="shared" si="207"/>
        <v>1</v>
      </c>
      <c r="AU1058" s="180" t="str">
        <f t="shared" si="208"/>
        <v>.</v>
      </c>
      <c r="AV1058" s="180" t="str">
        <f t="shared" si="209"/>
        <v>.</v>
      </c>
      <c r="AW1058" s="180">
        <f>IFERROR(VLOOKUP(B1058,'Share, Heavy Weapons to Ukraine'!B:J,COLUMN('Share, Heavy Weapons to Ukraine'!C1068)-1,0),0)</f>
        <v>1</v>
      </c>
      <c r="AX1058" s="180">
        <f>VLOOKUP('Bilateral Assistance, MAIN DATA'!B1058,'Country Summary'!B:F,COLUMN('Country Summary'!C1071)-1,FALSE)</f>
        <v>0</v>
      </c>
      <c r="AY1058" s="180" t="str">
        <f>IF(AND(AD1058=1,D1058="Military",H1058&lt;&gt;"Not given")=TRUE,IF(SUMIFS(P:P,A:A,A1058)&gt;0,ABS((SUMIFS(P:P,A:A,A1058)/VLOOKUP("USD",'Exchange Rates'!B:C,2,0)))/S1058,"."),".")</f>
        <v>.</v>
      </c>
      <c r="AZ1058" s="182" t="str">
        <f>IF(AND(AD1058=1,D1058="Military",H1058&lt;&gt;"Not given")=TRUE,IF(SUMIFS(P:P,A:A,A1058)&gt;0,IF((ABS((SUMIFS(P:P,A:A,A1058)/VLOOKUP("USD",'Exchange Rates'!B:C,2,0)))/S1058)&gt;1,(SUMIFS(P:P,A:A,A1058)-S1058)/S1058,(S1058-SUMIFS(P:P,A:A,A1058))/SUMIFS(P:P,A:A,A1058)),"."),".")</f>
        <v>.</v>
      </c>
      <c r="BA1058" s="17"/>
      <c r="BB1058" s="17"/>
      <c r="BC1058" s="17"/>
      <c r="BD1058" s="17"/>
      <c r="BE1058" s="17"/>
      <c r="BF1058" s="17"/>
      <c r="BG1058" s="17"/>
      <c r="BH1058" s="17"/>
      <c r="BI1058" s="17"/>
      <c r="BJ1058" s="17"/>
      <c r="BK1058" s="17"/>
      <c r="BL1058" s="17"/>
      <c r="BM1058" s="17"/>
      <c r="BN1058" s="17"/>
      <c r="BO1058" s="17"/>
      <c r="BP1058" s="17"/>
      <c r="BQ1058" s="17"/>
      <c r="BR1058" s="17"/>
      <c r="BS1058" s="17"/>
    </row>
    <row r="1059" spans="1:71" s="505" customFormat="1" ht="15.9" customHeight="1" x14ac:dyDescent="0.3">
      <c r="A1059" s="17" t="s">
        <v>3033</v>
      </c>
      <c r="B1059" s="17" t="s">
        <v>2864</v>
      </c>
      <c r="C1059" s="174">
        <v>44918</v>
      </c>
      <c r="D1059" s="5" t="s">
        <v>405</v>
      </c>
      <c r="E1059" s="5" t="s">
        <v>376</v>
      </c>
      <c r="F1059" s="175" t="s">
        <v>3034</v>
      </c>
      <c r="G1059" s="15" t="s">
        <v>346</v>
      </c>
      <c r="H1059" s="176">
        <v>500000000</v>
      </c>
      <c r="I1059" s="17" t="s">
        <v>260</v>
      </c>
      <c r="J1059" s="113" t="str">
        <f>VLOOKUP($I1059,'Price List, Weapons &amp; Items'!B:C,2,0)</f>
        <v>.</v>
      </c>
      <c r="K1059" s="113" t="str">
        <f>IF(I1059=".",I1059,VLOOKUP($I1059,'Price List, Weapons &amp; Items'!B:D,3,0))</f>
        <v>.</v>
      </c>
      <c r="L1059" s="177">
        <f>VLOOKUP(I1059,'Price List, Weapons &amp; Items'!B:E,4,0)</f>
        <v>0</v>
      </c>
      <c r="M1059" s="542" t="s">
        <v>260</v>
      </c>
      <c r="N1059" s="542" t="s">
        <v>260</v>
      </c>
      <c r="O1059" s="543" t="str">
        <f>VLOOKUP($I1059,'Price List, Weapons &amp; Items'!B:G,6,0)</f>
        <v>.</v>
      </c>
      <c r="P1059" s="176" t="str">
        <f t="shared" si="200"/>
        <v>.</v>
      </c>
      <c r="Q1059" s="176" t="str">
        <f t="shared" si="201"/>
        <v>.</v>
      </c>
      <c r="R1059" s="176">
        <f t="shared" si="210"/>
        <v>500000000</v>
      </c>
      <c r="S1059" s="176">
        <f>IF(AND(AD1059=1,R1059&lt;&gt;".")=TRUE,R1059/VLOOKUP(G1059,'Exchange Rates'!B:C,2,0),IF(R1059=".",".",""))</f>
        <v>476190476.19047618</v>
      </c>
      <c r="T1059" s="176" t="str">
        <f>IF(AD1059=1,IF(AF1059="Value is not given at all",".",IF(AF1059="Value is given by the source",S1059,IF(AF1059="Value is calculated with prices",(IF(SUMIFS(Q:Q,A:A,A1059)&gt;0,SUMIFS(Q:Q,A:A,A1059),"."))/VLOOKUP("USD",'Exchange Rates'!B:C,2,0),"Error with coding"))),"")</f>
        <v>.</v>
      </c>
      <c r="U1059" s="15" t="s">
        <v>261</v>
      </c>
      <c r="V1059" s="300" t="s">
        <v>3035</v>
      </c>
      <c r="W1059" s="546" t="s">
        <v>3036</v>
      </c>
      <c r="X1059" s="668" t="s">
        <v>260</v>
      </c>
      <c r="Y1059" s="175" t="s">
        <v>260</v>
      </c>
      <c r="Z1059" s="15">
        <v>1</v>
      </c>
      <c r="AA1059" s="15">
        <v>1</v>
      </c>
      <c r="AB1059" s="17" t="s">
        <v>260</v>
      </c>
      <c r="AC1059" s="544" t="str">
        <f>""</f>
        <v/>
      </c>
      <c r="AD1059" s="183">
        <v>1</v>
      </c>
      <c r="AE1059" s="183" t="s">
        <v>264</v>
      </c>
      <c r="AF1059" s="183" t="s">
        <v>265</v>
      </c>
      <c r="AG1059" s="183">
        <v>1</v>
      </c>
      <c r="AH1059" s="181">
        <v>12</v>
      </c>
      <c r="AI1059" s="181">
        <v>0</v>
      </c>
      <c r="AJ1059" s="181">
        <f>VLOOKUP($I1059,'Price List, Weapons &amp; Items'!B:F,5,0)</f>
        <v>0</v>
      </c>
      <c r="AK1059" s="181">
        <f t="shared" si="202"/>
        <v>0</v>
      </c>
      <c r="AL1059" s="181">
        <f t="shared" si="203"/>
        <v>0</v>
      </c>
      <c r="AM1059" s="181">
        <f t="shared" si="204"/>
        <v>0</v>
      </c>
      <c r="AN1059" s="180" t="str">
        <f>VLOOKUP($I1059,'Price List, Weapons &amp; Items'!B:L,COLUMN('Price List, Weapons &amp; Items'!$J$11)-1,0)</f>
        <v>.</v>
      </c>
      <c r="AO1059" s="180" t="str">
        <f>IF(I1059=".",".",VLOOKUP($I1059,'Price List, Weapons &amp; Items'!B:J,3,0))</f>
        <v>.</v>
      </c>
      <c r="AP1059" s="545" t="e">
        <f t="shared" ca="1" si="211"/>
        <v>#NAME?</v>
      </c>
      <c r="AQ1059" s="180" t="str">
        <f>VLOOKUP($I1059,'Price List, Weapons &amp; Items'!B:L,COLUMN('Price List, Weapons &amp; Items'!$L$11)-1,0)</f>
        <v>no price, 0 count</v>
      </c>
      <c r="AR1059" s="180">
        <f t="shared" si="205"/>
        <v>1</v>
      </c>
      <c r="AS1059" s="180">
        <f t="shared" si="206"/>
        <v>0</v>
      </c>
      <c r="AT1059" s="180">
        <f t="shared" si="207"/>
        <v>1</v>
      </c>
      <c r="AU1059" s="180" t="str">
        <f t="shared" si="208"/>
        <v>.</v>
      </c>
      <c r="AV1059" s="180" t="str">
        <f t="shared" si="209"/>
        <v>.</v>
      </c>
      <c r="AW1059" s="180">
        <f>IFERROR(VLOOKUP(B1059,'Share, Heavy Weapons to Ukraine'!B:J,COLUMN('Share, Heavy Weapons to Ukraine'!C1069)-1,0),0)</f>
        <v>1</v>
      </c>
      <c r="AX1059" s="180">
        <f>VLOOKUP('Bilateral Assistance, MAIN DATA'!B1059,'Country Summary'!B:F,COLUMN('Country Summary'!C1072)-1,FALSE)</f>
        <v>0</v>
      </c>
      <c r="AY1059" s="180" t="str">
        <f>IF(AND(AD1059=1,D1059="Military",H1059&lt;&gt;"Not given")=TRUE,IF(SUMIFS(P:P,A:A,A1059)&gt;0,ABS((SUMIFS(P:P,A:A,A1059)/VLOOKUP("USD",'Exchange Rates'!B:C,2,0)))/S1059,"."),".")</f>
        <v>.</v>
      </c>
      <c r="AZ1059" s="182" t="str">
        <f>IF(AND(AD1059=1,D1059="Military",H1059&lt;&gt;"Not given")=TRUE,IF(SUMIFS(P:P,A:A,A1059)&gt;0,IF((ABS((SUMIFS(P:P,A:A,A1059)/VLOOKUP("USD",'Exchange Rates'!B:C,2,0)))/S1059)&gt;1,(SUMIFS(P:P,A:A,A1059)-S1059)/S1059,(S1059-SUMIFS(P:P,A:A,A1059))/SUMIFS(P:P,A:A,A1059)),"."),".")</f>
        <v>.</v>
      </c>
      <c r="BA1059" s="17"/>
      <c r="BB1059" s="17"/>
      <c r="BC1059" s="17"/>
      <c r="BD1059" s="17"/>
      <c r="BE1059" s="17"/>
      <c r="BF1059" s="17"/>
      <c r="BG1059" s="17"/>
      <c r="BH1059" s="17"/>
      <c r="BI1059" s="17"/>
      <c r="BJ1059" s="17"/>
      <c r="BK1059" s="17"/>
      <c r="BL1059" s="17"/>
      <c r="BM1059" s="17"/>
      <c r="BN1059" s="17"/>
      <c r="BO1059" s="17"/>
      <c r="BP1059" s="17"/>
      <c r="BQ1059" s="17"/>
      <c r="BR1059" s="17"/>
      <c r="BS1059" s="17"/>
    </row>
    <row r="1060" spans="1:71" ht="15.9" customHeight="1" x14ac:dyDescent="0.3">
      <c r="A1060" s="17" t="s">
        <v>3037</v>
      </c>
      <c r="B1060" s="17" t="s">
        <v>3038</v>
      </c>
      <c r="C1060" s="174">
        <v>44619</v>
      </c>
      <c r="D1060" s="5" t="s">
        <v>256</v>
      </c>
      <c r="E1060" s="5" t="s">
        <v>554</v>
      </c>
      <c r="F1060" s="175" t="s">
        <v>3039</v>
      </c>
      <c r="G1060" s="15" t="s">
        <v>346</v>
      </c>
      <c r="H1060" s="176">
        <v>54000000</v>
      </c>
      <c r="I1060" s="17" t="s">
        <v>260</v>
      </c>
      <c r="J1060" s="113" t="str">
        <f>VLOOKUP($I1060,'Price List, Weapons &amp; Items'!B:C,2,0)</f>
        <v>.</v>
      </c>
      <c r="K1060" s="113" t="str">
        <f>IF(I1060=".",I1060,VLOOKUP($I1060,'Price List, Weapons &amp; Items'!B:D,3,0))</f>
        <v>.</v>
      </c>
      <c r="L1060" s="177">
        <f>VLOOKUP(I1060,'Price List, Weapons &amp; Items'!B:E,4,0)</f>
        <v>0</v>
      </c>
      <c r="M1060" s="542" t="s">
        <v>260</v>
      </c>
      <c r="N1060" s="542" t="s">
        <v>260</v>
      </c>
      <c r="O1060" s="543" t="str">
        <f>VLOOKUP($I1060,'Price List, Weapons &amp; Items'!B:G,6,0)</f>
        <v>.</v>
      </c>
      <c r="P1060" s="176" t="str">
        <f t="shared" ref="P1060:P1106" si="212">IF(TYPE(M1060)=1,IF(TYPE(O1060)=1,M1060*O1060,"No price"),".")</f>
        <v>.</v>
      </c>
      <c r="Q1060" s="176" t="str">
        <f t="shared" ref="Q1060:Q1106" si="213">IF(TYPE(N1060)=1,IF(TYPE(O1060)=1,N1060*O1060,"No price"),".")</f>
        <v>.</v>
      </c>
      <c r="R1060" s="176">
        <f t="shared" si="210"/>
        <v>54000000</v>
      </c>
      <c r="S1060" s="176">
        <f>IF(AND(AD1060=1,R1060&lt;&gt;".")=TRUE,R1060/VLOOKUP(G1060,'Exchange Rates'!B:C,2,0),IF(R1060=".",".",""))</f>
        <v>51428571.428571425</v>
      </c>
      <c r="T1060" s="176" t="str">
        <f>IF(AD1060=1,IF(AF1060="Value is not given at all",".",IF(AF1060="Value is given by the source",S1060,IF(AF1060="Value is calculated with prices",(IF(SUMIFS(Q:Q,A:A,A1060)&gt;0,SUMIFS(Q:Q,A:A,A1060),"."))/VLOOKUP("USD",'Exchange Rates'!B:C,2,0),"Error with coding"))),"")</f>
        <v>.</v>
      </c>
      <c r="U1060" s="15" t="s">
        <v>261</v>
      </c>
      <c r="V1060" s="300" t="s">
        <v>3040</v>
      </c>
      <c r="W1060" s="300" t="s">
        <v>3041</v>
      </c>
      <c r="X1060" s="175" t="s">
        <v>260</v>
      </c>
      <c r="Y1060" s="175" t="s">
        <v>260</v>
      </c>
      <c r="Z1060" s="15">
        <v>0</v>
      </c>
      <c r="AA1060" s="180">
        <v>0</v>
      </c>
      <c r="AB1060" s="184" t="s">
        <v>260</v>
      </c>
      <c r="AC1060" s="544" t="str">
        <f>""</f>
        <v/>
      </c>
      <c r="AD1060" s="181">
        <v>1</v>
      </c>
      <c r="AE1060" s="181" t="s">
        <v>264</v>
      </c>
      <c r="AF1060" s="181" t="s">
        <v>265</v>
      </c>
      <c r="AG1060" s="181">
        <v>1</v>
      </c>
      <c r="AH1060" s="181">
        <v>2</v>
      </c>
      <c r="AI1060" s="181">
        <v>0</v>
      </c>
      <c r="AJ1060" s="181">
        <f>VLOOKUP($I1060,'Price List, Weapons &amp; Items'!B:F,5,0)</f>
        <v>0</v>
      </c>
      <c r="AK1060" s="181">
        <f t="shared" si="202"/>
        <v>0</v>
      </c>
      <c r="AL1060" s="181">
        <f t="shared" si="203"/>
        <v>0</v>
      </c>
      <c r="AM1060" s="181">
        <f t="shared" si="204"/>
        <v>0</v>
      </c>
      <c r="AN1060" s="180" t="str">
        <f>VLOOKUP($I1060,'Price List, Weapons &amp; Items'!B:L,COLUMN('Price List, Weapons &amp; Items'!$J$11)-1,0)</f>
        <v>.</v>
      </c>
      <c r="AO1060" s="180" t="str">
        <f>IF(I1060=".",".",VLOOKUP($I1060,'Price List, Weapons &amp; Items'!B:J,3,0))</f>
        <v>.</v>
      </c>
      <c r="AP1060" s="545" t="e">
        <f t="shared" ca="1" si="211"/>
        <v>#NAME?</v>
      </c>
      <c r="AQ1060" s="180" t="str">
        <f>VLOOKUP($I1060,'Price List, Weapons &amp; Items'!B:L,COLUMN('Price List, Weapons &amp; Items'!$L$11)-1,0)</f>
        <v>no price, 0 count</v>
      </c>
      <c r="AR1060" s="180">
        <f t="shared" si="205"/>
        <v>1</v>
      </c>
      <c r="AS1060" s="180">
        <f t="shared" si="206"/>
        <v>0</v>
      </c>
      <c r="AT1060" s="180">
        <f t="shared" si="207"/>
        <v>1</v>
      </c>
      <c r="AU1060" s="180" t="str">
        <f t="shared" si="208"/>
        <v>.</v>
      </c>
      <c r="AV1060" s="180" t="str">
        <f t="shared" si="209"/>
        <v>.</v>
      </c>
      <c r="AW1060" s="180">
        <f>IFERROR(VLOOKUP(B1060,'Share, Heavy Weapons to Ukraine'!B:J,COLUMN('Share, Heavy Weapons to Ukraine'!C1070)-1,0),0)</f>
        <v>1</v>
      </c>
      <c r="AX1060" s="180">
        <f>VLOOKUP('Bilateral Assistance, MAIN DATA'!B1060,'Country Summary'!B:F,COLUMN('Country Summary'!C1073)-1,FALSE)</f>
        <v>0</v>
      </c>
      <c r="AY1060" s="180" t="str">
        <f>IF(AND(AD1060=1,D1060="Military",H1060&lt;&gt;"Not given")=TRUE,IF(SUMIFS(P:P,A:A,A1060)&gt;0,ABS((SUMIFS(P:P,A:A,A1060)/VLOOKUP("USD",'Exchange Rates'!B:C,2,0)))/S1060,"."),".")</f>
        <v>.</v>
      </c>
      <c r="AZ1060" s="182" t="str">
        <f>IF(AND(AD1060=1,D1060="Military",H1060&lt;&gt;"Not given")=TRUE,IF(SUMIFS(P:P,A:A,A1060)&gt;0,IF((ABS((SUMIFS(P:P,A:A,A1060)/VLOOKUP("USD",'Exchange Rates'!B:C,2,0)))/S1060)&gt;1,(SUMIFS(P:P,A:A,A1060)-S1060)/S1060,(S1060-SUMIFS(P:P,A:A,A1060))/SUMIFS(P:P,A:A,A1060)),"."),".")</f>
        <v>.</v>
      </c>
      <c r="BA1060" s="182"/>
      <c r="BB1060" s="182"/>
      <c r="BC1060" s="182"/>
      <c r="BD1060" s="182"/>
      <c r="BE1060" s="182"/>
      <c r="BF1060" s="182"/>
      <c r="BG1060" s="182"/>
      <c r="BH1060" s="182"/>
      <c r="BI1060" s="182"/>
      <c r="BJ1060" s="182"/>
      <c r="BK1060" s="182"/>
      <c r="BL1060" s="182"/>
      <c r="BM1060" s="182"/>
      <c r="BN1060" s="182"/>
      <c r="BO1060" s="182"/>
      <c r="BP1060" s="182"/>
      <c r="BQ1060" s="182"/>
      <c r="BR1060" s="182"/>
      <c r="BS1060" s="182"/>
    </row>
    <row r="1061" spans="1:71" ht="15.9" customHeight="1" x14ac:dyDescent="0.3">
      <c r="A1061" s="19" t="s">
        <v>3042</v>
      </c>
      <c r="B1061" s="19" t="s">
        <v>3038</v>
      </c>
      <c r="C1061" s="555">
        <v>44635</v>
      </c>
      <c r="D1061" s="19" t="s">
        <v>256</v>
      </c>
      <c r="E1061" s="19" t="s">
        <v>257</v>
      </c>
      <c r="F1061" s="19" t="s">
        <v>3043</v>
      </c>
      <c r="G1061" s="199" t="s">
        <v>346</v>
      </c>
      <c r="H1061" s="70">
        <v>30000000</v>
      </c>
      <c r="I1061" s="19" t="s">
        <v>260</v>
      </c>
      <c r="J1061" s="113" t="str">
        <f>VLOOKUP($I1061,'Price List, Weapons &amp; Items'!B:C,2,0)</f>
        <v>.</v>
      </c>
      <c r="K1061" s="113" t="str">
        <f>IF(I1061=".",I1061,VLOOKUP($I1061,'Price List, Weapons &amp; Items'!B:D,3,0))</f>
        <v>.</v>
      </c>
      <c r="L1061" s="177">
        <f>VLOOKUP(I1061,'Price List, Weapons &amp; Items'!B:E,4,0)</f>
        <v>0</v>
      </c>
      <c r="M1061" s="247" t="s">
        <v>260</v>
      </c>
      <c r="N1061" s="247" t="s">
        <v>260</v>
      </c>
      <c r="O1061" s="543" t="str">
        <f>VLOOKUP($I1061,'Price List, Weapons &amp; Items'!B:G,6,0)</f>
        <v>.</v>
      </c>
      <c r="P1061" s="176" t="str">
        <f t="shared" si="212"/>
        <v>.</v>
      </c>
      <c r="Q1061" s="176" t="str">
        <f t="shared" si="213"/>
        <v>.</v>
      </c>
      <c r="R1061" s="176">
        <f t="shared" si="210"/>
        <v>30000000</v>
      </c>
      <c r="S1061" s="176">
        <f>IF(AND(AD1061=1,R1061&lt;&gt;".")=TRUE,R1061/VLOOKUP(G1061,'Exchange Rates'!B:C,2,0),IF(R1061=".",".",""))</f>
        <v>28571428.571428571</v>
      </c>
      <c r="T1061" s="176" t="str">
        <f>IF(AD1061=1,IF(AF1061="Value is not given at all",".",IF(AF1061="Value is given by the source",S1061,IF(AF1061="Value is calculated with prices",(IF(SUMIFS(Q:Q,A:A,A1061)&gt;0,SUMIFS(Q:Q,A:A,A1061),"."))/VLOOKUP("USD",'Exchange Rates'!B:C,2,0),"Error with coding"))),"")</f>
        <v>.</v>
      </c>
      <c r="U1061" s="15" t="s">
        <v>261</v>
      </c>
      <c r="V1061" s="304" t="s">
        <v>3044</v>
      </c>
      <c r="W1061" s="19" t="s">
        <v>260</v>
      </c>
      <c r="X1061" s="19" t="s">
        <v>260</v>
      </c>
      <c r="Y1061" s="19" t="s">
        <v>260</v>
      </c>
      <c r="Z1061" s="199">
        <v>0</v>
      </c>
      <c r="AA1061" s="199">
        <v>1</v>
      </c>
      <c r="AB1061" s="19" t="s">
        <v>260</v>
      </c>
      <c r="AC1061" s="544" t="str">
        <f>""</f>
        <v/>
      </c>
      <c r="AD1061" s="199">
        <v>1</v>
      </c>
      <c r="AE1061" s="199" t="s">
        <v>264</v>
      </c>
      <c r="AF1061" s="199" t="s">
        <v>265</v>
      </c>
      <c r="AG1061" s="199">
        <v>1</v>
      </c>
      <c r="AH1061" s="199">
        <v>3</v>
      </c>
      <c r="AI1061" s="199">
        <v>0</v>
      </c>
      <c r="AJ1061" s="181">
        <f>VLOOKUP($I1061,'Price List, Weapons &amp; Items'!B:F,5,0)</f>
        <v>0</v>
      </c>
      <c r="AK1061" s="181">
        <f t="shared" si="202"/>
        <v>0</v>
      </c>
      <c r="AL1061" s="181">
        <f t="shared" si="203"/>
        <v>0</v>
      </c>
      <c r="AM1061" s="181">
        <f t="shared" si="204"/>
        <v>0</v>
      </c>
      <c r="AN1061" s="180" t="str">
        <f>VLOOKUP($I1061,'Price List, Weapons &amp; Items'!B:L,COLUMN('Price List, Weapons &amp; Items'!$J$11)-1,0)</f>
        <v>.</v>
      </c>
      <c r="AO1061" s="180" t="str">
        <f>IF(I1061=".",".",VLOOKUP($I1061,'Price List, Weapons &amp; Items'!B:J,3,0))</f>
        <v>.</v>
      </c>
      <c r="AP1061" s="545" t="e">
        <f t="shared" ca="1" si="211"/>
        <v>#NAME?</v>
      </c>
      <c r="AQ1061" s="180" t="str">
        <f>VLOOKUP($I1061,'Price List, Weapons &amp; Items'!B:L,COLUMN('Price List, Weapons &amp; Items'!$L$11)-1,0)</f>
        <v>no price, 0 count</v>
      </c>
      <c r="AR1061" s="180">
        <f t="shared" si="205"/>
        <v>1</v>
      </c>
      <c r="AS1061" s="180">
        <f t="shared" si="206"/>
        <v>0</v>
      </c>
      <c r="AT1061" s="180">
        <f t="shared" si="207"/>
        <v>1</v>
      </c>
      <c r="AU1061" s="180" t="str">
        <f t="shared" si="208"/>
        <v>.</v>
      </c>
      <c r="AV1061" s="180" t="str">
        <f t="shared" si="209"/>
        <v>.</v>
      </c>
      <c r="AW1061" s="180">
        <f>IFERROR(VLOOKUP(B1061,'Share, Heavy Weapons to Ukraine'!B:J,COLUMN('Share, Heavy Weapons to Ukraine'!C1071)-1,0),0)</f>
        <v>1</v>
      </c>
      <c r="AX1061" s="180">
        <f>VLOOKUP('Bilateral Assistance, MAIN DATA'!B1061,'Country Summary'!B:F,COLUMN('Country Summary'!C1074)-1,FALSE)</f>
        <v>0</v>
      </c>
      <c r="AY1061" s="180" t="str">
        <f>IF(AND(AD1061=1,D1061="Military",H1061&lt;&gt;"Not given")=TRUE,IF(SUMIFS(P:P,A:A,A1061)&gt;0,ABS((SUMIFS(P:P,A:A,A1061)/VLOOKUP("USD",'Exchange Rates'!B:C,2,0)))/S1061,"."),".")</f>
        <v>.</v>
      </c>
      <c r="AZ1061" s="182" t="str">
        <f>IF(AND(AD1061=1,D1061="Military",H1061&lt;&gt;"Not given")=TRUE,IF(SUMIFS(P:P,A:A,A1061)&gt;0,IF((ABS((SUMIFS(P:P,A:A,A1061)/VLOOKUP("USD",'Exchange Rates'!B:C,2,0)))/S1061)&gt;1,(SUMIFS(P:P,A:A,A1061)-S1061)/S1061,(S1061-SUMIFS(P:P,A:A,A1061))/SUMIFS(P:P,A:A,A1061)),"."),".")</f>
        <v>.</v>
      </c>
      <c r="BA1061" s="182"/>
      <c r="BB1061" s="182"/>
      <c r="BC1061" s="182"/>
      <c r="BD1061" s="182"/>
      <c r="BE1061" s="182"/>
      <c r="BF1061" s="182"/>
      <c r="BG1061" s="182"/>
      <c r="BH1061" s="182"/>
      <c r="BI1061" s="182"/>
      <c r="BJ1061" s="182"/>
      <c r="BK1061" s="182"/>
      <c r="BL1061" s="182"/>
      <c r="BM1061" s="182"/>
      <c r="BN1061" s="182"/>
      <c r="BO1061" s="182"/>
      <c r="BP1061" s="182"/>
      <c r="BQ1061" s="182"/>
      <c r="BR1061" s="182"/>
      <c r="BS1061" s="182"/>
    </row>
    <row r="1062" spans="1:71" ht="15.9" customHeight="1" x14ac:dyDescent="0.3">
      <c r="A1062" s="19" t="s">
        <v>3045</v>
      </c>
      <c r="B1062" s="19" t="s">
        <v>3038</v>
      </c>
      <c r="C1062" s="555">
        <v>44651</v>
      </c>
      <c r="D1062" s="19" t="s">
        <v>256</v>
      </c>
      <c r="E1062" s="19" t="s">
        <v>257</v>
      </c>
      <c r="F1062" s="19" t="s">
        <v>3046</v>
      </c>
      <c r="G1062" s="199" t="s">
        <v>346</v>
      </c>
      <c r="H1062" s="70">
        <f>85254690+93100000</f>
        <v>178354690</v>
      </c>
      <c r="I1062" s="19" t="s">
        <v>260</v>
      </c>
      <c r="J1062" s="113" t="str">
        <f>VLOOKUP($I1062,'Price List, Weapons &amp; Items'!B:C,2,0)</f>
        <v>.</v>
      </c>
      <c r="K1062" s="113" t="str">
        <f>IF(I1062=".",I1062,VLOOKUP($I1062,'Price List, Weapons &amp; Items'!B:D,3,0))</f>
        <v>.</v>
      </c>
      <c r="L1062" s="177">
        <f>VLOOKUP(I1062,'Price List, Weapons &amp; Items'!B:E,4,0)</f>
        <v>0</v>
      </c>
      <c r="M1062" s="247" t="s">
        <v>260</v>
      </c>
      <c r="N1062" s="247" t="s">
        <v>260</v>
      </c>
      <c r="O1062" s="543" t="str">
        <f>VLOOKUP($I1062,'Price List, Weapons &amp; Items'!B:G,6,0)</f>
        <v>.</v>
      </c>
      <c r="P1062" s="176" t="str">
        <f t="shared" si="212"/>
        <v>.</v>
      </c>
      <c r="Q1062" s="176" t="str">
        <f t="shared" si="213"/>
        <v>.</v>
      </c>
      <c r="R1062" s="176">
        <f t="shared" si="210"/>
        <v>178354690</v>
      </c>
      <c r="S1062" s="176">
        <f>IF(AND(AD1062=1,R1062&lt;&gt;".")=TRUE,R1062/VLOOKUP(G1062,'Exchange Rates'!B:C,2,0),IF(R1062=".",".",""))</f>
        <v>169861609.52380952</v>
      </c>
      <c r="T1062" s="176" t="str">
        <f>IF(AD1062=1,IF(AF1062="Value is not given at all",".",IF(AF1062="Value is given by the source",S1062,IF(AF1062="Value is calculated with prices",(IF(SUMIFS(Q:Q,A:A,A1062)&gt;0,SUMIFS(Q:Q,A:A,A1062),"."))/VLOOKUP("USD",'Exchange Rates'!B:C,2,0),"Error with coding"))),"")</f>
        <v>.</v>
      </c>
      <c r="U1062" s="15" t="s">
        <v>261</v>
      </c>
      <c r="V1062" s="304" t="s">
        <v>3044</v>
      </c>
      <c r="W1062" s="671" t="s">
        <v>3047</v>
      </c>
      <c r="X1062" s="671" t="s">
        <v>3048</v>
      </c>
      <c r="Y1062" s="671" t="s">
        <v>3049</v>
      </c>
      <c r="Z1062" s="199">
        <v>0</v>
      </c>
      <c r="AA1062" s="199">
        <v>1</v>
      </c>
      <c r="AB1062" s="19" t="s">
        <v>260</v>
      </c>
      <c r="AC1062" s="544" t="str">
        <f>""</f>
        <v/>
      </c>
      <c r="AD1062" s="199">
        <v>1</v>
      </c>
      <c r="AE1062" s="199" t="s">
        <v>264</v>
      </c>
      <c r="AF1062" s="199" t="s">
        <v>265</v>
      </c>
      <c r="AG1062" s="199">
        <v>1</v>
      </c>
      <c r="AH1062" s="199">
        <v>3</v>
      </c>
      <c r="AI1062" s="199">
        <v>0</v>
      </c>
      <c r="AJ1062" s="181">
        <f>VLOOKUP($I1062,'Price List, Weapons &amp; Items'!B:F,5,0)</f>
        <v>0</v>
      </c>
      <c r="AK1062" s="181">
        <f t="shared" si="202"/>
        <v>0</v>
      </c>
      <c r="AL1062" s="181">
        <f t="shared" si="203"/>
        <v>0</v>
      </c>
      <c r="AM1062" s="181">
        <f t="shared" si="204"/>
        <v>0</v>
      </c>
      <c r="AN1062" s="180" t="str">
        <f>VLOOKUP($I1062,'Price List, Weapons &amp; Items'!B:L,COLUMN('Price List, Weapons &amp; Items'!$J$11)-1,0)</f>
        <v>.</v>
      </c>
      <c r="AO1062" s="180" t="str">
        <f>IF(I1062=".",".",VLOOKUP($I1062,'Price List, Weapons &amp; Items'!B:J,3,0))</f>
        <v>.</v>
      </c>
      <c r="AP1062" s="545" t="e">
        <f t="shared" ca="1" si="211"/>
        <v>#NAME?</v>
      </c>
      <c r="AQ1062" s="180" t="str">
        <f>VLOOKUP($I1062,'Price List, Weapons &amp; Items'!B:L,COLUMN('Price List, Weapons &amp; Items'!$L$11)-1,0)</f>
        <v>no price, 0 count</v>
      </c>
      <c r="AR1062" s="180">
        <f t="shared" si="205"/>
        <v>1</v>
      </c>
      <c r="AS1062" s="180">
        <f t="shared" si="206"/>
        <v>0</v>
      </c>
      <c r="AT1062" s="180">
        <f t="shared" si="207"/>
        <v>1</v>
      </c>
      <c r="AU1062" s="180" t="str">
        <f t="shared" si="208"/>
        <v>.</v>
      </c>
      <c r="AV1062" s="180" t="str">
        <f t="shared" si="209"/>
        <v>.</v>
      </c>
      <c r="AW1062" s="180">
        <f>IFERROR(VLOOKUP(B1062,'Share, Heavy Weapons to Ukraine'!B:J,COLUMN('Share, Heavy Weapons to Ukraine'!C1072)-1,0),0)</f>
        <v>1</v>
      </c>
      <c r="AX1062" s="180">
        <f>VLOOKUP('Bilateral Assistance, MAIN DATA'!B1062,'Country Summary'!B:F,COLUMN('Country Summary'!C1075)-1,FALSE)</f>
        <v>0</v>
      </c>
      <c r="AY1062" s="180" t="str">
        <f>IF(AND(AD1062=1,D1062="Military",H1062&lt;&gt;"Not given")=TRUE,IF(SUMIFS(P:P,A:A,A1062)&gt;0,ABS((SUMIFS(P:P,A:A,A1062)/VLOOKUP("USD",'Exchange Rates'!B:C,2,0)))/S1062,"."),".")</f>
        <v>.</v>
      </c>
      <c r="AZ1062" s="182" t="str">
        <f>IF(AND(AD1062=1,D1062="Military",H1062&lt;&gt;"Not given")=TRUE,IF(SUMIFS(P:P,A:A,A1062)&gt;0,IF((ABS((SUMIFS(P:P,A:A,A1062)/VLOOKUP("USD",'Exchange Rates'!B:C,2,0)))/S1062)&gt;1,(SUMIFS(P:P,A:A,A1062)-S1062)/S1062,(S1062-SUMIFS(P:P,A:A,A1062))/SUMIFS(P:P,A:A,A1062)),"."),".")</f>
        <v>.</v>
      </c>
      <c r="BA1062" s="182"/>
      <c r="BB1062" s="182"/>
      <c r="BC1062" s="182"/>
      <c r="BD1062" s="182"/>
      <c r="BE1062" s="182"/>
      <c r="BF1062" s="182"/>
      <c r="BG1062" s="182"/>
      <c r="BH1062" s="182"/>
      <c r="BI1062" s="182"/>
      <c r="BJ1062" s="182"/>
      <c r="BK1062" s="182"/>
      <c r="BL1062" s="182"/>
      <c r="BM1062" s="182"/>
      <c r="BN1062" s="182"/>
      <c r="BO1062" s="182"/>
      <c r="BP1062" s="182"/>
      <c r="BQ1062" s="182"/>
      <c r="BR1062" s="182"/>
      <c r="BS1062" s="182"/>
    </row>
    <row r="1063" spans="1:71" ht="15.9" customHeight="1" x14ac:dyDescent="0.3">
      <c r="A1063" s="19" t="s">
        <v>3050</v>
      </c>
      <c r="B1063" s="19" t="s">
        <v>3038</v>
      </c>
      <c r="C1063" s="555">
        <v>44691</v>
      </c>
      <c r="D1063" s="19" t="s">
        <v>256</v>
      </c>
      <c r="E1063" s="19" t="s">
        <v>257</v>
      </c>
      <c r="F1063" s="19" t="s">
        <v>3051</v>
      </c>
      <c r="G1063" s="199" t="s">
        <v>346</v>
      </c>
      <c r="H1063" s="70">
        <v>2000000</v>
      </c>
      <c r="I1063" s="19" t="s">
        <v>260</v>
      </c>
      <c r="J1063" s="113" t="str">
        <f>VLOOKUP($I1063,'Price List, Weapons &amp; Items'!B:C,2,0)</f>
        <v>.</v>
      </c>
      <c r="K1063" s="113" t="str">
        <f>IF(I1063=".",I1063,VLOOKUP($I1063,'Price List, Weapons &amp; Items'!B:D,3,0))</f>
        <v>.</v>
      </c>
      <c r="L1063" s="177">
        <f>VLOOKUP(I1063,'Price List, Weapons &amp; Items'!B:E,4,0)</f>
        <v>0</v>
      </c>
      <c r="M1063" s="247" t="s">
        <v>260</v>
      </c>
      <c r="N1063" s="247" t="s">
        <v>260</v>
      </c>
      <c r="O1063" s="543" t="str">
        <f>VLOOKUP($I1063,'Price List, Weapons &amp; Items'!B:G,6,0)</f>
        <v>.</v>
      </c>
      <c r="P1063" s="176" t="str">
        <f t="shared" si="212"/>
        <v>.</v>
      </c>
      <c r="Q1063" s="176" t="str">
        <f t="shared" si="213"/>
        <v>.</v>
      </c>
      <c r="R1063" s="176">
        <f t="shared" si="210"/>
        <v>2000000</v>
      </c>
      <c r="S1063" s="176">
        <f>IF(AND(AD1063=1,R1063&lt;&gt;".")=TRUE,R1063/VLOOKUP(G1063,'Exchange Rates'!B:C,2,0),IF(R1063=".",".",""))</f>
        <v>1904761.9047619046</v>
      </c>
      <c r="T1063" s="176" t="str">
        <f>IF(AD1063=1,IF(AF1063="Value is not given at all",".",IF(AF1063="Value is given by the source",S1063,IF(AF1063="Value is calculated with prices",(IF(SUMIFS(Q:Q,A:A,A1063)&gt;0,SUMIFS(Q:Q,A:A,A1063),"."))/VLOOKUP("USD",'Exchange Rates'!B:C,2,0),"Error with coding"))),"")</f>
        <v>.</v>
      </c>
      <c r="U1063" s="15" t="s">
        <v>261</v>
      </c>
      <c r="V1063" s="304" t="s">
        <v>3047</v>
      </c>
      <c r="W1063" s="19" t="s">
        <v>260</v>
      </c>
      <c r="X1063" s="19" t="s">
        <v>260</v>
      </c>
      <c r="Y1063" s="19" t="s">
        <v>260</v>
      </c>
      <c r="Z1063" s="199">
        <v>0</v>
      </c>
      <c r="AA1063" s="199">
        <v>1</v>
      </c>
      <c r="AB1063" s="19" t="s">
        <v>260</v>
      </c>
      <c r="AC1063" s="544" t="str">
        <f>""</f>
        <v/>
      </c>
      <c r="AD1063" s="199">
        <v>1</v>
      </c>
      <c r="AE1063" s="199" t="s">
        <v>264</v>
      </c>
      <c r="AF1063" s="199" t="s">
        <v>265</v>
      </c>
      <c r="AG1063" s="199">
        <v>1</v>
      </c>
      <c r="AH1063" s="199">
        <v>5</v>
      </c>
      <c r="AI1063" s="199">
        <v>0</v>
      </c>
      <c r="AJ1063" s="181">
        <f>VLOOKUP($I1063,'Price List, Weapons &amp; Items'!B:F,5,0)</f>
        <v>0</v>
      </c>
      <c r="AK1063" s="181">
        <f t="shared" si="202"/>
        <v>0</v>
      </c>
      <c r="AL1063" s="181">
        <f t="shared" si="203"/>
        <v>0</v>
      </c>
      <c r="AM1063" s="181">
        <f t="shared" si="204"/>
        <v>0</v>
      </c>
      <c r="AN1063" s="180" t="str">
        <f>VLOOKUP($I1063,'Price List, Weapons &amp; Items'!B:L,COLUMN('Price List, Weapons &amp; Items'!$J$11)-1,0)</f>
        <v>.</v>
      </c>
      <c r="AO1063" s="180" t="str">
        <f>IF(I1063=".",".",VLOOKUP($I1063,'Price List, Weapons &amp; Items'!B:J,3,0))</f>
        <v>.</v>
      </c>
      <c r="AP1063" s="545" t="e">
        <f t="shared" ca="1" si="211"/>
        <v>#NAME?</v>
      </c>
      <c r="AQ1063" s="180" t="str">
        <f>VLOOKUP($I1063,'Price List, Weapons &amp; Items'!B:L,COLUMN('Price List, Weapons &amp; Items'!$L$11)-1,0)</f>
        <v>no price, 0 count</v>
      </c>
      <c r="AR1063" s="180">
        <f t="shared" si="205"/>
        <v>1</v>
      </c>
      <c r="AS1063" s="180">
        <f t="shared" si="206"/>
        <v>0</v>
      </c>
      <c r="AT1063" s="180">
        <f t="shared" si="207"/>
        <v>1</v>
      </c>
      <c r="AU1063" s="180" t="str">
        <f t="shared" si="208"/>
        <v>.</v>
      </c>
      <c r="AV1063" s="180" t="str">
        <f t="shared" si="209"/>
        <v>.</v>
      </c>
      <c r="AW1063" s="180">
        <f>IFERROR(VLOOKUP(B1063,'Share, Heavy Weapons to Ukraine'!B:J,COLUMN('Share, Heavy Weapons to Ukraine'!C1073)-1,0),0)</f>
        <v>1</v>
      </c>
      <c r="AX1063" s="180">
        <f>VLOOKUP('Bilateral Assistance, MAIN DATA'!B1063,'Country Summary'!B:F,COLUMN('Country Summary'!C1076)-1,FALSE)</f>
        <v>0</v>
      </c>
      <c r="AY1063" s="180" t="str">
        <f>IF(AND(AD1063=1,D1063="Military",H1063&lt;&gt;"Not given")=TRUE,IF(SUMIFS(P:P,A:A,A1063)&gt;0,ABS((SUMIFS(P:P,A:A,A1063)/VLOOKUP("USD",'Exchange Rates'!B:C,2,0)))/S1063,"."),".")</f>
        <v>.</v>
      </c>
      <c r="AZ1063" s="182" t="str">
        <f>IF(AND(AD1063=1,D1063="Military",H1063&lt;&gt;"Not given")=TRUE,IF(SUMIFS(P:P,A:A,A1063)&gt;0,IF((ABS((SUMIFS(P:P,A:A,A1063)/VLOOKUP("USD",'Exchange Rates'!B:C,2,0)))/S1063)&gt;1,(SUMIFS(P:P,A:A,A1063)-S1063)/S1063,(S1063-SUMIFS(P:P,A:A,A1063))/SUMIFS(P:P,A:A,A1063)),"."),".")</f>
        <v>.</v>
      </c>
      <c r="BA1063" s="182"/>
      <c r="BB1063" s="182"/>
      <c r="BC1063" s="182"/>
      <c r="BD1063" s="182"/>
      <c r="BE1063" s="182"/>
      <c r="BF1063" s="182"/>
      <c r="BG1063" s="182"/>
      <c r="BH1063" s="182"/>
      <c r="BI1063" s="182"/>
      <c r="BJ1063" s="182"/>
      <c r="BK1063" s="182"/>
      <c r="BL1063" s="182"/>
      <c r="BM1063" s="182"/>
      <c r="BN1063" s="182"/>
      <c r="BO1063" s="182"/>
      <c r="BP1063" s="182"/>
      <c r="BQ1063" s="182"/>
      <c r="BR1063" s="182"/>
      <c r="BS1063" s="182"/>
    </row>
    <row r="1064" spans="1:71" ht="15.9" customHeight="1" x14ac:dyDescent="0.3">
      <c r="A1064" s="19" t="s">
        <v>3052</v>
      </c>
      <c r="B1064" s="19" t="s">
        <v>3038</v>
      </c>
      <c r="C1064" s="555">
        <v>44708</v>
      </c>
      <c r="D1064" s="19" t="s">
        <v>256</v>
      </c>
      <c r="E1064" s="19" t="s">
        <v>257</v>
      </c>
      <c r="F1064" s="19" t="s">
        <v>3046</v>
      </c>
      <c r="G1064" s="199" t="s">
        <v>346</v>
      </c>
      <c r="H1064" s="70">
        <f>472085886-85254690</f>
        <v>386831196</v>
      </c>
      <c r="I1064" s="19" t="s">
        <v>260</v>
      </c>
      <c r="J1064" s="113" t="str">
        <f>VLOOKUP($I1064,'Price List, Weapons &amp; Items'!B:C,2,0)</f>
        <v>.</v>
      </c>
      <c r="K1064" s="113" t="str">
        <f>IF(I1064=".",I1064,VLOOKUP($I1064,'Price List, Weapons &amp; Items'!B:D,3,0))</f>
        <v>.</v>
      </c>
      <c r="L1064" s="177">
        <f>VLOOKUP(I1064,'Price List, Weapons &amp; Items'!B:E,4,0)</f>
        <v>0</v>
      </c>
      <c r="M1064" s="247" t="s">
        <v>260</v>
      </c>
      <c r="N1064" s="247" t="s">
        <v>260</v>
      </c>
      <c r="O1064" s="543" t="str">
        <f>VLOOKUP($I1064,'Price List, Weapons &amp; Items'!B:G,6,0)</f>
        <v>.</v>
      </c>
      <c r="P1064" s="176" t="str">
        <f t="shared" ref="P1064" si="214">IF(TYPE(M1064)=1,IF(TYPE(O1064)=1,M1064*O1064,"No price"),".")</f>
        <v>.</v>
      </c>
      <c r="Q1064" s="176" t="str">
        <f t="shared" ref="Q1064" si="215">IF(TYPE(N1064)=1,IF(TYPE(O1064)=1,N1064*O1064,"No price"),".")</f>
        <v>.</v>
      </c>
      <c r="R1064" s="176">
        <f t="shared" si="210"/>
        <v>386831196</v>
      </c>
      <c r="S1064" s="176">
        <f>IF(AND(AD1064=1,R1064&lt;&gt;".")=TRUE,R1064/VLOOKUP(G1064,'Exchange Rates'!B:C,2,0),IF(R1064=".",".",""))</f>
        <v>368410662.85714287</v>
      </c>
      <c r="T1064" s="176" t="str">
        <f>IF(AD1064=1,IF(AF1064="Value is not given at all",".",IF(AF1064="Value is given by the source",S1064,IF(AF1064="Value is calculated with prices",(IF(SUMIFS(Q:Q,A:A,A1064)&gt;0,SUMIFS(Q:Q,A:A,A1064),"."))/VLOOKUP("USD",'Exchange Rates'!B:C,2,0),"Error with coding"))),"")</f>
        <v>.</v>
      </c>
      <c r="U1064" s="15" t="s">
        <v>261</v>
      </c>
      <c r="V1064" s="304" t="s">
        <v>3044</v>
      </c>
      <c r="W1064" s="671" t="s">
        <v>3047</v>
      </c>
      <c r="X1064" s="671" t="s">
        <v>3048</v>
      </c>
      <c r="Y1064" s="671" t="s">
        <v>3049</v>
      </c>
      <c r="Z1064" s="199">
        <v>0</v>
      </c>
      <c r="AA1064" s="199">
        <v>1</v>
      </c>
      <c r="AB1064" s="19" t="s">
        <v>260</v>
      </c>
      <c r="AC1064" s="544" t="str">
        <f>""</f>
        <v/>
      </c>
      <c r="AD1064" s="199">
        <v>1</v>
      </c>
      <c r="AE1064" s="199" t="s">
        <v>264</v>
      </c>
      <c r="AF1064" s="199" t="s">
        <v>265</v>
      </c>
      <c r="AG1064" s="199">
        <v>1</v>
      </c>
      <c r="AH1064" s="199">
        <v>5</v>
      </c>
      <c r="AI1064" s="199">
        <v>0</v>
      </c>
      <c r="AJ1064" s="181">
        <f>VLOOKUP($I1064,'Price List, Weapons &amp; Items'!B:F,5,0)</f>
        <v>0</v>
      </c>
      <c r="AK1064" s="181">
        <f t="shared" ref="AK1064" si="216">IF(AND(AJ1064=1,M1064="undisclosed")=TRUE,1,0)</f>
        <v>0</v>
      </c>
      <c r="AL1064" s="181">
        <f t="shared" ref="AL1064" si="217">IF(AND(AJ1064=1,N1064="undisclosed")=TRUE,1,0)</f>
        <v>0</v>
      </c>
      <c r="AM1064" s="181">
        <f t="shared" ref="AM1064" si="218">IFERROR(IF(SEARCH("ammuni",I1064,1)&gt;0,1,0),0)</f>
        <v>0</v>
      </c>
      <c r="AN1064" s="180" t="str">
        <f>VLOOKUP($I1064,'Price List, Weapons &amp; Items'!B:L,COLUMN('Price List, Weapons &amp; Items'!$J$11)-1,0)</f>
        <v>.</v>
      </c>
      <c r="AO1064" s="180" t="str">
        <f>IF(I1064=".",".",VLOOKUP($I1064,'Price List, Weapons &amp; Items'!B:J,3,0))</f>
        <v>.</v>
      </c>
      <c r="AP1064" s="545" t="e">
        <f t="shared" ca="1" si="211"/>
        <v>#NAME?</v>
      </c>
      <c r="AQ1064" s="180" t="str">
        <f>VLOOKUP($I1064,'Price List, Weapons &amp; Items'!B:L,COLUMN('Price List, Weapons &amp; Items'!$L$11)-1,0)</f>
        <v>no price, 0 count</v>
      </c>
      <c r="AR1064" s="180">
        <f t="shared" ref="AR1064" si="219">IF(U1064="Yes",1,0)</f>
        <v>1</v>
      </c>
      <c r="AS1064" s="180">
        <f t="shared" ref="AS1064" si="220">IF(D1064="Military",IF(OR(IFERROR(SEARCH("equipment",E1064,1),0)&gt;0,IFERROR(SEARCH("weapons",E1064,1),0)&gt;0),1,0),0)</f>
        <v>0</v>
      </c>
      <c r="AT1064" s="180">
        <f t="shared" si="207"/>
        <v>1</v>
      </c>
      <c r="AU1064" s="180" t="str">
        <f t="shared" si="208"/>
        <v>.</v>
      </c>
      <c r="AV1064" s="180" t="str">
        <f t="shared" si="209"/>
        <v>.</v>
      </c>
      <c r="AW1064" s="180">
        <f>IFERROR(VLOOKUP(B1064,'Share, Heavy Weapons to Ukraine'!B:J,COLUMN('Share, Heavy Weapons to Ukraine'!C1074)-1,0),0)</f>
        <v>1</v>
      </c>
      <c r="AX1064" s="180">
        <f>VLOOKUP('Bilateral Assistance, MAIN DATA'!B1064,'Country Summary'!B:F,COLUMN('Country Summary'!C1077)-1,FALSE)</f>
        <v>0</v>
      </c>
      <c r="AY1064" s="180" t="str">
        <f>IF(AND(AD1064=1,D1064="Military",H1064&lt;&gt;"Not given")=TRUE,IF(SUMIFS(P:P,A:A,A1064)&gt;0,ABS((SUMIFS(P:P,A:A,A1064)/VLOOKUP("USD",'Exchange Rates'!B:C,2,0)))/S1064,"."),".")</f>
        <v>.</v>
      </c>
      <c r="AZ1064" s="182" t="str">
        <f>IF(AND(AD1064=1,D1064="Military",H1064&lt;&gt;"Not given")=TRUE,IF(SUMIFS(P:P,A:A,A1064)&gt;0,IF((ABS((SUMIFS(P:P,A:A,A1064)/VLOOKUP("USD",'Exchange Rates'!B:C,2,0)))/S1064)&gt;1,(SUMIFS(P:P,A:A,A1064)-S1064)/S1064,(S1064-SUMIFS(P:P,A:A,A1064))/SUMIFS(P:P,A:A,A1064)),"."),".")</f>
        <v>.</v>
      </c>
      <c r="BA1064" s="182"/>
      <c r="BB1064" s="182"/>
      <c r="BC1064" s="182"/>
      <c r="BD1064" s="182"/>
      <c r="BE1064" s="182"/>
      <c r="BF1064" s="182"/>
      <c r="BG1064" s="182"/>
      <c r="BH1064" s="182"/>
      <c r="BI1064" s="182"/>
      <c r="BJ1064" s="182"/>
      <c r="BK1064" s="182"/>
      <c r="BL1064" s="182"/>
      <c r="BM1064" s="182"/>
      <c r="BN1064" s="182"/>
      <c r="BO1064" s="182"/>
      <c r="BP1064" s="182"/>
      <c r="BQ1064" s="182"/>
      <c r="BR1064" s="182"/>
      <c r="BS1064" s="182"/>
    </row>
    <row r="1065" spans="1:71" ht="15.9" customHeight="1" x14ac:dyDescent="0.3">
      <c r="A1065" s="19" t="s">
        <v>3053</v>
      </c>
      <c r="B1065" s="19" t="s">
        <v>3038</v>
      </c>
      <c r="C1065" s="555">
        <v>44736</v>
      </c>
      <c r="D1065" s="19" t="s">
        <v>256</v>
      </c>
      <c r="E1065" s="19" t="s">
        <v>257</v>
      </c>
      <c r="F1065" s="19" t="s">
        <v>3046</v>
      </c>
      <c r="G1065" s="199" t="s">
        <v>346</v>
      </c>
      <c r="H1065" s="70">
        <f>697541268-472085886</f>
        <v>225455382</v>
      </c>
      <c r="I1065" s="19" t="s">
        <v>260</v>
      </c>
      <c r="J1065" s="113" t="str">
        <f>VLOOKUP($I1065,'Price List, Weapons &amp; Items'!B:C,2,0)</f>
        <v>.</v>
      </c>
      <c r="K1065" s="113" t="str">
        <f>IF(I1065=".",I1065,VLOOKUP($I1065,'Price List, Weapons &amp; Items'!B:D,3,0))</f>
        <v>.</v>
      </c>
      <c r="L1065" s="177">
        <f>VLOOKUP(I1065,'Price List, Weapons &amp; Items'!B:E,4,0)</f>
        <v>0</v>
      </c>
      <c r="M1065" s="247" t="s">
        <v>260</v>
      </c>
      <c r="N1065" s="247" t="s">
        <v>260</v>
      </c>
      <c r="O1065" s="543" t="str">
        <f>VLOOKUP($I1065,'Price List, Weapons &amp; Items'!B:G,6,0)</f>
        <v>.</v>
      </c>
      <c r="P1065" s="176" t="str">
        <f t="shared" ref="P1065" si="221">IF(TYPE(M1065)=1,IF(TYPE(O1065)=1,M1065*O1065,"No price"),".")</f>
        <v>.</v>
      </c>
      <c r="Q1065" s="176" t="str">
        <f t="shared" ref="Q1065" si="222">IF(TYPE(N1065)=1,IF(TYPE(O1065)=1,N1065*O1065,"No price"),".")</f>
        <v>.</v>
      </c>
      <c r="R1065" s="176">
        <f t="shared" si="210"/>
        <v>225455382</v>
      </c>
      <c r="S1065" s="176">
        <f>IF(AND(AD1065=1,R1065&lt;&gt;".")=TRUE,R1065/VLOOKUP(G1065,'Exchange Rates'!B:C,2,0),IF(R1065=".",".",""))</f>
        <v>214719411.42857143</v>
      </c>
      <c r="T1065" s="176" t="str">
        <f>IF(AD1065=1,IF(AF1065="Value is not given at all",".",IF(AF1065="Value is given by the source",S1065,IF(AF1065="Value is calculated with prices",(IF(SUMIFS(Q:Q,A:A,A1065)&gt;0,SUMIFS(Q:Q,A:A,A1065),"."))/VLOOKUP("USD",'Exchange Rates'!B:C,2,0),"Error with coding"))),"")</f>
        <v>.</v>
      </c>
      <c r="U1065" s="15" t="s">
        <v>261</v>
      </c>
      <c r="V1065" s="304" t="s">
        <v>3044</v>
      </c>
      <c r="W1065" s="671" t="s">
        <v>3047</v>
      </c>
      <c r="X1065" s="671" t="s">
        <v>3048</v>
      </c>
      <c r="Y1065" s="671" t="s">
        <v>3049</v>
      </c>
      <c r="Z1065" s="199">
        <v>0</v>
      </c>
      <c r="AA1065" s="199">
        <v>1</v>
      </c>
      <c r="AB1065" s="19" t="s">
        <v>260</v>
      </c>
      <c r="AC1065" s="544" t="str">
        <f>""</f>
        <v/>
      </c>
      <c r="AD1065" s="199">
        <v>1</v>
      </c>
      <c r="AE1065" s="199" t="s">
        <v>264</v>
      </c>
      <c r="AF1065" s="199" t="s">
        <v>265</v>
      </c>
      <c r="AG1065" s="199">
        <v>1</v>
      </c>
      <c r="AH1065" s="199">
        <v>6</v>
      </c>
      <c r="AI1065" s="199">
        <v>0</v>
      </c>
      <c r="AJ1065" s="181">
        <f>VLOOKUP($I1065,'Price List, Weapons &amp; Items'!B:F,5,0)</f>
        <v>0</v>
      </c>
      <c r="AK1065" s="181">
        <f t="shared" ref="AK1065" si="223">IF(AND(AJ1065=1,M1065="undisclosed")=TRUE,1,0)</f>
        <v>0</v>
      </c>
      <c r="AL1065" s="181">
        <f t="shared" ref="AL1065" si="224">IF(AND(AJ1065=1,N1065="undisclosed")=TRUE,1,0)</f>
        <v>0</v>
      </c>
      <c r="AM1065" s="181">
        <f t="shared" ref="AM1065" si="225">IFERROR(IF(SEARCH("ammuni",I1065,1)&gt;0,1,0),0)</f>
        <v>0</v>
      </c>
      <c r="AN1065" s="180" t="str">
        <f>VLOOKUP($I1065,'Price List, Weapons &amp; Items'!B:L,COLUMN('Price List, Weapons &amp; Items'!$J$11)-1,0)</f>
        <v>.</v>
      </c>
      <c r="AO1065" s="180" t="str">
        <f>IF(I1065=".",".",VLOOKUP($I1065,'Price List, Weapons &amp; Items'!B:J,3,0))</f>
        <v>.</v>
      </c>
      <c r="AP1065" s="545" t="e">
        <f t="shared" ca="1" si="211"/>
        <v>#NAME?</v>
      </c>
      <c r="AQ1065" s="180" t="str">
        <f>VLOOKUP($I1065,'Price List, Weapons &amp; Items'!B:L,COLUMN('Price List, Weapons &amp; Items'!$L$11)-1,0)</f>
        <v>no price, 0 count</v>
      </c>
      <c r="AR1065" s="180">
        <f t="shared" ref="AR1065" si="226">IF(U1065="Yes",1,0)</f>
        <v>1</v>
      </c>
      <c r="AS1065" s="180">
        <f t="shared" ref="AS1065" si="227">IF(D1065="Military",IF(OR(IFERROR(SEARCH("equipment",E1065,1),0)&gt;0,IFERROR(SEARCH("weapons",E1065,1),0)&gt;0),1,0),0)</f>
        <v>0</v>
      </c>
      <c r="AT1065" s="180">
        <f t="shared" si="207"/>
        <v>1</v>
      </c>
      <c r="AU1065" s="180" t="str">
        <f t="shared" si="208"/>
        <v>.</v>
      </c>
      <c r="AV1065" s="180" t="str">
        <f t="shared" si="209"/>
        <v>.</v>
      </c>
      <c r="AW1065" s="180">
        <f>IFERROR(VLOOKUP(B1065,'Share, Heavy Weapons to Ukraine'!B:J,COLUMN('Share, Heavy Weapons to Ukraine'!C1075)-1,0),0)</f>
        <v>1</v>
      </c>
      <c r="AX1065" s="180">
        <f>VLOOKUP('Bilateral Assistance, MAIN DATA'!B1065,'Country Summary'!B:F,COLUMN('Country Summary'!C1078)-1,FALSE)</f>
        <v>0</v>
      </c>
      <c r="AY1065" s="180" t="str">
        <f>IF(AND(AD1065=1,D1065="Military",H1065&lt;&gt;"Not given")=TRUE,IF(SUMIFS(P:P,A:A,A1065)&gt;0,ABS((SUMIFS(P:P,A:A,A1065)/VLOOKUP("USD",'Exchange Rates'!B:C,2,0)))/S1065,"."),".")</f>
        <v>.</v>
      </c>
      <c r="AZ1065" s="182" t="str">
        <f>IF(AND(AD1065=1,D1065="Military",H1065&lt;&gt;"Not given")=TRUE,IF(SUMIFS(P:P,A:A,A1065)&gt;0,IF((ABS((SUMIFS(P:P,A:A,A1065)/VLOOKUP("USD",'Exchange Rates'!B:C,2,0)))/S1065)&gt;1,(SUMIFS(P:P,A:A,A1065)-S1065)/S1065,(S1065-SUMIFS(P:P,A:A,A1065))/SUMIFS(P:P,A:A,A1065)),"."),".")</f>
        <v>.</v>
      </c>
      <c r="BA1065" s="182"/>
      <c r="BB1065" s="182"/>
      <c r="BC1065" s="182"/>
      <c r="BD1065" s="182"/>
      <c r="BE1065" s="182"/>
      <c r="BF1065" s="182"/>
      <c r="BG1065" s="182"/>
      <c r="BH1065" s="182"/>
      <c r="BI1065" s="182"/>
      <c r="BJ1065" s="182"/>
      <c r="BK1065" s="182"/>
      <c r="BL1065" s="182"/>
      <c r="BM1065" s="182"/>
      <c r="BN1065" s="182"/>
      <c r="BO1065" s="182"/>
      <c r="BP1065" s="182"/>
      <c r="BQ1065" s="182"/>
      <c r="BR1065" s="182"/>
      <c r="BS1065" s="182"/>
    </row>
    <row r="1066" spans="1:71" ht="15.9" customHeight="1" x14ac:dyDescent="0.3">
      <c r="A1066" s="19" t="s">
        <v>3054</v>
      </c>
      <c r="B1066" s="19" t="s">
        <v>3038</v>
      </c>
      <c r="C1066" s="555">
        <v>44769</v>
      </c>
      <c r="D1066" s="19" t="s">
        <v>256</v>
      </c>
      <c r="E1066" s="19" t="s">
        <v>257</v>
      </c>
      <c r="F1066" s="19" t="s">
        <v>3046</v>
      </c>
      <c r="G1066" s="199" t="s">
        <v>346</v>
      </c>
      <c r="H1066" s="70">
        <f>(1020851025+159800000)-H1065-H1064-H1062</f>
        <v>390009757</v>
      </c>
      <c r="I1066" s="19" t="s">
        <v>260</v>
      </c>
      <c r="J1066" s="113" t="str">
        <f>VLOOKUP($I1066,'Price List, Weapons &amp; Items'!B:C,2,0)</f>
        <v>.</v>
      </c>
      <c r="K1066" s="113" t="str">
        <f>IF(I1066=".",I1066,VLOOKUP($I1066,'Price List, Weapons &amp; Items'!B:D,3,0))</f>
        <v>.</v>
      </c>
      <c r="L1066" s="177">
        <f>VLOOKUP(I1066,'Price List, Weapons &amp; Items'!B:E,4,0)</f>
        <v>0</v>
      </c>
      <c r="M1066" s="247" t="s">
        <v>260</v>
      </c>
      <c r="N1066" s="247" t="s">
        <v>260</v>
      </c>
      <c r="O1066" s="543" t="str">
        <f>VLOOKUP($I1066,'Price List, Weapons &amp; Items'!B:G,6,0)</f>
        <v>.</v>
      </c>
      <c r="P1066" s="176" t="str">
        <f t="shared" ref="P1066" si="228">IF(TYPE(M1066)=1,IF(TYPE(O1066)=1,M1066*O1066,"No price"),".")</f>
        <v>.</v>
      </c>
      <c r="Q1066" s="176" t="str">
        <f t="shared" ref="Q1066" si="229">IF(TYPE(N1066)=1,IF(TYPE(O1066)=1,N1066*O1066,"No price"),".")</f>
        <v>.</v>
      </c>
      <c r="R1066" s="176">
        <f t="shared" si="210"/>
        <v>390009757</v>
      </c>
      <c r="S1066" s="176">
        <f>IF(AND(AD1066=1,R1066&lt;&gt;".")=TRUE,R1066/VLOOKUP(G1066,'Exchange Rates'!B:C,2,0),IF(R1066=".",".",""))</f>
        <v>371437863.80952382</v>
      </c>
      <c r="T1066" s="176" t="str">
        <f>IF(AD1066=1,IF(AF1066="Value is not given at all",".",IF(AF1066="Value is given by the source",S1066,IF(AF1066="Value is calculated with prices",(IF(SUMIFS(Q:Q,A:A,A1066)&gt;0,SUMIFS(Q:Q,A:A,A1066),"."))/VLOOKUP("USD",'Exchange Rates'!B:C,2,0),"Error with coding"))),"")</f>
        <v>.</v>
      </c>
      <c r="U1066" s="15" t="s">
        <v>261</v>
      </c>
      <c r="V1066" s="304" t="s">
        <v>3044</v>
      </c>
      <c r="W1066" s="671" t="s">
        <v>3047</v>
      </c>
      <c r="X1066" s="671" t="s">
        <v>3048</v>
      </c>
      <c r="Y1066" s="671" t="s">
        <v>3049</v>
      </c>
      <c r="Z1066" s="199">
        <v>0</v>
      </c>
      <c r="AA1066" s="199">
        <v>1</v>
      </c>
      <c r="AB1066" s="19" t="s">
        <v>260</v>
      </c>
      <c r="AC1066" s="544" t="str">
        <f>""</f>
        <v/>
      </c>
      <c r="AD1066" s="199">
        <v>1</v>
      </c>
      <c r="AE1066" s="199" t="s">
        <v>264</v>
      </c>
      <c r="AF1066" s="199" t="s">
        <v>265</v>
      </c>
      <c r="AG1066" s="199">
        <v>1</v>
      </c>
      <c r="AH1066" s="199">
        <v>7</v>
      </c>
      <c r="AI1066" s="199">
        <v>0</v>
      </c>
      <c r="AJ1066" s="181">
        <f>VLOOKUP($I1066,'Price List, Weapons &amp; Items'!B:F,5,0)</f>
        <v>0</v>
      </c>
      <c r="AK1066" s="181">
        <f t="shared" ref="AK1066" si="230">IF(AND(AJ1066=1,M1066="undisclosed")=TRUE,1,0)</f>
        <v>0</v>
      </c>
      <c r="AL1066" s="181">
        <f t="shared" ref="AL1066" si="231">IF(AND(AJ1066=1,N1066="undisclosed")=TRUE,1,0)</f>
        <v>0</v>
      </c>
      <c r="AM1066" s="181">
        <f t="shared" ref="AM1066" si="232">IFERROR(IF(SEARCH("ammuni",I1066,1)&gt;0,1,0),0)</f>
        <v>0</v>
      </c>
      <c r="AN1066" s="180" t="str">
        <f>VLOOKUP($I1066,'Price List, Weapons &amp; Items'!B:L,COLUMN('Price List, Weapons &amp; Items'!$J$11)-1,0)</f>
        <v>.</v>
      </c>
      <c r="AO1066" s="180" t="str">
        <f>IF(I1066=".",".",VLOOKUP($I1066,'Price List, Weapons &amp; Items'!B:J,3,0))</f>
        <v>.</v>
      </c>
      <c r="AP1066" s="545" t="e">
        <f t="shared" ca="1" si="211"/>
        <v>#NAME?</v>
      </c>
      <c r="AQ1066" s="180" t="str">
        <f>VLOOKUP($I1066,'Price List, Weapons &amp; Items'!B:L,COLUMN('Price List, Weapons &amp; Items'!$L$11)-1,0)</f>
        <v>no price, 0 count</v>
      </c>
      <c r="AR1066" s="180">
        <f t="shared" ref="AR1066" si="233">IF(U1066="Yes",1,0)</f>
        <v>1</v>
      </c>
      <c r="AS1066" s="180">
        <f t="shared" ref="AS1066" si="234">IF(D1066="Military",IF(OR(IFERROR(SEARCH("equipment",E1066,1),0)&gt;0,IFERROR(SEARCH("weapons",E1066,1),0)&gt;0),1,0),0)</f>
        <v>0</v>
      </c>
      <c r="AT1066" s="180">
        <f t="shared" si="207"/>
        <v>1</v>
      </c>
      <c r="AU1066" s="180" t="str">
        <f t="shared" si="208"/>
        <v>.</v>
      </c>
      <c r="AV1066" s="180" t="str">
        <f t="shared" si="209"/>
        <v>.</v>
      </c>
      <c r="AW1066" s="180">
        <f>IFERROR(VLOOKUP(B1066,'Share, Heavy Weapons to Ukraine'!B:J,COLUMN('Share, Heavy Weapons to Ukraine'!C1076)-1,0),0)</f>
        <v>1</v>
      </c>
      <c r="AX1066" s="180">
        <f>VLOOKUP('Bilateral Assistance, MAIN DATA'!B1066,'Country Summary'!B:F,COLUMN('Country Summary'!C1079)-1,FALSE)</f>
        <v>0</v>
      </c>
      <c r="AY1066" s="180" t="str">
        <f>IF(AND(AD1066=1,D1066="Military",H1066&lt;&gt;"Not given")=TRUE,IF(SUMIFS(P:P,A:A,A1066)&gt;0,ABS((SUMIFS(P:P,A:A,A1066)/VLOOKUP("USD",'Exchange Rates'!B:C,2,0)))/S1066,"."),".")</f>
        <v>.</v>
      </c>
      <c r="AZ1066" s="182" t="str">
        <f>IF(AND(AD1066=1,D1066="Military",H1066&lt;&gt;"Not given")=TRUE,IF(SUMIFS(P:P,A:A,A1066)&gt;0,IF((ABS((SUMIFS(P:P,A:A,A1066)/VLOOKUP("USD",'Exchange Rates'!B:C,2,0)))/S1066)&gt;1,(SUMIFS(P:P,A:A,A1066)-S1066)/S1066,(S1066-SUMIFS(P:P,A:A,A1066))/SUMIFS(P:P,A:A,A1066)),"."),".")</f>
        <v>.</v>
      </c>
      <c r="BA1066" s="182"/>
      <c r="BB1066" s="182"/>
      <c r="BC1066" s="182"/>
      <c r="BD1066" s="182"/>
      <c r="BE1066" s="182"/>
      <c r="BF1066" s="182"/>
      <c r="BG1066" s="182"/>
      <c r="BH1066" s="182"/>
      <c r="BI1066" s="182"/>
      <c r="BJ1066" s="182"/>
      <c r="BK1066" s="182"/>
      <c r="BL1066" s="182"/>
      <c r="BM1066" s="182"/>
      <c r="BN1066" s="182"/>
      <c r="BO1066" s="182"/>
      <c r="BP1066" s="182"/>
      <c r="BQ1066" s="182"/>
      <c r="BR1066" s="182"/>
      <c r="BS1066" s="182"/>
    </row>
    <row r="1067" spans="1:71" ht="15.9" customHeight="1" x14ac:dyDescent="0.3">
      <c r="A1067" s="19" t="s">
        <v>3055</v>
      </c>
      <c r="B1067" s="19" t="s">
        <v>3038</v>
      </c>
      <c r="C1067" s="555">
        <v>44802</v>
      </c>
      <c r="D1067" s="19" t="s">
        <v>256</v>
      </c>
      <c r="E1067" s="19" t="s">
        <v>257</v>
      </c>
      <c r="F1067" s="19" t="s">
        <v>3046</v>
      </c>
      <c r="G1067" s="199" t="s">
        <v>346</v>
      </c>
      <c r="H1067" s="70">
        <f>(1032666469+159800000)-H1065-H1064-H1062-H1066</f>
        <v>11815444</v>
      </c>
      <c r="I1067" s="19" t="s">
        <v>260</v>
      </c>
      <c r="J1067" s="113" t="str">
        <f>VLOOKUP($I1067,'Price List, Weapons &amp; Items'!B:C,2,0)</f>
        <v>.</v>
      </c>
      <c r="K1067" s="113" t="str">
        <f>IF(I1067=".",I1067,VLOOKUP($I1067,'Price List, Weapons &amp; Items'!B:D,3,0))</f>
        <v>.</v>
      </c>
      <c r="L1067" s="177">
        <f>VLOOKUP(I1067,'Price List, Weapons &amp; Items'!B:E,4,0)</f>
        <v>0</v>
      </c>
      <c r="M1067" s="247" t="s">
        <v>260</v>
      </c>
      <c r="N1067" s="247" t="s">
        <v>260</v>
      </c>
      <c r="O1067" s="543" t="str">
        <f>VLOOKUP($I1067,'Price List, Weapons &amp; Items'!B:G,6,0)</f>
        <v>.</v>
      </c>
      <c r="P1067" s="176" t="str">
        <f t="shared" ref="P1067" si="235">IF(TYPE(M1067)=1,IF(TYPE(O1067)=1,M1067*O1067,"No price"),".")</f>
        <v>.</v>
      </c>
      <c r="Q1067" s="176" t="str">
        <f t="shared" ref="Q1067" si="236">IF(TYPE(N1067)=1,IF(TYPE(O1067)=1,N1067*O1067,"No price"),".")</f>
        <v>.</v>
      </c>
      <c r="R1067" s="176">
        <f t="shared" si="210"/>
        <v>11815444</v>
      </c>
      <c r="S1067" s="176">
        <f>IF(AND(AD1067=1,R1067&lt;&gt;".")=TRUE,R1067/VLOOKUP(G1067,'Exchange Rates'!B:C,2,0),IF(R1067=".",".",""))</f>
        <v>11252803.80952381</v>
      </c>
      <c r="T1067" s="176" t="str">
        <f>IF(AD1067=1,IF(AF1067="Value is not given at all",".",IF(AF1067="Value is given by the source",S1067,IF(AF1067="Value is calculated with prices",(IF(SUMIFS(Q:Q,A:A,A1067)&gt;0,SUMIFS(Q:Q,A:A,A1067),"."))/VLOOKUP("USD",'Exchange Rates'!B:C,2,0),"Error with coding"))),"")</f>
        <v>.</v>
      </c>
      <c r="U1067" s="15" t="s">
        <v>261</v>
      </c>
      <c r="V1067" s="304" t="s">
        <v>3044</v>
      </c>
      <c r="W1067" s="671" t="s">
        <v>3047</v>
      </c>
      <c r="X1067" s="671" t="s">
        <v>3048</v>
      </c>
      <c r="Y1067" s="671" t="s">
        <v>3049</v>
      </c>
      <c r="Z1067" s="199">
        <v>0</v>
      </c>
      <c r="AA1067" s="199">
        <v>1</v>
      </c>
      <c r="AB1067" s="19" t="s">
        <v>260</v>
      </c>
      <c r="AC1067" s="544" t="str">
        <f>""</f>
        <v/>
      </c>
      <c r="AD1067" s="199">
        <v>1</v>
      </c>
      <c r="AE1067" s="199" t="s">
        <v>264</v>
      </c>
      <c r="AF1067" s="199" t="s">
        <v>265</v>
      </c>
      <c r="AG1067" s="199">
        <v>1</v>
      </c>
      <c r="AH1067" s="199">
        <v>8</v>
      </c>
      <c r="AI1067" s="199">
        <v>0</v>
      </c>
      <c r="AJ1067" s="181">
        <f>VLOOKUP($I1067,'Price List, Weapons &amp; Items'!B:F,5,0)</f>
        <v>0</v>
      </c>
      <c r="AK1067" s="181">
        <f t="shared" ref="AK1067" si="237">IF(AND(AJ1067=1,M1067="undisclosed")=TRUE,1,0)</f>
        <v>0</v>
      </c>
      <c r="AL1067" s="181">
        <f t="shared" ref="AL1067" si="238">IF(AND(AJ1067=1,N1067="undisclosed")=TRUE,1,0)</f>
        <v>0</v>
      </c>
      <c r="AM1067" s="181">
        <f t="shared" ref="AM1067" si="239">IFERROR(IF(SEARCH("ammuni",I1067,1)&gt;0,1,0),0)</f>
        <v>0</v>
      </c>
      <c r="AN1067" s="180" t="str">
        <f>VLOOKUP($I1067,'Price List, Weapons &amp; Items'!B:L,COLUMN('Price List, Weapons &amp; Items'!$J$11)-1,0)</f>
        <v>.</v>
      </c>
      <c r="AO1067" s="180" t="str">
        <f>IF(I1067=".",".",VLOOKUP($I1067,'Price List, Weapons &amp; Items'!B:J,3,0))</f>
        <v>.</v>
      </c>
      <c r="AP1067" s="545" t="e">
        <f t="shared" ca="1" si="211"/>
        <v>#NAME?</v>
      </c>
      <c r="AQ1067" s="180" t="str">
        <f>VLOOKUP($I1067,'Price List, Weapons &amp; Items'!B:L,COLUMN('Price List, Weapons &amp; Items'!$L$11)-1,0)</f>
        <v>no price, 0 count</v>
      </c>
      <c r="AR1067" s="180">
        <f t="shared" ref="AR1067" si="240">IF(U1067="Yes",1,0)</f>
        <v>1</v>
      </c>
      <c r="AS1067" s="180">
        <f t="shared" ref="AS1067" si="241">IF(D1067="Military",IF(OR(IFERROR(SEARCH("equipment",E1067,1),0)&gt;0,IFERROR(SEARCH("weapons",E1067,1),0)&gt;0),1,0),0)</f>
        <v>0</v>
      </c>
      <c r="AT1067" s="180">
        <f t="shared" si="207"/>
        <v>1</v>
      </c>
      <c r="AU1067" s="180" t="str">
        <f t="shared" si="208"/>
        <v>.</v>
      </c>
      <c r="AV1067" s="180" t="str">
        <f t="shared" si="209"/>
        <v>.</v>
      </c>
      <c r="AW1067" s="180">
        <f>IFERROR(VLOOKUP(B1067,'Share, Heavy Weapons to Ukraine'!B:J,COLUMN('Share, Heavy Weapons to Ukraine'!C1077)-1,0),0)</f>
        <v>1</v>
      </c>
      <c r="AX1067" s="180">
        <f>VLOOKUP('Bilateral Assistance, MAIN DATA'!B1067,'Country Summary'!B:F,COLUMN('Country Summary'!C1080)-1,FALSE)</f>
        <v>0</v>
      </c>
      <c r="AY1067" s="180" t="str">
        <f>IF(AND(AD1067=1,D1067="Military",H1067&lt;&gt;"Not given")=TRUE,IF(SUMIFS(P:P,A:A,A1067)&gt;0,ABS((SUMIFS(P:P,A:A,A1067)/VLOOKUP("USD",'Exchange Rates'!B:C,2,0)))/S1067,"."),".")</f>
        <v>.</v>
      </c>
      <c r="AZ1067" s="182" t="str">
        <f>IF(AND(AD1067=1,D1067="Military",H1067&lt;&gt;"Not given")=TRUE,IF(SUMIFS(P:P,A:A,A1067)&gt;0,IF((ABS((SUMIFS(P:P,A:A,A1067)/VLOOKUP("USD",'Exchange Rates'!B:C,2,0)))/S1067)&gt;1,(SUMIFS(P:P,A:A,A1067)-S1067)/S1067,(S1067-SUMIFS(P:P,A:A,A1067))/SUMIFS(P:P,A:A,A1067)),"."),".")</f>
        <v>.</v>
      </c>
      <c r="BA1067" s="182"/>
      <c r="BB1067" s="182"/>
      <c r="BC1067" s="182"/>
      <c r="BD1067" s="182"/>
      <c r="BE1067" s="182"/>
      <c r="BF1067" s="182"/>
      <c r="BG1067" s="182"/>
      <c r="BH1067" s="182"/>
      <c r="BI1067" s="182"/>
      <c r="BJ1067" s="182"/>
      <c r="BK1067" s="182"/>
      <c r="BL1067" s="182"/>
      <c r="BM1067" s="182"/>
      <c r="BN1067" s="182"/>
      <c r="BO1067" s="182"/>
      <c r="BP1067" s="182"/>
      <c r="BQ1067" s="182"/>
      <c r="BR1067" s="182"/>
      <c r="BS1067" s="182"/>
    </row>
    <row r="1068" spans="1:71" ht="15.9" customHeight="1" x14ac:dyDescent="0.3">
      <c r="A1068" s="19" t="s">
        <v>3056</v>
      </c>
      <c r="B1068" s="19" t="s">
        <v>3038</v>
      </c>
      <c r="C1068" s="555">
        <v>44833</v>
      </c>
      <c r="D1068" s="19" t="s">
        <v>256</v>
      </c>
      <c r="E1068" s="19" t="s">
        <v>257</v>
      </c>
      <c r="F1068" s="19" t="s">
        <v>3046</v>
      </c>
      <c r="G1068" s="199" t="s">
        <v>346</v>
      </c>
      <c r="H1068" s="70">
        <f>(1033372413+159846579)-H1065-H1064-H1062-H1066-H1067</f>
        <v>752523</v>
      </c>
      <c r="I1068" s="19" t="s">
        <v>260</v>
      </c>
      <c r="J1068" s="113" t="str">
        <f>VLOOKUP($I1068,'Price List, Weapons &amp; Items'!B:C,2,0)</f>
        <v>.</v>
      </c>
      <c r="K1068" s="113" t="str">
        <f>IF(I1068=".",I1068,VLOOKUP($I1068,'Price List, Weapons &amp; Items'!B:D,3,0))</f>
        <v>.</v>
      </c>
      <c r="L1068" s="177">
        <f>VLOOKUP(I1068,'Price List, Weapons &amp; Items'!B:E,4,0)</f>
        <v>0</v>
      </c>
      <c r="M1068" s="247" t="s">
        <v>260</v>
      </c>
      <c r="N1068" s="247" t="s">
        <v>260</v>
      </c>
      <c r="O1068" s="543" t="str">
        <f>VLOOKUP($I1068,'Price List, Weapons &amp; Items'!B:G,6,0)</f>
        <v>.</v>
      </c>
      <c r="P1068" s="176" t="str">
        <f t="shared" ref="P1068:P1069" si="242">IF(TYPE(M1068)=1,IF(TYPE(O1068)=1,M1068*O1068,"No price"),".")</f>
        <v>.</v>
      </c>
      <c r="Q1068" s="176" t="str">
        <f t="shared" ref="Q1068:Q1069" si="243">IF(TYPE(N1068)=1,IF(TYPE(O1068)=1,N1068*O1068,"No price"),".")</f>
        <v>.</v>
      </c>
      <c r="R1068" s="176">
        <f t="shared" si="210"/>
        <v>752523</v>
      </c>
      <c r="S1068" s="176">
        <f>IF(AND(AD1068=1,R1068&lt;&gt;".")=TRUE,R1068/VLOOKUP(G1068,'Exchange Rates'!B:C,2,0),IF(R1068=".",".",""))</f>
        <v>716688.57142857136</v>
      </c>
      <c r="T1068" s="176" t="str">
        <f>IF(AD1068=1,IF(AF1068="Value is not given at all",".",IF(AF1068="Value is given by the source",S1068,IF(AF1068="Value is calculated with prices",(IF(SUMIFS(Q:Q,A:A,A1068)&gt;0,SUMIFS(Q:Q,A:A,A1068),"."))/VLOOKUP("USD",'Exchange Rates'!B:C,2,0),"Error with coding"))),"")</f>
        <v>.</v>
      </c>
      <c r="U1068" s="15" t="s">
        <v>261</v>
      </c>
      <c r="V1068" s="304" t="s">
        <v>3044</v>
      </c>
      <c r="W1068" s="671" t="s">
        <v>3047</v>
      </c>
      <c r="X1068" s="671" t="s">
        <v>3048</v>
      </c>
      <c r="Y1068" s="671" t="s">
        <v>3049</v>
      </c>
      <c r="Z1068" s="199">
        <v>0</v>
      </c>
      <c r="AA1068" s="199">
        <v>1</v>
      </c>
      <c r="AB1068" s="19" t="s">
        <v>260</v>
      </c>
      <c r="AC1068" s="544" t="str">
        <f>""</f>
        <v/>
      </c>
      <c r="AD1068" s="199">
        <v>1</v>
      </c>
      <c r="AE1068" s="199" t="s">
        <v>264</v>
      </c>
      <c r="AF1068" s="199" t="s">
        <v>265</v>
      </c>
      <c r="AG1068" s="199">
        <v>1</v>
      </c>
      <c r="AH1068" s="199">
        <v>9</v>
      </c>
      <c r="AI1068" s="199">
        <v>0</v>
      </c>
      <c r="AJ1068" s="181">
        <f>VLOOKUP($I1068,'Price List, Weapons &amp; Items'!B:F,5,0)</f>
        <v>0</v>
      </c>
      <c r="AK1068" s="181">
        <f t="shared" ref="AK1068:AK1069" si="244">IF(AND(AJ1068=1,M1068="undisclosed")=TRUE,1,0)</f>
        <v>0</v>
      </c>
      <c r="AL1068" s="181">
        <f t="shared" ref="AL1068:AL1069" si="245">IF(AND(AJ1068=1,N1068="undisclosed")=TRUE,1,0)</f>
        <v>0</v>
      </c>
      <c r="AM1068" s="181">
        <f t="shared" ref="AM1068:AM1069" si="246">IFERROR(IF(SEARCH("ammuni",I1068,1)&gt;0,1,0),0)</f>
        <v>0</v>
      </c>
      <c r="AN1068" s="180" t="str">
        <f>VLOOKUP($I1068,'Price List, Weapons &amp; Items'!B:L,COLUMN('Price List, Weapons &amp; Items'!$J$11)-1,0)</f>
        <v>.</v>
      </c>
      <c r="AO1068" s="180" t="str">
        <f>IF(I1068=".",".",VLOOKUP($I1068,'Price List, Weapons &amp; Items'!B:J,3,0))</f>
        <v>.</v>
      </c>
      <c r="AP1068" s="545" t="e">
        <f t="shared" ca="1" si="211"/>
        <v>#NAME?</v>
      </c>
      <c r="AQ1068" s="180" t="str">
        <f>VLOOKUP($I1068,'Price List, Weapons &amp; Items'!B:L,COLUMN('Price List, Weapons &amp; Items'!$L$11)-1,0)</f>
        <v>no price, 0 count</v>
      </c>
      <c r="AR1068" s="180">
        <f t="shared" ref="AR1068:AR1069" si="247">IF(U1068="Yes",1,0)</f>
        <v>1</v>
      </c>
      <c r="AS1068" s="180">
        <f t="shared" ref="AS1068:AS1069" si="248">IF(D1068="Military",IF(OR(IFERROR(SEARCH("equipment",E1068,1),0)&gt;0,IFERROR(SEARCH("weapons",E1068,1),0)&gt;0),1,0),0)</f>
        <v>0</v>
      </c>
      <c r="AT1068" s="180">
        <f t="shared" si="207"/>
        <v>1</v>
      </c>
      <c r="AU1068" s="180" t="str">
        <f t="shared" si="208"/>
        <v>.</v>
      </c>
      <c r="AV1068" s="180" t="str">
        <f t="shared" si="209"/>
        <v>.</v>
      </c>
      <c r="AW1068" s="180">
        <f>IFERROR(VLOOKUP(B1068,'Share, Heavy Weapons to Ukraine'!B:J,COLUMN('Share, Heavy Weapons to Ukraine'!C1078)-1,0),0)</f>
        <v>1</v>
      </c>
      <c r="AX1068" s="180">
        <f>VLOOKUP('Bilateral Assistance, MAIN DATA'!B1068,'Country Summary'!B:F,COLUMN('Country Summary'!C1081)-1,FALSE)</f>
        <v>0</v>
      </c>
      <c r="AY1068" s="180" t="str">
        <f>IF(AND(AD1068=1,D1068="Military",H1068&lt;&gt;"Not given")=TRUE,IF(SUMIFS(P:P,A:A,A1068)&gt;0,ABS((SUMIFS(P:P,A:A,A1068)/VLOOKUP("USD",'Exchange Rates'!B:C,2,0)))/S1068,"."),".")</f>
        <v>.</v>
      </c>
      <c r="AZ1068" s="182" t="str">
        <f>IF(AND(AD1068=1,D1068="Military",H1068&lt;&gt;"Not given")=TRUE,IF(SUMIFS(P:P,A:A,A1068)&gt;0,IF((ABS((SUMIFS(P:P,A:A,A1068)/VLOOKUP("USD",'Exchange Rates'!B:C,2,0)))/S1068)&gt;1,(SUMIFS(P:P,A:A,A1068)-S1068)/S1068,(S1068-SUMIFS(P:P,A:A,A1068))/SUMIFS(P:P,A:A,A1068)),"."),".")</f>
        <v>.</v>
      </c>
      <c r="BA1068" s="182"/>
      <c r="BB1068" s="182"/>
      <c r="BC1068" s="182"/>
      <c r="BD1068" s="182"/>
      <c r="BE1068" s="182"/>
      <c r="BF1068" s="182"/>
      <c r="BG1068" s="182"/>
      <c r="BH1068" s="182"/>
      <c r="BI1068" s="182"/>
      <c r="BJ1068" s="182"/>
      <c r="BK1068" s="182"/>
      <c r="BL1068" s="182"/>
      <c r="BM1068" s="182"/>
      <c r="BN1068" s="182"/>
      <c r="BO1068" s="182"/>
      <c r="BP1068" s="182"/>
      <c r="BQ1068" s="182"/>
      <c r="BR1068" s="182"/>
      <c r="BS1068" s="182"/>
    </row>
    <row r="1069" spans="1:71" ht="15.9" customHeight="1" x14ac:dyDescent="0.3">
      <c r="A1069" s="19" t="s">
        <v>3057</v>
      </c>
      <c r="B1069" s="19" t="s">
        <v>3038</v>
      </c>
      <c r="C1069" s="555">
        <v>44834</v>
      </c>
      <c r="D1069" s="19" t="s">
        <v>256</v>
      </c>
      <c r="E1069" s="19" t="s">
        <v>257</v>
      </c>
      <c r="F1069" s="19" t="s">
        <v>3058</v>
      </c>
      <c r="G1069" s="199" t="s">
        <v>346</v>
      </c>
      <c r="H1069" s="70">
        <v>35000000</v>
      </c>
      <c r="I1069" s="19" t="s">
        <v>260</v>
      </c>
      <c r="J1069" s="113" t="str">
        <f>VLOOKUP($I1069,'Price List, Weapons &amp; Items'!B:C,2,0)</f>
        <v>.</v>
      </c>
      <c r="K1069" s="113" t="str">
        <f>IF(I1069=".",I1069,VLOOKUP($I1069,'Price List, Weapons &amp; Items'!B:D,3,0))</f>
        <v>.</v>
      </c>
      <c r="L1069" s="177">
        <f>VLOOKUP(I1069,'Price List, Weapons &amp; Items'!B:E,4,0)</f>
        <v>0</v>
      </c>
      <c r="M1069" s="247" t="s">
        <v>260</v>
      </c>
      <c r="N1069" s="247" t="s">
        <v>260</v>
      </c>
      <c r="O1069" s="543" t="str">
        <f>VLOOKUP($I1069,'Price List, Weapons &amp; Items'!B:G,6,0)</f>
        <v>.</v>
      </c>
      <c r="P1069" s="176" t="str">
        <f t="shared" si="242"/>
        <v>.</v>
      </c>
      <c r="Q1069" s="176" t="str">
        <f t="shared" si="243"/>
        <v>.</v>
      </c>
      <c r="R1069" s="176">
        <f t="shared" si="210"/>
        <v>35000000</v>
      </c>
      <c r="S1069" s="176">
        <f>IF(AND(AD1069=1,R1069&lt;&gt;".")=TRUE,R1069/VLOOKUP(G1069,'Exchange Rates'!B:C,2,0),IF(R1069=".",".",""))</f>
        <v>33333333.333333332</v>
      </c>
      <c r="T1069" s="176" t="str">
        <f>IF(AD1069=1,IF(AF1069="Value is not given at all",".",IF(AF1069="Value is given by the source",S1069,IF(AF1069="Value is calculated with prices",(IF(SUMIFS(Q:Q,A:A,A1069)&gt;0,SUMIFS(Q:Q,A:A,A1069),"."))/VLOOKUP("USD",'Exchange Rates'!B:C,2,0),"Error with coding"))),"")</f>
        <v>.</v>
      </c>
      <c r="U1069" s="15" t="s">
        <v>261</v>
      </c>
      <c r="V1069" s="626" t="s">
        <v>3059</v>
      </c>
      <c r="W1069" s="19" t="s">
        <v>260</v>
      </c>
      <c r="X1069" s="19" t="s">
        <v>260</v>
      </c>
      <c r="Y1069" s="19" t="s">
        <v>260</v>
      </c>
      <c r="Z1069" s="199">
        <v>0</v>
      </c>
      <c r="AA1069" s="199">
        <v>1</v>
      </c>
      <c r="AB1069" s="19" t="s">
        <v>260</v>
      </c>
      <c r="AC1069" s="544" t="str">
        <f>""</f>
        <v/>
      </c>
      <c r="AD1069" s="199">
        <v>1</v>
      </c>
      <c r="AE1069" s="199" t="s">
        <v>264</v>
      </c>
      <c r="AF1069" s="199" t="s">
        <v>265</v>
      </c>
      <c r="AG1069" s="199">
        <v>1</v>
      </c>
      <c r="AH1069" s="199">
        <v>9</v>
      </c>
      <c r="AI1069" s="199">
        <v>0</v>
      </c>
      <c r="AJ1069" s="181">
        <f>VLOOKUP($I1069,'Price List, Weapons &amp; Items'!B:F,5,0)</f>
        <v>0</v>
      </c>
      <c r="AK1069" s="181">
        <f t="shared" si="244"/>
        <v>0</v>
      </c>
      <c r="AL1069" s="181">
        <f t="shared" si="245"/>
        <v>0</v>
      </c>
      <c r="AM1069" s="181">
        <f t="shared" si="246"/>
        <v>0</v>
      </c>
      <c r="AN1069" s="180" t="str">
        <f>VLOOKUP($I1069,'Price List, Weapons &amp; Items'!B:L,COLUMN('Price List, Weapons &amp; Items'!$J$11)-1,0)</f>
        <v>.</v>
      </c>
      <c r="AO1069" s="180" t="str">
        <f>IF(I1069=".",".",VLOOKUP($I1069,'Price List, Weapons &amp; Items'!B:J,3,0))</f>
        <v>.</v>
      </c>
      <c r="AP1069" s="545" t="e">
        <f t="shared" ca="1" si="211"/>
        <v>#NAME?</v>
      </c>
      <c r="AQ1069" s="180" t="str">
        <f>VLOOKUP($I1069,'Price List, Weapons &amp; Items'!B:L,COLUMN('Price List, Weapons &amp; Items'!$L$11)-1,0)</f>
        <v>no price, 0 count</v>
      </c>
      <c r="AR1069" s="180">
        <f t="shared" si="247"/>
        <v>1</v>
      </c>
      <c r="AS1069" s="180">
        <f t="shared" si="248"/>
        <v>0</v>
      </c>
      <c r="AT1069" s="180">
        <f t="shared" si="207"/>
        <v>1</v>
      </c>
      <c r="AU1069" s="180" t="str">
        <f t="shared" si="208"/>
        <v>.</v>
      </c>
      <c r="AV1069" s="180" t="str">
        <f t="shared" si="209"/>
        <v>.</v>
      </c>
      <c r="AW1069" s="180">
        <f>IFERROR(VLOOKUP(B1069,'Share, Heavy Weapons to Ukraine'!B:J,COLUMN('Share, Heavy Weapons to Ukraine'!C1079)-1,0),0)</f>
        <v>1</v>
      </c>
      <c r="AX1069" s="180">
        <f>VLOOKUP('Bilateral Assistance, MAIN DATA'!B1069,'Country Summary'!B:F,COLUMN('Country Summary'!C1082)-1,FALSE)</f>
        <v>0</v>
      </c>
      <c r="AY1069" s="180" t="str">
        <f>IF(AND(AD1069=1,D1069="Military",H1069&lt;&gt;"Not given")=TRUE,IF(SUMIFS(P:P,A:A,A1069)&gt;0,ABS((SUMIFS(P:P,A:A,A1069)/VLOOKUP("USD",'Exchange Rates'!B:C,2,0)))/S1069,"."),".")</f>
        <v>.</v>
      </c>
      <c r="AZ1069" s="182" t="str">
        <f>IF(AND(AD1069=1,D1069="Military",H1069&lt;&gt;"Not given")=TRUE,IF(SUMIFS(P:P,A:A,A1069)&gt;0,IF((ABS((SUMIFS(P:P,A:A,A1069)/VLOOKUP("USD",'Exchange Rates'!B:C,2,0)))/S1069)&gt;1,(SUMIFS(P:P,A:A,A1069)-S1069)/S1069,(S1069-SUMIFS(P:P,A:A,A1069))/SUMIFS(P:P,A:A,A1069)),"."),".")</f>
        <v>.</v>
      </c>
      <c r="BA1069" s="182"/>
      <c r="BB1069" s="182"/>
      <c r="BC1069" s="182"/>
      <c r="BD1069" s="182"/>
      <c r="BE1069" s="182"/>
      <c r="BF1069" s="182"/>
      <c r="BG1069" s="182"/>
      <c r="BH1069" s="182"/>
      <c r="BI1069" s="182"/>
      <c r="BJ1069" s="182"/>
      <c r="BK1069" s="182"/>
      <c r="BL1069" s="182"/>
      <c r="BM1069" s="182"/>
      <c r="BN1069" s="182"/>
      <c r="BO1069" s="182"/>
      <c r="BP1069" s="182"/>
      <c r="BQ1069" s="182"/>
      <c r="BR1069" s="182"/>
      <c r="BS1069" s="182"/>
    </row>
    <row r="1070" spans="1:71" ht="15.9" customHeight="1" x14ac:dyDescent="0.3">
      <c r="A1070" s="19" t="s">
        <v>3060</v>
      </c>
      <c r="B1070" s="19" t="s">
        <v>3038</v>
      </c>
      <c r="C1070" s="555">
        <v>44901</v>
      </c>
      <c r="D1070" s="19" t="s">
        <v>256</v>
      </c>
      <c r="E1070" s="19" t="s">
        <v>257</v>
      </c>
      <c r="F1070" s="19" t="s">
        <v>3061</v>
      </c>
      <c r="G1070" s="199" t="s">
        <v>346</v>
      </c>
      <c r="H1070" s="70">
        <v>126300000</v>
      </c>
      <c r="I1070" s="19" t="s">
        <v>260</v>
      </c>
      <c r="J1070" s="113" t="str">
        <f>VLOOKUP($I1070,'Price List, Weapons &amp; Items'!B:C,2,0)</f>
        <v>.</v>
      </c>
      <c r="K1070" s="113" t="str">
        <f>IF(I1070=".",I1070,VLOOKUP($I1070,'Price List, Weapons &amp; Items'!B:D,3,0))</f>
        <v>.</v>
      </c>
      <c r="L1070" s="177">
        <f>VLOOKUP(I1070,'Price List, Weapons &amp; Items'!B:E,4,0)</f>
        <v>0</v>
      </c>
      <c r="M1070" s="247" t="s">
        <v>260</v>
      </c>
      <c r="N1070" s="247" t="s">
        <v>260</v>
      </c>
      <c r="O1070" s="543" t="str">
        <f>VLOOKUP($I1070,'Price List, Weapons &amp; Items'!B:G,6,0)</f>
        <v>.</v>
      </c>
      <c r="P1070" s="176" t="str">
        <f>IF(TYPE(M1070)=1,IF(TYPE(O1070)=1,M1070*O1070,"No price"),".")</f>
        <v>.</v>
      </c>
      <c r="Q1070" s="176" t="str">
        <f>IF(TYPE(N1070)=1,IF(TYPE(O1070)=1,N1070*O1070,"No price"),".")</f>
        <v>.</v>
      </c>
      <c r="R1070" s="176">
        <f t="shared" si="210"/>
        <v>126300000</v>
      </c>
      <c r="S1070" s="176">
        <f>IF(AND(AD1070=1,R1070&lt;&gt;".")=TRUE,R1070/VLOOKUP(G1070,'Exchange Rates'!B:C,2,0),IF(R1070=".",".",""))</f>
        <v>120285714.28571428</v>
      </c>
      <c r="T1070" s="176" t="str">
        <f>IF(AD1070=1,IF(AF1070="Value is not given at all",".",IF(AF1070="Value is given by the source",S1070,IF(AF1070="Value is calculated with prices",(IF(SUMIFS(Q:Q,A:A,A1070)&gt;0,SUMIFS(Q:Q,A:A,A1070),"."))/VLOOKUP("USD",'Exchange Rates'!B:C,2,0),"Error with coding"))),"")</f>
        <v>.</v>
      </c>
      <c r="U1070" s="15" t="s">
        <v>261</v>
      </c>
      <c r="V1070" s="304" t="s">
        <v>3062</v>
      </c>
      <c r="W1070" s="19" t="s">
        <v>260</v>
      </c>
      <c r="X1070" s="19" t="s">
        <v>260</v>
      </c>
      <c r="Y1070" s="19" t="s">
        <v>260</v>
      </c>
      <c r="Z1070" s="199">
        <v>0</v>
      </c>
      <c r="AA1070" s="199">
        <v>1</v>
      </c>
      <c r="AB1070" s="19" t="s">
        <v>260</v>
      </c>
      <c r="AC1070" s="544" t="str">
        <f>""</f>
        <v/>
      </c>
      <c r="AD1070" s="199">
        <v>1</v>
      </c>
      <c r="AE1070" s="199" t="s">
        <v>264</v>
      </c>
      <c r="AF1070" s="199" t="s">
        <v>265</v>
      </c>
      <c r="AG1070" s="199">
        <v>1</v>
      </c>
      <c r="AH1070" s="199">
        <v>12</v>
      </c>
      <c r="AI1070" s="199">
        <v>0</v>
      </c>
      <c r="AJ1070" s="181">
        <f>VLOOKUP($I1070,'Price List, Weapons &amp; Items'!B:F,5,0)</f>
        <v>0</v>
      </c>
      <c r="AK1070" s="181">
        <f>IF(AND(AJ1070=1,M1070="undisclosed")=TRUE,1,0)</f>
        <v>0</v>
      </c>
      <c r="AL1070" s="181">
        <f>IF(AND(AJ1070=1,N1070="undisclosed")=TRUE,1,0)</f>
        <v>0</v>
      </c>
      <c r="AM1070" s="181">
        <f>IFERROR(IF(SEARCH("ammuni",I1070,1)&gt;0,1,0),0)</f>
        <v>0</v>
      </c>
      <c r="AN1070" s="180" t="str">
        <f>VLOOKUP($I1070,'Price List, Weapons &amp; Items'!B:L,COLUMN('Price List, Weapons &amp; Items'!$J$11)-1,0)</f>
        <v>.</v>
      </c>
      <c r="AO1070" s="180" t="str">
        <f>IF(I1070=".",".",VLOOKUP($I1070,'Price List, Weapons &amp; Items'!B:J,3,0))</f>
        <v>.</v>
      </c>
      <c r="AP1070" s="545" t="e">
        <f t="shared" ca="1" si="211"/>
        <v>#NAME?</v>
      </c>
      <c r="AQ1070" s="180" t="str">
        <f>VLOOKUP($I1070,'Price List, Weapons &amp; Items'!B:L,COLUMN('Price List, Weapons &amp; Items'!$L$11)-1,0)</f>
        <v>no price, 0 count</v>
      </c>
      <c r="AR1070" s="180">
        <f>IF(U1070="Yes",1,0)</f>
        <v>1</v>
      </c>
      <c r="AS1070" s="180">
        <f>IF(D1070="Military",IF(OR(IFERROR(SEARCH("equipment",E1070,1),0)&gt;0,IFERROR(SEARCH("weapons",E1070,1),0)&gt;0),1,0),0)</f>
        <v>0</v>
      </c>
      <c r="AT1070" s="180">
        <f t="shared" si="207"/>
        <v>1</v>
      </c>
      <c r="AU1070" s="180" t="str">
        <f t="shared" si="208"/>
        <v>.</v>
      </c>
      <c r="AV1070" s="180" t="str">
        <f t="shared" si="209"/>
        <v>.</v>
      </c>
      <c r="AW1070" s="180">
        <f>IFERROR(VLOOKUP(B1070,'Share, Heavy Weapons to Ukraine'!B:J,COLUMN('Share, Heavy Weapons to Ukraine'!C1080)-1,0),0)</f>
        <v>1</v>
      </c>
      <c r="AX1070" s="180">
        <f>VLOOKUP('Bilateral Assistance, MAIN DATA'!B1070,'Country Summary'!B:F,COLUMN('Country Summary'!C1083)-1,FALSE)</f>
        <v>0</v>
      </c>
      <c r="AY1070" s="180" t="str">
        <f>IF(AND(AD1070=1,D1070="Military",H1070&lt;&gt;"Not given")=TRUE,IF(SUMIFS(P:P,A:A,A1070)&gt;0,ABS((SUMIFS(P:P,A:A,A1070)/VLOOKUP("USD",'Exchange Rates'!B:C,2,0)))/S1070,"."),".")</f>
        <v>.</v>
      </c>
      <c r="AZ1070" s="182" t="str">
        <f>IF(AND(AD1070=1,D1070="Military",H1070&lt;&gt;"Not given")=TRUE,IF(SUMIFS(P:P,A:A,A1070)&gt;0,IF((ABS((SUMIFS(P:P,A:A,A1070)/VLOOKUP("USD",'Exchange Rates'!B:C,2,0)))/S1070)&gt;1,(SUMIFS(P:P,A:A,A1070)-S1070)/S1070,(S1070-SUMIFS(P:P,A:A,A1070))/SUMIFS(P:P,A:A,A1070)),"."),".")</f>
        <v>.</v>
      </c>
      <c r="BA1070" s="182"/>
      <c r="BB1070" s="182"/>
      <c r="BC1070" s="182"/>
      <c r="BD1070" s="182"/>
      <c r="BE1070" s="182"/>
      <c r="BF1070" s="182"/>
      <c r="BG1070" s="182"/>
      <c r="BH1070" s="182"/>
      <c r="BI1070" s="182"/>
      <c r="BJ1070" s="182"/>
      <c r="BK1070" s="182"/>
      <c r="BL1070" s="182"/>
      <c r="BM1070" s="182"/>
      <c r="BN1070" s="182"/>
      <c r="BO1070" s="182"/>
      <c r="BP1070" s="182"/>
      <c r="BQ1070" s="182"/>
      <c r="BR1070" s="182"/>
      <c r="BS1070" s="182"/>
    </row>
    <row r="1071" spans="1:71" ht="15.9" customHeight="1" x14ac:dyDescent="0.3">
      <c r="A1071" s="19" t="s">
        <v>3063</v>
      </c>
      <c r="B1071" s="19" t="s">
        <v>3038</v>
      </c>
      <c r="C1071" s="555">
        <v>44901</v>
      </c>
      <c r="D1071" s="19" t="s">
        <v>256</v>
      </c>
      <c r="E1071" s="19" t="s">
        <v>257</v>
      </c>
      <c r="F1071" s="19" t="s">
        <v>3064</v>
      </c>
      <c r="G1071" s="199" t="s">
        <v>346</v>
      </c>
      <c r="H1071" s="70">
        <v>2470000000</v>
      </c>
      <c r="I1071" s="19" t="s">
        <v>260</v>
      </c>
      <c r="J1071" s="113" t="str">
        <f>VLOOKUP($I1071,'Price List, Weapons &amp; Items'!B:C,2,0)</f>
        <v>.</v>
      </c>
      <c r="K1071" s="113" t="str">
        <f>IF(I1071=".",I1071,VLOOKUP($I1071,'Price List, Weapons &amp; Items'!B:D,3,0))</f>
        <v>.</v>
      </c>
      <c r="L1071" s="177">
        <f>VLOOKUP(I1071,'Price List, Weapons &amp; Items'!B:E,4,0)</f>
        <v>0</v>
      </c>
      <c r="M1071" s="247" t="s">
        <v>260</v>
      </c>
      <c r="N1071" s="247" t="s">
        <v>260</v>
      </c>
      <c r="O1071" s="543" t="str">
        <f>VLOOKUP($I1071,'Price List, Weapons &amp; Items'!B:G,6,0)</f>
        <v>.</v>
      </c>
      <c r="P1071" s="176" t="str">
        <f t="shared" si="212"/>
        <v>.</v>
      </c>
      <c r="Q1071" s="176" t="str">
        <f t="shared" si="213"/>
        <v>.</v>
      </c>
      <c r="R1071" s="176">
        <f t="shared" si="210"/>
        <v>2470000000</v>
      </c>
      <c r="S1071" s="176">
        <f>IF(AND(AD1071=1,R1071&lt;&gt;".")=TRUE,R1071/VLOOKUP(G1071,'Exchange Rates'!B:C,2,0),IF(R1071=".",".",""))</f>
        <v>2352380952.3809524</v>
      </c>
      <c r="T1071" s="176" t="str">
        <f>IF(AD1071=1,IF(AF1071="Value is not given at all",".",IF(AF1071="Value is given by the source",S1071,IF(AF1071="Value is calculated with prices",(IF(SUMIFS(Q:Q,A:A,A1071)&gt;0,SUMIFS(Q:Q,A:A,A1071),"."))/VLOOKUP("USD",'Exchange Rates'!B:C,2,0),"Error with coding"))),"")</f>
        <v>.</v>
      </c>
      <c r="U1071" s="15" t="s">
        <v>261</v>
      </c>
      <c r="V1071" s="304" t="s">
        <v>3062</v>
      </c>
      <c r="W1071" s="19" t="s">
        <v>260</v>
      </c>
      <c r="X1071" s="19" t="s">
        <v>260</v>
      </c>
      <c r="Y1071" s="19" t="s">
        <v>260</v>
      </c>
      <c r="Z1071" s="199">
        <v>0</v>
      </c>
      <c r="AA1071" s="199">
        <v>1</v>
      </c>
      <c r="AB1071" s="19" t="s">
        <v>260</v>
      </c>
      <c r="AC1071" s="544" t="str">
        <f>""</f>
        <v/>
      </c>
      <c r="AD1071" s="199">
        <v>1</v>
      </c>
      <c r="AE1071" s="199" t="s">
        <v>264</v>
      </c>
      <c r="AF1071" s="199" t="s">
        <v>265</v>
      </c>
      <c r="AG1071" s="199">
        <v>1</v>
      </c>
      <c r="AH1071" s="199">
        <v>12</v>
      </c>
      <c r="AI1071" s="199">
        <v>0</v>
      </c>
      <c r="AJ1071" s="181">
        <f>VLOOKUP($I1071,'Price List, Weapons &amp; Items'!B:F,5,0)</f>
        <v>0</v>
      </c>
      <c r="AK1071" s="181">
        <f t="shared" si="202"/>
        <v>0</v>
      </c>
      <c r="AL1071" s="181">
        <f t="shared" si="203"/>
        <v>0</v>
      </c>
      <c r="AM1071" s="181">
        <f t="shared" si="204"/>
        <v>0</v>
      </c>
      <c r="AN1071" s="180" t="str">
        <f>VLOOKUP($I1071,'Price List, Weapons &amp; Items'!B:L,COLUMN('Price List, Weapons &amp; Items'!$J$11)-1,0)</f>
        <v>.</v>
      </c>
      <c r="AO1071" s="180" t="str">
        <f>IF(I1071=".",".",VLOOKUP($I1071,'Price List, Weapons &amp; Items'!B:J,3,0))</f>
        <v>.</v>
      </c>
      <c r="AP1071" s="545" t="e">
        <f t="shared" ca="1" si="211"/>
        <v>#NAME?</v>
      </c>
      <c r="AQ1071" s="180" t="str">
        <f>VLOOKUP($I1071,'Price List, Weapons &amp; Items'!B:L,COLUMN('Price List, Weapons &amp; Items'!$L$11)-1,0)</f>
        <v>no price, 0 count</v>
      </c>
      <c r="AR1071" s="180">
        <f t="shared" si="205"/>
        <v>1</v>
      </c>
      <c r="AS1071" s="180">
        <f t="shared" si="206"/>
        <v>0</v>
      </c>
      <c r="AT1071" s="180">
        <f t="shared" si="207"/>
        <v>1</v>
      </c>
      <c r="AU1071" s="180" t="str">
        <f t="shared" si="208"/>
        <v>.</v>
      </c>
      <c r="AV1071" s="180" t="str">
        <f t="shared" si="209"/>
        <v>.</v>
      </c>
      <c r="AW1071" s="180">
        <f>IFERROR(VLOOKUP(B1071,'Share, Heavy Weapons to Ukraine'!B:J,COLUMN('Share, Heavy Weapons to Ukraine'!C1081)-1,0),0)</f>
        <v>1</v>
      </c>
      <c r="AX1071" s="180">
        <f>VLOOKUP('Bilateral Assistance, MAIN DATA'!B1071,'Country Summary'!B:F,COLUMN('Country Summary'!C1084)-1,FALSE)</f>
        <v>0</v>
      </c>
      <c r="AY1071" s="180" t="str">
        <f>IF(AND(AD1071=1,D1071="Military",H1071&lt;&gt;"Not given")=TRUE,IF(SUMIFS(P:P,A:A,A1071)&gt;0,ABS((SUMIFS(P:P,A:A,A1071)/VLOOKUP("USD",'Exchange Rates'!B:C,2,0)))/S1071,"."),".")</f>
        <v>.</v>
      </c>
      <c r="AZ1071" s="182" t="str">
        <f>IF(AND(AD1071=1,D1071="Military",H1071&lt;&gt;"Not given")=TRUE,IF(SUMIFS(P:P,A:A,A1071)&gt;0,IF((ABS((SUMIFS(P:P,A:A,A1071)/VLOOKUP("USD",'Exchange Rates'!B:C,2,0)))/S1071)&gt;1,(SUMIFS(P:P,A:A,A1071)-S1071)/S1071,(S1071-SUMIFS(P:P,A:A,A1071))/SUMIFS(P:P,A:A,A1071)),"."),".")</f>
        <v>.</v>
      </c>
      <c r="BA1071" s="182"/>
      <c r="BB1071" s="182"/>
      <c r="BC1071" s="182"/>
      <c r="BD1071" s="182"/>
      <c r="BE1071" s="182"/>
      <c r="BF1071" s="182"/>
      <c r="BG1071" s="182"/>
      <c r="BH1071" s="182"/>
      <c r="BI1071" s="182"/>
      <c r="BJ1071" s="182"/>
      <c r="BK1071" s="182"/>
      <c r="BL1071" s="182"/>
      <c r="BM1071" s="182"/>
      <c r="BN1071" s="182"/>
      <c r="BO1071" s="182"/>
      <c r="BP1071" s="182"/>
      <c r="BQ1071" s="182"/>
      <c r="BR1071" s="182"/>
      <c r="BS1071" s="182"/>
    </row>
    <row r="1072" spans="1:71" ht="15.9" customHeight="1" x14ac:dyDescent="0.3">
      <c r="A1072" s="5" t="s">
        <v>3065</v>
      </c>
      <c r="B1072" s="5" t="s">
        <v>3038</v>
      </c>
      <c r="C1072" s="174">
        <v>44635</v>
      </c>
      <c r="D1072" s="5" t="s">
        <v>285</v>
      </c>
      <c r="E1072" s="5" t="s">
        <v>1328</v>
      </c>
      <c r="F1072" s="175" t="s">
        <v>3066</v>
      </c>
      <c r="G1072" s="15" t="s">
        <v>346</v>
      </c>
      <c r="H1072" s="176">
        <v>9025000000</v>
      </c>
      <c r="I1072" s="17" t="s">
        <v>260</v>
      </c>
      <c r="J1072" s="113" t="str">
        <f>VLOOKUP($I1072,'Price List, Weapons &amp; Items'!B:C,2,0)</f>
        <v>.</v>
      </c>
      <c r="K1072" s="113" t="str">
        <f>IF(I1072=".",I1072,VLOOKUP($I1072,'Price List, Weapons &amp; Items'!B:D,3,0))</f>
        <v>.</v>
      </c>
      <c r="L1072" s="177">
        <f>VLOOKUP(I1072,'Price List, Weapons &amp; Items'!B:E,4,0)</f>
        <v>0</v>
      </c>
      <c r="M1072" s="542" t="s">
        <v>260</v>
      </c>
      <c r="N1072" s="542" t="s">
        <v>260</v>
      </c>
      <c r="O1072" s="543" t="str">
        <f>VLOOKUP($I1072,'Price List, Weapons &amp; Items'!B:G,6,0)</f>
        <v>.</v>
      </c>
      <c r="P1072" s="176" t="str">
        <f t="shared" ref="P1072" si="249">IF(TYPE(M1072)=1,IF(TYPE(O1072)=1,M1072*O1072,"No price"),".")</f>
        <v>.</v>
      </c>
      <c r="Q1072" s="176" t="str">
        <f t="shared" ref="Q1072" si="250">IF(TYPE(N1072)=1,IF(TYPE(O1072)=1,N1072*O1072,"No price"),".")</f>
        <v>.</v>
      </c>
      <c r="R1072" s="176">
        <f t="shared" si="210"/>
        <v>9025000000</v>
      </c>
      <c r="S1072" s="176">
        <f>IF(AND(AD1072=1,R1072&lt;&gt;".")=TRUE,R1072/VLOOKUP(G1072,'Exchange Rates'!B:C,2,0),IF(R1072=".",".",""))</f>
        <v>8595238095.2380943</v>
      </c>
      <c r="T1072" s="176">
        <f>IF(AD1072=1,IF(AF1072="Value is not given at all",".",IF(AF1072="Value is given by the source",S1072,IF(AF1072="Value is calculated with prices",(IF(SUMIFS(Q:Q,A:A,A1072)&gt;0,SUMIFS(Q:Q,A:A,A1072),"."))/VLOOKUP("USD",'Exchange Rates'!B:C,2,0),"Error with coding"))),"")</f>
        <v>8595238095.2380943</v>
      </c>
      <c r="U1072" s="15" t="s">
        <v>261</v>
      </c>
      <c r="V1072" s="667" t="s">
        <v>3044</v>
      </c>
      <c r="W1072" s="667" t="s">
        <v>3047</v>
      </c>
      <c r="X1072" s="667" t="s">
        <v>3067</v>
      </c>
      <c r="Y1072" s="175" t="s">
        <v>260</v>
      </c>
      <c r="Z1072" s="15">
        <v>0</v>
      </c>
      <c r="AA1072" s="180">
        <v>0</v>
      </c>
      <c r="AB1072" s="667" t="s">
        <v>3067</v>
      </c>
      <c r="AC1072" s="544" t="str">
        <f>""</f>
        <v/>
      </c>
      <c r="AD1072" s="181">
        <v>1</v>
      </c>
      <c r="AE1072" s="586" t="s">
        <v>264</v>
      </c>
      <c r="AF1072" s="181" t="s">
        <v>264</v>
      </c>
      <c r="AG1072" s="181">
        <v>1</v>
      </c>
      <c r="AH1072" s="181">
        <v>3</v>
      </c>
      <c r="AI1072" s="181">
        <v>0</v>
      </c>
      <c r="AJ1072" s="181">
        <f>VLOOKUP($I1072,'Price List, Weapons &amp; Items'!B:F,5,0)</f>
        <v>0</v>
      </c>
      <c r="AK1072" s="181">
        <f t="shared" si="202"/>
        <v>0</v>
      </c>
      <c r="AL1072" s="181">
        <f t="shared" si="203"/>
        <v>0</v>
      </c>
      <c r="AM1072" s="181">
        <f t="shared" si="204"/>
        <v>0</v>
      </c>
      <c r="AN1072" s="180" t="str">
        <f>VLOOKUP($I1072,'Price List, Weapons &amp; Items'!B:L,COLUMN('Price List, Weapons &amp; Items'!$J$11)-1,0)</f>
        <v>.</v>
      </c>
      <c r="AO1072" s="180" t="str">
        <f>IF(I1072=".",".",VLOOKUP($I1072,'Price List, Weapons &amp; Items'!B:J,3,0))</f>
        <v>.</v>
      </c>
      <c r="AP1072" s="545" t="e">
        <f t="shared" ca="1" si="211"/>
        <v>#NAME?</v>
      </c>
      <c r="AQ1072" s="180" t="str">
        <f>VLOOKUP($I1072,'Price List, Weapons &amp; Items'!B:L,COLUMN('Price List, Weapons &amp; Items'!$L$11)-1,0)</f>
        <v>no price, 0 count</v>
      </c>
      <c r="AR1072" s="180">
        <f t="shared" si="205"/>
        <v>1</v>
      </c>
      <c r="AS1072" s="180">
        <f t="shared" si="206"/>
        <v>1</v>
      </c>
      <c r="AT1072" s="180">
        <f t="shared" si="207"/>
        <v>1</v>
      </c>
      <c r="AU1072" s="180" t="str">
        <f t="shared" si="208"/>
        <v>.</v>
      </c>
      <c r="AV1072" s="180" t="str">
        <f t="shared" si="209"/>
        <v>.</v>
      </c>
      <c r="AW1072" s="180">
        <f>IFERROR(VLOOKUP(B1072,'Share, Heavy Weapons to Ukraine'!B:J,COLUMN('Share, Heavy Weapons to Ukraine'!C1082)-1,0),0)</f>
        <v>1</v>
      </c>
      <c r="AX1072" s="180">
        <f>VLOOKUP('Bilateral Assistance, MAIN DATA'!B1072,'Country Summary'!B:F,COLUMN('Country Summary'!C1085)-1,FALSE)</f>
        <v>0</v>
      </c>
      <c r="AY1072" s="180">
        <f>IF(AND(AD1072=1,D1072="Military",H1072&lt;&gt;"Not given")=TRUE,IF(SUMIFS(P:P,A:A,A1072)&gt;0,ABS((SUMIFS(P:P,A:A,A1072)/VLOOKUP("USD",'Exchange Rates'!B:C,2,0)))/S1072,"."),".")</f>
        <v>0.83185624414943127</v>
      </c>
      <c r="AZ1072" s="182">
        <f>IF(AND(AD1072=1,D1072="Military",H1072&lt;&gt;"Not given")=TRUE,IF(SUMIFS(P:P,A:A,A1072)&gt;0,IF((ABS((SUMIFS(P:P,A:A,A1072)/VLOOKUP("USD",'Exchange Rates'!B:C,2,0)))/S1072)&gt;1,(SUMIFS(P:P,A:A,A1072)-S1072)/S1072,(S1072-SUMIFS(P:P,A:A,A1072))/SUMIFS(P:P,A:A,A1072)),"."),".")</f>
        <v>0.14488646214918652</v>
      </c>
      <c r="BA1072" s="182"/>
      <c r="BB1072" s="182"/>
      <c r="BC1072" s="182"/>
      <c r="BD1072" s="182"/>
      <c r="BE1072" s="182"/>
      <c r="BF1072" s="182"/>
      <c r="BG1072" s="182"/>
      <c r="BH1072" s="182"/>
      <c r="BI1072" s="182"/>
      <c r="BJ1072" s="182"/>
      <c r="BK1072" s="182"/>
      <c r="BL1072" s="182"/>
      <c r="BM1072" s="182"/>
      <c r="BN1072" s="182"/>
      <c r="BO1072" s="182"/>
      <c r="BP1072" s="182"/>
      <c r="BQ1072" s="182"/>
      <c r="BR1072" s="182"/>
      <c r="BS1072" s="182"/>
    </row>
    <row r="1073" spans="1:71" ht="15.9" customHeight="1" x14ac:dyDescent="0.3">
      <c r="A1073" s="5" t="s">
        <v>3065</v>
      </c>
      <c r="B1073" s="5" t="s">
        <v>3038</v>
      </c>
      <c r="C1073" s="174">
        <v>44617</v>
      </c>
      <c r="D1073" s="5" t="s">
        <v>285</v>
      </c>
      <c r="E1073" s="5" t="s">
        <v>1328</v>
      </c>
      <c r="F1073" s="175" t="s">
        <v>3068</v>
      </c>
      <c r="G1073" s="15" t="s">
        <v>346</v>
      </c>
      <c r="H1073" s="176">
        <v>350000000</v>
      </c>
      <c r="I1073" s="17" t="s">
        <v>260</v>
      </c>
      <c r="J1073" s="113" t="str">
        <f>VLOOKUP($I1073,'Price List, Weapons &amp; Items'!B:C,2,0)</f>
        <v>.</v>
      </c>
      <c r="K1073" s="113" t="str">
        <f>IF(I1073=".",I1073,VLOOKUP($I1073,'Price List, Weapons &amp; Items'!B:D,3,0))</f>
        <v>.</v>
      </c>
      <c r="L1073" s="177">
        <f>VLOOKUP(I1073,'Price List, Weapons &amp; Items'!B:E,4,0)</f>
        <v>0</v>
      </c>
      <c r="M1073" s="542" t="s">
        <v>260</v>
      </c>
      <c r="N1073" s="542" t="s">
        <v>260</v>
      </c>
      <c r="O1073" s="543" t="str">
        <f>VLOOKUP($I1073,'Price List, Weapons &amp; Items'!B:G,6,0)</f>
        <v>.</v>
      </c>
      <c r="P1073" s="176" t="str">
        <f t="shared" si="212"/>
        <v>.</v>
      </c>
      <c r="Q1073" s="176" t="str">
        <f t="shared" si="213"/>
        <v>.</v>
      </c>
      <c r="R1073" s="176"/>
      <c r="S1073" s="176" t="str">
        <f>IF(AND(AD1073=1,R1073&lt;&gt;".")=TRUE,R1073/VLOOKUP(G1073,'Exchange Rates'!B:C,2,0),IF(R1073=".",".",""))</f>
        <v/>
      </c>
      <c r="T1073" s="176" t="str">
        <f>IF(AD1073=1,IF(AF1073="Value is not given at all",".",IF(AF1073="Value is given by the source",S1073,IF(AF1073="Value is calculated with prices",(IF(SUMIFS(Q:Q,A:A,A1073)&gt;0,SUMIFS(Q:Q,A:A,A1073),"."))/VLOOKUP("USD",'Exchange Rates'!B:C,2,0),"Error with coding"))),"")</f>
        <v/>
      </c>
      <c r="U1073" s="15" t="s">
        <v>261</v>
      </c>
      <c r="V1073" s="300" t="s">
        <v>3069</v>
      </c>
      <c r="W1073" s="667" t="s">
        <v>3044</v>
      </c>
      <c r="X1073" s="667" t="s">
        <v>3047</v>
      </c>
      <c r="Y1073" s="667" t="s">
        <v>3067</v>
      </c>
      <c r="Z1073" s="15">
        <v>0</v>
      </c>
      <c r="AA1073" s="180">
        <v>0</v>
      </c>
      <c r="AB1073" s="667" t="s">
        <v>3070</v>
      </c>
      <c r="AC1073" s="544" t="str">
        <f>""</f>
        <v/>
      </c>
      <c r="AD1073" s="181">
        <v>0</v>
      </c>
      <c r="AE1073" s="586" t="s">
        <v>264</v>
      </c>
      <c r="AF1073" s="181" t="s">
        <v>264</v>
      </c>
      <c r="AG1073" s="181">
        <v>1</v>
      </c>
      <c r="AH1073" s="181">
        <v>2</v>
      </c>
      <c r="AI1073" s="181">
        <v>0</v>
      </c>
      <c r="AJ1073" s="181">
        <f>VLOOKUP($I1073,'Price List, Weapons &amp; Items'!B:F,5,0)</f>
        <v>0</v>
      </c>
      <c r="AK1073" s="181">
        <f t="shared" si="202"/>
        <v>0</v>
      </c>
      <c r="AL1073" s="181">
        <f t="shared" si="203"/>
        <v>0</v>
      </c>
      <c r="AM1073" s="181">
        <f t="shared" si="204"/>
        <v>0</v>
      </c>
      <c r="AN1073" s="180" t="str">
        <f>VLOOKUP($I1073,'Price List, Weapons &amp; Items'!B:L,COLUMN('Price List, Weapons &amp; Items'!$J$11)-1,0)</f>
        <v>.</v>
      </c>
      <c r="AO1073" s="180" t="str">
        <f>IF(I1073=".",".",VLOOKUP($I1073,'Price List, Weapons &amp; Items'!B:J,3,0))</f>
        <v>.</v>
      </c>
      <c r="AP1073" s="545" t="str">
        <f t="shared" ca="1" si="211"/>
        <v/>
      </c>
      <c r="AQ1073" s="180" t="str">
        <f>VLOOKUP($I1073,'Price List, Weapons &amp; Items'!B:L,COLUMN('Price List, Weapons &amp; Items'!$L$11)-1,0)</f>
        <v>no price, 0 count</v>
      </c>
      <c r="AR1073" s="180">
        <f t="shared" si="205"/>
        <v>1</v>
      </c>
      <c r="AS1073" s="180">
        <f t="shared" si="206"/>
        <v>1</v>
      </c>
      <c r="AT1073" s="180">
        <f t="shared" si="207"/>
        <v>1</v>
      </c>
      <c r="AU1073" s="180" t="str">
        <f t="shared" si="208"/>
        <v>.</v>
      </c>
      <c r="AV1073" s="180" t="str">
        <f t="shared" si="209"/>
        <v>.</v>
      </c>
      <c r="AW1073" s="180">
        <f>IFERROR(VLOOKUP(B1073,'Share, Heavy Weapons to Ukraine'!B:J,COLUMN('Share, Heavy Weapons to Ukraine'!C1083)-1,0),0)</f>
        <v>1</v>
      </c>
      <c r="AX1073" s="180">
        <f>VLOOKUP('Bilateral Assistance, MAIN DATA'!B1073,'Country Summary'!B:F,COLUMN('Country Summary'!C1086)-1,FALSE)</f>
        <v>0</v>
      </c>
      <c r="AY1073" s="180" t="str">
        <f>IF(AND(AD1073=1,D1073="Military",H1073&lt;&gt;"Not given")=TRUE,IF(SUMIFS(P:P,A:A,A1073)&gt;0,ABS((SUMIFS(P:P,A:A,A1073)/VLOOKUP("USD",'Exchange Rates'!B:C,2,0)))/S1073,"."),".")</f>
        <v>.</v>
      </c>
      <c r="AZ1073" s="182" t="str">
        <f>IF(AND(AD1073=1,D1073="Military",H1073&lt;&gt;"Not given")=TRUE,IF(SUMIFS(P:P,A:A,A1073)&gt;0,IF((ABS((SUMIFS(P:P,A:A,A1073)/VLOOKUP("USD",'Exchange Rates'!B:C,2,0)))/S1073)&gt;1,(SUMIFS(P:P,A:A,A1073)-S1073)/S1073,(S1073-SUMIFS(P:P,A:A,A1073))/SUMIFS(P:P,A:A,A1073)),"."),".")</f>
        <v>.</v>
      </c>
      <c r="BA1073" s="182"/>
      <c r="BB1073" s="182"/>
      <c r="BC1073" s="182"/>
      <c r="BD1073" s="182"/>
      <c r="BE1073" s="182"/>
      <c r="BF1073" s="182"/>
      <c r="BG1073" s="182"/>
      <c r="BH1073" s="182"/>
      <c r="BI1073" s="182"/>
      <c r="BJ1073" s="182"/>
      <c r="BK1073" s="182"/>
      <c r="BL1073" s="182"/>
      <c r="BM1073" s="182"/>
      <c r="BN1073" s="182"/>
      <c r="BO1073" s="182"/>
      <c r="BP1073" s="182"/>
      <c r="BQ1073" s="182"/>
      <c r="BR1073" s="182"/>
      <c r="BS1073" s="182"/>
    </row>
    <row r="1074" spans="1:71" ht="15.9" customHeight="1" x14ac:dyDescent="0.3">
      <c r="A1074" s="5" t="s">
        <v>3065</v>
      </c>
      <c r="B1074" s="5" t="s">
        <v>3038</v>
      </c>
      <c r="C1074" s="174">
        <v>44632</v>
      </c>
      <c r="D1074" s="5" t="s">
        <v>285</v>
      </c>
      <c r="E1074" s="5" t="s">
        <v>1328</v>
      </c>
      <c r="F1074" s="175" t="s">
        <v>3071</v>
      </c>
      <c r="G1074" s="15" t="s">
        <v>346</v>
      </c>
      <c r="H1074" s="176">
        <v>200000000</v>
      </c>
      <c r="I1074" s="17" t="s">
        <v>260</v>
      </c>
      <c r="J1074" s="113" t="str">
        <f>VLOOKUP($I1074,'Price List, Weapons &amp; Items'!B:C,2,0)</f>
        <v>.</v>
      </c>
      <c r="K1074" s="113" t="str">
        <f>IF(I1074=".",I1074,VLOOKUP($I1074,'Price List, Weapons &amp; Items'!B:D,3,0))</f>
        <v>.</v>
      </c>
      <c r="L1074" s="177">
        <f>VLOOKUP(I1074,'Price List, Weapons &amp; Items'!B:E,4,0)</f>
        <v>0</v>
      </c>
      <c r="M1074" s="542" t="s">
        <v>260</v>
      </c>
      <c r="N1074" s="542" t="s">
        <v>260</v>
      </c>
      <c r="O1074" s="543" t="str">
        <f>VLOOKUP($I1074,'Price List, Weapons &amp; Items'!B:G,6,0)</f>
        <v>.</v>
      </c>
      <c r="P1074" s="176" t="str">
        <f t="shared" si="212"/>
        <v>.</v>
      </c>
      <c r="Q1074" s="176" t="str">
        <f t="shared" si="213"/>
        <v>.</v>
      </c>
      <c r="R1074" s="176" t="str">
        <f t="shared" ref="R1074:R1121" si="251">IF(AD1074=1,IF(H1074&lt;&gt;"Not given",H1074,IF(TYPE(H1074)=2,IF(SUMIFS(P:P,A:A,A1074)&gt;0,SUMIFS(P:P,A:A,A1074),"."),"Format error")),"")</f>
        <v/>
      </c>
      <c r="S1074" s="176" t="str">
        <f>IF(AND(AD1074=1,R1074&lt;&gt;".")=TRUE,R1074/VLOOKUP(G1074,'Exchange Rates'!B:C,2,0),IF(R1074=".",".",""))</f>
        <v/>
      </c>
      <c r="T1074" s="176" t="str">
        <f>IF(AD1074=1,IF(AF1074="Value is not given at all",".",IF(AF1074="Value is given by the source",S1074,IF(AF1074="Value is calculated with prices",(IF(SUMIFS(Q:Q,A:A,A1074)&gt;0,SUMIFS(Q:Q,A:A,A1074),"."))/VLOOKUP("USD",'Exchange Rates'!B:C,2,0),"Error with coding"))),"")</f>
        <v/>
      </c>
      <c r="U1074" s="15" t="s">
        <v>261</v>
      </c>
      <c r="V1074" s="300" t="s">
        <v>3069</v>
      </c>
      <c r="W1074" s="667" t="s">
        <v>3044</v>
      </c>
      <c r="X1074" s="667" t="s">
        <v>3047</v>
      </c>
      <c r="Y1074" s="667" t="s">
        <v>3070</v>
      </c>
      <c r="Z1074" s="15">
        <v>0</v>
      </c>
      <c r="AA1074" s="180">
        <v>0</v>
      </c>
      <c r="AB1074" s="667" t="s">
        <v>3072</v>
      </c>
      <c r="AC1074" s="544" t="str">
        <f>""</f>
        <v/>
      </c>
      <c r="AD1074" s="181">
        <v>0</v>
      </c>
      <c r="AE1074" s="586" t="s">
        <v>264</v>
      </c>
      <c r="AF1074" s="181" t="s">
        <v>264</v>
      </c>
      <c r="AG1074" s="181">
        <v>1</v>
      </c>
      <c r="AH1074" s="181">
        <v>3</v>
      </c>
      <c r="AI1074" s="181">
        <v>0</v>
      </c>
      <c r="AJ1074" s="181">
        <f>VLOOKUP($I1074,'Price List, Weapons &amp; Items'!B:F,5,0)</f>
        <v>0</v>
      </c>
      <c r="AK1074" s="181">
        <f t="shared" si="202"/>
        <v>0</v>
      </c>
      <c r="AL1074" s="181">
        <f t="shared" si="203"/>
        <v>0</v>
      </c>
      <c r="AM1074" s="181">
        <f t="shared" si="204"/>
        <v>0</v>
      </c>
      <c r="AN1074" s="180" t="str">
        <f>VLOOKUP($I1074,'Price List, Weapons &amp; Items'!B:L,COLUMN('Price List, Weapons &amp; Items'!$J$11)-1,0)</f>
        <v>.</v>
      </c>
      <c r="AO1074" s="180" t="str">
        <f>IF(I1074=".",".",VLOOKUP($I1074,'Price List, Weapons &amp; Items'!B:J,3,0))</f>
        <v>.</v>
      </c>
      <c r="AP1074" s="545" t="str">
        <f t="shared" ca="1" si="211"/>
        <v/>
      </c>
      <c r="AQ1074" s="180" t="str">
        <f>VLOOKUP($I1074,'Price List, Weapons &amp; Items'!B:L,COLUMN('Price List, Weapons &amp; Items'!$L$11)-1,0)</f>
        <v>no price, 0 count</v>
      </c>
      <c r="AR1074" s="180">
        <f t="shared" si="205"/>
        <v>1</v>
      </c>
      <c r="AS1074" s="180">
        <f t="shared" si="206"/>
        <v>1</v>
      </c>
      <c r="AT1074" s="180">
        <f t="shared" si="207"/>
        <v>1</v>
      </c>
      <c r="AU1074" s="180" t="str">
        <f t="shared" si="208"/>
        <v>.</v>
      </c>
      <c r="AV1074" s="180" t="str">
        <f t="shared" si="209"/>
        <v>.</v>
      </c>
      <c r="AW1074" s="180">
        <f>IFERROR(VLOOKUP(B1074,'Share, Heavy Weapons to Ukraine'!B:J,COLUMN('Share, Heavy Weapons to Ukraine'!C1084)-1,0),0)</f>
        <v>1</v>
      </c>
      <c r="AX1074" s="180">
        <f>VLOOKUP('Bilateral Assistance, MAIN DATA'!B1074,'Country Summary'!B:F,COLUMN('Country Summary'!C1087)-1,FALSE)</f>
        <v>0</v>
      </c>
      <c r="AY1074" s="180" t="str">
        <f>IF(AND(AD1074=1,D1074="Military",H1074&lt;&gt;"Not given")=TRUE,IF(SUMIFS(P:P,A:A,A1074)&gt;0,ABS((SUMIFS(P:P,A:A,A1074)/VLOOKUP("USD",'Exchange Rates'!B:C,2,0)))/S1074,"."),".")</f>
        <v>.</v>
      </c>
      <c r="AZ1074" s="182" t="str">
        <f>IF(AND(AD1074=1,D1074="Military",H1074&lt;&gt;"Not given")=TRUE,IF(SUMIFS(P:P,A:A,A1074)&gt;0,IF((ABS((SUMIFS(P:P,A:A,A1074)/VLOOKUP("USD",'Exchange Rates'!B:C,2,0)))/S1074)&gt;1,(SUMIFS(P:P,A:A,A1074)-S1074)/S1074,(S1074-SUMIFS(P:P,A:A,A1074))/SUMIFS(P:P,A:A,A1074)),"."),".")</f>
        <v>.</v>
      </c>
      <c r="BA1074" s="182"/>
      <c r="BB1074" s="182"/>
      <c r="BC1074" s="182"/>
      <c r="BD1074" s="182"/>
      <c r="BE1074" s="182"/>
      <c r="BF1074" s="182"/>
      <c r="BG1074" s="182"/>
      <c r="BH1074" s="182"/>
      <c r="BI1074" s="182"/>
      <c r="BJ1074" s="182"/>
      <c r="BK1074" s="182"/>
      <c r="BL1074" s="182"/>
      <c r="BM1074" s="182"/>
      <c r="BN1074" s="182"/>
      <c r="BO1074" s="182"/>
      <c r="BP1074" s="182"/>
      <c r="BQ1074" s="182"/>
      <c r="BR1074" s="182"/>
      <c r="BS1074" s="182"/>
    </row>
    <row r="1075" spans="1:71" ht="15.9" customHeight="1" x14ac:dyDescent="0.3">
      <c r="A1075" s="5" t="s">
        <v>3065</v>
      </c>
      <c r="B1075" s="5" t="s">
        <v>3038</v>
      </c>
      <c r="C1075" s="174">
        <v>44636</v>
      </c>
      <c r="D1075" s="5" t="s">
        <v>285</v>
      </c>
      <c r="E1075" s="5" t="s">
        <v>1328</v>
      </c>
      <c r="F1075" s="175" t="s">
        <v>3073</v>
      </c>
      <c r="G1075" s="15" t="s">
        <v>346</v>
      </c>
      <c r="H1075" s="176">
        <v>800000000</v>
      </c>
      <c r="I1075" s="17" t="s">
        <v>895</v>
      </c>
      <c r="J1075" s="113" t="str">
        <f>VLOOKUP($I1075,'Price List, Weapons &amp; Items'!B:C,2,0)</f>
        <v>Portable defence system</v>
      </c>
      <c r="K1075" s="113" t="str">
        <f>IF(I1075=".",I1075,VLOOKUP($I1075,'Price List, Weapons &amp; Items'!B:D,3,0))</f>
        <v>MANPADS</v>
      </c>
      <c r="L1075" s="177">
        <f>VLOOKUP(I1075,'Price List, Weapons &amp; Items'!B:E,4,0)</f>
        <v>0</v>
      </c>
      <c r="M1075" s="542">
        <v>800</v>
      </c>
      <c r="N1075" s="542">
        <f>M1075</f>
        <v>800</v>
      </c>
      <c r="O1075" s="543">
        <f>VLOOKUP($I1075,'Price List, Weapons &amp; Items'!B:G,6,0)</f>
        <v>119000</v>
      </c>
      <c r="P1075" s="176">
        <f t="shared" si="212"/>
        <v>95200000</v>
      </c>
      <c r="Q1075" s="176">
        <f t="shared" si="213"/>
        <v>95200000</v>
      </c>
      <c r="R1075" s="176" t="str">
        <f t="shared" si="251"/>
        <v/>
      </c>
      <c r="S1075" s="176" t="str">
        <f>IF(AND(AD1075=1,R1075&lt;&gt;".")=TRUE,R1075/VLOOKUP(G1075,'Exchange Rates'!B:C,2,0),IF(R1075=".",".",""))</f>
        <v/>
      </c>
      <c r="T1075" s="176" t="str">
        <f>IF(AD1075=1,IF(AF1075="Value is not given at all",".",IF(AF1075="Value is given by the source",S1075,IF(AF1075="Value is calculated with prices",(IF(SUMIFS(Q:Q,A:A,A1075)&gt;0,SUMIFS(Q:Q,A:A,A1075),"."))/VLOOKUP("USD",'Exchange Rates'!B:C,2,0),"Error with coding"))),"")</f>
        <v/>
      </c>
      <c r="U1075" s="15" t="s">
        <v>261</v>
      </c>
      <c r="V1075" s="547" t="s">
        <v>3069</v>
      </c>
      <c r="W1075" s="667" t="s">
        <v>3044</v>
      </c>
      <c r="X1075" s="667" t="s">
        <v>3047</v>
      </c>
      <c r="Y1075" s="667" t="s">
        <v>3072</v>
      </c>
      <c r="Z1075" s="15">
        <v>0</v>
      </c>
      <c r="AA1075" s="180">
        <v>0</v>
      </c>
      <c r="AB1075" s="667" t="s">
        <v>3074</v>
      </c>
      <c r="AC1075" s="544" t="str">
        <f>""</f>
        <v/>
      </c>
      <c r="AD1075" s="181">
        <v>0</v>
      </c>
      <c r="AE1075" s="586" t="s">
        <v>264</v>
      </c>
      <c r="AF1075" s="181" t="s">
        <v>264</v>
      </c>
      <c r="AG1075" s="181">
        <v>1</v>
      </c>
      <c r="AH1075" s="181">
        <v>3</v>
      </c>
      <c r="AI1075" s="181">
        <v>0</v>
      </c>
      <c r="AJ1075" s="181">
        <f>VLOOKUP($I1075,'Price List, Weapons &amp; Items'!B:F,5,0)</f>
        <v>0</v>
      </c>
      <c r="AK1075" s="181">
        <f t="shared" ref="AK1075:AK1138" si="252">IF(AND(AJ1075=1,M1075="undisclosed")=TRUE,1,0)</f>
        <v>0</v>
      </c>
      <c r="AL1075" s="181">
        <f t="shared" ref="AL1075:AL1138" si="253">IF(AND(AJ1075=1,N1075="undisclosed")=TRUE,1,0)</f>
        <v>0</v>
      </c>
      <c r="AM1075" s="181">
        <f t="shared" ref="AM1075:AM1138" si="254">IFERROR(IF(SEARCH("ammuni",I1075,1)&gt;0,1,0),0)</f>
        <v>0</v>
      </c>
      <c r="AN1075" s="180" t="str">
        <f>VLOOKUP($I1075,'Price List, Weapons &amp; Items'!B:L,COLUMN('Price List, Weapons &amp; Items'!$J$11)-1,0)</f>
        <v>Miscellaneous</v>
      </c>
      <c r="AO1075" s="180" t="str">
        <f>IF(I1075=".",".",VLOOKUP($I1075,'Price List, Weapons &amp; Items'!B:J,3,0))</f>
        <v>MANPADS</v>
      </c>
      <c r="AP1075" s="545" t="str">
        <f t="shared" ca="1" si="211"/>
        <v/>
      </c>
      <c r="AQ1075" s="180">
        <f>VLOOKUP($I1075,'Price List, Weapons &amp; Items'!B:L,COLUMN('Price List, Weapons &amp; Items'!$L$11)-1,0)</f>
        <v>2</v>
      </c>
      <c r="AR1075" s="180">
        <f t="shared" ref="AR1075:AR1138" si="255">IF(U1075="Yes",1,0)</f>
        <v>1</v>
      </c>
      <c r="AS1075" s="180">
        <f t="shared" ref="AS1075:AS1138" si="256">IF(D1075="Military",IF(OR(IFERROR(SEARCH("equipment",E1075,1),0)&gt;0,IFERROR(SEARCH("weapons",E1075,1),0)&gt;0),1,0),0)</f>
        <v>1</v>
      </c>
      <c r="AT1075" s="180">
        <f t="shared" si="207"/>
        <v>1</v>
      </c>
      <c r="AU1075" s="180" t="str">
        <f t="shared" si="208"/>
        <v>.</v>
      </c>
      <c r="AV1075" s="180" t="str">
        <f t="shared" si="209"/>
        <v>.</v>
      </c>
      <c r="AW1075" s="180">
        <f>IFERROR(VLOOKUP(B1075,'Share, Heavy Weapons to Ukraine'!B:J,COLUMN('Share, Heavy Weapons to Ukraine'!C1085)-1,0),0)</f>
        <v>1</v>
      </c>
      <c r="AX1075" s="180">
        <f>VLOOKUP('Bilateral Assistance, MAIN DATA'!B1075,'Country Summary'!B:F,COLUMN('Country Summary'!C1088)-1,FALSE)</f>
        <v>0</v>
      </c>
      <c r="AY1075" s="180" t="str">
        <f>IF(AND(AD1075=1,D1075="Military",H1075&lt;&gt;"Not given")=TRUE,IF(SUMIFS(P:P,A:A,A1075)&gt;0,ABS((SUMIFS(P:P,A:A,A1075)/VLOOKUP("USD",'Exchange Rates'!B:C,2,0)))/S1075,"."),".")</f>
        <v>.</v>
      </c>
      <c r="AZ1075" s="182" t="str">
        <f>IF(AND(AD1075=1,D1075="Military",H1075&lt;&gt;"Not given")=TRUE,IF(SUMIFS(P:P,A:A,A1075)&gt;0,IF((ABS((SUMIFS(P:P,A:A,A1075)/VLOOKUP("USD",'Exchange Rates'!B:C,2,0)))/S1075)&gt;1,(SUMIFS(P:P,A:A,A1075)-S1075)/S1075,(S1075-SUMIFS(P:P,A:A,A1075))/SUMIFS(P:P,A:A,A1075)),"."),".")</f>
        <v>.</v>
      </c>
      <c r="BA1075" s="182"/>
      <c r="BB1075" s="182"/>
      <c r="BC1075" s="182"/>
      <c r="BD1075" s="182"/>
      <c r="BE1075" s="182"/>
      <c r="BF1075" s="182"/>
      <c r="BG1075" s="182"/>
      <c r="BH1075" s="182"/>
      <c r="BI1075" s="182"/>
      <c r="BJ1075" s="182"/>
      <c r="BK1075" s="182"/>
      <c r="BL1075" s="182"/>
      <c r="BM1075" s="182"/>
      <c r="BN1075" s="182"/>
      <c r="BO1075" s="182"/>
      <c r="BP1075" s="182"/>
      <c r="BQ1075" s="182"/>
      <c r="BR1075" s="182"/>
      <c r="BS1075" s="182"/>
    </row>
    <row r="1076" spans="1:71" ht="15.9" customHeight="1" x14ac:dyDescent="0.3">
      <c r="A1076" s="5" t="s">
        <v>3065</v>
      </c>
      <c r="B1076" s="5" t="s">
        <v>3038</v>
      </c>
      <c r="C1076" s="174">
        <v>44636</v>
      </c>
      <c r="D1076" s="5" t="s">
        <v>285</v>
      </c>
      <c r="E1076" s="5" t="s">
        <v>1328</v>
      </c>
      <c r="F1076" s="175" t="s">
        <v>3075</v>
      </c>
      <c r="G1076" s="15" t="s">
        <v>346</v>
      </c>
      <c r="H1076" s="176">
        <v>800000000</v>
      </c>
      <c r="I1076" s="17" t="s">
        <v>3076</v>
      </c>
      <c r="J1076" s="113" t="str">
        <f>VLOOKUP($I1076,'Price List, Weapons &amp; Items'!B:C,2,0)</f>
        <v>Portable defence system</v>
      </c>
      <c r="K1076" s="113" t="str">
        <f>IF(I1076=".",I1076,VLOOKUP($I1076,'Price List, Weapons &amp; Items'!B:D,3,0))</f>
        <v>Light Anti-armor Weapon (LAW)</v>
      </c>
      <c r="L1076" s="177">
        <f>VLOOKUP(I1076,'Price List, Weapons &amp; Items'!B:E,4,0)</f>
        <v>0</v>
      </c>
      <c r="M1076" s="542">
        <v>2000</v>
      </c>
      <c r="N1076" s="542">
        <f>M1076</f>
        <v>2000</v>
      </c>
      <c r="O1076" s="543">
        <f>VLOOKUP($I1076,'Price List, Weapons &amp; Items'!B:G,6,0)</f>
        <v>256000</v>
      </c>
      <c r="P1076" s="176">
        <f t="shared" si="212"/>
        <v>512000000</v>
      </c>
      <c r="Q1076" s="176">
        <f t="shared" si="213"/>
        <v>512000000</v>
      </c>
      <c r="R1076" s="176" t="str">
        <f t="shared" si="251"/>
        <v/>
      </c>
      <c r="S1076" s="176" t="str">
        <f>IF(AND(AD1076=1,R1076&lt;&gt;".")=TRUE,R1076/VLOOKUP(G1076,'Exchange Rates'!B:C,2,0),IF(R1076=".",".",""))</f>
        <v/>
      </c>
      <c r="T1076" s="176" t="str">
        <f>IF(AD1076=1,IF(AF1076="Value is not given at all",".",IF(AF1076="Value is given by the source",S1076,IF(AF1076="Value is calculated with prices",(IF(SUMIFS(Q:Q,A:A,A1076)&gt;0,SUMIFS(Q:Q,A:A,A1076),"."))/VLOOKUP("USD",'Exchange Rates'!B:C,2,0),"Error with coding"))),"")</f>
        <v/>
      </c>
      <c r="U1076" s="15" t="s">
        <v>261</v>
      </c>
      <c r="V1076" s="547" t="s">
        <v>3069</v>
      </c>
      <c r="W1076" s="667" t="s">
        <v>3044</v>
      </c>
      <c r="X1076" s="667" t="s">
        <v>3047</v>
      </c>
      <c r="Y1076" s="667" t="s">
        <v>3074</v>
      </c>
      <c r="Z1076" s="15">
        <v>0</v>
      </c>
      <c r="AA1076" s="180">
        <v>0</v>
      </c>
      <c r="AB1076" s="667" t="s">
        <v>3077</v>
      </c>
      <c r="AC1076" s="544" t="str">
        <f>""</f>
        <v/>
      </c>
      <c r="AD1076" s="181">
        <v>0</v>
      </c>
      <c r="AE1076" s="586" t="s">
        <v>264</v>
      </c>
      <c r="AF1076" s="181" t="s">
        <v>264</v>
      </c>
      <c r="AG1076" s="181">
        <v>1</v>
      </c>
      <c r="AH1076" s="181">
        <v>3</v>
      </c>
      <c r="AI1076" s="181">
        <v>0</v>
      </c>
      <c r="AJ1076" s="181">
        <f>VLOOKUP($I1076,'Price List, Weapons &amp; Items'!B:F,5,0)</f>
        <v>0</v>
      </c>
      <c r="AK1076" s="181">
        <f t="shared" si="252"/>
        <v>0</v>
      </c>
      <c r="AL1076" s="181">
        <f t="shared" si="253"/>
        <v>0</v>
      </c>
      <c r="AM1076" s="181">
        <f t="shared" si="254"/>
        <v>0</v>
      </c>
      <c r="AN1076" s="180" t="str">
        <f>VLOOKUP($I1076,'Price List, Weapons &amp; Items'!B:L,COLUMN('Price List, Weapons &amp; Items'!$J$11)-1,0)</f>
        <v>Government information</v>
      </c>
      <c r="AO1076" s="180" t="str">
        <f>IF(I1076=".",".",VLOOKUP($I1076,'Price List, Weapons &amp; Items'!B:J,3,0))</f>
        <v>Light Anti-armor Weapon (LAW)</v>
      </c>
      <c r="AP1076" s="545" t="str">
        <f t="shared" ca="1" si="211"/>
        <v/>
      </c>
      <c r="AQ1076" s="180">
        <f>VLOOKUP($I1076,'Price List, Weapons &amp; Items'!B:L,COLUMN('Price List, Weapons &amp; Items'!$L$11)-1,0)</f>
        <v>2</v>
      </c>
      <c r="AR1076" s="180">
        <f t="shared" si="255"/>
        <v>1</v>
      </c>
      <c r="AS1076" s="180">
        <f t="shared" si="256"/>
        <v>1</v>
      </c>
      <c r="AT1076" s="180">
        <f t="shared" si="207"/>
        <v>1</v>
      </c>
      <c r="AU1076" s="180" t="s">
        <v>260</v>
      </c>
      <c r="AV1076" s="180" t="str">
        <f t="shared" si="209"/>
        <v>.</v>
      </c>
      <c r="AW1076" s="180">
        <f>IFERROR(VLOOKUP(B1076,'Share, Heavy Weapons to Ukraine'!B:J,COLUMN('Share, Heavy Weapons to Ukraine'!C1086)-1,0),0)</f>
        <v>1</v>
      </c>
      <c r="AX1076" s="180">
        <f>VLOOKUP('Bilateral Assistance, MAIN DATA'!B1076,'Country Summary'!B:F,COLUMN('Country Summary'!C1089)-1,FALSE)</f>
        <v>0</v>
      </c>
      <c r="AY1076" s="180" t="str">
        <f>IF(AND(AD1076=1,D1076="Military",H1076&lt;&gt;"Not given")=TRUE,IF(SUMIFS(P:P,A:A,A1076)&gt;0,ABS((SUMIFS(P:P,A:A,A1076)/VLOOKUP("USD",'Exchange Rates'!B:C,2,0)))/S1076,"."),".")</f>
        <v>.</v>
      </c>
      <c r="AZ1076" s="182" t="str">
        <f>IF(AND(AD1076=1,D1076="Military",H1076&lt;&gt;"Not given")=TRUE,IF(SUMIFS(P:P,A:A,A1076)&gt;0,IF((ABS((SUMIFS(P:P,A:A,A1076)/VLOOKUP("USD",'Exchange Rates'!B:C,2,0)))/S1076)&gt;1,(SUMIFS(P:P,A:A,A1076)-S1076)/S1076,(S1076-SUMIFS(P:P,A:A,A1076))/SUMIFS(P:P,A:A,A1076)),"."),".")</f>
        <v>.</v>
      </c>
      <c r="BA1076" s="182"/>
      <c r="BB1076" s="182"/>
      <c r="BC1076" s="182"/>
      <c r="BD1076" s="182"/>
      <c r="BE1076" s="182"/>
      <c r="BF1076" s="182"/>
      <c r="BG1076" s="182"/>
      <c r="BH1076" s="182"/>
      <c r="BI1076" s="182"/>
      <c r="BJ1076" s="182"/>
      <c r="BK1076" s="182"/>
      <c r="BL1076" s="182"/>
      <c r="BM1076" s="182"/>
      <c r="BN1076" s="182"/>
      <c r="BO1076" s="182"/>
      <c r="BP1076" s="182"/>
      <c r="BQ1076" s="182"/>
      <c r="BR1076" s="182"/>
      <c r="BS1076" s="182"/>
    </row>
    <row r="1077" spans="1:71" ht="15.9" customHeight="1" x14ac:dyDescent="0.3">
      <c r="A1077" s="5" t="s">
        <v>3065</v>
      </c>
      <c r="B1077" s="5" t="s">
        <v>3038</v>
      </c>
      <c r="C1077" s="174">
        <v>44636</v>
      </c>
      <c r="D1077" s="5" t="s">
        <v>285</v>
      </c>
      <c r="E1077" s="5" t="s">
        <v>1328</v>
      </c>
      <c r="F1077" s="175" t="s">
        <v>3073</v>
      </c>
      <c r="G1077" s="15" t="s">
        <v>346</v>
      </c>
      <c r="H1077" s="176">
        <v>800000000</v>
      </c>
      <c r="I1077" s="17" t="s">
        <v>312</v>
      </c>
      <c r="J1077" s="113" t="str">
        <f>VLOOKUP($I1077,'Price List, Weapons &amp; Items'!B:C,2,0)</f>
        <v>Portable defence system</v>
      </c>
      <c r="K1077" s="113" t="str">
        <f>IF(I1077=".",I1077,VLOOKUP($I1077,'Price List, Weapons &amp; Items'!B:D,3,0))</f>
        <v>Light Anti-armor Weapon (LAW)</v>
      </c>
      <c r="L1077" s="177">
        <f>VLOOKUP(I1077,'Price List, Weapons &amp; Items'!B:E,4,0)</f>
        <v>0</v>
      </c>
      <c r="M1077" s="542">
        <v>1000</v>
      </c>
      <c r="N1077" s="542">
        <f>M1077</f>
        <v>1000</v>
      </c>
      <c r="O1077" s="543">
        <f>VLOOKUP($I1077,'Price List, Weapons &amp; Items'!B:G,6,0)</f>
        <v>1475</v>
      </c>
      <c r="P1077" s="176">
        <f t="shared" si="212"/>
        <v>1475000</v>
      </c>
      <c r="Q1077" s="176">
        <f t="shared" si="213"/>
        <v>1475000</v>
      </c>
      <c r="R1077" s="176" t="str">
        <f t="shared" si="251"/>
        <v/>
      </c>
      <c r="S1077" s="176" t="str">
        <f>IF(AND(AD1077=1,R1077&lt;&gt;".")=TRUE,R1077/VLOOKUP(G1077,'Exchange Rates'!B:C,2,0),IF(R1077=".",".",""))</f>
        <v/>
      </c>
      <c r="T1077" s="176" t="str">
        <f>IF(AD1077=1,IF(AF1077="Value is not given at all",".",IF(AF1077="Value is given by the source",S1077,IF(AF1077="Value is calculated with prices",(IF(SUMIFS(Q:Q,A:A,A1077)&gt;0,SUMIFS(Q:Q,A:A,A1077),"."))/VLOOKUP("USD",'Exchange Rates'!B:C,2,0),"Error with coding"))),"")</f>
        <v/>
      </c>
      <c r="U1077" s="15" t="s">
        <v>261</v>
      </c>
      <c r="V1077" s="547" t="s">
        <v>3069</v>
      </c>
      <c r="W1077" s="667" t="s">
        <v>3044</v>
      </c>
      <c r="X1077" s="667" t="s">
        <v>3047</v>
      </c>
      <c r="Y1077" s="667" t="s">
        <v>3077</v>
      </c>
      <c r="Z1077" s="15">
        <v>0</v>
      </c>
      <c r="AA1077" s="180">
        <v>0</v>
      </c>
      <c r="AB1077" s="667" t="s">
        <v>3078</v>
      </c>
      <c r="AC1077" s="544" t="str">
        <f>""</f>
        <v/>
      </c>
      <c r="AD1077" s="181">
        <v>0</v>
      </c>
      <c r="AE1077" s="586" t="s">
        <v>264</v>
      </c>
      <c r="AF1077" s="181" t="s">
        <v>264</v>
      </c>
      <c r="AG1077" s="181">
        <v>1</v>
      </c>
      <c r="AH1077" s="181">
        <v>3</v>
      </c>
      <c r="AI1077" s="181">
        <v>0</v>
      </c>
      <c r="AJ1077" s="181">
        <f>VLOOKUP($I1077,'Price List, Weapons &amp; Items'!B:F,5,0)</f>
        <v>0</v>
      </c>
      <c r="AK1077" s="181">
        <f t="shared" si="252"/>
        <v>0</v>
      </c>
      <c r="AL1077" s="181">
        <f t="shared" si="253"/>
        <v>0</v>
      </c>
      <c r="AM1077" s="181">
        <f t="shared" si="254"/>
        <v>0</v>
      </c>
      <c r="AN1077" s="180" t="str">
        <f>VLOOKUP($I1077,'Price List, Weapons &amp; Items'!B:L,COLUMN('Price List, Weapons &amp; Items'!$J$11)-1,0)</f>
        <v>Military media (incl. websites)</v>
      </c>
      <c r="AO1077" s="180" t="str">
        <f>IF(I1077=".",".",VLOOKUP($I1077,'Price List, Weapons &amp; Items'!B:J,3,0))</f>
        <v>Light Anti-armor Weapon (LAW)</v>
      </c>
      <c r="AP1077" s="545" t="str">
        <f t="shared" ca="1" si="211"/>
        <v/>
      </c>
      <c r="AQ1077" s="180">
        <f>VLOOKUP($I1077,'Price List, Weapons &amp; Items'!B:L,COLUMN('Price List, Weapons &amp; Items'!$L$11)-1,0)</f>
        <v>1</v>
      </c>
      <c r="AR1077" s="180">
        <f t="shared" si="255"/>
        <v>1</v>
      </c>
      <c r="AS1077" s="180">
        <f t="shared" si="256"/>
        <v>1</v>
      </c>
      <c r="AT1077" s="180">
        <f t="shared" si="207"/>
        <v>1</v>
      </c>
      <c r="AU1077" s="180" t="s">
        <v>260</v>
      </c>
      <c r="AV1077" s="180" t="str">
        <f t="shared" si="209"/>
        <v>.</v>
      </c>
      <c r="AW1077" s="180">
        <f>IFERROR(VLOOKUP(B1077,'Share, Heavy Weapons to Ukraine'!B:J,COLUMN('Share, Heavy Weapons to Ukraine'!C1087)-1,0),0)</f>
        <v>1</v>
      </c>
      <c r="AX1077" s="180">
        <f>VLOOKUP('Bilateral Assistance, MAIN DATA'!B1077,'Country Summary'!B:F,COLUMN('Country Summary'!C1090)-1,FALSE)</f>
        <v>0</v>
      </c>
      <c r="AY1077" s="180" t="str">
        <f>IF(AND(AD1077=1,D1077="Military",H1077&lt;&gt;"Not given")=TRUE,IF(SUMIFS(P:P,A:A,A1077)&gt;0,ABS((SUMIFS(P:P,A:A,A1077)/VLOOKUP("USD",'Exchange Rates'!B:C,2,0)))/S1077,"."),".")</f>
        <v>.</v>
      </c>
      <c r="AZ1077" s="182" t="str">
        <f>IF(AND(AD1077=1,D1077="Military",H1077&lt;&gt;"Not given")=TRUE,IF(SUMIFS(P:P,A:A,A1077)&gt;0,IF((ABS((SUMIFS(P:P,A:A,A1077)/VLOOKUP("USD",'Exchange Rates'!B:C,2,0)))/S1077)&gt;1,(SUMIFS(P:P,A:A,A1077)-S1077)/S1077,(S1077-SUMIFS(P:P,A:A,A1077))/SUMIFS(P:P,A:A,A1077)),"."),".")</f>
        <v>.</v>
      </c>
      <c r="BA1077" s="182"/>
      <c r="BB1077" s="182"/>
      <c r="BC1077" s="182"/>
      <c r="BD1077" s="182"/>
      <c r="BE1077" s="182"/>
      <c r="BF1077" s="182"/>
      <c r="BG1077" s="182"/>
      <c r="BH1077" s="182"/>
      <c r="BI1077" s="182"/>
      <c r="BJ1077" s="182"/>
      <c r="BK1077" s="182"/>
      <c r="BL1077" s="182"/>
      <c r="BM1077" s="182"/>
      <c r="BN1077" s="182"/>
      <c r="BO1077" s="182"/>
      <c r="BP1077" s="182"/>
      <c r="BQ1077" s="182"/>
      <c r="BR1077" s="182"/>
      <c r="BS1077" s="182"/>
    </row>
    <row r="1078" spans="1:71" ht="15.9" customHeight="1" x14ac:dyDescent="0.3">
      <c r="A1078" s="5" t="s">
        <v>3065</v>
      </c>
      <c r="B1078" s="5" t="s">
        <v>3038</v>
      </c>
      <c r="C1078" s="174">
        <v>44636</v>
      </c>
      <c r="D1078" s="5" t="s">
        <v>285</v>
      </c>
      <c r="E1078" s="5" t="s">
        <v>1328</v>
      </c>
      <c r="F1078" s="175" t="s">
        <v>3073</v>
      </c>
      <c r="G1078" s="15" t="s">
        <v>346</v>
      </c>
      <c r="H1078" s="176">
        <v>800000000</v>
      </c>
      <c r="I1078" s="17" t="s">
        <v>2746</v>
      </c>
      <c r="J1078" s="113" t="str">
        <f>VLOOKUP($I1078,'Price List, Weapons &amp; Items'!B:C,2,0)</f>
        <v>Portable defence system</v>
      </c>
      <c r="K1078" s="113" t="str">
        <f>IF(I1078=".",I1078,VLOOKUP($I1078,'Price List, Weapons &amp; Items'!B:D,3,0))</f>
        <v>MANPADS</v>
      </c>
      <c r="L1078" s="177">
        <f>VLOOKUP(I1078,'Price List, Weapons &amp; Items'!B:E,4,0)</f>
        <v>0</v>
      </c>
      <c r="M1078" s="542">
        <v>6000</v>
      </c>
      <c r="N1078" s="542">
        <f>M1078</f>
        <v>6000</v>
      </c>
      <c r="O1078" s="543">
        <f>VLOOKUP($I1078,'Price List, Weapons &amp; Items'!B:G,6,0)</f>
        <v>1480.64</v>
      </c>
      <c r="P1078" s="176">
        <f t="shared" si="212"/>
        <v>8883840</v>
      </c>
      <c r="Q1078" s="176">
        <f t="shared" si="213"/>
        <v>8883840</v>
      </c>
      <c r="R1078" s="176" t="str">
        <f t="shared" si="251"/>
        <v/>
      </c>
      <c r="S1078" s="176" t="str">
        <f>IF(AND(AD1078=1,R1078&lt;&gt;".")=TRUE,R1078/VLOOKUP(G1078,'Exchange Rates'!B:C,2,0),IF(R1078=".",".",""))</f>
        <v/>
      </c>
      <c r="T1078" s="176" t="str">
        <f>IF(AD1078=1,IF(AF1078="Value is not given at all",".",IF(AF1078="Value is given by the source",S1078,IF(AF1078="Value is calculated with prices",(IF(SUMIFS(Q:Q,A:A,A1078)&gt;0,SUMIFS(Q:Q,A:A,A1078),"."))/VLOOKUP("USD",'Exchange Rates'!B:C,2,0),"Error with coding"))),"")</f>
        <v/>
      </c>
      <c r="U1078" s="15" t="s">
        <v>261</v>
      </c>
      <c r="V1078" s="547" t="s">
        <v>3069</v>
      </c>
      <c r="W1078" s="667" t="s">
        <v>3044</v>
      </c>
      <c r="X1078" s="667" t="s">
        <v>3047</v>
      </c>
      <c r="Y1078" s="667" t="s">
        <v>3078</v>
      </c>
      <c r="Z1078" s="15">
        <v>0</v>
      </c>
      <c r="AA1078" s="180">
        <v>0</v>
      </c>
      <c r="AB1078" s="667" t="s">
        <v>3079</v>
      </c>
      <c r="AC1078" s="544" t="str">
        <f>""</f>
        <v/>
      </c>
      <c r="AD1078" s="181">
        <v>0</v>
      </c>
      <c r="AE1078" s="586" t="s">
        <v>264</v>
      </c>
      <c r="AF1078" s="181" t="s">
        <v>264</v>
      </c>
      <c r="AG1078" s="181">
        <v>1</v>
      </c>
      <c r="AH1078" s="181">
        <v>3</v>
      </c>
      <c r="AI1078" s="181">
        <v>0</v>
      </c>
      <c r="AJ1078" s="181">
        <f>VLOOKUP($I1078,'Price List, Weapons &amp; Items'!B:F,5,0)</f>
        <v>0</v>
      </c>
      <c r="AK1078" s="181">
        <f t="shared" si="252"/>
        <v>0</v>
      </c>
      <c r="AL1078" s="181">
        <f t="shared" si="253"/>
        <v>0</v>
      </c>
      <c r="AM1078" s="181">
        <f t="shared" si="254"/>
        <v>0</v>
      </c>
      <c r="AN1078" s="180" t="str">
        <f>VLOOKUP($I1078,'Price List, Weapons &amp; Items'!B:L,COLUMN('Price List, Weapons &amp; Items'!$J$11)-1,0)</f>
        <v>Military media (incl. websites)</v>
      </c>
      <c r="AO1078" s="180" t="str">
        <f>IF(I1078=".",".",VLOOKUP($I1078,'Price List, Weapons &amp; Items'!B:J,3,0))</f>
        <v>MANPADS</v>
      </c>
      <c r="AP1078" s="545" t="str">
        <f t="shared" ca="1" si="211"/>
        <v/>
      </c>
      <c r="AQ1078" s="180">
        <f>VLOOKUP($I1078,'Price List, Weapons &amp; Items'!B:L,COLUMN('Price List, Weapons &amp; Items'!$L$11)-1,0)</f>
        <v>2</v>
      </c>
      <c r="AR1078" s="180">
        <f t="shared" si="255"/>
        <v>1</v>
      </c>
      <c r="AS1078" s="180">
        <f t="shared" si="256"/>
        <v>1</v>
      </c>
      <c r="AT1078" s="180">
        <f t="shared" si="207"/>
        <v>1</v>
      </c>
      <c r="AU1078" s="180" t="str">
        <f t="shared" si="208"/>
        <v>.</v>
      </c>
      <c r="AV1078" s="180" t="str">
        <f t="shared" si="209"/>
        <v>.</v>
      </c>
      <c r="AW1078" s="180">
        <f>IFERROR(VLOOKUP(B1078,'Share, Heavy Weapons to Ukraine'!B:J,COLUMN('Share, Heavy Weapons to Ukraine'!C1088)-1,0),0)</f>
        <v>1</v>
      </c>
      <c r="AX1078" s="180">
        <f>VLOOKUP('Bilateral Assistance, MAIN DATA'!B1078,'Country Summary'!B:F,COLUMN('Country Summary'!C1091)-1,FALSE)</f>
        <v>0</v>
      </c>
      <c r="AY1078" s="180" t="str">
        <f>IF(AND(AD1078=1,D1078="Military",H1078&lt;&gt;"Not given")=TRUE,IF(SUMIFS(P:P,A:A,A1078)&gt;0,ABS((SUMIFS(P:P,A:A,A1078)/VLOOKUP("USD",'Exchange Rates'!B:C,2,0)))/S1078,"."),".")</f>
        <v>.</v>
      </c>
      <c r="AZ1078" s="182" t="str">
        <f>IF(AND(AD1078=1,D1078="Military",H1078&lt;&gt;"Not given")=TRUE,IF(SUMIFS(P:P,A:A,A1078)&gt;0,IF((ABS((SUMIFS(P:P,A:A,A1078)/VLOOKUP("USD",'Exchange Rates'!B:C,2,0)))/S1078)&gt;1,(SUMIFS(P:P,A:A,A1078)-S1078)/S1078,(S1078-SUMIFS(P:P,A:A,A1078))/SUMIFS(P:P,A:A,A1078)),"."),".")</f>
        <v>.</v>
      </c>
      <c r="BA1078" s="182"/>
      <c r="BB1078" s="182"/>
      <c r="BC1078" s="182"/>
      <c r="BD1078" s="182"/>
      <c r="BE1078" s="182"/>
      <c r="BF1078" s="182"/>
      <c r="BG1078" s="182"/>
      <c r="BH1078" s="182"/>
      <c r="BI1078" s="182"/>
      <c r="BJ1078" s="182"/>
      <c r="BK1078" s="182"/>
      <c r="BL1078" s="182"/>
      <c r="BM1078" s="182"/>
      <c r="BN1078" s="182"/>
      <c r="BO1078" s="182"/>
      <c r="BP1078" s="182"/>
      <c r="BQ1078" s="182"/>
      <c r="BR1078" s="182"/>
      <c r="BS1078" s="182"/>
    </row>
    <row r="1079" spans="1:71" ht="15.9" customHeight="1" x14ac:dyDescent="0.3">
      <c r="A1079" s="5" t="s">
        <v>3065</v>
      </c>
      <c r="B1079" s="5" t="s">
        <v>3038</v>
      </c>
      <c r="C1079" s="174">
        <v>44636</v>
      </c>
      <c r="D1079" s="5" t="s">
        <v>285</v>
      </c>
      <c r="E1079" s="5" t="s">
        <v>1328</v>
      </c>
      <c r="F1079" s="175" t="s">
        <v>3073</v>
      </c>
      <c r="G1079" s="15" t="s">
        <v>346</v>
      </c>
      <c r="H1079" s="176">
        <v>800000000</v>
      </c>
      <c r="I1079" s="17" t="s">
        <v>3080</v>
      </c>
      <c r="J1079" s="113" t="str">
        <f>VLOOKUP($I1079,'Price List, Weapons &amp; Items'!B:C,2,0)</f>
        <v>Aviation and drones</v>
      </c>
      <c r="K1079" s="113" t="str">
        <f>IF(I1079=".",I1079,VLOOKUP($I1079,'Price List, Weapons &amp; Items'!B:D,3,0))</f>
        <v>drone</v>
      </c>
      <c r="L1079" s="177">
        <f>VLOOKUP(I1079,'Price List, Weapons &amp; Items'!B:E,4,0)</f>
        <v>0</v>
      </c>
      <c r="M1079" s="542">
        <v>100</v>
      </c>
      <c r="N1079" s="542">
        <v>100</v>
      </c>
      <c r="O1079" s="543">
        <f>VLOOKUP($I1079,'Price List, Weapons &amp; Items'!B:G,6,0)</f>
        <v>6000</v>
      </c>
      <c r="P1079" s="176">
        <f t="shared" si="212"/>
        <v>600000</v>
      </c>
      <c r="Q1079" s="176">
        <f t="shared" si="213"/>
        <v>600000</v>
      </c>
      <c r="R1079" s="176" t="str">
        <f t="shared" si="251"/>
        <v/>
      </c>
      <c r="S1079" s="176" t="str">
        <f>IF(AND(AD1079=1,R1079&lt;&gt;".")=TRUE,R1079/VLOOKUP(G1079,'Exchange Rates'!B:C,2,0),IF(R1079=".",".",""))</f>
        <v/>
      </c>
      <c r="T1079" s="176" t="str">
        <f>IF(AD1079=1,IF(AF1079="Value is not given at all",".",IF(AF1079="Value is given by the source",S1079,IF(AF1079="Value is calculated with prices",(IF(SUMIFS(Q:Q,A:A,A1079)&gt;0,SUMIFS(Q:Q,A:A,A1079),"."))/VLOOKUP("USD",'Exchange Rates'!B:C,2,0),"Error with coding"))),"")</f>
        <v/>
      </c>
      <c r="U1079" s="15" t="s">
        <v>261</v>
      </c>
      <c r="V1079" s="547" t="s">
        <v>3069</v>
      </c>
      <c r="W1079" s="667" t="s">
        <v>3044</v>
      </c>
      <c r="X1079" s="667" t="s">
        <v>3047</v>
      </c>
      <c r="Y1079" s="667" t="s">
        <v>3079</v>
      </c>
      <c r="Z1079" s="15">
        <v>0</v>
      </c>
      <c r="AA1079" s="180">
        <v>0</v>
      </c>
      <c r="AB1079" s="667" t="s">
        <v>3081</v>
      </c>
      <c r="AC1079" s="544" t="str">
        <f>""</f>
        <v/>
      </c>
      <c r="AD1079" s="181">
        <v>0</v>
      </c>
      <c r="AE1079" s="586" t="s">
        <v>264</v>
      </c>
      <c r="AF1079" s="181" t="s">
        <v>264</v>
      </c>
      <c r="AG1079" s="181">
        <v>1</v>
      </c>
      <c r="AH1079" s="181">
        <v>3</v>
      </c>
      <c r="AI1079" s="181">
        <v>0</v>
      </c>
      <c r="AJ1079" s="181">
        <f>VLOOKUP($I1079,'Price List, Weapons &amp; Items'!B:F,5,0)</f>
        <v>0</v>
      </c>
      <c r="AK1079" s="181">
        <f t="shared" si="252"/>
        <v>0</v>
      </c>
      <c r="AL1079" s="181">
        <f t="shared" si="253"/>
        <v>0</v>
      </c>
      <c r="AM1079" s="181">
        <f t="shared" si="254"/>
        <v>0</v>
      </c>
      <c r="AN1079" s="180" t="str">
        <f>VLOOKUP($I1079,'Price List, Weapons &amp; Items'!B:L,COLUMN('Price List, Weapons &amp; Items'!$J$11)-1,0)</f>
        <v>Miscellaneous</v>
      </c>
      <c r="AO1079" s="180" t="str">
        <f>IF(I1079=".",".",VLOOKUP($I1079,'Price List, Weapons &amp; Items'!B:J,3,0))</f>
        <v>drone</v>
      </c>
      <c r="AP1079" s="545" t="str">
        <f t="shared" ca="1" si="211"/>
        <v/>
      </c>
      <c r="AQ1079" s="180">
        <f>VLOOKUP($I1079,'Price List, Weapons &amp; Items'!B:L,COLUMN('Price List, Weapons &amp; Items'!$L$11)-1,0)</f>
        <v>1</v>
      </c>
      <c r="AR1079" s="180">
        <f t="shared" si="255"/>
        <v>1</v>
      </c>
      <c r="AS1079" s="180">
        <f t="shared" si="256"/>
        <v>1</v>
      </c>
      <c r="AT1079" s="180">
        <f t="shared" si="207"/>
        <v>1</v>
      </c>
      <c r="AU1079" s="180" t="str">
        <f t="shared" si="208"/>
        <v>.</v>
      </c>
      <c r="AV1079" s="180" t="str">
        <f t="shared" si="209"/>
        <v>.</v>
      </c>
      <c r="AW1079" s="180">
        <f>IFERROR(VLOOKUP(B1079,'Share, Heavy Weapons to Ukraine'!B:J,COLUMN('Share, Heavy Weapons to Ukraine'!C1089)-1,0),0)</f>
        <v>1</v>
      </c>
      <c r="AX1079" s="180">
        <f>VLOOKUP('Bilateral Assistance, MAIN DATA'!B1079,'Country Summary'!B:F,COLUMN('Country Summary'!C1092)-1,FALSE)</f>
        <v>0</v>
      </c>
      <c r="AY1079" s="180" t="str">
        <f>IF(AND(AD1079=1,D1079="Military",H1079&lt;&gt;"Not given")=TRUE,IF(SUMIFS(P:P,A:A,A1079)&gt;0,ABS((SUMIFS(P:P,A:A,A1079)/VLOOKUP("USD",'Exchange Rates'!B:C,2,0)))/S1079,"."),".")</f>
        <v>.</v>
      </c>
      <c r="AZ1079" s="182" t="str">
        <f>IF(AND(AD1079=1,D1079="Military",H1079&lt;&gt;"Not given")=TRUE,IF(SUMIFS(P:P,A:A,A1079)&gt;0,IF((ABS((SUMIFS(P:P,A:A,A1079)/VLOOKUP("USD",'Exchange Rates'!B:C,2,0)))/S1079)&gt;1,(SUMIFS(P:P,A:A,A1079)-S1079)/S1079,(S1079-SUMIFS(P:P,A:A,A1079))/SUMIFS(P:P,A:A,A1079)),"."),".")</f>
        <v>.</v>
      </c>
      <c r="BA1079" s="182"/>
      <c r="BB1079" s="182"/>
      <c r="BC1079" s="182"/>
      <c r="BD1079" s="182"/>
      <c r="BE1079" s="182"/>
      <c r="BF1079" s="182"/>
      <c r="BG1079" s="182"/>
      <c r="BH1079" s="182"/>
      <c r="BI1079" s="182"/>
      <c r="BJ1079" s="182"/>
      <c r="BK1079" s="182"/>
      <c r="BL1079" s="182"/>
      <c r="BM1079" s="182"/>
      <c r="BN1079" s="182"/>
      <c r="BO1079" s="182"/>
      <c r="BP1079" s="182"/>
      <c r="BQ1079" s="182"/>
      <c r="BR1079" s="182"/>
      <c r="BS1079" s="182"/>
    </row>
    <row r="1080" spans="1:71" ht="15.9" customHeight="1" x14ac:dyDescent="0.3">
      <c r="A1080" s="5" t="s">
        <v>3065</v>
      </c>
      <c r="B1080" s="5" t="s">
        <v>3038</v>
      </c>
      <c r="C1080" s="174">
        <v>44636</v>
      </c>
      <c r="D1080" s="5" t="s">
        <v>285</v>
      </c>
      <c r="E1080" s="5" t="s">
        <v>1328</v>
      </c>
      <c r="F1080" s="175" t="s">
        <v>3073</v>
      </c>
      <c r="G1080" s="15" t="s">
        <v>346</v>
      </c>
      <c r="H1080" s="176">
        <v>800000000</v>
      </c>
      <c r="I1080" s="17" t="s">
        <v>3082</v>
      </c>
      <c r="J1080" s="113" t="str">
        <f>VLOOKUP($I1080,'Price List, Weapons &amp; Items'!B:C,2,0)</f>
        <v>Portable defence system</v>
      </c>
      <c r="K1080" s="113" t="str">
        <f>IF(I1080=".",I1080,VLOOKUP($I1080,'Price List, Weapons &amp; Items'!B:D,3,0))</f>
        <v>Under-barrel grenade launcher</v>
      </c>
      <c r="L1080" s="177">
        <f>VLOOKUP(I1080,'Price List, Weapons &amp; Items'!B:E,4,0)</f>
        <v>0</v>
      </c>
      <c r="M1080" s="542">
        <v>100</v>
      </c>
      <c r="N1080" s="542">
        <f t="shared" ref="N1080:N1087" si="257">M1080</f>
        <v>100</v>
      </c>
      <c r="O1080" s="543">
        <f>VLOOKUP($I1080,'Price List, Weapons &amp; Items'!B:G,6,0)</f>
        <v>2291</v>
      </c>
      <c r="P1080" s="176">
        <f t="shared" si="212"/>
        <v>229100</v>
      </c>
      <c r="Q1080" s="176">
        <f t="shared" si="213"/>
        <v>229100</v>
      </c>
      <c r="R1080" s="176" t="str">
        <f t="shared" si="251"/>
        <v/>
      </c>
      <c r="S1080" s="176" t="str">
        <f>IF(AND(AD1080=1,R1080&lt;&gt;".")=TRUE,R1080/VLOOKUP(G1080,'Exchange Rates'!B:C,2,0),IF(R1080=".",".",""))</f>
        <v/>
      </c>
      <c r="T1080" s="176" t="str">
        <f>IF(AD1080=1,IF(AF1080="Value is not given at all",".",IF(AF1080="Value is given by the source",S1080,IF(AF1080="Value is calculated with prices",(IF(SUMIFS(Q:Q,A:A,A1080)&gt;0,SUMIFS(Q:Q,A:A,A1080),"."))/VLOOKUP("USD",'Exchange Rates'!B:C,2,0),"Error with coding"))),"")</f>
        <v/>
      </c>
      <c r="U1080" s="15" t="s">
        <v>261</v>
      </c>
      <c r="V1080" s="547" t="s">
        <v>3069</v>
      </c>
      <c r="W1080" s="667" t="s">
        <v>3044</v>
      </c>
      <c r="X1080" s="667" t="s">
        <v>3047</v>
      </c>
      <c r="Y1080" s="667" t="s">
        <v>3081</v>
      </c>
      <c r="Z1080" s="15">
        <v>0</v>
      </c>
      <c r="AA1080" s="180">
        <v>0</v>
      </c>
      <c r="AB1080" s="667" t="s">
        <v>3083</v>
      </c>
      <c r="AC1080" s="544" t="str">
        <f>""</f>
        <v/>
      </c>
      <c r="AD1080" s="181">
        <v>0</v>
      </c>
      <c r="AE1080" s="586" t="s">
        <v>264</v>
      </c>
      <c r="AF1080" s="181" t="s">
        <v>264</v>
      </c>
      <c r="AG1080" s="181">
        <v>1</v>
      </c>
      <c r="AH1080" s="181">
        <v>3</v>
      </c>
      <c r="AI1080" s="181">
        <v>0</v>
      </c>
      <c r="AJ1080" s="181">
        <f>VLOOKUP($I1080,'Price List, Weapons &amp; Items'!B:F,5,0)</f>
        <v>0</v>
      </c>
      <c r="AK1080" s="181">
        <f t="shared" si="252"/>
        <v>0</v>
      </c>
      <c r="AL1080" s="181">
        <f t="shared" si="253"/>
        <v>0</v>
      </c>
      <c r="AM1080" s="181">
        <f t="shared" si="254"/>
        <v>0</v>
      </c>
      <c r="AN1080" s="180" t="str">
        <f>VLOOKUP($I1080,'Price List, Weapons &amp; Items'!B:L,COLUMN('Price List, Weapons &amp; Items'!$J$11)-1,0)</f>
        <v>Miscellaneous</v>
      </c>
      <c r="AO1080" s="180" t="str">
        <f>IF(I1080=".",".",VLOOKUP($I1080,'Price List, Weapons &amp; Items'!B:J,3,0))</f>
        <v>Under-barrel grenade launcher</v>
      </c>
      <c r="AP1080" s="545" t="str">
        <f t="shared" ca="1" si="211"/>
        <v/>
      </c>
      <c r="AQ1080" s="180">
        <f>VLOOKUP($I1080,'Price List, Weapons &amp; Items'!B:L,COLUMN('Price List, Weapons &amp; Items'!$L$11)-1,0)</f>
        <v>2</v>
      </c>
      <c r="AR1080" s="180">
        <f t="shared" si="255"/>
        <v>1</v>
      </c>
      <c r="AS1080" s="180">
        <f t="shared" si="256"/>
        <v>1</v>
      </c>
      <c r="AT1080" s="180">
        <f t="shared" si="207"/>
        <v>1</v>
      </c>
      <c r="AU1080" s="180" t="str">
        <f t="shared" si="208"/>
        <v>.</v>
      </c>
      <c r="AV1080" s="180" t="str">
        <f t="shared" si="209"/>
        <v>.</v>
      </c>
      <c r="AW1080" s="180">
        <f>IFERROR(VLOOKUP(B1080,'Share, Heavy Weapons to Ukraine'!B:J,COLUMN('Share, Heavy Weapons to Ukraine'!C1090)-1,0),0)</f>
        <v>1</v>
      </c>
      <c r="AX1080" s="180">
        <f>VLOOKUP('Bilateral Assistance, MAIN DATA'!B1080,'Country Summary'!B:F,COLUMN('Country Summary'!C1093)-1,FALSE)</f>
        <v>0</v>
      </c>
      <c r="AY1080" s="180" t="str">
        <f>IF(AND(AD1080=1,D1080="Military",H1080&lt;&gt;"Not given")=TRUE,IF(SUMIFS(P:P,A:A,A1080)&gt;0,ABS((SUMIFS(P:P,A:A,A1080)/VLOOKUP("USD",'Exchange Rates'!B:C,2,0)))/S1080,"."),".")</f>
        <v>.</v>
      </c>
      <c r="AZ1080" s="182" t="str">
        <f>IF(AND(AD1080=1,D1080="Military",H1080&lt;&gt;"Not given")=TRUE,IF(SUMIFS(P:P,A:A,A1080)&gt;0,IF((ABS((SUMIFS(P:P,A:A,A1080)/VLOOKUP("USD",'Exchange Rates'!B:C,2,0)))/S1080)&gt;1,(SUMIFS(P:P,A:A,A1080)-S1080)/S1080,(S1080-SUMIFS(P:P,A:A,A1080))/SUMIFS(P:P,A:A,A1080)),"."),".")</f>
        <v>.</v>
      </c>
      <c r="BA1080" s="182"/>
      <c r="BB1080" s="182"/>
      <c r="BC1080" s="182"/>
      <c r="BD1080" s="182"/>
      <c r="BE1080" s="182"/>
      <c r="BF1080" s="182"/>
      <c r="BG1080" s="182"/>
      <c r="BH1080" s="182"/>
      <c r="BI1080" s="182"/>
      <c r="BJ1080" s="182"/>
      <c r="BK1080" s="182"/>
      <c r="BL1080" s="182"/>
      <c r="BM1080" s="182"/>
      <c r="BN1080" s="182"/>
      <c r="BO1080" s="182"/>
      <c r="BP1080" s="182"/>
      <c r="BQ1080" s="182"/>
      <c r="BR1080" s="182"/>
      <c r="BS1080" s="182"/>
    </row>
    <row r="1081" spans="1:71" ht="15.9" customHeight="1" x14ac:dyDescent="0.3">
      <c r="A1081" s="5" t="s">
        <v>3065</v>
      </c>
      <c r="B1081" s="5" t="s">
        <v>3038</v>
      </c>
      <c r="C1081" s="174">
        <v>44636</v>
      </c>
      <c r="D1081" s="5" t="s">
        <v>285</v>
      </c>
      <c r="E1081" s="5" t="s">
        <v>1328</v>
      </c>
      <c r="F1081" s="175" t="s">
        <v>3073</v>
      </c>
      <c r="G1081" s="15" t="s">
        <v>346</v>
      </c>
      <c r="H1081" s="176">
        <v>800000000</v>
      </c>
      <c r="I1081" s="17" t="s">
        <v>3084</v>
      </c>
      <c r="J1081" s="113" t="str">
        <f>VLOOKUP($I1081,'Price List, Weapons &amp; Items'!B:C,2,0)</f>
        <v>Light armaments &amp; infantry</v>
      </c>
      <c r="K1081" s="113" t="str">
        <f>IF(I1081=".",I1081,VLOOKUP($I1081,'Price List, Weapons &amp; Items'!B:D,3,0))</f>
        <v>Small Arms and Light Weapons (SALW)</v>
      </c>
      <c r="L1081" s="177">
        <f>VLOOKUP(I1081,'Price List, Weapons &amp; Items'!B:E,4,0)</f>
        <v>0</v>
      </c>
      <c r="M1081" s="542">
        <v>5000</v>
      </c>
      <c r="N1081" s="542">
        <f t="shared" si="257"/>
        <v>5000</v>
      </c>
      <c r="O1081" s="543">
        <f>VLOOKUP($I1081,'Price List, Weapons &amp; Items'!B:G,6,0)</f>
        <v>800</v>
      </c>
      <c r="P1081" s="176">
        <f t="shared" si="212"/>
        <v>4000000</v>
      </c>
      <c r="Q1081" s="176">
        <f t="shared" si="213"/>
        <v>4000000</v>
      </c>
      <c r="R1081" s="176" t="str">
        <f t="shared" si="251"/>
        <v/>
      </c>
      <c r="S1081" s="176" t="str">
        <f>IF(AND(AD1081=1,R1081&lt;&gt;".")=TRUE,R1081/VLOOKUP(G1081,'Exchange Rates'!B:C,2,0),IF(R1081=".",".",""))</f>
        <v/>
      </c>
      <c r="T1081" s="176" t="str">
        <f>IF(AD1081=1,IF(AF1081="Value is not given at all",".",IF(AF1081="Value is given by the source",S1081,IF(AF1081="Value is calculated with prices",(IF(SUMIFS(Q:Q,A:A,A1081)&gt;0,SUMIFS(Q:Q,A:A,A1081),"."))/VLOOKUP("USD",'Exchange Rates'!B:C,2,0),"Error with coding"))),"")</f>
        <v/>
      </c>
      <c r="U1081" s="15" t="s">
        <v>261</v>
      </c>
      <c r="V1081" s="547" t="s">
        <v>3069</v>
      </c>
      <c r="W1081" s="667" t="s">
        <v>3044</v>
      </c>
      <c r="X1081" s="667" t="s">
        <v>3047</v>
      </c>
      <c r="Y1081" s="667" t="s">
        <v>3083</v>
      </c>
      <c r="Z1081" s="15">
        <v>0</v>
      </c>
      <c r="AA1081" s="180">
        <v>0</v>
      </c>
      <c r="AB1081" s="667" t="s">
        <v>3085</v>
      </c>
      <c r="AC1081" s="544" t="str">
        <f>""</f>
        <v/>
      </c>
      <c r="AD1081" s="181">
        <v>0</v>
      </c>
      <c r="AE1081" s="586" t="s">
        <v>264</v>
      </c>
      <c r="AF1081" s="181" t="s">
        <v>264</v>
      </c>
      <c r="AG1081" s="181">
        <v>1</v>
      </c>
      <c r="AH1081" s="181">
        <v>3</v>
      </c>
      <c r="AI1081" s="181">
        <v>0</v>
      </c>
      <c r="AJ1081" s="181">
        <f>VLOOKUP($I1081,'Price List, Weapons &amp; Items'!B:F,5,0)</f>
        <v>0</v>
      </c>
      <c r="AK1081" s="181">
        <f t="shared" si="252"/>
        <v>0</v>
      </c>
      <c r="AL1081" s="181">
        <f t="shared" si="253"/>
        <v>0</v>
      </c>
      <c r="AM1081" s="181">
        <f t="shared" si="254"/>
        <v>0</v>
      </c>
      <c r="AN1081" s="180" t="str">
        <f>VLOOKUP($I1081,'Price List, Weapons &amp; Items'!B:L,COLUMN('Price List, Weapons &amp; Items'!$J$11)-1,0)</f>
        <v>Military media (incl. websites)</v>
      </c>
      <c r="AO1081" s="180" t="str">
        <f>IF(I1081=".",".",VLOOKUP($I1081,'Price List, Weapons &amp; Items'!B:J,3,0))</f>
        <v>Small Arms and Light Weapons (SALW)</v>
      </c>
      <c r="AP1081" s="545" t="str">
        <f t="shared" ca="1" si="211"/>
        <v/>
      </c>
      <c r="AQ1081" s="180">
        <f>VLOOKUP($I1081,'Price List, Weapons &amp; Items'!B:L,COLUMN('Price List, Weapons &amp; Items'!$L$11)-1,0)</f>
        <v>2</v>
      </c>
      <c r="AR1081" s="180">
        <f t="shared" si="255"/>
        <v>1</v>
      </c>
      <c r="AS1081" s="180">
        <f t="shared" si="256"/>
        <v>1</v>
      </c>
      <c r="AT1081" s="180">
        <f t="shared" si="207"/>
        <v>1</v>
      </c>
      <c r="AU1081" s="180" t="str">
        <f t="shared" si="208"/>
        <v>.</v>
      </c>
      <c r="AV1081" s="180" t="str">
        <f t="shared" si="209"/>
        <v>.</v>
      </c>
      <c r="AW1081" s="180">
        <f>IFERROR(VLOOKUP(B1081,'Share, Heavy Weapons to Ukraine'!B:J,COLUMN('Share, Heavy Weapons to Ukraine'!C1091)-1,0),0)</f>
        <v>1</v>
      </c>
      <c r="AX1081" s="180">
        <f>VLOOKUP('Bilateral Assistance, MAIN DATA'!B1081,'Country Summary'!B:F,COLUMN('Country Summary'!C1094)-1,FALSE)</f>
        <v>0</v>
      </c>
      <c r="AY1081" s="180" t="str">
        <f>IF(AND(AD1081=1,D1081="Military",H1081&lt;&gt;"Not given")=TRUE,IF(SUMIFS(P:P,A:A,A1081)&gt;0,ABS((SUMIFS(P:P,A:A,A1081)/VLOOKUP("USD",'Exchange Rates'!B:C,2,0)))/S1081,"."),".")</f>
        <v>.</v>
      </c>
      <c r="AZ1081" s="182" t="str">
        <f>IF(AND(AD1081=1,D1081="Military",H1081&lt;&gt;"Not given")=TRUE,IF(SUMIFS(P:P,A:A,A1081)&gt;0,IF((ABS((SUMIFS(P:P,A:A,A1081)/VLOOKUP("USD",'Exchange Rates'!B:C,2,0)))/S1081)&gt;1,(SUMIFS(P:P,A:A,A1081)-S1081)/S1081,(S1081-SUMIFS(P:P,A:A,A1081))/SUMIFS(P:P,A:A,A1081)),"."),".")</f>
        <v>.</v>
      </c>
      <c r="BA1081" s="182"/>
      <c r="BB1081" s="182"/>
      <c r="BC1081" s="182"/>
      <c r="BD1081" s="182"/>
      <c r="BE1081" s="182"/>
      <c r="BF1081" s="182"/>
      <c r="BG1081" s="182"/>
      <c r="BH1081" s="182"/>
      <c r="BI1081" s="182"/>
      <c r="BJ1081" s="182"/>
      <c r="BK1081" s="182"/>
      <c r="BL1081" s="182"/>
      <c r="BM1081" s="182"/>
      <c r="BN1081" s="182"/>
      <c r="BO1081" s="182"/>
      <c r="BP1081" s="182"/>
      <c r="BQ1081" s="182"/>
      <c r="BR1081" s="182"/>
      <c r="BS1081" s="182"/>
    </row>
    <row r="1082" spans="1:71" ht="15.9" customHeight="1" x14ac:dyDescent="0.3">
      <c r="A1082" s="5" t="s">
        <v>3065</v>
      </c>
      <c r="B1082" s="5" t="s">
        <v>3038</v>
      </c>
      <c r="C1082" s="174">
        <v>44636</v>
      </c>
      <c r="D1082" s="5" t="s">
        <v>285</v>
      </c>
      <c r="E1082" s="5" t="s">
        <v>1328</v>
      </c>
      <c r="F1082" s="175" t="s">
        <v>3073</v>
      </c>
      <c r="G1082" s="15" t="s">
        <v>346</v>
      </c>
      <c r="H1082" s="176">
        <v>800000000</v>
      </c>
      <c r="I1082" s="17" t="s">
        <v>3086</v>
      </c>
      <c r="J1082" s="113" t="str">
        <f>VLOOKUP($I1082,'Price List, Weapons &amp; Items'!B:C,2,0)</f>
        <v>Light armaments &amp; infantry</v>
      </c>
      <c r="K1082" s="113" t="str">
        <f>IF(I1082=".",I1082,VLOOKUP($I1082,'Price List, Weapons &amp; Items'!B:D,3,0))</f>
        <v>Small Arms and Light Weapons (SALW)</v>
      </c>
      <c r="L1082" s="177">
        <f>VLOOKUP(I1082,'Price List, Weapons &amp; Items'!B:E,4,0)</f>
        <v>0</v>
      </c>
      <c r="M1082" s="542">
        <v>1000</v>
      </c>
      <c r="N1082" s="542">
        <f t="shared" si="257"/>
        <v>1000</v>
      </c>
      <c r="O1082" s="543">
        <f>VLOOKUP($I1082,'Price List, Weapons &amp; Items'!B:G,6,0)</f>
        <v>1071.6400000000001</v>
      </c>
      <c r="P1082" s="176">
        <f t="shared" si="212"/>
        <v>1071640</v>
      </c>
      <c r="Q1082" s="176">
        <f t="shared" si="213"/>
        <v>1071640</v>
      </c>
      <c r="R1082" s="176" t="str">
        <f t="shared" si="251"/>
        <v/>
      </c>
      <c r="S1082" s="176" t="str">
        <f>IF(AND(AD1082=1,R1082&lt;&gt;".")=TRUE,R1082/VLOOKUP(G1082,'Exchange Rates'!B:C,2,0),IF(R1082=".",".",""))</f>
        <v/>
      </c>
      <c r="T1082" s="176" t="str">
        <f>IF(AD1082=1,IF(AF1082="Value is not given at all",".",IF(AF1082="Value is given by the source",S1082,IF(AF1082="Value is calculated with prices",(IF(SUMIFS(Q:Q,A:A,A1082)&gt;0,SUMIFS(Q:Q,A:A,A1082),"."))/VLOOKUP("USD",'Exchange Rates'!B:C,2,0),"Error with coding"))),"")</f>
        <v/>
      </c>
      <c r="U1082" s="15" t="s">
        <v>261</v>
      </c>
      <c r="V1082" s="547" t="s">
        <v>3069</v>
      </c>
      <c r="W1082" s="667" t="s">
        <v>3044</v>
      </c>
      <c r="X1082" s="667" t="s">
        <v>3047</v>
      </c>
      <c r="Y1082" s="667" t="s">
        <v>3085</v>
      </c>
      <c r="Z1082" s="15">
        <v>0</v>
      </c>
      <c r="AA1082" s="180">
        <v>0</v>
      </c>
      <c r="AB1082" s="667" t="s">
        <v>3087</v>
      </c>
      <c r="AC1082" s="544" t="str">
        <f>""</f>
        <v/>
      </c>
      <c r="AD1082" s="181">
        <v>0</v>
      </c>
      <c r="AE1082" s="586" t="s">
        <v>264</v>
      </c>
      <c r="AF1082" s="181" t="s">
        <v>264</v>
      </c>
      <c r="AG1082" s="181">
        <v>1</v>
      </c>
      <c r="AH1082" s="181">
        <v>3</v>
      </c>
      <c r="AI1082" s="181">
        <v>0</v>
      </c>
      <c r="AJ1082" s="181">
        <f>VLOOKUP($I1082,'Price List, Weapons &amp; Items'!B:F,5,0)</f>
        <v>0</v>
      </c>
      <c r="AK1082" s="181">
        <f t="shared" si="252"/>
        <v>0</v>
      </c>
      <c r="AL1082" s="181">
        <f t="shared" si="253"/>
        <v>0</v>
      </c>
      <c r="AM1082" s="181">
        <f t="shared" si="254"/>
        <v>0</v>
      </c>
      <c r="AN1082" s="180" t="str">
        <f>VLOOKUP($I1082,'Price List, Weapons &amp; Items'!B:L,COLUMN('Price List, Weapons &amp; Items'!$J$11)-1,0)</f>
        <v>Online marketplaces and stores</v>
      </c>
      <c r="AO1082" s="180" t="str">
        <f>IF(I1082=".",".",VLOOKUP($I1082,'Price List, Weapons &amp; Items'!B:J,3,0))</f>
        <v>Small Arms and Light Weapons (SALW)</v>
      </c>
      <c r="AP1082" s="545" t="str">
        <f t="shared" ca="1" si="211"/>
        <v/>
      </c>
      <c r="AQ1082" s="180">
        <f>VLOOKUP($I1082,'Price List, Weapons &amp; Items'!B:L,COLUMN('Price List, Weapons &amp; Items'!$L$11)-1,0)</f>
        <v>1</v>
      </c>
      <c r="AR1082" s="180">
        <f t="shared" si="255"/>
        <v>1</v>
      </c>
      <c r="AS1082" s="180">
        <f t="shared" si="256"/>
        <v>1</v>
      </c>
      <c r="AT1082" s="180">
        <f t="shared" si="207"/>
        <v>1</v>
      </c>
      <c r="AU1082" s="180" t="str">
        <f t="shared" si="208"/>
        <v>.</v>
      </c>
      <c r="AV1082" s="180" t="str">
        <f t="shared" si="209"/>
        <v>.</v>
      </c>
      <c r="AW1082" s="180">
        <f>IFERROR(VLOOKUP(B1082,'Share, Heavy Weapons to Ukraine'!B:J,COLUMN('Share, Heavy Weapons to Ukraine'!C1092)-1,0),0)</f>
        <v>1</v>
      </c>
      <c r="AX1082" s="180">
        <f>VLOOKUP('Bilateral Assistance, MAIN DATA'!B1082,'Country Summary'!B:F,COLUMN('Country Summary'!C1095)-1,FALSE)</f>
        <v>0</v>
      </c>
      <c r="AY1082" s="180" t="str">
        <f>IF(AND(AD1082=1,D1082="Military",H1082&lt;&gt;"Not given")=TRUE,IF(SUMIFS(P:P,A:A,A1082)&gt;0,ABS((SUMIFS(P:P,A:A,A1082)/VLOOKUP("USD",'Exchange Rates'!B:C,2,0)))/S1082,"."),".")</f>
        <v>.</v>
      </c>
      <c r="AZ1082" s="182" t="str">
        <f>IF(AND(AD1082=1,D1082="Military",H1082&lt;&gt;"Not given")=TRUE,IF(SUMIFS(P:P,A:A,A1082)&gt;0,IF((ABS((SUMIFS(P:P,A:A,A1082)/VLOOKUP("USD",'Exchange Rates'!B:C,2,0)))/S1082)&gt;1,(SUMIFS(P:P,A:A,A1082)-S1082)/S1082,(S1082-SUMIFS(P:P,A:A,A1082))/SUMIFS(P:P,A:A,A1082)),"."),".")</f>
        <v>.</v>
      </c>
      <c r="BA1082" s="182"/>
      <c r="BB1082" s="182"/>
      <c r="BC1082" s="182"/>
      <c r="BD1082" s="182"/>
      <c r="BE1082" s="182"/>
      <c r="BF1082" s="182"/>
      <c r="BG1082" s="182"/>
      <c r="BH1082" s="182"/>
      <c r="BI1082" s="182"/>
      <c r="BJ1082" s="182"/>
      <c r="BK1082" s="182"/>
      <c r="BL1082" s="182"/>
      <c r="BM1082" s="182"/>
      <c r="BN1082" s="182"/>
      <c r="BO1082" s="182"/>
      <c r="BP1082" s="182"/>
      <c r="BQ1082" s="182"/>
      <c r="BR1082" s="182"/>
      <c r="BS1082" s="182"/>
    </row>
    <row r="1083" spans="1:71" ht="15.9" customHeight="1" x14ac:dyDescent="0.3">
      <c r="A1083" s="5" t="s">
        <v>3065</v>
      </c>
      <c r="B1083" s="5" t="s">
        <v>3038</v>
      </c>
      <c r="C1083" s="174">
        <v>44636</v>
      </c>
      <c r="D1083" s="5" t="s">
        <v>285</v>
      </c>
      <c r="E1083" s="5" t="s">
        <v>1328</v>
      </c>
      <c r="F1083" s="175" t="s">
        <v>3073</v>
      </c>
      <c r="G1083" s="15" t="s">
        <v>346</v>
      </c>
      <c r="H1083" s="176">
        <v>800000000</v>
      </c>
      <c r="I1083" s="17" t="s">
        <v>3088</v>
      </c>
      <c r="J1083" s="113" t="str">
        <f>VLOOKUP($I1083,'Price List, Weapons &amp; Items'!B:C,2,0)</f>
        <v>Light armaments &amp; infantry</v>
      </c>
      <c r="K1083" s="113" t="str">
        <f>IF(I1083=".",I1083,VLOOKUP($I1083,'Price List, Weapons &amp; Items'!B:D,3,0))</f>
        <v>Small Arms and Light Weapons (SALW)</v>
      </c>
      <c r="L1083" s="177">
        <f>VLOOKUP(I1083,'Price List, Weapons &amp; Items'!B:E,4,0)</f>
        <v>0</v>
      </c>
      <c r="M1083" s="542">
        <v>400</v>
      </c>
      <c r="N1083" s="542">
        <f t="shared" si="257"/>
        <v>400</v>
      </c>
      <c r="O1083" s="543">
        <f>VLOOKUP($I1083,'Price List, Weapons &amp; Items'!B:G,6,0)</f>
        <v>5300</v>
      </c>
      <c r="P1083" s="176">
        <f t="shared" si="212"/>
        <v>2120000</v>
      </c>
      <c r="Q1083" s="176">
        <f t="shared" si="213"/>
        <v>2120000</v>
      </c>
      <c r="R1083" s="176" t="str">
        <f t="shared" si="251"/>
        <v/>
      </c>
      <c r="S1083" s="176" t="str">
        <f>IF(AND(AD1083=1,R1083&lt;&gt;".")=TRUE,R1083/VLOOKUP(G1083,'Exchange Rates'!B:C,2,0),IF(R1083=".",".",""))</f>
        <v/>
      </c>
      <c r="T1083" s="176" t="str">
        <f>IF(AD1083=1,IF(AF1083="Value is not given at all",".",IF(AF1083="Value is given by the source",S1083,IF(AF1083="Value is calculated with prices",(IF(SUMIFS(Q:Q,A:A,A1083)&gt;0,SUMIFS(Q:Q,A:A,A1083),"."))/VLOOKUP("USD",'Exchange Rates'!B:C,2,0),"Error with coding"))),"")</f>
        <v/>
      </c>
      <c r="U1083" s="15" t="s">
        <v>261</v>
      </c>
      <c r="V1083" s="547" t="s">
        <v>3069</v>
      </c>
      <c r="W1083" s="667" t="s">
        <v>3044</v>
      </c>
      <c r="X1083" s="667" t="s">
        <v>3047</v>
      </c>
      <c r="Y1083" s="667" t="s">
        <v>3087</v>
      </c>
      <c r="Z1083" s="15">
        <v>0</v>
      </c>
      <c r="AA1083" s="180">
        <v>0</v>
      </c>
      <c r="AB1083" s="667" t="s">
        <v>3089</v>
      </c>
      <c r="AC1083" s="544" t="str">
        <f>""</f>
        <v/>
      </c>
      <c r="AD1083" s="181">
        <v>0</v>
      </c>
      <c r="AE1083" s="586" t="s">
        <v>264</v>
      </c>
      <c r="AF1083" s="181" t="s">
        <v>264</v>
      </c>
      <c r="AG1083" s="181">
        <v>1</v>
      </c>
      <c r="AH1083" s="181">
        <v>3</v>
      </c>
      <c r="AI1083" s="181">
        <v>0</v>
      </c>
      <c r="AJ1083" s="181">
        <f>VLOOKUP($I1083,'Price List, Weapons &amp; Items'!B:F,5,0)</f>
        <v>0</v>
      </c>
      <c r="AK1083" s="181">
        <f t="shared" si="252"/>
        <v>0</v>
      </c>
      <c r="AL1083" s="181">
        <f t="shared" si="253"/>
        <v>0</v>
      </c>
      <c r="AM1083" s="181">
        <f t="shared" si="254"/>
        <v>0</v>
      </c>
      <c r="AN1083" s="180" t="str">
        <f>VLOOKUP($I1083,'Price List, Weapons &amp; Items'!B:L,COLUMN('Price List, Weapons &amp; Items'!$J$11)-1,0)</f>
        <v>Miscellaneous</v>
      </c>
      <c r="AO1083" s="180" t="str">
        <f>IF(I1083=".",".",VLOOKUP($I1083,'Price List, Weapons &amp; Items'!B:J,3,0))</f>
        <v>Small Arms and Light Weapons (SALW)</v>
      </c>
      <c r="AP1083" s="545" t="str">
        <f t="shared" ca="1" si="211"/>
        <v/>
      </c>
      <c r="AQ1083" s="180">
        <f>VLOOKUP($I1083,'Price List, Weapons &amp; Items'!B:L,COLUMN('Price List, Weapons &amp; Items'!$L$11)-1,0)</f>
        <v>2</v>
      </c>
      <c r="AR1083" s="180">
        <f t="shared" si="255"/>
        <v>1</v>
      </c>
      <c r="AS1083" s="180">
        <f t="shared" si="256"/>
        <v>1</v>
      </c>
      <c r="AT1083" s="180">
        <f t="shared" si="207"/>
        <v>1</v>
      </c>
      <c r="AU1083" s="180" t="str">
        <f t="shared" si="208"/>
        <v>.</v>
      </c>
      <c r="AV1083" s="180" t="str">
        <f t="shared" si="209"/>
        <v>.</v>
      </c>
      <c r="AW1083" s="180">
        <f>IFERROR(VLOOKUP(B1083,'Share, Heavy Weapons to Ukraine'!B:J,COLUMN('Share, Heavy Weapons to Ukraine'!C1093)-1,0),0)</f>
        <v>1</v>
      </c>
      <c r="AX1083" s="180">
        <f>VLOOKUP('Bilateral Assistance, MAIN DATA'!B1083,'Country Summary'!B:F,COLUMN('Country Summary'!C1096)-1,FALSE)</f>
        <v>0</v>
      </c>
      <c r="AY1083" s="180" t="str">
        <f>IF(AND(AD1083=1,D1083="Military",H1083&lt;&gt;"Not given")=TRUE,IF(SUMIFS(P:P,A:A,A1083)&gt;0,ABS((SUMIFS(P:P,A:A,A1083)/VLOOKUP("USD",'Exchange Rates'!B:C,2,0)))/S1083,"."),".")</f>
        <v>.</v>
      </c>
      <c r="AZ1083" s="182" t="str">
        <f>IF(AND(AD1083=1,D1083="Military",H1083&lt;&gt;"Not given")=TRUE,IF(SUMIFS(P:P,A:A,A1083)&gt;0,IF((ABS((SUMIFS(P:P,A:A,A1083)/VLOOKUP("USD",'Exchange Rates'!B:C,2,0)))/S1083)&gt;1,(SUMIFS(P:P,A:A,A1083)-S1083)/S1083,(S1083-SUMIFS(P:P,A:A,A1083))/SUMIFS(P:P,A:A,A1083)),"."),".")</f>
        <v>.</v>
      </c>
      <c r="BA1083" s="182"/>
      <c r="BB1083" s="182"/>
      <c r="BC1083" s="182"/>
      <c r="BD1083" s="182"/>
      <c r="BE1083" s="182"/>
      <c r="BF1083" s="182"/>
      <c r="BG1083" s="182"/>
      <c r="BH1083" s="182"/>
      <c r="BI1083" s="182"/>
      <c r="BJ1083" s="182"/>
      <c r="BK1083" s="182"/>
      <c r="BL1083" s="182"/>
      <c r="BM1083" s="182"/>
      <c r="BN1083" s="182"/>
      <c r="BO1083" s="182"/>
      <c r="BP1083" s="182"/>
      <c r="BQ1083" s="182"/>
      <c r="BR1083" s="182"/>
      <c r="BS1083" s="182"/>
    </row>
    <row r="1084" spans="1:71" ht="15.9" customHeight="1" x14ac:dyDescent="0.3">
      <c r="A1084" s="5" t="s">
        <v>3065</v>
      </c>
      <c r="B1084" s="5" t="s">
        <v>3038</v>
      </c>
      <c r="C1084" s="174">
        <v>44636</v>
      </c>
      <c r="D1084" s="5" t="s">
        <v>285</v>
      </c>
      <c r="E1084" s="5" t="s">
        <v>1328</v>
      </c>
      <c r="F1084" s="175" t="s">
        <v>3073</v>
      </c>
      <c r="G1084" s="15" t="s">
        <v>346</v>
      </c>
      <c r="H1084" s="176">
        <v>800000000</v>
      </c>
      <c r="I1084" s="17" t="s">
        <v>3090</v>
      </c>
      <c r="J1084" s="113" t="str">
        <f>VLOOKUP($I1084,'Price List, Weapons &amp; Items'!B:C,2,0)</f>
        <v>Light armaments &amp; infantry</v>
      </c>
      <c r="K1084" s="113" t="str">
        <f>IF(I1084=".",I1084,VLOOKUP($I1084,'Price List, Weapons &amp; Items'!B:D,3,0))</f>
        <v>Small Arms and Light Weapons (SALW)</v>
      </c>
      <c r="L1084" s="177">
        <f>VLOOKUP(I1084,'Price List, Weapons &amp; Items'!B:E,4,0)</f>
        <v>0</v>
      </c>
      <c r="M1084" s="542">
        <v>400</v>
      </c>
      <c r="N1084" s="542">
        <f t="shared" si="257"/>
        <v>400</v>
      </c>
      <c r="O1084" s="543">
        <f>VLOOKUP($I1084,'Price List, Weapons &amp; Items'!B:G,6,0)</f>
        <v>1100</v>
      </c>
      <c r="P1084" s="176">
        <f t="shared" si="212"/>
        <v>440000</v>
      </c>
      <c r="Q1084" s="176">
        <f t="shared" si="213"/>
        <v>440000</v>
      </c>
      <c r="R1084" s="176" t="str">
        <f t="shared" si="251"/>
        <v/>
      </c>
      <c r="S1084" s="176" t="str">
        <f>IF(AND(AD1084=1,R1084&lt;&gt;".")=TRUE,R1084/VLOOKUP(G1084,'Exchange Rates'!B:C,2,0),IF(R1084=".",".",""))</f>
        <v/>
      </c>
      <c r="T1084" s="176" t="str">
        <f>IF(AD1084=1,IF(AF1084="Value is not given at all",".",IF(AF1084="Value is given by the source",S1084,IF(AF1084="Value is calculated with prices",(IF(SUMIFS(Q:Q,A:A,A1084)&gt;0,SUMIFS(Q:Q,A:A,A1084),"."))/VLOOKUP("USD",'Exchange Rates'!B:C,2,0),"Error with coding"))),"")</f>
        <v/>
      </c>
      <c r="U1084" s="15" t="s">
        <v>261</v>
      </c>
      <c r="V1084" s="547" t="s">
        <v>3069</v>
      </c>
      <c r="W1084" s="667" t="s">
        <v>3044</v>
      </c>
      <c r="X1084" s="667" t="s">
        <v>3047</v>
      </c>
      <c r="Y1084" s="667" t="s">
        <v>3089</v>
      </c>
      <c r="Z1084" s="15">
        <v>0</v>
      </c>
      <c r="AA1084" s="180">
        <v>0</v>
      </c>
      <c r="AB1084" s="667" t="s">
        <v>3091</v>
      </c>
      <c r="AC1084" s="544" t="str">
        <f>""</f>
        <v/>
      </c>
      <c r="AD1084" s="181">
        <v>0</v>
      </c>
      <c r="AE1084" s="586" t="s">
        <v>264</v>
      </c>
      <c r="AF1084" s="181" t="s">
        <v>264</v>
      </c>
      <c r="AG1084" s="181">
        <v>1</v>
      </c>
      <c r="AH1084" s="181">
        <v>3</v>
      </c>
      <c r="AI1084" s="181">
        <v>0</v>
      </c>
      <c r="AJ1084" s="181">
        <f>VLOOKUP($I1084,'Price List, Weapons &amp; Items'!B:F,5,0)</f>
        <v>0</v>
      </c>
      <c r="AK1084" s="181">
        <f t="shared" si="252"/>
        <v>0</v>
      </c>
      <c r="AL1084" s="181">
        <f t="shared" si="253"/>
        <v>0</v>
      </c>
      <c r="AM1084" s="181">
        <f t="shared" si="254"/>
        <v>0</v>
      </c>
      <c r="AN1084" s="180" t="str">
        <f>VLOOKUP($I1084,'Price List, Weapons &amp; Items'!B:L,COLUMN('Price List, Weapons &amp; Items'!$J$11)-1,0)</f>
        <v>Online marketplaces and stores</v>
      </c>
      <c r="AO1084" s="180" t="str">
        <f>IF(I1084=".",".",VLOOKUP($I1084,'Price List, Weapons &amp; Items'!B:J,3,0))</f>
        <v>Small Arms and Light Weapons (SALW)</v>
      </c>
      <c r="AP1084" s="545" t="str">
        <f t="shared" ca="1" si="211"/>
        <v/>
      </c>
      <c r="AQ1084" s="180">
        <f>VLOOKUP($I1084,'Price List, Weapons &amp; Items'!B:L,COLUMN('Price List, Weapons &amp; Items'!$L$11)-1,0)</f>
        <v>1</v>
      </c>
      <c r="AR1084" s="180">
        <f t="shared" si="255"/>
        <v>1</v>
      </c>
      <c r="AS1084" s="180">
        <f t="shared" si="256"/>
        <v>1</v>
      </c>
      <c r="AT1084" s="180">
        <f t="shared" si="207"/>
        <v>1</v>
      </c>
      <c r="AU1084" s="180" t="str">
        <f t="shared" si="208"/>
        <v>.</v>
      </c>
      <c r="AV1084" s="180" t="str">
        <f t="shared" si="209"/>
        <v>.</v>
      </c>
      <c r="AW1084" s="180">
        <f>IFERROR(VLOOKUP(B1084,'Share, Heavy Weapons to Ukraine'!B:J,COLUMN('Share, Heavy Weapons to Ukraine'!C1094)-1,0),0)</f>
        <v>1</v>
      </c>
      <c r="AX1084" s="180">
        <f>VLOOKUP('Bilateral Assistance, MAIN DATA'!B1084,'Country Summary'!B:F,COLUMN('Country Summary'!C1097)-1,FALSE)</f>
        <v>0</v>
      </c>
      <c r="AY1084" s="180" t="str">
        <f>IF(AND(AD1084=1,D1084="Military",H1084&lt;&gt;"Not given")=TRUE,IF(SUMIFS(P:P,A:A,A1084)&gt;0,ABS((SUMIFS(P:P,A:A,A1084)/VLOOKUP("USD",'Exchange Rates'!B:C,2,0)))/S1084,"."),".")</f>
        <v>.</v>
      </c>
      <c r="AZ1084" s="182" t="str">
        <f>IF(AND(AD1084=1,D1084="Military",H1084&lt;&gt;"Not given")=TRUE,IF(SUMIFS(P:P,A:A,A1084)&gt;0,IF((ABS((SUMIFS(P:P,A:A,A1084)/VLOOKUP("USD",'Exchange Rates'!B:C,2,0)))/S1084)&gt;1,(SUMIFS(P:P,A:A,A1084)-S1084)/S1084,(S1084-SUMIFS(P:P,A:A,A1084))/SUMIFS(P:P,A:A,A1084)),"."),".")</f>
        <v>.</v>
      </c>
      <c r="BA1084" s="182"/>
      <c r="BB1084" s="182"/>
      <c r="BC1084" s="182"/>
      <c r="BD1084" s="182"/>
      <c r="BE1084" s="182"/>
      <c r="BF1084" s="182"/>
      <c r="BG1084" s="182"/>
      <c r="BH1084" s="182"/>
      <c r="BI1084" s="182"/>
      <c r="BJ1084" s="182"/>
      <c r="BK1084" s="182"/>
      <c r="BL1084" s="182"/>
      <c r="BM1084" s="182"/>
      <c r="BN1084" s="182"/>
      <c r="BO1084" s="182"/>
      <c r="BP1084" s="182"/>
      <c r="BQ1084" s="182"/>
      <c r="BR1084" s="182"/>
      <c r="BS1084" s="182"/>
    </row>
    <row r="1085" spans="1:71" ht="15.9" customHeight="1" x14ac:dyDescent="0.3">
      <c r="A1085" s="5" t="s">
        <v>3065</v>
      </c>
      <c r="B1085" s="5" t="s">
        <v>3038</v>
      </c>
      <c r="C1085" s="174">
        <v>44636</v>
      </c>
      <c r="D1085" s="5" t="s">
        <v>285</v>
      </c>
      <c r="E1085" s="5" t="s">
        <v>1328</v>
      </c>
      <c r="F1085" s="175" t="s">
        <v>3073</v>
      </c>
      <c r="G1085" s="15" t="s">
        <v>346</v>
      </c>
      <c r="H1085" s="176">
        <v>800000000</v>
      </c>
      <c r="I1085" s="17" t="s">
        <v>3092</v>
      </c>
      <c r="J1085" s="113" t="str">
        <f>VLOOKUP($I1085,'Price List, Weapons &amp; Items'!B:C,2,0)</f>
        <v>Ammunition for light infantry</v>
      </c>
      <c r="K1085" s="113" t="str">
        <f>IF(I1085=".",I1085,VLOOKUP($I1085,'Price List, Weapons &amp; Items'!B:D,3,0))</f>
        <v>Small Arms and Light Weapons (SALW) ammunition</v>
      </c>
      <c r="L1085" s="177">
        <f>VLOOKUP(I1085,'Price List, Weapons &amp; Items'!B:E,4,0)</f>
        <v>0</v>
      </c>
      <c r="M1085" s="542">
        <v>20000000</v>
      </c>
      <c r="N1085" s="542">
        <f t="shared" si="257"/>
        <v>20000000</v>
      </c>
      <c r="O1085" s="543">
        <f>VLOOKUP($I1085,'Price List, Weapons &amp; Items'!B:G,6,0)</f>
        <v>5</v>
      </c>
      <c r="P1085" s="176">
        <f t="shared" si="212"/>
        <v>100000000</v>
      </c>
      <c r="Q1085" s="176">
        <f t="shared" si="213"/>
        <v>100000000</v>
      </c>
      <c r="R1085" s="176" t="str">
        <f t="shared" si="251"/>
        <v/>
      </c>
      <c r="S1085" s="176" t="str">
        <f>IF(AND(AD1085=1,R1085&lt;&gt;".")=TRUE,R1085/VLOOKUP(G1085,'Exchange Rates'!B:C,2,0),IF(R1085=".",".",""))</f>
        <v/>
      </c>
      <c r="T1085" s="176" t="str">
        <f>IF(AD1085=1,IF(AF1085="Value is not given at all",".",IF(AF1085="Value is given by the source",S1085,IF(AF1085="Value is calculated with prices",(IF(SUMIFS(Q:Q,A:A,A1085)&gt;0,SUMIFS(Q:Q,A:A,A1085),"."))/VLOOKUP("USD",'Exchange Rates'!B:C,2,0),"Error with coding"))),"")</f>
        <v/>
      </c>
      <c r="U1085" s="15" t="s">
        <v>261</v>
      </c>
      <c r="V1085" s="547" t="s">
        <v>3069</v>
      </c>
      <c r="W1085" s="667" t="s">
        <v>3044</v>
      </c>
      <c r="X1085" s="667" t="s">
        <v>3047</v>
      </c>
      <c r="Y1085" s="667" t="s">
        <v>3091</v>
      </c>
      <c r="Z1085" s="15">
        <v>0</v>
      </c>
      <c r="AA1085" s="180">
        <v>0</v>
      </c>
      <c r="AB1085" s="667" t="s">
        <v>3093</v>
      </c>
      <c r="AC1085" s="544" t="str">
        <f>""</f>
        <v/>
      </c>
      <c r="AD1085" s="181">
        <v>0</v>
      </c>
      <c r="AE1085" s="586" t="s">
        <v>264</v>
      </c>
      <c r="AF1085" s="181" t="s">
        <v>264</v>
      </c>
      <c r="AG1085" s="181">
        <v>1</v>
      </c>
      <c r="AH1085" s="181">
        <v>3</v>
      </c>
      <c r="AI1085" s="181">
        <v>0</v>
      </c>
      <c r="AJ1085" s="181">
        <f>VLOOKUP($I1085,'Price List, Weapons &amp; Items'!B:F,5,0)</f>
        <v>0</v>
      </c>
      <c r="AK1085" s="181">
        <f t="shared" si="252"/>
        <v>0</v>
      </c>
      <c r="AL1085" s="181">
        <f t="shared" si="253"/>
        <v>0</v>
      </c>
      <c r="AM1085" s="181">
        <f t="shared" si="254"/>
        <v>1</v>
      </c>
      <c r="AN1085" s="180" t="str">
        <f>VLOOKUP($I1085,'Price List, Weapons &amp; Items'!B:L,COLUMN('Price List, Weapons &amp; Items'!$J$11)-1,0)</f>
        <v>Miscellaneous</v>
      </c>
      <c r="AO1085" s="180" t="str">
        <f>IF(I1085=".",".",VLOOKUP($I1085,'Price List, Weapons &amp; Items'!B:J,3,0))</f>
        <v>Small Arms and Light Weapons (SALW) ammunition</v>
      </c>
      <c r="AP1085" s="545" t="str">
        <f t="shared" ca="1" si="211"/>
        <v/>
      </c>
      <c r="AQ1085" s="180">
        <f>VLOOKUP($I1085,'Price List, Weapons &amp; Items'!B:L,COLUMN('Price List, Weapons &amp; Items'!$L$11)-1,0)</f>
        <v>2</v>
      </c>
      <c r="AR1085" s="180">
        <f t="shared" si="255"/>
        <v>1</v>
      </c>
      <c r="AS1085" s="180">
        <f t="shared" si="256"/>
        <v>1</v>
      </c>
      <c r="AT1085" s="180">
        <f t="shared" si="207"/>
        <v>1</v>
      </c>
      <c r="AU1085" s="180" t="str">
        <f t="shared" si="208"/>
        <v>.</v>
      </c>
      <c r="AV1085" s="180" t="str">
        <f t="shared" si="209"/>
        <v>.</v>
      </c>
      <c r="AW1085" s="180">
        <f>IFERROR(VLOOKUP(B1085,'Share, Heavy Weapons to Ukraine'!B:J,COLUMN('Share, Heavy Weapons to Ukraine'!C1095)-1,0),0)</f>
        <v>1</v>
      </c>
      <c r="AX1085" s="180">
        <f>VLOOKUP('Bilateral Assistance, MAIN DATA'!B1085,'Country Summary'!B:F,COLUMN('Country Summary'!C1098)-1,FALSE)</f>
        <v>0</v>
      </c>
      <c r="AY1085" s="180" t="str">
        <f>IF(AND(AD1085=1,D1085="Military",H1085&lt;&gt;"Not given")=TRUE,IF(SUMIFS(P:P,A:A,A1085)&gt;0,ABS((SUMIFS(P:P,A:A,A1085)/VLOOKUP("USD",'Exchange Rates'!B:C,2,0)))/S1085,"."),".")</f>
        <v>.</v>
      </c>
      <c r="AZ1085" s="182" t="str">
        <f>IF(AND(AD1085=1,D1085="Military",H1085&lt;&gt;"Not given")=TRUE,IF(SUMIFS(P:P,A:A,A1085)&gt;0,IF((ABS((SUMIFS(P:P,A:A,A1085)/VLOOKUP("USD",'Exchange Rates'!B:C,2,0)))/S1085)&gt;1,(SUMIFS(P:P,A:A,A1085)-S1085)/S1085,(S1085-SUMIFS(P:P,A:A,A1085))/SUMIFS(P:P,A:A,A1085)),"."),".")</f>
        <v>.</v>
      </c>
      <c r="BA1085" s="182"/>
      <c r="BB1085" s="182"/>
      <c r="BC1085" s="182"/>
      <c r="BD1085" s="182"/>
      <c r="BE1085" s="182"/>
      <c r="BF1085" s="182"/>
      <c r="BG1085" s="182"/>
      <c r="BH1085" s="182"/>
      <c r="BI1085" s="182"/>
      <c r="BJ1085" s="182"/>
      <c r="BK1085" s="182"/>
      <c r="BL1085" s="182"/>
      <c r="BM1085" s="182"/>
      <c r="BN1085" s="182"/>
      <c r="BO1085" s="182"/>
      <c r="BP1085" s="182"/>
      <c r="BQ1085" s="182"/>
      <c r="BR1085" s="182"/>
      <c r="BS1085" s="182"/>
    </row>
    <row r="1086" spans="1:71" ht="15.9" customHeight="1" x14ac:dyDescent="0.3">
      <c r="A1086" s="5" t="s">
        <v>3065</v>
      </c>
      <c r="B1086" s="5" t="s">
        <v>3038</v>
      </c>
      <c r="C1086" s="174">
        <v>44636</v>
      </c>
      <c r="D1086" s="5" t="s">
        <v>285</v>
      </c>
      <c r="E1086" s="5" t="s">
        <v>1328</v>
      </c>
      <c r="F1086" s="175" t="s">
        <v>3073</v>
      </c>
      <c r="G1086" s="15" t="s">
        <v>346</v>
      </c>
      <c r="H1086" s="176">
        <v>800000000</v>
      </c>
      <c r="I1086" s="17" t="s">
        <v>499</v>
      </c>
      <c r="J1086" s="113" t="str">
        <f>VLOOKUP($I1086,'Price List, Weapons &amp; Items'!B:C,2,0)</f>
        <v>Military equipment</v>
      </c>
      <c r="K1086" s="113" t="str">
        <f>IF(I1086=".",I1086,VLOOKUP($I1086,'Price List, Weapons &amp; Items'!B:D,3,0))</f>
        <v>Military equipment</v>
      </c>
      <c r="L1086" s="177">
        <f>VLOOKUP(I1086,'Price List, Weapons &amp; Items'!B:E,4,0)</f>
        <v>0</v>
      </c>
      <c r="M1086" s="542">
        <v>25000</v>
      </c>
      <c r="N1086" s="542">
        <f t="shared" si="257"/>
        <v>25000</v>
      </c>
      <c r="O1086" s="543">
        <f>VLOOKUP($I1086,'Price List, Weapons &amp; Items'!B:G,6,0)</f>
        <v>500</v>
      </c>
      <c r="P1086" s="176">
        <f t="shared" si="212"/>
        <v>12500000</v>
      </c>
      <c r="Q1086" s="176">
        <f t="shared" si="213"/>
        <v>12500000</v>
      </c>
      <c r="R1086" s="176" t="str">
        <f t="shared" si="251"/>
        <v/>
      </c>
      <c r="S1086" s="176" t="str">
        <f>IF(AND(AD1086=1,R1086&lt;&gt;".")=TRUE,R1086/VLOOKUP(G1086,'Exchange Rates'!B:C,2,0),IF(R1086=".",".",""))</f>
        <v/>
      </c>
      <c r="T1086" s="176" t="str">
        <f>IF(AD1086=1,IF(AF1086="Value is not given at all",".",IF(AF1086="Value is given by the source",S1086,IF(AF1086="Value is calculated with prices",(IF(SUMIFS(Q:Q,A:A,A1086)&gt;0,SUMIFS(Q:Q,A:A,A1086),"."))/VLOOKUP("USD",'Exchange Rates'!B:C,2,0),"Error with coding"))),"")</f>
        <v/>
      </c>
      <c r="U1086" s="15" t="s">
        <v>261</v>
      </c>
      <c r="V1086" s="547" t="s">
        <v>3069</v>
      </c>
      <c r="W1086" s="667" t="s">
        <v>3044</v>
      </c>
      <c r="X1086" s="667" t="s">
        <v>3047</v>
      </c>
      <c r="Y1086" s="667" t="s">
        <v>3093</v>
      </c>
      <c r="Z1086" s="15">
        <v>0</v>
      </c>
      <c r="AA1086" s="180">
        <v>0</v>
      </c>
      <c r="AB1086" s="667" t="s">
        <v>3094</v>
      </c>
      <c r="AC1086" s="544" t="str">
        <f>""</f>
        <v/>
      </c>
      <c r="AD1086" s="181">
        <v>0</v>
      </c>
      <c r="AE1086" s="586" t="s">
        <v>264</v>
      </c>
      <c r="AF1086" s="181" t="s">
        <v>264</v>
      </c>
      <c r="AG1086" s="181">
        <v>1</v>
      </c>
      <c r="AH1086" s="181">
        <v>3</v>
      </c>
      <c r="AI1086" s="181">
        <v>0</v>
      </c>
      <c r="AJ1086" s="181">
        <f>VLOOKUP($I1086,'Price List, Weapons &amp; Items'!B:F,5,0)</f>
        <v>0</v>
      </c>
      <c r="AK1086" s="181">
        <f t="shared" si="252"/>
        <v>0</v>
      </c>
      <c r="AL1086" s="181">
        <f t="shared" si="253"/>
        <v>0</v>
      </c>
      <c r="AM1086" s="181">
        <f t="shared" si="254"/>
        <v>0</v>
      </c>
      <c r="AN1086" s="180" t="str">
        <f>VLOOKUP($I1086,'Price List, Weapons &amp; Items'!B:L,COLUMN('Price List, Weapons &amp; Items'!$J$11)-1,0)</f>
        <v>Military media (incl. websites)</v>
      </c>
      <c r="AO1086" s="180" t="str">
        <f>IF(I1086=".",".",VLOOKUP($I1086,'Price List, Weapons &amp; Items'!B:J,3,0))</f>
        <v>Military equipment</v>
      </c>
      <c r="AP1086" s="545" t="str">
        <f t="shared" ca="1" si="211"/>
        <v/>
      </c>
      <c r="AQ1086" s="180">
        <f>VLOOKUP($I1086,'Price List, Weapons &amp; Items'!B:L,COLUMN('Price List, Weapons &amp; Items'!$L$11)-1,0)</f>
        <v>2</v>
      </c>
      <c r="AR1086" s="180">
        <f t="shared" si="255"/>
        <v>1</v>
      </c>
      <c r="AS1086" s="180">
        <f t="shared" si="256"/>
        <v>1</v>
      </c>
      <c r="AT1086" s="180">
        <f t="shared" si="207"/>
        <v>1</v>
      </c>
      <c r="AU1086" s="180" t="str">
        <f t="shared" si="208"/>
        <v>.</v>
      </c>
      <c r="AV1086" s="180" t="str">
        <f t="shared" si="209"/>
        <v>.</v>
      </c>
      <c r="AW1086" s="180">
        <f>IFERROR(VLOOKUP(B1086,'Share, Heavy Weapons to Ukraine'!B:J,COLUMN('Share, Heavy Weapons to Ukraine'!C1096)-1,0),0)</f>
        <v>1</v>
      </c>
      <c r="AX1086" s="180">
        <f>VLOOKUP('Bilateral Assistance, MAIN DATA'!B1086,'Country Summary'!B:F,COLUMN('Country Summary'!C1099)-1,FALSE)</f>
        <v>0</v>
      </c>
      <c r="AY1086" s="180" t="str">
        <f>IF(AND(AD1086=1,D1086="Military",H1086&lt;&gt;"Not given")=TRUE,IF(SUMIFS(P:P,A:A,A1086)&gt;0,ABS((SUMIFS(P:P,A:A,A1086)/VLOOKUP("USD",'Exchange Rates'!B:C,2,0)))/S1086,"."),".")</f>
        <v>.</v>
      </c>
      <c r="AZ1086" s="182" t="str">
        <f>IF(AND(AD1086=1,D1086="Military",H1086&lt;&gt;"Not given")=TRUE,IF(SUMIFS(P:P,A:A,A1086)&gt;0,IF((ABS((SUMIFS(P:P,A:A,A1086)/VLOOKUP("USD",'Exchange Rates'!B:C,2,0)))/S1086)&gt;1,(SUMIFS(P:P,A:A,A1086)-S1086)/S1086,(S1086-SUMIFS(P:P,A:A,A1086))/SUMIFS(P:P,A:A,A1086)),"."),".")</f>
        <v>.</v>
      </c>
      <c r="BA1086" s="182"/>
      <c r="BB1086" s="182"/>
      <c r="BC1086" s="182"/>
      <c r="BD1086" s="182"/>
      <c r="BE1086" s="182"/>
      <c r="BF1086" s="182"/>
      <c r="BG1086" s="182"/>
      <c r="BH1086" s="182"/>
      <c r="BI1086" s="182"/>
      <c r="BJ1086" s="182"/>
      <c r="BK1086" s="182"/>
      <c r="BL1086" s="182"/>
      <c r="BM1086" s="182"/>
      <c r="BN1086" s="182"/>
      <c r="BO1086" s="182"/>
      <c r="BP1086" s="182"/>
      <c r="BQ1086" s="182"/>
      <c r="BR1086" s="182"/>
      <c r="BS1086" s="182"/>
    </row>
    <row r="1087" spans="1:71" ht="15.9" customHeight="1" x14ac:dyDescent="0.3">
      <c r="A1087" s="5" t="s">
        <v>3065</v>
      </c>
      <c r="B1087" s="5" t="s">
        <v>3038</v>
      </c>
      <c r="C1087" s="174">
        <v>44636</v>
      </c>
      <c r="D1087" s="5" t="s">
        <v>285</v>
      </c>
      <c r="E1087" s="5" t="s">
        <v>1328</v>
      </c>
      <c r="F1087" s="175" t="s">
        <v>3073</v>
      </c>
      <c r="G1087" s="15" t="s">
        <v>346</v>
      </c>
      <c r="H1087" s="176">
        <v>800000000</v>
      </c>
      <c r="I1087" s="17" t="s">
        <v>463</v>
      </c>
      <c r="J1087" s="113" t="str">
        <f>VLOOKUP($I1087,'Price List, Weapons &amp; Items'!B:C,2,0)</f>
        <v>Military equipment</v>
      </c>
      <c r="K1087" s="113" t="str">
        <f>IF(I1087=".",I1087,VLOOKUP($I1087,'Price List, Weapons &amp; Items'!B:D,3,0))</f>
        <v>Military equipment</v>
      </c>
      <c r="L1087" s="177">
        <f>VLOOKUP(I1087,'Price List, Weapons &amp; Items'!B:E,4,0)</f>
        <v>0</v>
      </c>
      <c r="M1087" s="542">
        <v>25000</v>
      </c>
      <c r="N1087" s="542">
        <f t="shared" si="257"/>
        <v>25000</v>
      </c>
      <c r="O1087" s="543">
        <f>VLOOKUP($I1087,'Price List, Weapons &amp; Items'!B:G,6,0)</f>
        <v>1400</v>
      </c>
      <c r="P1087" s="176">
        <f t="shared" si="212"/>
        <v>35000000</v>
      </c>
      <c r="Q1087" s="176">
        <f t="shared" si="213"/>
        <v>35000000</v>
      </c>
      <c r="R1087" s="176" t="str">
        <f t="shared" si="251"/>
        <v/>
      </c>
      <c r="S1087" s="176" t="str">
        <f>IF(AND(AD1087=1,R1087&lt;&gt;".")=TRUE,R1087/VLOOKUP(G1087,'Exchange Rates'!B:C,2,0),IF(R1087=".",".",""))</f>
        <v/>
      </c>
      <c r="T1087" s="176" t="str">
        <f>IF(AD1087=1,IF(AF1087="Value is not given at all",".",IF(AF1087="Value is given by the source",S1087,IF(AF1087="Value is calculated with prices",(IF(SUMIFS(Q:Q,A:A,A1087)&gt;0,SUMIFS(Q:Q,A:A,A1087),"."))/VLOOKUP("USD",'Exchange Rates'!B:C,2,0),"Error with coding"))),"")</f>
        <v/>
      </c>
      <c r="U1087" s="15" t="s">
        <v>261</v>
      </c>
      <c r="V1087" s="547" t="s">
        <v>3069</v>
      </c>
      <c r="W1087" s="667" t="s">
        <v>3044</v>
      </c>
      <c r="X1087" s="667" t="s">
        <v>3047</v>
      </c>
      <c r="Y1087" s="667" t="s">
        <v>3094</v>
      </c>
      <c r="Z1087" s="15">
        <v>0</v>
      </c>
      <c r="AA1087" s="180">
        <v>0</v>
      </c>
      <c r="AB1087" s="667" t="s">
        <v>3095</v>
      </c>
      <c r="AC1087" s="544" t="str">
        <f>""</f>
        <v/>
      </c>
      <c r="AD1087" s="181">
        <v>0</v>
      </c>
      <c r="AE1087" s="586" t="s">
        <v>264</v>
      </c>
      <c r="AF1087" s="181" t="s">
        <v>264</v>
      </c>
      <c r="AG1087" s="181">
        <v>1</v>
      </c>
      <c r="AH1087" s="181">
        <v>3</v>
      </c>
      <c r="AI1087" s="181">
        <v>0</v>
      </c>
      <c r="AJ1087" s="181">
        <f>VLOOKUP($I1087,'Price List, Weapons &amp; Items'!B:F,5,0)</f>
        <v>0</v>
      </c>
      <c r="AK1087" s="181">
        <f t="shared" si="252"/>
        <v>0</v>
      </c>
      <c r="AL1087" s="181">
        <f t="shared" si="253"/>
        <v>0</v>
      </c>
      <c r="AM1087" s="181">
        <f t="shared" si="254"/>
        <v>0</v>
      </c>
      <c r="AN1087" s="180" t="str">
        <f>VLOOKUP($I1087,'Price List, Weapons &amp; Items'!B:L,COLUMN('Price List, Weapons &amp; Items'!$J$11)-1,0)</f>
        <v>Military media (incl. websites)</v>
      </c>
      <c r="AO1087" s="180" t="str">
        <f>IF(I1087=".",".",VLOOKUP($I1087,'Price List, Weapons &amp; Items'!B:J,3,0))</f>
        <v>Military equipment</v>
      </c>
      <c r="AP1087" s="545" t="str">
        <f t="shared" ca="1" si="211"/>
        <v/>
      </c>
      <c r="AQ1087" s="180">
        <f>VLOOKUP($I1087,'Price List, Weapons &amp; Items'!B:L,COLUMN('Price List, Weapons &amp; Items'!$L$11)-1,0)</f>
        <v>2</v>
      </c>
      <c r="AR1087" s="180">
        <f t="shared" si="255"/>
        <v>1</v>
      </c>
      <c r="AS1087" s="180">
        <f t="shared" si="256"/>
        <v>1</v>
      </c>
      <c r="AT1087" s="180">
        <f t="shared" si="207"/>
        <v>1</v>
      </c>
      <c r="AU1087" s="180" t="str">
        <f t="shared" si="208"/>
        <v>.</v>
      </c>
      <c r="AV1087" s="180" t="str">
        <f t="shared" si="209"/>
        <v>.</v>
      </c>
      <c r="AW1087" s="180">
        <f>IFERROR(VLOOKUP(B1087,'Share, Heavy Weapons to Ukraine'!B:J,COLUMN('Share, Heavy Weapons to Ukraine'!C1097)-1,0),0)</f>
        <v>1</v>
      </c>
      <c r="AX1087" s="180">
        <f>VLOOKUP('Bilateral Assistance, MAIN DATA'!B1087,'Country Summary'!B:F,COLUMN('Country Summary'!C1100)-1,FALSE)</f>
        <v>0</v>
      </c>
      <c r="AY1087" s="180" t="str">
        <f>IF(AND(AD1087=1,D1087="Military",H1087&lt;&gt;"Not given")=TRUE,IF(SUMIFS(P:P,A:A,A1087)&gt;0,ABS((SUMIFS(P:P,A:A,A1087)/VLOOKUP("USD",'Exchange Rates'!B:C,2,0)))/S1087,"."),".")</f>
        <v>.</v>
      </c>
      <c r="AZ1087" s="182" t="str">
        <f>IF(AND(AD1087=1,D1087="Military",H1087&lt;&gt;"Not given")=TRUE,IF(SUMIFS(P:P,A:A,A1087)&gt;0,IF((ABS((SUMIFS(P:P,A:A,A1087)/VLOOKUP("USD",'Exchange Rates'!B:C,2,0)))/S1087)&gt;1,(SUMIFS(P:P,A:A,A1087)-S1087)/S1087,(S1087-SUMIFS(P:P,A:A,A1087))/SUMIFS(P:P,A:A,A1087)),"."),".")</f>
        <v>.</v>
      </c>
      <c r="BA1087" s="182"/>
      <c r="BB1087" s="182"/>
      <c r="BC1087" s="182"/>
      <c r="BD1087" s="182"/>
      <c r="BE1087" s="182"/>
      <c r="BF1087" s="182"/>
      <c r="BG1087" s="182"/>
      <c r="BH1087" s="182"/>
      <c r="BI1087" s="182"/>
      <c r="BJ1087" s="182"/>
      <c r="BK1087" s="182"/>
      <c r="BL1087" s="182"/>
      <c r="BM1087" s="182"/>
      <c r="BN1087" s="182"/>
      <c r="BO1087" s="182"/>
      <c r="BP1087" s="182"/>
      <c r="BQ1087" s="182"/>
      <c r="BR1087" s="182"/>
      <c r="BS1087" s="182"/>
    </row>
    <row r="1088" spans="1:71" ht="15.9" customHeight="1" x14ac:dyDescent="0.3">
      <c r="A1088" s="5" t="s">
        <v>3065</v>
      </c>
      <c r="B1088" s="5" t="s">
        <v>3038</v>
      </c>
      <c r="C1088" s="174">
        <v>44656</v>
      </c>
      <c r="D1088" s="5" t="s">
        <v>285</v>
      </c>
      <c r="E1088" s="5" t="s">
        <v>1328</v>
      </c>
      <c r="F1088" s="175" t="s">
        <v>3096</v>
      </c>
      <c r="G1088" s="15" t="s">
        <v>346</v>
      </c>
      <c r="H1088" s="176">
        <v>100000000</v>
      </c>
      <c r="I1088" s="17" t="s">
        <v>3076</v>
      </c>
      <c r="J1088" s="113" t="str">
        <f>VLOOKUP($I1088,'Price List, Weapons &amp; Items'!B:C,2,0)</f>
        <v>Portable defence system</v>
      </c>
      <c r="K1088" s="113" t="str">
        <f>IF(I1088=".",I1088,VLOOKUP($I1088,'Price List, Weapons &amp; Items'!B:D,3,0))</f>
        <v>Light Anti-armor Weapon (LAW)</v>
      </c>
      <c r="L1088" s="177">
        <f>VLOOKUP(I1088,'Price List, Weapons &amp; Items'!B:E,4,0)</f>
        <v>0</v>
      </c>
      <c r="M1088" s="542">
        <v>2950</v>
      </c>
      <c r="N1088" s="542">
        <v>2950</v>
      </c>
      <c r="O1088" s="543">
        <f>VLOOKUP($I1088,'Price List, Weapons &amp; Items'!B:G,6,0)</f>
        <v>256000</v>
      </c>
      <c r="P1088" s="176">
        <f t="shared" si="212"/>
        <v>755200000</v>
      </c>
      <c r="Q1088" s="176">
        <f t="shared" si="213"/>
        <v>755200000</v>
      </c>
      <c r="R1088" s="176" t="str">
        <f t="shared" si="251"/>
        <v/>
      </c>
      <c r="S1088" s="176" t="str">
        <f>IF(AND(AD1088=1,R1088&lt;&gt;".")=TRUE,R1088/VLOOKUP(G1088,'Exchange Rates'!B:C,2,0),IF(R1088=".",".",""))</f>
        <v/>
      </c>
      <c r="T1088" s="176" t="str">
        <f>IF(AD1088=1,IF(AF1088="Value is not given at all",".",IF(AF1088="Value is given by the source",S1088,IF(AF1088="Value is calculated with prices",(IF(SUMIFS(Q:Q,A:A,A1088)&gt;0,SUMIFS(Q:Q,A:A,A1088),"."))/VLOOKUP("USD",'Exchange Rates'!B:C,2,0),"Error with coding"))),"")</f>
        <v/>
      </c>
      <c r="U1088" s="15" t="s">
        <v>261</v>
      </c>
      <c r="V1088" s="300" t="s">
        <v>3067</v>
      </c>
      <c r="W1088" s="667" t="s">
        <v>3044</v>
      </c>
      <c r="X1088" s="667" t="s">
        <v>3047</v>
      </c>
      <c r="Y1088" s="667" t="s">
        <v>3095</v>
      </c>
      <c r="Z1088" s="15">
        <v>0</v>
      </c>
      <c r="AA1088" s="180">
        <v>0</v>
      </c>
      <c r="AB1088" s="667" t="s">
        <v>3097</v>
      </c>
      <c r="AC1088" s="544" t="str">
        <f>""</f>
        <v/>
      </c>
      <c r="AD1088" s="181">
        <v>0</v>
      </c>
      <c r="AE1088" s="586" t="s">
        <v>264</v>
      </c>
      <c r="AF1088" s="181" t="s">
        <v>264</v>
      </c>
      <c r="AG1088" s="181">
        <v>1</v>
      </c>
      <c r="AH1088" s="181">
        <v>4</v>
      </c>
      <c r="AI1088" s="181">
        <v>0</v>
      </c>
      <c r="AJ1088" s="181">
        <f>VLOOKUP($I1088,'Price List, Weapons &amp; Items'!B:F,5,0)</f>
        <v>0</v>
      </c>
      <c r="AK1088" s="181">
        <f t="shared" si="252"/>
        <v>0</v>
      </c>
      <c r="AL1088" s="181">
        <f t="shared" si="253"/>
        <v>0</v>
      </c>
      <c r="AM1088" s="181">
        <f t="shared" si="254"/>
        <v>0</v>
      </c>
      <c r="AN1088" s="180" t="str">
        <f>VLOOKUP($I1088,'Price List, Weapons &amp; Items'!B:L,COLUMN('Price List, Weapons &amp; Items'!$J$11)-1,0)</f>
        <v>Government information</v>
      </c>
      <c r="AO1088" s="180" t="str">
        <f>IF(I1088=".",".",VLOOKUP($I1088,'Price List, Weapons &amp; Items'!B:J,3,0))</f>
        <v>Light Anti-armor Weapon (LAW)</v>
      </c>
      <c r="AP1088" s="545" t="str">
        <f t="shared" ca="1" si="211"/>
        <v/>
      </c>
      <c r="AQ1088" s="180">
        <f>VLOOKUP($I1088,'Price List, Weapons &amp; Items'!B:L,COLUMN('Price List, Weapons &amp; Items'!$L$11)-1,0)</f>
        <v>2</v>
      </c>
      <c r="AR1088" s="180">
        <f t="shared" si="255"/>
        <v>1</v>
      </c>
      <c r="AS1088" s="180">
        <f t="shared" si="256"/>
        <v>1</v>
      </c>
      <c r="AT1088" s="180">
        <f t="shared" ref="AT1088:AT1151" si="258">IFERROR(IF(VALUE(TEXT(C1088,"mm"))=AH1088,".",IF(TEXT(C1088,"mm")="01",".",1)),"Value is not in date format")</f>
        <v>1</v>
      </c>
      <c r="AU1088" s="180" t="str">
        <f t="shared" si="208"/>
        <v>.</v>
      </c>
      <c r="AV1088" s="180" t="str">
        <f t="shared" si="209"/>
        <v>.</v>
      </c>
      <c r="AW1088" s="180">
        <f>IFERROR(VLOOKUP(B1088,'Share, Heavy Weapons to Ukraine'!B:J,COLUMN('Share, Heavy Weapons to Ukraine'!C1098)-1,0),0)</f>
        <v>1</v>
      </c>
      <c r="AX1088" s="180">
        <f>VLOOKUP('Bilateral Assistance, MAIN DATA'!B1088,'Country Summary'!B:F,COLUMN('Country Summary'!C1101)-1,FALSE)</f>
        <v>0</v>
      </c>
      <c r="AY1088" s="180" t="str">
        <f>IF(AND(AD1088=1,D1088="Military",H1088&lt;&gt;"Not given")=TRUE,IF(SUMIFS(P:P,A:A,A1088)&gt;0,ABS((SUMIFS(P:P,A:A,A1088)/VLOOKUP("USD",'Exchange Rates'!B:C,2,0)))/S1088,"."),".")</f>
        <v>.</v>
      </c>
      <c r="AZ1088" s="182" t="str">
        <f>IF(AND(AD1088=1,D1088="Military",H1088&lt;&gt;"Not given")=TRUE,IF(SUMIFS(P:P,A:A,A1088)&gt;0,IF((ABS((SUMIFS(P:P,A:A,A1088)/VLOOKUP("USD",'Exchange Rates'!B:C,2,0)))/S1088)&gt;1,(SUMIFS(P:P,A:A,A1088)-S1088)/S1088,(S1088-SUMIFS(P:P,A:A,A1088))/SUMIFS(P:P,A:A,A1088)),"."),".")</f>
        <v>.</v>
      </c>
      <c r="BA1088" s="182"/>
      <c r="BB1088" s="182"/>
      <c r="BC1088" s="182"/>
      <c r="BD1088" s="182"/>
      <c r="BE1088" s="182"/>
      <c r="BF1088" s="182"/>
      <c r="BG1088" s="182"/>
      <c r="BH1088" s="182"/>
      <c r="BI1088" s="182"/>
      <c r="BJ1088" s="182"/>
      <c r="BK1088" s="182"/>
      <c r="BL1088" s="182"/>
      <c r="BM1088" s="182"/>
      <c r="BN1088" s="182"/>
      <c r="BO1088" s="182"/>
      <c r="BP1088" s="182"/>
      <c r="BQ1088" s="182"/>
      <c r="BR1088" s="182"/>
      <c r="BS1088" s="182"/>
    </row>
    <row r="1089" spans="1:71" ht="15.9" customHeight="1" x14ac:dyDescent="0.3">
      <c r="A1089" s="5" t="s">
        <v>3065</v>
      </c>
      <c r="B1089" s="5" t="s">
        <v>3038</v>
      </c>
      <c r="C1089" s="174">
        <v>44664</v>
      </c>
      <c r="D1089" s="5" t="s">
        <v>285</v>
      </c>
      <c r="E1089" s="5" t="s">
        <v>1328</v>
      </c>
      <c r="F1089" s="175" t="s">
        <v>3098</v>
      </c>
      <c r="G1089" s="15" t="s">
        <v>346</v>
      </c>
      <c r="H1089" s="176">
        <v>800000000</v>
      </c>
      <c r="I1089" s="17" t="s">
        <v>318</v>
      </c>
      <c r="J1089" s="113" t="str">
        <f>VLOOKUP($I1089,'Price List, Weapons &amp; Items'!B:C,2,0)</f>
        <v>Heavy weapon</v>
      </c>
      <c r="K1089" s="113" t="str">
        <f>IF(I1089=".",I1089,VLOOKUP($I1089,'Price List, Weapons &amp; Items'!B:D,3,0))</f>
        <v>155mm howitzer</v>
      </c>
      <c r="L1089" s="177">
        <f>VLOOKUP(I1089,'Price List, Weapons &amp; Items'!B:E,4,0)</f>
        <v>0</v>
      </c>
      <c r="M1089" s="542">
        <v>18</v>
      </c>
      <c r="N1089" s="542">
        <v>18</v>
      </c>
      <c r="O1089" s="543">
        <f>VLOOKUP($I1089,'Price List, Weapons &amp; Items'!B:G,6,0)</f>
        <v>5170000</v>
      </c>
      <c r="P1089" s="176">
        <f t="shared" si="212"/>
        <v>93060000</v>
      </c>
      <c r="Q1089" s="176">
        <f t="shared" si="213"/>
        <v>93060000</v>
      </c>
      <c r="R1089" s="176" t="str">
        <f t="shared" si="251"/>
        <v/>
      </c>
      <c r="S1089" s="176" t="str">
        <f>IF(AND(AD1089=1,R1089&lt;&gt;".")=TRUE,R1089/VLOOKUP(G1089,'Exchange Rates'!B:C,2,0),IF(R1089=".",".",""))</f>
        <v/>
      </c>
      <c r="T1089" s="176" t="str">
        <f>IF(AD1089=1,IF(AF1089="Value is not given at all",".",IF(AF1089="Value is given by the source",S1089,IF(AF1089="Value is calculated with prices",(IF(SUMIFS(Q:Q,A:A,A1089)&gt;0,SUMIFS(Q:Q,A:A,A1089),"."))/VLOOKUP("USD",'Exchange Rates'!B:C,2,0),"Error with coding"))),"")</f>
        <v/>
      </c>
      <c r="U1089" s="15" t="s">
        <v>261</v>
      </c>
      <c r="V1089" s="547" t="s">
        <v>3069</v>
      </c>
      <c r="W1089" s="667" t="s">
        <v>3044</v>
      </c>
      <c r="X1089" s="667" t="s">
        <v>3047</v>
      </c>
      <c r="Y1089" s="667" t="s">
        <v>3097</v>
      </c>
      <c r="Z1089" s="15">
        <v>0</v>
      </c>
      <c r="AA1089" s="180">
        <v>0</v>
      </c>
      <c r="AB1089" s="667" t="s">
        <v>3099</v>
      </c>
      <c r="AC1089" s="544" t="str">
        <f>""</f>
        <v/>
      </c>
      <c r="AD1089" s="181">
        <v>0</v>
      </c>
      <c r="AE1089" s="586" t="s">
        <v>264</v>
      </c>
      <c r="AF1089" s="181" t="s">
        <v>264</v>
      </c>
      <c r="AG1089" s="181">
        <v>1</v>
      </c>
      <c r="AH1089" s="181">
        <v>4</v>
      </c>
      <c r="AI1089" s="181">
        <v>0</v>
      </c>
      <c r="AJ1089" s="181">
        <f>VLOOKUP($I1089,'Price List, Weapons &amp; Items'!B:F,5,0)</f>
        <v>1</v>
      </c>
      <c r="AK1089" s="181">
        <f t="shared" si="252"/>
        <v>0</v>
      </c>
      <c r="AL1089" s="181">
        <f t="shared" si="253"/>
        <v>0</v>
      </c>
      <c r="AM1089" s="181">
        <f t="shared" si="254"/>
        <v>0</v>
      </c>
      <c r="AN1089" s="180" t="str">
        <f>VLOOKUP($I1089,'Price List, Weapons &amp; Items'!B:L,COLUMN('Price List, Weapons &amp; Items'!$J$11)-1,0)</f>
        <v>Military media (incl. websites)</v>
      </c>
      <c r="AO1089" s="180" t="str">
        <f>IF(I1089=".",".",VLOOKUP($I1089,'Price List, Weapons &amp; Items'!B:J,3,0))</f>
        <v>155mm howitzer</v>
      </c>
      <c r="AP1089" s="545" t="str">
        <f t="shared" ca="1" si="211"/>
        <v/>
      </c>
      <c r="AQ1089" s="180">
        <f>VLOOKUP($I1089,'Price List, Weapons &amp; Items'!B:L,COLUMN('Price List, Weapons &amp; Items'!$L$11)-1,0)</f>
        <v>2</v>
      </c>
      <c r="AR1089" s="180">
        <f t="shared" si="255"/>
        <v>1</v>
      </c>
      <c r="AS1089" s="180">
        <f t="shared" si="256"/>
        <v>1</v>
      </c>
      <c r="AT1089" s="180">
        <f t="shared" si="258"/>
        <v>1</v>
      </c>
      <c r="AU1089" s="180" t="str">
        <f t="shared" si="208"/>
        <v>.</v>
      </c>
      <c r="AV1089" s="180" t="str">
        <f t="shared" si="209"/>
        <v>.</v>
      </c>
      <c r="AW1089" s="180">
        <f>IFERROR(VLOOKUP(B1089,'Share, Heavy Weapons to Ukraine'!B:J,COLUMN('Share, Heavy Weapons to Ukraine'!C1099)-1,0),0)</f>
        <v>1</v>
      </c>
      <c r="AX1089" s="180">
        <f>VLOOKUP('Bilateral Assistance, MAIN DATA'!B1089,'Country Summary'!B:F,COLUMN('Country Summary'!C1102)-1,FALSE)</f>
        <v>0</v>
      </c>
      <c r="AY1089" s="180" t="str">
        <f>IF(AND(AD1089=1,D1089="Military",H1089&lt;&gt;"Not given")=TRUE,IF(SUMIFS(P:P,A:A,A1089)&gt;0,ABS((SUMIFS(P:P,A:A,A1089)/VLOOKUP("USD",'Exchange Rates'!B:C,2,0)))/S1089,"."),".")</f>
        <v>.</v>
      </c>
      <c r="AZ1089" s="182" t="str">
        <f>IF(AND(AD1089=1,D1089="Military",H1089&lt;&gt;"Not given")=TRUE,IF(SUMIFS(P:P,A:A,A1089)&gt;0,IF((ABS((SUMIFS(P:P,A:A,A1089)/VLOOKUP("USD",'Exchange Rates'!B:C,2,0)))/S1089)&gt;1,(SUMIFS(P:P,A:A,A1089)-S1089)/S1089,(S1089-SUMIFS(P:P,A:A,A1089))/SUMIFS(P:P,A:A,A1089)),"."),".")</f>
        <v>.</v>
      </c>
      <c r="BA1089" s="182"/>
      <c r="BB1089" s="182"/>
      <c r="BC1089" s="182"/>
      <c r="BD1089" s="182"/>
      <c r="BE1089" s="182"/>
      <c r="BF1089" s="182"/>
      <c r="BG1089" s="182"/>
      <c r="BH1089" s="182"/>
      <c r="BI1089" s="182"/>
      <c r="BJ1089" s="182"/>
      <c r="BK1089" s="182"/>
      <c r="BL1089" s="182"/>
      <c r="BM1089" s="182"/>
      <c r="BN1089" s="182"/>
      <c r="BO1089" s="182"/>
      <c r="BP1089" s="182"/>
      <c r="BQ1089" s="182"/>
      <c r="BR1089" s="182"/>
      <c r="BS1089" s="182"/>
    </row>
    <row r="1090" spans="1:71" ht="15.9" customHeight="1" x14ac:dyDescent="0.3">
      <c r="A1090" s="5" t="s">
        <v>3065</v>
      </c>
      <c r="B1090" s="5" t="s">
        <v>3038</v>
      </c>
      <c r="C1090" s="174">
        <v>44664</v>
      </c>
      <c r="D1090" s="5" t="s">
        <v>285</v>
      </c>
      <c r="E1090" s="5" t="s">
        <v>1328</v>
      </c>
      <c r="F1090" s="175" t="s">
        <v>3098</v>
      </c>
      <c r="G1090" s="15" t="s">
        <v>346</v>
      </c>
      <c r="H1090" s="176">
        <v>800000000</v>
      </c>
      <c r="I1090" s="185" t="s">
        <v>644</v>
      </c>
      <c r="J1090" s="113" t="str">
        <f>VLOOKUP($I1090,'Price List, Weapons &amp; Items'!B:C,2,0)</f>
        <v>Ammunition for heavy weapon</v>
      </c>
      <c r="K1090" s="113" t="str">
        <f>IF(I1090=".",I1090,VLOOKUP($I1090,'Price List, Weapons &amp; Items'!B:D,3,0))</f>
        <v>155mm howitzer ammunition</v>
      </c>
      <c r="L1090" s="177">
        <f>VLOOKUP(I1090,'Price List, Weapons &amp; Items'!B:E,4,0)</f>
        <v>0</v>
      </c>
      <c r="M1090" s="542">
        <v>40000</v>
      </c>
      <c r="N1090" s="542">
        <v>40000</v>
      </c>
      <c r="O1090" s="543">
        <f>VLOOKUP($I1090,'Price List, Weapons &amp; Items'!B:G,6,0)</f>
        <v>3800</v>
      </c>
      <c r="P1090" s="176">
        <f t="shared" si="212"/>
        <v>152000000</v>
      </c>
      <c r="Q1090" s="176">
        <f t="shared" si="213"/>
        <v>152000000</v>
      </c>
      <c r="R1090" s="176" t="str">
        <f t="shared" si="251"/>
        <v/>
      </c>
      <c r="S1090" s="176" t="str">
        <f>IF(AND(AD1090=1,R1090&lt;&gt;".")=TRUE,R1090/VLOOKUP(G1090,'Exchange Rates'!B:C,2,0),IF(R1090=".",".",""))</f>
        <v/>
      </c>
      <c r="T1090" s="176" t="str">
        <f>IF(AD1090=1,IF(AF1090="Value is not given at all",".",IF(AF1090="Value is given by the source",S1090,IF(AF1090="Value is calculated with prices",(IF(SUMIFS(Q:Q,A:A,A1090)&gt;0,SUMIFS(Q:Q,A:A,A1090),"."))/VLOOKUP("USD",'Exchange Rates'!B:C,2,0),"Error with coding"))),"")</f>
        <v/>
      </c>
      <c r="U1090" s="15" t="s">
        <v>261</v>
      </c>
      <c r="V1090" s="547" t="s">
        <v>3069</v>
      </c>
      <c r="W1090" s="667" t="s">
        <v>3044</v>
      </c>
      <c r="X1090" s="667" t="s">
        <v>3047</v>
      </c>
      <c r="Y1090" s="667" t="s">
        <v>3099</v>
      </c>
      <c r="Z1090" s="15">
        <v>0</v>
      </c>
      <c r="AA1090" s="180">
        <v>0</v>
      </c>
      <c r="AB1090" s="667" t="s">
        <v>3100</v>
      </c>
      <c r="AC1090" s="544" t="str">
        <f>""</f>
        <v/>
      </c>
      <c r="AD1090" s="181">
        <v>0</v>
      </c>
      <c r="AE1090" s="586" t="s">
        <v>264</v>
      </c>
      <c r="AF1090" s="181" t="s">
        <v>264</v>
      </c>
      <c r="AG1090" s="181">
        <v>1</v>
      </c>
      <c r="AH1090" s="181">
        <v>4</v>
      </c>
      <c r="AI1090" s="181">
        <v>0</v>
      </c>
      <c r="AJ1090" s="181">
        <f>VLOOKUP($I1090,'Price List, Weapons &amp; Items'!B:F,5,0)</f>
        <v>1</v>
      </c>
      <c r="AK1090" s="181">
        <f t="shared" si="252"/>
        <v>0</v>
      </c>
      <c r="AL1090" s="181">
        <f t="shared" si="253"/>
        <v>0</v>
      </c>
      <c r="AM1090" s="181">
        <f t="shared" si="254"/>
        <v>0</v>
      </c>
      <c r="AN1090" s="180" t="str">
        <f>VLOOKUP($I1090,'Price List, Weapons &amp; Items'!B:L,COLUMN('Price List, Weapons &amp; Items'!$J$11)-1,0)</f>
        <v>Government information</v>
      </c>
      <c r="AO1090" s="180" t="str">
        <f>IF(I1090=".",".",VLOOKUP($I1090,'Price List, Weapons &amp; Items'!B:J,3,0))</f>
        <v>155mm howitzer ammunition</v>
      </c>
      <c r="AP1090" s="545" t="str">
        <f t="shared" ca="1" si="211"/>
        <v/>
      </c>
      <c r="AQ1090" s="180">
        <f>VLOOKUP($I1090,'Price List, Weapons &amp; Items'!B:L,COLUMN('Price List, Weapons &amp; Items'!$L$11)-1,0)</f>
        <v>2</v>
      </c>
      <c r="AR1090" s="180">
        <f t="shared" si="255"/>
        <v>1</v>
      </c>
      <c r="AS1090" s="180">
        <f t="shared" si="256"/>
        <v>1</v>
      </c>
      <c r="AT1090" s="180">
        <f t="shared" si="258"/>
        <v>1</v>
      </c>
      <c r="AU1090" s="180" t="str">
        <f t="shared" ref="AU1090:AU1153" si="259">IF(AND(A1090=A1089,C1090=C1089)=TRUE,IF(F1090=F1089,".","1"),".")</f>
        <v>.</v>
      </c>
      <c r="AV1090" s="180" t="str">
        <f t="shared" ref="AV1090:AV1153" si="260">IF(T1090&lt;&gt;".",IF(T1090&gt;S1090,1,"."),".")</f>
        <v>.</v>
      </c>
      <c r="AW1090" s="180">
        <f>IFERROR(VLOOKUP(B1090,'Share, Heavy Weapons to Ukraine'!B:J,COLUMN('Share, Heavy Weapons to Ukraine'!C1100)-1,0),0)</f>
        <v>1</v>
      </c>
      <c r="AX1090" s="180">
        <f>VLOOKUP('Bilateral Assistance, MAIN DATA'!B1090,'Country Summary'!B:F,COLUMN('Country Summary'!C1103)-1,FALSE)</f>
        <v>0</v>
      </c>
      <c r="AY1090" s="180" t="str">
        <f>IF(AND(AD1090=1,D1090="Military",H1090&lt;&gt;"Not given")=TRUE,IF(SUMIFS(P:P,A:A,A1090)&gt;0,ABS((SUMIFS(P:P,A:A,A1090)/VLOOKUP("USD",'Exchange Rates'!B:C,2,0)))/S1090,"."),".")</f>
        <v>.</v>
      </c>
      <c r="AZ1090" s="182" t="str">
        <f>IF(AND(AD1090=1,D1090="Military",H1090&lt;&gt;"Not given")=TRUE,IF(SUMIFS(P:P,A:A,A1090)&gt;0,IF((ABS((SUMIFS(P:P,A:A,A1090)/VLOOKUP("USD",'Exchange Rates'!B:C,2,0)))/S1090)&gt;1,(SUMIFS(P:P,A:A,A1090)-S1090)/S1090,(S1090-SUMIFS(P:P,A:A,A1090))/SUMIFS(P:P,A:A,A1090)),"."),".")</f>
        <v>.</v>
      </c>
      <c r="BA1090" s="182"/>
      <c r="BB1090" s="182"/>
      <c r="BC1090" s="182"/>
      <c r="BD1090" s="182"/>
      <c r="BE1090" s="182"/>
      <c r="BF1090" s="182"/>
      <c r="BG1090" s="182"/>
      <c r="BH1090" s="182"/>
      <c r="BI1090" s="182"/>
      <c r="BJ1090" s="182"/>
      <c r="BK1090" s="182"/>
      <c r="BL1090" s="182"/>
      <c r="BM1090" s="182"/>
      <c r="BN1090" s="182"/>
      <c r="BO1090" s="182"/>
      <c r="BP1090" s="182"/>
      <c r="BQ1090" s="182"/>
      <c r="BR1090" s="182"/>
      <c r="BS1090" s="182"/>
    </row>
    <row r="1091" spans="1:71" ht="15.9" customHeight="1" x14ac:dyDescent="0.3">
      <c r="A1091" s="5" t="s">
        <v>3065</v>
      </c>
      <c r="B1091" s="5" t="s">
        <v>3038</v>
      </c>
      <c r="C1091" s="174">
        <v>44664</v>
      </c>
      <c r="D1091" s="5" t="s">
        <v>285</v>
      </c>
      <c r="E1091" s="5" t="s">
        <v>1328</v>
      </c>
      <c r="F1091" s="175" t="s">
        <v>3098</v>
      </c>
      <c r="G1091" s="15" t="s">
        <v>346</v>
      </c>
      <c r="H1091" s="176">
        <v>800000000</v>
      </c>
      <c r="I1091" s="17" t="s">
        <v>2085</v>
      </c>
      <c r="J1091" s="113" t="str">
        <f>VLOOKUP($I1091,'Price List, Weapons &amp; Items'!B:C,2,0)</f>
        <v>Military equipment</v>
      </c>
      <c r="K1091" s="113" t="str">
        <f>IF(I1091=".",I1091,VLOOKUP($I1091,'Price List, Weapons &amp; Items'!B:D,3,0))</f>
        <v>Military equipment</v>
      </c>
      <c r="L1091" s="177">
        <f>VLOOKUP(I1091,'Price List, Weapons &amp; Items'!B:E,4,0)</f>
        <v>0</v>
      </c>
      <c r="M1091" s="542">
        <v>10</v>
      </c>
      <c r="N1091" s="542">
        <v>10</v>
      </c>
      <c r="O1091" s="543">
        <f>VLOOKUP($I1091,'Price List, Weapons &amp; Items'!B:G,6,0)</f>
        <v>8888888</v>
      </c>
      <c r="P1091" s="176">
        <f t="shared" si="212"/>
        <v>88888880</v>
      </c>
      <c r="Q1091" s="176">
        <f t="shared" si="213"/>
        <v>88888880</v>
      </c>
      <c r="R1091" s="176" t="str">
        <f t="shared" si="251"/>
        <v/>
      </c>
      <c r="S1091" s="176" t="str">
        <f>IF(AND(AD1091=1,R1091&lt;&gt;".")=TRUE,R1091/VLOOKUP(G1091,'Exchange Rates'!B:C,2,0),IF(R1091=".",".",""))</f>
        <v/>
      </c>
      <c r="T1091" s="176" t="str">
        <f>IF(AD1091=1,IF(AF1091="Value is not given at all",".",IF(AF1091="Value is given by the source",S1091,IF(AF1091="Value is calculated with prices",(IF(SUMIFS(Q:Q,A:A,A1091)&gt;0,SUMIFS(Q:Q,A:A,A1091),"."))/VLOOKUP("USD",'Exchange Rates'!B:C,2,0),"Error with coding"))),"")</f>
        <v/>
      </c>
      <c r="U1091" s="15" t="s">
        <v>261</v>
      </c>
      <c r="V1091" s="547" t="s">
        <v>3069</v>
      </c>
      <c r="W1091" s="667" t="s">
        <v>3044</v>
      </c>
      <c r="X1091" s="667" t="s">
        <v>3047</v>
      </c>
      <c r="Y1091" s="667" t="s">
        <v>3100</v>
      </c>
      <c r="Z1091" s="15">
        <v>0</v>
      </c>
      <c r="AA1091" s="180">
        <v>0</v>
      </c>
      <c r="AB1091" s="667" t="s">
        <v>3101</v>
      </c>
      <c r="AC1091" s="544" t="str">
        <f>""</f>
        <v/>
      </c>
      <c r="AD1091" s="181">
        <v>0</v>
      </c>
      <c r="AE1091" s="586" t="s">
        <v>264</v>
      </c>
      <c r="AF1091" s="181" t="s">
        <v>264</v>
      </c>
      <c r="AG1091" s="181">
        <v>1</v>
      </c>
      <c r="AH1091" s="181">
        <v>4</v>
      </c>
      <c r="AI1091" s="181">
        <v>0</v>
      </c>
      <c r="AJ1091" s="181">
        <f>VLOOKUP($I1091,'Price List, Weapons &amp; Items'!B:F,5,0)</f>
        <v>0</v>
      </c>
      <c r="AK1091" s="181">
        <f t="shared" si="252"/>
        <v>0</v>
      </c>
      <c r="AL1091" s="181">
        <f t="shared" si="253"/>
        <v>0</v>
      </c>
      <c r="AM1091" s="181">
        <f t="shared" si="254"/>
        <v>0</v>
      </c>
      <c r="AN1091" s="180" t="str">
        <f>VLOOKUP($I1091,'Price List, Weapons &amp; Items'!B:L,COLUMN('Price List, Weapons &amp; Items'!$J$11)-1,0)</f>
        <v>Military media (incl. websites)</v>
      </c>
      <c r="AO1091" s="180" t="str">
        <f>IF(I1091=".",".",VLOOKUP($I1091,'Price List, Weapons &amp; Items'!B:J,3,0))</f>
        <v>Military equipment</v>
      </c>
      <c r="AP1091" s="545" t="str">
        <f t="shared" ca="1" si="211"/>
        <v/>
      </c>
      <c r="AQ1091" s="180">
        <f>VLOOKUP($I1091,'Price List, Weapons &amp; Items'!B:L,COLUMN('Price List, Weapons &amp; Items'!$L$11)-1,0)</f>
        <v>2</v>
      </c>
      <c r="AR1091" s="180">
        <f t="shared" si="255"/>
        <v>1</v>
      </c>
      <c r="AS1091" s="180">
        <f t="shared" si="256"/>
        <v>1</v>
      </c>
      <c r="AT1091" s="180">
        <f t="shared" si="258"/>
        <v>1</v>
      </c>
      <c r="AU1091" s="180" t="str">
        <f t="shared" si="259"/>
        <v>.</v>
      </c>
      <c r="AV1091" s="180" t="str">
        <f t="shared" si="260"/>
        <v>.</v>
      </c>
      <c r="AW1091" s="180">
        <f>IFERROR(VLOOKUP(B1091,'Share, Heavy Weapons to Ukraine'!B:J,COLUMN('Share, Heavy Weapons to Ukraine'!C1101)-1,0),0)</f>
        <v>1</v>
      </c>
      <c r="AX1091" s="180">
        <f>VLOOKUP('Bilateral Assistance, MAIN DATA'!B1091,'Country Summary'!B:F,COLUMN('Country Summary'!C1104)-1,FALSE)</f>
        <v>0</v>
      </c>
      <c r="AY1091" s="180" t="str">
        <f>IF(AND(AD1091=1,D1091="Military",H1091&lt;&gt;"Not given")=TRUE,IF(SUMIFS(P:P,A:A,A1091)&gt;0,ABS((SUMIFS(P:P,A:A,A1091)/VLOOKUP("USD",'Exchange Rates'!B:C,2,0)))/S1091,"."),".")</f>
        <v>.</v>
      </c>
      <c r="AZ1091" s="182" t="str">
        <f>IF(AND(AD1091=1,D1091="Military",H1091&lt;&gt;"Not given")=TRUE,IF(SUMIFS(P:P,A:A,A1091)&gt;0,IF((ABS((SUMIFS(P:P,A:A,A1091)/VLOOKUP("USD",'Exchange Rates'!B:C,2,0)))/S1091)&gt;1,(SUMIFS(P:P,A:A,A1091)-S1091)/S1091,(S1091-SUMIFS(P:P,A:A,A1091))/SUMIFS(P:P,A:A,A1091)),"."),".")</f>
        <v>.</v>
      </c>
      <c r="BA1091" s="182"/>
      <c r="BB1091" s="182"/>
      <c r="BC1091" s="182"/>
      <c r="BD1091" s="182"/>
      <c r="BE1091" s="182"/>
      <c r="BF1091" s="182"/>
      <c r="BG1091" s="182"/>
      <c r="BH1091" s="182"/>
      <c r="BI1091" s="182"/>
      <c r="BJ1091" s="182"/>
      <c r="BK1091" s="182"/>
      <c r="BL1091" s="182"/>
      <c r="BM1091" s="182"/>
      <c r="BN1091" s="182"/>
      <c r="BO1091" s="182"/>
      <c r="BP1091" s="182"/>
      <c r="BQ1091" s="182"/>
      <c r="BR1091" s="182"/>
      <c r="BS1091" s="182"/>
    </row>
    <row r="1092" spans="1:71" ht="15.9" customHeight="1" x14ac:dyDescent="0.3">
      <c r="A1092" s="5" t="s">
        <v>3065</v>
      </c>
      <c r="B1092" s="5" t="s">
        <v>3038</v>
      </c>
      <c r="C1092" s="174">
        <v>44664</v>
      </c>
      <c r="D1092" s="5" t="s">
        <v>285</v>
      </c>
      <c r="E1092" s="5" t="s">
        <v>1328</v>
      </c>
      <c r="F1092" s="175" t="s">
        <v>3098</v>
      </c>
      <c r="G1092" s="15" t="s">
        <v>346</v>
      </c>
      <c r="H1092" s="176">
        <v>800000000</v>
      </c>
      <c r="I1092" s="17" t="s">
        <v>3102</v>
      </c>
      <c r="J1092" s="113" t="str">
        <f>VLOOKUP($I1092,'Price List, Weapons &amp; Items'!B:C,2,0)</f>
        <v>Military equipment</v>
      </c>
      <c r="K1092" s="113" t="str">
        <f>IF(I1092=".",I1092,VLOOKUP($I1092,'Price List, Weapons &amp; Items'!B:D,3,0))</f>
        <v>Military equipment</v>
      </c>
      <c r="L1092" s="177">
        <f>VLOOKUP(I1092,'Price List, Weapons &amp; Items'!B:E,4,0)</f>
        <v>0</v>
      </c>
      <c r="M1092" s="542">
        <v>2</v>
      </c>
      <c r="N1092" s="542">
        <v>2</v>
      </c>
      <c r="O1092" s="543">
        <f>VLOOKUP($I1092,'Price List, Weapons &amp; Items'!B:G,6,0)</f>
        <v>70000000</v>
      </c>
      <c r="P1092" s="176">
        <f t="shared" si="212"/>
        <v>140000000</v>
      </c>
      <c r="Q1092" s="176">
        <f t="shared" si="213"/>
        <v>140000000</v>
      </c>
      <c r="R1092" s="176" t="str">
        <f t="shared" si="251"/>
        <v/>
      </c>
      <c r="S1092" s="176" t="str">
        <f>IF(AND(AD1092=1,R1092&lt;&gt;".")=TRUE,R1092/VLOOKUP(G1092,'Exchange Rates'!B:C,2,0),IF(R1092=".",".",""))</f>
        <v/>
      </c>
      <c r="T1092" s="176" t="str">
        <f>IF(AD1092=1,IF(AF1092="Value is not given at all",".",IF(AF1092="Value is given by the source",S1092,IF(AF1092="Value is calculated with prices",(IF(SUMIFS(Q:Q,A:A,A1092)&gt;0,SUMIFS(Q:Q,A:A,A1092),"."))/VLOOKUP("USD",'Exchange Rates'!B:C,2,0),"Error with coding"))),"")</f>
        <v/>
      </c>
      <c r="U1092" s="15" t="s">
        <v>261</v>
      </c>
      <c r="V1092" s="547" t="s">
        <v>3069</v>
      </c>
      <c r="W1092" s="667" t="s">
        <v>3044</v>
      </c>
      <c r="X1092" s="667" t="s">
        <v>3047</v>
      </c>
      <c r="Y1092" s="667" t="s">
        <v>3101</v>
      </c>
      <c r="Z1092" s="15">
        <v>0</v>
      </c>
      <c r="AA1092" s="180">
        <v>0</v>
      </c>
      <c r="AB1092" s="667" t="s">
        <v>3103</v>
      </c>
      <c r="AC1092" s="544" t="str">
        <f>""</f>
        <v/>
      </c>
      <c r="AD1092" s="181">
        <v>0</v>
      </c>
      <c r="AE1092" s="586" t="s">
        <v>264</v>
      </c>
      <c r="AF1092" s="181" t="s">
        <v>264</v>
      </c>
      <c r="AG1092" s="181">
        <v>1</v>
      </c>
      <c r="AH1092" s="181">
        <v>4</v>
      </c>
      <c r="AI1092" s="181">
        <v>0</v>
      </c>
      <c r="AJ1092" s="181">
        <f>VLOOKUP($I1092,'Price List, Weapons &amp; Items'!B:F,5,0)</f>
        <v>0</v>
      </c>
      <c r="AK1092" s="181">
        <f t="shared" si="252"/>
        <v>0</v>
      </c>
      <c r="AL1092" s="181">
        <f t="shared" si="253"/>
        <v>0</v>
      </c>
      <c r="AM1092" s="181">
        <f t="shared" si="254"/>
        <v>0</v>
      </c>
      <c r="AN1092" s="180" t="str">
        <f>VLOOKUP($I1092,'Price List, Weapons &amp; Items'!B:L,COLUMN('Price List, Weapons &amp; Items'!$J$11)-1,0)</f>
        <v>Military media (incl. websites)</v>
      </c>
      <c r="AO1092" s="180" t="str">
        <f>IF(I1092=".",".",VLOOKUP($I1092,'Price List, Weapons &amp; Items'!B:J,3,0))</f>
        <v>Military equipment</v>
      </c>
      <c r="AP1092" s="545" t="str">
        <f t="shared" ca="1" si="211"/>
        <v/>
      </c>
      <c r="AQ1092" s="180">
        <f>VLOOKUP($I1092,'Price List, Weapons &amp; Items'!B:L,COLUMN('Price List, Weapons &amp; Items'!$L$11)-1,0)</f>
        <v>2</v>
      </c>
      <c r="AR1092" s="180">
        <f t="shared" si="255"/>
        <v>1</v>
      </c>
      <c r="AS1092" s="180">
        <f t="shared" si="256"/>
        <v>1</v>
      </c>
      <c r="AT1092" s="180">
        <f t="shared" si="258"/>
        <v>1</v>
      </c>
      <c r="AU1092" s="180" t="str">
        <f t="shared" si="259"/>
        <v>.</v>
      </c>
      <c r="AV1092" s="180" t="str">
        <f t="shared" si="260"/>
        <v>.</v>
      </c>
      <c r="AW1092" s="180">
        <f>IFERROR(VLOOKUP(B1092,'Share, Heavy Weapons to Ukraine'!B:J,COLUMN('Share, Heavy Weapons to Ukraine'!C1102)-1,0),0)</f>
        <v>1</v>
      </c>
      <c r="AX1092" s="180">
        <f>VLOOKUP('Bilateral Assistance, MAIN DATA'!B1092,'Country Summary'!B:F,COLUMN('Country Summary'!C1105)-1,FALSE)</f>
        <v>0</v>
      </c>
      <c r="AY1092" s="180" t="str">
        <f>IF(AND(AD1092=1,D1092="Military",H1092&lt;&gt;"Not given")=TRUE,IF(SUMIFS(P:P,A:A,A1092)&gt;0,ABS((SUMIFS(P:P,A:A,A1092)/VLOOKUP("USD",'Exchange Rates'!B:C,2,0)))/S1092,"."),".")</f>
        <v>.</v>
      </c>
      <c r="AZ1092" s="182" t="str">
        <f>IF(AND(AD1092=1,D1092="Military",H1092&lt;&gt;"Not given")=TRUE,IF(SUMIFS(P:P,A:A,A1092)&gt;0,IF((ABS((SUMIFS(P:P,A:A,A1092)/VLOOKUP("USD",'Exchange Rates'!B:C,2,0)))/S1092)&gt;1,(SUMIFS(P:P,A:A,A1092)-S1092)/S1092,(S1092-SUMIFS(P:P,A:A,A1092))/SUMIFS(P:P,A:A,A1092)),"."),".")</f>
        <v>.</v>
      </c>
      <c r="BA1092" s="182"/>
      <c r="BB1092" s="182"/>
      <c r="BC1092" s="182"/>
      <c r="BD1092" s="182"/>
      <c r="BE1092" s="182"/>
      <c r="BF1092" s="182"/>
      <c r="BG1092" s="182"/>
      <c r="BH1092" s="182"/>
      <c r="BI1092" s="182"/>
      <c r="BJ1092" s="182"/>
      <c r="BK1092" s="182"/>
      <c r="BL1092" s="182"/>
      <c r="BM1092" s="182"/>
      <c r="BN1092" s="182"/>
      <c r="BO1092" s="182"/>
      <c r="BP1092" s="182"/>
      <c r="BQ1092" s="182"/>
      <c r="BR1092" s="182"/>
      <c r="BS1092" s="182"/>
    </row>
    <row r="1093" spans="1:71" ht="15.9" customHeight="1" x14ac:dyDescent="0.3">
      <c r="A1093" s="5" t="s">
        <v>3065</v>
      </c>
      <c r="B1093" s="5" t="s">
        <v>3038</v>
      </c>
      <c r="C1093" s="174">
        <v>44664</v>
      </c>
      <c r="D1093" s="5" t="s">
        <v>285</v>
      </c>
      <c r="E1093" s="5" t="s">
        <v>1328</v>
      </c>
      <c r="F1093" s="175" t="s">
        <v>3098</v>
      </c>
      <c r="G1093" s="15" t="s">
        <v>346</v>
      </c>
      <c r="H1093" s="176">
        <v>800000000</v>
      </c>
      <c r="I1093" s="17" t="s">
        <v>3104</v>
      </c>
      <c r="J1093" s="113" t="str">
        <f>VLOOKUP($I1093,'Price List, Weapons &amp; Items'!B:C,2,0)</f>
        <v>Aviation and drones</v>
      </c>
      <c r="K1093" s="113" t="str">
        <f>IF(I1093=".",I1093,VLOOKUP($I1093,'Price List, Weapons &amp; Items'!B:D,3,0))</f>
        <v>drone</v>
      </c>
      <c r="L1093" s="177">
        <f>VLOOKUP(I1093,'Price List, Weapons &amp; Items'!B:E,4,0)</f>
        <v>0</v>
      </c>
      <c r="M1093" s="542">
        <v>300</v>
      </c>
      <c r="N1093" s="542">
        <v>300</v>
      </c>
      <c r="O1093" s="543">
        <f>VLOOKUP($I1093,'Price List, Weapons &amp; Items'!B:G,6,0)</f>
        <v>6000</v>
      </c>
      <c r="P1093" s="176">
        <f t="shared" si="212"/>
        <v>1800000</v>
      </c>
      <c r="Q1093" s="176">
        <f t="shared" si="213"/>
        <v>1800000</v>
      </c>
      <c r="R1093" s="176" t="str">
        <f t="shared" si="251"/>
        <v/>
      </c>
      <c r="S1093" s="176" t="str">
        <f>IF(AND(AD1093=1,R1093&lt;&gt;".")=TRUE,R1093/VLOOKUP(G1093,'Exchange Rates'!B:C,2,0),IF(R1093=".",".",""))</f>
        <v/>
      </c>
      <c r="T1093" s="176" t="str">
        <f>IF(AD1093=1,IF(AF1093="Value is not given at all",".",IF(AF1093="Value is given by the source",S1093,IF(AF1093="Value is calculated with prices",(IF(SUMIFS(Q:Q,A:A,A1093)&gt;0,SUMIFS(Q:Q,A:A,A1093),"."))/VLOOKUP("USD",'Exchange Rates'!B:C,2,0),"Error with coding"))),"")</f>
        <v/>
      </c>
      <c r="U1093" s="15" t="s">
        <v>261</v>
      </c>
      <c r="V1093" s="547" t="s">
        <v>3069</v>
      </c>
      <c r="W1093" s="667" t="s">
        <v>3044</v>
      </c>
      <c r="X1093" s="667" t="s">
        <v>3047</v>
      </c>
      <c r="Y1093" s="667" t="s">
        <v>3103</v>
      </c>
      <c r="Z1093" s="15">
        <v>0</v>
      </c>
      <c r="AA1093" s="180">
        <v>0</v>
      </c>
      <c r="AB1093" s="667" t="s">
        <v>3105</v>
      </c>
      <c r="AC1093" s="544" t="str">
        <f>""</f>
        <v/>
      </c>
      <c r="AD1093" s="181">
        <v>0</v>
      </c>
      <c r="AE1093" s="586" t="s">
        <v>264</v>
      </c>
      <c r="AF1093" s="181" t="s">
        <v>264</v>
      </c>
      <c r="AG1093" s="181">
        <v>1</v>
      </c>
      <c r="AH1093" s="181">
        <v>4</v>
      </c>
      <c r="AI1093" s="181">
        <v>0</v>
      </c>
      <c r="AJ1093" s="181">
        <f>VLOOKUP($I1093,'Price List, Weapons &amp; Items'!B:F,5,0)</f>
        <v>0</v>
      </c>
      <c r="AK1093" s="181">
        <f t="shared" si="252"/>
        <v>0</v>
      </c>
      <c r="AL1093" s="181">
        <f t="shared" si="253"/>
        <v>0</v>
      </c>
      <c r="AM1093" s="181">
        <f t="shared" si="254"/>
        <v>0</v>
      </c>
      <c r="AN1093" s="180" t="str">
        <f>VLOOKUP($I1093,'Price List, Weapons &amp; Items'!B:L,COLUMN('Price List, Weapons &amp; Items'!$J$11)-1,0)</f>
        <v>Miscellaneous</v>
      </c>
      <c r="AO1093" s="180" t="str">
        <f>IF(I1093=".",".",VLOOKUP($I1093,'Price List, Weapons &amp; Items'!B:J,3,0))</f>
        <v>drone</v>
      </c>
      <c r="AP1093" s="545" t="str">
        <f t="shared" ca="1" si="211"/>
        <v/>
      </c>
      <c r="AQ1093" s="180">
        <f>VLOOKUP($I1093,'Price List, Weapons &amp; Items'!B:L,COLUMN('Price List, Weapons &amp; Items'!$L$11)-1,0)</f>
        <v>2</v>
      </c>
      <c r="AR1093" s="180">
        <f t="shared" si="255"/>
        <v>1</v>
      </c>
      <c r="AS1093" s="180">
        <f t="shared" si="256"/>
        <v>1</v>
      </c>
      <c r="AT1093" s="180">
        <f t="shared" si="258"/>
        <v>1</v>
      </c>
      <c r="AU1093" s="180" t="str">
        <f t="shared" si="259"/>
        <v>.</v>
      </c>
      <c r="AV1093" s="180" t="str">
        <f t="shared" si="260"/>
        <v>.</v>
      </c>
      <c r="AW1093" s="180">
        <f>IFERROR(VLOOKUP(B1093,'Share, Heavy Weapons to Ukraine'!B:J,COLUMN('Share, Heavy Weapons to Ukraine'!C1103)-1,0),0)</f>
        <v>1</v>
      </c>
      <c r="AX1093" s="180">
        <f>VLOOKUP('Bilateral Assistance, MAIN DATA'!B1093,'Country Summary'!B:F,COLUMN('Country Summary'!C1106)-1,FALSE)</f>
        <v>0</v>
      </c>
      <c r="AY1093" s="180" t="str">
        <f>IF(AND(AD1093=1,D1093="Military",H1093&lt;&gt;"Not given")=TRUE,IF(SUMIFS(P:P,A:A,A1093)&gt;0,ABS((SUMIFS(P:P,A:A,A1093)/VLOOKUP("USD",'Exchange Rates'!B:C,2,0)))/S1093,"."),".")</f>
        <v>.</v>
      </c>
      <c r="AZ1093" s="182" t="str">
        <f>IF(AND(AD1093=1,D1093="Military",H1093&lt;&gt;"Not given")=TRUE,IF(SUMIFS(P:P,A:A,A1093)&gt;0,IF((ABS((SUMIFS(P:P,A:A,A1093)/VLOOKUP("USD",'Exchange Rates'!B:C,2,0)))/S1093)&gt;1,(SUMIFS(P:P,A:A,A1093)-S1093)/S1093,(S1093-SUMIFS(P:P,A:A,A1093))/SUMIFS(P:P,A:A,A1093)),"."),".")</f>
        <v>.</v>
      </c>
      <c r="BA1093" s="182"/>
      <c r="BB1093" s="182"/>
      <c r="BC1093" s="182"/>
      <c r="BD1093" s="182"/>
      <c r="BE1093" s="182"/>
      <c r="BF1093" s="182"/>
      <c r="BG1093" s="182"/>
      <c r="BH1093" s="182"/>
      <c r="BI1093" s="182"/>
      <c r="BJ1093" s="182"/>
      <c r="BK1093" s="182"/>
      <c r="BL1093" s="182"/>
      <c r="BM1093" s="182"/>
      <c r="BN1093" s="182"/>
      <c r="BO1093" s="182"/>
      <c r="BP1093" s="182"/>
      <c r="BQ1093" s="182"/>
      <c r="BR1093" s="182"/>
      <c r="BS1093" s="182"/>
    </row>
    <row r="1094" spans="1:71" ht="15.9" customHeight="1" x14ac:dyDescent="0.3">
      <c r="A1094" s="5" t="s">
        <v>3065</v>
      </c>
      <c r="B1094" s="5" t="s">
        <v>3038</v>
      </c>
      <c r="C1094" s="174">
        <v>44664</v>
      </c>
      <c r="D1094" s="5" t="s">
        <v>285</v>
      </c>
      <c r="E1094" s="5" t="s">
        <v>1328</v>
      </c>
      <c r="F1094" s="175" t="s">
        <v>3098</v>
      </c>
      <c r="G1094" s="15" t="s">
        <v>346</v>
      </c>
      <c r="H1094" s="176">
        <v>800000000</v>
      </c>
      <c r="I1094" s="17" t="s">
        <v>946</v>
      </c>
      <c r="J1094" s="113" t="str">
        <f>VLOOKUP($I1094,'Price List, Weapons &amp; Items'!B:C,2,0)</f>
        <v>Ammunition for portable defence system</v>
      </c>
      <c r="K1094" s="113" t="str">
        <f>IF(I1094=".",I1094,VLOOKUP($I1094,'Price List, Weapons &amp; Items'!B:D,3,0))</f>
        <v>Light Anti-armor Weapon (LAW) ammunition</v>
      </c>
      <c r="L1094" s="177">
        <f>VLOOKUP(I1094,'Price List, Weapons &amp; Items'!B:E,4,0)</f>
        <v>0</v>
      </c>
      <c r="M1094" s="542">
        <v>500</v>
      </c>
      <c r="N1094" s="542">
        <v>500</v>
      </c>
      <c r="O1094" s="543">
        <f>VLOOKUP($I1094,'Price List, Weapons &amp; Items'!B:G,6,0)</f>
        <v>78000</v>
      </c>
      <c r="P1094" s="176">
        <f t="shared" si="212"/>
        <v>39000000</v>
      </c>
      <c r="Q1094" s="176">
        <f t="shared" si="213"/>
        <v>39000000</v>
      </c>
      <c r="R1094" s="176" t="str">
        <f t="shared" si="251"/>
        <v/>
      </c>
      <c r="S1094" s="176" t="str">
        <f>IF(AND(AD1094=1,R1094&lt;&gt;".")=TRUE,R1094/VLOOKUP(G1094,'Exchange Rates'!B:C,2,0),IF(R1094=".",".",""))</f>
        <v/>
      </c>
      <c r="T1094" s="176" t="str">
        <f>IF(AD1094=1,IF(AF1094="Value is not given at all",".",IF(AF1094="Value is given by the source",S1094,IF(AF1094="Value is calculated with prices",(IF(SUMIFS(Q:Q,A:A,A1094)&gt;0,SUMIFS(Q:Q,A:A,A1094),"."))/VLOOKUP("USD",'Exchange Rates'!B:C,2,0),"Error with coding"))),"")</f>
        <v/>
      </c>
      <c r="U1094" s="15" t="s">
        <v>261</v>
      </c>
      <c r="V1094" s="547" t="s">
        <v>3069</v>
      </c>
      <c r="W1094" s="667" t="s">
        <v>3044</v>
      </c>
      <c r="X1094" s="667" t="s">
        <v>3047</v>
      </c>
      <c r="Y1094" s="667" t="s">
        <v>3105</v>
      </c>
      <c r="Z1094" s="15">
        <v>0</v>
      </c>
      <c r="AA1094" s="180">
        <v>0</v>
      </c>
      <c r="AB1094" s="667" t="s">
        <v>3106</v>
      </c>
      <c r="AC1094" s="544" t="str">
        <f>""</f>
        <v/>
      </c>
      <c r="AD1094" s="181">
        <v>0</v>
      </c>
      <c r="AE1094" s="586" t="s">
        <v>264</v>
      </c>
      <c r="AF1094" s="181" t="s">
        <v>264</v>
      </c>
      <c r="AG1094" s="181">
        <v>1</v>
      </c>
      <c r="AH1094" s="181">
        <v>4</v>
      </c>
      <c r="AI1094" s="181">
        <v>0</v>
      </c>
      <c r="AJ1094" s="181">
        <f>VLOOKUP($I1094,'Price List, Weapons &amp; Items'!B:F,5,0)</f>
        <v>0</v>
      </c>
      <c r="AK1094" s="181">
        <f t="shared" si="252"/>
        <v>0</v>
      </c>
      <c r="AL1094" s="181">
        <f t="shared" si="253"/>
        <v>0</v>
      </c>
      <c r="AM1094" s="181">
        <f t="shared" si="254"/>
        <v>0</v>
      </c>
      <c r="AN1094" s="180" t="str">
        <f>VLOOKUP($I1094,'Price List, Weapons &amp; Items'!B:L,COLUMN('Price List, Weapons &amp; Items'!$J$11)-1,0)</f>
        <v>Military media (incl. websites)</v>
      </c>
      <c r="AO1094" s="180" t="str">
        <f>IF(I1094=".",".",VLOOKUP($I1094,'Price List, Weapons &amp; Items'!B:J,3,0))</f>
        <v>Light Anti-armor Weapon (LAW) ammunition</v>
      </c>
      <c r="AP1094" s="545" t="str">
        <f t="shared" ca="1" si="211"/>
        <v/>
      </c>
      <c r="AQ1094" s="180">
        <f>VLOOKUP($I1094,'Price List, Weapons &amp; Items'!B:L,COLUMN('Price List, Weapons &amp; Items'!$L$11)-1,0)</f>
        <v>2</v>
      </c>
      <c r="AR1094" s="180">
        <f t="shared" si="255"/>
        <v>1</v>
      </c>
      <c r="AS1094" s="180">
        <f t="shared" si="256"/>
        <v>1</v>
      </c>
      <c r="AT1094" s="180">
        <f t="shared" si="258"/>
        <v>1</v>
      </c>
      <c r="AU1094" s="180" t="str">
        <f t="shared" si="259"/>
        <v>.</v>
      </c>
      <c r="AV1094" s="180" t="str">
        <f t="shared" si="260"/>
        <v>.</v>
      </c>
      <c r="AW1094" s="180">
        <f>IFERROR(VLOOKUP(B1094,'Share, Heavy Weapons to Ukraine'!B:J,COLUMN('Share, Heavy Weapons to Ukraine'!C1104)-1,0),0)</f>
        <v>1</v>
      </c>
      <c r="AX1094" s="180">
        <f>VLOOKUP('Bilateral Assistance, MAIN DATA'!B1094,'Country Summary'!B:F,COLUMN('Country Summary'!C1107)-1,FALSE)</f>
        <v>0</v>
      </c>
      <c r="AY1094" s="180" t="str">
        <f>IF(AND(AD1094=1,D1094="Military",H1094&lt;&gt;"Not given")=TRUE,IF(SUMIFS(P:P,A:A,A1094)&gt;0,ABS((SUMIFS(P:P,A:A,A1094)/VLOOKUP("USD",'Exchange Rates'!B:C,2,0)))/S1094,"."),".")</f>
        <v>.</v>
      </c>
      <c r="AZ1094" s="182" t="str">
        <f>IF(AND(AD1094=1,D1094="Military",H1094&lt;&gt;"Not given")=TRUE,IF(SUMIFS(P:P,A:A,A1094)&gt;0,IF((ABS((SUMIFS(P:P,A:A,A1094)/VLOOKUP("USD",'Exchange Rates'!B:C,2,0)))/S1094)&gt;1,(SUMIFS(P:P,A:A,A1094)-S1094)/S1094,(S1094-SUMIFS(P:P,A:A,A1094))/SUMIFS(P:P,A:A,A1094)),"."),".")</f>
        <v>.</v>
      </c>
      <c r="BA1094" s="182"/>
      <c r="BB1094" s="182"/>
      <c r="BC1094" s="182"/>
      <c r="BD1094" s="182"/>
      <c r="BE1094" s="182"/>
      <c r="BF1094" s="182"/>
      <c r="BG1094" s="182"/>
      <c r="BH1094" s="182"/>
      <c r="BI1094" s="182"/>
      <c r="BJ1094" s="182"/>
      <c r="BK1094" s="182"/>
      <c r="BL1094" s="182"/>
      <c r="BM1094" s="182"/>
      <c r="BN1094" s="182"/>
      <c r="BO1094" s="182"/>
      <c r="BP1094" s="182"/>
      <c r="BQ1094" s="182"/>
      <c r="BR1094" s="182"/>
      <c r="BS1094" s="182"/>
    </row>
    <row r="1095" spans="1:71" ht="15.9" customHeight="1" x14ac:dyDescent="0.3">
      <c r="A1095" s="5" t="s">
        <v>3065</v>
      </c>
      <c r="B1095" s="5" t="s">
        <v>3038</v>
      </c>
      <c r="C1095" s="174">
        <v>44664</v>
      </c>
      <c r="D1095" s="5" t="s">
        <v>285</v>
      </c>
      <c r="E1095" s="5" t="s">
        <v>1328</v>
      </c>
      <c r="F1095" s="175" t="s">
        <v>3098</v>
      </c>
      <c r="G1095" s="15" t="s">
        <v>346</v>
      </c>
      <c r="H1095" s="176">
        <v>800000000</v>
      </c>
      <c r="I1095" s="17" t="s">
        <v>3107</v>
      </c>
      <c r="J1095" s="113" t="str">
        <f>VLOOKUP($I1095,'Price List, Weapons &amp; Items'!B:C,2,0)</f>
        <v>Portable defence system</v>
      </c>
      <c r="K1095" s="113" t="str">
        <f>IF(I1095=".",I1095,VLOOKUP($I1095,'Price List, Weapons &amp; Items'!B:D,3,0))</f>
        <v>Light Anti-armor Weapon (LAW)</v>
      </c>
      <c r="L1095" s="177">
        <f>VLOOKUP(I1095,'Price List, Weapons &amp; Items'!B:E,4,0)</f>
        <v>0</v>
      </c>
      <c r="M1095" s="542">
        <v>4567</v>
      </c>
      <c r="N1095" s="542">
        <f>M1095</f>
        <v>4567</v>
      </c>
      <c r="O1095" s="543">
        <f>VLOOKUP($I1095,'Price List, Weapons &amp; Items'!B:G,6,0)</f>
        <v>78000</v>
      </c>
      <c r="P1095" s="176">
        <f t="shared" si="212"/>
        <v>356226000</v>
      </c>
      <c r="Q1095" s="176">
        <f t="shared" si="213"/>
        <v>356226000</v>
      </c>
      <c r="R1095" s="176" t="str">
        <f t="shared" si="251"/>
        <v/>
      </c>
      <c r="S1095" s="176" t="str">
        <f>IF(AND(AD1095=1,R1095&lt;&gt;".")=TRUE,R1095/VLOOKUP(G1095,'Exchange Rates'!B:C,2,0),IF(R1095=".",".",""))</f>
        <v/>
      </c>
      <c r="T1095" s="176" t="str">
        <f>IF(AD1095=1,IF(AF1095="Value is not given at all",".",IF(AF1095="Value is given by the source",S1095,IF(AF1095="Value is calculated with prices",(IF(SUMIFS(Q:Q,A:A,A1095)&gt;0,SUMIFS(Q:Q,A:A,A1095),"."))/VLOOKUP("USD",'Exchange Rates'!B:C,2,0),"Error with coding"))),"")</f>
        <v/>
      </c>
      <c r="U1095" s="15" t="s">
        <v>261</v>
      </c>
      <c r="V1095" s="547" t="s">
        <v>3069</v>
      </c>
      <c r="W1095" s="667" t="s">
        <v>3044</v>
      </c>
      <c r="X1095" s="667" t="s">
        <v>3047</v>
      </c>
      <c r="Y1095" s="667" t="s">
        <v>3106</v>
      </c>
      <c r="Z1095" s="15">
        <v>0</v>
      </c>
      <c r="AA1095" s="180">
        <v>0</v>
      </c>
      <c r="AB1095" s="667" t="s">
        <v>3108</v>
      </c>
      <c r="AC1095" s="544" t="str">
        <f>""</f>
        <v/>
      </c>
      <c r="AD1095" s="181">
        <v>0</v>
      </c>
      <c r="AE1095" s="586" t="s">
        <v>264</v>
      </c>
      <c r="AF1095" s="181" t="s">
        <v>264</v>
      </c>
      <c r="AG1095" s="181">
        <v>1</v>
      </c>
      <c r="AH1095" s="181">
        <v>4</v>
      </c>
      <c r="AI1095" s="181">
        <v>0</v>
      </c>
      <c r="AJ1095" s="181">
        <f>VLOOKUP($I1095,'Price List, Weapons &amp; Items'!B:F,5,0)</f>
        <v>0</v>
      </c>
      <c r="AK1095" s="181">
        <f t="shared" si="252"/>
        <v>0</v>
      </c>
      <c r="AL1095" s="181">
        <f t="shared" si="253"/>
        <v>0</v>
      </c>
      <c r="AM1095" s="181">
        <f t="shared" si="254"/>
        <v>0</v>
      </c>
      <c r="AN1095" s="180" t="str">
        <f>VLOOKUP($I1095,'Price List, Weapons &amp; Items'!B:L,COLUMN('Price List, Weapons &amp; Items'!$J$11)-1,0)</f>
        <v>Military media (incl. websites)</v>
      </c>
      <c r="AO1095" s="180" t="str">
        <f>IF(I1095=".",".",VLOOKUP($I1095,'Price List, Weapons &amp; Items'!B:J,3,0))</f>
        <v>Light Anti-armor Weapon (LAW)</v>
      </c>
      <c r="AP1095" s="545" t="str">
        <f t="shared" ca="1" si="211"/>
        <v/>
      </c>
      <c r="AQ1095" s="180">
        <f>VLOOKUP($I1095,'Price List, Weapons &amp; Items'!B:L,COLUMN('Price List, Weapons &amp; Items'!$L$11)-1,0)</f>
        <v>2</v>
      </c>
      <c r="AR1095" s="180">
        <f t="shared" si="255"/>
        <v>1</v>
      </c>
      <c r="AS1095" s="180">
        <f t="shared" si="256"/>
        <v>1</v>
      </c>
      <c r="AT1095" s="180">
        <f t="shared" si="258"/>
        <v>1</v>
      </c>
      <c r="AU1095" s="180" t="str">
        <f t="shared" si="259"/>
        <v>.</v>
      </c>
      <c r="AV1095" s="180" t="str">
        <f t="shared" si="260"/>
        <v>.</v>
      </c>
      <c r="AW1095" s="180">
        <f>IFERROR(VLOOKUP(B1095,'Share, Heavy Weapons to Ukraine'!B:J,COLUMN('Share, Heavy Weapons to Ukraine'!C1105)-1,0),0)</f>
        <v>1</v>
      </c>
      <c r="AX1095" s="180">
        <f>VLOOKUP('Bilateral Assistance, MAIN DATA'!B1095,'Country Summary'!B:F,COLUMN('Country Summary'!C1108)-1,FALSE)</f>
        <v>0</v>
      </c>
      <c r="AY1095" s="180" t="str">
        <f>IF(AND(AD1095=1,D1095="Military",H1095&lt;&gt;"Not given")=TRUE,IF(SUMIFS(P:P,A:A,A1095)&gt;0,ABS((SUMIFS(P:P,A:A,A1095)/VLOOKUP("USD",'Exchange Rates'!B:C,2,0)))/S1095,"."),".")</f>
        <v>.</v>
      </c>
      <c r="AZ1095" s="182" t="str">
        <f>IF(AND(AD1095=1,D1095="Military",H1095&lt;&gt;"Not given")=TRUE,IF(SUMIFS(P:P,A:A,A1095)&gt;0,IF((ABS((SUMIFS(P:P,A:A,A1095)/VLOOKUP("USD",'Exchange Rates'!B:C,2,0)))/S1095)&gt;1,(SUMIFS(P:P,A:A,A1095)-S1095)/S1095,(S1095-SUMIFS(P:P,A:A,A1095))/SUMIFS(P:P,A:A,A1095)),"."),".")</f>
        <v>.</v>
      </c>
      <c r="BA1095" s="182"/>
      <c r="BB1095" s="182"/>
      <c r="BC1095" s="182"/>
      <c r="BD1095" s="182"/>
      <c r="BE1095" s="182"/>
      <c r="BF1095" s="182"/>
      <c r="BG1095" s="182"/>
      <c r="BH1095" s="182"/>
      <c r="BI1095" s="182"/>
      <c r="BJ1095" s="182"/>
      <c r="BK1095" s="182"/>
      <c r="BL1095" s="182"/>
      <c r="BM1095" s="182"/>
      <c r="BN1095" s="182"/>
      <c r="BO1095" s="182"/>
      <c r="BP1095" s="182"/>
      <c r="BQ1095" s="182"/>
      <c r="BR1095" s="182"/>
      <c r="BS1095" s="182"/>
    </row>
    <row r="1096" spans="1:71" ht="15.9" customHeight="1" x14ac:dyDescent="0.3">
      <c r="A1096" s="5" t="s">
        <v>3065</v>
      </c>
      <c r="B1096" s="5" t="s">
        <v>3038</v>
      </c>
      <c r="C1096" s="174">
        <v>44664</v>
      </c>
      <c r="D1096" s="5" t="s">
        <v>285</v>
      </c>
      <c r="E1096" s="5" t="s">
        <v>1328</v>
      </c>
      <c r="F1096" s="175" t="s">
        <v>3098</v>
      </c>
      <c r="G1096" s="15" t="s">
        <v>346</v>
      </c>
      <c r="H1096" s="176">
        <v>800000000</v>
      </c>
      <c r="I1096" s="17" t="s">
        <v>324</v>
      </c>
      <c r="J1096" s="113" t="str">
        <f>VLOOKUP($I1096,'Price List, Weapons &amp; Items'!B:C,2,0)</f>
        <v>Heavy weapon</v>
      </c>
      <c r="K1096" s="113" t="str">
        <f>IF(I1096=".",I1096,VLOOKUP($I1096,'Price List, Weapons &amp; Items'!B:D,3,0))</f>
        <v>Armoured Personnel Carrier (APC)</v>
      </c>
      <c r="L1096" s="177">
        <f>VLOOKUP(I1096,'Price List, Weapons &amp; Items'!B:E,4,0)</f>
        <v>0</v>
      </c>
      <c r="M1096" s="542">
        <v>200</v>
      </c>
      <c r="N1096" s="542">
        <v>200</v>
      </c>
      <c r="O1096" s="543">
        <f>VLOOKUP($I1096,'Price List, Weapons &amp; Items'!B:G,6,0)</f>
        <v>300000</v>
      </c>
      <c r="P1096" s="176">
        <f t="shared" si="212"/>
        <v>60000000</v>
      </c>
      <c r="Q1096" s="176">
        <f t="shared" si="213"/>
        <v>60000000</v>
      </c>
      <c r="R1096" s="176" t="str">
        <f t="shared" si="251"/>
        <v/>
      </c>
      <c r="S1096" s="176" t="str">
        <f>IF(AND(AD1096=1,R1096&lt;&gt;".")=TRUE,R1096/VLOOKUP(G1096,'Exchange Rates'!B:C,2,0),IF(R1096=".",".",""))</f>
        <v/>
      </c>
      <c r="T1096" s="176" t="str">
        <f>IF(AD1096=1,IF(AF1096="Value is not given at all",".",IF(AF1096="Value is given by the source",S1096,IF(AF1096="Value is calculated with prices",(IF(SUMIFS(Q:Q,A:A,A1096)&gt;0,SUMIFS(Q:Q,A:A,A1096),"."))/VLOOKUP("USD",'Exchange Rates'!B:C,2,0),"Error with coding"))),"")</f>
        <v/>
      </c>
      <c r="U1096" s="15" t="s">
        <v>261</v>
      </c>
      <c r="V1096" s="547" t="s">
        <v>3069</v>
      </c>
      <c r="W1096" s="667" t="s">
        <v>3044</v>
      </c>
      <c r="X1096" s="667" t="s">
        <v>3047</v>
      </c>
      <c r="Y1096" s="667" t="s">
        <v>3108</v>
      </c>
      <c r="Z1096" s="15">
        <v>0</v>
      </c>
      <c r="AA1096" s="180">
        <v>0</v>
      </c>
      <c r="AB1096" s="667" t="s">
        <v>3109</v>
      </c>
      <c r="AC1096" s="544" t="str">
        <f>""</f>
        <v/>
      </c>
      <c r="AD1096" s="181">
        <v>0</v>
      </c>
      <c r="AE1096" s="586" t="s">
        <v>264</v>
      </c>
      <c r="AF1096" s="181" t="s">
        <v>264</v>
      </c>
      <c r="AG1096" s="181">
        <v>1</v>
      </c>
      <c r="AH1096" s="181">
        <v>4</v>
      </c>
      <c r="AI1096" s="181">
        <v>0</v>
      </c>
      <c r="AJ1096" s="181">
        <f>VLOOKUP($I1096,'Price List, Weapons &amp; Items'!B:F,5,0)</f>
        <v>1</v>
      </c>
      <c r="AK1096" s="181">
        <f t="shared" si="252"/>
        <v>0</v>
      </c>
      <c r="AL1096" s="181">
        <f t="shared" si="253"/>
        <v>0</v>
      </c>
      <c r="AM1096" s="181">
        <f t="shared" si="254"/>
        <v>0</v>
      </c>
      <c r="AN1096" s="180" t="str">
        <f>VLOOKUP($I1096,'Price List, Weapons &amp; Items'!B:L,COLUMN('Price List, Weapons &amp; Items'!$J$11)-1,0)</f>
        <v>Military media (incl. websites)</v>
      </c>
      <c r="AO1096" s="180" t="str">
        <f>IF(I1096=".",".",VLOOKUP($I1096,'Price List, Weapons &amp; Items'!B:J,3,0))</f>
        <v>Armoured Personnel Carrier (APC)</v>
      </c>
      <c r="AP1096" s="545" t="str">
        <f t="shared" ca="1" si="211"/>
        <v/>
      </c>
      <c r="AQ1096" s="180">
        <f>VLOOKUP($I1096,'Price List, Weapons &amp; Items'!B:L,COLUMN('Price List, Weapons &amp; Items'!$L$11)-1,0)</f>
        <v>2</v>
      </c>
      <c r="AR1096" s="180">
        <f t="shared" si="255"/>
        <v>1</v>
      </c>
      <c r="AS1096" s="180">
        <f t="shared" si="256"/>
        <v>1</v>
      </c>
      <c r="AT1096" s="180">
        <f t="shared" si="258"/>
        <v>1</v>
      </c>
      <c r="AU1096" s="180" t="str">
        <f t="shared" si="259"/>
        <v>.</v>
      </c>
      <c r="AV1096" s="180" t="str">
        <f t="shared" si="260"/>
        <v>.</v>
      </c>
      <c r="AW1096" s="180">
        <f>IFERROR(VLOOKUP(B1096,'Share, Heavy Weapons to Ukraine'!B:J,COLUMN('Share, Heavy Weapons to Ukraine'!C1106)-1,0),0)</f>
        <v>1</v>
      </c>
      <c r="AX1096" s="180">
        <f>VLOOKUP('Bilateral Assistance, MAIN DATA'!B1096,'Country Summary'!B:F,COLUMN('Country Summary'!C1109)-1,FALSE)</f>
        <v>0</v>
      </c>
      <c r="AY1096" s="180" t="str">
        <f>IF(AND(AD1096=1,D1096="Military",H1096&lt;&gt;"Not given")=TRUE,IF(SUMIFS(P:P,A:A,A1096)&gt;0,ABS((SUMIFS(P:P,A:A,A1096)/VLOOKUP("USD",'Exchange Rates'!B:C,2,0)))/S1096,"."),".")</f>
        <v>.</v>
      </c>
      <c r="AZ1096" s="182" t="str">
        <f>IF(AND(AD1096=1,D1096="Military",H1096&lt;&gt;"Not given")=TRUE,IF(SUMIFS(P:P,A:A,A1096)&gt;0,IF((ABS((SUMIFS(P:P,A:A,A1096)/VLOOKUP("USD",'Exchange Rates'!B:C,2,0)))/S1096)&gt;1,(SUMIFS(P:P,A:A,A1096)-S1096)/S1096,(S1096-SUMIFS(P:P,A:A,A1096))/SUMIFS(P:P,A:A,A1096)),"."),".")</f>
        <v>.</v>
      </c>
      <c r="BA1096" s="182"/>
      <c r="BB1096" s="182"/>
      <c r="BC1096" s="182"/>
      <c r="BD1096" s="182"/>
      <c r="BE1096" s="182"/>
      <c r="BF1096" s="182"/>
      <c r="BG1096" s="182"/>
      <c r="BH1096" s="182"/>
      <c r="BI1096" s="182"/>
      <c r="BJ1096" s="182"/>
      <c r="BK1096" s="182"/>
      <c r="BL1096" s="182"/>
      <c r="BM1096" s="182"/>
      <c r="BN1096" s="182"/>
      <c r="BO1096" s="182"/>
      <c r="BP1096" s="182"/>
      <c r="BQ1096" s="182"/>
      <c r="BR1096" s="182"/>
      <c r="BS1096" s="182"/>
    </row>
    <row r="1097" spans="1:71" ht="15.9" customHeight="1" x14ac:dyDescent="0.3">
      <c r="A1097" s="5" t="s">
        <v>3065</v>
      </c>
      <c r="B1097" s="5" t="s">
        <v>3038</v>
      </c>
      <c r="C1097" s="174">
        <v>44664</v>
      </c>
      <c r="D1097" s="5" t="s">
        <v>285</v>
      </c>
      <c r="E1097" s="5" t="s">
        <v>1328</v>
      </c>
      <c r="F1097" s="175" t="s">
        <v>3098</v>
      </c>
      <c r="G1097" s="15" t="s">
        <v>346</v>
      </c>
      <c r="H1097" s="176">
        <v>800000000</v>
      </c>
      <c r="I1097" s="17" t="s">
        <v>3110</v>
      </c>
      <c r="J1097" s="113" t="str">
        <f>VLOOKUP($I1097,'Price List, Weapons &amp; Items'!B:C,2,0)</f>
        <v>Heavy weapon</v>
      </c>
      <c r="K1097" s="113" t="str">
        <f>IF(I1097=".",I1097,VLOOKUP($I1097,'Price List, Weapons &amp; Items'!B:D,3,0))</f>
        <v>Armoured Utility Vehicle (AUV)</v>
      </c>
      <c r="L1097" s="177">
        <f>VLOOKUP(I1097,'Price List, Weapons &amp; Items'!B:E,4,0)</f>
        <v>0</v>
      </c>
      <c r="M1097" s="542">
        <v>100</v>
      </c>
      <c r="N1097" s="542">
        <v>100</v>
      </c>
      <c r="O1097" s="543">
        <f>VLOOKUP($I1097,'Price List, Weapons &amp; Items'!B:G,6,0)</f>
        <v>254717</v>
      </c>
      <c r="P1097" s="176">
        <f t="shared" si="212"/>
        <v>25471700</v>
      </c>
      <c r="Q1097" s="176">
        <f t="shared" si="213"/>
        <v>25471700</v>
      </c>
      <c r="R1097" s="176" t="str">
        <f t="shared" si="251"/>
        <v/>
      </c>
      <c r="S1097" s="176" t="str">
        <f>IF(AND(AD1097=1,R1097&lt;&gt;".")=TRUE,R1097/VLOOKUP(G1097,'Exchange Rates'!B:C,2,0),IF(R1097=".",".",""))</f>
        <v/>
      </c>
      <c r="T1097" s="176" t="str">
        <f>IF(AD1097=1,IF(AF1097="Value is not given at all",".",IF(AF1097="Value is given by the source",S1097,IF(AF1097="Value is calculated with prices",(IF(SUMIFS(Q:Q,A:A,A1097)&gt;0,SUMIFS(Q:Q,A:A,A1097),"."))/VLOOKUP("USD",'Exchange Rates'!B:C,2,0),"Error with coding"))),"")</f>
        <v/>
      </c>
      <c r="U1097" s="15" t="s">
        <v>261</v>
      </c>
      <c r="V1097" s="547" t="s">
        <v>3069</v>
      </c>
      <c r="W1097" s="667" t="s">
        <v>3044</v>
      </c>
      <c r="X1097" s="667" t="s">
        <v>3047</v>
      </c>
      <c r="Y1097" s="667" t="s">
        <v>3109</v>
      </c>
      <c r="Z1097" s="15">
        <v>0</v>
      </c>
      <c r="AA1097" s="180">
        <v>0</v>
      </c>
      <c r="AB1097" s="667" t="s">
        <v>3111</v>
      </c>
      <c r="AC1097" s="544" t="str">
        <f>""</f>
        <v/>
      </c>
      <c r="AD1097" s="181">
        <v>0</v>
      </c>
      <c r="AE1097" s="586" t="s">
        <v>264</v>
      </c>
      <c r="AF1097" s="181" t="s">
        <v>264</v>
      </c>
      <c r="AG1097" s="181">
        <v>1</v>
      </c>
      <c r="AH1097" s="181">
        <v>4</v>
      </c>
      <c r="AI1097" s="181">
        <v>0</v>
      </c>
      <c r="AJ1097" s="181">
        <f>VLOOKUP($I1097,'Price List, Weapons &amp; Items'!B:F,5,0)</f>
        <v>1</v>
      </c>
      <c r="AK1097" s="181">
        <f t="shared" si="252"/>
        <v>0</v>
      </c>
      <c r="AL1097" s="181">
        <f t="shared" si="253"/>
        <v>0</v>
      </c>
      <c r="AM1097" s="181">
        <f t="shared" si="254"/>
        <v>0</v>
      </c>
      <c r="AN1097" s="180" t="str">
        <f>VLOOKUP($I1097,'Price List, Weapons &amp; Items'!B:L,COLUMN('Price List, Weapons &amp; Items'!$J$11)-1,0)</f>
        <v>Military media (incl. websites)</v>
      </c>
      <c r="AO1097" s="180" t="str">
        <f>IF(I1097=".",".",VLOOKUP($I1097,'Price List, Weapons &amp; Items'!B:J,3,0))</f>
        <v>Armoured Utility Vehicle (AUV)</v>
      </c>
      <c r="AP1097" s="545" t="str">
        <f t="shared" ca="1" si="211"/>
        <v/>
      </c>
      <c r="AQ1097" s="180">
        <f>VLOOKUP($I1097,'Price List, Weapons &amp; Items'!B:L,COLUMN('Price List, Weapons &amp; Items'!$L$11)-1,0)</f>
        <v>2</v>
      </c>
      <c r="AR1097" s="180">
        <f t="shared" si="255"/>
        <v>1</v>
      </c>
      <c r="AS1097" s="180">
        <f t="shared" si="256"/>
        <v>1</v>
      </c>
      <c r="AT1097" s="180">
        <f t="shared" si="258"/>
        <v>1</v>
      </c>
      <c r="AU1097" s="180" t="str">
        <f t="shared" si="259"/>
        <v>.</v>
      </c>
      <c r="AV1097" s="180" t="str">
        <f t="shared" si="260"/>
        <v>.</v>
      </c>
      <c r="AW1097" s="180">
        <f>IFERROR(VLOOKUP(B1097,'Share, Heavy Weapons to Ukraine'!B:J,COLUMN('Share, Heavy Weapons to Ukraine'!C1107)-1,0),0)</f>
        <v>1</v>
      </c>
      <c r="AX1097" s="180">
        <f>VLOOKUP('Bilateral Assistance, MAIN DATA'!B1097,'Country Summary'!B:F,COLUMN('Country Summary'!C1110)-1,FALSE)</f>
        <v>0</v>
      </c>
      <c r="AY1097" s="180" t="str">
        <f>IF(AND(AD1097=1,D1097="Military",H1097&lt;&gt;"Not given")=TRUE,IF(SUMIFS(P:P,A:A,A1097)&gt;0,ABS((SUMIFS(P:P,A:A,A1097)/VLOOKUP("USD",'Exchange Rates'!B:C,2,0)))/S1097,"."),".")</f>
        <v>.</v>
      </c>
      <c r="AZ1097" s="182" t="str">
        <f>IF(AND(AD1097=1,D1097="Military",H1097&lt;&gt;"Not given")=TRUE,IF(SUMIFS(P:P,A:A,A1097)&gt;0,IF((ABS((SUMIFS(P:P,A:A,A1097)/VLOOKUP("USD",'Exchange Rates'!B:C,2,0)))/S1097)&gt;1,(SUMIFS(P:P,A:A,A1097)-S1097)/S1097,(S1097-SUMIFS(P:P,A:A,A1097))/SUMIFS(P:P,A:A,A1097)),"."),".")</f>
        <v>.</v>
      </c>
      <c r="BA1097" s="182"/>
      <c r="BB1097" s="182"/>
      <c r="BC1097" s="182"/>
      <c r="BD1097" s="182"/>
      <c r="BE1097" s="182"/>
      <c r="BF1097" s="182"/>
      <c r="BG1097" s="182"/>
      <c r="BH1097" s="182"/>
      <c r="BI1097" s="182"/>
      <c r="BJ1097" s="182"/>
      <c r="BK1097" s="182"/>
      <c r="BL1097" s="182"/>
      <c r="BM1097" s="182"/>
      <c r="BN1097" s="182"/>
      <c r="BO1097" s="182"/>
      <c r="BP1097" s="182"/>
      <c r="BQ1097" s="182"/>
      <c r="BR1097" s="182"/>
      <c r="BS1097" s="182"/>
    </row>
    <row r="1098" spans="1:71" ht="15.9" customHeight="1" x14ac:dyDescent="0.3">
      <c r="A1098" s="5" t="s">
        <v>3065</v>
      </c>
      <c r="B1098" s="5" t="s">
        <v>3038</v>
      </c>
      <c r="C1098" s="174">
        <v>44664</v>
      </c>
      <c r="D1098" s="5" t="s">
        <v>285</v>
      </c>
      <c r="E1098" s="5" t="s">
        <v>1328</v>
      </c>
      <c r="F1098" s="175" t="s">
        <v>3098</v>
      </c>
      <c r="G1098" s="15" t="s">
        <v>346</v>
      </c>
      <c r="H1098" s="176">
        <v>800000000</v>
      </c>
      <c r="I1098" s="17" t="s">
        <v>1905</v>
      </c>
      <c r="J1098" s="113" t="str">
        <f>VLOOKUP($I1098,'Price List, Weapons &amp; Items'!B:C,2,0)</f>
        <v>Aviation and drones</v>
      </c>
      <c r="K1098" s="113" t="str">
        <f>IF(I1098=".",I1098,VLOOKUP($I1098,'Price List, Weapons &amp; Items'!B:D,3,0))</f>
        <v>Combat aircraft</v>
      </c>
      <c r="L1098" s="177">
        <f>VLOOKUP(I1098,'Price List, Weapons &amp; Items'!B:E,4,0)</f>
        <v>1</v>
      </c>
      <c r="M1098" s="542">
        <v>11</v>
      </c>
      <c r="N1098" s="542">
        <v>11</v>
      </c>
      <c r="O1098" s="543">
        <f>VLOOKUP($I1098,'Price List, Weapons &amp; Items'!B:G,6,0)</f>
        <v>18400000</v>
      </c>
      <c r="P1098" s="176">
        <f t="shared" si="212"/>
        <v>202400000</v>
      </c>
      <c r="Q1098" s="176">
        <f t="shared" si="213"/>
        <v>202400000</v>
      </c>
      <c r="R1098" s="176" t="str">
        <f t="shared" si="251"/>
        <v/>
      </c>
      <c r="S1098" s="176" t="str">
        <f>IF(AND(AD1098=1,R1098&lt;&gt;".")=TRUE,R1098/VLOOKUP(G1098,'Exchange Rates'!B:C,2,0),IF(R1098=".",".",""))</f>
        <v/>
      </c>
      <c r="T1098" s="176" t="str">
        <f>IF(AD1098=1,IF(AF1098="Value is not given at all",".",IF(AF1098="Value is given by the source",S1098,IF(AF1098="Value is calculated with prices",(IF(SUMIFS(Q:Q,A:A,A1098)&gt;0,SUMIFS(Q:Q,A:A,A1098),"."))/VLOOKUP("USD",'Exchange Rates'!B:C,2,0),"Error with coding"))),"")</f>
        <v/>
      </c>
      <c r="U1098" s="15" t="s">
        <v>261</v>
      </c>
      <c r="V1098" s="547" t="s">
        <v>3069</v>
      </c>
      <c r="W1098" s="667" t="s">
        <v>3044</v>
      </c>
      <c r="X1098" s="667" t="s">
        <v>3047</v>
      </c>
      <c r="Y1098" s="667" t="s">
        <v>3111</v>
      </c>
      <c r="Z1098" s="15">
        <v>0</v>
      </c>
      <c r="AA1098" s="180">
        <v>0</v>
      </c>
      <c r="AB1098" s="667" t="s">
        <v>3112</v>
      </c>
      <c r="AC1098" s="544" t="str">
        <f>""</f>
        <v/>
      </c>
      <c r="AD1098" s="181">
        <v>0</v>
      </c>
      <c r="AE1098" s="586" t="s">
        <v>264</v>
      </c>
      <c r="AF1098" s="181" t="s">
        <v>264</v>
      </c>
      <c r="AG1098" s="181">
        <v>1</v>
      </c>
      <c r="AH1098" s="181">
        <v>4</v>
      </c>
      <c r="AI1098" s="181">
        <v>0</v>
      </c>
      <c r="AJ1098" s="181">
        <f>VLOOKUP($I1098,'Price List, Weapons &amp; Items'!B:F,5,0)</f>
        <v>0</v>
      </c>
      <c r="AK1098" s="181">
        <f t="shared" si="252"/>
        <v>0</v>
      </c>
      <c r="AL1098" s="181">
        <f t="shared" si="253"/>
        <v>0</v>
      </c>
      <c r="AM1098" s="181">
        <f t="shared" si="254"/>
        <v>0</v>
      </c>
      <c r="AN1098" s="180" t="str">
        <f>VLOOKUP($I1098,'Price List, Weapons &amp; Items'!B:L,COLUMN('Price List, Weapons &amp; Items'!$J$11)-1,0)</f>
        <v>Media reports (incl. social media)</v>
      </c>
      <c r="AO1098" s="180" t="str">
        <f>IF(I1098=".",".",VLOOKUP($I1098,'Price List, Weapons &amp; Items'!B:J,3,0))</f>
        <v>Combat aircraft</v>
      </c>
      <c r="AP1098" s="545" t="str">
        <f t="shared" ca="1" si="211"/>
        <v/>
      </c>
      <c r="AQ1098" s="180">
        <f>VLOOKUP($I1098,'Price List, Weapons &amp; Items'!B:L,COLUMN('Price List, Weapons &amp; Items'!$L$11)-1,0)</f>
        <v>2</v>
      </c>
      <c r="AR1098" s="180">
        <f t="shared" si="255"/>
        <v>1</v>
      </c>
      <c r="AS1098" s="180">
        <f t="shared" si="256"/>
        <v>1</v>
      </c>
      <c r="AT1098" s="180">
        <f t="shared" si="258"/>
        <v>1</v>
      </c>
      <c r="AU1098" s="180" t="str">
        <f t="shared" si="259"/>
        <v>.</v>
      </c>
      <c r="AV1098" s="180" t="str">
        <f t="shared" si="260"/>
        <v>.</v>
      </c>
      <c r="AW1098" s="180">
        <f>IFERROR(VLOOKUP(B1098,'Share, Heavy Weapons to Ukraine'!B:J,COLUMN('Share, Heavy Weapons to Ukraine'!C1108)-1,0),0)</f>
        <v>1</v>
      </c>
      <c r="AX1098" s="180">
        <f>VLOOKUP('Bilateral Assistance, MAIN DATA'!B1098,'Country Summary'!B:F,COLUMN('Country Summary'!C1111)-1,FALSE)</f>
        <v>0</v>
      </c>
      <c r="AY1098" s="180" t="str">
        <f>IF(AND(AD1098=1,D1098="Military",H1098&lt;&gt;"Not given")=TRUE,IF(SUMIFS(P:P,A:A,A1098)&gt;0,ABS((SUMIFS(P:P,A:A,A1098)/VLOOKUP("USD",'Exchange Rates'!B:C,2,0)))/S1098,"."),".")</f>
        <v>.</v>
      </c>
      <c r="AZ1098" s="182" t="str">
        <f>IF(AND(AD1098=1,D1098="Military",H1098&lt;&gt;"Not given")=TRUE,IF(SUMIFS(P:P,A:A,A1098)&gt;0,IF((ABS((SUMIFS(P:P,A:A,A1098)/VLOOKUP("USD",'Exchange Rates'!B:C,2,0)))/S1098)&gt;1,(SUMIFS(P:P,A:A,A1098)-S1098)/S1098,(S1098-SUMIFS(P:P,A:A,A1098))/SUMIFS(P:P,A:A,A1098)),"."),".")</f>
        <v>.</v>
      </c>
      <c r="BA1098" s="182"/>
      <c r="BB1098" s="182"/>
      <c r="BC1098" s="182"/>
      <c r="BD1098" s="182"/>
      <c r="BE1098" s="182"/>
      <c r="BF1098" s="182"/>
      <c r="BG1098" s="182"/>
      <c r="BH1098" s="182"/>
      <c r="BI1098" s="182"/>
      <c r="BJ1098" s="182"/>
      <c r="BK1098" s="182"/>
      <c r="BL1098" s="182"/>
      <c r="BM1098" s="182"/>
      <c r="BN1098" s="182"/>
      <c r="BO1098" s="182"/>
      <c r="BP1098" s="182"/>
      <c r="BQ1098" s="182"/>
      <c r="BR1098" s="182"/>
      <c r="BS1098" s="182"/>
    </row>
    <row r="1099" spans="1:71" ht="15.9" customHeight="1" x14ac:dyDescent="0.3">
      <c r="A1099" s="5" t="s">
        <v>3065</v>
      </c>
      <c r="B1099" s="5" t="s">
        <v>3038</v>
      </c>
      <c r="C1099" s="174">
        <v>44664</v>
      </c>
      <c r="D1099" s="5" t="s">
        <v>285</v>
      </c>
      <c r="E1099" s="5" t="s">
        <v>1328</v>
      </c>
      <c r="F1099" s="175" t="s">
        <v>3098</v>
      </c>
      <c r="G1099" s="15" t="s">
        <v>346</v>
      </c>
      <c r="H1099" s="176">
        <v>800000000</v>
      </c>
      <c r="I1099" s="1139" t="s">
        <v>3113</v>
      </c>
      <c r="J1099" s="113" t="str">
        <f>VLOOKUP($I1099,'Price List, Weapons &amp; Items'!B:C,2,0)</f>
        <v>Heavy weapon</v>
      </c>
      <c r="K1099" s="113" t="str">
        <f>IF(I1099=".",I1099,VLOOKUP($I1099,'Price List, Weapons &amp; Items'!B:D,3,0))</f>
        <v>Patrol and coastal combatants</v>
      </c>
      <c r="L1099" s="177">
        <f>VLOOKUP(I1099,'Price List, Weapons &amp; Items'!B:E,4,0)</f>
        <v>0</v>
      </c>
      <c r="M1099" s="542" t="s">
        <v>270</v>
      </c>
      <c r="N1099" s="542" t="s">
        <v>270</v>
      </c>
      <c r="O1099" s="543">
        <f>VLOOKUP($I1099,'Price List, Weapons &amp; Items'!B:G,6,0)</f>
        <v>2548204.5789999999</v>
      </c>
      <c r="P1099" s="176" t="str">
        <f t="shared" si="212"/>
        <v>.</v>
      </c>
      <c r="Q1099" s="176" t="str">
        <f t="shared" si="213"/>
        <v>.</v>
      </c>
      <c r="R1099" s="176" t="str">
        <f t="shared" si="251"/>
        <v/>
      </c>
      <c r="S1099" s="176" t="str">
        <f>IF(AND(AD1099=1,R1099&lt;&gt;".")=TRUE,R1099/VLOOKUP(G1099,'Exchange Rates'!B:C,2,0),IF(R1099=".",".",""))</f>
        <v/>
      </c>
      <c r="T1099" s="176" t="str">
        <f>IF(AD1099=1,IF(AF1099="Value is not given at all",".",IF(AF1099="Value is given by the source",S1099,IF(AF1099="Value is calculated with prices",(IF(SUMIFS(Q:Q,A:A,A1099)&gt;0,SUMIFS(Q:Q,A:A,A1099),"."))/VLOOKUP("USD",'Exchange Rates'!B:C,2,0),"Error with coding"))),"")</f>
        <v/>
      </c>
      <c r="U1099" s="15" t="s">
        <v>261</v>
      </c>
      <c r="V1099" s="547" t="s">
        <v>3069</v>
      </c>
      <c r="W1099" s="667" t="s">
        <v>3044</v>
      </c>
      <c r="X1099" s="667" t="s">
        <v>3047</v>
      </c>
      <c r="Y1099" s="667" t="s">
        <v>3112</v>
      </c>
      <c r="Z1099" s="15">
        <v>0</v>
      </c>
      <c r="AA1099" s="180">
        <v>0</v>
      </c>
      <c r="AB1099" s="667" t="s">
        <v>3114</v>
      </c>
      <c r="AC1099" s="544" t="str">
        <f>""</f>
        <v/>
      </c>
      <c r="AD1099" s="181">
        <v>0</v>
      </c>
      <c r="AE1099" s="586" t="s">
        <v>264</v>
      </c>
      <c r="AF1099" s="181" t="s">
        <v>264</v>
      </c>
      <c r="AG1099" s="181">
        <v>1</v>
      </c>
      <c r="AH1099" s="181">
        <v>4</v>
      </c>
      <c r="AI1099" s="181">
        <v>0</v>
      </c>
      <c r="AJ1099" s="181">
        <f>VLOOKUP($I1099,'Price List, Weapons &amp; Items'!B:F,5,0)</f>
        <v>0</v>
      </c>
      <c r="AK1099" s="181">
        <f t="shared" si="252"/>
        <v>0</v>
      </c>
      <c r="AL1099" s="181">
        <f t="shared" si="253"/>
        <v>0</v>
      </c>
      <c r="AM1099" s="181">
        <f t="shared" si="254"/>
        <v>0</v>
      </c>
      <c r="AN1099" s="180" t="str">
        <f>VLOOKUP($I1099,'Price List, Weapons &amp; Items'!B:L,COLUMN('Price List, Weapons &amp; Items'!$J$11)-1,0)</f>
        <v>Government information</v>
      </c>
      <c r="AO1099" s="180" t="str">
        <f>IF(I1099=".",".",VLOOKUP($I1099,'Price List, Weapons &amp; Items'!B:J,3,0))</f>
        <v>Patrol and coastal combatants</v>
      </c>
      <c r="AP1099" s="545" t="str">
        <f t="shared" ca="1" si="211"/>
        <v/>
      </c>
      <c r="AQ1099" s="180" t="str">
        <f>VLOOKUP($I1099,'Price List, Weapons &amp; Items'!B:L,COLUMN('Price List, Weapons &amp; Items'!$L$11)-1,0)</f>
        <v>no price, 0 count</v>
      </c>
      <c r="AR1099" s="180">
        <f t="shared" si="255"/>
        <v>1</v>
      </c>
      <c r="AS1099" s="180">
        <f t="shared" si="256"/>
        <v>1</v>
      </c>
      <c r="AT1099" s="180">
        <f t="shared" si="258"/>
        <v>1</v>
      </c>
      <c r="AU1099" s="180" t="str">
        <f t="shared" si="259"/>
        <v>.</v>
      </c>
      <c r="AV1099" s="180" t="str">
        <f t="shared" si="260"/>
        <v>.</v>
      </c>
      <c r="AW1099" s="180">
        <f>IFERROR(VLOOKUP(B1099,'Share, Heavy Weapons to Ukraine'!B:J,COLUMN('Share, Heavy Weapons to Ukraine'!C1109)-1,0),0)</f>
        <v>1</v>
      </c>
      <c r="AX1099" s="180">
        <f>VLOOKUP('Bilateral Assistance, MAIN DATA'!B1099,'Country Summary'!B:F,COLUMN('Country Summary'!C1112)-1,FALSE)</f>
        <v>0</v>
      </c>
      <c r="AY1099" s="180" t="str">
        <f>IF(AND(AD1099=1,D1099="Military",H1099&lt;&gt;"Not given")=TRUE,IF(SUMIFS(P:P,A:A,A1099)&gt;0,ABS((SUMIFS(P:P,A:A,A1099)/VLOOKUP("USD",'Exchange Rates'!B:C,2,0)))/S1099,"."),".")</f>
        <v>.</v>
      </c>
      <c r="AZ1099" s="182" t="str">
        <f>IF(AND(AD1099=1,D1099="Military",H1099&lt;&gt;"Not given")=TRUE,IF(SUMIFS(P:P,A:A,A1099)&gt;0,IF((ABS((SUMIFS(P:P,A:A,A1099)/VLOOKUP("USD",'Exchange Rates'!B:C,2,0)))/S1099)&gt;1,(SUMIFS(P:P,A:A,A1099)-S1099)/S1099,(S1099-SUMIFS(P:P,A:A,A1099))/SUMIFS(P:P,A:A,A1099)),"."),".")</f>
        <v>.</v>
      </c>
      <c r="BA1099" s="182"/>
      <c r="BB1099" s="182"/>
      <c r="BC1099" s="182"/>
      <c r="BD1099" s="182"/>
      <c r="BE1099" s="182"/>
      <c r="BF1099" s="182"/>
      <c r="BG1099" s="182"/>
      <c r="BH1099" s="182"/>
      <c r="BI1099" s="182"/>
      <c r="BJ1099" s="182"/>
      <c r="BK1099" s="182"/>
      <c r="BL1099" s="182"/>
      <c r="BM1099" s="182"/>
      <c r="BN1099" s="182"/>
      <c r="BO1099" s="182"/>
      <c r="BP1099" s="182"/>
      <c r="BQ1099" s="182"/>
      <c r="BR1099" s="182"/>
      <c r="BS1099" s="182"/>
    </row>
    <row r="1100" spans="1:71" ht="15.9" customHeight="1" x14ac:dyDescent="0.3">
      <c r="A1100" s="5" t="s">
        <v>3065</v>
      </c>
      <c r="B1100" s="5" t="s">
        <v>3038</v>
      </c>
      <c r="C1100" s="174">
        <v>44664</v>
      </c>
      <c r="D1100" s="5" t="s">
        <v>285</v>
      </c>
      <c r="E1100" s="5" t="s">
        <v>1328</v>
      </c>
      <c r="F1100" s="175" t="s">
        <v>3098</v>
      </c>
      <c r="G1100" s="15" t="s">
        <v>346</v>
      </c>
      <c r="H1100" s="176">
        <v>800000000</v>
      </c>
      <c r="I1100" s="17" t="s">
        <v>1842</v>
      </c>
      <c r="J1100" s="113" t="str">
        <f>VLOOKUP($I1100,'Price List, Weapons &amp; Items'!B:C,2,0)</f>
        <v>Military equipment</v>
      </c>
      <c r="K1100" s="113" t="str">
        <f>IF(I1100=".",I1100,VLOOKUP($I1100,'Price List, Weapons &amp; Items'!B:D,3,0))</f>
        <v>Military equipment</v>
      </c>
      <c r="L1100" s="177">
        <f>VLOOKUP(I1100,'Price List, Weapons &amp; Items'!B:E,4,0)</f>
        <v>0</v>
      </c>
      <c r="M1100" s="542" t="s">
        <v>270</v>
      </c>
      <c r="N1100" s="542" t="s">
        <v>270</v>
      </c>
      <c r="O1100" s="543" t="str">
        <f>VLOOKUP($I1100,'Price List, Weapons &amp; Items'!B:G,6,0)</f>
        <v>.</v>
      </c>
      <c r="P1100" s="176" t="str">
        <f t="shared" si="212"/>
        <v>.</v>
      </c>
      <c r="Q1100" s="176" t="str">
        <f t="shared" si="213"/>
        <v>.</v>
      </c>
      <c r="R1100" s="176" t="str">
        <f t="shared" si="251"/>
        <v/>
      </c>
      <c r="S1100" s="176" t="str">
        <f>IF(AND(AD1100=1,R1100&lt;&gt;".")=TRUE,R1100/VLOOKUP(G1100,'Exchange Rates'!B:C,2,0),IF(R1100=".",".",""))</f>
        <v/>
      </c>
      <c r="T1100" s="176" t="str">
        <f>IF(AD1100=1,IF(AF1100="Value is not given at all",".",IF(AF1100="Value is given by the source",S1100,IF(AF1100="Value is calculated with prices",(IF(SUMIFS(Q:Q,A:A,A1100)&gt;0,SUMIFS(Q:Q,A:A,A1100),"."))/VLOOKUP("USD",'Exchange Rates'!B:C,2,0),"Error with coding"))),"")</f>
        <v/>
      </c>
      <c r="U1100" s="15" t="s">
        <v>261</v>
      </c>
      <c r="V1100" s="547" t="s">
        <v>3069</v>
      </c>
      <c r="W1100" s="667" t="s">
        <v>3044</v>
      </c>
      <c r="X1100" s="667" t="s">
        <v>3047</v>
      </c>
      <c r="Y1100" s="667" t="s">
        <v>3114</v>
      </c>
      <c r="Z1100" s="15">
        <v>0</v>
      </c>
      <c r="AA1100" s="180">
        <v>0</v>
      </c>
      <c r="AB1100" s="667" t="s">
        <v>3115</v>
      </c>
      <c r="AC1100" s="544" t="str">
        <f>""</f>
        <v/>
      </c>
      <c r="AD1100" s="181">
        <v>0</v>
      </c>
      <c r="AE1100" s="586" t="s">
        <v>264</v>
      </c>
      <c r="AF1100" s="181" t="s">
        <v>264</v>
      </c>
      <c r="AG1100" s="181">
        <v>1</v>
      </c>
      <c r="AH1100" s="181">
        <v>4</v>
      </c>
      <c r="AI1100" s="181">
        <v>0</v>
      </c>
      <c r="AJ1100" s="181">
        <f>VLOOKUP($I1100,'Price List, Weapons &amp; Items'!B:F,5,0)</f>
        <v>0</v>
      </c>
      <c r="AK1100" s="181">
        <f t="shared" si="252"/>
        <v>0</v>
      </c>
      <c r="AL1100" s="181">
        <f t="shared" si="253"/>
        <v>0</v>
      </c>
      <c r="AM1100" s="181">
        <f t="shared" si="254"/>
        <v>0</v>
      </c>
      <c r="AN1100" s="180" t="str">
        <f>VLOOKUP($I1100,'Price List, Weapons &amp; Items'!B:L,COLUMN('Price List, Weapons &amp; Items'!$J$11)-1,0)</f>
        <v>.</v>
      </c>
      <c r="AO1100" s="180" t="str">
        <f>IF(I1100=".",".",VLOOKUP($I1100,'Price List, Weapons &amp; Items'!B:J,3,0))</f>
        <v>Military equipment</v>
      </c>
      <c r="AP1100" s="545" t="str">
        <f t="shared" ca="1" si="211"/>
        <v/>
      </c>
      <c r="AQ1100" s="180" t="str">
        <f>VLOOKUP($I1100,'Price List, Weapons &amp; Items'!B:L,COLUMN('Price List, Weapons &amp; Items'!$L$11)-1,0)</f>
        <v>no price, 0 count</v>
      </c>
      <c r="AR1100" s="180">
        <f t="shared" si="255"/>
        <v>1</v>
      </c>
      <c r="AS1100" s="180">
        <f t="shared" si="256"/>
        <v>1</v>
      </c>
      <c r="AT1100" s="180">
        <f t="shared" si="258"/>
        <v>1</v>
      </c>
      <c r="AU1100" s="180" t="str">
        <f t="shared" si="259"/>
        <v>.</v>
      </c>
      <c r="AV1100" s="180" t="str">
        <f t="shared" si="260"/>
        <v>.</v>
      </c>
      <c r="AW1100" s="180">
        <f>IFERROR(VLOOKUP(B1100,'Share, Heavy Weapons to Ukraine'!B:J,COLUMN('Share, Heavy Weapons to Ukraine'!C1110)-1,0),0)</f>
        <v>1</v>
      </c>
      <c r="AX1100" s="180">
        <f>VLOOKUP('Bilateral Assistance, MAIN DATA'!B1100,'Country Summary'!B:F,COLUMN('Country Summary'!C1113)-1,FALSE)</f>
        <v>0</v>
      </c>
      <c r="AY1100" s="180" t="str">
        <f>IF(AND(AD1100=1,D1100="Military",H1100&lt;&gt;"Not given")=TRUE,IF(SUMIFS(P:P,A:A,A1100)&gt;0,ABS((SUMIFS(P:P,A:A,A1100)/VLOOKUP("USD",'Exchange Rates'!B:C,2,0)))/S1100,"."),".")</f>
        <v>.</v>
      </c>
      <c r="AZ1100" s="182" t="str">
        <f>IF(AND(AD1100=1,D1100="Military",H1100&lt;&gt;"Not given")=TRUE,IF(SUMIFS(P:P,A:A,A1100)&gt;0,IF((ABS((SUMIFS(P:P,A:A,A1100)/VLOOKUP("USD",'Exchange Rates'!B:C,2,0)))/S1100)&gt;1,(SUMIFS(P:P,A:A,A1100)-S1100)/S1100,(S1100-SUMIFS(P:P,A:A,A1100))/SUMIFS(P:P,A:A,A1100)),"."),".")</f>
        <v>.</v>
      </c>
      <c r="BA1100" s="182"/>
      <c r="BB1100" s="182"/>
      <c r="BC1100" s="182"/>
      <c r="BD1100" s="182"/>
      <c r="BE1100" s="182"/>
      <c r="BF1100" s="182"/>
      <c r="BG1100" s="182"/>
      <c r="BH1100" s="182"/>
      <c r="BI1100" s="182"/>
      <c r="BJ1100" s="182"/>
      <c r="BK1100" s="182"/>
      <c r="BL1100" s="182"/>
      <c r="BM1100" s="182"/>
      <c r="BN1100" s="182"/>
      <c r="BO1100" s="182"/>
      <c r="BP1100" s="182"/>
      <c r="BQ1100" s="182"/>
      <c r="BR1100" s="182"/>
      <c r="BS1100" s="182"/>
    </row>
    <row r="1101" spans="1:71" ht="15.9" customHeight="1" x14ac:dyDescent="0.3">
      <c r="A1101" s="5" t="s">
        <v>3065</v>
      </c>
      <c r="B1101" s="5" t="s">
        <v>3038</v>
      </c>
      <c r="C1101" s="174">
        <v>44664</v>
      </c>
      <c r="D1101" s="5" t="s">
        <v>285</v>
      </c>
      <c r="E1101" s="5" t="s">
        <v>1328</v>
      </c>
      <c r="F1101" s="175" t="s">
        <v>3098</v>
      </c>
      <c r="G1101" s="15" t="s">
        <v>346</v>
      </c>
      <c r="H1101" s="176">
        <v>800000000</v>
      </c>
      <c r="I1101" s="17" t="s">
        <v>2453</v>
      </c>
      <c r="J1101" s="113" t="str">
        <f>VLOOKUP($I1101,'Price List, Weapons &amp; Items'!B:C,2,0)</f>
        <v>Military equipment</v>
      </c>
      <c r="K1101" s="113" t="str">
        <f>IF(I1101=".",I1101,VLOOKUP($I1101,'Price List, Weapons &amp; Items'!B:D,3,0))</f>
        <v>Military equipment</v>
      </c>
      <c r="L1101" s="177">
        <f>VLOOKUP(I1101,'Price List, Weapons &amp; Items'!B:E,4,0)</f>
        <v>0</v>
      </c>
      <c r="M1101" s="542" t="s">
        <v>270</v>
      </c>
      <c r="N1101" s="542" t="s">
        <v>270</v>
      </c>
      <c r="O1101" s="543" t="str">
        <f>VLOOKUP($I1101,'Price List, Weapons &amp; Items'!B:G,6,0)</f>
        <v>.</v>
      </c>
      <c r="P1101" s="176" t="str">
        <f t="shared" si="212"/>
        <v>.</v>
      </c>
      <c r="Q1101" s="176" t="str">
        <f t="shared" si="213"/>
        <v>.</v>
      </c>
      <c r="R1101" s="176" t="str">
        <f t="shared" si="251"/>
        <v/>
      </c>
      <c r="S1101" s="176" t="str">
        <f>IF(AND(AD1101=1,R1101&lt;&gt;".")=TRUE,R1101/VLOOKUP(G1101,'Exchange Rates'!B:C,2,0),IF(R1101=".",".",""))</f>
        <v/>
      </c>
      <c r="T1101" s="176" t="str">
        <f>IF(AD1101=1,IF(AF1101="Value is not given at all",".",IF(AF1101="Value is given by the source",S1101,IF(AF1101="Value is calculated with prices",(IF(SUMIFS(Q:Q,A:A,A1101)&gt;0,SUMIFS(Q:Q,A:A,A1101),"."))/VLOOKUP("USD",'Exchange Rates'!B:C,2,0),"Error with coding"))),"")</f>
        <v/>
      </c>
      <c r="U1101" s="15" t="s">
        <v>261</v>
      </c>
      <c r="V1101" s="547" t="s">
        <v>3069</v>
      </c>
      <c r="W1101" s="667" t="s">
        <v>3044</v>
      </c>
      <c r="X1101" s="667" t="s">
        <v>3047</v>
      </c>
      <c r="Y1101" s="667" t="s">
        <v>3115</v>
      </c>
      <c r="Z1101" s="15">
        <v>0</v>
      </c>
      <c r="AA1101" s="180">
        <v>0</v>
      </c>
      <c r="AB1101" s="667" t="s">
        <v>3116</v>
      </c>
      <c r="AC1101" s="544" t="str">
        <f>""</f>
        <v/>
      </c>
      <c r="AD1101" s="181">
        <v>0</v>
      </c>
      <c r="AE1101" s="586" t="s">
        <v>264</v>
      </c>
      <c r="AF1101" s="181" t="s">
        <v>264</v>
      </c>
      <c r="AG1101" s="181">
        <v>1</v>
      </c>
      <c r="AH1101" s="181">
        <v>4</v>
      </c>
      <c r="AI1101" s="181">
        <v>0</v>
      </c>
      <c r="AJ1101" s="181">
        <f>VLOOKUP($I1101,'Price List, Weapons &amp; Items'!B:F,5,0)</f>
        <v>0</v>
      </c>
      <c r="AK1101" s="181">
        <f t="shared" si="252"/>
        <v>0</v>
      </c>
      <c r="AL1101" s="181">
        <f t="shared" si="253"/>
        <v>0</v>
      </c>
      <c r="AM1101" s="181">
        <f t="shared" si="254"/>
        <v>0</v>
      </c>
      <c r="AN1101" s="180" t="str">
        <f>VLOOKUP($I1101,'Price List, Weapons &amp; Items'!B:L,COLUMN('Price List, Weapons &amp; Items'!$J$11)-1,0)</f>
        <v>.</v>
      </c>
      <c r="AO1101" s="180" t="str">
        <f>IF(I1101=".",".",VLOOKUP($I1101,'Price List, Weapons &amp; Items'!B:J,3,0))</f>
        <v>Military equipment</v>
      </c>
      <c r="AP1101" s="545" t="str">
        <f t="shared" ca="1" si="211"/>
        <v/>
      </c>
      <c r="AQ1101" s="180" t="str">
        <f>VLOOKUP($I1101,'Price List, Weapons &amp; Items'!B:L,COLUMN('Price List, Weapons &amp; Items'!$L$11)-1,0)</f>
        <v>no price, 0 count</v>
      </c>
      <c r="AR1101" s="180">
        <f t="shared" si="255"/>
        <v>1</v>
      </c>
      <c r="AS1101" s="180">
        <f t="shared" si="256"/>
        <v>1</v>
      </c>
      <c r="AT1101" s="180">
        <f t="shared" si="258"/>
        <v>1</v>
      </c>
      <c r="AU1101" s="180" t="str">
        <f t="shared" si="259"/>
        <v>.</v>
      </c>
      <c r="AV1101" s="180" t="str">
        <f t="shared" si="260"/>
        <v>.</v>
      </c>
      <c r="AW1101" s="180">
        <f>IFERROR(VLOOKUP(B1101,'Share, Heavy Weapons to Ukraine'!B:J,COLUMN('Share, Heavy Weapons to Ukraine'!C1111)-1,0),0)</f>
        <v>1</v>
      </c>
      <c r="AX1101" s="180">
        <f>VLOOKUP('Bilateral Assistance, MAIN DATA'!B1101,'Country Summary'!B:F,COLUMN('Country Summary'!C1114)-1,FALSE)</f>
        <v>0</v>
      </c>
      <c r="AY1101" s="180" t="str">
        <f>IF(AND(AD1101=1,D1101="Military",H1101&lt;&gt;"Not given")=TRUE,IF(SUMIFS(P:P,A:A,A1101)&gt;0,ABS((SUMIFS(P:P,A:A,A1101)/VLOOKUP("USD",'Exchange Rates'!B:C,2,0)))/S1101,"."),".")</f>
        <v>.</v>
      </c>
      <c r="AZ1101" s="182" t="str">
        <f>IF(AND(AD1101=1,D1101="Military",H1101&lt;&gt;"Not given")=TRUE,IF(SUMIFS(P:P,A:A,A1101)&gt;0,IF((ABS((SUMIFS(P:P,A:A,A1101)/VLOOKUP("USD",'Exchange Rates'!B:C,2,0)))/S1101)&gt;1,(SUMIFS(P:P,A:A,A1101)-S1101)/S1101,(S1101-SUMIFS(P:P,A:A,A1101))/SUMIFS(P:P,A:A,A1101)),"."),".")</f>
        <v>.</v>
      </c>
      <c r="BA1101" s="182"/>
      <c r="BB1101" s="182"/>
      <c r="BC1101" s="182"/>
      <c r="BD1101" s="182"/>
      <c r="BE1101" s="182"/>
      <c r="BF1101" s="182"/>
      <c r="BG1101" s="182"/>
      <c r="BH1101" s="182"/>
      <c r="BI1101" s="182"/>
      <c r="BJ1101" s="182"/>
      <c r="BK1101" s="182"/>
      <c r="BL1101" s="182"/>
      <c r="BM1101" s="182"/>
      <c r="BN1101" s="182"/>
      <c r="BO1101" s="182"/>
      <c r="BP1101" s="182"/>
      <c r="BQ1101" s="182"/>
      <c r="BR1101" s="182"/>
      <c r="BS1101" s="182"/>
    </row>
    <row r="1102" spans="1:71" ht="15.9" customHeight="1" x14ac:dyDescent="0.3">
      <c r="A1102" s="5" t="s">
        <v>3065</v>
      </c>
      <c r="B1102" s="5" t="s">
        <v>3038</v>
      </c>
      <c r="C1102" s="174">
        <v>44664</v>
      </c>
      <c r="D1102" s="5" t="s">
        <v>285</v>
      </c>
      <c r="E1102" s="5" t="s">
        <v>1328</v>
      </c>
      <c r="F1102" s="175" t="s">
        <v>3098</v>
      </c>
      <c r="G1102" s="15" t="s">
        <v>346</v>
      </c>
      <c r="H1102" s="176">
        <v>800000000</v>
      </c>
      <c r="I1102" s="17" t="s">
        <v>499</v>
      </c>
      <c r="J1102" s="113" t="str">
        <f>VLOOKUP($I1102,'Price List, Weapons &amp; Items'!B:C,2,0)</f>
        <v>Military equipment</v>
      </c>
      <c r="K1102" s="113" t="str">
        <f>IF(I1102=".",I1102,VLOOKUP($I1102,'Price List, Weapons &amp; Items'!B:D,3,0))</f>
        <v>Military equipment</v>
      </c>
      <c r="L1102" s="177">
        <f>VLOOKUP(I1102,'Price List, Weapons &amp; Items'!B:E,4,0)</f>
        <v>0</v>
      </c>
      <c r="M1102" s="542">
        <v>30000</v>
      </c>
      <c r="N1102" s="542">
        <f t="shared" ref="N1102:N1105" si="261">M1102</f>
        <v>30000</v>
      </c>
      <c r="O1102" s="543">
        <f>VLOOKUP($I1102,'Price List, Weapons &amp; Items'!B:G,6,0)</f>
        <v>500</v>
      </c>
      <c r="P1102" s="176">
        <f t="shared" si="212"/>
        <v>15000000</v>
      </c>
      <c r="Q1102" s="176">
        <f t="shared" si="213"/>
        <v>15000000</v>
      </c>
      <c r="R1102" s="176" t="str">
        <f t="shared" si="251"/>
        <v/>
      </c>
      <c r="S1102" s="176" t="str">
        <f>IF(AND(AD1102=1,R1102&lt;&gt;".")=TRUE,R1102/VLOOKUP(G1102,'Exchange Rates'!B:C,2,0),IF(R1102=".",".",""))</f>
        <v/>
      </c>
      <c r="T1102" s="176" t="str">
        <f>IF(AD1102=1,IF(AF1102="Value is not given at all",".",IF(AF1102="Value is given by the source",S1102,IF(AF1102="Value is calculated with prices",(IF(SUMIFS(Q:Q,A:A,A1102)&gt;0,SUMIFS(Q:Q,A:A,A1102),"."))/VLOOKUP("USD",'Exchange Rates'!B:C,2,0),"Error with coding"))),"")</f>
        <v/>
      </c>
      <c r="U1102" s="15" t="s">
        <v>261</v>
      </c>
      <c r="V1102" s="547" t="s">
        <v>3069</v>
      </c>
      <c r="W1102" s="667" t="s">
        <v>3044</v>
      </c>
      <c r="X1102" s="667" t="s">
        <v>3047</v>
      </c>
      <c r="Y1102" s="667" t="s">
        <v>3116</v>
      </c>
      <c r="Z1102" s="15">
        <v>0</v>
      </c>
      <c r="AA1102" s="180">
        <v>0</v>
      </c>
      <c r="AB1102" s="667" t="s">
        <v>3117</v>
      </c>
      <c r="AC1102" s="544" t="str">
        <f>""</f>
        <v/>
      </c>
      <c r="AD1102" s="181">
        <v>0</v>
      </c>
      <c r="AE1102" s="586" t="s">
        <v>264</v>
      </c>
      <c r="AF1102" s="181" t="s">
        <v>264</v>
      </c>
      <c r="AG1102" s="181">
        <v>1</v>
      </c>
      <c r="AH1102" s="181">
        <v>4</v>
      </c>
      <c r="AI1102" s="181">
        <v>0</v>
      </c>
      <c r="AJ1102" s="181">
        <f>VLOOKUP($I1102,'Price List, Weapons &amp; Items'!B:F,5,0)</f>
        <v>0</v>
      </c>
      <c r="AK1102" s="181">
        <f t="shared" si="252"/>
        <v>0</v>
      </c>
      <c r="AL1102" s="181">
        <f t="shared" si="253"/>
        <v>0</v>
      </c>
      <c r="AM1102" s="181">
        <f t="shared" si="254"/>
        <v>0</v>
      </c>
      <c r="AN1102" s="180" t="str">
        <f>VLOOKUP($I1102,'Price List, Weapons &amp; Items'!B:L,COLUMN('Price List, Weapons &amp; Items'!$J$11)-1,0)</f>
        <v>Military media (incl. websites)</v>
      </c>
      <c r="AO1102" s="180" t="str">
        <f>IF(I1102=".",".",VLOOKUP($I1102,'Price List, Weapons &amp; Items'!B:J,3,0))</f>
        <v>Military equipment</v>
      </c>
      <c r="AP1102" s="545" t="str">
        <f t="shared" ca="1" si="211"/>
        <v/>
      </c>
      <c r="AQ1102" s="180">
        <f>VLOOKUP($I1102,'Price List, Weapons &amp; Items'!B:L,COLUMN('Price List, Weapons &amp; Items'!$L$11)-1,0)</f>
        <v>2</v>
      </c>
      <c r="AR1102" s="180">
        <f t="shared" si="255"/>
        <v>1</v>
      </c>
      <c r="AS1102" s="180">
        <f t="shared" si="256"/>
        <v>1</v>
      </c>
      <c r="AT1102" s="180">
        <f t="shared" si="258"/>
        <v>1</v>
      </c>
      <c r="AU1102" s="180" t="str">
        <f t="shared" si="259"/>
        <v>.</v>
      </c>
      <c r="AV1102" s="180" t="str">
        <f t="shared" si="260"/>
        <v>.</v>
      </c>
      <c r="AW1102" s="180">
        <f>IFERROR(VLOOKUP(B1102,'Share, Heavy Weapons to Ukraine'!B:J,COLUMN('Share, Heavy Weapons to Ukraine'!C1112)-1,0),0)</f>
        <v>1</v>
      </c>
      <c r="AX1102" s="180">
        <f>VLOOKUP('Bilateral Assistance, MAIN DATA'!B1102,'Country Summary'!B:F,COLUMN('Country Summary'!C1115)-1,FALSE)</f>
        <v>0</v>
      </c>
      <c r="AY1102" s="180" t="str">
        <f>IF(AND(AD1102=1,D1102="Military",H1102&lt;&gt;"Not given")=TRUE,IF(SUMIFS(P:P,A:A,A1102)&gt;0,ABS((SUMIFS(P:P,A:A,A1102)/VLOOKUP("USD",'Exchange Rates'!B:C,2,0)))/S1102,"."),".")</f>
        <v>.</v>
      </c>
      <c r="AZ1102" s="182" t="str">
        <f>IF(AND(AD1102=1,D1102="Military",H1102&lt;&gt;"Not given")=TRUE,IF(SUMIFS(P:P,A:A,A1102)&gt;0,IF((ABS((SUMIFS(P:P,A:A,A1102)/VLOOKUP("USD",'Exchange Rates'!B:C,2,0)))/S1102)&gt;1,(SUMIFS(P:P,A:A,A1102)-S1102)/S1102,(S1102-SUMIFS(P:P,A:A,A1102))/SUMIFS(P:P,A:A,A1102)),"."),".")</f>
        <v>.</v>
      </c>
      <c r="BA1102" s="182"/>
      <c r="BB1102" s="182"/>
      <c r="BC1102" s="182"/>
      <c r="BD1102" s="182"/>
      <c r="BE1102" s="182"/>
      <c r="BF1102" s="182"/>
      <c r="BG1102" s="182"/>
      <c r="BH1102" s="182"/>
      <c r="BI1102" s="182"/>
      <c r="BJ1102" s="182"/>
      <c r="BK1102" s="182"/>
      <c r="BL1102" s="182"/>
      <c r="BM1102" s="182"/>
      <c r="BN1102" s="182"/>
      <c r="BO1102" s="182"/>
      <c r="BP1102" s="182"/>
      <c r="BQ1102" s="182"/>
      <c r="BR1102" s="182"/>
      <c r="BS1102" s="182"/>
    </row>
    <row r="1103" spans="1:71" ht="15.9" customHeight="1" x14ac:dyDescent="0.3">
      <c r="A1103" s="5" t="s">
        <v>3065</v>
      </c>
      <c r="B1103" s="5" t="s">
        <v>3038</v>
      </c>
      <c r="C1103" s="174">
        <v>44664</v>
      </c>
      <c r="D1103" s="5" t="s">
        <v>285</v>
      </c>
      <c r="E1103" s="5" t="s">
        <v>1328</v>
      </c>
      <c r="F1103" s="175" t="s">
        <v>3098</v>
      </c>
      <c r="G1103" s="15" t="s">
        <v>346</v>
      </c>
      <c r="H1103" s="176">
        <v>800000000</v>
      </c>
      <c r="I1103" s="17" t="s">
        <v>463</v>
      </c>
      <c r="J1103" s="113" t="str">
        <f>VLOOKUP($I1103,'Price List, Weapons &amp; Items'!B:C,2,0)</f>
        <v>Military equipment</v>
      </c>
      <c r="K1103" s="113" t="str">
        <f>IF(I1103=".",I1103,VLOOKUP($I1103,'Price List, Weapons &amp; Items'!B:D,3,0))</f>
        <v>Military equipment</v>
      </c>
      <c r="L1103" s="177">
        <f>VLOOKUP(I1103,'Price List, Weapons &amp; Items'!B:E,4,0)</f>
        <v>0</v>
      </c>
      <c r="M1103" s="542">
        <v>30000</v>
      </c>
      <c r="N1103" s="542">
        <f t="shared" si="261"/>
        <v>30000</v>
      </c>
      <c r="O1103" s="543">
        <f>VLOOKUP($I1103,'Price List, Weapons &amp; Items'!B:G,6,0)</f>
        <v>1400</v>
      </c>
      <c r="P1103" s="176">
        <f t="shared" si="212"/>
        <v>42000000</v>
      </c>
      <c r="Q1103" s="176">
        <f t="shared" si="213"/>
        <v>42000000</v>
      </c>
      <c r="R1103" s="176" t="str">
        <f t="shared" si="251"/>
        <v/>
      </c>
      <c r="S1103" s="176" t="str">
        <f>IF(AND(AD1103=1,R1103&lt;&gt;".")=TRUE,R1103/VLOOKUP(G1103,'Exchange Rates'!B:C,2,0),IF(R1103=".",".",""))</f>
        <v/>
      </c>
      <c r="T1103" s="176" t="str">
        <f>IF(AD1103=1,IF(AF1103="Value is not given at all",".",IF(AF1103="Value is given by the source",S1103,IF(AF1103="Value is calculated with prices",(IF(SUMIFS(Q:Q,A:A,A1103)&gt;0,SUMIFS(Q:Q,A:A,A1103),"."))/VLOOKUP("USD",'Exchange Rates'!B:C,2,0),"Error with coding"))),"")</f>
        <v/>
      </c>
      <c r="U1103" s="15" t="s">
        <v>261</v>
      </c>
      <c r="V1103" s="547" t="s">
        <v>3069</v>
      </c>
      <c r="W1103" s="667" t="s">
        <v>3044</v>
      </c>
      <c r="X1103" s="667" t="s">
        <v>3047</v>
      </c>
      <c r="Y1103" s="667" t="s">
        <v>3117</v>
      </c>
      <c r="Z1103" s="15">
        <v>0</v>
      </c>
      <c r="AA1103" s="180">
        <v>0</v>
      </c>
      <c r="AB1103" s="667" t="s">
        <v>3118</v>
      </c>
      <c r="AC1103" s="544" t="str">
        <f>""</f>
        <v/>
      </c>
      <c r="AD1103" s="181">
        <v>0</v>
      </c>
      <c r="AE1103" s="586" t="s">
        <v>264</v>
      </c>
      <c r="AF1103" s="181" t="s">
        <v>264</v>
      </c>
      <c r="AG1103" s="181">
        <v>1</v>
      </c>
      <c r="AH1103" s="181">
        <v>4</v>
      </c>
      <c r="AI1103" s="181">
        <v>0</v>
      </c>
      <c r="AJ1103" s="181">
        <f>VLOOKUP($I1103,'Price List, Weapons &amp; Items'!B:F,5,0)</f>
        <v>0</v>
      </c>
      <c r="AK1103" s="181">
        <f t="shared" si="252"/>
        <v>0</v>
      </c>
      <c r="AL1103" s="181">
        <f t="shared" si="253"/>
        <v>0</v>
      </c>
      <c r="AM1103" s="181">
        <f t="shared" si="254"/>
        <v>0</v>
      </c>
      <c r="AN1103" s="180" t="str">
        <f>VLOOKUP($I1103,'Price List, Weapons &amp; Items'!B:L,COLUMN('Price List, Weapons &amp; Items'!$J$11)-1,0)</f>
        <v>Military media (incl. websites)</v>
      </c>
      <c r="AO1103" s="180" t="str">
        <f>IF(I1103=".",".",VLOOKUP($I1103,'Price List, Weapons &amp; Items'!B:J,3,0))</f>
        <v>Military equipment</v>
      </c>
      <c r="AP1103" s="545" t="str">
        <f t="shared" ca="1" si="211"/>
        <v/>
      </c>
      <c r="AQ1103" s="180">
        <f>VLOOKUP($I1103,'Price List, Weapons &amp; Items'!B:L,COLUMN('Price List, Weapons &amp; Items'!$L$11)-1,0)</f>
        <v>2</v>
      </c>
      <c r="AR1103" s="180">
        <f t="shared" si="255"/>
        <v>1</v>
      </c>
      <c r="AS1103" s="180">
        <f t="shared" si="256"/>
        <v>1</v>
      </c>
      <c r="AT1103" s="180">
        <f t="shared" si="258"/>
        <v>1</v>
      </c>
      <c r="AU1103" s="180" t="str">
        <f t="shared" si="259"/>
        <v>.</v>
      </c>
      <c r="AV1103" s="180" t="str">
        <f t="shared" si="260"/>
        <v>.</v>
      </c>
      <c r="AW1103" s="180">
        <f>IFERROR(VLOOKUP(B1103,'Share, Heavy Weapons to Ukraine'!B:J,COLUMN('Share, Heavy Weapons to Ukraine'!C1113)-1,0),0)</f>
        <v>1</v>
      </c>
      <c r="AX1103" s="180">
        <f>VLOOKUP('Bilateral Assistance, MAIN DATA'!B1103,'Country Summary'!B:F,COLUMN('Country Summary'!C1116)-1,FALSE)</f>
        <v>0</v>
      </c>
      <c r="AY1103" s="180" t="str">
        <f>IF(AND(AD1103=1,D1103="Military",H1103&lt;&gt;"Not given")=TRUE,IF(SUMIFS(P:P,A:A,A1103)&gt;0,ABS((SUMIFS(P:P,A:A,A1103)/VLOOKUP("USD",'Exchange Rates'!B:C,2,0)))/S1103,"."),".")</f>
        <v>.</v>
      </c>
      <c r="AZ1103" s="182" t="str">
        <f>IF(AND(AD1103=1,D1103="Military",H1103&lt;&gt;"Not given")=TRUE,IF(SUMIFS(P:P,A:A,A1103)&gt;0,IF((ABS((SUMIFS(P:P,A:A,A1103)/VLOOKUP("USD",'Exchange Rates'!B:C,2,0)))/S1103)&gt;1,(SUMIFS(P:P,A:A,A1103)-S1103)/S1103,(S1103-SUMIFS(P:P,A:A,A1103))/SUMIFS(P:P,A:A,A1103)),"."),".")</f>
        <v>.</v>
      </c>
      <c r="BA1103" s="182"/>
      <c r="BB1103" s="182"/>
      <c r="BC1103" s="182"/>
      <c r="BD1103" s="182"/>
      <c r="BE1103" s="182"/>
      <c r="BF1103" s="182"/>
      <c r="BG1103" s="182"/>
      <c r="BH1103" s="182"/>
      <c r="BI1103" s="182"/>
      <c r="BJ1103" s="182"/>
      <c r="BK1103" s="182"/>
      <c r="BL1103" s="182"/>
      <c r="BM1103" s="182"/>
      <c r="BN1103" s="182"/>
      <c r="BO1103" s="182"/>
      <c r="BP1103" s="182"/>
      <c r="BQ1103" s="182"/>
      <c r="BR1103" s="182"/>
      <c r="BS1103" s="182"/>
    </row>
    <row r="1104" spans="1:71" ht="15.9" customHeight="1" x14ac:dyDescent="0.3">
      <c r="A1104" s="5" t="s">
        <v>3065</v>
      </c>
      <c r="B1104" s="5" t="s">
        <v>3038</v>
      </c>
      <c r="C1104" s="174">
        <v>44664</v>
      </c>
      <c r="D1104" s="5" t="s">
        <v>285</v>
      </c>
      <c r="E1104" s="5" t="s">
        <v>1328</v>
      </c>
      <c r="F1104" s="175" t="s">
        <v>3098</v>
      </c>
      <c r="G1104" s="15" t="s">
        <v>346</v>
      </c>
      <c r="H1104" s="176">
        <v>800000000</v>
      </c>
      <c r="I1104" s="17" t="s">
        <v>3119</v>
      </c>
      <c r="J1104" s="113" t="str">
        <f>VLOOKUP($I1104,'Price List, Weapons &amp; Items'!B:C,2,0)</f>
        <v>Military equipment</v>
      </c>
      <c r="K1104" s="113" t="str">
        <f>IF(I1104=".",I1104,VLOOKUP($I1104,'Price List, Weapons &amp; Items'!B:D,3,0))</f>
        <v>Military equipment</v>
      </c>
      <c r="L1104" s="177">
        <f>VLOOKUP(I1104,'Price List, Weapons &amp; Items'!B:E,4,0)</f>
        <v>0</v>
      </c>
      <c r="M1104" s="542">
        <v>2000</v>
      </c>
      <c r="N1104" s="542">
        <f t="shared" si="261"/>
        <v>2000</v>
      </c>
      <c r="O1104" s="543">
        <f>VLOOKUP($I1104,'Price List, Weapons &amp; Items'!B:G,6,0)</f>
        <v>45</v>
      </c>
      <c r="P1104" s="176">
        <f t="shared" si="212"/>
        <v>90000</v>
      </c>
      <c r="Q1104" s="176">
        <f t="shared" si="213"/>
        <v>90000</v>
      </c>
      <c r="R1104" s="176" t="str">
        <f t="shared" si="251"/>
        <v/>
      </c>
      <c r="S1104" s="176" t="str">
        <f>IF(AND(AD1104=1,R1104&lt;&gt;".")=TRUE,R1104/VLOOKUP(G1104,'Exchange Rates'!B:C,2,0),IF(R1104=".",".",""))</f>
        <v/>
      </c>
      <c r="T1104" s="176" t="str">
        <f>IF(AD1104=1,IF(AF1104="Value is not given at all",".",IF(AF1104="Value is given by the source",S1104,IF(AF1104="Value is calculated with prices",(IF(SUMIFS(Q:Q,A:A,A1104)&gt;0,SUMIFS(Q:Q,A:A,A1104),"."))/VLOOKUP("USD",'Exchange Rates'!B:C,2,0),"Error with coding"))),"")</f>
        <v/>
      </c>
      <c r="U1104" s="15" t="s">
        <v>261</v>
      </c>
      <c r="V1104" s="547" t="s">
        <v>3069</v>
      </c>
      <c r="W1104" s="667" t="s">
        <v>3044</v>
      </c>
      <c r="X1104" s="667" t="s">
        <v>3047</v>
      </c>
      <c r="Y1104" s="667" t="s">
        <v>3118</v>
      </c>
      <c r="Z1104" s="15">
        <v>0</v>
      </c>
      <c r="AA1104" s="180">
        <v>0</v>
      </c>
      <c r="AB1104" s="667" t="s">
        <v>3120</v>
      </c>
      <c r="AC1104" s="544" t="str">
        <f>""</f>
        <v/>
      </c>
      <c r="AD1104" s="181">
        <v>0</v>
      </c>
      <c r="AE1104" s="586" t="s">
        <v>264</v>
      </c>
      <c r="AF1104" s="181" t="s">
        <v>264</v>
      </c>
      <c r="AG1104" s="181">
        <v>1</v>
      </c>
      <c r="AH1104" s="181">
        <v>4</v>
      </c>
      <c r="AI1104" s="181">
        <v>0</v>
      </c>
      <c r="AJ1104" s="181">
        <f>VLOOKUP($I1104,'Price List, Weapons &amp; Items'!B:F,5,0)</f>
        <v>0</v>
      </c>
      <c r="AK1104" s="181">
        <f t="shared" si="252"/>
        <v>0</v>
      </c>
      <c r="AL1104" s="181">
        <f t="shared" si="253"/>
        <v>0</v>
      </c>
      <c r="AM1104" s="181">
        <f t="shared" si="254"/>
        <v>0</v>
      </c>
      <c r="AN1104" s="180" t="str">
        <f>VLOOKUP($I1104,'Price List, Weapons &amp; Items'!B:L,COLUMN('Price List, Weapons &amp; Items'!$J$11)-1,0)</f>
        <v>Online marketplaces and stores</v>
      </c>
      <c r="AO1104" s="180" t="str">
        <f>IF(I1104=".",".",VLOOKUP($I1104,'Price List, Weapons &amp; Items'!B:J,3,0))</f>
        <v>Military equipment</v>
      </c>
      <c r="AP1104" s="545" t="str">
        <f t="shared" ca="1" si="211"/>
        <v/>
      </c>
      <c r="AQ1104" s="180">
        <f>VLOOKUP($I1104,'Price List, Weapons &amp; Items'!B:L,COLUMN('Price List, Weapons &amp; Items'!$L$11)-1,0)</f>
        <v>1</v>
      </c>
      <c r="AR1104" s="180">
        <f t="shared" si="255"/>
        <v>1</v>
      </c>
      <c r="AS1104" s="180">
        <f t="shared" si="256"/>
        <v>1</v>
      </c>
      <c r="AT1104" s="180">
        <f t="shared" si="258"/>
        <v>1</v>
      </c>
      <c r="AU1104" s="180" t="str">
        <f t="shared" si="259"/>
        <v>.</v>
      </c>
      <c r="AV1104" s="180" t="str">
        <f t="shared" si="260"/>
        <v>.</v>
      </c>
      <c r="AW1104" s="180">
        <f>IFERROR(VLOOKUP(B1104,'Share, Heavy Weapons to Ukraine'!B:J,COLUMN('Share, Heavy Weapons to Ukraine'!C1114)-1,0),0)</f>
        <v>1</v>
      </c>
      <c r="AX1104" s="180">
        <f>VLOOKUP('Bilateral Assistance, MAIN DATA'!B1104,'Country Summary'!B:F,COLUMN('Country Summary'!C1117)-1,FALSE)</f>
        <v>0</v>
      </c>
      <c r="AY1104" s="180" t="str">
        <f>IF(AND(AD1104=1,D1104="Military",H1104&lt;&gt;"Not given")=TRUE,IF(SUMIFS(P:P,A:A,A1104)&gt;0,ABS((SUMIFS(P:P,A:A,A1104)/VLOOKUP("USD",'Exchange Rates'!B:C,2,0)))/S1104,"."),".")</f>
        <v>.</v>
      </c>
      <c r="AZ1104" s="182" t="str">
        <f>IF(AND(AD1104=1,D1104="Military",H1104&lt;&gt;"Not given")=TRUE,IF(SUMIFS(P:P,A:A,A1104)&gt;0,IF((ABS((SUMIFS(P:P,A:A,A1104)/VLOOKUP("USD",'Exchange Rates'!B:C,2,0)))/S1104)&gt;1,(SUMIFS(P:P,A:A,A1104)-S1104)/S1104,(S1104-SUMIFS(P:P,A:A,A1104))/SUMIFS(P:P,A:A,A1104)),"."),".")</f>
        <v>.</v>
      </c>
      <c r="BA1104" s="182"/>
      <c r="BB1104" s="182"/>
      <c r="BC1104" s="182"/>
      <c r="BD1104" s="182"/>
      <c r="BE1104" s="182"/>
      <c r="BF1104" s="182"/>
      <c r="BG1104" s="182"/>
      <c r="BH1104" s="182"/>
      <c r="BI1104" s="182"/>
      <c r="BJ1104" s="182"/>
      <c r="BK1104" s="182"/>
      <c r="BL1104" s="182"/>
      <c r="BM1104" s="182"/>
      <c r="BN1104" s="182"/>
      <c r="BO1104" s="182"/>
      <c r="BP1104" s="182"/>
      <c r="BQ1104" s="182"/>
      <c r="BR1104" s="182"/>
      <c r="BS1104" s="182"/>
    </row>
    <row r="1105" spans="1:71" ht="15.9" customHeight="1" x14ac:dyDescent="0.3">
      <c r="A1105" s="5" t="s">
        <v>3065</v>
      </c>
      <c r="B1105" s="5" t="s">
        <v>3038</v>
      </c>
      <c r="C1105" s="174">
        <v>44664</v>
      </c>
      <c r="D1105" s="5" t="s">
        <v>285</v>
      </c>
      <c r="E1105" s="5" t="s">
        <v>1328</v>
      </c>
      <c r="F1105" s="175" t="s">
        <v>3098</v>
      </c>
      <c r="G1105" s="15" t="s">
        <v>346</v>
      </c>
      <c r="H1105" s="176">
        <v>800000000</v>
      </c>
      <c r="I1105" s="17" t="s">
        <v>958</v>
      </c>
      <c r="J1105" s="113" t="str">
        <f>VLOOKUP($I1105,'Price List, Weapons &amp; Items'!B:C,2,0)</f>
        <v>Military equipment</v>
      </c>
      <c r="K1105" s="113" t="str">
        <f>IF(I1105=".",I1105,VLOOKUP($I1105,'Price List, Weapons &amp; Items'!B:D,3,0))</f>
        <v>Military equipment</v>
      </c>
      <c r="L1105" s="177">
        <f>VLOOKUP(I1105,'Price List, Weapons &amp; Items'!B:E,4,0)</f>
        <v>0</v>
      </c>
      <c r="M1105" s="542">
        <v>2000</v>
      </c>
      <c r="N1105" s="542">
        <f t="shared" si="261"/>
        <v>2000</v>
      </c>
      <c r="O1105" s="543">
        <f>VLOOKUP($I1105,'Price List, Weapons &amp; Items'!B:G,6,0)</f>
        <v>51404</v>
      </c>
      <c r="P1105" s="176">
        <f t="shared" si="212"/>
        <v>102808000</v>
      </c>
      <c r="Q1105" s="176">
        <f t="shared" si="213"/>
        <v>102808000</v>
      </c>
      <c r="R1105" s="176" t="str">
        <f t="shared" si="251"/>
        <v/>
      </c>
      <c r="S1105" s="176" t="str">
        <f>IF(AND(AD1105=1,R1105&lt;&gt;".")=TRUE,R1105/VLOOKUP(G1105,'Exchange Rates'!B:C,2,0),IF(R1105=".",".",""))</f>
        <v/>
      </c>
      <c r="T1105" s="176" t="str">
        <f>IF(AD1105=1,IF(AF1105="Value is not given at all",".",IF(AF1105="Value is given by the source",S1105,IF(AF1105="Value is calculated with prices",(IF(SUMIFS(Q:Q,A:A,A1105)&gt;0,SUMIFS(Q:Q,A:A,A1105),"."))/VLOOKUP("USD",'Exchange Rates'!B:C,2,0),"Error with coding"))),"")</f>
        <v/>
      </c>
      <c r="U1105" s="15" t="s">
        <v>261</v>
      </c>
      <c r="V1105" s="547" t="s">
        <v>3069</v>
      </c>
      <c r="W1105" s="667" t="s">
        <v>3044</v>
      </c>
      <c r="X1105" s="667" t="s">
        <v>3047</v>
      </c>
      <c r="Y1105" s="667" t="s">
        <v>3120</v>
      </c>
      <c r="Z1105" s="15">
        <v>0</v>
      </c>
      <c r="AA1105" s="180">
        <v>0</v>
      </c>
      <c r="AB1105" s="667" t="s">
        <v>3121</v>
      </c>
      <c r="AC1105" s="544" t="str">
        <f>""</f>
        <v/>
      </c>
      <c r="AD1105" s="181">
        <v>0</v>
      </c>
      <c r="AE1105" s="586" t="s">
        <v>264</v>
      </c>
      <c r="AF1105" s="181" t="s">
        <v>264</v>
      </c>
      <c r="AG1105" s="181">
        <v>1</v>
      </c>
      <c r="AH1105" s="181">
        <v>4</v>
      </c>
      <c r="AI1105" s="181">
        <v>0</v>
      </c>
      <c r="AJ1105" s="181">
        <f>VLOOKUP($I1105,'Price List, Weapons &amp; Items'!B:F,5,0)</f>
        <v>0</v>
      </c>
      <c r="AK1105" s="181">
        <f t="shared" si="252"/>
        <v>0</v>
      </c>
      <c r="AL1105" s="181">
        <f t="shared" si="253"/>
        <v>0</v>
      </c>
      <c r="AM1105" s="181">
        <f t="shared" si="254"/>
        <v>0</v>
      </c>
      <c r="AN1105" s="180" t="str">
        <f>VLOOKUP($I1105,'Price List, Weapons &amp; Items'!B:L,COLUMN('Price List, Weapons &amp; Items'!$J$11)-1,0)</f>
        <v>Contracts</v>
      </c>
      <c r="AO1105" s="180" t="str">
        <f>IF(I1105=".",".",VLOOKUP($I1105,'Price List, Weapons &amp; Items'!B:J,3,0))</f>
        <v>Military equipment</v>
      </c>
      <c r="AP1105" s="545" t="str">
        <f t="shared" ca="1" si="211"/>
        <v/>
      </c>
      <c r="AQ1105" s="180">
        <f>VLOOKUP($I1105,'Price List, Weapons &amp; Items'!B:L,COLUMN('Price List, Weapons &amp; Items'!$L$11)-1,0)</f>
        <v>2</v>
      </c>
      <c r="AR1105" s="180">
        <f t="shared" si="255"/>
        <v>1</v>
      </c>
      <c r="AS1105" s="180">
        <f t="shared" si="256"/>
        <v>1</v>
      </c>
      <c r="AT1105" s="180">
        <f t="shared" si="258"/>
        <v>1</v>
      </c>
      <c r="AU1105" s="180" t="str">
        <f t="shared" si="259"/>
        <v>.</v>
      </c>
      <c r="AV1105" s="180" t="str">
        <f t="shared" si="260"/>
        <v>.</v>
      </c>
      <c r="AW1105" s="180">
        <f>IFERROR(VLOOKUP(B1105,'Share, Heavy Weapons to Ukraine'!B:J,COLUMN('Share, Heavy Weapons to Ukraine'!C1115)-1,0),0)</f>
        <v>1</v>
      </c>
      <c r="AX1105" s="180">
        <f>VLOOKUP('Bilateral Assistance, MAIN DATA'!B1105,'Country Summary'!B:F,COLUMN('Country Summary'!C1118)-1,FALSE)</f>
        <v>0</v>
      </c>
      <c r="AY1105" s="180" t="str">
        <f>IF(AND(AD1105=1,D1105="Military",H1105&lt;&gt;"Not given")=TRUE,IF(SUMIFS(P:P,A:A,A1105)&gt;0,ABS((SUMIFS(P:P,A:A,A1105)/VLOOKUP("USD",'Exchange Rates'!B:C,2,0)))/S1105,"."),".")</f>
        <v>.</v>
      </c>
      <c r="AZ1105" s="182" t="str">
        <f>IF(AND(AD1105=1,D1105="Military",H1105&lt;&gt;"Not given")=TRUE,IF(SUMIFS(P:P,A:A,A1105)&gt;0,IF((ABS((SUMIFS(P:P,A:A,A1105)/VLOOKUP("USD",'Exchange Rates'!B:C,2,0)))/S1105)&gt;1,(SUMIFS(P:P,A:A,A1105)-S1105)/S1105,(S1105-SUMIFS(P:P,A:A,A1105))/SUMIFS(P:P,A:A,A1105)),"."),".")</f>
        <v>.</v>
      </c>
      <c r="BA1105" s="182"/>
      <c r="BB1105" s="182"/>
      <c r="BC1105" s="182"/>
      <c r="BD1105" s="182"/>
      <c r="BE1105" s="182"/>
      <c r="BF1105" s="182"/>
      <c r="BG1105" s="182"/>
      <c r="BH1105" s="182"/>
      <c r="BI1105" s="182"/>
      <c r="BJ1105" s="182"/>
      <c r="BK1105" s="182"/>
      <c r="BL1105" s="182"/>
      <c r="BM1105" s="182"/>
      <c r="BN1105" s="182"/>
      <c r="BO1105" s="182"/>
      <c r="BP1105" s="182"/>
      <c r="BQ1105" s="182"/>
      <c r="BR1105" s="182"/>
      <c r="BS1105" s="182"/>
    </row>
    <row r="1106" spans="1:71" ht="15.9" customHeight="1" x14ac:dyDescent="0.3">
      <c r="A1106" s="5" t="s">
        <v>3065</v>
      </c>
      <c r="B1106" s="5" t="s">
        <v>3038</v>
      </c>
      <c r="C1106" s="174">
        <v>44664</v>
      </c>
      <c r="D1106" s="5" t="s">
        <v>285</v>
      </c>
      <c r="E1106" s="5" t="s">
        <v>1328</v>
      </c>
      <c r="F1106" s="175" t="s">
        <v>3098</v>
      </c>
      <c r="G1106" s="15" t="s">
        <v>346</v>
      </c>
      <c r="H1106" s="176">
        <v>800000000</v>
      </c>
      <c r="I1106" s="17" t="s">
        <v>3122</v>
      </c>
      <c r="J1106" s="113" t="str">
        <f>VLOOKUP($I1106,'Price List, Weapons &amp; Items'!B:C,2,0)</f>
        <v>Military equipment</v>
      </c>
      <c r="K1106" s="113" t="str">
        <f>IF(I1106=".",I1106,VLOOKUP($I1106,'Price List, Weapons &amp; Items'!B:D,3,0))</f>
        <v>Military equipment</v>
      </c>
      <c r="L1106" s="177">
        <f>VLOOKUP(I1106,'Price List, Weapons &amp; Items'!B:E,4,0)</f>
        <v>0</v>
      </c>
      <c r="M1106" s="542" t="s">
        <v>270</v>
      </c>
      <c r="N1106" s="542" t="s">
        <v>270</v>
      </c>
      <c r="O1106" s="543">
        <f>VLOOKUP($I1106,'Price List, Weapons &amp; Items'!B:G,6,0)</f>
        <v>90</v>
      </c>
      <c r="P1106" s="176" t="str">
        <f t="shared" si="212"/>
        <v>.</v>
      </c>
      <c r="Q1106" s="176" t="str">
        <f t="shared" si="213"/>
        <v>.</v>
      </c>
      <c r="R1106" s="176" t="str">
        <f t="shared" si="251"/>
        <v/>
      </c>
      <c r="S1106" s="176" t="str">
        <f>IF(AND(AD1106=1,R1106&lt;&gt;".")=TRUE,R1106/VLOOKUP(G1106,'Exchange Rates'!B:C,2,0),IF(R1106=".",".",""))</f>
        <v/>
      </c>
      <c r="T1106" s="176" t="str">
        <f>IF(AD1106=1,IF(AF1106="Value is not given at all",".",IF(AF1106="Value is given by the source",S1106,IF(AF1106="Value is calculated with prices",(IF(SUMIFS(Q:Q,A:A,A1106)&gt;0,SUMIFS(Q:Q,A:A,A1106),"."))/VLOOKUP("USD",'Exchange Rates'!B:C,2,0),"Error with coding"))),"")</f>
        <v/>
      </c>
      <c r="U1106" s="15" t="s">
        <v>261</v>
      </c>
      <c r="V1106" s="547" t="s">
        <v>3069</v>
      </c>
      <c r="W1106" s="667" t="s">
        <v>3044</v>
      </c>
      <c r="X1106" s="667" t="s">
        <v>3047</v>
      </c>
      <c r="Y1106" s="667" t="s">
        <v>3121</v>
      </c>
      <c r="Z1106" s="15">
        <v>0</v>
      </c>
      <c r="AA1106" s="180">
        <v>0</v>
      </c>
      <c r="AB1106" s="667" t="s">
        <v>3123</v>
      </c>
      <c r="AC1106" s="544" t="str">
        <f>""</f>
        <v/>
      </c>
      <c r="AD1106" s="181">
        <v>0</v>
      </c>
      <c r="AE1106" s="586" t="s">
        <v>264</v>
      </c>
      <c r="AF1106" s="181" t="s">
        <v>264</v>
      </c>
      <c r="AG1106" s="181">
        <v>1</v>
      </c>
      <c r="AH1106" s="181">
        <v>4</v>
      </c>
      <c r="AI1106" s="181">
        <v>0</v>
      </c>
      <c r="AJ1106" s="181">
        <f>VLOOKUP($I1106,'Price List, Weapons &amp; Items'!B:F,5,0)</f>
        <v>0</v>
      </c>
      <c r="AK1106" s="181">
        <f t="shared" si="252"/>
        <v>0</v>
      </c>
      <c r="AL1106" s="181">
        <f t="shared" si="253"/>
        <v>0</v>
      </c>
      <c r="AM1106" s="181">
        <f t="shared" si="254"/>
        <v>0</v>
      </c>
      <c r="AN1106" s="180" t="str">
        <f>VLOOKUP($I1106,'Price List, Weapons &amp; Items'!B:L,COLUMN('Price List, Weapons &amp; Items'!$J$11)-1,0)</f>
        <v>Media reports (incl. social media)</v>
      </c>
      <c r="AO1106" s="180" t="str">
        <f>IF(I1106=".",".",VLOOKUP($I1106,'Price List, Weapons &amp; Items'!B:J,3,0))</f>
        <v>Military equipment</v>
      </c>
      <c r="AP1106" s="545" t="str">
        <f t="shared" ca="1" si="211"/>
        <v/>
      </c>
      <c r="AQ1106" s="180" t="str">
        <f>VLOOKUP($I1106,'Price List, Weapons &amp; Items'!B:L,COLUMN('Price List, Weapons &amp; Items'!$L$11)-1,0)</f>
        <v>no price, 0 count</v>
      </c>
      <c r="AR1106" s="180">
        <f t="shared" si="255"/>
        <v>1</v>
      </c>
      <c r="AS1106" s="180">
        <f t="shared" si="256"/>
        <v>1</v>
      </c>
      <c r="AT1106" s="180">
        <f t="shared" si="258"/>
        <v>1</v>
      </c>
      <c r="AU1106" s="180" t="str">
        <f t="shared" si="259"/>
        <v>.</v>
      </c>
      <c r="AV1106" s="180" t="str">
        <f t="shared" si="260"/>
        <v>.</v>
      </c>
      <c r="AW1106" s="180">
        <f>IFERROR(VLOOKUP(B1106,'Share, Heavy Weapons to Ukraine'!B:J,COLUMN('Share, Heavy Weapons to Ukraine'!C1116)-1,0),0)</f>
        <v>1</v>
      </c>
      <c r="AX1106" s="180">
        <f>VLOOKUP('Bilateral Assistance, MAIN DATA'!B1106,'Country Summary'!B:F,COLUMN('Country Summary'!C1119)-1,FALSE)</f>
        <v>0</v>
      </c>
      <c r="AY1106" s="180" t="str">
        <f>IF(AND(AD1106=1,D1106="Military",H1106&lt;&gt;"Not given")=TRUE,IF(SUMIFS(P:P,A:A,A1106)&gt;0,ABS((SUMIFS(P:P,A:A,A1106)/VLOOKUP("USD",'Exchange Rates'!B:C,2,0)))/S1106,"."),".")</f>
        <v>.</v>
      </c>
      <c r="AZ1106" s="182" t="str">
        <f>IF(AND(AD1106=1,D1106="Military",H1106&lt;&gt;"Not given")=TRUE,IF(SUMIFS(P:P,A:A,A1106)&gt;0,IF((ABS((SUMIFS(P:P,A:A,A1106)/VLOOKUP("USD",'Exchange Rates'!B:C,2,0)))/S1106)&gt;1,(SUMIFS(P:P,A:A,A1106)-S1106)/S1106,(S1106-SUMIFS(P:P,A:A,A1106))/SUMIFS(P:P,A:A,A1106)),"."),".")</f>
        <v>.</v>
      </c>
      <c r="BA1106" s="182"/>
      <c r="BB1106" s="182"/>
      <c r="BC1106" s="182"/>
      <c r="BD1106" s="182"/>
      <c r="BE1106" s="182"/>
      <c r="BF1106" s="182"/>
      <c r="BG1106" s="182"/>
      <c r="BH1106" s="182"/>
      <c r="BI1106" s="182"/>
      <c r="BJ1106" s="182"/>
      <c r="BK1106" s="182"/>
      <c r="BL1106" s="182"/>
      <c r="BM1106" s="182"/>
      <c r="BN1106" s="182"/>
      <c r="BO1106" s="182"/>
      <c r="BP1106" s="182"/>
      <c r="BQ1106" s="182"/>
      <c r="BR1106" s="182"/>
      <c r="BS1106" s="182"/>
    </row>
    <row r="1107" spans="1:71" ht="15.9" customHeight="1" x14ac:dyDescent="0.3">
      <c r="A1107" s="5" t="s">
        <v>3065</v>
      </c>
      <c r="B1107" s="5" t="s">
        <v>3038</v>
      </c>
      <c r="C1107" s="174">
        <v>44664</v>
      </c>
      <c r="D1107" s="5" t="s">
        <v>285</v>
      </c>
      <c r="E1107" s="5" t="s">
        <v>1328</v>
      </c>
      <c r="F1107" s="175" t="s">
        <v>3098</v>
      </c>
      <c r="G1107" s="15" t="s">
        <v>346</v>
      </c>
      <c r="H1107" s="176">
        <v>800000000</v>
      </c>
      <c r="I1107" s="17" t="s">
        <v>3124</v>
      </c>
      <c r="J1107" s="113" t="str">
        <f>VLOOKUP($I1107,'Price List, Weapons &amp; Items'!B:C,2,0)</f>
        <v>Light armaments &amp; infantry</v>
      </c>
      <c r="K1107" s="113" t="str">
        <f>IF(I1107=".",I1107,VLOOKUP($I1107,'Price List, Weapons &amp; Items'!B:D,3,0))</f>
        <v>Explosive</v>
      </c>
      <c r="L1107" s="177">
        <f>VLOOKUP(I1107,'Price List, Weapons &amp; Items'!B:E,4,0)</f>
        <v>0</v>
      </c>
      <c r="M1107" s="542" t="s">
        <v>270</v>
      </c>
      <c r="N1107" s="542" t="s">
        <v>270</v>
      </c>
      <c r="O1107" s="543">
        <f>VLOOKUP($I1107,'Price List, Weapons &amp; Items'!B:G,6,0)</f>
        <v>223.15</v>
      </c>
      <c r="P1107" s="176" t="str">
        <f t="shared" ref="P1107:P1170" si="262">IF(TYPE(M1107)=1,IF(TYPE(O1107)=1,M1107*O1107,"No price"),".")</f>
        <v>.</v>
      </c>
      <c r="Q1107" s="176" t="str">
        <f t="shared" ref="Q1107:Q1170" si="263">IF(TYPE(N1107)=1,IF(TYPE(O1107)=1,N1107*O1107,"No price"),".")</f>
        <v>.</v>
      </c>
      <c r="R1107" s="176" t="str">
        <f t="shared" si="251"/>
        <v/>
      </c>
      <c r="S1107" s="176" t="str">
        <f>IF(AND(AD1107=1,R1107&lt;&gt;".")=TRUE,R1107/VLOOKUP(G1107,'Exchange Rates'!B:C,2,0),IF(R1107=".",".",""))</f>
        <v/>
      </c>
      <c r="T1107" s="176" t="str">
        <f>IF(AD1107=1,IF(AF1107="Value is not given at all",".",IF(AF1107="Value is given by the source",S1107,IF(AF1107="Value is calculated with prices",(IF(SUMIFS(Q:Q,A:A,A1107)&gt;0,SUMIFS(Q:Q,A:A,A1107),"."))/VLOOKUP("USD",'Exchange Rates'!B:C,2,0),"Error with coding"))),"")</f>
        <v/>
      </c>
      <c r="U1107" s="15" t="s">
        <v>261</v>
      </c>
      <c r="V1107" s="547" t="s">
        <v>3069</v>
      </c>
      <c r="W1107" s="667" t="s">
        <v>3044</v>
      </c>
      <c r="X1107" s="667" t="s">
        <v>3047</v>
      </c>
      <c r="Y1107" s="667" t="s">
        <v>3123</v>
      </c>
      <c r="Z1107" s="15">
        <v>0</v>
      </c>
      <c r="AA1107" s="180">
        <v>0</v>
      </c>
      <c r="AB1107" s="667" t="s">
        <v>3125</v>
      </c>
      <c r="AC1107" s="544" t="str">
        <f>""</f>
        <v/>
      </c>
      <c r="AD1107" s="181">
        <v>0</v>
      </c>
      <c r="AE1107" s="586" t="s">
        <v>264</v>
      </c>
      <c r="AF1107" s="181" t="s">
        <v>264</v>
      </c>
      <c r="AG1107" s="181">
        <v>1</v>
      </c>
      <c r="AH1107" s="181">
        <v>4</v>
      </c>
      <c r="AI1107" s="181">
        <v>0</v>
      </c>
      <c r="AJ1107" s="181">
        <f>VLOOKUP($I1107,'Price List, Weapons &amp; Items'!B:F,5,0)</f>
        <v>0</v>
      </c>
      <c r="AK1107" s="181">
        <f t="shared" si="252"/>
        <v>0</v>
      </c>
      <c r="AL1107" s="181">
        <f t="shared" si="253"/>
        <v>0</v>
      </c>
      <c r="AM1107" s="181">
        <f t="shared" si="254"/>
        <v>0</v>
      </c>
      <c r="AN1107" s="180" t="str">
        <f>VLOOKUP($I1107,'Price List, Weapons &amp; Items'!B:L,COLUMN('Price List, Weapons &amp; Items'!$J$11)-1,0)</f>
        <v>Miscellaneous</v>
      </c>
      <c r="AO1107" s="180" t="str">
        <f>IF(I1107=".",".",VLOOKUP($I1107,'Price List, Weapons &amp; Items'!B:J,3,0))</f>
        <v>Explosive</v>
      </c>
      <c r="AP1107" s="545" t="str">
        <f t="shared" ca="1" si="211"/>
        <v/>
      </c>
      <c r="AQ1107" s="180" t="str">
        <f>VLOOKUP($I1107,'Price List, Weapons &amp; Items'!B:L,COLUMN('Price List, Weapons &amp; Items'!$L$11)-1,0)</f>
        <v>no price, 0 count</v>
      </c>
      <c r="AR1107" s="180">
        <f t="shared" si="255"/>
        <v>1</v>
      </c>
      <c r="AS1107" s="180">
        <f t="shared" si="256"/>
        <v>1</v>
      </c>
      <c r="AT1107" s="180">
        <f t="shared" si="258"/>
        <v>1</v>
      </c>
      <c r="AU1107" s="180" t="str">
        <f t="shared" si="259"/>
        <v>.</v>
      </c>
      <c r="AV1107" s="180" t="str">
        <f t="shared" si="260"/>
        <v>.</v>
      </c>
      <c r="AW1107" s="180">
        <f>IFERROR(VLOOKUP(B1107,'Share, Heavy Weapons to Ukraine'!B:J,COLUMN('Share, Heavy Weapons to Ukraine'!C1117)-1,0),0)</f>
        <v>1</v>
      </c>
      <c r="AX1107" s="180">
        <f>VLOOKUP('Bilateral Assistance, MAIN DATA'!B1107,'Country Summary'!B:F,COLUMN('Country Summary'!C1120)-1,FALSE)</f>
        <v>0</v>
      </c>
      <c r="AY1107" s="180" t="str">
        <f>IF(AND(AD1107=1,D1107="Military",H1107&lt;&gt;"Not given")=TRUE,IF(SUMIFS(P:P,A:A,A1107)&gt;0,ABS((SUMIFS(P:P,A:A,A1107)/VLOOKUP("USD",'Exchange Rates'!B:C,2,0)))/S1107,"."),".")</f>
        <v>.</v>
      </c>
      <c r="AZ1107" s="182" t="str">
        <f>IF(AND(AD1107=1,D1107="Military",H1107&lt;&gt;"Not given")=TRUE,IF(SUMIFS(P:P,A:A,A1107)&gt;0,IF((ABS((SUMIFS(P:P,A:A,A1107)/VLOOKUP("USD",'Exchange Rates'!B:C,2,0)))/S1107)&gt;1,(SUMIFS(P:P,A:A,A1107)-S1107)/S1107,(S1107-SUMIFS(P:P,A:A,A1107))/SUMIFS(P:P,A:A,A1107)),"."),".")</f>
        <v>.</v>
      </c>
      <c r="BA1107" s="182"/>
      <c r="BB1107" s="182"/>
      <c r="BC1107" s="182"/>
      <c r="BD1107" s="182"/>
      <c r="BE1107" s="182"/>
      <c r="BF1107" s="182"/>
      <c r="BG1107" s="182"/>
      <c r="BH1107" s="182"/>
      <c r="BI1107" s="182"/>
      <c r="BJ1107" s="182"/>
      <c r="BK1107" s="182"/>
      <c r="BL1107" s="182"/>
      <c r="BM1107" s="182"/>
      <c r="BN1107" s="182"/>
      <c r="BO1107" s="182"/>
      <c r="BP1107" s="182"/>
      <c r="BQ1107" s="182"/>
      <c r="BR1107" s="182"/>
      <c r="BS1107" s="182"/>
    </row>
    <row r="1108" spans="1:71" ht="15.9" customHeight="1" x14ac:dyDescent="0.3">
      <c r="A1108" s="5" t="s">
        <v>3065</v>
      </c>
      <c r="B1108" s="5" t="s">
        <v>3038</v>
      </c>
      <c r="C1108" s="174">
        <v>44672</v>
      </c>
      <c r="D1108" s="5" t="s">
        <v>285</v>
      </c>
      <c r="E1108" s="5" t="s">
        <v>1328</v>
      </c>
      <c r="F1108" s="175" t="s">
        <v>3098</v>
      </c>
      <c r="G1108" s="15" t="s">
        <v>346</v>
      </c>
      <c r="H1108" s="176">
        <v>800000000</v>
      </c>
      <c r="I1108" s="17" t="s">
        <v>318</v>
      </c>
      <c r="J1108" s="113" t="str">
        <f>VLOOKUP($I1108,'Price List, Weapons &amp; Items'!B:C,2,0)</f>
        <v>Heavy weapon</v>
      </c>
      <c r="K1108" s="113" t="str">
        <f>IF(I1108=".",I1108,VLOOKUP($I1108,'Price List, Weapons &amp; Items'!B:D,3,0))</f>
        <v>155mm howitzer</v>
      </c>
      <c r="L1108" s="177">
        <f>VLOOKUP(I1108,'Price List, Weapons &amp; Items'!B:E,4,0)</f>
        <v>0</v>
      </c>
      <c r="M1108" s="542">
        <v>72</v>
      </c>
      <c r="N1108" s="542">
        <v>72</v>
      </c>
      <c r="O1108" s="543">
        <f>VLOOKUP($I1108,'Price List, Weapons &amp; Items'!B:G,6,0)</f>
        <v>5170000</v>
      </c>
      <c r="P1108" s="176">
        <f t="shared" si="262"/>
        <v>372240000</v>
      </c>
      <c r="Q1108" s="176">
        <f t="shared" si="263"/>
        <v>372240000</v>
      </c>
      <c r="R1108" s="176" t="str">
        <f t="shared" si="251"/>
        <v/>
      </c>
      <c r="S1108" s="176" t="str">
        <f>IF(AND(AD1108=1,R1108&lt;&gt;".")=TRUE,R1108/VLOOKUP(G1108,'Exchange Rates'!B:C,2,0),IF(R1108=".",".",""))</f>
        <v/>
      </c>
      <c r="T1108" s="176" t="str">
        <f>IF(AD1108=1,IF(AF1108="Value is not given at all",".",IF(AF1108="Value is given by the source",S1108,IF(AF1108="Value is calculated with prices",(IF(SUMIFS(Q:Q,A:A,A1108)&gt;0,SUMIFS(Q:Q,A:A,A1108),"."))/VLOOKUP("USD",'Exchange Rates'!B:C,2,0),"Error with coding"))),"")</f>
        <v/>
      </c>
      <c r="U1108" s="15" t="s">
        <v>261</v>
      </c>
      <c r="V1108" s="547" t="s">
        <v>3069</v>
      </c>
      <c r="W1108" s="667" t="s">
        <v>3044</v>
      </c>
      <c r="X1108" s="667" t="s">
        <v>3047</v>
      </c>
      <c r="Y1108" s="667" t="s">
        <v>3125</v>
      </c>
      <c r="Z1108" s="15">
        <v>0</v>
      </c>
      <c r="AA1108" s="180">
        <v>0</v>
      </c>
      <c r="AB1108" s="667" t="s">
        <v>3126</v>
      </c>
      <c r="AC1108" s="544" t="str">
        <f>""</f>
        <v/>
      </c>
      <c r="AD1108" s="181">
        <v>0</v>
      </c>
      <c r="AE1108" s="586" t="s">
        <v>264</v>
      </c>
      <c r="AF1108" s="181" t="s">
        <v>264</v>
      </c>
      <c r="AG1108" s="181">
        <v>1</v>
      </c>
      <c r="AH1108" s="181">
        <v>4</v>
      </c>
      <c r="AI1108" s="181">
        <v>0</v>
      </c>
      <c r="AJ1108" s="181">
        <f>VLOOKUP($I1108,'Price List, Weapons &amp; Items'!B:F,5,0)</f>
        <v>1</v>
      </c>
      <c r="AK1108" s="181">
        <f t="shared" si="252"/>
        <v>0</v>
      </c>
      <c r="AL1108" s="181">
        <f t="shared" si="253"/>
        <v>0</v>
      </c>
      <c r="AM1108" s="181">
        <f t="shared" si="254"/>
        <v>0</v>
      </c>
      <c r="AN1108" s="180" t="str">
        <f>VLOOKUP($I1108,'Price List, Weapons &amp; Items'!B:L,COLUMN('Price List, Weapons &amp; Items'!$J$11)-1,0)</f>
        <v>Military media (incl. websites)</v>
      </c>
      <c r="AO1108" s="180" t="str">
        <f>IF(I1108=".",".",VLOOKUP($I1108,'Price List, Weapons &amp; Items'!B:J,3,0))</f>
        <v>155mm howitzer</v>
      </c>
      <c r="AP1108" s="545" t="str">
        <f t="shared" ca="1" si="211"/>
        <v/>
      </c>
      <c r="AQ1108" s="180">
        <f>VLOOKUP($I1108,'Price List, Weapons &amp; Items'!B:L,COLUMN('Price List, Weapons &amp; Items'!$L$11)-1,0)</f>
        <v>2</v>
      </c>
      <c r="AR1108" s="180">
        <f t="shared" si="255"/>
        <v>1</v>
      </c>
      <c r="AS1108" s="180">
        <f t="shared" si="256"/>
        <v>1</v>
      </c>
      <c r="AT1108" s="180">
        <f t="shared" si="258"/>
        <v>1</v>
      </c>
      <c r="AU1108" s="180" t="str">
        <f t="shared" si="259"/>
        <v>.</v>
      </c>
      <c r="AV1108" s="180" t="str">
        <f t="shared" si="260"/>
        <v>.</v>
      </c>
      <c r="AW1108" s="180">
        <f>IFERROR(VLOOKUP(B1108,'Share, Heavy Weapons to Ukraine'!B:J,COLUMN('Share, Heavy Weapons to Ukraine'!C1118)-1,0),0)</f>
        <v>1</v>
      </c>
      <c r="AX1108" s="180">
        <f>VLOOKUP('Bilateral Assistance, MAIN DATA'!B1108,'Country Summary'!B:F,COLUMN('Country Summary'!C1121)-1,FALSE)</f>
        <v>0</v>
      </c>
      <c r="AY1108" s="180" t="str">
        <f>IF(AND(AD1108=1,D1108="Military",H1108&lt;&gt;"Not given")=TRUE,IF(SUMIFS(P:P,A:A,A1108)&gt;0,ABS((SUMIFS(P:P,A:A,A1108)/VLOOKUP("USD",'Exchange Rates'!B:C,2,0)))/S1108,"."),".")</f>
        <v>.</v>
      </c>
      <c r="AZ1108" s="182" t="str">
        <f>IF(AND(AD1108=1,D1108="Military",H1108&lt;&gt;"Not given")=TRUE,IF(SUMIFS(P:P,A:A,A1108)&gt;0,IF((ABS((SUMIFS(P:P,A:A,A1108)/VLOOKUP("USD",'Exchange Rates'!B:C,2,0)))/S1108)&gt;1,(SUMIFS(P:P,A:A,A1108)-S1108)/S1108,(S1108-SUMIFS(P:P,A:A,A1108))/SUMIFS(P:P,A:A,A1108)),"."),".")</f>
        <v>.</v>
      </c>
      <c r="BA1108" s="182"/>
      <c r="BB1108" s="182"/>
      <c r="BC1108" s="182"/>
      <c r="BD1108" s="182"/>
      <c r="BE1108" s="182"/>
      <c r="BF1108" s="182"/>
      <c r="BG1108" s="182"/>
      <c r="BH1108" s="182"/>
      <c r="BI1108" s="182"/>
      <c r="BJ1108" s="182"/>
      <c r="BK1108" s="182"/>
      <c r="BL1108" s="182"/>
      <c r="BM1108" s="182"/>
      <c r="BN1108" s="182"/>
      <c r="BO1108" s="182"/>
      <c r="BP1108" s="182"/>
      <c r="BQ1108" s="182"/>
      <c r="BR1108" s="182"/>
      <c r="BS1108" s="182"/>
    </row>
    <row r="1109" spans="1:71" ht="15.9" customHeight="1" x14ac:dyDescent="0.3">
      <c r="A1109" s="5" t="s">
        <v>3065</v>
      </c>
      <c r="B1109" s="5" t="s">
        <v>3038</v>
      </c>
      <c r="C1109" s="174">
        <v>44672</v>
      </c>
      <c r="D1109" s="5" t="s">
        <v>285</v>
      </c>
      <c r="E1109" s="5" t="s">
        <v>1328</v>
      </c>
      <c r="F1109" s="175" t="s">
        <v>3098</v>
      </c>
      <c r="G1109" s="15" t="s">
        <v>346</v>
      </c>
      <c r="H1109" s="176">
        <v>800000000</v>
      </c>
      <c r="I1109" s="17" t="s">
        <v>3127</v>
      </c>
      <c r="J1109" s="113" t="str">
        <f>VLOOKUP($I1109,'Price List, Weapons &amp; Items'!B:C,2,0)</f>
        <v>Military equipment</v>
      </c>
      <c r="K1109" s="113" t="str">
        <f>IF(I1109=".",I1109,VLOOKUP($I1109,'Price List, Weapons &amp; Items'!B:D,3,0))</f>
        <v>Military equipment</v>
      </c>
      <c r="L1109" s="177">
        <f>VLOOKUP(I1109,'Price List, Weapons &amp; Items'!B:E,4,0)</f>
        <v>0</v>
      </c>
      <c r="M1109" s="542">
        <v>72</v>
      </c>
      <c r="N1109" s="542">
        <v>72</v>
      </c>
      <c r="O1109" s="543">
        <f>VLOOKUP($I1109,'Price List, Weapons &amp; Items'!B:G,6,0)</f>
        <v>350000</v>
      </c>
      <c r="P1109" s="176">
        <f t="shared" si="262"/>
        <v>25200000</v>
      </c>
      <c r="Q1109" s="176">
        <f t="shared" si="263"/>
        <v>25200000</v>
      </c>
      <c r="R1109" s="176" t="str">
        <f t="shared" si="251"/>
        <v/>
      </c>
      <c r="S1109" s="176" t="str">
        <f>IF(AND(AD1109=1,R1109&lt;&gt;".")=TRUE,R1109/VLOOKUP(G1109,'Exchange Rates'!B:C,2,0),IF(R1109=".",".",""))</f>
        <v/>
      </c>
      <c r="T1109" s="176" t="str">
        <f>IF(AD1109=1,IF(AF1109="Value is not given at all",".",IF(AF1109="Value is given by the source",S1109,IF(AF1109="Value is calculated with prices",(IF(SUMIFS(Q:Q,A:A,A1109)&gt;0,SUMIFS(Q:Q,A:A,A1109),"."))/VLOOKUP("USD",'Exchange Rates'!B:C,2,0),"Error with coding"))),"")</f>
        <v/>
      </c>
      <c r="U1109" s="15" t="s">
        <v>261</v>
      </c>
      <c r="V1109" s="547" t="s">
        <v>3069</v>
      </c>
      <c r="W1109" s="667" t="s">
        <v>3044</v>
      </c>
      <c r="X1109" s="667" t="s">
        <v>3047</v>
      </c>
      <c r="Y1109" s="667" t="s">
        <v>3126</v>
      </c>
      <c r="Z1109" s="15">
        <v>0</v>
      </c>
      <c r="AA1109" s="180">
        <v>0</v>
      </c>
      <c r="AB1109" s="667" t="s">
        <v>3128</v>
      </c>
      <c r="AC1109" s="544" t="str">
        <f>""</f>
        <v/>
      </c>
      <c r="AD1109" s="181">
        <v>0</v>
      </c>
      <c r="AE1109" s="586" t="s">
        <v>264</v>
      </c>
      <c r="AF1109" s="181" t="s">
        <v>264</v>
      </c>
      <c r="AG1109" s="181">
        <v>1</v>
      </c>
      <c r="AH1109" s="181">
        <v>4</v>
      </c>
      <c r="AI1109" s="181">
        <v>0</v>
      </c>
      <c r="AJ1109" s="181">
        <f>VLOOKUP($I1109,'Price List, Weapons &amp; Items'!B:F,5,0)</f>
        <v>0</v>
      </c>
      <c r="AK1109" s="181">
        <f t="shared" si="252"/>
        <v>0</v>
      </c>
      <c r="AL1109" s="181">
        <f t="shared" si="253"/>
        <v>0</v>
      </c>
      <c r="AM1109" s="181">
        <f t="shared" si="254"/>
        <v>0</v>
      </c>
      <c r="AN1109" s="180" t="str">
        <f>VLOOKUP($I1109,'Price List, Weapons &amp; Items'!B:L,COLUMN('Price List, Weapons &amp; Items'!$J$11)-1,0)</f>
        <v>Media reports (incl. social media)</v>
      </c>
      <c r="AO1109" s="180" t="str">
        <f>IF(I1109=".",".",VLOOKUP($I1109,'Price List, Weapons &amp; Items'!B:J,3,0))</f>
        <v>Military equipment</v>
      </c>
      <c r="AP1109" s="545" t="str">
        <f t="shared" ref="AP1109:AP1172" ca="1" si="264">IF(AD1109=1,_xlfn.ARRAYTOTEXT(OFFSET(I1109,0,0,COUNTIF(A:A,A1109),1)),"")</f>
        <v/>
      </c>
      <c r="AQ1109" s="180">
        <f>VLOOKUP($I1109,'Price List, Weapons &amp; Items'!B:L,COLUMN('Price List, Weapons &amp; Items'!$L$11)-1,0)</f>
        <v>2</v>
      </c>
      <c r="AR1109" s="180">
        <f t="shared" si="255"/>
        <v>1</v>
      </c>
      <c r="AS1109" s="180">
        <f t="shared" si="256"/>
        <v>1</v>
      </c>
      <c r="AT1109" s="180">
        <f t="shared" si="258"/>
        <v>1</v>
      </c>
      <c r="AU1109" s="180" t="str">
        <f t="shared" si="259"/>
        <v>.</v>
      </c>
      <c r="AV1109" s="180" t="str">
        <f t="shared" si="260"/>
        <v>.</v>
      </c>
      <c r="AW1109" s="180">
        <f>IFERROR(VLOOKUP(B1109,'Share, Heavy Weapons to Ukraine'!B:J,COLUMN('Share, Heavy Weapons to Ukraine'!C1119)-1,0),0)</f>
        <v>1</v>
      </c>
      <c r="AX1109" s="180">
        <f>VLOOKUP('Bilateral Assistance, MAIN DATA'!B1109,'Country Summary'!B:F,COLUMN('Country Summary'!C1122)-1,FALSE)</f>
        <v>0</v>
      </c>
      <c r="AY1109" s="180" t="str">
        <f>IF(AND(AD1109=1,D1109="Military",H1109&lt;&gt;"Not given")=TRUE,IF(SUMIFS(P:P,A:A,A1109)&gt;0,ABS((SUMIFS(P:P,A:A,A1109)/VLOOKUP("USD",'Exchange Rates'!B:C,2,0)))/S1109,"."),".")</f>
        <v>.</v>
      </c>
      <c r="AZ1109" s="182" t="str">
        <f>IF(AND(AD1109=1,D1109="Military",H1109&lt;&gt;"Not given")=TRUE,IF(SUMIFS(P:P,A:A,A1109)&gt;0,IF((ABS((SUMIFS(P:P,A:A,A1109)/VLOOKUP("USD",'Exchange Rates'!B:C,2,0)))/S1109)&gt;1,(SUMIFS(P:P,A:A,A1109)-S1109)/S1109,(S1109-SUMIFS(P:P,A:A,A1109))/SUMIFS(P:P,A:A,A1109)),"."),".")</f>
        <v>.</v>
      </c>
      <c r="BA1109" s="182"/>
      <c r="BB1109" s="182"/>
      <c r="BC1109" s="182"/>
      <c r="BD1109" s="182"/>
      <c r="BE1109" s="182"/>
      <c r="BF1109" s="182"/>
      <c r="BG1109" s="182"/>
      <c r="BH1109" s="182"/>
      <c r="BI1109" s="182"/>
      <c r="BJ1109" s="182"/>
      <c r="BK1109" s="182"/>
      <c r="BL1109" s="182"/>
      <c r="BM1109" s="182"/>
      <c r="BN1109" s="182"/>
      <c r="BO1109" s="182"/>
      <c r="BP1109" s="182"/>
      <c r="BQ1109" s="182"/>
      <c r="BR1109" s="182"/>
      <c r="BS1109" s="182"/>
    </row>
    <row r="1110" spans="1:71" ht="15.9" customHeight="1" x14ac:dyDescent="0.3">
      <c r="A1110" s="5" t="s">
        <v>3065</v>
      </c>
      <c r="B1110" s="5" t="s">
        <v>3038</v>
      </c>
      <c r="C1110" s="174">
        <v>44672</v>
      </c>
      <c r="D1110" s="5" t="s">
        <v>285</v>
      </c>
      <c r="E1110" s="5" t="s">
        <v>1328</v>
      </c>
      <c r="F1110" s="175" t="s">
        <v>3098</v>
      </c>
      <c r="G1110" s="15" t="s">
        <v>346</v>
      </c>
      <c r="H1110" s="176">
        <v>800000000</v>
      </c>
      <c r="I1110" s="17" t="s">
        <v>3129</v>
      </c>
      <c r="J1110" s="113" t="str">
        <f>VLOOKUP($I1110,'Price List, Weapons &amp; Items'!B:C,2,0)</f>
        <v>Aviation and drones</v>
      </c>
      <c r="K1110" s="113" t="str">
        <f>IF(I1110=".",I1110,VLOOKUP($I1110,'Price List, Weapons &amp; Items'!B:D,3,0))</f>
        <v>drone</v>
      </c>
      <c r="L1110" s="177">
        <f>VLOOKUP(I1110,'Price List, Weapons &amp; Items'!B:E,4,0)</f>
        <v>0</v>
      </c>
      <c r="M1110" s="542">
        <v>121</v>
      </c>
      <c r="N1110" s="542">
        <v>121</v>
      </c>
      <c r="O1110" s="543">
        <f>VLOOKUP($I1110,'Price List, Weapons &amp; Items'!B:G,6,0)</f>
        <v>163793</v>
      </c>
      <c r="P1110" s="176">
        <f t="shared" si="262"/>
        <v>19818953</v>
      </c>
      <c r="Q1110" s="176">
        <f t="shared" si="263"/>
        <v>19818953</v>
      </c>
      <c r="R1110" s="176" t="str">
        <f t="shared" si="251"/>
        <v/>
      </c>
      <c r="S1110" s="176" t="str">
        <f>IF(AND(AD1110=1,R1110&lt;&gt;".")=TRUE,R1110/VLOOKUP(G1110,'Exchange Rates'!B:C,2,0),IF(R1110=".",".",""))</f>
        <v/>
      </c>
      <c r="T1110" s="176" t="str">
        <f>IF(AD1110=1,IF(AF1110="Value is not given at all",".",IF(AF1110="Value is given by the source",S1110,IF(AF1110="Value is calculated with prices",(IF(SUMIFS(Q:Q,A:A,A1110)&gt;0,SUMIFS(Q:Q,A:A,A1110),"."))/VLOOKUP("USD",'Exchange Rates'!B:C,2,0),"Error with coding"))),"")</f>
        <v/>
      </c>
      <c r="U1110" s="15" t="s">
        <v>261</v>
      </c>
      <c r="V1110" s="547" t="s">
        <v>3069</v>
      </c>
      <c r="W1110" s="667" t="s">
        <v>3044</v>
      </c>
      <c r="X1110" s="667" t="s">
        <v>3047</v>
      </c>
      <c r="Y1110" s="667" t="s">
        <v>3128</v>
      </c>
      <c r="Z1110" s="15">
        <v>0</v>
      </c>
      <c r="AA1110" s="180">
        <v>0</v>
      </c>
      <c r="AB1110" s="667" t="s">
        <v>3130</v>
      </c>
      <c r="AC1110" s="544" t="str">
        <f>""</f>
        <v/>
      </c>
      <c r="AD1110" s="181">
        <v>0</v>
      </c>
      <c r="AE1110" s="586" t="s">
        <v>264</v>
      </c>
      <c r="AF1110" s="181" t="s">
        <v>264</v>
      </c>
      <c r="AG1110" s="181">
        <v>1</v>
      </c>
      <c r="AH1110" s="181">
        <v>4</v>
      </c>
      <c r="AI1110" s="181">
        <v>0</v>
      </c>
      <c r="AJ1110" s="181">
        <f>VLOOKUP($I1110,'Price List, Weapons &amp; Items'!B:F,5,0)</f>
        <v>0</v>
      </c>
      <c r="AK1110" s="181">
        <f t="shared" si="252"/>
        <v>0</v>
      </c>
      <c r="AL1110" s="181">
        <f t="shared" si="253"/>
        <v>0</v>
      </c>
      <c r="AM1110" s="181">
        <f t="shared" si="254"/>
        <v>0</v>
      </c>
      <c r="AN1110" s="180" t="str">
        <f>VLOOKUP($I1110,'Price List, Weapons &amp; Items'!B:L,COLUMN('Price List, Weapons &amp; Items'!$J$11)-1,0)</f>
        <v>Government information</v>
      </c>
      <c r="AO1110" s="180" t="str">
        <f>IF(I1110=".",".",VLOOKUP($I1110,'Price List, Weapons &amp; Items'!B:J,3,0))</f>
        <v>drone</v>
      </c>
      <c r="AP1110" s="545" t="str">
        <f t="shared" ca="1" si="264"/>
        <v/>
      </c>
      <c r="AQ1110" s="180">
        <f>VLOOKUP($I1110,'Price List, Weapons &amp; Items'!B:L,COLUMN('Price List, Weapons &amp; Items'!$L$11)-1,0)</f>
        <v>2</v>
      </c>
      <c r="AR1110" s="180">
        <f t="shared" si="255"/>
        <v>1</v>
      </c>
      <c r="AS1110" s="180">
        <f t="shared" si="256"/>
        <v>1</v>
      </c>
      <c r="AT1110" s="180">
        <f t="shared" si="258"/>
        <v>1</v>
      </c>
      <c r="AU1110" s="180" t="str">
        <f t="shared" si="259"/>
        <v>.</v>
      </c>
      <c r="AV1110" s="180" t="str">
        <f t="shared" si="260"/>
        <v>.</v>
      </c>
      <c r="AW1110" s="180">
        <f>IFERROR(VLOOKUP(B1110,'Share, Heavy Weapons to Ukraine'!B:J,COLUMN('Share, Heavy Weapons to Ukraine'!C1120)-1,0),0)</f>
        <v>1</v>
      </c>
      <c r="AX1110" s="180">
        <f>VLOOKUP('Bilateral Assistance, MAIN DATA'!B1110,'Country Summary'!B:F,COLUMN('Country Summary'!C1123)-1,FALSE)</f>
        <v>0</v>
      </c>
      <c r="AY1110" s="180" t="str">
        <f>IF(AND(AD1110=1,D1110="Military",H1110&lt;&gt;"Not given")=TRUE,IF(SUMIFS(P:P,A:A,A1110)&gt;0,ABS((SUMIFS(P:P,A:A,A1110)/VLOOKUP("USD",'Exchange Rates'!B:C,2,0)))/S1110,"."),".")</f>
        <v>.</v>
      </c>
      <c r="AZ1110" s="182" t="str">
        <f>IF(AND(AD1110=1,D1110="Military",H1110&lt;&gt;"Not given")=TRUE,IF(SUMIFS(P:P,A:A,A1110)&gt;0,IF((ABS((SUMIFS(P:P,A:A,A1110)/VLOOKUP("USD",'Exchange Rates'!B:C,2,0)))/S1110)&gt;1,(SUMIFS(P:P,A:A,A1110)-S1110)/S1110,(S1110-SUMIFS(P:P,A:A,A1110))/SUMIFS(P:P,A:A,A1110)),"."),".")</f>
        <v>.</v>
      </c>
      <c r="BA1110" s="182"/>
      <c r="BB1110" s="182"/>
      <c r="BC1110" s="182"/>
      <c r="BD1110" s="182"/>
      <c r="BE1110" s="182"/>
      <c r="BF1110" s="182"/>
      <c r="BG1110" s="182"/>
      <c r="BH1110" s="182"/>
      <c r="BI1110" s="182"/>
      <c r="BJ1110" s="182"/>
      <c r="BK1110" s="182"/>
      <c r="BL1110" s="182"/>
      <c r="BM1110" s="182"/>
      <c r="BN1110" s="182"/>
      <c r="BO1110" s="182"/>
      <c r="BP1110" s="182"/>
      <c r="BQ1110" s="182"/>
      <c r="BR1110" s="182"/>
      <c r="BS1110" s="182"/>
    </row>
    <row r="1111" spans="1:71" ht="15.9" customHeight="1" x14ac:dyDescent="0.3">
      <c r="A1111" s="5" t="s">
        <v>3065</v>
      </c>
      <c r="B1111" s="5" t="s">
        <v>3038</v>
      </c>
      <c r="C1111" s="174">
        <v>44672</v>
      </c>
      <c r="D1111" s="5" t="s">
        <v>285</v>
      </c>
      <c r="E1111" s="5" t="s">
        <v>1328</v>
      </c>
      <c r="F1111" s="175" t="s">
        <v>3098</v>
      </c>
      <c r="G1111" s="15" t="s">
        <v>346</v>
      </c>
      <c r="H1111" s="176">
        <v>800000000</v>
      </c>
      <c r="I1111" s="17" t="s">
        <v>3131</v>
      </c>
      <c r="J1111" s="113" t="str">
        <f>VLOOKUP($I1111,'Price List, Weapons &amp; Items'!B:C,2,0)</f>
        <v>Military equipment</v>
      </c>
      <c r="K1111" s="113" t="str">
        <f>IF(I1111=".",I1111,VLOOKUP($I1111,'Price List, Weapons &amp; Items'!B:D,3,0))</f>
        <v>Military equipment</v>
      </c>
      <c r="L1111" s="177">
        <f>VLOOKUP(I1111,'Price List, Weapons &amp; Items'!B:E,4,0)</f>
        <v>0</v>
      </c>
      <c r="M1111" s="542" t="s">
        <v>270</v>
      </c>
      <c r="N1111" s="542" t="s">
        <v>270</v>
      </c>
      <c r="O1111" s="543" t="str">
        <f>VLOOKUP($I1111,'Price List, Weapons &amp; Items'!B:G,6,0)</f>
        <v>.</v>
      </c>
      <c r="P1111" s="176" t="str">
        <f t="shared" si="262"/>
        <v>.</v>
      </c>
      <c r="Q1111" s="176" t="str">
        <f t="shared" si="263"/>
        <v>.</v>
      </c>
      <c r="R1111" s="176" t="str">
        <f t="shared" si="251"/>
        <v/>
      </c>
      <c r="S1111" s="176" t="str">
        <f>IF(AND(AD1111=1,R1111&lt;&gt;".")=TRUE,R1111/VLOOKUP(G1111,'Exchange Rates'!B:C,2,0),IF(R1111=".",".",""))</f>
        <v/>
      </c>
      <c r="T1111" s="176" t="str">
        <f>IF(AD1111=1,IF(AF1111="Value is not given at all",".",IF(AF1111="Value is given by the source",S1111,IF(AF1111="Value is calculated with prices",(IF(SUMIFS(Q:Q,A:A,A1111)&gt;0,SUMIFS(Q:Q,A:A,A1111),"."))/VLOOKUP("USD",'Exchange Rates'!B:C,2,0),"Error with coding"))),"")</f>
        <v/>
      </c>
      <c r="U1111" s="15" t="s">
        <v>261</v>
      </c>
      <c r="V1111" s="547" t="s">
        <v>3069</v>
      </c>
      <c r="W1111" s="667" t="s">
        <v>3044</v>
      </c>
      <c r="X1111" s="667" t="s">
        <v>3047</v>
      </c>
      <c r="Y1111" s="667" t="s">
        <v>3130</v>
      </c>
      <c r="Z1111" s="15">
        <v>0</v>
      </c>
      <c r="AA1111" s="180">
        <v>0</v>
      </c>
      <c r="AB1111" s="667" t="s">
        <v>3132</v>
      </c>
      <c r="AC1111" s="544" t="str">
        <f>""</f>
        <v/>
      </c>
      <c r="AD1111" s="181">
        <v>0</v>
      </c>
      <c r="AE1111" s="586" t="s">
        <v>264</v>
      </c>
      <c r="AF1111" s="181" t="s">
        <v>264</v>
      </c>
      <c r="AG1111" s="181">
        <v>1</v>
      </c>
      <c r="AH1111" s="181">
        <v>4</v>
      </c>
      <c r="AI1111" s="181">
        <v>0</v>
      </c>
      <c r="AJ1111" s="181">
        <f>VLOOKUP($I1111,'Price List, Weapons &amp; Items'!B:F,5,0)</f>
        <v>0</v>
      </c>
      <c r="AK1111" s="181">
        <f t="shared" si="252"/>
        <v>0</v>
      </c>
      <c r="AL1111" s="181">
        <f t="shared" si="253"/>
        <v>0</v>
      </c>
      <c r="AM1111" s="181">
        <f t="shared" si="254"/>
        <v>0</v>
      </c>
      <c r="AN1111" s="180" t="str">
        <f>VLOOKUP($I1111,'Price List, Weapons &amp; Items'!B:L,COLUMN('Price List, Weapons &amp; Items'!$J$11)-1,0)</f>
        <v>.</v>
      </c>
      <c r="AO1111" s="180" t="str">
        <f>IF(I1111=".",".",VLOOKUP($I1111,'Price List, Weapons &amp; Items'!B:J,3,0))</f>
        <v>Military equipment</v>
      </c>
      <c r="AP1111" s="545" t="str">
        <f t="shared" ca="1" si="264"/>
        <v/>
      </c>
      <c r="AQ1111" s="180" t="str">
        <f>VLOOKUP($I1111,'Price List, Weapons &amp; Items'!B:L,COLUMN('Price List, Weapons &amp; Items'!$L$11)-1,0)</f>
        <v>no price, 0 count</v>
      </c>
      <c r="AR1111" s="180">
        <f t="shared" si="255"/>
        <v>1</v>
      </c>
      <c r="AS1111" s="180">
        <f t="shared" si="256"/>
        <v>1</v>
      </c>
      <c r="AT1111" s="180">
        <f t="shared" si="258"/>
        <v>1</v>
      </c>
      <c r="AU1111" s="180" t="str">
        <f t="shared" si="259"/>
        <v>.</v>
      </c>
      <c r="AV1111" s="180" t="str">
        <f t="shared" si="260"/>
        <v>.</v>
      </c>
      <c r="AW1111" s="180">
        <f>IFERROR(VLOOKUP(B1111,'Share, Heavy Weapons to Ukraine'!B:J,COLUMN('Share, Heavy Weapons to Ukraine'!C1121)-1,0),0)</f>
        <v>1</v>
      </c>
      <c r="AX1111" s="180">
        <f>VLOOKUP('Bilateral Assistance, MAIN DATA'!B1111,'Country Summary'!B:F,COLUMN('Country Summary'!C1124)-1,FALSE)</f>
        <v>0</v>
      </c>
      <c r="AY1111" s="180" t="str">
        <f>IF(AND(AD1111=1,D1111="Military",H1111&lt;&gt;"Not given")=TRUE,IF(SUMIFS(P:P,A:A,A1111)&gt;0,ABS((SUMIFS(P:P,A:A,A1111)/VLOOKUP("USD",'Exchange Rates'!B:C,2,0)))/S1111,"."),".")</f>
        <v>.</v>
      </c>
      <c r="AZ1111" s="182" t="str">
        <f>IF(AND(AD1111=1,D1111="Military",H1111&lt;&gt;"Not given")=TRUE,IF(SUMIFS(P:P,A:A,A1111)&gt;0,IF((ABS((SUMIFS(P:P,A:A,A1111)/VLOOKUP("USD",'Exchange Rates'!B:C,2,0)))/S1111)&gt;1,(SUMIFS(P:P,A:A,A1111)-S1111)/S1111,(S1111-SUMIFS(P:P,A:A,A1111))/SUMIFS(P:P,A:A,A1111)),"."),".")</f>
        <v>.</v>
      </c>
      <c r="BA1111" s="182"/>
      <c r="BB1111" s="182"/>
      <c r="BC1111" s="182"/>
      <c r="BD1111" s="182"/>
      <c r="BE1111" s="182"/>
      <c r="BF1111" s="182"/>
      <c r="BG1111" s="182"/>
      <c r="BH1111" s="182"/>
      <c r="BI1111" s="182"/>
      <c r="BJ1111" s="182"/>
      <c r="BK1111" s="182"/>
      <c r="BL1111" s="182"/>
      <c r="BM1111" s="182"/>
      <c r="BN1111" s="182"/>
      <c r="BO1111" s="182"/>
      <c r="BP1111" s="182"/>
      <c r="BQ1111" s="182"/>
      <c r="BR1111" s="182"/>
      <c r="BS1111" s="182"/>
    </row>
    <row r="1112" spans="1:71" ht="15.9" customHeight="1" x14ac:dyDescent="0.3">
      <c r="A1112" s="5" t="s">
        <v>3065</v>
      </c>
      <c r="B1112" s="5" t="s">
        <v>3038</v>
      </c>
      <c r="C1112" s="174">
        <v>44687</v>
      </c>
      <c r="D1112" s="5" t="s">
        <v>285</v>
      </c>
      <c r="E1112" s="5" t="s">
        <v>1328</v>
      </c>
      <c r="F1112" s="175" t="s">
        <v>3133</v>
      </c>
      <c r="G1112" s="15" t="s">
        <v>346</v>
      </c>
      <c r="H1112" s="176">
        <v>150000000</v>
      </c>
      <c r="I1112" s="185" t="s">
        <v>644</v>
      </c>
      <c r="J1112" s="113" t="str">
        <f>VLOOKUP($I1112,'Price List, Weapons &amp; Items'!B:C,2,0)</f>
        <v>Ammunition for heavy weapon</v>
      </c>
      <c r="K1112" s="113" t="str">
        <f>IF(I1112=".",I1112,VLOOKUP($I1112,'Price List, Weapons &amp; Items'!B:D,3,0))</f>
        <v>155mm howitzer ammunition</v>
      </c>
      <c r="L1112" s="177">
        <f>VLOOKUP(I1112,'Price List, Weapons &amp; Items'!B:E,4,0)</f>
        <v>0</v>
      </c>
      <c r="M1112" s="542">
        <v>25000</v>
      </c>
      <c r="N1112" s="542">
        <v>25000</v>
      </c>
      <c r="O1112" s="543">
        <f>VLOOKUP($I1112,'Price List, Weapons &amp; Items'!B:G,6,0)</f>
        <v>3800</v>
      </c>
      <c r="P1112" s="176">
        <f t="shared" si="262"/>
        <v>95000000</v>
      </c>
      <c r="Q1112" s="176">
        <f t="shared" si="263"/>
        <v>95000000</v>
      </c>
      <c r="R1112" s="176" t="str">
        <f t="shared" si="251"/>
        <v/>
      </c>
      <c r="S1112" s="176" t="str">
        <f>IF(AND(AD1112=1,R1112&lt;&gt;".")=TRUE,R1112/VLOOKUP(G1112,'Exchange Rates'!B:C,2,0),IF(R1112=".",".",""))</f>
        <v/>
      </c>
      <c r="T1112" s="176" t="str">
        <f>IF(AD1112=1,IF(AF1112="Value is not given at all",".",IF(AF1112="Value is given by the source",S1112,IF(AF1112="Value is calculated with prices",(IF(SUMIFS(Q:Q,A:A,A1112)&gt;0,SUMIFS(Q:Q,A:A,A1112),"."))/VLOOKUP("USD",'Exchange Rates'!B:C,2,0),"Error with coding"))),"")</f>
        <v/>
      </c>
      <c r="U1112" s="15" t="s">
        <v>261</v>
      </c>
      <c r="V1112" s="547" t="s">
        <v>3134</v>
      </c>
      <c r="W1112" s="667" t="s">
        <v>3044</v>
      </c>
      <c r="X1112" s="667" t="s">
        <v>3047</v>
      </c>
      <c r="Y1112" s="667" t="s">
        <v>3132</v>
      </c>
      <c r="Z1112" s="15">
        <v>0</v>
      </c>
      <c r="AA1112" s="180">
        <v>0</v>
      </c>
      <c r="AB1112" s="667" t="s">
        <v>3135</v>
      </c>
      <c r="AC1112" s="544" t="str">
        <f>""</f>
        <v/>
      </c>
      <c r="AD1112" s="181">
        <v>0</v>
      </c>
      <c r="AE1112" s="586" t="s">
        <v>264</v>
      </c>
      <c r="AF1112" s="181" t="s">
        <v>264</v>
      </c>
      <c r="AG1112" s="181">
        <v>1</v>
      </c>
      <c r="AH1112" s="181">
        <v>5</v>
      </c>
      <c r="AI1112" s="181">
        <v>0</v>
      </c>
      <c r="AJ1112" s="181">
        <f>VLOOKUP($I1112,'Price List, Weapons &amp; Items'!B:F,5,0)</f>
        <v>1</v>
      </c>
      <c r="AK1112" s="181">
        <f t="shared" si="252"/>
        <v>0</v>
      </c>
      <c r="AL1112" s="181">
        <f t="shared" si="253"/>
        <v>0</v>
      </c>
      <c r="AM1112" s="181">
        <f t="shared" si="254"/>
        <v>0</v>
      </c>
      <c r="AN1112" s="180" t="str">
        <f>VLOOKUP($I1112,'Price List, Weapons &amp; Items'!B:L,COLUMN('Price List, Weapons &amp; Items'!$J$11)-1,0)</f>
        <v>Government information</v>
      </c>
      <c r="AO1112" s="180" t="str">
        <f>IF(I1112=".",".",VLOOKUP($I1112,'Price List, Weapons &amp; Items'!B:J,3,0))</f>
        <v>155mm howitzer ammunition</v>
      </c>
      <c r="AP1112" s="545" t="str">
        <f t="shared" ca="1" si="264"/>
        <v/>
      </c>
      <c r="AQ1112" s="180">
        <f>VLOOKUP($I1112,'Price List, Weapons &amp; Items'!B:L,COLUMN('Price List, Weapons &amp; Items'!$L$11)-1,0)</f>
        <v>2</v>
      </c>
      <c r="AR1112" s="180">
        <f t="shared" si="255"/>
        <v>1</v>
      </c>
      <c r="AS1112" s="180">
        <f t="shared" si="256"/>
        <v>1</v>
      </c>
      <c r="AT1112" s="180">
        <f t="shared" si="258"/>
        <v>1</v>
      </c>
      <c r="AU1112" s="180" t="str">
        <f t="shared" si="259"/>
        <v>.</v>
      </c>
      <c r="AV1112" s="180" t="str">
        <f t="shared" si="260"/>
        <v>.</v>
      </c>
      <c r="AW1112" s="180">
        <f>IFERROR(VLOOKUP(B1112,'Share, Heavy Weapons to Ukraine'!B:J,COLUMN('Share, Heavy Weapons to Ukraine'!C1122)-1,0),0)</f>
        <v>1</v>
      </c>
      <c r="AX1112" s="180">
        <f>VLOOKUP('Bilateral Assistance, MAIN DATA'!B1112,'Country Summary'!B:F,COLUMN('Country Summary'!C1125)-1,FALSE)</f>
        <v>0</v>
      </c>
      <c r="AY1112" s="180" t="str">
        <f>IF(AND(AD1112=1,D1112="Military",H1112&lt;&gt;"Not given")=TRUE,IF(SUMIFS(P:P,A:A,A1112)&gt;0,ABS((SUMIFS(P:P,A:A,A1112)/VLOOKUP("USD",'Exchange Rates'!B:C,2,0)))/S1112,"."),".")</f>
        <v>.</v>
      </c>
      <c r="AZ1112" s="182" t="str">
        <f>IF(AND(AD1112=1,D1112="Military",H1112&lt;&gt;"Not given")=TRUE,IF(SUMIFS(P:P,A:A,A1112)&gt;0,IF((ABS((SUMIFS(P:P,A:A,A1112)/VLOOKUP("USD",'Exchange Rates'!B:C,2,0)))/S1112)&gt;1,(SUMIFS(P:P,A:A,A1112)-S1112)/S1112,(S1112-SUMIFS(P:P,A:A,A1112))/SUMIFS(P:P,A:A,A1112)),"."),".")</f>
        <v>.</v>
      </c>
      <c r="BA1112" s="182"/>
      <c r="BB1112" s="182"/>
      <c r="BC1112" s="182"/>
      <c r="BD1112" s="182"/>
      <c r="BE1112" s="182"/>
      <c r="BF1112" s="182"/>
      <c r="BG1112" s="182"/>
      <c r="BH1112" s="182"/>
      <c r="BI1112" s="182"/>
      <c r="BJ1112" s="182"/>
      <c r="BK1112" s="182"/>
      <c r="BL1112" s="182"/>
      <c r="BM1112" s="182"/>
      <c r="BN1112" s="182"/>
      <c r="BO1112" s="182"/>
      <c r="BP1112" s="182"/>
      <c r="BQ1112" s="182"/>
      <c r="BR1112" s="182"/>
      <c r="BS1112" s="182"/>
    </row>
    <row r="1113" spans="1:71" ht="15.9" customHeight="1" x14ac:dyDescent="0.3">
      <c r="A1113" s="5" t="s">
        <v>3065</v>
      </c>
      <c r="B1113" s="5" t="s">
        <v>3038</v>
      </c>
      <c r="C1113" s="174">
        <v>44687</v>
      </c>
      <c r="D1113" s="5" t="s">
        <v>285</v>
      </c>
      <c r="E1113" s="5" t="s">
        <v>1328</v>
      </c>
      <c r="F1113" s="175" t="s">
        <v>3133</v>
      </c>
      <c r="G1113" s="15" t="s">
        <v>346</v>
      </c>
      <c r="H1113" s="176">
        <v>150000000</v>
      </c>
      <c r="I1113" s="17" t="s">
        <v>2085</v>
      </c>
      <c r="J1113" s="113" t="str">
        <f>VLOOKUP($I1113,'Price List, Weapons &amp; Items'!B:C,2,0)</f>
        <v>Military equipment</v>
      </c>
      <c r="K1113" s="113" t="str">
        <f>IF(I1113=".",I1113,VLOOKUP($I1113,'Price List, Weapons &amp; Items'!B:D,3,0))</f>
        <v>Military equipment</v>
      </c>
      <c r="L1113" s="177">
        <f>VLOOKUP(I1113,'Price List, Weapons &amp; Items'!B:E,4,0)</f>
        <v>0</v>
      </c>
      <c r="M1113" s="542">
        <v>3</v>
      </c>
      <c r="N1113" s="542">
        <v>3</v>
      </c>
      <c r="O1113" s="543">
        <f>VLOOKUP($I1113,'Price List, Weapons &amp; Items'!B:G,6,0)</f>
        <v>8888888</v>
      </c>
      <c r="P1113" s="176">
        <f t="shared" si="262"/>
        <v>26666664</v>
      </c>
      <c r="Q1113" s="176">
        <f t="shared" si="263"/>
        <v>26666664</v>
      </c>
      <c r="R1113" s="176" t="str">
        <f t="shared" si="251"/>
        <v/>
      </c>
      <c r="S1113" s="176" t="str">
        <f>IF(AND(AD1113=1,R1113&lt;&gt;".")=TRUE,R1113/VLOOKUP(G1113,'Exchange Rates'!B:C,2,0),IF(R1113=".",".",""))</f>
        <v/>
      </c>
      <c r="T1113" s="176" t="str">
        <f>IF(AD1113=1,IF(AF1113="Value is not given at all",".",IF(AF1113="Value is given by the source",S1113,IF(AF1113="Value is calculated with prices",(IF(SUMIFS(Q:Q,A:A,A1113)&gt;0,SUMIFS(Q:Q,A:A,A1113),"."))/VLOOKUP("USD",'Exchange Rates'!B:C,2,0),"Error with coding"))),"")</f>
        <v/>
      </c>
      <c r="U1113" s="15" t="s">
        <v>261</v>
      </c>
      <c r="V1113" s="547" t="s">
        <v>3134</v>
      </c>
      <c r="W1113" s="667" t="s">
        <v>3044</v>
      </c>
      <c r="X1113" s="667" t="s">
        <v>3047</v>
      </c>
      <c r="Y1113" s="667" t="s">
        <v>3135</v>
      </c>
      <c r="Z1113" s="15">
        <v>0</v>
      </c>
      <c r="AA1113" s="180">
        <v>0</v>
      </c>
      <c r="AB1113" s="667" t="s">
        <v>3136</v>
      </c>
      <c r="AC1113" s="544" t="str">
        <f>""</f>
        <v/>
      </c>
      <c r="AD1113" s="181">
        <v>0</v>
      </c>
      <c r="AE1113" s="586" t="s">
        <v>264</v>
      </c>
      <c r="AF1113" s="181" t="s">
        <v>264</v>
      </c>
      <c r="AG1113" s="181">
        <v>1</v>
      </c>
      <c r="AH1113" s="181">
        <v>5</v>
      </c>
      <c r="AI1113" s="181">
        <v>0</v>
      </c>
      <c r="AJ1113" s="181">
        <f>VLOOKUP($I1113,'Price List, Weapons &amp; Items'!B:F,5,0)</f>
        <v>0</v>
      </c>
      <c r="AK1113" s="181">
        <f t="shared" si="252"/>
        <v>0</v>
      </c>
      <c r="AL1113" s="181">
        <f t="shared" si="253"/>
        <v>0</v>
      </c>
      <c r="AM1113" s="181">
        <f t="shared" si="254"/>
        <v>0</v>
      </c>
      <c r="AN1113" s="180" t="str">
        <f>VLOOKUP($I1113,'Price List, Weapons &amp; Items'!B:L,COLUMN('Price List, Weapons &amp; Items'!$J$11)-1,0)</f>
        <v>Military media (incl. websites)</v>
      </c>
      <c r="AO1113" s="180" t="str">
        <f>IF(I1113=".",".",VLOOKUP($I1113,'Price List, Weapons &amp; Items'!B:J,3,0))</f>
        <v>Military equipment</v>
      </c>
      <c r="AP1113" s="545" t="str">
        <f t="shared" ca="1" si="264"/>
        <v/>
      </c>
      <c r="AQ1113" s="180">
        <f>VLOOKUP($I1113,'Price List, Weapons &amp; Items'!B:L,COLUMN('Price List, Weapons &amp; Items'!$L$11)-1,0)</f>
        <v>2</v>
      </c>
      <c r="AR1113" s="180">
        <f t="shared" si="255"/>
        <v>1</v>
      </c>
      <c r="AS1113" s="180">
        <f t="shared" si="256"/>
        <v>1</v>
      </c>
      <c r="AT1113" s="180">
        <f t="shared" si="258"/>
        <v>1</v>
      </c>
      <c r="AU1113" s="180" t="str">
        <f t="shared" si="259"/>
        <v>.</v>
      </c>
      <c r="AV1113" s="180" t="str">
        <f t="shared" si="260"/>
        <v>.</v>
      </c>
      <c r="AW1113" s="180">
        <f>IFERROR(VLOOKUP(B1113,'Share, Heavy Weapons to Ukraine'!B:J,COLUMN('Share, Heavy Weapons to Ukraine'!C1123)-1,0),0)</f>
        <v>1</v>
      </c>
      <c r="AX1113" s="180">
        <f>VLOOKUP('Bilateral Assistance, MAIN DATA'!B1113,'Country Summary'!B:F,COLUMN('Country Summary'!C1126)-1,FALSE)</f>
        <v>0</v>
      </c>
      <c r="AY1113" s="180" t="str">
        <f>IF(AND(AD1113=1,D1113="Military",H1113&lt;&gt;"Not given")=TRUE,IF(SUMIFS(P:P,A:A,A1113)&gt;0,ABS((SUMIFS(P:P,A:A,A1113)/VLOOKUP("USD",'Exchange Rates'!B:C,2,0)))/S1113,"."),".")</f>
        <v>.</v>
      </c>
      <c r="AZ1113" s="182" t="str">
        <f>IF(AND(AD1113=1,D1113="Military",H1113&lt;&gt;"Not given")=TRUE,IF(SUMIFS(P:P,A:A,A1113)&gt;0,IF((ABS((SUMIFS(P:P,A:A,A1113)/VLOOKUP("USD",'Exchange Rates'!B:C,2,0)))/S1113)&gt;1,(SUMIFS(P:P,A:A,A1113)-S1113)/S1113,(S1113-SUMIFS(P:P,A:A,A1113))/SUMIFS(P:P,A:A,A1113)),"."),".")</f>
        <v>.</v>
      </c>
      <c r="BA1113" s="182"/>
      <c r="BB1113" s="182"/>
      <c r="BC1113" s="182"/>
      <c r="BD1113" s="182"/>
      <c r="BE1113" s="182"/>
      <c r="BF1113" s="182"/>
      <c r="BG1113" s="182"/>
      <c r="BH1113" s="182"/>
      <c r="BI1113" s="182"/>
      <c r="BJ1113" s="182"/>
      <c r="BK1113" s="182"/>
      <c r="BL1113" s="182"/>
      <c r="BM1113" s="182"/>
      <c r="BN1113" s="182"/>
      <c r="BO1113" s="182"/>
      <c r="BP1113" s="182"/>
      <c r="BQ1113" s="182"/>
      <c r="BR1113" s="182"/>
      <c r="BS1113" s="182"/>
    </row>
    <row r="1114" spans="1:71" ht="15.9" customHeight="1" x14ac:dyDescent="0.3">
      <c r="A1114" s="5" t="s">
        <v>3065</v>
      </c>
      <c r="B1114" s="5" t="s">
        <v>3038</v>
      </c>
      <c r="C1114" s="174">
        <v>44687</v>
      </c>
      <c r="D1114" s="5" t="s">
        <v>285</v>
      </c>
      <c r="E1114" s="5" t="s">
        <v>1328</v>
      </c>
      <c r="F1114" s="175" t="s">
        <v>3133</v>
      </c>
      <c r="G1114" s="15" t="s">
        <v>346</v>
      </c>
      <c r="H1114" s="176">
        <v>150000000</v>
      </c>
      <c r="I1114" s="17" t="s">
        <v>3137</v>
      </c>
      <c r="J1114" s="113" t="str">
        <f>VLOOKUP($I1114,'Price List, Weapons &amp; Items'!B:C,2,0)</f>
        <v>Military equipment</v>
      </c>
      <c r="K1114" s="113" t="str">
        <f>IF(I1114=".",I1114,VLOOKUP($I1114,'Price List, Weapons &amp; Items'!B:D,3,0))</f>
        <v>Military equipment</v>
      </c>
      <c r="L1114" s="177">
        <f>VLOOKUP(I1114,'Price List, Weapons &amp; Items'!B:E,4,0)</f>
        <v>0</v>
      </c>
      <c r="M1114" s="542" t="s">
        <v>260</v>
      </c>
      <c r="N1114" s="542" t="s">
        <v>260</v>
      </c>
      <c r="O1114" s="543" t="str">
        <f>VLOOKUP($I1114,'Price List, Weapons &amp; Items'!B:G,6,0)</f>
        <v>.</v>
      </c>
      <c r="P1114" s="176" t="str">
        <f t="shared" si="262"/>
        <v>.</v>
      </c>
      <c r="Q1114" s="176" t="str">
        <f t="shared" si="263"/>
        <v>.</v>
      </c>
      <c r="R1114" s="176" t="str">
        <f t="shared" si="251"/>
        <v/>
      </c>
      <c r="S1114" s="176" t="str">
        <f>IF(AND(AD1114=1,R1114&lt;&gt;".")=TRUE,R1114/VLOOKUP(G1114,'Exchange Rates'!B:C,2,0),IF(R1114=".",".",""))</f>
        <v/>
      </c>
      <c r="T1114" s="176" t="str">
        <f>IF(AD1114=1,IF(AF1114="Value is not given at all",".",IF(AF1114="Value is given by the source",S1114,IF(AF1114="Value is calculated with prices",(IF(SUMIFS(Q:Q,A:A,A1114)&gt;0,SUMIFS(Q:Q,A:A,A1114),"."))/VLOOKUP("USD",'Exchange Rates'!B:C,2,0),"Error with coding"))),"")</f>
        <v/>
      </c>
      <c r="U1114" s="15" t="s">
        <v>261</v>
      </c>
      <c r="V1114" s="547" t="s">
        <v>3134</v>
      </c>
      <c r="W1114" s="667" t="s">
        <v>3044</v>
      </c>
      <c r="X1114" s="667" t="s">
        <v>3047</v>
      </c>
      <c r="Y1114" s="667" t="s">
        <v>3136</v>
      </c>
      <c r="Z1114" s="15">
        <v>0</v>
      </c>
      <c r="AA1114" s="180">
        <v>0</v>
      </c>
      <c r="AB1114" s="667" t="s">
        <v>3138</v>
      </c>
      <c r="AC1114" s="544" t="str">
        <f>""</f>
        <v/>
      </c>
      <c r="AD1114" s="181">
        <v>0</v>
      </c>
      <c r="AE1114" s="586" t="s">
        <v>264</v>
      </c>
      <c r="AF1114" s="181" t="s">
        <v>264</v>
      </c>
      <c r="AG1114" s="181">
        <v>1</v>
      </c>
      <c r="AH1114" s="181">
        <v>5</v>
      </c>
      <c r="AI1114" s="181">
        <v>0</v>
      </c>
      <c r="AJ1114" s="181">
        <f>VLOOKUP($I1114,'Price List, Weapons &amp; Items'!B:F,5,0)</f>
        <v>0</v>
      </c>
      <c r="AK1114" s="181">
        <f t="shared" si="252"/>
        <v>0</v>
      </c>
      <c r="AL1114" s="181">
        <f t="shared" si="253"/>
        <v>0</v>
      </c>
      <c r="AM1114" s="181">
        <f t="shared" si="254"/>
        <v>0</v>
      </c>
      <c r="AN1114" s="180" t="str">
        <f>VLOOKUP($I1114,'Price List, Weapons &amp; Items'!B:L,COLUMN('Price List, Weapons &amp; Items'!$J$11)-1,0)</f>
        <v>.</v>
      </c>
      <c r="AO1114" s="180" t="str">
        <f>IF(I1114=".",".",VLOOKUP($I1114,'Price List, Weapons &amp; Items'!B:J,3,0))</f>
        <v>Military equipment</v>
      </c>
      <c r="AP1114" s="545" t="str">
        <f t="shared" ca="1" si="264"/>
        <v/>
      </c>
      <c r="AQ1114" s="180" t="str">
        <f>VLOOKUP($I1114,'Price List, Weapons &amp; Items'!B:L,COLUMN('Price List, Weapons &amp; Items'!$L$11)-1,0)</f>
        <v>no price, 0 count</v>
      </c>
      <c r="AR1114" s="180">
        <f t="shared" si="255"/>
        <v>1</v>
      </c>
      <c r="AS1114" s="180">
        <f t="shared" si="256"/>
        <v>1</v>
      </c>
      <c r="AT1114" s="180">
        <f t="shared" si="258"/>
        <v>1</v>
      </c>
      <c r="AU1114" s="180" t="str">
        <f t="shared" si="259"/>
        <v>.</v>
      </c>
      <c r="AV1114" s="180" t="str">
        <f t="shared" si="260"/>
        <v>.</v>
      </c>
      <c r="AW1114" s="180">
        <f>IFERROR(VLOOKUP(B1114,'Share, Heavy Weapons to Ukraine'!B:J,COLUMN('Share, Heavy Weapons to Ukraine'!C1124)-1,0),0)</f>
        <v>1</v>
      </c>
      <c r="AX1114" s="180">
        <f>VLOOKUP('Bilateral Assistance, MAIN DATA'!B1114,'Country Summary'!B:F,COLUMN('Country Summary'!C1127)-1,FALSE)</f>
        <v>0</v>
      </c>
      <c r="AY1114" s="180" t="str">
        <f>IF(AND(AD1114=1,D1114="Military",H1114&lt;&gt;"Not given")=TRUE,IF(SUMIFS(P:P,A:A,A1114)&gt;0,ABS((SUMIFS(P:P,A:A,A1114)/VLOOKUP("USD",'Exchange Rates'!B:C,2,0)))/S1114,"."),".")</f>
        <v>.</v>
      </c>
      <c r="AZ1114" s="182" t="str">
        <f>IF(AND(AD1114=1,D1114="Military",H1114&lt;&gt;"Not given")=TRUE,IF(SUMIFS(P:P,A:A,A1114)&gt;0,IF((ABS((SUMIFS(P:P,A:A,A1114)/VLOOKUP("USD",'Exchange Rates'!B:C,2,0)))/S1114)&gt;1,(SUMIFS(P:P,A:A,A1114)-S1114)/S1114,(S1114-SUMIFS(P:P,A:A,A1114))/SUMIFS(P:P,A:A,A1114)),"."),".")</f>
        <v>.</v>
      </c>
      <c r="BA1114" s="182"/>
      <c r="BB1114" s="182"/>
      <c r="BC1114" s="182"/>
      <c r="BD1114" s="182"/>
      <c r="BE1114" s="182"/>
      <c r="BF1114" s="182"/>
      <c r="BG1114" s="182"/>
      <c r="BH1114" s="182"/>
      <c r="BI1114" s="182"/>
      <c r="BJ1114" s="182"/>
      <c r="BK1114" s="182"/>
      <c r="BL1114" s="182"/>
      <c r="BM1114" s="182"/>
      <c r="BN1114" s="182"/>
      <c r="BO1114" s="182"/>
      <c r="BP1114" s="182"/>
      <c r="BQ1114" s="182"/>
      <c r="BR1114" s="182"/>
      <c r="BS1114" s="182"/>
    </row>
    <row r="1115" spans="1:71" ht="15.9" customHeight="1" x14ac:dyDescent="0.3">
      <c r="A1115" s="5" t="s">
        <v>3065</v>
      </c>
      <c r="B1115" s="5" t="s">
        <v>3038</v>
      </c>
      <c r="C1115" s="174">
        <v>44687</v>
      </c>
      <c r="D1115" s="5" t="s">
        <v>285</v>
      </c>
      <c r="E1115" s="5" t="s">
        <v>1328</v>
      </c>
      <c r="F1115" s="175" t="s">
        <v>3133</v>
      </c>
      <c r="G1115" s="15" t="s">
        <v>346</v>
      </c>
      <c r="H1115" s="176">
        <v>150000000</v>
      </c>
      <c r="I1115" s="17" t="s">
        <v>3131</v>
      </c>
      <c r="J1115" s="113" t="str">
        <f>VLOOKUP($I1115,'Price List, Weapons &amp; Items'!B:C,2,0)</f>
        <v>Military equipment</v>
      </c>
      <c r="K1115" s="113" t="str">
        <f>IF(I1115=".",I1115,VLOOKUP($I1115,'Price List, Weapons &amp; Items'!B:D,3,0))</f>
        <v>Military equipment</v>
      </c>
      <c r="L1115" s="177">
        <f>VLOOKUP(I1115,'Price List, Weapons &amp; Items'!B:E,4,0)</f>
        <v>0</v>
      </c>
      <c r="M1115" s="542" t="s">
        <v>260</v>
      </c>
      <c r="N1115" s="542" t="s">
        <v>260</v>
      </c>
      <c r="O1115" s="543" t="str">
        <f>VLOOKUP($I1115,'Price List, Weapons &amp; Items'!B:G,6,0)</f>
        <v>.</v>
      </c>
      <c r="P1115" s="176" t="str">
        <f t="shared" si="262"/>
        <v>.</v>
      </c>
      <c r="Q1115" s="176" t="str">
        <f t="shared" si="263"/>
        <v>.</v>
      </c>
      <c r="R1115" s="176" t="str">
        <f t="shared" si="251"/>
        <v/>
      </c>
      <c r="S1115" s="176" t="str">
        <f>IF(AND(AD1115=1,R1115&lt;&gt;".")=TRUE,R1115/VLOOKUP(G1115,'Exchange Rates'!B:C,2,0),IF(R1115=".",".",""))</f>
        <v/>
      </c>
      <c r="T1115" s="176" t="str">
        <f>IF(AD1115=1,IF(AF1115="Value is not given at all",".",IF(AF1115="Value is given by the source",S1115,IF(AF1115="Value is calculated with prices",(IF(SUMIFS(Q:Q,A:A,A1115)&gt;0,SUMIFS(Q:Q,A:A,A1115),"."))/VLOOKUP("USD",'Exchange Rates'!B:C,2,0),"Error with coding"))),"")</f>
        <v/>
      </c>
      <c r="U1115" s="15" t="s">
        <v>261</v>
      </c>
      <c r="V1115" s="547" t="s">
        <v>3134</v>
      </c>
      <c r="W1115" s="667" t="s">
        <v>3044</v>
      </c>
      <c r="X1115" s="667" t="s">
        <v>3047</v>
      </c>
      <c r="Y1115" s="667" t="s">
        <v>3138</v>
      </c>
      <c r="Z1115" s="15">
        <v>0</v>
      </c>
      <c r="AA1115" s="180">
        <v>0</v>
      </c>
      <c r="AB1115" s="667" t="s">
        <v>3139</v>
      </c>
      <c r="AC1115" s="544" t="str">
        <f>""</f>
        <v/>
      </c>
      <c r="AD1115" s="181">
        <v>0</v>
      </c>
      <c r="AE1115" s="586" t="s">
        <v>264</v>
      </c>
      <c r="AF1115" s="181" t="s">
        <v>264</v>
      </c>
      <c r="AG1115" s="181">
        <v>1</v>
      </c>
      <c r="AH1115" s="181">
        <v>5</v>
      </c>
      <c r="AI1115" s="181">
        <v>0</v>
      </c>
      <c r="AJ1115" s="181">
        <f>VLOOKUP($I1115,'Price List, Weapons &amp; Items'!B:F,5,0)</f>
        <v>0</v>
      </c>
      <c r="AK1115" s="181">
        <f t="shared" si="252"/>
        <v>0</v>
      </c>
      <c r="AL1115" s="181">
        <f t="shared" si="253"/>
        <v>0</v>
      </c>
      <c r="AM1115" s="181">
        <f t="shared" si="254"/>
        <v>0</v>
      </c>
      <c r="AN1115" s="180" t="str">
        <f>VLOOKUP($I1115,'Price List, Weapons &amp; Items'!B:L,COLUMN('Price List, Weapons &amp; Items'!$J$11)-1,0)</f>
        <v>.</v>
      </c>
      <c r="AO1115" s="180" t="str">
        <f>IF(I1115=".",".",VLOOKUP($I1115,'Price List, Weapons &amp; Items'!B:J,3,0))</f>
        <v>Military equipment</v>
      </c>
      <c r="AP1115" s="545" t="str">
        <f t="shared" ca="1" si="264"/>
        <v/>
      </c>
      <c r="AQ1115" s="180" t="str">
        <f>VLOOKUP($I1115,'Price List, Weapons &amp; Items'!B:L,COLUMN('Price List, Weapons &amp; Items'!$L$11)-1,0)</f>
        <v>no price, 0 count</v>
      </c>
      <c r="AR1115" s="180">
        <f t="shared" si="255"/>
        <v>1</v>
      </c>
      <c r="AS1115" s="180">
        <f t="shared" si="256"/>
        <v>1</v>
      </c>
      <c r="AT1115" s="180">
        <f t="shared" si="258"/>
        <v>1</v>
      </c>
      <c r="AU1115" s="180" t="str">
        <f t="shared" si="259"/>
        <v>.</v>
      </c>
      <c r="AV1115" s="180" t="str">
        <f t="shared" si="260"/>
        <v>.</v>
      </c>
      <c r="AW1115" s="180">
        <f>IFERROR(VLOOKUP(B1115,'Share, Heavy Weapons to Ukraine'!B:J,COLUMN('Share, Heavy Weapons to Ukraine'!C1125)-1,0),0)</f>
        <v>1</v>
      </c>
      <c r="AX1115" s="180">
        <f>VLOOKUP('Bilateral Assistance, MAIN DATA'!B1115,'Country Summary'!B:F,COLUMN('Country Summary'!C1128)-1,FALSE)</f>
        <v>0</v>
      </c>
      <c r="AY1115" s="180" t="str">
        <f>IF(AND(AD1115=1,D1115="Military",H1115&lt;&gt;"Not given")=TRUE,IF(SUMIFS(P:P,A:A,A1115)&gt;0,ABS((SUMIFS(P:P,A:A,A1115)/VLOOKUP("USD",'Exchange Rates'!B:C,2,0)))/S1115,"."),".")</f>
        <v>.</v>
      </c>
      <c r="AZ1115" s="182" t="str">
        <f>IF(AND(AD1115=1,D1115="Military",H1115&lt;&gt;"Not given")=TRUE,IF(SUMIFS(P:P,A:A,A1115)&gt;0,IF((ABS((SUMIFS(P:P,A:A,A1115)/VLOOKUP("USD",'Exchange Rates'!B:C,2,0)))/S1115)&gt;1,(SUMIFS(P:P,A:A,A1115)-S1115)/S1115,(S1115-SUMIFS(P:P,A:A,A1115))/SUMIFS(P:P,A:A,A1115)),"."),".")</f>
        <v>.</v>
      </c>
      <c r="BA1115" s="182"/>
      <c r="BB1115" s="182"/>
      <c r="BC1115" s="182"/>
      <c r="BD1115" s="182"/>
      <c r="BE1115" s="182"/>
      <c r="BF1115" s="182"/>
      <c r="BG1115" s="182"/>
      <c r="BH1115" s="182"/>
      <c r="BI1115" s="182"/>
      <c r="BJ1115" s="182"/>
      <c r="BK1115" s="182"/>
      <c r="BL1115" s="182"/>
      <c r="BM1115" s="182"/>
      <c r="BN1115" s="182"/>
      <c r="BO1115" s="182"/>
      <c r="BP1115" s="182"/>
      <c r="BQ1115" s="182"/>
      <c r="BR1115" s="182"/>
      <c r="BS1115" s="182"/>
    </row>
    <row r="1116" spans="1:71" ht="15.9" customHeight="1" x14ac:dyDescent="0.3">
      <c r="A1116" s="5" t="s">
        <v>3065</v>
      </c>
      <c r="B1116" s="5" t="s">
        <v>3038</v>
      </c>
      <c r="C1116" s="174">
        <v>44687</v>
      </c>
      <c r="D1116" s="5" t="s">
        <v>285</v>
      </c>
      <c r="E1116" s="5" t="s">
        <v>1328</v>
      </c>
      <c r="F1116" s="175" t="s">
        <v>3133</v>
      </c>
      <c r="G1116" s="15" t="s">
        <v>346</v>
      </c>
      <c r="H1116" s="176">
        <v>150000000</v>
      </c>
      <c r="I1116" s="17" t="s">
        <v>3140</v>
      </c>
      <c r="J1116" s="113" t="str">
        <f>VLOOKUP($I1116,'Price List, Weapons &amp; Items'!B:C,2,0)</f>
        <v>Military equipment</v>
      </c>
      <c r="K1116" s="113" t="str">
        <f>IF(I1116=".",I1116,VLOOKUP($I1116,'Price List, Weapons &amp; Items'!B:D,3,0))</f>
        <v>spare parts</v>
      </c>
      <c r="L1116" s="177">
        <f>VLOOKUP(I1116,'Price List, Weapons &amp; Items'!B:E,4,0)</f>
        <v>0</v>
      </c>
      <c r="M1116" s="542" t="s">
        <v>260</v>
      </c>
      <c r="N1116" s="542" t="s">
        <v>260</v>
      </c>
      <c r="O1116" s="543" t="str">
        <f>VLOOKUP($I1116,'Price List, Weapons &amp; Items'!B:G,6,0)</f>
        <v>.</v>
      </c>
      <c r="P1116" s="176" t="str">
        <f t="shared" si="262"/>
        <v>.</v>
      </c>
      <c r="Q1116" s="176" t="str">
        <f t="shared" si="263"/>
        <v>.</v>
      </c>
      <c r="R1116" s="176" t="str">
        <f t="shared" si="251"/>
        <v/>
      </c>
      <c r="S1116" s="176" t="str">
        <f>IF(AND(AD1116=1,R1116&lt;&gt;".")=TRUE,R1116/VLOOKUP(G1116,'Exchange Rates'!B:C,2,0),IF(R1116=".",".",""))</f>
        <v/>
      </c>
      <c r="T1116" s="176" t="str">
        <f>IF(AD1116=1,IF(AF1116="Value is not given at all",".",IF(AF1116="Value is given by the source",S1116,IF(AF1116="Value is calculated with prices",(IF(SUMIFS(Q:Q,A:A,A1116)&gt;0,SUMIFS(Q:Q,A:A,A1116),"."))/VLOOKUP("USD",'Exchange Rates'!B:C,2,0),"Error with coding"))),"")</f>
        <v/>
      </c>
      <c r="U1116" s="15" t="s">
        <v>261</v>
      </c>
      <c r="V1116" s="300" t="s">
        <v>3134</v>
      </c>
      <c r="W1116" s="667" t="s">
        <v>3044</v>
      </c>
      <c r="X1116" s="667" t="s">
        <v>3047</v>
      </c>
      <c r="Y1116" s="667" t="s">
        <v>3139</v>
      </c>
      <c r="Z1116" s="15">
        <v>0</v>
      </c>
      <c r="AA1116" s="180">
        <v>0</v>
      </c>
      <c r="AB1116" s="667" t="s">
        <v>3141</v>
      </c>
      <c r="AC1116" s="544" t="str">
        <f>""</f>
        <v/>
      </c>
      <c r="AD1116" s="181">
        <v>0</v>
      </c>
      <c r="AE1116" s="586" t="s">
        <v>264</v>
      </c>
      <c r="AF1116" s="181" t="s">
        <v>264</v>
      </c>
      <c r="AG1116" s="181">
        <v>1</v>
      </c>
      <c r="AH1116" s="181">
        <v>5</v>
      </c>
      <c r="AI1116" s="181">
        <v>0</v>
      </c>
      <c r="AJ1116" s="181">
        <f>VLOOKUP($I1116,'Price List, Weapons &amp; Items'!B:F,5,0)</f>
        <v>0</v>
      </c>
      <c r="AK1116" s="181">
        <f t="shared" si="252"/>
        <v>0</v>
      </c>
      <c r="AL1116" s="181">
        <f t="shared" si="253"/>
        <v>0</v>
      </c>
      <c r="AM1116" s="181">
        <f t="shared" si="254"/>
        <v>0</v>
      </c>
      <c r="AN1116" s="180" t="str">
        <f>VLOOKUP($I1116,'Price List, Weapons &amp; Items'!B:L,COLUMN('Price List, Weapons &amp; Items'!$J$11)-1,0)</f>
        <v>.</v>
      </c>
      <c r="AO1116" s="180" t="str">
        <f>IF(I1116=".",".",VLOOKUP($I1116,'Price List, Weapons &amp; Items'!B:J,3,0))</f>
        <v>spare parts</v>
      </c>
      <c r="AP1116" s="545" t="str">
        <f t="shared" ca="1" si="264"/>
        <v/>
      </c>
      <c r="AQ1116" s="180" t="str">
        <f>VLOOKUP($I1116,'Price List, Weapons &amp; Items'!B:L,COLUMN('Price List, Weapons &amp; Items'!$L$11)-1,0)</f>
        <v>no price, 0 count</v>
      </c>
      <c r="AR1116" s="180">
        <f t="shared" si="255"/>
        <v>1</v>
      </c>
      <c r="AS1116" s="180">
        <f t="shared" si="256"/>
        <v>1</v>
      </c>
      <c r="AT1116" s="180">
        <f t="shared" si="258"/>
        <v>1</v>
      </c>
      <c r="AU1116" s="180" t="str">
        <f t="shared" si="259"/>
        <v>.</v>
      </c>
      <c r="AV1116" s="180" t="str">
        <f t="shared" si="260"/>
        <v>.</v>
      </c>
      <c r="AW1116" s="180">
        <f>IFERROR(VLOOKUP(B1116,'Share, Heavy Weapons to Ukraine'!B:J,COLUMN('Share, Heavy Weapons to Ukraine'!C1126)-1,0),0)</f>
        <v>1</v>
      </c>
      <c r="AX1116" s="180">
        <f>VLOOKUP('Bilateral Assistance, MAIN DATA'!B1116,'Country Summary'!B:F,COLUMN('Country Summary'!C1129)-1,FALSE)</f>
        <v>0</v>
      </c>
      <c r="AY1116" s="180" t="str">
        <f>IF(AND(AD1116=1,D1116="Military",H1116&lt;&gt;"Not given")=TRUE,IF(SUMIFS(P:P,A:A,A1116)&gt;0,ABS((SUMIFS(P:P,A:A,A1116)/VLOOKUP("USD",'Exchange Rates'!B:C,2,0)))/S1116,"."),".")</f>
        <v>.</v>
      </c>
      <c r="AZ1116" s="182" t="str">
        <f>IF(AND(AD1116=1,D1116="Military",H1116&lt;&gt;"Not given")=TRUE,IF(SUMIFS(P:P,A:A,A1116)&gt;0,IF((ABS((SUMIFS(P:P,A:A,A1116)/VLOOKUP("USD",'Exchange Rates'!B:C,2,0)))/S1116)&gt;1,(SUMIFS(P:P,A:A,A1116)-S1116)/S1116,(S1116-SUMIFS(P:P,A:A,A1116))/SUMIFS(P:P,A:A,A1116)),"."),".")</f>
        <v>.</v>
      </c>
      <c r="BA1116" s="182"/>
      <c r="BB1116" s="182"/>
      <c r="BC1116" s="182"/>
      <c r="BD1116" s="182"/>
      <c r="BE1116" s="182"/>
      <c r="BF1116" s="182"/>
      <c r="BG1116" s="182"/>
      <c r="BH1116" s="182"/>
      <c r="BI1116" s="182"/>
      <c r="BJ1116" s="182"/>
      <c r="BK1116" s="182"/>
      <c r="BL1116" s="182"/>
      <c r="BM1116" s="182"/>
      <c r="BN1116" s="182"/>
      <c r="BO1116" s="182"/>
      <c r="BP1116" s="182"/>
      <c r="BQ1116" s="182"/>
      <c r="BR1116" s="182"/>
      <c r="BS1116" s="182"/>
    </row>
    <row r="1117" spans="1:71" ht="15.9" customHeight="1" x14ac:dyDescent="0.3">
      <c r="A1117" s="5" t="s">
        <v>3065</v>
      </c>
      <c r="B1117" s="5" t="s">
        <v>3038</v>
      </c>
      <c r="C1117" s="174">
        <v>44700</v>
      </c>
      <c r="D1117" s="5" t="s">
        <v>285</v>
      </c>
      <c r="E1117" s="5" t="s">
        <v>1328</v>
      </c>
      <c r="F1117" s="175" t="s">
        <v>3142</v>
      </c>
      <c r="G1117" s="15" t="s">
        <v>346</v>
      </c>
      <c r="H1117" s="176">
        <v>100000000</v>
      </c>
      <c r="I1117" s="17" t="s">
        <v>318</v>
      </c>
      <c r="J1117" s="113" t="str">
        <f>VLOOKUP($I1117,'Price List, Weapons &amp; Items'!B:C,2,0)</f>
        <v>Heavy weapon</v>
      </c>
      <c r="K1117" s="113" t="str">
        <f>IF(I1117=".",I1117,VLOOKUP($I1117,'Price List, Weapons &amp; Items'!B:D,3,0))</f>
        <v>155mm howitzer</v>
      </c>
      <c r="L1117" s="177">
        <f>VLOOKUP(I1117,'Price List, Weapons &amp; Items'!B:E,4,0)</f>
        <v>0</v>
      </c>
      <c r="M1117" s="542">
        <v>18</v>
      </c>
      <c r="N1117" s="542">
        <v>18</v>
      </c>
      <c r="O1117" s="543">
        <f>VLOOKUP($I1117,'Price List, Weapons &amp; Items'!B:G,6,0)</f>
        <v>5170000</v>
      </c>
      <c r="P1117" s="176">
        <f t="shared" si="262"/>
        <v>93060000</v>
      </c>
      <c r="Q1117" s="176">
        <f t="shared" si="263"/>
        <v>93060000</v>
      </c>
      <c r="R1117" s="176" t="str">
        <f t="shared" si="251"/>
        <v/>
      </c>
      <c r="S1117" s="176" t="str">
        <f>IF(AND(AD1117=1,R1117&lt;&gt;".")=TRUE,R1117/VLOOKUP(G1117,'Exchange Rates'!B:C,2,0),IF(R1117=".",".",""))</f>
        <v/>
      </c>
      <c r="T1117" s="176" t="str">
        <f>IF(AD1117=1,IF(AF1117="Value is not given at all",".",IF(AF1117="Value is given by the source",S1117,IF(AF1117="Value is calculated with prices",(IF(SUMIFS(Q:Q,A:A,A1117)&gt;0,SUMIFS(Q:Q,A:A,A1117),"."))/VLOOKUP("USD",'Exchange Rates'!B:C,2,0),"Error with coding"))),"")</f>
        <v/>
      </c>
      <c r="U1117" s="15" t="s">
        <v>261</v>
      </c>
      <c r="V1117" s="547" t="s">
        <v>3143</v>
      </c>
      <c r="W1117" s="667" t="s">
        <v>3044</v>
      </c>
      <c r="X1117" s="667" t="s">
        <v>3047</v>
      </c>
      <c r="Y1117" s="667" t="s">
        <v>3141</v>
      </c>
      <c r="Z1117" s="15">
        <v>0</v>
      </c>
      <c r="AA1117" s="180">
        <v>0</v>
      </c>
      <c r="AB1117" s="667" t="s">
        <v>3144</v>
      </c>
      <c r="AC1117" s="544" t="str">
        <f>""</f>
        <v/>
      </c>
      <c r="AD1117" s="181">
        <v>0</v>
      </c>
      <c r="AE1117" s="586" t="s">
        <v>264</v>
      </c>
      <c r="AF1117" s="181" t="s">
        <v>264</v>
      </c>
      <c r="AG1117" s="181">
        <v>1</v>
      </c>
      <c r="AH1117" s="181">
        <v>5</v>
      </c>
      <c r="AI1117" s="181">
        <v>0</v>
      </c>
      <c r="AJ1117" s="181">
        <f>VLOOKUP($I1117,'Price List, Weapons &amp; Items'!B:F,5,0)</f>
        <v>1</v>
      </c>
      <c r="AK1117" s="181">
        <f t="shared" si="252"/>
        <v>0</v>
      </c>
      <c r="AL1117" s="181">
        <f t="shared" si="253"/>
        <v>0</v>
      </c>
      <c r="AM1117" s="181">
        <f t="shared" si="254"/>
        <v>0</v>
      </c>
      <c r="AN1117" s="180" t="str">
        <f>VLOOKUP($I1117,'Price List, Weapons &amp; Items'!B:L,COLUMN('Price List, Weapons &amp; Items'!$J$11)-1,0)</f>
        <v>Military media (incl. websites)</v>
      </c>
      <c r="AO1117" s="180" t="str">
        <f>IF(I1117=".",".",VLOOKUP($I1117,'Price List, Weapons &amp; Items'!B:J,3,0))</f>
        <v>155mm howitzer</v>
      </c>
      <c r="AP1117" s="545" t="str">
        <f t="shared" ca="1" si="264"/>
        <v/>
      </c>
      <c r="AQ1117" s="180">
        <f>VLOOKUP($I1117,'Price List, Weapons &amp; Items'!B:L,COLUMN('Price List, Weapons &amp; Items'!$L$11)-1,0)</f>
        <v>2</v>
      </c>
      <c r="AR1117" s="180">
        <f t="shared" si="255"/>
        <v>1</v>
      </c>
      <c r="AS1117" s="180">
        <f t="shared" si="256"/>
        <v>1</v>
      </c>
      <c r="AT1117" s="180">
        <f t="shared" si="258"/>
        <v>1</v>
      </c>
      <c r="AU1117" s="180" t="str">
        <f t="shared" si="259"/>
        <v>.</v>
      </c>
      <c r="AV1117" s="180" t="str">
        <f t="shared" si="260"/>
        <v>.</v>
      </c>
      <c r="AW1117" s="180">
        <f>IFERROR(VLOOKUP(B1117,'Share, Heavy Weapons to Ukraine'!B:J,COLUMN('Share, Heavy Weapons to Ukraine'!C1127)-1,0),0)</f>
        <v>1</v>
      </c>
      <c r="AX1117" s="180">
        <f>VLOOKUP('Bilateral Assistance, MAIN DATA'!B1117,'Country Summary'!B:F,COLUMN('Country Summary'!C1130)-1,FALSE)</f>
        <v>0</v>
      </c>
      <c r="AY1117" s="180" t="str">
        <f>IF(AND(AD1117=1,D1117="Military",H1117&lt;&gt;"Not given")=TRUE,IF(SUMIFS(P:P,A:A,A1117)&gt;0,ABS((SUMIFS(P:P,A:A,A1117)/VLOOKUP("USD",'Exchange Rates'!B:C,2,0)))/S1117,"."),".")</f>
        <v>.</v>
      </c>
      <c r="AZ1117" s="182" t="str">
        <f>IF(AND(AD1117=1,D1117="Military",H1117&lt;&gt;"Not given")=TRUE,IF(SUMIFS(P:P,A:A,A1117)&gt;0,IF((ABS((SUMIFS(P:P,A:A,A1117)/VLOOKUP("USD",'Exchange Rates'!B:C,2,0)))/S1117)&gt;1,(SUMIFS(P:P,A:A,A1117)-S1117)/S1117,(S1117-SUMIFS(P:P,A:A,A1117))/SUMIFS(P:P,A:A,A1117)),"."),".")</f>
        <v>.</v>
      </c>
      <c r="BA1117" s="182"/>
      <c r="BB1117" s="182"/>
      <c r="BC1117" s="182"/>
      <c r="BD1117" s="182"/>
      <c r="BE1117" s="182"/>
      <c r="BF1117" s="182"/>
      <c r="BG1117" s="182"/>
      <c r="BH1117" s="182"/>
      <c r="BI1117" s="182"/>
      <c r="BJ1117" s="182"/>
      <c r="BK1117" s="182"/>
      <c r="BL1117" s="182"/>
      <c r="BM1117" s="182"/>
      <c r="BN1117" s="182"/>
      <c r="BO1117" s="182"/>
      <c r="BP1117" s="182"/>
      <c r="BQ1117" s="182"/>
      <c r="BR1117" s="182"/>
      <c r="BS1117" s="182"/>
    </row>
    <row r="1118" spans="1:71" ht="15.9" customHeight="1" x14ac:dyDescent="0.3">
      <c r="A1118" s="5" t="s">
        <v>3065</v>
      </c>
      <c r="B1118" s="5" t="s">
        <v>3038</v>
      </c>
      <c r="C1118" s="174">
        <v>44700</v>
      </c>
      <c r="D1118" s="5" t="s">
        <v>285</v>
      </c>
      <c r="E1118" s="5" t="s">
        <v>1328</v>
      </c>
      <c r="F1118" s="175" t="s">
        <v>3142</v>
      </c>
      <c r="G1118" s="15" t="s">
        <v>346</v>
      </c>
      <c r="H1118" s="176">
        <v>100000000</v>
      </c>
      <c r="I1118" s="17" t="s">
        <v>3127</v>
      </c>
      <c r="J1118" s="113" t="str">
        <f>VLOOKUP($I1118,'Price List, Weapons &amp; Items'!B:C,2,0)</f>
        <v>Military equipment</v>
      </c>
      <c r="K1118" s="113" t="str">
        <f>IF(I1118=".",I1118,VLOOKUP($I1118,'Price List, Weapons &amp; Items'!B:D,3,0))</f>
        <v>Military equipment</v>
      </c>
      <c r="L1118" s="177">
        <f>VLOOKUP(I1118,'Price List, Weapons &amp; Items'!B:E,4,0)</f>
        <v>0</v>
      </c>
      <c r="M1118" s="542">
        <v>18</v>
      </c>
      <c r="N1118" s="542">
        <v>18</v>
      </c>
      <c r="O1118" s="543">
        <f>VLOOKUP($I1118,'Price List, Weapons &amp; Items'!B:G,6,0)</f>
        <v>350000</v>
      </c>
      <c r="P1118" s="176">
        <f t="shared" si="262"/>
        <v>6300000</v>
      </c>
      <c r="Q1118" s="176">
        <f t="shared" si="263"/>
        <v>6300000</v>
      </c>
      <c r="R1118" s="176" t="str">
        <f t="shared" si="251"/>
        <v/>
      </c>
      <c r="S1118" s="176" t="str">
        <f>IF(AND(AD1118=1,R1118&lt;&gt;".")=TRUE,R1118/VLOOKUP(G1118,'Exchange Rates'!B:C,2,0),IF(R1118=".",".",""))</f>
        <v/>
      </c>
      <c r="T1118" s="176" t="str">
        <f>IF(AD1118=1,IF(AF1118="Value is not given at all",".",IF(AF1118="Value is given by the source",S1118,IF(AF1118="Value is calculated with prices",(IF(SUMIFS(Q:Q,A:A,A1118)&gt;0,SUMIFS(Q:Q,A:A,A1118),"."))/VLOOKUP("USD",'Exchange Rates'!B:C,2,0),"Error with coding"))),"")</f>
        <v/>
      </c>
      <c r="U1118" s="15" t="s">
        <v>261</v>
      </c>
      <c r="V1118" s="547" t="s">
        <v>3143</v>
      </c>
      <c r="W1118" s="667" t="s">
        <v>3044</v>
      </c>
      <c r="X1118" s="667" t="s">
        <v>3047</v>
      </c>
      <c r="Y1118" s="667" t="s">
        <v>3144</v>
      </c>
      <c r="Z1118" s="15">
        <v>0</v>
      </c>
      <c r="AA1118" s="180">
        <v>0</v>
      </c>
      <c r="AB1118" s="667" t="s">
        <v>3145</v>
      </c>
      <c r="AC1118" s="544" t="str">
        <f>""</f>
        <v/>
      </c>
      <c r="AD1118" s="181">
        <v>0</v>
      </c>
      <c r="AE1118" s="586" t="s">
        <v>264</v>
      </c>
      <c r="AF1118" s="181" t="s">
        <v>264</v>
      </c>
      <c r="AG1118" s="181">
        <v>1</v>
      </c>
      <c r="AH1118" s="181">
        <v>5</v>
      </c>
      <c r="AI1118" s="181">
        <v>0</v>
      </c>
      <c r="AJ1118" s="181">
        <f>VLOOKUP($I1118,'Price List, Weapons &amp; Items'!B:F,5,0)</f>
        <v>0</v>
      </c>
      <c r="AK1118" s="181">
        <f t="shared" si="252"/>
        <v>0</v>
      </c>
      <c r="AL1118" s="181">
        <f t="shared" si="253"/>
        <v>0</v>
      </c>
      <c r="AM1118" s="181">
        <f t="shared" si="254"/>
        <v>0</v>
      </c>
      <c r="AN1118" s="180" t="str">
        <f>VLOOKUP($I1118,'Price List, Weapons &amp; Items'!B:L,COLUMN('Price List, Weapons &amp; Items'!$J$11)-1,0)</f>
        <v>Media reports (incl. social media)</v>
      </c>
      <c r="AO1118" s="180" t="str">
        <f>IF(I1118=".",".",VLOOKUP($I1118,'Price List, Weapons &amp; Items'!B:J,3,0))</f>
        <v>Military equipment</v>
      </c>
      <c r="AP1118" s="545" t="str">
        <f t="shared" ca="1" si="264"/>
        <v/>
      </c>
      <c r="AQ1118" s="180">
        <f>VLOOKUP($I1118,'Price List, Weapons &amp; Items'!B:L,COLUMN('Price List, Weapons &amp; Items'!$L$11)-1,0)</f>
        <v>2</v>
      </c>
      <c r="AR1118" s="180">
        <f t="shared" si="255"/>
        <v>1</v>
      </c>
      <c r="AS1118" s="180">
        <f t="shared" si="256"/>
        <v>1</v>
      </c>
      <c r="AT1118" s="180">
        <f t="shared" si="258"/>
        <v>1</v>
      </c>
      <c r="AU1118" s="180" t="str">
        <f t="shared" si="259"/>
        <v>.</v>
      </c>
      <c r="AV1118" s="180" t="str">
        <f t="shared" si="260"/>
        <v>.</v>
      </c>
      <c r="AW1118" s="180">
        <f>IFERROR(VLOOKUP(B1118,'Share, Heavy Weapons to Ukraine'!B:J,COLUMN('Share, Heavy Weapons to Ukraine'!C1128)-1,0),0)</f>
        <v>1</v>
      </c>
      <c r="AX1118" s="180">
        <f>VLOOKUP('Bilateral Assistance, MAIN DATA'!B1118,'Country Summary'!B:F,COLUMN('Country Summary'!C1131)-1,FALSE)</f>
        <v>0</v>
      </c>
      <c r="AY1118" s="180" t="str">
        <f>IF(AND(AD1118=1,D1118="Military",H1118&lt;&gt;"Not given")=TRUE,IF(SUMIFS(P:P,A:A,A1118)&gt;0,ABS((SUMIFS(P:P,A:A,A1118)/VLOOKUP("USD",'Exchange Rates'!B:C,2,0)))/S1118,"."),".")</f>
        <v>.</v>
      </c>
      <c r="AZ1118" s="182" t="str">
        <f>IF(AND(AD1118=1,D1118="Military",H1118&lt;&gt;"Not given")=TRUE,IF(SUMIFS(P:P,A:A,A1118)&gt;0,IF((ABS((SUMIFS(P:P,A:A,A1118)/VLOOKUP("USD",'Exchange Rates'!B:C,2,0)))/S1118)&gt;1,(SUMIFS(P:P,A:A,A1118)-S1118)/S1118,(S1118-SUMIFS(P:P,A:A,A1118))/SUMIFS(P:P,A:A,A1118)),"."),".")</f>
        <v>.</v>
      </c>
      <c r="BA1118" s="182"/>
      <c r="BB1118" s="182"/>
      <c r="BC1118" s="182"/>
      <c r="BD1118" s="182"/>
      <c r="BE1118" s="182"/>
      <c r="BF1118" s="182"/>
      <c r="BG1118" s="182"/>
      <c r="BH1118" s="182"/>
      <c r="BI1118" s="182"/>
      <c r="BJ1118" s="182"/>
      <c r="BK1118" s="182"/>
      <c r="BL1118" s="182"/>
      <c r="BM1118" s="182"/>
      <c r="BN1118" s="182"/>
      <c r="BO1118" s="182"/>
      <c r="BP1118" s="182"/>
      <c r="BQ1118" s="182"/>
      <c r="BR1118" s="182"/>
      <c r="BS1118" s="182"/>
    </row>
    <row r="1119" spans="1:71" ht="15.9" customHeight="1" x14ac:dyDescent="0.3">
      <c r="A1119" s="5" t="s">
        <v>3065</v>
      </c>
      <c r="B1119" s="5" t="s">
        <v>3038</v>
      </c>
      <c r="C1119" s="174">
        <v>44700</v>
      </c>
      <c r="D1119" s="5" t="s">
        <v>285</v>
      </c>
      <c r="E1119" s="5" t="s">
        <v>1328</v>
      </c>
      <c r="F1119" s="175" t="s">
        <v>3142</v>
      </c>
      <c r="G1119" s="15" t="s">
        <v>346</v>
      </c>
      <c r="H1119" s="176">
        <v>100000000</v>
      </c>
      <c r="I1119" s="17" t="s">
        <v>2085</v>
      </c>
      <c r="J1119" s="113" t="str">
        <f>VLOOKUP($I1119,'Price List, Weapons &amp; Items'!B:C,2,0)</f>
        <v>Military equipment</v>
      </c>
      <c r="K1119" s="113" t="str">
        <f>IF(I1119=".",I1119,VLOOKUP($I1119,'Price List, Weapons &amp; Items'!B:D,3,0))</f>
        <v>Military equipment</v>
      </c>
      <c r="L1119" s="177">
        <f>VLOOKUP(I1119,'Price List, Weapons &amp; Items'!B:E,4,0)</f>
        <v>0</v>
      </c>
      <c r="M1119" s="542">
        <v>3</v>
      </c>
      <c r="N1119" s="542">
        <v>3</v>
      </c>
      <c r="O1119" s="543">
        <f>VLOOKUP($I1119,'Price List, Weapons &amp; Items'!B:G,6,0)</f>
        <v>8888888</v>
      </c>
      <c r="P1119" s="176">
        <f t="shared" si="262"/>
        <v>26666664</v>
      </c>
      <c r="Q1119" s="176">
        <f t="shared" si="263"/>
        <v>26666664</v>
      </c>
      <c r="R1119" s="176" t="str">
        <f t="shared" si="251"/>
        <v/>
      </c>
      <c r="S1119" s="176" t="str">
        <f>IF(AND(AD1119=1,R1119&lt;&gt;".")=TRUE,R1119/VLOOKUP(G1119,'Exchange Rates'!B:C,2,0),IF(R1119=".",".",""))</f>
        <v/>
      </c>
      <c r="T1119" s="176" t="str">
        <f>IF(AD1119=1,IF(AF1119="Value is not given at all",".",IF(AF1119="Value is given by the source",S1119,IF(AF1119="Value is calculated with prices",(IF(SUMIFS(Q:Q,A:A,A1119)&gt;0,SUMIFS(Q:Q,A:A,A1119),"."))/VLOOKUP("USD",'Exchange Rates'!B:C,2,0),"Error with coding"))),"")</f>
        <v/>
      </c>
      <c r="U1119" s="15" t="s">
        <v>261</v>
      </c>
      <c r="V1119" s="547" t="s">
        <v>3143</v>
      </c>
      <c r="W1119" s="667" t="s">
        <v>3044</v>
      </c>
      <c r="X1119" s="667" t="s">
        <v>3047</v>
      </c>
      <c r="Y1119" s="667" t="s">
        <v>3145</v>
      </c>
      <c r="Z1119" s="15">
        <v>0</v>
      </c>
      <c r="AA1119" s="180">
        <v>0</v>
      </c>
      <c r="AB1119" s="667" t="s">
        <v>3146</v>
      </c>
      <c r="AC1119" s="544" t="str">
        <f>""</f>
        <v/>
      </c>
      <c r="AD1119" s="181">
        <v>0</v>
      </c>
      <c r="AE1119" s="586" t="s">
        <v>264</v>
      </c>
      <c r="AF1119" s="181" t="s">
        <v>264</v>
      </c>
      <c r="AG1119" s="181">
        <v>1</v>
      </c>
      <c r="AH1119" s="181">
        <v>5</v>
      </c>
      <c r="AI1119" s="181">
        <v>0</v>
      </c>
      <c r="AJ1119" s="181">
        <f>VLOOKUP($I1119,'Price List, Weapons &amp; Items'!B:F,5,0)</f>
        <v>0</v>
      </c>
      <c r="AK1119" s="181">
        <f t="shared" si="252"/>
        <v>0</v>
      </c>
      <c r="AL1119" s="181">
        <f t="shared" si="253"/>
        <v>0</v>
      </c>
      <c r="AM1119" s="181">
        <f t="shared" si="254"/>
        <v>0</v>
      </c>
      <c r="AN1119" s="180" t="str">
        <f>VLOOKUP($I1119,'Price List, Weapons &amp; Items'!B:L,COLUMN('Price List, Weapons &amp; Items'!$J$11)-1,0)</f>
        <v>Military media (incl. websites)</v>
      </c>
      <c r="AO1119" s="180" t="str">
        <f>IF(I1119=".",".",VLOOKUP($I1119,'Price List, Weapons &amp; Items'!B:J,3,0))</f>
        <v>Military equipment</v>
      </c>
      <c r="AP1119" s="545" t="str">
        <f t="shared" ca="1" si="264"/>
        <v/>
      </c>
      <c r="AQ1119" s="180">
        <f>VLOOKUP($I1119,'Price List, Weapons &amp; Items'!B:L,COLUMN('Price List, Weapons &amp; Items'!$L$11)-1,0)</f>
        <v>2</v>
      </c>
      <c r="AR1119" s="180">
        <f t="shared" si="255"/>
        <v>1</v>
      </c>
      <c r="AS1119" s="180">
        <f t="shared" si="256"/>
        <v>1</v>
      </c>
      <c r="AT1119" s="180">
        <f t="shared" si="258"/>
        <v>1</v>
      </c>
      <c r="AU1119" s="180" t="str">
        <f t="shared" si="259"/>
        <v>.</v>
      </c>
      <c r="AV1119" s="180" t="str">
        <f t="shared" si="260"/>
        <v>.</v>
      </c>
      <c r="AW1119" s="180">
        <f>IFERROR(VLOOKUP(B1119,'Share, Heavy Weapons to Ukraine'!B:J,COLUMN('Share, Heavy Weapons to Ukraine'!C1129)-1,0),0)</f>
        <v>1</v>
      </c>
      <c r="AX1119" s="180">
        <f>VLOOKUP('Bilateral Assistance, MAIN DATA'!B1119,'Country Summary'!B:F,COLUMN('Country Summary'!C1132)-1,FALSE)</f>
        <v>0</v>
      </c>
      <c r="AY1119" s="180" t="str">
        <f>IF(AND(AD1119=1,D1119="Military",H1119&lt;&gt;"Not given")=TRUE,IF(SUMIFS(P:P,A:A,A1119)&gt;0,ABS((SUMIFS(P:P,A:A,A1119)/VLOOKUP("USD",'Exchange Rates'!B:C,2,0)))/S1119,"."),".")</f>
        <v>.</v>
      </c>
      <c r="AZ1119" s="182" t="str">
        <f>IF(AND(AD1119=1,D1119="Military",H1119&lt;&gt;"Not given")=TRUE,IF(SUMIFS(P:P,A:A,A1119)&gt;0,IF((ABS((SUMIFS(P:P,A:A,A1119)/VLOOKUP("USD",'Exchange Rates'!B:C,2,0)))/S1119)&gt;1,(SUMIFS(P:P,A:A,A1119)-S1119)/S1119,(S1119-SUMIFS(P:P,A:A,A1119))/SUMIFS(P:P,A:A,A1119)),"."),".")</f>
        <v>.</v>
      </c>
      <c r="BA1119" s="182"/>
      <c r="BB1119" s="182"/>
      <c r="BC1119" s="182"/>
      <c r="BD1119" s="182"/>
      <c r="BE1119" s="182"/>
      <c r="BF1119" s="182"/>
      <c r="BG1119" s="182"/>
      <c r="BH1119" s="182"/>
      <c r="BI1119" s="182"/>
      <c r="BJ1119" s="182"/>
      <c r="BK1119" s="182"/>
      <c r="BL1119" s="182"/>
      <c r="BM1119" s="182"/>
      <c r="BN1119" s="182"/>
      <c r="BO1119" s="182"/>
      <c r="BP1119" s="182"/>
      <c r="BQ1119" s="182"/>
      <c r="BR1119" s="182"/>
      <c r="BS1119" s="182"/>
    </row>
    <row r="1120" spans="1:71" ht="15.9" customHeight="1" x14ac:dyDescent="0.3">
      <c r="A1120" s="5" t="s">
        <v>3065</v>
      </c>
      <c r="B1120" s="5" t="s">
        <v>3038</v>
      </c>
      <c r="C1120" s="174">
        <v>44700</v>
      </c>
      <c r="D1120" s="5" t="s">
        <v>285</v>
      </c>
      <c r="E1120" s="5" t="s">
        <v>1328</v>
      </c>
      <c r="F1120" s="175" t="s">
        <v>3142</v>
      </c>
      <c r="G1120" s="15" t="s">
        <v>346</v>
      </c>
      <c r="H1120" s="176">
        <v>100000000</v>
      </c>
      <c r="I1120" s="17" t="s">
        <v>3131</v>
      </c>
      <c r="J1120" s="113" t="str">
        <f>VLOOKUP($I1120,'Price List, Weapons &amp; Items'!B:C,2,0)</f>
        <v>Military equipment</v>
      </c>
      <c r="K1120" s="113" t="str">
        <f>IF(I1120=".",I1120,VLOOKUP($I1120,'Price List, Weapons &amp; Items'!B:D,3,0))</f>
        <v>Military equipment</v>
      </c>
      <c r="L1120" s="177">
        <f>VLOOKUP(I1120,'Price List, Weapons &amp; Items'!B:E,4,0)</f>
        <v>0</v>
      </c>
      <c r="M1120" s="542" t="s">
        <v>270</v>
      </c>
      <c r="N1120" s="542" t="s">
        <v>270</v>
      </c>
      <c r="O1120" s="543" t="str">
        <f>VLOOKUP($I1120,'Price List, Weapons &amp; Items'!B:G,6,0)</f>
        <v>.</v>
      </c>
      <c r="P1120" s="176" t="str">
        <f t="shared" si="262"/>
        <v>.</v>
      </c>
      <c r="Q1120" s="176" t="str">
        <f t="shared" si="263"/>
        <v>.</v>
      </c>
      <c r="R1120" s="176" t="str">
        <f t="shared" si="251"/>
        <v/>
      </c>
      <c r="S1120" s="176" t="str">
        <f>IF(AND(AD1120=1,R1120&lt;&gt;".")=TRUE,R1120/VLOOKUP(G1120,'Exchange Rates'!B:C,2,0),IF(R1120=".",".",""))</f>
        <v/>
      </c>
      <c r="T1120" s="176" t="str">
        <f>IF(AD1120=1,IF(AF1120="Value is not given at all",".",IF(AF1120="Value is given by the source",S1120,IF(AF1120="Value is calculated with prices",(IF(SUMIFS(Q:Q,A:A,A1120)&gt;0,SUMIFS(Q:Q,A:A,A1120),"."))/VLOOKUP("USD",'Exchange Rates'!B:C,2,0),"Error with coding"))),"")</f>
        <v/>
      </c>
      <c r="U1120" s="15" t="s">
        <v>261</v>
      </c>
      <c r="V1120" s="547" t="s">
        <v>3143</v>
      </c>
      <c r="W1120" s="667" t="s">
        <v>3044</v>
      </c>
      <c r="X1120" s="667" t="s">
        <v>3047</v>
      </c>
      <c r="Y1120" s="667" t="s">
        <v>3146</v>
      </c>
      <c r="Z1120" s="15">
        <v>0</v>
      </c>
      <c r="AA1120" s="180">
        <v>0</v>
      </c>
      <c r="AB1120" s="667" t="s">
        <v>3147</v>
      </c>
      <c r="AC1120" s="544" t="str">
        <f>""</f>
        <v/>
      </c>
      <c r="AD1120" s="181">
        <v>0</v>
      </c>
      <c r="AE1120" s="586" t="s">
        <v>264</v>
      </c>
      <c r="AF1120" s="181" t="s">
        <v>264</v>
      </c>
      <c r="AG1120" s="181">
        <v>1</v>
      </c>
      <c r="AH1120" s="181">
        <v>5</v>
      </c>
      <c r="AI1120" s="181">
        <v>0</v>
      </c>
      <c r="AJ1120" s="181">
        <f>VLOOKUP($I1120,'Price List, Weapons &amp; Items'!B:F,5,0)</f>
        <v>0</v>
      </c>
      <c r="AK1120" s="181">
        <f t="shared" si="252"/>
        <v>0</v>
      </c>
      <c r="AL1120" s="181">
        <f t="shared" si="253"/>
        <v>0</v>
      </c>
      <c r="AM1120" s="181">
        <f t="shared" si="254"/>
        <v>0</v>
      </c>
      <c r="AN1120" s="180" t="str">
        <f>VLOOKUP($I1120,'Price List, Weapons &amp; Items'!B:L,COLUMN('Price List, Weapons &amp; Items'!$J$11)-1,0)</f>
        <v>.</v>
      </c>
      <c r="AO1120" s="180" t="str">
        <f>IF(I1120=".",".",VLOOKUP($I1120,'Price List, Weapons &amp; Items'!B:J,3,0))</f>
        <v>Military equipment</v>
      </c>
      <c r="AP1120" s="545" t="str">
        <f t="shared" ca="1" si="264"/>
        <v/>
      </c>
      <c r="AQ1120" s="180" t="str">
        <f>VLOOKUP($I1120,'Price List, Weapons &amp; Items'!B:L,COLUMN('Price List, Weapons &amp; Items'!$L$11)-1,0)</f>
        <v>no price, 0 count</v>
      </c>
      <c r="AR1120" s="180">
        <f t="shared" si="255"/>
        <v>1</v>
      </c>
      <c r="AS1120" s="180">
        <f t="shared" si="256"/>
        <v>1</v>
      </c>
      <c r="AT1120" s="180">
        <f t="shared" si="258"/>
        <v>1</v>
      </c>
      <c r="AU1120" s="180" t="str">
        <f t="shared" si="259"/>
        <v>.</v>
      </c>
      <c r="AV1120" s="180" t="str">
        <f t="shared" si="260"/>
        <v>.</v>
      </c>
      <c r="AW1120" s="180">
        <f>IFERROR(VLOOKUP(B1120,'Share, Heavy Weapons to Ukraine'!B:J,COLUMN('Share, Heavy Weapons to Ukraine'!C1130)-1,0),0)</f>
        <v>1</v>
      </c>
      <c r="AX1120" s="180">
        <f>VLOOKUP('Bilateral Assistance, MAIN DATA'!B1120,'Country Summary'!B:F,COLUMN('Country Summary'!C1133)-1,FALSE)</f>
        <v>0</v>
      </c>
      <c r="AY1120" s="180" t="str">
        <f>IF(AND(AD1120=1,D1120="Military",H1120&lt;&gt;"Not given")=TRUE,IF(SUMIFS(P:P,A:A,A1120)&gt;0,ABS((SUMIFS(P:P,A:A,A1120)/VLOOKUP("USD",'Exchange Rates'!B:C,2,0)))/S1120,"."),".")</f>
        <v>.</v>
      </c>
      <c r="AZ1120" s="182" t="str">
        <f>IF(AND(AD1120=1,D1120="Military",H1120&lt;&gt;"Not given")=TRUE,IF(SUMIFS(P:P,A:A,A1120)&gt;0,IF((ABS((SUMIFS(P:P,A:A,A1120)/VLOOKUP("USD",'Exchange Rates'!B:C,2,0)))/S1120)&gt;1,(SUMIFS(P:P,A:A,A1120)-S1120)/S1120,(S1120-SUMIFS(P:P,A:A,A1120))/SUMIFS(P:P,A:A,A1120)),"."),".")</f>
        <v>.</v>
      </c>
      <c r="BA1120" s="182"/>
      <c r="BB1120" s="182"/>
      <c r="BC1120" s="182"/>
      <c r="BD1120" s="182"/>
      <c r="BE1120" s="182"/>
      <c r="BF1120" s="182"/>
      <c r="BG1120" s="182"/>
      <c r="BH1120" s="182"/>
      <c r="BI1120" s="182"/>
      <c r="BJ1120" s="182"/>
      <c r="BK1120" s="182"/>
      <c r="BL1120" s="182"/>
      <c r="BM1120" s="182"/>
      <c r="BN1120" s="182"/>
      <c r="BO1120" s="182"/>
      <c r="BP1120" s="182"/>
      <c r="BQ1120" s="182"/>
      <c r="BR1120" s="182"/>
      <c r="BS1120" s="182"/>
    </row>
    <row r="1121" spans="1:71" ht="15.9" customHeight="1" x14ac:dyDescent="0.3">
      <c r="A1121" s="5" t="s">
        <v>3065</v>
      </c>
      <c r="B1121" s="5" t="s">
        <v>3038</v>
      </c>
      <c r="C1121" s="174">
        <v>44700</v>
      </c>
      <c r="D1121" s="5" t="s">
        <v>285</v>
      </c>
      <c r="E1121" s="5" t="s">
        <v>1328</v>
      </c>
      <c r="F1121" s="175" t="s">
        <v>3142</v>
      </c>
      <c r="G1121" s="15" t="s">
        <v>346</v>
      </c>
      <c r="H1121" s="176">
        <v>100000000</v>
      </c>
      <c r="I1121" s="17" t="s">
        <v>3140</v>
      </c>
      <c r="J1121" s="113" t="str">
        <f>VLOOKUP($I1121,'Price List, Weapons &amp; Items'!B:C,2,0)</f>
        <v>Military equipment</v>
      </c>
      <c r="K1121" s="113" t="str">
        <f>IF(I1121=".",I1121,VLOOKUP($I1121,'Price List, Weapons &amp; Items'!B:D,3,0))</f>
        <v>spare parts</v>
      </c>
      <c r="L1121" s="177">
        <f>VLOOKUP(I1121,'Price List, Weapons &amp; Items'!B:E,4,0)</f>
        <v>0</v>
      </c>
      <c r="M1121" s="542" t="s">
        <v>270</v>
      </c>
      <c r="N1121" s="542" t="s">
        <v>270</v>
      </c>
      <c r="O1121" s="543" t="str">
        <f>VLOOKUP($I1121,'Price List, Weapons &amp; Items'!B:G,6,0)</f>
        <v>.</v>
      </c>
      <c r="P1121" s="176" t="str">
        <f t="shared" si="262"/>
        <v>.</v>
      </c>
      <c r="Q1121" s="176" t="str">
        <f t="shared" si="263"/>
        <v>.</v>
      </c>
      <c r="R1121" s="176" t="str">
        <f t="shared" si="251"/>
        <v/>
      </c>
      <c r="S1121" s="176" t="str">
        <f>IF(AND(AD1121=1,R1121&lt;&gt;".")=TRUE,R1121/VLOOKUP(G1121,'Exchange Rates'!B:C,2,0),IF(R1121=".",".",""))</f>
        <v/>
      </c>
      <c r="T1121" s="176" t="str">
        <f>IF(AD1121=1,IF(AF1121="Value is not given at all",".",IF(AF1121="Value is given by the source",S1121,IF(AF1121="Value is calculated with prices",(IF(SUMIFS(Q:Q,A:A,A1121)&gt;0,SUMIFS(Q:Q,A:A,A1121),"."))/VLOOKUP("USD",'Exchange Rates'!B:C,2,0),"Error with coding"))),"")</f>
        <v/>
      </c>
      <c r="U1121" s="15" t="s">
        <v>261</v>
      </c>
      <c r="V1121" s="547" t="s">
        <v>3143</v>
      </c>
      <c r="W1121" s="667" t="s">
        <v>3044</v>
      </c>
      <c r="X1121" s="667" t="s">
        <v>3047</v>
      </c>
      <c r="Y1121" s="667" t="s">
        <v>3147</v>
      </c>
      <c r="Z1121" s="15">
        <v>0</v>
      </c>
      <c r="AA1121" s="180">
        <v>0</v>
      </c>
      <c r="AB1121" s="667" t="s">
        <v>3148</v>
      </c>
      <c r="AC1121" s="544" t="str">
        <f>""</f>
        <v/>
      </c>
      <c r="AD1121" s="181">
        <v>0</v>
      </c>
      <c r="AE1121" s="586" t="s">
        <v>264</v>
      </c>
      <c r="AF1121" s="181" t="s">
        <v>264</v>
      </c>
      <c r="AG1121" s="181">
        <v>1</v>
      </c>
      <c r="AH1121" s="181">
        <v>5</v>
      </c>
      <c r="AI1121" s="181">
        <v>0</v>
      </c>
      <c r="AJ1121" s="181">
        <f>VLOOKUP($I1121,'Price List, Weapons &amp; Items'!B:F,5,0)</f>
        <v>0</v>
      </c>
      <c r="AK1121" s="181">
        <f t="shared" si="252"/>
        <v>0</v>
      </c>
      <c r="AL1121" s="181">
        <f t="shared" si="253"/>
        <v>0</v>
      </c>
      <c r="AM1121" s="181">
        <f t="shared" si="254"/>
        <v>0</v>
      </c>
      <c r="AN1121" s="180" t="str">
        <f>VLOOKUP($I1121,'Price List, Weapons &amp; Items'!B:L,COLUMN('Price List, Weapons &amp; Items'!$J$11)-1,0)</f>
        <v>.</v>
      </c>
      <c r="AO1121" s="180" t="str">
        <f>IF(I1121=".",".",VLOOKUP($I1121,'Price List, Weapons &amp; Items'!B:J,3,0))</f>
        <v>spare parts</v>
      </c>
      <c r="AP1121" s="545" t="str">
        <f t="shared" ca="1" si="264"/>
        <v/>
      </c>
      <c r="AQ1121" s="180" t="str">
        <f>VLOOKUP($I1121,'Price List, Weapons &amp; Items'!B:L,COLUMN('Price List, Weapons &amp; Items'!$L$11)-1,0)</f>
        <v>no price, 0 count</v>
      </c>
      <c r="AR1121" s="180">
        <f t="shared" si="255"/>
        <v>1</v>
      </c>
      <c r="AS1121" s="180">
        <f t="shared" si="256"/>
        <v>1</v>
      </c>
      <c r="AT1121" s="180">
        <f t="shared" si="258"/>
        <v>1</v>
      </c>
      <c r="AU1121" s="180" t="str">
        <f t="shared" si="259"/>
        <v>.</v>
      </c>
      <c r="AV1121" s="180" t="str">
        <f t="shared" si="260"/>
        <v>.</v>
      </c>
      <c r="AW1121" s="180">
        <f>IFERROR(VLOOKUP(B1121,'Share, Heavy Weapons to Ukraine'!B:J,COLUMN('Share, Heavy Weapons to Ukraine'!C1131)-1,0),0)</f>
        <v>1</v>
      </c>
      <c r="AX1121" s="180">
        <f>VLOOKUP('Bilateral Assistance, MAIN DATA'!B1121,'Country Summary'!B:F,COLUMN('Country Summary'!C1134)-1,FALSE)</f>
        <v>0</v>
      </c>
      <c r="AY1121" s="180" t="str">
        <f>IF(AND(AD1121=1,D1121="Military",H1121&lt;&gt;"Not given")=TRUE,IF(SUMIFS(P:P,A:A,A1121)&gt;0,ABS((SUMIFS(P:P,A:A,A1121)/VLOOKUP("USD",'Exchange Rates'!B:C,2,0)))/S1121,"."),".")</f>
        <v>.</v>
      </c>
      <c r="AZ1121" s="182" t="str">
        <f>IF(AND(AD1121=1,D1121="Military",H1121&lt;&gt;"Not given")=TRUE,IF(SUMIFS(P:P,A:A,A1121)&gt;0,IF((ABS((SUMIFS(P:P,A:A,A1121)/VLOOKUP("USD",'Exchange Rates'!B:C,2,0)))/S1121)&gt;1,(SUMIFS(P:P,A:A,A1121)-S1121)/S1121,(S1121-SUMIFS(P:P,A:A,A1121))/SUMIFS(P:P,A:A,A1121)),"."),".")</f>
        <v>.</v>
      </c>
      <c r="BA1121" s="182"/>
      <c r="BB1121" s="182"/>
      <c r="BC1121" s="182"/>
      <c r="BD1121" s="182"/>
      <c r="BE1121" s="182"/>
      <c r="BF1121" s="182"/>
      <c r="BG1121" s="182"/>
      <c r="BH1121" s="182"/>
      <c r="BI1121" s="182"/>
      <c r="BJ1121" s="182"/>
      <c r="BK1121" s="182"/>
      <c r="BL1121" s="182"/>
      <c r="BM1121" s="182"/>
      <c r="BN1121" s="182"/>
      <c r="BO1121" s="182"/>
      <c r="BP1121" s="182"/>
      <c r="BQ1121" s="182"/>
      <c r="BR1121" s="182"/>
      <c r="BS1121" s="182"/>
    </row>
    <row r="1122" spans="1:71" ht="15.9" customHeight="1" x14ac:dyDescent="0.3">
      <c r="A1122" s="5" t="s">
        <v>3065</v>
      </c>
      <c r="B1122" s="220" t="s">
        <v>3038</v>
      </c>
      <c r="C1122" s="174">
        <v>44713</v>
      </c>
      <c r="D1122" s="220" t="s">
        <v>285</v>
      </c>
      <c r="E1122" s="5" t="s">
        <v>1328</v>
      </c>
      <c r="F1122" s="175" t="s">
        <v>3149</v>
      </c>
      <c r="G1122" s="15" t="s">
        <v>346</v>
      </c>
      <c r="H1122" s="176">
        <v>700000000</v>
      </c>
      <c r="I1122" s="185" t="s">
        <v>3150</v>
      </c>
      <c r="J1122" s="113" t="str">
        <f>VLOOKUP($I1122,'Price List, Weapons &amp; Items'!B:C,2,0)</f>
        <v>Heavy weapon</v>
      </c>
      <c r="K1122" s="113" t="str">
        <f>IF(I1122=".",I1122,VLOOKUP($I1122,'Price List, Weapons &amp; Items'!B:D,3,0))</f>
        <v>227mm MLRS</v>
      </c>
      <c r="L1122" s="177">
        <f>VLOOKUP(I1122,'Price List, Weapons &amp; Items'!B:E,4,0)</f>
        <v>0</v>
      </c>
      <c r="M1122" s="542">
        <v>4</v>
      </c>
      <c r="N1122" s="542">
        <v>4</v>
      </c>
      <c r="O1122" s="543">
        <f>VLOOKUP($I1122,'Price List, Weapons &amp; Items'!B:G,6,0)</f>
        <v>15076313.029999999</v>
      </c>
      <c r="P1122" s="176">
        <f t="shared" si="262"/>
        <v>60305252.119999997</v>
      </c>
      <c r="Q1122" s="176">
        <f t="shared" si="263"/>
        <v>60305252.119999997</v>
      </c>
      <c r="R1122" s="176"/>
      <c r="S1122" s="176" t="str">
        <f>IF(AND(AD1122=1,R1122&lt;&gt;".")=TRUE,R1122/VLOOKUP(G1122,'Exchange Rates'!B:C,2,0),IF(R1122=".",".",""))</f>
        <v/>
      </c>
      <c r="T1122" s="176" t="str">
        <f>IF(AD1122=1,IF(AF1122="Value is not given at all",".",IF(AF1122="Value is given by the source",S1122,IF(AF1122="Value is calculated with prices",(IF(SUMIFS(Q:Q,A:A,A1122)&gt;0,SUMIFS(Q:Q,A:A,A1122),"."))/VLOOKUP("USD",'Exchange Rates'!B:C,2,0),"Error with coding"))),"")</f>
        <v/>
      </c>
      <c r="U1122" s="15" t="s">
        <v>261</v>
      </c>
      <c r="V1122" s="547" t="s">
        <v>3047</v>
      </c>
      <c r="W1122" s="667" t="s">
        <v>3044</v>
      </c>
      <c r="X1122" s="667" t="s">
        <v>3047</v>
      </c>
      <c r="Y1122" s="667" t="s">
        <v>3148</v>
      </c>
      <c r="Z1122" s="15">
        <v>0</v>
      </c>
      <c r="AA1122" s="180">
        <v>0</v>
      </c>
      <c r="AB1122" s="667" t="s">
        <v>3151</v>
      </c>
      <c r="AC1122" s="544" t="str">
        <f>""</f>
        <v/>
      </c>
      <c r="AD1122" s="586">
        <v>0</v>
      </c>
      <c r="AE1122" s="586" t="s">
        <v>264</v>
      </c>
      <c r="AF1122" s="181" t="s">
        <v>264</v>
      </c>
      <c r="AG1122" s="586">
        <v>1</v>
      </c>
      <c r="AH1122" s="586">
        <v>6</v>
      </c>
      <c r="AI1122" s="586">
        <v>0</v>
      </c>
      <c r="AJ1122" s="181">
        <f>VLOOKUP($I1122,'Price List, Weapons &amp; Items'!B:F,5,0)</f>
        <v>1</v>
      </c>
      <c r="AK1122" s="181">
        <f t="shared" si="252"/>
        <v>0</v>
      </c>
      <c r="AL1122" s="181">
        <f t="shared" si="253"/>
        <v>0</v>
      </c>
      <c r="AM1122" s="181">
        <f t="shared" si="254"/>
        <v>0</v>
      </c>
      <c r="AN1122" s="180" t="str">
        <f>VLOOKUP($I1122,'Price List, Weapons &amp; Items'!B:L,COLUMN('Price List, Weapons &amp; Items'!$J$11)-1,0)</f>
        <v>Contracts</v>
      </c>
      <c r="AO1122" s="180" t="str">
        <f>IF(I1122=".",".",VLOOKUP($I1122,'Price List, Weapons &amp; Items'!B:J,3,0))</f>
        <v>227mm MLRS</v>
      </c>
      <c r="AP1122" s="545" t="str">
        <f t="shared" ca="1" si="264"/>
        <v/>
      </c>
      <c r="AQ1122" s="180">
        <f>VLOOKUP($I1122,'Price List, Weapons &amp; Items'!B:L,COLUMN('Price List, Weapons &amp; Items'!$L$11)-1,0)</f>
        <v>2</v>
      </c>
      <c r="AR1122" s="180">
        <f t="shared" si="255"/>
        <v>1</v>
      </c>
      <c r="AS1122" s="180">
        <f t="shared" si="256"/>
        <v>1</v>
      </c>
      <c r="AT1122" s="180">
        <f t="shared" si="258"/>
        <v>1</v>
      </c>
      <c r="AU1122" s="180" t="str">
        <f t="shared" si="259"/>
        <v>.</v>
      </c>
      <c r="AV1122" s="180" t="str">
        <f t="shared" si="260"/>
        <v>.</v>
      </c>
      <c r="AW1122" s="180">
        <f>IFERROR(VLOOKUP(B1122,'Share, Heavy Weapons to Ukraine'!B:J,COLUMN('Share, Heavy Weapons to Ukraine'!C1132)-1,0),0)</f>
        <v>1</v>
      </c>
      <c r="AX1122" s="180">
        <f>VLOOKUP('Bilateral Assistance, MAIN DATA'!B1122,'Country Summary'!B:F,COLUMN('Country Summary'!C1135)-1,FALSE)</f>
        <v>0</v>
      </c>
      <c r="AY1122" s="180" t="str">
        <f>IF(AND(AD1122=1,D1122="Military",H1122&lt;&gt;"Not given")=TRUE,IF(SUMIFS(P:P,A:A,A1122)&gt;0,ABS((SUMIFS(P:P,A:A,A1122)/VLOOKUP("USD",'Exchange Rates'!B:C,2,0)))/S1122,"."),".")</f>
        <v>.</v>
      </c>
      <c r="AZ1122" s="182" t="str">
        <f>IF(AND(AD1122=1,D1122="Military",H1122&lt;&gt;"Not given")=TRUE,IF(SUMIFS(P:P,A:A,A1122)&gt;0,IF((ABS((SUMIFS(P:P,A:A,A1122)/VLOOKUP("USD",'Exchange Rates'!B:C,2,0)))/S1122)&gt;1,(SUMIFS(P:P,A:A,A1122)-S1122)/S1122,(S1122-SUMIFS(P:P,A:A,A1122))/SUMIFS(P:P,A:A,A1122)),"."),".")</f>
        <v>.</v>
      </c>
      <c r="BA1122" s="182"/>
      <c r="BB1122" s="182"/>
      <c r="BC1122" s="182"/>
      <c r="BD1122" s="182"/>
      <c r="BE1122" s="182"/>
      <c r="BF1122" s="182"/>
      <c r="BG1122" s="182"/>
      <c r="BH1122" s="182"/>
      <c r="BI1122" s="182"/>
      <c r="BJ1122" s="182"/>
      <c r="BK1122" s="182"/>
      <c r="BL1122" s="182"/>
      <c r="BM1122" s="182"/>
      <c r="BN1122" s="182"/>
      <c r="BO1122" s="182"/>
      <c r="BP1122" s="182"/>
      <c r="BQ1122" s="182"/>
      <c r="BR1122" s="182"/>
      <c r="BS1122" s="182"/>
    </row>
    <row r="1123" spans="1:71" ht="15.9" customHeight="1" x14ac:dyDescent="0.3">
      <c r="A1123" s="5" t="s">
        <v>3065</v>
      </c>
      <c r="B1123" s="5" t="s">
        <v>3038</v>
      </c>
      <c r="C1123" s="174">
        <v>44713</v>
      </c>
      <c r="D1123" s="5" t="s">
        <v>285</v>
      </c>
      <c r="E1123" s="5" t="s">
        <v>1328</v>
      </c>
      <c r="F1123" s="175" t="s">
        <v>3149</v>
      </c>
      <c r="G1123" s="15" t="s">
        <v>346</v>
      </c>
      <c r="H1123" s="176">
        <v>700000000</v>
      </c>
      <c r="I1123" s="185" t="s">
        <v>3007</v>
      </c>
      <c r="J1123" s="113" t="str">
        <f>VLOOKUP($I1123,'Price List, Weapons &amp; Items'!B:C,2,0)</f>
        <v>Ammunition for heavy weapon</v>
      </c>
      <c r="K1123" s="113" t="str">
        <f>IF(I1123=".",I1123,VLOOKUP($I1123,'Price List, Weapons &amp; Items'!B:D,3,0))</f>
        <v>227mm MLRS ammunition</v>
      </c>
      <c r="L1123" s="177">
        <f>VLOOKUP(I1123,'Price List, Weapons &amp; Items'!B:E,4,0)</f>
        <v>0</v>
      </c>
      <c r="M1123" s="542" t="s">
        <v>270</v>
      </c>
      <c r="N1123" s="542" t="s">
        <v>270</v>
      </c>
      <c r="O1123" s="543">
        <f>VLOOKUP($I1123,'Price List, Weapons &amp; Items'!B:G,6,0)</f>
        <v>168000</v>
      </c>
      <c r="P1123" s="176" t="str">
        <f t="shared" si="262"/>
        <v>.</v>
      </c>
      <c r="Q1123" s="176" t="str">
        <f t="shared" si="263"/>
        <v>.</v>
      </c>
      <c r="R1123" s="176" t="str">
        <f t="shared" ref="R1123:R1186" si="265">IF(AD1123=1,IF(H1123&lt;&gt;"Not given",H1123,IF(TYPE(H1123)=2,IF(SUMIFS(P:P,A:A,A1123)&gt;0,SUMIFS(P:P,A:A,A1123),"."),"Format error")),"")</f>
        <v/>
      </c>
      <c r="S1123" s="176" t="str">
        <f>IF(AND(AD1123=1,R1123&lt;&gt;".")=TRUE,R1123/VLOOKUP(G1123,'Exchange Rates'!B:C,2,0),IF(R1123=".",".",""))</f>
        <v/>
      </c>
      <c r="T1123" s="176" t="str">
        <f>IF(AD1123=1,IF(AF1123="Value is not given at all",".",IF(AF1123="Value is given by the source",S1123,IF(AF1123="Value is calculated with prices",(IF(SUMIFS(Q:Q,A:A,A1123)&gt;0,SUMIFS(Q:Q,A:A,A1123),"."))/VLOOKUP("USD",'Exchange Rates'!B:C,2,0),"Error with coding"))),"")</f>
        <v/>
      </c>
      <c r="U1123" s="15" t="s">
        <v>261</v>
      </c>
      <c r="V1123" s="547" t="s">
        <v>3047</v>
      </c>
      <c r="W1123" s="667" t="s">
        <v>3044</v>
      </c>
      <c r="X1123" s="667" t="s">
        <v>3047</v>
      </c>
      <c r="Y1123" s="667" t="s">
        <v>3151</v>
      </c>
      <c r="Z1123" s="15">
        <v>0</v>
      </c>
      <c r="AA1123" s="180">
        <v>0</v>
      </c>
      <c r="AB1123" s="667" t="s">
        <v>3152</v>
      </c>
      <c r="AC1123" s="544" t="str">
        <f>""</f>
        <v/>
      </c>
      <c r="AD1123" s="183">
        <v>0</v>
      </c>
      <c r="AE1123" s="586" t="s">
        <v>264</v>
      </c>
      <c r="AF1123" s="181" t="s">
        <v>264</v>
      </c>
      <c r="AG1123" s="183">
        <v>1</v>
      </c>
      <c r="AH1123" s="183">
        <v>6</v>
      </c>
      <c r="AI1123" s="183">
        <v>0</v>
      </c>
      <c r="AJ1123" s="181">
        <f>VLOOKUP($I1123,'Price List, Weapons &amp; Items'!B:F,5,0)</f>
        <v>1</v>
      </c>
      <c r="AK1123" s="181">
        <f t="shared" si="252"/>
        <v>1</v>
      </c>
      <c r="AL1123" s="181">
        <f t="shared" si="253"/>
        <v>1</v>
      </c>
      <c r="AM1123" s="181">
        <f t="shared" si="254"/>
        <v>0</v>
      </c>
      <c r="AN1123" s="180" t="str">
        <f>VLOOKUP($I1123,'Price List, Weapons &amp; Items'!B:L,COLUMN('Price List, Weapons &amp; Items'!$J$11)-1,0)</f>
        <v>Military media (incl. websites)</v>
      </c>
      <c r="AO1123" s="180" t="str">
        <f>IF(I1123=".",".",VLOOKUP($I1123,'Price List, Weapons &amp; Items'!B:J,3,0))</f>
        <v>227mm MLRS ammunition</v>
      </c>
      <c r="AP1123" s="545" t="str">
        <f t="shared" ca="1" si="264"/>
        <v/>
      </c>
      <c r="AQ1123" s="180" t="str">
        <f>VLOOKUP($I1123,'Price List, Weapons &amp; Items'!B:L,COLUMN('Price List, Weapons &amp; Items'!$L$11)-1,0)</f>
        <v>no price, 0 count</v>
      </c>
      <c r="AR1123" s="180">
        <f t="shared" si="255"/>
        <v>1</v>
      </c>
      <c r="AS1123" s="180">
        <f t="shared" si="256"/>
        <v>1</v>
      </c>
      <c r="AT1123" s="180">
        <f t="shared" si="258"/>
        <v>1</v>
      </c>
      <c r="AU1123" s="180" t="str">
        <f t="shared" si="259"/>
        <v>.</v>
      </c>
      <c r="AV1123" s="180" t="str">
        <f t="shared" si="260"/>
        <v>.</v>
      </c>
      <c r="AW1123" s="180">
        <f>IFERROR(VLOOKUP(B1123,'Share, Heavy Weapons to Ukraine'!B:J,COLUMN('Share, Heavy Weapons to Ukraine'!C1133)-1,0),0)</f>
        <v>1</v>
      </c>
      <c r="AX1123" s="180">
        <f>VLOOKUP('Bilateral Assistance, MAIN DATA'!B1123,'Country Summary'!B:F,COLUMN('Country Summary'!C1136)-1,FALSE)</f>
        <v>0</v>
      </c>
      <c r="AY1123" s="180" t="str">
        <f>IF(AND(AD1123=1,D1123="Military",H1123&lt;&gt;"Not given")=TRUE,IF(SUMIFS(P:P,A:A,A1123)&gt;0,ABS((SUMIFS(P:P,A:A,A1123)/VLOOKUP("USD",'Exchange Rates'!B:C,2,0)))/S1123,"."),".")</f>
        <v>.</v>
      </c>
      <c r="AZ1123" s="182" t="str">
        <f>IF(AND(AD1123=1,D1123="Military",H1123&lt;&gt;"Not given")=TRUE,IF(SUMIFS(P:P,A:A,A1123)&gt;0,IF((ABS((SUMIFS(P:P,A:A,A1123)/VLOOKUP("USD",'Exchange Rates'!B:C,2,0)))/S1123)&gt;1,(SUMIFS(P:P,A:A,A1123)-S1123)/S1123,(S1123-SUMIFS(P:P,A:A,A1123))/SUMIFS(P:P,A:A,A1123)),"."),".")</f>
        <v>.</v>
      </c>
      <c r="BA1123" s="182"/>
      <c r="BB1123" s="182"/>
      <c r="BC1123" s="182"/>
      <c r="BD1123" s="182"/>
      <c r="BE1123" s="182"/>
      <c r="BF1123" s="182"/>
      <c r="BG1123" s="182"/>
      <c r="BH1123" s="182"/>
      <c r="BI1123" s="182"/>
      <c r="BJ1123" s="182"/>
      <c r="BK1123" s="182"/>
      <c r="BL1123" s="182"/>
      <c r="BM1123" s="182"/>
      <c r="BN1123" s="182"/>
      <c r="BO1123" s="182"/>
      <c r="BP1123" s="182"/>
      <c r="BQ1123" s="182"/>
      <c r="BR1123" s="182"/>
      <c r="BS1123" s="182"/>
    </row>
    <row r="1124" spans="1:71" ht="15.9" customHeight="1" x14ac:dyDescent="0.3">
      <c r="A1124" s="5" t="s">
        <v>3065</v>
      </c>
      <c r="B1124" s="5" t="s">
        <v>3038</v>
      </c>
      <c r="C1124" s="174">
        <v>44713</v>
      </c>
      <c r="D1124" s="5" t="s">
        <v>285</v>
      </c>
      <c r="E1124" s="5" t="s">
        <v>1328</v>
      </c>
      <c r="F1124" s="175" t="s">
        <v>3149</v>
      </c>
      <c r="G1124" s="15" t="s">
        <v>346</v>
      </c>
      <c r="H1124" s="176">
        <v>700000000</v>
      </c>
      <c r="I1124" s="185" t="s">
        <v>3153</v>
      </c>
      <c r="J1124" s="113" t="str">
        <f>VLOOKUP($I1124,'Price List, Weapons &amp; Items'!B:C,2,0)</f>
        <v>Military equipment</v>
      </c>
      <c r="K1124" s="113" t="str">
        <f>IF(I1124=".",I1124,VLOOKUP($I1124,'Price List, Weapons &amp; Items'!B:D,3,0))</f>
        <v>Military equipment</v>
      </c>
      <c r="L1124" s="177">
        <f>VLOOKUP(I1124,'Price List, Weapons &amp; Items'!B:E,4,0)</f>
        <v>0</v>
      </c>
      <c r="M1124" s="542">
        <v>5</v>
      </c>
      <c r="N1124" s="542">
        <v>5</v>
      </c>
      <c r="O1124" s="543">
        <f>VLOOKUP($I1124,'Price List, Weapons &amp; Items'!B:G,6,0)</f>
        <v>19354990.843713053</v>
      </c>
      <c r="P1124" s="176">
        <f t="shared" si="262"/>
        <v>96774954.218565255</v>
      </c>
      <c r="Q1124" s="176">
        <f t="shared" si="263"/>
        <v>96774954.218565255</v>
      </c>
      <c r="R1124" s="176" t="str">
        <f t="shared" si="265"/>
        <v/>
      </c>
      <c r="S1124" s="176" t="str">
        <f>IF(AND(AD1124=1,R1124&lt;&gt;".")=TRUE,R1124/VLOOKUP(G1124,'Exchange Rates'!B:C,2,0),IF(R1124=".",".",""))</f>
        <v/>
      </c>
      <c r="T1124" s="176" t="str">
        <f>IF(AD1124=1,IF(AF1124="Value is not given at all",".",IF(AF1124="Value is given by the source",S1124,IF(AF1124="Value is calculated with prices",(IF(SUMIFS(Q:Q,A:A,A1124)&gt;0,SUMIFS(Q:Q,A:A,A1124),"."))/VLOOKUP("USD",'Exchange Rates'!B:C,2,0),"Error with coding"))),"")</f>
        <v/>
      </c>
      <c r="U1124" s="15" t="s">
        <v>261</v>
      </c>
      <c r="V1124" s="547" t="s">
        <v>3047</v>
      </c>
      <c r="W1124" s="667" t="s">
        <v>3044</v>
      </c>
      <c r="X1124" s="667" t="s">
        <v>3047</v>
      </c>
      <c r="Y1124" s="667" t="s">
        <v>3152</v>
      </c>
      <c r="Z1124" s="15">
        <v>0</v>
      </c>
      <c r="AA1124" s="180">
        <v>0</v>
      </c>
      <c r="AB1124" s="667" t="s">
        <v>3154</v>
      </c>
      <c r="AC1124" s="544" t="str">
        <f>""</f>
        <v/>
      </c>
      <c r="AD1124" s="183">
        <v>0</v>
      </c>
      <c r="AE1124" s="586" t="s">
        <v>264</v>
      </c>
      <c r="AF1124" s="181" t="s">
        <v>264</v>
      </c>
      <c r="AG1124" s="183">
        <v>1</v>
      </c>
      <c r="AH1124" s="183">
        <v>6</v>
      </c>
      <c r="AI1124" s="183">
        <v>0</v>
      </c>
      <c r="AJ1124" s="181">
        <f>VLOOKUP($I1124,'Price List, Weapons &amp; Items'!B:F,5,0)</f>
        <v>0</v>
      </c>
      <c r="AK1124" s="181">
        <f t="shared" si="252"/>
        <v>0</v>
      </c>
      <c r="AL1124" s="181">
        <f t="shared" si="253"/>
        <v>0</v>
      </c>
      <c r="AM1124" s="181">
        <f t="shared" si="254"/>
        <v>0</v>
      </c>
      <c r="AN1124" s="180" t="str">
        <f>VLOOKUP($I1124,'Price List, Weapons &amp; Items'!B:L,COLUMN('Price List, Weapons &amp; Items'!$J$11)-1,0)</f>
        <v>Military media (incl. websites)</v>
      </c>
      <c r="AO1124" s="180" t="str">
        <f>IF(I1124=".",".",VLOOKUP($I1124,'Price List, Weapons &amp; Items'!B:J,3,0))</f>
        <v>Military equipment</v>
      </c>
      <c r="AP1124" s="545" t="str">
        <f t="shared" ca="1" si="264"/>
        <v/>
      </c>
      <c r="AQ1124" s="180">
        <f>VLOOKUP($I1124,'Price List, Weapons &amp; Items'!B:L,COLUMN('Price List, Weapons &amp; Items'!$L$11)-1,0)</f>
        <v>2</v>
      </c>
      <c r="AR1124" s="180">
        <f t="shared" si="255"/>
        <v>1</v>
      </c>
      <c r="AS1124" s="180">
        <f t="shared" si="256"/>
        <v>1</v>
      </c>
      <c r="AT1124" s="180">
        <f t="shared" si="258"/>
        <v>1</v>
      </c>
      <c r="AU1124" s="180" t="str">
        <f t="shared" si="259"/>
        <v>.</v>
      </c>
      <c r="AV1124" s="180" t="str">
        <f t="shared" si="260"/>
        <v>.</v>
      </c>
      <c r="AW1124" s="180">
        <f>IFERROR(VLOOKUP(B1124,'Share, Heavy Weapons to Ukraine'!B:J,COLUMN('Share, Heavy Weapons to Ukraine'!C1134)-1,0),0)</f>
        <v>1</v>
      </c>
      <c r="AX1124" s="180">
        <f>VLOOKUP('Bilateral Assistance, MAIN DATA'!B1124,'Country Summary'!B:F,COLUMN('Country Summary'!C1137)-1,FALSE)</f>
        <v>0</v>
      </c>
      <c r="AY1124" s="180" t="str">
        <f>IF(AND(AD1124=1,D1124="Military",H1124&lt;&gt;"Not given")=TRUE,IF(SUMIFS(P:P,A:A,A1124)&gt;0,ABS((SUMIFS(P:P,A:A,A1124)/VLOOKUP("USD",'Exchange Rates'!B:C,2,0)))/S1124,"."),".")</f>
        <v>.</v>
      </c>
      <c r="AZ1124" s="182" t="str">
        <f>IF(AND(AD1124=1,D1124="Military",H1124&lt;&gt;"Not given")=TRUE,IF(SUMIFS(P:P,A:A,A1124)&gt;0,IF((ABS((SUMIFS(P:P,A:A,A1124)/VLOOKUP("USD",'Exchange Rates'!B:C,2,0)))/S1124)&gt;1,(SUMIFS(P:P,A:A,A1124)-S1124)/S1124,(S1124-SUMIFS(P:P,A:A,A1124))/SUMIFS(P:P,A:A,A1124)),"."),".")</f>
        <v>.</v>
      </c>
      <c r="BA1124" s="182"/>
      <c r="BB1124" s="182"/>
      <c r="BC1124" s="182"/>
      <c r="BD1124" s="182"/>
      <c r="BE1124" s="182"/>
      <c r="BF1124" s="182"/>
      <c r="BG1124" s="182"/>
      <c r="BH1124" s="182"/>
      <c r="BI1124" s="182"/>
      <c r="BJ1124" s="182"/>
      <c r="BK1124" s="182"/>
      <c r="BL1124" s="182"/>
      <c r="BM1124" s="182"/>
      <c r="BN1124" s="182"/>
      <c r="BO1124" s="182"/>
      <c r="BP1124" s="182"/>
      <c r="BQ1124" s="182"/>
      <c r="BR1124" s="182"/>
      <c r="BS1124" s="182"/>
    </row>
    <row r="1125" spans="1:71" ht="15.9" customHeight="1" x14ac:dyDescent="0.3">
      <c r="A1125" s="5" t="s">
        <v>3065</v>
      </c>
      <c r="B1125" s="5" t="s">
        <v>3038</v>
      </c>
      <c r="C1125" s="174">
        <v>44713</v>
      </c>
      <c r="D1125" s="5" t="s">
        <v>285</v>
      </c>
      <c r="E1125" s="5" t="s">
        <v>1328</v>
      </c>
      <c r="F1125" s="175" t="s">
        <v>3149</v>
      </c>
      <c r="G1125" s="15" t="s">
        <v>346</v>
      </c>
      <c r="H1125" s="176">
        <v>700000000</v>
      </c>
      <c r="I1125" s="185" t="s">
        <v>3155</v>
      </c>
      <c r="J1125" s="113" t="str">
        <f>VLOOKUP($I1125,'Price List, Weapons &amp; Items'!B:C,2,0)</f>
        <v>Military equipment</v>
      </c>
      <c r="K1125" s="113" t="str">
        <f>IF(I1125=".",I1125,VLOOKUP($I1125,'Price List, Weapons &amp; Items'!B:D,3,0))</f>
        <v>Military equipment</v>
      </c>
      <c r="L1125" s="177">
        <f>VLOOKUP(I1125,'Price List, Weapons &amp; Items'!B:E,4,0)</f>
        <v>0</v>
      </c>
      <c r="M1125" s="542">
        <v>2</v>
      </c>
      <c r="N1125" s="542">
        <v>2</v>
      </c>
      <c r="O1125" s="543">
        <f>VLOOKUP($I1125,'Price List, Weapons &amp; Items'!B:G,6,0)</f>
        <v>70000000</v>
      </c>
      <c r="P1125" s="176">
        <f t="shared" si="262"/>
        <v>140000000</v>
      </c>
      <c r="Q1125" s="176">
        <f t="shared" si="263"/>
        <v>140000000</v>
      </c>
      <c r="R1125" s="176" t="str">
        <f t="shared" si="265"/>
        <v/>
      </c>
      <c r="S1125" s="176" t="str">
        <f>IF(AND(AD1125=1,R1125&lt;&gt;".")=TRUE,R1125/VLOOKUP(G1125,'Exchange Rates'!B:C,2,0),IF(R1125=".",".",""))</f>
        <v/>
      </c>
      <c r="T1125" s="176" t="str">
        <f>IF(AD1125=1,IF(AF1125="Value is not given at all",".",IF(AF1125="Value is given by the source",S1125,IF(AF1125="Value is calculated with prices",(IF(SUMIFS(Q:Q,A:A,A1125)&gt;0,SUMIFS(Q:Q,A:A,A1125),"."))/VLOOKUP("USD",'Exchange Rates'!B:C,2,0),"Error with coding"))),"")</f>
        <v/>
      </c>
      <c r="U1125" s="15" t="s">
        <v>261</v>
      </c>
      <c r="V1125" s="547" t="s">
        <v>3047</v>
      </c>
      <c r="W1125" s="667" t="s">
        <v>3044</v>
      </c>
      <c r="X1125" s="667" t="s">
        <v>3047</v>
      </c>
      <c r="Y1125" s="667" t="s">
        <v>3154</v>
      </c>
      <c r="Z1125" s="15">
        <v>0</v>
      </c>
      <c r="AA1125" s="180">
        <v>0</v>
      </c>
      <c r="AB1125" s="667" t="s">
        <v>3156</v>
      </c>
      <c r="AC1125" s="544" t="str">
        <f>""</f>
        <v/>
      </c>
      <c r="AD1125" s="183">
        <v>0</v>
      </c>
      <c r="AE1125" s="586" t="s">
        <v>264</v>
      </c>
      <c r="AF1125" s="181" t="s">
        <v>264</v>
      </c>
      <c r="AG1125" s="183">
        <v>1</v>
      </c>
      <c r="AH1125" s="183">
        <v>6</v>
      </c>
      <c r="AI1125" s="183">
        <v>0</v>
      </c>
      <c r="AJ1125" s="181">
        <f>VLOOKUP($I1125,'Price List, Weapons &amp; Items'!B:F,5,0)</f>
        <v>0</v>
      </c>
      <c r="AK1125" s="181">
        <f t="shared" si="252"/>
        <v>0</v>
      </c>
      <c r="AL1125" s="181">
        <f t="shared" si="253"/>
        <v>0</v>
      </c>
      <c r="AM1125" s="181">
        <f t="shared" si="254"/>
        <v>0</v>
      </c>
      <c r="AN1125" s="180" t="str">
        <f>VLOOKUP($I1125,'Price List, Weapons &amp; Items'!B:L,COLUMN('Price List, Weapons &amp; Items'!$J$11)-1,0)</f>
        <v>Military media (incl. websites)</v>
      </c>
      <c r="AO1125" s="180" t="str">
        <f>IF(I1125=".",".",VLOOKUP($I1125,'Price List, Weapons &amp; Items'!B:J,3,0))</f>
        <v>Military equipment</v>
      </c>
      <c r="AP1125" s="545" t="str">
        <f t="shared" ca="1" si="264"/>
        <v/>
      </c>
      <c r="AQ1125" s="180">
        <f>VLOOKUP($I1125,'Price List, Weapons &amp; Items'!B:L,COLUMN('Price List, Weapons &amp; Items'!$L$11)-1,0)</f>
        <v>2</v>
      </c>
      <c r="AR1125" s="180">
        <f t="shared" si="255"/>
        <v>1</v>
      </c>
      <c r="AS1125" s="180">
        <f t="shared" si="256"/>
        <v>1</v>
      </c>
      <c r="AT1125" s="180">
        <f t="shared" si="258"/>
        <v>1</v>
      </c>
      <c r="AU1125" s="180" t="str">
        <f t="shared" si="259"/>
        <v>.</v>
      </c>
      <c r="AV1125" s="180" t="str">
        <f t="shared" si="260"/>
        <v>.</v>
      </c>
      <c r="AW1125" s="180">
        <f>IFERROR(VLOOKUP(B1125,'Share, Heavy Weapons to Ukraine'!B:J,COLUMN('Share, Heavy Weapons to Ukraine'!C1135)-1,0),0)</f>
        <v>1</v>
      </c>
      <c r="AX1125" s="180">
        <f>VLOOKUP('Bilateral Assistance, MAIN DATA'!B1125,'Country Summary'!B:F,COLUMN('Country Summary'!C1138)-1,FALSE)</f>
        <v>0</v>
      </c>
      <c r="AY1125" s="180" t="str">
        <f>IF(AND(AD1125=1,D1125="Military",H1125&lt;&gt;"Not given")=TRUE,IF(SUMIFS(P:P,A:A,A1125)&gt;0,ABS((SUMIFS(P:P,A:A,A1125)/VLOOKUP("USD",'Exchange Rates'!B:C,2,0)))/S1125,"."),".")</f>
        <v>.</v>
      </c>
      <c r="AZ1125" s="182" t="str">
        <f>IF(AND(AD1125=1,D1125="Military",H1125&lt;&gt;"Not given")=TRUE,IF(SUMIFS(P:P,A:A,A1125)&gt;0,IF((ABS((SUMIFS(P:P,A:A,A1125)/VLOOKUP("USD",'Exchange Rates'!B:C,2,0)))/S1125)&gt;1,(SUMIFS(P:P,A:A,A1125)-S1125)/S1125,(S1125-SUMIFS(P:P,A:A,A1125))/SUMIFS(P:P,A:A,A1125)),"."),".")</f>
        <v>.</v>
      </c>
      <c r="BA1125" s="182"/>
      <c r="BB1125" s="182"/>
      <c r="BC1125" s="182"/>
      <c r="BD1125" s="182"/>
      <c r="BE1125" s="182"/>
      <c r="BF1125" s="182"/>
      <c r="BG1125" s="182"/>
      <c r="BH1125" s="182"/>
      <c r="BI1125" s="182"/>
      <c r="BJ1125" s="182"/>
      <c r="BK1125" s="182"/>
      <c r="BL1125" s="182"/>
      <c r="BM1125" s="182"/>
      <c r="BN1125" s="182"/>
      <c r="BO1125" s="182"/>
      <c r="BP1125" s="182"/>
      <c r="BQ1125" s="182"/>
      <c r="BR1125" s="182"/>
      <c r="BS1125" s="182"/>
    </row>
    <row r="1126" spans="1:71" ht="15.9" customHeight="1" x14ac:dyDescent="0.3">
      <c r="A1126" s="5" t="s">
        <v>3065</v>
      </c>
      <c r="B1126" s="5" t="s">
        <v>3038</v>
      </c>
      <c r="C1126" s="174">
        <v>44713</v>
      </c>
      <c r="D1126" s="5" t="s">
        <v>285</v>
      </c>
      <c r="E1126" s="5" t="s">
        <v>1328</v>
      </c>
      <c r="F1126" s="175" t="s">
        <v>3149</v>
      </c>
      <c r="G1126" s="15" t="s">
        <v>346</v>
      </c>
      <c r="H1126" s="176">
        <v>700000000</v>
      </c>
      <c r="I1126" s="185" t="s">
        <v>946</v>
      </c>
      <c r="J1126" s="113" t="str">
        <f>VLOOKUP($I1126,'Price List, Weapons &amp; Items'!B:C,2,0)</f>
        <v>Ammunition for portable defence system</v>
      </c>
      <c r="K1126" s="113" t="str">
        <f>IF(I1126=".",I1126,VLOOKUP($I1126,'Price List, Weapons &amp; Items'!B:D,3,0))</f>
        <v>Light Anti-armor Weapon (LAW) ammunition</v>
      </c>
      <c r="L1126" s="177">
        <f>VLOOKUP(I1126,'Price List, Weapons &amp; Items'!B:E,4,0)</f>
        <v>0</v>
      </c>
      <c r="M1126" s="542">
        <v>1000</v>
      </c>
      <c r="N1126" s="542">
        <v>1000</v>
      </c>
      <c r="O1126" s="543">
        <f>VLOOKUP($I1126,'Price List, Weapons &amp; Items'!B:G,6,0)</f>
        <v>78000</v>
      </c>
      <c r="P1126" s="176">
        <f t="shared" si="262"/>
        <v>78000000</v>
      </c>
      <c r="Q1126" s="176">
        <f t="shared" si="263"/>
        <v>78000000</v>
      </c>
      <c r="R1126" s="176" t="str">
        <f t="shared" si="265"/>
        <v/>
      </c>
      <c r="S1126" s="176" t="str">
        <f>IF(AND(AD1126=1,R1126&lt;&gt;".")=TRUE,R1126/VLOOKUP(G1126,'Exchange Rates'!B:C,2,0),IF(R1126=".",".",""))</f>
        <v/>
      </c>
      <c r="T1126" s="176" t="str">
        <f>IF(AD1126=1,IF(AF1126="Value is not given at all",".",IF(AF1126="Value is given by the source",S1126,IF(AF1126="Value is calculated with prices",(IF(SUMIFS(Q:Q,A:A,A1126)&gt;0,SUMIFS(Q:Q,A:A,A1126),"."))/VLOOKUP("USD",'Exchange Rates'!B:C,2,0),"Error with coding"))),"")</f>
        <v/>
      </c>
      <c r="U1126" s="15" t="s">
        <v>261</v>
      </c>
      <c r="V1126" s="547" t="s">
        <v>3047</v>
      </c>
      <c r="W1126" s="667" t="s">
        <v>3044</v>
      </c>
      <c r="X1126" s="667" t="s">
        <v>3047</v>
      </c>
      <c r="Y1126" s="667" t="s">
        <v>3156</v>
      </c>
      <c r="Z1126" s="15">
        <v>0</v>
      </c>
      <c r="AA1126" s="180">
        <v>0</v>
      </c>
      <c r="AB1126" s="667" t="s">
        <v>3157</v>
      </c>
      <c r="AC1126" s="544" t="str">
        <f>""</f>
        <v/>
      </c>
      <c r="AD1126" s="183">
        <v>0</v>
      </c>
      <c r="AE1126" s="586" t="s">
        <v>264</v>
      </c>
      <c r="AF1126" s="181" t="s">
        <v>264</v>
      </c>
      <c r="AG1126" s="183">
        <v>1</v>
      </c>
      <c r="AH1126" s="183">
        <v>6</v>
      </c>
      <c r="AI1126" s="183">
        <v>0</v>
      </c>
      <c r="AJ1126" s="181">
        <f>VLOOKUP($I1126,'Price List, Weapons &amp; Items'!B:F,5,0)</f>
        <v>0</v>
      </c>
      <c r="AK1126" s="181">
        <f t="shared" si="252"/>
        <v>0</v>
      </c>
      <c r="AL1126" s="181">
        <f t="shared" si="253"/>
        <v>0</v>
      </c>
      <c r="AM1126" s="181">
        <f t="shared" si="254"/>
        <v>0</v>
      </c>
      <c r="AN1126" s="180" t="str">
        <f>VLOOKUP($I1126,'Price List, Weapons &amp; Items'!B:L,COLUMN('Price List, Weapons &amp; Items'!$J$11)-1,0)</f>
        <v>Military media (incl. websites)</v>
      </c>
      <c r="AO1126" s="180" t="str">
        <f>IF(I1126=".",".",VLOOKUP($I1126,'Price List, Weapons &amp; Items'!B:J,3,0))</f>
        <v>Light Anti-armor Weapon (LAW) ammunition</v>
      </c>
      <c r="AP1126" s="545" t="str">
        <f t="shared" ca="1" si="264"/>
        <v/>
      </c>
      <c r="AQ1126" s="180">
        <f>VLOOKUP($I1126,'Price List, Weapons &amp; Items'!B:L,COLUMN('Price List, Weapons &amp; Items'!$L$11)-1,0)</f>
        <v>2</v>
      </c>
      <c r="AR1126" s="180">
        <f t="shared" si="255"/>
        <v>1</v>
      </c>
      <c r="AS1126" s="180">
        <f t="shared" si="256"/>
        <v>1</v>
      </c>
      <c r="AT1126" s="180">
        <f t="shared" si="258"/>
        <v>1</v>
      </c>
      <c r="AU1126" s="180" t="str">
        <f t="shared" si="259"/>
        <v>.</v>
      </c>
      <c r="AV1126" s="180" t="str">
        <f t="shared" si="260"/>
        <v>.</v>
      </c>
      <c r="AW1126" s="180">
        <f>IFERROR(VLOOKUP(B1126,'Share, Heavy Weapons to Ukraine'!B:J,COLUMN('Share, Heavy Weapons to Ukraine'!C1136)-1,0),0)</f>
        <v>1</v>
      </c>
      <c r="AX1126" s="180">
        <f>VLOOKUP('Bilateral Assistance, MAIN DATA'!B1126,'Country Summary'!B:F,COLUMN('Country Summary'!C1139)-1,FALSE)</f>
        <v>0</v>
      </c>
      <c r="AY1126" s="180" t="str">
        <f>IF(AND(AD1126=1,D1126="Military",H1126&lt;&gt;"Not given")=TRUE,IF(SUMIFS(P:P,A:A,A1126)&gt;0,ABS((SUMIFS(P:P,A:A,A1126)/VLOOKUP("USD",'Exchange Rates'!B:C,2,0)))/S1126,"."),".")</f>
        <v>.</v>
      </c>
      <c r="AZ1126" s="182" t="str">
        <f>IF(AND(AD1126=1,D1126="Military",H1126&lt;&gt;"Not given")=TRUE,IF(SUMIFS(P:P,A:A,A1126)&gt;0,IF((ABS((SUMIFS(P:P,A:A,A1126)/VLOOKUP("USD",'Exchange Rates'!B:C,2,0)))/S1126)&gt;1,(SUMIFS(P:P,A:A,A1126)-S1126)/S1126,(S1126-SUMIFS(P:P,A:A,A1126))/SUMIFS(P:P,A:A,A1126)),"."),".")</f>
        <v>.</v>
      </c>
      <c r="BA1126" s="182"/>
      <c r="BB1126" s="182"/>
      <c r="BC1126" s="182"/>
      <c r="BD1126" s="182"/>
      <c r="BE1126" s="182"/>
      <c r="BF1126" s="182"/>
      <c r="BG1126" s="182"/>
      <c r="BH1126" s="182"/>
      <c r="BI1126" s="182"/>
      <c r="BJ1126" s="182"/>
      <c r="BK1126" s="182"/>
      <c r="BL1126" s="182"/>
      <c r="BM1126" s="182"/>
      <c r="BN1126" s="182"/>
      <c r="BO1126" s="182"/>
      <c r="BP1126" s="182"/>
      <c r="BQ1126" s="182"/>
      <c r="BR1126" s="182"/>
      <c r="BS1126" s="182"/>
    </row>
    <row r="1127" spans="1:71" ht="15.9" customHeight="1" x14ac:dyDescent="0.3">
      <c r="A1127" s="5" t="s">
        <v>3065</v>
      </c>
      <c r="B1127" s="5" t="s">
        <v>3038</v>
      </c>
      <c r="C1127" s="174">
        <v>44713</v>
      </c>
      <c r="D1127" s="5" t="s">
        <v>285</v>
      </c>
      <c r="E1127" s="5" t="s">
        <v>1328</v>
      </c>
      <c r="F1127" s="175" t="s">
        <v>3149</v>
      </c>
      <c r="G1127" s="15" t="s">
        <v>346</v>
      </c>
      <c r="H1127" s="176">
        <v>700000000</v>
      </c>
      <c r="I1127" s="185" t="s">
        <v>3158</v>
      </c>
      <c r="J1127" s="113" t="str">
        <f>VLOOKUP($I1127,'Price List, Weapons &amp; Items'!B:C,2,0)</f>
        <v>Portable defence system</v>
      </c>
      <c r="K1127" s="113" t="str">
        <f>IF(I1127=".",I1127,VLOOKUP($I1127,'Price List, Weapons &amp; Items'!B:D,3,0))</f>
        <v>Light Anti-armor Weapon (LAW)</v>
      </c>
      <c r="L1127" s="177">
        <f>VLOOKUP(I1127,'Price List, Weapons &amp; Items'!B:E,4,0)</f>
        <v>0</v>
      </c>
      <c r="M1127" s="542">
        <v>50</v>
      </c>
      <c r="N1127" s="542">
        <v>50</v>
      </c>
      <c r="O1127" s="543">
        <f>VLOOKUP($I1127,'Price List, Weapons &amp; Items'!B:G,6,0)</f>
        <v>178000</v>
      </c>
      <c r="P1127" s="176">
        <f t="shared" si="262"/>
        <v>8900000</v>
      </c>
      <c r="Q1127" s="176">
        <f t="shared" si="263"/>
        <v>8900000</v>
      </c>
      <c r="R1127" s="176" t="str">
        <f t="shared" si="265"/>
        <v/>
      </c>
      <c r="S1127" s="176" t="str">
        <f>IF(AND(AD1127=1,R1127&lt;&gt;".")=TRUE,R1127/VLOOKUP(G1127,'Exchange Rates'!B:C,2,0),IF(R1127=".",".",""))</f>
        <v/>
      </c>
      <c r="T1127" s="176" t="str">
        <f>IF(AD1127=1,IF(AF1127="Value is not given at all",".",IF(AF1127="Value is given by the source",S1127,IF(AF1127="Value is calculated with prices",(IF(SUMIFS(Q:Q,A:A,A1127)&gt;0,SUMIFS(Q:Q,A:A,A1127),"."))/VLOOKUP("USD",'Exchange Rates'!B:C,2,0),"Error with coding"))),"")</f>
        <v/>
      </c>
      <c r="U1127" s="15" t="s">
        <v>261</v>
      </c>
      <c r="V1127" s="547" t="s">
        <v>3047</v>
      </c>
      <c r="W1127" s="667" t="s">
        <v>3044</v>
      </c>
      <c r="X1127" s="667" t="s">
        <v>3047</v>
      </c>
      <c r="Y1127" s="667" t="s">
        <v>3157</v>
      </c>
      <c r="Z1127" s="15">
        <v>0</v>
      </c>
      <c r="AA1127" s="180">
        <v>0</v>
      </c>
      <c r="AB1127" s="667" t="s">
        <v>3159</v>
      </c>
      <c r="AC1127" s="544" t="str">
        <f>""</f>
        <v/>
      </c>
      <c r="AD1127" s="183">
        <v>0</v>
      </c>
      <c r="AE1127" s="586" t="s">
        <v>264</v>
      </c>
      <c r="AF1127" s="181" t="s">
        <v>264</v>
      </c>
      <c r="AG1127" s="183">
        <v>1</v>
      </c>
      <c r="AH1127" s="183">
        <v>6</v>
      </c>
      <c r="AI1127" s="183">
        <v>0</v>
      </c>
      <c r="AJ1127" s="181">
        <f>VLOOKUP($I1127,'Price List, Weapons &amp; Items'!B:F,5,0)</f>
        <v>0</v>
      </c>
      <c r="AK1127" s="181">
        <f t="shared" si="252"/>
        <v>0</v>
      </c>
      <c r="AL1127" s="181">
        <f t="shared" si="253"/>
        <v>0</v>
      </c>
      <c r="AM1127" s="181">
        <f t="shared" si="254"/>
        <v>0</v>
      </c>
      <c r="AN1127" s="180" t="str">
        <f>VLOOKUP($I1127,'Price List, Weapons &amp; Items'!B:L,COLUMN('Price List, Weapons &amp; Items'!$J$11)-1,0)</f>
        <v>Government information</v>
      </c>
      <c r="AO1127" s="180" t="str">
        <f>IF(I1127=".",".",VLOOKUP($I1127,'Price List, Weapons &amp; Items'!B:J,3,0))</f>
        <v>Light Anti-armor Weapon (LAW)</v>
      </c>
      <c r="AP1127" s="545" t="str">
        <f t="shared" ca="1" si="264"/>
        <v/>
      </c>
      <c r="AQ1127" s="180">
        <f>VLOOKUP($I1127,'Price List, Weapons &amp; Items'!B:L,COLUMN('Price List, Weapons &amp; Items'!$L$11)-1,0)</f>
        <v>2</v>
      </c>
      <c r="AR1127" s="180">
        <f t="shared" si="255"/>
        <v>1</v>
      </c>
      <c r="AS1127" s="180">
        <f t="shared" si="256"/>
        <v>1</v>
      </c>
      <c r="AT1127" s="180">
        <f t="shared" si="258"/>
        <v>1</v>
      </c>
      <c r="AU1127" s="180" t="str">
        <f t="shared" si="259"/>
        <v>.</v>
      </c>
      <c r="AV1127" s="180" t="str">
        <f t="shared" si="260"/>
        <v>.</v>
      </c>
      <c r="AW1127" s="180">
        <f>IFERROR(VLOOKUP(B1127,'Share, Heavy Weapons to Ukraine'!B:J,COLUMN('Share, Heavy Weapons to Ukraine'!C1137)-1,0),0)</f>
        <v>1</v>
      </c>
      <c r="AX1127" s="180">
        <f>VLOOKUP('Bilateral Assistance, MAIN DATA'!B1127,'Country Summary'!B:F,COLUMN('Country Summary'!C1140)-1,FALSE)</f>
        <v>0</v>
      </c>
      <c r="AY1127" s="180" t="str">
        <f>IF(AND(AD1127=1,D1127="Military",H1127&lt;&gt;"Not given")=TRUE,IF(SUMIFS(P:P,A:A,A1127)&gt;0,ABS((SUMIFS(P:P,A:A,A1127)/VLOOKUP("USD",'Exchange Rates'!B:C,2,0)))/S1127,"."),".")</f>
        <v>.</v>
      </c>
      <c r="AZ1127" s="182" t="str">
        <f>IF(AND(AD1127=1,D1127="Military",H1127&lt;&gt;"Not given")=TRUE,IF(SUMIFS(P:P,A:A,A1127)&gt;0,IF((ABS((SUMIFS(P:P,A:A,A1127)/VLOOKUP("USD",'Exchange Rates'!B:C,2,0)))/S1127)&gt;1,(SUMIFS(P:P,A:A,A1127)-S1127)/S1127,(S1127-SUMIFS(P:P,A:A,A1127))/SUMIFS(P:P,A:A,A1127)),"."),".")</f>
        <v>.</v>
      </c>
      <c r="BA1127" s="182"/>
      <c r="BB1127" s="182"/>
      <c r="BC1127" s="182"/>
      <c r="BD1127" s="182"/>
      <c r="BE1127" s="182"/>
      <c r="BF1127" s="182"/>
      <c r="BG1127" s="182"/>
      <c r="BH1127" s="182"/>
      <c r="BI1127" s="182"/>
      <c r="BJ1127" s="182"/>
      <c r="BK1127" s="182"/>
      <c r="BL1127" s="182"/>
      <c r="BM1127" s="182"/>
      <c r="BN1127" s="182"/>
      <c r="BO1127" s="182"/>
      <c r="BP1127" s="182"/>
      <c r="BQ1127" s="182"/>
      <c r="BR1127" s="182"/>
      <c r="BS1127" s="182"/>
    </row>
    <row r="1128" spans="1:71" ht="15.9" customHeight="1" x14ac:dyDescent="0.3">
      <c r="A1128" s="5" t="s">
        <v>3065</v>
      </c>
      <c r="B1128" s="5" t="s">
        <v>3038</v>
      </c>
      <c r="C1128" s="174">
        <v>44713</v>
      </c>
      <c r="D1128" s="5" t="s">
        <v>285</v>
      </c>
      <c r="E1128" s="5" t="s">
        <v>1328</v>
      </c>
      <c r="F1128" s="175" t="s">
        <v>3149</v>
      </c>
      <c r="G1128" s="15" t="s">
        <v>346</v>
      </c>
      <c r="H1128" s="176">
        <v>700000000</v>
      </c>
      <c r="I1128" s="185" t="s">
        <v>3160</v>
      </c>
      <c r="J1128" s="113" t="str">
        <f>VLOOKUP($I1128,'Price List, Weapons &amp; Items'!B:C,2,0)</f>
        <v>Portable defence system</v>
      </c>
      <c r="K1128" s="113" t="str">
        <f>IF(I1128=".",I1128,VLOOKUP($I1128,'Price List, Weapons &amp; Items'!B:D,3,0))</f>
        <v>Light Anti-armor Weapon (LAW)</v>
      </c>
      <c r="L1128" s="177">
        <f>VLOOKUP(I1128,'Price List, Weapons &amp; Items'!B:E,4,0)</f>
        <v>0</v>
      </c>
      <c r="M1128" s="542">
        <v>6000</v>
      </c>
      <c r="N1128" s="542">
        <v>6000</v>
      </c>
      <c r="O1128" s="543">
        <f>VLOOKUP($I1128,'Price List, Weapons &amp; Items'!B:G,6,0)</f>
        <v>3873.65</v>
      </c>
      <c r="P1128" s="176">
        <f t="shared" si="262"/>
        <v>23241900</v>
      </c>
      <c r="Q1128" s="176">
        <f t="shared" si="263"/>
        <v>23241900</v>
      </c>
      <c r="R1128" s="176" t="str">
        <f t="shared" si="265"/>
        <v/>
      </c>
      <c r="S1128" s="176" t="str">
        <f>IF(AND(AD1128=1,R1128&lt;&gt;".")=TRUE,R1128/VLOOKUP(G1128,'Exchange Rates'!B:C,2,0),IF(R1128=".",".",""))</f>
        <v/>
      </c>
      <c r="T1128" s="176" t="str">
        <f>IF(AD1128=1,IF(AF1128="Value is not given at all",".",IF(AF1128="Value is given by the source",S1128,IF(AF1128="Value is calculated with prices",(IF(SUMIFS(Q:Q,A:A,A1128)&gt;0,SUMIFS(Q:Q,A:A,A1128),"."))/VLOOKUP("USD",'Exchange Rates'!B:C,2,0),"Error with coding"))),"")</f>
        <v/>
      </c>
      <c r="U1128" s="15" t="s">
        <v>261</v>
      </c>
      <c r="V1128" s="547" t="s">
        <v>3047</v>
      </c>
      <c r="W1128" s="667" t="s">
        <v>3044</v>
      </c>
      <c r="X1128" s="667" t="s">
        <v>3047</v>
      </c>
      <c r="Y1128" s="667" t="s">
        <v>3159</v>
      </c>
      <c r="Z1128" s="15">
        <v>0</v>
      </c>
      <c r="AA1128" s="180">
        <v>0</v>
      </c>
      <c r="AB1128" s="667" t="s">
        <v>3161</v>
      </c>
      <c r="AC1128" s="544" t="str">
        <f>""</f>
        <v/>
      </c>
      <c r="AD1128" s="183">
        <v>0</v>
      </c>
      <c r="AE1128" s="586" t="s">
        <v>264</v>
      </c>
      <c r="AF1128" s="181" t="s">
        <v>264</v>
      </c>
      <c r="AG1128" s="183">
        <v>1</v>
      </c>
      <c r="AH1128" s="183">
        <v>6</v>
      </c>
      <c r="AI1128" s="183">
        <v>0</v>
      </c>
      <c r="AJ1128" s="181">
        <f>VLOOKUP($I1128,'Price List, Weapons &amp; Items'!B:F,5,0)</f>
        <v>0</v>
      </c>
      <c r="AK1128" s="181">
        <f t="shared" si="252"/>
        <v>0</v>
      </c>
      <c r="AL1128" s="181">
        <f t="shared" si="253"/>
        <v>0</v>
      </c>
      <c r="AM1128" s="181">
        <f t="shared" si="254"/>
        <v>0</v>
      </c>
      <c r="AN1128" s="180" t="str">
        <f>VLOOKUP($I1128,'Price List, Weapons &amp; Items'!B:L,COLUMN('Price List, Weapons &amp; Items'!$J$11)-1,0)</f>
        <v>Military media (incl. websites)</v>
      </c>
      <c r="AO1128" s="180" t="str">
        <f>IF(I1128=".",".",VLOOKUP($I1128,'Price List, Weapons &amp; Items'!B:J,3,0))</f>
        <v>Light Anti-armor Weapon (LAW)</v>
      </c>
      <c r="AP1128" s="545" t="str">
        <f t="shared" ca="1" si="264"/>
        <v/>
      </c>
      <c r="AQ1128" s="180">
        <f>VLOOKUP($I1128,'Price List, Weapons &amp; Items'!B:L,COLUMN('Price List, Weapons &amp; Items'!$L$11)-1,0)</f>
        <v>2</v>
      </c>
      <c r="AR1128" s="180">
        <f t="shared" si="255"/>
        <v>1</v>
      </c>
      <c r="AS1128" s="180">
        <f t="shared" si="256"/>
        <v>1</v>
      </c>
      <c r="AT1128" s="180">
        <f t="shared" si="258"/>
        <v>1</v>
      </c>
      <c r="AU1128" s="180" t="str">
        <f t="shared" si="259"/>
        <v>.</v>
      </c>
      <c r="AV1128" s="180" t="str">
        <f t="shared" si="260"/>
        <v>.</v>
      </c>
      <c r="AW1128" s="180">
        <f>IFERROR(VLOOKUP(B1128,'Share, Heavy Weapons to Ukraine'!B:J,COLUMN('Share, Heavy Weapons to Ukraine'!C1138)-1,0),0)</f>
        <v>1</v>
      </c>
      <c r="AX1128" s="180">
        <f>VLOOKUP('Bilateral Assistance, MAIN DATA'!B1128,'Country Summary'!B:F,COLUMN('Country Summary'!C1141)-1,FALSE)</f>
        <v>0</v>
      </c>
      <c r="AY1128" s="180" t="str">
        <f>IF(AND(AD1128=1,D1128="Military",H1128&lt;&gt;"Not given")=TRUE,IF(SUMIFS(P:P,A:A,A1128)&gt;0,ABS((SUMIFS(P:P,A:A,A1128)/VLOOKUP("USD",'Exchange Rates'!B:C,2,0)))/S1128,"."),".")</f>
        <v>.</v>
      </c>
      <c r="AZ1128" s="182" t="str">
        <f>IF(AND(AD1128=1,D1128="Military",H1128&lt;&gt;"Not given")=TRUE,IF(SUMIFS(P:P,A:A,A1128)&gt;0,IF((ABS((SUMIFS(P:P,A:A,A1128)/VLOOKUP("USD",'Exchange Rates'!B:C,2,0)))/S1128)&gt;1,(SUMIFS(P:P,A:A,A1128)-S1128)/S1128,(S1128-SUMIFS(P:P,A:A,A1128))/SUMIFS(P:P,A:A,A1128)),"."),".")</f>
        <v>.</v>
      </c>
      <c r="BA1128" s="182"/>
      <c r="BB1128" s="182"/>
      <c r="BC1128" s="182"/>
      <c r="BD1128" s="182"/>
      <c r="BE1128" s="182"/>
      <c r="BF1128" s="182"/>
      <c r="BG1128" s="182"/>
      <c r="BH1128" s="182"/>
      <c r="BI1128" s="182"/>
      <c r="BJ1128" s="182"/>
      <c r="BK1128" s="182"/>
      <c r="BL1128" s="182"/>
      <c r="BM1128" s="182"/>
      <c r="BN1128" s="182"/>
      <c r="BO1128" s="182"/>
      <c r="BP1128" s="182"/>
      <c r="BQ1128" s="182"/>
      <c r="BR1128" s="182"/>
      <c r="BS1128" s="182"/>
    </row>
    <row r="1129" spans="1:71" ht="15.9" customHeight="1" x14ac:dyDescent="0.3">
      <c r="A1129" s="5" t="s">
        <v>3065</v>
      </c>
      <c r="B1129" s="5" t="s">
        <v>3038</v>
      </c>
      <c r="C1129" s="174">
        <v>44713</v>
      </c>
      <c r="D1129" s="5" t="s">
        <v>285</v>
      </c>
      <c r="E1129" s="5" t="s">
        <v>1328</v>
      </c>
      <c r="F1129" s="175" t="s">
        <v>3149</v>
      </c>
      <c r="G1129" s="15" t="s">
        <v>346</v>
      </c>
      <c r="H1129" s="176">
        <v>700000000</v>
      </c>
      <c r="I1129" s="185" t="s">
        <v>644</v>
      </c>
      <c r="J1129" s="113" t="str">
        <f>VLOOKUP($I1129,'Price List, Weapons &amp; Items'!B:C,2,0)</f>
        <v>Ammunition for heavy weapon</v>
      </c>
      <c r="K1129" s="113" t="str">
        <f>IF(I1129=".",I1129,VLOOKUP($I1129,'Price List, Weapons &amp; Items'!B:D,3,0))</f>
        <v>155mm howitzer ammunition</v>
      </c>
      <c r="L1129" s="177">
        <f>VLOOKUP(I1129,'Price List, Weapons &amp; Items'!B:E,4,0)</f>
        <v>0</v>
      </c>
      <c r="M1129" s="542">
        <v>15000</v>
      </c>
      <c r="N1129" s="542">
        <v>15000</v>
      </c>
      <c r="O1129" s="543">
        <f>VLOOKUP($I1129,'Price List, Weapons &amp; Items'!B:G,6,0)</f>
        <v>3800</v>
      </c>
      <c r="P1129" s="176">
        <f t="shared" si="262"/>
        <v>57000000</v>
      </c>
      <c r="Q1129" s="176">
        <f t="shared" si="263"/>
        <v>57000000</v>
      </c>
      <c r="R1129" s="176" t="str">
        <f t="shared" si="265"/>
        <v/>
      </c>
      <c r="S1129" s="176" t="str">
        <f>IF(AND(AD1129=1,R1129&lt;&gt;".")=TRUE,R1129/VLOOKUP(G1129,'Exchange Rates'!B:C,2,0),IF(R1129=".",".",""))</f>
        <v/>
      </c>
      <c r="T1129" s="176" t="str">
        <f>IF(AD1129=1,IF(AF1129="Value is not given at all",".",IF(AF1129="Value is given by the source",S1129,IF(AF1129="Value is calculated with prices",(IF(SUMIFS(Q:Q,A:A,A1129)&gt;0,SUMIFS(Q:Q,A:A,A1129),"."))/VLOOKUP("USD",'Exchange Rates'!B:C,2,0),"Error with coding"))),"")</f>
        <v/>
      </c>
      <c r="U1129" s="15" t="s">
        <v>261</v>
      </c>
      <c r="V1129" s="547" t="s">
        <v>3047</v>
      </c>
      <c r="W1129" s="667" t="s">
        <v>3044</v>
      </c>
      <c r="X1129" s="667" t="s">
        <v>3047</v>
      </c>
      <c r="Y1129" s="667" t="s">
        <v>3161</v>
      </c>
      <c r="Z1129" s="15">
        <v>0</v>
      </c>
      <c r="AA1129" s="180">
        <v>0</v>
      </c>
      <c r="AB1129" s="667" t="s">
        <v>3162</v>
      </c>
      <c r="AC1129" s="544" t="str">
        <f>""</f>
        <v/>
      </c>
      <c r="AD1129" s="183">
        <v>0</v>
      </c>
      <c r="AE1129" s="586" t="s">
        <v>264</v>
      </c>
      <c r="AF1129" s="181" t="s">
        <v>264</v>
      </c>
      <c r="AG1129" s="183">
        <v>1</v>
      </c>
      <c r="AH1129" s="183">
        <v>6</v>
      </c>
      <c r="AI1129" s="183">
        <v>0</v>
      </c>
      <c r="AJ1129" s="181">
        <f>VLOOKUP($I1129,'Price List, Weapons &amp; Items'!B:F,5,0)</f>
        <v>1</v>
      </c>
      <c r="AK1129" s="181">
        <f t="shared" si="252"/>
        <v>0</v>
      </c>
      <c r="AL1129" s="181">
        <f t="shared" si="253"/>
        <v>0</v>
      </c>
      <c r="AM1129" s="181">
        <f t="shared" si="254"/>
        <v>0</v>
      </c>
      <c r="AN1129" s="180" t="str">
        <f>VLOOKUP($I1129,'Price List, Weapons &amp; Items'!B:L,COLUMN('Price List, Weapons &amp; Items'!$J$11)-1,0)</f>
        <v>Government information</v>
      </c>
      <c r="AO1129" s="180" t="str">
        <f>IF(I1129=".",".",VLOOKUP($I1129,'Price List, Weapons &amp; Items'!B:J,3,0))</f>
        <v>155mm howitzer ammunition</v>
      </c>
      <c r="AP1129" s="545" t="str">
        <f t="shared" ca="1" si="264"/>
        <v/>
      </c>
      <c r="AQ1129" s="180">
        <f>VLOOKUP($I1129,'Price List, Weapons &amp; Items'!B:L,COLUMN('Price List, Weapons &amp; Items'!$L$11)-1,0)</f>
        <v>2</v>
      </c>
      <c r="AR1129" s="180">
        <f t="shared" si="255"/>
        <v>1</v>
      </c>
      <c r="AS1129" s="180">
        <f t="shared" si="256"/>
        <v>1</v>
      </c>
      <c r="AT1129" s="180">
        <f t="shared" si="258"/>
        <v>1</v>
      </c>
      <c r="AU1129" s="180" t="str">
        <f t="shared" si="259"/>
        <v>.</v>
      </c>
      <c r="AV1129" s="180" t="str">
        <f t="shared" si="260"/>
        <v>.</v>
      </c>
      <c r="AW1129" s="180">
        <f>IFERROR(VLOOKUP(B1129,'Share, Heavy Weapons to Ukraine'!B:J,COLUMN('Share, Heavy Weapons to Ukraine'!C1139)-1,0),0)</f>
        <v>1</v>
      </c>
      <c r="AX1129" s="180">
        <f>VLOOKUP('Bilateral Assistance, MAIN DATA'!B1129,'Country Summary'!B:F,COLUMN('Country Summary'!C1142)-1,FALSE)</f>
        <v>0</v>
      </c>
      <c r="AY1129" s="180" t="str">
        <f>IF(AND(AD1129=1,D1129="Military",H1129&lt;&gt;"Not given")=TRUE,IF(SUMIFS(P:P,A:A,A1129)&gt;0,ABS((SUMIFS(P:P,A:A,A1129)/VLOOKUP("USD",'Exchange Rates'!B:C,2,0)))/S1129,"."),".")</f>
        <v>.</v>
      </c>
      <c r="AZ1129" s="182" t="str">
        <f>IF(AND(AD1129=1,D1129="Military",H1129&lt;&gt;"Not given")=TRUE,IF(SUMIFS(P:P,A:A,A1129)&gt;0,IF((ABS((SUMIFS(P:P,A:A,A1129)/VLOOKUP("USD",'Exchange Rates'!B:C,2,0)))/S1129)&gt;1,(SUMIFS(P:P,A:A,A1129)-S1129)/S1129,(S1129-SUMIFS(P:P,A:A,A1129))/SUMIFS(P:P,A:A,A1129)),"."),".")</f>
        <v>.</v>
      </c>
      <c r="BA1129" s="182"/>
      <c r="BB1129" s="182"/>
      <c r="BC1129" s="182"/>
      <c r="BD1129" s="182"/>
      <c r="BE1129" s="182"/>
      <c r="BF1129" s="182"/>
      <c r="BG1129" s="182"/>
      <c r="BH1129" s="182"/>
      <c r="BI1129" s="182"/>
      <c r="BJ1129" s="182"/>
      <c r="BK1129" s="182"/>
      <c r="BL1129" s="182"/>
      <c r="BM1129" s="182"/>
      <c r="BN1129" s="182"/>
      <c r="BO1129" s="182"/>
      <c r="BP1129" s="182"/>
      <c r="BQ1129" s="182"/>
      <c r="BR1129" s="182"/>
      <c r="BS1129" s="182"/>
    </row>
    <row r="1130" spans="1:71" ht="15.9" customHeight="1" x14ac:dyDescent="0.3">
      <c r="A1130" s="5" t="s">
        <v>3065</v>
      </c>
      <c r="B1130" s="5" t="s">
        <v>3038</v>
      </c>
      <c r="C1130" s="174">
        <v>44713</v>
      </c>
      <c r="D1130" s="5" t="s">
        <v>285</v>
      </c>
      <c r="E1130" s="5" t="s">
        <v>1328</v>
      </c>
      <c r="F1130" s="175" t="s">
        <v>3149</v>
      </c>
      <c r="G1130" s="15" t="s">
        <v>346</v>
      </c>
      <c r="H1130" s="176">
        <v>700000000</v>
      </c>
      <c r="I1130" s="185" t="s">
        <v>1905</v>
      </c>
      <c r="J1130" s="113" t="str">
        <f>VLOOKUP($I1130,'Price List, Weapons &amp; Items'!B:C,2,0)</f>
        <v>Aviation and drones</v>
      </c>
      <c r="K1130" s="113" t="str">
        <f>IF(I1130=".",I1130,VLOOKUP($I1130,'Price List, Weapons &amp; Items'!B:D,3,0))</f>
        <v>Combat aircraft</v>
      </c>
      <c r="L1130" s="177">
        <f>VLOOKUP(I1130,'Price List, Weapons &amp; Items'!B:E,4,0)</f>
        <v>1</v>
      </c>
      <c r="M1130" s="542">
        <v>4</v>
      </c>
      <c r="N1130" s="542">
        <v>4</v>
      </c>
      <c r="O1130" s="543">
        <f>VLOOKUP($I1130,'Price List, Weapons &amp; Items'!B:G,6,0)</f>
        <v>18400000</v>
      </c>
      <c r="P1130" s="176">
        <f t="shared" si="262"/>
        <v>73600000</v>
      </c>
      <c r="Q1130" s="176">
        <f t="shared" si="263"/>
        <v>73600000</v>
      </c>
      <c r="R1130" s="176" t="str">
        <f t="shared" si="265"/>
        <v/>
      </c>
      <c r="S1130" s="176" t="str">
        <f>IF(AND(AD1130=1,R1130&lt;&gt;".")=TRUE,R1130/VLOOKUP(G1130,'Exchange Rates'!B:C,2,0),IF(R1130=".",".",""))</f>
        <v/>
      </c>
      <c r="T1130" s="176" t="str">
        <f>IF(AD1130=1,IF(AF1130="Value is not given at all",".",IF(AF1130="Value is given by the source",S1130,IF(AF1130="Value is calculated with prices",(IF(SUMIFS(Q:Q,A:A,A1130)&gt;0,SUMIFS(Q:Q,A:A,A1130),"."))/VLOOKUP("USD",'Exchange Rates'!B:C,2,0),"Error with coding"))),"")</f>
        <v/>
      </c>
      <c r="U1130" s="15" t="s">
        <v>261</v>
      </c>
      <c r="V1130" s="547" t="s">
        <v>3047</v>
      </c>
      <c r="W1130" s="667" t="s">
        <v>3044</v>
      </c>
      <c r="X1130" s="667" t="s">
        <v>3047</v>
      </c>
      <c r="Y1130" s="667" t="s">
        <v>3162</v>
      </c>
      <c r="Z1130" s="15">
        <v>0</v>
      </c>
      <c r="AA1130" s="180">
        <v>0</v>
      </c>
      <c r="AB1130" s="667" t="s">
        <v>3163</v>
      </c>
      <c r="AC1130" s="544" t="str">
        <f>""</f>
        <v/>
      </c>
      <c r="AD1130" s="183">
        <v>0</v>
      </c>
      <c r="AE1130" s="586" t="s">
        <v>264</v>
      </c>
      <c r="AF1130" s="181" t="s">
        <v>264</v>
      </c>
      <c r="AG1130" s="183">
        <v>1</v>
      </c>
      <c r="AH1130" s="183">
        <v>6</v>
      </c>
      <c r="AI1130" s="183">
        <v>0</v>
      </c>
      <c r="AJ1130" s="181">
        <f>VLOOKUP($I1130,'Price List, Weapons &amp; Items'!B:F,5,0)</f>
        <v>0</v>
      </c>
      <c r="AK1130" s="181">
        <f t="shared" si="252"/>
        <v>0</v>
      </c>
      <c r="AL1130" s="181">
        <f t="shared" si="253"/>
        <v>0</v>
      </c>
      <c r="AM1130" s="181">
        <f t="shared" si="254"/>
        <v>0</v>
      </c>
      <c r="AN1130" s="180" t="str">
        <f>VLOOKUP($I1130,'Price List, Weapons &amp; Items'!B:L,COLUMN('Price List, Weapons &amp; Items'!$J$11)-1,0)</f>
        <v>Media reports (incl. social media)</v>
      </c>
      <c r="AO1130" s="180" t="str">
        <f>IF(I1130=".",".",VLOOKUP($I1130,'Price List, Weapons &amp; Items'!B:J,3,0))</f>
        <v>Combat aircraft</v>
      </c>
      <c r="AP1130" s="545" t="str">
        <f t="shared" ca="1" si="264"/>
        <v/>
      </c>
      <c r="AQ1130" s="180">
        <f>VLOOKUP($I1130,'Price List, Weapons &amp; Items'!B:L,COLUMN('Price List, Weapons &amp; Items'!$L$11)-1,0)</f>
        <v>2</v>
      </c>
      <c r="AR1130" s="180">
        <f t="shared" si="255"/>
        <v>1</v>
      </c>
      <c r="AS1130" s="180">
        <f t="shared" si="256"/>
        <v>1</v>
      </c>
      <c r="AT1130" s="180">
        <f t="shared" si="258"/>
        <v>1</v>
      </c>
      <c r="AU1130" s="180" t="str">
        <f t="shared" si="259"/>
        <v>.</v>
      </c>
      <c r="AV1130" s="180" t="str">
        <f t="shared" si="260"/>
        <v>.</v>
      </c>
      <c r="AW1130" s="180">
        <f>IFERROR(VLOOKUP(B1130,'Share, Heavy Weapons to Ukraine'!B:J,COLUMN('Share, Heavy Weapons to Ukraine'!C1140)-1,0),0)</f>
        <v>1</v>
      </c>
      <c r="AX1130" s="180">
        <f>VLOOKUP('Bilateral Assistance, MAIN DATA'!B1130,'Country Summary'!B:F,COLUMN('Country Summary'!C1143)-1,FALSE)</f>
        <v>0</v>
      </c>
      <c r="AY1130" s="180" t="str">
        <f>IF(AND(AD1130=1,D1130="Military",H1130&lt;&gt;"Not given")=TRUE,IF(SUMIFS(P:P,A:A,A1130)&gt;0,ABS((SUMIFS(P:P,A:A,A1130)/VLOOKUP("USD",'Exchange Rates'!B:C,2,0)))/S1130,"."),".")</f>
        <v>.</v>
      </c>
      <c r="AZ1130" s="182" t="str">
        <f>IF(AND(AD1130=1,D1130="Military",H1130&lt;&gt;"Not given")=TRUE,IF(SUMIFS(P:P,A:A,A1130)&gt;0,IF((ABS((SUMIFS(P:P,A:A,A1130)/VLOOKUP("USD",'Exchange Rates'!B:C,2,0)))/S1130)&gt;1,(SUMIFS(P:P,A:A,A1130)-S1130)/S1130,(S1130-SUMIFS(P:P,A:A,A1130))/SUMIFS(P:P,A:A,A1130)),"."),".")</f>
        <v>.</v>
      </c>
      <c r="BA1130" s="182"/>
      <c r="BB1130" s="182"/>
      <c r="BC1130" s="182"/>
      <c r="BD1130" s="182"/>
      <c r="BE1130" s="182"/>
      <c r="BF1130" s="182"/>
      <c r="BG1130" s="182"/>
      <c r="BH1130" s="182"/>
      <c r="BI1130" s="182"/>
      <c r="BJ1130" s="182"/>
      <c r="BK1130" s="182"/>
      <c r="BL1130" s="182"/>
      <c r="BM1130" s="182"/>
      <c r="BN1130" s="182"/>
      <c r="BO1130" s="182"/>
      <c r="BP1130" s="182"/>
      <c r="BQ1130" s="182"/>
      <c r="BR1130" s="182"/>
      <c r="BS1130" s="182"/>
    </row>
    <row r="1131" spans="1:71" ht="15.9" customHeight="1" x14ac:dyDescent="0.3">
      <c r="A1131" s="5" t="s">
        <v>3065</v>
      </c>
      <c r="B1131" s="5" t="s">
        <v>3038</v>
      </c>
      <c r="C1131" s="174">
        <v>44713</v>
      </c>
      <c r="D1131" s="5" t="s">
        <v>285</v>
      </c>
      <c r="E1131" s="5" t="s">
        <v>1328</v>
      </c>
      <c r="F1131" s="175" t="s">
        <v>3149</v>
      </c>
      <c r="G1131" s="15" t="s">
        <v>346</v>
      </c>
      <c r="H1131" s="176">
        <v>700000000</v>
      </c>
      <c r="I1131" s="185" t="s">
        <v>3164</v>
      </c>
      <c r="J1131" s="113" t="str">
        <f>VLOOKUP($I1131,'Price List, Weapons &amp; Items'!B:C,2,0)</f>
        <v>Military equipment</v>
      </c>
      <c r="K1131" s="113" t="str">
        <f>IF(I1131=".",I1131,VLOOKUP($I1131,'Price List, Weapons &amp; Items'!B:D,3,0))</f>
        <v>Military equipment</v>
      </c>
      <c r="L1131" s="177">
        <f>VLOOKUP(I1131,'Price List, Weapons &amp; Items'!B:E,4,0)</f>
        <v>0</v>
      </c>
      <c r="M1131" s="542">
        <v>15</v>
      </c>
      <c r="N1131" s="542">
        <v>15</v>
      </c>
      <c r="O1131" s="543">
        <f>VLOOKUP($I1131,'Price List, Weapons &amp; Items'!B:G,6,0)</f>
        <v>350000</v>
      </c>
      <c r="P1131" s="176">
        <f t="shared" si="262"/>
        <v>5250000</v>
      </c>
      <c r="Q1131" s="176">
        <f t="shared" si="263"/>
        <v>5250000</v>
      </c>
      <c r="R1131" s="176" t="str">
        <f t="shared" si="265"/>
        <v/>
      </c>
      <c r="S1131" s="176" t="str">
        <f>IF(AND(AD1131=1,R1131&lt;&gt;".")=TRUE,R1131/VLOOKUP(G1131,'Exchange Rates'!B:C,2,0),IF(R1131=".",".",""))</f>
        <v/>
      </c>
      <c r="T1131" s="176" t="str">
        <f>IF(AD1131=1,IF(AF1131="Value is not given at all",".",IF(AF1131="Value is given by the source",S1131,IF(AF1131="Value is calculated with prices",(IF(SUMIFS(Q:Q,A:A,A1131)&gt;0,SUMIFS(Q:Q,A:A,A1131),"."))/VLOOKUP("USD",'Exchange Rates'!B:C,2,0),"Error with coding"))),"")</f>
        <v/>
      </c>
      <c r="U1131" s="15" t="s">
        <v>261</v>
      </c>
      <c r="V1131" s="547" t="s">
        <v>3047</v>
      </c>
      <c r="W1131" s="667" t="s">
        <v>3044</v>
      </c>
      <c r="X1131" s="667" t="s">
        <v>3047</v>
      </c>
      <c r="Y1131" s="667" t="s">
        <v>3163</v>
      </c>
      <c r="Z1131" s="15">
        <v>0</v>
      </c>
      <c r="AA1131" s="180">
        <v>0</v>
      </c>
      <c r="AB1131" s="667" t="s">
        <v>3165</v>
      </c>
      <c r="AC1131" s="544" t="str">
        <f>""</f>
        <v/>
      </c>
      <c r="AD1131" s="183">
        <v>0</v>
      </c>
      <c r="AE1131" s="586" t="s">
        <v>264</v>
      </c>
      <c r="AF1131" s="181" t="s">
        <v>264</v>
      </c>
      <c r="AG1131" s="183">
        <v>1</v>
      </c>
      <c r="AH1131" s="183">
        <v>6</v>
      </c>
      <c r="AI1131" s="183">
        <v>0</v>
      </c>
      <c r="AJ1131" s="181">
        <f>VLOOKUP($I1131,'Price List, Weapons &amp; Items'!B:F,5,0)</f>
        <v>0</v>
      </c>
      <c r="AK1131" s="181">
        <f t="shared" si="252"/>
        <v>0</v>
      </c>
      <c r="AL1131" s="181">
        <f t="shared" si="253"/>
        <v>0</v>
      </c>
      <c r="AM1131" s="181">
        <f t="shared" si="254"/>
        <v>0</v>
      </c>
      <c r="AN1131" s="180" t="str">
        <f>VLOOKUP($I1131,'Price List, Weapons &amp; Items'!B:L,COLUMN('Price List, Weapons &amp; Items'!$J$11)-1,0)</f>
        <v>Media reports (incl. social media)</v>
      </c>
      <c r="AO1131" s="180" t="str">
        <f>IF(I1131=".",".",VLOOKUP($I1131,'Price List, Weapons &amp; Items'!B:J,3,0))</f>
        <v>Military equipment</v>
      </c>
      <c r="AP1131" s="545" t="str">
        <f t="shared" ca="1" si="264"/>
        <v/>
      </c>
      <c r="AQ1131" s="180">
        <f>VLOOKUP($I1131,'Price List, Weapons &amp; Items'!B:L,COLUMN('Price List, Weapons &amp; Items'!$L$11)-1,0)</f>
        <v>2</v>
      </c>
      <c r="AR1131" s="180">
        <f t="shared" si="255"/>
        <v>1</v>
      </c>
      <c r="AS1131" s="180">
        <f t="shared" si="256"/>
        <v>1</v>
      </c>
      <c r="AT1131" s="180">
        <f t="shared" si="258"/>
        <v>1</v>
      </c>
      <c r="AU1131" s="180" t="str">
        <f t="shared" si="259"/>
        <v>.</v>
      </c>
      <c r="AV1131" s="180" t="str">
        <f t="shared" si="260"/>
        <v>.</v>
      </c>
      <c r="AW1131" s="180">
        <f>IFERROR(VLOOKUP(B1131,'Share, Heavy Weapons to Ukraine'!B:J,COLUMN('Share, Heavy Weapons to Ukraine'!C1141)-1,0),0)</f>
        <v>1</v>
      </c>
      <c r="AX1131" s="180">
        <f>VLOOKUP('Bilateral Assistance, MAIN DATA'!B1131,'Country Summary'!B:F,COLUMN('Country Summary'!C1144)-1,FALSE)</f>
        <v>0</v>
      </c>
      <c r="AY1131" s="180" t="str">
        <f>IF(AND(AD1131=1,D1131="Military",H1131&lt;&gt;"Not given")=TRUE,IF(SUMIFS(P:P,A:A,A1131)&gt;0,ABS((SUMIFS(P:P,A:A,A1131)/VLOOKUP("USD",'Exchange Rates'!B:C,2,0)))/S1131,"."),".")</f>
        <v>.</v>
      </c>
      <c r="AZ1131" s="182" t="str">
        <f>IF(AND(AD1131=1,D1131="Military",H1131&lt;&gt;"Not given")=TRUE,IF(SUMIFS(P:P,A:A,A1131)&gt;0,IF((ABS((SUMIFS(P:P,A:A,A1131)/VLOOKUP("USD",'Exchange Rates'!B:C,2,0)))/S1131)&gt;1,(SUMIFS(P:P,A:A,A1131)-S1131)/S1131,(S1131-SUMIFS(P:P,A:A,A1131))/SUMIFS(P:P,A:A,A1131)),"."),".")</f>
        <v>.</v>
      </c>
      <c r="BA1131" s="182"/>
      <c r="BB1131" s="182"/>
      <c r="BC1131" s="182"/>
      <c r="BD1131" s="182"/>
      <c r="BE1131" s="182"/>
      <c r="BF1131" s="182"/>
      <c r="BG1131" s="182"/>
      <c r="BH1131" s="182"/>
      <c r="BI1131" s="182"/>
      <c r="BJ1131" s="182"/>
      <c r="BK1131" s="182"/>
      <c r="BL1131" s="182"/>
      <c r="BM1131" s="182"/>
      <c r="BN1131" s="182"/>
      <c r="BO1131" s="182"/>
      <c r="BP1131" s="182"/>
      <c r="BQ1131" s="182"/>
      <c r="BR1131" s="182"/>
      <c r="BS1131" s="182"/>
    </row>
    <row r="1132" spans="1:71" ht="15.9" customHeight="1" x14ac:dyDescent="0.3">
      <c r="A1132" s="5" t="s">
        <v>3065</v>
      </c>
      <c r="B1132" s="5" t="s">
        <v>3038</v>
      </c>
      <c r="C1132" s="174">
        <v>44713</v>
      </c>
      <c r="D1132" s="5" t="s">
        <v>285</v>
      </c>
      <c r="E1132" s="5" t="s">
        <v>1328</v>
      </c>
      <c r="F1132" s="175" t="s">
        <v>3149</v>
      </c>
      <c r="G1132" s="15" t="s">
        <v>346</v>
      </c>
      <c r="H1132" s="176">
        <v>700000000</v>
      </c>
      <c r="I1132" s="185" t="s">
        <v>464</v>
      </c>
      <c r="J1132" s="113" t="str">
        <f>VLOOKUP($I1132,'Price List, Weapons &amp; Items'!B:C,2,0)</f>
        <v>Military equipment</v>
      </c>
      <c r="K1132" s="113" t="str">
        <f>IF(I1132=".",I1132,VLOOKUP($I1132,'Price List, Weapons &amp; Items'!B:D,3,0))</f>
        <v>spare parts</v>
      </c>
      <c r="L1132" s="177">
        <f>VLOOKUP(I1132,'Price List, Weapons &amp; Items'!B:E,4,0)</f>
        <v>0</v>
      </c>
      <c r="M1132" s="542" t="s">
        <v>270</v>
      </c>
      <c r="N1132" s="542" t="s">
        <v>270</v>
      </c>
      <c r="O1132" s="543" t="str">
        <f>VLOOKUP($I1132,'Price List, Weapons &amp; Items'!B:G,6,0)</f>
        <v>.</v>
      </c>
      <c r="P1132" s="176" t="str">
        <f t="shared" si="262"/>
        <v>.</v>
      </c>
      <c r="Q1132" s="176" t="str">
        <f t="shared" si="263"/>
        <v>.</v>
      </c>
      <c r="R1132" s="176" t="str">
        <f t="shared" si="265"/>
        <v/>
      </c>
      <c r="S1132" s="176" t="str">
        <f>IF(AND(AD1132=1,R1132&lt;&gt;".")=TRUE,R1132/VLOOKUP(G1132,'Exchange Rates'!B:C,2,0),IF(R1132=".",".",""))</f>
        <v/>
      </c>
      <c r="T1132" s="176" t="str">
        <f>IF(AD1132=1,IF(AF1132="Value is not given at all",".",IF(AF1132="Value is given by the source",S1132,IF(AF1132="Value is calculated with prices",(IF(SUMIFS(Q:Q,A:A,A1132)&gt;0,SUMIFS(Q:Q,A:A,A1132),"."))/VLOOKUP("USD",'Exchange Rates'!B:C,2,0),"Error with coding"))),"")</f>
        <v/>
      </c>
      <c r="U1132" s="15" t="s">
        <v>261</v>
      </c>
      <c r="V1132" s="547" t="s">
        <v>3047</v>
      </c>
      <c r="W1132" s="667" t="s">
        <v>3044</v>
      </c>
      <c r="X1132" s="667" t="s">
        <v>3047</v>
      </c>
      <c r="Y1132" s="667" t="s">
        <v>3165</v>
      </c>
      <c r="Z1132" s="15">
        <v>0</v>
      </c>
      <c r="AA1132" s="180">
        <v>0</v>
      </c>
      <c r="AB1132" s="667" t="s">
        <v>3166</v>
      </c>
      <c r="AC1132" s="544" t="str">
        <f>""</f>
        <v/>
      </c>
      <c r="AD1132" s="183">
        <v>0</v>
      </c>
      <c r="AE1132" s="586" t="s">
        <v>264</v>
      </c>
      <c r="AF1132" s="181" t="s">
        <v>264</v>
      </c>
      <c r="AG1132" s="183">
        <v>1</v>
      </c>
      <c r="AH1132" s="183">
        <v>6</v>
      </c>
      <c r="AI1132" s="183">
        <v>0</v>
      </c>
      <c r="AJ1132" s="181">
        <f>VLOOKUP($I1132,'Price List, Weapons &amp; Items'!B:F,5,0)</f>
        <v>0</v>
      </c>
      <c r="AK1132" s="181">
        <f t="shared" si="252"/>
        <v>0</v>
      </c>
      <c r="AL1132" s="181">
        <f t="shared" si="253"/>
        <v>0</v>
      </c>
      <c r="AM1132" s="181">
        <f t="shared" si="254"/>
        <v>0</v>
      </c>
      <c r="AN1132" s="180" t="str">
        <f>VLOOKUP($I1132,'Price List, Weapons &amp; Items'!B:L,COLUMN('Price List, Weapons &amp; Items'!$J$11)-1,0)</f>
        <v>.</v>
      </c>
      <c r="AO1132" s="180" t="str">
        <f>IF(I1132=".",".",VLOOKUP($I1132,'Price List, Weapons &amp; Items'!B:J,3,0))</f>
        <v>spare parts</v>
      </c>
      <c r="AP1132" s="545" t="str">
        <f t="shared" ca="1" si="264"/>
        <v/>
      </c>
      <c r="AQ1132" s="180" t="str">
        <f>VLOOKUP($I1132,'Price List, Weapons &amp; Items'!B:L,COLUMN('Price List, Weapons &amp; Items'!$L$11)-1,0)</f>
        <v>no price, 0 count</v>
      </c>
      <c r="AR1132" s="180">
        <f t="shared" si="255"/>
        <v>1</v>
      </c>
      <c r="AS1132" s="180">
        <f t="shared" si="256"/>
        <v>1</v>
      </c>
      <c r="AT1132" s="180">
        <f t="shared" si="258"/>
        <v>1</v>
      </c>
      <c r="AU1132" s="180" t="str">
        <f t="shared" si="259"/>
        <v>.</v>
      </c>
      <c r="AV1132" s="180" t="str">
        <f t="shared" si="260"/>
        <v>.</v>
      </c>
      <c r="AW1132" s="180">
        <f>IFERROR(VLOOKUP(B1132,'Share, Heavy Weapons to Ukraine'!B:J,COLUMN('Share, Heavy Weapons to Ukraine'!C1142)-1,0),0)</f>
        <v>1</v>
      </c>
      <c r="AX1132" s="180">
        <f>VLOOKUP('Bilateral Assistance, MAIN DATA'!B1132,'Country Summary'!B:F,COLUMN('Country Summary'!C1145)-1,FALSE)</f>
        <v>0</v>
      </c>
      <c r="AY1132" s="180" t="str">
        <f>IF(AND(AD1132=1,D1132="Military",H1132&lt;&gt;"Not given")=TRUE,IF(SUMIFS(P:P,A:A,A1132)&gt;0,ABS((SUMIFS(P:P,A:A,A1132)/VLOOKUP("USD",'Exchange Rates'!B:C,2,0)))/S1132,"."),".")</f>
        <v>.</v>
      </c>
      <c r="AZ1132" s="182" t="str">
        <f>IF(AND(AD1132=1,D1132="Military",H1132&lt;&gt;"Not given")=TRUE,IF(SUMIFS(P:P,A:A,A1132)&gt;0,IF((ABS((SUMIFS(P:P,A:A,A1132)/VLOOKUP("USD",'Exchange Rates'!B:C,2,0)))/S1132)&gt;1,(SUMIFS(P:P,A:A,A1132)-S1132)/S1132,(S1132-SUMIFS(P:P,A:A,A1132))/SUMIFS(P:P,A:A,A1132)),"."),".")</f>
        <v>.</v>
      </c>
      <c r="BA1132" s="182"/>
      <c r="BB1132" s="182"/>
      <c r="BC1132" s="182"/>
      <c r="BD1132" s="182"/>
      <c r="BE1132" s="182"/>
      <c r="BF1132" s="182"/>
      <c r="BG1132" s="182"/>
      <c r="BH1132" s="182"/>
      <c r="BI1132" s="182"/>
      <c r="BJ1132" s="182"/>
      <c r="BK1132" s="182"/>
      <c r="BL1132" s="182"/>
      <c r="BM1132" s="182"/>
      <c r="BN1132" s="182"/>
      <c r="BO1132" s="182"/>
      <c r="BP1132" s="182"/>
      <c r="BQ1132" s="182"/>
      <c r="BR1132" s="182"/>
      <c r="BS1132" s="182"/>
    </row>
    <row r="1133" spans="1:71" ht="15.9" customHeight="1" x14ac:dyDescent="0.3">
      <c r="A1133" s="5" t="s">
        <v>3065</v>
      </c>
      <c r="B1133" s="5" t="s">
        <v>3038</v>
      </c>
      <c r="C1133" s="174">
        <v>44727</v>
      </c>
      <c r="D1133" s="5" t="s">
        <v>285</v>
      </c>
      <c r="E1133" s="5" t="s">
        <v>1328</v>
      </c>
      <c r="F1133" s="175" t="s">
        <v>3167</v>
      </c>
      <c r="G1133" s="15" t="s">
        <v>346</v>
      </c>
      <c r="H1133" s="176">
        <v>350000000</v>
      </c>
      <c r="I1133" s="185" t="s">
        <v>318</v>
      </c>
      <c r="J1133" s="113" t="str">
        <f>VLOOKUP($I1133,'Price List, Weapons &amp; Items'!B:C,2,0)</f>
        <v>Heavy weapon</v>
      </c>
      <c r="K1133" s="113" t="str">
        <f>IF(I1133=".",I1133,VLOOKUP($I1133,'Price List, Weapons &amp; Items'!B:D,3,0))</f>
        <v>155mm howitzer</v>
      </c>
      <c r="L1133" s="177">
        <f>VLOOKUP(I1133,'Price List, Weapons &amp; Items'!B:E,4,0)</f>
        <v>0</v>
      </c>
      <c r="M1133" s="542">
        <v>18</v>
      </c>
      <c r="N1133" s="542">
        <v>18</v>
      </c>
      <c r="O1133" s="543">
        <f>VLOOKUP($I1133,'Price List, Weapons &amp; Items'!B:G,6,0)</f>
        <v>5170000</v>
      </c>
      <c r="P1133" s="176">
        <f t="shared" si="262"/>
        <v>93060000</v>
      </c>
      <c r="Q1133" s="176">
        <f t="shared" si="263"/>
        <v>93060000</v>
      </c>
      <c r="R1133" s="176" t="str">
        <f t="shared" si="265"/>
        <v/>
      </c>
      <c r="S1133" s="176" t="str">
        <f>IF(AND(AD1133=1,R1133&lt;&gt;".")=TRUE,R1133/VLOOKUP(G1133,'Exchange Rates'!B:C,2,0),IF(R1133=".",".",""))</f>
        <v/>
      </c>
      <c r="T1133" s="176" t="str">
        <f>IF(AD1133=1,IF(AF1133="Value is not given at all",".",IF(AF1133="Value is given by the source",S1133,IF(AF1133="Value is calculated with prices",(IF(SUMIFS(Q:Q,A:A,A1133)&gt;0,SUMIFS(Q:Q,A:A,A1133),"."))/VLOOKUP("USD",'Exchange Rates'!B:C,2,0),"Error with coding"))),"")</f>
        <v/>
      </c>
      <c r="U1133" s="15" t="s">
        <v>261</v>
      </c>
      <c r="V1133" s="547" t="s">
        <v>3168</v>
      </c>
      <c r="W1133" s="667" t="s">
        <v>3044</v>
      </c>
      <c r="X1133" s="667" t="s">
        <v>3047</v>
      </c>
      <c r="Y1133" s="667" t="s">
        <v>3166</v>
      </c>
      <c r="Z1133" s="15">
        <v>0</v>
      </c>
      <c r="AA1133" s="180">
        <v>0</v>
      </c>
      <c r="AB1133" s="667" t="s">
        <v>3169</v>
      </c>
      <c r="AC1133" s="544" t="str">
        <f>""</f>
        <v/>
      </c>
      <c r="AD1133" s="183">
        <v>0</v>
      </c>
      <c r="AE1133" s="586" t="s">
        <v>264</v>
      </c>
      <c r="AF1133" s="181" t="s">
        <v>264</v>
      </c>
      <c r="AG1133" s="183">
        <v>1</v>
      </c>
      <c r="AH1133" s="183">
        <v>6</v>
      </c>
      <c r="AI1133" s="183">
        <v>0</v>
      </c>
      <c r="AJ1133" s="181">
        <f>VLOOKUP($I1133,'Price List, Weapons &amp; Items'!B:F,5,0)</f>
        <v>1</v>
      </c>
      <c r="AK1133" s="181">
        <f t="shared" si="252"/>
        <v>0</v>
      </c>
      <c r="AL1133" s="181">
        <f t="shared" si="253"/>
        <v>0</v>
      </c>
      <c r="AM1133" s="181">
        <f t="shared" si="254"/>
        <v>0</v>
      </c>
      <c r="AN1133" s="180" t="str">
        <f>VLOOKUP($I1133,'Price List, Weapons &amp; Items'!B:L,COLUMN('Price List, Weapons &amp; Items'!$J$11)-1,0)</f>
        <v>Military media (incl. websites)</v>
      </c>
      <c r="AO1133" s="180" t="str">
        <f>IF(I1133=".",".",VLOOKUP($I1133,'Price List, Weapons &amp; Items'!B:J,3,0))</f>
        <v>155mm howitzer</v>
      </c>
      <c r="AP1133" s="545" t="str">
        <f t="shared" ca="1" si="264"/>
        <v/>
      </c>
      <c r="AQ1133" s="180">
        <f>VLOOKUP($I1133,'Price List, Weapons &amp; Items'!B:L,COLUMN('Price List, Weapons &amp; Items'!$L$11)-1,0)</f>
        <v>2</v>
      </c>
      <c r="AR1133" s="180">
        <f t="shared" si="255"/>
        <v>1</v>
      </c>
      <c r="AS1133" s="180">
        <f t="shared" si="256"/>
        <v>1</v>
      </c>
      <c r="AT1133" s="180">
        <f t="shared" si="258"/>
        <v>1</v>
      </c>
      <c r="AU1133" s="180" t="str">
        <f t="shared" si="259"/>
        <v>.</v>
      </c>
      <c r="AV1133" s="180" t="str">
        <f t="shared" si="260"/>
        <v>.</v>
      </c>
      <c r="AW1133" s="180">
        <f>IFERROR(VLOOKUP(B1133,'Share, Heavy Weapons to Ukraine'!B:J,COLUMN('Share, Heavy Weapons to Ukraine'!C1143)-1,0),0)</f>
        <v>1</v>
      </c>
      <c r="AX1133" s="180">
        <f>VLOOKUP('Bilateral Assistance, MAIN DATA'!B1133,'Country Summary'!B:F,COLUMN('Country Summary'!C1146)-1,FALSE)</f>
        <v>0</v>
      </c>
      <c r="AY1133" s="180" t="str">
        <f>IF(AND(AD1133=1,D1133="Military",H1133&lt;&gt;"Not given")=TRUE,IF(SUMIFS(P:P,A:A,A1133)&gt;0,ABS((SUMIFS(P:P,A:A,A1133)/VLOOKUP("USD",'Exchange Rates'!B:C,2,0)))/S1133,"."),".")</f>
        <v>.</v>
      </c>
      <c r="AZ1133" s="182" t="str">
        <f>IF(AND(AD1133=1,D1133="Military",H1133&lt;&gt;"Not given")=TRUE,IF(SUMIFS(P:P,A:A,A1133)&gt;0,IF((ABS((SUMIFS(P:P,A:A,A1133)/VLOOKUP("USD",'Exchange Rates'!B:C,2,0)))/S1133)&gt;1,(SUMIFS(P:P,A:A,A1133)-S1133)/S1133,(S1133-SUMIFS(P:P,A:A,A1133))/SUMIFS(P:P,A:A,A1133)),"."),".")</f>
        <v>.</v>
      </c>
      <c r="BA1133" s="182"/>
      <c r="BB1133" s="182"/>
      <c r="BC1133" s="182"/>
      <c r="BD1133" s="182"/>
      <c r="BE1133" s="182"/>
      <c r="BF1133" s="182"/>
      <c r="BG1133" s="182"/>
      <c r="BH1133" s="182"/>
      <c r="BI1133" s="182"/>
      <c r="BJ1133" s="182"/>
      <c r="BK1133" s="182"/>
      <c r="BL1133" s="182"/>
      <c r="BM1133" s="182"/>
      <c r="BN1133" s="182"/>
      <c r="BO1133" s="182"/>
      <c r="BP1133" s="182"/>
      <c r="BQ1133" s="182"/>
      <c r="BR1133" s="182"/>
      <c r="BS1133" s="182"/>
    </row>
    <row r="1134" spans="1:71" ht="15.9" customHeight="1" x14ac:dyDescent="0.3">
      <c r="A1134" s="5" t="s">
        <v>3065</v>
      </c>
      <c r="B1134" s="5" t="s">
        <v>3038</v>
      </c>
      <c r="C1134" s="174">
        <v>44727</v>
      </c>
      <c r="D1134" s="5" t="s">
        <v>285</v>
      </c>
      <c r="E1134" s="5" t="s">
        <v>1328</v>
      </c>
      <c r="F1134" s="175" t="s">
        <v>3167</v>
      </c>
      <c r="G1134" s="15" t="s">
        <v>346</v>
      </c>
      <c r="H1134" s="176">
        <v>350000000</v>
      </c>
      <c r="I1134" s="185" t="s">
        <v>644</v>
      </c>
      <c r="J1134" s="113" t="str">
        <f>VLOOKUP($I1134,'Price List, Weapons &amp; Items'!B:C,2,0)</f>
        <v>Ammunition for heavy weapon</v>
      </c>
      <c r="K1134" s="113" t="str">
        <f>IF(I1134=".",I1134,VLOOKUP($I1134,'Price List, Weapons &amp; Items'!B:D,3,0))</f>
        <v>155mm howitzer ammunition</v>
      </c>
      <c r="L1134" s="177">
        <f>VLOOKUP(I1134,'Price List, Weapons &amp; Items'!B:E,4,0)</f>
        <v>0</v>
      </c>
      <c r="M1134" s="542">
        <v>36000</v>
      </c>
      <c r="N1134" s="542">
        <v>3600</v>
      </c>
      <c r="O1134" s="543">
        <f>VLOOKUP($I1134,'Price List, Weapons &amp; Items'!B:G,6,0)</f>
        <v>3800</v>
      </c>
      <c r="P1134" s="176">
        <f t="shared" si="262"/>
        <v>136800000</v>
      </c>
      <c r="Q1134" s="176">
        <f t="shared" si="263"/>
        <v>13680000</v>
      </c>
      <c r="R1134" s="176" t="str">
        <f t="shared" si="265"/>
        <v/>
      </c>
      <c r="S1134" s="176" t="str">
        <f>IF(AND(AD1134=1,R1134&lt;&gt;".")=TRUE,R1134/VLOOKUP(G1134,'Exchange Rates'!B:C,2,0),IF(R1134=".",".",""))</f>
        <v/>
      </c>
      <c r="T1134" s="176" t="str">
        <f>IF(AD1134=1,IF(AF1134="Value is not given at all",".",IF(AF1134="Value is given by the source",S1134,IF(AF1134="Value is calculated with prices",(IF(SUMIFS(Q:Q,A:A,A1134)&gt;0,SUMIFS(Q:Q,A:A,A1134),"."))/VLOOKUP("USD",'Exchange Rates'!B:C,2,0),"Error with coding"))),"")</f>
        <v/>
      </c>
      <c r="U1134" s="15" t="s">
        <v>261</v>
      </c>
      <c r="V1134" s="547" t="s">
        <v>3168</v>
      </c>
      <c r="W1134" s="667" t="s">
        <v>3044</v>
      </c>
      <c r="X1134" s="667" t="s">
        <v>3047</v>
      </c>
      <c r="Y1134" s="667" t="s">
        <v>3169</v>
      </c>
      <c r="Z1134" s="15">
        <v>0</v>
      </c>
      <c r="AA1134" s="180">
        <v>0</v>
      </c>
      <c r="AB1134" s="667" t="s">
        <v>3170</v>
      </c>
      <c r="AC1134" s="544" t="str">
        <f>""</f>
        <v/>
      </c>
      <c r="AD1134" s="183">
        <v>0</v>
      </c>
      <c r="AE1134" s="586" t="s">
        <v>264</v>
      </c>
      <c r="AF1134" s="181" t="s">
        <v>264</v>
      </c>
      <c r="AG1134" s="183">
        <v>1</v>
      </c>
      <c r="AH1134" s="183">
        <v>6</v>
      </c>
      <c r="AI1134" s="183">
        <v>0</v>
      </c>
      <c r="AJ1134" s="181">
        <f>VLOOKUP($I1134,'Price List, Weapons &amp; Items'!B:F,5,0)</f>
        <v>1</v>
      </c>
      <c r="AK1134" s="181">
        <f t="shared" si="252"/>
        <v>0</v>
      </c>
      <c r="AL1134" s="181">
        <f t="shared" si="253"/>
        <v>0</v>
      </c>
      <c r="AM1134" s="181">
        <f t="shared" si="254"/>
        <v>0</v>
      </c>
      <c r="AN1134" s="180" t="str">
        <f>VLOOKUP($I1134,'Price List, Weapons &amp; Items'!B:L,COLUMN('Price List, Weapons &amp; Items'!$J$11)-1,0)</f>
        <v>Government information</v>
      </c>
      <c r="AO1134" s="180" t="str">
        <f>IF(I1134=".",".",VLOOKUP($I1134,'Price List, Weapons &amp; Items'!B:J,3,0))</f>
        <v>155mm howitzer ammunition</v>
      </c>
      <c r="AP1134" s="545" t="str">
        <f t="shared" ca="1" si="264"/>
        <v/>
      </c>
      <c r="AQ1134" s="180">
        <f>VLOOKUP($I1134,'Price List, Weapons &amp; Items'!B:L,COLUMN('Price List, Weapons &amp; Items'!$L$11)-1,0)</f>
        <v>2</v>
      </c>
      <c r="AR1134" s="180">
        <f t="shared" si="255"/>
        <v>1</v>
      </c>
      <c r="AS1134" s="180">
        <f t="shared" si="256"/>
        <v>1</v>
      </c>
      <c r="AT1134" s="180">
        <f t="shared" si="258"/>
        <v>1</v>
      </c>
      <c r="AU1134" s="180" t="str">
        <f t="shared" si="259"/>
        <v>.</v>
      </c>
      <c r="AV1134" s="180" t="str">
        <f t="shared" si="260"/>
        <v>.</v>
      </c>
      <c r="AW1134" s="180">
        <f>IFERROR(VLOOKUP(B1134,'Share, Heavy Weapons to Ukraine'!B:J,COLUMN('Share, Heavy Weapons to Ukraine'!C1144)-1,0),0)</f>
        <v>1</v>
      </c>
      <c r="AX1134" s="180">
        <f>VLOOKUP('Bilateral Assistance, MAIN DATA'!B1134,'Country Summary'!B:F,COLUMN('Country Summary'!C1147)-1,FALSE)</f>
        <v>0</v>
      </c>
      <c r="AY1134" s="180" t="str">
        <f>IF(AND(AD1134=1,D1134="Military",H1134&lt;&gt;"Not given")=TRUE,IF(SUMIFS(P:P,A:A,A1134)&gt;0,ABS((SUMIFS(P:P,A:A,A1134)/VLOOKUP("USD",'Exchange Rates'!B:C,2,0)))/S1134,"."),".")</f>
        <v>.</v>
      </c>
      <c r="AZ1134" s="182" t="str">
        <f>IF(AND(AD1134=1,D1134="Military",H1134&lt;&gt;"Not given")=TRUE,IF(SUMIFS(P:P,A:A,A1134)&gt;0,IF((ABS((SUMIFS(P:P,A:A,A1134)/VLOOKUP("USD",'Exchange Rates'!B:C,2,0)))/S1134)&gt;1,(SUMIFS(P:P,A:A,A1134)-S1134)/S1134,(S1134-SUMIFS(P:P,A:A,A1134))/SUMIFS(P:P,A:A,A1134)),"."),".")</f>
        <v>.</v>
      </c>
      <c r="BA1134" s="182"/>
      <c r="BB1134" s="182"/>
      <c r="BC1134" s="182"/>
      <c r="BD1134" s="182"/>
      <c r="BE1134" s="182"/>
      <c r="BF1134" s="182"/>
      <c r="BG1134" s="182"/>
      <c r="BH1134" s="182"/>
      <c r="BI1134" s="182"/>
      <c r="BJ1134" s="182"/>
      <c r="BK1134" s="182"/>
      <c r="BL1134" s="182"/>
      <c r="BM1134" s="182"/>
      <c r="BN1134" s="182"/>
      <c r="BO1134" s="182"/>
      <c r="BP1134" s="182"/>
      <c r="BQ1134" s="182"/>
      <c r="BR1134" s="182"/>
      <c r="BS1134" s="182"/>
    </row>
    <row r="1135" spans="1:71" ht="15.9" customHeight="1" x14ac:dyDescent="0.3">
      <c r="A1135" s="5" t="s">
        <v>3065</v>
      </c>
      <c r="B1135" s="5" t="s">
        <v>3038</v>
      </c>
      <c r="C1135" s="174">
        <v>44727</v>
      </c>
      <c r="D1135" s="5" t="s">
        <v>285</v>
      </c>
      <c r="E1135" s="5" t="s">
        <v>1328</v>
      </c>
      <c r="F1135" s="175" t="s">
        <v>3167</v>
      </c>
      <c r="G1135" s="15" t="s">
        <v>346</v>
      </c>
      <c r="H1135" s="176">
        <v>350000000</v>
      </c>
      <c r="I1135" s="185" t="s">
        <v>3127</v>
      </c>
      <c r="J1135" s="113" t="str">
        <f>VLOOKUP($I1135,'Price List, Weapons &amp; Items'!B:C,2,0)</f>
        <v>Military equipment</v>
      </c>
      <c r="K1135" s="113" t="str">
        <f>IF(I1135=".",I1135,VLOOKUP($I1135,'Price List, Weapons &amp; Items'!B:D,3,0))</f>
        <v>Military equipment</v>
      </c>
      <c r="L1135" s="177">
        <f>VLOOKUP(I1135,'Price List, Weapons &amp; Items'!B:E,4,0)</f>
        <v>0</v>
      </c>
      <c r="M1135" s="542">
        <v>18</v>
      </c>
      <c r="N1135" s="542">
        <v>18</v>
      </c>
      <c r="O1135" s="543">
        <f>VLOOKUP($I1135,'Price List, Weapons &amp; Items'!B:G,6,0)</f>
        <v>350000</v>
      </c>
      <c r="P1135" s="176">
        <f t="shared" si="262"/>
        <v>6300000</v>
      </c>
      <c r="Q1135" s="176">
        <f t="shared" si="263"/>
        <v>6300000</v>
      </c>
      <c r="R1135" s="176" t="str">
        <f t="shared" si="265"/>
        <v/>
      </c>
      <c r="S1135" s="176" t="str">
        <f>IF(AND(AD1135=1,R1135&lt;&gt;".")=TRUE,R1135/VLOOKUP(G1135,'Exchange Rates'!B:C,2,0),IF(R1135=".",".",""))</f>
        <v/>
      </c>
      <c r="T1135" s="176" t="str">
        <f>IF(AD1135=1,IF(AF1135="Value is not given at all",".",IF(AF1135="Value is given by the source",S1135,IF(AF1135="Value is calculated with prices",(IF(SUMIFS(Q:Q,A:A,A1135)&gt;0,SUMIFS(Q:Q,A:A,A1135),"."))/VLOOKUP("USD",'Exchange Rates'!B:C,2,0),"Error with coding"))),"")</f>
        <v/>
      </c>
      <c r="U1135" s="15" t="s">
        <v>261</v>
      </c>
      <c r="V1135" s="547" t="s">
        <v>3168</v>
      </c>
      <c r="W1135" s="667" t="s">
        <v>3044</v>
      </c>
      <c r="X1135" s="667" t="s">
        <v>3047</v>
      </c>
      <c r="Y1135" s="667" t="s">
        <v>3170</v>
      </c>
      <c r="Z1135" s="15">
        <v>0</v>
      </c>
      <c r="AA1135" s="180">
        <v>0</v>
      </c>
      <c r="AB1135" s="667" t="s">
        <v>3171</v>
      </c>
      <c r="AC1135" s="544" t="str">
        <f>""</f>
        <v/>
      </c>
      <c r="AD1135" s="183">
        <v>0</v>
      </c>
      <c r="AE1135" s="586" t="s">
        <v>264</v>
      </c>
      <c r="AF1135" s="181" t="s">
        <v>264</v>
      </c>
      <c r="AG1135" s="183">
        <v>1</v>
      </c>
      <c r="AH1135" s="183">
        <v>6</v>
      </c>
      <c r="AI1135" s="183">
        <v>0</v>
      </c>
      <c r="AJ1135" s="181">
        <f>VLOOKUP($I1135,'Price List, Weapons &amp; Items'!B:F,5,0)</f>
        <v>0</v>
      </c>
      <c r="AK1135" s="181">
        <f t="shared" si="252"/>
        <v>0</v>
      </c>
      <c r="AL1135" s="181">
        <f t="shared" si="253"/>
        <v>0</v>
      </c>
      <c r="AM1135" s="181">
        <f t="shared" si="254"/>
        <v>0</v>
      </c>
      <c r="AN1135" s="180" t="str">
        <f>VLOOKUP($I1135,'Price List, Weapons &amp; Items'!B:L,COLUMN('Price List, Weapons &amp; Items'!$J$11)-1,0)</f>
        <v>Media reports (incl. social media)</v>
      </c>
      <c r="AO1135" s="180" t="str">
        <f>IF(I1135=".",".",VLOOKUP($I1135,'Price List, Weapons &amp; Items'!B:J,3,0))</f>
        <v>Military equipment</v>
      </c>
      <c r="AP1135" s="545" t="str">
        <f t="shared" ca="1" si="264"/>
        <v/>
      </c>
      <c r="AQ1135" s="180">
        <f>VLOOKUP($I1135,'Price List, Weapons &amp; Items'!B:L,COLUMN('Price List, Weapons &amp; Items'!$L$11)-1,0)</f>
        <v>2</v>
      </c>
      <c r="AR1135" s="180">
        <f t="shared" si="255"/>
        <v>1</v>
      </c>
      <c r="AS1135" s="180">
        <f t="shared" si="256"/>
        <v>1</v>
      </c>
      <c r="AT1135" s="180">
        <f t="shared" si="258"/>
        <v>1</v>
      </c>
      <c r="AU1135" s="180" t="str">
        <f t="shared" si="259"/>
        <v>.</v>
      </c>
      <c r="AV1135" s="180" t="str">
        <f t="shared" si="260"/>
        <v>.</v>
      </c>
      <c r="AW1135" s="180">
        <f>IFERROR(VLOOKUP(B1135,'Share, Heavy Weapons to Ukraine'!B:J,COLUMN('Share, Heavy Weapons to Ukraine'!C1145)-1,0),0)</f>
        <v>1</v>
      </c>
      <c r="AX1135" s="180">
        <f>VLOOKUP('Bilateral Assistance, MAIN DATA'!B1135,'Country Summary'!B:F,COLUMN('Country Summary'!C1148)-1,FALSE)</f>
        <v>0</v>
      </c>
      <c r="AY1135" s="180" t="str">
        <f>IF(AND(AD1135=1,D1135="Military",H1135&lt;&gt;"Not given")=TRUE,IF(SUMIFS(P:P,A:A,A1135)&gt;0,ABS((SUMIFS(P:P,A:A,A1135)/VLOOKUP("USD",'Exchange Rates'!B:C,2,0)))/S1135,"."),".")</f>
        <v>.</v>
      </c>
      <c r="AZ1135" s="182" t="str">
        <f>IF(AND(AD1135=1,D1135="Military",H1135&lt;&gt;"Not given")=TRUE,IF(SUMIFS(P:P,A:A,A1135)&gt;0,IF((ABS((SUMIFS(P:P,A:A,A1135)/VLOOKUP("USD",'Exchange Rates'!B:C,2,0)))/S1135)&gt;1,(SUMIFS(P:P,A:A,A1135)-S1135)/S1135,(S1135-SUMIFS(P:P,A:A,A1135))/SUMIFS(P:P,A:A,A1135)),"."),".")</f>
        <v>.</v>
      </c>
      <c r="BA1135" s="182"/>
      <c r="BB1135" s="182"/>
      <c r="BC1135" s="182"/>
      <c r="BD1135" s="182"/>
      <c r="BE1135" s="182"/>
      <c r="BF1135" s="182"/>
      <c r="BG1135" s="182"/>
      <c r="BH1135" s="182"/>
      <c r="BI1135" s="182"/>
      <c r="BJ1135" s="182"/>
      <c r="BK1135" s="182"/>
      <c r="BL1135" s="182"/>
      <c r="BM1135" s="182"/>
      <c r="BN1135" s="182"/>
      <c r="BO1135" s="182"/>
      <c r="BP1135" s="182"/>
      <c r="BQ1135" s="182"/>
      <c r="BR1135" s="182"/>
      <c r="BS1135" s="182"/>
    </row>
    <row r="1136" spans="1:71" ht="15.9" customHeight="1" x14ac:dyDescent="0.3">
      <c r="A1136" s="5" t="s">
        <v>3065</v>
      </c>
      <c r="B1136" s="5" t="s">
        <v>3038</v>
      </c>
      <c r="C1136" s="174">
        <v>44727</v>
      </c>
      <c r="D1136" s="5" t="s">
        <v>285</v>
      </c>
      <c r="E1136" s="5" t="s">
        <v>1328</v>
      </c>
      <c r="F1136" s="175" t="s">
        <v>3167</v>
      </c>
      <c r="G1136" s="15" t="s">
        <v>346</v>
      </c>
      <c r="H1136" s="176">
        <v>350000000</v>
      </c>
      <c r="I1136" s="185" t="s">
        <v>3172</v>
      </c>
      <c r="J1136" s="113" t="str">
        <f>VLOOKUP($I1136,'Price List, Weapons &amp; Items'!B:C,2,0)</f>
        <v>Ammunition for heavy weapon</v>
      </c>
      <c r="K1136" s="113" t="str">
        <f>IF(I1136=".",I1136,VLOOKUP($I1136,'Price List, Weapons &amp; Items'!B:D,3,0))</f>
        <v>227mm MLRS ammunition</v>
      </c>
      <c r="L1136" s="177">
        <f>VLOOKUP(I1136,'Price List, Weapons &amp; Items'!B:E,4,0)</f>
        <v>0</v>
      </c>
      <c r="M1136" s="542" t="s">
        <v>270</v>
      </c>
      <c r="N1136" s="542" t="s">
        <v>270</v>
      </c>
      <c r="O1136" s="543">
        <f>VLOOKUP($I1136,'Price List, Weapons &amp; Items'!B:G,6,0)</f>
        <v>150000</v>
      </c>
      <c r="P1136" s="176" t="str">
        <f t="shared" si="262"/>
        <v>.</v>
      </c>
      <c r="Q1136" s="176" t="str">
        <f t="shared" si="263"/>
        <v>.</v>
      </c>
      <c r="R1136" s="176" t="str">
        <f t="shared" si="265"/>
        <v/>
      </c>
      <c r="S1136" s="176" t="str">
        <f>IF(AND(AD1136=1,R1136&lt;&gt;".")=TRUE,R1136/VLOOKUP(G1136,'Exchange Rates'!B:C,2,0),IF(R1136=".",".",""))</f>
        <v/>
      </c>
      <c r="T1136" s="176" t="str">
        <f>IF(AD1136=1,IF(AF1136="Value is not given at all",".",IF(AF1136="Value is given by the source",S1136,IF(AF1136="Value is calculated with prices",(IF(SUMIFS(Q:Q,A:A,A1136)&gt;0,SUMIFS(Q:Q,A:A,A1136),"."))/VLOOKUP("USD",'Exchange Rates'!B:C,2,0),"Error with coding"))),"")</f>
        <v/>
      </c>
      <c r="U1136" s="15" t="s">
        <v>261</v>
      </c>
      <c r="V1136" s="547" t="s">
        <v>3168</v>
      </c>
      <c r="W1136" s="667" t="s">
        <v>3044</v>
      </c>
      <c r="X1136" s="667" t="s">
        <v>3047</v>
      </c>
      <c r="Y1136" s="667" t="s">
        <v>3171</v>
      </c>
      <c r="Z1136" s="15">
        <v>0</v>
      </c>
      <c r="AA1136" s="180">
        <v>0</v>
      </c>
      <c r="AB1136" s="667" t="s">
        <v>3173</v>
      </c>
      <c r="AC1136" s="544" t="str">
        <f>""</f>
        <v/>
      </c>
      <c r="AD1136" s="183">
        <v>0</v>
      </c>
      <c r="AE1136" s="586" t="s">
        <v>264</v>
      </c>
      <c r="AF1136" s="181" t="s">
        <v>264</v>
      </c>
      <c r="AG1136" s="183">
        <v>1</v>
      </c>
      <c r="AH1136" s="183">
        <v>6</v>
      </c>
      <c r="AI1136" s="183">
        <v>0</v>
      </c>
      <c r="AJ1136" s="181">
        <f>VLOOKUP($I1136,'Price List, Weapons &amp; Items'!B:F,5,0)</f>
        <v>1</v>
      </c>
      <c r="AK1136" s="181">
        <f t="shared" si="252"/>
        <v>1</v>
      </c>
      <c r="AL1136" s="181">
        <f t="shared" si="253"/>
        <v>1</v>
      </c>
      <c r="AM1136" s="181">
        <f t="shared" si="254"/>
        <v>1</v>
      </c>
      <c r="AN1136" s="180" t="str">
        <f>VLOOKUP($I1136,'Price List, Weapons &amp; Items'!B:L,COLUMN('Price List, Weapons &amp; Items'!$J$11)-1,0)</f>
        <v>Media reports (incl. social media)</v>
      </c>
      <c r="AO1136" s="180" t="str">
        <f>IF(I1136=".",".",VLOOKUP($I1136,'Price List, Weapons &amp; Items'!B:J,3,0))</f>
        <v>227mm MLRS ammunition</v>
      </c>
      <c r="AP1136" s="545" t="str">
        <f t="shared" ca="1" si="264"/>
        <v/>
      </c>
      <c r="AQ1136" s="180" t="str">
        <f>VLOOKUP($I1136,'Price List, Weapons &amp; Items'!B:L,COLUMN('Price List, Weapons &amp; Items'!$L$11)-1,0)</f>
        <v>no price, 0 count</v>
      </c>
      <c r="AR1136" s="180">
        <f t="shared" si="255"/>
        <v>1</v>
      </c>
      <c r="AS1136" s="180">
        <f t="shared" si="256"/>
        <v>1</v>
      </c>
      <c r="AT1136" s="180">
        <f t="shared" si="258"/>
        <v>1</v>
      </c>
      <c r="AU1136" s="180" t="str">
        <f t="shared" si="259"/>
        <v>.</v>
      </c>
      <c r="AV1136" s="180" t="str">
        <f t="shared" si="260"/>
        <v>.</v>
      </c>
      <c r="AW1136" s="180">
        <f>IFERROR(VLOOKUP(B1136,'Share, Heavy Weapons to Ukraine'!B:J,COLUMN('Share, Heavy Weapons to Ukraine'!C1146)-1,0),0)</f>
        <v>1</v>
      </c>
      <c r="AX1136" s="180">
        <f>VLOOKUP('Bilateral Assistance, MAIN DATA'!B1136,'Country Summary'!B:F,COLUMN('Country Summary'!C1149)-1,FALSE)</f>
        <v>0</v>
      </c>
      <c r="AY1136" s="180" t="str">
        <f>IF(AND(AD1136=1,D1136="Military",H1136&lt;&gt;"Not given")=TRUE,IF(SUMIFS(P:P,A:A,A1136)&gt;0,ABS((SUMIFS(P:P,A:A,A1136)/VLOOKUP("USD",'Exchange Rates'!B:C,2,0)))/S1136,"."),".")</f>
        <v>.</v>
      </c>
      <c r="AZ1136" s="182" t="str">
        <f>IF(AND(AD1136=1,D1136="Military",H1136&lt;&gt;"Not given")=TRUE,IF(SUMIFS(P:P,A:A,A1136)&gt;0,IF((ABS((SUMIFS(P:P,A:A,A1136)/VLOOKUP("USD",'Exchange Rates'!B:C,2,0)))/S1136)&gt;1,(SUMIFS(P:P,A:A,A1136)-S1136)/S1136,(S1136-SUMIFS(P:P,A:A,A1136))/SUMIFS(P:P,A:A,A1136)),"."),".")</f>
        <v>.</v>
      </c>
      <c r="BA1136" s="182"/>
      <c r="BB1136" s="182"/>
      <c r="BC1136" s="182"/>
      <c r="BD1136" s="182"/>
      <c r="BE1136" s="182"/>
      <c r="BF1136" s="182"/>
      <c r="BG1136" s="182"/>
      <c r="BH1136" s="182"/>
      <c r="BI1136" s="182"/>
      <c r="BJ1136" s="182"/>
      <c r="BK1136" s="182"/>
      <c r="BL1136" s="182"/>
      <c r="BM1136" s="182"/>
      <c r="BN1136" s="182"/>
      <c r="BO1136" s="182"/>
      <c r="BP1136" s="182"/>
      <c r="BQ1136" s="182"/>
      <c r="BR1136" s="182"/>
      <c r="BS1136" s="182"/>
    </row>
    <row r="1137" spans="1:71" ht="15.9" customHeight="1" x14ac:dyDescent="0.3">
      <c r="A1137" s="5" t="s">
        <v>3065</v>
      </c>
      <c r="B1137" s="5" t="s">
        <v>3038</v>
      </c>
      <c r="C1137" s="174">
        <v>44727</v>
      </c>
      <c r="D1137" s="5" t="s">
        <v>285</v>
      </c>
      <c r="E1137" s="5" t="s">
        <v>1328</v>
      </c>
      <c r="F1137" s="175" t="s">
        <v>3167</v>
      </c>
      <c r="G1137" s="15" t="s">
        <v>346</v>
      </c>
      <c r="H1137" s="176">
        <v>350000000</v>
      </c>
      <c r="I1137" s="185" t="s">
        <v>3174</v>
      </c>
      <c r="J1137" s="113" t="str">
        <f>VLOOKUP($I1137,'Price List, Weapons &amp; Items'!B:C,2,0)</f>
        <v>Military equipment</v>
      </c>
      <c r="K1137" s="113" t="str">
        <f>IF(I1137=".",I1137,VLOOKUP($I1137,'Price List, Weapons &amp; Items'!B:D,3,0))</f>
        <v>Military equipment</v>
      </c>
      <c r="L1137" s="177">
        <f>VLOOKUP(I1137,'Price List, Weapons &amp; Items'!B:E,4,0)</f>
        <v>0</v>
      </c>
      <c r="M1137" s="542">
        <v>4</v>
      </c>
      <c r="N1137" s="542">
        <v>4</v>
      </c>
      <c r="O1137" s="543">
        <f>VLOOKUP($I1137,'Price List, Weapons &amp; Items'!B:G,6,0)</f>
        <v>350000</v>
      </c>
      <c r="P1137" s="176">
        <f t="shared" si="262"/>
        <v>1400000</v>
      </c>
      <c r="Q1137" s="176">
        <f t="shared" si="263"/>
        <v>1400000</v>
      </c>
      <c r="R1137" s="176" t="str">
        <f t="shared" si="265"/>
        <v/>
      </c>
      <c r="S1137" s="176" t="str">
        <f>IF(AND(AD1137=1,R1137&lt;&gt;".")=TRUE,R1137/VLOOKUP(G1137,'Exchange Rates'!B:C,2,0),IF(R1137=".",".",""))</f>
        <v/>
      </c>
      <c r="T1137" s="176" t="str">
        <f>IF(AD1137=1,IF(AF1137="Value is not given at all",".",IF(AF1137="Value is given by the source",S1137,IF(AF1137="Value is calculated with prices",(IF(SUMIFS(Q:Q,A:A,A1137)&gt;0,SUMIFS(Q:Q,A:A,A1137),"."))/VLOOKUP("USD",'Exchange Rates'!B:C,2,0),"Error with coding"))),"")</f>
        <v/>
      </c>
      <c r="U1137" s="15" t="s">
        <v>261</v>
      </c>
      <c r="V1137" s="547" t="s">
        <v>3168</v>
      </c>
      <c r="W1137" s="667" t="s">
        <v>3044</v>
      </c>
      <c r="X1137" s="667" t="s">
        <v>3047</v>
      </c>
      <c r="Y1137" s="667" t="s">
        <v>3173</v>
      </c>
      <c r="Z1137" s="15">
        <v>0</v>
      </c>
      <c r="AA1137" s="180">
        <v>0</v>
      </c>
      <c r="AB1137" s="667" t="s">
        <v>3175</v>
      </c>
      <c r="AC1137" s="544" t="str">
        <f>""</f>
        <v/>
      </c>
      <c r="AD1137" s="183">
        <v>0</v>
      </c>
      <c r="AE1137" s="586" t="s">
        <v>264</v>
      </c>
      <c r="AF1137" s="181" t="s">
        <v>264</v>
      </c>
      <c r="AG1137" s="183">
        <v>1</v>
      </c>
      <c r="AH1137" s="183">
        <v>6</v>
      </c>
      <c r="AI1137" s="183">
        <v>0</v>
      </c>
      <c r="AJ1137" s="181">
        <f>VLOOKUP($I1137,'Price List, Weapons &amp; Items'!B:F,5,0)</f>
        <v>0</v>
      </c>
      <c r="AK1137" s="181">
        <f t="shared" si="252"/>
        <v>0</v>
      </c>
      <c r="AL1137" s="181">
        <f t="shared" si="253"/>
        <v>0</v>
      </c>
      <c r="AM1137" s="181">
        <f t="shared" si="254"/>
        <v>0</v>
      </c>
      <c r="AN1137" s="180" t="str">
        <f>VLOOKUP($I1137,'Price List, Weapons &amp; Items'!B:L,COLUMN('Price List, Weapons &amp; Items'!$J$11)-1,0)</f>
        <v>Media reports (incl. social media)</v>
      </c>
      <c r="AO1137" s="180" t="str">
        <f>IF(I1137=".",".",VLOOKUP($I1137,'Price List, Weapons &amp; Items'!B:J,3,0))</f>
        <v>Military equipment</v>
      </c>
      <c r="AP1137" s="545" t="str">
        <f t="shared" ca="1" si="264"/>
        <v/>
      </c>
      <c r="AQ1137" s="180">
        <f>VLOOKUP($I1137,'Price List, Weapons &amp; Items'!B:L,COLUMN('Price List, Weapons &amp; Items'!$L$11)-1,0)</f>
        <v>2</v>
      </c>
      <c r="AR1137" s="180">
        <f t="shared" si="255"/>
        <v>1</v>
      </c>
      <c r="AS1137" s="180">
        <f t="shared" si="256"/>
        <v>1</v>
      </c>
      <c r="AT1137" s="180">
        <f t="shared" si="258"/>
        <v>1</v>
      </c>
      <c r="AU1137" s="180" t="str">
        <f t="shared" si="259"/>
        <v>.</v>
      </c>
      <c r="AV1137" s="180" t="str">
        <f t="shared" si="260"/>
        <v>.</v>
      </c>
      <c r="AW1137" s="180">
        <f>IFERROR(VLOOKUP(B1137,'Share, Heavy Weapons to Ukraine'!B:J,COLUMN('Share, Heavy Weapons to Ukraine'!C1147)-1,0),0)</f>
        <v>1</v>
      </c>
      <c r="AX1137" s="180">
        <f>VLOOKUP('Bilateral Assistance, MAIN DATA'!B1137,'Country Summary'!B:F,COLUMN('Country Summary'!C1150)-1,FALSE)</f>
        <v>0</v>
      </c>
      <c r="AY1137" s="180" t="str">
        <f>IF(AND(AD1137=1,D1137="Military",H1137&lt;&gt;"Not given")=TRUE,IF(SUMIFS(P:P,A:A,A1137)&gt;0,ABS((SUMIFS(P:P,A:A,A1137)/VLOOKUP("USD",'Exchange Rates'!B:C,2,0)))/S1137,"."),".")</f>
        <v>.</v>
      </c>
      <c r="AZ1137" s="182" t="str">
        <f>IF(AND(AD1137=1,D1137="Military",H1137&lt;&gt;"Not given")=TRUE,IF(SUMIFS(P:P,A:A,A1137)&gt;0,IF((ABS((SUMIFS(P:P,A:A,A1137)/VLOOKUP("USD",'Exchange Rates'!B:C,2,0)))/S1137)&gt;1,(SUMIFS(P:P,A:A,A1137)-S1137)/S1137,(S1137-SUMIFS(P:P,A:A,A1137))/SUMIFS(P:P,A:A,A1137)),"."),".")</f>
        <v>.</v>
      </c>
      <c r="BA1137" s="182"/>
      <c r="BB1137" s="182"/>
      <c r="BC1137" s="182"/>
      <c r="BD1137" s="182"/>
      <c r="BE1137" s="182"/>
      <c r="BF1137" s="182"/>
      <c r="BG1137" s="182"/>
      <c r="BH1137" s="182"/>
      <c r="BI1137" s="182"/>
      <c r="BJ1137" s="182"/>
      <c r="BK1137" s="182"/>
      <c r="BL1137" s="182"/>
      <c r="BM1137" s="182"/>
      <c r="BN1137" s="182"/>
      <c r="BO1137" s="182"/>
      <c r="BP1137" s="182"/>
      <c r="BQ1137" s="182"/>
      <c r="BR1137" s="182"/>
      <c r="BS1137" s="182"/>
    </row>
    <row r="1138" spans="1:71" ht="15.9" customHeight="1" x14ac:dyDescent="0.3">
      <c r="A1138" s="5" t="s">
        <v>3065</v>
      </c>
      <c r="B1138" s="5" t="s">
        <v>3038</v>
      </c>
      <c r="C1138" s="174">
        <v>44727</v>
      </c>
      <c r="D1138" s="5" t="s">
        <v>285</v>
      </c>
      <c r="E1138" s="5" t="s">
        <v>1328</v>
      </c>
      <c r="F1138" s="175" t="s">
        <v>3167</v>
      </c>
      <c r="G1138" s="15" t="s">
        <v>346</v>
      </c>
      <c r="H1138" s="176">
        <v>350000000</v>
      </c>
      <c r="I1138" s="185" t="s">
        <v>464</v>
      </c>
      <c r="J1138" s="113" t="str">
        <f>VLOOKUP($I1138,'Price List, Weapons &amp; Items'!B:C,2,0)</f>
        <v>Military equipment</v>
      </c>
      <c r="K1138" s="113" t="str">
        <f>IF(I1138=".",I1138,VLOOKUP($I1138,'Price List, Weapons &amp; Items'!B:D,3,0))</f>
        <v>spare parts</v>
      </c>
      <c r="L1138" s="177">
        <f>VLOOKUP(I1138,'Price List, Weapons &amp; Items'!B:E,4,0)</f>
        <v>0</v>
      </c>
      <c r="M1138" s="542" t="s">
        <v>270</v>
      </c>
      <c r="N1138" s="542" t="s">
        <v>270</v>
      </c>
      <c r="O1138" s="543" t="str">
        <f>VLOOKUP($I1138,'Price List, Weapons &amp; Items'!B:G,6,0)</f>
        <v>.</v>
      </c>
      <c r="P1138" s="176" t="str">
        <f t="shared" si="262"/>
        <v>.</v>
      </c>
      <c r="Q1138" s="176" t="str">
        <f t="shared" si="263"/>
        <v>.</v>
      </c>
      <c r="R1138" s="176" t="str">
        <f t="shared" si="265"/>
        <v/>
      </c>
      <c r="S1138" s="176" t="str">
        <f>IF(AND(AD1138=1,R1138&lt;&gt;".")=TRUE,R1138/VLOOKUP(G1138,'Exchange Rates'!B:C,2,0),IF(R1138=".",".",""))</f>
        <v/>
      </c>
      <c r="T1138" s="176" t="str">
        <f>IF(AD1138=1,IF(AF1138="Value is not given at all",".",IF(AF1138="Value is given by the source",S1138,IF(AF1138="Value is calculated with prices",(IF(SUMIFS(Q:Q,A:A,A1138)&gt;0,SUMIFS(Q:Q,A:A,A1138),"."))/VLOOKUP("USD",'Exchange Rates'!B:C,2,0),"Error with coding"))),"")</f>
        <v/>
      </c>
      <c r="U1138" s="15" t="s">
        <v>261</v>
      </c>
      <c r="V1138" s="547" t="s">
        <v>3168</v>
      </c>
      <c r="W1138" s="667" t="s">
        <v>3044</v>
      </c>
      <c r="X1138" s="667" t="s">
        <v>3047</v>
      </c>
      <c r="Y1138" s="667" t="s">
        <v>3175</v>
      </c>
      <c r="Z1138" s="15">
        <v>0</v>
      </c>
      <c r="AA1138" s="180">
        <v>0</v>
      </c>
      <c r="AB1138" s="667" t="s">
        <v>3176</v>
      </c>
      <c r="AC1138" s="544" t="str">
        <f>""</f>
        <v/>
      </c>
      <c r="AD1138" s="183">
        <v>0</v>
      </c>
      <c r="AE1138" s="586" t="s">
        <v>264</v>
      </c>
      <c r="AF1138" s="181" t="s">
        <v>264</v>
      </c>
      <c r="AG1138" s="183">
        <v>1</v>
      </c>
      <c r="AH1138" s="183">
        <v>6</v>
      </c>
      <c r="AI1138" s="183">
        <v>0</v>
      </c>
      <c r="AJ1138" s="181">
        <f>VLOOKUP($I1138,'Price List, Weapons &amp; Items'!B:F,5,0)</f>
        <v>0</v>
      </c>
      <c r="AK1138" s="181">
        <f t="shared" si="252"/>
        <v>0</v>
      </c>
      <c r="AL1138" s="181">
        <f t="shared" si="253"/>
        <v>0</v>
      </c>
      <c r="AM1138" s="181">
        <f t="shared" si="254"/>
        <v>0</v>
      </c>
      <c r="AN1138" s="180" t="str">
        <f>VLOOKUP($I1138,'Price List, Weapons &amp; Items'!B:L,COLUMN('Price List, Weapons &amp; Items'!$J$11)-1,0)</f>
        <v>.</v>
      </c>
      <c r="AO1138" s="180" t="str">
        <f>IF(I1138=".",".",VLOOKUP($I1138,'Price List, Weapons &amp; Items'!B:J,3,0))</f>
        <v>spare parts</v>
      </c>
      <c r="AP1138" s="545" t="str">
        <f t="shared" ca="1" si="264"/>
        <v/>
      </c>
      <c r="AQ1138" s="180" t="str">
        <f>VLOOKUP($I1138,'Price List, Weapons &amp; Items'!B:L,COLUMN('Price List, Weapons &amp; Items'!$L$11)-1,0)</f>
        <v>no price, 0 count</v>
      </c>
      <c r="AR1138" s="180">
        <f t="shared" si="255"/>
        <v>1</v>
      </c>
      <c r="AS1138" s="180">
        <f t="shared" si="256"/>
        <v>1</v>
      </c>
      <c r="AT1138" s="180">
        <f t="shared" si="258"/>
        <v>1</v>
      </c>
      <c r="AU1138" s="180" t="str">
        <f t="shared" si="259"/>
        <v>.</v>
      </c>
      <c r="AV1138" s="180" t="str">
        <f t="shared" si="260"/>
        <v>.</v>
      </c>
      <c r="AW1138" s="180">
        <f>IFERROR(VLOOKUP(B1138,'Share, Heavy Weapons to Ukraine'!B:J,COLUMN('Share, Heavy Weapons to Ukraine'!C1148)-1,0),0)</f>
        <v>1</v>
      </c>
      <c r="AX1138" s="180">
        <f>VLOOKUP('Bilateral Assistance, MAIN DATA'!B1138,'Country Summary'!B:F,COLUMN('Country Summary'!C1151)-1,FALSE)</f>
        <v>0</v>
      </c>
      <c r="AY1138" s="180" t="str">
        <f>IF(AND(AD1138=1,D1138="Military",H1138&lt;&gt;"Not given")=TRUE,IF(SUMIFS(P:P,A:A,A1138)&gt;0,ABS((SUMIFS(P:P,A:A,A1138)/VLOOKUP("USD",'Exchange Rates'!B:C,2,0)))/S1138,"."),".")</f>
        <v>.</v>
      </c>
      <c r="AZ1138" s="182" t="str">
        <f>IF(AND(AD1138=1,D1138="Military",H1138&lt;&gt;"Not given")=TRUE,IF(SUMIFS(P:P,A:A,A1138)&gt;0,IF((ABS((SUMIFS(P:P,A:A,A1138)/VLOOKUP("USD",'Exchange Rates'!B:C,2,0)))/S1138)&gt;1,(SUMIFS(P:P,A:A,A1138)-S1138)/S1138,(S1138-SUMIFS(P:P,A:A,A1138))/SUMIFS(P:P,A:A,A1138)),"."),".")</f>
        <v>.</v>
      </c>
      <c r="BA1138" s="182"/>
      <c r="BB1138" s="182"/>
      <c r="BC1138" s="182"/>
      <c r="BD1138" s="182"/>
      <c r="BE1138" s="182"/>
      <c r="BF1138" s="182"/>
      <c r="BG1138" s="182"/>
      <c r="BH1138" s="182"/>
      <c r="BI1138" s="182"/>
      <c r="BJ1138" s="182"/>
      <c r="BK1138" s="182"/>
      <c r="BL1138" s="182"/>
      <c r="BM1138" s="182"/>
      <c r="BN1138" s="182"/>
      <c r="BO1138" s="182"/>
      <c r="BP1138" s="182"/>
      <c r="BQ1138" s="182"/>
      <c r="BR1138" s="182"/>
      <c r="BS1138" s="182"/>
    </row>
    <row r="1139" spans="1:71" ht="15.9" customHeight="1" x14ac:dyDescent="0.3">
      <c r="A1139" s="5" t="s">
        <v>3065</v>
      </c>
      <c r="B1139" s="5" t="s">
        <v>3038</v>
      </c>
      <c r="C1139" s="174">
        <v>44735</v>
      </c>
      <c r="D1139" s="5" t="s">
        <v>285</v>
      </c>
      <c r="E1139" s="5" t="s">
        <v>1328</v>
      </c>
      <c r="F1139" s="175" t="s">
        <v>3177</v>
      </c>
      <c r="G1139" s="15" t="s">
        <v>346</v>
      </c>
      <c r="H1139" s="176">
        <v>450000000</v>
      </c>
      <c r="I1139" s="185" t="s">
        <v>3150</v>
      </c>
      <c r="J1139" s="113" t="str">
        <f>VLOOKUP($I1139,'Price List, Weapons &amp; Items'!B:C,2,0)</f>
        <v>Heavy weapon</v>
      </c>
      <c r="K1139" s="113" t="str">
        <f>IF(I1139=".",I1139,VLOOKUP($I1139,'Price List, Weapons &amp; Items'!B:D,3,0))</f>
        <v>227mm MLRS</v>
      </c>
      <c r="L1139" s="177">
        <f>VLOOKUP(I1139,'Price List, Weapons &amp; Items'!B:E,4,0)</f>
        <v>0</v>
      </c>
      <c r="M1139" s="542">
        <v>4</v>
      </c>
      <c r="N1139" s="542">
        <v>4</v>
      </c>
      <c r="O1139" s="543">
        <f>VLOOKUP($I1139,'Price List, Weapons &amp; Items'!B:G,6,0)</f>
        <v>15076313.029999999</v>
      </c>
      <c r="P1139" s="176">
        <f t="shared" si="262"/>
        <v>60305252.119999997</v>
      </c>
      <c r="Q1139" s="176">
        <f t="shared" si="263"/>
        <v>60305252.119999997</v>
      </c>
      <c r="R1139" s="176" t="str">
        <f t="shared" si="265"/>
        <v/>
      </c>
      <c r="S1139" s="176" t="str">
        <f>IF(AND(AD1139=1,R1139&lt;&gt;".")=TRUE,R1139/VLOOKUP(G1139,'Exchange Rates'!B:C,2,0),IF(R1139=".",".",""))</f>
        <v/>
      </c>
      <c r="T1139" s="176" t="str">
        <f>IF(AD1139=1,IF(AF1139="Value is not given at all",".",IF(AF1139="Value is given by the source",S1139,IF(AF1139="Value is calculated with prices",(IF(SUMIFS(Q:Q,A:A,A1139)&gt;0,SUMIFS(Q:Q,A:A,A1139),"."))/VLOOKUP("USD",'Exchange Rates'!B:C,2,0),"Error with coding"))),"")</f>
        <v/>
      </c>
      <c r="U1139" s="15" t="s">
        <v>261</v>
      </c>
      <c r="V1139" s="547" t="s">
        <v>3178</v>
      </c>
      <c r="W1139" s="667" t="s">
        <v>3044</v>
      </c>
      <c r="X1139" s="667" t="s">
        <v>3047</v>
      </c>
      <c r="Y1139" s="667" t="s">
        <v>3176</v>
      </c>
      <c r="Z1139" s="15">
        <v>0</v>
      </c>
      <c r="AA1139" s="180">
        <v>0</v>
      </c>
      <c r="AB1139" s="667" t="s">
        <v>3179</v>
      </c>
      <c r="AC1139" s="544" t="str">
        <f>""</f>
        <v/>
      </c>
      <c r="AD1139" s="183">
        <v>0</v>
      </c>
      <c r="AE1139" s="586" t="s">
        <v>264</v>
      </c>
      <c r="AF1139" s="181" t="s">
        <v>264</v>
      </c>
      <c r="AG1139" s="183">
        <v>1</v>
      </c>
      <c r="AH1139" s="183">
        <v>6</v>
      </c>
      <c r="AI1139" s="183">
        <v>0</v>
      </c>
      <c r="AJ1139" s="181">
        <f>VLOOKUP($I1139,'Price List, Weapons &amp; Items'!B:F,5,0)</f>
        <v>1</v>
      </c>
      <c r="AK1139" s="181">
        <f t="shared" ref="AK1139:AK1202" si="266">IF(AND(AJ1139=1,M1139="undisclosed")=TRUE,1,0)</f>
        <v>0</v>
      </c>
      <c r="AL1139" s="181">
        <f t="shared" ref="AL1139:AL1202" si="267">IF(AND(AJ1139=1,N1139="undisclosed")=TRUE,1,0)</f>
        <v>0</v>
      </c>
      <c r="AM1139" s="181">
        <f t="shared" ref="AM1139:AM1202" si="268">IFERROR(IF(SEARCH("ammuni",I1139,1)&gt;0,1,0),0)</f>
        <v>0</v>
      </c>
      <c r="AN1139" s="180" t="str">
        <f>VLOOKUP($I1139,'Price List, Weapons &amp; Items'!B:L,COLUMN('Price List, Weapons &amp; Items'!$J$11)-1,0)</f>
        <v>Contracts</v>
      </c>
      <c r="AO1139" s="180" t="str">
        <f>IF(I1139=".",".",VLOOKUP($I1139,'Price List, Weapons &amp; Items'!B:J,3,0))</f>
        <v>227mm MLRS</v>
      </c>
      <c r="AP1139" s="545" t="str">
        <f t="shared" ca="1" si="264"/>
        <v/>
      </c>
      <c r="AQ1139" s="180">
        <f>VLOOKUP($I1139,'Price List, Weapons &amp; Items'!B:L,COLUMN('Price List, Weapons &amp; Items'!$L$11)-1,0)</f>
        <v>2</v>
      </c>
      <c r="AR1139" s="180">
        <f t="shared" ref="AR1139:AR1202" si="269">IF(U1139="Yes",1,0)</f>
        <v>1</v>
      </c>
      <c r="AS1139" s="180">
        <f t="shared" ref="AS1139:AS1202" si="270">IF(D1139="Military",IF(OR(IFERROR(SEARCH("equipment",E1139,1),0)&gt;0,IFERROR(SEARCH("weapons",E1139,1),0)&gt;0),1,0),0)</f>
        <v>1</v>
      </c>
      <c r="AT1139" s="180">
        <f t="shared" si="258"/>
        <v>1</v>
      </c>
      <c r="AU1139" s="180" t="str">
        <f t="shared" si="259"/>
        <v>.</v>
      </c>
      <c r="AV1139" s="180" t="str">
        <f t="shared" si="260"/>
        <v>.</v>
      </c>
      <c r="AW1139" s="180">
        <f>IFERROR(VLOOKUP(B1139,'Share, Heavy Weapons to Ukraine'!B:J,COLUMN('Share, Heavy Weapons to Ukraine'!C1149)-1,0),0)</f>
        <v>1</v>
      </c>
      <c r="AX1139" s="180">
        <f>VLOOKUP('Bilateral Assistance, MAIN DATA'!B1139,'Country Summary'!B:F,COLUMN('Country Summary'!C1152)-1,FALSE)</f>
        <v>0</v>
      </c>
      <c r="AY1139" s="180" t="str">
        <f>IF(AND(AD1139=1,D1139="Military",H1139&lt;&gt;"Not given")=TRUE,IF(SUMIFS(P:P,A:A,A1139)&gt;0,ABS((SUMIFS(P:P,A:A,A1139)/VLOOKUP("USD",'Exchange Rates'!B:C,2,0)))/S1139,"."),".")</f>
        <v>.</v>
      </c>
      <c r="AZ1139" s="182" t="str">
        <f>IF(AND(AD1139=1,D1139="Military",H1139&lt;&gt;"Not given")=TRUE,IF(SUMIFS(P:P,A:A,A1139)&gt;0,IF((ABS((SUMIFS(P:P,A:A,A1139)/VLOOKUP("USD",'Exchange Rates'!B:C,2,0)))/S1139)&gt;1,(SUMIFS(P:P,A:A,A1139)-S1139)/S1139,(S1139-SUMIFS(P:P,A:A,A1139))/SUMIFS(P:P,A:A,A1139)),"."),".")</f>
        <v>.</v>
      </c>
      <c r="BA1139" s="182"/>
      <c r="BB1139" s="182"/>
      <c r="BC1139" s="182"/>
      <c r="BD1139" s="182"/>
      <c r="BE1139" s="182"/>
      <c r="BF1139" s="182"/>
      <c r="BG1139" s="182"/>
      <c r="BH1139" s="182"/>
      <c r="BI1139" s="182"/>
      <c r="BJ1139" s="182"/>
      <c r="BK1139" s="182"/>
      <c r="BL1139" s="182"/>
      <c r="BM1139" s="182"/>
      <c r="BN1139" s="182"/>
      <c r="BO1139" s="182"/>
      <c r="BP1139" s="182"/>
      <c r="BQ1139" s="182"/>
      <c r="BR1139" s="182"/>
      <c r="BS1139" s="182"/>
    </row>
    <row r="1140" spans="1:71" ht="15.9" customHeight="1" x14ac:dyDescent="0.3">
      <c r="A1140" s="5" t="s">
        <v>3065</v>
      </c>
      <c r="B1140" s="5" t="s">
        <v>3038</v>
      </c>
      <c r="C1140" s="174">
        <v>44735</v>
      </c>
      <c r="D1140" s="5" t="s">
        <v>285</v>
      </c>
      <c r="E1140" s="5" t="s">
        <v>1328</v>
      </c>
      <c r="F1140" s="175" t="s">
        <v>3177</v>
      </c>
      <c r="G1140" s="15" t="s">
        <v>346</v>
      </c>
      <c r="H1140" s="176">
        <v>450000000</v>
      </c>
      <c r="I1140" s="185" t="s">
        <v>1775</v>
      </c>
      <c r="J1140" s="113" t="str">
        <f>VLOOKUP($I1140,'Price List, Weapons &amp; Items'!B:C,2,0)</f>
        <v>Ammunition for heavy weapon</v>
      </c>
      <c r="K1140" s="113" t="str">
        <f>IF(I1140=".",I1140,VLOOKUP($I1140,'Price List, Weapons &amp; Items'!B:D,3,0))</f>
        <v>105mm</v>
      </c>
      <c r="L1140" s="177">
        <f>VLOOKUP(I1140,'Price List, Weapons &amp; Items'!B:E,4,0)</f>
        <v>0</v>
      </c>
      <c r="M1140" s="542">
        <v>36000</v>
      </c>
      <c r="N1140" s="542">
        <v>36000</v>
      </c>
      <c r="O1140" s="543">
        <f>VLOOKUP($I1140,'Price List, Weapons &amp; Items'!B:G,6,0)</f>
        <v>400</v>
      </c>
      <c r="P1140" s="176">
        <f t="shared" si="262"/>
        <v>14400000</v>
      </c>
      <c r="Q1140" s="176">
        <f t="shared" si="263"/>
        <v>14400000</v>
      </c>
      <c r="R1140" s="176" t="str">
        <f t="shared" si="265"/>
        <v/>
      </c>
      <c r="S1140" s="176" t="str">
        <f>IF(AND(AD1140=1,R1140&lt;&gt;".")=TRUE,R1140/VLOOKUP(G1140,'Exchange Rates'!B:C,2,0),IF(R1140=".",".",""))</f>
        <v/>
      </c>
      <c r="T1140" s="176" t="str">
        <f>IF(AD1140=1,IF(AF1140="Value is not given at all",".",IF(AF1140="Value is given by the source",S1140,IF(AF1140="Value is calculated with prices",(IF(SUMIFS(Q:Q,A:A,A1140)&gt;0,SUMIFS(Q:Q,A:A,A1140),"."))/VLOOKUP("USD",'Exchange Rates'!B:C,2,0),"Error with coding"))),"")</f>
        <v/>
      </c>
      <c r="U1140" s="15" t="s">
        <v>261</v>
      </c>
      <c r="V1140" s="547" t="s">
        <v>3178</v>
      </c>
      <c r="W1140" s="667" t="s">
        <v>3044</v>
      </c>
      <c r="X1140" s="667" t="s">
        <v>3047</v>
      </c>
      <c r="Y1140" s="667" t="s">
        <v>3179</v>
      </c>
      <c r="Z1140" s="15">
        <v>0</v>
      </c>
      <c r="AA1140" s="180">
        <v>0</v>
      </c>
      <c r="AB1140" s="667" t="s">
        <v>3180</v>
      </c>
      <c r="AC1140" s="544" t="str">
        <f>""</f>
        <v/>
      </c>
      <c r="AD1140" s="183">
        <v>0</v>
      </c>
      <c r="AE1140" s="586" t="s">
        <v>264</v>
      </c>
      <c r="AF1140" s="181" t="s">
        <v>264</v>
      </c>
      <c r="AG1140" s="183">
        <v>1</v>
      </c>
      <c r="AH1140" s="183">
        <v>6</v>
      </c>
      <c r="AI1140" s="183">
        <v>0</v>
      </c>
      <c r="AJ1140" s="181">
        <f>VLOOKUP($I1140,'Price List, Weapons &amp; Items'!B:F,5,0)</f>
        <v>0</v>
      </c>
      <c r="AK1140" s="181">
        <f t="shared" si="266"/>
        <v>0</v>
      </c>
      <c r="AL1140" s="181">
        <f t="shared" si="267"/>
        <v>0</v>
      </c>
      <c r="AM1140" s="181">
        <f t="shared" si="268"/>
        <v>1</v>
      </c>
      <c r="AN1140" s="180" t="str">
        <f>VLOOKUP($I1140,'Price List, Weapons &amp; Items'!B:L,COLUMN('Price List, Weapons &amp; Items'!$J$11)-1,0)</f>
        <v>Military media (incl. websites)</v>
      </c>
      <c r="AO1140" s="180" t="str">
        <f>IF(I1140=".",".",VLOOKUP($I1140,'Price List, Weapons &amp; Items'!B:J,3,0))</f>
        <v>105mm</v>
      </c>
      <c r="AP1140" s="545" t="str">
        <f t="shared" ca="1" si="264"/>
        <v/>
      </c>
      <c r="AQ1140" s="180">
        <f>VLOOKUP($I1140,'Price List, Weapons &amp; Items'!B:L,COLUMN('Price List, Weapons &amp; Items'!$L$11)-1,0)</f>
        <v>2</v>
      </c>
      <c r="AR1140" s="180">
        <f t="shared" si="269"/>
        <v>1</v>
      </c>
      <c r="AS1140" s="180">
        <f t="shared" si="270"/>
        <v>1</v>
      </c>
      <c r="AT1140" s="180">
        <f t="shared" si="258"/>
        <v>1</v>
      </c>
      <c r="AU1140" s="180" t="str">
        <f t="shared" si="259"/>
        <v>.</v>
      </c>
      <c r="AV1140" s="180" t="str">
        <f t="shared" si="260"/>
        <v>.</v>
      </c>
      <c r="AW1140" s="180">
        <f>IFERROR(VLOOKUP(B1140,'Share, Heavy Weapons to Ukraine'!B:J,COLUMN('Share, Heavy Weapons to Ukraine'!C1150)-1,0),0)</f>
        <v>1</v>
      </c>
      <c r="AX1140" s="180">
        <f>VLOOKUP('Bilateral Assistance, MAIN DATA'!B1140,'Country Summary'!B:F,COLUMN('Country Summary'!C1153)-1,FALSE)</f>
        <v>0</v>
      </c>
      <c r="AY1140" s="180" t="str">
        <f>IF(AND(AD1140=1,D1140="Military",H1140&lt;&gt;"Not given")=TRUE,IF(SUMIFS(P:P,A:A,A1140)&gt;0,ABS((SUMIFS(P:P,A:A,A1140)/VLOOKUP("USD",'Exchange Rates'!B:C,2,0)))/S1140,"."),".")</f>
        <v>.</v>
      </c>
      <c r="AZ1140" s="182" t="str">
        <f>IF(AND(AD1140=1,D1140="Military",H1140&lt;&gt;"Not given")=TRUE,IF(SUMIFS(P:P,A:A,A1140)&gt;0,IF((ABS((SUMIFS(P:P,A:A,A1140)/VLOOKUP("USD",'Exchange Rates'!B:C,2,0)))/S1140)&gt;1,(SUMIFS(P:P,A:A,A1140)-S1140)/S1140,(S1140-SUMIFS(P:P,A:A,A1140))/SUMIFS(P:P,A:A,A1140)),"."),".")</f>
        <v>.</v>
      </c>
      <c r="BA1140" s="182"/>
      <c r="BB1140" s="182"/>
      <c r="BC1140" s="182"/>
      <c r="BD1140" s="182"/>
      <c r="BE1140" s="182"/>
      <c r="BF1140" s="182"/>
      <c r="BG1140" s="182"/>
      <c r="BH1140" s="182"/>
      <c r="BI1140" s="182"/>
      <c r="BJ1140" s="182"/>
      <c r="BK1140" s="182"/>
      <c r="BL1140" s="182"/>
      <c r="BM1140" s="182"/>
      <c r="BN1140" s="182"/>
      <c r="BO1140" s="182"/>
      <c r="BP1140" s="182"/>
      <c r="BQ1140" s="182"/>
      <c r="BR1140" s="182"/>
      <c r="BS1140" s="182"/>
    </row>
    <row r="1141" spans="1:71" ht="15.9" customHeight="1" x14ac:dyDescent="0.3">
      <c r="A1141" s="5" t="s">
        <v>3065</v>
      </c>
      <c r="B1141" s="5" t="s">
        <v>3038</v>
      </c>
      <c r="C1141" s="174">
        <v>44735</v>
      </c>
      <c r="D1141" s="5" t="s">
        <v>285</v>
      </c>
      <c r="E1141" s="5" t="s">
        <v>1328</v>
      </c>
      <c r="F1141" s="175" t="s">
        <v>3177</v>
      </c>
      <c r="G1141" s="15" t="s">
        <v>346</v>
      </c>
      <c r="H1141" s="176">
        <v>450000000</v>
      </c>
      <c r="I1141" s="185" t="s">
        <v>3127</v>
      </c>
      <c r="J1141" s="113" t="str">
        <f>VLOOKUP($I1141,'Price List, Weapons &amp; Items'!B:C,2,0)</f>
        <v>Military equipment</v>
      </c>
      <c r="K1141" s="113" t="str">
        <f>IF(I1141=".",I1141,VLOOKUP($I1141,'Price List, Weapons &amp; Items'!B:D,3,0))</f>
        <v>Military equipment</v>
      </c>
      <c r="L1141" s="177">
        <f>VLOOKUP(I1141,'Price List, Weapons &amp; Items'!B:E,4,0)</f>
        <v>0</v>
      </c>
      <c r="M1141" s="542">
        <v>18</v>
      </c>
      <c r="N1141" s="542">
        <v>18</v>
      </c>
      <c r="O1141" s="543">
        <f>VLOOKUP($I1141,'Price List, Weapons &amp; Items'!B:G,6,0)</f>
        <v>350000</v>
      </c>
      <c r="P1141" s="176">
        <f t="shared" si="262"/>
        <v>6300000</v>
      </c>
      <c r="Q1141" s="176">
        <f t="shared" si="263"/>
        <v>6300000</v>
      </c>
      <c r="R1141" s="176" t="str">
        <f t="shared" si="265"/>
        <v/>
      </c>
      <c r="S1141" s="176" t="str">
        <f>IF(AND(AD1141=1,R1141&lt;&gt;".")=TRUE,R1141/VLOOKUP(G1141,'Exchange Rates'!B:C,2,0),IF(R1141=".",".",""))</f>
        <v/>
      </c>
      <c r="T1141" s="176" t="str">
        <f>IF(AD1141=1,IF(AF1141="Value is not given at all",".",IF(AF1141="Value is given by the source",S1141,IF(AF1141="Value is calculated with prices",(IF(SUMIFS(Q:Q,A:A,A1141)&gt;0,SUMIFS(Q:Q,A:A,A1141),"."))/VLOOKUP("USD",'Exchange Rates'!B:C,2,0),"Error with coding"))),"")</f>
        <v/>
      </c>
      <c r="U1141" s="15" t="s">
        <v>261</v>
      </c>
      <c r="V1141" s="547" t="s">
        <v>3178</v>
      </c>
      <c r="W1141" s="667" t="s">
        <v>3044</v>
      </c>
      <c r="X1141" s="667" t="s">
        <v>3047</v>
      </c>
      <c r="Y1141" s="667" t="s">
        <v>3180</v>
      </c>
      <c r="Z1141" s="15">
        <v>0</v>
      </c>
      <c r="AA1141" s="180">
        <v>0</v>
      </c>
      <c r="AB1141" s="667" t="s">
        <v>3181</v>
      </c>
      <c r="AC1141" s="544" t="str">
        <f>""</f>
        <v/>
      </c>
      <c r="AD1141" s="183">
        <v>0</v>
      </c>
      <c r="AE1141" s="586" t="s">
        <v>264</v>
      </c>
      <c r="AF1141" s="181" t="s">
        <v>264</v>
      </c>
      <c r="AG1141" s="183">
        <v>1</v>
      </c>
      <c r="AH1141" s="183">
        <v>6</v>
      </c>
      <c r="AI1141" s="183">
        <v>0</v>
      </c>
      <c r="AJ1141" s="181">
        <f>VLOOKUP($I1141,'Price List, Weapons &amp; Items'!B:F,5,0)</f>
        <v>0</v>
      </c>
      <c r="AK1141" s="181">
        <f t="shared" si="266"/>
        <v>0</v>
      </c>
      <c r="AL1141" s="181">
        <f t="shared" si="267"/>
        <v>0</v>
      </c>
      <c r="AM1141" s="181">
        <f t="shared" si="268"/>
        <v>0</v>
      </c>
      <c r="AN1141" s="180" t="str">
        <f>VLOOKUP($I1141,'Price List, Weapons &amp; Items'!B:L,COLUMN('Price List, Weapons &amp; Items'!$J$11)-1,0)</f>
        <v>Media reports (incl. social media)</v>
      </c>
      <c r="AO1141" s="180" t="str">
        <f>IF(I1141=".",".",VLOOKUP($I1141,'Price List, Weapons &amp; Items'!B:J,3,0))</f>
        <v>Military equipment</v>
      </c>
      <c r="AP1141" s="545" t="str">
        <f t="shared" ca="1" si="264"/>
        <v/>
      </c>
      <c r="AQ1141" s="180">
        <f>VLOOKUP($I1141,'Price List, Weapons &amp; Items'!B:L,COLUMN('Price List, Weapons &amp; Items'!$L$11)-1,0)</f>
        <v>2</v>
      </c>
      <c r="AR1141" s="180">
        <f t="shared" si="269"/>
        <v>1</v>
      </c>
      <c r="AS1141" s="180">
        <f t="shared" si="270"/>
        <v>1</v>
      </c>
      <c r="AT1141" s="180">
        <f t="shared" si="258"/>
        <v>1</v>
      </c>
      <c r="AU1141" s="180" t="str">
        <f t="shared" si="259"/>
        <v>.</v>
      </c>
      <c r="AV1141" s="180" t="str">
        <f t="shared" si="260"/>
        <v>.</v>
      </c>
      <c r="AW1141" s="180">
        <f>IFERROR(VLOOKUP(B1141,'Share, Heavy Weapons to Ukraine'!B:J,COLUMN('Share, Heavy Weapons to Ukraine'!C1151)-1,0),0)</f>
        <v>1</v>
      </c>
      <c r="AX1141" s="180">
        <f>VLOOKUP('Bilateral Assistance, MAIN DATA'!B1141,'Country Summary'!B:F,COLUMN('Country Summary'!C1154)-1,FALSE)</f>
        <v>0</v>
      </c>
      <c r="AY1141" s="180" t="str">
        <f>IF(AND(AD1141=1,D1141="Military",H1141&lt;&gt;"Not given")=TRUE,IF(SUMIFS(P:P,A:A,A1141)&gt;0,ABS((SUMIFS(P:P,A:A,A1141)/VLOOKUP("USD",'Exchange Rates'!B:C,2,0)))/S1141,"."),".")</f>
        <v>.</v>
      </c>
      <c r="AZ1141" s="182" t="str">
        <f>IF(AND(AD1141=1,D1141="Military",H1141&lt;&gt;"Not given")=TRUE,IF(SUMIFS(P:P,A:A,A1141)&gt;0,IF((ABS((SUMIFS(P:P,A:A,A1141)/VLOOKUP("USD",'Exchange Rates'!B:C,2,0)))/S1141)&gt;1,(SUMIFS(P:P,A:A,A1141)-S1141)/S1141,(S1141-SUMIFS(P:P,A:A,A1141))/SUMIFS(P:P,A:A,A1141)),"."),".")</f>
        <v>.</v>
      </c>
      <c r="BA1141" s="182"/>
      <c r="BB1141" s="182"/>
      <c r="BC1141" s="182"/>
      <c r="BD1141" s="182"/>
      <c r="BE1141" s="182"/>
      <c r="BF1141" s="182"/>
      <c r="BG1141" s="182"/>
      <c r="BH1141" s="182"/>
      <c r="BI1141" s="182"/>
      <c r="BJ1141" s="182"/>
      <c r="BK1141" s="182"/>
      <c r="BL1141" s="182"/>
      <c r="BM1141" s="182"/>
      <c r="BN1141" s="182"/>
      <c r="BO1141" s="182"/>
      <c r="BP1141" s="182"/>
      <c r="BQ1141" s="182"/>
      <c r="BR1141" s="182"/>
      <c r="BS1141" s="182"/>
    </row>
    <row r="1142" spans="1:71" ht="15.9" customHeight="1" x14ac:dyDescent="0.3">
      <c r="A1142" s="5" t="s">
        <v>3065</v>
      </c>
      <c r="B1142" s="5" t="s">
        <v>3038</v>
      </c>
      <c r="C1142" s="174">
        <v>44735</v>
      </c>
      <c r="D1142" s="5" t="s">
        <v>285</v>
      </c>
      <c r="E1142" s="5" t="s">
        <v>1328</v>
      </c>
      <c r="F1142" s="175" t="s">
        <v>3177</v>
      </c>
      <c r="G1142" s="15" t="s">
        <v>346</v>
      </c>
      <c r="H1142" s="176">
        <v>450000000</v>
      </c>
      <c r="I1142" s="17" t="s">
        <v>3082</v>
      </c>
      <c r="J1142" s="113" t="str">
        <f>VLOOKUP($I1142,'Price List, Weapons &amp; Items'!B:C,2,0)</f>
        <v>Portable defence system</v>
      </c>
      <c r="K1142" s="113" t="str">
        <f>IF(I1142=".",I1142,VLOOKUP($I1142,'Price List, Weapons &amp; Items'!B:D,3,0))</f>
        <v>Under-barrel grenade launcher</v>
      </c>
      <c r="L1142" s="177">
        <f>VLOOKUP(I1142,'Price List, Weapons &amp; Items'!B:E,4,0)</f>
        <v>0</v>
      </c>
      <c r="M1142" s="542">
        <v>1200</v>
      </c>
      <c r="N1142" s="542">
        <v>1200</v>
      </c>
      <c r="O1142" s="543">
        <f>VLOOKUP($I1142,'Price List, Weapons &amp; Items'!B:G,6,0)</f>
        <v>2291</v>
      </c>
      <c r="P1142" s="176">
        <f t="shared" si="262"/>
        <v>2749200</v>
      </c>
      <c r="Q1142" s="176">
        <f t="shared" si="263"/>
        <v>2749200</v>
      </c>
      <c r="R1142" s="176" t="str">
        <f t="shared" si="265"/>
        <v/>
      </c>
      <c r="S1142" s="176" t="str">
        <f>IF(AND(AD1142=1,R1142&lt;&gt;".")=TRUE,R1142/VLOOKUP(G1142,'Exchange Rates'!B:C,2,0),IF(R1142=".",".",""))</f>
        <v/>
      </c>
      <c r="T1142" s="176" t="str">
        <f>IF(AD1142=1,IF(AF1142="Value is not given at all",".",IF(AF1142="Value is given by the source",S1142,IF(AF1142="Value is calculated with prices",(IF(SUMIFS(Q:Q,A:A,A1142)&gt;0,SUMIFS(Q:Q,A:A,A1142),"."))/VLOOKUP("USD",'Exchange Rates'!B:C,2,0),"Error with coding"))),"")</f>
        <v/>
      </c>
      <c r="U1142" s="15" t="s">
        <v>261</v>
      </c>
      <c r="V1142" s="547" t="s">
        <v>3178</v>
      </c>
      <c r="W1142" s="667" t="s">
        <v>3044</v>
      </c>
      <c r="X1142" s="667" t="s">
        <v>3047</v>
      </c>
      <c r="Y1142" s="667" t="s">
        <v>3181</v>
      </c>
      <c r="Z1142" s="15">
        <v>0</v>
      </c>
      <c r="AA1142" s="180">
        <v>0</v>
      </c>
      <c r="AB1142" s="667" t="s">
        <v>3182</v>
      </c>
      <c r="AC1142" s="544" t="str">
        <f>""</f>
        <v/>
      </c>
      <c r="AD1142" s="183">
        <v>0</v>
      </c>
      <c r="AE1142" s="586" t="s">
        <v>264</v>
      </c>
      <c r="AF1142" s="181" t="s">
        <v>264</v>
      </c>
      <c r="AG1142" s="183">
        <v>1</v>
      </c>
      <c r="AH1142" s="183">
        <v>6</v>
      </c>
      <c r="AI1142" s="183">
        <v>0</v>
      </c>
      <c r="AJ1142" s="181">
        <f>VLOOKUP($I1142,'Price List, Weapons &amp; Items'!B:F,5,0)</f>
        <v>0</v>
      </c>
      <c r="AK1142" s="181">
        <f t="shared" si="266"/>
        <v>0</v>
      </c>
      <c r="AL1142" s="181">
        <f t="shared" si="267"/>
        <v>0</v>
      </c>
      <c r="AM1142" s="181">
        <f t="shared" si="268"/>
        <v>0</v>
      </c>
      <c r="AN1142" s="180" t="str">
        <f>VLOOKUP($I1142,'Price List, Weapons &amp; Items'!B:L,COLUMN('Price List, Weapons &amp; Items'!$J$11)-1,0)</f>
        <v>Miscellaneous</v>
      </c>
      <c r="AO1142" s="180" t="str">
        <f>IF(I1142=".",".",VLOOKUP($I1142,'Price List, Weapons &amp; Items'!B:J,3,0))</f>
        <v>Under-barrel grenade launcher</v>
      </c>
      <c r="AP1142" s="545" t="str">
        <f t="shared" ca="1" si="264"/>
        <v/>
      </c>
      <c r="AQ1142" s="180">
        <f>VLOOKUP($I1142,'Price List, Weapons &amp; Items'!B:L,COLUMN('Price List, Weapons &amp; Items'!$L$11)-1,0)</f>
        <v>2</v>
      </c>
      <c r="AR1142" s="180">
        <f t="shared" si="269"/>
        <v>1</v>
      </c>
      <c r="AS1142" s="180">
        <f t="shared" si="270"/>
        <v>1</v>
      </c>
      <c r="AT1142" s="180">
        <f t="shared" si="258"/>
        <v>1</v>
      </c>
      <c r="AU1142" s="180" t="str">
        <f t="shared" si="259"/>
        <v>.</v>
      </c>
      <c r="AV1142" s="180" t="str">
        <f t="shared" si="260"/>
        <v>.</v>
      </c>
      <c r="AW1142" s="180">
        <f>IFERROR(VLOOKUP(B1142,'Share, Heavy Weapons to Ukraine'!B:J,COLUMN('Share, Heavy Weapons to Ukraine'!C1152)-1,0),0)</f>
        <v>1</v>
      </c>
      <c r="AX1142" s="180">
        <f>VLOOKUP('Bilateral Assistance, MAIN DATA'!B1142,'Country Summary'!B:F,COLUMN('Country Summary'!C1155)-1,FALSE)</f>
        <v>0</v>
      </c>
      <c r="AY1142" s="180" t="str">
        <f>IF(AND(AD1142=1,D1142="Military",H1142&lt;&gt;"Not given")=TRUE,IF(SUMIFS(P:P,A:A,A1142)&gt;0,ABS((SUMIFS(P:P,A:A,A1142)/VLOOKUP("USD",'Exchange Rates'!B:C,2,0)))/S1142,"."),".")</f>
        <v>.</v>
      </c>
      <c r="AZ1142" s="182" t="str">
        <f>IF(AND(AD1142=1,D1142="Military",H1142&lt;&gt;"Not given")=TRUE,IF(SUMIFS(P:P,A:A,A1142)&gt;0,IF((ABS((SUMIFS(P:P,A:A,A1142)/VLOOKUP("USD",'Exchange Rates'!B:C,2,0)))/S1142)&gt;1,(SUMIFS(P:P,A:A,A1142)-S1142)/S1142,(S1142-SUMIFS(P:P,A:A,A1142))/SUMIFS(P:P,A:A,A1142)),"."),".")</f>
        <v>.</v>
      </c>
      <c r="BA1142" s="182"/>
      <c r="BB1142" s="182"/>
      <c r="BC1142" s="182"/>
      <c r="BD1142" s="182"/>
      <c r="BE1142" s="182"/>
      <c r="BF1142" s="182"/>
      <c r="BG1142" s="182"/>
      <c r="BH1142" s="182"/>
      <c r="BI1142" s="182"/>
      <c r="BJ1142" s="182"/>
      <c r="BK1142" s="182"/>
      <c r="BL1142" s="182"/>
      <c r="BM1142" s="182"/>
      <c r="BN1142" s="182"/>
      <c r="BO1142" s="182"/>
      <c r="BP1142" s="182"/>
      <c r="BQ1142" s="182"/>
      <c r="BR1142" s="182"/>
      <c r="BS1142" s="182"/>
    </row>
    <row r="1143" spans="1:71" ht="15.9" customHeight="1" x14ac:dyDescent="0.3">
      <c r="A1143" s="5" t="s">
        <v>3065</v>
      </c>
      <c r="B1143" s="5" t="s">
        <v>3038</v>
      </c>
      <c r="C1143" s="174">
        <v>44735</v>
      </c>
      <c r="D1143" s="5" t="s">
        <v>285</v>
      </c>
      <c r="E1143" s="5" t="s">
        <v>1328</v>
      </c>
      <c r="F1143" s="175" t="s">
        <v>3177</v>
      </c>
      <c r="G1143" s="15" t="s">
        <v>346</v>
      </c>
      <c r="H1143" s="176">
        <v>450000000</v>
      </c>
      <c r="I1143" s="185" t="s">
        <v>3088</v>
      </c>
      <c r="J1143" s="113" t="str">
        <f>VLOOKUP($I1143,'Price List, Weapons &amp; Items'!B:C,2,0)</f>
        <v>Light armaments &amp; infantry</v>
      </c>
      <c r="K1143" s="113" t="str">
        <f>IF(I1143=".",I1143,VLOOKUP($I1143,'Price List, Weapons &amp; Items'!B:D,3,0))</f>
        <v>Small Arms and Light Weapons (SALW)</v>
      </c>
      <c r="L1143" s="177">
        <f>VLOOKUP(I1143,'Price List, Weapons &amp; Items'!B:E,4,0)</f>
        <v>0</v>
      </c>
      <c r="M1143" s="542">
        <v>2000</v>
      </c>
      <c r="N1143" s="542">
        <v>2000</v>
      </c>
      <c r="O1143" s="543">
        <f>VLOOKUP($I1143,'Price List, Weapons &amp; Items'!B:G,6,0)</f>
        <v>5300</v>
      </c>
      <c r="P1143" s="176">
        <f t="shared" si="262"/>
        <v>10600000</v>
      </c>
      <c r="Q1143" s="176">
        <f t="shared" si="263"/>
        <v>10600000</v>
      </c>
      <c r="R1143" s="176" t="str">
        <f t="shared" si="265"/>
        <v/>
      </c>
      <c r="S1143" s="176" t="str">
        <f>IF(AND(AD1143=1,R1143&lt;&gt;".")=TRUE,R1143/VLOOKUP(G1143,'Exchange Rates'!B:C,2,0),IF(R1143=".",".",""))</f>
        <v/>
      </c>
      <c r="T1143" s="176" t="str">
        <f>IF(AD1143=1,IF(AF1143="Value is not given at all",".",IF(AF1143="Value is given by the source",S1143,IF(AF1143="Value is calculated with prices",(IF(SUMIFS(Q:Q,A:A,A1143)&gt;0,SUMIFS(Q:Q,A:A,A1143),"."))/VLOOKUP("USD",'Exchange Rates'!B:C,2,0),"Error with coding"))),"")</f>
        <v/>
      </c>
      <c r="U1143" s="15" t="s">
        <v>261</v>
      </c>
      <c r="V1143" s="547" t="s">
        <v>3178</v>
      </c>
      <c r="W1143" s="667" t="s">
        <v>3044</v>
      </c>
      <c r="X1143" s="667" t="s">
        <v>3047</v>
      </c>
      <c r="Y1143" s="667" t="s">
        <v>3182</v>
      </c>
      <c r="Z1143" s="15">
        <v>0</v>
      </c>
      <c r="AA1143" s="180">
        <v>0</v>
      </c>
      <c r="AB1143" s="667" t="s">
        <v>3183</v>
      </c>
      <c r="AC1143" s="544" t="str">
        <f>""</f>
        <v/>
      </c>
      <c r="AD1143" s="183">
        <v>0</v>
      </c>
      <c r="AE1143" s="586" t="s">
        <v>264</v>
      </c>
      <c r="AF1143" s="181" t="s">
        <v>264</v>
      </c>
      <c r="AG1143" s="183">
        <v>1</v>
      </c>
      <c r="AH1143" s="183">
        <v>6</v>
      </c>
      <c r="AI1143" s="183">
        <v>0</v>
      </c>
      <c r="AJ1143" s="181">
        <f>VLOOKUP($I1143,'Price List, Weapons &amp; Items'!B:F,5,0)</f>
        <v>0</v>
      </c>
      <c r="AK1143" s="181">
        <f t="shared" si="266"/>
        <v>0</v>
      </c>
      <c r="AL1143" s="181">
        <f t="shared" si="267"/>
        <v>0</v>
      </c>
      <c r="AM1143" s="181">
        <f t="shared" si="268"/>
        <v>0</v>
      </c>
      <c r="AN1143" s="180" t="str">
        <f>VLOOKUP($I1143,'Price List, Weapons &amp; Items'!B:L,COLUMN('Price List, Weapons &amp; Items'!$J$11)-1,0)</f>
        <v>Miscellaneous</v>
      </c>
      <c r="AO1143" s="180" t="str">
        <f>IF(I1143=".",".",VLOOKUP($I1143,'Price List, Weapons &amp; Items'!B:J,3,0))</f>
        <v>Small Arms and Light Weapons (SALW)</v>
      </c>
      <c r="AP1143" s="545" t="str">
        <f t="shared" ca="1" si="264"/>
        <v/>
      </c>
      <c r="AQ1143" s="180">
        <f>VLOOKUP($I1143,'Price List, Weapons &amp; Items'!B:L,COLUMN('Price List, Weapons &amp; Items'!$L$11)-1,0)</f>
        <v>2</v>
      </c>
      <c r="AR1143" s="180">
        <f t="shared" si="269"/>
        <v>1</v>
      </c>
      <c r="AS1143" s="180">
        <f t="shared" si="270"/>
        <v>1</v>
      </c>
      <c r="AT1143" s="180">
        <f t="shared" si="258"/>
        <v>1</v>
      </c>
      <c r="AU1143" s="180" t="str">
        <f t="shared" si="259"/>
        <v>.</v>
      </c>
      <c r="AV1143" s="180" t="str">
        <f t="shared" si="260"/>
        <v>.</v>
      </c>
      <c r="AW1143" s="180">
        <f>IFERROR(VLOOKUP(B1143,'Share, Heavy Weapons to Ukraine'!B:J,COLUMN('Share, Heavy Weapons to Ukraine'!C1153)-1,0),0)</f>
        <v>1</v>
      </c>
      <c r="AX1143" s="180">
        <f>VLOOKUP('Bilateral Assistance, MAIN DATA'!B1143,'Country Summary'!B:F,COLUMN('Country Summary'!C1156)-1,FALSE)</f>
        <v>0</v>
      </c>
      <c r="AY1143" s="180" t="str">
        <f>IF(AND(AD1143=1,D1143="Military",H1143&lt;&gt;"Not given")=TRUE,IF(SUMIFS(P:P,A:A,A1143)&gt;0,ABS((SUMIFS(P:P,A:A,A1143)/VLOOKUP("USD",'Exchange Rates'!B:C,2,0)))/S1143,"."),".")</f>
        <v>.</v>
      </c>
      <c r="AZ1143" s="182" t="str">
        <f>IF(AND(AD1143=1,D1143="Military",H1143&lt;&gt;"Not given")=TRUE,IF(SUMIFS(P:P,A:A,A1143)&gt;0,IF((ABS((SUMIFS(P:P,A:A,A1143)/VLOOKUP("USD",'Exchange Rates'!B:C,2,0)))/S1143)&gt;1,(SUMIFS(P:P,A:A,A1143)-S1143)/S1143,(S1143-SUMIFS(P:P,A:A,A1143))/SUMIFS(P:P,A:A,A1143)),"."),".")</f>
        <v>.</v>
      </c>
      <c r="BA1143" s="182"/>
      <c r="BB1143" s="182"/>
      <c r="BC1143" s="182"/>
      <c r="BD1143" s="182"/>
      <c r="BE1143" s="182"/>
      <c r="BF1143" s="182"/>
      <c r="BG1143" s="182"/>
      <c r="BH1143" s="182"/>
      <c r="BI1143" s="182"/>
      <c r="BJ1143" s="182"/>
      <c r="BK1143" s="182"/>
      <c r="BL1143" s="182"/>
      <c r="BM1143" s="182"/>
      <c r="BN1143" s="182"/>
      <c r="BO1143" s="182"/>
      <c r="BP1143" s="182"/>
      <c r="BQ1143" s="182"/>
      <c r="BR1143" s="182"/>
      <c r="BS1143" s="182"/>
    </row>
    <row r="1144" spans="1:71" ht="15.9" customHeight="1" x14ac:dyDescent="0.3">
      <c r="A1144" s="5" t="s">
        <v>3065</v>
      </c>
      <c r="B1144" s="5" t="s">
        <v>3038</v>
      </c>
      <c r="C1144" s="174">
        <v>44735</v>
      </c>
      <c r="D1144" s="5" t="s">
        <v>285</v>
      </c>
      <c r="E1144" s="5" t="s">
        <v>1328</v>
      </c>
      <c r="F1144" s="175" t="s">
        <v>3177</v>
      </c>
      <c r="G1144" s="15" t="s">
        <v>346</v>
      </c>
      <c r="H1144" s="176">
        <v>450000000</v>
      </c>
      <c r="I1144" s="185" t="s">
        <v>3184</v>
      </c>
      <c r="J1144" s="113" t="str">
        <f>VLOOKUP($I1144,'Price List, Weapons &amp; Items'!B:C,2,0)</f>
        <v>Heavy weapon</v>
      </c>
      <c r="K1144" s="113" t="str">
        <f>IF(I1144=".",I1144,VLOOKUP($I1144,'Price List, Weapons &amp; Items'!B:D,3,0))</f>
        <v>Patrol and coastal combatants</v>
      </c>
      <c r="L1144" s="177">
        <f>VLOOKUP(I1144,'Price List, Weapons &amp; Items'!B:E,4,0)</f>
        <v>0</v>
      </c>
      <c r="M1144" s="542">
        <v>18</v>
      </c>
      <c r="N1144" s="542">
        <v>18</v>
      </c>
      <c r="O1144" s="543">
        <f>VLOOKUP($I1144,'Price List, Weapons &amp; Items'!B:G,6,0)</f>
        <v>39916727.899999999</v>
      </c>
      <c r="P1144" s="176">
        <f t="shared" si="262"/>
        <v>718501102.19999993</v>
      </c>
      <c r="Q1144" s="176">
        <f t="shared" si="263"/>
        <v>718501102.19999993</v>
      </c>
      <c r="R1144" s="176" t="str">
        <f t="shared" si="265"/>
        <v/>
      </c>
      <c r="S1144" s="176" t="str">
        <f>IF(AND(AD1144=1,R1144&lt;&gt;".")=TRUE,R1144/VLOOKUP(G1144,'Exchange Rates'!B:C,2,0),IF(R1144=".",".",""))</f>
        <v/>
      </c>
      <c r="T1144" s="176" t="str">
        <f>IF(AD1144=1,IF(AF1144="Value is not given at all",".",IF(AF1144="Value is given by the source",S1144,IF(AF1144="Value is calculated with prices",(IF(SUMIFS(Q:Q,A:A,A1144)&gt;0,SUMIFS(Q:Q,A:A,A1144),"."))/VLOOKUP("USD",'Exchange Rates'!B:C,2,0),"Error with coding"))),"")</f>
        <v/>
      </c>
      <c r="U1144" s="15" t="s">
        <v>261</v>
      </c>
      <c r="V1144" s="547" t="s">
        <v>3178</v>
      </c>
      <c r="W1144" s="667" t="s">
        <v>3044</v>
      </c>
      <c r="X1144" s="667" t="s">
        <v>3047</v>
      </c>
      <c r="Y1144" s="667" t="s">
        <v>3183</v>
      </c>
      <c r="Z1144" s="15">
        <v>0</v>
      </c>
      <c r="AA1144" s="180">
        <v>0</v>
      </c>
      <c r="AB1144" s="667" t="s">
        <v>3185</v>
      </c>
      <c r="AC1144" s="544" t="str">
        <f>""</f>
        <v/>
      </c>
      <c r="AD1144" s="183">
        <v>0</v>
      </c>
      <c r="AE1144" s="586" t="s">
        <v>264</v>
      </c>
      <c r="AF1144" s="181" t="s">
        <v>264</v>
      </c>
      <c r="AG1144" s="183">
        <v>1</v>
      </c>
      <c r="AH1144" s="183">
        <v>6</v>
      </c>
      <c r="AI1144" s="183">
        <v>0</v>
      </c>
      <c r="AJ1144" s="181">
        <f>VLOOKUP($I1144,'Price List, Weapons &amp; Items'!B:F,5,0)</f>
        <v>0</v>
      </c>
      <c r="AK1144" s="181">
        <f t="shared" si="266"/>
        <v>0</v>
      </c>
      <c r="AL1144" s="181">
        <f t="shared" si="267"/>
        <v>0</v>
      </c>
      <c r="AM1144" s="181">
        <f t="shared" si="268"/>
        <v>0</v>
      </c>
      <c r="AN1144" s="180" t="str">
        <f>VLOOKUP($I1144,'Price List, Weapons &amp; Items'!B:L,COLUMN('Price List, Weapons &amp; Items'!$J$11)-1,0)</f>
        <v>Military media (incl. websites)</v>
      </c>
      <c r="AO1144" s="180" t="str">
        <f>IF(I1144=".",".",VLOOKUP($I1144,'Price List, Weapons &amp; Items'!B:J,3,0))</f>
        <v>Patrol and coastal combatants</v>
      </c>
      <c r="AP1144" s="545" t="str">
        <f t="shared" ca="1" si="264"/>
        <v/>
      </c>
      <c r="AQ1144" s="180">
        <f>VLOOKUP($I1144,'Price List, Weapons &amp; Items'!B:L,COLUMN('Price List, Weapons &amp; Items'!$L$11)-1,0)</f>
        <v>2</v>
      </c>
      <c r="AR1144" s="180">
        <f t="shared" si="269"/>
        <v>1</v>
      </c>
      <c r="AS1144" s="180">
        <f t="shared" si="270"/>
        <v>1</v>
      </c>
      <c r="AT1144" s="180">
        <f t="shared" si="258"/>
        <v>1</v>
      </c>
      <c r="AU1144" s="180" t="str">
        <f t="shared" si="259"/>
        <v>.</v>
      </c>
      <c r="AV1144" s="180" t="str">
        <f t="shared" si="260"/>
        <v>.</v>
      </c>
      <c r="AW1144" s="180">
        <f>IFERROR(VLOOKUP(B1144,'Share, Heavy Weapons to Ukraine'!B:J,COLUMN('Share, Heavy Weapons to Ukraine'!C1154)-1,0),0)</f>
        <v>1</v>
      </c>
      <c r="AX1144" s="180">
        <f>VLOOKUP('Bilateral Assistance, MAIN DATA'!B1144,'Country Summary'!B:F,COLUMN('Country Summary'!C1157)-1,FALSE)</f>
        <v>0</v>
      </c>
      <c r="AY1144" s="180" t="str">
        <f>IF(AND(AD1144=1,D1144="Military",H1144&lt;&gt;"Not given")=TRUE,IF(SUMIFS(P:P,A:A,A1144)&gt;0,ABS((SUMIFS(P:P,A:A,A1144)/VLOOKUP("USD",'Exchange Rates'!B:C,2,0)))/S1144,"."),".")</f>
        <v>.</v>
      </c>
      <c r="AZ1144" s="182" t="str">
        <f>IF(AND(AD1144=1,D1144="Military",H1144&lt;&gt;"Not given")=TRUE,IF(SUMIFS(P:P,A:A,A1144)&gt;0,IF((ABS((SUMIFS(P:P,A:A,A1144)/VLOOKUP("USD",'Exchange Rates'!B:C,2,0)))/S1144)&gt;1,(SUMIFS(P:P,A:A,A1144)-S1144)/S1144,(S1144-SUMIFS(P:P,A:A,A1144))/SUMIFS(P:P,A:A,A1144)),"."),".")</f>
        <v>.</v>
      </c>
      <c r="BA1144" s="182"/>
      <c r="BB1144" s="182"/>
      <c r="BC1144" s="182"/>
      <c r="BD1144" s="182"/>
      <c r="BE1144" s="182"/>
      <c r="BF1144" s="182"/>
      <c r="BG1144" s="182"/>
      <c r="BH1144" s="182"/>
      <c r="BI1144" s="182"/>
      <c r="BJ1144" s="182"/>
      <c r="BK1144" s="182"/>
      <c r="BL1144" s="182"/>
      <c r="BM1144" s="182"/>
      <c r="BN1144" s="182"/>
      <c r="BO1144" s="182"/>
      <c r="BP1144" s="182"/>
      <c r="BQ1144" s="182"/>
      <c r="BR1144" s="182"/>
      <c r="BS1144" s="182"/>
    </row>
    <row r="1145" spans="1:71" ht="15.9" customHeight="1" x14ac:dyDescent="0.3">
      <c r="A1145" s="5" t="s">
        <v>3065</v>
      </c>
      <c r="B1145" s="5" t="s">
        <v>3038</v>
      </c>
      <c r="C1145" s="174">
        <v>44735</v>
      </c>
      <c r="D1145" s="5" t="s">
        <v>285</v>
      </c>
      <c r="E1145" s="5" t="s">
        <v>1328</v>
      </c>
      <c r="F1145" s="175" t="s">
        <v>3177</v>
      </c>
      <c r="G1145" s="15" t="s">
        <v>346</v>
      </c>
      <c r="H1145" s="176">
        <v>450000000</v>
      </c>
      <c r="I1145" s="185" t="s">
        <v>464</v>
      </c>
      <c r="J1145" s="113" t="str">
        <f>VLOOKUP($I1145,'Price List, Weapons &amp; Items'!B:C,2,0)</f>
        <v>Military equipment</v>
      </c>
      <c r="K1145" s="113" t="str">
        <f>IF(I1145=".",I1145,VLOOKUP($I1145,'Price List, Weapons &amp; Items'!B:D,3,0))</f>
        <v>spare parts</v>
      </c>
      <c r="L1145" s="177">
        <f>VLOOKUP(I1145,'Price List, Weapons &amp; Items'!B:E,4,0)</f>
        <v>0</v>
      </c>
      <c r="M1145" s="542" t="s">
        <v>270</v>
      </c>
      <c r="N1145" s="542" t="s">
        <v>270</v>
      </c>
      <c r="O1145" s="543" t="str">
        <f>VLOOKUP($I1145,'Price List, Weapons &amp; Items'!B:G,6,0)</f>
        <v>.</v>
      </c>
      <c r="P1145" s="176" t="str">
        <f t="shared" si="262"/>
        <v>.</v>
      </c>
      <c r="Q1145" s="176" t="str">
        <f t="shared" si="263"/>
        <v>.</v>
      </c>
      <c r="R1145" s="176" t="str">
        <f t="shared" si="265"/>
        <v/>
      </c>
      <c r="S1145" s="176" t="str">
        <f>IF(AND(AD1145=1,R1145&lt;&gt;".")=TRUE,R1145/VLOOKUP(G1145,'Exchange Rates'!B:C,2,0),IF(R1145=".",".",""))</f>
        <v/>
      </c>
      <c r="T1145" s="176" t="str">
        <f>IF(AD1145=1,IF(AF1145="Value is not given at all",".",IF(AF1145="Value is given by the source",S1145,IF(AF1145="Value is calculated with prices",(IF(SUMIFS(Q:Q,A:A,A1145)&gt;0,SUMIFS(Q:Q,A:A,A1145),"."))/VLOOKUP("USD",'Exchange Rates'!B:C,2,0),"Error with coding"))),"")</f>
        <v/>
      </c>
      <c r="U1145" s="15" t="s">
        <v>261</v>
      </c>
      <c r="V1145" s="547" t="s">
        <v>3178</v>
      </c>
      <c r="W1145" s="667" t="s">
        <v>3044</v>
      </c>
      <c r="X1145" s="667" t="s">
        <v>3047</v>
      </c>
      <c r="Y1145" s="667" t="s">
        <v>3185</v>
      </c>
      <c r="Z1145" s="15">
        <v>0</v>
      </c>
      <c r="AA1145" s="180">
        <v>0</v>
      </c>
      <c r="AB1145" s="667" t="s">
        <v>3186</v>
      </c>
      <c r="AC1145" s="544" t="str">
        <f>""</f>
        <v/>
      </c>
      <c r="AD1145" s="183">
        <v>0</v>
      </c>
      <c r="AE1145" s="586" t="s">
        <v>264</v>
      </c>
      <c r="AF1145" s="181" t="s">
        <v>264</v>
      </c>
      <c r="AG1145" s="183">
        <v>1</v>
      </c>
      <c r="AH1145" s="183">
        <v>6</v>
      </c>
      <c r="AI1145" s="183">
        <v>0</v>
      </c>
      <c r="AJ1145" s="181">
        <f>VLOOKUP($I1145,'Price List, Weapons &amp; Items'!B:F,5,0)</f>
        <v>0</v>
      </c>
      <c r="AK1145" s="181">
        <f t="shared" si="266"/>
        <v>0</v>
      </c>
      <c r="AL1145" s="181">
        <f t="shared" si="267"/>
        <v>0</v>
      </c>
      <c r="AM1145" s="181">
        <f t="shared" si="268"/>
        <v>0</v>
      </c>
      <c r="AN1145" s="180" t="str">
        <f>VLOOKUP($I1145,'Price List, Weapons &amp; Items'!B:L,COLUMN('Price List, Weapons &amp; Items'!$J$11)-1,0)</f>
        <v>.</v>
      </c>
      <c r="AO1145" s="180" t="str">
        <f>IF(I1145=".",".",VLOOKUP($I1145,'Price List, Weapons &amp; Items'!B:J,3,0))</f>
        <v>spare parts</v>
      </c>
      <c r="AP1145" s="545" t="str">
        <f t="shared" ca="1" si="264"/>
        <v/>
      </c>
      <c r="AQ1145" s="180" t="str">
        <f>VLOOKUP($I1145,'Price List, Weapons &amp; Items'!B:L,COLUMN('Price List, Weapons &amp; Items'!$L$11)-1,0)</f>
        <v>no price, 0 count</v>
      </c>
      <c r="AR1145" s="180">
        <f t="shared" si="269"/>
        <v>1</v>
      </c>
      <c r="AS1145" s="180">
        <f t="shared" si="270"/>
        <v>1</v>
      </c>
      <c r="AT1145" s="180">
        <f t="shared" si="258"/>
        <v>1</v>
      </c>
      <c r="AU1145" s="180" t="str">
        <f t="shared" si="259"/>
        <v>.</v>
      </c>
      <c r="AV1145" s="180" t="str">
        <f t="shared" si="260"/>
        <v>.</v>
      </c>
      <c r="AW1145" s="180">
        <f>IFERROR(VLOOKUP(B1145,'Share, Heavy Weapons to Ukraine'!B:J,COLUMN('Share, Heavy Weapons to Ukraine'!C1155)-1,0),0)</f>
        <v>1</v>
      </c>
      <c r="AX1145" s="180">
        <f>VLOOKUP('Bilateral Assistance, MAIN DATA'!B1145,'Country Summary'!B:F,COLUMN('Country Summary'!C1158)-1,FALSE)</f>
        <v>0</v>
      </c>
      <c r="AY1145" s="180" t="str">
        <f>IF(AND(AD1145=1,D1145="Military",H1145&lt;&gt;"Not given")=TRUE,IF(SUMIFS(P:P,A:A,A1145)&gt;0,ABS((SUMIFS(P:P,A:A,A1145)/VLOOKUP("USD",'Exchange Rates'!B:C,2,0)))/S1145,"."),".")</f>
        <v>.</v>
      </c>
      <c r="AZ1145" s="182" t="str">
        <f>IF(AND(AD1145=1,D1145="Military",H1145&lt;&gt;"Not given")=TRUE,IF(SUMIFS(P:P,A:A,A1145)&gt;0,IF((ABS((SUMIFS(P:P,A:A,A1145)/VLOOKUP("USD",'Exchange Rates'!B:C,2,0)))/S1145)&gt;1,(SUMIFS(P:P,A:A,A1145)-S1145)/S1145,(S1145-SUMIFS(P:P,A:A,A1145))/SUMIFS(P:P,A:A,A1145)),"."),".")</f>
        <v>.</v>
      </c>
      <c r="BA1145" s="182"/>
      <c r="BB1145" s="182"/>
      <c r="BC1145" s="182"/>
      <c r="BD1145" s="182"/>
      <c r="BE1145" s="182"/>
      <c r="BF1145" s="182"/>
      <c r="BG1145" s="182"/>
      <c r="BH1145" s="182"/>
      <c r="BI1145" s="182"/>
      <c r="BJ1145" s="182"/>
      <c r="BK1145" s="182"/>
      <c r="BL1145" s="182"/>
      <c r="BM1145" s="182"/>
      <c r="BN1145" s="182"/>
      <c r="BO1145" s="182"/>
      <c r="BP1145" s="182"/>
      <c r="BQ1145" s="182"/>
      <c r="BR1145" s="182"/>
      <c r="BS1145" s="182"/>
    </row>
    <row r="1146" spans="1:71" ht="15.9" customHeight="1" x14ac:dyDescent="0.3">
      <c r="A1146" s="5" t="s">
        <v>3065</v>
      </c>
      <c r="B1146" s="5" t="s">
        <v>3038</v>
      </c>
      <c r="C1146" s="174">
        <v>44743</v>
      </c>
      <c r="D1146" s="5" t="s">
        <v>285</v>
      </c>
      <c r="E1146" s="5" t="s">
        <v>1328</v>
      </c>
      <c r="F1146" s="175" t="s">
        <v>3187</v>
      </c>
      <c r="G1146" s="15" t="s">
        <v>346</v>
      </c>
      <c r="H1146" s="176">
        <v>50000000</v>
      </c>
      <c r="I1146" s="17" t="s">
        <v>3172</v>
      </c>
      <c r="J1146" s="113" t="str">
        <f>VLOOKUP($I1146,'Price List, Weapons &amp; Items'!B:C,2,0)</f>
        <v>Ammunition for heavy weapon</v>
      </c>
      <c r="K1146" s="113" t="str">
        <f>IF(I1146=".",I1146,VLOOKUP($I1146,'Price List, Weapons &amp; Items'!B:D,3,0))</f>
        <v>227mm MLRS ammunition</v>
      </c>
      <c r="L1146" s="177">
        <f>VLOOKUP(I1146,'Price List, Weapons &amp; Items'!B:E,4,0)</f>
        <v>0</v>
      </c>
      <c r="M1146" s="542" t="s">
        <v>270</v>
      </c>
      <c r="N1146" s="542" t="s">
        <v>270</v>
      </c>
      <c r="O1146" s="543">
        <f>VLOOKUP($I1146,'Price List, Weapons &amp; Items'!B:G,6,0)</f>
        <v>150000</v>
      </c>
      <c r="P1146" s="176" t="str">
        <f t="shared" si="262"/>
        <v>.</v>
      </c>
      <c r="Q1146" s="176" t="str">
        <f t="shared" si="263"/>
        <v>.</v>
      </c>
      <c r="R1146" s="176" t="str">
        <f t="shared" si="265"/>
        <v/>
      </c>
      <c r="S1146" s="176" t="str">
        <f>IF(AND(AD1146=1,R1146&lt;&gt;".")=TRUE,R1146/VLOOKUP(G1146,'Exchange Rates'!B:C,2,0),IF(R1146=".",".",""))</f>
        <v/>
      </c>
      <c r="T1146" s="176" t="str">
        <f>IF(AD1146=1,IF(AF1146="Value is not given at all",".",IF(AF1146="Value is given by the source",S1146,IF(AF1146="Value is calculated with prices",(IF(SUMIFS(Q:Q,A:A,A1146)&gt;0,SUMIFS(Q:Q,A:A,A1146),"."))/VLOOKUP("USD",'Exchange Rates'!B:C,2,0),"Error with coding"))),"")</f>
        <v/>
      </c>
      <c r="U1146" s="15" t="s">
        <v>261</v>
      </c>
      <c r="V1146" s="300" t="s">
        <v>3188</v>
      </c>
      <c r="W1146" s="667" t="s">
        <v>3044</v>
      </c>
      <c r="X1146" s="667" t="s">
        <v>3047</v>
      </c>
      <c r="Y1146" s="667" t="s">
        <v>3186</v>
      </c>
      <c r="Z1146" s="15">
        <v>0</v>
      </c>
      <c r="AA1146" s="180">
        <v>0</v>
      </c>
      <c r="AB1146" s="667" t="s">
        <v>3189</v>
      </c>
      <c r="AC1146" s="544" t="str">
        <f>""</f>
        <v/>
      </c>
      <c r="AD1146" s="183">
        <v>0</v>
      </c>
      <c r="AE1146" s="586" t="s">
        <v>264</v>
      </c>
      <c r="AF1146" s="181" t="s">
        <v>264</v>
      </c>
      <c r="AG1146" s="183">
        <v>1</v>
      </c>
      <c r="AH1146" s="181">
        <v>7</v>
      </c>
      <c r="AI1146" s="181">
        <v>0</v>
      </c>
      <c r="AJ1146" s="181">
        <f>VLOOKUP($I1146,'Price List, Weapons &amp; Items'!B:F,5,0)</f>
        <v>1</v>
      </c>
      <c r="AK1146" s="181">
        <f t="shared" si="266"/>
        <v>1</v>
      </c>
      <c r="AL1146" s="181">
        <f t="shared" si="267"/>
        <v>1</v>
      </c>
      <c r="AM1146" s="181">
        <f t="shared" si="268"/>
        <v>1</v>
      </c>
      <c r="AN1146" s="180" t="str">
        <f>VLOOKUP($I1146,'Price List, Weapons &amp; Items'!B:L,COLUMN('Price List, Weapons &amp; Items'!$J$11)-1,0)</f>
        <v>Media reports (incl. social media)</v>
      </c>
      <c r="AO1146" s="180" t="str">
        <f>IF(I1146=".",".",VLOOKUP($I1146,'Price List, Weapons &amp; Items'!B:J,3,0))</f>
        <v>227mm MLRS ammunition</v>
      </c>
      <c r="AP1146" s="545" t="str">
        <f t="shared" ca="1" si="264"/>
        <v/>
      </c>
      <c r="AQ1146" s="180" t="str">
        <f>VLOOKUP($I1146,'Price List, Weapons &amp; Items'!B:L,COLUMN('Price List, Weapons &amp; Items'!$L$11)-1,0)</f>
        <v>no price, 0 count</v>
      </c>
      <c r="AR1146" s="180">
        <f t="shared" si="269"/>
        <v>1</v>
      </c>
      <c r="AS1146" s="180">
        <f t="shared" si="270"/>
        <v>1</v>
      </c>
      <c r="AT1146" s="180">
        <f t="shared" si="258"/>
        <v>1</v>
      </c>
      <c r="AU1146" s="180" t="str">
        <f t="shared" si="259"/>
        <v>.</v>
      </c>
      <c r="AV1146" s="180" t="str">
        <f t="shared" si="260"/>
        <v>.</v>
      </c>
      <c r="AW1146" s="180">
        <f>IFERROR(VLOOKUP(B1146,'Share, Heavy Weapons to Ukraine'!B:J,COLUMN('Share, Heavy Weapons to Ukraine'!C1156)-1,0),0)</f>
        <v>1</v>
      </c>
      <c r="AX1146" s="180">
        <f>VLOOKUP('Bilateral Assistance, MAIN DATA'!B1146,'Country Summary'!B:F,COLUMN('Country Summary'!C1159)-1,FALSE)</f>
        <v>0</v>
      </c>
      <c r="AY1146" s="180" t="str">
        <f>IF(AND(AD1146=1,D1146="Military",H1146&lt;&gt;"Not given")=TRUE,IF(SUMIFS(P:P,A:A,A1146)&gt;0,ABS((SUMIFS(P:P,A:A,A1146)/VLOOKUP("USD",'Exchange Rates'!B:C,2,0)))/S1146,"."),".")</f>
        <v>.</v>
      </c>
      <c r="AZ1146" s="182" t="str">
        <f>IF(AND(AD1146=1,D1146="Military",H1146&lt;&gt;"Not given")=TRUE,IF(SUMIFS(P:P,A:A,A1146)&gt;0,IF((ABS((SUMIFS(P:P,A:A,A1146)/VLOOKUP("USD",'Exchange Rates'!B:C,2,0)))/S1146)&gt;1,(SUMIFS(P:P,A:A,A1146)-S1146)/S1146,(S1146-SUMIFS(P:P,A:A,A1146))/SUMIFS(P:P,A:A,A1146)),"."),".")</f>
        <v>.</v>
      </c>
      <c r="BA1146" s="182"/>
      <c r="BB1146" s="182"/>
      <c r="BC1146" s="182"/>
      <c r="BD1146" s="182"/>
      <c r="BE1146" s="182"/>
      <c r="BF1146" s="182"/>
      <c r="BG1146" s="182"/>
      <c r="BH1146" s="182"/>
      <c r="BI1146" s="182"/>
      <c r="BJ1146" s="182"/>
      <c r="BK1146" s="182"/>
      <c r="BL1146" s="182"/>
      <c r="BM1146" s="182"/>
      <c r="BN1146" s="182"/>
      <c r="BO1146" s="182"/>
      <c r="BP1146" s="182"/>
      <c r="BQ1146" s="182"/>
      <c r="BR1146" s="182"/>
      <c r="BS1146" s="182"/>
    </row>
    <row r="1147" spans="1:71" ht="15.9" customHeight="1" x14ac:dyDescent="0.3">
      <c r="A1147" s="5" t="s">
        <v>3065</v>
      </c>
      <c r="B1147" s="5" t="s">
        <v>3038</v>
      </c>
      <c r="C1147" s="174">
        <v>44751</v>
      </c>
      <c r="D1147" s="5" t="s">
        <v>285</v>
      </c>
      <c r="E1147" s="5" t="s">
        <v>1328</v>
      </c>
      <c r="F1147" s="175" t="s">
        <v>3190</v>
      </c>
      <c r="G1147" s="15" t="s">
        <v>346</v>
      </c>
      <c r="H1147" s="176">
        <v>400000000</v>
      </c>
      <c r="I1147" s="17" t="s">
        <v>3150</v>
      </c>
      <c r="J1147" s="113" t="str">
        <f>VLOOKUP($I1147,'Price List, Weapons &amp; Items'!B:C,2,0)</f>
        <v>Heavy weapon</v>
      </c>
      <c r="K1147" s="113" t="str">
        <f>IF(I1147=".",I1147,VLOOKUP($I1147,'Price List, Weapons &amp; Items'!B:D,3,0))</f>
        <v>227mm MLRS</v>
      </c>
      <c r="L1147" s="177">
        <f>VLOOKUP(I1147,'Price List, Weapons &amp; Items'!B:E,4,0)</f>
        <v>0</v>
      </c>
      <c r="M1147" s="542">
        <v>4</v>
      </c>
      <c r="N1147" s="542">
        <v>4</v>
      </c>
      <c r="O1147" s="543">
        <f>VLOOKUP($I1147,'Price List, Weapons &amp; Items'!B:G,6,0)</f>
        <v>15076313.029999999</v>
      </c>
      <c r="P1147" s="176">
        <f t="shared" si="262"/>
        <v>60305252.119999997</v>
      </c>
      <c r="Q1147" s="176">
        <f t="shared" si="263"/>
        <v>60305252.119999997</v>
      </c>
      <c r="R1147" s="176" t="str">
        <f t="shared" si="265"/>
        <v/>
      </c>
      <c r="S1147" s="176" t="str">
        <f>IF(AND(AD1147=1,R1147&lt;&gt;".")=TRUE,R1147/VLOOKUP(G1147,'Exchange Rates'!B:C,2,0),IF(R1147=".",".",""))</f>
        <v/>
      </c>
      <c r="T1147" s="176" t="str">
        <f>IF(AD1147=1,IF(AF1147="Value is not given at all",".",IF(AF1147="Value is given by the source",S1147,IF(AF1147="Value is calculated with prices",(IF(SUMIFS(Q:Q,A:A,A1147)&gt;0,SUMIFS(Q:Q,A:A,A1147),"."))/VLOOKUP("USD",'Exchange Rates'!B:C,2,0),"Error with coding"))),"")</f>
        <v/>
      </c>
      <c r="U1147" s="15" t="s">
        <v>261</v>
      </c>
      <c r="V1147" s="547" t="s">
        <v>3191</v>
      </c>
      <c r="W1147" s="667" t="s">
        <v>3044</v>
      </c>
      <c r="X1147" s="667" t="s">
        <v>3047</v>
      </c>
      <c r="Y1147" s="667" t="s">
        <v>3189</v>
      </c>
      <c r="Z1147" s="15">
        <v>0</v>
      </c>
      <c r="AA1147" s="180">
        <v>0</v>
      </c>
      <c r="AB1147" s="667" t="s">
        <v>3192</v>
      </c>
      <c r="AC1147" s="544" t="str">
        <f>""</f>
        <v/>
      </c>
      <c r="AD1147" s="183">
        <v>0</v>
      </c>
      <c r="AE1147" s="586" t="s">
        <v>264</v>
      </c>
      <c r="AF1147" s="181" t="s">
        <v>264</v>
      </c>
      <c r="AG1147" s="183">
        <v>1</v>
      </c>
      <c r="AH1147" s="183">
        <v>7</v>
      </c>
      <c r="AI1147" s="183">
        <v>0</v>
      </c>
      <c r="AJ1147" s="181">
        <f>VLOOKUP($I1147,'Price List, Weapons &amp; Items'!B:F,5,0)</f>
        <v>1</v>
      </c>
      <c r="AK1147" s="181">
        <f t="shared" si="266"/>
        <v>0</v>
      </c>
      <c r="AL1147" s="181">
        <f t="shared" si="267"/>
        <v>0</v>
      </c>
      <c r="AM1147" s="181">
        <f t="shared" si="268"/>
        <v>0</v>
      </c>
      <c r="AN1147" s="180" t="str">
        <f>VLOOKUP($I1147,'Price List, Weapons &amp; Items'!B:L,COLUMN('Price List, Weapons &amp; Items'!$J$11)-1,0)</f>
        <v>Contracts</v>
      </c>
      <c r="AO1147" s="180" t="str">
        <f>IF(I1147=".",".",VLOOKUP($I1147,'Price List, Weapons &amp; Items'!B:J,3,0))</f>
        <v>227mm MLRS</v>
      </c>
      <c r="AP1147" s="545" t="str">
        <f t="shared" ca="1" si="264"/>
        <v/>
      </c>
      <c r="AQ1147" s="180">
        <f>VLOOKUP($I1147,'Price List, Weapons &amp; Items'!B:L,COLUMN('Price List, Weapons &amp; Items'!$L$11)-1,0)</f>
        <v>2</v>
      </c>
      <c r="AR1147" s="180">
        <f t="shared" si="269"/>
        <v>1</v>
      </c>
      <c r="AS1147" s="180">
        <f t="shared" si="270"/>
        <v>1</v>
      </c>
      <c r="AT1147" s="180">
        <f t="shared" si="258"/>
        <v>1</v>
      </c>
      <c r="AU1147" s="180" t="str">
        <f t="shared" si="259"/>
        <v>.</v>
      </c>
      <c r="AV1147" s="180" t="str">
        <f t="shared" si="260"/>
        <v>.</v>
      </c>
      <c r="AW1147" s="180">
        <f>IFERROR(VLOOKUP(B1147,'Share, Heavy Weapons to Ukraine'!B:J,COLUMN('Share, Heavy Weapons to Ukraine'!C1157)-1,0),0)</f>
        <v>1</v>
      </c>
      <c r="AX1147" s="180">
        <f>VLOOKUP('Bilateral Assistance, MAIN DATA'!B1147,'Country Summary'!B:F,COLUMN('Country Summary'!C1160)-1,FALSE)</f>
        <v>0</v>
      </c>
      <c r="AY1147" s="180" t="str">
        <f>IF(AND(AD1147=1,D1147="Military",H1147&lt;&gt;"Not given")=TRUE,IF(SUMIFS(P:P,A:A,A1147)&gt;0,ABS((SUMIFS(P:P,A:A,A1147)/VLOOKUP("USD",'Exchange Rates'!B:C,2,0)))/S1147,"."),".")</f>
        <v>.</v>
      </c>
      <c r="AZ1147" s="182" t="str">
        <f>IF(AND(AD1147=1,D1147="Military",H1147&lt;&gt;"Not given")=TRUE,IF(SUMIFS(P:P,A:A,A1147)&gt;0,IF((ABS((SUMIFS(P:P,A:A,A1147)/VLOOKUP("USD",'Exchange Rates'!B:C,2,0)))/S1147)&gt;1,(SUMIFS(P:P,A:A,A1147)-S1147)/S1147,(S1147-SUMIFS(P:P,A:A,A1147))/SUMIFS(P:P,A:A,A1147)),"."),".")</f>
        <v>.</v>
      </c>
      <c r="BA1147" s="182"/>
      <c r="BB1147" s="182"/>
      <c r="BC1147" s="182"/>
      <c r="BD1147" s="182"/>
      <c r="BE1147" s="182"/>
      <c r="BF1147" s="182"/>
      <c r="BG1147" s="182"/>
      <c r="BH1147" s="182"/>
      <c r="BI1147" s="182"/>
      <c r="BJ1147" s="182"/>
      <c r="BK1147" s="182"/>
      <c r="BL1147" s="182"/>
      <c r="BM1147" s="182"/>
      <c r="BN1147" s="182"/>
      <c r="BO1147" s="182"/>
      <c r="BP1147" s="182"/>
      <c r="BQ1147" s="182"/>
      <c r="BR1147" s="182"/>
      <c r="BS1147" s="182"/>
    </row>
    <row r="1148" spans="1:71" ht="15.9" customHeight="1" x14ac:dyDescent="0.3">
      <c r="A1148" s="5" t="s">
        <v>3065</v>
      </c>
      <c r="B1148" s="5" t="s">
        <v>3038</v>
      </c>
      <c r="C1148" s="174">
        <v>44751</v>
      </c>
      <c r="D1148" s="5" t="s">
        <v>285</v>
      </c>
      <c r="E1148" s="5" t="s">
        <v>1328</v>
      </c>
      <c r="F1148" s="175" t="s">
        <v>3190</v>
      </c>
      <c r="G1148" s="15" t="s">
        <v>346</v>
      </c>
      <c r="H1148" s="176">
        <v>400000000</v>
      </c>
      <c r="I1148" s="17" t="s">
        <v>3172</v>
      </c>
      <c r="J1148" s="113" t="str">
        <f>VLOOKUP($I1148,'Price List, Weapons &amp; Items'!B:C,2,0)</f>
        <v>Ammunition for heavy weapon</v>
      </c>
      <c r="K1148" s="113" t="str">
        <f>IF(I1148=".",I1148,VLOOKUP($I1148,'Price List, Weapons &amp; Items'!B:D,3,0))</f>
        <v>227mm MLRS ammunition</v>
      </c>
      <c r="L1148" s="177">
        <f>VLOOKUP(I1148,'Price List, Weapons &amp; Items'!B:E,4,0)</f>
        <v>0</v>
      </c>
      <c r="M1148" s="542" t="s">
        <v>270</v>
      </c>
      <c r="N1148" s="542" t="s">
        <v>270</v>
      </c>
      <c r="O1148" s="543">
        <f>VLOOKUP($I1148,'Price List, Weapons &amp; Items'!B:G,6,0)</f>
        <v>150000</v>
      </c>
      <c r="P1148" s="176" t="str">
        <f t="shared" si="262"/>
        <v>.</v>
      </c>
      <c r="Q1148" s="176" t="str">
        <f t="shared" si="263"/>
        <v>.</v>
      </c>
      <c r="R1148" s="176" t="str">
        <f t="shared" si="265"/>
        <v/>
      </c>
      <c r="S1148" s="176" t="str">
        <f>IF(AND(AD1148=1,R1148&lt;&gt;".")=TRUE,R1148/VLOOKUP(G1148,'Exchange Rates'!B:C,2,0),IF(R1148=".",".",""))</f>
        <v/>
      </c>
      <c r="T1148" s="176" t="str">
        <f>IF(AD1148=1,IF(AF1148="Value is not given at all",".",IF(AF1148="Value is given by the source",S1148,IF(AF1148="Value is calculated with prices",(IF(SUMIFS(Q:Q,A:A,A1148)&gt;0,SUMIFS(Q:Q,A:A,A1148),"."))/VLOOKUP("USD",'Exchange Rates'!B:C,2,0),"Error with coding"))),"")</f>
        <v/>
      </c>
      <c r="U1148" s="15" t="s">
        <v>261</v>
      </c>
      <c r="V1148" s="547" t="s">
        <v>3191</v>
      </c>
      <c r="W1148" s="667" t="s">
        <v>3044</v>
      </c>
      <c r="X1148" s="667" t="s">
        <v>3047</v>
      </c>
      <c r="Y1148" s="667" t="s">
        <v>3192</v>
      </c>
      <c r="Z1148" s="15">
        <v>0</v>
      </c>
      <c r="AA1148" s="180">
        <v>0</v>
      </c>
      <c r="AB1148" s="667" t="s">
        <v>3193</v>
      </c>
      <c r="AC1148" s="544" t="str">
        <f>""</f>
        <v/>
      </c>
      <c r="AD1148" s="183">
        <v>0</v>
      </c>
      <c r="AE1148" s="586" t="s">
        <v>264</v>
      </c>
      <c r="AF1148" s="181" t="s">
        <v>264</v>
      </c>
      <c r="AG1148" s="183">
        <v>1</v>
      </c>
      <c r="AH1148" s="183">
        <v>7</v>
      </c>
      <c r="AI1148" s="183">
        <v>0</v>
      </c>
      <c r="AJ1148" s="181">
        <f>VLOOKUP($I1148,'Price List, Weapons &amp; Items'!B:F,5,0)</f>
        <v>1</v>
      </c>
      <c r="AK1148" s="181">
        <f t="shared" si="266"/>
        <v>1</v>
      </c>
      <c r="AL1148" s="181">
        <f t="shared" si="267"/>
        <v>1</v>
      </c>
      <c r="AM1148" s="181">
        <f t="shared" si="268"/>
        <v>1</v>
      </c>
      <c r="AN1148" s="180" t="str">
        <f>VLOOKUP($I1148,'Price List, Weapons &amp; Items'!B:L,COLUMN('Price List, Weapons &amp; Items'!$J$11)-1,0)</f>
        <v>Media reports (incl. social media)</v>
      </c>
      <c r="AO1148" s="180" t="str">
        <f>IF(I1148=".",".",VLOOKUP($I1148,'Price List, Weapons &amp; Items'!B:J,3,0))</f>
        <v>227mm MLRS ammunition</v>
      </c>
      <c r="AP1148" s="545" t="str">
        <f t="shared" ca="1" si="264"/>
        <v/>
      </c>
      <c r="AQ1148" s="180" t="str">
        <f>VLOOKUP($I1148,'Price List, Weapons &amp; Items'!B:L,COLUMN('Price List, Weapons &amp; Items'!$L$11)-1,0)</f>
        <v>no price, 0 count</v>
      </c>
      <c r="AR1148" s="180">
        <f t="shared" si="269"/>
        <v>1</v>
      </c>
      <c r="AS1148" s="180">
        <f t="shared" si="270"/>
        <v>1</v>
      </c>
      <c r="AT1148" s="180">
        <f t="shared" si="258"/>
        <v>1</v>
      </c>
      <c r="AU1148" s="180" t="str">
        <f t="shared" si="259"/>
        <v>.</v>
      </c>
      <c r="AV1148" s="180" t="str">
        <f t="shared" si="260"/>
        <v>.</v>
      </c>
      <c r="AW1148" s="180">
        <f>IFERROR(VLOOKUP(B1148,'Share, Heavy Weapons to Ukraine'!B:J,COLUMN('Share, Heavy Weapons to Ukraine'!C1158)-1,0),0)</f>
        <v>1</v>
      </c>
      <c r="AX1148" s="180">
        <f>VLOOKUP('Bilateral Assistance, MAIN DATA'!B1148,'Country Summary'!B:F,COLUMN('Country Summary'!C1161)-1,FALSE)</f>
        <v>0</v>
      </c>
      <c r="AY1148" s="180" t="str">
        <f>IF(AND(AD1148=1,D1148="Military",H1148&lt;&gt;"Not given")=TRUE,IF(SUMIFS(P:P,A:A,A1148)&gt;0,ABS((SUMIFS(P:P,A:A,A1148)/VLOOKUP("USD",'Exchange Rates'!B:C,2,0)))/S1148,"."),".")</f>
        <v>.</v>
      </c>
      <c r="AZ1148" s="182" t="str">
        <f>IF(AND(AD1148=1,D1148="Military",H1148&lt;&gt;"Not given")=TRUE,IF(SUMIFS(P:P,A:A,A1148)&gt;0,IF((ABS((SUMIFS(P:P,A:A,A1148)/VLOOKUP("USD",'Exchange Rates'!B:C,2,0)))/S1148)&gt;1,(SUMIFS(P:P,A:A,A1148)-S1148)/S1148,(S1148-SUMIFS(P:P,A:A,A1148))/SUMIFS(P:P,A:A,A1148)),"."),".")</f>
        <v>.</v>
      </c>
      <c r="BA1148" s="182"/>
      <c r="BB1148" s="182"/>
      <c r="BC1148" s="182"/>
      <c r="BD1148" s="182"/>
      <c r="BE1148" s="182"/>
      <c r="BF1148" s="182"/>
      <c r="BG1148" s="182"/>
      <c r="BH1148" s="182"/>
      <c r="BI1148" s="182"/>
      <c r="BJ1148" s="182"/>
      <c r="BK1148" s="182"/>
      <c r="BL1148" s="182"/>
      <c r="BM1148" s="182"/>
      <c r="BN1148" s="182"/>
      <c r="BO1148" s="182"/>
      <c r="BP1148" s="182"/>
      <c r="BQ1148" s="182"/>
      <c r="BR1148" s="182"/>
      <c r="BS1148" s="182"/>
    </row>
    <row r="1149" spans="1:71" ht="15.9" customHeight="1" x14ac:dyDescent="0.3">
      <c r="A1149" s="5" t="s">
        <v>3065</v>
      </c>
      <c r="B1149" s="5" t="s">
        <v>3038</v>
      </c>
      <c r="C1149" s="174">
        <v>44751</v>
      </c>
      <c r="D1149" s="5" t="s">
        <v>285</v>
      </c>
      <c r="E1149" s="5" t="s">
        <v>1328</v>
      </c>
      <c r="F1149" s="175" t="s">
        <v>3190</v>
      </c>
      <c r="G1149" s="15" t="s">
        <v>346</v>
      </c>
      <c r="H1149" s="176">
        <v>400000000</v>
      </c>
      <c r="I1149" s="17" t="s">
        <v>3174</v>
      </c>
      <c r="J1149" s="113" t="str">
        <f>VLOOKUP($I1149,'Price List, Weapons &amp; Items'!B:C,2,0)</f>
        <v>Military equipment</v>
      </c>
      <c r="K1149" s="113" t="str">
        <f>IF(I1149=".",I1149,VLOOKUP($I1149,'Price List, Weapons &amp; Items'!B:D,3,0))</f>
        <v>Military equipment</v>
      </c>
      <c r="L1149" s="177">
        <f>VLOOKUP(I1149,'Price List, Weapons &amp; Items'!B:E,4,0)</f>
        <v>0</v>
      </c>
      <c r="M1149" s="542">
        <v>3</v>
      </c>
      <c r="N1149" s="542">
        <v>3</v>
      </c>
      <c r="O1149" s="543">
        <f>VLOOKUP($I1149,'Price List, Weapons &amp; Items'!B:G,6,0)</f>
        <v>350000</v>
      </c>
      <c r="P1149" s="176">
        <f t="shared" si="262"/>
        <v>1050000</v>
      </c>
      <c r="Q1149" s="176">
        <f t="shared" si="263"/>
        <v>1050000</v>
      </c>
      <c r="R1149" s="176" t="str">
        <f t="shared" si="265"/>
        <v/>
      </c>
      <c r="S1149" s="176" t="str">
        <f>IF(AND(AD1149=1,R1149&lt;&gt;".")=TRUE,R1149/VLOOKUP(G1149,'Exchange Rates'!B:C,2,0),IF(R1149=".",".",""))</f>
        <v/>
      </c>
      <c r="T1149" s="176" t="str">
        <f>IF(AD1149=1,IF(AF1149="Value is not given at all",".",IF(AF1149="Value is given by the source",S1149,IF(AF1149="Value is calculated with prices",(IF(SUMIFS(Q:Q,A:A,A1149)&gt;0,SUMIFS(Q:Q,A:A,A1149),"."))/VLOOKUP("USD",'Exchange Rates'!B:C,2,0),"Error with coding"))),"")</f>
        <v/>
      </c>
      <c r="U1149" s="15" t="s">
        <v>261</v>
      </c>
      <c r="V1149" s="547" t="s">
        <v>3191</v>
      </c>
      <c r="W1149" s="667" t="s">
        <v>3044</v>
      </c>
      <c r="X1149" s="667" t="s">
        <v>3047</v>
      </c>
      <c r="Y1149" s="667" t="s">
        <v>3193</v>
      </c>
      <c r="Z1149" s="15">
        <v>0</v>
      </c>
      <c r="AA1149" s="180">
        <v>0</v>
      </c>
      <c r="AB1149" s="667" t="s">
        <v>3194</v>
      </c>
      <c r="AC1149" s="544" t="str">
        <f>""</f>
        <v/>
      </c>
      <c r="AD1149" s="183">
        <v>0</v>
      </c>
      <c r="AE1149" s="586" t="s">
        <v>264</v>
      </c>
      <c r="AF1149" s="181" t="s">
        <v>264</v>
      </c>
      <c r="AG1149" s="183">
        <v>1</v>
      </c>
      <c r="AH1149" s="183">
        <v>7</v>
      </c>
      <c r="AI1149" s="183">
        <v>0</v>
      </c>
      <c r="AJ1149" s="181">
        <f>VLOOKUP($I1149,'Price List, Weapons &amp; Items'!B:F,5,0)</f>
        <v>0</v>
      </c>
      <c r="AK1149" s="181">
        <f t="shared" si="266"/>
        <v>0</v>
      </c>
      <c r="AL1149" s="181">
        <f t="shared" si="267"/>
        <v>0</v>
      </c>
      <c r="AM1149" s="181">
        <f t="shared" si="268"/>
        <v>0</v>
      </c>
      <c r="AN1149" s="180" t="str">
        <f>VLOOKUP($I1149,'Price List, Weapons &amp; Items'!B:L,COLUMN('Price List, Weapons &amp; Items'!$J$11)-1,0)</f>
        <v>Media reports (incl. social media)</v>
      </c>
      <c r="AO1149" s="180" t="str">
        <f>IF(I1149=".",".",VLOOKUP($I1149,'Price List, Weapons &amp; Items'!B:J,3,0))</f>
        <v>Military equipment</v>
      </c>
      <c r="AP1149" s="545" t="str">
        <f t="shared" ca="1" si="264"/>
        <v/>
      </c>
      <c r="AQ1149" s="180">
        <f>VLOOKUP($I1149,'Price List, Weapons &amp; Items'!B:L,COLUMN('Price List, Weapons &amp; Items'!$L$11)-1,0)</f>
        <v>2</v>
      </c>
      <c r="AR1149" s="180">
        <f t="shared" si="269"/>
        <v>1</v>
      </c>
      <c r="AS1149" s="180">
        <f t="shared" si="270"/>
        <v>1</v>
      </c>
      <c r="AT1149" s="180">
        <f t="shared" si="258"/>
        <v>1</v>
      </c>
      <c r="AU1149" s="180" t="str">
        <f t="shared" si="259"/>
        <v>.</v>
      </c>
      <c r="AV1149" s="180" t="str">
        <f t="shared" si="260"/>
        <v>.</v>
      </c>
      <c r="AW1149" s="180">
        <f>IFERROR(VLOOKUP(B1149,'Share, Heavy Weapons to Ukraine'!B:J,COLUMN('Share, Heavy Weapons to Ukraine'!C1159)-1,0),0)</f>
        <v>1</v>
      </c>
      <c r="AX1149" s="180">
        <f>VLOOKUP('Bilateral Assistance, MAIN DATA'!B1149,'Country Summary'!B:F,COLUMN('Country Summary'!C1162)-1,FALSE)</f>
        <v>0</v>
      </c>
      <c r="AY1149" s="180" t="str">
        <f>IF(AND(AD1149=1,D1149="Military",H1149&lt;&gt;"Not given")=TRUE,IF(SUMIFS(P:P,A:A,A1149)&gt;0,ABS((SUMIFS(P:P,A:A,A1149)/VLOOKUP("USD",'Exchange Rates'!B:C,2,0)))/S1149,"."),".")</f>
        <v>.</v>
      </c>
      <c r="AZ1149" s="182" t="str">
        <f>IF(AND(AD1149=1,D1149="Military",H1149&lt;&gt;"Not given")=TRUE,IF(SUMIFS(P:P,A:A,A1149)&gt;0,IF((ABS((SUMIFS(P:P,A:A,A1149)/VLOOKUP("USD",'Exchange Rates'!B:C,2,0)))/S1149)&gt;1,(SUMIFS(P:P,A:A,A1149)-S1149)/S1149,(S1149-SUMIFS(P:P,A:A,A1149))/SUMIFS(P:P,A:A,A1149)),"."),".")</f>
        <v>.</v>
      </c>
      <c r="BA1149" s="182"/>
      <c r="BB1149" s="182"/>
      <c r="BC1149" s="182"/>
      <c r="BD1149" s="182"/>
      <c r="BE1149" s="182"/>
      <c r="BF1149" s="182"/>
      <c r="BG1149" s="182"/>
      <c r="BH1149" s="182"/>
      <c r="BI1149" s="182"/>
      <c r="BJ1149" s="182"/>
      <c r="BK1149" s="182"/>
      <c r="BL1149" s="182"/>
      <c r="BM1149" s="182"/>
      <c r="BN1149" s="182"/>
      <c r="BO1149" s="182"/>
      <c r="BP1149" s="182"/>
      <c r="BQ1149" s="182"/>
      <c r="BR1149" s="182"/>
      <c r="BS1149" s="182"/>
    </row>
    <row r="1150" spans="1:71" ht="15.9" customHeight="1" x14ac:dyDescent="0.3">
      <c r="A1150" s="5" t="s">
        <v>3065</v>
      </c>
      <c r="B1150" s="5" t="s">
        <v>3038</v>
      </c>
      <c r="C1150" s="174">
        <v>44751</v>
      </c>
      <c r="D1150" s="5" t="s">
        <v>285</v>
      </c>
      <c r="E1150" s="5" t="s">
        <v>1328</v>
      </c>
      <c r="F1150" s="175" t="s">
        <v>3190</v>
      </c>
      <c r="G1150" s="15" t="s">
        <v>346</v>
      </c>
      <c r="H1150" s="176">
        <v>400000000</v>
      </c>
      <c r="I1150" s="17" t="s">
        <v>644</v>
      </c>
      <c r="J1150" s="113" t="str">
        <f>VLOOKUP($I1150,'Price List, Weapons &amp; Items'!B:C,2,0)</f>
        <v>Ammunition for heavy weapon</v>
      </c>
      <c r="K1150" s="113" t="str">
        <f>IF(I1150=".",I1150,VLOOKUP($I1150,'Price List, Weapons &amp; Items'!B:D,3,0))</f>
        <v>155mm howitzer ammunition</v>
      </c>
      <c r="L1150" s="177">
        <f>VLOOKUP(I1150,'Price List, Weapons &amp; Items'!B:E,4,0)</f>
        <v>0</v>
      </c>
      <c r="M1150" s="542">
        <v>1000</v>
      </c>
      <c r="N1150" s="542">
        <v>1000</v>
      </c>
      <c r="O1150" s="543">
        <f>VLOOKUP($I1150,'Price List, Weapons &amp; Items'!B:G,6,0)</f>
        <v>3800</v>
      </c>
      <c r="P1150" s="176">
        <f t="shared" si="262"/>
        <v>3800000</v>
      </c>
      <c r="Q1150" s="176">
        <f t="shared" si="263"/>
        <v>3800000</v>
      </c>
      <c r="R1150" s="176" t="str">
        <f t="shared" si="265"/>
        <v/>
      </c>
      <c r="S1150" s="176" t="str">
        <f>IF(AND(AD1150=1,R1150&lt;&gt;".")=TRUE,R1150/VLOOKUP(G1150,'Exchange Rates'!B:C,2,0),IF(R1150=".",".",""))</f>
        <v/>
      </c>
      <c r="T1150" s="176" t="str">
        <f>IF(AD1150=1,IF(AF1150="Value is not given at all",".",IF(AF1150="Value is given by the source",S1150,IF(AF1150="Value is calculated with prices",(IF(SUMIFS(Q:Q,A:A,A1150)&gt;0,SUMIFS(Q:Q,A:A,A1150),"."))/VLOOKUP("USD",'Exchange Rates'!B:C,2,0),"Error with coding"))),"")</f>
        <v/>
      </c>
      <c r="U1150" s="15" t="s">
        <v>261</v>
      </c>
      <c r="V1150" s="547" t="s">
        <v>3191</v>
      </c>
      <c r="W1150" s="667" t="s">
        <v>3044</v>
      </c>
      <c r="X1150" s="667" t="s">
        <v>3047</v>
      </c>
      <c r="Y1150" s="667" t="s">
        <v>3194</v>
      </c>
      <c r="Z1150" s="15">
        <v>0</v>
      </c>
      <c r="AA1150" s="180">
        <v>0</v>
      </c>
      <c r="AB1150" s="667" t="s">
        <v>3195</v>
      </c>
      <c r="AC1150" s="544" t="str">
        <f>""</f>
        <v/>
      </c>
      <c r="AD1150" s="183">
        <v>0</v>
      </c>
      <c r="AE1150" s="586" t="s">
        <v>264</v>
      </c>
      <c r="AF1150" s="181" t="s">
        <v>264</v>
      </c>
      <c r="AG1150" s="183">
        <v>1</v>
      </c>
      <c r="AH1150" s="183">
        <v>7</v>
      </c>
      <c r="AI1150" s="183">
        <v>0</v>
      </c>
      <c r="AJ1150" s="181">
        <f>VLOOKUP($I1150,'Price List, Weapons &amp; Items'!B:F,5,0)</f>
        <v>1</v>
      </c>
      <c r="AK1150" s="181">
        <f t="shared" si="266"/>
        <v>0</v>
      </c>
      <c r="AL1150" s="181">
        <f t="shared" si="267"/>
        <v>0</v>
      </c>
      <c r="AM1150" s="181">
        <f t="shared" si="268"/>
        <v>0</v>
      </c>
      <c r="AN1150" s="180" t="str">
        <f>VLOOKUP($I1150,'Price List, Weapons &amp; Items'!B:L,COLUMN('Price List, Weapons &amp; Items'!$J$11)-1,0)</f>
        <v>Government information</v>
      </c>
      <c r="AO1150" s="180" t="str">
        <f>IF(I1150=".",".",VLOOKUP($I1150,'Price List, Weapons &amp; Items'!B:J,3,0))</f>
        <v>155mm howitzer ammunition</v>
      </c>
      <c r="AP1150" s="545" t="str">
        <f t="shared" ca="1" si="264"/>
        <v/>
      </c>
      <c r="AQ1150" s="180">
        <f>VLOOKUP($I1150,'Price List, Weapons &amp; Items'!B:L,COLUMN('Price List, Weapons &amp; Items'!$L$11)-1,0)</f>
        <v>2</v>
      </c>
      <c r="AR1150" s="180">
        <f t="shared" si="269"/>
        <v>1</v>
      </c>
      <c r="AS1150" s="180">
        <f t="shared" si="270"/>
        <v>1</v>
      </c>
      <c r="AT1150" s="180">
        <f t="shared" si="258"/>
        <v>1</v>
      </c>
      <c r="AU1150" s="180" t="str">
        <f t="shared" si="259"/>
        <v>.</v>
      </c>
      <c r="AV1150" s="180" t="str">
        <f t="shared" si="260"/>
        <v>.</v>
      </c>
      <c r="AW1150" s="180">
        <f>IFERROR(VLOOKUP(B1150,'Share, Heavy Weapons to Ukraine'!B:J,COLUMN('Share, Heavy Weapons to Ukraine'!C1160)-1,0),0)</f>
        <v>1</v>
      </c>
      <c r="AX1150" s="180">
        <f>VLOOKUP('Bilateral Assistance, MAIN DATA'!B1150,'Country Summary'!B:F,COLUMN('Country Summary'!C1163)-1,FALSE)</f>
        <v>0</v>
      </c>
      <c r="AY1150" s="180" t="str">
        <f>IF(AND(AD1150=1,D1150="Military",H1150&lt;&gt;"Not given")=TRUE,IF(SUMIFS(P:P,A:A,A1150)&gt;0,ABS((SUMIFS(P:P,A:A,A1150)/VLOOKUP("USD",'Exchange Rates'!B:C,2,0)))/S1150,"."),".")</f>
        <v>.</v>
      </c>
      <c r="AZ1150" s="182" t="str">
        <f>IF(AND(AD1150=1,D1150="Military",H1150&lt;&gt;"Not given")=TRUE,IF(SUMIFS(P:P,A:A,A1150)&gt;0,IF((ABS((SUMIFS(P:P,A:A,A1150)/VLOOKUP("USD",'Exchange Rates'!B:C,2,0)))/S1150)&gt;1,(SUMIFS(P:P,A:A,A1150)-S1150)/S1150,(S1150-SUMIFS(P:P,A:A,A1150))/SUMIFS(P:P,A:A,A1150)),"."),".")</f>
        <v>.</v>
      </c>
      <c r="BA1150" s="182"/>
      <c r="BB1150" s="182"/>
      <c r="BC1150" s="182"/>
      <c r="BD1150" s="182"/>
      <c r="BE1150" s="182"/>
      <c r="BF1150" s="182"/>
      <c r="BG1150" s="182"/>
      <c r="BH1150" s="182"/>
      <c r="BI1150" s="182"/>
      <c r="BJ1150" s="182"/>
      <c r="BK1150" s="182"/>
      <c r="BL1150" s="182"/>
      <c r="BM1150" s="182"/>
      <c r="BN1150" s="182"/>
      <c r="BO1150" s="182"/>
      <c r="BP1150" s="182"/>
      <c r="BQ1150" s="182"/>
      <c r="BR1150" s="182"/>
      <c r="BS1150" s="182"/>
    </row>
    <row r="1151" spans="1:71" ht="15.9" customHeight="1" x14ac:dyDescent="0.3">
      <c r="A1151" s="5" t="s">
        <v>3065</v>
      </c>
      <c r="B1151" s="5" t="s">
        <v>3038</v>
      </c>
      <c r="C1151" s="174">
        <v>44751</v>
      </c>
      <c r="D1151" s="5" t="s">
        <v>285</v>
      </c>
      <c r="E1151" s="5" t="s">
        <v>1328</v>
      </c>
      <c r="F1151" s="175" t="s">
        <v>3190</v>
      </c>
      <c r="G1151" s="15" t="s">
        <v>346</v>
      </c>
      <c r="H1151" s="176">
        <v>400000000</v>
      </c>
      <c r="I1151" s="17" t="s">
        <v>3196</v>
      </c>
      <c r="J1151" s="113" t="str">
        <f>VLOOKUP($I1151,'Price List, Weapons &amp; Items'!B:C,2,0)</f>
        <v>Military equipment</v>
      </c>
      <c r="K1151" s="113" t="str">
        <f>IF(I1151=".",I1151,VLOOKUP($I1151,'Price List, Weapons &amp; Items'!B:D,3,0))</f>
        <v>Military equipment</v>
      </c>
      <c r="L1151" s="177">
        <f>VLOOKUP(I1151,'Price List, Weapons &amp; Items'!B:E,4,0)</f>
        <v>0</v>
      </c>
      <c r="M1151" s="542" t="s">
        <v>270</v>
      </c>
      <c r="N1151" s="542" t="s">
        <v>270</v>
      </c>
      <c r="O1151" s="543">
        <f>VLOOKUP($I1151,'Price List, Weapons &amp; Items'!B:G,6,0)</f>
        <v>90</v>
      </c>
      <c r="P1151" s="176" t="str">
        <f t="shared" si="262"/>
        <v>.</v>
      </c>
      <c r="Q1151" s="176" t="str">
        <f t="shared" si="263"/>
        <v>.</v>
      </c>
      <c r="R1151" s="176" t="str">
        <f t="shared" si="265"/>
        <v/>
      </c>
      <c r="S1151" s="176" t="str">
        <f>IF(AND(AD1151=1,R1151&lt;&gt;".")=TRUE,R1151/VLOOKUP(G1151,'Exchange Rates'!B:C,2,0),IF(R1151=".",".",""))</f>
        <v/>
      </c>
      <c r="T1151" s="176" t="str">
        <f>IF(AD1151=1,IF(AF1151="Value is not given at all",".",IF(AF1151="Value is given by the source",S1151,IF(AF1151="Value is calculated with prices",(IF(SUMIFS(Q:Q,A:A,A1151)&gt;0,SUMIFS(Q:Q,A:A,A1151),"."))/VLOOKUP("USD",'Exchange Rates'!B:C,2,0),"Error with coding"))),"")</f>
        <v/>
      </c>
      <c r="U1151" s="15" t="s">
        <v>261</v>
      </c>
      <c r="V1151" s="547" t="s">
        <v>3191</v>
      </c>
      <c r="W1151" s="667" t="s">
        <v>3044</v>
      </c>
      <c r="X1151" s="667" t="s">
        <v>3047</v>
      </c>
      <c r="Y1151" s="667" t="s">
        <v>3195</v>
      </c>
      <c r="Z1151" s="15">
        <v>0</v>
      </c>
      <c r="AA1151" s="180">
        <v>0</v>
      </c>
      <c r="AB1151" s="667" t="s">
        <v>3197</v>
      </c>
      <c r="AC1151" s="544" t="str">
        <f>""</f>
        <v/>
      </c>
      <c r="AD1151" s="183">
        <v>0</v>
      </c>
      <c r="AE1151" s="586" t="s">
        <v>264</v>
      </c>
      <c r="AF1151" s="181" t="s">
        <v>264</v>
      </c>
      <c r="AG1151" s="183">
        <v>1</v>
      </c>
      <c r="AH1151" s="183">
        <v>7</v>
      </c>
      <c r="AI1151" s="183">
        <v>0</v>
      </c>
      <c r="AJ1151" s="181">
        <f>VLOOKUP($I1151,'Price List, Weapons &amp; Items'!B:F,5,0)</f>
        <v>0</v>
      </c>
      <c r="AK1151" s="181">
        <f t="shared" si="266"/>
        <v>0</v>
      </c>
      <c r="AL1151" s="181">
        <f t="shared" si="267"/>
        <v>0</v>
      </c>
      <c r="AM1151" s="181">
        <f t="shared" si="268"/>
        <v>0</v>
      </c>
      <c r="AN1151" s="180" t="str">
        <f>VLOOKUP($I1151,'Price List, Weapons &amp; Items'!B:L,COLUMN('Price List, Weapons &amp; Items'!$J$11)-1,0)</f>
        <v>Media reports (incl. social media)</v>
      </c>
      <c r="AO1151" s="180" t="str">
        <f>IF(I1151=".",".",VLOOKUP($I1151,'Price List, Weapons &amp; Items'!B:J,3,0))</f>
        <v>Military equipment</v>
      </c>
      <c r="AP1151" s="545" t="str">
        <f t="shared" ca="1" si="264"/>
        <v/>
      </c>
      <c r="AQ1151" s="180" t="str">
        <f>VLOOKUP($I1151,'Price List, Weapons &amp; Items'!B:L,COLUMN('Price List, Weapons &amp; Items'!$L$11)-1,0)</f>
        <v>no price, 0 count</v>
      </c>
      <c r="AR1151" s="180">
        <f t="shared" si="269"/>
        <v>1</v>
      </c>
      <c r="AS1151" s="180">
        <f t="shared" si="270"/>
        <v>1</v>
      </c>
      <c r="AT1151" s="180">
        <f t="shared" si="258"/>
        <v>1</v>
      </c>
      <c r="AU1151" s="180" t="str">
        <f t="shared" si="259"/>
        <v>.</v>
      </c>
      <c r="AV1151" s="180" t="str">
        <f t="shared" si="260"/>
        <v>.</v>
      </c>
      <c r="AW1151" s="180">
        <f>IFERROR(VLOOKUP(B1151,'Share, Heavy Weapons to Ukraine'!B:J,COLUMN('Share, Heavy Weapons to Ukraine'!C1161)-1,0),0)</f>
        <v>1</v>
      </c>
      <c r="AX1151" s="180">
        <f>VLOOKUP('Bilateral Assistance, MAIN DATA'!B1151,'Country Summary'!B:F,COLUMN('Country Summary'!C1164)-1,FALSE)</f>
        <v>0</v>
      </c>
      <c r="AY1151" s="180" t="str">
        <f>IF(AND(AD1151=1,D1151="Military",H1151&lt;&gt;"Not given")=TRUE,IF(SUMIFS(P:P,A:A,A1151)&gt;0,ABS((SUMIFS(P:P,A:A,A1151)/VLOOKUP("USD",'Exchange Rates'!B:C,2,0)))/S1151,"."),".")</f>
        <v>.</v>
      </c>
      <c r="AZ1151" s="182" t="str">
        <f>IF(AND(AD1151=1,D1151="Military",H1151&lt;&gt;"Not given")=TRUE,IF(SUMIFS(P:P,A:A,A1151)&gt;0,IF((ABS((SUMIFS(P:P,A:A,A1151)/VLOOKUP("USD",'Exchange Rates'!B:C,2,0)))/S1151)&gt;1,(SUMIFS(P:P,A:A,A1151)-S1151)/S1151,(S1151-SUMIFS(P:P,A:A,A1151))/SUMIFS(P:P,A:A,A1151)),"."),".")</f>
        <v>.</v>
      </c>
      <c r="BA1151" s="182"/>
      <c r="BB1151" s="182"/>
      <c r="BC1151" s="182"/>
      <c r="BD1151" s="182"/>
      <c r="BE1151" s="182"/>
      <c r="BF1151" s="182"/>
      <c r="BG1151" s="182"/>
      <c r="BH1151" s="182"/>
      <c r="BI1151" s="182"/>
      <c r="BJ1151" s="182"/>
      <c r="BK1151" s="182"/>
      <c r="BL1151" s="182"/>
      <c r="BM1151" s="182"/>
      <c r="BN1151" s="182"/>
      <c r="BO1151" s="182"/>
      <c r="BP1151" s="182"/>
      <c r="BQ1151" s="182"/>
      <c r="BR1151" s="182"/>
      <c r="BS1151" s="182"/>
    </row>
    <row r="1152" spans="1:71" ht="15.9" customHeight="1" x14ac:dyDescent="0.3">
      <c r="A1152" s="5" t="s">
        <v>3065</v>
      </c>
      <c r="B1152" s="5" t="s">
        <v>3038</v>
      </c>
      <c r="C1152" s="174">
        <v>44751</v>
      </c>
      <c r="D1152" s="5" t="s">
        <v>285</v>
      </c>
      <c r="E1152" s="5" t="s">
        <v>1328</v>
      </c>
      <c r="F1152" s="175" t="s">
        <v>3190</v>
      </c>
      <c r="G1152" s="15" t="s">
        <v>346</v>
      </c>
      <c r="H1152" s="176">
        <v>400000000</v>
      </c>
      <c r="I1152" s="17" t="s">
        <v>3198</v>
      </c>
      <c r="J1152" s="113" t="str">
        <f>VLOOKUP($I1152,'Price List, Weapons &amp; Items'!B:C,2,0)</f>
        <v>Military equipment</v>
      </c>
      <c r="K1152" s="113" t="str">
        <f>IF(I1152=".",I1152,VLOOKUP($I1152,'Price List, Weapons &amp; Items'!B:D,3,0))</f>
        <v>Military equipment</v>
      </c>
      <c r="L1152" s="177">
        <f>VLOOKUP(I1152,'Price List, Weapons &amp; Items'!B:E,4,0)</f>
        <v>0</v>
      </c>
      <c r="M1152" s="542">
        <v>2</v>
      </c>
      <c r="N1152" s="542">
        <v>2</v>
      </c>
      <c r="O1152" s="543">
        <f>VLOOKUP($I1152,'Price List, Weapons &amp; Items'!B:G,6,0)</f>
        <v>19354990.800000001</v>
      </c>
      <c r="P1152" s="176">
        <f t="shared" si="262"/>
        <v>38709981.600000001</v>
      </c>
      <c r="Q1152" s="176">
        <f t="shared" si="263"/>
        <v>38709981.600000001</v>
      </c>
      <c r="R1152" s="176" t="str">
        <f t="shared" si="265"/>
        <v/>
      </c>
      <c r="S1152" s="176" t="str">
        <f>IF(AND(AD1152=1,R1152&lt;&gt;".")=TRUE,R1152/VLOOKUP(G1152,'Exchange Rates'!B:C,2,0),IF(R1152=".",".",""))</f>
        <v/>
      </c>
      <c r="T1152" s="176" t="str">
        <f>IF(AD1152=1,IF(AF1152="Value is not given at all",".",IF(AF1152="Value is given by the source",S1152,IF(AF1152="Value is calculated with prices",(IF(SUMIFS(Q:Q,A:A,A1152)&gt;0,SUMIFS(Q:Q,A:A,A1152),"."))/VLOOKUP("USD",'Exchange Rates'!B:C,2,0),"Error with coding"))),"")</f>
        <v/>
      </c>
      <c r="U1152" s="15" t="s">
        <v>261</v>
      </c>
      <c r="V1152" s="547" t="s">
        <v>3191</v>
      </c>
      <c r="W1152" s="667" t="s">
        <v>3044</v>
      </c>
      <c r="X1152" s="667" t="s">
        <v>3047</v>
      </c>
      <c r="Y1152" s="667" t="s">
        <v>3197</v>
      </c>
      <c r="Z1152" s="15">
        <v>0</v>
      </c>
      <c r="AA1152" s="180">
        <v>0</v>
      </c>
      <c r="AB1152" s="667" t="s">
        <v>3199</v>
      </c>
      <c r="AC1152" s="544" t="str">
        <f>""</f>
        <v/>
      </c>
      <c r="AD1152" s="183">
        <v>0</v>
      </c>
      <c r="AE1152" s="586" t="s">
        <v>264</v>
      </c>
      <c r="AF1152" s="181" t="s">
        <v>264</v>
      </c>
      <c r="AG1152" s="183">
        <v>1</v>
      </c>
      <c r="AH1152" s="183">
        <v>7</v>
      </c>
      <c r="AI1152" s="183">
        <v>0</v>
      </c>
      <c r="AJ1152" s="181">
        <f>VLOOKUP($I1152,'Price List, Weapons &amp; Items'!B:F,5,0)</f>
        <v>0</v>
      </c>
      <c r="AK1152" s="181">
        <f t="shared" si="266"/>
        <v>0</v>
      </c>
      <c r="AL1152" s="181">
        <f t="shared" si="267"/>
        <v>0</v>
      </c>
      <c r="AM1152" s="181">
        <f t="shared" si="268"/>
        <v>0</v>
      </c>
      <c r="AN1152" s="180" t="str">
        <f>VLOOKUP($I1152,'Price List, Weapons &amp; Items'!B:L,COLUMN('Price List, Weapons &amp; Items'!$J$11)-1,0)</f>
        <v>Contracts</v>
      </c>
      <c r="AO1152" s="180" t="str">
        <f>IF(I1152=".",".",VLOOKUP($I1152,'Price List, Weapons &amp; Items'!B:J,3,0))</f>
        <v>Military equipment</v>
      </c>
      <c r="AP1152" s="545" t="str">
        <f t="shared" ca="1" si="264"/>
        <v/>
      </c>
      <c r="AQ1152" s="180">
        <f>VLOOKUP($I1152,'Price List, Weapons &amp; Items'!B:L,COLUMN('Price List, Weapons &amp; Items'!$L$11)-1,0)</f>
        <v>2</v>
      </c>
      <c r="AR1152" s="180">
        <f t="shared" si="269"/>
        <v>1</v>
      </c>
      <c r="AS1152" s="180">
        <f t="shared" si="270"/>
        <v>1</v>
      </c>
      <c r="AT1152" s="180">
        <f t="shared" ref="AT1152:AT1215" si="271">IFERROR(IF(VALUE(TEXT(C1152,"mm"))=AH1152,".",IF(TEXT(C1152,"mm")="01",".",1)),"Value is not in date format")</f>
        <v>1</v>
      </c>
      <c r="AU1152" s="180" t="str">
        <f t="shared" si="259"/>
        <v>.</v>
      </c>
      <c r="AV1152" s="180" t="str">
        <f t="shared" si="260"/>
        <v>.</v>
      </c>
      <c r="AW1152" s="180">
        <f>IFERROR(VLOOKUP(B1152,'Share, Heavy Weapons to Ukraine'!B:J,COLUMN('Share, Heavy Weapons to Ukraine'!C1162)-1,0),0)</f>
        <v>1</v>
      </c>
      <c r="AX1152" s="180">
        <f>VLOOKUP('Bilateral Assistance, MAIN DATA'!B1152,'Country Summary'!B:F,COLUMN('Country Summary'!C1165)-1,FALSE)</f>
        <v>0</v>
      </c>
      <c r="AY1152" s="180" t="str">
        <f>IF(AND(AD1152=1,D1152="Military",H1152&lt;&gt;"Not given")=TRUE,IF(SUMIFS(P:P,A:A,A1152)&gt;0,ABS((SUMIFS(P:P,A:A,A1152)/VLOOKUP("USD",'Exchange Rates'!B:C,2,0)))/S1152,"."),".")</f>
        <v>.</v>
      </c>
      <c r="AZ1152" s="182" t="str">
        <f>IF(AND(AD1152=1,D1152="Military",H1152&lt;&gt;"Not given")=TRUE,IF(SUMIFS(P:P,A:A,A1152)&gt;0,IF((ABS((SUMIFS(P:P,A:A,A1152)/VLOOKUP("USD",'Exchange Rates'!B:C,2,0)))/S1152)&gt;1,(SUMIFS(P:P,A:A,A1152)-S1152)/S1152,(S1152-SUMIFS(P:P,A:A,A1152))/SUMIFS(P:P,A:A,A1152)),"."),".")</f>
        <v>.</v>
      </c>
      <c r="BA1152" s="182"/>
      <c r="BB1152" s="182"/>
      <c r="BC1152" s="182"/>
      <c r="BD1152" s="182"/>
      <c r="BE1152" s="182"/>
      <c r="BF1152" s="182"/>
      <c r="BG1152" s="182"/>
      <c r="BH1152" s="182"/>
      <c r="BI1152" s="182"/>
      <c r="BJ1152" s="182"/>
      <c r="BK1152" s="182"/>
      <c r="BL1152" s="182"/>
      <c r="BM1152" s="182"/>
      <c r="BN1152" s="182"/>
      <c r="BO1152" s="182"/>
      <c r="BP1152" s="182"/>
      <c r="BQ1152" s="182"/>
      <c r="BR1152" s="182"/>
      <c r="BS1152" s="182"/>
    </row>
    <row r="1153" spans="1:71" ht="15.9" customHeight="1" x14ac:dyDescent="0.3">
      <c r="A1153" s="5" t="s">
        <v>3065</v>
      </c>
      <c r="B1153" s="5" t="s">
        <v>3038</v>
      </c>
      <c r="C1153" s="174">
        <v>44751</v>
      </c>
      <c r="D1153" s="5" t="s">
        <v>285</v>
      </c>
      <c r="E1153" s="5" t="s">
        <v>1328</v>
      </c>
      <c r="F1153" s="175" t="s">
        <v>3190</v>
      </c>
      <c r="G1153" s="15" t="s">
        <v>346</v>
      </c>
      <c r="H1153" s="176">
        <v>400000000</v>
      </c>
      <c r="I1153" s="17" t="s">
        <v>464</v>
      </c>
      <c r="J1153" s="113" t="str">
        <f>VLOOKUP($I1153,'Price List, Weapons &amp; Items'!B:C,2,0)</f>
        <v>Military equipment</v>
      </c>
      <c r="K1153" s="113" t="str">
        <f>IF(I1153=".",I1153,VLOOKUP($I1153,'Price List, Weapons &amp; Items'!B:D,3,0))</f>
        <v>spare parts</v>
      </c>
      <c r="L1153" s="177">
        <f>VLOOKUP(I1153,'Price List, Weapons &amp; Items'!B:E,4,0)</f>
        <v>0</v>
      </c>
      <c r="M1153" s="542" t="s">
        <v>270</v>
      </c>
      <c r="N1153" s="542" t="s">
        <v>270</v>
      </c>
      <c r="O1153" s="543" t="str">
        <f>VLOOKUP($I1153,'Price List, Weapons &amp; Items'!B:G,6,0)</f>
        <v>.</v>
      </c>
      <c r="P1153" s="176" t="str">
        <f t="shared" si="262"/>
        <v>.</v>
      </c>
      <c r="Q1153" s="176" t="str">
        <f t="shared" si="263"/>
        <v>.</v>
      </c>
      <c r="R1153" s="176" t="str">
        <f t="shared" si="265"/>
        <v/>
      </c>
      <c r="S1153" s="176" t="str">
        <f>IF(AND(AD1153=1,R1153&lt;&gt;".")=TRUE,R1153/VLOOKUP(G1153,'Exchange Rates'!B:C,2,0),IF(R1153=".",".",""))</f>
        <v/>
      </c>
      <c r="T1153" s="176" t="str">
        <f>IF(AD1153=1,IF(AF1153="Value is not given at all",".",IF(AF1153="Value is given by the source",S1153,IF(AF1153="Value is calculated with prices",(IF(SUMIFS(Q:Q,A:A,A1153)&gt;0,SUMIFS(Q:Q,A:A,A1153),"."))/VLOOKUP("USD",'Exchange Rates'!B:C,2,0),"Error with coding"))),"")</f>
        <v/>
      </c>
      <c r="U1153" s="15" t="s">
        <v>261</v>
      </c>
      <c r="V1153" s="547" t="s">
        <v>3191</v>
      </c>
      <c r="W1153" s="667" t="s">
        <v>3044</v>
      </c>
      <c r="X1153" s="667" t="s">
        <v>3047</v>
      </c>
      <c r="Y1153" s="667" t="s">
        <v>3199</v>
      </c>
      <c r="Z1153" s="15">
        <v>0</v>
      </c>
      <c r="AA1153" s="180">
        <v>0</v>
      </c>
      <c r="AB1153" s="667" t="s">
        <v>3200</v>
      </c>
      <c r="AC1153" s="544" t="str">
        <f>""</f>
        <v/>
      </c>
      <c r="AD1153" s="183">
        <v>0</v>
      </c>
      <c r="AE1153" s="586" t="s">
        <v>264</v>
      </c>
      <c r="AF1153" s="181" t="s">
        <v>264</v>
      </c>
      <c r="AG1153" s="183">
        <v>1</v>
      </c>
      <c r="AH1153" s="183">
        <v>7</v>
      </c>
      <c r="AI1153" s="183">
        <v>0</v>
      </c>
      <c r="AJ1153" s="181">
        <f>VLOOKUP($I1153,'Price List, Weapons &amp; Items'!B:F,5,0)</f>
        <v>0</v>
      </c>
      <c r="AK1153" s="181">
        <f t="shared" si="266"/>
        <v>0</v>
      </c>
      <c r="AL1153" s="181">
        <f t="shared" si="267"/>
        <v>0</v>
      </c>
      <c r="AM1153" s="181">
        <f t="shared" si="268"/>
        <v>0</v>
      </c>
      <c r="AN1153" s="180" t="str">
        <f>VLOOKUP($I1153,'Price List, Weapons &amp; Items'!B:L,COLUMN('Price List, Weapons &amp; Items'!$J$11)-1,0)</f>
        <v>.</v>
      </c>
      <c r="AO1153" s="180" t="str">
        <f>IF(I1153=".",".",VLOOKUP($I1153,'Price List, Weapons &amp; Items'!B:J,3,0))</f>
        <v>spare parts</v>
      </c>
      <c r="AP1153" s="545" t="str">
        <f t="shared" ca="1" si="264"/>
        <v/>
      </c>
      <c r="AQ1153" s="180" t="str">
        <f>VLOOKUP($I1153,'Price List, Weapons &amp; Items'!B:L,COLUMN('Price List, Weapons &amp; Items'!$L$11)-1,0)</f>
        <v>no price, 0 count</v>
      </c>
      <c r="AR1153" s="180">
        <f t="shared" si="269"/>
        <v>1</v>
      </c>
      <c r="AS1153" s="180">
        <f t="shared" si="270"/>
        <v>1</v>
      </c>
      <c r="AT1153" s="180">
        <f t="shared" si="271"/>
        <v>1</v>
      </c>
      <c r="AU1153" s="180" t="str">
        <f t="shared" si="259"/>
        <v>.</v>
      </c>
      <c r="AV1153" s="180" t="str">
        <f t="shared" si="260"/>
        <v>.</v>
      </c>
      <c r="AW1153" s="180">
        <f>IFERROR(VLOOKUP(B1153,'Share, Heavy Weapons to Ukraine'!B:J,COLUMN('Share, Heavy Weapons to Ukraine'!C1163)-1,0),0)</f>
        <v>1</v>
      </c>
      <c r="AX1153" s="180">
        <f>VLOOKUP('Bilateral Assistance, MAIN DATA'!B1153,'Country Summary'!B:F,COLUMN('Country Summary'!C1166)-1,FALSE)</f>
        <v>0</v>
      </c>
      <c r="AY1153" s="180" t="str">
        <f>IF(AND(AD1153=1,D1153="Military",H1153&lt;&gt;"Not given")=TRUE,IF(SUMIFS(P:P,A:A,A1153)&gt;0,ABS((SUMIFS(P:P,A:A,A1153)/VLOOKUP("USD",'Exchange Rates'!B:C,2,0)))/S1153,"."),".")</f>
        <v>.</v>
      </c>
      <c r="AZ1153" s="182" t="str">
        <f>IF(AND(AD1153=1,D1153="Military",H1153&lt;&gt;"Not given")=TRUE,IF(SUMIFS(P:P,A:A,A1153)&gt;0,IF((ABS((SUMIFS(P:P,A:A,A1153)/VLOOKUP("USD",'Exchange Rates'!B:C,2,0)))/S1153)&gt;1,(SUMIFS(P:P,A:A,A1153)-S1153)/S1153,(S1153-SUMIFS(P:P,A:A,A1153))/SUMIFS(P:P,A:A,A1153)),"."),".")</f>
        <v>.</v>
      </c>
      <c r="BA1153" s="182"/>
      <c r="BB1153" s="182"/>
      <c r="BC1153" s="182"/>
      <c r="BD1153" s="182"/>
      <c r="BE1153" s="182"/>
      <c r="BF1153" s="182"/>
      <c r="BG1153" s="182"/>
      <c r="BH1153" s="182"/>
      <c r="BI1153" s="182"/>
      <c r="BJ1153" s="182"/>
      <c r="BK1153" s="182"/>
      <c r="BL1153" s="182"/>
      <c r="BM1153" s="182"/>
      <c r="BN1153" s="182"/>
      <c r="BO1153" s="182"/>
      <c r="BP1153" s="182"/>
      <c r="BQ1153" s="182"/>
      <c r="BR1153" s="182"/>
      <c r="BS1153" s="182"/>
    </row>
    <row r="1154" spans="1:71" ht="15.9" customHeight="1" x14ac:dyDescent="0.3">
      <c r="A1154" s="5" t="s">
        <v>3065</v>
      </c>
      <c r="B1154" s="5" t="s">
        <v>3038</v>
      </c>
      <c r="C1154" s="174">
        <v>44764</v>
      </c>
      <c r="D1154" s="5" t="s">
        <v>285</v>
      </c>
      <c r="E1154" s="5" t="s">
        <v>1328</v>
      </c>
      <c r="F1154" s="175" t="s">
        <v>3201</v>
      </c>
      <c r="G1154" s="15" t="s">
        <v>346</v>
      </c>
      <c r="H1154" s="176">
        <v>175000000</v>
      </c>
      <c r="I1154" s="185" t="s">
        <v>3150</v>
      </c>
      <c r="J1154" s="113" t="str">
        <f>VLOOKUP($I1154,'Price List, Weapons &amp; Items'!B:C,2,0)</f>
        <v>Heavy weapon</v>
      </c>
      <c r="K1154" s="113" t="str">
        <f>IF(I1154=".",I1154,VLOOKUP($I1154,'Price List, Weapons &amp; Items'!B:D,3,0))</f>
        <v>227mm MLRS</v>
      </c>
      <c r="L1154" s="177">
        <f>VLOOKUP(I1154,'Price List, Weapons &amp; Items'!B:E,4,0)</f>
        <v>0</v>
      </c>
      <c r="M1154" s="542">
        <v>4</v>
      </c>
      <c r="N1154" s="542">
        <v>4</v>
      </c>
      <c r="O1154" s="543">
        <f>VLOOKUP($I1154,'Price List, Weapons &amp; Items'!B:G,6,0)</f>
        <v>15076313.029999999</v>
      </c>
      <c r="P1154" s="176">
        <f t="shared" si="262"/>
        <v>60305252.119999997</v>
      </c>
      <c r="Q1154" s="176">
        <f t="shared" si="263"/>
        <v>60305252.119999997</v>
      </c>
      <c r="R1154" s="176" t="str">
        <f t="shared" si="265"/>
        <v/>
      </c>
      <c r="S1154" s="176" t="str">
        <f>IF(AND(AD1154=1,R1154&lt;&gt;".")=TRUE,R1154/VLOOKUP(G1154,'Exchange Rates'!B:C,2,0),IF(R1154=".",".",""))</f>
        <v/>
      </c>
      <c r="T1154" s="176" t="str">
        <f>IF(AD1154=1,IF(AF1154="Value is not given at all",".",IF(AF1154="Value is given by the source",S1154,IF(AF1154="Value is calculated with prices",(IF(SUMIFS(Q:Q,A:A,A1154)&gt;0,SUMIFS(Q:Q,A:A,A1154),"."))/VLOOKUP("USD",'Exchange Rates'!B:C,2,0),"Error with coding"))),"")</f>
        <v/>
      </c>
      <c r="U1154" s="15" t="s">
        <v>261</v>
      </c>
      <c r="V1154" s="547" t="s">
        <v>3202</v>
      </c>
      <c r="W1154" s="667" t="s">
        <v>3044</v>
      </c>
      <c r="X1154" s="667" t="s">
        <v>3047</v>
      </c>
      <c r="Y1154" s="667" t="s">
        <v>3200</v>
      </c>
      <c r="Z1154" s="15">
        <v>0</v>
      </c>
      <c r="AA1154" s="180">
        <v>0</v>
      </c>
      <c r="AB1154" s="667" t="s">
        <v>3203</v>
      </c>
      <c r="AC1154" s="544" t="str">
        <f>""</f>
        <v/>
      </c>
      <c r="AD1154" s="183">
        <v>0</v>
      </c>
      <c r="AE1154" s="586" t="s">
        <v>264</v>
      </c>
      <c r="AF1154" s="181" t="s">
        <v>264</v>
      </c>
      <c r="AG1154" s="183">
        <v>1</v>
      </c>
      <c r="AH1154" s="183">
        <v>7</v>
      </c>
      <c r="AI1154" s="183">
        <v>0</v>
      </c>
      <c r="AJ1154" s="181">
        <f>VLOOKUP($I1154,'Price List, Weapons &amp; Items'!B:F,5,0)</f>
        <v>1</v>
      </c>
      <c r="AK1154" s="181">
        <f t="shared" si="266"/>
        <v>0</v>
      </c>
      <c r="AL1154" s="181">
        <f t="shared" si="267"/>
        <v>0</v>
      </c>
      <c r="AM1154" s="181">
        <f t="shared" si="268"/>
        <v>0</v>
      </c>
      <c r="AN1154" s="180" t="str">
        <f>VLOOKUP($I1154,'Price List, Weapons &amp; Items'!B:L,COLUMN('Price List, Weapons &amp; Items'!$J$11)-1,0)</f>
        <v>Contracts</v>
      </c>
      <c r="AO1154" s="180" t="str">
        <f>IF(I1154=".",".",VLOOKUP($I1154,'Price List, Weapons &amp; Items'!B:J,3,0))</f>
        <v>227mm MLRS</v>
      </c>
      <c r="AP1154" s="545" t="str">
        <f t="shared" ca="1" si="264"/>
        <v/>
      </c>
      <c r="AQ1154" s="180">
        <f>VLOOKUP($I1154,'Price List, Weapons &amp; Items'!B:L,COLUMN('Price List, Weapons &amp; Items'!$L$11)-1,0)</f>
        <v>2</v>
      </c>
      <c r="AR1154" s="180">
        <f t="shared" si="269"/>
        <v>1</v>
      </c>
      <c r="AS1154" s="180">
        <f t="shared" si="270"/>
        <v>1</v>
      </c>
      <c r="AT1154" s="180">
        <f t="shared" si="271"/>
        <v>1</v>
      </c>
      <c r="AU1154" s="180" t="str">
        <f t="shared" ref="AU1154:AU1216" si="272">IF(AND(A1154=A1153,C1154=C1153)=TRUE,IF(F1154=F1153,".","1"),".")</f>
        <v>.</v>
      </c>
      <c r="AV1154" s="180" t="str">
        <f t="shared" ref="AV1154:AV1217" si="273">IF(T1154&lt;&gt;".",IF(T1154&gt;S1154,1,"."),".")</f>
        <v>.</v>
      </c>
      <c r="AW1154" s="180">
        <f>IFERROR(VLOOKUP(B1154,'Share, Heavy Weapons to Ukraine'!B:J,COLUMN('Share, Heavy Weapons to Ukraine'!C1164)-1,0),0)</f>
        <v>1</v>
      </c>
      <c r="AX1154" s="180">
        <f>VLOOKUP('Bilateral Assistance, MAIN DATA'!B1154,'Country Summary'!B:F,COLUMN('Country Summary'!C1167)-1,FALSE)</f>
        <v>0</v>
      </c>
      <c r="AY1154" s="180" t="str">
        <f>IF(AND(AD1154=1,D1154="Military",H1154&lt;&gt;"Not given")=TRUE,IF(SUMIFS(P:P,A:A,A1154)&gt;0,ABS((SUMIFS(P:P,A:A,A1154)/VLOOKUP("USD",'Exchange Rates'!B:C,2,0)))/S1154,"."),".")</f>
        <v>.</v>
      </c>
      <c r="AZ1154" s="182" t="str">
        <f>IF(AND(AD1154=1,D1154="Military",H1154&lt;&gt;"Not given")=TRUE,IF(SUMIFS(P:P,A:A,A1154)&gt;0,IF((ABS((SUMIFS(P:P,A:A,A1154)/VLOOKUP("USD",'Exchange Rates'!B:C,2,0)))/S1154)&gt;1,(SUMIFS(P:P,A:A,A1154)-S1154)/S1154,(S1154-SUMIFS(P:P,A:A,A1154))/SUMIFS(P:P,A:A,A1154)),"."),".")</f>
        <v>.</v>
      </c>
      <c r="BA1154" s="182"/>
      <c r="BB1154" s="182"/>
      <c r="BC1154" s="182"/>
      <c r="BD1154" s="182"/>
      <c r="BE1154" s="182"/>
      <c r="BF1154" s="182"/>
      <c r="BG1154" s="182"/>
      <c r="BH1154" s="182"/>
      <c r="BI1154" s="182"/>
      <c r="BJ1154" s="182"/>
      <c r="BK1154" s="182"/>
      <c r="BL1154" s="182"/>
      <c r="BM1154" s="182"/>
      <c r="BN1154" s="182"/>
      <c r="BO1154" s="182"/>
      <c r="BP1154" s="182"/>
      <c r="BQ1154" s="182"/>
      <c r="BR1154" s="182"/>
      <c r="BS1154" s="182"/>
    </row>
    <row r="1155" spans="1:71" ht="15.9" customHeight="1" x14ac:dyDescent="0.3">
      <c r="A1155" s="5" t="s">
        <v>3065</v>
      </c>
      <c r="B1155" s="5" t="s">
        <v>3038</v>
      </c>
      <c r="C1155" s="174">
        <v>44764</v>
      </c>
      <c r="D1155" s="5" t="s">
        <v>285</v>
      </c>
      <c r="E1155" s="5" t="s">
        <v>1328</v>
      </c>
      <c r="F1155" s="175" t="s">
        <v>3201</v>
      </c>
      <c r="G1155" s="15" t="s">
        <v>346</v>
      </c>
      <c r="H1155" s="176">
        <v>175000000</v>
      </c>
      <c r="I1155" s="185" t="s">
        <v>3172</v>
      </c>
      <c r="J1155" s="113" t="str">
        <f>VLOOKUP($I1155,'Price List, Weapons &amp; Items'!B:C,2,0)</f>
        <v>Ammunition for heavy weapon</v>
      </c>
      <c r="K1155" s="113" t="str">
        <f>IF(I1155=".",I1155,VLOOKUP($I1155,'Price List, Weapons &amp; Items'!B:D,3,0))</f>
        <v>227mm MLRS ammunition</v>
      </c>
      <c r="L1155" s="177">
        <f>VLOOKUP(I1155,'Price List, Weapons &amp; Items'!B:E,4,0)</f>
        <v>0</v>
      </c>
      <c r="M1155" s="542" t="s">
        <v>270</v>
      </c>
      <c r="N1155" s="542" t="s">
        <v>270</v>
      </c>
      <c r="O1155" s="543">
        <f>VLOOKUP($I1155,'Price List, Weapons &amp; Items'!B:G,6,0)</f>
        <v>150000</v>
      </c>
      <c r="P1155" s="176" t="str">
        <f t="shared" si="262"/>
        <v>.</v>
      </c>
      <c r="Q1155" s="176" t="str">
        <f t="shared" si="263"/>
        <v>.</v>
      </c>
      <c r="R1155" s="176" t="str">
        <f t="shared" si="265"/>
        <v/>
      </c>
      <c r="S1155" s="176" t="str">
        <f>IF(AND(AD1155=1,R1155&lt;&gt;".")=TRUE,R1155/VLOOKUP(G1155,'Exchange Rates'!B:C,2,0),IF(R1155=".",".",""))</f>
        <v/>
      </c>
      <c r="T1155" s="176" t="str">
        <f>IF(AD1155=1,IF(AF1155="Value is not given at all",".",IF(AF1155="Value is given by the source",S1155,IF(AF1155="Value is calculated with prices",(IF(SUMIFS(Q:Q,A:A,A1155)&gt;0,SUMIFS(Q:Q,A:A,A1155),"."))/VLOOKUP("USD",'Exchange Rates'!B:C,2,0),"Error with coding"))),"")</f>
        <v/>
      </c>
      <c r="U1155" s="15" t="s">
        <v>261</v>
      </c>
      <c r="V1155" s="547" t="s">
        <v>3202</v>
      </c>
      <c r="W1155" s="667" t="s">
        <v>3044</v>
      </c>
      <c r="X1155" s="667" t="s">
        <v>3047</v>
      </c>
      <c r="Y1155" s="667" t="s">
        <v>3203</v>
      </c>
      <c r="Z1155" s="15">
        <v>0</v>
      </c>
      <c r="AA1155" s="180">
        <v>0</v>
      </c>
      <c r="AB1155" s="667" t="s">
        <v>3204</v>
      </c>
      <c r="AC1155" s="544" t="str">
        <f>""</f>
        <v/>
      </c>
      <c r="AD1155" s="183">
        <v>0</v>
      </c>
      <c r="AE1155" s="586" t="s">
        <v>264</v>
      </c>
      <c r="AF1155" s="181" t="s">
        <v>264</v>
      </c>
      <c r="AG1155" s="183">
        <v>1</v>
      </c>
      <c r="AH1155" s="183">
        <v>7</v>
      </c>
      <c r="AI1155" s="183">
        <v>0</v>
      </c>
      <c r="AJ1155" s="181">
        <f>VLOOKUP($I1155,'Price List, Weapons &amp; Items'!B:F,5,0)</f>
        <v>1</v>
      </c>
      <c r="AK1155" s="181">
        <f t="shared" si="266"/>
        <v>1</v>
      </c>
      <c r="AL1155" s="181">
        <f t="shared" si="267"/>
        <v>1</v>
      </c>
      <c r="AM1155" s="181">
        <f t="shared" si="268"/>
        <v>1</v>
      </c>
      <c r="AN1155" s="180" t="str">
        <f>VLOOKUP($I1155,'Price List, Weapons &amp; Items'!B:L,COLUMN('Price List, Weapons &amp; Items'!$J$11)-1,0)</f>
        <v>Media reports (incl. social media)</v>
      </c>
      <c r="AO1155" s="180" t="str">
        <f>IF(I1155=".",".",VLOOKUP($I1155,'Price List, Weapons &amp; Items'!B:J,3,0))</f>
        <v>227mm MLRS ammunition</v>
      </c>
      <c r="AP1155" s="545" t="str">
        <f t="shared" ca="1" si="264"/>
        <v/>
      </c>
      <c r="AQ1155" s="180" t="str">
        <f>VLOOKUP($I1155,'Price List, Weapons &amp; Items'!B:L,COLUMN('Price List, Weapons &amp; Items'!$L$11)-1,0)</f>
        <v>no price, 0 count</v>
      </c>
      <c r="AR1155" s="180">
        <f t="shared" si="269"/>
        <v>1</v>
      </c>
      <c r="AS1155" s="180">
        <f t="shared" si="270"/>
        <v>1</v>
      </c>
      <c r="AT1155" s="180">
        <f t="shared" si="271"/>
        <v>1</v>
      </c>
      <c r="AU1155" s="180" t="str">
        <f t="shared" si="272"/>
        <v>.</v>
      </c>
      <c r="AV1155" s="180" t="str">
        <f t="shared" si="273"/>
        <v>.</v>
      </c>
      <c r="AW1155" s="180">
        <f>IFERROR(VLOOKUP(B1155,'Share, Heavy Weapons to Ukraine'!B:J,COLUMN('Share, Heavy Weapons to Ukraine'!C1165)-1,0),0)</f>
        <v>1</v>
      </c>
      <c r="AX1155" s="180">
        <f>VLOOKUP('Bilateral Assistance, MAIN DATA'!B1155,'Country Summary'!B:F,COLUMN('Country Summary'!C1168)-1,FALSE)</f>
        <v>0</v>
      </c>
      <c r="AY1155" s="180" t="str">
        <f>IF(AND(AD1155=1,D1155="Military",H1155&lt;&gt;"Not given")=TRUE,IF(SUMIFS(P:P,A:A,A1155)&gt;0,ABS((SUMIFS(P:P,A:A,A1155)/VLOOKUP("USD",'Exchange Rates'!B:C,2,0)))/S1155,"."),".")</f>
        <v>.</v>
      </c>
      <c r="AZ1155" s="182" t="str">
        <f>IF(AND(AD1155=1,D1155="Military",H1155&lt;&gt;"Not given")=TRUE,IF(SUMIFS(P:P,A:A,A1155)&gt;0,IF((ABS((SUMIFS(P:P,A:A,A1155)/VLOOKUP("USD",'Exchange Rates'!B:C,2,0)))/S1155)&gt;1,(SUMIFS(P:P,A:A,A1155)-S1155)/S1155,(S1155-SUMIFS(P:P,A:A,A1155))/SUMIFS(P:P,A:A,A1155)),"."),".")</f>
        <v>.</v>
      </c>
      <c r="BA1155" s="182"/>
      <c r="BB1155" s="182"/>
      <c r="BC1155" s="182"/>
      <c r="BD1155" s="182"/>
      <c r="BE1155" s="182"/>
      <c r="BF1155" s="182"/>
      <c r="BG1155" s="182"/>
      <c r="BH1155" s="182"/>
      <c r="BI1155" s="182"/>
      <c r="BJ1155" s="182"/>
      <c r="BK1155" s="182"/>
      <c r="BL1155" s="182"/>
      <c r="BM1155" s="182"/>
      <c r="BN1155" s="182"/>
      <c r="BO1155" s="182"/>
      <c r="BP1155" s="182"/>
      <c r="BQ1155" s="182"/>
      <c r="BR1155" s="182"/>
      <c r="BS1155" s="182"/>
    </row>
    <row r="1156" spans="1:71" ht="15.9" customHeight="1" x14ac:dyDescent="0.3">
      <c r="A1156" s="5" t="s">
        <v>3065</v>
      </c>
      <c r="B1156" s="5" t="s">
        <v>3038</v>
      </c>
      <c r="C1156" s="174">
        <v>44764</v>
      </c>
      <c r="D1156" s="5" t="s">
        <v>285</v>
      </c>
      <c r="E1156" s="5" t="s">
        <v>1328</v>
      </c>
      <c r="F1156" s="175" t="s">
        <v>3201</v>
      </c>
      <c r="G1156" s="15" t="s">
        <v>346</v>
      </c>
      <c r="H1156" s="176">
        <v>175000000</v>
      </c>
      <c r="I1156" s="185" t="s">
        <v>3205</v>
      </c>
      <c r="J1156" s="113" t="str">
        <f>VLOOKUP($I1156,'Price List, Weapons &amp; Items'!B:C,2,0)</f>
        <v>Heavy weapon</v>
      </c>
      <c r="K1156" s="113" t="str">
        <f>IF(I1156=".",I1156,VLOOKUP($I1156,'Price List, Weapons &amp; Items'!B:D,3,0))</f>
        <v>Armoured Personnel Carrier (APC)</v>
      </c>
      <c r="L1156" s="177">
        <f>VLOOKUP(I1156,'Price List, Weapons &amp; Items'!B:E,4,0)</f>
        <v>0</v>
      </c>
      <c r="M1156" s="542">
        <v>4</v>
      </c>
      <c r="N1156" s="542">
        <v>4</v>
      </c>
      <c r="O1156" s="543">
        <f>VLOOKUP($I1156,'Price List, Weapons &amp; Items'!B:G,6,0)</f>
        <v>326778</v>
      </c>
      <c r="P1156" s="176">
        <f t="shared" si="262"/>
        <v>1307112</v>
      </c>
      <c r="Q1156" s="176">
        <f t="shared" si="263"/>
        <v>1307112</v>
      </c>
      <c r="R1156" s="176" t="str">
        <f t="shared" si="265"/>
        <v/>
      </c>
      <c r="S1156" s="176" t="str">
        <f>IF(AND(AD1156=1,R1156&lt;&gt;".")=TRUE,R1156/VLOOKUP(G1156,'Exchange Rates'!B:C,2,0),IF(R1156=".",".",""))</f>
        <v/>
      </c>
      <c r="T1156" s="176" t="str">
        <f>IF(AD1156=1,IF(AF1156="Value is not given at all",".",IF(AF1156="Value is given by the source",S1156,IF(AF1156="Value is calculated with prices",(IF(SUMIFS(Q:Q,A:A,A1156)&gt;0,SUMIFS(Q:Q,A:A,A1156),"."))/VLOOKUP("USD",'Exchange Rates'!B:C,2,0),"Error with coding"))),"")</f>
        <v/>
      </c>
      <c r="U1156" s="15" t="s">
        <v>261</v>
      </c>
      <c r="V1156" s="547" t="s">
        <v>3202</v>
      </c>
      <c r="W1156" s="667" t="s">
        <v>3044</v>
      </c>
      <c r="X1156" s="667" t="s">
        <v>3047</v>
      </c>
      <c r="Y1156" s="667" t="s">
        <v>3204</v>
      </c>
      <c r="Z1156" s="15">
        <v>0</v>
      </c>
      <c r="AA1156" s="180">
        <v>0</v>
      </c>
      <c r="AB1156" s="667" t="s">
        <v>3206</v>
      </c>
      <c r="AC1156" s="544" t="str">
        <f>""</f>
        <v/>
      </c>
      <c r="AD1156" s="183">
        <v>0</v>
      </c>
      <c r="AE1156" s="586" t="s">
        <v>264</v>
      </c>
      <c r="AF1156" s="181" t="s">
        <v>264</v>
      </c>
      <c r="AG1156" s="183">
        <v>1</v>
      </c>
      <c r="AH1156" s="183">
        <v>7</v>
      </c>
      <c r="AI1156" s="183">
        <v>0</v>
      </c>
      <c r="AJ1156" s="181">
        <f>VLOOKUP($I1156,'Price List, Weapons &amp; Items'!B:F,5,0)</f>
        <v>1</v>
      </c>
      <c r="AK1156" s="181">
        <f t="shared" si="266"/>
        <v>0</v>
      </c>
      <c r="AL1156" s="181">
        <f t="shared" si="267"/>
        <v>0</v>
      </c>
      <c r="AM1156" s="181">
        <f t="shared" si="268"/>
        <v>0</v>
      </c>
      <c r="AN1156" s="180" t="str">
        <f>VLOOKUP($I1156,'Price List, Weapons &amp; Items'!B:L,COLUMN('Price List, Weapons &amp; Items'!$J$11)-1,0)</f>
        <v>Contracts</v>
      </c>
      <c r="AO1156" s="180" t="str">
        <f>IF(I1156=".",".",VLOOKUP($I1156,'Price List, Weapons &amp; Items'!B:J,3,0))</f>
        <v>Armoured Personnel Carrier (APC)</v>
      </c>
      <c r="AP1156" s="545" t="str">
        <f t="shared" ca="1" si="264"/>
        <v/>
      </c>
      <c r="AQ1156" s="180">
        <f>VLOOKUP($I1156,'Price List, Weapons &amp; Items'!B:L,COLUMN('Price List, Weapons &amp; Items'!$L$11)-1,0)</f>
        <v>1</v>
      </c>
      <c r="AR1156" s="180">
        <f t="shared" si="269"/>
        <v>1</v>
      </c>
      <c r="AS1156" s="180">
        <f t="shared" si="270"/>
        <v>1</v>
      </c>
      <c r="AT1156" s="180">
        <f t="shared" si="271"/>
        <v>1</v>
      </c>
      <c r="AU1156" s="180" t="str">
        <f t="shared" si="272"/>
        <v>.</v>
      </c>
      <c r="AV1156" s="180" t="str">
        <f t="shared" si="273"/>
        <v>.</v>
      </c>
      <c r="AW1156" s="180">
        <f>IFERROR(VLOOKUP(B1156,'Share, Heavy Weapons to Ukraine'!B:J,COLUMN('Share, Heavy Weapons to Ukraine'!C1166)-1,0),0)</f>
        <v>1</v>
      </c>
      <c r="AX1156" s="180">
        <f>VLOOKUP('Bilateral Assistance, MAIN DATA'!B1156,'Country Summary'!B:F,COLUMN('Country Summary'!C1169)-1,FALSE)</f>
        <v>0</v>
      </c>
      <c r="AY1156" s="180" t="str">
        <f>IF(AND(AD1156=1,D1156="Military",H1156&lt;&gt;"Not given")=TRUE,IF(SUMIFS(P:P,A:A,A1156)&gt;0,ABS((SUMIFS(P:P,A:A,A1156)/VLOOKUP("USD",'Exchange Rates'!B:C,2,0)))/S1156,"."),".")</f>
        <v>.</v>
      </c>
      <c r="AZ1156" s="182" t="str">
        <f>IF(AND(AD1156=1,D1156="Military",H1156&lt;&gt;"Not given")=TRUE,IF(SUMIFS(P:P,A:A,A1156)&gt;0,IF((ABS((SUMIFS(P:P,A:A,A1156)/VLOOKUP("USD",'Exchange Rates'!B:C,2,0)))/S1156)&gt;1,(SUMIFS(P:P,A:A,A1156)-S1156)/S1156,(S1156-SUMIFS(P:P,A:A,A1156))/SUMIFS(P:P,A:A,A1156)),"."),".")</f>
        <v>.</v>
      </c>
      <c r="BA1156" s="182"/>
      <c r="BB1156" s="182"/>
      <c r="BC1156" s="182"/>
      <c r="BD1156" s="182"/>
      <c r="BE1156" s="182"/>
      <c r="BF1156" s="182"/>
      <c r="BG1156" s="182"/>
      <c r="BH1156" s="182"/>
      <c r="BI1156" s="182"/>
      <c r="BJ1156" s="182"/>
      <c r="BK1156" s="182"/>
      <c r="BL1156" s="182"/>
      <c r="BM1156" s="182"/>
      <c r="BN1156" s="182"/>
      <c r="BO1156" s="182"/>
      <c r="BP1156" s="182"/>
      <c r="BQ1156" s="182"/>
      <c r="BR1156" s="182"/>
      <c r="BS1156" s="182"/>
    </row>
    <row r="1157" spans="1:71" ht="15.9" customHeight="1" x14ac:dyDescent="0.3">
      <c r="A1157" s="5" t="s">
        <v>3065</v>
      </c>
      <c r="B1157" s="5" t="s">
        <v>3038</v>
      </c>
      <c r="C1157" s="174">
        <v>44764</v>
      </c>
      <c r="D1157" s="5" t="s">
        <v>285</v>
      </c>
      <c r="E1157" s="5" t="s">
        <v>1328</v>
      </c>
      <c r="F1157" s="175" t="s">
        <v>3201</v>
      </c>
      <c r="G1157" s="15" t="s">
        <v>346</v>
      </c>
      <c r="H1157" s="176">
        <v>175000000</v>
      </c>
      <c r="I1157" s="190" t="s">
        <v>1775</v>
      </c>
      <c r="J1157" s="113" t="str">
        <f>VLOOKUP($I1157,'Price List, Weapons &amp; Items'!B:C,2,0)</f>
        <v>Ammunition for heavy weapon</v>
      </c>
      <c r="K1157" s="113" t="str">
        <f>IF(I1157=".",I1157,VLOOKUP($I1157,'Price List, Weapons &amp; Items'!B:D,3,0))</f>
        <v>105mm</v>
      </c>
      <c r="L1157" s="177">
        <f>VLOOKUP(I1157,'Price List, Weapons &amp; Items'!B:E,4,0)</f>
        <v>0</v>
      </c>
      <c r="M1157" s="542">
        <v>36000</v>
      </c>
      <c r="N1157" s="542">
        <v>36000</v>
      </c>
      <c r="O1157" s="543">
        <f>VLOOKUP($I1157,'Price List, Weapons &amp; Items'!B:G,6,0)</f>
        <v>400</v>
      </c>
      <c r="P1157" s="176">
        <f t="shared" si="262"/>
        <v>14400000</v>
      </c>
      <c r="Q1157" s="176">
        <f t="shared" si="263"/>
        <v>14400000</v>
      </c>
      <c r="R1157" s="176" t="str">
        <f t="shared" si="265"/>
        <v/>
      </c>
      <c r="S1157" s="176" t="str">
        <f>IF(AND(AD1157=1,R1157&lt;&gt;".")=TRUE,R1157/VLOOKUP(G1157,'Exchange Rates'!B:C,2,0),IF(R1157=".",".",""))</f>
        <v/>
      </c>
      <c r="T1157" s="176" t="str">
        <f>IF(AD1157=1,IF(AF1157="Value is not given at all",".",IF(AF1157="Value is given by the source",S1157,IF(AF1157="Value is calculated with prices",(IF(SUMIFS(Q:Q,A:A,A1157)&gt;0,SUMIFS(Q:Q,A:A,A1157),"."))/VLOOKUP("USD",'Exchange Rates'!B:C,2,0),"Error with coding"))),"")</f>
        <v/>
      </c>
      <c r="U1157" s="15" t="s">
        <v>261</v>
      </c>
      <c r="V1157" s="547" t="s">
        <v>3202</v>
      </c>
      <c r="W1157" s="667" t="s">
        <v>3044</v>
      </c>
      <c r="X1157" s="667" t="s">
        <v>3047</v>
      </c>
      <c r="Y1157" s="667" t="s">
        <v>3206</v>
      </c>
      <c r="Z1157" s="15">
        <v>0</v>
      </c>
      <c r="AA1157" s="180">
        <v>0</v>
      </c>
      <c r="AB1157" s="667" t="s">
        <v>3207</v>
      </c>
      <c r="AC1157" s="544" t="str">
        <f>""</f>
        <v/>
      </c>
      <c r="AD1157" s="183">
        <v>0</v>
      </c>
      <c r="AE1157" s="586" t="s">
        <v>264</v>
      </c>
      <c r="AF1157" s="181" t="s">
        <v>264</v>
      </c>
      <c r="AG1157" s="183">
        <v>1</v>
      </c>
      <c r="AH1157" s="183">
        <v>7</v>
      </c>
      <c r="AI1157" s="183">
        <v>0</v>
      </c>
      <c r="AJ1157" s="181">
        <f>VLOOKUP($I1157,'Price List, Weapons &amp; Items'!B:F,5,0)</f>
        <v>0</v>
      </c>
      <c r="AK1157" s="181">
        <f t="shared" si="266"/>
        <v>0</v>
      </c>
      <c r="AL1157" s="181">
        <f t="shared" si="267"/>
        <v>0</v>
      </c>
      <c r="AM1157" s="181">
        <f t="shared" si="268"/>
        <v>1</v>
      </c>
      <c r="AN1157" s="180" t="str">
        <f>VLOOKUP($I1157,'Price List, Weapons &amp; Items'!B:L,COLUMN('Price List, Weapons &amp; Items'!$J$11)-1,0)</f>
        <v>Military media (incl. websites)</v>
      </c>
      <c r="AO1157" s="180" t="str">
        <f>IF(I1157=".",".",VLOOKUP($I1157,'Price List, Weapons &amp; Items'!B:J,3,0))</f>
        <v>105mm</v>
      </c>
      <c r="AP1157" s="545" t="str">
        <f t="shared" ca="1" si="264"/>
        <v/>
      </c>
      <c r="AQ1157" s="180">
        <f>VLOOKUP($I1157,'Price List, Weapons &amp; Items'!B:L,COLUMN('Price List, Weapons &amp; Items'!$L$11)-1,0)</f>
        <v>2</v>
      </c>
      <c r="AR1157" s="180">
        <f t="shared" si="269"/>
        <v>1</v>
      </c>
      <c r="AS1157" s="180">
        <f t="shared" si="270"/>
        <v>1</v>
      </c>
      <c r="AT1157" s="180">
        <f t="shared" si="271"/>
        <v>1</v>
      </c>
      <c r="AU1157" s="180" t="str">
        <f t="shared" si="272"/>
        <v>.</v>
      </c>
      <c r="AV1157" s="180" t="str">
        <f t="shared" si="273"/>
        <v>.</v>
      </c>
      <c r="AW1157" s="180">
        <f>IFERROR(VLOOKUP(B1157,'Share, Heavy Weapons to Ukraine'!B:J,COLUMN('Share, Heavy Weapons to Ukraine'!C1167)-1,0),0)</f>
        <v>1</v>
      </c>
      <c r="AX1157" s="180">
        <f>VLOOKUP('Bilateral Assistance, MAIN DATA'!B1157,'Country Summary'!B:F,COLUMN('Country Summary'!C1170)-1,FALSE)</f>
        <v>0</v>
      </c>
      <c r="AY1157" s="180" t="str">
        <f>IF(AND(AD1157=1,D1157="Military",H1157&lt;&gt;"Not given")=TRUE,IF(SUMIFS(P:P,A:A,A1157)&gt;0,ABS((SUMIFS(P:P,A:A,A1157)/VLOOKUP("USD",'Exchange Rates'!B:C,2,0)))/S1157,"."),".")</f>
        <v>.</v>
      </c>
      <c r="AZ1157" s="182" t="str">
        <f>IF(AND(AD1157=1,D1157="Military",H1157&lt;&gt;"Not given")=TRUE,IF(SUMIFS(P:P,A:A,A1157)&gt;0,IF((ABS((SUMIFS(P:P,A:A,A1157)/VLOOKUP("USD",'Exchange Rates'!B:C,2,0)))/S1157)&gt;1,(SUMIFS(P:P,A:A,A1157)-S1157)/S1157,(S1157-SUMIFS(P:P,A:A,A1157))/SUMIFS(P:P,A:A,A1157)),"."),".")</f>
        <v>.</v>
      </c>
      <c r="BA1157" s="182"/>
      <c r="BB1157" s="182"/>
      <c r="BC1157" s="182"/>
      <c r="BD1157" s="182"/>
      <c r="BE1157" s="182"/>
      <c r="BF1157" s="182"/>
      <c r="BG1157" s="182"/>
      <c r="BH1157" s="182"/>
      <c r="BI1157" s="182"/>
      <c r="BJ1157" s="182"/>
      <c r="BK1157" s="182"/>
      <c r="BL1157" s="182"/>
      <c r="BM1157" s="182"/>
      <c r="BN1157" s="182"/>
      <c r="BO1157" s="182"/>
      <c r="BP1157" s="182"/>
      <c r="BQ1157" s="182"/>
      <c r="BR1157" s="182"/>
      <c r="BS1157" s="182"/>
    </row>
    <row r="1158" spans="1:71" ht="15.9" customHeight="1" x14ac:dyDescent="0.3">
      <c r="A1158" s="5" t="s">
        <v>3065</v>
      </c>
      <c r="B1158" s="5" t="s">
        <v>3038</v>
      </c>
      <c r="C1158" s="174">
        <v>44764</v>
      </c>
      <c r="D1158" s="5" t="s">
        <v>285</v>
      </c>
      <c r="E1158" s="5" t="s">
        <v>1328</v>
      </c>
      <c r="F1158" s="175" t="s">
        <v>3201</v>
      </c>
      <c r="G1158" s="15" t="s">
        <v>346</v>
      </c>
      <c r="H1158" s="176">
        <v>175000000</v>
      </c>
      <c r="I1158" s="185" t="s">
        <v>3160</v>
      </c>
      <c r="J1158" s="113" t="str">
        <f>VLOOKUP($I1158,'Price List, Weapons &amp; Items'!B:C,2,0)</f>
        <v>Portable defence system</v>
      </c>
      <c r="K1158" s="113" t="str">
        <f>IF(I1158=".",I1158,VLOOKUP($I1158,'Price List, Weapons &amp; Items'!B:D,3,0))</f>
        <v>Light Anti-armor Weapon (LAW)</v>
      </c>
      <c r="L1158" s="177">
        <f>VLOOKUP(I1158,'Price List, Weapons &amp; Items'!B:E,4,0)</f>
        <v>0</v>
      </c>
      <c r="M1158" s="542">
        <v>4567</v>
      </c>
      <c r="N1158" s="542">
        <v>4567</v>
      </c>
      <c r="O1158" s="543">
        <f>VLOOKUP($I1158,'Price List, Weapons &amp; Items'!B:G,6,0)</f>
        <v>3873.65</v>
      </c>
      <c r="P1158" s="176">
        <f t="shared" si="262"/>
        <v>17690959.550000001</v>
      </c>
      <c r="Q1158" s="176">
        <f t="shared" si="263"/>
        <v>17690959.550000001</v>
      </c>
      <c r="R1158" s="176" t="str">
        <f t="shared" si="265"/>
        <v/>
      </c>
      <c r="S1158" s="176" t="str">
        <f>IF(AND(AD1158=1,R1158&lt;&gt;".")=TRUE,R1158/VLOOKUP(G1158,'Exchange Rates'!B:C,2,0),IF(R1158=".",".",""))</f>
        <v/>
      </c>
      <c r="T1158" s="176" t="str">
        <f>IF(AD1158=1,IF(AF1158="Value is not given at all",".",IF(AF1158="Value is given by the source",S1158,IF(AF1158="Value is calculated with prices",(IF(SUMIFS(Q:Q,A:A,A1158)&gt;0,SUMIFS(Q:Q,A:A,A1158),"."))/VLOOKUP("USD",'Exchange Rates'!B:C,2,0),"Error with coding"))),"")</f>
        <v/>
      </c>
      <c r="U1158" s="15" t="s">
        <v>261</v>
      </c>
      <c r="V1158" s="547" t="s">
        <v>3202</v>
      </c>
      <c r="W1158" s="667" t="s">
        <v>3044</v>
      </c>
      <c r="X1158" s="667" t="s">
        <v>3047</v>
      </c>
      <c r="Y1158" s="667" t="s">
        <v>3207</v>
      </c>
      <c r="Z1158" s="15">
        <v>0</v>
      </c>
      <c r="AA1158" s="180">
        <v>0</v>
      </c>
      <c r="AB1158" s="667" t="s">
        <v>3208</v>
      </c>
      <c r="AC1158" s="544" t="str">
        <f>""</f>
        <v/>
      </c>
      <c r="AD1158" s="183">
        <v>0</v>
      </c>
      <c r="AE1158" s="586" t="s">
        <v>264</v>
      </c>
      <c r="AF1158" s="181" t="s">
        <v>264</v>
      </c>
      <c r="AG1158" s="183">
        <v>1</v>
      </c>
      <c r="AH1158" s="183">
        <v>7</v>
      </c>
      <c r="AI1158" s="183">
        <v>0</v>
      </c>
      <c r="AJ1158" s="181">
        <f>VLOOKUP($I1158,'Price List, Weapons &amp; Items'!B:F,5,0)</f>
        <v>0</v>
      </c>
      <c r="AK1158" s="181">
        <f t="shared" si="266"/>
        <v>0</v>
      </c>
      <c r="AL1158" s="181">
        <f t="shared" si="267"/>
        <v>0</v>
      </c>
      <c r="AM1158" s="181">
        <f t="shared" si="268"/>
        <v>0</v>
      </c>
      <c r="AN1158" s="180" t="str">
        <f>VLOOKUP($I1158,'Price List, Weapons &amp; Items'!B:L,COLUMN('Price List, Weapons &amp; Items'!$J$11)-1,0)</f>
        <v>Military media (incl. websites)</v>
      </c>
      <c r="AO1158" s="180" t="str">
        <f>IF(I1158=".",".",VLOOKUP($I1158,'Price List, Weapons &amp; Items'!B:J,3,0))</f>
        <v>Light Anti-armor Weapon (LAW)</v>
      </c>
      <c r="AP1158" s="545" t="str">
        <f t="shared" ca="1" si="264"/>
        <v/>
      </c>
      <c r="AQ1158" s="180">
        <f>VLOOKUP($I1158,'Price List, Weapons &amp; Items'!B:L,COLUMN('Price List, Weapons &amp; Items'!$L$11)-1,0)</f>
        <v>2</v>
      </c>
      <c r="AR1158" s="180">
        <f t="shared" si="269"/>
        <v>1</v>
      </c>
      <c r="AS1158" s="180">
        <f t="shared" si="270"/>
        <v>1</v>
      </c>
      <c r="AT1158" s="180">
        <f t="shared" si="271"/>
        <v>1</v>
      </c>
      <c r="AU1158" s="180" t="str">
        <f t="shared" si="272"/>
        <v>.</v>
      </c>
      <c r="AV1158" s="180" t="str">
        <f t="shared" si="273"/>
        <v>.</v>
      </c>
      <c r="AW1158" s="180">
        <f>IFERROR(VLOOKUP(B1158,'Share, Heavy Weapons to Ukraine'!B:J,COLUMN('Share, Heavy Weapons to Ukraine'!C1168)-1,0),0)</f>
        <v>1</v>
      </c>
      <c r="AX1158" s="180">
        <f>VLOOKUP('Bilateral Assistance, MAIN DATA'!B1158,'Country Summary'!B:F,COLUMN('Country Summary'!C1171)-1,FALSE)</f>
        <v>0</v>
      </c>
      <c r="AY1158" s="180" t="str">
        <f>IF(AND(AD1158=1,D1158="Military",H1158&lt;&gt;"Not given")=TRUE,IF(SUMIFS(P:P,A:A,A1158)&gt;0,ABS((SUMIFS(P:P,A:A,A1158)/VLOOKUP("USD",'Exchange Rates'!B:C,2,0)))/S1158,"."),".")</f>
        <v>.</v>
      </c>
      <c r="AZ1158" s="182" t="str">
        <f>IF(AND(AD1158=1,D1158="Military",H1158&lt;&gt;"Not given")=TRUE,IF(SUMIFS(P:P,A:A,A1158)&gt;0,IF((ABS((SUMIFS(P:P,A:A,A1158)/VLOOKUP("USD",'Exchange Rates'!B:C,2,0)))/S1158)&gt;1,(SUMIFS(P:P,A:A,A1158)-S1158)/S1158,(S1158-SUMIFS(P:P,A:A,A1158))/SUMIFS(P:P,A:A,A1158)),"."),".")</f>
        <v>.</v>
      </c>
      <c r="BA1158" s="182"/>
      <c r="BB1158" s="182"/>
      <c r="BC1158" s="182"/>
      <c r="BD1158" s="182"/>
      <c r="BE1158" s="182"/>
      <c r="BF1158" s="182"/>
      <c r="BG1158" s="182"/>
      <c r="BH1158" s="182"/>
      <c r="BI1158" s="182"/>
      <c r="BJ1158" s="182"/>
      <c r="BK1158" s="182"/>
      <c r="BL1158" s="182"/>
      <c r="BM1158" s="182"/>
      <c r="BN1158" s="182"/>
      <c r="BO1158" s="182"/>
      <c r="BP1158" s="182"/>
      <c r="BQ1158" s="182"/>
      <c r="BR1158" s="182"/>
      <c r="BS1158" s="182"/>
    </row>
    <row r="1159" spans="1:71" ht="15.9" customHeight="1" x14ac:dyDescent="0.3">
      <c r="A1159" s="5" t="s">
        <v>3065</v>
      </c>
      <c r="B1159" s="5" t="s">
        <v>3038</v>
      </c>
      <c r="C1159" s="174">
        <v>44764</v>
      </c>
      <c r="D1159" s="5" t="s">
        <v>285</v>
      </c>
      <c r="E1159" s="5" t="s">
        <v>1328</v>
      </c>
      <c r="F1159" s="175" t="s">
        <v>3201</v>
      </c>
      <c r="G1159" s="15" t="s">
        <v>346</v>
      </c>
      <c r="H1159" s="176">
        <v>175000000</v>
      </c>
      <c r="I1159" s="185" t="s">
        <v>464</v>
      </c>
      <c r="J1159" s="113" t="str">
        <f>VLOOKUP($I1159,'Price List, Weapons &amp; Items'!B:C,2,0)</f>
        <v>Military equipment</v>
      </c>
      <c r="K1159" s="113" t="str">
        <f>IF(I1159=".",I1159,VLOOKUP($I1159,'Price List, Weapons &amp; Items'!B:D,3,0))</f>
        <v>spare parts</v>
      </c>
      <c r="L1159" s="177">
        <f>VLOOKUP(I1159,'Price List, Weapons &amp; Items'!B:E,4,0)</f>
        <v>0</v>
      </c>
      <c r="M1159" s="542" t="s">
        <v>270</v>
      </c>
      <c r="N1159" s="542" t="s">
        <v>270</v>
      </c>
      <c r="O1159" s="543" t="str">
        <f>VLOOKUP($I1159,'Price List, Weapons &amp; Items'!B:G,6,0)</f>
        <v>.</v>
      </c>
      <c r="P1159" s="176" t="str">
        <f t="shared" si="262"/>
        <v>.</v>
      </c>
      <c r="Q1159" s="176" t="str">
        <f t="shared" si="263"/>
        <v>.</v>
      </c>
      <c r="R1159" s="176" t="str">
        <f t="shared" si="265"/>
        <v/>
      </c>
      <c r="S1159" s="176" t="str">
        <f>IF(AND(AD1159=1,R1159&lt;&gt;".")=TRUE,R1159/VLOOKUP(G1159,'Exchange Rates'!B:C,2,0),IF(R1159=".",".",""))</f>
        <v/>
      </c>
      <c r="T1159" s="176" t="str">
        <f>IF(AD1159=1,IF(AF1159="Value is not given at all",".",IF(AF1159="Value is given by the source",S1159,IF(AF1159="Value is calculated with prices",(IF(SUMIFS(Q:Q,A:A,A1159)&gt;0,SUMIFS(Q:Q,A:A,A1159),"."))/VLOOKUP("USD",'Exchange Rates'!B:C,2,0),"Error with coding"))),"")</f>
        <v/>
      </c>
      <c r="U1159" s="15" t="s">
        <v>261</v>
      </c>
      <c r="V1159" s="547" t="s">
        <v>3202</v>
      </c>
      <c r="W1159" s="667" t="s">
        <v>3044</v>
      </c>
      <c r="X1159" s="667" t="s">
        <v>3047</v>
      </c>
      <c r="Y1159" s="667" t="s">
        <v>3208</v>
      </c>
      <c r="Z1159" s="15">
        <v>0</v>
      </c>
      <c r="AA1159" s="180">
        <v>0</v>
      </c>
      <c r="AB1159" s="667" t="s">
        <v>3209</v>
      </c>
      <c r="AC1159" s="544" t="str">
        <f>""</f>
        <v/>
      </c>
      <c r="AD1159" s="183">
        <v>0</v>
      </c>
      <c r="AE1159" s="586" t="s">
        <v>264</v>
      </c>
      <c r="AF1159" s="181" t="s">
        <v>264</v>
      </c>
      <c r="AG1159" s="183">
        <v>1</v>
      </c>
      <c r="AH1159" s="183">
        <v>7</v>
      </c>
      <c r="AI1159" s="183">
        <v>0</v>
      </c>
      <c r="AJ1159" s="181">
        <f>VLOOKUP($I1159,'Price List, Weapons &amp; Items'!B:F,5,0)</f>
        <v>0</v>
      </c>
      <c r="AK1159" s="181">
        <f t="shared" si="266"/>
        <v>0</v>
      </c>
      <c r="AL1159" s="181">
        <f t="shared" si="267"/>
        <v>0</v>
      </c>
      <c r="AM1159" s="181">
        <f t="shared" si="268"/>
        <v>0</v>
      </c>
      <c r="AN1159" s="180" t="str">
        <f>VLOOKUP($I1159,'Price List, Weapons &amp; Items'!B:L,COLUMN('Price List, Weapons &amp; Items'!$J$11)-1,0)</f>
        <v>.</v>
      </c>
      <c r="AO1159" s="180" t="str">
        <f>IF(I1159=".",".",VLOOKUP($I1159,'Price List, Weapons &amp; Items'!B:J,3,0))</f>
        <v>spare parts</v>
      </c>
      <c r="AP1159" s="545" t="str">
        <f t="shared" ca="1" si="264"/>
        <v/>
      </c>
      <c r="AQ1159" s="180" t="str">
        <f>VLOOKUP($I1159,'Price List, Weapons &amp; Items'!B:L,COLUMN('Price List, Weapons &amp; Items'!$L$11)-1,0)</f>
        <v>no price, 0 count</v>
      </c>
      <c r="AR1159" s="180">
        <f t="shared" si="269"/>
        <v>1</v>
      </c>
      <c r="AS1159" s="180">
        <f t="shared" si="270"/>
        <v>1</v>
      </c>
      <c r="AT1159" s="180">
        <f t="shared" si="271"/>
        <v>1</v>
      </c>
      <c r="AU1159" s="180" t="str">
        <f t="shared" si="272"/>
        <v>.</v>
      </c>
      <c r="AV1159" s="180" t="str">
        <f t="shared" si="273"/>
        <v>.</v>
      </c>
      <c r="AW1159" s="180">
        <f>IFERROR(VLOOKUP(B1159,'Share, Heavy Weapons to Ukraine'!B:J,COLUMN('Share, Heavy Weapons to Ukraine'!C1169)-1,0),0)</f>
        <v>1</v>
      </c>
      <c r="AX1159" s="180">
        <f>VLOOKUP('Bilateral Assistance, MAIN DATA'!B1159,'Country Summary'!B:F,COLUMN('Country Summary'!C1172)-1,FALSE)</f>
        <v>0</v>
      </c>
      <c r="AY1159" s="180" t="str">
        <f>IF(AND(AD1159=1,D1159="Military",H1159&lt;&gt;"Not given")=TRUE,IF(SUMIFS(P:P,A:A,A1159)&gt;0,ABS((SUMIFS(P:P,A:A,A1159)/VLOOKUP("USD",'Exchange Rates'!B:C,2,0)))/S1159,"."),".")</f>
        <v>.</v>
      </c>
      <c r="AZ1159" s="182" t="str">
        <f>IF(AND(AD1159=1,D1159="Military",H1159&lt;&gt;"Not given")=TRUE,IF(SUMIFS(P:P,A:A,A1159)&gt;0,IF((ABS((SUMIFS(P:P,A:A,A1159)/VLOOKUP("USD",'Exchange Rates'!B:C,2,0)))/S1159)&gt;1,(SUMIFS(P:P,A:A,A1159)-S1159)/S1159,(S1159-SUMIFS(P:P,A:A,A1159))/SUMIFS(P:P,A:A,A1159)),"."),".")</f>
        <v>.</v>
      </c>
      <c r="BA1159" s="182"/>
      <c r="BB1159" s="182"/>
      <c r="BC1159" s="182"/>
      <c r="BD1159" s="182"/>
      <c r="BE1159" s="182"/>
      <c r="BF1159" s="182"/>
      <c r="BG1159" s="182"/>
      <c r="BH1159" s="182"/>
      <c r="BI1159" s="182"/>
      <c r="BJ1159" s="182"/>
      <c r="BK1159" s="182"/>
      <c r="BL1159" s="182"/>
      <c r="BM1159" s="182"/>
      <c r="BN1159" s="182"/>
      <c r="BO1159" s="182"/>
      <c r="BP1159" s="182"/>
      <c r="BQ1159" s="182"/>
      <c r="BR1159" s="182"/>
      <c r="BS1159" s="182"/>
    </row>
    <row r="1160" spans="1:71" ht="15.9" customHeight="1" x14ac:dyDescent="0.3">
      <c r="A1160" s="5" t="s">
        <v>3065</v>
      </c>
      <c r="B1160" s="5" t="s">
        <v>3038</v>
      </c>
      <c r="C1160" s="174">
        <v>44774</v>
      </c>
      <c r="D1160" s="5" t="s">
        <v>285</v>
      </c>
      <c r="E1160" s="5" t="s">
        <v>1328</v>
      </c>
      <c r="F1160" s="175" t="s">
        <v>3210</v>
      </c>
      <c r="G1160" s="15" t="s">
        <v>346</v>
      </c>
      <c r="H1160" s="176">
        <v>550000000</v>
      </c>
      <c r="I1160" s="17" t="s">
        <v>3172</v>
      </c>
      <c r="J1160" s="113" t="str">
        <f>VLOOKUP($I1160,'Price List, Weapons &amp; Items'!B:C,2,0)</f>
        <v>Ammunition for heavy weapon</v>
      </c>
      <c r="K1160" s="113" t="str">
        <f>IF(I1160=".",I1160,VLOOKUP($I1160,'Price List, Weapons &amp; Items'!B:D,3,0))</f>
        <v>227mm MLRS ammunition</v>
      </c>
      <c r="L1160" s="177">
        <f>VLOOKUP(I1160,'Price List, Weapons &amp; Items'!B:E,4,0)</f>
        <v>0</v>
      </c>
      <c r="M1160" s="542" t="s">
        <v>270</v>
      </c>
      <c r="N1160" s="542" t="s">
        <v>270</v>
      </c>
      <c r="O1160" s="543">
        <f>VLOOKUP($I1160,'Price List, Weapons &amp; Items'!B:G,6,0)</f>
        <v>150000</v>
      </c>
      <c r="P1160" s="176" t="str">
        <f t="shared" si="262"/>
        <v>.</v>
      </c>
      <c r="Q1160" s="176" t="str">
        <f t="shared" si="263"/>
        <v>.</v>
      </c>
      <c r="R1160" s="176" t="str">
        <f t="shared" si="265"/>
        <v/>
      </c>
      <c r="S1160" s="176" t="str">
        <f>IF(AND(AD1160=1,R1160&lt;&gt;".")=TRUE,R1160/VLOOKUP(G1160,'Exchange Rates'!B:C,2,0),IF(R1160=".",".",""))</f>
        <v/>
      </c>
      <c r="T1160" s="176" t="str">
        <f>IF(AD1160=1,IF(AF1160="Value is not given at all",".",IF(AF1160="Value is given by the source",S1160,IF(AF1160="Value is calculated with prices",(IF(SUMIFS(Q:Q,A:A,A1160)&gt;0,SUMIFS(Q:Q,A:A,A1160),"."))/VLOOKUP("USD",'Exchange Rates'!B:C,2,0),"Error with coding"))),"")</f>
        <v/>
      </c>
      <c r="U1160" s="15" t="s">
        <v>261</v>
      </c>
      <c r="V1160" s="547" t="s">
        <v>3211</v>
      </c>
      <c r="W1160" s="667" t="s">
        <v>3044</v>
      </c>
      <c r="X1160" s="667" t="s">
        <v>3047</v>
      </c>
      <c r="Y1160" s="667" t="s">
        <v>3209</v>
      </c>
      <c r="Z1160" s="15">
        <v>0</v>
      </c>
      <c r="AA1160" s="180">
        <v>0</v>
      </c>
      <c r="AB1160" s="667" t="s">
        <v>3212</v>
      </c>
      <c r="AC1160" s="544" t="str">
        <f>""</f>
        <v/>
      </c>
      <c r="AD1160" s="183">
        <v>0</v>
      </c>
      <c r="AE1160" s="586" t="s">
        <v>264</v>
      </c>
      <c r="AF1160" s="181" t="s">
        <v>264</v>
      </c>
      <c r="AG1160" s="183">
        <v>1</v>
      </c>
      <c r="AH1160" s="183">
        <v>8</v>
      </c>
      <c r="AI1160" s="183">
        <v>0</v>
      </c>
      <c r="AJ1160" s="181">
        <f>VLOOKUP($I1160,'Price List, Weapons &amp; Items'!B:F,5,0)</f>
        <v>1</v>
      </c>
      <c r="AK1160" s="181">
        <f t="shared" si="266"/>
        <v>1</v>
      </c>
      <c r="AL1160" s="181">
        <f t="shared" si="267"/>
        <v>1</v>
      </c>
      <c r="AM1160" s="181">
        <f t="shared" si="268"/>
        <v>1</v>
      </c>
      <c r="AN1160" s="180" t="str">
        <f>VLOOKUP($I1160,'Price List, Weapons &amp; Items'!B:L,COLUMN('Price List, Weapons &amp; Items'!$J$11)-1,0)</f>
        <v>Media reports (incl. social media)</v>
      </c>
      <c r="AO1160" s="180" t="str">
        <f>IF(I1160=".",".",VLOOKUP($I1160,'Price List, Weapons &amp; Items'!B:J,3,0))</f>
        <v>227mm MLRS ammunition</v>
      </c>
      <c r="AP1160" s="545" t="str">
        <f t="shared" ca="1" si="264"/>
        <v/>
      </c>
      <c r="AQ1160" s="180" t="str">
        <f>VLOOKUP($I1160,'Price List, Weapons &amp; Items'!B:L,COLUMN('Price List, Weapons &amp; Items'!$L$11)-1,0)</f>
        <v>no price, 0 count</v>
      </c>
      <c r="AR1160" s="180">
        <f t="shared" si="269"/>
        <v>1</v>
      </c>
      <c r="AS1160" s="180">
        <f t="shared" si="270"/>
        <v>1</v>
      </c>
      <c r="AT1160" s="180">
        <f t="shared" si="271"/>
        <v>1</v>
      </c>
      <c r="AU1160" s="180" t="str">
        <f t="shared" si="272"/>
        <v>.</v>
      </c>
      <c r="AV1160" s="180" t="str">
        <f t="shared" si="273"/>
        <v>.</v>
      </c>
      <c r="AW1160" s="180">
        <f>IFERROR(VLOOKUP(B1160,'Share, Heavy Weapons to Ukraine'!B:J,COLUMN('Share, Heavy Weapons to Ukraine'!C1170)-1,0),0)</f>
        <v>1</v>
      </c>
      <c r="AX1160" s="180">
        <f>VLOOKUP('Bilateral Assistance, MAIN DATA'!B1160,'Country Summary'!B:F,COLUMN('Country Summary'!C1173)-1,FALSE)</f>
        <v>0</v>
      </c>
      <c r="AY1160" s="180" t="str">
        <f>IF(AND(AD1160=1,D1160="Military",H1160&lt;&gt;"Not given")=TRUE,IF(SUMIFS(P:P,A:A,A1160)&gt;0,ABS((SUMIFS(P:P,A:A,A1160)/VLOOKUP("USD",'Exchange Rates'!B:C,2,0)))/S1160,"."),".")</f>
        <v>.</v>
      </c>
      <c r="AZ1160" s="182" t="str">
        <f>IF(AND(AD1160=1,D1160="Military",H1160&lt;&gt;"Not given")=TRUE,IF(SUMIFS(P:P,A:A,A1160)&gt;0,IF((ABS((SUMIFS(P:P,A:A,A1160)/VLOOKUP("USD",'Exchange Rates'!B:C,2,0)))/S1160)&gt;1,(SUMIFS(P:P,A:A,A1160)-S1160)/S1160,(S1160-SUMIFS(P:P,A:A,A1160))/SUMIFS(P:P,A:A,A1160)),"."),".")</f>
        <v>.</v>
      </c>
      <c r="BA1160" s="182"/>
      <c r="BB1160" s="182"/>
      <c r="BC1160" s="182"/>
      <c r="BD1160" s="182"/>
      <c r="BE1160" s="182"/>
      <c r="BF1160" s="182"/>
      <c r="BG1160" s="182"/>
      <c r="BH1160" s="182"/>
      <c r="BI1160" s="182"/>
      <c r="BJ1160" s="182"/>
      <c r="BK1160" s="182"/>
      <c r="BL1160" s="182"/>
      <c r="BM1160" s="182"/>
      <c r="BN1160" s="182"/>
      <c r="BO1160" s="182"/>
      <c r="BP1160" s="182"/>
      <c r="BQ1160" s="182"/>
      <c r="BR1160" s="182"/>
      <c r="BS1160" s="182"/>
    </row>
    <row r="1161" spans="1:71" ht="15.9" customHeight="1" x14ac:dyDescent="0.3">
      <c r="A1161" s="5" t="s">
        <v>3065</v>
      </c>
      <c r="B1161" s="5" t="s">
        <v>3038</v>
      </c>
      <c r="C1161" s="174">
        <v>44774</v>
      </c>
      <c r="D1161" s="5" t="s">
        <v>285</v>
      </c>
      <c r="E1161" s="5" t="s">
        <v>1328</v>
      </c>
      <c r="F1161" s="175" t="s">
        <v>3210</v>
      </c>
      <c r="G1161" s="15" t="s">
        <v>346</v>
      </c>
      <c r="H1161" s="176">
        <v>550000000</v>
      </c>
      <c r="I1161" s="185" t="s">
        <v>644</v>
      </c>
      <c r="J1161" s="113" t="str">
        <f>VLOOKUP($I1161,'Price List, Weapons &amp; Items'!B:C,2,0)</f>
        <v>Ammunition for heavy weapon</v>
      </c>
      <c r="K1161" s="113" t="str">
        <f>IF(I1161=".",I1161,VLOOKUP($I1161,'Price List, Weapons &amp; Items'!B:D,3,0))</f>
        <v>155mm howitzer ammunition</v>
      </c>
      <c r="L1161" s="177">
        <f>VLOOKUP(I1161,'Price List, Weapons &amp; Items'!B:E,4,0)</f>
        <v>0</v>
      </c>
      <c r="M1161" s="542">
        <v>75000</v>
      </c>
      <c r="N1161" s="542">
        <v>75000</v>
      </c>
      <c r="O1161" s="543">
        <f>VLOOKUP($I1161,'Price List, Weapons &amp; Items'!B:G,6,0)</f>
        <v>3800</v>
      </c>
      <c r="P1161" s="176">
        <f t="shared" si="262"/>
        <v>285000000</v>
      </c>
      <c r="Q1161" s="176">
        <f t="shared" si="263"/>
        <v>285000000</v>
      </c>
      <c r="R1161" s="176" t="str">
        <f t="shared" si="265"/>
        <v/>
      </c>
      <c r="S1161" s="176" t="str">
        <f>IF(AND(AD1161=1,R1161&lt;&gt;".")=TRUE,R1161/VLOOKUP(G1161,'Exchange Rates'!B:C,2,0),IF(R1161=".",".",""))</f>
        <v/>
      </c>
      <c r="T1161" s="176" t="str">
        <f>IF(AD1161=1,IF(AF1161="Value is not given at all",".",IF(AF1161="Value is given by the source",S1161,IF(AF1161="Value is calculated with prices",(IF(SUMIFS(Q:Q,A:A,A1161)&gt;0,SUMIFS(Q:Q,A:A,A1161),"."))/VLOOKUP("USD",'Exchange Rates'!B:C,2,0),"Error with coding"))),"")</f>
        <v/>
      </c>
      <c r="U1161" s="15" t="s">
        <v>261</v>
      </c>
      <c r="V1161" s="547" t="s">
        <v>3211</v>
      </c>
      <c r="W1161" s="667" t="s">
        <v>3044</v>
      </c>
      <c r="X1161" s="667" t="s">
        <v>3047</v>
      </c>
      <c r="Y1161" s="667" t="s">
        <v>3212</v>
      </c>
      <c r="Z1161" s="15">
        <v>0</v>
      </c>
      <c r="AA1161" s="180">
        <v>0</v>
      </c>
      <c r="AB1161" s="667" t="s">
        <v>3213</v>
      </c>
      <c r="AC1161" s="544" t="str">
        <f>""</f>
        <v/>
      </c>
      <c r="AD1161" s="183">
        <v>0</v>
      </c>
      <c r="AE1161" s="586" t="s">
        <v>264</v>
      </c>
      <c r="AF1161" s="181" t="s">
        <v>264</v>
      </c>
      <c r="AG1161" s="183">
        <v>1</v>
      </c>
      <c r="AH1161" s="183">
        <v>8</v>
      </c>
      <c r="AI1161" s="183">
        <v>0</v>
      </c>
      <c r="AJ1161" s="181">
        <f>VLOOKUP($I1161,'Price List, Weapons &amp; Items'!B:F,5,0)</f>
        <v>1</v>
      </c>
      <c r="AK1161" s="181">
        <f t="shared" si="266"/>
        <v>0</v>
      </c>
      <c r="AL1161" s="181">
        <f t="shared" si="267"/>
        <v>0</v>
      </c>
      <c r="AM1161" s="181">
        <f t="shared" si="268"/>
        <v>0</v>
      </c>
      <c r="AN1161" s="180" t="str">
        <f>VLOOKUP($I1161,'Price List, Weapons &amp; Items'!B:L,COLUMN('Price List, Weapons &amp; Items'!$J$11)-1,0)</f>
        <v>Government information</v>
      </c>
      <c r="AO1161" s="180" t="str">
        <f>IF(I1161=".",".",VLOOKUP($I1161,'Price List, Weapons &amp; Items'!B:J,3,0))</f>
        <v>155mm howitzer ammunition</v>
      </c>
      <c r="AP1161" s="545" t="str">
        <f t="shared" ca="1" si="264"/>
        <v/>
      </c>
      <c r="AQ1161" s="180">
        <f>VLOOKUP($I1161,'Price List, Weapons &amp; Items'!B:L,COLUMN('Price List, Weapons &amp; Items'!$L$11)-1,0)</f>
        <v>2</v>
      </c>
      <c r="AR1161" s="180">
        <f t="shared" si="269"/>
        <v>1</v>
      </c>
      <c r="AS1161" s="180">
        <f t="shared" si="270"/>
        <v>1</v>
      </c>
      <c r="AT1161" s="180">
        <f t="shared" si="271"/>
        <v>1</v>
      </c>
      <c r="AU1161" s="180" t="str">
        <f t="shared" si="272"/>
        <v>.</v>
      </c>
      <c r="AV1161" s="180" t="str">
        <f t="shared" si="273"/>
        <v>.</v>
      </c>
      <c r="AW1161" s="180">
        <f>IFERROR(VLOOKUP(B1161,'Share, Heavy Weapons to Ukraine'!B:J,COLUMN('Share, Heavy Weapons to Ukraine'!C1171)-1,0),0)</f>
        <v>1</v>
      </c>
      <c r="AX1161" s="180">
        <f>VLOOKUP('Bilateral Assistance, MAIN DATA'!B1161,'Country Summary'!B:F,COLUMN('Country Summary'!C1174)-1,FALSE)</f>
        <v>0</v>
      </c>
      <c r="AY1161" s="180" t="str">
        <f>IF(AND(AD1161=1,D1161="Military",H1161&lt;&gt;"Not given")=TRUE,IF(SUMIFS(P:P,A:A,A1161)&gt;0,ABS((SUMIFS(P:P,A:A,A1161)/VLOOKUP("USD",'Exchange Rates'!B:C,2,0)))/S1161,"."),".")</f>
        <v>.</v>
      </c>
      <c r="AZ1161" s="182" t="str">
        <f>IF(AND(AD1161=1,D1161="Military",H1161&lt;&gt;"Not given")=TRUE,IF(SUMIFS(P:P,A:A,A1161)&gt;0,IF((ABS((SUMIFS(P:P,A:A,A1161)/VLOOKUP("USD",'Exchange Rates'!B:C,2,0)))/S1161)&gt;1,(SUMIFS(P:P,A:A,A1161)-S1161)/S1161,(S1161-SUMIFS(P:P,A:A,A1161))/SUMIFS(P:P,A:A,A1161)),"."),".")</f>
        <v>.</v>
      </c>
      <c r="BA1161" s="182"/>
      <c r="BB1161" s="182"/>
      <c r="BC1161" s="182"/>
      <c r="BD1161" s="182"/>
      <c r="BE1161" s="182"/>
      <c r="BF1161" s="182"/>
      <c r="BG1161" s="182"/>
      <c r="BH1161" s="182"/>
      <c r="BI1161" s="182"/>
      <c r="BJ1161" s="182"/>
      <c r="BK1161" s="182"/>
      <c r="BL1161" s="182"/>
      <c r="BM1161" s="182"/>
      <c r="BN1161" s="182"/>
      <c r="BO1161" s="182"/>
      <c r="BP1161" s="182"/>
      <c r="BQ1161" s="182"/>
      <c r="BR1161" s="182"/>
      <c r="BS1161" s="182"/>
    </row>
    <row r="1162" spans="1:71" ht="15.9" customHeight="1" x14ac:dyDescent="0.3">
      <c r="A1162" s="5" t="s">
        <v>3065</v>
      </c>
      <c r="B1162" s="19" t="s">
        <v>3038</v>
      </c>
      <c r="C1162" s="555">
        <v>44781</v>
      </c>
      <c r="D1162" s="19" t="s">
        <v>285</v>
      </c>
      <c r="E1162" s="5" t="s">
        <v>1328</v>
      </c>
      <c r="F1162" s="175" t="s">
        <v>3214</v>
      </c>
      <c r="G1162" s="15" t="s">
        <v>346</v>
      </c>
      <c r="H1162" s="200">
        <v>1000000000</v>
      </c>
      <c r="I1162" s="19" t="s">
        <v>3172</v>
      </c>
      <c r="J1162" s="113" t="str">
        <f>VLOOKUP($I1162,'Price List, Weapons &amp; Items'!B:C,2,0)</f>
        <v>Ammunition for heavy weapon</v>
      </c>
      <c r="K1162" s="113" t="str">
        <f>IF(I1162=".",I1162,VLOOKUP($I1162,'Price List, Weapons &amp; Items'!B:D,3,0))</f>
        <v>227mm MLRS ammunition</v>
      </c>
      <c r="L1162" s="177">
        <f>VLOOKUP(I1162,'Price List, Weapons &amp; Items'!B:E,4,0)</f>
        <v>0</v>
      </c>
      <c r="M1162" s="247" t="s">
        <v>270</v>
      </c>
      <c r="N1162" s="542" t="s">
        <v>270</v>
      </c>
      <c r="O1162" s="543">
        <f>VLOOKUP($I1162,'Price List, Weapons &amp; Items'!B:G,6,0)</f>
        <v>150000</v>
      </c>
      <c r="P1162" s="176" t="str">
        <f t="shared" si="262"/>
        <v>.</v>
      </c>
      <c r="Q1162" s="176" t="str">
        <f t="shared" si="263"/>
        <v>.</v>
      </c>
      <c r="R1162" s="176" t="str">
        <f t="shared" si="265"/>
        <v/>
      </c>
      <c r="S1162" s="176" t="str">
        <f>IF(AND(AD1162=1,R1162&lt;&gt;".")=TRUE,R1162/VLOOKUP(G1162,'Exchange Rates'!B:C,2,0),IF(R1162=".",".",""))</f>
        <v/>
      </c>
      <c r="T1162" s="176" t="str">
        <f>IF(AD1162=1,IF(AF1162="Value is not given at all",".",IF(AF1162="Value is given by the source",S1162,IF(AF1162="Value is calculated with prices",(IF(SUMIFS(Q:Q,A:A,A1162)&gt;0,SUMIFS(Q:Q,A:A,A1162),"."))/VLOOKUP("USD",'Exchange Rates'!B:C,2,0),"Error with coding"))),"")</f>
        <v/>
      </c>
      <c r="U1162" s="15" t="s">
        <v>261</v>
      </c>
      <c r="V1162" s="304" t="s">
        <v>3215</v>
      </c>
      <c r="W1162" s="667" t="s">
        <v>3044</v>
      </c>
      <c r="X1162" s="667" t="s">
        <v>3047</v>
      </c>
      <c r="Y1162" s="667" t="s">
        <v>3213</v>
      </c>
      <c r="Z1162" s="199">
        <v>0</v>
      </c>
      <c r="AA1162" s="180">
        <v>0</v>
      </c>
      <c r="AB1162" s="667" t="s">
        <v>3216</v>
      </c>
      <c r="AC1162" s="544" t="str">
        <f>""</f>
        <v/>
      </c>
      <c r="AD1162" s="183">
        <v>0</v>
      </c>
      <c r="AE1162" s="586" t="s">
        <v>264</v>
      </c>
      <c r="AF1162" s="181" t="s">
        <v>264</v>
      </c>
      <c r="AG1162" s="183">
        <v>1</v>
      </c>
      <c r="AH1162" s="183">
        <v>8</v>
      </c>
      <c r="AI1162" s="183">
        <v>0</v>
      </c>
      <c r="AJ1162" s="181">
        <f>VLOOKUP($I1162,'Price List, Weapons &amp; Items'!B:F,5,0)</f>
        <v>1</v>
      </c>
      <c r="AK1162" s="181">
        <f t="shared" si="266"/>
        <v>1</v>
      </c>
      <c r="AL1162" s="181">
        <f t="shared" si="267"/>
        <v>1</v>
      </c>
      <c r="AM1162" s="181">
        <f t="shared" si="268"/>
        <v>1</v>
      </c>
      <c r="AN1162" s="180" t="str">
        <f>VLOOKUP($I1162,'Price List, Weapons &amp; Items'!B:L,COLUMN('Price List, Weapons &amp; Items'!$J$11)-1,0)</f>
        <v>Media reports (incl. social media)</v>
      </c>
      <c r="AO1162" s="180" t="str">
        <f>IF(I1162=".",".",VLOOKUP($I1162,'Price List, Weapons &amp; Items'!B:J,3,0))</f>
        <v>227mm MLRS ammunition</v>
      </c>
      <c r="AP1162" s="545" t="str">
        <f t="shared" ca="1" si="264"/>
        <v/>
      </c>
      <c r="AQ1162" s="180" t="str">
        <f>VLOOKUP($I1162,'Price List, Weapons &amp; Items'!B:L,COLUMN('Price List, Weapons &amp; Items'!$L$11)-1,0)</f>
        <v>no price, 0 count</v>
      </c>
      <c r="AR1162" s="180">
        <f t="shared" si="269"/>
        <v>1</v>
      </c>
      <c r="AS1162" s="180">
        <f t="shared" si="270"/>
        <v>1</v>
      </c>
      <c r="AT1162" s="180">
        <f t="shared" si="271"/>
        <v>1</v>
      </c>
      <c r="AU1162" s="180" t="str">
        <f t="shared" si="272"/>
        <v>.</v>
      </c>
      <c r="AV1162" s="180" t="str">
        <f t="shared" si="273"/>
        <v>.</v>
      </c>
      <c r="AW1162" s="180">
        <f>IFERROR(VLOOKUP(B1162,'Share, Heavy Weapons to Ukraine'!B:J,COLUMN('Share, Heavy Weapons to Ukraine'!C1172)-1,0),0)</f>
        <v>1</v>
      </c>
      <c r="AX1162" s="180">
        <f>VLOOKUP('Bilateral Assistance, MAIN DATA'!B1162,'Country Summary'!B:F,COLUMN('Country Summary'!C1175)-1,FALSE)</f>
        <v>0</v>
      </c>
      <c r="AY1162" s="180" t="str">
        <f>IF(AND(AD1162=1,D1162="Military",H1162&lt;&gt;"Not given")=TRUE,IF(SUMIFS(P:P,A:A,A1162)&gt;0,ABS((SUMIFS(P:P,A:A,A1162)/VLOOKUP("USD",'Exchange Rates'!B:C,2,0)))/S1162,"."),".")</f>
        <v>.</v>
      </c>
      <c r="AZ1162" s="182" t="str">
        <f>IF(AND(AD1162=1,D1162="Military",H1162&lt;&gt;"Not given")=TRUE,IF(SUMIFS(P:P,A:A,A1162)&gt;0,IF((ABS((SUMIFS(P:P,A:A,A1162)/VLOOKUP("USD",'Exchange Rates'!B:C,2,0)))/S1162)&gt;1,(SUMIFS(P:P,A:A,A1162)-S1162)/S1162,(S1162-SUMIFS(P:P,A:A,A1162))/SUMIFS(P:P,A:A,A1162)),"."),".")</f>
        <v>.</v>
      </c>
      <c r="BA1162" s="182"/>
      <c r="BB1162" s="182"/>
      <c r="BC1162" s="182"/>
      <c r="BD1162" s="182"/>
      <c r="BE1162" s="182"/>
      <c r="BF1162" s="182"/>
      <c r="BG1162" s="182"/>
      <c r="BH1162" s="182"/>
      <c r="BI1162" s="182"/>
      <c r="BJ1162" s="182"/>
      <c r="BK1162" s="182"/>
      <c r="BL1162" s="182"/>
      <c r="BM1162" s="182"/>
      <c r="BN1162" s="182"/>
      <c r="BO1162" s="182"/>
      <c r="BP1162" s="182"/>
      <c r="BQ1162" s="182"/>
      <c r="BR1162" s="182"/>
      <c r="BS1162" s="182"/>
    </row>
    <row r="1163" spans="1:71" ht="15.9" customHeight="1" x14ac:dyDescent="0.3">
      <c r="A1163" s="5" t="s">
        <v>3065</v>
      </c>
      <c r="B1163" s="19" t="s">
        <v>3038</v>
      </c>
      <c r="C1163" s="555">
        <v>44781</v>
      </c>
      <c r="D1163" s="19" t="s">
        <v>285</v>
      </c>
      <c r="E1163" s="5" t="s">
        <v>1328</v>
      </c>
      <c r="F1163" s="175" t="s">
        <v>3214</v>
      </c>
      <c r="G1163" s="15" t="s">
        <v>346</v>
      </c>
      <c r="H1163" s="200">
        <v>1000000000</v>
      </c>
      <c r="I1163" s="19" t="s">
        <v>644</v>
      </c>
      <c r="J1163" s="113" t="str">
        <f>VLOOKUP($I1163,'Price List, Weapons &amp; Items'!B:C,2,0)</f>
        <v>Ammunition for heavy weapon</v>
      </c>
      <c r="K1163" s="113" t="str">
        <f>IF(I1163=".",I1163,VLOOKUP($I1163,'Price List, Weapons &amp; Items'!B:D,3,0))</f>
        <v>155mm howitzer ammunition</v>
      </c>
      <c r="L1163" s="177">
        <f>VLOOKUP(I1163,'Price List, Weapons &amp; Items'!B:E,4,0)</f>
        <v>0</v>
      </c>
      <c r="M1163" s="247">
        <v>75000</v>
      </c>
      <c r="N1163" s="542">
        <v>75000</v>
      </c>
      <c r="O1163" s="543">
        <f>VLOOKUP($I1163,'Price List, Weapons &amp; Items'!B:G,6,0)</f>
        <v>3800</v>
      </c>
      <c r="P1163" s="176">
        <f t="shared" si="262"/>
        <v>285000000</v>
      </c>
      <c r="Q1163" s="176">
        <f t="shared" si="263"/>
        <v>285000000</v>
      </c>
      <c r="R1163" s="176" t="str">
        <f t="shared" si="265"/>
        <v/>
      </c>
      <c r="S1163" s="176" t="str">
        <f>IF(AND(AD1163=1,R1163&lt;&gt;".")=TRUE,R1163/VLOOKUP(G1163,'Exchange Rates'!B:C,2,0),IF(R1163=".",".",""))</f>
        <v/>
      </c>
      <c r="T1163" s="176" t="str">
        <f>IF(AD1163=1,IF(AF1163="Value is not given at all",".",IF(AF1163="Value is given by the source",S1163,IF(AF1163="Value is calculated with prices",(IF(SUMIFS(Q:Q,A:A,A1163)&gt;0,SUMIFS(Q:Q,A:A,A1163),"."))/VLOOKUP("USD",'Exchange Rates'!B:C,2,0),"Error with coding"))),"")</f>
        <v/>
      </c>
      <c r="U1163" s="15" t="s">
        <v>261</v>
      </c>
      <c r="V1163" s="304" t="s">
        <v>3215</v>
      </c>
      <c r="W1163" s="667" t="s">
        <v>3044</v>
      </c>
      <c r="X1163" s="667" t="s">
        <v>3047</v>
      </c>
      <c r="Y1163" s="667" t="s">
        <v>3216</v>
      </c>
      <c r="Z1163" s="199">
        <v>0</v>
      </c>
      <c r="AA1163" s="180">
        <v>0</v>
      </c>
      <c r="AB1163" s="667" t="s">
        <v>3217</v>
      </c>
      <c r="AC1163" s="544" t="str">
        <f>""</f>
        <v/>
      </c>
      <c r="AD1163" s="183">
        <v>0</v>
      </c>
      <c r="AE1163" s="586" t="s">
        <v>264</v>
      </c>
      <c r="AF1163" s="181" t="s">
        <v>264</v>
      </c>
      <c r="AG1163" s="183">
        <v>1</v>
      </c>
      <c r="AH1163" s="183">
        <v>8</v>
      </c>
      <c r="AI1163" s="183">
        <v>0</v>
      </c>
      <c r="AJ1163" s="181">
        <f>VLOOKUP($I1163,'Price List, Weapons &amp; Items'!B:F,5,0)</f>
        <v>1</v>
      </c>
      <c r="AK1163" s="181">
        <f t="shared" si="266"/>
        <v>0</v>
      </c>
      <c r="AL1163" s="181">
        <f t="shared" si="267"/>
        <v>0</v>
      </c>
      <c r="AM1163" s="181">
        <f t="shared" si="268"/>
        <v>0</v>
      </c>
      <c r="AN1163" s="180" t="str">
        <f>VLOOKUP($I1163,'Price List, Weapons &amp; Items'!B:L,COLUMN('Price List, Weapons &amp; Items'!$J$11)-1,0)</f>
        <v>Government information</v>
      </c>
      <c r="AO1163" s="180" t="str">
        <f>IF(I1163=".",".",VLOOKUP($I1163,'Price List, Weapons &amp; Items'!B:J,3,0))</f>
        <v>155mm howitzer ammunition</v>
      </c>
      <c r="AP1163" s="545" t="str">
        <f t="shared" ca="1" si="264"/>
        <v/>
      </c>
      <c r="AQ1163" s="180">
        <f>VLOOKUP($I1163,'Price List, Weapons &amp; Items'!B:L,COLUMN('Price List, Weapons &amp; Items'!$L$11)-1,0)</f>
        <v>2</v>
      </c>
      <c r="AR1163" s="180">
        <f t="shared" si="269"/>
        <v>1</v>
      </c>
      <c r="AS1163" s="180">
        <f t="shared" si="270"/>
        <v>1</v>
      </c>
      <c r="AT1163" s="180">
        <f t="shared" si="271"/>
        <v>1</v>
      </c>
      <c r="AU1163" s="180" t="str">
        <f t="shared" si="272"/>
        <v>.</v>
      </c>
      <c r="AV1163" s="180" t="str">
        <f t="shared" si="273"/>
        <v>.</v>
      </c>
      <c r="AW1163" s="180">
        <f>IFERROR(VLOOKUP(B1163,'Share, Heavy Weapons to Ukraine'!B:J,COLUMN('Share, Heavy Weapons to Ukraine'!C1173)-1,0),0)</f>
        <v>1</v>
      </c>
      <c r="AX1163" s="180">
        <f>VLOOKUP('Bilateral Assistance, MAIN DATA'!B1163,'Country Summary'!B:F,COLUMN('Country Summary'!C1176)-1,FALSE)</f>
        <v>0</v>
      </c>
      <c r="AY1163" s="180" t="str">
        <f>IF(AND(AD1163=1,D1163="Military",H1163&lt;&gt;"Not given")=TRUE,IF(SUMIFS(P:P,A:A,A1163)&gt;0,ABS((SUMIFS(P:P,A:A,A1163)/VLOOKUP("USD",'Exchange Rates'!B:C,2,0)))/S1163,"."),".")</f>
        <v>.</v>
      </c>
      <c r="AZ1163" s="182" t="str">
        <f>IF(AND(AD1163=1,D1163="Military",H1163&lt;&gt;"Not given")=TRUE,IF(SUMIFS(P:P,A:A,A1163)&gt;0,IF((ABS((SUMIFS(P:P,A:A,A1163)/VLOOKUP("USD",'Exchange Rates'!B:C,2,0)))/S1163)&gt;1,(SUMIFS(P:P,A:A,A1163)-S1163)/S1163,(S1163-SUMIFS(P:P,A:A,A1163))/SUMIFS(P:P,A:A,A1163)),"."),".")</f>
        <v>.</v>
      </c>
      <c r="BA1163" s="182"/>
      <c r="BB1163" s="182"/>
      <c r="BC1163" s="182"/>
      <c r="BD1163" s="182"/>
      <c r="BE1163" s="182"/>
      <c r="BF1163" s="182"/>
      <c r="BG1163" s="182"/>
      <c r="BH1163" s="182"/>
      <c r="BI1163" s="182"/>
      <c r="BJ1163" s="182"/>
      <c r="BK1163" s="182"/>
      <c r="BL1163" s="182"/>
      <c r="BM1163" s="182"/>
      <c r="BN1163" s="182"/>
      <c r="BO1163" s="182"/>
      <c r="BP1163" s="182"/>
      <c r="BQ1163" s="182"/>
      <c r="BR1163" s="182"/>
      <c r="BS1163" s="182"/>
    </row>
    <row r="1164" spans="1:71" ht="15.9" customHeight="1" x14ac:dyDescent="0.3">
      <c r="A1164" s="5" t="s">
        <v>3065</v>
      </c>
      <c r="B1164" s="19" t="s">
        <v>3038</v>
      </c>
      <c r="C1164" s="555">
        <v>44781</v>
      </c>
      <c r="D1164" s="19" t="s">
        <v>285</v>
      </c>
      <c r="E1164" s="5" t="s">
        <v>1328</v>
      </c>
      <c r="F1164" s="175" t="s">
        <v>3214</v>
      </c>
      <c r="G1164" s="15" t="s">
        <v>346</v>
      </c>
      <c r="H1164" s="200">
        <v>1000000000</v>
      </c>
      <c r="I1164" s="19" t="s">
        <v>3218</v>
      </c>
      <c r="J1164" s="113" t="str">
        <f>VLOOKUP($I1164,'Price List, Weapons &amp; Items'!B:C,2,0)</f>
        <v>Heavy weapon</v>
      </c>
      <c r="K1164" s="113" t="str">
        <f>IF(I1164=".",I1164,VLOOKUP($I1164,'Price List, Weapons &amp; Items'!B:D,3,0))</f>
        <v>Mortar</v>
      </c>
      <c r="L1164" s="177">
        <f>VLOOKUP(I1164,'Price List, Weapons &amp; Items'!B:E,4,0)</f>
        <v>0</v>
      </c>
      <c r="M1164" s="247">
        <v>20</v>
      </c>
      <c r="N1164" s="542">
        <v>20</v>
      </c>
      <c r="O1164" s="543">
        <f>VLOOKUP($I1164,'Price List, Weapons &amp; Items'!B:G,6,0)</f>
        <v>388500</v>
      </c>
      <c r="P1164" s="176">
        <f t="shared" si="262"/>
        <v>7770000</v>
      </c>
      <c r="Q1164" s="176">
        <f t="shared" si="263"/>
        <v>7770000</v>
      </c>
      <c r="R1164" s="176" t="str">
        <f t="shared" si="265"/>
        <v/>
      </c>
      <c r="S1164" s="176" t="str">
        <f>IF(AND(AD1164=1,R1164&lt;&gt;".")=TRUE,R1164/VLOOKUP(G1164,'Exchange Rates'!B:C,2,0),IF(R1164=".",".",""))</f>
        <v/>
      </c>
      <c r="T1164" s="176" t="str">
        <f>IF(AD1164=1,IF(AF1164="Value is not given at all",".",IF(AF1164="Value is given by the source",S1164,IF(AF1164="Value is calculated with prices",(IF(SUMIFS(Q:Q,A:A,A1164)&gt;0,SUMIFS(Q:Q,A:A,A1164),"."))/VLOOKUP("USD",'Exchange Rates'!B:C,2,0),"Error with coding"))),"")</f>
        <v/>
      </c>
      <c r="U1164" s="15" t="s">
        <v>261</v>
      </c>
      <c r="V1164" s="304" t="s">
        <v>3215</v>
      </c>
      <c r="W1164" s="667" t="s">
        <v>3044</v>
      </c>
      <c r="X1164" s="667" t="s">
        <v>3047</v>
      </c>
      <c r="Y1164" s="667" t="s">
        <v>3217</v>
      </c>
      <c r="Z1164" s="199">
        <v>0</v>
      </c>
      <c r="AA1164" s="180">
        <v>0</v>
      </c>
      <c r="AB1164" s="667" t="s">
        <v>3219</v>
      </c>
      <c r="AC1164" s="544" t="str">
        <f>""</f>
        <v/>
      </c>
      <c r="AD1164" s="183">
        <v>0</v>
      </c>
      <c r="AE1164" s="586" t="s">
        <v>264</v>
      </c>
      <c r="AF1164" s="181" t="s">
        <v>264</v>
      </c>
      <c r="AG1164" s="183">
        <v>1</v>
      </c>
      <c r="AH1164" s="183">
        <v>8</v>
      </c>
      <c r="AI1164" s="183">
        <v>0</v>
      </c>
      <c r="AJ1164" s="181">
        <f>VLOOKUP($I1164,'Price List, Weapons &amp; Items'!B:F,5,0)</f>
        <v>0</v>
      </c>
      <c r="AK1164" s="181">
        <f t="shared" si="266"/>
        <v>0</v>
      </c>
      <c r="AL1164" s="181">
        <f t="shared" si="267"/>
        <v>0</v>
      </c>
      <c r="AM1164" s="181">
        <f t="shared" si="268"/>
        <v>0</v>
      </c>
      <c r="AN1164" s="180" t="str">
        <f>VLOOKUP($I1164,'Price List, Weapons &amp; Items'!B:L,COLUMN('Price List, Weapons &amp; Items'!$J$11)-1,0)</f>
        <v>Military media (incl. websites)</v>
      </c>
      <c r="AO1164" s="180" t="str">
        <f>IF(I1164=".",".",VLOOKUP($I1164,'Price List, Weapons &amp; Items'!B:J,3,0))</f>
        <v>Mortar</v>
      </c>
      <c r="AP1164" s="545" t="str">
        <f t="shared" ca="1" si="264"/>
        <v/>
      </c>
      <c r="AQ1164" s="180">
        <f>VLOOKUP($I1164,'Price List, Weapons &amp; Items'!B:L,COLUMN('Price List, Weapons &amp; Items'!$L$11)-1,0)</f>
        <v>2</v>
      </c>
      <c r="AR1164" s="180">
        <f t="shared" si="269"/>
        <v>1</v>
      </c>
      <c r="AS1164" s="180">
        <f t="shared" si="270"/>
        <v>1</v>
      </c>
      <c r="AT1164" s="180">
        <f t="shared" si="271"/>
        <v>1</v>
      </c>
      <c r="AU1164" s="180" t="str">
        <f t="shared" si="272"/>
        <v>.</v>
      </c>
      <c r="AV1164" s="180" t="str">
        <f t="shared" si="273"/>
        <v>.</v>
      </c>
      <c r="AW1164" s="180">
        <f>IFERROR(VLOOKUP(B1164,'Share, Heavy Weapons to Ukraine'!B:J,COLUMN('Share, Heavy Weapons to Ukraine'!C1174)-1,0),0)</f>
        <v>1</v>
      </c>
      <c r="AX1164" s="180">
        <f>VLOOKUP('Bilateral Assistance, MAIN DATA'!B1164,'Country Summary'!B:F,COLUMN('Country Summary'!C1177)-1,FALSE)</f>
        <v>0</v>
      </c>
      <c r="AY1164" s="180" t="str">
        <f>IF(AND(AD1164=1,D1164="Military",H1164&lt;&gt;"Not given")=TRUE,IF(SUMIFS(P:P,A:A,A1164)&gt;0,ABS((SUMIFS(P:P,A:A,A1164)/VLOOKUP("USD",'Exchange Rates'!B:C,2,0)))/S1164,"."),".")</f>
        <v>.</v>
      </c>
      <c r="AZ1164" s="182" t="str">
        <f>IF(AND(AD1164=1,D1164="Military",H1164&lt;&gt;"Not given")=TRUE,IF(SUMIFS(P:P,A:A,A1164)&gt;0,IF((ABS((SUMIFS(P:P,A:A,A1164)/VLOOKUP("USD",'Exchange Rates'!B:C,2,0)))/S1164)&gt;1,(SUMIFS(P:P,A:A,A1164)-S1164)/S1164,(S1164-SUMIFS(P:P,A:A,A1164))/SUMIFS(P:P,A:A,A1164)),"."),".")</f>
        <v>.</v>
      </c>
      <c r="BA1164" s="182"/>
      <c r="BB1164" s="182"/>
      <c r="BC1164" s="182"/>
      <c r="BD1164" s="182"/>
      <c r="BE1164" s="182"/>
      <c r="BF1164" s="182"/>
      <c r="BG1164" s="182"/>
      <c r="BH1164" s="182"/>
      <c r="BI1164" s="182"/>
      <c r="BJ1164" s="182"/>
      <c r="BK1164" s="182"/>
      <c r="BL1164" s="182"/>
      <c r="BM1164" s="182"/>
      <c r="BN1164" s="182"/>
      <c r="BO1164" s="182"/>
      <c r="BP1164" s="182"/>
      <c r="BQ1164" s="182"/>
      <c r="BR1164" s="182"/>
      <c r="BS1164" s="182"/>
    </row>
    <row r="1165" spans="1:71" ht="15.9" customHeight="1" x14ac:dyDescent="0.3">
      <c r="A1165" s="5" t="s">
        <v>3065</v>
      </c>
      <c r="B1165" s="19" t="s">
        <v>3038</v>
      </c>
      <c r="C1165" s="555">
        <v>44781</v>
      </c>
      <c r="D1165" s="19" t="s">
        <v>285</v>
      </c>
      <c r="E1165" s="5" t="s">
        <v>1328</v>
      </c>
      <c r="F1165" s="175" t="s">
        <v>3214</v>
      </c>
      <c r="G1165" s="15" t="s">
        <v>346</v>
      </c>
      <c r="H1165" s="200">
        <v>1000000000</v>
      </c>
      <c r="I1165" s="19" t="s">
        <v>3220</v>
      </c>
      <c r="J1165" s="113" t="str">
        <f>VLOOKUP($I1165,'Price List, Weapons &amp; Items'!B:C,2,0)</f>
        <v>Ammunition for light infantry</v>
      </c>
      <c r="K1165" s="113" t="str">
        <f>IF(I1165=".",I1165,VLOOKUP($I1165,'Price List, Weapons &amp; Items'!B:D,3,0))</f>
        <v>Mortar ammunition</v>
      </c>
      <c r="L1165" s="177">
        <f>VLOOKUP(I1165,'Price List, Weapons &amp; Items'!B:E,4,0)</f>
        <v>0</v>
      </c>
      <c r="M1165" s="247">
        <v>20000</v>
      </c>
      <c r="N1165" s="542">
        <v>20000</v>
      </c>
      <c r="O1165" s="543">
        <f>VLOOKUP($I1165,'Price List, Weapons &amp; Items'!B:G,6,0)</f>
        <v>109.89</v>
      </c>
      <c r="P1165" s="176">
        <f t="shared" si="262"/>
        <v>2197800</v>
      </c>
      <c r="Q1165" s="176">
        <f t="shared" si="263"/>
        <v>2197800</v>
      </c>
      <c r="R1165" s="176" t="str">
        <f t="shared" si="265"/>
        <v/>
      </c>
      <c r="S1165" s="176" t="str">
        <f>IF(AND(AD1165=1,R1165&lt;&gt;".")=TRUE,R1165/VLOOKUP(G1165,'Exchange Rates'!B:C,2,0),IF(R1165=".",".",""))</f>
        <v/>
      </c>
      <c r="T1165" s="176" t="str">
        <f>IF(AD1165=1,IF(AF1165="Value is not given at all",".",IF(AF1165="Value is given by the source",S1165,IF(AF1165="Value is calculated with prices",(IF(SUMIFS(Q:Q,A:A,A1165)&gt;0,SUMIFS(Q:Q,A:A,A1165),"."))/VLOOKUP("USD",'Exchange Rates'!B:C,2,0),"Error with coding"))),"")</f>
        <v/>
      </c>
      <c r="U1165" s="15" t="s">
        <v>261</v>
      </c>
      <c r="V1165" s="304" t="s">
        <v>3215</v>
      </c>
      <c r="W1165" s="667" t="s">
        <v>3044</v>
      </c>
      <c r="X1165" s="667" t="s">
        <v>3047</v>
      </c>
      <c r="Y1165" s="667" t="s">
        <v>3219</v>
      </c>
      <c r="Z1165" s="199">
        <v>0</v>
      </c>
      <c r="AA1165" s="180">
        <v>0</v>
      </c>
      <c r="AB1165" s="667" t="s">
        <v>3221</v>
      </c>
      <c r="AC1165" s="544" t="str">
        <f>""</f>
        <v/>
      </c>
      <c r="AD1165" s="183">
        <v>0</v>
      </c>
      <c r="AE1165" s="586" t="s">
        <v>264</v>
      </c>
      <c r="AF1165" s="181" t="s">
        <v>264</v>
      </c>
      <c r="AG1165" s="183">
        <v>1</v>
      </c>
      <c r="AH1165" s="183">
        <v>8</v>
      </c>
      <c r="AI1165" s="183">
        <v>0</v>
      </c>
      <c r="AJ1165" s="181">
        <f>VLOOKUP($I1165,'Price List, Weapons &amp; Items'!B:F,5,0)</f>
        <v>0</v>
      </c>
      <c r="AK1165" s="181">
        <f t="shared" si="266"/>
        <v>0</v>
      </c>
      <c r="AL1165" s="181">
        <f t="shared" si="267"/>
        <v>0</v>
      </c>
      <c r="AM1165" s="181">
        <f t="shared" si="268"/>
        <v>1</v>
      </c>
      <c r="AN1165" s="180" t="str">
        <f>VLOOKUP($I1165,'Price List, Weapons &amp; Items'!B:L,COLUMN('Price List, Weapons &amp; Items'!$J$11)-1,0)</f>
        <v>Government information</v>
      </c>
      <c r="AO1165" s="180" t="str">
        <f>IF(I1165=".",".",VLOOKUP($I1165,'Price List, Weapons &amp; Items'!B:J,3,0))</f>
        <v>Mortar ammunition</v>
      </c>
      <c r="AP1165" s="545" t="str">
        <f t="shared" ca="1" si="264"/>
        <v/>
      </c>
      <c r="AQ1165" s="180">
        <f>VLOOKUP($I1165,'Price List, Weapons &amp; Items'!B:L,COLUMN('Price List, Weapons &amp; Items'!$L$11)-1,0)</f>
        <v>2</v>
      </c>
      <c r="AR1165" s="180">
        <f t="shared" si="269"/>
        <v>1</v>
      </c>
      <c r="AS1165" s="180">
        <f t="shared" si="270"/>
        <v>1</v>
      </c>
      <c r="AT1165" s="180">
        <f t="shared" si="271"/>
        <v>1</v>
      </c>
      <c r="AU1165" s="180" t="str">
        <f t="shared" si="272"/>
        <v>.</v>
      </c>
      <c r="AV1165" s="180" t="str">
        <f t="shared" si="273"/>
        <v>.</v>
      </c>
      <c r="AW1165" s="180">
        <f>IFERROR(VLOOKUP(B1165,'Share, Heavy Weapons to Ukraine'!B:J,COLUMN('Share, Heavy Weapons to Ukraine'!C1175)-1,0),0)</f>
        <v>1</v>
      </c>
      <c r="AX1165" s="180">
        <f>VLOOKUP('Bilateral Assistance, MAIN DATA'!B1165,'Country Summary'!B:F,COLUMN('Country Summary'!C1178)-1,FALSE)</f>
        <v>0</v>
      </c>
      <c r="AY1165" s="180" t="str">
        <f>IF(AND(AD1165=1,D1165="Military",H1165&lt;&gt;"Not given")=TRUE,IF(SUMIFS(P:P,A:A,A1165)&gt;0,ABS((SUMIFS(P:P,A:A,A1165)/VLOOKUP("USD",'Exchange Rates'!B:C,2,0)))/S1165,"."),".")</f>
        <v>.</v>
      </c>
      <c r="AZ1165" s="182" t="str">
        <f>IF(AND(AD1165=1,D1165="Military",H1165&lt;&gt;"Not given")=TRUE,IF(SUMIFS(P:P,A:A,A1165)&gt;0,IF((ABS((SUMIFS(P:P,A:A,A1165)/VLOOKUP("USD",'Exchange Rates'!B:C,2,0)))/S1165)&gt;1,(SUMIFS(P:P,A:A,A1165)-S1165)/S1165,(S1165-SUMIFS(P:P,A:A,A1165))/SUMIFS(P:P,A:A,A1165)),"."),".")</f>
        <v>.</v>
      </c>
      <c r="BA1165" s="182"/>
      <c r="BB1165" s="182"/>
      <c r="BC1165" s="182"/>
      <c r="BD1165" s="182"/>
      <c r="BE1165" s="182"/>
      <c r="BF1165" s="182"/>
      <c r="BG1165" s="182"/>
      <c r="BH1165" s="182"/>
      <c r="BI1165" s="182"/>
      <c r="BJ1165" s="182"/>
      <c r="BK1165" s="182"/>
      <c r="BL1165" s="182"/>
      <c r="BM1165" s="182"/>
      <c r="BN1165" s="182"/>
      <c r="BO1165" s="182"/>
      <c r="BP1165" s="182"/>
      <c r="BQ1165" s="182"/>
      <c r="BR1165" s="182"/>
      <c r="BS1165" s="182"/>
    </row>
    <row r="1166" spans="1:71" ht="15.9" customHeight="1" x14ac:dyDescent="0.3">
      <c r="A1166" s="5" t="s">
        <v>3065</v>
      </c>
      <c r="B1166" s="19" t="s">
        <v>3038</v>
      </c>
      <c r="C1166" s="555">
        <v>44781</v>
      </c>
      <c r="D1166" s="19" t="s">
        <v>285</v>
      </c>
      <c r="E1166" s="5" t="s">
        <v>1328</v>
      </c>
      <c r="F1166" s="175" t="s">
        <v>3214</v>
      </c>
      <c r="G1166" s="15" t="s">
        <v>346</v>
      </c>
      <c r="H1166" s="200">
        <v>1000000000</v>
      </c>
      <c r="I1166" s="19" t="s">
        <v>652</v>
      </c>
      <c r="J1166" s="113" t="str">
        <f>VLOOKUP($I1166,'Price List, Weapons &amp; Items'!B:C,2,0)</f>
        <v>Ammunition for Heavy Weapon</v>
      </c>
      <c r="K1166" s="113" t="str">
        <f>IF(I1166=".",I1166,VLOOKUP($I1166,'Price List, Weapons &amp; Items'!B:D,3,0))</f>
        <v>missile</v>
      </c>
      <c r="L1166" s="177">
        <f>VLOOKUP(I1166,'Price List, Weapons &amp; Items'!B:E,4,0)</f>
        <v>0</v>
      </c>
      <c r="M1166" s="247" t="s">
        <v>270</v>
      </c>
      <c r="N1166" s="542" t="s">
        <v>270</v>
      </c>
      <c r="O1166" s="543">
        <f>VLOOKUP($I1166,'Price List, Weapons &amp; Items'!B:G,6,0)</f>
        <v>1090000</v>
      </c>
      <c r="P1166" s="176" t="str">
        <f t="shared" si="262"/>
        <v>.</v>
      </c>
      <c r="Q1166" s="176" t="str">
        <f t="shared" si="263"/>
        <v>.</v>
      </c>
      <c r="R1166" s="176" t="str">
        <f t="shared" si="265"/>
        <v/>
      </c>
      <c r="S1166" s="176" t="str">
        <f>IF(AND(AD1166=1,R1166&lt;&gt;".")=TRUE,R1166/VLOOKUP(G1166,'Exchange Rates'!B:C,2,0),IF(R1166=".",".",""))</f>
        <v/>
      </c>
      <c r="T1166" s="176" t="str">
        <f>IF(AD1166=1,IF(AF1166="Value is not given at all",".",IF(AF1166="Value is given by the source",S1166,IF(AF1166="Value is calculated with prices",(IF(SUMIFS(Q:Q,A:A,A1166)&gt;0,SUMIFS(Q:Q,A:A,A1166),"."))/VLOOKUP("USD",'Exchange Rates'!B:C,2,0),"Error with coding"))),"")</f>
        <v/>
      </c>
      <c r="U1166" s="15" t="s">
        <v>261</v>
      </c>
      <c r="V1166" s="304" t="s">
        <v>3215</v>
      </c>
      <c r="W1166" s="667" t="s">
        <v>3044</v>
      </c>
      <c r="X1166" s="667" t="s">
        <v>3047</v>
      </c>
      <c r="Y1166" s="667" t="s">
        <v>3221</v>
      </c>
      <c r="Z1166" s="199">
        <v>0</v>
      </c>
      <c r="AA1166" s="180">
        <v>0</v>
      </c>
      <c r="AB1166" s="667" t="s">
        <v>3222</v>
      </c>
      <c r="AC1166" s="544" t="str">
        <f>""</f>
        <v/>
      </c>
      <c r="AD1166" s="183">
        <v>0</v>
      </c>
      <c r="AE1166" s="586" t="s">
        <v>264</v>
      </c>
      <c r="AF1166" s="181" t="s">
        <v>264</v>
      </c>
      <c r="AG1166" s="183">
        <v>1</v>
      </c>
      <c r="AH1166" s="183">
        <v>8</v>
      </c>
      <c r="AI1166" s="183">
        <v>0</v>
      </c>
      <c r="AJ1166" s="181">
        <f>VLOOKUP($I1166,'Price List, Weapons &amp; Items'!B:F,5,0)</f>
        <v>0</v>
      </c>
      <c r="AK1166" s="181">
        <f t="shared" si="266"/>
        <v>0</v>
      </c>
      <c r="AL1166" s="181">
        <f t="shared" si="267"/>
        <v>0</v>
      </c>
      <c r="AM1166" s="181">
        <f t="shared" si="268"/>
        <v>0</v>
      </c>
      <c r="AN1166" s="180" t="str">
        <f>VLOOKUP($I1166,'Price List, Weapons &amp; Items'!B:L,COLUMN('Price List, Weapons &amp; Items'!$J$11)-1,0)</f>
        <v>Miscellaneous</v>
      </c>
      <c r="AO1166" s="180" t="str">
        <f>IF(I1166=".",".",VLOOKUP($I1166,'Price List, Weapons &amp; Items'!B:J,3,0))</f>
        <v>missile</v>
      </c>
      <c r="AP1166" s="545" t="str">
        <f t="shared" ca="1" si="264"/>
        <v/>
      </c>
      <c r="AQ1166" s="180" t="str">
        <f>VLOOKUP($I1166,'Price List, Weapons &amp; Items'!B:L,COLUMN('Price List, Weapons &amp; Items'!$L$11)-1,0)</f>
        <v>no price, 0 count</v>
      </c>
      <c r="AR1166" s="180">
        <f t="shared" si="269"/>
        <v>1</v>
      </c>
      <c r="AS1166" s="180">
        <f t="shared" si="270"/>
        <v>1</v>
      </c>
      <c r="AT1166" s="180">
        <f t="shared" si="271"/>
        <v>1</v>
      </c>
      <c r="AU1166" s="180" t="str">
        <f t="shared" si="272"/>
        <v>.</v>
      </c>
      <c r="AV1166" s="180" t="str">
        <f t="shared" si="273"/>
        <v>.</v>
      </c>
      <c r="AW1166" s="180">
        <f>IFERROR(VLOOKUP(B1166,'Share, Heavy Weapons to Ukraine'!B:J,COLUMN('Share, Heavy Weapons to Ukraine'!C1176)-1,0),0)</f>
        <v>1</v>
      </c>
      <c r="AX1166" s="180">
        <f>VLOOKUP('Bilateral Assistance, MAIN DATA'!B1166,'Country Summary'!B:F,COLUMN('Country Summary'!C1179)-1,FALSE)</f>
        <v>0</v>
      </c>
      <c r="AY1166" s="180" t="str">
        <f>IF(AND(AD1166=1,D1166="Military",H1166&lt;&gt;"Not given")=TRUE,IF(SUMIFS(P:P,A:A,A1166)&gt;0,ABS((SUMIFS(P:P,A:A,A1166)/VLOOKUP("USD",'Exchange Rates'!B:C,2,0)))/S1166,"."),".")</f>
        <v>.</v>
      </c>
      <c r="AZ1166" s="182" t="str">
        <f>IF(AND(AD1166=1,D1166="Military",H1166&lt;&gt;"Not given")=TRUE,IF(SUMIFS(P:P,A:A,A1166)&gt;0,IF((ABS((SUMIFS(P:P,A:A,A1166)/VLOOKUP("USD",'Exchange Rates'!B:C,2,0)))/S1166)&gt;1,(SUMIFS(P:P,A:A,A1166)-S1166)/S1166,(S1166-SUMIFS(P:P,A:A,A1166))/SUMIFS(P:P,A:A,A1166)),"."),".")</f>
        <v>.</v>
      </c>
      <c r="BA1166" s="182"/>
      <c r="BB1166" s="182"/>
      <c r="BC1166" s="182"/>
      <c r="BD1166" s="182"/>
      <c r="BE1166" s="182"/>
      <c r="BF1166" s="182"/>
      <c r="BG1166" s="182"/>
      <c r="BH1166" s="182"/>
      <c r="BI1166" s="182"/>
      <c r="BJ1166" s="182"/>
      <c r="BK1166" s="182"/>
      <c r="BL1166" s="182"/>
      <c r="BM1166" s="182"/>
      <c r="BN1166" s="182"/>
      <c r="BO1166" s="182"/>
      <c r="BP1166" s="182"/>
      <c r="BQ1166" s="182"/>
      <c r="BR1166" s="182"/>
      <c r="BS1166" s="182"/>
    </row>
    <row r="1167" spans="1:71" ht="15.9" customHeight="1" x14ac:dyDescent="0.3">
      <c r="A1167" s="5" t="s">
        <v>3065</v>
      </c>
      <c r="B1167" s="19" t="s">
        <v>3038</v>
      </c>
      <c r="C1167" s="555">
        <v>44781</v>
      </c>
      <c r="D1167" s="19" t="s">
        <v>285</v>
      </c>
      <c r="E1167" s="5" t="s">
        <v>1328</v>
      </c>
      <c r="F1167" s="175" t="s">
        <v>3214</v>
      </c>
      <c r="G1167" s="15" t="s">
        <v>346</v>
      </c>
      <c r="H1167" s="200">
        <v>1000000000</v>
      </c>
      <c r="I1167" s="19" t="s">
        <v>3076</v>
      </c>
      <c r="J1167" s="113" t="str">
        <f>VLOOKUP($I1167,'Price List, Weapons &amp; Items'!B:C,2,0)</f>
        <v>Portable defence system</v>
      </c>
      <c r="K1167" s="113" t="str">
        <f>IF(I1167=".",I1167,VLOOKUP($I1167,'Price List, Weapons &amp; Items'!B:D,3,0))</f>
        <v>Light Anti-armor Weapon (LAW)</v>
      </c>
      <c r="L1167" s="177">
        <f>VLOOKUP(I1167,'Price List, Weapons &amp; Items'!B:E,4,0)</f>
        <v>0</v>
      </c>
      <c r="M1167" s="247">
        <v>1000</v>
      </c>
      <c r="N1167" s="542">
        <v>1000</v>
      </c>
      <c r="O1167" s="543">
        <f>VLOOKUP($I1167,'Price List, Weapons &amp; Items'!B:G,6,0)</f>
        <v>256000</v>
      </c>
      <c r="P1167" s="176">
        <f t="shared" si="262"/>
        <v>256000000</v>
      </c>
      <c r="Q1167" s="176">
        <f t="shared" si="263"/>
        <v>256000000</v>
      </c>
      <c r="R1167" s="176" t="str">
        <f t="shared" si="265"/>
        <v/>
      </c>
      <c r="S1167" s="176" t="str">
        <f>IF(AND(AD1167=1,R1167&lt;&gt;".")=TRUE,R1167/VLOOKUP(G1167,'Exchange Rates'!B:C,2,0),IF(R1167=".",".",""))</f>
        <v/>
      </c>
      <c r="T1167" s="176" t="str">
        <f>IF(AD1167=1,IF(AF1167="Value is not given at all",".",IF(AF1167="Value is given by the source",S1167,IF(AF1167="Value is calculated with prices",(IF(SUMIFS(Q:Q,A:A,A1167)&gt;0,SUMIFS(Q:Q,A:A,A1167),"."))/VLOOKUP("USD",'Exchange Rates'!B:C,2,0),"Error with coding"))),"")</f>
        <v/>
      </c>
      <c r="U1167" s="15" t="s">
        <v>261</v>
      </c>
      <c r="V1167" s="304" t="s">
        <v>3215</v>
      </c>
      <c r="W1167" s="667" t="s">
        <v>3044</v>
      </c>
      <c r="X1167" s="667" t="s">
        <v>3047</v>
      </c>
      <c r="Y1167" s="667" t="s">
        <v>3222</v>
      </c>
      <c r="Z1167" s="199">
        <v>0</v>
      </c>
      <c r="AA1167" s="180">
        <v>0</v>
      </c>
      <c r="AB1167" s="667" t="s">
        <v>3223</v>
      </c>
      <c r="AC1167" s="544" t="str">
        <f>""</f>
        <v/>
      </c>
      <c r="AD1167" s="183">
        <v>0</v>
      </c>
      <c r="AE1167" s="586" t="s">
        <v>264</v>
      </c>
      <c r="AF1167" s="181" t="s">
        <v>264</v>
      </c>
      <c r="AG1167" s="183">
        <v>1</v>
      </c>
      <c r="AH1167" s="183">
        <v>8</v>
      </c>
      <c r="AI1167" s="183">
        <v>0</v>
      </c>
      <c r="AJ1167" s="181">
        <f>VLOOKUP($I1167,'Price List, Weapons &amp; Items'!B:F,5,0)</f>
        <v>0</v>
      </c>
      <c r="AK1167" s="181">
        <f t="shared" si="266"/>
        <v>0</v>
      </c>
      <c r="AL1167" s="181">
        <f t="shared" si="267"/>
        <v>0</v>
      </c>
      <c r="AM1167" s="181">
        <f t="shared" si="268"/>
        <v>0</v>
      </c>
      <c r="AN1167" s="180" t="str">
        <f>VLOOKUP($I1167,'Price List, Weapons &amp; Items'!B:L,COLUMN('Price List, Weapons &amp; Items'!$J$11)-1,0)</f>
        <v>Government information</v>
      </c>
      <c r="AO1167" s="180" t="str">
        <f>IF(I1167=".",".",VLOOKUP($I1167,'Price List, Weapons &amp; Items'!B:J,3,0))</f>
        <v>Light Anti-armor Weapon (LAW)</v>
      </c>
      <c r="AP1167" s="545" t="str">
        <f t="shared" ca="1" si="264"/>
        <v/>
      </c>
      <c r="AQ1167" s="180">
        <f>VLOOKUP($I1167,'Price List, Weapons &amp; Items'!B:L,COLUMN('Price List, Weapons &amp; Items'!$L$11)-1,0)</f>
        <v>2</v>
      </c>
      <c r="AR1167" s="180">
        <f t="shared" si="269"/>
        <v>1</v>
      </c>
      <c r="AS1167" s="180">
        <f t="shared" si="270"/>
        <v>1</v>
      </c>
      <c r="AT1167" s="180">
        <f t="shared" si="271"/>
        <v>1</v>
      </c>
      <c r="AU1167" s="180" t="str">
        <f t="shared" si="272"/>
        <v>.</v>
      </c>
      <c r="AV1167" s="180" t="str">
        <f t="shared" si="273"/>
        <v>.</v>
      </c>
      <c r="AW1167" s="180">
        <f>IFERROR(VLOOKUP(B1167,'Share, Heavy Weapons to Ukraine'!B:J,COLUMN('Share, Heavy Weapons to Ukraine'!C1177)-1,0),0)</f>
        <v>1</v>
      </c>
      <c r="AX1167" s="180">
        <f>VLOOKUP('Bilateral Assistance, MAIN DATA'!B1167,'Country Summary'!B:F,COLUMN('Country Summary'!C1180)-1,FALSE)</f>
        <v>0</v>
      </c>
      <c r="AY1167" s="180" t="str">
        <f>IF(AND(AD1167=1,D1167="Military",H1167&lt;&gt;"Not given")=TRUE,IF(SUMIFS(P:P,A:A,A1167)&gt;0,ABS((SUMIFS(P:P,A:A,A1167)/VLOOKUP("USD",'Exchange Rates'!B:C,2,0)))/S1167,"."),".")</f>
        <v>.</v>
      </c>
      <c r="AZ1167" s="182" t="str">
        <f>IF(AND(AD1167=1,D1167="Military",H1167&lt;&gt;"Not given")=TRUE,IF(SUMIFS(P:P,A:A,A1167)&gt;0,IF((ABS((SUMIFS(P:P,A:A,A1167)/VLOOKUP("USD",'Exchange Rates'!B:C,2,0)))/S1167)&gt;1,(SUMIFS(P:P,A:A,A1167)-S1167)/S1167,(S1167-SUMIFS(P:P,A:A,A1167))/SUMIFS(P:P,A:A,A1167)),"."),".")</f>
        <v>.</v>
      </c>
      <c r="BA1167" s="182"/>
      <c r="BB1167" s="182"/>
      <c r="BC1167" s="182"/>
      <c r="BD1167" s="182"/>
      <c r="BE1167" s="182"/>
      <c r="BF1167" s="182"/>
      <c r="BG1167" s="182"/>
      <c r="BH1167" s="182"/>
      <c r="BI1167" s="182"/>
      <c r="BJ1167" s="182"/>
      <c r="BK1167" s="182"/>
      <c r="BL1167" s="182"/>
      <c r="BM1167" s="182"/>
      <c r="BN1167" s="182"/>
      <c r="BO1167" s="182"/>
      <c r="BP1167" s="182"/>
      <c r="BQ1167" s="182"/>
      <c r="BR1167" s="182"/>
      <c r="BS1167" s="182"/>
    </row>
    <row r="1168" spans="1:71" ht="15.9" customHeight="1" x14ac:dyDescent="0.3">
      <c r="A1168" s="5" t="s">
        <v>3065</v>
      </c>
      <c r="B1168" s="19" t="s">
        <v>3038</v>
      </c>
      <c r="C1168" s="555">
        <v>44781</v>
      </c>
      <c r="D1168" s="19" t="s">
        <v>285</v>
      </c>
      <c r="E1168" s="5" t="s">
        <v>1328</v>
      </c>
      <c r="F1168" s="175" t="s">
        <v>3214</v>
      </c>
      <c r="G1168" s="15" t="s">
        <v>346</v>
      </c>
      <c r="H1168" s="200">
        <v>1000000000</v>
      </c>
      <c r="I1168" s="19" t="s">
        <v>2746</v>
      </c>
      <c r="J1168" s="113" t="str">
        <f>VLOOKUP($I1168,'Price List, Weapons &amp; Items'!B:C,2,0)</f>
        <v>Portable defence system</v>
      </c>
      <c r="K1168" s="113" t="str">
        <f>IF(I1168=".",I1168,VLOOKUP($I1168,'Price List, Weapons &amp; Items'!B:D,3,0))</f>
        <v>MANPADS</v>
      </c>
      <c r="L1168" s="177">
        <f>VLOOKUP(I1168,'Price List, Weapons &amp; Items'!B:E,4,0)</f>
        <v>0</v>
      </c>
      <c r="M1168" s="247">
        <v>4567</v>
      </c>
      <c r="N1168" s="542">
        <v>4567</v>
      </c>
      <c r="O1168" s="543">
        <f>VLOOKUP($I1168,'Price List, Weapons &amp; Items'!B:G,6,0)</f>
        <v>1480.64</v>
      </c>
      <c r="P1168" s="176">
        <f t="shared" si="262"/>
        <v>6762082.8800000008</v>
      </c>
      <c r="Q1168" s="176">
        <f t="shared" si="263"/>
        <v>6762082.8800000008</v>
      </c>
      <c r="R1168" s="176" t="str">
        <f t="shared" si="265"/>
        <v/>
      </c>
      <c r="S1168" s="176" t="str">
        <f>IF(AND(AD1168=1,R1168&lt;&gt;".")=TRUE,R1168/VLOOKUP(G1168,'Exchange Rates'!B:C,2,0),IF(R1168=".",".",""))</f>
        <v/>
      </c>
      <c r="T1168" s="176" t="str">
        <f>IF(AD1168=1,IF(AF1168="Value is not given at all",".",IF(AF1168="Value is given by the source",S1168,IF(AF1168="Value is calculated with prices",(IF(SUMIFS(Q:Q,A:A,A1168)&gt;0,SUMIFS(Q:Q,A:A,A1168),"."))/VLOOKUP("USD",'Exchange Rates'!B:C,2,0),"Error with coding"))),"")</f>
        <v/>
      </c>
      <c r="U1168" s="15" t="s">
        <v>261</v>
      </c>
      <c r="V1168" s="304" t="s">
        <v>3215</v>
      </c>
      <c r="W1168" s="667" t="s">
        <v>3044</v>
      </c>
      <c r="X1168" s="667" t="s">
        <v>3047</v>
      </c>
      <c r="Y1168" s="667" t="s">
        <v>3223</v>
      </c>
      <c r="Z1168" s="199">
        <v>0</v>
      </c>
      <c r="AA1168" s="180">
        <v>0</v>
      </c>
      <c r="AB1168" s="667" t="s">
        <v>3224</v>
      </c>
      <c r="AC1168" s="544" t="str">
        <f>""</f>
        <v/>
      </c>
      <c r="AD1168" s="183">
        <v>0</v>
      </c>
      <c r="AE1168" s="586" t="s">
        <v>264</v>
      </c>
      <c r="AF1168" s="181" t="s">
        <v>264</v>
      </c>
      <c r="AG1168" s="183">
        <v>1</v>
      </c>
      <c r="AH1168" s="183">
        <v>8</v>
      </c>
      <c r="AI1168" s="183">
        <v>0</v>
      </c>
      <c r="AJ1168" s="181">
        <f>VLOOKUP($I1168,'Price List, Weapons &amp; Items'!B:F,5,0)</f>
        <v>0</v>
      </c>
      <c r="AK1168" s="181">
        <f t="shared" si="266"/>
        <v>0</v>
      </c>
      <c r="AL1168" s="181">
        <f t="shared" si="267"/>
        <v>0</v>
      </c>
      <c r="AM1168" s="181">
        <f t="shared" si="268"/>
        <v>0</v>
      </c>
      <c r="AN1168" s="180" t="str">
        <f>VLOOKUP($I1168,'Price List, Weapons &amp; Items'!B:L,COLUMN('Price List, Weapons &amp; Items'!$J$11)-1,0)</f>
        <v>Military media (incl. websites)</v>
      </c>
      <c r="AO1168" s="180" t="str">
        <f>IF(I1168=".",".",VLOOKUP($I1168,'Price List, Weapons &amp; Items'!B:J,3,0))</f>
        <v>MANPADS</v>
      </c>
      <c r="AP1168" s="545" t="str">
        <f t="shared" ca="1" si="264"/>
        <v/>
      </c>
      <c r="AQ1168" s="180">
        <f>VLOOKUP($I1168,'Price List, Weapons &amp; Items'!B:L,COLUMN('Price List, Weapons &amp; Items'!$L$11)-1,0)</f>
        <v>2</v>
      </c>
      <c r="AR1168" s="180">
        <f t="shared" si="269"/>
        <v>1</v>
      </c>
      <c r="AS1168" s="180">
        <f t="shared" si="270"/>
        <v>1</v>
      </c>
      <c r="AT1168" s="180">
        <f t="shared" si="271"/>
        <v>1</v>
      </c>
      <c r="AU1168" s="180" t="str">
        <f t="shared" si="272"/>
        <v>.</v>
      </c>
      <c r="AV1168" s="180" t="str">
        <f t="shared" si="273"/>
        <v>.</v>
      </c>
      <c r="AW1168" s="180">
        <f>IFERROR(VLOOKUP(B1168,'Share, Heavy Weapons to Ukraine'!B:J,COLUMN('Share, Heavy Weapons to Ukraine'!C1178)-1,0),0)</f>
        <v>1</v>
      </c>
      <c r="AX1168" s="180">
        <f>VLOOKUP('Bilateral Assistance, MAIN DATA'!B1168,'Country Summary'!B:F,COLUMN('Country Summary'!C1181)-1,FALSE)</f>
        <v>0</v>
      </c>
      <c r="AY1168" s="180" t="str">
        <f>IF(AND(AD1168=1,D1168="Military",H1168&lt;&gt;"Not given")=TRUE,IF(SUMIFS(P:P,A:A,A1168)&gt;0,ABS((SUMIFS(P:P,A:A,A1168)/VLOOKUP("USD",'Exchange Rates'!B:C,2,0)))/S1168,"."),".")</f>
        <v>.</v>
      </c>
      <c r="AZ1168" s="182" t="str">
        <f>IF(AND(AD1168=1,D1168="Military",H1168&lt;&gt;"Not given")=TRUE,IF(SUMIFS(P:P,A:A,A1168)&gt;0,IF((ABS((SUMIFS(P:P,A:A,A1168)/VLOOKUP("USD",'Exchange Rates'!B:C,2,0)))/S1168)&gt;1,(SUMIFS(P:P,A:A,A1168)-S1168)/S1168,(S1168-SUMIFS(P:P,A:A,A1168))/SUMIFS(P:P,A:A,A1168)),"."),".")</f>
        <v>.</v>
      </c>
      <c r="BA1168" s="182"/>
      <c r="BB1168" s="182"/>
      <c r="BC1168" s="182"/>
      <c r="BD1168" s="182"/>
      <c r="BE1168" s="182"/>
      <c r="BF1168" s="182"/>
      <c r="BG1168" s="182"/>
      <c r="BH1168" s="182"/>
      <c r="BI1168" s="182"/>
      <c r="BJ1168" s="182"/>
      <c r="BK1168" s="182"/>
      <c r="BL1168" s="182"/>
      <c r="BM1168" s="182"/>
      <c r="BN1168" s="182"/>
      <c r="BO1168" s="182"/>
      <c r="BP1168" s="182"/>
      <c r="BQ1168" s="182"/>
      <c r="BR1168" s="182"/>
      <c r="BS1168" s="182"/>
    </row>
    <row r="1169" spans="1:71" ht="15.9" customHeight="1" x14ac:dyDescent="0.3">
      <c r="A1169" s="5" t="s">
        <v>3065</v>
      </c>
      <c r="B1169" s="19" t="s">
        <v>3038</v>
      </c>
      <c r="C1169" s="555">
        <v>44781</v>
      </c>
      <c r="D1169" s="19" t="s">
        <v>285</v>
      </c>
      <c r="E1169" s="5" t="s">
        <v>1328</v>
      </c>
      <c r="F1169" s="175" t="s">
        <v>3214</v>
      </c>
      <c r="G1169" s="15" t="s">
        <v>346</v>
      </c>
      <c r="H1169" s="200">
        <v>1000000000</v>
      </c>
      <c r="I1169" s="19" t="s">
        <v>3225</v>
      </c>
      <c r="J1169" s="113" t="str">
        <f>VLOOKUP($I1169,'Price List, Weapons &amp; Items'!B:C,2,0)</f>
        <v>Military equipment</v>
      </c>
      <c r="K1169" s="113" t="str">
        <f>IF(I1169=".",I1169,VLOOKUP($I1169,'Price List, Weapons &amp; Items'!B:D,3,0))</f>
        <v>non combat military vehicle</v>
      </c>
      <c r="L1169" s="177">
        <f>VLOOKUP(I1169,'Price List, Weapons &amp; Items'!B:E,4,0)</f>
        <v>0</v>
      </c>
      <c r="M1169" s="247">
        <v>50</v>
      </c>
      <c r="N1169" s="542">
        <v>50</v>
      </c>
      <c r="O1169" s="543">
        <f>VLOOKUP($I1169,'Price List, Weapons &amp; Items'!B:G,6,0)</f>
        <v>274051.65999999997</v>
      </c>
      <c r="P1169" s="176">
        <f t="shared" si="262"/>
        <v>13702582.999999998</v>
      </c>
      <c r="Q1169" s="176">
        <f t="shared" si="263"/>
        <v>13702582.999999998</v>
      </c>
      <c r="R1169" s="176" t="str">
        <f t="shared" si="265"/>
        <v/>
      </c>
      <c r="S1169" s="176" t="str">
        <f>IF(AND(AD1169=1,R1169&lt;&gt;".")=TRUE,R1169/VLOOKUP(G1169,'Exchange Rates'!B:C,2,0),IF(R1169=".",".",""))</f>
        <v/>
      </c>
      <c r="T1169" s="176" t="str">
        <f>IF(AD1169=1,IF(AF1169="Value is not given at all",".",IF(AF1169="Value is given by the source",S1169,IF(AF1169="Value is calculated with prices",(IF(SUMIFS(Q:Q,A:A,A1169)&gt;0,SUMIFS(Q:Q,A:A,A1169),"."))/VLOOKUP("USD",'Exchange Rates'!B:C,2,0),"Error with coding"))),"")</f>
        <v/>
      </c>
      <c r="U1169" s="15" t="s">
        <v>261</v>
      </c>
      <c r="V1169" s="304" t="s">
        <v>3215</v>
      </c>
      <c r="W1169" s="667" t="s">
        <v>3044</v>
      </c>
      <c r="X1169" s="667" t="s">
        <v>3047</v>
      </c>
      <c r="Y1169" s="667" t="s">
        <v>3224</v>
      </c>
      <c r="Z1169" s="199">
        <v>0</v>
      </c>
      <c r="AA1169" s="180">
        <v>0</v>
      </c>
      <c r="AB1169" s="667" t="s">
        <v>3226</v>
      </c>
      <c r="AC1169" s="544" t="str">
        <f>""</f>
        <v/>
      </c>
      <c r="AD1169" s="183">
        <v>0</v>
      </c>
      <c r="AE1169" s="586" t="s">
        <v>264</v>
      </c>
      <c r="AF1169" s="181" t="s">
        <v>264</v>
      </c>
      <c r="AG1169" s="183">
        <v>1</v>
      </c>
      <c r="AH1169" s="183">
        <v>8</v>
      </c>
      <c r="AI1169" s="183">
        <v>0</v>
      </c>
      <c r="AJ1169" s="181">
        <f>VLOOKUP($I1169,'Price List, Weapons &amp; Items'!B:F,5,0)</f>
        <v>0</v>
      </c>
      <c r="AK1169" s="181">
        <f t="shared" si="266"/>
        <v>0</v>
      </c>
      <c r="AL1169" s="181">
        <f t="shared" si="267"/>
        <v>0</v>
      </c>
      <c r="AM1169" s="181">
        <f t="shared" si="268"/>
        <v>0</v>
      </c>
      <c r="AN1169" s="180" t="str">
        <f>VLOOKUP($I1169,'Price List, Weapons &amp; Items'!B:L,COLUMN('Price List, Weapons &amp; Items'!$J$11)-1,0)</f>
        <v>Military media (incl. websites)</v>
      </c>
      <c r="AO1169" s="180" t="str">
        <f>IF(I1169=".",".",VLOOKUP($I1169,'Price List, Weapons &amp; Items'!B:J,3,0))</f>
        <v>non combat military vehicle</v>
      </c>
      <c r="AP1169" s="545" t="str">
        <f t="shared" ca="1" si="264"/>
        <v/>
      </c>
      <c r="AQ1169" s="180">
        <f>VLOOKUP($I1169,'Price List, Weapons &amp; Items'!B:L,COLUMN('Price List, Weapons &amp; Items'!$L$11)-1,0)</f>
        <v>2</v>
      </c>
      <c r="AR1169" s="180">
        <f t="shared" si="269"/>
        <v>1</v>
      </c>
      <c r="AS1169" s="180">
        <f t="shared" si="270"/>
        <v>1</v>
      </c>
      <c r="AT1169" s="180">
        <f t="shared" si="271"/>
        <v>1</v>
      </c>
      <c r="AU1169" s="180" t="str">
        <f t="shared" si="272"/>
        <v>.</v>
      </c>
      <c r="AV1169" s="180" t="str">
        <f t="shared" si="273"/>
        <v>.</v>
      </c>
      <c r="AW1169" s="180">
        <f>IFERROR(VLOOKUP(B1169,'Share, Heavy Weapons to Ukraine'!B:J,COLUMN('Share, Heavy Weapons to Ukraine'!C1179)-1,0),0)</f>
        <v>1</v>
      </c>
      <c r="AX1169" s="180">
        <f>VLOOKUP('Bilateral Assistance, MAIN DATA'!B1169,'Country Summary'!B:F,COLUMN('Country Summary'!C1182)-1,FALSE)</f>
        <v>0</v>
      </c>
      <c r="AY1169" s="180" t="str">
        <f>IF(AND(AD1169=1,D1169="Military",H1169&lt;&gt;"Not given")=TRUE,IF(SUMIFS(P:P,A:A,A1169)&gt;0,ABS((SUMIFS(P:P,A:A,A1169)/VLOOKUP("USD",'Exchange Rates'!B:C,2,0)))/S1169,"."),".")</f>
        <v>.</v>
      </c>
      <c r="AZ1169" s="182" t="str">
        <f>IF(AND(AD1169=1,D1169="Military",H1169&lt;&gt;"Not given")=TRUE,IF(SUMIFS(P:P,A:A,A1169)&gt;0,IF((ABS((SUMIFS(P:P,A:A,A1169)/VLOOKUP("USD",'Exchange Rates'!B:C,2,0)))/S1169)&gt;1,(SUMIFS(P:P,A:A,A1169)-S1169)/S1169,(S1169-SUMIFS(P:P,A:A,A1169))/SUMIFS(P:P,A:A,A1169)),"."),".")</f>
        <v>.</v>
      </c>
      <c r="BA1169" s="182"/>
      <c r="BB1169" s="182"/>
      <c r="BC1169" s="182"/>
      <c r="BD1169" s="182"/>
      <c r="BE1169" s="182"/>
      <c r="BF1169" s="182"/>
      <c r="BG1169" s="182"/>
      <c r="BH1169" s="182"/>
      <c r="BI1169" s="182"/>
      <c r="BJ1169" s="182"/>
      <c r="BK1169" s="182"/>
      <c r="BL1169" s="182"/>
      <c r="BM1169" s="182"/>
      <c r="BN1169" s="182"/>
      <c r="BO1169" s="182"/>
      <c r="BP1169" s="182"/>
      <c r="BQ1169" s="182"/>
      <c r="BR1169" s="182"/>
      <c r="BS1169" s="182"/>
    </row>
    <row r="1170" spans="1:71" ht="15.9" customHeight="1" x14ac:dyDescent="0.3">
      <c r="A1170" s="5" t="s">
        <v>3065</v>
      </c>
      <c r="B1170" s="19" t="s">
        <v>3038</v>
      </c>
      <c r="C1170" s="555">
        <v>44781</v>
      </c>
      <c r="D1170" s="19" t="s">
        <v>285</v>
      </c>
      <c r="E1170" s="5" t="s">
        <v>1328</v>
      </c>
      <c r="F1170" s="175" t="s">
        <v>3214</v>
      </c>
      <c r="G1170" s="15" t="s">
        <v>346</v>
      </c>
      <c r="H1170" s="200">
        <v>1000000000</v>
      </c>
      <c r="I1170" s="19" t="s">
        <v>3124</v>
      </c>
      <c r="J1170" s="113" t="str">
        <f>VLOOKUP($I1170,'Price List, Weapons &amp; Items'!B:C,2,0)</f>
        <v>Light armaments &amp; infantry</v>
      </c>
      <c r="K1170" s="113" t="str">
        <f>IF(I1170=".",I1170,VLOOKUP($I1170,'Price List, Weapons &amp; Items'!B:D,3,0))</f>
        <v>Explosive</v>
      </c>
      <c r="L1170" s="177">
        <f>VLOOKUP(I1170,'Price List, Weapons &amp; Items'!B:E,4,0)</f>
        <v>0</v>
      </c>
      <c r="M1170" s="247" t="s">
        <v>270</v>
      </c>
      <c r="N1170" s="542" t="s">
        <v>270</v>
      </c>
      <c r="O1170" s="543">
        <f>VLOOKUP($I1170,'Price List, Weapons &amp; Items'!B:G,6,0)</f>
        <v>223.15</v>
      </c>
      <c r="P1170" s="176" t="str">
        <f t="shared" si="262"/>
        <v>.</v>
      </c>
      <c r="Q1170" s="176" t="str">
        <f t="shared" si="263"/>
        <v>.</v>
      </c>
      <c r="R1170" s="176" t="str">
        <f t="shared" si="265"/>
        <v/>
      </c>
      <c r="S1170" s="176" t="str">
        <f>IF(AND(AD1170=1,R1170&lt;&gt;".")=TRUE,R1170/VLOOKUP(G1170,'Exchange Rates'!B:C,2,0),IF(R1170=".",".",""))</f>
        <v/>
      </c>
      <c r="T1170" s="176" t="str">
        <f>IF(AD1170=1,IF(AF1170="Value is not given at all",".",IF(AF1170="Value is given by the source",S1170,IF(AF1170="Value is calculated with prices",(IF(SUMIFS(Q:Q,A:A,A1170)&gt;0,SUMIFS(Q:Q,A:A,A1170),"."))/VLOOKUP("USD",'Exchange Rates'!B:C,2,0),"Error with coding"))),"")</f>
        <v/>
      </c>
      <c r="U1170" s="15" t="s">
        <v>261</v>
      </c>
      <c r="V1170" s="304" t="s">
        <v>3215</v>
      </c>
      <c r="W1170" s="667" t="s">
        <v>3044</v>
      </c>
      <c r="X1170" s="667" t="s">
        <v>3047</v>
      </c>
      <c r="Y1170" s="667" t="s">
        <v>3226</v>
      </c>
      <c r="Z1170" s="199">
        <v>0</v>
      </c>
      <c r="AA1170" s="180">
        <v>0</v>
      </c>
      <c r="AB1170" s="667" t="s">
        <v>3227</v>
      </c>
      <c r="AC1170" s="544" t="str">
        <f>""</f>
        <v/>
      </c>
      <c r="AD1170" s="183">
        <v>0</v>
      </c>
      <c r="AE1170" s="586" t="s">
        <v>264</v>
      </c>
      <c r="AF1170" s="181" t="s">
        <v>264</v>
      </c>
      <c r="AG1170" s="183">
        <v>1</v>
      </c>
      <c r="AH1170" s="183">
        <v>8</v>
      </c>
      <c r="AI1170" s="183">
        <v>0</v>
      </c>
      <c r="AJ1170" s="181">
        <f>VLOOKUP($I1170,'Price List, Weapons &amp; Items'!B:F,5,0)</f>
        <v>0</v>
      </c>
      <c r="AK1170" s="181">
        <f t="shared" si="266"/>
        <v>0</v>
      </c>
      <c r="AL1170" s="181">
        <f t="shared" si="267"/>
        <v>0</v>
      </c>
      <c r="AM1170" s="181">
        <f t="shared" si="268"/>
        <v>0</v>
      </c>
      <c r="AN1170" s="180" t="str">
        <f>VLOOKUP($I1170,'Price List, Weapons &amp; Items'!B:L,COLUMN('Price List, Weapons &amp; Items'!$J$11)-1,0)</f>
        <v>Miscellaneous</v>
      </c>
      <c r="AO1170" s="180" t="str">
        <f>IF(I1170=".",".",VLOOKUP($I1170,'Price List, Weapons &amp; Items'!B:J,3,0))</f>
        <v>Explosive</v>
      </c>
      <c r="AP1170" s="545" t="str">
        <f t="shared" ca="1" si="264"/>
        <v/>
      </c>
      <c r="AQ1170" s="180" t="str">
        <f>VLOOKUP($I1170,'Price List, Weapons &amp; Items'!B:L,COLUMN('Price List, Weapons &amp; Items'!$L$11)-1,0)</f>
        <v>no price, 0 count</v>
      </c>
      <c r="AR1170" s="180">
        <f t="shared" si="269"/>
        <v>1</v>
      </c>
      <c r="AS1170" s="180">
        <f t="shared" si="270"/>
        <v>1</v>
      </c>
      <c r="AT1170" s="180">
        <f t="shared" si="271"/>
        <v>1</v>
      </c>
      <c r="AU1170" s="180" t="str">
        <f t="shared" si="272"/>
        <v>.</v>
      </c>
      <c r="AV1170" s="180" t="str">
        <f t="shared" si="273"/>
        <v>.</v>
      </c>
      <c r="AW1170" s="180">
        <f>IFERROR(VLOOKUP(B1170,'Share, Heavy Weapons to Ukraine'!B:J,COLUMN('Share, Heavy Weapons to Ukraine'!C1180)-1,0),0)</f>
        <v>1</v>
      </c>
      <c r="AX1170" s="180">
        <f>VLOOKUP('Bilateral Assistance, MAIN DATA'!B1170,'Country Summary'!B:F,COLUMN('Country Summary'!C1183)-1,FALSE)</f>
        <v>0</v>
      </c>
      <c r="AY1170" s="180" t="str">
        <f>IF(AND(AD1170=1,D1170="Military",H1170&lt;&gt;"Not given")=TRUE,IF(SUMIFS(P:P,A:A,A1170)&gt;0,ABS((SUMIFS(P:P,A:A,A1170)/VLOOKUP("USD",'Exchange Rates'!B:C,2,0)))/S1170,"."),".")</f>
        <v>.</v>
      </c>
      <c r="AZ1170" s="182" t="str">
        <f>IF(AND(AD1170=1,D1170="Military",H1170&lt;&gt;"Not given")=TRUE,IF(SUMIFS(P:P,A:A,A1170)&gt;0,IF((ABS((SUMIFS(P:P,A:A,A1170)/VLOOKUP("USD",'Exchange Rates'!B:C,2,0)))/S1170)&gt;1,(SUMIFS(P:P,A:A,A1170)-S1170)/S1170,(S1170-SUMIFS(P:P,A:A,A1170))/SUMIFS(P:P,A:A,A1170)),"."),".")</f>
        <v>.</v>
      </c>
      <c r="BA1170" s="182"/>
      <c r="BB1170" s="182"/>
      <c r="BC1170" s="182"/>
      <c r="BD1170" s="182"/>
      <c r="BE1170" s="182"/>
      <c r="BF1170" s="182"/>
      <c r="BG1170" s="182"/>
      <c r="BH1170" s="182"/>
      <c r="BI1170" s="182"/>
      <c r="BJ1170" s="182"/>
      <c r="BK1170" s="182"/>
      <c r="BL1170" s="182"/>
      <c r="BM1170" s="182"/>
      <c r="BN1170" s="182"/>
      <c r="BO1170" s="182"/>
      <c r="BP1170" s="182"/>
      <c r="BQ1170" s="182"/>
      <c r="BR1170" s="182"/>
      <c r="BS1170" s="182"/>
    </row>
    <row r="1171" spans="1:71" ht="15.9" customHeight="1" x14ac:dyDescent="0.3">
      <c r="A1171" s="5" t="s">
        <v>3065</v>
      </c>
      <c r="B1171" s="19" t="s">
        <v>3038</v>
      </c>
      <c r="C1171" s="555">
        <v>44781</v>
      </c>
      <c r="D1171" s="19" t="s">
        <v>285</v>
      </c>
      <c r="E1171" s="5" t="s">
        <v>1328</v>
      </c>
      <c r="F1171" s="175" t="s">
        <v>3214</v>
      </c>
      <c r="G1171" s="15" t="s">
        <v>346</v>
      </c>
      <c r="H1171" s="200">
        <v>1000000000</v>
      </c>
      <c r="I1171" s="19" t="s">
        <v>3228</v>
      </c>
      <c r="J1171" s="113" t="str">
        <f>VLOOKUP($I1171,'Price List, Weapons &amp; Items'!B:C,2,0)</f>
        <v>Military equipment</v>
      </c>
      <c r="K1171" s="113" t="str">
        <f>IF(I1171=".",I1171,VLOOKUP($I1171,'Price List, Weapons &amp; Items'!B:D,3,0))</f>
        <v>Explosive</v>
      </c>
      <c r="L1171" s="177">
        <f>VLOOKUP(I1171,'Price List, Weapons &amp; Items'!B:E,4,0)</f>
        <v>0</v>
      </c>
      <c r="M1171" s="247" t="s">
        <v>270</v>
      </c>
      <c r="N1171" s="542" t="s">
        <v>270</v>
      </c>
      <c r="O1171" s="543">
        <f>VLOOKUP($I1171,'Price List, Weapons &amp; Items'!B:G,6,0)</f>
        <v>90</v>
      </c>
      <c r="P1171" s="176" t="str">
        <f t="shared" ref="P1171:P1241" si="274">IF(TYPE(M1171)=1,IF(TYPE(O1171)=1,M1171*O1171,"No price"),".")</f>
        <v>.</v>
      </c>
      <c r="Q1171" s="176" t="str">
        <f t="shared" ref="Q1171:Q1241" si="275">IF(TYPE(N1171)=1,IF(TYPE(O1171)=1,N1171*O1171,"No price"),".")</f>
        <v>.</v>
      </c>
      <c r="R1171" s="176" t="str">
        <f t="shared" si="265"/>
        <v/>
      </c>
      <c r="S1171" s="176" t="str">
        <f>IF(AND(AD1171=1,R1171&lt;&gt;".")=TRUE,R1171/VLOOKUP(G1171,'Exchange Rates'!B:C,2,0),IF(R1171=".",".",""))</f>
        <v/>
      </c>
      <c r="T1171" s="176" t="str">
        <f>IF(AD1171=1,IF(AF1171="Value is not given at all",".",IF(AF1171="Value is given by the source",S1171,IF(AF1171="Value is calculated with prices",(IF(SUMIFS(Q:Q,A:A,A1171)&gt;0,SUMIFS(Q:Q,A:A,A1171),"."))/VLOOKUP("USD",'Exchange Rates'!B:C,2,0),"Error with coding"))),"")</f>
        <v/>
      </c>
      <c r="U1171" s="15" t="s">
        <v>261</v>
      </c>
      <c r="V1171" s="304" t="s">
        <v>3215</v>
      </c>
      <c r="W1171" s="667" t="s">
        <v>3044</v>
      </c>
      <c r="X1171" s="667" t="s">
        <v>3047</v>
      </c>
      <c r="Y1171" s="667" t="s">
        <v>3227</v>
      </c>
      <c r="Z1171" s="199">
        <v>0</v>
      </c>
      <c r="AA1171" s="180">
        <v>0</v>
      </c>
      <c r="AB1171" s="667" t="s">
        <v>3229</v>
      </c>
      <c r="AC1171" s="544" t="str">
        <f>""</f>
        <v/>
      </c>
      <c r="AD1171" s="183">
        <v>0</v>
      </c>
      <c r="AE1171" s="586" t="s">
        <v>264</v>
      </c>
      <c r="AF1171" s="181" t="s">
        <v>264</v>
      </c>
      <c r="AG1171" s="183">
        <v>1</v>
      </c>
      <c r="AH1171" s="183">
        <v>8</v>
      </c>
      <c r="AI1171" s="183">
        <v>0</v>
      </c>
      <c r="AJ1171" s="181">
        <f>VLOOKUP($I1171,'Price List, Weapons &amp; Items'!B:F,5,0)</f>
        <v>0</v>
      </c>
      <c r="AK1171" s="181">
        <f t="shared" si="266"/>
        <v>0</v>
      </c>
      <c r="AL1171" s="181">
        <f t="shared" si="267"/>
        <v>0</v>
      </c>
      <c r="AM1171" s="181">
        <f t="shared" si="268"/>
        <v>0</v>
      </c>
      <c r="AN1171" s="180" t="str">
        <f>VLOOKUP($I1171,'Price List, Weapons &amp; Items'!B:L,COLUMN('Price List, Weapons &amp; Items'!$J$11)-1,0)</f>
        <v>Media reports (incl. social media)</v>
      </c>
      <c r="AO1171" s="180" t="str">
        <f>IF(I1171=".",".",VLOOKUP($I1171,'Price List, Weapons &amp; Items'!B:J,3,0))</f>
        <v>Explosive</v>
      </c>
      <c r="AP1171" s="545" t="str">
        <f t="shared" ca="1" si="264"/>
        <v/>
      </c>
      <c r="AQ1171" s="180" t="str">
        <f>VLOOKUP($I1171,'Price List, Weapons &amp; Items'!B:L,COLUMN('Price List, Weapons &amp; Items'!$L$11)-1,0)</f>
        <v>no price, 0 count</v>
      </c>
      <c r="AR1171" s="180">
        <f t="shared" si="269"/>
        <v>1</v>
      </c>
      <c r="AS1171" s="180">
        <f t="shared" si="270"/>
        <v>1</v>
      </c>
      <c r="AT1171" s="180">
        <f t="shared" si="271"/>
        <v>1</v>
      </c>
      <c r="AU1171" s="180" t="str">
        <f t="shared" si="272"/>
        <v>.</v>
      </c>
      <c r="AV1171" s="180" t="str">
        <f t="shared" si="273"/>
        <v>.</v>
      </c>
      <c r="AW1171" s="180">
        <f>IFERROR(VLOOKUP(B1171,'Share, Heavy Weapons to Ukraine'!B:J,COLUMN('Share, Heavy Weapons to Ukraine'!C1181)-1,0),0)</f>
        <v>1</v>
      </c>
      <c r="AX1171" s="180">
        <f>VLOOKUP('Bilateral Assistance, MAIN DATA'!B1171,'Country Summary'!B:F,COLUMN('Country Summary'!C1184)-1,FALSE)</f>
        <v>0</v>
      </c>
      <c r="AY1171" s="180" t="str">
        <f>IF(AND(AD1171=1,D1171="Military",H1171&lt;&gt;"Not given")=TRUE,IF(SUMIFS(P:P,A:A,A1171)&gt;0,ABS((SUMIFS(P:P,A:A,A1171)/VLOOKUP("USD",'Exchange Rates'!B:C,2,0)))/S1171,"."),".")</f>
        <v>.</v>
      </c>
      <c r="AZ1171" s="182" t="str">
        <f>IF(AND(AD1171=1,D1171="Military",H1171&lt;&gt;"Not given")=TRUE,IF(SUMIFS(P:P,A:A,A1171)&gt;0,IF((ABS((SUMIFS(P:P,A:A,A1171)/VLOOKUP("USD",'Exchange Rates'!B:C,2,0)))/S1171)&gt;1,(SUMIFS(P:P,A:A,A1171)-S1171)/S1171,(S1171-SUMIFS(P:P,A:A,A1171))/SUMIFS(P:P,A:A,A1171)),"."),".")</f>
        <v>.</v>
      </c>
      <c r="BA1171" s="182"/>
      <c r="BB1171" s="182"/>
      <c r="BC1171" s="182"/>
      <c r="BD1171" s="182"/>
      <c r="BE1171" s="182"/>
      <c r="BF1171" s="182"/>
      <c r="BG1171" s="182"/>
      <c r="BH1171" s="182"/>
      <c r="BI1171" s="182"/>
      <c r="BJ1171" s="182"/>
      <c r="BK1171" s="182"/>
      <c r="BL1171" s="182"/>
      <c r="BM1171" s="182"/>
      <c r="BN1171" s="182"/>
      <c r="BO1171" s="182"/>
      <c r="BP1171" s="182"/>
      <c r="BQ1171" s="182"/>
      <c r="BR1171" s="182"/>
      <c r="BS1171" s="182"/>
    </row>
    <row r="1172" spans="1:71" ht="15.9" customHeight="1" x14ac:dyDescent="0.3">
      <c r="A1172" s="5" t="s">
        <v>3065</v>
      </c>
      <c r="B1172" s="19" t="s">
        <v>3038</v>
      </c>
      <c r="C1172" s="555">
        <v>44781</v>
      </c>
      <c r="D1172" s="19" t="s">
        <v>285</v>
      </c>
      <c r="E1172" s="5" t="s">
        <v>1328</v>
      </c>
      <c r="F1172" s="175" t="s">
        <v>3214</v>
      </c>
      <c r="G1172" s="15" t="s">
        <v>346</v>
      </c>
      <c r="H1172" s="200">
        <v>1000000000</v>
      </c>
      <c r="I1172" s="19" t="s">
        <v>3230</v>
      </c>
      <c r="J1172" s="113" t="str">
        <f>VLOOKUP($I1172,'Price List, Weapons &amp; Items'!B:C,2,0)</f>
        <v>Military equipment</v>
      </c>
      <c r="K1172" s="113" t="str">
        <f>IF(I1172=".",I1172,VLOOKUP($I1172,'Price List, Weapons &amp; Items'!B:D,3,0))</f>
        <v>Military equipment</v>
      </c>
      <c r="L1172" s="177">
        <f>VLOOKUP(I1172,'Price List, Weapons &amp; Items'!B:E,4,0)</f>
        <v>0</v>
      </c>
      <c r="M1172" s="247" t="s">
        <v>270</v>
      </c>
      <c r="N1172" s="542" t="s">
        <v>270</v>
      </c>
      <c r="O1172" s="543" t="str">
        <f>VLOOKUP($I1172,'Price List, Weapons &amp; Items'!B:G,6,0)</f>
        <v>.</v>
      </c>
      <c r="P1172" s="176" t="str">
        <f t="shared" si="274"/>
        <v>.</v>
      </c>
      <c r="Q1172" s="176" t="str">
        <f t="shared" si="275"/>
        <v>.</v>
      </c>
      <c r="R1172" s="176" t="str">
        <f t="shared" si="265"/>
        <v/>
      </c>
      <c r="S1172" s="176" t="str">
        <f>IF(AND(AD1172=1,R1172&lt;&gt;".")=TRUE,R1172/VLOOKUP(G1172,'Exchange Rates'!B:C,2,0),IF(R1172=".",".",""))</f>
        <v/>
      </c>
      <c r="T1172" s="176" t="str">
        <f>IF(AD1172=1,IF(AF1172="Value is not given at all",".",IF(AF1172="Value is given by the source",S1172,IF(AF1172="Value is calculated with prices",(IF(SUMIFS(Q:Q,A:A,A1172)&gt;0,SUMIFS(Q:Q,A:A,A1172),"."))/VLOOKUP("USD",'Exchange Rates'!B:C,2,0),"Error with coding"))),"")</f>
        <v/>
      </c>
      <c r="U1172" s="15" t="s">
        <v>261</v>
      </c>
      <c r="V1172" s="304" t="s">
        <v>3215</v>
      </c>
      <c r="W1172" s="667" t="s">
        <v>3044</v>
      </c>
      <c r="X1172" s="667" t="s">
        <v>3047</v>
      </c>
      <c r="Y1172" s="667" t="s">
        <v>3229</v>
      </c>
      <c r="Z1172" s="199">
        <v>0</v>
      </c>
      <c r="AA1172" s="180">
        <v>0</v>
      </c>
      <c r="AB1172" s="667" t="s">
        <v>3231</v>
      </c>
      <c r="AC1172" s="544" t="str">
        <f>""</f>
        <v/>
      </c>
      <c r="AD1172" s="183">
        <v>0</v>
      </c>
      <c r="AE1172" s="586" t="s">
        <v>264</v>
      </c>
      <c r="AF1172" s="181" t="s">
        <v>264</v>
      </c>
      <c r="AG1172" s="183">
        <v>1</v>
      </c>
      <c r="AH1172" s="183">
        <v>8</v>
      </c>
      <c r="AI1172" s="183">
        <v>0</v>
      </c>
      <c r="AJ1172" s="181">
        <f>VLOOKUP($I1172,'Price List, Weapons &amp; Items'!B:F,5,0)</f>
        <v>0</v>
      </c>
      <c r="AK1172" s="181">
        <f t="shared" si="266"/>
        <v>0</v>
      </c>
      <c r="AL1172" s="181">
        <f t="shared" si="267"/>
        <v>0</v>
      </c>
      <c r="AM1172" s="181">
        <f t="shared" si="268"/>
        <v>0</v>
      </c>
      <c r="AN1172" s="180" t="str">
        <f>VLOOKUP($I1172,'Price List, Weapons &amp; Items'!B:L,COLUMN('Price List, Weapons &amp; Items'!$J$11)-1,0)</f>
        <v>.</v>
      </c>
      <c r="AO1172" s="180" t="str">
        <f>IF(I1172=".",".",VLOOKUP($I1172,'Price List, Weapons &amp; Items'!B:J,3,0))</f>
        <v>Military equipment</v>
      </c>
      <c r="AP1172" s="545" t="str">
        <f t="shared" ca="1" si="264"/>
        <v/>
      </c>
      <c r="AQ1172" s="180" t="str">
        <f>VLOOKUP($I1172,'Price List, Weapons &amp; Items'!B:L,COLUMN('Price List, Weapons &amp; Items'!$L$11)-1,0)</f>
        <v>no price, 0 count</v>
      </c>
      <c r="AR1172" s="180">
        <f t="shared" si="269"/>
        <v>1</v>
      </c>
      <c r="AS1172" s="180">
        <f t="shared" si="270"/>
        <v>1</v>
      </c>
      <c r="AT1172" s="180">
        <f t="shared" si="271"/>
        <v>1</v>
      </c>
      <c r="AU1172" s="180" t="str">
        <f t="shared" si="272"/>
        <v>.</v>
      </c>
      <c r="AV1172" s="180" t="str">
        <f t="shared" si="273"/>
        <v>.</v>
      </c>
      <c r="AW1172" s="180">
        <f>IFERROR(VLOOKUP(B1172,'Share, Heavy Weapons to Ukraine'!B:J,COLUMN('Share, Heavy Weapons to Ukraine'!C1182)-1,0),0)</f>
        <v>1</v>
      </c>
      <c r="AX1172" s="180">
        <f>VLOOKUP('Bilateral Assistance, MAIN DATA'!B1172,'Country Summary'!B:F,COLUMN('Country Summary'!C1185)-1,FALSE)</f>
        <v>0</v>
      </c>
      <c r="AY1172" s="180" t="str">
        <f>IF(AND(AD1172=1,D1172="Military",H1172&lt;&gt;"Not given")=TRUE,IF(SUMIFS(P:P,A:A,A1172)&gt;0,ABS((SUMIFS(P:P,A:A,A1172)/VLOOKUP("USD",'Exchange Rates'!B:C,2,0)))/S1172,"."),".")</f>
        <v>.</v>
      </c>
      <c r="AZ1172" s="182" t="str">
        <f>IF(AND(AD1172=1,D1172="Military",H1172&lt;&gt;"Not given")=TRUE,IF(SUMIFS(P:P,A:A,A1172)&gt;0,IF((ABS((SUMIFS(P:P,A:A,A1172)/VLOOKUP("USD",'Exchange Rates'!B:C,2,0)))/S1172)&gt;1,(SUMIFS(P:P,A:A,A1172)-S1172)/S1172,(S1172-SUMIFS(P:P,A:A,A1172))/SUMIFS(P:P,A:A,A1172)),"."),".")</f>
        <v>.</v>
      </c>
      <c r="BA1172" s="182"/>
      <c r="BB1172" s="182"/>
      <c r="BC1172" s="182"/>
      <c r="BD1172" s="182"/>
      <c r="BE1172" s="182"/>
      <c r="BF1172" s="182"/>
      <c r="BG1172" s="182"/>
      <c r="BH1172" s="182"/>
      <c r="BI1172" s="182"/>
      <c r="BJ1172" s="182"/>
      <c r="BK1172" s="182"/>
      <c r="BL1172" s="182"/>
      <c r="BM1172" s="182"/>
      <c r="BN1172" s="182"/>
      <c r="BO1172" s="182"/>
      <c r="BP1172" s="182"/>
      <c r="BQ1172" s="182"/>
      <c r="BR1172" s="182"/>
      <c r="BS1172" s="182"/>
    </row>
    <row r="1173" spans="1:71" ht="15.9" customHeight="1" x14ac:dyDescent="0.3">
      <c r="A1173" s="5" t="s">
        <v>3065</v>
      </c>
      <c r="B1173" s="19" t="s">
        <v>3038</v>
      </c>
      <c r="C1173" s="555">
        <v>44792</v>
      </c>
      <c r="D1173" s="19" t="s">
        <v>285</v>
      </c>
      <c r="E1173" s="5" t="s">
        <v>1328</v>
      </c>
      <c r="F1173" s="175" t="s">
        <v>3232</v>
      </c>
      <c r="G1173" s="15" t="s">
        <v>346</v>
      </c>
      <c r="H1173" s="200">
        <v>775000000</v>
      </c>
      <c r="I1173" s="19" t="s">
        <v>3172</v>
      </c>
      <c r="J1173" s="113" t="str">
        <f>VLOOKUP($I1173,'Price List, Weapons &amp; Items'!B:C,2,0)</f>
        <v>Ammunition for heavy weapon</v>
      </c>
      <c r="K1173" s="113" t="str">
        <f>IF(I1173=".",I1173,VLOOKUP($I1173,'Price List, Weapons &amp; Items'!B:D,3,0))</f>
        <v>227mm MLRS ammunition</v>
      </c>
      <c r="L1173" s="177">
        <f>VLOOKUP(I1173,'Price List, Weapons &amp; Items'!B:E,4,0)</f>
        <v>0</v>
      </c>
      <c r="M1173" s="247" t="s">
        <v>270</v>
      </c>
      <c r="N1173" s="542" t="s">
        <v>270</v>
      </c>
      <c r="O1173" s="543">
        <f>VLOOKUP($I1173,'Price List, Weapons &amp; Items'!B:G,6,0)</f>
        <v>150000</v>
      </c>
      <c r="P1173" s="176" t="str">
        <f t="shared" si="274"/>
        <v>.</v>
      </c>
      <c r="Q1173" s="176" t="str">
        <f t="shared" si="275"/>
        <v>.</v>
      </c>
      <c r="R1173" s="176" t="str">
        <f t="shared" si="265"/>
        <v/>
      </c>
      <c r="S1173" s="176" t="str">
        <f>IF(AND(AD1173=1,R1173&lt;&gt;".")=TRUE,R1173/VLOOKUP(G1173,'Exchange Rates'!B:C,2,0),IF(R1173=".",".",""))</f>
        <v/>
      </c>
      <c r="T1173" s="176" t="str">
        <f>IF(AD1173=1,IF(AF1173="Value is not given at all",".",IF(AF1173="Value is given by the source",S1173,IF(AF1173="Value is calculated with prices",(IF(SUMIFS(Q:Q,A:A,A1173)&gt;0,SUMIFS(Q:Q,A:A,A1173),"."))/VLOOKUP("USD",'Exchange Rates'!B:C,2,0),"Error with coding"))),"")</f>
        <v/>
      </c>
      <c r="U1173" s="15" t="s">
        <v>261</v>
      </c>
      <c r="V1173" s="304" t="s">
        <v>3233</v>
      </c>
      <c r="W1173" s="667" t="s">
        <v>3044</v>
      </c>
      <c r="X1173" s="667" t="s">
        <v>3047</v>
      </c>
      <c r="Y1173" s="667" t="s">
        <v>3231</v>
      </c>
      <c r="Z1173" s="199">
        <v>0</v>
      </c>
      <c r="AA1173" s="180">
        <v>0</v>
      </c>
      <c r="AB1173" s="667" t="s">
        <v>3234</v>
      </c>
      <c r="AC1173" s="544" t="str">
        <f>""</f>
        <v/>
      </c>
      <c r="AD1173" s="183">
        <v>0</v>
      </c>
      <c r="AE1173" s="586" t="s">
        <v>264</v>
      </c>
      <c r="AF1173" s="181" t="s">
        <v>264</v>
      </c>
      <c r="AG1173" s="183">
        <v>1</v>
      </c>
      <c r="AH1173" s="183">
        <v>8</v>
      </c>
      <c r="AI1173" s="183">
        <v>0</v>
      </c>
      <c r="AJ1173" s="181">
        <f>VLOOKUP($I1173,'Price List, Weapons &amp; Items'!B:F,5,0)</f>
        <v>1</v>
      </c>
      <c r="AK1173" s="181">
        <f t="shared" si="266"/>
        <v>1</v>
      </c>
      <c r="AL1173" s="181">
        <f t="shared" si="267"/>
        <v>1</v>
      </c>
      <c r="AM1173" s="181">
        <f t="shared" si="268"/>
        <v>1</v>
      </c>
      <c r="AN1173" s="180" t="str">
        <f>VLOOKUP($I1173,'Price List, Weapons &amp; Items'!B:L,COLUMN('Price List, Weapons &amp; Items'!$J$11)-1,0)</f>
        <v>Media reports (incl. social media)</v>
      </c>
      <c r="AO1173" s="180" t="str">
        <f>IF(I1173=".",".",VLOOKUP($I1173,'Price List, Weapons &amp; Items'!B:J,3,0))</f>
        <v>227mm MLRS ammunition</v>
      </c>
      <c r="AP1173" s="545" t="str">
        <f t="shared" ref="AP1173:AP1236" ca="1" si="276">IF(AD1173=1,_xlfn.ARRAYTOTEXT(OFFSET(I1173,0,0,COUNTIF(A:A,A1173),1)),"")</f>
        <v/>
      </c>
      <c r="AQ1173" s="180" t="str">
        <f>VLOOKUP($I1173,'Price List, Weapons &amp; Items'!B:L,COLUMN('Price List, Weapons &amp; Items'!$L$11)-1,0)</f>
        <v>no price, 0 count</v>
      </c>
      <c r="AR1173" s="180">
        <f t="shared" si="269"/>
        <v>1</v>
      </c>
      <c r="AS1173" s="180">
        <f t="shared" si="270"/>
        <v>1</v>
      </c>
      <c r="AT1173" s="180">
        <f t="shared" si="271"/>
        <v>1</v>
      </c>
      <c r="AU1173" s="180" t="str">
        <f t="shared" si="272"/>
        <v>.</v>
      </c>
      <c r="AV1173" s="180" t="str">
        <f t="shared" si="273"/>
        <v>.</v>
      </c>
      <c r="AW1173" s="180">
        <f>IFERROR(VLOOKUP(B1173,'Share, Heavy Weapons to Ukraine'!B:J,COLUMN('Share, Heavy Weapons to Ukraine'!C1183)-1,0),0)</f>
        <v>1</v>
      </c>
      <c r="AX1173" s="180">
        <f>VLOOKUP('Bilateral Assistance, MAIN DATA'!B1173,'Country Summary'!B:F,COLUMN('Country Summary'!C1186)-1,FALSE)</f>
        <v>0</v>
      </c>
      <c r="AY1173" s="180" t="str">
        <f>IF(AND(AD1173=1,D1173="Military",H1173&lt;&gt;"Not given")=TRUE,IF(SUMIFS(P:P,A:A,A1173)&gt;0,ABS((SUMIFS(P:P,A:A,A1173)/VLOOKUP("USD",'Exchange Rates'!B:C,2,0)))/S1173,"."),".")</f>
        <v>.</v>
      </c>
      <c r="AZ1173" s="182" t="str">
        <f>IF(AND(AD1173=1,D1173="Military",H1173&lt;&gt;"Not given")=TRUE,IF(SUMIFS(P:P,A:A,A1173)&gt;0,IF((ABS((SUMIFS(P:P,A:A,A1173)/VLOOKUP("USD",'Exchange Rates'!B:C,2,0)))/S1173)&gt;1,(SUMIFS(P:P,A:A,A1173)-S1173)/S1173,(S1173-SUMIFS(P:P,A:A,A1173))/SUMIFS(P:P,A:A,A1173)),"."),".")</f>
        <v>.</v>
      </c>
      <c r="BA1173" s="182"/>
      <c r="BB1173" s="182"/>
      <c r="BC1173" s="182"/>
      <c r="BD1173" s="182"/>
      <c r="BE1173" s="182"/>
      <c r="BF1173" s="182"/>
      <c r="BG1173" s="182"/>
      <c r="BH1173" s="182"/>
      <c r="BI1173" s="182"/>
      <c r="BJ1173" s="182"/>
      <c r="BK1173" s="182"/>
      <c r="BL1173" s="182"/>
      <c r="BM1173" s="182"/>
      <c r="BN1173" s="182"/>
      <c r="BO1173" s="182"/>
      <c r="BP1173" s="182"/>
      <c r="BQ1173" s="182"/>
      <c r="BR1173" s="182"/>
      <c r="BS1173" s="182"/>
    </row>
    <row r="1174" spans="1:71" ht="15.9" customHeight="1" x14ac:dyDescent="0.3">
      <c r="A1174" s="5" t="s">
        <v>3065</v>
      </c>
      <c r="B1174" s="19" t="s">
        <v>3038</v>
      </c>
      <c r="C1174" s="555">
        <v>44792</v>
      </c>
      <c r="D1174" s="19" t="s">
        <v>285</v>
      </c>
      <c r="E1174" s="5" t="s">
        <v>1328</v>
      </c>
      <c r="F1174" s="175" t="s">
        <v>3232</v>
      </c>
      <c r="G1174" s="15" t="s">
        <v>346</v>
      </c>
      <c r="H1174" s="200">
        <v>775000000</v>
      </c>
      <c r="I1174" s="19" t="s">
        <v>3235</v>
      </c>
      <c r="J1174" s="113" t="str">
        <f>VLOOKUP($I1174,'Price List, Weapons &amp; Items'!B:C,2,0)</f>
        <v>Heavy weapon</v>
      </c>
      <c r="K1174" s="113" t="str">
        <f>IF(I1174=".",I1174,VLOOKUP($I1174,'Price List, Weapons &amp; Items'!B:D,3,0))</f>
        <v>105mm howitzer</v>
      </c>
      <c r="L1174" s="177">
        <f>VLOOKUP(I1174,'Price List, Weapons &amp; Items'!B:E,4,0)</f>
        <v>0</v>
      </c>
      <c r="M1174" s="247">
        <v>16</v>
      </c>
      <c r="N1174" s="542">
        <v>16</v>
      </c>
      <c r="O1174" s="543">
        <f>VLOOKUP($I1174,'Price List, Weapons &amp; Items'!B:G,6,0)</f>
        <v>1272482.2760025531</v>
      </c>
      <c r="P1174" s="176">
        <f t="shared" si="274"/>
        <v>20359716.416040849</v>
      </c>
      <c r="Q1174" s="176">
        <f t="shared" si="275"/>
        <v>20359716.416040849</v>
      </c>
      <c r="R1174" s="176" t="str">
        <f t="shared" si="265"/>
        <v/>
      </c>
      <c r="S1174" s="176" t="str">
        <f>IF(AND(AD1174=1,R1174&lt;&gt;".")=TRUE,R1174/VLOOKUP(G1174,'Exchange Rates'!B:C,2,0),IF(R1174=".",".",""))</f>
        <v/>
      </c>
      <c r="T1174" s="176" t="str">
        <f>IF(AD1174=1,IF(AF1174="Value is not given at all",".",IF(AF1174="Value is given by the source",S1174,IF(AF1174="Value is calculated with prices",(IF(SUMIFS(Q:Q,A:A,A1174)&gt;0,SUMIFS(Q:Q,A:A,A1174),"."))/VLOOKUP("USD",'Exchange Rates'!B:C,2,0),"Error with coding"))),"")</f>
        <v/>
      </c>
      <c r="U1174" s="15" t="s">
        <v>261</v>
      </c>
      <c r="V1174" s="304" t="s">
        <v>3233</v>
      </c>
      <c r="W1174" s="667" t="s">
        <v>3044</v>
      </c>
      <c r="X1174" s="667" t="s">
        <v>3047</v>
      </c>
      <c r="Y1174" s="667" t="s">
        <v>3234</v>
      </c>
      <c r="Z1174" s="199">
        <v>0</v>
      </c>
      <c r="AA1174" s="180">
        <v>0</v>
      </c>
      <c r="AB1174" s="667" t="s">
        <v>3236</v>
      </c>
      <c r="AC1174" s="544" t="str">
        <f>""</f>
        <v/>
      </c>
      <c r="AD1174" s="183">
        <v>0</v>
      </c>
      <c r="AE1174" s="586" t="s">
        <v>264</v>
      </c>
      <c r="AF1174" s="181" t="s">
        <v>264</v>
      </c>
      <c r="AG1174" s="183">
        <v>1</v>
      </c>
      <c r="AH1174" s="183">
        <v>8</v>
      </c>
      <c r="AI1174" s="183">
        <v>0</v>
      </c>
      <c r="AJ1174" s="181">
        <f>VLOOKUP($I1174,'Price List, Weapons &amp; Items'!B:F,5,0)</f>
        <v>0</v>
      </c>
      <c r="AK1174" s="181">
        <f t="shared" si="266"/>
        <v>0</v>
      </c>
      <c r="AL1174" s="181">
        <f t="shared" si="267"/>
        <v>0</v>
      </c>
      <c r="AM1174" s="181">
        <f t="shared" si="268"/>
        <v>0</v>
      </c>
      <c r="AN1174" s="180" t="str">
        <f>VLOOKUP($I1174,'Price List, Weapons &amp; Items'!B:L,COLUMN('Price List, Weapons &amp; Items'!$J$11)-1,0)</f>
        <v>Contracts</v>
      </c>
      <c r="AO1174" s="180" t="str">
        <f>IF(I1174=".",".",VLOOKUP($I1174,'Price List, Weapons &amp; Items'!B:J,3,0))</f>
        <v>105mm howitzer</v>
      </c>
      <c r="AP1174" s="545" t="str">
        <f t="shared" ca="1" si="276"/>
        <v/>
      </c>
      <c r="AQ1174" s="180">
        <f>VLOOKUP($I1174,'Price List, Weapons &amp; Items'!B:L,COLUMN('Price List, Weapons &amp; Items'!$L$11)-1,0)</f>
        <v>2</v>
      </c>
      <c r="AR1174" s="180">
        <f t="shared" si="269"/>
        <v>1</v>
      </c>
      <c r="AS1174" s="180">
        <f t="shared" si="270"/>
        <v>1</v>
      </c>
      <c r="AT1174" s="180">
        <f t="shared" si="271"/>
        <v>1</v>
      </c>
      <c r="AU1174" s="180" t="str">
        <f t="shared" si="272"/>
        <v>.</v>
      </c>
      <c r="AV1174" s="180" t="str">
        <f t="shared" si="273"/>
        <v>.</v>
      </c>
      <c r="AW1174" s="180">
        <f>IFERROR(VLOOKUP(B1174,'Share, Heavy Weapons to Ukraine'!B:J,COLUMN('Share, Heavy Weapons to Ukraine'!C1184)-1,0),0)</f>
        <v>1</v>
      </c>
      <c r="AX1174" s="180">
        <f>VLOOKUP('Bilateral Assistance, MAIN DATA'!B1174,'Country Summary'!B:F,COLUMN('Country Summary'!C1187)-1,FALSE)</f>
        <v>0</v>
      </c>
      <c r="AY1174" s="180" t="str">
        <f>IF(AND(AD1174=1,D1174="Military",H1174&lt;&gt;"Not given")=TRUE,IF(SUMIFS(P:P,A:A,A1174)&gt;0,ABS((SUMIFS(P:P,A:A,A1174)/VLOOKUP("USD",'Exchange Rates'!B:C,2,0)))/S1174,"."),".")</f>
        <v>.</v>
      </c>
      <c r="AZ1174" s="182" t="str">
        <f>IF(AND(AD1174=1,D1174="Military",H1174&lt;&gt;"Not given")=TRUE,IF(SUMIFS(P:P,A:A,A1174)&gt;0,IF((ABS((SUMIFS(P:P,A:A,A1174)/VLOOKUP("USD",'Exchange Rates'!B:C,2,0)))/S1174)&gt;1,(SUMIFS(P:P,A:A,A1174)-S1174)/S1174,(S1174-SUMIFS(P:P,A:A,A1174))/SUMIFS(P:P,A:A,A1174)),"."),".")</f>
        <v>.</v>
      </c>
      <c r="BA1174" s="182"/>
      <c r="BB1174" s="182"/>
      <c r="BC1174" s="182"/>
      <c r="BD1174" s="182"/>
      <c r="BE1174" s="182"/>
      <c r="BF1174" s="182"/>
      <c r="BG1174" s="182"/>
      <c r="BH1174" s="182"/>
      <c r="BI1174" s="182"/>
      <c r="BJ1174" s="182"/>
      <c r="BK1174" s="182"/>
      <c r="BL1174" s="182"/>
      <c r="BM1174" s="182"/>
      <c r="BN1174" s="182"/>
      <c r="BO1174" s="182"/>
      <c r="BP1174" s="182"/>
      <c r="BQ1174" s="182"/>
      <c r="BR1174" s="182"/>
      <c r="BS1174" s="182"/>
    </row>
    <row r="1175" spans="1:71" ht="15.9" customHeight="1" x14ac:dyDescent="0.3">
      <c r="A1175" s="5" t="s">
        <v>3065</v>
      </c>
      <c r="B1175" s="19" t="s">
        <v>3038</v>
      </c>
      <c r="C1175" s="555">
        <v>44792</v>
      </c>
      <c r="D1175" s="19" t="s">
        <v>285</v>
      </c>
      <c r="E1175" s="5" t="s">
        <v>1328</v>
      </c>
      <c r="F1175" s="175" t="s">
        <v>3232</v>
      </c>
      <c r="G1175" s="15" t="s">
        <v>346</v>
      </c>
      <c r="H1175" s="200">
        <v>775000000</v>
      </c>
      <c r="I1175" s="19" t="s">
        <v>3237</v>
      </c>
      <c r="J1175" s="113" t="str">
        <f>VLOOKUP($I1175,'Price List, Weapons &amp; Items'!B:C,2,0)</f>
        <v>Ammunition for heavy weapon</v>
      </c>
      <c r="K1175" s="113" t="str">
        <f>IF(I1175=".",I1175,VLOOKUP($I1175,'Price List, Weapons &amp; Items'!B:D,3,0))</f>
        <v>105mm</v>
      </c>
      <c r="L1175" s="177">
        <f>VLOOKUP(I1175,'Price List, Weapons &amp; Items'!B:E,4,0)</f>
        <v>0</v>
      </c>
      <c r="M1175" s="247">
        <v>36000</v>
      </c>
      <c r="N1175" s="542">
        <v>36000</v>
      </c>
      <c r="O1175" s="543">
        <f>VLOOKUP($I1175,'Price List, Weapons &amp; Items'!B:G,6,0)</f>
        <v>400</v>
      </c>
      <c r="P1175" s="176">
        <f t="shared" si="274"/>
        <v>14400000</v>
      </c>
      <c r="Q1175" s="176">
        <f t="shared" si="275"/>
        <v>14400000</v>
      </c>
      <c r="R1175" s="176" t="str">
        <f t="shared" si="265"/>
        <v/>
      </c>
      <c r="S1175" s="176" t="str">
        <f>IF(AND(AD1175=1,R1175&lt;&gt;".")=TRUE,R1175/VLOOKUP(G1175,'Exchange Rates'!B:C,2,0),IF(R1175=".",".",""))</f>
        <v/>
      </c>
      <c r="T1175" s="176" t="str">
        <f>IF(AD1175=1,IF(AF1175="Value is not given at all",".",IF(AF1175="Value is given by the source",S1175,IF(AF1175="Value is calculated with prices",(IF(SUMIFS(Q:Q,A:A,A1175)&gt;0,SUMIFS(Q:Q,A:A,A1175),"."))/VLOOKUP("USD",'Exchange Rates'!B:C,2,0),"Error with coding"))),"")</f>
        <v/>
      </c>
      <c r="U1175" s="15" t="s">
        <v>261</v>
      </c>
      <c r="V1175" s="304" t="s">
        <v>3233</v>
      </c>
      <c r="W1175" s="667" t="s">
        <v>3044</v>
      </c>
      <c r="X1175" s="667" t="s">
        <v>3047</v>
      </c>
      <c r="Y1175" s="667" t="s">
        <v>3236</v>
      </c>
      <c r="Z1175" s="199">
        <v>0</v>
      </c>
      <c r="AA1175" s="180">
        <v>0</v>
      </c>
      <c r="AB1175" s="667" t="s">
        <v>3238</v>
      </c>
      <c r="AC1175" s="544" t="str">
        <f>""</f>
        <v/>
      </c>
      <c r="AD1175" s="183">
        <v>0</v>
      </c>
      <c r="AE1175" s="586" t="s">
        <v>264</v>
      </c>
      <c r="AF1175" s="181" t="s">
        <v>264</v>
      </c>
      <c r="AG1175" s="183">
        <v>1</v>
      </c>
      <c r="AH1175" s="183">
        <v>8</v>
      </c>
      <c r="AI1175" s="183">
        <v>0</v>
      </c>
      <c r="AJ1175" s="181">
        <f>VLOOKUP($I1175,'Price List, Weapons &amp; Items'!B:F,5,0)</f>
        <v>0</v>
      </c>
      <c r="AK1175" s="181">
        <f t="shared" si="266"/>
        <v>0</v>
      </c>
      <c r="AL1175" s="181">
        <f t="shared" si="267"/>
        <v>0</v>
      </c>
      <c r="AM1175" s="181">
        <f t="shared" si="268"/>
        <v>0</v>
      </c>
      <c r="AN1175" s="180" t="str">
        <f>VLOOKUP($I1175,'Price List, Weapons &amp; Items'!B:L,COLUMN('Price List, Weapons &amp; Items'!$J$11)-1,0)</f>
        <v>Military media (incl. websites)</v>
      </c>
      <c r="AO1175" s="180" t="str">
        <f>IF(I1175=".",".",VLOOKUP($I1175,'Price List, Weapons &amp; Items'!B:J,3,0))</f>
        <v>105mm</v>
      </c>
      <c r="AP1175" s="545" t="str">
        <f t="shared" ca="1" si="276"/>
        <v/>
      </c>
      <c r="AQ1175" s="180">
        <f>VLOOKUP($I1175,'Price List, Weapons &amp; Items'!B:L,COLUMN('Price List, Weapons &amp; Items'!$L$11)-1,0)</f>
        <v>2</v>
      </c>
      <c r="AR1175" s="180">
        <f t="shared" si="269"/>
        <v>1</v>
      </c>
      <c r="AS1175" s="180">
        <f t="shared" si="270"/>
        <v>1</v>
      </c>
      <c r="AT1175" s="180">
        <f t="shared" si="271"/>
        <v>1</v>
      </c>
      <c r="AU1175" s="180" t="str">
        <f t="shared" si="272"/>
        <v>.</v>
      </c>
      <c r="AV1175" s="180" t="str">
        <f t="shared" si="273"/>
        <v>.</v>
      </c>
      <c r="AW1175" s="180">
        <f>IFERROR(VLOOKUP(B1175,'Share, Heavy Weapons to Ukraine'!B:J,COLUMN('Share, Heavy Weapons to Ukraine'!C1185)-1,0),0)</f>
        <v>1</v>
      </c>
      <c r="AX1175" s="180">
        <f>VLOOKUP('Bilateral Assistance, MAIN DATA'!B1175,'Country Summary'!B:F,COLUMN('Country Summary'!C1188)-1,FALSE)</f>
        <v>0</v>
      </c>
      <c r="AY1175" s="180" t="str">
        <f>IF(AND(AD1175=1,D1175="Military",H1175&lt;&gt;"Not given")=TRUE,IF(SUMIFS(P:P,A:A,A1175)&gt;0,ABS((SUMIFS(P:P,A:A,A1175)/VLOOKUP("USD",'Exchange Rates'!B:C,2,0)))/S1175,"."),".")</f>
        <v>.</v>
      </c>
      <c r="AZ1175" s="182" t="str">
        <f>IF(AND(AD1175=1,D1175="Military",H1175&lt;&gt;"Not given")=TRUE,IF(SUMIFS(P:P,A:A,A1175)&gt;0,IF((ABS((SUMIFS(P:P,A:A,A1175)/VLOOKUP("USD",'Exchange Rates'!B:C,2,0)))/S1175)&gt;1,(SUMIFS(P:P,A:A,A1175)-S1175)/S1175,(S1175-SUMIFS(P:P,A:A,A1175))/SUMIFS(P:P,A:A,A1175)),"."),".")</f>
        <v>.</v>
      </c>
      <c r="BA1175" s="182"/>
      <c r="BB1175" s="182"/>
      <c r="BC1175" s="182"/>
      <c r="BD1175" s="182"/>
      <c r="BE1175" s="182"/>
      <c r="BF1175" s="182"/>
      <c r="BG1175" s="182"/>
      <c r="BH1175" s="182"/>
      <c r="BI1175" s="182"/>
      <c r="BJ1175" s="182"/>
      <c r="BK1175" s="182"/>
      <c r="BL1175" s="182"/>
      <c r="BM1175" s="182"/>
      <c r="BN1175" s="182"/>
      <c r="BO1175" s="182"/>
      <c r="BP1175" s="182"/>
      <c r="BQ1175" s="182"/>
      <c r="BR1175" s="182"/>
      <c r="BS1175" s="182"/>
    </row>
    <row r="1176" spans="1:71" ht="15.9" customHeight="1" x14ac:dyDescent="0.3">
      <c r="A1176" s="5" t="s">
        <v>3065</v>
      </c>
      <c r="B1176" s="19" t="s">
        <v>3038</v>
      </c>
      <c r="C1176" s="555">
        <v>44792</v>
      </c>
      <c r="D1176" s="19" t="s">
        <v>285</v>
      </c>
      <c r="E1176" s="5" t="s">
        <v>1328</v>
      </c>
      <c r="F1176" s="175" t="s">
        <v>3232</v>
      </c>
      <c r="G1176" s="15" t="s">
        <v>346</v>
      </c>
      <c r="H1176" s="200">
        <v>775000000</v>
      </c>
      <c r="I1176" s="19" t="s">
        <v>3239</v>
      </c>
      <c r="J1176" s="113" t="str">
        <f>VLOOKUP($I1176,'Price List, Weapons &amp; Items'!B:C,2,0)</f>
        <v>Aviation and Drones</v>
      </c>
      <c r="K1176" s="113" t="str">
        <f>IF(I1176=".",I1176,VLOOKUP($I1176,'Price List, Weapons &amp; Items'!B:D,3,0))</f>
        <v>drone</v>
      </c>
      <c r="L1176" s="177">
        <f>VLOOKUP(I1176,'Price List, Weapons &amp; Items'!B:E,4,0)</f>
        <v>0</v>
      </c>
      <c r="M1176" s="247">
        <v>15</v>
      </c>
      <c r="N1176" s="542">
        <v>15</v>
      </c>
      <c r="O1176" s="543">
        <f>VLOOKUP($I1176,'Price List, Weapons &amp; Items'!B:G,6,0)</f>
        <v>3200000</v>
      </c>
      <c r="P1176" s="176">
        <f t="shared" si="274"/>
        <v>48000000</v>
      </c>
      <c r="Q1176" s="176">
        <f t="shared" si="275"/>
        <v>48000000</v>
      </c>
      <c r="R1176" s="176" t="str">
        <f t="shared" si="265"/>
        <v/>
      </c>
      <c r="S1176" s="176" t="str">
        <f>IF(AND(AD1176=1,R1176&lt;&gt;".")=TRUE,R1176/VLOOKUP(G1176,'Exchange Rates'!B:C,2,0),IF(R1176=".",".",""))</f>
        <v/>
      </c>
      <c r="T1176" s="176" t="str">
        <f>IF(AD1176=1,IF(AF1176="Value is not given at all",".",IF(AF1176="Value is given by the source",S1176,IF(AF1176="Value is calculated with prices",(IF(SUMIFS(Q:Q,A:A,A1176)&gt;0,SUMIFS(Q:Q,A:A,A1176),"."))/VLOOKUP("USD",'Exchange Rates'!B:C,2,0),"Error with coding"))),"")</f>
        <v/>
      </c>
      <c r="U1176" s="15" t="s">
        <v>261</v>
      </c>
      <c r="V1176" s="304" t="s">
        <v>3233</v>
      </c>
      <c r="W1176" s="667" t="s">
        <v>3044</v>
      </c>
      <c r="X1176" s="667" t="s">
        <v>3047</v>
      </c>
      <c r="Y1176" s="667" t="s">
        <v>3238</v>
      </c>
      <c r="Z1176" s="199">
        <v>0</v>
      </c>
      <c r="AA1176" s="180">
        <v>0</v>
      </c>
      <c r="AB1176" s="667" t="s">
        <v>3240</v>
      </c>
      <c r="AC1176" s="544" t="str">
        <f>""</f>
        <v/>
      </c>
      <c r="AD1176" s="183">
        <v>0</v>
      </c>
      <c r="AE1176" s="586" t="s">
        <v>264</v>
      </c>
      <c r="AF1176" s="181" t="s">
        <v>264</v>
      </c>
      <c r="AG1176" s="183">
        <v>1</v>
      </c>
      <c r="AH1176" s="183">
        <v>8</v>
      </c>
      <c r="AI1176" s="183">
        <v>0</v>
      </c>
      <c r="AJ1176" s="181">
        <f>VLOOKUP($I1176,'Price List, Weapons &amp; Items'!B:F,5,0)</f>
        <v>0</v>
      </c>
      <c r="AK1176" s="181">
        <f t="shared" si="266"/>
        <v>0</v>
      </c>
      <c r="AL1176" s="181">
        <f t="shared" si="267"/>
        <v>0</v>
      </c>
      <c r="AM1176" s="181">
        <f t="shared" si="268"/>
        <v>0</v>
      </c>
      <c r="AN1176" s="180" t="str">
        <f>VLOOKUP($I1176,'Price List, Weapons &amp; Items'!B:L,COLUMN('Price List, Weapons &amp; Items'!$J$11)-1,0)</f>
        <v>.</v>
      </c>
      <c r="AO1176" s="180" t="str">
        <f>IF(I1176=".",".",VLOOKUP($I1176,'Price List, Weapons &amp; Items'!B:J,3,0))</f>
        <v>drone</v>
      </c>
      <c r="AP1176" s="545" t="str">
        <f t="shared" ca="1" si="276"/>
        <v/>
      </c>
      <c r="AQ1176" s="180">
        <f>VLOOKUP($I1176,'Price List, Weapons &amp; Items'!B:L,COLUMN('Price List, Weapons &amp; Items'!$L$11)-1,0)</f>
        <v>2</v>
      </c>
      <c r="AR1176" s="180">
        <f t="shared" si="269"/>
        <v>1</v>
      </c>
      <c r="AS1176" s="180">
        <f t="shared" si="270"/>
        <v>1</v>
      </c>
      <c r="AT1176" s="180">
        <f t="shared" si="271"/>
        <v>1</v>
      </c>
      <c r="AU1176" s="180" t="str">
        <f t="shared" si="272"/>
        <v>.</v>
      </c>
      <c r="AV1176" s="180" t="str">
        <f t="shared" si="273"/>
        <v>.</v>
      </c>
      <c r="AW1176" s="180">
        <f>IFERROR(VLOOKUP(B1176,'Share, Heavy Weapons to Ukraine'!B:J,COLUMN('Share, Heavy Weapons to Ukraine'!C1186)-1,0),0)</f>
        <v>1</v>
      </c>
      <c r="AX1176" s="180">
        <f>VLOOKUP('Bilateral Assistance, MAIN DATA'!B1176,'Country Summary'!B:F,COLUMN('Country Summary'!C1189)-1,FALSE)</f>
        <v>0</v>
      </c>
      <c r="AY1176" s="180" t="str">
        <f>IF(AND(AD1176=1,D1176="Military",H1176&lt;&gt;"Not given")=TRUE,IF(SUMIFS(P:P,A:A,A1176)&gt;0,ABS((SUMIFS(P:P,A:A,A1176)/VLOOKUP("USD",'Exchange Rates'!B:C,2,0)))/S1176,"."),".")</f>
        <v>.</v>
      </c>
      <c r="AZ1176" s="182" t="str">
        <f>IF(AND(AD1176=1,D1176="Military",H1176&lt;&gt;"Not given")=TRUE,IF(SUMIFS(P:P,A:A,A1176)&gt;0,IF((ABS((SUMIFS(P:P,A:A,A1176)/VLOOKUP("USD",'Exchange Rates'!B:C,2,0)))/S1176)&gt;1,(SUMIFS(P:P,A:A,A1176)-S1176)/S1176,(S1176-SUMIFS(P:P,A:A,A1176))/SUMIFS(P:P,A:A,A1176)),"."),".")</f>
        <v>.</v>
      </c>
      <c r="BA1176" s="182"/>
      <c r="BB1176" s="182"/>
      <c r="BC1176" s="182"/>
      <c r="BD1176" s="182"/>
      <c r="BE1176" s="182"/>
      <c r="BF1176" s="182"/>
      <c r="BG1176" s="182"/>
      <c r="BH1176" s="182"/>
      <c r="BI1176" s="182"/>
      <c r="BJ1176" s="182"/>
      <c r="BK1176" s="182"/>
      <c r="BL1176" s="182"/>
      <c r="BM1176" s="182"/>
      <c r="BN1176" s="182"/>
      <c r="BO1176" s="182"/>
      <c r="BP1176" s="182"/>
      <c r="BQ1176" s="182"/>
      <c r="BR1176" s="182"/>
      <c r="BS1176" s="182"/>
    </row>
    <row r="1177" spans="1:71" ht="15.9" customHeight="1" x14ac:dyDescent="0.3">
      <c r="A1177" s="5" t="s">
        <v>3065</v>
      </c>
      <c r="B1177" s="19" t="s">
        <v>3038</v>
      </c>
      <c r="C1177" s="555">
        <v>44792</v>
      </c>
      <c r="D1177" s="19" t="s">
        <v>285</v>
      </c>
      <c r="E1177" s="5" t="s">
        <v>1328</v>
      </c>
      <c r="F1177" s="175" t="s">
        <v>3232</v>
      </c>
      <c r="G1177" s="15" t="s">
        <v>346</v>
      </c>
      <c r="H1177" s="200">
        <v>775000000</v>
      </c>
      <c r="I1177" s="19" t="s">
        <v>3241</v>
      </c>
      <c r="J1177" s="113" t="str">
        <f>VLOOKUP($I1177,'Price List, Weapons &amp; Items'!B:C,2,0)</f>
        <v>Heavy Weapon</v>
      </c>
      <c r="K1177" s="113" t="str">
        <f>IF(I1177=".",I1177,VLOOKUP($I1177,'Price List, Weapons &amp; Items'!B:D,3,0))</f>
        <v>non combat military vehicle</v>
      </c>
      <c r="L1177" s="177">
        <f>VLOOKUP(I1177,'Price List, Weapons &amp; Items'!B:E,4,0)</f>
        <v>0</v>
      </c>
      <c r="M1177" s="247">
        <v>40</v>
      </c>
      <c r="N1177" s="542">
        <v>40</v>
      </c>
      <c r="O1177" s="543">
        <f>VLOOKUP($I1177,'Price List, Weapons &amp; Items'!B:G,6,0)</f>
        <v>405530</v>
      </c>
      <c r="P1177" s="176">
        <f t="shared" si="274"/>
        <v>16221200</v>
      </c>
      <c r="Q1177" s="176">
        <f t="shared" si="275"/>
        <v>16221200</v>
      </c>
      <c r="R1177" s="176" t="str">
        <f t="shared" si="265"/>
        <v/>
      </c>
      <c r="S1177" s="176" t="str">
        <f>IF(AND(AD1177=1,R1177&lt;&gt;".")=TRUE,R1177/VLOOKUP(G1177,'Exchange Rates'!B:C,2,0),IF(R1177=".",".",""))</f>
        <v/>
      </c>
      <c r="T1177" s="176" t="str">
        <f>IF(AD1177=1,IF(AF1177="Value is not given at all",".",IF(AF1177="Value is given by the source",S1177,IF(AF1177="Value is calculated with prices",(IF(SUMIFS(Q:Q,A:A,A1177)&gt;0,SUMIFS(Q:Q,A:A,A1177),"."))/VLOOKUP("USD",'Exchange Rates'!B:C,2,0),"Error with coding"))),"")</f>
        <v/>
      </c>
      <c r="U1177" s="15" t="s">
        <v>261</v>
      </c>
      <c r="V1177" s="304" t="s">
        <v>3233</v>
      </c>
      <c r="W1177" s="667" t="s">
        <v>3044</v>
      </c>
      <c r="X1177" s="667" t="s">
        <v>3047</v>
      </c>
      <c r="Y1177" s="667" t="s">
        <v>3240</v>
      </c>
      <c r="Z1177" s="199">
        <v>0</v>
      </c>
      <c r="AA1177" s="180">
        <v>0</v>
      </c>
      <c r="AB1177" s="667" t="s">
        <v>3242</v>
      </c>
      <c r="AC1177" s="544" t="str">
        <f>""</f>
        <v/>
      </c>
      <c r="AD1177" s="183">
        <v>0</v>
      </c>
      <c r="AE1177" s="586" t="s">
        <v>264</v>
      </c>
      <c r="AF1177" s="181" t="s">
        <v>264</v>
      </c>
      <c r="AG1177" s="183">
        <v>1</v>
      </c>
      <c r="AH1177" s="183">
        <v>8</v>
      </c>
      <c r="AI1177" s="183">
        <v>0</v>
      </c>
      <c r="AJ1177" s="181">
        <f>VLOOKUP($I1177,'Price List, Weapons &amp; Items'!B:F,5,0)</f>
        <v>0</v>
      </c>
      <c r="AK1177" s="181">
        <f t="shared" si="266"/>
        <v>0</v>
      </c>
      <c r="AL1177" s="181">
        <f t="shared" si="267"/>
        <v>0</v>
      </c>
      <c r="AM1177" s="181">
        <f t="shared" si="268"/>
        <v>0</v>
      </c>
      <c r="AN1177" s="180" t="str">
        <f>VLOOKUP($I1177,'Price List, Weapons &amp; Items'!B:L,COLUMN('Price List, Weapons &amp; Items'!$J$11)-1,0)</f>
        <v>Contract</v>
      </c>
      <c r="AO1177" s="180" t="str">
        <f>IF(I1177=".",".",VLOOKUP($I1177,'Price List, Weapons &amp; Items'!B:J,3,0))</f>
        <v>non combat military vehicle</v>
      </c>
      <c r="AP1177" s="545" t="str">
        <f t="shared" ca="1" si="276"/>
        <v/>
      </c>
      <c r="AQ1177" s="180">
        <f>VLOOKUP($I1177,'Price List, Weapons &amp; Items'!B:L,COLUMN('Price List, Weapons &amp; Items'!$L$11)-1,0)</f>
        <v>2</v>
      </c>
      <c r="AR1177" s="180">
        <f t="shared" si="269"/>
        <v>1</v>
      </c>
      <c r="AS1177" s="180">
        <f t="shared" si="270"/>
        <v>1</v>
      </c>
      <c r="AT1177" s="180">
        <f t="shared" si="271"/>
        <v>1</v>
      </c>
      <c r="AU1177" s="180" t="str">
        <f t="shared" si="272"/>
        <v>.</v>
      </c>
      <c r="AV1177" s="180" t="str">
        <f t="shared" si="273"/>
        <v>.</v>
      </c>
      <c r="AW1177" s="180">
        <f>IFERROR(VLOOKUP(B1177,'Share, Heavy Weapons to Ukraine'!B:J,COLUMN('Share, Heavy Weapons to Ukraine'!C1187)-1,0),0)</f>
        <v>1</v>
      </c>
      <c r="AX1177" s="180">
        <f>VLOOKUP('Bilateral Assistance, MAIN DATA'!B1177,'Country Summary'!B:F,COLUMN('Country Summary'!C1190)-1,FALSE)</f>
        <v>0</v>
      </c>
      <c r="AY1177" s="180" t="str">
        <f>IF(AND(AD1177=1,D1177="Military",H1177&lt;&gt;"Not given")=TRUE,IF(SUMIFS(P:P,A:A,A1177)&gt;0,ABS((SUMIFS(P:P,A:A,A1177)/VLOOKUP("USD",'Exchange Rates'!B:C,2,0)))/S1177,"."),".")</f>
        <v>.</v>
      </c>
      <c r="AZ1177" s="182" t="str">
        <f>IF(AND(AD1177=1,D1177="Military",H1177&lt;&gt;"Not given")=TRUE,IF(SUMIFS(P:P,A:A,A1177)&gt;0,IF((ABS((SUMIFS(P:P,A:A,A1177)/VLOOKUP("USD",'Exchange Rates'!B:C,2,0)))/S1177)&gt;1,(SUMIFS(P:P,A:A,A1177)-S1177)/S1177,(S1177-SUMIFS(P:P,A:A,A1177))/SUMIFS(P:P,A:A,A1177)),"."),".")</f>
        <v>.</v>
      </c>
      <c r="BA1177" s="182"/>
      <c r="BB1177" s="182"/>
      <c r="BC1177" s="182"/>
      <c r="BD1177" s="182"/>
      <c r="BE1177" s="182"/>
      <c r="BF1177" s="182"/>
      <c r="BG1177" s="182"/>
      <c r="BH1177" s="182"/>
      <c r="BI1177" s="182"/>
      <c r="BJ1177" s="182"/>
      <c r="BK1177" s="182"/>
      <c r="BL1177" s="182"/>
      <c r="BM1177" s="182"/>
      <c r="BN1177" s="182"/>
      <c r="BO1177" s="182"/>
      <c r="BP1177" s="182"/>
      <c r="BQ1177" s="182"/>
      <c r="BR1177" s="182"/>
      <c r="BS1177" s="182"/>
    </row>
    <row r="1178" spans="1:71" ht="15.9" customHeight="1" x14ac:dyDescent="0.3">
      <c r="A1178" s="5" t="s">
        <v>3065</v>
      </c>
      <c r="B1178" s="19" t="s">
        <v>3038</v>
      </c>
      <c r="C1178" s="555">
        <v>44792</v>
      </c>
      <c r="D1178" s="19" t="s">
        <v>285</v>
      </c>
      <c r="E1178" s="5" t="s">
        <v>1328</v>
      </c>
      <c r="F1178" s="175" t="s">
        <v>3232</v>
      </c>
      <c r="G1178" s="15" t="s">
        <v>346</v>
      </c>
      <c r="H1178" s="200">
        <v>775000000</v>
      </c>
      <c r="I1178" s="19" t="s">
        <v>3243</v>
      </c>
      <c r="J1178" s="113" t="str">
        <f>VLOOKUP($I1178,'Price List, Weapons &amp; Items'!B:C,2,0)</f>
        <v>Ammunition for heavy weapon</v>
      </c>
      <c r="K1178" s="113" t="str">
        <f>IF(I1178=".",I1178,VLOOKUP($I1178,'Price List, Weapons &amp; Items'!B:D,3,0))</f>
        <v>missile</v>
      </c>
      <c r="L1178" s="177">
        <f>VLOOKUP(I1178,'Price List, Weapons &amp; Items'!B:E,4,0)</f>
        <v>0</v>
      </c>
      <c r="M1178" s="247" t="s">
        <v>270</v>
      </c>
      <c r="N1178" s="542" t="s">
        <v>270</v>
      </c>
      <c r="O1178" s="543">
        <f>VLOOKUP($I1178,'Price List, Weapons &amp; Items'!B:G,6,0)</f>
        <v>557000</v>
      </c>
      <c r="P1178" s="176" t="str">
        <f t="shared" si="274"/>
        <v>.</v>
      </c>
      <c r="Q1178" s="176" t="str">
        <f t="shared" si="275"/>
        <v>.</v>
      </c>
      <c r="R1178" s="176" t="str">
        <f t="shared" si="265"/>
        <v/>
      </c>
      <c r="S1178" s="176" t="str">
        <f>IF(AND(AD1178=1,R1178&lt;&gt;".")=TRUE,R1178/VLOOKUP(G1178,'Exchange Rates'!B:C,2,0),IF(R1178=".",".",""))</f>
        <v/>
      </c>
      <c r="T1178" s="176" t="str">
        <f>IF(AD1178=1,IF(AF1178="Value is not given at all",".",IF(AF1178="Value is given by the source",S1178,IF(AF1178="Value is calculated with prices",(IF(SUMIFS(Q:Q,A:A,A1178)&gt;0,SUMIFS(Q:Q,A:A,A1178),"."))/VLOOKUP("USD",'Exchange Rates'!B:C,2,0),"Error with coding"))),"")</f>
        <v/>
      </c>
      <c r="U1178" s="15" t="s">
        <v>261</v>
      </c>
      <c r="V1178" s="304" t="s">
        <v>3233</v>
      </c>
      <c r="W1178" s="667" t="s">
        <v>3044</v>
      </c>
      <c r="X1178" s="667" t="s">
        <v>3047</v>
      </c>
      <c r="Y1178" s="667" t="s">
        <v>3242</v>
      </c>
      <c r="Z1178" s="199">
        <v>0</v>
      </c>
      <c r="AA1178" s="180">
        <v>0</v>
      </c>
      <c r="AB1178" s="667" t="s">
        <v>3244</v>
      </c>
      <c r="AC1178" s="544" t="str">
        <f>""</f>
        <v/>
      </c>
      <c r="AD1178" s="183">
        <v>0</v>
      </c>
      <c r="AE1178" s="586" t="s">
        <v>264</v>
      </c>
      <c r="AF1178" s="181" t="s">
        <v>264</v>
      </c>
      <c r="AG1178" s="183">
        <v>1</v>
      </c>
      <c r="AH1178" s="183">
        <v>8</v>
      </c>
      <c r="AI1178" s="183">
        <v>0</v>
      </c>
      <c r="AJ1178" s="181">
        <f>VLOOKUP($I1178,'Price List, Weapons &amp; Items'!B:F,5,0)</f>
        <v>0</v>
      </c>
      <c r="AK1178" s="181">
        <f t="shared" si="266"/>
        <v>0</v>
      </c>
      <c r="AL1178" s="181">
        <f t="shared" si="267"/>
        <v>0</v>
      </c>
      <c r="AM1178" s="181">
        <f t="shared" si="268"/>
        <v>0</v>
      </c>
      <c r="AN1178" s="180" t="str">
        <f>VLOOKUP($I1178,'Price List, Weapons &amp; Items'!B:L,COLUMN('Price List, Weapons &amp; Items'!$J$11)-1,0)</f>
        <v>Miscellaneous</v>
      </c>
      <c r="AO1178" s="180" t="str">
        <f>IF(I1178=".",".",VLOOKUP($I1178,'Price List, Weapons &amp; Items'!B:J,3,0))</f>
        <v>missile</v>
      </c>
      <c r="AP1178" s="545" t="str">
        <f t="shared" ca="1" si="276"/>
        <v/>
      </c>
      <c r="AQ1178" s="180" t="str">
        <f>VLOOKUP($I1178,'Price List, Weapons &amp; Items'!B:L,COLUMN('Price List, Weapons &amp; Items'!$L$11)-1,0)</f>
        <v>no price, 0 count</v>
      </c>
      <c r="AR1178" s="180">
        <f t="shared" si="269"/>
        <v>1</v>
      </c>
      <c r="AS1178" s="180">
        <f t="shared" si="270"/>
        <v>1</v>
      </c>
      <c r="AT1178" s="180">
        <f t="shared" si="271"/>
        <v>1</v>
      </c>
      <c r="AU1178" s="180" t="str">
        <f t="shared" si="272"/>
        <v>.</v>
      </c>
      <c r="AV1178" s="180" t="str">
        <f t="shared" si="273"/>
        <v>.</v>
      </c>
      <c r="AW1178" s="180">
        <f>IFERROR(VLOOKUP(B1178,'Share, Heavy Weapons to Ukraine'!B:J,COLUMN('Share, Heavy Weapons to Ukraine'!C1188)-1,0),0)</f>
        <v>1</v>
      </c>
      <c r="AX1178" s="180">
        <f>VLOOKUP('Bilateral Assistance, MAIN DATA'!B1178,'Country Summary'!B:F,COLUMN('Country Summary'!C1191)-1,FALSE)</f>
        <v>0</v>
      </c>
      <c r="AY1178" s="180" t="str">
        <f>IF(AND(AD1178=1,D1178="Military",H1178&lt;&gt;"Not given")=TRUE,IF(SUMIFS(P:P,A:A,A1178)&gt;0,ABS((SUMIFS(P:P,A:A,A1178)/VLOOKUP("USD",'Exchange Rates'!B:C,2,0)))/S1178,"."),".")</f>
        <v>.</v>
      </c>
      <c r="AZ1178" s="182" t="str">
        <f>IF(AND(AD1178=1,D1178="Military",H1178&lt;&gt;"Not given")=TRUE,IF(SUMIFS(P:P,A:A,A1178)&gt;0,IF((ABS((SUMIFS(P:P,A:A,A1178)/VLOOKUP("USD",'Exchange Rates'!B:C,2,0)))/S1178)&gt;1,(SUMIFS(P:P,A:A,A1178)-S1178)/S1178,(S1178-SUMIFS(P:P,A:A,A1178))/SUMIFS(P:P,A:A,A1178)),"."),".")</f>
        <v>.</v>
      </c>
      <c r="BA1178" s="182"/>
      <c r="BB1178" s="182"/>
      <c r="BC1178" s="182"/>
      <c r="BD1178" s="182"/>
      <c r="BE1178" s="182"/>
      <c r="BF1178" s="182"/>
      <c r="BG1178" s="182"/>
      <c r="BH1178" s="182"/>
      <c r="BI1178" s="182"/>
      <c r="BJ1178" s="182"/>
      <c r="BK1178" s="182"/>
      <c r="BL1178" s="182"/>
      <c r="BM1178" s="182"/>
      <c r="BN1178" s="182"/>
      <c r="BO1178" s="182"/>
      <c r="BP1178" s="182"/>
      <c r="BQ1178" s="182"/>
      <c r="BR1178" s="182"/>
      <c r="BS1178" s="182"/>
    </row>
    <row r="1179" spans="1:71" ht="15.9" customHeight="1" x14ac:dyDescent="0.3">
      <c r="A1179" s="5" t="s">
        <v>3065</v>
      </c>
      <c r="B1179" s="19" t="s">
        <v>3038</v>
      </c>
      <c r="C1179" s="555">
        <v>44792</v>
      </c>
      <c r="D1179" s="19" t="s">
        <v>285</v>
      </c>
      <c r="E1179" s="5" t="s">
        <v>1328</v>
      </c>
      <c r="F1179" s="175" t="s">
        <v>3232</v>
      </c>
      <c r="G1179" s="15" t="s">
        <v>346</v>
      </c>
      <c r="H1179" s="200">
        <v>775000000</v>
      </c>
      <c r="I1179" s="19" t="s">
        <v>2038</v>
      </c>
      <c r="J1179" s="113" t="str">
        <f>VLOOKUP($I1179,'Price List, Weapons &amp; Items'!B:C,2,0)</f>
        <v>Heavy weapon</v>
      </c>
      <c r="K1179" s="113" t="str">
        <f>IF(I1179=".",I1179,VLOOKUP($I1179,'Price List, Weapons &amp; Items'!B:D,3,0))</f>
        <v>Armoured Utility Vehicle (AUV)</v>
      </c>
      <c r="L1179" s="177">
        <f>VLOOKUP(I1179,'Price List, Weapons &amp; Items'!B:E,4,0)</f>
        <v>0</v>
      </c>
      <c r="M1179" s="247">
        <v>50</v>
      </c>
      <c r="N1179" s="542">
        <v>50</v>
      </c>
      <c r="O1179" s="543">
        <f>VLOOKUP($I1179,'Price List, Weapons &amp; Items'!B:G,6,0)</f>
        <v>254717</v>
      </c>
      <c r="P1179" s="176">
        <f t="shared" si="274"/>
        <v>12735850</v>
      </c>
      <c r="Q1179" s="176">
        <f t="shared" si="275"/>
        <v>12735850</v>
      </c>
      <c r="R1179" s="176" t="str">
        <f t="shared" si="265"/>
        <v/>
      </c>
      <c r="S1179" s="176" t="str">
        <f>IF(AND(AD1179=1,R1179&lt;&gt;".")=TRUE,R1179/VLOOKUP(G1179,'Exchange Rates'!B:C,2,0),IF(R1179=".",".",""))</f>
        <v/>
      </c>
      <c r="T1179" s="176" t="str">
        <f>IF(AD1179=1,IF(AF1179="Value is not given at all",".",IF(AF1179="Value is given by the source",S1179,IF(AF1179="Value is calculated with prices",(IF(SUMIFS(Q:Q,A:A,A1179)&gt;0,SUMIFS(Q:Q,A:A,A1179),"."))/VLOOKUP("USD",'Exchange Rates'!B:C,2,0),"Error with coding"))),"")</f>
        <v/>
      </c>
      <c r="U1179" s="15" t="s">
        <v>261</v>
      </c>
      <c r="V1179" s="304" t="s">
        <v>3233</v>
      </c>
      <c r="W1179" s="667" t="s">
        <v>3044</v>
      </c>
      <c r="X1179" s="667" t="s">
        <v>3047</v>
      </c>
      <c r="Y1179" s="667" t="s">
        <v>3244</v>
      </c>
      <c r="Z1179" s="199">
        <v>0</v>
      </c>
      <c r="AA1179" s="180">
        <v>0</v>
      </c>
      <c r="AB1179" s="667" t="s">
        <v>3245</v>
      </c>
      <c r="AC1179" s="544" t="str">
        <f>""</f>
        <v/>
      </c>
      <c r="AD1179" s="183">
        <v>0</v>
      </c>
      <c r="AE1179" s="586" t="s">
        <v>264</v>
      </c>
      <c r="AF1179" s="181" t="s">
        <v>264</v>
      </c>
      <c r="AG1179" s="183">
        <v>1</v>
      </c>
      <c r="AH1179" s="183">
        <v>8</v>
      </c>
      <c r="AI1179" s="183">
        <v>0</v>
      </c>
      <c r="AJ1179" s="181">
        <f>VLOOKUP($I1179,'Price List, Weapons &amp; Items'!B:F,5,0)</f>
        <v>1</v>
      </c>
      <c r="AK1179" s="181">
        <f t="shared" si="266"/>
        <v>0</v>
      </c>
      <c r="AL1179" s="181">
        <f t="shared" si="267"/>
        <v>0</v>
      </c>
      <c r="AM1179" s="181">
        <f t="shared" si="268"/>
        <v>0</v>
      </c>
      <c r="AN1179" s="180" t="str">
        <f>VLOOKUP($I1179,'Price List, Weapons &amp; Items'!B:L,COLUMN('Price List, Weapons &amp; Items'!$J$11)-1,0)</f>
        <v>Military media (incl. websites)</v>
      </c>
      <c r="AO1179" s="180" t="str">
        <f>IF(I1179=".",".",VLOOKUP($I1179,'Price List, Weapons &amp; Items'!B:J,3,0))</f>
        <v>Armoured Utility Vehicle (AUV)</v>
      </c>
      <c r="AP1179" s="545" t="str">
        <f t="shared" ca="1" si="276"/>
        <v/>
      </c>
      <c r="AQ1179" s="180">
        <f>VLOOKUP($I1179,'Price List, Weapons &amp; Items'!B:L,COLUMN('Price List, Weapons &amp; Items'!$L$11)-1,0)</f>
        <v>2</v>
      </c>
      <c r="AR1179" s="180">
        <f t="shared" si="269"/>
        <v>1</v>
      </c>
      <c r="AS1179" s="180">
        <f t="shared" si="270"/>
        <v>1</v>
      </c>
      <c r="AT1179" s="180">
        <f t="shared" si="271"/>
        <v>1</v>
      </c>
      <c r="AU1179" s="180" t="str">
        <f t="shared" si="272"/>
        <v>.</v>
      </c>
      <c r="AV1179" s="180" t="str">
        <f t="shared" si="273"/>
        <v>.</v>
      </c>
      <c r="AW1179" s="180">
        <f>IFERROR(VLOOKUP(B1179,'Share, Heavy Weapons to Ukraine'!B:J,COLUMN('Share, Heavy Weapons to Ukraine'!C1189)-1,0),0)</f>
        <v>1</v>
      </c>
      <c r="AX1179" s="180">
        <f>VLOOKUP('Bilateral Assistance, MAIN DATA'!B1179,'Country Summary'!B:F,COLUMN('Country Summary'!C1192)-1,FALSE)</f>
        <v>0</v>
      </c>
      <c r="AY1179" s="180" t="str">
        <f>IF(AND(AD1179=1,D1179="Military",H1179&lt;&gt;"Not given")=TRUE,IF(SUMIFS(P:P,A:A,A1179)&gt;0,ABS((SUMIFS(P:P,A:A,A1179)/VLOOKUP("USD",'Exchange Rates'!B:C,2,0)))/S1179,"."),".")</f>
        <v>.</v>
      </c>
      <c r="AZ1179" s="182" t="str">
        <f>IF(AND(AD1179=1,D1179="Military",H1179&lt;&gt;"Not given")=TRUE,IF(SUMIFS(P:P,A:A,A1179)&gt;0,IF((ABS((SUMIFS(P:P,A:A,A1179)/VLOOKUP("USD",'Exchange Rates'!B:C,2,0)))/S1179)&gt;1,(SUMIFS(P:P,A:A,A1179)-S1179)/S1179,(S1179-SUMIFS(P:P,A:A,A1179))/SUMIFS(P:P,A:A,A1179)),"."),".")</f>
        <v>.</v>
      </c>
      <c r="BA1179" s="182"/>
      <c r="BB1179" s="182"/>
      <c r="BC1179" s="182"/>
      <c r="BD1179" s="182"/>
      <c r="BE1179" s="182"/>
      <c r="BF1179" s="182"/>
      <c r="BG1179" s="182"/>
      <c r="BH1179" s="182"/>
      <c r="BI1179" s="182"/>
      <c r="BJ1179" s="182"/>
      <c r="BK1179" s="182"/>
      <c r="BL1179" s="182"/>
      <c r="BM1179" s="182"/>
      <c r="BN1179" s="182"/>
      <c r="BO1179" s="182"/>
      <c r="BP1179" s="182"/>
      <c r="BQ1179" s="182"/>
      <c r="BR1179" s="182"/>
      <c r="BS1179" s="182"/>
    </row>
    <row r="1180" spans="1:71" ht="15.9" customHeight="1" x14ac:dyDescent="0.3">
      <c r="A1180" s="5" t="s">
        <v>3065</v>
      </c>
      <c r="B1180" s="19" t="s">
        <v>3038</v>
      </c>
      <c r="C1180" s="555">
        <v>44792</v>
      </c>
      <c r="D1180" s="19" t="s">
        <v>285</v>
      </c>
      <c r="E1180" s="5" t="s">
        <v>1328</v>
      </c>
      <c r="F1180" s="175" t="s">
        <v>3232</v>
      </c>
      <c r="G1180" s="15" t="s">
        <v>346</v>
      </c>
      <c r="H1180" s="200">
        <v>775000000</v>
      </c>
      <c r="I1180" s="19" t="s">
        <v>3246</v>
      </c>
      <c r="J1180" s="113" t="str">
        <f>VLOOKUP($I1180,'Price List, Weapons &amp; Items'!B:C,2,0)</f>
        <v>Ammunition for portable defence system</v>
      </c>
      <c r="K1180" s="113" t="str">
        <f>IF(I1180=".",I1180,VLOOKUP($I1180,'Price List, Weapons &amp; Items'!B:D,3,0))</f>
        <v>Light Anti-armor Weapon (LAW) ammunition</v>
      </c>
      <c r="L1180" s="177">
        <f>VLOOKUP(I1180,'Price List, Weapons &amp; Items'!B:E,4,0)</f>
        <v>0</v>
      </c>
      <c r="M1180" s="247">
        <v>1500</v>
      </c>
      <c r="N1180" s="542">
        <v>1500</v>
      </c>
      <c r="O1180" s="543">
        <f>VLOOKUP($I1180,'Price List, Weapons &amp; Items'!B:G,6,0)</f>
        <v>93647</v>
      </c>
      <c r="P1180" s="176">
        <f t="shared" si="274"/>
        <v>140470500</v>
      </c>
      <c r="Q1180" s="176">
        <f t="shared" si="275"/>
        <v>140470500</v>
      </c>
      <c r="R1180" s="176" t="str">
        <f t="shared" si="265"/>
        <v/>
      </c>
      <c r="S1180" s="176" t="str">
        <f>IF(AND(AD1180=1,R1180&lt;&gt;".")=TRUE,R1180/VLOOKUP(G1180,'Exchange Rates'!B:C,2,0),IF(R1180=".",".",""))</f>
        <v/>
      </c>
      <c r="T1180" s="176" t="str">
        <f>IF(AD1180=1,IF(AF1180="Value is not given at all",".",IF(AF1180="Value is given by the source",S1180,IF(AF1180="Value is calculated with prices",(IF(SUMIFS(Q:Q,A:A,A1180)&gt;0,SUMIFS(Q:Q,A:A,A1180),"."))/VLOOKUP("USD",'Exchange Rates'!B:C,2,0),"Error with coding"))),"")</f>
        <v/>
      </c>
      <c r="U1180" s="15" t="s">
        <v>261</v>
      </c>
      <c r="V1180" s="304" t="s">
        <v>3233</v>
      </c>
      <c r="W1180" s="667" t="s">
        <v>3044</v>
      </c>
      <c r="X1180" s="667" t="s">
        <v>3047</v>
      </c>
      <c r="Y1180" s="667" t="s">
        <v>3245</v>
      </c>
      <c r="Z1180" s="199">
        <v>0</v>
      </c>
      <c r="AA1180" s="180">
        <v>0</v>
      </c>
      <c r="AB1180" s="667" t="s">
        <v>3247</v>
      </c>
      <c r="AC1180" s="544" t="str">
        <f>""</f>
        <v/>
      </c>
      <c r="AD1180" s="183">
        <v>0</v>
      </c>
      <c r="AE1180" s="586" t="s">
        <v>264</v>
      </c>
      <c r="AF1180" s="181" t="s">
        <v>264</v>
      </c>
      <c r="AG1180" s="183">
        <v>1</v>
      </c>
      <c r="AH1180" s="183">
        <v>8</v>
      </c>
      <c r="AI1180" s="183">
        <v>0</v>
      </c>
      <c r="AJ1180" s="181">
        <f>VLOOKUP($I1180,'Price List, Weapons &amp; Items'!B:F,5,0)</f>
        <v>0</v>
      </c>
      <c r="AK1180" s="181">
        <f t="shared" si="266"/>
        <v>0</v>
      </c>
      <c r="AL1180" s="181">
        <f t="shared" si="267"/>
        <v>0</v>
      </c>
      <c r="AM1180" s="181">
        <f t="shared" si="268"/>
        <v>0</v>
      </c>
      <c r="AN1180" s="180" t="str">
        <f>VLOOKUP($I1180,'Price List, Weapons &amp; Items'!B:L,COLUMN('Price List, Weapons &amp; Items'!$J$11)-1,0)</f>
        <v>Military media (incl. websites)</v>
      </c>
      <c r="AO1180" s="180" t="str">
        <f>IF(I1180=".",".",VLOOKUP($I1180,'Price List, Weapons &amp; Items'!B:J,3,0))</f>
        <v>Light Anti-armor Weapon (LAW) ammunition</v>
      </c>
      <c r="AP1180" s="545" t="str">
        <f t="shared" ca="1" si="276"/>
        <v/>
      </c>
      <c r="AQ1180" s="180">
        <f>VLOOKUP($I1180,'Price List, Weapons &amp; Items'!B:L,COLUMN('Price List, Weapons &amp; Items'!$L$11)-1,0)</f>
        <v>2</v>
      </c>
      <c r="AR1180" s="180">
        <f t="shared" si="269"/>
        <v>1</v>
      </c>
      <c r="AS1180" s="180">
        <f t="shared" si="270"/>
        <v>1</v>
      </c>
      <c r="AT1180" s="180">
        <f t="shared" si="271"/>
        <v>1</v>
      </c>
      <c r="AU1180" s="180" t="str">
        <f t="shared" si="272"/>
        <v>.</v>
      </c>
      <c r="AV1180" s="180" t="str">
        <f t="shared" si="273"/>
        <v>.</v>
      </c>
      <c r="AW1180" s="180">
        <f>IFERROR(VLOOKUP(B1180,'Share, Heavy Weapons to Ukraine'!B:J,COLUMN('Share, Heavy Weapons to Ukraine'!C1190)-1,0),0)</f>
        <v>1</v>
      </c>
      <c r="AX1180" s="180">
        <f>VLOOKUP('Bilateral Assistance, MAIN DATA'!B1180,'Country Summary'!B:F,COLUMN('Country Summary'!C1193)-1,FALSE)</f>
        <v>0</v>
      </c>
      <c r="AY1180" s="180" t="str">
        <f>IF(AND(AD1180=1,D1180="Military",H1180&lt;&gt;"Not given")=TRUE,IF(SUMIFS(P:P,A:A,A1180)&gt;0,ABS((SUMIFS(P:P,A:A,A1180)/VLOOKUP("USD",'Exchange Rates'!B:C,2,0)))/S1180,"."),".")</f>
        <v>.</v>
      </c>
      <c r="AZ1180" s="182" t="str">
        <f>IF(AND(AD1180=1,D1180="Military",H1180&lt;&gt;"Not given")=TRUE,IF(SUMIFS(P:P,A:A,A1180)&gt;0,IF((ABS((SUMIFS(P:P,A:A,A1180)/VLOOKUP("USD",'Exchange Rates'!B:C,2,0)))/S1180)&gt;1,(SUMIFS(P:P,A:A,A1180)-S1180)/S1180,(S1180-SUMIFS(P:P,A:A,A1180))/SUMIFS(P:P,A:A,A1180)),"."),".")</f>
        <v>.</v>
      </c>
      <c r="BA1180" s="182"/>
      <c r="BB1180" s="182"/>
      <c r="BC1180" s="182"/>
      <c r="BD1180" s="182"/>
      <c r="BE1180" s="182"/>
      <c r="BF1180" s="182"/>
      <c r="BG1180" s="182"/>
      <c r="BH1180" s="182"/>
      <c r="BI1180" s="182"/>
      <c r="BJ1180" s="182"/>
      <c r="BK1180" s="182"/>
      <c r="BL1180" s="182"/>
      <c r="BM1180" s="182"/>
      <c r="BN1180" s="182"/>
      <c r="BO1180" s="182"/>
      <c r="BP1180" s="182"/>
      <c r="BQ1180" s="182"/>
      <c r="BR1180" s="182"/>
      <c r="BS1180" s="182"/>
    </row>
    <row r="1181" spans="1:71" ht="15.9" customHeight="1" x14ac:dyDescent="0.3">
      <c r="A1181" s="5" t="s">
        <v>3065</v>
      </c>
      <c r="B1181" s="19" t="s">
        <v>3038</v>
      </c>
      <c r="C1181" s="555">
        <v>44792</v>
      </c>
      <c r="D1181" s="19" t="s">
        <v>285</v>
      </c>
      <c r="E1181" s="5" t="s">
        <v>1328</v>
      </c>
      <c r="F1181" s="175" t="s">
        <v>3232</v>
      </c>
      <c r="G1181" s="15" t="s">
        <v>346</v>
      </c>
      <c r="H1181" s="200">
        <v>775000000</v>
      </c>
      <c r="I1181" s="19" t="s">
        <v>3248</v>
      </c>
      <c r="J1181" s="113" t="str">
        <f>VLOOKUP($I1181,'Price List, Weapons &amp; Items'!B:C,2,0)</f>
        <v>Portable defence system</v>
      </c>
      <c r="K1181" s="113" t="str">
        <f>IF(I1181=".",I1181,VLOOKUP($I1181,'Price List, Weapons &amp; Items'!B:D,3,0))</f>
        <v>Light Anti-armor Weapon (LAW)</v>
      </c>
      <c r="L1181" s="177">
        <f>VLOOKUP(I1181,'Price List, Weapons &amp; Items'!B:E,4,0)</f>
        <v>0</v>
      </c>
      <c r="M1181" s="247">
        <v>1000</v>
      </c>
      <c r="N1181" s="542">
        <v>1000</v>
      </c>
      <c r="O1181" s="543">
        <f>VLOOKUP($I1181,'Price List, Weapons &amp; Items'!B:G,6,0)</f>
        <v>246216</v>
      </c>
      <c r="P1181" s="176">
        <f t="shared" si="274"/>
        <v>246216000</v>
      </c>
      <c r="Q1181" s="176">
        <f t="shared" si="275"/>
        <v>246216000</v>
      </c>
      <c r="R1181" s="176" t="str">
        <f t="shared" si="265"/>
        <v/>
      </c>
      <c r="S1181" s="176" t="str">
        <f>IF(AND(AD1181=1,R1181&lt;&gt;".")=TRUE,R1181/VLOOKUP(G1181,'Exchange Rates'!B:C,2,0),IF(R1181=".",".",""))</f>
        <v/>
      </c>
      <c r="T1181" s="176" t="str">
        <f>IF(AD1181=1,IF(AF1181="Value is not given at all",".",IF(AF1181="Value is given by the source",S1181,IF(AF1181="Value is calculated with prices",(IF(SUMIFS(Q:Q,A:A,A1181)&gt;0,SUMIFS(Q:Q,A:A,A1181),"."))/VLOOKUP("USD",'Exchange Rates'!B:C,2,0),"Error with coding"))),"")</f>
        <v/>
      </c>
      <c r="U1181" s="15" t="s">
        <v>261</v>
      </c>
      <c r="V1181" s="304" t="s">
        <v>3233</v>
      </c>
      <c r="W1181" s="667" t="s">
        <v>3044</v>
      </c>
      <c r="X1181" s="667" t="s">
        <v>3047</v>
      </c>
      <c r="Y1181" s="667" t="s">
        <v>3247</v>
      </c>
      <c r="Z1181" s="199">
        <v>0</v>
      </c>
      <c r="AA1181" s="180">
        <v>0</v>
      </c>
      <c r="AB1181" s="667" t="s">
        <v>3249</v>
      </c>
      <c r="AC1181" s="544" t="str">
        <f>""</f>
        <v/>
      </c>
      <c r="AD1181" s="183">
        <v>0</v>
      </c>
      <c r="AE1181" s="586" t="s">
        <v>264</v>
      </c>
      <c r="AF1181" s="181" t="s">
        <v>264</v>
      </c>
      <c r="AG1181" s="183">
        <v>1</v>
      </c>
      <c r="AH1181" s="183">
        <v>8</v>
      </c>
      <c r="AI1181" s="183">
        <v>0</v>
      </c>
      <c r="AJ1181" s="181">
        <f>VLOOKUP($I1181,'Price List, Weapons &amp; Items'!B:F,5,0)</f>
        <v>0</v>
      </c>
      <c r="AK1181" s="181">
        <f t="shared" si="266"/>
        <v>0</v>
      </c>
      <c r="AL1181" s="181">
        <f t="shared" si="267"/>
        <v>0</v>
      </c>
      <c r="AM1181" s="181">
        <f t="shared" si="268"/>
        <v>0</v>
      </c>
      <c r="AN1181" s="180" t="str">
        <f>VLOOKUP($I1181,'Price List, Weapons &amp; Items'!B:L,COLUMN('Price List, Weapons &amp; Items'!$J$11)-1,0)</f>
        <v>Government information</v>
      </c>
      <c r="AO1181" s="180" t="str">
        <f>IF(I1181=".",".",VLOOKUP($I1181,'Price List, Weapons &amp; Items'!B:J,3,0))</f>
        <v>Light Anti-armor Weapon (LAW)</v>
      </c>
      <c r="AP1181" s="545" t="str">
        <f t="shared" ca="1" si="276"/>
        <v/>
      </c>
      <c r="AQ1181" s="180">
        <f>VLOOKUP($I1181,'Price List, Weapons &amp; Items'!B:L,COLUMN('Price List, Weapons &amp; Items'!$L$11)-1,0)</f>
        <v>2</v>
      </c>
      <c r="AR1181" s="180">
        <f t="shared" si="269"/>
        <v>1</v>
      </c>
      <c r="AS1181" s="180">
        <f t="shared" si="270"/>
        <v>1</v>
      </c>
      <c r="AT1181" s="180">
        <f t="shared" si="271"/>
        <v>1</v>
      </c>
      <c r="AU1181" s="180" t="str">
        <f t="shared" si="272"/>
        <v>.</v>
      </c>
      <c r="AV1181" s="180" t="str">
        <f t="shared" si="273"/>
        <v>.</v>
      </c>
      <c r="AW1181" s="180">
        <f>IFERROR(VLOOKUP(B1181,'Share, Heavy Weapons to Ukraine'!B:J,COLUMN('Share, Heavy Weapons to Ukraine'!C1191)-1,0),0)</f>
        <v>1</v>
      </c>
      <c r="AX1181" s="180">
        <f>VLOOKUP('Bilateral Assistance, MAIN DATA'!B1181,'Country Summary'!B:F,COLUMN('Country Summary'!C1194)-1,FALSE)</f>
        <v>0</v>
      </c>
      <c r="AY1181" s="180" t="str">
        <f>IF(AND(AD1181=1,D1181="Military",H1181&lt;&gt;"Not given")=TRUE,IF(SUMIFS(P:P,A:A,A1181)&gt;0,ABS((SUMIFS(P:P,A:A,A1181)/VLOOKUP("USD",'Exchange Rates'!B:C,2,0)))/S1181,"."),".")</f>
        <v>.</v>
      </c>
      <c r="AZ1181" s="182" t="str">
        <f>IF(AND(AD1181=1,D1181="Military",H1181&lt;&gt;"Not given")=TRUE,IF(SUMIFS(P:P,A:A,A1181)&gt;0,IF((ABS((SUMIFS(P:P,A:A,A1181)/VLOOKUP("USD",'Exchange Rates'!B:C,2,0)))/S1181)&gt;1,(SUMIFS(P:P,A:A,A1181)-S1181)/S1181,(S1181-SUMIFS(P:P,A:A,A1181))/SUMIFS(P:P,A:A,A1181)),"."),".")</f>
        <v>.</v>
      </c>
      <c r="BA1181" s="182"/>
      <c r="BB1181" s="182"/>
      <c r="BC1181" s="182"/>
      <c r="BD1181" s="182"/>
      <c r="BE1181" s="182"/>
      <c r="BF1181" s="182"/>
      <c r="BG1181" s="182"/>
      <c r="BH1181" s="182"/>
      <c r="BI1181" s="182"/>
      <c r="BJ1181" s="182"/>
      <c r="BK1181" s="182"/>
      <c r="BL1181" s="182"/>
      <c r="BM1181" s="182"/>
      <c r="BN1181" s="182"/>
      <c r="BO1181" s="182"/>
      <c r="BP1181" s="182"/>
      <c r="BQ1181" s="182"/>
      <c r="BR1181" s="182"/>
      <c r="BS1181" s="182"/>
    </row>
    <row r="1182" spans="1:71" ht="15.9" customHeight="1" x14ac:dyDescent="0.3">
      <c r="A1182" s="5" t="s">
        <v>3065</v>
      </c>
      <c r="B1182" s="19" t="s">
        <v>3038</v>
      </c>
      <c r="C1182" s="555">
        <v>44792</v>
      </c>
      <c r="D1182" s="19" t="s">
        <v>285</v>
      </c>
      <c r="E1182" s="5" t="s">
        <v>1328</v>
      </c>
      <c r="F1182" s="175" t="s">
        <v>3232</v>
      </c>
      <c r="G1182" s="15" t="s">
        <v>346</v>
      </c>
      <c r="H1182" s="200">
        <v>775000000</v>
      </c>
      <c r="I1182" s="19" t="s">
        <v>3250</v>
      </c>
      <c r="J1182" s="113" t="str">
        <f>VLOOKUP($I1182,'Price List, Weapons &amp; Items'!B:C,2,0)</f>
        <v>Ammunition for portable defence system</v>
      </c>
      <c r="K1182" s="113" t="str">
        <f>IF(I1182=".",I1182,VLOOKUP($I1182,'Price List, Weapons &amp; Items'!B:D,3,0))</f>
        <v>Light Anti-armor Weapon (LAW) ammunition</v>
      </c>
      <c r="L1182" s="177">
        <f>VLOOKUP(I1182,'Price List, Weapons &amp; Items'!B:E,4,0)</f>
        <v>0</v>
      </c>
      <c r="M1182" s="247">
        <v>2000</v>
      </c>
      <c r="N1182" s="542">
        <v>2000</v>
      </c>
      <c r="O1182" s="543">
        <f>VLOOKUP($I1182,'Price List, Weapons &amp; Items'!B:G,6,0)</f>
        <v>78000</v>
      </c>
      <c r="P1182" s="176">
        <f t="shared" si="274"/>
        <v>156000000</v>
      </c>
      <c r="Q1182" s="176">
        <f t="shared" si="275"/>
        <v>156000000</v>
      </c>
      <c r="R1182" s="176" t="str">
        <f t="shared" si="265"/>
        <v/>
      </c>
      <c r="S1182" s="176" t="str">
        <f>IF(AND(AD1182=1,R1182&lt;&gt;".")=TRUE,R1182/VLOOKUP(G1182,'Exchange Rates'!B:C,2,0),IF(R1182=".",".",""))</f>
        <v/>
      </c>
      <c r="T1182" s="176" t="str">
        <f>IF(AD1182=1,IF(AF1182="Value is not given at all",".",IF(AF1182="Value is given by the source",S1182,IF(AF1182="Value is calculated with prices",(IF(SUMIFS(Q:Q,A:A,A1182)&gt;0,SUMIFS(Q:Q,A:A,A1182),"."))/VLOOKUP("USD",'Exchange Rates'!B:C,2,0),"Error with coding"))),"")</f>
        <v/>
      </c>
      <c r="U1182" s="15" t="s">
        <v>261</v>
      </c>
      <c r="V1182" s="304" t="s">
        <v>3233</v>
      </c>
      <c r="W1182" s="667" t="s">
        <v>3044</v>
      </c>
      <c r="X1182" s="667" t="s">
        <v>3047</v>
      </c>
      <c r="Y1182" s="667" t="s">
        <v>3249</v>
      </c>
      <c r="Z1182" s="199">
        <v>0</v>
      </c>
      <c r="AA1182" s="180">
        <v>0</v>
      </c>
      <c r="AB1182" s="667" t="s">
        <v>3251</v>
      </c>
      <c r="AC1182" s="544" t="str">
        <f>""</f>
        <v/>
      </c>
      <c r="AD1182" s="183">
        <v>0</v>
      </c>
      <c r="AE1182" s="586" t="s">
        <v>264</v>
      </c>
      <c r="AF1182" s="181" t="s">
        <v>264</v>
      </c>
      <c r="AG1182" s="183">
        <v>1</v>
      </c>
      <c r="AH1182" s="183">
        <v>8</v>
      </c>
      <c r="AI1182" s="183">
        <v>0</v>
      </c>
      <c r="AJ1182" s="181">
        <f>VLOOKUP($I1182,'Price List, Weapons &amp; Items'!B:F,5,0)</f>
        <v>0</v>
      </c>
      <c r="AK1182" s="181">
        <f t="shared" si="266"/>
        <v>0</v>
      </c>
      <c r="AL1182" s="181">
        <f t="shared" si="267"/>
        <v>0</v>
      </c>
      <c r="AM1182" s="181">
        <f t="shared" si="268"/>
        <v>0</v>
      </c>
      <c r="AN1182" s="180" t="str">
        <f>VLOOKUP($I1182,'Price List, Weapons &amp; Items'!B:L,COLUMN('Price List, Weapons &amp; Items'!$J$11)-1,0)</f>
        <v>Military media (incl. websites)</v>
      </c>
      <c r="AO1182" s="180" t="str">
        <f>IF(I1182=".",".",VLOOKUP($I1182,'Price List, Weapons &amp; Items'!B:J,3,0))</f>
        <v>Light Anti-armor Weapon (LAW) ammunition</v>
      </c>
      <c r="AP1182" s="545" t="str">
        <f t="shared" ca="1" si="276"/>
        <v/>
      </c>
      <c r="AQ1182" s="180">
        <f>VLOOKUP($I1182,'Price List, Weapons &amp; Items'!B:L,COLUMN('Price List, Weapons &amp; Items'!$L$11)-1,0)</f>
        <v>2</v>
      </c>
      <c r="AR1182" s="180">
        <f t="shared" si="269"/>
        <v>1</v>
      </c>
      <c r="AS1182" s="180">
        <f t="shared" si="270"/>
        <v>1</v>
      </c>
      <c r="AT1182" s="180">
        <f t="shared" si="271"/>
        <v>1</v>
      </c>
      <c r="AU1182" s="180" t="str">
        <f t="shared" si="272"/>
        <v>.</v>
      </c>
      <c r="AV1182" s="180" t="str">
        <f t="shared" si="273"/>
        <v>.</v>
      </c>
      <c r="AW1182" s="180">
        <f>IFERROR(VLOOKUP(B1182,'Share, Heavy Weapons to Ukraine'!B:J,COLUMN('Share, Heavy Weapons to Ukraine'!C1192)-1,0),0)</f>
        <v>1</v>
      </c>
      <c r="AX1182" s="180">
        <f>VLOOKUP('Bilateral Assistance, MAIN DATA'!B1182,'Country Summary'!B:F,COLUMN('Country Summary'!C1195)-1,FALSE)</f>
        <v>0</v>
      </c>
      <c r="AY1182" s="180" t="str">
        <f>IF(AND(AD1182=1,D1182="Military",H1182&lt;&gt;"Not given")=TRUE,IF(SUMIFS(P:P,A:A,A1182)&gt;0,ABS((SUMIFS(P:P,A:A,A1182)/VLOOKUP("USD",'Exchange Rates'!B:C,2,0)))/S1182,"."),".")</f>
        <v>.</v>
      </c>
      <c r="AZ1182" s="182" t="str">
        <f>IF(AND(AD1182=1,D1182="Military",H1182&lt;&gt;"Not given")=TRUE,IF(SUMIFS(P:P,A:A,A1182)&gt;0,IF((ABS((SUMIFS(P:P,A:A,A1182)/VLOOKUP("USD",'Exchange Rates'!B:C,2,0)))/S1182)&gt;1,(SUMIFS(P:P,A:A,A1182)-S1182)/S1182,(S1182-SUMIFS(P:P,A:A,A1182))/SUMIFS(P:P,A:A,A1182)),"."),".")</f>
        <v>.</v>
      </c>
      <c r="BA1182" s="182"/>
      <c r="BB1182" s="182"/>
      <c r="BC1182" s="182"/>
      <c r="BD1182" s="182"/>
      <c r="BE1182" s="182"/>
      <c r="BF1182" s="182"/>
      <c r="BG1182" s="182"/>
      <c r="BH1182" s="182"/>
      <c r="BI1182" s="182"/>
      <c r="BJ1182" s="182"/>
      <c r="BK1182" s="182"/>
      <c r="BL1182" s="182"/>
      <c r="BM1182" s="182"/>
      <c r="BN1182" s="182"/>
      <c r="BO1182" s="182"/>
      <c r="BP1182" s="182"/>
      <c r="BQ1182" s="182"/>
      <c r="BR1182" s="182"/>
      <c r="BS1182" s="182"/>
    </row>
    <row r="1183" spans="1:71" ht="15.9" customHeight="1" x14ac:dyDescent="0.3">
      <c r="A1183" s="5" t="s">
        <v>3065</v>
      </c>
      <c r="B1183" s="19" t="s">
        <v>3038</v>
      </c>
      <c r="C1183" s="555">
        <v>44792</v>
      </c>
      <c r="D1183" s="19" t="s">
        <v>285</v>
      </c>
      <c r="E1183" s="5" t="s">
        <v>1328</v>
      </c>
      <c r="F1183" s="175" t="s">
        <v>3232</v>
      </c>
      <c r="G1183" s="15" t="s">
        <v>346</v>
      </c>
      <c r="H1183" s="200">
        <v>775000000</v>
      </c>
      <c r="I1183" s="19" t="s">
        <v>3252</v>
      </c>
      <c r="J1183" s="113" t="str">
        <f>VLOOKUP($I1183,'Price List, Weapons &amp; Items'!B:C,2,0)</f>
        <v>Military equipment</v>
      </c>
      <c r="K1183" s="113" t="str">
        <f>IF(I1183=".",I1183,VLOOKUP($I1183,'Price List, Weapons &amp; Items'!B:D,3,0))</f>
        <v>Military equipment</v>
      </c>
      <c r="L1183" s="177">
        <f>VLOOKUP(I1183,'Price List, Weapons &amp; Items'!B:E,4,0)</f>
        <v>0</v>
      </c>
      <c r="M1183" s="247" t="s">
        <v>270</v>
      </c>
      <c r="N1183" s="542" t="s">
        <v>270</v>
      </c>
      <c r="O1183" s="543" t="str">
        <f>VLOOKUP($I1183,'Price List, Weapons &amp; Items'!B:G,6,0)</f>
        <v>.</v>
      </c>
      <c r="P1183" s="176" t="str">
        <f t="shared" si="274"/>
        <v>.</v>
      </c>
      <c r="Q1183" s="176" t="str">
        <f t="shared" si="275"/>
        <v>.</v>
      </c>
      <c r="R1183" s="176" t="str">
        <f t="shared" si="265"/>
        <v/>
      </c>
      <c r="S1183" s="176" t="str">
        <f>IF(AND(AD1183=1,R1183&lt;&gt;".")=TRUE,R1183/VLOOKUP(G1183,'Exchange Rates'!B:C,2,0),IF(R1183=".",".",""))</f>
        <v/>
      </c>
      <c r="T1183" s="176" t="str">
        <f>IF(AD1183=1,IF(AF1183="Value is not given at all",".",IF(AF1183="Value is given by the source",S1183,IF(AF1183="Value is calculated with prices",(IF(SUMIFS(Q:Q,A:A,A1183)&gt;0,SUMIFS(Q:Q,A:A,A1183),"."))/VLOOKUP("USD",'Exchange Rates'!B:C,2,0),"Error with coding"))),"")</f>
        <v/>
      </c>
      <c r="U1183" s="15" t="s">
        <v>261</v>
      </c>
      <c r="V1183" s="304" t="s">
        <v>3233</v>
      </c>
      <c r="W1183" s="667" t="s">
        <v>3044</v>
      </c>
      <c r="X1183" s="667" t="s">
        <v>3047</v>
      </c>
      <c r="Y1183" s="667" t="s">
        <v>3251</v>
      </c>
      <c r="Z1183" s="199">
        <v>0</v>
      </c>
      <c r="AA1183" s="180">
        <v>0</v>
      </c>
      <c r="AB1183" s="667" t="s">
        <v>3253</v>
      </c>
      <c r="AC1183" s="544" t="str">
        <f>""</f>
        <v/>
      </c>
      <c r="AD1183" s="183">
        <v>0</v>
      </c>
      <c r="AE1183" s="586" t="s">
        <v>264</v>
      </c>
      <c r="AF1183" s="181" t="s">
        <v>264</v>
      </c>
      <c r="AG1183" s="183">
        <v>1</v>
      </c>
      <c r="AH1183" s="183">
        <v>8</v>
      </c>
      <c r="AI1183" s="183">
        <v>0</v>
      </c>
      <c r="AJ1183" s="181">
        <f>VLOOKUP($I1183,'Price List, Weapons &amp; Items'!B:F,5,0)</f>
        <v>0</v>
      </c>
      <c r="AK1183" s="181">
        <f t="shared" si="266"/>
        <v>0</v>
      </c>
      <c r="AL1183" s="181">
        <f t="shared" si="267"/>
        <v>0</v>
      </c>
      <c r="AM1183" s="181">
        <f t="shared" si="268"/>
        <v>0</v>
      </c>
      <c r="AN1183" s="180" t="str">
        <f>VLOOKUP($I1183,'Price List, Weapons &amp; Items'!B:L,COLUMN('Price List, Weapons &amp; Items'!$J$11)-1,0)</f>
        <v>.</v>
      </c>
      <c r="AO1183" s="180" t="str">
        <f>IF(I1183=".",".",VLOOKUP($I1183,'Price List, Weapons &amp; Items'!B:J,3,0))</f>
        <v>Military equipment</v>
      </c>
      <c r="AP1183" s="545" t="str">
        <f t="shared" ca="1" si="276"/>
        <v/>
      </c>
      <c r="AQ1183" s="180" t="str">
        <f>VLOOKUP($I1183,'Price List, Weapons &amp; Items'!B:L,COLUMN('Price List, Weapons &amp; Items'!$L$11)-1,0)</f>
        <v>no price, 0 count</v>
      </c>
      <c r="AR1183" s="180">
        <f t="shared" si="269"/>
        <v>1</v>
      </c>
      <c r="AS1183" s="180">
        <f t="shared" si="270"/>
        <v>1</v>
      </c>
      <c r="AT1183" s="180">
        <f t="shared" si="271"/>
        <v>1</v>
      </c>
      <c r="AU1183" s="180" t="str">
        <f t="shared" si="272"/>
        <v>.</v>
      </c>
      <c r="AV1183" s="180" t="str">
        <f t="shared" si="273"/>
        <v>.</v>
      </c>
      <c r="AW1183" s="180">
        <f>IFERROR(VLOOKUP(B1183,'Share, Heavy Weapons to Ukraine'!B:J,COLUMN('Share, Heavy Weapons to Ukraine'!C1193)-1,0),0)</f>
        <v>1</v>
      </c>
      <c r="AX1183" s="180">
        <f>VLOOKUP('Bilateral Assistance, MAIN DATA'!B1183,'Country Summary'!B:F,COLUMN('Country Summary'!C1196)-1,FALSE)</f>
        <v>0</v>
      </c>
      <c r="AY1183" s="180" t="str">
        <f>IF(AND(AD1183=1,D1183="Military",H1183&lt;&gt;"Not given")=TRUE,IF(SUMIFS(P:P,A:A,A1183)&gt;0,ABS((SUMIFS(P:P,A:A,A1183)/VLOOKUP("USD",'Exchange Rates'!B:C,2,0)))/S1183,"."),".")</f>
        <v>.</v>
      </c>
      <c r="AZ1183" s="182" t="str">
        <f>IF(AND(AD1183=1,D1183="Military",H1183&lt;&gt;"Not given")=TRUE,IF(SUMIFS(P:P,A:A,A1183)&gt;0,IF((ABS((SUMIFS(P:P,A:A,A1183)/VLOOKUP("USD",'Exchange Rates'!B:C,2,0)))/S1183)&gt;1,(SUMIFS(P:P,A:A,A1183)-S1183)/S1183,(S1183-SUMIFS(P:P,A:A,A1183))/SUMIFS(P:P,A:A,A1183)),"."),".")</f>
        <v>.</v>
      </c>
      <c r="BA1183" s="182"/>
      <c r="BB1183" s="182"/>
      <c r="BC1183" s="182"/>
      <c r="BD1183" s="182"/>
      <c r="BE1183" s="182"/>
      <c r="BF1183" s="182"/>
      <c r="BG1183" s="182"/>
      <c r="BH1183" s="182"/>
      <c r="BI1183" s="182"/>
      <c r="BJ1183" s="182"/>
      <c r="BK1183" s="182"/>
      <c r="BL1183" s="182"/>
      <c r="BM1183" s="182"/>
      <c r="BN1183" s="182"/>
      <c r="BO1183" s="182"/>
      <c r="BP1183" s="182"/>
      <c r="BQ1183" s="182"/>
      <c r="BR1183" s="182"/>
      <c r="BS1183" s="182"/>
    </row>
    <row r="1184" spans="1:71" ht="15.9" customHeight="1" x14ac:dyDescent="0.3">
      <c r="A1184" s="5" t="s">
        <v>3065</v>
      </c>
      <c r="B1184" s="19" t="s">
        <v>3038</v>
      </c>
      <c r="C1184" s="555">
        <v>44792</v>
      </c>
      <c r="D1184" s="19" t="s">
        <v>285</v>
      </c>
      <c r="E1184" s="5" t="s">
        <v>1328</v>
      </c>
      <c r="F1184" s="175" t="s">
        <v>3232</v>
      </c>
      <c r="G1184" s="15" t="s">
        <v>346</v>
      </c>
      <c r="H1184" s="200">
        <v>775000000</v>
      </c>
      <c r="I1184" s="19" t="s">
        <v>3254</v>
      </c>
      <c r="J1184" s="113" t="str">
        <f>VLOOKUP($I1184,'Price List, Weapons &amp; Items'!B:C,2,0)</f>
        <v>Military equipment</v>
      </c>
      <c r="K1184" s="113" t="str">
        <f>IF(I1184=".",I1184,VLOOKUP($I1184,'Price List, Weapons &amp; Items'!B:D,3,0))</f>
        <v>Military equipment</v>
      </c>
      <c r="L1184" s="177">
        <f>VLOOKUP(I1184,'Price List, Weapons &amp; Items'!B:E,4,0)</f>
        <v>0</v>
      </c>
      <c r="M1184" s="247" t="s">
        <v>270</v>
      </c>
      <c r="N1184" s="542" t="s">
        <v>270</v>
      </c>
      <c r="O1184" s="543">
        <f>VLOOKUP($I1184,'Price List, Weapons &amp; Items'!B:G,6,0)</f>
        <v>90</v>
      </c>
      <c r="P1184" s="176" t="str">
        <f t="shared" si="274"/>
        <v>.</v>
      </c>
      <c r="Q1184" s="176" t="str">
        <f t="shared" si="275"/>
        <v>.</v>
      </c>
      <c r="R1184" s="176" t="str">
        <f t="shared" si="265"/>
        <v/>
      </c>
      <c r="S1184" s="176" t="str">
        <f>IF(AND(AD1184=1,R1184&lt;&gt;".")=TRUE,R1184/VLOOKUP(G1184,'Exchange Rates'!B:C,2,0),IF(R1184=".",".",""))</f>
        <v/>
      </c>
      <c r="T1184" s="176" t="str">
        <f>IF(AD1184=1,IF(AF1184="Value is not given at all",".",IF(AF1184="Value is given by the source",S1184,IF(AF1184="Value is calculated with prices",(IF(SUMIFS(Q:Q,A:A,A1184)&gt;0,SUMIFS(Q:Q,A:A,A1184),"."))/VLOOKUP("USD",'Exchange Rates'!B:C,2,0),"Error with coding"))),"")</f>
        <v/>
      </c>
      <c r="U1184" s="15" t="s">
        <v>261</v>
      </c>
      <c r="V1184" s="304" t="s">
        <v>3233</v>
      </c>
      <c r="W1184" s="667" t="s">
        <v>3044</v>
      </c>
      <c r="X1184" s="667" t="s">
        <v>3047</v>
      </c>
      <c r="Y1184" s="667" t="s">
        <v>3253</v>
      </c>
      <c r="Z1184" s="199">
        <v>0</v>
      </c>
      <c r="AA1184" s="180">
        <v>0</v>
      </c>
      <c r="AB1184" s="667" t="s">
        <v>3255</v>
      </c>
      <c r="AC1184" s="544" t="str">
        <f>""</f>
        <v/>
      </c>
      <c r="AD1184" s="183">
        <v>0</v>
      </c>
      <c r="AE1184" s="586" t="s">
        <v>264</v>
      </c>
      <c r="AF1184" s="181" t="s">
        <v>264</v>
      </c>
      <c r="AG1184" s="183">
        <v>1</v>
      </c>
      <c r="AH1184" s="183">
        <v>8</v>
      </c>
      <c r="AI1184" s="183">
        <v>0</v>
      </c>
      <c r="AJ1184" s="181">
        <f>VLOOKUP($I1184,'Price List, Weapons &amp; Items'!B:F,5,0)</f>
        <v>0</v>
      </c>
      <c r="AK1184" s="181">
        <f t="shared" si="266"/>
        <v>0</v>
      </c>
      <c r="AL1184" s="181">
        <f t="shared" si="267"/>
        <v>0</v>
      </c>
      <c r="AM1184" s="181">
        <f t="shared" si="268"/>
        <v>0</v>
      </c>
      <c r="AN1184" s="180" t="str">
        <f>VLOOKUP($I1184,'Price List, Weapons &amp; Items'!B:L,COLUMN('Price List, Weapons &amp; Items'!$J$11)-1,0)</f>
        <v>Media reports (incl. social media)</v>
      </c>
      <c r="AO1184" s="180" t="str">
        <f>IF(I1184=".",".",VLOOKUP($I1184,'Price List, Weapons &amp; Items'!B:J,3,0))</f>
        <v>Military equipment</v>
      </c>
      <c r="AP1184" s="545" t="str">
        <f t="shared" ca="1" si="276"/>
        <v/>
      </c>
      <c r="AQ1184" s="180" t="str">
        <f>VLOOKUP($I1184,'Price List, Weapons &amp; Items'!B:L,COLUMN('Price List, Weapons &amp; Items'!$L$11)-1,0)</f>
        <v>no price, 0 count</v>
      </c>
      <c r="AR1184" s="180">
        <f t="shared" si="269"/>
        <v>1</v>
      </c>
      <c r="AS1184" s="180">
        <f t="shared" si="270"/>
        <v>1</v>
      </c>
      <c r="AT1184" s="180">
        <f t="shared" si="271"/>
        <v>1</v>
      </c>
      <c r="AU1184" s="180" t="str">
        <f t="shared" si="272"/>
        <v>.</v>
      </c>
      <c r="AV1184" s="180" t="str">
        <f t="shared" si="273"/>
        <v>.</v>
      </c>
      <c r="AW1184" s="180">
        <f>IFERROR(VLOOKUP(B1184,'Share, Heavy Weapons to Ukraine'!B:J,COLUMN('Share, Heavy Weapons to Ukraine'!C1194)-1,0),0)</f>
        <v>1</v>
      </c>
      <c r="AX1184" s="180">
        <f>VLOOKUP('Bilateral Assistance, MAIN DATA'!B1184,'Country Summary'!B:F,COLUMN('Country Summary'!C1197)-1,FALSE)</f>
        <v>0</v>
      </c>
      <c r="AY1184" s="180" t="str">
        <f>IF(AND(AD1184=1,D1184="Military",H1184&lt;&gt;"Not given")=TRUE,IF(SUMIFS(P:P,A:A,A1184)&gt;0,ABS((SUMIFS(P:P,A:A,A1184)/VLOOKUP("USD",'Exchange Rates'!B:C,2,0)))/S1184,"."),".")</f>
        <v>.</v>
      </c>
      <c r="AZ1184" s="182" t="str">
        <f>IF(AND(AD1184=1,D1184="Military",H1184&lt;&gt;"Not given")=TRUE,IF(SUMIFS(P:P,A:A,A1184)&gt;0,IF((ABS((SUMIFS(P:P,A:A,A1184)/VLOOKUP("USD",'Exchange Rates'!B:C,2,0)))/S1184)&gt;1,(SUMIFS(P:P,A:A,A1184)-S1184)/S1184,(S1184-SUMIFS(P:P,A:A,A1184))/SUMIFS(P:P,A:A,A1184)),"."),".")</f>
        <v>.</v>
      </c>
      <c r="BA1184" s="182"/>
      <c r="BB1184" s="182"/>
      <c r="BC1184" s="182"/>
      <c r="BD1184" s="182"/>
      <c r="BE1184" s="182"/>
      <c r="BF1184" s="182"/>
      <c r="BG1184" s="182"/>
      <c r="BH1184" s="182"/>
      <c r="BI1184" s="182"/>
      <c r="BJ1184" s="182"/>
      <c r="BK1184" s="182"/>
      <c r="BL1184" s="182"/>
      <c r="BM1184" s="182"/>
      <c r="BN1184" s="182"/>
      <c r="BO1184" s="182"/>
      <c r="BP1184" s="182"/>
      <c r="BQ1184" s="182"/>
      <c r="BR1184" s="182"/>
      <c r="BS1184" s="182"/>
    </row>
    <row r="1185" spans="1:71" ht="15.9" customHeight="1" x14ac:dyDescent="0.3">
      <c r="A1185" s="5" t="s">
        <v>3065</v>
      </c>
      <c r="B1185" s="19" t="s">
        <v>3038</v>
      </c>
      <c r="C1185" s="555">
        <v>44792</v>
      </c>
      <c r="D1185" s="19" t="s">
        <v>285</v>
      </c>
      <c r="E1185" s="5" t="s">
        <v>1328</v>
      </c>
      <c r="F1185" s="175" t="s">
        <v>3232</v>
      </c>
      <c r="G1185" s="15" t="s">
        <v>346</v>
      </c>
      <c r="H1185" s="200">
        <v>775000000</v>
      </c>
      <c r="I1185" s="19" t="s">
        <v>2035</v>
      </c>
      <c r="J1185" s="113" t="str">
        <f>VLOOKUP($I1185,'Price List, Weapons &amp; Items'!B:C,2,0)</f>
        <v>Military equipment</v>
      </c>
      <c r="K1185" s="113" t="str">
        <f>IF(I1185=".",I1185,VLOOKUP($I1185,'Price List, Weapons &amp; Items'!B:D,3,0))</f>
        <v>Military equipment</v>
      </c>
      <c r="L1185" s="177">
        <f>VLOOKUP(I1185,'Price List, Weapons &amp; Items'!B:E,4,0)</f>
        <v>0</v>
      </c>
      <c r="M1185" s="247" t="s">
        <v>270</v>
      </c>
      <c r="N1185" s="542" t="s">
        <v>270</v>
      </c>
      <c r="O1185" s="543" t="str">
        <f>VLOOKUP($I1185,'Price List, Weapons &amp; Items'!B:G,6,0)</f>
        <v>.</v>
      </c>
      <c r="P1185" s="176" t="str">
        <f t="shared" si="274"/>
        <v>.</v>
      </c>
      <c r="Q1185" s="176" t="str">
        <f t="shared" si="275"/>
        <v>.</v>
      </c>
      <c r="R1185" s="176" t="str">
        <f t="shared" si="265"/>
        <v/>
      </c>
      <c r="S1185" s="176" t="str">
        <f>IF(AND(AD1185=1,R1185&lt;&gt;".")=TRUE,R1185/VLOOKUP(G1185,'Exchange Rates'!B:C,2,0),IF(R1185=".",".",""))</f>
        <v/>
      </c>
      <c r="T1185" s="176" t="str">
        <f>IF(AD1185=1,IF(AF1185="Value is not given at all",".",IF(AF1185="Value is given by the source",S1185,IF(AF1185="Value is calculated with prices",(IF(SUMIFS(Q:Q,A:A,A1185)&gt;0,SUMIFS(Q:Q,A:A,A1185),"."))/VLOOKUP("USD",'Exchange Rates'!B:C,2,0),"Error with coding"))),"")</f>
        <v/>
      </c>
      <c r="U1185" s="15" t="s">
        <v>261</v>
      </c>
      <c r="V1185" s="304" t="s">
        <v>3233</v>
      </c>
      <c r="W1185" s="667" t="s">
        <v>3044</v>
      </c>
      <c r="X1185" s="667" t="s">
        <v>3047</v>
      </c>
      <c r="Y1185" s="667" t="s">
        <v>3255</v>
      </c>
      <c r="Z1185" s="199">
        <v>0</v>
      </c>
      <c r="AA1185" s="180">
        <v>0</v>
      </c>
      <c r="AB1185" s="667" t="s">
        <v>3256</v>
      </c>
      <c r="AC1185" s="544" t="str">
        <f>""</f>
        <v/>
      </c>
      <c r="AD1185" s="183">
        <v>0</v>
      </c>
      <c r="AE1185" s="586" t="s">
        <v>264</v>
      </c>
      <c r="AF1185" s="181" t="s">
        <v>264</v>
      </c>
      <c r="AG1185" s="183">
        <v>1</v>
      </c>
      <c r="AH1185" s="183">
        <v>8</v>
      </c>
      <c r="AI1185" s="183">
        <v>0</v>
      </c>
      <c r="AJ1185" s="181">
        <f>VLOOKUP($I1185,'Price List, Weapons &amp; Items'!B:F,5,0)</f>
        <v>0</v>
      </c>
      <c r="AK1185" s="181">
        <f t="shared" si="266"/>
        <v>0</v>
      </c>
      <c r="AL1185" s="181">
        <f t="shared" si="267"/>
        <v>0</v>
      </c>
      <c r="AM1185" s="181">
        <f t="shared" si="268"/>
        <v>0</v>
      </c>
      <c r="AN1185" s="180" t="str">
        <f>VLOOKUP($I1185,'Price List, Weapons &amp; Items'!B:L,COLUMN('Price List, Weapons &amp; Items'!$J$11)-1,0)</f>
        <v>.</v>
      </c>
      <c r="AO1185" s="180" t="str">
        <f>IF(I1185=".",".",VLOOKUP($I1185,'Price List, Weapons &amp; Items'!B:J,3,0))</f>
        <v>Military equipment</v>
      </c>
      <c r="AP1185" s="545" t="str">
        <f t="shared" ca="1" si="276"/>
        <v/>
      </c>
      <c r="AQ1185" s="180">
        <f>VLOOKUP($I1185,'Price List, Weapons &amp; Items'!B:L,COLUMN('Price List, Weapons &amp; Items'!$L$11)-1,0)</f>
        <v>0</v>
      </c>
      <c r="AR1185" s="180">
        <f t="shared" si="269"/>
        <v>1</v>
      </c>
      <c r="AS1185" s="180">
        <f t="shared" si="270"/>
        <v>1</v>
      </c>
      <c r="AT1185" s="180">
        <f t="shared" si="271"/>
        <v>1</v>
      </c>
      <c r="AU1185" s="180" t="str">
        <f t="shared" si="272"/>
        <v>.</v>
      </c>
      <c r="AV1185" s="180" t="str">
        <f t="shared" si="273"/>
        <v>.</v>
      </c>
      <c r="AW1185" s="180">
        <f>IFERROR(VLOOKUP(B1185,'Share, Heavy Weapons to Ukraine'!B:J,COLUMN('Share, Heavy Weapons to Ukraine'!C1195)-1,0),0)</f>
        <v>1</v>
      </c>
      <c r="AX1185" s="180">
        <f>VLOOKUP('Bilateral Assistance, MAIN DATA'!B1185,'Country Summary'!B:F,COLUMN('Country Summary'!C1198)-1,FALSE)</f>
        <v>0</v>
      </c>
      <c r="AY1185" s="180" t="str">
        <f>IF(AND(AD1185=1,D1185="Military",H1185&lt;&gt;"Not given")=TRUE,IF(SUMIFS(P:P,A:A,A1185)&gt;0,ABS((SUMIFS(P:P,A:A,A1185)/VLOOKUP("USD",'Exchange Rates'!B:C,2,0)))/S1185,"."),".")</f>
        <v>.</v>
      </c>
      <c r="AZ1185" s="182" t="str">
        <f>IF(AND(AD1185=1,D1185="Military",H1185&lt;&gt;"Not given")=TRUE,IF(SUMIFS(P:P,A:A,A1185)&gt;0,IF((ABS((SUMIFS(P:P,A:A,A1185)/VLOOKUP("USD",'Exchange Rates'!B:C,2,0)))/S1185)&gt;1,(SUMIFS(P:P,A:A,A1185)-S1185)/S1185,(S1185-SUMIFS(P:P,A:A,A1185))/SUMIFS(P:P,A:A,A1185)),"."),".")</f>
        <v>.</v>
      </c>
      <c r="BA1185" s="182"/>
      <c r="BB1185" s="182"/>
      <c r="BC1185" s="182"/>
      <c r="BD1185" s="182"/>
      <c r="BE1185" s="182"/>
      <c r="BF1185" s="182"/>
      <c r="BG1185" s="182"/>
      <c r="BH1185" s="182"/>
      <c r="BI1185" s="182"/>
      <c r="BJ1185" s="182"/>
      <c r="BK1185" s="182"/>
      <c r="BL1185" s="182"/>
      <c r="BM1185" s="182"/>
      <c r="BN1185" s="182"/>
      <c r="BO1185" s="182"/>
      <c r="BP1185" s="182"/>
      <c r="BQ1185" s="182"/>
      <c r="BR1185" s="182"/>
      <c r="BS1185" s="182"/>
    </row>
    <row r="1186" spans="1:71" ht="15.9" customHeight="1" x14ac:dyDescent="0.3">
      <c r="A1186" s="5" t="s">
        <v>3065</v>
      </c>
      <c r="B1186" s="19" t="s">
        <v>3038</v>
      </c>
      <c r="C1186" s="555">
        <v>44792</v>
      </c>
      <c r="D1186" s="19" t="s">
        <v>285</v>
      </c>
      <c r="E1186" s="5" t="s">
        <v>1328</v>
      </c>
      <c r="F1186" s="175" t="s">
        <v>3232</v>
      </c>
      <c r="G1186" s="15" t="s">
        <v>346</v>
      </c>
      <c r="H1186" s="200">
        <v>775000000</v>
      </c>
      <c r="I1186" s="19" t="s">
        <v>2259</v>
      </c>
      <c r="J1186" s="113" t="str">
        <f>VLOOKUP($I1186,'Price List, Weapons &amp; Items'!B:C,2,0)</f>
        <v>Military equipment</v>
      </c>
      <c r="K1186" s="113" t="str">
        <f>IF(I1186=".",I1186,VLOOKUP($I1186,'Price List, Weapons &amp; Items'!B:D,3,0))</f>
        <v>Military equipment</v>
      </c>
      <c r="L1186" s="177">
        <f>VLOOKUP(I1186,'Price List, Weapons &amp; Items'!B:E,4,0)</f>
        <v>0</v>
      </c>
      <c r="M1186" s="247" t="s">
        <v>270</v>
      </c>
      <c r="N1186" s="542" t="s">
        <v>270</v>
      </c>
      <c r="O1186" s="543">
        <f>VLOOKUP($I1186,'Price List, Weapons &amp; Items'!B:G,6,0)</f>
        <v>2320</v>
      </c>
      <c r="P1186" s="176" t="str">
        <f t="shared" si="274"/>
        <v>.</v>
      </c>
      <c r="Q1186" s="176" t="str">
        <f t="shared" si="275"/>
        <v>.</v>
      </c>
      <c r="R1186" s="176" t="str">
        <f t="shared" si="265"/>
        <v/>
      </c>
      <c r="S1186" s="176" t="str">
        <f>IF(AND(AD1186=1,R1186&lt;&gt;".")=TRUE,R1186/VLOOKUP(G1186,'Exchange Rates'!B:C,2,0),IF(R1186=".",".",""))</f>
        <v/>
      </c>
      <c r="T1186" s="176" t="str">
        <f>IF(AD1186=1,IF(AF1186="Value is not given at all",".",IF(AF1186="Value is given by the source",S1186,IF(AF1186="Value is calculated with prices",(IF(SUMIFS(Q:Q,A:A,A1186)&gt;0,SUMIFS(Q:Q,A:A,A1186),"."))/VLOOKUP("USD",'Exchange Rates'!B:C,2,0),"Error with coding"))),"")</f>
        <v/>
      </c>
      <c r="U1186" s="15" t="s">
        <v>261</v>
      </c>
      <c r="V1186" s="304" t="s">
        <v>3233</v>
      </c>
      <c r="W1186" s="667" t="s">
        <v>3044</v>
      </c>
      <c r="X1186" s="667" t="s">
        <v>3047</v>
      </c>
      <c r="Y1186" s="667" t="s">
        <v>3256</v>
      </c>
      <c r="Z1186" s="199">
        <v>0</v>
      </c>
      <c r="AA1186" s="180">
        <v>0</v>
      </c>
      <c r="AB1186" s="667" t="s">
        <v>3257</v>
      </c>
      <c r="AC1186" s="544" t="str">
        <f>""</f>
        <v/>
      </c>
      <c r="AD1186" s="183">
        <v>0</v>
      </c>
      <c r="AE1186" s="586" t="s">
        <v>264</v>
      </c>
      <c r="AF1186" s="181" t="s">
        <v>264</v>
      </c>
      <c r="AG1186" s="183">
        <v>1</v>
      </c>
      <c r="AH1186" s="183">
        <v>8</v>
      </c>
      <c r="AI1186" s="183">
        <v>0</v>
      </c>
      <c r="AJ1186" s="181">
        <f>VLOOKUP($I1186,'Price List, Weapons &amp; Items'!B:F,5,0)</f>
        <v>0</v>
      </c>
      <c r="AK1186" s="181">
        <f t="shared" si="266"/>
        <v>0</v>
      </c>
      <c r="AL1186" s="181">
        <f t="shared" si="267"/>
        <v>0</v>
      </c>
      <c r="AM1186" s="181">
        <f t="shared" si="268"/>
        <v>0</v>
      </c>
      <c r="AN1186" s="180" t="str">
        <f>VLOOKUP($I1186,'Price List, Weapons &amp; Items'!B:L,COLUMN('Price List, Weapons &amp; Items'!$J$11)-1,0)</f>
        <v>Media reports (incl. social media)</v>
      </c>
      <c r="AO1186" s="180" t="str">
        <f>IF(I1186=".",".",VLOOKUP($I1186,'Price List, Weapons &amp; Items'!B:J,3,0))</f>
        <v>Military equipment</v>
      </c>
      <c r="AP1186" s="545" t="str">
        <f t="shared" ca="1" si="276"/>
        <v/>
      </c>
      <c r="AQ1186" s="180">
        <f>VLOOKUP($I1186,'Price List, Weapons &amp; Items'!B:L,COLUMN('Price List, Weapons &amp; Items'!$L$11)-1,0)</f>
        <v>2</v>
      </c>
      <c r="AR1186" s="180">
        <f t="shared" si="269"/>
        <v>1</v>
      </c>
      <c r="AS1186" s="180">
        <f t="shared" si="270"/>
        <v>1</v>
      </c>
      <c r="AT1186" s="180">
        <f t="shared" si="271"/>
        <v>1</v>
      </c>
      <c r="AU1186" s="180" t="str">
        <f t="shared" si="272"/>
        <v>.</v>
      </c>
      <c r="AV1186" s="180" t="str">
        <f t="shared" si="273"/>
        <v>.</v>
      </c>
      <c r="AW1186" s="180">
        <f>IFERROR(VLOOKUP(B1186,'Share, Heavy Weapons to Ukraine'!B:J,COLUMN('Share, Heavy Weapons to Ukraine'!C1196)-1,0),0)</f>
        <v>1</v>
      </c>
      <c r="AX1186" s="180">
        <f>VLOOKUP('Bilateral Assistance, MAIN DATA'!B1186,'Country Summary'!B:F,COLUMN('Country Summary'!C1199)-1,FALSE)</f>
        <v>0</v>
      </c>
      <c r="AY1186" s="180" t="str">
        <f>IF(AND(AD1186=1,D1186="Military",H1186&lt;&gt;"Not given")=TRUE,IF(SUMIFS(P:P,A:A,A1186)&gt;0,ABS((SUMIFS(P:P,A:A,A1186)/VLOOKUP("USD",'Exchange Rates'!B:C,2,0)))/S1186,"."),".")</f>
        <v>.</v>
      </c>
      <c r="AZ1186" s="182" t="str">
        <f>IF(AND(AD1186=1,D1186="Military",H1186&lt;&gt;"Not given")=TRUE,IF(SUMIFS(P:P,A:A,A1186)&gt;0,IF((ABS((SUMIFS(P:P,A:A,A1186)/VLOOKUP("USD",'Exchange Rates'!B:C,2,0)))/S1186)&gt;1,(SUMIFS(P:P,A:A,A1186)-S1186)/S1186,(S1186-SUMIFS(P:P,A:A,A1186))/SUMIFS(P:P,A:A,A1186)),"."),".")</f>
        <v>.</v>
      </c>
      <c r="BA1186" s="182"/>
      <c r="BB1186" s="182"/>
      <c r="BC1186" s="182"/>
      <c r="BD1186" s="182"/>
      <c r="BE1186" s="182"/>
      <c r="BF1186" s="182"/>
      <c r="BG1186" s="182"/>
      <c r="BH1186" s="182"/>
      <c r="BI1186" s="182"/>
      <c r="BJ1186" s="182"/>
      <c r="BK1186" s="182"/>
      <c r="BL1186" s="182"/>
      <c r="BM1186" s="182"/>
      <c r="BN1186" s="182"/>
      <c r="BO1186" s="182"/>
      <c r="BP1186" s="182"/>
      <c r="BQ1186" s="182"/>
      <c r="BR1186" s="182"/>
      <c r="BS1186" s="182"/>
    </row>
    <row r="1187" spans="1:71" ht="15.9" customHeight="1" x14ac:dyDescent="0.3">
      <c r="A1187" s="5" t="s">
        <v>3065</v>
      </c>
      <c r="B1187" s="19" t="s">
        <v>3038</v>
      </c>
      <c r="C1187" s="555">
        <v>44792</v>
      </c>
      <c r="D1187" s="19" t="s">
        <v>285</v>
      </c>
      <c r="E1187" s="5" t="s">
        <v>1328</v>
      </c>
      <c r="F1187" s="175" t="s">
        <v>3232</v>
      </c>
      <c r="G1187" s="15" t="s">
        <v>346</v>
      </c>
      <c r="H1187" s="200">
        <v>775000000</v>
      </c>
      <c r="I1187" s="19" t="s">
        <v>1979</v>
      </c>
      <c r="J1187" s="113" t="str">
        <f>VLOOKUP($I1187,'Price List, Weapons &amp; Items'!B:C,2,0)</f>
        <v>Military equipment</v>
      </c>
      <c r="K1187" s="113" t="str">
        <f>IF(I1187=".",I1187,VLOOKUP($I1187,'Price List, Weapons &amp; Items'!B:D,3,0))</f>
        <v>Military equipment</v>
      </c>
      <c r="L1187" s="177">
        <f>VLOOKUP(I1187,'Price List, Weapons &amp; Items'!B:E,4,0)</f>
        <v>0</v>
      </c>
      <c r="M1187" s="247" t="s">
        <v>270</v>
      </c>
      <c r="N1187" s="542" t="s">
        <v>270</v>
      </c>
      <c r="O1187" s="543">
        <f>VLOOKUP($I1187,'Price List, Weapons &amp; Items'!B:G,6,0)</f>
        <v>5000</v>
      </c>
      <c r="P1187" s="176" t="str">
        <f t="shared" si="274"/>
        <v>.</v>
      </c>
      <c r="Q1187" s="176" t="str">
        <f t="shared" si="275"/>
        <v>.</v>
      </c>
      <c r="R1187" s="176" t="str">
        <f t="shared" ref="R1187:R1250" si="277">IF(AD1187=1,IF(H1187&lt;&gt;"Not given",H1187,IF(TYPE(H1187)=2,IF(SUMIFS(P:P,A:A,A1187)&gt;0,SUMIFS(P:P,A:A,A1187),"."),"Format error")),"")</f>
        <v/>
      </c>
      <c r="S1187" s="176" t="str">
        <f>IF(AND(AD1187=1,R1187&lt;&gt;".")=TRUE,R1187/VLOOKUP(G1187,'Exchange Rates'!B:C,2,0),IF(R1187=".",".",""))</f>
        <v/>
      </c>
      <c r="T1187" s="176" t="str">
        <f>IF(AD1187=1,IF(AF1187="Value is not given at all",".",IF(AF1187="Value is given by the source",S1187,IF(AF1187="Value is calculated with prices",(IF(SUMIFS(Q:Q,A:A,A1187)&gt;0,SUMIFS(Q:Q,A:A,A1187),"."))/VLOOKUP("USD",'Exchange Rates'!B:C,2,0),"Error with coding"))),"")</f>
        <v/>
      </c>
      <c r="U1187" s="15" t="s">
        <v>261</v>
      </c>
      <c r="V1187" s="304" t="s">
        <v>3233</v>
      </c>
      <c r="W1187" s="667" t="s">
        <v>3044</v>
      </c>
      <c r="X1187" s="667" t="s">
        <v>3047</v>
      </c>
      <c r="Y1187" s="667" t="s">
        <v>3257</v>
      </c>
      <c r="Z1187" s="199">
        <v>0</v>
      </c>
      <c r="AA1187" s="180">
        <v>0</v>
      </c>
      <c r="AB1187" s="667" t="s">
        <v>3258</v>
      </c>
      <c r="AC1187" s="544" t="str">
        <f>""</f>
        <v/>
      </c>
      <c r="AD1187" s="183">
        <v>0</v>
      </c>
      <c r="AE1187" s="586" t="s">
        <v>264</v>
      </c>
      <c r="AF1187" s="181" t="s">
        <v>264</v>
      </c>
      <c r="AG1187" s="183">
        <v>1</v>
      </c>
      <c r="AH1187" s="183">
        <v>8</v>
      </c>
      <c r="AI1187" s="183">
        <v>0</v>
      </c>
      <c r="AJ1187" s="181">
        <f>VLOOKUP($I1187,'Price List, Weapons &amp; Items'!B:F,5,0)</f>
        <v>0</v>
      </c>
      <c r="AK1187" s="181">
        <f t="shared" si="266"/>
        <v>0</v>
      </c>
      <c r="AL1187" s="181">
        <f t="shared" si="267"/>
        <v>0</v>
      </c>
      <c r="AM1187" s="181">
        <f t="shared" si="268"/>
        <v>0</v>
      </c>
      <c r="AN1187" s="180" t="str">
        <f>VLOOKUP($I1187,'Price List, Weapons &amp; Items'!B:L,COLUMN('Price List, Weapons &amp; Items'!$J$11)-1,0)</f>
        <v>Miscellaneous</v>
      </c>
      <c r="AO1187" s="180" t="str">
        <f>IF(I1187=".",".",VLOOKUP($I1187,'Price List, Weapons &amp; Items'!B:J,3,0))</f>
        <v>Military equipment</v>
      </c>
      <c r="AP1187" s="545" t="str">
        <f t="shared" ca="1" si="276"/>
        <v/>
      </c>
      <c r="AQ1187" s="180" t="str">
        <f>VLOOKUP($I1187,'Price List, Weapons &amp; Items'!B:L,COLUMN('Price List, Weapons &amp; Items'!$L$11)-1,0)</f>
        <v>no price, 0 count</v>
      </c>
      <c r="AR1187" s="180">
        <f t="shared" si="269"/>
        <v>1</v>
      </c>
      <c r="AS1187" s="180">
        <f t="shared" si="270"/>
        <v>1</v>
      </c>
      <c r="AT1187" s="180">
        <f t="shared" si="271"/>
        <v>1</v>
      </c>
      <c r="AU1187" s="180" t="str">
        <f t="shared" si="272"/>
        <v>.</v>
      </c>
      <c r="AV1187" s="180" t="str">
        <f t="shared" si="273"/>
        <v>.</v>
      </c>
      <c r="AW1187" s="180">
        <f>IFERROR(VLOOKUP(B1187,'Share, Heavy Weapons to Ukraine'!B:J,COLUMN('Share, Heavy Weapons to Ukraine'!C1197)-1,0),0)</f>
        <v>1</v>
      </c>
      <c r="AX1187" s="180">
        <f>VLOOKUP('Bilateral Assistance, MAIN DATA'!B1187,'Country Summary'!B:F,COLUMN('Country Summary'!C1200)-1,FALSE)</f>
        <v>0</v>
      </c>
      <c r="AY1187" s="180" t="str">
        <f>IF(AND(AD1187=1,D1187="Military",H1187&lt;&gt;"Not given")=TRUE,IF(SUMIFS(P:P,A:A,A1187)&gt;0,ABS((SUMIFS(P:P,A:A,A1187)/VLOOKUP("USD",'Exchange Rates'!B:C,2,0)))/S1187,"."),".")</f>
        <v>.</v>
      </c>
      <c r="AZ1187" s="182" t="str">
        <f>IF(AND(AD1187=1,D1187="Military",H1187&lt;&gt;"Not given")=TRUE,IF(SUMIFS(P:P,A:A,A1187)&gt;0,IF((ABS((SUMIFS(P:P,A:A,A1187)/VLOOKUP("USD",'Exchange Rates'!B:C,2,0)))/S1187)&gt;1,(SUMIFS(P:P,A:A,A1187)-S1187)/S1187,(S1187-SUMIFS(P:P,A:A,A1187))/SUMIFS(P:P,A:A,A1187)),"."),".")</f>
        <v>.</v>
      </c>
      <c r="BA1187" s="182"/>
      <c r="BB1187" s="182"/>
      <c r="BC1187" s="182"/>
      <c r="BD1187" s="182"/>
      <c r="BE1187" s="182"/>
      <c r="BF1187" s="182"/>
      <c r="BG1187" s="182"/>
      <c r="BH1187" s="182"/>
      <c r="BI1187" s="182"/>
      <c r="BJ1187" s="182"/>
      <c r="BK1187" s="182"/>
      <c r="BL1187" s="182"/>
      <c r="BM1187" s="182"/>
      <c r="BN1187" s="182"/>
      <c r="BO1187" s="182"/>
      <c r="BP1187" s="182"/>
      <c r="BQ1187" s="182"/>
      <c r="BR1187" s="182"/>
      <c r="BS1187" s="182"/>
    </row>
    <row r="1188" spans="1:71" ht="15.9" customHeight="1" x14ac:dyDescent="0.3">
      <c r="A1188" s="5" t="s">
        <v>3065</v>
      </c>
      <c r="B1188" s="19" t="s">
        <v>3038</v>
      </c>
      <c r="C1188" s="555">
        <v>44792</v>
      </c>
      <c r="D1188" s="19" t="s">
        <v>285</v>
      </c>
      <c r="E1188" s="5" t="s">
        <v>1328</v>
      </c>
      <c r="F1188" s="175" t="s">
        <v>3232</v>
      </c>
      <c r="G1188" s="15" t="s">
        <v>346</v>
      </c>
      <c r="H1188" s="200">
        <v>775000000</v>
      </c>
      <c r="I1188" s="19" t="s">
        <v>3119</v>
      </c>
      <c r="J1188" s="113" t="str">
        <f>VLOOKUP($I1188,'Price List, Weapons &amp; Items'!B:C,2,0)</f>
        <v>Military equipment</v>
      </c>
      <c r="K1188" s="113" t="str">
        <f>IF(I1188=".",I1188,VLOOKUP($I1188,'Price List, Weapons &amp; Items'!B:D,3,0))</f>
        <v>Military equipment</v>
      </c>
      <c r="L1188" s="177">
        <f>VLOOKUP(I1188,'Price List, Weapons &amp; Items'!B:E,4,0)</f>
        <v>0</v>
      </c>
      <c r="M1188" s="247" t="s">
        <v>270</v>
      </c>
      <c r="N1188" s="542" t="s">
        <v>270</v>
      </c>
      <c r="O1188" s="543">
        <f>VLOOKUP($I1188,'Price List, Weapons &amp; Items'!B:G,6,0)</f>
        <v>45</v>
      </c>
      <c r="P1188" s="176" t="str">
        <f t="shared" si="274"/>
        <v>.</v>
      </c>
      <c r="Q1188" s="176" t="str">
        <f t="shared" si="275"/>
        <v>.</v>
      </c>
      <c r="R1188" s="176" t="str">
        <f t="shared" si="277"/>
        <v/>
      </c>
      <c r="S1188" s="176" t="str">
        <f>IF(AND(AD1188=1,R1188&lt;&gt;".")=TRUE,R1188/VLOOKUP(G1188,'Exchange Rates'!B:C,2,0),IF(R1188=".",".",""))</f>
        <v/>
      </c>
      <c r="T1188" s="176" t="str">
        <f>IF(AD1188=1,IF(AF1188="Value is not given at all",".",IF(AF1188="Value is given by the source",S1188,IF(AF1188="Value is calculated with prices",(IF(SUMIFS(Q:Q,A:A,A1188)&gt;0,SUMIFS(Q:Q,A:A,A1188),"."))/VLOOKUP("USD",'Exchange Rates'!B:C,2,0),"Error with coding"))),"")</f>
        <v/>
      </c>
      <c r="U1188" s="15" t="s">
        <v>261</v>
      </c>
      <c r="V1188" s="304" t="s">
        <v>3259</v>
      </c>
      <c r="W1188" s="667" t="s">
        <v>3044</v>
      </c>
      <c r="X1188" s="667" t="s">
        <v>3047</v>
      </c>
      <c r="Y1188" s="667" t="s">
        <v>3258</v>
      </c>
      <c r="Z1188" s="199">
        <v>0</v>
      </c>
      <c r="AA1188" s="180">
        <v>0</v>
      </c>
      <c r="AB1188" s="667" t="s">
        <v>3260</v>
      </c>
      <c r="AC1188" s="544" t="str">
        <f>""</f>
        <v/>
      </c>
      <c r="AD1188" s="183">
        <v>0</v>
      </c>
      <c r="AE1188" s="586" t="s">
        <v>264</v>
      </c>
      <c r="AF1188" s="181" t="s">
        <v>264</v>
      </c>
      <c r="AG1188" s="183">
        <v>1</v>
      </c>
      <c r="AH1188" s="183">
        <v>8</v>
      </c>
      <c r="AI1188" s="183">
        <v>0</v>
      </c>
      <c r="AJ1188" s="181">
        <f>VLOOKUP($I1188,'Price List, Weapons &amp; Items'!B:F,5,0)</f>
        <v>0</v>
      </c>
      <c r="AK1188" s="181">
        <f t="shared" si="266"/>
        <v>0</v>
      </c>
      <c r="AL1188" s="181">
        <f t="shared" si="267"/>
        <v>0</v>
      </c>
      <c r="AM1188" s="181">
        <f t="shared" si="268"/>
        <v>0</v>
      </c>
      <c r="AN1188" s="180" t="str">
        <f>VLOOKUP($I1188,'Price List, Weapons &amp; Items'!B:L,COLUMN('Price List, Weapons &amp; Items'!$J$11)-1,0)</f>
        <v>Online marketplaces and stores</v>
      </c>
      <c r="AO1188" s="180" t="str">
        <f>IF(I1188=".",".",VLOOKUP($I1188,'Price List, Weapons &amp; Items'!B:J,3,0))</f>
        <v>Military equipment</v>
      </c>
      <c r="AP1188" s="545" t="str">
        <f t="shared" ca="1" si="276"/>
        <v/>
      </c>
      <c r="AQ1188" s="180">
        <f>VLOOKUP($I1188,'Price List, Weapons &amp; Items'!B:L,COLUMN('Price List, Weapons &amp; Items'!$L$11)-1,0)</f>
        <v>1</v>
      </c>
      <c r="AR1188" s="180">
        <f t="shared" si="269"/>
        <v>1</v>
      </c>
      <c r="AS1188" s="180">
        <f t="shared" si="270"/>
        <v>1</v>
      </c>
      <c r="AT1188" s="180">
        <f t="shared" si="271"/>
        <v>1</v>
      </c>
      <c r="AU1188" s="180" t="str">
        <f t="shared" si="272"/>
        <v>.</v>
      </c>
      <c r="AV1188" s="180" t="str">
        <f t="shared" si="273"/>
        <v>.</v>
      </c>
      <c r="AW1188" s="180">
        <f>IFERROR(VLOOKUP(B1188,'Share, Heavy Weapons to Ukraine'!B:J,COLUMN('Share, Heavy Weapons to Ukraine'!C1198)-1,0),0)</f>
        <v>1</v>
      </c>
      <c r="AX1188" s="180">
        <f>VLOOKUP('Bilateral Assistance, MAIN DATA'!B1188,'Country Summary'!B:F,COLUMN('Country Summary'!C1201)-1,FALSE)</f>
        <v>0</v>
      </c>
      <c r="AY1188" s="180" t="str">
        <f>IF(AND(AD1188=1,D1188="Military",H1188&lt;&gt;"Not given")=TRUE,IF(SUMIFS(P:P,A:A,A1188)&gt;0,ABS((SUMIFS(P:P,A:A,A1188)/VLOOKUP("USD",'Exchange Rates'!B:C,2,0)))/S1188,"."),".")</f>
        <v>.</v>
      </c>
      <c r="AZ1188" s="182" t="str">
        <f>IF(AND(AD1188=1,D1188="Military",H1188&lt;&gt;"Not given")=TRUE,IF(SUMIFS(P:P,A:A,A1188)&gt;0,IF((ABS((SUMIFS(P:P,A:A,A1188)/VLOOKUP("USD",'Exchange Rates'!B:C,2,0)))/S1188)&gt;1,(SUMIFS(P:P,A:A,A1188)-S1188)/S1188,(S1188-SUMIFS(P:P,A:A,A1188))/SUMIFS(P:P,A:A,A1188)),"."),".")</f>
        <v>.</v>
      </c>
      <c r="BA1188" s="182"/>
      <c r="BB1188" s="182"/>
      <c r="BC1188" s="182"/>
      <c r="BD1188" s="182"/>
      <c r="BE1188" s="182"/>
      <c r="BF1188" s="182"/>
      <c r="BG1188" s="182"/>
      <c r="BH1188" s="182"/>
      <c r="BI1188" s="182"/>
      <c r="BJ1188" s="182"/>
      <c r="BK1188" s="182"/>
      <c r="BL1188" s="182"/>
      <c r="BM1188" s="182"/>
      <c r="BN1188" s="182"/>
      <c r="BO1188" s="182"/>
      <c r="BP1188" s="182"/>
      <c r="BQ1188" s="182"/>
      <c r="BR1188" s="182"/>
      <c r="BS1188" s="182"/>
    </row>
    <row r="1189" spans="1:71" ht="15.9" customHeight="1" x14ac:dyDescent="0.3">
      <c r="A1189" s="5" t="s">
        <v>3065</v>
      </c>
      <c r="B1189" s="19" t="s">
        <v>3038</v>
      </c>
      <c r="C1189" s="555">
        <v>44792</v>
      </c>
      <c r="D1189" s="19" t="s">
        <v>285</v>
      </c>
      <c r="E1189" s="5" t="s">
        <v>1328</v>
      </c>
      <c r="F1189" s="175" t="s">
        <v>3232</v>
      </c>
      <c r="G1189" s="15" t="s">
        <v>346</v>
      </c>
      <c r="H1189" s="200">
        <v>775000000</v>
      </c>
      <c r="I1189" s="19" t="s">
        <v>3261</v>
      </c>
      <c r="J1189" s="113" t="str">
        <f>VLOOKUP($I1189,'Price List, Weapons &amp; Items'!B:C,2,0)</f>
        <v>Military equipment</v>
      </c>
      <c r="K1189" s="113" t="str">
        <f>IF(I1189=".",I1189,VLOOKUP($I1189,'Price List, Weapons &amp; Items'!B:D,3,0))</f>
        <v>Military equipment</v>
      </c>
      <c r="L1189" s="177">
        <f>VLOOKUP(I1189,'Price List, Weapons &amp; Items'!B:E,4,0)</f>
        <v>0</v>
      </c>
      <c r="M1189" s="247" t="s">
        <v>270</v>
      </c>
      <c r="N1189" s="542" t="s">
        <v>270</v>
      </c>
      <c r="O1189" s="543">
        <f>VLOOKUP($I1189,'Price List, Weapons &amp; Items'!B:G,6,0)</f>
        <v>51404</v>
      </c>
      <c r="P1189" s="176" t="str">
        <f t="shared" si="274"/>
        <v>.</v>
      </c>
      <c r="Q1189" s="176" t="str">
        <f t="shared" si="275"/>
        <v>.</v>
      </c>
      <c r="R1189" s="176" t="str">
        <f t="shared" si="277"/>
        <v/>
      </c>
      <c r="S1189" s="176" t="str">
        <f>IF(AND(AD1189=1,R1189&lt;&gt;".")=TRUE,R1189/VLOOKUP(G1189,'Exchange Rates'!B:C,2,0),IF(R1189=".",".",""))</f>
        <v/>
      </c>
      <c r="T1189" s="176" t="str">
        <f>IF(AD1189=1,IF(AF1189="Value is not given at all",".",IF(AF1189="Value is given by the source",S1189,IF(AF1189="Value is calculated with prices",(IF(SUMIFS(Q:Q,A:A,A1189)&gt;0,SUMIFS(Q:Q,A:A,A1189),"."))/VLOOKUP("USD",'Exchange Rates'!B:C,2,0),"Error with coding"))),"")</f>
        <v/>
      </c>
      <c r="U1189" s="15" t="s">
        <v>261</v>
      </c>
      <c r="V1189" s="304" t="s">
        <v>3233</v>
      </c>
      <c r="W1189" s="667" t="s">
        <v>3044</v>
      </c>
      <c r="X1189" s="667" t="s">
        <v>3047</v>
      </c>
      <c r="Y1189" s="667" t="s">
        <v>3260</v>
      </c>
      <c r="Z1189" s="199">
        <v>0</v>
      </c>
      <c r="AA1189" s="180">
        <v>0</v>
      </c>
      <c r="AB1189" s="667" t="s">
        <v>3262</v>
      </c>
      <c r="AC1189" s="544" t="str">
        <f>""</f>
        <v/>
      </c>
      <c r="AD1189" s="183">
        <v>0</v>
      </c>
      <c r="AE1189" s="586" t="s">
        <v>264</v>
      </c>
      <c r="AF1189" s="181" t="s">
        <v>264</v>
      </c>
      <c r="AG1189" s="183">
        <v>1</v>
      </c>
      <c r="AH1189" s="183">
        <v>8</v>
      </c>
      <c r="AI1189" s="183">
        <v>0</v>
      </c>
      <c r="AJ1189" s="181">
        <f>VLOOKUP($I1189,'Price List, Weapons &amp; Items'!B:F,5,0)</f>
        <v>0</v>
      </c>
      <c r="AK1189" s="181">
        <f t="shared" si="266"/>
        <v>0</v>
      </c>
      <c r="AL1189" s="181">
        <f t="shared" si="267"/>
        <v>0</v>
      </c>
      <c r="AM1189" s="181">
        <f t="shared" si="268"/>
        <v>0</v>
      </c>
      <c r="AN1189" s="180" t="str">
        <f>VLOOKUP($I1189,'Price List, Weapons &amp; Items'!B:L,COLUMN('Price List, Weapons &amp; Items'!$J$11)-1,0)</f>
        <v>Contracts</v>
      </c>
      <c r="AO1189" s="180" t="str">
        <f>IF(I1189=".",".",VLOOKUP($I1189,'Price List, Weapons &amp; Items'!B:J,3,0))</f>
        <v>Military equipment</v>
      </c>
      <c r="AP1189" s="545" t="str">
        <f t="shared" ca="1" si="276"/>
        <v/>
      </c>
      <c r="AQ1189" s="180">
        <f>VLOOKUP($I1189,'Price List, Weapons &amp; Items'!B:L,COLUMN('Price List, Weapons &amp; Items'!$L$11)-1,0)</f>
        <v>2</v>
      </c>
      <c r="AR1189" s="180">
        <f t="shared" si="269"/>
        <v>1</v>
      </c>
      <c r="AS1189" s="180">
        <f t="shared" si="270"/>
        <v>1</v>
      </c>
      <c r="AT1189" s="180">
        <f t="shared" si="271"/>
        <v>1</v>
      </c>
      <c r="AU1189" s="180" t="str">
        <f t="shared" si="272"/>
        <v>.</v>
      </c>
      <c r="AV1189" s="180" t="str">
        <f t="shared" si="273"/>
        <v>.</v>
      </c>
      <c r="AW1189" s="180">
        <f>IFERROR(VLOOKUP(B1189,'Share, Heavy Weapons to Ukraine'!B:J,COLUMN('Share, Heavy Weapons to Ukraine'!C1199)-1,0),0)</f>
        <v>1</v>
      </c>
      <c r="AX1189" s="180">
        <f>VLOOKUP('Bilateral Assistance, MAIN DATA'!B1189,'Country Summary'!B:F,COLUMN('Country Summary'!C1202)-1,FALSE)</f>
        <v>0</v>
      </c>
      <c r="AY1189" s="180" t="str">
        <f>IF(AND(AD1189=1,D1189="Military",H1189&lt;&gt;"Not given")=TRUE,IF(SUMIFS(P:P,A:A,A1189)&gt;0,ABS((SUMIFS(P:P,A:A,A1189)/VLOOKUP("USD",'Exchange Rates'!B:C,2,0)))/S1189,"."),".")</f>
        <v>.</v>
      </c>
      <c r="AZ1189" s="182" t="str">
        <f>IF(AND(AD1189=1,D1189="Military",H1189&lt;&gt;"Not given")=TRUE,IF(SUMIFS(P:P,A:A,A1189)&gt;0,IF((ABS((SUMIFS(P:P,A:A,A1189)/VLOOKUP("USD",'Exchange Rates'!B:C,2,0)))/S1189)&gt;1,(SUMIFS(P:P,A:A,A1189)-S1189)/S1189,(S1189-SUMIFS(P:P,A:A,A1189))/SUMIFS(P:P,A:A,A1189)),"."),".")</f>
        <v>.</v>
      </c>
      <c r="BA1189" s="182"/>
      <c r="BB1189" s="182"/>
      <c r="BC1189" s="182"/>
      <c r="BD1189" s="182"/>
      <c r="BE1189" s="182"/>
      <c r="BF1189" s="182"/>
      <c r="BG1189" s="182"/>
      <c r="BH1189" s="182"/>
      <c r="BI1189" s="182"/>
      <c r="BJ1189" s="182"/>
      <c r="BK1189" s="182"/>
      <c r="BL1189" s="182"/>
      <c r="BM1189" s="182"/>
      <c r="BN1189" s="182"/>
      <c r="BO1189" s="182"/>
      <c r="BP1189" s="182"/>
      <c r="BQ1189" s="182"/>
      <c r="BR1189" s="182"/>
      <c r="BS1189" s="182"/>
    </row>
    <row r="1190" spans="1:71" ht="15.9" customHeight="1" x14ac:dyDescent="0.3">
      <c r="A1190" s="5" t="s">
        <v>3065</v>
      </c>
      <c r="B1190" s="19" t="s">
        <v>3038</v>
      </c>
      <c r="C1190" s="555">
        <v>44812</v>
      </c>
      <c r="D1190" s="19" t="s">
        <v>285</v>
      </c>
      <c r="E1190" s="5" t="s">
        <v>1328</v>
      </c>
      <c r="F1190" s="175" t="s">
        <v>3263</v>
      </c>
      <c r="G1190" s="15" t="s">
        <v>346</v>
      </c>
      <c r="H1190" s="200">
        <v>675000000</v>
      </c>
      <c r="I1190" s="19" t="s">
        <v>3172</v>
      </c>
      <c r="J1190" s="113" t="str">
        <f>VLOOKUP($I1190,'Price List, Weapons &amp; Items'!B:C,2,0)</f>
        <v>Ammunition for heavy weapon</v>
      </c>
      <c r="K1190" s="113" t="str">
        <f>IF(I1190=".",I1190,VLOOKUP($I1190,'Price List, Weapons &amp; Items'!B:D,3,0))</f>
        <v>227mm MLRS ammunition</v>
      </c>
      <c r="L1190" s="177">
        <f>VLOOKUP(I1190,'Price List, Weapons &amp; Items'!B:E,4,0)</f>
        <v>0</v>
      </c>
      <c r="M1190" s="247" t="s">
        <v>270</v>
      </c>
      <c r="N1190" s="542" t="s">
        <v>270</v>
      </c>
      <c r="O1190" s="543">
        <f>VLOOKUP($I1190,'Price List, Weapons &amp; Items'!B:G,6,0)</f>
        <v>150000</v>
      </c>
      <c r="P1190" s="176" t="str">
        <f t="shared" si="274"/>
        <v>.</v>
      </c>
      <c r="Q1190" s="176" t="str">
        <f t="shared" si="275"/>
        <v>.</v>
      </c>
      <c r="R1190" s="176" t="str">
        <f t="shared" si="277"/>
        <v/>
      </c>
      <c r="S1190" s="176" t="str">
        <f>IF(AND(AD1190=1,R1190&lt;&gt;".")=TRUE,R1190/VLOOKUP(G1190,'Exchange Rates'!B:C,2,0),IF(R1190=".",".",""))</f>
        <v/>
      </c>
      <c r="T1190" s="176" t="str">
        <f>IF(AD1190=1,IF(AF1190="Value is not given at all",".",IF(AF1190="Value is given by the source",S1190,IF(AF1190="Value is calculated with prices",(IF(SUMIFS(Q:Q,A:A,A1190)&gt;0,SUMIFS(Q:Q,A:A,A1190),"."))/VLOOKUP("USD",'Exchange Rates'!B:C,2,0),"Error with coding"))),"")</f>
        <v/>
      </c>
      <c r="U1190" s="15" t="s">
        <v>261</v>
      </c>
      <c r="V1190" s="304" t="s">
        <v>3264</v>
      </c>
      <c r="W1190" s="667" t="s">
        <v>3044</v>
      </c>
      <c r="X1190" s="667" t="s">
        <v>3047</v>
      </c>
      <c r="Y1190" s="667" t="s">
        <v>3262</v>
      </c>
      <c r="Z1190" s="199">
        <v>0</v>
      </c>
      <c r="AA1190" s="180">
        <v>0</v>
      </c>
      <c r="AB1190" s="667" t="s">
        <v>3265</v>
      </c>
      <c r="AC1190" s="544" t="str">
        <f>""</f>
        <v/>
      </c>
      <c r="AD1190" s="183">
        <v>0</v>
      </c>
      <c r="AE1190" s="586" t="s">
        <v>264</v>
      </c>
      <c r="AF1190" s="181" t="s">
        <v>264</v>
      </c>
      <c r="AG1190" s="183">
        <v>1</v>
      </c>
      <c r="AH1190" s="183">
        <v>9</v>
      </c>
      <c r="AI1190" s="183">
        <v>0</v>
      </c>
      <c r="AJ1190" s="181">
        <f>VLOOKUP($I1190,'Price List, Weapons &amp; Items'!B:F,5,0)</f>
        <v>1</v>
      </c>
      <c r="AK1190" s="181">
        <f t="shared" si="266"/>
        <v>1</v>
      </c>
      <c r="AL1190" s="181">
        <f t="shared" si="267"/>
        <v>1</v>
      </c>
      <c r="AM1190" s="181">
        <f t="shared" si="268"/>
        <v>1</v>
      </c>
      <c r="AN1190" s="180" t="str">
        <f>VLOOKUP($I1190,'Price List, Weapons &amp; Items'!B:L,COLUMN('Price List, Weapons &amp; Items'!$J$11)-1,0)</f>
        <v>Media reports (incl. social media)</v>
      </c>
      <c r="AO1190" s="180" t="str">
        <f>IF(I1190=".",".",VLOOKUP($I1190,'Price List, Weapons &amp; Items'!B:J,3,0))</f>
        <v>227mm MLRS ammunition</v>
      </c>
      <c r="AP1190" s="545" t="str">
        <f t="shared" ca="1" si="276"/>
        <v/>
      </c>
      <c r="AQ1190" s="180" t="str">
        <f>VLOOKUP($I1190,'Price List, Weapons &amp; Items'!B:L,COLUMN('Price List, Weapons &amp; Items'!$L$11)-1,0)</f>
        <v>no price, 0 count</v>
      </c>
      <c r="AR1190" s="180">
        <f t="shared" si="269"/>
        <v>1</v>
      </c>
      <c r="AS1190" s="180">
        <f t="shared" si="270"/>
        <v>1</v>
      </c>
      <c r="AT1190" s="180">
        <f t="shared" si="271"/>
        <v>1</v>
      </c>
      <c r="AU1190" s="180" t="str">
        <f t="shared" si="272"/>
        <v>.</v>
      </c>
      <c r="AV1190" s="180" t="str">
        <f t="shared" si="273"/>
        <v>.</v>
      </c>
      <c r="AW1190" s="180">
        <f>IFERROR(VLOOKUP(B1190,'Share, Heavy Weapons to Ukraine'!B:J,COLUMN('Share, Heavy Weapons to Ukraine'!C1200)-1,0),0)</f>
        <v>1</v>
      </c>
      <c r="AX1190" s="180">
        <f>VLOOKUP('Bilateral Assistance, MAIN DATA'!B1190,'Country Summary'!B:F,COLUMN('Country Summary'!C1203)-1,FALSE)</f>
        <v>0</v>
      </c>
      <c r="AY1190" s="180" t="str">
        <f>IF(AND(AD1190=1,D1190="Military",H1190&lt;&gt;"Not given")=TRUE,IF(SUMIFS(P:P,A:A,A1190)&gt;0,ABS((SUMIFS(P:P,A:A,A1190)/VLOOKUP("USD",'Exchange Rates'!B:C,2,0)))/S1190,"."),".")</f>
        <v>.</v>
      </c>
      <c r="AZ1190" s="182" t="str">
        <f>IF(AND(AD1190=1,D1190="Military",H1190&lt;&gt;"Not given")=TRUE,IF(SUMIFS(P:P,A:A,A1190)&gt;0,IF((ABS((SUMIFS(P:P,A:A,A1190)/VLOOKUP("USD",'Exchange Rates'!B:C,2,0)))/S1190)&gt;1,(SUMIFS(P:P,A:A,A1190)-S1190)/S1190,(S1190-SUMIFS(P:P,A:A,A1190))/SUMIFS(P:P,A:A,A1190)),"."),".")</f>
        <v>.</v>
      </c>
      <c r="BA1190" s="182"/>
      <c r="BB1190" s="182"/>
      <c r="BC1190" s="182"/>
      <c r="BD1190" s="182"/>
      <c r="BE1190" s="182"/>
      <c r="BF1190" s="182"/>
      <c r="BG1190" s="182"/>
      <c r="BH1190" s="182"/>
      <c r="BI1190" s="182"/>
      <c r="BJ1190" s="182"/>
      <c r="BK1190" s="182"/>
      <c r="BL1190" s="182"/>
      <c r="BM1190" s="182"/>
      <c r="BN1190" s="182"/>
      <c r="BO1190" s="182"/>
      <c r="BP1190" s="182"/>
      <c r="BQ1190" s="182"/>
      <c r="BR1190" s="182"/>
      <c r="BS1190" s="182"/>
    </row>
    <row r="1191" spans="1:71" ht="15.9" customHeight="1" x14ac:dyDescent="0.3">
      <c r="A1191" s="5" t="s">
        <v>3065</v>
      </c>
      <c r="B1191" s="19" t="s">
        <v>3038</v>
      </c>
      <c r="C1191" s="555">
        <v>44812</v>
      </c>
      <c r="D1191" s="19" t="s">
        <v>285</v>
      </c>
      <c r="E1191" s="5" t="s">
        <v>1328</v>
      </c>
      <c r="F1191" s="175" t="s">
        <v>3263</v>
      </c>
      <c r="G1191" s="15" t="s">
        <v>346</v>
      </c>
      <c r="H1191" s="200">
        <v>675000000</v>
      </c>
      <c r="I1191" s="19" t="s">
        <v>3235</v>
      </c>
      <c r="J1191" s="113" t="str">
        <f>VLOOKUP($I1191,'Price List, Weapons &amp; Items'!B:C,2,0)</f>
        <v>Heavy weapon</v>
      </c>
      <c r="K1191" s="113" t="str">
        <f>IF(I1191=".",I1191,VLOOKUP($I1191,'Price List, Weapons &amp; Items'!B:D,3,0))</f>
        <v>105mm howitzer</v>
      </c>
      <c r="L1191" s="177">
        <f>VLOOKUP(I1191,'Price List, Weapons &amp; Items'!B:E,4,0)</f>
        <v>0</v>
      </c>
      <c r="M1191" s="247">
        <v>4</v>
      </c>
      <c r="N1191" s="542">
        <v>4</v>
      </c>
      <c r="O1191" s="543">
        <f>VLOOKUP($I1191,'Price List, Weapons &amp; Items'!B:G,6,0)</f>
        <v>1272482.2760025531</v>
      </c>
      <c r="P1191" s="176">
        <f t="shared" si="274"/>
        <v>5089929.1040102122</v>
      </c>
      <c r="Q1191" s="176">
        <f t="shared" si="275"/>
        <v>5089929.1040102122</v>
      </c>
      <c r="R1191" s="176" t="str">
        <f t="shared" si="277"/>
        <v/>
      </c>
      <c r="S1191" s="176" t="str">
        <f>IF(AND(AD1191=1,R1191&lt;&gt;".")=TRUE,R1191/VLOOKUP(G1191,'Exchange Rates'!B:C,2,0),IF(R1191=".",".",""))</f>
        <v/>
      </c>
      <c r="T1191" s="176" t="str">
        <f>IF(AD1191=1,IF(AF1191="Value is not given at all",".",IF(AF1191="Value is given by the source",S1191,IF(AF1191="Value is calculated with prices",(IF(SUMIFS(Q:Q,A:A,A1191)&gt;0,SUMIFS(Q:Q,A:A,A1191),"."))/VLOOKUP("USD",'Exchange Rates'!B:C,2,0),"Error with coding"))),"")</f>
        <v/>
      </c>
      <c r="U1191" s="15" t="s">
        <v>261</v>
      </c>
      <c r="V1191" s="304" t="s">
        <v>3264</v>
      </c>
      <c r="W1191" s="667" t="s">
        <v>3044</v>
      </c>
      <c r="X1191" s="667" t="s">
        <v>3047</v>
      </c>
      <c r="Y1191" s="667" t="s">
        <v>3265</v>
      </c>
      <c r="Z1191" s="199">
        <v>0</v>
      </c>
      <c r="AA1191" s="180">
        <v>0</v>
      </c>
      <c r="AB1191" s="667" t="s">
        <v>3266</v>
      </c>
      <c r="AC1191" s="544" t="str">
        <f>""</f>
        <v/>
      </c>
      <c r="AD1191" s="183">
        <v>0</v>
      </c>
      <c r="AE1191" s="586" t="s">
        <v>264</v>
      </c>
      <c r="AF1191" s="181" t="s">
        <v>264</v>
      </c>
      <c r="AG1191" s="183">
        <v>1</v>
      </c>
      <c r="AH1191" s="183">
        <v>9</v>
      </c>
      <c r="AI1191" s="183">
        <v>0</v>
      </c>
      <c r="AJ1191" s="181">
        <f>VLOOKUP($I1191,'Price List, Weapons &amp; Items'!B:F,5,0)</f>
        <v>0</v>
      </c>
      <c r="AK1191" s="181">
        <f t="shared" si="266"/>
        <v>0</v>
      </c>
      <c r="AL1191" s="181">
        <f t="shared" si="267"/>
        <v>0</v>
      </c>
      <c r="AM1191" s="181">
        <f t="shared" si="268"/>
        <v>0</v>
      </c>
      <c r="AN1191" s="180" t="str">
        <f>VLOOKUP($I1191,'Price List, Weapons &amp; Items'!B:L,COLUMN('Price List, Weapons &amp; Items'!$J$11)-1,0)</f>
        <v>Contracts</v>
      </c>
      <c r="AO1191" s="180" t="str">
        <f>IF(I1191=".",".",VLOOKUP($I1191,'Price List, Weapons &amp; Items'!B:J,3,0))</f>
        <v>105mm howitzer</v>
      </c>
      <c r="AP1191" s="545" t="str">
        <f t="shared" ca="1" si="276"/>
        <v/>
      </c>
      <c r="AQ1191" s="180">
        <f>VLOOKUP($I1191,'Price List, Weapons &amp; Items'!B:L,COLUMN('Price List, Weapons &amp; Items'!$L$11)-1,0)</f>
        <v>2</v>
      </c>
      <c r="AR1191" s="180">
        <f t="shared" si="269"/>
        <v>1</v>
      </c>
      <c r="AS1191" s="180">
        <f t="shared" si="270"/>
        <v>1</v>
      </c>
      <c r="AT1191" s="180">
        <f t="shared" si="271"/>
        <v>1</v>
      </c>
      <c r="AU1191" s="180" t="str">
        <f t="shared" si="272"/>
        <v>.</v>
      </c>
      <c r="AV1191" s="180" t="str">
        <f t="shared" si="273"/>
        <v>.</v>
      </c>
      <c r="AW1191" s="180">
        <f>IFERROR(VLOOKUP(B1191,'Share, Heavy Weapons to Ukraine'!B:J,COLUMN('Share, Heavy Weapons to Ukraine'!C1201)-1,0),0)</f>
        <v>1</v>
      </c>
      <c r="AX1191" s="180">
        <f>VLOOKUP('Bilateral Assistance, MAIN DATA'!B1191,'Country Summary'!B:F,COLUMN('Country Summary'!C1204)-1,FALSE)</f>
        <v>0</v>
      </c>
      <c r="AY1191" s="180" t="str">
        <f>IF(AND(AD1191=1,D1191="Military",H1191&lt;&gt;"Not given")=TRUE,IF(SUMIFS(P:P,A:A,A1191)&gt;0,ABS((SUMIFS(P:P,A:A,A1191)/VLOOKUP("USD",'Exchange Rates'!B:C,2,0)))/S1191,"."),".")</f>
        <v>.</v>
      </c>
      <c r="AZ1191" s="182" t="str">
        <f>IF(AND(AD1191=1,D1191="Military",H1191&lt;&gt;"Not given")=TRUE,IF(SUMIFS(P:P,A:A,A1191)&gt;0,IF((ABS((SUMIFS(P:P,A:A,A1191)/VLOOKUP("USD",'Exchange Rates'!B:C,2,0)))/S1191)&gt;1,(SUMIFS(P:P,A:A,A1191)-S1191)/S1191,(S1191-SUMIFS(P:P,A:A,A1191))/SUMIFS(P:P,A:A,A1191)),"."),".")</f>
        <v>.</v>
      </c>
      <c r="BA1191" s="182"/>
      <c r="BB1191" s="182"/>
      <c r="BC1191" s="182"/>
      <c r="BD1191" s="182"/>
      <c r="BE1191" s="182"/>
      <c r="BF1191" s="182"/>
      <c r="BG1191" s="182"/>
      <c r="BH1191" s="182"/>
      <c r="BI1191" s="182"/>
      <c r="BJ1191" s="182"/>
      <c r="BK1191" s="182"/>
      <c r="BL1191" s="182"/>
      <c r="BM1191" s="182"/>
      <c r="BN1191" s="182"/>
      <c r="BO1191" s="182"/>
      <c r="BP1191" s="182"/>
      <c r="BQ1191" s="182"/>
      <c r="BR1191" s="182"/>
      <c r="BS1191" s="182"/>
    </row>
    <row r="1192" spans="1:71" ht="15.9" customHeight="1" x14ac:dyDescent="0.3">
      <c r="A1192" s="5" t="s">
        <v>3065</v>
      </c>
      <c r="B1192" s="19" t="s">
        <v>3038</v>
      </c>
      <c r="C1192" s="555">
        <v>44812</v>
      </c>
      <c r="D1192" s="19" t="s">
        <v>285</v>
      </c>
      <c r="E1192" s="5" t="s">
        <v>1328</v>
      </c>
      <c r="F1192" s="175" t="s">
        <v>3263</v>
      </c>
      <c r="G1192" s="15" t="s">
        <v>346</v>
      </c>
      <c r="H1192" s="200">
        <v>675000000</v>
      </c>
      <c r="I1192" s="19" t="s">
        <v>3237</v>
      </c>
      <c r="J1192" s="113" t="str">
        <f>VLOOKUP($I1192,'Price List, Weapons &amp; Items'!B:C,2,0)</f>
        <v>Ammunition for heavy weapon</v>
      </c>
      <c r="K1192" s="113" t="str">
        <f>IF(I1192=".",I1192,VLOOKUP($I1192,'Price List, Weapons &amp; Items'!B:D,3,0))</f>
        <v>105mm</v>
      </c>
      <c r="L1192" s="177">
        <f>VLOOKUP(I1192,'Price List, Weapons &amp; Items'!B:E,4,0)</f>
        <v>0</v>
      </c>
      <c r="M1192" s="247">
        <v>36000</v>
      </c>
      <c r="N1192" s="542">
        <v>36000</v>
      </c>
      <c r="O1192" s="543">
        <f>VLOOKUP($I1192,'Price List, Weapons &amp; Items'!B:G,6,0)</f>
        <v>400</v>
      </c>
      <c r="P1192" s="176">
        <f t="shared" si="274"/>
        <v>14400000</v>
      </c>
      <c r="Q1192" s="176">
        <f t="shared" si="275"/>
        <v>14400000</v>
      </c>
      <c r="R1192" s="176" t="str">
        <f t="shared" si="277"/>
        <v/>
      </c>
      <c r="S1192" s="176" t="str">
        <f>IF(AND(AD1192=1,R1192&lt;&gt;".")=TRUE,R1192/VLOOKUP(G1192,'Exchange Rates'!B:C,2,0),IF(R1192=".",".",""))</f>
        <v/>
      </c>
      <c r="T1192" s="176" t="str">
        <f>IF(AD1192=1,IF(AF1192="Value is not given at all",".",IF(AF1192="Value is given by the source",S1192,IF(AF1192="Value is calculated with prices",(IF(SUMIFS(Q:Q,A:A,A1192)&gt;0,SUMIFS(Q:Q,A:A,A1192),"."))/VLOOKUP("USD",'Exchange Rates'!B:C,2,0),"Error with coding"))),"")</f>
        <v/>
      </c>
      <c r="U1192" s="15" t="s">
        <v>261</v>
      </c>
      <c r="V1192" s="304" t="s">
        <v>3264</v>
      </c>
      <c r="W1192" s="667" t="s">
        <v>3044</v>
      </c>
      <c r="X1192" s="667" t="s">
        <v>3047</v>
      </c>
      <c r="Y1192" s="667" t="s">
        <v>3266</v>
      </c>
      <c r="Z1192" s="199">
        <v>0</v>
      </c>
      <c r="AA1192" s="180">
        <v>0</v>
      </c>
      <c r="AB1192" s="667" t="s">
        <v>3267</v>
      </c>
      <c r="AC1192" s="544" t="str">
        <f>""</f>
        <v/>
      </c>
      <c r="AD1192" s="183">
        <v>0</v>
      </c>
      <c r="AE1192" s="586" t="s">
        <v>264</v>
      </c>
      <c r="AF1192" s="181" t="s">
        <v>264</v>
      </c>
      <c r="AG1192" s="183">
        <v>1</v>
      </c>
      <c r="AH1192" s="183">
        <v>9</v>
      </c>
      <c r="AI1192" s="183">
        <v>0</v>
      </c>
      <c r="AJ1192" s="181">
        <f>VLOOKUP($I1192,'Price List, Weapons &amp; Items'!B:F,5,0)</f>
        <v>0</v>
      </c>
      <c r="AK1192" s="181">
        <f t="shared" si="266"/>
        <v>0</v>
      </c>
      <c r="AL1192" s="181">
        <f t="shared" si="267"/>
        <v>0</v>
      </c>
      <c r="AM1192" s="181">
        <f t="shared" si="268"/>
        <v>0</v>
      </c>
      <c r="AN1192" s="180" t="str">
        <f>VLOOKUP($I1192,'Price List, Weapons &amp; Items'!B:L,COLUMN('Price List, Weapons &amp; Items'!$J$11)-1,0)</f>
        <v>Military media (incl. websites)</v>
      </c>
      <c r="AO1192" s="180" t="str">
        <f>IF(I1192=".",".",VLOOKUP($I1192,'Price List, Weapons &amp; Items'!B:J,3,0))</f>
        <v>105mm</v>
      </c>
      <c r="AP1192" s="545" t="str">
        <f t="shared" ca="1" si="276"/>
        <v/>
      </c>
      <c r="AQ1192" s="180">
        <f>VLOOKUP($I1192,'Price List, Weapons &amp; Items'!B:L,COLUMN('Price List, Weapons &amp; Items'!$L$11)-1,0)</f>
        <v>2</v>
      </c>
      <c r="AR1192" s="180">
        <f t="shared" si="269"/>
        <v>1</v>
      </c>
      <c r="AS1192" s="180">
        <f t="shared" si="270"/>
        <v>1</v>
      </c>
      <c r="AT1192" s="180">
        <f t="shared" si="271"/>
        <v>1</v>
      </c>
      <c r="AU1192" s="180" t="str">
        <f t="shared" si="272"/>
        <v>.</v>
      </c>
      <c r="AV1192" s="180" t="str">
        <f t="shared" si="273"/>
        <v>.</v>
      </c>
      <c r="AW1192" s="180">
        <f>IFERROR(VLOOKUP(B1192,'Share, Heavy Weapons to Ukraine'!B:J,COLUMN('Share, Heavy Weapons to Ukraine'!C1202)-1,0),0)</f>
        <v>1</v>
      </c>
      <c r="AX1192" s="180">
        <f>VLOOKUP('Bilateral Assistance, MAIN DATA'!B1192,'Country Summary'!B:F,COLUMN('Country Summary'!C1205)-1,FALSE)</f>
        <v>0</v>
      </c>
      <c r="AY1192" s="180" t="str">
        <f>IF(AND(AD1192=1,D1192="Military",H1192&lt;&gt;"Not given")=TRUE,IF(SUMIFS(P:P,A:A,A1192)&gt;0,ABS((SUMIFS(P:P,A:A,A1192)/VLOOKUP("USD",'Exchange Rates'!B:C,2,0)))/S1192,"."),".")</f>
        <v>.</v>
      </c>
      <c r="AZ1192" s="182" t="str">
        <f>IF(AND(AD1192=1,D1192="Military",H1192&lt;&gt;"Not given")=TRUE,IF(SUMIFS(P:P,A:A,A1192)&gt;0,IF((ABS((SUMIFS(P:P,A:A,A1192)/VLOOKUP("USD",'Exchange Rates'!B:C,2,0)))/S1192)&gt;1,(SUMIFS(P:P,A:A,A1192)-S1192)/S1192,(S1192-SUMIFS(P:P,A:A,A1192))/SUMIFS(P:P,A:A,A1192)),"."),".")</f>
        <v>.</v>
      </c>
      <c r="BA1192" s="182"/>
      <c r="BB1192" s="182"/>
      <c r="BC1192" s="182"/>
      <c r="BD1192" s="182"/>
      <c r="BE1192" s="182"/>
      <c r="BF1192" s="182"/>
      <c r="BG1192" s="182"/>
      <c r="BH1192" s="182"/>
      <c r="BI1192" s="182"/>
      <c r="BJ1192" s="182"/>
      <c r="BK1192" s="182"/>
      <c r="BL1192" s="182"/>
      <c r="BM1192" s="182"/>
      <c r="BN1192" s="182"/>
      <c r="BO1192" s="182"/>
      <c r="BP1192" s="182"/>
      <c r="BQ1192" s="182"/>
      <c r="BR1192" s="182"/>
      <c r="BS1192" s="182"/>
    </row>
    <row r="1193" spans="1:71" ht="15.9" customHeight="1" x14ac:dyDescent="0.3">
      <c r="A1193" s="5" t="s">
        <v>3065</v>
      </c>
      <c r="B1193" s="19" t="s">
        <v>3038</v>
      </c>
      <c r="C1193" s="555">
        <v>44812</v>
      </c>
      <c r="D1193" s="19" t="s">
        <v>285</v>
      </c>
      <c r="E1193" s="5" t="s">
        <v>1328</v>
      </c>
      <c r="F1193" s="175" t="s">
        <v>3263</v>
      </c>
      <c r="G1193" s="15" t="s">
        <v>346</v>
      </c>
      <c r="H1193" s="200">
        <v>675000000</v>
      </c>
      <c r="I1193" s="19" t="s">
        <v>3243</v>
      </c>
      <c r="J1193" s="113" t="str">
        <f>VLOOKUP($I1193,'Price List, Weapons &amp; Items'!B:C,2,0)</f>
        <v>Ammunition for heavy weapon</v>
      </c>
      <c r="K1193" s="113" t="str">
        <f>IF(I1193=".",I1193,VLOOKUP($I1193,'Price List, Weapons &amp; Items'!B:D,3,0))</f>
        <v>missile</v>
      </c>
      <c r="L1193" s="177">
        <f>VLOOKUP(I1193,'Price List, Weapons &amp; Items'!B:E,4,0)</f>
        <v>0</v>
      </c>
      <c r="M1193" s="247" t="s">
        <v>270</v>
      </c>
      <c r="N1193" s="542" t="s">
        <v>270</v>
      </c>
      <c r="O1193" s="543">
        <f>VLOOKUP($I1193,'Price List, Weapons &amp; Items'!B:G,6,0)</f>
        <v>557000</v>
      </c>
      <c r="P1193" s="176" t="str">
        <f t="shared" si="274"/>
        <v>.</v>
      </c>
      <c r="Q1193" s="176" t="str">
        <f t="shared" si="275"/>
        <v>.</v>
      </c>
      <c r="R1193" s="176" t="str">
        <f t="shared" si="277"/>
        <v/>
      </c>
      <c r="S1193" s="176" t="str">
        <f>IF(AND(AD1193=1,R1193&lt;&gt;".")=TRUE,R1193/VLOOKUP(G1193,'Exchange Rates'!B:C,2,0),IF(R1193=".",".",""))</f>
        <v/>
      </c>
      <c r="T1193" s="176" t="str">
        <f>IF(AD1193=1,IF(AF1193="Value is not given at all",".",IF(AF1193="Value is given by the source",S1193,IF(AF1193="Value is calculated with prices",(IF(SUMIFS(Q:Q,A:A,A1193)&gt;0,SUMIFS(Q:Q,A:A,A1193),"."))/VLOOKUP("USD",'Exchange Rates'!B:C,2,0),"Error with coding"))),"")</f>
        <v/>
      </c>
      <c r="U1193" s="15" t="s">
        <v>261</v>
      </c>
      <c r="V1193" s="304" t="s">
        <v>3264</v>
      </c>
      <c r="W1193" s="667" t="s">
        <v>3044</v>
      </c>
      <c r="X1193" s="667" t="s">
        <v>3047</v>
      </c>
      <c r="Y1193" s="667" t="s">
        <v>3267</v>
      </c>
      <c r="Z1193" s="199">
        <v>0</v>
      </c>
      <c r="AA1193" s="180">
        <v>0</v>
      </c>
      <c r="AB1193" s="667" t="s">
        <v>3268</v>
      </c>
      <c r="AC1193" s="544" t="str">
        <f>""</f>
        <v/>
      </c>
      <c r="AD1193" s="183">
        <v>0</v>
      </c>
      <c r="AE1193" s="586" t="s">
        <v>264</v>
      </c>
      <c r="AF1193" s="181" t="s">
        <v>264</v>
      </c>
      <c r="AG1193" s="183">
        <v>1</v>
      </c>
      <c r="AH1193" s="183">
        <v>9</v>
      </c>
      <c r="AI1193" s="183">
        <v>0</v>
      </c>
      <c r="AJ1193" s="181">
        <f>VLOOKUP($I1193,'Price List, Weapons &amp; Items'!B:F,5,0)</f>
        <v>0</v>
      </c>
      <c r="AK1193" s="181">
        <f t="shared" si="266"/>
        <v>0</v>
      </c>
      <c r="AL1193" s="181">
        <f t="shared" si="267"/>
        <v>0</v>
      </c>
      <c r="AM1193" s="181">
        <f t="shared" si="268"/>
        <v>0</v>
      </c>
      <c r="AN1193" s="180" t="str">
        <f>VLOOKUP($I1193,'Price List, Weapons &amp; Items'!B:L,COLUMN('Price List, Weapons &amp; Items'!$J$11)-1,0)</f>
        <v>Miscellaneous</v>
      </c>
      <c r="AO1193" s="180" t="str">
        <f>IF(I1193=".",".",VLOOKUP($I1193,'Price List, Weapons &amp; Items'!B:J,3,0))</f>
        <v>missile</v>
      </c>
      <c r="AP1193" s="545" t="str">
        <f t="shared" ca="1" si="276"/>
        <v/>
      </c>
      <c r="AQ1193" s="180" t="str">
        <f>VLOOKUP($I1193,'Price List, Weapons &amp; Items'!B:L,COLUMN('Price List, Weapons &amp; Items'!$L$11)-1,0)</f>
        <v>no price, 0 count</v>
      </c>
      <c r="AR1193" s="180">
        <f t="shared" si="269"/>
        <v>1</v>
      </c>
      <c r="AS1193" s="180">
        <f t="shared" si="270"/>
        <v>1</v>
      </c>
      <c r="AT1193" s="180">
        <f t="shared" si="271"/>
        <v>1</v>
      </c>
      <c r="AU1193" s="180" t="str">
        <f t="shared" si="272"/>
        <v>.</v>
      </c>
      <c r="AV1193" s="180" t="str">
        <f t="shared" si="273"/>
        <v>.</v>
      </c>
      <c r="AW1193" s="180">
        <f>IFERROR(VLOOKUP(B1193,'Share, Heavy Weapons to Ukraine'!B:J,COLUMN('Share, Heavy Weapons to Ukraine'!C1203)-1,0),0)</f>
        <v>1</v>
      </c>
      <c r="AX1193" s="180">
        <f>VLOOKUP('Bilateral Assistance, MAIN DATA'!B1193,'Country Summary'!B:F,COLUMN('Country Summary'!C1206)-1,FALSE)</f>
        <v>0</v>
      </c>
      <c r="AY1193" s="180" t="str">
        <f>IF(AND(AD1193=1,D1193="Military",H1193&lt;&gt;"Not given")=TRUE,IF(SUMIFS(P:P,A:A,A1193)&gt;0,ABS((SUMIFS(P:P,A:A,A1193)/VLOOKUP("USD",'Exchange Rates'!B:C,2,0)))/S1193,"."),".")</f>
        <v>.</v>
      </c>
      <c r="AZ1193" s="182" t="str">
        <f>IF(AND(AD1193=1,D1193="Military",H1193&lt;&gt;"Not given")=TRUE,IF(SUMIFS(P:P,A:A,A1193)&gt;0,IF((ABS((SUMIFS(P:P,A:A,A1193)/VLOOKUP("USD",'Exchange Rates'!B:C,2,0)))/S1193)&gt;1,(SUMIFS(P:P,A:A,A1193)-S1193)/S1193,(S1193-SUMIFS(P:P,A:A,A1193))/SUMIFS(P:P,A:A,A1193)),"."),".")</f>
        <v>.</v>
      </c>
      <c r="BA1193" s="182"/>
      <c r="BB1193" s="182"/>
      <c r="BC1193" s="182"/>
      <c r="BD1193" s="182"/>
      <c r="BE1193" s="182"/>
      <c r="BF1193" s="182"/>
      <c r="BG1193" s="182"/>
      <c r="BH1193" s="182"/>
      <c r="BI1193" s="182"/>
      <c r="BJ1193" s="182"/>
      <c r="BK1193" s="182"/>
      <c r="BL1193" s="182"/>
      <c r="BM1193" s="182"/>
      <c r="BN1193" s="182"/>
      <c r="BO1193" s="182"/>
      <c r="BP1193" s="182"/>
      <c r="BQ1193" s="182"/>
      <c r="BR1193" s="182"/>
      <c r="BS1193" s="182"/>
    </row>
    <row r="1194" spans="1:71" ht="15.9" customHeight="1" x14ac:dyDescent="0.3">
      <c r="A1194" s="5" t="s">
        <v>3065</v>
      </c>
      <c r="B1194" s="19" t="s">
        <v>3038</v>
      </c>
      <c r="C1194" s="555">
        <v>44812</v>
      </c>
      <c r="D1194" s="19" t="s">
        <v>285</v>
      </c>
      <c r="E1194" s="5" t="s">
        <v>1328</v>
      </c>
      <c r="F1194" s="175" t="s">
        <v>3263</v>
      </c>
      <c r="G1194" s="15" t="s">
        <v>346</v>
      </c>
      <c r="H1194" s="200">
        <v>675000000</v>
      </c>
      <c r="I1194" s="19" t="s">
        <v>3269</v>
      </c>
      <c r="J1194" s="113" t="str">
        <f>VLOOKUP($I1194,'Price List, Weapons &amp; Items'!B:C,2,0)</f>
        <v>Heavy weapon</v>
      </c>
      <c r="K1194" s="113" t="str">
        <f>IF(I1194=".",I1194,VLOOKUP($I1194,'Price List, Weapons &amp; Items'!B:D,3,0))</f>
        <v>Armoured Utility Vehicle (AUV)</v>
      </c>
      <c r="L1194" s="177">
        <f>VLOOKUP(I1194,'Price List, Weapons &amp; Items'!B:E,4,0)</f>
        <v>0</v>
      </c>
      <c r="M1194" s="247">
        <v>100</v>
      </c>
      <c r="N1194" s="542">
        <v>100</v>
      </c>
      <c r="O1194" s="543">
        <f>VLOOKUP($I1194,'Price List, Weapons &amp; Items'!B:G,6,0)</f>
        <v>254717</v>
      </c>
      <c r="P1194" s="176">
        <f t="shared" si="274"/>
        <v>25471700</v>
      </c>
      <c r="Q1194" s="176">
        <f t="shared" si="275"/>
        <v>25471700</v>
      </c>
      <c r="R1194" s="176" t="str">
        <f t="shared" si="277"/>
        <v/>
      </c>
      <c r="S1194" s="176" t="str">
        <f>IF(AND(AD1194=1,R1194&lt;&gt;".")=TRUE,R1194/VLOOKUP(G1194,'Exchange Rates'!B:C,2,0),IF(R1194=".",".",""))</f>
        <v/>
      </c>
      <c r="T1194" s="176" t="str">
        <f>IF(AD1194=1,IF(AF1194="Value is not given at all",".",IF(AF1194="Value is given by the source",S1194,IF(AF1194="Value is calculated with prices",(IF(SUMIFS(Q:Q,A:A,A1194)&gt;0,SUMIFS(Q:Q,A:A,A1194),"."))/VLOOKUP("USD",'Exchange Rates'!B:C,2,0),"Error with coding"))),"")</f>
        <v/>
      </c>
      <c r="U1194" s="15" t="s">
        <v>261</v>
      </c>
      <c r="V1194" s="304" t="s">
        <v>3264</v>
      </c>
      <c r="W1194" s="667" t="s">
        <v>3044</v>
      </c>
      <c r="X1194" s="667" t="s">
        <v>3047</v>
      </c>
      <c r="Y1194" s="667" t="s">
        <v>3268</v>
      </c>
      <c r="Z1194" s="199">
        <v>0</v>
      </c>
      <c r="AA1194" s="180">
        <v>0</v>
      </c>
      <c r="AB1194" s="667" t="s">
        <v>3270</v>
      </c>
      <c r="AC1194" s="544" t="str">
        <f>""</f>
        <v/>
      </c>
      <c r="AD1194" s="183">
        <v>0</v>
      </c>
      <c r="AE1194" s="586" t="s">
        <v>264</v>
      </c>
      <c r="AF1194" s="181" t="s">
        <v>264</v>
      </c>
      <c r="AG1194" s="183">
        <v>1</v>
      </c>
      <c r="AH1194" s="183">
        <v>9</v>
      </c>
      <c r="AI1194" s="183">
        <v>0</v>
      </c>
      <c r="AJ1194" s="181">
        <f>VLOOKUP($I1194,'Price List, Weapons &amp; Items'!B:F,5,0)</f>
        <v>1</v>
      </c>
      <c r="AK1194" s="181">
        <f t="shared" si="266"/>
        <v>0</v>
      </c>
      <c r="AL1194" s="181">
        <f t="shared" si="267"/>
        <v>0</v>
      </c>
      <c r="AM1194" s="181">
        <f t="shared" si="268"/>
        <v>0</v>
      </c>
      <c r="AN1194" s="180" t="str">
        <f>VLOOKUP($I1194,'Price List, Weapons &amp; Items'!B:L,COLUMN('Price List, Weapons &amp; Items'!$J$11)-1,0)</f>
        <v>Military media (incl. websites)</v>
      </c>
      <c r="AO1194" s="180" t="str">
        <f>IF(I1194=".",".",VLOOKUP($I1194,'Price List, Weapons &amp; Items'!B:J,3,0))</f>
        <v>Armoured Utility Vehicle (AUV)</v>
      </c>
      <c r="AP1194" s="545" t="str">
        <f t="shared" ca="1" si="276"/>
        <v/>
      </c>
      <c r="AQ1194" s="180">
        <f>VLOOKUP($I1194,'Price List, Weapons &amp; Items'!B:L,COLUMN('Price List, Weapons &amp; Items'!$L$11)-1,0)</f>
        <v>2</v>
      </c>
      <c r="AR1194" s="180">
        <f t="shared" si="269"/>
        <v>1</v>
      </c>
      <c r="AS1194" s="180">
        <f t="shared" si="270"/>
        <v>1</v>
      </c>
      <c r="AT1194" s="180">
        <f t="shared" si="271"/>
        <v>1</v>
      </c>
      <c r="AU1194" s="180" t="str">
        <f t="shared" si="272"/>
        <v>.</v>
      </c>
      <c r="AV1194" s="180" t="str">
        <f t="shared" si="273"/>
        <v>.</v>
      </c>
      <c r="AW1194" s="180">
        <f>IFERROR(VLOOKUP(B1194,'Share, Heavy Weapons to Ukraine'!B:J,COLUMN('Share, Heavy Weapons to Ukraine'!C1204)-1,0),0)</f>
        <v>1</v>
      </c>
      <c r="AX1194" s="180">
        <f>VLOOKUP('Bilateral Assistance, MAIN DATA'!B1194,'Country Summary'!B:F,COLUMN('Country Summary'!C1207)-1,FALSE)</f>
        <v>0</v>
      </c>
      <c r="AY1194" s="180" t="str">
        <f>IF(AND(AD1194=1,D1194="Military",H1194&lt;&gt;"Not given")=TRUE,IF(SUMIFS(P:P,A:A,A1194)&gt;0,ABS((SUMIFS(P:P,A:A,A1194)/VLOOKUP("USD",'Exchange Rates'!B:C,2,0)))/S1194,"."),".")</f>
        <v>.</v>
      </c>
      <c r="AZ1194" s="182" t="str">
        <f>IF(AND(AD1194=1,D1194="Military",H1194&lt;&gt;"Not given")=TRUE,IF(SUMIFS(P:P,A:A,A1194)&gt;0,IF((ABS((SUMIFS(P:P,A:A,A1194)/VLOOKUP("USD",'Exchange Rates'!B:C,2,0)))/S1194)&gt;1,(SUMIFS(P:P,A:A,A1194)-S1194)/S1194,(S1194-SUMIFS(P:P,A:A,A1194))/SUMIFS(P:P,A:A,A1194)),"."),".")</f>
        <v>.</v>
      </c>
      <c r="BA1194" s="182"/>
      <c r="BB1194" s="182"/>
      <c r="BC1194" s="182"/>
      <c r="BD1194" s="182"/>
      <c r="BE1194" s="182"/>
      <c r="BF1194" s="182"/>
      <c r="BG1194" s="182"/>
      <c r="BH1194" s="182"/>
      <c r="BI1194" s="182"/>
      <c r="BJ1194" s="182"/>
      <c r="BK1194" s="182"/>
      <c r="BL1194" s="182"/>
      <c r="BM1194" s="182"/>
      <c r="BN1194" s="182"/>
      <c r="BO1194" s="182"/>
      <c r="BP1194" s="182"/>
      <c r="BQ1194" s="182"/>
      <c r="BR1194" s="182"/>
      <c r="BS1194" s="182"/>
    </row>
    <row r="1195" spans="1:71" ht="15.9" customHeight="1" x14ac:dyDescent="0.3">
      <c r="A1195" s="5" t="s">
        <v>3065</v>
      </c>
      <c r="B1195" s="19" t="s">
        <v>3038</v>
      </c>
      <c r="C1195" s="555">
        <v>44812</v>
      </c>
      <c r="D1195" s="19" t="s">
        <v>285</v>
      </c>
      <c r="E1195" s="5" t="s">
        <v>1328</v>
      </c>
      <c r="F1195" s="175" t="s">
        <v>3263</v>
      </c>
      <c r="G1195" s="15" t="s">
        <v>346</v>
      </c>
      <c r="H1195" s="200">
        <v>675000000</v>
      </c>
      <c r="I1195" s="19" t="s">
        <v>2033</v>
      </c>
      <c r="J1195" s="113" t="str">
        <f>VLOOKUP($I1195,'Price List, Weapons &amp; Items'!B:C,2,0)</f>
        <v>Ammunition for light infantry</v>
      </c>
      <c r="K1195" s="113" t="str">
        <f>IF(I1195=".",I1195,VLOOKUP($I1195,'Price List, Weapons &amp; Items'!B:D,3,0))</f>
        <v>Small Arms and Light Weapons (SALW) ammunition</v>
      </c>
      <c r="L1195" s="177">
        <f>VLOOKUP(I1195,'Price List, Weapons &amp; Items'!B:E,4,0)</f>
        <v>0</v>
      </c>
      <c r="M1195" s="247">
        <v>15000000</v>
      </c>
      <c r="N1195" s="542">
        <v>15000000</v>
      </c>
      <c r="O1195" s="543">
        <f>VLOOKUP($I1195,'Price List, Weapons &amp; Items'!B:G,6,0)</f>
        <v>0.47</v>
      </c>
      <c r="P1195" s="176">
        <f t="shared" si="274"/>
        <v>7050000</v>
      </c>
      <c r="Q1195" s="176">
        <f t="shared" si="275"/>
        <v>7050000</v>
      </c>
      <c r="R1195" s="176" t="str">
        <f t="shared" si="277"/>
        <v/>
      </c>
      <c r="S1195" s="176" t="str">
        <f>IF(AND(AD1195=1,R1195&lt;&gt;".")=TRUE,R1195/VLOOKUP(G1195,'Exchange Rates'!B:C,2,0),IF(R1195=".",".",""))</f>
        <v/>
      </c>
      <c r="T1195" s="176" t="str">
        <f>IF(AD1195=1,IF(AF1195="Value is not given at all",".",IF(AF1195="Value is given by the source",S1195,IF(AF1195="Value is calculated with prices",(IF(SUMIFS(Q:Q,A:A,A1195)&gt;0,SUMIFS(Q:Q,A:A,A1195),"."))/VLOOKUP("USD",'Exchange Rates'!B:C,2,0),"Error with coding"))),"")</f>
        <v/>
      </c>
      <c r="U1195" s="15" t="s">
        <v>261</v>
      </c>
      <c r="V1195" s="304" t="s">
        <v>3264</v>
      </c>
      <c r="W1195" s="667" t="s">
        <v>3044</v>
      </c>
      <c r="X1195" s="667" t="s">
        <v>3047</v>
      </c>
      <c r="Y1195" s="667" t="s">
        <v>3270</v>
      </c>
      <c r="Z1195" s="199">
        <v>0</v>
      </c>
      <c r="AA1195" s="180">
        <v>0</v>
      </c>
      <c r="AB1195" s="667" t="s">
        <v>3271</v>
      </c>
      <c r="AC1195" s="544" t="str">
        <f>""</f>
        <v/>
      </c>
      <c r="AD1195" s="183">
        <v>0</v>
      </c>
      <c r="AE1195" s="586" t="s">
        <v>264</v>
      </c>
      <c r="AF1195" s="181" t="s">
        <v>264</v>
      </c>
      <c r="AG1195" s="183">
        <v>1</v>
      </c>
      <c r="AH1195" s="183">
        <v>9</v>
      </c>
      <c r="AI1195" s="183">
        <v>0</v>
      </c>
      <c r="AJ1195" s="181">
        <f>VLOOKUP($I1195,'Price List, Weapons &amp; Items'!B:F,5,0)</f>
        <v>0</v>
      </c>
      <c r="AK1195" s="181">
        <f t="shared" si="266"/>
        <v>0</v>
      </c>
      <c r="AL1195" s="181">
        <f t="shared" si="267"/>
        <v>0</v>
      </c>
      <c r="AM1195" s="181">
        <f t="shared" si="268"/>
        <v>1</v>
      </c>
      <c r="AN1195" s="180" t="str">
        <f>VLOOKUP($I1195,'Price List, Weapons &amp; Items'!B:L,COLUMN('Price List, Weapons &amp; Items'!$J$11)-1,0)</f>
        <v>Miscellaneous</v>
      </c>
      <c r="AO1195" s="180" t="str">
        <f>IF(I1195=".",".",VLOOKUP($I1195,'Price List, Weapons &amp; Items'!B:J,3,0))</f>
        <v>Small Arms and Light Weapons (SALW) ammunition</v>
      </c>
      <c r="AP1195" s="545" t="str">
        <f t="shared" ca="1" si="276"/>
        <v/>
      </c>
      <c r="AQ1195" s="180">
        <f>VLOOKUP($I1195,'Price List, Weapons &amp; Items'!B:L,COLUMN('Price List, Weapons &amp; Items'!$L$11)-1,0)</f>
        <v>2</v>
      </c>
      <c r="AR1195" s="180">
        <f t="shared" si="269"/>
        <v>1</v>
      </c>
      <c r="AS1195" s="180">
        <f t="shared" si="270"/>
        <v>1</v>
      </c>
      <c r="AT1195" s="180">
        <f t="shared" si="271"/>
        <v>1</v>
      </c>
      <c r="AU1195" s="180" t="str">
        <f t="shared" si="272"/>
        <v>.</v>
      </c>
      <c r="AV1195" s="180" t="str">
        <f t="shared" si="273"/>
        <v>.</v>
      </c>
      <c r="AW1195" s="180">
        <f>IFERROR(VLOOKUP(B1195,'Share, Heavy Weapons to Ukraine'!B:J,COLUMN('Share, Heavy Weapons to Ukraine'!C1205)-1,0),0)</f>
        <v>1</v>
      </c>
      <c r="AX1195" s="180">
        <f>VLOOKUP('Bilateral Assistance, MAIN DATA'!B1195,'Country Summary'!B:F,COLUMN('Country Summary'!C1208)-1,FALSE)</f>
        <v>0</v>
      </c>
      <c r="AY1195" s="180" t="str">
        <f>IF(AND(AD1195=1,D1195="Military",H1195&lt;&gt;"Not given")=TRUE,IF(SUMIFS(P:P,A:A,A1195)&gt;0,ABS((SUMIFS(P:P,A:A,A1195)/VLOOKUP("USD",'Exchange Rates'!B:C,2,0)))/S1195,"."),".")</f>
        <v>.</v>
      </c>
      <c r="AZ1195" s="182" t="str">
        <f>IF(AND(AD1195=1,D1195="Military",H1195&lt;&gt;"Not given")=TRUE,IF(SUMIFS(P:P,A:A,A1195)&gt;0,IF((ABS((SUMIFS(P:P,A:A,A1195)/VLOOKUP("USD",'Exchange Rates'!B:C,2,0)))/S1195)&gt;1,(SUMIFS(P:P,A:A,A1195)-S1195)/S1195,(S1195-SUMIFS(P:P,A:A,A1195))/SUMIFS(P:P,A:A,A1195)),"."),".")</f>
        <v>.</v>
      </c>
      <c r="BA1195" s="182"/>
      <c r="BB1195" s="182"/>
      <c r="BC1195" s="182"/>
      <c r="BD1195" s="182"/>
      <c r="BE1195" s="182"/>
      <c r="BF1195" s="182"/>
      <c r="BG1195" s="182"/>
      <c r="BH1195" s="182"/>
      <c r="BI1195" s="182"/>
      <c r="BJ1195" s="182"/>
      <c r="BK1195" s="182"/>
      <c r="BL1195" s="182"/>
      <c r="BM1195" s="182"/>
      <c r="BN1195" s="182"/>
      <c r="BO1195" s="182"/>
      <c r="BP1195" s="182"/>
      <c r="BQ1195" s="182"/>
      <c r="BR1195" s="182"/>
      <c r="BS1195" s="182"/>
    </row>
    <row r="1196" spans="1:71" ht="15.9" customHeight="1" x14ac:dyDescent="0.3">
      <c r="A1196" s="5" t="s">
        <v>3065</v>
      </c>
      <c r="B1196" s="19" t="s">
        <v>3038</v>
      </c>
      <c r="C1196" s="555">
        <v>44812</v>
      </c>
      <c r="D1196" s="19" t="s">
        <v>285</v>
      </c>
      <c r="E1196" s="5" t="s">
        <v>1328</v>
      </c>
      <c r="F1196" s="175" t="s">
        <v>3263</v>
      </c>
      <c r="G1196" s="15" t="s">
        <v>346</v>
      </c>
      <c r="H1196" s="200">
        <v>675000000</v>
      </c>
      <c r="I1196" s="19" t="s">
        <v>3107</v>
      </c>
      <c r="J1196" s="113" t="str">
        <f>VLOOKUP($I1196,'Price List, Weapons &amp; Items'!B:C,2,0)</f>
        <v>Portable defence system</v>
      </c>
      <c r="K1196" s="113" t="str">
        <f>IF(I1196=".",I1196,VLOOKUP($I1196,'Price List, Weapons &amp; Items'!B:D,3,0))</f>
        <v>Light Anti-armor Weapon (LAW)</v>
      </c>
      <c r="L1196" s="177">
        <f>VLOOKUP(I1196,'Price List, Weapons &amp; Items'!B:E,4,0)</f>
        <v>0</v>
      </c>
      <c r="M1196" s="247">
        <v>5000</v>
      </c>
      <c r="N1196" s="542">
        <v>5000</v>
      </c>
      <c r="O1196" s="543">
        <f>VLOOKUP($I1196,'Price List, Weapons &amp; Items'!B:G,6,0)</f>
        <v>78000</v>
      </c>
      <c r="P1196" s="176">
        <f t="shared" si="274"/>
        <v>390000000</v>
      </c>
      <c r="Q1196" s="176">
        <f t="shared" si="275"/>
        <v>390000000</v>
      </c>
      <c r="R1196" s="176" t="str">
        <f t="shared" si="277"/>
        <v/>
      </c>
      <c r="S1196" s="176" t="str">
        <f>IF(AND(AD1196=1,R1196&lt;&gt;".")=TRUE,R1196/VLOOKUP(G1196,'Exchange Rates'!B:C,2,0),IF(R1196=".",".",""))</f>
        <v/>
      </c>
      <c r="T1196" s="176" t="str">
        <f>IF(AD1196=1,IF(AF1196="Value is not given at all",".",IF(AF1196="Value is given by the source",S1196,IF(AF1196="Value is calculated with prices",(IF(SUMIFS(Q:Q,A:A,A1196)&gt;0,SUMIFS(Q:Q,A:A,A1196),"."))/VLOOKUP("USD",'Exchange Rates'!B:C,2,0),"Error with coding"))),"")</f>
        <v/>
      </c>
      <c r="U1196" s="15" t="s">
        <v>261</v>
      </c>
      <c r="V1196" s="304" t="s">
        <v>3264</v>
      </c>
      <c r="W1196" s="667" t="s">
        <v>3044</v>
      </c>
      <c r="X1196" s="667" t="s">
        <v>3047</v>
      </c>
      <c r="Y1196" s="667" t="s">
        <v>3271</v>
      </c>
      <c r="Z1196" s="199">
        <v>0</v>
      </c>
      <c r="AA1196" s="180">
        <v>0</v>
      </c>
      <c r="AB1196" s="667" t="s">
        <v>3272</v>
      </c>
      <c r="AC1196" s="544" t="str">
        <f>""</f>
        <v/>
      </c>
      <c r="AD1196" s="183">
        <v>0</v>
      </c>
      <c r="AE1196" s="586" t="s">
        <v>264</v>
      </c>
      <c r="AF1196" s="181" t="s">
        <v>264</v>
      </c>
      <c r="AG1196" s="183">
        <v>1</v>
      </c>
      <c r="AH1196" s="183">
        <v>9</v>
      </c>
      <c r="AI1196" s="183">
        <v>0</v>
      </c>
      <c r="AJ1196" s="181">
        <f>VLOOKUP($I1196,'Price List, Weapons &amp; Items'!B:F,5,0)</f>
        <v>0</v>
      </c>
      <c r="AK1196" s="181">
        <f t="shared" si="266"/>
        <v>0</v>
      </c>
      <c r="AL1196" s="181">
        <f t="shared" si="267"/>
        <v>0</v>
      </c>
      <c r="AM1196" s="181">
        <f t="shared" si="268"/>
        <v>0</v>
      </c>
      <c r="AN1196" s="180" t="str">
        <f>VLOOKUP($I1196,'Price List, Weapons &amp; Items'!B:L,COLUMN('Price List, Weapons &amp; Items'!$J$11)-1,0)</f>
        <v>Military media (incl. websites)</v>
      </c>
      <c r="AO1196" s="180" t="str">
        <f>IF(I1196=".",".",VLOOKUP($I1196,'Price List, Weapons &amp; Items'!B:J,3,0))</f>
        <v>Light Anti-armor Weapon (LAW)</v>
      </c>
      <c r="AP1196" s="545" t="str">
        <f t="shared" ca="1" si="276"/>
        <v/>
      </c>
      <c r="AQ1196" s="180">
        <f>VLOOKUP($I1196,'Price List, Weapons &amp; Items'!B:L,COLUMN('Price List, Weapons &amp; Items'!$L$11)-1,0)</f>
        <v>2</v>
      </c>
      <c r="AR1196" s="180">
        <f t="shared" si="269"/>
        <v>1</v>
      </c>
      <c r="AS1196" s="180">
        <f t="shared" si="270"/>
        <v>1</v>
      </c>
      <c r="AT1196" s="180">
        <f t="shared" si="271"/>
        <v>1</v>
      </c>
      <c r="AU1196" s="180" t="str">
        <f t="shared" si="272"/>
        <v>.</v>
      </c>
      <c r="AV1196" s="180" t="str">
        <f t="shared" si="273"/>
        <v>.</v>
      </c>
      <c r="AW1196" s="180">
        <f>IFERROR(VLOOKUP(B1196,'Share, Heavy Weapons to Ukraine'!B:J,COLUMN('Share, Heavy Weapons to Ukraine'!C1206)-1,0),0)</f>
        <v>1</v>
      </c>
      <c r="AX1196" s="180">
        <f>VLOOKUP('Bilateral Assistance, MAIN DATA'!B1196,'Country Summary'!B:F,COLUMN('Country Summary'!C1209)-1,FALSE)</f>
        <v>0</v>
      </c>
      <c r="AY1196" s="180" t="str">
        <f>IF(AND(AD1196=1,D1196="Military",H1196&lt;&gt;"Not given")=TRUE,IF(SUMIFS(P:P,A:A,A1196)&gt;0,ABS((SUMIFS(P:P,A:A,A1196)/VLOOKUP("USD",'Exchange Rates'!B:C,2,0)))/S1196,"."),".")</f>
        <v>.</v>
      </c>
      <c r="AZ1196" s="182" t="str">
        <f>IF(AND(AD1196=1,D1196="Military",H1196&lt;&gt;"Not given")=TRUE,IF(SUMIFS(P:P,A:A,A1196)&gt;0,IF((ABS((SUMIFS(P:P,A:A,A1196)/VLOOKUP("USD",'Exchange Rates'!B:C,2,0)))/S1196)&gt;1,(SUMIFS(P:P,A:A,A1196)-S1196)/S1196,(S1196-SUMIFS(P:P,A:A,A1196))/SUMIFS(P:P,A:A,A1196)),"."),".")</f>
        <v>.</v>
      </c>
      <c r="BA1196" s="182"/>
      <c r="BB1196" s="182"/>
      <c r="BC1196" s="182"/>
      <c r="BD1196" s="182"/>
      <c r="BE1196" s="182"/>
      <c r="BF1196" s="182"/>
      <c r="BG1196" s="182"/>
      <c r="BH1196" s="182"/>
      <c r="BI1196" s="182"/>
      <c r="BJ1196" s="182"/>
      <c r="BK1196" s="182"/>
      <c r="BL1196" s="182"/>
      <c r="BM1196" s="182"/>
      <c r="BN1196" s="182"/>
      <c r="BO1196" s="182"/>
      <c r="BP1196" s="182"/>
      <c r="BQ1196" s="182"/>
      <c r="BR1196" s="182"/>
      <c r="BS1196" s="182"/>
    </row>
    <row r="1197" spans="1:71" ht="15.9" customHeight="1" x14ac:dyDescent="0.3">
      <c r="A1197" s="5" t="s">
        <v>3065</v>
      </c>
      <c r="B1197" s="19" t="s">
        <v>3038</v>
      </c>
      <c r="C1197" s="555">
        <v>44812</v>
      </c>
      <c r="D1197" s="19" t="s">
        <v>285</v>
      </c>
      <c r="E1197" s="5" t="s">
        <v>1328</v>
      </c>
      <c r="F1197" s="175" t="s">
        <v>3263</v>
      </c>
      <c r="G1197" s="15" t="s">
        <v>346</v>
      </c>
      <c r="H1197" s="200">
        <v>675000000</v>
      </c>
      <c r="I1197" s="19" t="s">
        <v>3273</v>
      </c>
      <c r="J1197" s="113" t="str">
        <f>VLOOKUP($I1197,'Price List, Weapons &amp; Items'!B:C,2,0)</f>
        <v>Ammunition for heavy weapon</v>
      </c>
      <c r="K1197" s="113" t="str">
        <f>IF(I1197=".",I1197,VLOOKUP($I1197,'Price List, Weapons &amp; Items'!B:D,3,0))</f>
        <v>155mm howitzer ammunition</v>
      </c>
      <c r="L1197" s="177">
        <f>VLOOKUP(I1197,'Price List, Weapons &amp; Items'!B:E,4,0)</f>
        <v>0</v>
      </c>
      <c r="M1197" s="247">
        <v>1000</v>
      </c>
      <c r="N1197" s="542">
        <v>1000</v>
      </c>
      <c r="O1197" s="543" t="str">
        <f>VLOOKUP($I1197,'Price List, Weapons &amp; Items'!B:G,6,0)</f>
        <v>.</v>
      </c>
      <c r="P1197" s="176" t="str">
        <f t="shared" si="274"/>
        <v>No price</v>
      </c>
      <c r="Q1197" s="176" t="str">
        <f t="shared" si="275"/>
        <v>No price</v>
      </c>
      <c r="R1197" s="176" t="str">
        <f t="shared" si="277"/>
        <v/>
      </c>
      <c r="S1197" s="176" t="str">
        <f>IF(AND(AD1197=1,R1197&lt;&gt;".")=TRUE,R1197/VLOOKUP(G1197,'Exchange Rates'!B:C,2,0),IF(R1197=".",".",""))</f>
        <v/>
      </c>
      <c r="T1197" s="176" t="str">
        <f>IF(AD1197=1,IF(AF1197="Value is not given at all",".",IF(AF1197="Value is given by the source",S1197,IF(AF1197="Value is calculated with prices",(IF(SUMIFS(Q:Q,A:A,A1197)&gt;0,SUMIFS(Q:Q,A:A,A1197),"."))/VLOOKUP("USD",'Exchange Rates'!B:C,2,0),"Error with coding"))),"")</f>
        <v/>
      </c>
      <c r="U1197" s="15" t="s">
        <v>261</v>
      </c>
      <c r="V1197" s="304" t="s">
        <v>3264</v>
      </c>
      <c r="W1197" s="667" t="s">
        <v>3044</v>
      </c>
      <c r="X1197" s="667" t="s">
        <v>3047</v>
      </c>
      <c r="Y1197" s="667" t="s">
        <v>3272</v>
      </c>
      <c r="Z1197" s="199">
        <v>0</v>
      </c>
      <c r="AA1197" s="180">
        <v>0</v>
      </c>
      <c r="AB1197" s="667" t="s">
        <v>3274</v>
      </c>
      <c r="AC1197" s="544" t="str">
        <f>""</f>
        <v/>
      </c>
      <c r="AD1197" s="183">
        <v>0</v>
      </c>
      <c r="AE1197" s="586" t="s">
        <v>264</v>
      </c>
      <c r="AF1197" s="181" t="s">
        <v>264</v>
      </c>
      <c r="AG1197" s="183">
        <v>1</v>
      </c>
      <c r="AH1197" s="183">
        <v>9</v>
      </c>
      <c r="AI1197" s="183">
        <v>0</v>
      </c>
      <c r="AJ1197" s="181">
        <f>VLOOKUP($I1197,'Price List, Weapons &amp; Items'!B:F,5,0)</f>
        <v>1</v>
      </c>
      <c r="AK1197" s="181">
        <f t="shared" si="266"/>
        <v>0</v>
      </c>
      <c r="AL1197" s="181">
        <f t="shared" si="267"/>
        <v>0</v>
      </c>
      <c r="AM1197" s="181">
        <f t="shared" si="268"/>
        <v>0</v>
      </c>
      <c r="AN1197" s="180" t="str">
        <f>VLOOKUP($I1197,'Price List, Weapons &amp; Items'!B:L,COLUMN('Price List, Weapons &amp; Items'!$J$11)-1,0)</f>
        <v>.</v>
      </c>
      <c r="AO1197" s="180" t="str">
        <f>IF(I1197=".",".",VLOOKUP($I1197,'Price List, Weapons &amp; Items'!B:J,3,0))</f>
        <v>155mm howitzer ammunition</v>
      </c>
      <c r="AP1197" s="545" t="str">
        <f t="shared" ca="1" si="276"/>
        <v/>
      </c>
      <c r="AQ1197" s="180">
        <f>VLOOKUP($I1197,'Price List, Weapons &amp; Items'!B:L,COLUMN('Price List, Weapons &amp; Items'!$L$11)-1,0)</f>
        <v>0</v>
      </c>
      <c r="AR1197" s="180">
        <f t="shared" si="269"/>
        <v>1</v>
      </c>
      <c r="AS1197" s="180">
        <f t="shared" si="270"/>
        <v>1</v>
      </c>
      <c r="AT1197" s="180">
        <f t="shared" si="271"/>
        <v>1</v>
      </c>
      <c r="AU1197" s="180" t="str">
        <f t="shared" si="272"/>
        <v>.</v>
      </c>
      <c r="AV1197" s="180" t="str">
        <f t="shared" si="273"/>
        <v>.</v>
      </c>
      <c r="AW1197" s="180">
        <f>IFERROR(VLOOKUP(B1197,'Share, Heavy Weapons to Ukraine'!B:J,COLUMN('Share, Heavy Weapons to Ukraine'!C1207)-1,0),0)</f>
        <v>1</v>
      </c>
      <c r="AX1197" s="180">
        <f>VLOOKUP('Bilateral Assistance, MAIN DATA'!B1197,'Country Summary'!B:F,COLUMN('Country Summary'!C1210)-1,FALSE)</f>
        <v>0</v>
      </c>
      <c r="AY1197" s="180" t="str">
        <f>IF(AND(AD1197=1,D1197="Military",H1197&lt;&gt;"Not given")=TRUE,IF(SUMIFS(P:P,A:A,A1197)&gt;0,ABS((SUMIFS(P:P,A:A,A1197)/VLOOKUP("USD",'Exchange Rates'!B:C,2,0)))/S1197,"."),".")</f>
        <v>.</v>
      </c>
      <c r="AZ1197" s="182" t="str">
        <f>IF(AND(AD1197=1,D1197="Military",H1197&lt;&gt;"Not given")=TRUE,IF(SUMIFS(P:P,A:A,A1197)&gt;0,IF((ABS((SUMIFS(P:P,A:A,A1197)/VLOOKUP("USD",'Exchange Rates'!B:C,2,0)))/S1197)&gt;1,(SUMIFS(P:P,A:A,A1197)-S1197)/S1197,(S1197-SUMIFS(P:P,A:A,A1197))/SUMIFS(P:P,A:A,A1197)),"."),".")</f>
        <v>.</v>
      </c>
      <c r="BA1197" s="182"/>
      <c r="BB1197" s="182"/>
      <c r="BC1197" s="182"/>
      <c r="BD1197" s="182"/>
      <c r="BE1197" s="182"/>
      <c r="BF1197" s="182"/>
      <c r="BG1197" s="182"/>
      <c r="BH1197" s="182"/>
      <c r="BI1197" s="182"/>
      <c r="BJ1197" s="182"/>
      <c r="BK1197" s="182"/>
      <c r="BL1197" s="182"/>
      <c r="BM1197" s="182"/>
      <c r="BN1197" s="182"/>
      <c r="BO1197" s="182"/>
      <c r="BP1197" s="182"/>
      <c r="BQ1197" s="182"/>
      <c r="BR1197" s="182"/>
      <c r="BS1197" s="182"/>
    </row>
    <row r="1198" spans="1:71" ht="15.9" customHeight="1" x14ac:dyDescent="0.3">
      <c r="A1198" s="5" t="s">
        <v>3065</v>
      </c>
      <c r="B1198" s="19" t="s">
        <v>3038</v>
      </c>
      <c r="C1198" s="555">
        <v>44812</v>
      </c>
      <c r="D1198" s="19" t="s">
        <v>285</v>
      </c>
      <c r="E1198" s="5" t="s">
        <v>1328</v>
      </c>
      <c r="F1198" s="175" t="s">
        <v>3263</v>
      </c>
      <c r="G1198" s="15" t="s">
        <v>346</v>
      </c>
      <c r="H1198" s="200">
        <v>675000000</v>
      </c>
      <c r="I1198" s="19" t="s">
        <v>3275</v>
      </c>
      <c r="J1198" s="113" t="str">
        <f>VLOOKUP($I1198,'Price List, Weapons &amp; Items'!B:C,2,0)</f>
        <v>Light armaments &amp; infantry</v>
      </c>
      <c r="K1198" s="113" t="str">
        <f>IF(I1198=".",I1198,VLOOKUP($I1198,'Price List, Weapons &amp; Items'!B:D,3,0))</f>
        <v>Light Anti-armor Weapon (LAW)</v>
      </c>
      <c r="L1198" s="177">
        <f>VLOOKUP(I1198,'Price List, Weapons &amp; Items'!B:E,4,0)</f>
        <v>0</v>
      </c>
      <c r="M1198" s="247" t="s">
        <v>270</v>
      </c>
      <c r="N1198" s="542" t="s">
        <v>270</v>
      </c>
      <c r="O1198" s="543">
        <f>VLOOKUP($I1198,'Price List, Weapons &amp; Items'!B:G,6,0)</f>
        <v>2099</v>
      </c>
      <c r="P1198" s="176" t="str">
        <f t="shared" si="274"/>
        <v>.</v>
      </c>
      <c r="Q1198" s="176" t="str">
        <f t="shared" si="275"/>
        <v>.</v>
      </c>
      <c r="R1198" s="176" t="str">
        <f t="shared" si="277"/>
        <v/>
      </c>
      <c r="S1198" s="176" t="str">
        <f>IF(AND(AD1198=1,R1198&lt;&gt;".")=TRUE,R1198/VLOOKUP(G1198,'Exchange Rates'!B:C,2,0),IF(R1198=".",".",""))</f>
        <v/>
      </c>
      <c r="T1198" s="176" t="str">
        <f>IF(AD1198=1,IF(AF1198="Value is not given at all",".",IF(AF1198="Value is given by the source",S1198,IF(AF1198="Value is calculated with prices",(IF(SUMIFS(Q:Q,A:A,A1198)&gt;0,SUMIFS(Q:Q,A:A,A1198),"."))/VLOOKUP("USD",'Exchange Rates'!B:C,2,0),"Error with coding"))),"")</f>
        <v/>
      </c>
      <c r="U1198" s="15" t="s">
        <v>261</v>
      </c>
      <c r="V1198" s="304" t="s">
        <v>3264</v>
      </c>
      <c r="W1198" s="667" t="s">
        <v>3044</v>
      </c>
      <c r="X1198" s="667" t="s">
        <v>3047</v>
      </c>
      <c r="Y1198" s="667" t="s">
        <v>3274</v>
      </c>
      <c r="Z1198" s="199">
        <v>0</v>
      </c>
      <c r="AA1198" s="180">
        <v>0</v>
      </c>
      <c r="AB1198" s="667" t="s">
        <v>3276</v>
      </c>
      <c r="AC1198" s="544" t="str">
        <f>""</f>
        <v/>
      </c>
      <c r="AD1198" s="183">
        <v>0</v>
      </c>
      <c r="AE1198" s="586" t="s">
        <v>264</v>
      </c>
      <c r="AF1198" s="181" t="s">
        <v>264</v>
      </c>
      <c r="AG1198" s="183">
        <v>1</v>
      </c>
      <c r="AH1198" s="183">
        <v>9</v>
      </c>
      <c r="AI1198" s="183">
        <v>0</v>
      </c>
      <c r="AJ1198" s="181">
        <f>VLOOKUP($I1198,'Price List, Weapons &amp; Items'!B:F,5,0)</f>
        <v>0</v>
      </c>
      <c r="AK1198" s="181">
        <f t="shared" si="266"/>
        <v>0</v>
      </c>
      <c r="AL1198" s="181">
        <f t="shared" si="267"/>
        <v>0</v>
      </c>
      <c r="AM1198" s="181">
        <f t="shared" si="268"/>
        <v>0</v>
      </c>
      <c r="AN1198" s="180" t="str">
        <f>VLOOKUP($I1198,'Price List, Weapons &amp; Items'!B:L,COLUMN('Price List, Weapons &amp; Items'!$J$11)-1,0)</f>
        <v>Media reports (incl. social media)</v>
      </c>
      <c r="AO1198" s="180" t="str">
        <f>IF(I1198=".",".",VLOOKUP($I1198,'Price List, Weapons &amp; Items'!B:J,3,0))</f>
        <v>Light Anti-armor Weapon (LAW)</v>
      </c>
      <c r="AP1198" s="545" t="str">
        <f t="shared" ca="1" si="276"/>
        <v/>
      </c>
      <c r="AQ1198" s="180">
        <f>VLOOKUP($I1198,'Price List, Weapons &amp; Items'!B:L,COLUMN('Price List, Weapons &amp; Items'!$L$11)-1,0)</f>
        <v>2</v>
      </c>
      <c r="AR1198" s="180">
        <f t="shared" si="269"/>
        <v>1</v>
      </c>
      <c r="AS1198" s="180">
        <f t="shared" si="270"/>
        <v>1</v>
      </c>
      <c r="AT1198" s="180">
        <f t="shared" si="271"/>
        <v>1</v>
      </c>
      <c r="AU1198" s="180" t="str">
        <f t="shared" si="272"/>
        <v>.</v>
      </c>
      <c r="AV1198" s="180" t="str">
        <f t="shared" si="273"/>
        <v>.</v>
      </c>
      <c r="AW1198" s="180">
        <f>IFERROR(VLOOKUP(B1198,'Share, Heavy Weapons to Ukraine'!B:J,COLUMN('Share, Heavy Weapons to Ukraine'!C1208)-1,0),0)</f>
        <v>1</v>
      </c>
      <c r="AX1198" s="180">
        <f>VLOOKUP('Bilateral Assistance, MAIN DATA'!B1198,'Country Summary'!B:F,COLUMN('Country Summary'!C1211)-1,FALSE)</f>
        <v>0</v>
      </c>
      <c r="AY1198" s="180" t="str">
        <f>IF(AND(AD1198=1,D1198="Military",H1198&lt;&gt;"Not given")=TRUE,IF(SUMIFS(P:P,A:A,A1198)&gt;0,ABS((SUMIFS(P:P,A:A,A1198)/VLOOKUP("USD",'Exchange Rates'!B:C,2,0)))/S1198,"."),".")</f>
        <v>.</v>
      </c>
      <c r="AZ1198" s="182" t="str">
        <f>IF(AND(AD1198=1,D1198="Military",H1198&lt;&gt;"Not given")=TRUE,IF(SUMIFS(P:P,A:A,A1198)&gt;0,IF((ABS((SUMIFS(P:P,A:A,A1198)/VLOOKUP("USD",'Exchange Rates'!B:C,2,0)))/S1198)&gt;1,(SUMIFS(P:P,A:A,A1198)-S1198)/S1198,(S1198-SUMIFS(P:P,A:A,A1198))/SUMIFS(P:P,A:A,A1198)),"."),".")</f>
        <v>.</v>
      </c>
      <c r="BA1198" s="182"/>
      <c r="BB1198" s="182"/>
      <c r="BC1198" s="182"/>
      <c r="BD1198" s="182"/>
      <c r="BE1198" s="182"/>
      <c r="BF1198" s="182"/>
      <c r="BG1198" s="182"/>
      <c r="BH1198" s="182"/>
      <c r="BI1198" s="182"/>
      <c r="BJ1198" s="182"/>
      <c r="BK1198" s="182"/>
      <c r="BL1198" s="182"/>
      <c r="BM1198" s="182"/>
      <c r="BN1198" s="182"/>
      <c r="BO1198" s="182"/>
      <c r="BP1198" s="182"/>
      <c r="BQ1198" s="182"/>
      <c r="BR1198" s="182"/>
      <c r="BS1198" s="182"/>
    </row>
    <row r="1199" spans="1:71" ht="15.9" customHeight="1" x14ac:dyDescent="0.3">
      <c r="A1199" s="5" t="s">
        <v>3065</v>
      </c>
      <c r="B1199" s="19" t="s">
        <v>3038</v>
      </c>
      <c r="C1199" s="555">
        <v>44812</v>
      </c>
      <c r="D1199" s="19" t="s">
        <v>285</v>
      </c>
      <c r="E1199" s="5" t="s">
        <v>1328</v>
      </c>
      <c r="F1199" s="175" t="s">
        <v>3263</v>
      </c>
      <c r="G1199" s="15" t="s">
        <v>346</v>
      </c>
      <c r="H1199" s="200">
        <v>675000000</v>
      </c>
      <c r="I1199" s="19" t="s">
        <v>3225</v>
      </c>
      <c r="J1199" s="113" t="str">
        <f>VLOOKUP($I1199,'Price List, Weapons &amp; Items'!B:C,2,0)</f>
        <v>Military equipment</v>
      </c>
      <c r="K1199" s="113" t="str">
        <f>IF(I1199=".",I1199,VLOOKUP($I1199,'Price List, Weapons &amp; Items'!B:D,3,0))</f>
        <v>non combat military vehicle</v>
      </c>
      <c r="L1199" s="177">
        <f>VLOOKUP(I1199,'Price List, Weapons &amp; Items'!B:E,4,0)</f>
        <v>0</v>
      </c>
      <c r="M1199" s="247">
        <v>50</v>
      </c>
      <c r="N1199" s="542">
        <v>50</v>
      </c>
      <c r="O1199" s="543">
        <f>VLOOKUP($I1199,'Price List, Weapons &amp; Items'!B:G,6,0)</f>
        <v>274051.65999999997</v>
      </c>
      <c r="P1199" s="176">
        <f t="shared" si="274"/>
        <v>13702582.999999998</v>
      </c>
      <c r="Q1199" s="176">
        <f t="shared" si="275"/>
        <v>13702582.999999998</v>
      </c>
      <c r="R1199" s="176" t="str">
        <f t="shared" si="277"/>
        <v/>
      </c>
      <c r="S1199" s="176" t="str">
        <f>IF(AND(AD1199=1,R1199&lt;&gt;".")=TRUE,R1199/VLOOKUP(G1199,'Exchange Rates'!B:C,2,0),IF(R1199=".",".",""))</f>
        <v/>
      </c>
      <c r="T1199" s="176" t="str">
        <f>IF(AD1199=1,IF(AF1199="Value is not given at all",".",IF(AF1199="Value is given by the source",S1199,IF(AF1199="Value is calculated with prices",(IF(SUMIFS(Q:Q,A:A,A1199)&gt;0,SUMIFS(Q:Q,A:A,A1199),"."))/VLOOKUP("USD",'Exchange Rates'!B:C,2,0),"Error with coding"))),"")</f>
        <v/>
      </c>
      <c r="U1199" s="15" t="s">
        <v>261</v>
      </c>
      <c r="V1199" s="304" t="s">
        <v>3264</v>
      </c>
      <c r="W1199" s="667" t="s">
        <v>3044</v>
      </c>
      <c r="X1199" s="667" t="s">
        <v>3047</v>
      </c>
      <c r="Y1199" s="667" t="s">
        <v>3276</v>
      </c>
      <c r="Z1199" s="199">
        <v>0</v>
      </c>
      <c r="AA1199" s="180">
        <v>0</v>
      </c>
      <c r="AB1199" s="667" t="s">
        <v>3277</v>
      </c>
      <c r="AC1199" s="544" t="str">
        <f>""</f>
        <v/>
      </c>
      <c r="AD1199" s="183">
        <v>0</v>
      </c>
      <c r="AE1199" s="586" t="s">
        <v>264</v>
      </c>
      <c r="AF1199" s="181" t="s">
        <v>264</v>
      </c>
      <c r="AG1199" s="183">
        <v>1</v>
      </c>
      <c r="AH1199" s="183">
        <v>9</v>
      </c>
      <c r="AI1199" s="183">
        <v>0</v>
      </c>
      <c r="AJ1199" s="181">
        <f>VLOOKUP($I1199,'Price List, Weapons &amp; Items'!B:F,5,0)</f>
        <v>0</v>
      </c>
      <c r="AK1199" s="181">
        <f t="shared" si="266"/>
        <v>0</v>
      </c>
      <c r="AL1199" s="181">
        <f t="shared" si="267"/>
        <v>0</v>
      </c>
      <c r="AM1199" s="181">
        <f t="shared" si="268"/>
        <v>0</v>
      </c>
      <c r="AN1199" s="180" t="str">
        <f>VLOOKUP($I1199,'Price List, Weapons &amp; Items'!B:L,COLUMN('Price List, Weapons &amp; Items'!$J$11)-1,0)</f>
        <v>Military media (incl. websites)</v>
      </c>
      <c r="AO1199" s="180" t="str">
        <f>IF(I1199=".",".",VLOOKUP($I1199,'Price List, Weapons &amp; Items'!B:J,3,0))</f>
        <v>non combat military vehicle</v>
      </c>
      <c r="AP1199" s="545" t="str">
        <f t="shared" ca="1" si="276"/>
        <v/>
      </c>
      <c r="AQ1199" s="180">
        <f>VLOOKUP($I1199,'Price List, Weapons &amp; Items'!B:L,COLUMN('Price List, Weapons &amp; Items'!$L$11)-1,0)</f>
        <v>2</v>
      </c>
      <c r="AR1199" s="180">
        <f t="shared" si="269"/>
        <v>1</v>
      </c>
      <c r="AS1199" s="180">
        <f t="shared" si="270"/>
        <v>1</v>
      </c>
      <c r="AT1199" s="180">
        <f t="shared" si="271"/>
        <v>1</v>
      </c>
      <c r="AU1199" s="180" t="str">
        <f t="shared" si="272"/>
        <v>.</v>
      </c>
      <c r="AV1199" s="180" t="str">
        <f t="shared" si="273"/>
        <v>.</v>
      </c>
      <c r="AW1199" s="180">
        <f>IFERROR(VLOOKUP(B1199,'Share, Heavy Weapons to Ukraine'!B:J,COLUMN('Share, Heavy Weapons to Ukraine'!C1209)-1,0),0)</f>
        <v>1</v>
      </c>
      <c r="AX1199" s="180">
        <f>VLOOKUP('Bilateral Assistance, MAIN DATA'!B1199,'Country Summary'!B:F,COLUMN('Country Summary'!C1212)-1,FALSE)</f>
        <v>0</v>
      </c>
      <c r="AY1199" s="180" t="str">
        <f>IF(AND(AD1199=1,D1199="Military",H1199&lt;&gt;"Not given")=TRUE,IF(SUMIFS(P:P,A:A,A1199)&gt;0,ABS((SUMIFS(P:P,A:A,A1199)/VLOOKUP("USD",'Exchange Rates'!B:C,2,0)))/S1199,"."),".")</f>
        <v>.</v>
      </c>
      <c r="AZ1199" s="182" t="str">
        <f>IF(AND(AD1199=1,D1199="Military",H1199&lt;&gt;"Not given")=TRUE,IF(SUMIFS(P:P,A:A,A1199)&gt;0,IF((ABS((SUMIFS(P:P,A:A,A1199)/VLOOKUP("USD",'Exchange Rates'!B:C,2,0)))/S1199)&gt;1,(SUMIFS(P:P,A:A,A1199)-S1199)/S1199,(S1199-SUMIFS(P:P,A:A,A1199))/SUMIFS(P:P,A:A,A1199)),"."),".")</f>
        <v>.</v>
      </c>
      <c r="BA1199" s="182"/>
      <c r="BB1199" s="182"/>
      <c r="BC1199" s="182"/>
      <c r="BD1199" s="182"/>
      <c r="BE1199" s="182"/>
      <c r="BF1199" s="182"/>
      <c r="BG1199" s="182"/>
      <c r="BH1199" s="182"/>
      <c r="BI1199" s="182"/>
      <c r="BJ1199" s="182"/>
      <c r="BK1199" s="182"/>
      <c r="BL1199" s="182"/>
      <c r="BM1199" s="182"/>
      <c r="BN1199" s="182"/>
      <c r="BO1199" s="182"/>
      <c r="BP1199" s="182"/>
      <c r="BQ1199" s="182"/>
      <c r="BR1199" s="182"/>
      <c r="BS1199" s="182"/>
    </row>
    <row r="1200" spans="1:71" ht="15.9" customHeight="1" x14ac:dyDescent="0.3">
      <c r="A1200" s="5" t="s">
        <v>3065</v>
      </c>
      <c r="B1200" s="19" t="s">
        <v>3038</v>
      </c>
      <c r="C1200" s="555">
        <v>44812</v>
      </c>
      <c r="D1200" s="19" t="s">
        <v>285</v>
      </c>
      <c r="E1200" s="5" t="s">
        <v>1328</v>
      </c>
      <c r="F1200" s="175" t="s">
        <v>3263</v>
      </c>
      <c r="G1200" s="15" t="s">
        <v>346</v>
      </c>
      <c r="H1200" s="200">
        <v>675000000</v>
      </c>
      <c r="I1200" s="19" t="s">
        <v>2259</v>
      </c>
      <c r="J1200" s="113" t="str">
        <f>VLOOKUP($I1200,'Price List, Weapons &amp; Items'!B:C,2,0)</f>
        <v>Military equipment</v>
      </c>
      <c r="K1200" s="113" t="str">
        <f>IF(I1200=".",I1200,VLOOKUP($I1200,'Price List, Weapons &amp; Items'!B:D,3,0))</f>
        <v>Military equipment</v>
      </c>
      <c r="L1200" s="177">
        <f>VLOOKUP(I1200,'Price List, Weapons &amp; Items'!B:E,4,0)</f>
        <v>0</v>
      </c>
      <c r="M1200" s="247" t="s">
        <v>270</v>
      </c>
      <c r="N1200" s="542" t="s">
        <v>270</v>
      </c>
      <c r="O1200" s="543">
        <f>VLOOKUP($I1200,'Price List, Weapons &amp; Items'!B:G,6,0)</f>
        <v>2320</v>
      </c>
      <c r="P1200" s="176" t="str">
        <f t="shared" si="274"/>
        <v>.</v>
      </c>
      <c r="Q1200" s="176" t="str">
        <f t="shared" si="275"/>
        <v>.</v>
      </c>
      <c r="R1200" s="176" t="str">
        <f t="shared" si="277"/>
        <v/>
      </c>
      <c r="S1200" s="176" t="str">
        <f>IF(AND(AD1200=1,R1200&lt;&gt;".")=TRUE,R1200/VLOOKUP(G1200,'Exchange Rates'!B:C,2,0),IF(R1200=".",".",""))</f>
        <v/>
      </c>
      <c r="T1200" s="176" t="str">
        <f>IF(AD1200=1,IF(AF1200="Value is not given at all",".",IF(AF1200="Value is given by the source",S1200,IF(AF1200="Value is calculated with prices",(IF(SUMIFS(Q:Q,A:A,A1200)&gt;0,SUMIFS(Q:Q,A:A,A1200),"."))/VLOOKUP("USD",'Exchange Rates'!B:C,2,0),"Error with coding"))),"")</f>
        <v/>
      </c>
      <c r="U1200" s="15" t="s">
        <v>261</v>
      </c>
      <c r="V1200" s="304" t="s">
        <v>3264</v>
      </c>
      <c r="W1200" s="667" t="s">
        <v>3044</v>
      </c>
      <c r="X1200" s="667" t="s">
        <v>3047</v>
      </c>
      <c r="Y1200" s="667" t="s">
        <v>3277</v>
      </c>
      <c r="Z1200" s="199">
        <v>0</v>
      </c>
      <c r="AA1200" s="180">
        <v>0</v>
      </c>
      <c r="AB1200" s="667" t="s">
        <v>3278</v>
      </c>
      <c r="AC1200" s="544" t="str">
        <f>""</f>
        <v/>
      </c>
      <c r="AD1200" s="183">
        <v>0</v>
      </c>
      <c r="AE1200" s="586" t="s">
        <v>264</v>
      </c>
      <c r="AF1200" s="181" t="s">
        <v>264</v>
      </c>
      <c r="AG1200" s="183">
        <v>1</v>
      </c>
      <c r="AH1200" s="183">
        <v>9</v>
      </c>
      <c r="AI1200" s="183">
        <v>0</v>
      </c>
      <c r="AJ1200" s="181">
        <f>VLOOKUP($I1200,'Price List, Weapons &amp; Items'!B:F,5,0)</f>
        <v>0</v>
      </c>
      <c r="AK1200" s="181">
        <f t="shared" si="266"/>
        <v>0</v>
      </c>
      <c r="AL1200" s="181">
        <f t="shared" si="267"/>
        <v>0</v>
      </c>
      <c r="AM1200" s="181">
        <f t="shared" si="268"/>
        <v>0</v>
      </c>
      <c r="AN1200" s="180" t="str">
        <f>VLOOKUP($I1200,'Price List, Weapons &amp; Items'!B:L,COLUMN('Price List, Weapons &amp; Items'!$J$11)-1,0)</f>
        <v>Media reports (incl. social media)</v>
      </c>
      <c r="AO1200" s="180" t="str">
        <f>IF(I1200=".",".",VLOOKUP($I1200,'Price List, Weapons &amp; Items'!B:J,3,0))</f>
        <v>Military equipment</v>
      </c>
      <c r="AP1200" s="545" t="str">
        <f t="shared" ca="1" si="276"/>
        <v/>
      </c>
      <c r="AQ1200" s="180">
        <f>VLOOKUP($I1200,'Price List, Weapons &amp; Items'!B:L,COLUMN('Price List, Weapons &amp; Items'!$L$11)-1,0)</f>
        <v>2</v>
      </c>
      <c r="AR1200" s="180">
        <f t="shared" si="269"/>
        <v>1</v>
      </c>
      <c r="AS1200" s="180">
        <f t="shared" si="270"/>
        <v>1</v>
      </c>
      <c r="AT1200" s="180">
        <f t="shared" si="271"/>
        <v>1</v>
      </c>
      <c r="AU1200" s="180" t="str">
        <f t="shared" si="272"/>
        <v>.</v>
      </c>
      <c r="AV1200" s="180" t="str">
        <f t="shared" si="273"/>
        <v>.</v>
      </c>
      <c r="AW1200" s="180">
        <f>IFERROR(VLOOKUP(B1200,'Share, Heavy Weapons to Ukraine'!B:J,COLUMN('Share, Heavy Weapons to Ukraine'!C1210)-1,0),0)</f>
        <v>1</v>
      </c>
      <c r="AX1200" s="180">
        <f>VLOOKUP('Bilateral Assistance, MAIN DATA'!B1200,'Country Summary'!B:F,COLUMN('Country Summary'!C1213)-1,FALSE)</f>
        <v>0</v>
      </c>
      <c r="AY1200" s="180" t="str">
        <f>IF(AND(AD1200=1,D1200="Military",H1200&lt;&gt;"Not given")=TRUE,IF(SUMIFS(P:P,A:A,A1200)&gt;0,ABS((SUMIFS(P:P,A:A,A1200)/VLOOKUP("USD",'Exchange Rates'!B:C,2,0)))/S1200,"."),".")</f>
        <v>.</v>
      </c>
      <c r="AZ1200" s="182" t="str">
        <f>IF(AND(AD1200=1,D1200="Military",H1200&lt;&gt;"Not given")=TRUE,IF(SUMIFS(P:P,A:A,A1200)&gt;0,IF((ABS((SUMIFS(P:P,A:A,A1200)/VLOOKUP("USD",'Exchange Rates'!B:C,2,0)))/S1200)&gt;1,(SUMIFS(P:P,A:A,A1200)-S1200)/S1200,(S1200-SUMIFS(P:P,A:A,A1200))/SUMIFS(P:P,A:A,A1200)),"."),".")</f>
        <v>.</v>
      </c>
      <c r="BA1200" s="182"/>
      <c r="BB1200" s="182"/>
      <c r="BC1200" s="182"/>
      <c r="BD1200" s="182"/>
      <c r="BE1200" s="182"/>
      <c r="BF1200" s="182"/>
      <c r="BG1200" s="182"/>
      <c r="BH1200" s="182"/>
      <c r="BI1200" s="182"/>
      <c r="BJ1200" s="182"/>
      <c r="BK1200" s="182"/>
      <c r="BL1200" s="182"/>
      <c r="BM1200" s="182"/>
      <c r="BN1200" s="182"/>
      <c r="BO1200" s="182"/>
      <c r="BP1200" s="182"/>
      <c r="BQ1200" s="182"/>
      <c r="BR1200" s="182"/>
      <c r="BS1200" s="182"/>
    </row>
    <row r="1201" spans="1:71" ht="15.9" customHeight="1" x14ac:dyDescent="0.3">
      <c r="A1201" s="5" t="s">
        <v>3065</v>
      </c>
      <c r="B1201" s="19" t="s">
        <v>3038</v>
      </c>
      <c r="C1201" s="555">
        <v>44812</v>
      </c>
      <c r="D1201" s="19" t="s">
        <v>285</v>
      </c>
      <c r="E1201" s="5" t="s">
        <v>1328</v>
      </c>
      <c r="F1201" s="175" t="s">
        <v>3263</v>
      </c>
      <c r="G1201" s="15" t="s">
        <v>346</v>
      </c>
      <c r="H1201" s="200">
        <v>675000000</v>
      </c>
      <c r="I1201" s="19" t="s">
        <v>3279</v>
      </c>
      <c r="J1201" s="113" t="str">
        <f>VLOOKUP($I1201,'Price List, Weapons &amp; Items'!B:C,2,0)</f>
        <v>Military equipment</v>
      </c>
      <c r="K1201" s="113" t="str">
        <f>IF(I1201=".",I1201,VLOOKUP($I1201,'Price List, Weapons &amp; Items'!B:D,3,0))</f>
        <v>Military equipment</v>
      </c>
      <c r="L1201" s="177">
        <f>VLOOKUP(I1201,'Price List, Weapons &amp; Items'!B:E,4,0)</f>
        <v>0</v>
      </c>
      <c r="M1201" s="247" t="s">
        <v>270</v>
      </c>
      <c r="N1201" s="542" t="s">
        <v>270</v>
      </c>
      <c r="O1201" s="543" t="str">
        <f>VLOOKUP($I1201,'Price List, Weapons &amp; Items'!B:G,6,0)</f>
        <v>.</v>
      </c>
      <c r="P1201" s="176" t="str">
        <f t="shared" si="274"/>
        <v>.</v>
      </c>
      <c r="Q1201" s="176" t="str">
        <f t="shared" si="275"/>
        <v>.</v>
      </c>
      <c r="R1201" s="176" t="str">
        <f t="shared" si="277"/>
        <v/>
      </c>
      <c r="S1201" s="176" t="str">
        <f>IF(AND(AD1201=1,R1201&lt;&gt;".")=TRUE,R1201/VLOOKUP(G1201,'Exchange Rates'!B:C,2,0),IF(R1201=".",".",""))</f>
        <v/>
      </c>
      <c r="T1201" s="176" t="str">
        <f>IF(AD1201=1,IF(AF1201="Value is not given at all",".",IF(AF1201="Value is given by the source",S1201,IF(AF1201="Value is calculated with prices",(IF(SUMIFS(Q:Q,A:A,A1201)&gt;0,SUMIFS(Q:Q,A:A,A1201),"."))/VLOOKUP("USD",'Exchange Rates'!B:C,2,0),"Error with coding"))),"")</f>
        <v/>
      </c>
      <c r="U1201" s="15" t="s">
        <v>261</v>
      </c>
      <c r="V1201" s="304" t="s">
        <v>3264</v>
      </c>
      <c r="W1201" s="667" t="s">
        <v>3044</v>
      </c>
      <c r="X1201" s="667" t="s">
        <v>3047</v>
      </c>
      <c r="Y1201" s="667" t="s">
        <v>3278</v>
      </c>
      <c r="Z1201" s="199">
        <v>0</v>
      </c>
      <c r="AA1201" s="180">
        <v>0</v>
      </c>
      <c r="AB1201" s="667" t="s">
        <v>3280</v>
      </c>
      <c r="AC1201" s="544" t="str">
        <f>""</f>
        <v/>
      </c>
      <c r="AD1201" s="183">
        <v>0</v>
      </c>
      <c r="AE1201" s="586" t="s">
        <v>264</v>
      </c>
      <c r="AF1201" s="181" t="s">
        <v>264</v>
      </c>
      <c r="AG1201" s="183">
        <v>1</v>
      </c>
      <c r="AH1201" s="183">
        <v>9</v>
      </c>
      <c r="AI1201" s="183">
        <v>0</v>
      </c>
      <c r="AJ1201" s="181">
        <f>VLOOKUP($I1201,'Price List, Weapons &amp; Items'!B:F,5,0)</f>
        <v>0</v>
      </c>
      <c r="AK1201" s="181">
        <f t="shared" si="266"/>
        <v>0</v>
      </c>
      <c r="AL1201" s="181">
        <f t="shared" si="267"/>
        <v>0</v>
      </c>
      <c r="AM1201" s="181">
        <f t="shared" si="268"/>
        <v>0</v>
      </c>
      <c r="AN1201" s="180" t="str">
        <f>VLOOKUP($I1201,'Price List, Weapons &amp; Items'!B:L,COLUMN('Price List, Weapons &amp; Items'!$J$11)-1,0)</f>
        <v>.</v>
      </c>
      <c r="AO1201" s="180" t="str">
        <f>IF(I1201=".",".",VLOOKUP($I1201,'Price List, Weapons &amp; Items'!B:J,3,0))</f>
        <v>Military equipment</v>
      </c>
      <c r="AP1201" s="545" t="str">
        <f t="shared" ca="1" si="276"/>
        <v/>
      </c>
      <c r="AQ1201" s="180" t="str">
        <f>VLOOKUP($I1201,'Price List, Weapons &amp; Items'!B:L,COLUMN('Price List, Weapons &amp; Items'!$L$11)-1,0)</f>
        <v>no price, 0 count</v>
      </c>
      <c r="AR1201" s="180">
        <f t="shared" si="269"/>
        <v>1</v>
      </c>
      <c r="AS1201" s="180">
        <f t="shared" si="270"/>
        <v>1</v>
      </c>
      <c r="AT1201" s="180">
        <f t="shared" si="271"/>
        <v>1</v>
      </c>
      <c r="AU1201" s="180" t="str">
        <f t="shared" si="272"/>
        <v>.</v>
      </c>
      <c r="AV1201" s="180" t="str">
        <f t="shared" si="273"/>
        <v>.</v>
      </c>
      <c r="AW1201" s="180">
        <f>IFERROR(VLOOKUP(B1201,'Share, Heavy Weapons to Ukraine'!B:J,COLUMN('Share, Heavy Weapons to Ukraine'!C1211)-1,0),0)</f>
        <v>1</v>
      </c>
      <c r="AX1201" s="180">
        <f>VLOOKUP('Bilateral Assistance, MAIN DATA'!B1201,'Country Summary'!B:F,COLUMN('Country Summary'!C1214)-1,FALSE)</f>
        <v>0</v>
      </c>
      <c r="AY1201" s="180" t="str">
        <f>IF(AND(AD1201=1,D1201="Military",H1201&lt;&gt;"Not given")=TRUE,IF(SUMIFS(P:P,A:A,A1201)&gt;0,ABS((SUMIFS(P:P,A:A,A1201)/VLOOKUP("USD",'Exchange Rates'!B:C,2,0)))/S1201,"."),".")</f>
        <v>.</v>
      </c>
      <c r="AZ1201" s="182" t="str">
        <f>IF(AND(AD1201=1,D1201="Military",H1201&lt;&gt;"Not given")=TRUE,IF(SUMIFS(P:P,A:A,A1201)&gt;0,IF((ABS((SUMIFS(P:P,A:A,A1201)/VLOOKUP("USD",'Exchange Rates'!B:C,2,0)))/S1201)&gt;1,(SUMIFS(P:P,A:A,A1201)-S1201)/S1201,(S1201-SUMIFS(P:P,A:A,A1201))/SUMIFS(P:P,A:A,A1201)),"."),".")</f>
        <v>.</v>
      </c>
      <c r="BA1201" s="182"/>
      <c r="BB1201" s="182"/>
      <c r="BC1201" s="182"/>
      <c r="BD1201" s="182"/>
      <c r="BE1201" s="182"/>
      <c r="BF1201" s="182"/>
      <c r="BG1201" s="182"/>
      <c r="BH1201" s="182"/>
      <c r="BI1201" s="182"/>
      <c r="BJ1201" s="182"/>
      <c r="BK1201" s="182"/>
      <c r="BL1201" s="182"/>
      <c r="BM1201" s="182"/>
      <c r="BN1201" s="182"/>
      <c r="BO1201" s="182"/>
      <c r="BP1201" s="182"/>
      <c r="BQ1201" s="182"/>
      <c r="BR1201" s="182"/>
      <c r="BS1201" s="182"/>
    </row>
    <row r="1202" spans="1:71" ht="15.9" customHeight="1" x14ac:dyDescent="0.3">
      <c r="A1202" s="5" t="s">
        <v>3065</v>
      </c>
      <c r="B1202" s="19" t="s">
        <v>3038</v>
      </c>
      <c r="C1202" s="555">
        <v>44819</v>
      </c>
      <c r="D1202" s="19" t="s">
        <v>285</v>
      </c>
      <c r="E1202" s="5" t="s">
        <v>1328</v>
      </c>
      <c r="F1202" s="175" t="s">
        <v>3281</v>
      </c>
      <c r="G1202" s="15" t="s">
        <v>346</v>
      </c>
      <c r="H1202" s="200">
        <v>600000000</v>
      </c>
      <c r="I1202" s="19" t="s">
        <v>3172</v>
      </c>
      <c r="J1202" s="113" t="str">
        <f>VLOOKUP($I1202,'Price List, Weapons &amp; Items'!B:C,2,0)</f>
        <v>Ammunition for heavy weapon</v>
      </c>
      <c r="K1202" s="113" t="str">
        <f>IF(I1202=".",I1202,VLOOKUP($I1202,'Price List, Weapons &amp; Items'!B:D,3,0))</f>
        <v>227mm MLRS ammunition</v>
      </c>
      <c r="L1202" s="177">
        <f>VLOOKUP(I1202,'Price List, Weapons &amp; Items'!B:E,4,0)</f>
        <v>0</v>
      </c>
      <c r="M1202" s="247" t="s">
        <v>270</v>
      </c>
      <c r="N1202" s="542" t="s">
        <v>270</v>
      </c>
      <c r="O1202" s="543">
        <f>VLOOKUP($I1202,'Price List, Weapons &amp; Items'!B:G,6,0)</f>
        <v>150000</v>
      </c>
      <c r="P1202" s="176" t="str">
        <f t="shared" si="274"/>
        <v>.</v>
      </c>
      <c r="Q1202" s="176" t="str">
        <f t="shared" si="275"/>
        <v>.</v>
      </c>
      <c r="R1202" s="176" t="str">
        <f t="shared" si="277"/>
        <v/>
      </c>
      <c r="S1202" s="176" t="str">
        <f>IF(AND(AD1202=1,R1202&lt;&gt;".")=TRUE,R1202/VLOOKUP(G1202,'Exchange Rates'!B:C,2,0),IF(R1202=".",".",""))</f>
        <v/>
      </c>
      <c r="T1202" s="176" t="str">
        <f>IF(AD1202=1,IF(AF1202="Value is not given at all",".",IF(AF1202="Value is given by the source",S1202,IF(AF1202="Value is calculated with prices",(IF(SUMIFS(Q:Q,A:A,A1202)&gt;0,SUMIFS(Q:Q,A:A,A1202),"."))/VLOOKUP("USD",'Exchange Rates'!B:C,2,0),"Error with coding"))),"")</f>
        <v/>
      </c>
      <c r="U1202" s="15" t="s">
        <v>261</v>
      </c>
      <c r="V1202" s="304" t="s">
        <v>3282</v>
      </c>
      <c r="W1202" s="667" t="s">
        <v>3044</v>
      </c>
      <c r="X1202" s="667" t="s">
        <v>3047</v>
      </c>
      <c r="Y1202" s="667" t="s">
        <v>3280</v>
      </c>
      <c r="Z1202" s="199">
        <v>0</v>
      </c>
      <c r="AA1202" s="180">
        <v>0</v>
      </c>
      <c r="AB1202" s="667" t="s">
        <v>3283</v>
      </c>
      <c r="AC1202" s="544" t="str">
        <f>""</f>
        <v/>
      </c>
      <c r="AD1202" s="183">
        <v>0</v>
      </c>
      <c r="AE1202" s="586" t="s">
        <v>264</v>
      </c>
      <c r="AF1202" s="181" t="s">
        <v>264</v>
      </c>
      <c r="AG1202" s="183">
        <v>1</v>
      </c>
      <c r="AH1202" s="183">
        <v>9</v>
      </c>
      <c r="AI1202" s="183">
        <v>0</v>
      </c>
      <c r="AJ1202" s="181">
        <f>VLOOKUP($I1202,'Price List, Weapons &amp; Items'!B:F,5,0)</f>
        <v>1</v>
      </c>
      <c r="AK1202" s="181">
        <f t="shared" si="266"/>
        <v>1</v>
      </c>
      <c r="AL1202" s="181">
        <f t="shared" si="267"/>
        <v>1</v>
      </c>
      <c r="AM1202" s="181">
        <f t="shared" si="268"/>
        <v>1</v>
      </c>
      <c r="AN1202" s="180" t="str">
        <f>VLOOKUP($I1202,'Price List, Weapons &amp; Items'!B:L,COLUMN('Price List, Weapons &amp; Items'!$J$11)-1,0)</f>
        <v>Media reports (incl. social media)</v>
      </c>
      <c r="AO1202" s="180" t="str">
        <f>IF(I1202=".",".",VLOOKUP($I1202,'Price List, Weapons &amp; Items'!B:J,3,0))</f>
        <v>227mm MLRS ammunition</v>
      </c>
      <c r="AP1202" s="545" t="str">
        <f t="shared" ca="1" si="276"/>
        <v/>
      </c>
      <c r="AQ1202" s="180" t="str">
        <f>VLOOKUP($I1202,'Price List, Weapons &amp; Items'!B:L,COLUMN('Price List, Weapons &amp; Items'!$L$11)-1,0)</f>
        <v>no price, 0 count</v>
      </c>
      <c r="AR1202" s="180">
        <f t="shared" si="269"/>
        <v>1</v>
      </c>
      <c r="AS1202" s="180">
        <f t="shared" si="270"/>
        <v>1</v>
      </c>
      <c r="AT1202" s="180">
        <f t="shared" si="271"/>
        <v>1</v>
      </c>
      <c r="AU1202" s="180" t="str">
        <f t="shared" si="272"/>
        <v>.</v>
      </c>
      <c r="AV1202" s="180" t="str">
        <f t="shared" si="273"/>
        <v>.</v>
      </c>
      <c r="AW1202" s="180">
        <f>IFERROR(VLOOKUP(B1202,'Share, Heavy Weapons to Ukraine'!B:J,COLUMN('Share, Heavy Weapons to Ukraine'!C1212)-1,0),0)</f>
        <v>1</v>
      </c>
      <c r="AX1202" s="180">
        <f>VLOOKUP('Bilateral Assistance, MAIN DATA'!B1202,'Country Summary'!B:F,COLUMN('Country Summary'!C1215)-1,FALSE)</f>
        <v>0</v>
      </c>
      <c r="AY1202" s="180" t="str">
        <f>IF(AND(AD1202=1,D1202="Military",H1202&lt;&gt;"Not given")=TRUE,IF(SUMIFS(P:P,A:A,A1202)&gt;0,ABS((SUMIFS(P:P,A:A,A1202)/VLOOKUP("USD",'Exchange Rates'!B:C,2,0)))/S1202,"."),".")</f>
        <v>.</v>
      </c>
      <c r="AZ1202" s="182" t="str">
        <f>IF(AND(AD1202=1,D1202="Military",H1202&lt;&gt;"Not given")=TRUE,IF(SUMIFS(P:P,A:A,A1202)&gt;0,IF((ABS((SUMIFS(P:P,A:A,A1202)/VLOOKUP("USD",'Exchange Rates'!B:C,2,0)))/S1202)&gt;1,(SUMIFS(P:P,A:A,A1202)-S1202)/S1202,(S1202-SUMIFS(P:P,A:A,A1202))/SUMIFS(P:P,A:A,A1202)),"."),".")</f>
        <v>.</v>
      </c>
      <c r="BA1202" s="182"/>
      <c r="BB1202" s="182"/>
      <c r="BC1202" s="182"/>
      <c r="BD1202" s="182"/>
      <c r="BE1202" s="182"/>
      <c r="BF1202" s="182"/>
      <c r="BG1202" s="182"/>
      <c r="BH1202" s="182"/>
      <c r="BI1202" s="182"/>
      <c r="BJ1202" s="182"/>
      <c r="BK1202" s="182"/>
      <c r="BL1202" s="182"/>
      <c r="BM1202" s="182"/>
      <c r="BN1202" s="182"/>
      <c r="BO1202" s="182"/>
      <c r="BP1202" s="182"/>
      <c r="BQ1202" s="182"/>
      <c r="BR1202" s="182"/>
      <c r="BS1202" s="182"/>
    </row>
    <row r="1203" spans="1:71" ht="15.9" customHeight="1" x14ac:dyDescent="0.3">
      <c r="A1203" s="5" t="s">
        <v>3065</v>
      </c>
      <c r="B1203" s="19" t="s">
        <v>3038</v>
      </c>
      <c r="C1203" s="555">
        <v>44819</v>
      </c>
      <c r="D1203" s="19" t="s">
        <v>285</v>
      </c>
      <c r="E1203" s="5" t="s">
        <v>1328</v>
      </c>
      <c r="F1203" s="175" t="s">
        <v>3281</v>
      </c>
      <c r="G1203" s="15" t="s">
        <v>346</v>
      </c>
      <c r="H1203" s="200">
        <v>600000000</v>
      </c>
      <c r="I1203" s="19" t="s">
        <v>3237</v>
      </c>
      <c r="J1203" s="113" t="str">
        <f>VLOOKUP($I1203,'Price List, Weapons &amp; Items'!B:C,2,0)</f>
        <v>Ammunition for heavy weapon</v>
      </c>
      <c r="K1203" s="113" t="str">
        <f>IF(I1203=".",I1203,VLOOKUP($I1203,'Price List, Weapons &amp; Items'!B:D,3,0))</f>
        <v>105mm</v>
      </c>
      <c r="L1203" s="177">
        <f>VLOOKUP(I1203,'Price List, Weapons &amp; Items'!B:E,4,0)</f>
        <v>0</v>
      </c>
      <c r="M1203" s="247">
        <v>36000</v>
      </c>
      <c r="N1203" s="542">
        <v>36000</v>
      </c>
      <c r="O1203" s="543">
        <f>VLOOKUP($I1203,'Price List, Weapons &amp; Items'!B:G,6,0)</f>
        <v>400</v>
      </c>
      <c r="P1203" s="176">
        <f t="shared" si="274"/>
        <v>14400000</v>
      </c>
      <c r="Q1203" s="176">
        <f t="shared" si="275"/>
        <v>14400000</v>
      </c>
      <c r="R1203" s="176" t="str">
        <f t="shared" si="277"/>
        <v/>
      </c>
      <c r="S1203" s="176" t="str">
        <f>IF(AND(AD1203=1,R1203&lt;&gt;".")=TRUE,R1203/VLOOKUP(G1203,'Exchange Rates'!B:C,2,0),IF(R1203=".",".",""))</f>
        <v/>
      </c>
      <c r="T1203" s="176" t="str">
        <f>IF(AD1203=1,IF(AF1203="Value is not given at all",".",IF(AF1203="Value is given by the source",S1203,IF(AF1203="Value is calculated with prices",(IF(SUMIFS(Q:Q,A:A,A1203)&gt;0,SUMIFS(Q:Q,A:A,A1203),"."))/VLOOKUP("USD",'Exchange Rates'!B:C,2,0),"Error with coding"))),"")</f>
        <v/>
      </c>
      <c r="U1203" s="15" t="s">
        <v>261</v>
      </c>
      <c r="V1203" s="304" t="s">
        <v>3282</v>
      </c>
      <c r="W1203" s="667" t="s">
        <v>3044</v>
      </c>
      <c r="X1203" s="667" t="s">
        <v>3047</v>
      </c>
      <c r="Y1203" s="667" t="s">
        <v>3283</v>
      </c>
      <c r="Z1203" s="199">
        <v>0</v>
      </c>
      <c r="AA1203" s="180">
        <v>0</v>
      </c>
      <c r="AB1203" s="667" t="s">
        <v>3284</v>
      </c>
      <c r="AC1203" s="544" t="str">
        <f>""</f>
        <v/>
      </c>
      <c r="AD1203" s="183">
        <v>0</v>
      </c>
      <c r="AE1203" s="586" t="s">
        <v>264</v>
      </c>
      <c r="AF1203" s="181" t="s">
        <v>264</v>
      </c>
      <c r="AG1203" s="183">
        <v>1</v>
      </c>
      <c r="AH1203" s="183">
        <v>9</v>
      </c>
      <c r="AI1203" s="183">
        <v>0</v>
      </c>
      <c r="AJ1203" s="181">
        <f>VLOOKUP($I1203,'Price List, Weapons &amp; Items'!B:F,5,0)</f>
        <v>0</v>
      </c>
      <c r="AK1203" s="181">
        <f t="shared" ref="AK1203:AK1274" si="278">IF(AND(AJ1203=1,M1203="undisclosed")=TRUE,1,0)</f>
        <v>0</v>
      </c>
      <c r="AL1203" s="181">
        <f t="shared" ref="AL1203:AL1274" si="279">IF(AND(AJ1203=1,N1203="undisclosed")=TRUE,1,0)</f>
        <v>0</v>
      </c>
      <c r="AM1203" s="181">
        <f t="shared" ref="AM1203:AM1274" si="280">IFERROR(IF(SEARCH("ammuni",I1203,1)&gt;0,1,0),0)</f>
        <v>0</v>
      </c>
      <c r="AN1203" s="180" t="str">
        <f>VLOOKUP($I1203,'Price List, Weapons &amp; Items'!B:L,COLUMN('Price List, Weapons &amp; Items'!$J$11)-1,0)</f>
        <v>Military media (incl. websites)</v>
      </c>
      <c r="AO1203" s="180" t="str">
        <f>IF(I1203=".",".",VLOOKUP($I1203,'Price List, Weapons &amp; Items'!B:J,3,0))</f>
        <v>105mm</v>
      </c>
      <c r="AP1203" s="545" t="str">
        <f t="shared" ca="1" si="276"/>
        <v/>
      </c>
      <c r="AQ1203" s="180">
        <f>VLOOKUP($I1203,'Price List, Weapons &amp; Items'!B:L,COLUMN('Price List, Weapons &amp; Items'!$L$11)-1,0)</f>
        <v>2</v>
      </c>
      <c r="AR1203" s="180">
        <f t="shared" ref="AR1203:AR1274" si="281">IF(U1203="Yes",1,0)</f>
        <v>1</v>
      </c>
      <c r="AS1203" s="180">
        <f t="shared" ref="AS1203:AS1274" si="282">IF(D1203="Military",IF(OR(IFERROR(SEARCH("equipment",E1203,1),0)&gt;0,IFERROR(SEARCH("weapons",E1203,1),0)&gt;0),1,0),0)</f>
        <v>1</v>
      </c>
      <c r="AT1203" s="180">
        <f t="shared" si="271"/>
        <v>1</v>
      </c>
      <c r="AU1203" s="180" t="str">
        <f t="shared" si="272"/>
        <v>.</v>
      </c>
      <c r="AV1203" s="180" t="str">
        <f t="shared" si="273"/>
        <v>.</v>
      </c>
      <c r="AW1203" s="180">
        <f>IFERROR(VLOOKUP(B1203,'Share, Heavy Weapons to Ukraine'!B:J,COLUMN('Share, Heavy Weapons to Ukraine'!C1213)-1,0),0)</f>
        <v>1</v>
      </c>
      <c r="AX1203" s="180">
        <f>VLOOKUP('Bilateral Assistance, MAIN DATA'!B1203,'Country Summary'!B:F,COLUMN('Country Summary'!C1216)-1,FALSE)</f>
        <v>0</v>
      </c>
      <c r="AY1203" s="180" t="str">
        <f>IF(AND(AD1203=1,D1203="Military",H1203&lt;&gt;"Not given")=TRUE,IF(SUMIFS(P:P,A:A,A1203)&gt;0,ABS((SUMIFS(P:P,A:A,A1203)/VLOOKUP("USD",'Exchange Rates'!B:C,2,0)))/S1203,"."),".")</f>
        <v>.</v>
      </c>
      <c r="AZ1203" s="182" t="str">
        <f>IF(AND(AD1203=1,D1203="Military",H1203&lt;&gt;"Not given")=TRUE,IF(SUMIFS(P:P,A:A,A1203)&gt;0,IF((ABS((SUMIFS(P:P,A:A,A1203)/VLOOKUP("USD",'Exchange Rates'!B:C,2,0)))/S1203)&gt;1,(SUMIFS(P:P,A:A,A1203)-S1203)/S1203,(S1203-SUMIFS(P:P,A:A,A1203))/SUMIFS(P:P,A:A,A1203)),"."),".")</f>
        <v>.</v>
      </c>
      <c r="BA1203" s="182"/>
      <c r="BB1203" s="182"/>
      <c r="BC1203" s="182"/>
      <c r="BD1203" s="182"/>
      <c r="BE1203" s="182"/>
      <c r="BF1203" s="182"/>
      <c r="BG1203" s="182"/>
      <c r="BH1203" s="182"/>
      <c r="BI1203" s="182"/>
      <c r="BJ1203" s="182"/>
      <c r="BK1203" s="182"/>
      <c r="BL1203" s="182"/>
      <c r="BM1203" s="182"/>
      <c r="BN1203" s="182"/>
      <c r="BO1203" s="182"/>
      <c r="BP1203" s="182"/>
      <c r="BQ1203" s="182"/>
      <c r="BR1203" s="182"/>
      <c r="BS1203" s="182"/>
    </row>
    <row r="1204" spans="1:71" ht="15.9" customHeight="1" x14ac:dyDescent="0.3">
      <c r="A1204" s="5" t="s">
        <v>3065</v>
      </c>
      <c r="B1204" s="19" t="s">
        <v>3038</v>
      </c>
      <c r="C1204" s="555">
        <v>44819</v>
      </c>
      <c r="D1204" s="19" t="s">
        <v>285</v>
      </c>
      <c r="E1204" s="5" t="s">
        <v>1328</v>
      </c>
      <c r="F1204" s="175" t="s">
        <v>3281</v>
      </c>
      <c r="G1204" s="15" t="s">
        <v>346</v>
      </c>
      <c r="H1204" s="200">
        <v>600000000</v>
      </c>
      <c r="I1204" s="19" t="s">
        <v>3285</v>
      </c>
      <c r="J1204" s="113" t="str">
        <f>VLOOKUP($I1204,'Price List, Weapons &amp; Items'!B:C,2,0)</f>
        <v>Ammunition</v>
      </c>
      <c r="K1204" s="113" t="str">
        <f>IF(I1204=".",I1204,VLOOKUP($I1204,'Price List, Weapons &amp; Items'!B:D,3,0))</f>
        <v>artillery round</v>
      </c>
      <c r="L1204" s="177">
        <f>VLOOKUP(I1204,'Price List, Weapons &amp; Items'!B:E,4,0)</f>
        <v>0</v>
      </c>
      <c r="M1204" s="247">
        <v>1000</v>
      </c>
      <c r="N1204" s="542">
        <v>1000</v>
      </c>
      <c r="O1204" s="543" t="str">
        <f>VLOOKUP($I1204,'Price List, Weapons &amp; Items'!B:G,6,0)</f>
        <v>.</v>
      </c>
      <c r="P1204" s="176" t="str">
        <f t="shared" si="274"/>
        <v>No price</v>
      </c>
      <c r="Q1204" s="176" t="str">
        <f t="shared" si="275"/>
        <v>No price</v>
      </c>
      <c r="R1204" s="176" t="str">
        <f t="shared" si="277"/>
        <v/>
      </c>
      <c r="S1204" s="176" t="str">
        <f>IF(AND(AD1204=1,R1204&lt;&gt;".")=TRUE,R1204/VLOOKUP(G1204,'Exchange Rates'!B:C,2,0),IF(R1204=".",".",""))</f>
        <v/>
      </c>
      <c r="T1204" s="176" t="str">
        <f>IF(AD1204=1,IF(AF1204="Value is not given at all",".",IF(AF1204="Value is given by the source",S1204,IF(AF1204="Value is calculated with prices",(IF(SUMIFS(Q:Q,A:A,A1204)&gt;0,SUMIFS(Q:Q,A:A,A1204),"."))/VLOOKUP("USD",'Exchange Rates'!B:C,2,0),"Error with coding"))),"")</f>
        <v/>
      </c>
      <c r="U1204" s="15" t="s">
        <v>261</v>
      </c>
      <c r="V1204" s="304" t="s">
        <v>3282</v>
      </c>
      <c r="W1204" s="667" t="s">
        <v>3044</v>
      </c>
      <c r="X1204" s="667" t="s">
        <v>3047</v>
      </c>
      <c r="Y1204" s="667" t="s">
        <v>3284</v>
      </c>
      <c r="Z1204" s="199">
        <v>0</v>
      </c>
      <c r="AA1204" s="180">
        <v>0</v>
      </c>
      <c r="AB1204" s="667" t="s">
        <v>3286</v>
      </c>
      <c r="AC1204" s="544" t="str">
        <f>""</f>
        <v/>
      </c>
      <c r="AD1204" s="183">
        <v>0</v>
      </c>
      <c r="AE1204" s="586" t="s">
        <v>264</v>
      </c>
      <c r="AF1204" s="181" t="s">
        <v>264</v>
      </c>
      <c r="AG1204" s="183">
        <v>1</v>
      </c>
      <c r="AH1204" s="183">
        <v>9</v>
      </c>
      <c r="AI1204" s="183">
        <v>0</v>
      </c>
      <c r="AJ1204" s="181">
        <f>VLOOKUP($I1204,'Price List, Weapons &amp; Items'!B:F,5,0)</f>
        <v>0</v>
      </c>
      <c r="AK1204" s="181">
        <f t="shared" si="278"/>
        <v>0</v>
      </c>
      <c r="AL1204" s="181">
        <f t="shared" si="279"/>
        <v>0</v>
      </c>
      <c r="AM1204" s="181">
        <f t="shared" si="280"/>
        <v>0</v>
      </c>
      <c r="AN1204" s="180" t="str">
        <f>VLOOKUP($I1204,'Price List, Weapons &amp; Items'!B:L,COLUMN('Price List, Weapons &amp; Items'!$J$11)-1,0)</f>
        <v>.</v>
      </c>
      <c r="AO1204" s="180" t="str">
        <f>IF(I1204=".",".",VLOOKUP($I1204,'Price List, Weapons &amp; Items'!B:J,3,0))</f>
        <v>artillery round</v>
      </c>
      <c r="AP1204" s="545" t="str">
        <f t="shared" ca="1" si="276"/>
        <v/>
      </c>
      <c r="AQ1204" s="180">
        <f>VLOOKUP($I1204,'Price List, Weapons &amp; Items'!B:L,COLUMN('Price List, Weapons &amp; Items'!$L$11)-1,0)</f>
        <v>0</v>
      </c>
      <c r="AR1204" s="180">
        <f t="shared" si="281"/>
        <v>1</v>
      </c>
      <c r="AS1204" s="180">
        <f t="shared" si="282"/>
        <v>1</v>
      </c>
      <c r="AT1204" s="180">
        <f t="shared" si="271"/>
        <v>1</v>
      </c>
      <c r="AU1204" s="180" t="str">
        <f t="shared" si="272"/>
        <v>.</v>
      </c>
      <c r="AV1204" s="180" t="str">
        <f t="shared" si="273"/>
        <v>.</v>
      </c>
      <c r="AW1204" s="180">
        <f>IFERROR(VLOOKUP(B1204,'Share, Heavy Weapons to Ukraine'!B:J,COLUMN('Share, Heavy Weapons to Ukraine'!C1214)-1,0),0)</f>
        <v>1</v>
      </c>
      <c r="AX1204" s="180">
        <f>VLOOKUP('Bilateral Assistance, MAIN DATA'!B1204,'Country Summary'!B:F,COLUMN('Country Summary'!C1217)-1,FALSE)</f>
        <v>0</v>
      </c>
      <c r="AY1204" s="180" t="str">
        <f>IF(AND(AD1204=1,D1204="Military",H1204&lt;&gt;"Not given")=TRUE,IF(SUMIFS(P:P,A:A,A1204)&gt;0,ABS((SUMIFS(P:P,A:A,A1204)/VLOOKUP("USD",'Exchange Rates'!B:C,2,0)))/S1204,"."),".")</f>
        <v>.</v>
      </c>
      <c r="AZ1204" s="182" t="str">
        <f>IF(AND(AD1204=1,D1204="Military",H1204&lt;&gt;"Not given")=TRUE,IF(SUMIFS(P:P,A:A,A1204)&gt;0,IF((ABS((SUMIFS(P:P,A:A,A1204)/VLOOKUP("USD",'Exchange Rates'!B:C,2,0)))/S1204)&gt;1,(SUMIFS(P:P,A:A,A1204)-S1204)/S1204,(S1204-SUMIFS(P:P,A:A,A1204))/SUMIFS(P:P,A:A,A1204)),"."),".")</f>
        <v>.</v>
      </c>
      <c r="BA1204" s="182"/>
      <c r="BB1204" s="182"/>
      <c r="BC1204" s="182"/>
      <c r="BD1204" s="182"/>
      <c r="BE1204" s="182"/>
      <c r="BF1204" s="182"/>
      <c r="BG1204" s="182"/>
      <c r="BH1204" s="182"/>
      <c r="BI1204" s="182"/>
      <c r="BJ1204" s="182"/>
      <c r="BK1204" s="182"/>
      <c r="BL1204" s="182"/>
      <c r="BM1204" s="182"/>
      <c r="BN1204" s="182"/>
      <c r="BO1204" s="182"/>
      <c r="BP1204" s="182"/>
      <c r="BQ1204" s="182"/>
      <c r="BR1204" s="182"/>
      <c r="BS1204" s="182"/>
    </row>
    <row r="1205" spans="1:71" ht="15.9" customHeight="1" x14ac:dyDescent="0.3">
      <c r="A1205" s="5" t="s">
        <v>3065</v>
      </c>
      <c r="B1205" s="19" t="s">
        <v>3038</v>
      </c>
      <c r="C1205" s="555">
        <v>44819</v>
      </c>
      <c r="D1205" s="19" t="s">
        <v>285</v>
      </c>
      <c r="E1205" s="5" t="s">
        <v>1328</v>
      </c>
      <c r="F1205" s="175" t="s">
        <v>3281</v>
      </c>
      <c r="G1205" s="15" t="s">
        <v>346</v>
      </c>
      <c r="H1205" s="200">
        <v>600000000</v>
      </c>
      <c r="I1205" s="19" t="s">
        <v>3287</v>
      </c>
      <c r="J1205" s="113" t="str">
        <f>VLOOKUP($I1205,'Price List, Weapons &amp; Items'!B:C,2,0)</f>
        <v>Military equipment</v>
      </c>
      <c r="K1205" s="113" t="str">
        <f>IF(I1205=".",I1205,VLOOKUP($I1205,'Price List, Weapons &amp; Items'!B:D,3,0))</f>
        <v>Military equipment</v>
      </c>
      <c r="L1205" s="177">
        <f>VLOOKUP(I1205,'Price List, Weapons &amp; Items'!B:E,4,0)</f>
        <v>0</v>
      </c>
      <c r="M1205" s="247">
        <v>4</v>
      </c>
      <c r="N1205" s="542">
        <v>4</v>
      </c>
      <c r="O1205" s="543">
        <f>VLOOKUP($I1205,'Price List, Weapons &amp; Items'!B:G,6,0)</f>
        <v>52500000</v>
      </c>
      <c r="P1205" s="176">
        <f t="shared" si="274"/>
        <v>210000000</v>
      </c>
      <c r="Q1205" s="176">
        <f t="shared" si="275"/>
        <v>210000000</v>
      </c>
      <c r="R1205" s="176" t="str">
        <f t="shared" si="277"/>
        <v/>
      </c>
      <c r="S1205" s="176" t="str">
        <f>IF(AND(AD1205=1,R1205&lt;&gt;".")=TRUE,R1205/VLOOKUP(G1205,'Exchange Rates'!B:C,2,0),IF(R1205=".",".",""))</f>
        <v/>
      </c>
      <c r="T1205" s="176" t="str">
        <f>IF(AD1205=1,IF(AF1205="Value is not given at all",".",IF(AF1205="Value is given by the source",S1205,IF(AF1205="Value is calculated with prices",(IF(SUMIFS(Q:Q,A:A,A1205)&gt;0,SUMIFS(Q:Q,A:A,A1205),"."))/VLOOKUP("USD",'Exchange Rates'!B:C,2,0),"Error with coding"))),"")</f>
        <v/>
      </c>
      <c r="U1205" s="15" t="s">
        <v>261</v>
      </c>
      <c r="V1205" s="304" t="s">
        <v>3282</v>
      </c>
      <c r="W1205" s="667" t="s">
        <v>3044</v>
      </c>
      <c r="X1205" s="667" t="s">
        <v>3047</v>
      </c>
      <c r="Y1205" s="667" t="s">
        <v>3286</v>
      </c>
      <c r="Z1205" s="199">
        <v>0</v>
      </c>
      <c r="AA1205" s="180">
        <v>0</v>
      </c>
      <c r="AB1205" s="667" t="s">
        <v>3288</v>
      </c>
      <c r="AC1205" s="544" t="str">
        <f>""</f>
        <v/>
      </c>
      <c r="AD1205" s="183">
        <v>0</v>
      </c>
      <c r="AE1205" s="586" t="s">
        <v>264</v>
      </c>
      <c r="AF1205" s="181" t="s">
        <v>264</v>
      </c>
      <c r="AG1205" s="183">
        <v>1</v>
      </c>
      <c r="AH1205" s="183">
        <v>9</v>
      </c>
      <c r="AI1205" s="183">
        <v>0</v>
      </c>
      <c r="AJ1205" s="181">
        <f>VLOOKUP($I1205,'Price List, Weapons &amp; Items'!B:F,5,0)</f>
        <v>0</v>
      </c>
      <c r="AK1205" s="181">
        <f t="shared" si="278"/>
        <v>0</v>
      </c>
      <c r="AL1205" s="181">
        <f t="shared" si="279"/>
        <v>0</v>
      </c>
      <c r="AM1205" s="181">
        <f t="shared" si="280"/>
        <v>0</v>
      </c>
      <c r="AN1205" s="180" t="str">
        <f>VLOOKUP($I1205,'Price List, Weapons &amp; Items'!B:L,COLUMN('Price List, Weapons &amp; Items'!$J$11)-1,0)</f>
        <v>Military media (incl. websites)</v>
      </c>
      <c r="AO1205" s="180" t="str">
        <f>IF(I1205=".",".",VLOOKUP($I1205,'Price List, Weapons &amp; Items'!B:J,3,0))</f>
        <v>Military equipment</v>
      </c>
      <c r="AP1205" s="545" t="str">
        <f t="shared" ca="1" si="276"/>
        <v/>
      </c>
      <c r="AQ1205" s="180">
        <f>VLOOKUP($I1205,'Price List, Weapons &amp; Items'!B:L,COLUMN('Price List, Weapons &amp; Items'!$L$11)-1,0)</f>
        <v>2</v>
      </c>
      <c r="AR1205" s="180">
        <f t="shared" si="281"/>
        <v>1</v>
      </c>
      <c r="AS1205" s="180">
        <f t="shared" si="282"/>
        <v>1</v>
      </c>
      <c r="AT1205" s="180">
        <f t="shared" si="271"/>
        <v>1</v>
      </c>
      <c r="AU1205" s="180" t="str">
        <f t="shared" si="272"/>
        <v>.</v>
      </c>
      <c r="AV1205" s="180" t="str">
        <f t="shared" si="273"/>
        <v>.</v>
      </c>
      <c r="AW1205" s="180">
        <f>IFERROR(VLOOKUP(B1205,'Share, Heavy Weapons to Ukraine'!B:J,COLUMN('Share, Heavy Weapons to Ukraine'!C1215)-1,0),0)</f>
        <v>1</v>
      </c>
      <c r="AX1205" s="180">
        <f>VLOOKUP('Bilateral Assistance, MAIN DATA'!B1205,'Country Summary'!B:F,COLUMN('Country Summary'!C1218)-1,FALSE)</f>
        <v>0</v>
      </c>
      <c r="AY1205" s="180" t="str">
        <f>IF(AND(AD1205=1,D1205="Military",H1205&lt;&gt;"Not given")=TRUE,IF(SUMIFS(P:P,A:A,A1205)&gt;0,ABS((SUMIFS(P:P,A:A,A1205)/VLOOKUP("USD",'Exchange Rates'!B:C,2,0)))/S1205,"."),".")</f>
        <v>.</v>
      </c>
      <c r="AZ1205" s="182" t="str">
        <f>IF(AND(AD1205=1,D1205="Military",H1205&lt;&gt;"Not given")=TRUE,IF(SUMIFS(P:P,A:A,A1205)&gt;0,IF((ABS((SUMIFS(P:P,A:A,A1205)/VLOOKUP("USD",'Exchange Rates'!B:C,2,0)))/S1205)&gt;1,(SUMIFS(P:P,A:A,A1205)-S1205)/S1205,(S1205-SUMIFS(P:P,A:A,A1205))/SUMIFS(P:P,A:A,A1205)),"."),".")</f>
        <v>.</v>
      </c>
      <c r="BA1205" s="182"/>
      <c r="BB1205" s="182"/>
      <c r="BC1205" s="182"/>
      <c r="BD1205" s="182"/>
      <c r="BE1205" s="182"/>
      <c r="BF1205" s="182"/>
      <c r="BG1205" s="182"/>
      <c r="BH1205" s="182"/>
      <c r="BI1205" s="182"/>
      <c r="BJ1205" s="182"/>
      <c r="BK1205" s="182"/>
      <c r="BL1205" s="182"/>
      <c r="BM1205" s="182"/>
      <c r="BN1205" s="182"/>
      <c r="BO1205" s="182"/>
      <c r="BP1205" s="182"/>
      <c r="BQ1205" s="182"/>
      <c r="BR1205" s="182"/>
      <c r="BS1205" s="182"/>
    </row>
    <row r="1206" spans="1:71" ht="15.9" customHeight="1" x14ac:dyDescent="0.3">
      <c r="A1206" s="5" t="s">
        <v>3065</v>
      </c>
      <c r="B1206" s="19" t="s">
        <v>3038</v>
      </c>
      <c r="C1206" s="555">
        <v>44819</v>
      </c>
      <c r="D1206" s="19" t="s">
        <v>285</v>
      </c>
      <c r="E1206" s="5" t="s">
        <v>1328</v>
      </c>
      <c r="F1206" s="175" t="s">
        <v>3281</v>
      </c>
      <c r="G1206" s="15" t="s">
        <v>346</v>
      </c>
      <c r="H1206" s="200">
        <v>600000000</v>
      </c>
      <c r="I1206" s="19" t="s">
        <v>1154</v>
      </c>
      <c r="J1206" s="113" t="str">
        <f>VLOOKUP($I1206,'Price List, Weapons &amp; Items'!B:C,2,0)</f>
        <v>Military equipment</v>
      </c>
      <c r="K1206" s="113" t="str">
        <f>IF(I1206=".",I1206,VLOOKUP($I1206,'Price List, Weapons &amp; Items'!B:D,3,0))</f>
        <v>non combat military vehicle</v>
      </c>
      <c r="L1206" s="177">
        <f>VLOOKUP(I1206,'Price List, Weapons &amp; Items'!B:E,4,0)</f>
        <v>0</v>
      </c>
      <c r="M1206" s="247">
        <v>4</v>
      </c>
      <c r="N1206" s="542">
        <v>4</v>
      </c>
      <c r="O1206" s="543">
        <f>VLOOKUP($I1206,'Price List, Weapons &amp; Items'!B:G,6,0)</f>
        <v>350000</v>
      </c>
      <c r="P1206" s="176">
        <f t="shared" si="274"/>
        <v>1400000</v>
      </c>
      <c r="Q1206" s="176">
        <f t="shared" si="275"/>
        <v>1400000</v>
      </c>
      <c r="R1206" s="176" t="str">
        <f t="shared" si="277"/>
        <v/>
      </c>
      <c r="S1206" s="176" t="str">
        <f>IF(AND(AD1206=1,R1206&lt;&gt;".")=TRUE,R1206/VLOOKUP(G1206,'Exchange Rates'!B:C,2,0),IF(R1206=".",".",""))</f>
        <v/>
      </c>
      <c r="T1206" s="176" t="str">
        <f>IF(AD1206=1,IF(AF1206="Value is not given at all",".",IF(AF1206="Value is given by the source",S1206,IF(AF1206="Value is calculated with prices",(IF(SUMIFS(Q:Q,A:A,A1206)&gt;0,SUMIFS(Q:Q,A:A,A1206),"."))/VLOOKUP("USD",'Exchange Rates'!B:C,2,0),"Error with coding"))),"")</f>
        <v/>
      </c>
      <c r="U1206" s="15" t="s">
        <v>261</v>
      </c>
      <c r="V1206" s="304" t="s">
        <v>3282</v>
      </c>
      <c r="W1206" s="667" t="s">
        <v>3044</v>
      </c>
      <c r="X1206" s="667" t="s">
        <v>3047</v>
      </c>
      <c r="Y1206" s="667" t="s">
        <v>3288</v>
      </c>
      <c r="Z1206" s="199">
        <v>0</v>
      </c>
      <c r="AA1206" s="180">
        <v>0</v>
      </c>
      <c r="AB1206" s="667" t="s">
        <v>3289</v>
      </c>
      <c r="AC1206" s="544" t="str">
        <f>""</f>
        <v/>
      </c>
      <c r="AD1206" s="183">
        <v>0</v>
      </c>
      <c r="AE1206" s="586" t="s">
        <v>264</v>
      </c>
      <c r="AF1206" s="181" t="s">
        <v>264</v>
      </c>
      <c r="AG1206" s="183">
        <v>1</v>
      </c>
      <c r="AH1206" s="183">
        <v>9</v>
      </c>
      <c r="AI1206" s="183">
        <v>0</v>
      </c>
      <c r="AJ1206" s="181">
        <f>VLOOKUP($I1206,'Price List, Weapons &amp; Items'!B:F,5,0)</f>
        <v>0</v>
      </c>
      <c r="AK1206" s="181">
        <f t="shared" si="278"/>
        <v>0</v>
      </c>
      <c r="AL1206" s="181">
        <f t="shared" si="279"/>
        <v>0</v>
      </c>
      <c r="AM1206" s="181">
        <f t="shared" si="280"/>
        <v>0</v>
      </c>
      <c r="AN1206" s="180" t="str">
        <f>VLOOKUP($I1206,'Price List, Weapons &amp; Items'!B:L,COLUMN('Price List, Weapons &amp; Items'!$J$11)-1,0)</f>
        <v>Media reports (incl. social media)</v>
      </c>
      <c r="AO1206" s="180" t="str">
        <f>IF(I1206=".",".",VLOOKUP($I1206,'Price List, Weapons &amp; Items'!B:J,3,0))</f>
        <v>non combat military vehicle</v>
      </c>
      <c r="AP1206" s="545" t="str">
        <f t="shared" ca="1" si="276"/>
        <v/>
      </c>
      <c r="AQ1206" s="180">
        <f>VLOOKUP($I1206,'Price List, Weapons &amp; Items'!B:L,COLUMN('Price List, Weapons &amp; Items'!$L$11)-1,0)</f>
        <v>2</v>
      </c>
      <c r="AR1206" s="180">
        <f t="shared" si="281"/>
        <v>1</v>
      </c>
      <c r="AS1206" s="180">
        <f t="shared" si="282"/>
        <v>1</v>
      </c>
      <c r="AT1206" s="180">
        <f t="shared" si="271"/>
        <v>1</v>
      </c>
      <c r="AU1206" s="180" t="str">
        <f t="shared" si="272"/>
        <v>.</v>
      </c>
      <c r="AV1206" s="180" t="str">
        <f t="shared" si="273"/>
        <v>.</v>
      </c>
      <c r="AW1206" s="180">
        <f>IFERROR(VLOOKUP(B1206,'Share, Heavy Weapons to Ukraine'!B:J,COLUMN('Share, Heavy Weapons to Ukraine'!C1216)-1,0),0)</f>
        <v>1</v>
      </c>
      <c r="AX1206" s="180">
        <f>VLOOKUP('Bilateral Assistance, MAIN DATA'!B1206,'Country Summary'!B:F,COLUMN('Country Summary'!C1219)-1,FALSE)</f>
        <v>0</v>
      </c>
      <c r="AY1206" s="180" t="str">
        <f>IF(AND(AD1206=1,D1206="Military",H1206&lt;&gt;"Not given")=TRUE,IF(SUMIFS(P:P,A:A,A1206)&gt;0,ABS((SUMIFS(P:P,A:A,A1206)/VLOOKUP("USD",'Exchange Rates'!B:C,2,0)))/S1206,"."),".")</f>
        <v>.</v>
      </c>
      <c r="AZ1206" s="182" t="str">
        <f>IF(AND(AD1206=1,D1206="Military",H1206&lt;&gt;"Not given")=TRUE,IF(SUMIFS(P:P,A:A,A1206)&gt;0,IF((ABS((SUMIFS(P:P,A:A,A1206)/VLOOKUP("USD",'Exchange Rates'!B:C,2,0)))/S1206)&gt;1,(SUMIFS(P:P,A:A,A1206)-S1206)/S1206,(S1206-SUMIFS(P:P,A:A,A1206))/SUMIFS(P:P,A:A,A1206)),"."),".")</f>
        <v>.</v>
      </c>
      <c r="BA1206" s="182"/>
      <c r="BB1206" s="182"/>
      <c r="BC1206" s="182"/>
      <c r="BD1206" s="182"/>
      <c r="BE1206" s="182"/>
      <c r="BF1206" s="182"/>
      <c r="BG1206" s="182"/>
      <c r="BH1206" s="182"/>
      <c r="BI1206" s="182"/>
      <c r="BJ1206" s="182"/>
      <c r="BK1206" s="182"/>
      <c r="BL1206" s="182"/>
      <c r="BM1206" s="182"/>
      <c r="BN1206" s="182"/>
      <c r="BO1206" s="182"/>
      <c r="BP1206" s="182"/>
      <c r="BQ1206" s="182"/>
      <c r="BR1206" s="182"/>
      <c r="BS1206" s="182"/>
    </row>
    <row r="1207" spans="1:71" ht="15.9" customHeight="1" x14ac:dyDescent="0.3">
      <c r="A1207" s="5" t="s">
        <v>3065</v>
      </c>
      <c r="B1207" s="19" t="s">
        <v>3038</v>
      </c>
      <c r="C1207" s="555">
        <v>44819</v>
      </c>
      <c r="D1207" s="19" t="s">
        <v>285</v>
      </c>
      <c r="E1207" s="5" t="s">
        <v>1328</v>
      </c>
      <c r="F1207" s="175" t="s">
        <v>3281</v>
      </c>
      <c r="G1207" s="15" t="s">
        <v>346</v>
      </c>
      <c r="H1207" s="200">
        <v>600000000</v>
      </c>
      <c r="I1207" s="19" t="s">
        <v>1431</v>
      </c>
      <c r="J1207" s="113" t="str">
        <f>VLOOKUP($I1207,'Price List, Weapons &amp; Items'!B:C,2,0)</f>
        <v>Military equipment</v>
      </c>
      <c r="K1207" s="113" t="str">
        <f>IF(I1207=".",I1207,VLOOKUP($I1207,'Price List, Weapons &amp; Items'!B:D,3,0))</f>
        <v>non combat military vehicle</v>
      </c>
      <c r="L1207" s="177">
        <f>VLOOKUP(I1207,'Price List, Weapons &amp; Items'!B:E,4,0)</f>
        <v>0</v>
      </c>
      <c r="M1207" s="247">
        <v>8</v>
      </c>
      <c r="N1207" s="542">
        <v>8</v>
      </c>
      <c r="O1207" s="543">
        <f>VLOOKUP($I1207,'Price List, Weapons &amp; Items'!B:G,6,0)</f>
        <v>50000</v>
      </c>
      <c r="P1207" s="176">
        <f t="shared" si="274"/>
        <v>400000</v>
      </c>
      <c r="Q1207" s="176">
        <f t="shared" si="275"/>
        <v>400000</v>
      </c>
      <c r="R1207" s="176" t="str">
        <f t="shared" si="277"/>
        <v/>
      </c>
      <c r="S1207" s="176" t="str">
        <f>IF(AND(AD1207=1,R1207&lt;&gt;".")=TRUE,R1207/VLOOKUP(G1207,'Exchange Rates'!B:C,2,0),IF(R1207=".",".",""))</f>
        <v/>
      </c>
      <c r="T1207" s="176" t="str">
        <f>IF(AD1207=1,IF(AF1207="Value is not given at all",".",IF(AF1207="Value is given by the source",S1207,IF(AF1207="Value is calculated with prices",(IF(SUMIFS(Q:Q,A:A,A1207)&gt;0,SUMIFS(Q:Q,A:A,A1207),"."))/VLOOKUP("USD",'Exchange Rates'!B:C,2,0),"Error with coding"))),"")</f>
        <v/>
      </c>
      <c r="U1207" s="15" t="s">
        <v>261</v>
      </c>
      <c r="V1207" s="304" t="s">
        <v>3282</v>
      </c>
      <c r="W1207" s="667" t="s">
        <v>3044</v>
      </c>
      <c r="X1207" s="667" t="s">
        <v>3047</v>
      </c>
      <c r="Y1207" s="667" t="s">
        <v>3289</v>
      </c>
      <c r="Z1207" s="199">
        <v>0</v>
      </c>
      <c r="AA1207" s="180">
        <v>0</v>
      </c>
      <c r="AB1207" s="667" t="s">
        <v>3290</v>
      </c>
      <c r="AC1207" s="544" t="str">
        <f>""</f>
        <v/>
      </c>
      <c r="AD1207" s="183">
        <v>0</v>
      </c>
      <c r="AE1207" s="586" t="s">
        <v>264</v>
      </c>
      <c r="AF1207" s="181" t="s">
        <v>264</v>
      </c>
      <c r="AG1207" s="183">
        <v>1</v>
      </c>
      <c r="AH1207" s="183">
        <v>9</v>
      </c>
      <c r="AI1207" s="183">
        <v>0</v>
      </c>
      <c r="AJ1207" s="181">
        <f>VLOOKUP($I1207,'Price List, Weapons &amp; Items'!B:F,5,0)</f>
        <v>0</v>
      </c>
      <c r="AK1207" s="181">
        <f t="shared" si="278"/>
        <v>0</v>
      </c>
      <c r="AL1207" s="181">
        <f t="shared" si="279"/>
        <v>0</v>
      </c>
      <c r="AM1207" s="181">
        <f t="shared" si="280"/>
        <v>0</v>
      </c>
      <c r="AN1207" s="180" t="str">
        <f>VLOOKUP($I1207,'Price List, Weapons &amp; Items'!B:L,COLUMN('Price List, Weapons &amp; Items'!$J$11)-1,0)</f>
        <v>Miscellaneous</v>
      </c>
      <c r="AO1207" s="180" t="str">
        <f>IF(I1207=".",".",VLOOKUP($I1207,'Price List, Weapons &amp; Items'!B:J,3,0))</f>
        <v>non combat military vehicle</v>
      </c>
      <c r="AP1207" s="545" t="str">
        <f t="shared" ca="1" si="276"/>
        <v/>
      </c>
      <c r="AQ1207" s="180">
        <f>VLOOKUP($I1207,'Price List, Weapons &amp; Items'!B:L,COLUMN('Price List, Weapons &amp; Items'!$L$11)-1,0)</f>
        <v>2</v>
      </c>
      <c r="AR1207" s="180">
        <f t="shared" si="281"/>
        <v>1</v>
      </c>
      <c r="AS1207" s="180">
        <f t="shared" si="282"/>
        <v>1</v>
      </c>
      <c r="AT1207" s="180">
        <f t="shared" si="271"/>
        <v>1</v>
      </c>
      <c r="AU1207" s="180" t="str">
        <f t="shared" si="272"/>
        <v>.</v>
      </c>
      <c r="AV1207" s="180" t="str">
        <f t="shared" si="273"/>
        <v>.</v>
      </c>
      <c r="AW1207" s="180">
        <f>IFERROR(VLOOKUP(B1207,'Share, Heavy Weapons to Ukraine'!B:J,COLUMN('Share, Heavy Weapons to Ukraine'!C1217)-1,0),0)</f>
        <v>1</v>
      </c>
      <c r="AX1207" s="180">
        <f>VLOOKUP('Bilateral Assistance, MAIN DATA'!B1207,'Country Summary'!B:F,COLUMN('Country Summary'!C1220)-1,FALSE)</f>
        <v>0</v>
      </c>
      <c r="AY1207" s="180" t="str">
        <f>IF(AND(AD1207=1,D1207="Military",H1207&lt;&gt;"Not given")=TRUE,IF(SUMIFS(P:P,A:A,A1207)&gt;0,ABS((SUMIFS(P:P,A:A,A1207)/VLOOKUP("USD",'Exchange Rates'!B:C,2,0)))/S1207,"."),".")</f>
        <v>.</v>
      </c>
      <c r="AZ1207" s="182" t="str">
        <f>IF(AND(AD1207=1,D1207="Military",H1207&lt;&gt;"Not given")=TRUE,IF(SUMIFS(P:P,A:A,A1207)&gt;0,IF((ABS((SUMIFS(P:P,A:A,A1207)/VLOOKUP("USD",'Exchange Rates'!B:C,2,0)))/S1207)&gt;1,(SUMIFS(P:P,A:A,A1207)-S1207)/S1207,(S1207-SUMIFS(P:P,A:A,A1207))/SUMIFS(P:P,A:A,A1207)),"."),".")</f>
        <v>.</v>
      </c>
      <c r="BA1207" s="182"/>
      <c r="BB1207" s="182"/>
      <c r="BC1207" s="182"/>
      <c r="BD1207" s="182"/>
      <c r="BE1207" s="182"/>
      <c r="BF1207" s="182"/>
      <c r="BG1207" s="182"/>
      <c r="BH1207" s="182"/>
      <c r="BI1207" s="182"/>
      <c r="BJ1207" s="182"/>
      <c r="BK1207" s="182"/>
      <c r="BL1207" s="182"/>
      <c r="BM1207" s="182"/>
      <c r="BN1207" s="182"/>
      <c r="BO1207" s="182"/>
      <c r="BP1207" s="182"/>
      <c r="BQ1207" s="182"/>
      <c r="BR1207" s="182"/>
      <c r="BS1207" s="182"/>
    </row>
    <row r="1208" spans="1:71" ht="15.9" customHeight="1" x14ac:dyDescent="0.3">
      <c r="A1208" s="5" t="s">
        <v>3065</v>
      </c>
      <c r="B1208" s="19" t="s">
        <v>3038</v>
      </c>
      <c r="C1208" s="555">
        <v>44819</v>
      </c>
      <c r="D1208" s="19" t="s">
        <v>285</v>
      </c>
      <c r="E1208" s="5" t="s">
        <v>1328</v>
      </c>
      <c r="F1208" s="175" t="s">
        <v>3281</v>
      </c>
      <c r="G1208" s="15" t="s">
        <v>346</v>
      </c>
      <c r="H1208" s="200">
        <v>600000000</v>
      </c>
      <c r="I1208" s="19" t="s">
        <v>3291</v>
      </c>
      <c r="J1208" s="113" t="str">
        <f>VLOOKUP($I1208,'Price List, Weapons &amp; Items'!B:C,2,0)</f>
        <v>Aviation and drones</v>
      </c>
      <c r="K1208" s="113" t="str">
        <f>IF(I1208=".",I1208,VLOOKUP($I1208,'Price List, Weapons &amp; Items'!B:D,3,0))</f>
        <v>Drone</v>
      </c>
      <c r="L1208" s="177">
        <f>VLOOKUP(I1208,'Price List, Weapons &amp; Items'!B:E,4,0)</f>
        <v>0</v>
      </c>
      <c r="M1208" s="247" t="s">
        <v>270</v>
      </c>
      <c r="N1208" s="542" t="s">
        <v>270</v>
      </c>
      <c r="O1208" s="543">
        <f>VLOOKUP($I1208,'Price List, Weapons &amp; Items'!B:G,6,0)</f>
        <v>15000000</v>
      </c>
      <c r="P1208" s="176" t="str">
        <f t="shared" si="274"/>
        <v>.</v>
      </c>
      <c r="Q1208" s="176" t="str">
        <f t="shared" si="275"/>
        <v>.</v>
      </c>
      <c r="R1208" s="176" t="str">
        <f t="shared" si="277"/>
        <v/>
      </c>
      <c r="S1208" s="176" t="str">
        <f>IF(AND(AD1208=1,R1208&lt;&gt;".")=TRUE,R1208/VLOOKUP(G1208,'Exchange Rates'!B:C,2,0),IF(R1208=".",".",""))</f>
        <v/>
      </c>
      <c r="T1208" s="176" t="str">
        <f>IF(AD1208=1,IF(AF1208="Value is not given at all",".",IF(AF1208="Value is given by the source",S1208,IF(AF1208="Value is calculated with prices",(IF(SUMIFS(Q:Q,A:A,A1208)&gt;0,SUMIFS(Q:Q,A:A,A1208),"."))/VLOOKUP("USD",'Exchange Rates'!B:C,2,0),"Error with coding"))),"")</f>
        <v/>
      </c>
      <c r="U1208" s="15" t="s">
        <v>261</v>
      </c>
      <c r="V1208" s="304" t="s">
        <v>3282</v>
      </c>
      <c r="W1208" s="667" t="s">
        <v>3044</v>
      </c>
      <c r="X1208" s="667" t="s">
        <v>3047</v>
      </c>
      <c r="Y1208" s="667" t="s">
        <v>3290</v>
      </c>
      <c r="Z1208" s="199">
        <v>0</v>
      </c>
      <c r="AA1208" s="180">
        <v>0</v>
      </c>
      <c r="AB1208" s="667" t="s">
        <v>3292</v>
      </c>
      <c r="AC1208" s="544" t="str">
        <f>""</f>
        <v/>
      </c>
      <c r="AD1208" s="183">
        <v>0</v>
      </c>
      <c r="AE1208" s="586" t="s">
        <v>264</v>
      </c>
      <c r="AF1208" s="181" t="s">
        <v>264</v>
      </c>
      <c r="AG1208" s="183">
        <v>1</v>
      </c>
      <c r="AH1208" s="183">
        <v>9</v>
      </c>
      <c r="AI1208" s="183">
        <v>0</v>
      </c>
      <c r="AJ1208" s="181">
        <f>VLOOKUP($I1208,'Price List, Weapons &amp; Items'!B:F,5,0)</f>
        <v>0</v>
      </c>
      <c r="AK1208" s="181">
        <f t="shared" si="278"/>
        <v>0</v>
      </c>
      <c r="AL1208" s="181">
        <f t="shared" si="279"/>
        <v>0</v>
      </c>
      <c r="AM1208" s="181">
        <f t="shared" si="280"/>
        <v>0</v>
      </c>
      <c r="AN1208" s="180" t="str">
        <f>VLOOKUP($I1208,'Price List, Weapons &amp; Items'!B:L,COLUMN('Price List, Weapons &amp; Items'!$J$11)-1,0)</f>
        <v>Miscellaneous</v>
      </c>
      <c r="AO1208" s="180" t="str">
        <f>IF(I1208=".",".",VLOOKUP($I1208,'Price List, Weapons &amp; Items'!B:J,3,0))</f>
        <v>Drone</v>
      </c>
      <c r="AP1208" s="545" t="str">
        <f t="shared" ca="1" si="276"/>
        <v/>
      </c>
      <c r="AQ1208" s="180" t="str">
        <f>VLOOKUP($I1208,'Price List, Weapons &amp; Items'!B:L,COLUMN('Price List, Weapons &amp; Items'!$L$11)-1,0)</f>
        <v>no price, 0 count</v>
      </c>
      <c r="AR1208" s="180">
        <f t="shared" si="281"/>
        <v>1</v>
      </c>
      <c r="AS1208" s="180">
        <f t="shared" si="282"/>
        <v>1</v>
      </c>
      <c r="AT1208" s="180">
        <f t="shared" si="271"/>
        <v>1</v>
      </c>
      <c r="AU1208" s="180" t="str">
        <f t="shared" si="272"/>
        <v>.</v>
      </c>
      <c r="AV1208" s="180" t="str">
        <f t="shared" si="273"/>
        <v>.</v>
      </c>
      <c r="AW1208" s="180">
        <f>IFERROR(VLOOKUP(B1208,'Share, Heavy Weapons to Ukraine'!B:J,COLUMN('Share, Heavy Weapons to Ukraine'!C1218)-1,0),0)</f>
        <v>1</v>
      </c>
      <c r="AX1208" s="180">
        <f>VLOOKUP('Bilateral Assistance, MAIN DATA'!B1208,'Country Summary'!B:F,COLUMN('Country Summary'!C1221)-1,FALSE)</f>
        <v>0</v>
      </c>
      <c r="AY1208" s="180" t="str">
        <f>IF(AND(AD1208=1,D1208="Military",H1208&lt;&gt;"Not given")=TRUE,IF(SUMIFS(P:P,A:A,A1208)&gt;0,ABS((SUMIFS(P:P,A:A,A1208)/VLOOKUP("USD",'Exchange Rates'!B:C,2,0)))/S1208,"."),".")</f>
        <v>.</v>
      </c>
      <c r="AZ1208" s="182" t="str">
        <f>IF(AND(AD1208=1,D1208="Military",H1208&lt;&gt;"Not given")=TRUE,IF(SUMIFS(P:P,A:A,A1208)&gt;0,IF((ABS((SUMIFS(P:P,A:A,A1208)/VLOOKUP("USD",'Exchange Rates'!B:C,2,0)))/S1208)&gt;1,(SUMIFS(P:P,A:A,A1208)-S1208)/S1208,(S1208-SUMIFS(P:P,A:A,A1208))/SUMIFS(P:P,A:A,A1208)),"."),".")</f>
        <v>.</v>
      </c>
      <c r="BA1208" s="182"/>
      <c r="BB1208" s="182"/>
      <c r="BC1208" s="182"/>
      <c r="BD1208" s="182"/>
      <c r="BE1208" s="182"/>
      <c r="BF1208" s="182"/>
      <c r="BG1208" s="182"/>
      <c r="BH1208" s="182"/>
      <c r="BI1208" s="182"/>
      <c r="BJ1208" s="182"/>
      <c r="BK1208" s="182"/>
      <c r="BL1208" s="182"/>
      <c r="BM1208" s="182"/>
      <c r="BN1208" s="182"/>
      <c r="BO1208" s="182"/>
      <c r="BP1208" s="182"/>
      <c r="BQ1208" s="182"/>
      <c r="BR1208" s="182"/>
      <c r="BS1208" s="182"/>
    </row>
    <row r="1209" spans="1:71" ht="15.9" customHeight="1" x14ac:dyDescent="0.3">
      <c r="A1209" s="5" t="s">
        <v>3065</v>
      </c>
      <c r="B1209" s="19" t="s">
        <v>3038</v>
      </c>
      <c r="C1209" s="555">
        <v>44819</v>
      </c>
      <c r="D1209" s="19" t="s">
        <v>285</v>
      </c>
      <c r="E1209" s="5" t="s">
        <v>1328</v>
      </c>
      <c r="F1209" s="175" t="s">
        <v>3281</v>
      </c>
      <c r="G1209" s="15" t="s">
        <v>346</v>
      </c>
      <c r="H1209" s="200">
        <v>600000000</v>
      </c>
      <c r="I1209" s="19" t="s">
        <v>3252</v>
      </c>
      <c r="J1209" s="113" t="str">
        <f>VLOOKUP($I1209,'Price List, Weapons &amp; Items'!B:C,2,0)</f>
        <v>Military equipment</v>
      </c>
      <c r="K1209" s="113" t="str">
        <f>IF(I1209=".",I1209,VLOOKUP($I1209,'Price List, Weapons &amp; Items'!B:D,3,0))</f>
        <v>Military equipment</v>
      </c>
      <c r="L1209" s="177">
        <f>VLOOKUP(I1209,'Price List, Weapons &amp; Items'!B:E,4,0)</f>
        <v>0</v>
      </c>
      <c r="M1209" s="247" t="s">
        <v>270</v>
      </c>
      <c r="N1209" s="542" t="s">
        <v>270</v>
      </c>
      <c r="O1209" s="543" t="str">
        <f>VLOOKUP($I1209,'Price List, Weapons &amp; Items'!B:G,6,0)</f>
        <v>.</v>
      </c>
      <c r="P1209" s="176" t="str">
        <f t="shared" si="274"/>
        <v>.</v>
      </c>
      <c r="Q1209" s="176" t="str">
        <f t="shared" si="275"/>
        <v>.</v>
      </c>
      <c r="R1209" s="176" t="str">
        <f t="shared" si="277"/>
        <v/>
      </c>
      <c r="S1209" s="176" t="str">
        <f>IF(AND(AD1209=1,R1209&lt;&gt;".")=TRUE,R1209/VLOOKUP(G1209,'Exchange Rates'!B:C,2,0),IF(R1209=".",".",""))</f>
        <v/>
      </c>
      <c r="T1209" s="176" t="str">
        <f>IF(AD1209=1,IF(AF1209="Value is not given at all",".",IF(AF1209="Value is given by the source",S1209,IF(AF1209="Value is calculated with prices",(IF(SUMIFS(Q:Q,A:A,A1209)&gt;0,SUMIFS(Q:Q,A:A,A1209),"."))/VLOOKUP("USD",'Exchange Rates'!B:C,2,0),"Error with coding"))),"")</f>
        <v/>
      </c>
      <c r="U1209" s="15" t="s">
        <v>261</v>
      </c>
      <c r="V1209" s="304" t="s">
        <v>3282</v>
      </c>
      <c r="W1209" s="667" t="s">
        <v>3044</v>
      </c>
      <c r="X1209" s="667" t="s">
        <v>3047</v>
      </c>
      <c r="Y1209" s="667" t="s">
        <v>3292</v>
      </c>
      <c r="Z1209" s="199">
        <v>0</v>
      </c>
      <c r="AA1209" s="180">
        <v>0</v>
      </c>
      <c r="AB1209" s="667" t="s">
        <v>3293</v>
      </c>
      <c r="AC1209" s="544" t="str">
        <f>""</f>
        <v/>
      </c>
      <c r="AD1209" s="183">
        <v>0</v>
      </c>
      <c r="AE1209" s="586" t="s">
        <v>264</v>
      </c>
      <c r="AF1209" s="181" t="s">
        <v>264</v>
      </c>
      <c r="AG1209" s="183">
        <v>1</v>
      </c>
      <c r="AH1209" s="183">
        <v>9</v>
      </c>
      <c r="AI1209" s="183">
        <v>0</v>
      </c>
      <c r="AJ1209" s="181">
        <f>VLOOKUP($I1209,'Price List, Weapons &amp; Items'!B:F,5,0)</f>
        <v>0</v>
      </c>
      <c r="AK1209" s="181">
        <f t="shared" si="278"/>
        <v>0</v>
      </c>
      <c r="AL1209" s="181">
        <f t="shared" si="279"/>
        <v>0</v>
      </c>
      <c r="AM1209" s="181">
        <f t="shared" si="280"/>
        <v>0</v>
      </c>
      <c r="AN1209" s="180" t="str">
        <f>VLOOKUP($I1209,'Price List, Weapons &amp; Items'!B:L,COLUMN('Price List, Weapons &amp; Items'!$J$11)-1,0)</f>
        <v>.</v>
      </c>
      <c r="AO1209" s="180" t="str">
        <f>IF(I1209=".",".",VLOOKUP($I1209,'Price List, Weapons &amp; Items'!B:J,3,0))</f>
        <v>Military equipment</v>
      </c>
      <c r="AP1209" s="545" t="str">
        <f t="shared" ca="1" si="276"/>
        <v/>
      </c>
      <c r="AQ1209" s="180" t="str">
        <f>VLOOKUP($I1209,'Price List, Weapons &amp; Items'!B:L,COLUMN('Price List, Weapons &amp; Items'!$L$11)-1,0)</f>
        <v>no price, 0 count</v>
      </c>
      <c r="AR1209" s="180">
        <f t="shared" si="281"/>
        <v>1</v>
      </c>
      <c r="AS1209" s="180">
        <f t="shared" si="282"/>
        <v>1</v>
      </c>
      <c r="AT1209" s="180">
        <f t="shared" si="271"/>
        <v>1</v>
      </c>
      <c r="AU1209" s="180" t="str">
        <f t="shared" si="272"/>
        <v>.</v>
      </c>
      <c r="AV1209" s="180" t="str">
        <f t="shared" si="273"/>
        <v>.</v>
      </c>
      <c r="AW1209" s="180">
        <f>IFERROR(VLOOKUP(B1209,'Share, Heavy Weapons to Ukraine'!B:J,COLUMN('Share, Heavy Weapons to Ukraine'!C1219)-1,0),0)</f>
        <v>1</v>
      </c>
      <c r="AX1209" s="180">
        <f>VLOOKUP('Bilateral Assistance, MAIN DATA'!B1209,'Country Summary'!B:F,COLUMN('Country Summary'!C1222)-1,FALSE)</f>
        <v>0</v>
      </c>
      <c r="AY1209" s="180" t="str">
        <f>IF(AND(AD1209=1,D1209="Military",H1209&lt;&gt;"Not given")=TRUE,IF(SUMIFS(P:P,A:A,A1209)&gt;0,ABS((SUMIFS(P:P,A:A,A1209)/VLOOKUP("USD",'Exchange Rates'!B:C,2,0)))/S1209,"."),".")</f>
        <v>.</v>
      </c>
      <c r="AZ1209" s="182" t="str">
        <f>IF(AND(AD1209=1,D1209="Military",H1209&lt;&gt;"Not given")=TRUE,IF(SUMIFS(P:P,A:A,A1209)&gt;0,IF((ABS((SUMIFS(P:P,A:A,A1209)/VLOOKUP("USD",'Exchange Rates'!B:C,2,0)))/S1209)&gt;1,(SUMIFS(P:P,A:A,A1209)-S1209)/S1209,(S1209-SUMIFS(P:P,A:A,A1209))/SUMIFS(P:P,A:A,A1209)),"."),".")</f>
        <v>.</v>
      </c>
      <c r="BA1209" s="182"/>
      <c r="BB1209" s="182"/>
      <c r="BC1209" s="182"/>
      <c r="BD1209" s="182"/>
      <c r="BE1209" s="182"/>
      <c r="BF1209" s="182"/>
      <c r="BG1209" s="182"/>
      <c r="BH1209" s="182"/>
      <c r="BI1209" s="182"/>
      <c r="BJ1209" s="182"/>
      <c r="BK1209" s="182"/>
      <c r="BL1209" s="182"/>
      <c r="BM1209" s="182"/>
      <c r="BN1209" s="182"/>
      <c r="BO1209" s="182"/>
      <c r="BP1209" s="182"/>
      <c r="BQ1209" s="182"/>
      <c r="BR1209" s="182"/>
      <c r="BS1209" s="182"/>
    </row>
    <row r="1210" spans="1:71" ht="15.9" customHeight="1" x14ac:dyDescent="0.3">
      <c r="A1210" s="5" t="s">
        <v>3065</v>
      </c>
      <c r="B1210" s="19" t="s">
        <v>3038</v>
      </c>
      <c r="C1210" s="555">
        <v>44819</v>
      </c>
      <c r="D1210" s="19" t="s">
        <v>285</v>
      </c>
      <c r="E1210" s="5" t="s">
        <v>1328</v>
      </c>
      <c r="F1210" s="175" t="s">
        <v>3281</v>
      </c>
      <c r="G1210" s="15" t="s">
        <v>346</v>
      </c>
      <c r="H1210" s="200">
        <v>600000000</v>
      </c>
      <c r="I1210" s="19" t="s">
        <v>3124</v>
      </c>
      <c r="J1210" s="113" t="str">
        <f>VLOOKUP($I1210,'Price List, Weapons &amp; Items'!B:C,2,0)</f>
        <v>Light armaments &amp; infantry</v>
      </c>
      <c r="K1210" s="113" t="str">
        <f>IF(I1210=".",I1210,VLOOKUP($I1210,'Price List, Weapons &amp; Items'!B:D,3,0))</f>
        <v>Explosive</v>
      </c>
      <c r="L1210" s="177">
        <f>VLOOKUP(I1210,'Price List, Weapons &amp; Items'!B:E,4,0)</f>
        <v>0</v>
      </c>
      <c r="M1210" s="247" t="s">
        <v>270</v>
      </c>
      <c r="N1210" s="542" t="s">
        <v>270</v>
      </c>
      <c r="O1210" s="543">
        <f>VLOOKUP($I1210,'Price List, Weapons &amp; Items'!B:G,6,0)</f>
        <v>223.15</v>
      </c>
      <c r="P1210" s="176" t="str">
        <f t="shared" si="274"/>
        <v>.</v>
      </c>
      <c r="Q1210" s="176" t="str">
        <f t="shared" si="275"/>
        <v>.</v>
      </c>
      <c r="R1210" s="176" t="str">
        <f t="shared" si="277"/>
        <v/>
      </c>
      <c r="S1210" s="176" t="str">
        <f>IF(AND(AD1210=1,R1210&lt;&gt;".")=TRUE,R1210/VLOOKUP(G1210,'Exchange Rates'!B:C,2,0),IF(R1210=".",".",""))</f>
        <v/>
      </c>
      <c r="T1210" s="176" t="str">
        <f>IF(AD1210=1,IF(AF1210="Value is not given at all",".",IF(AF1210="Value is given by the source",S1210,IF(AF1210="Value is calculated with prices",(IF(SUMIFS(Q:Q,A:A,A1210)&gt;0,SUMIFS(Q:Q,A:A,A1210),"."))/VLOOKUP("USD",'Exchange Rates'!B:C,2,0),"Error with coding"))),"")</f>
        <v/>
      </c>
      <c r="U1210" s="15" t="s">
        <v>261</v>
      </c>
      <c r="V1210" s="304" t="s">
        <v>3282</v>
      </c>
      <c r="W1210" s="667" t="s">
        <v>3044</v>
      </c>
      <c r="X1210" s="667" t="s">
        <v>3047</v>
      </c>
      <c r="Y1210" s="667" t="s">
        <v>3293</v>
      </c>
      <c r="Z1210" s="199">
        <v>0</v>
      </c>
      <c r="AA1210" s="180">
        <v>0</v>
      </c>
      <c r="AB1210" s="667" t="s">
        <v>3294</v>
      </c>
      <c r="AC1210" s="544" t="str">
        <f>""</f>
        <v/>
      </c>
      <c r="AD1210" s="183">
        <v>0</v>
      </c>
      <c r="AE1210" s="586" t="s">
        <v>264</v>
      </c>
      <c r="AF1210" s="181" t="s">
        <v>264</v>
      </c>
      <c r="AG1210" s="183">
        <v>1</v>
      </c>
      <c r="AH1210" s="183">
        <v>9</v>
      </c>
      <c r="AI1210" s="183">
        <v>0</v>
      </c>
      <c r="AJ1210" s="181">
        <f>VLOOKUP($I1210,'Price List, Weapons &amp; Items'!B:F,5,0)</f>
        <v>0</v>
      </c>
      <c r="AK1210" s="181">
        <f t="shared" si="278"/>
        <v>0</v>
      </c>
      <c r="AL1210" s="181">
        <f t="shared" si="279"/>
        <v>0</v>
      </c>
      <c r="AM1210" s="181">
        <f t="shared" si="280"/>
        <v>0</v>
      </c>
      <c r="AN1210" s="180" t="str">
        <f>VLOOKUP($I1210,'Price List, Weapons &amp; Items'!B:L,COLUMN('Price List, Weapons &amp; Items'!$J$11)-1,0)</f>
        <v>Miscellaneous</v>
      </c>
      <c r="AO1210" s="180" t="str">
        <f>IF(I1210=".",".",VLOOKUP($I1210,'Price List, Weapons &amp; Items'!B:J,3,0))</f>
        <v>Explosive</v>
      </c>
      <c r="AP1210" s="545" t="str">
        <f t="shared" ca="1" si="276"/>
        <v/>
      </c>
      <c r="AQ1210" s="180" t="str">
        <f>VLOOKUP($I1210,'Price List, Weapons &amp; Items'!B:L,COLUMN('Price List, Weapons &amp; Items'!$L$11)-1,0)</f>
        <v>no price, 0 count</v>
      </c>
      <c r="AR1210" s="180">
        <f t="shared" si="281"/>
        <v>1</v>
      </c>
      <c r="AS1210" s="180">
        <f t="shared" si="282"/>
        <v>1</v>
      </c>
      <c r="AT1210" s="180">
        <f t="shared" si="271"/>
        <v>1</v>
      </c>
      <c r="AU1210" s="180" t="str">
        <f t="shared" si="272"/>
        <v>.</v>
      </c>
      <c r="AV1210" s="180" t="str">
        <f t="shared" si="273"/>
        <v>.</v>
      </c>
      <c r="AW1210" s="180">
        <f>IFERROR(VLOOKUP(B1210,'Share, Heavy Weapons to Ukraine'!B:J,COLUMN('Share, Heavy Weapons to Ukraine'!C1220)-1,0),0)</f>
        <v>1</v>
      </c>
      <c r="AX1210" s="180">
        <f>VLOOKUP('Bilateral Assistance, MAIN DATA'!B1210,'Country Summary'!B:F,COLUMN('Country Summary'!C1223)-1,FALSE)</f>
        <v>0</v>
      </c>
      <c r="AY1210" s="180" t="str">
        <f>IF(AND(AD1210=1,D1210="Military",H1210&lt;&gt;"Not given")=TRUE,IF(SUMIFS(P:P,A:A,A1210)&gt;0,ABS((SUMIFS(P:P,A:A,A1210)/VLOOKUP("USD",'Exchange Rates'!B:C,2,0)))/S1210,"."),".")</f>
        <v>.</v>
      </c>
      <c r="AZ1210" s="182" t="str">
        <f>IF(AND(AD1210=1,D1210="Military",H1210&lt;&gt;"Not given")=TRUE,IF(SUMIFS(P:P,A:A,A1210)&gt;0,IF((ABS((SUMIFS(P:P,A:A,A1210)/VLOOKUP("USD",'Exchange Rates'!B:C,2,0)))/S1210)&gt;1,(SUMIFS(P:P,A:A,A1210)-S1210)/S1210,(S1210-SUMIFS(P:P,A:A,A1210))/SUMIFS(P:P,A:A,A1210)),"."),".")</f>
        <v>.</v>
      </c>
      <c r="BA1210" s="182"/>
      <c r="BB1210" s="182"/>
      <c r="BC1210" s="182"/>
      <c r="BD1210" s="182"/>
      <c r="BE1210" s="182"/>
      <c r="BF1210" s="182"/>
      <c r="BG1210" s="182"/>
      <c r="BH1210" s="182"/>
      <c r="BI1210" s="182"/>
      <c r="BJ1210" s="182"/>
      <c r="BK1210" s="182"/>
      <c r="BL1210" s="182"/>
      <c r="BM1210" s="182"/>
      <c r="BN1210" s="182"/>
      <c r="BO1210" s="182"/>
      <c r="BP1210" s="182"/>
      <c r="BQ1210" s="182"/>
      <c r="BR1210" s="182"/>
      <c r="BS1210" s="182"/>
    </row>
    <row r="1211" spans="1:71" ht="15.9" customHeight="1" x14ac:dyDescent="0.3">
      <c r="A1211" s="5" t="s">
        <v>3065</v>
      </c>
      <c r="B1211" s="19" t="s">
        <v>3038</v>
      </c>
      <c r="C1211" s="555">
        <v>44819</v>
      </c>
      <c r="D1211" s="19" t="s">
        <v>285</v>
      </c>
      <c r="E1211" s="5" t="s">
        <v>1328</v>
      </c>
      <c r="F1211" s="175" t="s">
        <v>3281</v>
      </c>
      <c r="G1211" s="15" t="s">
        <v>346</v>
      </c>
      <c r="H1211" s="200">
        <v>600000000</v>
      </c>
      <c r="I1211" s="19" t="s">
        <v>3254</v>
      </c>
      <c r="J1211" s="113" t="str">
        <f>VLOOKUP($I1211,'Price List, Weapons &amp; Items'!B:C,2,0)</f>
        <v>Military equipment</v>
      </c>
      <c r="K1211" s="113" t="str">
        <f>IF(I1211=".",I1211,VLOOKUP($I1211,'Price List, Weapons &amp; Items'!B:D,3,0))</f>
        <v>Military equipment</v>
      </c>
      <c r="L1211" s="177">
        <f>VLOOKUP(I1211,'Price List, Weapons &amp; Items'!B:E,4,0)</f>
        <v>0</v>
      </c>
      <c r="M1211" s="247" t="s">
        <v>270</v>
      </c>
      <c r="N1211" s="542" t="s">
        <v>270</v>
      </c>
      <c r="O1211" s="543">
        <f>VLOOKUP($I1211,'Price List, Weapons &amp; Items'!B:G,6,0)</f>
        <v>90</v>
      </c>
      <c r="P1211" s="176" t="str">
        <f t="shared" si="274"/>
        <v>.</v>
      </c>
      <c r="Q1211" s="176" t="str">
        <f t="shared" si="275"/>
        <v>.</v>
      </c>
      <c r="R1211" s="176" t="str">
        <f t="shared" si="277"/>
        <v/>
      </c>
      <c r="S1211" s="176" t="str">
        <f>IF(AND(AD1211=1,R1211&lt;&gt;".")=TRUE,R1211/VLOOKUP(G1211,'Exchange Rates'!B:C,2,0),IF(R1211=".",".",""))</f>
        <v/>
      </c>
      <c r="T1211" s="176" t="str">
        <f>IF(AD1211=1,IF(AF1211="Value is not given at all",".",IF(AF1211="Value is given by the source",S1211,IF(AF1211="Value is calculated with prices",(IF(SUMIFS(Q:Q,A:A,A1211)&gt;0,SUMIFS(Q:Q,A:A,A1211),"."))/VLOOKUP("USD",'Exchange Rates'!B:C,2,0),"Error with coding"))),"")</f>
        <v/>
      </c>
      <c r="U1211" s="15" t="s">
        <v>261</v>
      </c>
      <c r="V1211" s="304" t="s">
        <v>3282</v>
      </c>
      <c r="W1211" s="667" t="s">
        <v>3044</v>
      </c>
      <c r="X1211" s="667" t="s">
        <v>3047</v>
      </c>
      <c r="Y1211" s="667" t="s">
        <v>3294</v>
      </c>
      <c r="Z1211" s="199">
        <v>0</v>
      </c>
      <c r="AA1211" s="180">
        <v>0</v>
      </c>
      <c r="AB1211" s="667" t="s">
        <v>3295</v>
      </c>
      <c r="AC1211" s="544" t="str">
        <f>""</f>
        <v/>
      </c>
      <c r="AD1211" s="183">
        <v>0</v>
      </c>
      <c r="AE1211" s="586" t="s">
        <v>264</v>
      </c>
      <c r="AF1211" s="181" t="s">
        <v>264</v>
      </c>
      <c r="AG1211" s="183">
        <v>1</v>
      </c>
      <c r="AH1211" s="183">
        <v>9</v>
      </c>
      <c r="AI1211" s="183">
        <v>0</v>
      </c>
      <c r="AJ1211" s="181">
        <f>VLOOKUP($I1211,'Price List, Weapons &amp; Items'!B:F,5,0)</f>
        <v>0</v>
      </c>
      <c r="AK1211" s="181">
        <f t="shared" si="278"/>
        <v>0</v>
      </c>
      <c r="AL1211" s="181">
        <f t="shared" si="279"/>
        <v>0</v>
      </c>
      <c r="AM1211" s="181">
        <f t="shared" si="280"/>
        <v>0</v>
      </c>
      <c r="AN1211" s="180" t="str">
        <f>VLOOKUP($I1211,'Price List, Weapons &amp; Items'!B:L,COLUMN('Price List, Weapons &amp; Items'!$J$11)-1,0)</f>
        <v>Media reports (incl. social media)</v>
      </c>
      <c r="AO1211" s="180" t="str">
        <f>IF(I1211=".",".",VLOOKUP($I1211,'Price List, Weapons &amp; Items'!B:J,3,0))</f>
        <v>Military equipment</v>
      </c>
      <c r="AP1211" s="545" t="str">
        <f t="shared" ca="1" si="276"/>
        <v/>
      </c>
      <c r="AQ1211" s="180" t="str">
        <f>VLOOKUP($I1211,'Price List, Weapons &amp; Items'!B:L,COLUMN('Price List, Weapons &amp; Items'!$L$11)-1,0)</f>
        <v>no price, 0 count</v>
      </c>
      <c r="AR1211" s="180">
        <f t="shared" si="281"/>
        <v>1</v>
      </c>
      <c r="AS1211" s="180">
        <f t="shared" si="282"/>
        <v>1</v>
      </c>
      <c r="AT1211" s="180">
        <f t="shared" si="271"/>
        <v>1</v>
      </c>
      <c r="AU1211" s="180" t="str">
        <f t="shared" si="272"/>
        <v>.</v>
      </c>
      <c r="AV1211" s="180" t="str">
        <f t="shared" si="273"/>
        <v>.</v>
      </c>
      <c r="AW1211" s="180">
        <f>IFERROR(VLOOKUP(B1211,'Share, Heavy Weapons to Ukraine'!B:J,COLUMN('Share, Heavy Weapons to Ukraine'!C1221)-1,0),0)</f>
        <v>1</v>
      </c>
      <c r="AX1211" s="180">
        <f>VLOOKUP('Bilateral Assistance, MAIN DATA'!B1211,'Country Summary'!B:F,COLUMN('Country Summary'!C1224)-1,FALSE)</f>
        <v>0</v>
      </c>
      <c r="AY1211" s="180" t="str">
        <f>IF(AND(AD1211=1,D1211="Military",H1211&lt;&gt;"Not given")=TRUE,IF(SUMIFS(P:P,A:A,A1211)&gt;0,ABS((SUMIFS(P:P,A:A,A1211)/VLOOKUP("USD",'Exchange Rates'!B:C,2,0)))/S1211,"."),".")</f>
        <v>.</v>
      </c>
      <c r="AZ1211" s="182" t="str">
        <f>IF(AND(AD1211=1,D1211="Military",H1211&lt;&gt;"Not given")=TRUE,IF(SUMIFS(P:P,A:A,A1211)&gt;0,IF((ABS((SUMIFS(P:P,A:A,A1211)/VLOOKUP("USD",'Exchange Rates'!B:C,2,0)))/S1211)&gt;1,(SUMIFS(P:P,A:A,A1211)-S1211)/S1211,(S1211-SUMIFS(P:P,A:A,A1211))/SUMIFS(P:P,A:A,A1211)),"."),".")</f>
        <v>.</v>
      </c>
      <c r="BA1211" s="182"/>
      <c r="BB1211" s="182"/>
      <c r="BC1211" s="182"/>
      <c r="BD1211" s="182"/>
      <c r="BE1211" s="182"/>
      <c r="BF1211" s="182"/>
      <c r="BG1211" s="182"/>
      <c r="BH1211" s="182"/>
      <c r="BI1211" s="182"/>
      <c r="BJ1211" s="182"/>
      <c r="BK1211" s="182"/>
      <c r="BL1211" s="182"/>
      <c r="BM1211" s="182"/>
      <c r="BN1211" s="182"/>
      <c r="BO1211" s="182"/>
      <c r="BP1211" s="182"/>
      <c r="BQ1211" s="182"/>
      <c r="BR1211" s="182"/>
      <c r="BS1211" s="182"/>
    </row>
    <row r="1212" spans="1:71" ht="15.9" customHeight="1" x14ac:dyDescent="0.3">
      <c r="A1212" s="5" t="s">
        <v>3065</v>
      </c>
      <c r="B1212" s="19" t="s">
        <v>3038</v>
      </c>
      <c r="C1212" s="555">
        <v>44819</v>
      </c>
      <c r="D1212" s="19" t="s">
        <v>285</v>
      </c>
      <c r="E1212" s="5" t="s">
        <v>1328</v>
      </c>
      <c r="F1212" s="175" t="s">
        <v>3281</v>
      </c>
      <c r="G1212" s="15" t="s">
        <v>346</v>
      </c>
      <c r="H1212" s="200">
        <v>600000000</v>
      </c>
      <c r="I1212" s="19" t="s">
        <v>3296</v>
      </c>
      <c r="J1212" s="113" t="str">
        <f>VLOOKUP($I1212,'Price List, Weapons &amp; Items'!B:C,2,0)</f>
        <v>Ammunition for light infantry</v>
      </c>
      <c r="K1212" s="113" t="str">
        <f>IF(I1212=".",I1212,VLOOKUP($I1212,'Price List, Weapons &amp; Items'!B:D,3,0))</f>
        <v>Small Arms and Light Weapons (SALW) ammunition</v>
      </c>
      <c r="L1212" s="177">
        <f>VLOOKUP(I1212,'Price List, Weapons &amp; Items'!B:E,4,0)</f>
        <v>0</v>
      </c>
      <c r="M1212" s="247">
        <v>24000000</v>
      </c>
      <c r="N1212" s="542">
        <v>24000000</v>
      </c>
      <c r="O1212" s="543">
        <f>VLOOKUP($I1212,'Price List, Weapons &amp; Items'!B:G,6,0)</f>
        <v>0.47</v>
      </c>
      <c r="P1212" s="176">
        <f t="shared" si="274"/>
        <v>11280000</v>
      </c>
      <c r="Q1212" s="176">
        <f t="shared" si="275"/>
        <v>11280000</v>
      </c>
      <c r="R1212" s="176" t="str">
        <f t="shared" si="277"/>
        <v/>
      </c>
      <c r="S1212" s="176" t="str">
        <f>IF(AND(AD1212=1,R1212&lt;&gt;".")=TRUE,R1212/VLOOKUP(G1212,'Exchange Rates'!B:C,2,0),IF(R1212=".",".",""))</f>
        <v/>
      </c>
      <c r="T1212" s="176" t="str">
        <f>IF(AD1212=1,IF(AF1212="Value is not given at all",".",IF(AF1212="Value is given by the source",S1212,IF(AF1212="Value is calculated with prices",(IF(SUMIFS(Q:Q,A:A,A1212)&gt;0,SUMIFS(Q:Q,A:A,A1212),"."))/VLOOKUP("USD",'Exchange Rates'!B:C,2,0),"Error with coding"))),"")</f>
        <v/>
      </c>
      <c r="U1212" s="15" t="s">
        <v>261</v>
      </c>
      <c r="V1212" s="304" t="s">
        <v>3282</v>
      </c>
      <c r="W1212" s="667" t="s">
        <v>3044</v>
      </c>
      <c r="X1212" s="667" t="s">
        <v>3047</v>
      </c>
      <c r="Y1212" s="667" t="s">
        <v>3295</v>
      </c>
      <c r="Z1212" s="199">
        <v>0</v>
      </c>
      <c r="AA1212" s="180">
        <v>0</v>
      </c>
      <c r="AB1212" s="667" t="s">
        <v>3297</v>
      </c>
      <c r="AC1212" s="544" t="str">
        <f>""</f>
        <v/>
      </c>
      <c r="AD1212" s="183">
        <v>0</v>
      </c>
      <c r="AE1212" s="586" t="s">
        <v>264</v>
      </c>
      <c r="AF1212" s="181" t="s">
        <v>264</v>
      </c>
      <c r="AG1212" s="183">
        <v>1</v>
      </c>
      <c r="AH1212" s="183">
        <v>9</v>
      </c>
      <c r="AI1212" s="183">
        <v>0</v>
      </c>
      <c r="AJ1212" s="181">
        <f>VLOOKUP($I1212,'Price List, Weapons &amp; Items'!B:F,5,0)</f>
        <v>0</v>
      </c>
      <c r="AK1212" s="181">
        <f t="shared" si="278"/>
        <v>0</v>
      </c>
      <c r="AL1212" s="181">
        <f t="shared" si="279"/>
        <v>0</v>
      </c>
      <c r="AM1212" s="181">
        <f t="shared" si="280"/>
        <v>1</v>
      </c>
      <c r="AN1212" s="180" t="str">
        <f>VLOOKUP($I1212,'Price List, Weapons &amp; Items'!B:L,COLUMN('Price List, Weapons &amp; Items'!$J$11)-1,0)</f>
        <v>Miscellaneous</v>
      </c>
      <c r="AO1212" s="180" t="str">
        <f>IF(I1212=".",".",VLOOKUP($I1212,'Price List, Weapons &amp; Items'!B:J,3,0))</f>
        <v>Small Arms and Light Weapons (SALW) ammunition</v>
      </c>
      <c r="AP1212" s="545" t="str">
        <f t="shared" ca="1" si="276"/>
        <v/>
      </c>
      <c r="AQ1212" s="180">
        <f>VLOOKUP($I1212,'Price List, Weapons &amp; Items'!B:L,COLUMN('Price List, Weapons &amp; Items'!$L$11)-1,0)</f>
        <v>2</v>
      </c>
      <c r="AR1212" s="180">
        <f t="shared" si="281"/>
        <v>1</v>
      </c>
      <c r="AS1212" s="180">
        <f t="shared" si="282"/>
        <v>1</v>
      </c>
      <c r="AT1212" s="180">
        <f t="shared" si="271"/>
        <v>1</v>
      </c>
      <c r="AU1212" s="180" t="str">
        <f t="shared" si="272"/>
        <v>.</v>
      </c>
      <c r="AV1212" s="180" t="str">
        <f t="shared" si="273"/>
        <v>.</v>
      </c>
      <c r="AW1212" s="180">
        <f>IFERROR(VLOOKUP(B1212,'Share, Heavy Weapons to Ukraine'!B:J,COLUMN('Share, Heavy Weapons to Ukraine'!C1222)-1,0),0)</f>
        <v>1</v>
      </c>
      <c r="AX1212" s="180">
        <f>VLOOKUP('Bilateral Assistance, MAIN DATA'!B1212,'Country Summary'!B:F,COLUMN('Country Summary'!C1225)-1,FALSE)</f>
        <v>0</v>
      </c>
      <c r="AY1212" s="180" t="str">
        <f>IF(AND(AD1212=1,D1212="Military",H1212&lt;&gt;"Not given")=TRUE,IF(SUMIFS(P:P,A:A,A1212)&gt;0,ABS((SUMIFS(P:P,A:A,A1212)/VLOOKUP("USD",'Exchange Rates'!B:C,2,0)))/S1212,"."),".")</f>
        <v>.</v>
      </c>
      <c r="AZ1212" s="182" t="str">
        <f>IF(AND(AD1212=1,D1212="Military",H1212&lt;&gt;"Not given")=TRUE,IF(SUMIFS(P:P,A:A,A1212)&gt;0,IF((ABS((SUMIFS(P:P,A:A,A1212)/VLOOKUP("USD",'Exchange Rates'!B:C,2,0)))/S1212)&gt;1,(SUMIFS(P:P,A:A,A1212)-S1212)/S1212,(S1212-SUMIFS(P:P,A:A,A1212))/SUMIFS(P:P,A:A,A1212)),"."),".")</f>
        <v>.</v>
      </c>
      <c r="BA1212" s="182"/>
      <c r="BB1212" s="182"/>
      <c r="BC1212" s="182"/>
      <c r="BD1212" s="182"/>
      <c r="BE1212" s="182"/>
      <c r="BF1212" s="182"/>
      <c r="BG1212" s="182"/>
      <c r="BH1212" s="182"/>
      <c r="BI1212" s="182"/>
      <c r="BJ1212" s="182"/>
      <c r="BK1212" s="182"/>
      <c r="BL1212" s="182"/>
      <c r="BM1212" s="182"/>
      <c r="BN1212" s="182"/>
      <c r="BO1212" s="182"/>
      <c r="BP1212" s="182"/>
      <c r="BQ1212" s="182"/>
      <c r="BR1212" s="182"/>
      <c r="BS1212" s="182"/>
    </row>
    <row r="1213" spans="1:71" ht="15.9" customHeight="1" x14ac:dyDescent="0.3">
      <c r="A1213" s="5" t="s">
        <v>3065</v>
      </c>
      <c r="B1213" s="19" t="s">
        <v>3038</v>
      </c>
      <c r="C1213" s="555">
        <v>44819</v>
      </c>
      <c r="D1213" s="19" t="s">
        <v>285</v>
      </c>
      <c r="E1213" s="5" t="s">
        <v>1328</v>
      </c>
      <c r="F1213" s="175" t="s">
        <v>3281</v>
      </c>
      <c r="G1213" s="15" t="s">
        <v>346</v>
      </c>
      <c r="H1213" s="200">
        <v>600000000</v>
      </c>
      <c r="I1213" s="19" t="s">
        <v>2259</v>
      </c>
      <c r="J1213" s="113" t="str">
        <f>VLOOKUP($I1213,'Price List, Weapons &amp; Items'!B:C,2,0)</f>
        <v>Military equipment</v>
      </c>
      <c r="K1213" s="113" t="str">
        <f>IF(I1213=".",I1213,VLOOKUP($I1213,'Price List, Weapons &amp; Items'!B:D,3,0))</f>
        <v>Military equipment</v>
      </c>
      <c r="L1213" s="177">
        <f>VLOOKUP(I1213,'Price List, Weapons &amp; Items'!B:E,4,0)</f>
        <v>0</v>
      </c>
      <c r="M1213" s="247" t="s">
        <v>270</v>
      </c>
      <c r="N1213" s="542" t="s">
        <v>270</v>
      </c>
      <c r="O1213" s="543">
        <f>VLOOKUP($I1213,'Price List, Weapons &amp; Items'!B:G,6,0)</f>
        <v>2320</v>
      </c>
      <c r="P1213" s="176" t="str">
        <f t="shared" si="274"/>
        <v>.</v>
      </c>
      <c r="Q1213" s="176" t="str">
        <f t="shared" si="275"/>
        <v>.</v>
      </c>
      <c r="R1213" s="176" t="str">
        <f t="shared" si="277"/>
        <v/>
      </c>
      <c r="S1213" s="176" t="str">
        <f>IF(AND(AD1213=1,R1213&lt;&gt;".")=TRUE,R1213/VLOOKUP(G1213,'Exchange Rates'!B:C,2,0),IF(R1213=".",".",""))</f>
        <v/>
      </c>
      <c r="T1213" s="176" t="str">
        <f>IF(AD1213=1,IF(AF1213="Value is not given at all",".",IF(AF1213="Value is given by the source",S1213,IF(AF1213="Value is calculated with prices",(IF(SUMIFS(Q:Q,A:A,A1213)&gt;0,SUMIFS(Q:Q,A:A,A1213),"."))/VLOOKUP("USD",'Exchange Rates'!B:C,2,0),"Error with coding"))),"")</f>
        <v/>
      </c>
      <c r="U1213" s="15" t="s">
        <v>261</v>
      </c>
      <c r="V1213" s="304" t="s">
        <v>3282</v>
      </c>
      <c r="W1213" s="667" t="s">
        <v>3044</v>
      </c>
      <c r="X1213" s="667" t="s">
        <v>3047</v>
      </c>
      <c r="Y1213" s="667" t="s">
        <v>3297</v>
      </c>
      <c r="Z1213" s="199">
        <v>0</v>
      </c>
      <c r="AA1213" s="180">
        <v>0</v>
      </c>
      <c r="AB1213" s="667" t="s">
        <v>3298</v>
      </c>
      <c r="AC1213" s="544" t="str">
        <f>""</f>
        <v/>
      </c>
      <c r="AD1213" s="183">
        <v>0</v>
      </c>
      <c r="AE1213" s="586" t="s">
        <v>264</v>
      </c>
      <c r="AF1213" s="181" t="s">
        <v>264</v>
      </c>
      <c r="AG1213" s="183">
        <v>1</v>
      </c>
      <c r="AH1213" s="183">
        <v>9</v>
      </c>
      <c r="AI1213" s="183">
        <v>0</v>
      </c>
      <c r="AJ1213" s="181">
        <f>VLOOKUP($I1213,'Price List, Weapons &amp; Items'!B:F,5,0)</f>
        <v>0</v>
      </c>
      <c r="AK1213" s="181">
        <f t="shared" si="278"/>
        <v>0</v>
      </c>
      <c r="AL1213" s="181">
        <f t="shared" si="279"/>
        <v>0</v>
      </c>
      <c r="AM1213" s="181">
        <f t="shared" si="280"/>
        <v>0</v>
      </c>
      <c r="AN1213" s="180" t="str">
        <f>VLOOKUP($I1213,'Price List, Weapons &amp; Items'!B:L,COLUMN('Price List, Weapons &amp; Items'!$J$11)-1,0)</f>
        <v>Media reports (incl. social media)</v>
      </c>
      <c r="AO1213" s="180" t="str">
        <f>IF(I1213=".",".",VLOOKUP($I1213,'Price List, Weapons &amp; Items'!B:J,3,0))</f>
        <v>Military equipment</v>
      </c>
      <c r="AP1213" s="545" t="str">
        <f t="shared" ca="1" si="276"/>
        <v/>
      </c>
      <c r="AQ1213" s="180">
        <f>VLOOKUP($I1213,'Price List, Weapons &amp; Items'!B:L,COLUMN('Price List, Weapons &amp; Items'!$L$11)-1,0)</f>
        <v>2</v>
      </c>
      <c r="AR1213" s="180">
        <f t="shared" si="281"/>
        <v>1</v>
      </c>
      <c r="AS1213" s="180">
        <f t="shared" si="282"/>
        <v>1</v>
      </c>
      <c r="AT1213" s="180">
        <f t="shared" si="271"/>
        <v>1</v>
      </c>
      <c r="AU1213" s="180" t="str">
        <f t="shared" si="272"/>
        <v>.</v>
      </c>
      <c r="AV1213" s="180" t="str">
        <f t="shared" si="273"/>
        <v>.</v>
      </c>
      <c r="AW1213" s="180">
        <f>IFERROR(VLOOKUP(B1213,'Share, Heavy Weapons to Ukraine'!B:J,COLUMN('Share, Heavy Weapons to Ukraine'!C1223)-1,0),0)</f>
        <v>1</v>
      </c>
      <c r="AX1213" s="180">
        <f>VLOOKUP('Bilateral Assistance, MAIN DATA'!B1213,'Country Summary'!B:F,COLUMN('Country Summary'!C1226)-1,FALSE)</f>
        <v>0</v>
      </c>
      <c r="AY1213" s="180" t="str">
        <f>IF(AND(AD1213=1,D1213="Military",H1213&lt;&gt;"Not given")=TRUE,IF(SUMIFS(P:P,A:A,A1213)&gt;0,ABS((SUMIFS(P:P,A:A,A1213)/VLOOKUP("USD",'Exchange Rates'!B:C,2,0)))/S1213,"."),".")</f>
        <v>.</v>
      </c>
      <c r="AZ1213" s="182" t="str">
        <f>IF(AND(AD1213=1,D1213="Military",H1213&lt;&gt;"Not given")=TRUE,IF(SUMIFS(P:P,A:A,A1213)&gt;0,IF((ABS((SUMIFS(P:P,A:A,A1213)/VLOOKUP("USD",'Exchange Rates'!B:C,2,0)))/S1213)&gt;1,(SUMIFS(P:P,A:A,A1213)-S1213)/S1213,(S1213-SUMIFS(P:P,A:A,A1213))/SUMIFS(P:P,A:A,A1213)),"."),".")</f>
        <v>.</v>
      </c>
      <c r="BA1213" s="182"/>
      <c r="BB1213" s="182"/>
      <c r="BC1213" s="182"/>
      <c r="BD1213" s="182"/>
      <c r="BE1213" s="182"/>
      <c r="BF1213" s="182"/>
      <c r="BG1213" s="182"/>
      <c r="BH1213" s="182"/>
      <c r="BI1213" s="182"/>
      <c r="BJ1213" s="182"/>
      <c r="BK1213" s="182"/>
      <c r="BL1213" s="182"/>
      <c r="BM1213" s="182"/>
      <c r="BN1213" s="182"/>
      <c r="BO1213" s="182"/>
      <c r="BP1213" s="182"/>
      <c r="BQ1213" s="182"/>
      <c r="BR1213" s="182"/>
      <c r="BS1213" s="182"/>
    </row>
    <row r="1214" spans="1:71" ht="15.9" customHeight="1" x14ac:dyDescent="0.3">
      <c r="A1214" s="5" t="s">
        <v>3065</v>
      </c>
      <c r="B1214" s="19" t="s">
        <v>3038</v>
      </c>
      <c r="C1214" s="555">
        <v>44819</v>
      </c>
      <c r="D1214" s="19" t="s">
        <v>285</v>
      </c>
      <c r="E1214" s="5" t="s">
        <v>1328</v>
      </c>
      <c r="F1214" s="175" t="s">
        <v>3281</v>
      </c>
      <c r="G1214" s="15" t="s">
        <v>346</v>
      </c>
      <c r="H1214" s="200">
        <v>600000000</v>
      </c>
      <c r="I1214" s="19" t="s">
        <v>3299</v>
      </c>
      <c r="J1214" s="113" t="str">
        <f>VLOOKUP($I1214,'Price List, Weapons &amp; Items'!B:C,2,0)</f>
        <v>Military equipment</v>
      </c>
      <c r="K1214" s="113" t="str">
        <f>IF(I1214=".",I1214,VLOOKUP($I1214,'Price List, Weapons &amp; Items'!B:D,3,0))</f>
        <v>Military equipment</v>
      </c>
      <c r="L1214" s="177">
        <f>VLOOKUP(I1214,'Price List, Weapons &amp; Items'!B:E,4,0)</f>
        <v>0</v>
      </c>
      <c r="M1214" s="247" t="s">
        <v>270</v>
      </c>
      <c r="N1214" s="542" t="s">
        <v>270</v>
      </c>
      <c r="O1214" s="543" t="str">
        <f>VLOOKUP($I1214,'Price List, Weapons &amp; Items'!B:G,6,0)</f>
        <v>.</v>
      </c>
      <c r="P1214" s="176" t="str">
        <f t="shared" si="274"/>
        <v>.</v>
      </c>
      <c r="Q1214" s="176" t="str">
        <f t="shared" si="275"/>
        <v>.</v>
      </c>
      <c r="R1214" s="176" t="str">
        <f t="shared" si="277"/>
        <v/>
      </c>
      <c r="S1214" s="176" t="str">
        <f>IF(AND(AD1214=1,R1214&lt;&gt;".")=TRUE,R1214/VLOOKUP(G1214,'Exchange Rates'!B:C,2,0),IF(R1214=".",".",""))</f>
        <v/>
      </c>
      <c r="T1214" s="176" t="str">
        <f>IF(AD1214=1,IF(AF1214="Value is not given at all",".",IF(AF1214="Value is given by the source",S1214,IF(AF1214="Value is calculated with prices",(IF(SUMIFS(Q:Q,A:A,A1214)&gt;0,SUMIFS(Q:Q,A:A,A1214),"."))/VLOOKUP("USD",'Exchange Rates'!B:C,2,0),"Error with coding"))),"")</f>
        <v/>
      </c>
      <c r="U1214" s="15" t="s">
        <v>261</v>
      </c>
      <c r="V1214" s="304" t="s">
        <v>3282</v>
      </c>
      <c r="W1214" s="667" t="s">
        <v>3044</v>
      </c>
      <c r="X1214" s="667" t="s">
        <v>3047</v>
      </c>
      <c r="Y1214" s="667" t="s">
        <v>3298</v>
      </c>
      <c r="Z1214" s="199">
        <v>0</v>
      </c>
      <c r="AA1214" s="180">
        <v>0</v>
      </c>
      <c r="AB1214" s="667" t="s">
        <v>3300</v>
      </c>
      <c r="AC1214" s="544" t="str">
        <f>""</f>
        <v/>
      </c>
      <c r="AD1214" s="183">
        <v>0</v>
      </c>
      <c r="AE1214" s="586" t="s">
        <v>264</v>
      </c>
      <c r="AF1214" s="181" t="s">
        <v>264</v>
      </c>
      <c r="AG1214" s="183">
        <v>1</v>
      </c>
      <c r="AH1214" s="183">
        <v>9</v>
      </c>
      <c r="AI1214" s="183">
        <v>0</v>
      </c>
      <c r="AJ1214" s="181">
        <f>VLOOKUP($I1214,'Price List, Weapons &amp; Items'!B:F,5,0)</f>
        <v>0</v>
      </c>
      <c r="AK1214" s="181">
        <f t="shared" si="278"/>
        <v>0</v>
      </c>
      <c r="AL1214" s="181">
        <f t="shared" si="279"/>
        <v>0</v>
      </c>
      <c r="AM1214" s="181">
        <f t="shared" si="280"/>
        <v>0</v>
      </c>
      <c r="AN1214" s="180" t="str">
        <f>VLOOKUP($I1214,'Price List, Weapons &amp; Items'!B:L,COLUMN('Price List, Weapons &amp; Items'!$J$11)-1,0)</f>
        <v>.</v>
      </c>
      <c r="AO1214" s="180" t="str">
        <f>IF(I1214=".",".",VLOOKUP($I1214,'Price List, Weapons &amp; Items'!B:J,3,0))</f>
        <v>Military equipment</v>
      </c>
      <c r="AP1214" s="545" t="str">
        <f t="shared" ca="1" si="276"/>
        <v/>
      </c>
      <c r="AQ1214" s="180" t="str">
        <f>VLOOKUP($I1214,'Price List, Weapons &amp; Items'!B:L,COLUMN('Price List, Weapons &amp; Items'!$L$11)-1,0)</f>
        <v>no price, 0 count</v>
      </c>
      <c r="AR1214" s="180">
        <f t="shared" si="281"/>
        <v>1</v>
      </c>
      <c r="AS1214" s="180">
        <f t="shared" si="282"/>
        <v>1</v>
      </c>
      <c r="AT1214" s="180">
        <f t="shared" si="271"/>
        <v>1</v>
      </c>
      <c r="AU1214" s="180" t="str">
        <f t="shared" si="272"/>
        <v>.</v>
      </c>
      <c r="AV1214" s="180" t="str">
        <f t="shared" si="273"/>
        <v>.</v>
      </c>
      <c r="AW1214" s="180">
        <f>IFERROR(VLOOKUP(B1214,'Share, Heavy Weapons to Ukraine'!B:J,COLUMN('Share, Heavy Weapons to Ukraine'!C1224)-1,0),0)</f>
        <v>1</v>
      </c>
      <c r="AX1214" s="180">
        <f>VLOOKUP('Bilateral Assistance, MAIN DATA'!B1214,'Country Summary'!B:F,COLUMN('Country Summary'!C1227)-1,FALSE)</f>
        <v>0</v>
      </c>
      <c r="AY1214" s="180" t="str">
        <f>IF(AND(AD1214=1,D1214="Military",H1214&lt;&gt;"Not given")=TRUE,IF(SUMIFS(P:P,A:A,A1214)&gt;0,ABS((SUMIFS(P:P,A:A,A1214)/VLOOKUP("USD",'Exchange Rates'!B:C,2,0)))/S1214,"."),".")</f>
        <v>.</v>
      </c>
      <c r="AZ1214" s="182" t="str">
        <f>IF(AND(AD1214=1,D1214="Military",H1214&lt;&gt;"Not given")=TRUE,IF(SUMIFS(P:P,A:A,A1214)&gt;0,IF((ABS((SUMIFS(P:P,A:A,A1214)/VLOOKUP("USD",'Exchange Rates'!B:C,2,0)))/S1214)&gt;1,(SUMIFS(P:P,A:A,A1214)-S1214)/S1214,(S1214-SUMIFS(P:P,A:A,A1214))/SUMIFS(P:P,A:A,A1214)),"."),".")</f>
        <v>.</v>
      </c>
      <c r="BA1214" s="182"/>
      <c r="BB1214" s="182"/>
      <c r="BC1214" s="182"/>
      <c r="BD1214" s="182"/>
      <c r="BE1214" s="182"/>
      <c r="BF1214" s="182"/>
      <c r="BG1214" s="182"/>
      <c r="BH1214" s="182"/>
      <c r="BI1214" s="182"/>
      <c r="BJ1214" s="182"/>
      <c r="BK1214" s="182"/>
      <c r="BL1214" s="182"/>
      <c r="BM1214" s="182"/>
      <c r="BN1214" s="182"/>
      <c r="BO1214" s="182"/>
      <c r="BP1214" s="182"/>
      <c r="BQ1214" s="182"/>
      <c r="BR1214" s="182"/>
      <c r="BS1214" s="182"/>
    </row>
    <row r="1215" spans="1:71" ht="15.9" customHeight="1" x14ac:dyDescent="0.3">
      <c r="A1215" s="5" t="s">
        <v>3065</v>
      </c>
      <c r="B1215" s="19" t="s">
        <v>3038</v>
      </c>
      <c r="C1215" s="555">
        <v>44819</v>
      </c>
      <c r="D1215" s="19" t="s">
        <v>285</v>
      </c>
      <c r="E1215" s="5" t="s">
        <v>1328</v>
      </c>
      <c r="F1215" s="175" t="s">
        <v>3281</v>
      </c>
      <c r="G1215" s="15" t="s">
        <v>346</v>
      </c>
      <c r="H1215" s="200">
        <v>600000000</v>
      </c>
      <c r="I1215" s="19" t="s">
        <v>3279</v>
      </c>
      <c r="J1215" s="113" t="str">
        <f>VLOOKUP($I1215,'Price List, Weapons &amp; Items'!B:C,2,0)</f>
        <v>Military equipment</v>
      </c>
      <c r="K1215" s="113" t="str">
        <f>IF(I1215=".",I1215,VLOOKUP($I1215,'Price List, Weapons &amp; Items'!B:D,3,0))</f>
        <v>Military equipment</v>
      </c>
      <c r="L1215" s="177">
        <f>VLOOKUP(I1215,'Price List, Weapons &amp; Items'!B:E,4,0)</f>
        <v>0</v>
      </c>
      <c r="M1215" s="247" t="s">
        <v>270</v>
      </c>
      <c r="N1215" s="542" t="s">
        <v>270</v>
      </c>
      <c r="O1215" s="543" t="str">
        <f>VLOOKUP($I1215,'Price List, Weapons &amp; Items'!B:G,6,0)</f>
        <v>.</v>
      </c>
      <c r="P1215" s="176" t="str">
        <f t="shared" si="274"/>
        <v>.</v>
      </c>
      <c r="Q1215" s="176" t="str">
        <f t="shared" si="275"/>
        <v>.</v>
      </c>
      <c r="R1215" s="176" t="str">
        <f t="shared" si="277"/>
        <v/>
      </c>
      <c r="S1215" s="176" t="str">
        <f>IF(AND(AD1215=1,R1215&lt;&gt;".")=TRUE,R1215/VLOOKUP(G1215,'Exchange Rates'!B:C,2,0),IF(R1215=".",".",""))</f>
        <v/>
      </c>
      <c r="T1215" s="176" t="str">
        <f>IF(AD1215=1,IF(AF1215="Value is not given at all",".",IF(AF1215="Value is given by the source",S1215,IF(AF1215="Value is calculated with prices",(IF(SUMIFS(Q:Q,A:A,A1215)&gt;0,SUMIFS(Q:Q,A:A,A1215),"."))/VLOOKUP("USD",'Exchange Rates'!B:C,2,0),"Error with coding"))),"")</f>
        <v/>
      </c>
      <c r="U1215" s="15" t="s">
        <v>261</v>
      </c>
      <c r="V1215" s="304" t="s">
        <v>3282</v>
      </c>
      <c r="W1215" s="667" t="s">
        <v>3044</v>
      </c>
      <c r="X1215" s="667" t="s">
        <v>3047</v>
      </c>
      <c r="Y1215" s="667" t="s">
        <v>3300</v>
      </c>
      <c r="Z1215" s="199">
        <v>0</v>
      </c>
      <c r="AA1215" s="180">
        <v>0</v>
      </c>
      <c r="AB1215" s="667" t="s">
        <v>3301</v>
      </c>
      <c r="AC1215" s="544" t="str">
        <f>""</f>
        <v/>
      </c>
      <c r="AD1215" s="183">
        <v>0</v>
      </c>
      <c r="AE1215" s="586" t="s">
        <v>264</v>
      </c>
      <c r="AF1215" s="181" t="s">
        <v>264</v>
      </c>
      <c r="AG1215" s="183">
        <v>1</v>
      </c>
      <c r="AH1215" s="183">
        <v>9</v>
      </c>
      <c r="AI1215" s="183">
        <v>0</v>
      </c>
      <c r="AJ1215" s="181">
        <f>VLOOKUP($I1215,'Price List, Weapons &amp; Items'!B:F,5,0)</f>
        <v>0</v>
      </c>
      <c r="AK1215" s="181">
        <f t="shared" si="278"/>
        <v>0</v>
      </c>
      <c r="AL1215" s="181">
        <f t="shared" si="279"/>
        <v>0</v>
      </c>
      <c r="AM1215" s="181">
        <f t="shared" si="280"/>
        <v>0</v>
      </c>
      <c r="AN1215" s="180" t="str">
        <f>VLOOKUP($I1215,'Price List, Weapons &amp; Items'!B:L,COLUMN('Price List, Weapons &amp; Items'!$J$11)-1,0)</f>
        <v>.</v>
      </c>
      <c r="AO1215" s="180" t="str">
        <f>IF(I1215=".",".",VLOOKUP($I1215,'Price List, Weapons &amp; Items'!B:J,3,0))</f>
        <v>Military equipment</v>
      </c>
      <c r="AP1215" s="545" t="str">
        <f t="shared" ca="1" si="276"/>
        <v/>
      </c>
      <c r="AQ1215" s="180" t="str">
        <f>VLOOKUP($I1215,'Price List, Weapons &amp; Items'!B:L,COLUMN('Price List, Weapons &amp; Items'!$L$11)-1,0)</f>
        <v>no price, 0 count</v>
      </c>
      <c r="AR1215" s="180">
        <f t="shared" si="281"/>
        <v>1</v>
      </c>
      <c r="AS1215" s="180">
        <f t="shared" si="282"/>
        <v>1</v>
      </c>
      <c r="AT1215" s="180">
        <f t="shared" si="271"/>
        <v>1</v>
      </c>
      <c r="AU1215" s="180" t="str">
        <f t="shared" si="272"/>
        <v>.</v>
      </c>
      <c r="AV1215" s="180" t="str">
        <f t="shared" si="273"/>
        <v>.</v>
      </c>
      <c r="AW1215" s="180">
        <f>IFERROR(VLOOKUP(B1215,'Share, Heavy Weapons to Ukraine'!B:J,COLUMN('Share, Heavy Weapons to Ukraine'!C1225)-1,0),0)</f>
        <v>1</v>
      </c>
      <c r="AX1215" s="180">
        <f>VLOOKUP('Bilateral Assistance, MAIN DATA'!B1215,'Country Summary'!B:F,COLUMN('Country Summary'!C1228)-1,FALSE)</f>
        <v>0</v>
      </c>
      <c r="AY1215" s="180" t="str">
        <f>IF(AND(AD1215=1,D1215="Military",H1215&lt;&gt;"Not given")=TRUE,IF(SUMIFS(P:P,A:A,A1215)&gt;0,ABS((SUMIFS(P:P,A:A,A1215)/VLOOKUP("USD",'Exchange Rates'!B:C,2,0)))/S1215,"."),".")</f>
        <v>.</v>
      </c>
      <c r="AZ1215" s="182" t="str">
        <f>IF(AND(AD1215=1,D1215="Military",H1215&lt;&gt;"Not given")=TRUE,IF(SUMIFS(P:P,A:A,A1215)&gt;0,IF((ABS((SUMIFS(P:P,A:A,A1215)/VLOOKUP("USD",'Exchange Rates'!B:C,2,0)))/S1215)&gt;1,(SUMIFS(P:P,A:A,A1215)-S1215)/S1215,(S1215-SUMIFS(P:P,A:A,A1215))/SUMIFS(P:P,A:A,A1215)),"."),".")</f>
        <v>.</v>
      </c>
      <c r="BA1215" s="182"/>
      <c r="BB1215" s="182"/>
      <c r="BC1215" s="182"/>
      <c r="BD1215" s="182"/>
      <c r="BE1215" s="182"/>
      <c r="BF1215" s="182"/>
      <c r="BG1215" s="182"/>
      <c r="BH1215" s="182"/>
      <c r="BI1215" s="182"/>
      <c r="BJ1215" s="182"/>
      <c r="BK1215" s="182"/>
      <c r="BL1215" s="182"/>
      <c r="BM1215" s="182"/>
      <c r="BN1215" s="182"/>
      <c r="BO1215" s="182"/>
      <c r="BP1215" s="182"/>
      <c r="BQ1215" s="182"/>
      <c r="BR1215" s="182"/>
      <c r="BS1215" s="182"/>
    </row>
    <row r="1216" spans="1:71" s="523" customFormat="1" ht="15.9" customHeight="1" x14ac:dyDescent="0.3">
      <c r="A1216" s="5" t="s">
        <v>3302</v>
      </c>
      <c r="B1216" s="5" t="s">
        <v>3038</v>
      </c>
      <c r="C1216" s="174">
        <v>44676</v>
      </c>
      <c r="D1216" s="5" t="s">
        <v>285</v>
      </c>
      <c r="E1216" s="19" t="s">
        <v>286</v>
      </c>
      <c r="F1216" s="175" t="s">
        <v>3303</v>
      </c>
      <c r="G1216" s="15" t="s">
        <v>346</v>
      </c>
      <c r="H1216" s="176">
        <v>1547000000</v>
      </c>
      <c r="I1216" s="185" t="s">
        <v>260</v>
      </c>
      <c r="J1216" s="113" t="str">
        <f>VLOOKUP($I1216,'Price List, Weapons &amp; Items'!B:C,2,0)</f>
        <v>.</v>
      </c>
      <c r="K1216" s="113" t="str">
        <f>IF(I1216=".",I1216,VLOOKUP($I1216,'Price List, Weapons &amp; Items'!B:D,3,0))</f>
        <v>.</v>
      </c>
      <c r="L1216" s="177">
        <f>VLOOKUP(I1216,'Price List, Weapons &amp; Items'!B:E,4,0)</f>
        <v>0</v>
      </c>
      <c r="M1216" s="542" t="s">
        <v>260</v>
      </c>
      <c r="N1216" s="542" t="s">
        <v>260</v>
      </c>
      <c r="O1216" s="543" t="str">
        <f>VLOOKUP($I1216,'Price List, Weapons &amp; Items'!B:G,6,0)</f>
        <v>.</v>
      </c>
      <c r="P1216" s="176" t="str">
        <f t="shared" ref="P1216" si="283">IF(TYPE(M1216)=1,IF(TYPE(O1216)=1,M1216*O1216,"No price"),".")</f>
        <v>.</v>
      </c>
      <c r="Q1216" s="176" t="str">
        <f t="shared" ref="Q1216" si="284">IF(TYPE(N1216)=1,IF(TYPE(O1216)=1,N1216*O1216,"No price"),".")</f>
        <v>.</v>
      </c>
      <c r="R1216" s="176">
        <f t="shared" si="277"/>
        <v>1547000000</v>
      </c>
      <c r="S1216" s="176">
        <f>IF(AND(AD1216=1,R1216&lt;&gt;".")=TRUE,R1216/VLOOKUP(G1216,'Exchange Rates'!B:C,2,0),IF(R1216=".",".",""))</f>
        <v>1473333333.3333333</v>
      </c>
      <c r="T1216" s="176" t="str">
        <f>IF(AD1216=1,IF(AF1216="Value is not given at all",".",IF(AF1216="Value is given by the source",S1216,IF(AF1216="Value is calculated with prices",(IF(SUMIFS(Q:Q,A:A,A1216)&gt;0,SUMIFS(Q:Q,A:A,A1216),"."))/VLOOKUP("USD",'Exchange Rates'!B:C,2,0),"Error with coding"))),"")</f>
        <v>.</v>
      </c>
      <c r="U1216" s="15" t="s">
        <v>261</v>
      </c>
      <c r="V1216" s="636" t="s">
        <v>3044</v>
      </c>
      <c r="W1216" s="667" t="s">
        <v>3047</v>
      </c>
      <c r="X1216" s="667" t="s">
        <v>3300</v>
      </c>
      <c r="Y1216" s="175" t="s">
        <v>260</v>
      </c>
      <c r="Z1216" s="15">
        <v>0</v>
      </c>
      <c r="AA1216" s="180">
        <v>0</v>
      </c>
      <c r="AB1216" s="17" t="s">
        <v>260</v>
      </c>
      <c r="AC1216" s="544" t="str">
        <f>""</f>
        <v/>
      </c>
      <c r="AD1216" s="183">
        <v>1</v>
      </c>
      <c r="AE1216" s="183" t="s">
        <v>264</v>
      </c>
      <c r="AF1216" s="183" t="s">
        <v>265</v>
      </c>
      <c r="AG1216" s="183">
        <v>1</v>
      </c>
      <c r="AH1216" s="183">
        <v>4</v>
      </c>
      <c r="AI1216" s="183">
        <v>0</v>
      </c>
      <c r="AJ1216" s="181">
        <f>VLOOKUP($I1216,'Price List, Weapons &amp; Items'!B:F,5,0)</f>
        <v>0</v>
      </c>
      <c r="AK1216" s="181">
        <f t="shared" ref="AK1216" si="285">IF(AND(AJ1216=1,M1216="undisclosed")=TRUE,1,0)</f>
        <v>0</v>
      </c>
      <c r="AL1216" s="181">
        <f t="shared" ref="AL1216" si="286">IF(AND(AJ1216=1,N1216="undisclosed")=TRUE,1,0)</f>
        <v>0</v>
      </c>
      <c r="AM1216" s="181">
        <f t="shared" ref="AM1216" si="287">IFERROR(IF(SEARCH("ammuni",I1216,1)&gt;0,1,0),0)</f>
        <v>0</v>
      </c>
      <c r="AN1216" s="180" t="str">
        <f>VLOOKUP($I1216,'Price List, Weapons &amp; Items'!B:L,COLUMN('Price List, Weapons &amp; Items'!$J$11)-1,0)</f>
        <v>.</v>
      </c>
      <c r="AO1216" s="180" t="str">
        <f>IF(I1216=".",".",VLOOKUP($I1216,'Price List, Weapons &amp; Items'!B:J,3,0))</f>
        <v>.</v>
      </c>
      <c r="AP1216" s="545" t="e">
        <f t="shared" ca="1" si="276"/>
        <v>#NAME?</v>
      </c>
      <c r="AQ1216" s="180" t="str">
        <f>VLOOKUP($I1216,'Price List, Weapons &amp; Items'!B:L,COLUMN('Price List, Weapons &amp; Items'!$L$11)-1,0)</f>
        <v>no price, 0 count</v>
      </c>
      <c r="AR1216" s="180">
        <f t="shared" ref="AR1216" si="288">IF(U1216="Yes",1,0)</f>
        <v>1</v>
      </c>
      <c r="AS1216" s="180">
        <f t="shared" ref="AS1216" si="289">IF(D1216="Military",IF(OR(IFERROR(SEARCH("equipment",E1216,1),0)&gt;0,IFERROR(SEARCH("weapons",E1216,1),0)&gt;0),1,0),0)</f>
        <v>1</v>
      </c>
      <c r="AT1216" s="180">
        <f t="shared" ref="AT1216:AT1279" si="290">IFERROR(IF(VALUE(TEXT(C1216,"mm"))=AH1216,".",IF(TEXT(C1216,"mm")="01",".",1)),"Value is not in date format")</f>
        <v>1</v>
      </c>
      <c r="AU1216" s="180" t="str">
        <f t="shared" si="272"/>
        <v>.</v>
      </c>
      <c r="AV1216" s="180" t="str">
        <f t="shared" si="273"/>
        <v>.</v>
      </c>
      <c r="AW1216" s="180">
        <f>IFERROR(VLOOKUP(B1216,'Share, Heavy Weapons to Ukraine'!B:J,COLUMN('Share, Heavy Weapons to Ukraine'!C1226)-1,0),0)</f>
        <v>1</v>
      </c>
      <c r="AX1216" s="180">
        <f>VLOOKUP('Bilateral Assistance, MAIN DATA'!B1216,'Country Summary'!B:F,COLUMN('Country Summary'!C1229)-1,FALSE)</f>
        <v>0</v>
      </c>
      <c r="AY1216" s="180">
        <f>IF(AND(AD1216=1,D1216="Military",H1216&lt;&gt;"Not given")=TRUE,IF(SUMIFS(P:P,A:A,A1216)&gt;0,ABS((SUMIFS(P:P,A:A,A1216)/VLOOKUP("USD",'Exchange Rates'!B:C,2,0)))/S1216,"."),".")</f>
        <v>0.17429864253393665</v>
      </c>
      <c r="AZ1216" s="182">
        <f>IF(AND(AD1216=1,D1216="Military",H1216&lt;&gt;"Not given")=TRUE,IF(SUMIFS(P:P,A:A,A1216)&gt;0,IF((ABS((SUMIFS(P:P,A:A,A1216)/VLOOKUP("USD",'Exchange Rates'!B:C,2,0)))/S1216)&gt;1,(SUMIFS(P:P,A:A,A1216)-S1216)/S1216,(S1216-SUMIFS(P:P,A:A,A1216))/SUMIFS(P:P,A:A,A1216)),"."),".")</f>
        <v>4.4640755575335014</v>
      </c>
      <c r="BA1216" s="182"/>
      <c r="BB1216" s="182"/>
      <c r="BC1216" s="182"/>
      <c r="BD1216" s="182"/>
      <c r="BE1216" s="182"/>
      <c r="BF1216" s="182"/>
      <c r="BG1216" s="182"/>
      <c r="BH1216" s="182"/>
      <c r="BI1216" s="182"/>
      <c r="BJ1216" s="182"/>
      <c r="BK1216" s="182"/>
      <c r="BL1216" s="182"/>
      <c r="BM1216" s="182"/>
      <c r="BN1216" s="182"/>
      <c r="BO1216" s="861"/>
      <c r="BP1216" s="861"/>
      <c r="BQ1216" s="861"/>
      <c r="BR1216" s="861"/>
      <c r="BS1216" s="861"/>
    </row>
    <row r="1217" spans="1:71" s="523" customFormat="1" ht="15.9" customHeight="1" x14ac:dyDescent="0.3">
      <c r="A1217" s="5" t="s">
        <v>3302</v>
      </c>
      <c r="B1217" s="5" t="s">
        <v>3038</v>
      </c>
      <c r="C1217" s="174">
        <v>44676</v>
      </c>
      <c r="D1217" s="5" t="s">
        <v>285</v>
      </c>
      <c r="E1217" s="19" t="s">
        <v>286</v>
      </c>
      <c r="F1217" s="175" t="s">
        <v>3304</v>
      </c>
      <c r="G1217" s="15" t="s">
        <v>346</v>
      </c>
      <c r="H1217" s="176">
        <v>1547000000</v>
      </c>
      <c r="I1217" s="185" t="s">
        <v>3305</v>
      </c>
      <c r="J1217" s="113" t="str">
        <f>VLOOKUP($I1217,'Price List, Weapons &amp; Items'!B:C,2,0)</f>
        <v>Ammunition for heavy weapon</v>
      </c>
      <c r="K1217" s="113" t="str">
        <f>IF(I1217=".",I1217,VLOOKUP($I1217,'Price List, Weapons &amp; Items'!B:D,3,0))</f>
        <v>152mm howitzer ammunition</v>
      </c>
      <c r="L1217" s="177">
        <f>VLOOKUP(I1217,'Price List, Weapons &amp; Items'!B:E,4,0)</f>
        <v>0</v>
      </c>
      <c r="M1217" s="542" t="s">
        <v>270</v>
      </c>
      <c r="N1217" s="542" t="s">
        <v>270</v>
      </c>
      <c r="O1217" s="543">
        <f>VLOOKUP($I1217,'Price List, Weapons &amp; Items'!B:G,6,0)</f>
        <v>3800</v>
      </c>
      <c r="P1217" s="176" t="str">
        <f t="shared" si="274"/>
        <v>.</v>
      </c>
      <c r="Q1217" s="176" t="str">
        <f t="shared" si="275"/>
        <v>.</v>
      </c>
      <c r="R1217" s="176" t="str">
        <f t="shared" si="277"/>
        <v/>
      </c>
      <c r="S1217" s="176" t="str">
        <f>IF(AND(AD1217=1,R1217&lt;&gt;".")=TRUE,R1217/VLOOKUP(G1217,'Exchange Rates'!B:C,2,0),IF(R1217=".",".",""))</f>
        <v/>
      </c>
      <c r="T1217" s="176" t="str">
        <f>IF(AD1217=1,IF(AF1217="Value is not given at all",".",IF(AF1217="Value is given by the source",S1217,IF(AF1217="Value is calculated with prices",(IF(SUMIFS(Q:Q,A:A,A1217)&gt;0,SUMIFS(Q:Q,A:A,A1217),"."))/VLOOKUP("USD",'Exchange Rates'!B:C,2,0),"Error with coding"))),"")</f>
        <v/>
      </c>
      <c r="U1217" s="15" t="s">
        <v>261</v>
      </c>
      <c r="V1217" s="547" t="s">
        <v>3044</v>
      </c>
      <c r="W1217" s="667" t="s">
        <v>3044</v>
      </c>
      <c r="X1217" s="667" t="s">
        <v>3047</v>
      </c>
      <c r="Y1217" s="667" t="s">
        <v>3300</v>
      </c>
      <c r="Z1217" s="15">
        <v>0</v>
      </c>
      <c r="AA1217" s="180">
        <v>0</v>
      </c>
      <c r="AB1217" s="17" t="s">
        <v>260</v>
      </c>
      <c r="AC1217" s="544" t="str">
        <f>""</f>
        <v/>
      </c>
      <c r="AD1217" s="183">
        <v>0</v>
      </c>
      <c r="AE1217" s="183" t="s">
        <v>264</v>
      </c>
      <c r="AF1217" s="183" t="s">
        <v>265</v>
      </c>
      <c r="AG1217" s="183">
        <v>1</v>
      </c>
      <c r="AH1217" s="183">
        <v>4</v>
      </c>
      <c r="AI1217" s="183">
        <v>0</v>
      </c>
      <c r="AJ1217" s="181">
        <f>VLOOKUP($I1217,'Price List, Weapons &amp; Items'!B:F,5,0)</f>
        <v>1</v>
      </c>
      <c r="AK1217" s="181">
        <f t="shared" si="278"/>
        <v>1</v>
      </c>
      <c r="AL1217" s="181">
        <f t="shared" si="279"/>
        <v>1</v>
      </c>
      <c r="AM1217" s="181">
        <f t="shared" si="280"/>
        <v>0</v>
      </c>
      <c r="AN1217" s="180" t="str">
        <f>VLOOKUP($I1217,'Price List, Weapons &amp; Items'!B:L,COLUMN('Price List, Weapons &amp; Items'!$J$11)-1,0)</f>
        <v>Contracts</v>
      </c>
      <c r="AO1217" s="180" t="str">
        <f>IF(I1217=".",".",VLOOKUP($I1217,'Price List, Weapons &amp; Items'!B:J,3,0))</f>
        <v>152mm howitzer ammunition</v>
      </c>
      <c r="AP1217" s="545" t="str">
        <f t="shared" ca="1" si="276"/>
        <v/>
      </c>
      <c r="AQ1217" s="180" t="str">
        <f>VLOOKUP($I1217,'Price List, Weapons &amp; Items'!B:L,COLUMN('Price List, Weapons &amp; Items'!$L$11)-1,0)</f>
        <v>no price, 0 count</v>
      </c>
      <c r="AR1217" s="180">
        <f t="shared" si="281"/>
        <v>1</v>
      </c>
      <c r="AS1217" s="180">
        <f t="shared" si="282"/>
        <v>1</v>
      </c>
      <c r="AT1217" s="180">
        <f t="shared" si="290"/>
        <v>1</v>
      </c>
      <c r="AU1217" s="180" t="s">
        <v>260</v>
      </c>
      <c r="AV1217" s="180" t="str">
        <f t="shared" si="273"/>
        <v>.</v>
      </c>
      <c r="AW1217" s="180">
        <f>IFERROR(VLOOKUP(B1217,'Share, Heavy Weapons to Ukraine'!B:J,COLUMN('Share, Heavy Weapons to Ukraine'!C1227)-1,0),0)</f>
        <v>1</v>
      </c>
      <c r="AX1217" s="180">
        <f>VLOOKUP('Bilateral Assistance, MAIN DATA'!B1217,'Country Summary'!B:F,COLUMN('Country Summary'!C1230)-1,FALSE)</f>
        <v>0</v>
      </c>
      <c r="AY1217" s="180" t="str">
        <f>IF(AND(AD1217=1,D1217="Military",H1217&lt;&gt;"Not given")=TRUE,IF(SUMIFS(P:P,A:A,A1217)&gt;0,ABS((SUMIFS(P:P,A:A,A1217)/VLOOKUP("USD",'Exchange Rates'!B:C,2,0)))/S1217,"."),".")</f>
        <v>.</v>
      </c>
      <c r="AZ1217" s="182" t="str">
        <f>IF(AND(AD1217=1,D1217="Military",H1217&lt;&gt;"Not given")=TRUE,IF(SUMIFS(P:P,A:A,A1217)&gt;0,IF((ABS((SUMIFS(P:P,A:A,A1217)/VLOOKUP("USD",'Exchange Rates'!B:C,2,0)))/S1217)&gt;1,(SUMIFS(P:P,A:A,A1217)-S1217)/S1217,(S1217-SUMIFS(P:P,A:A,A1217))/SUMIFS(P:P,A:A,A1217)),"."),".")</f>
        <v>.</v>
      </c>
      <c r="BA1217" s="182"/>
      <c r="BB1217" s="182"/>
      <c r="BC1217" s="182"/>
      <c r="BD1217" s="182"/>
      <c r="BE1217" s="182"/>
      <c r="BF1217" s="182"/>
      <c r="BG1217" s="182"/>
      <c r="BH1217" s="182"/>
      <c r="BI1217" s="182"/>
      <c r="BJ1217" s="182"/>
      <c r="BK1217" s="182"/>
      <c r="BL1217" s="182"/>
      <c r="BM1217" s="182"/>
      <c r="BN1217" s="182"/>
      <c r="BO1217" s="861"/>
      <c r="BP1217" s="861"/>
      <c r="BQ1217" s="861"/>
      <c r="BR1217" s="861"/>
      <c r="BS1217" s="861"/>
    </row>
    <row r="1218" spans="1:71" ht="15.9" customHeight="1" x14ac:dyDescent="0.3">
      <c r="A1218" s="5" t="s">
        <v>3302</v>
      </c>
      <c r="B1218" s="5" t="s">
        <v>3038</v>
      </c>
      <c r="C1218" s="174">
        <v>44676</v>
      </c>
      <c r="D1218" s="5" t="s">
        <v>285</v>
      </c>
      <c r="E1218" s="19" t="s">
        <v>286</v>
      </c>
      <c r="F1218" s="175" t="s">
        <v>3304</v>
      </c>
      <c r="G1218" s="15" t="s">
        <v>346</v>
      </c>
      <c r="H1218" s="176">
        <v>322000000</v>
      </c>
      <c r="I1218" s="185" t="s">
        <v>3306</v>
      </c>
      <c r="J1218" s="113" t="str">
        <f>VLOOKUP($I1218,'Price List, Weapons &amp; Items'!B:C,2,0)</f>
        <v>Ammunition for heavy weapon</v>
      </c>
      <c r="K1218" s="113" t="str">
        <f>IF(I1218=".",I1218,VLOOKUP($I1218,'Price List, Weapons &amp; Items'!B:D,3,0))</f>
        <v>152mm howitzer ammunition</v>
      </c>
      <c r="L1218" s="177">
        <f>VLOOKUP(I1218,'Price List, Weapons &amp; Items'!B:E,4,0)</f>
        <v>1</v>
      </c>
      <c r="M1218" s="542" t="s">
        <v>270</v>
      </c>
      <c r="N1218" s="542" t="s">
        <v>270</v>
      </c>
      <c r="O1218" s="543">
        <f>VLOOKUP($I1218,'Price List, Weapons &amp; Items'!B:G,6,0)</f>
        <v>3800</v>
      </c>
      <c r="P1218" s="176" t="str">
        <f t="shared" si="274"/>
        <v>.</v>
      </c>
      <c r="Q1218" s="176" t="str">
        <f t="shared" si="275"/>
        <v>.</v>
      </c>
      <c r="R1218" s="176" t="str">
        <f t="shared" si="277"/>
        <v/>
      </c>
      <c r="S1218" s="176" t="str">
        <f>IF(AND(AD1218=1,R1218&lt;&gt;".")=TRUE,R1218/VLOOKUP(G1218,'Exchange Rates'!B:C,2,0),IF(R1218=".",".",""))</f>
        <v/>
      </c>
      <c r="T1218" s="176" t="str">
        <f>IF(AD1218=1,IF(AF1218="Value is not given at all",".",IF(AF1218="Value is given by the source",S1218,IF(AF1218="Value is calculated with prices",(IF(SUMIFS(Q:Q,A:A,A1218)&gt;0,SUMIFS(Q:Q,A:A,A1218),"."))/VLOOKUP("USD",'Exchange Rates'!B:C,2,0),"Error with coding"))),"")</f>
        <v/>
      </c>
      <c r="U1218" s="15" t="s">
        <v>261</v>
      </c>
      <c r="V1218" s="547" t="s">
        <v>3044</v>
      </c>
      <c r="W1218" s="667" t="s">
        <v>3044</v>
      </c>
      <c r="X1218" s="667" t="s">
        <v>3047</v>
      </c>
      <c r="Y1218" s="667" t="s">
        <v>3301</v>
      </c>
      <c r="Z1218" s="15">
        <v>0</v>
      </c>
      <c r="AA1218" s="180">
        <v>0</v>
      </c>
      <c r="AB1218" s="17" t="s">
        <v>260</v>
      </c>
      <c r="AC1218" s="544" t="str">
        <f>""</f>
        <v/>
      </c>
      <c r="AD1218" s="183">
        <v>0</v>
      </c>
      <c r="AE1218" s="183" t="s">
        <v>264</v>
      </c>
      <c r="AF1218" s="183" t="s">
        <v>265</v>
      </c>
      <c r="AG1218" s="183">
        <v>1</v>
      </c>
      <c r="AH1218" s="183">
        <v>4</v>
      </c>
      <c r="AI1218" s="183">
        <v>0</v>
      </c>
      <c r="AJ1218" s="181">
        <f>VLOOKUP($I1218,'Price List, Weapons &amp; Items'!B:F,5,0)</f>
        <v>1</v>
      </c>
      <c r="AK1218" s="181">
        <f t="shared" si="278"/>
        <v>1</v>
      </c>
      <c r="AL1218" s="181">
        <f t="shared" si="279"/>
        <v>1</v>
      </c>
      <c r="AM1218" s="181">
        <f t="shared" si="280"/>
        <v>0</v>
      </c>
      <c r="AN1218" s="180" t="str">
        <f>VLOOKUP($I1218,'Price List, Weapons &amp; Items'!B:L,COLUMN('Price List, Weapons &amp; Items'!$J$11)-1,0)</f>
        <v>Contracts</v>
      </c>
      <c r="AO1218" s="180" t="str">
        <f>IF(I1218=".",".",VLOOKUP($I1218,'Price List, Weapons &amp; Items'!B:J,3,0))</f>
        <v>152mm howitzer ammunition</v>
      </c>
      <c r="AP1218" s="545" t="str">
        <f t="shared" ca="1" si="276"/>
        <v/>
      </c>
      <c r="AQ1218" s="180">
        <f>VLOOKUP($I1218,'Price List, Weapons &amp; Items'!B:L,COLUMN('Price List, Weapons &amp; Items'!$L$11)-1,0)</f>
        <v>2</v>
      </c>
      <c r="AR1218" s="180">
        <f t="shared" si="281"/>
        <v>1</v>
      </c>
      <c r="AS1218" s="180">
        <f t="shared" si="282"/>
        <v>1</v>
      </c>
      <c r="AT1218" s="180">
        <f t="shared" si="290"/>
        <v>1</v>
      </c>
      <c r="AU1218" s="180" t="str">
        <f t="shared" ref="AU1218:AU1281" si="291">IF(AND(A1218=A1217,C1218=C1217)=TRUE,IF(F1218=F1217,".","1"),".")</f>
        <v>.</v>
      </c>
      <c r="AV1218" s="180" t="str">
        <f t="shared" ref="AV1218:AV1281" si="292">IF(T1218&lt;&gt;".",IF(T1218&gt;S1218,1,"."),".")</f>
        <v>.</v>
      </c>
      <c r="AW1218" s="180">
        <f>IFERROR(VLOOKUP(B1218,'Share, Heavy Weapons to Ukraine'!B:J,COLUMN('Share, Heavy Weapons to Ukraine'!C1228)-1,0),0)</f>
        <v>1</v>
      </c>
      <c r="AX1218" s="180">
        <f>VLOOKUP('Bilateral Assistance, MAIN DATA'!B1218,'Country Summary'!B:F,COLUMN('Country Summary'!C1231)-1,FALSE)</f>
        <v>0</v>
      </c>
      <c r="AY1218" s="180" t="str">
        <f>IF(AND(AD1218=1,D1218="Military",H1218&lt;&gt;"Not given")=TRUE,IF(SUMIFS(P:P,A:A,A1218)&gt;0,ABS((SUMIFS(P:P,A:A,A1218)/VLOOKUP("USD",'Exchange Rates'!B:C,2,0)))/S1218,"."),".")</f>
        <v>.</v>
      </c>
      <c r="AZ1218" s="182" t="str">
        <f>IF(AND(AD1218=1,D1218="Military",H1218&lt;&gt;"Not given")=TRUE,IF(SUMIFS(P:P,A:A,A1218)&gt;0,IF((ABS((SUMIFS(P:P,A:A,A1218)/VLOOKUP("USD",'Exchange Rates'!B:C,2,0)))/S1218)&gt;1,(SUMIFS(P:P,A:A,A1218)-S1218)/S1218,(S1218-SUMIFS(P:P,A:A,A1218))/SUMIFS(P:P,A:A,A1218)),"."),".")</f>
        <v>.</v>
      </c>
      <c r="BA1218" s="182"/>
      <c r="BB1218" s="182"/>
      <c r="BC1218" s="182"/>
      <c r="BD1218" s="182"/>
      <c r="BE1218" s="182"/>
      <c r="BF1218" s="182"/>
      <c r="BG1218" s="182"/>
      <c r="BH1218" s="182"/>
      <c r="BI1218" s="182"/>
      <c r="BJ1218" s="182"/>
      <c r="BK1218" s="182"/>
      <c r="BL1218" s="182"/>
      <c r="BM1218" s="182"/>
      <c r="BN1218" s="182"/>
      <c r="BO1218" s="182"/>
      <c r="BP1218" s="182"/>
      <c r="BQ1218" s="182"/>
      <c r="BR1218" s="182"/>
      <c r="BS1218" s="182"/>
    </row>
    <row r="1219" spans="1:71" ht="15.9" customHeight="1" x14ac:dyDescent="0.3">
      <c r="A1219" s="5" t="s">
        <v>3302</v>
      </c>
      <c r="B1219" s="5" t="s">
        <v>3038</v>
      </c>
      <c r="C1219" s="174">
        <v>44676</v>
      </c>
      <c r="D1219" s="5" t="s">
        <v>285</v>
      </c>
      <c r="E1219" s="19" t="s">
        <v>286</v>
      </c>
      <c r="F1219" s="175" t="s">
        <v>3304</v>
      </c>
      <c r="G1219" s="15" t="s">
        <v>346</v>
      </c>
      <c r="H1219" s="176">
        <v>322000000</v>
      </c>
      <c r="I1219" s="185" t="s">
        <v>3307</v>
      </c>
      <c r="J1219" s="113" t="str">
        <f>VLOOKUP($I1219,'Price List, Weapons &amp; Items'!B:C,2,0)</f>
        <v>Portable defence system</v>
      </c>
      <c r="K1219" s="113" t="str">
        <f>IF(I1219=".",I1219,VLOOKUP($I1219,'Price List, Weapons &amp; Items'!B:D,3,0))</f>
        <v>Light Anti-armor Weapon (LAW)</v>
      </c>
      <c r="L1219" s="177">
        <f>VLOOKUP(I1219,'Price List, Weapons &amp; Items'!B:E,4,0)</f>
        <v>0</v>
      </c>
      <c r="M1219" s="542" t="s">
        <v>270</v>
      </c>
      <c r="N1219" s="542" t="s">
        <v>270</v>
      </c>
      <c r="O1219" s="543">
        <f>VLOOKUP($I1219,'Price List, Weapons &amp; Items'!B:G,6,0)</f>
        <v>1100</v>
      </c>
      <c r="P1219" s="176" t="str">
        <f t="shared" si="274"/>
        <v>.</v>
      </c>
      <c r="Q1219" s="176" t="str">
        <f t="shared" si="275"/>
        <v>.</v>
      </c>
      <c r="R1219" s="176" t="str">
        <f t="shared" si="277"/>
        <v/>
      </c>
      <c r="S1219" s="176" t="str">
        <f>IF(AND(AD1219=1,R1219&lt;&gt;".")=TRUE,R1219/VLOOKUP(G1219,'Exchange Rates'!B:C,2,0),IF(R1219=".",".",""))</f>
        <v/>
      </c>
      <c r="T1219" s="176" t="str">
        <f>IF(AD1219=1,IF(AF1219="Value is not given at all",".",IF(AF1219="Value is given by the source",S1219,IF(AF1219="Value is calculated with prices",(IF(SUMIFS(Q:Q,A:A,A1219)&gt;0,SUMIFS(Q:Q,A:A,A1219),"."))/VLOOKUP("USD",'Exchange Rates'!B:C,2,0),"Error with coding"))),"")</f>
        <v/>
      </c>
      <c r="U1219" s="15" t="s">
        <v>261</v>
      </c>
      <c r="V1219" s="547" t="s">
        <v>3044</v>
      </c>
      <c r="W1219" s="667" t="s">
        <v>3044</v>
      </c>
      <c r="X1219" s="667" t="s">
        <v>3047</v>
      </c>
      <c r="Y1219" s="667" t="s">
        <v>3308</v>
      </c>
      <c r="Z1219" s="15">
        <v>0</v>
      </c>
      <c r="AA1219" s="180">
        <v>0</v>
      </c>
      <c r="AB1219" s="17" t="s">
        <v>260</v>
      </c>
      <c r="AC1219" s="544" t="str">
        <f>""</f>
        <v/>
      </c>
      <c r="AD1219" s="183">
        <v>0</v>
      </c>
      <c r="AE1219" s="183" t="s">
        <v>264</v>
      </c>
      <c r="AF1219" s="183" t="s">
        <v>265</v>
      </c>
      <c r="AG1219" s="183">
        <v>1</v>
      </c>
      <c r="AH1219" s="183">
        <v>4</v>
      </c>
      <c r="AI1219" s="183">
        <v>0</v>
      </c>
      <c r="AJ1219" s="181">
        <f>VLOOKUP($I1219,'Price List, Weapons &amp; Items'!B:F,5,0)</f>
        <v>0</v>
      </c>
      <c r="AK1219" s="181">
        <f t="shared" si="278"/>
        <v>0</v>
      </c>
      <c r="AL1219" s="181">
        <f t="shared" si="279"/>
        <v>0</v>
      </c>
      <c r="AM1219" s="181">
        <f t="shared" si="280"/>
        <v>0</v>
      </c>
      <c r="AN1219" s="180" t="str">
        <f>VLOOKUP($I1219,'Price List, Weapons &amp; Items'!B:L,COLUMN('Price List, Weapons &amp; Items'!$J$11)-1,0)</f>
        <v>Media reports (incl. social media)</v>
      </c>
      <c r="AO1219" s="180" t="str">
        <f>IF(I1219=".",".",VLOOKUP($I1219,'Price List, Weapons &amp; Items'!B:J,3,0))</f>
        <v>Light Anti-armor Weapon (LAW)</v>
      </c>
      <c r="AP1219" s="545" t="str">
        <f t="shared" ca="1" si="276"/>
        <v/>
      </c>
      <c r="AQ1219" s="180" t="str">
        <f>VLOOKUP($I1219,'Price List, Weapons &amp; Items'!B:L,COLUMN('Price List, Weapons &amp; Items'!$L$11)-1,0)</f>
        <v>no price, 0 count</v>
      </c>
      <c r="AR1219" s="180">
        <f t="shared" si="281"/>
        <v>1</v>
      </c>
      <c r="AS1219" s="180">
        <f t="shared" si="282"/>
        <v>1</v>
      </c>
      <c r="AT1219" s="180">
        <f t="shared" si="290"/>
        <v>1</v>
      </c>
      <c r="AU1219" s="180" t="str">
        <f t="shared" si="291"/>
        <v>.</v>
      </c>
      <c r="AV1219" s="180" t="str">
        <f t="shared" si="292"/>
        <v>.</v>
      </c>
      <c r="AW1219" s="180">
        <f>IFERROR(VLOOKUP(B1219,'Share, Heavy Weapons to Ukraine'!B:J,COLUMN('Share, Heavy Weapons to Ukraine'!C1229)-1,0),0)</f>
        <v>1</v>
      </c>
      <c r="AX1219" s="180">
        <f>VLOOKUP('Bilateral Assistance, MAIN DATA'!B1219,'Country Summary'!B:F,COLUMN('Country Summary'!C1232)-1,FALSE)</f>
        <v>0</v>
      </c>
      <c r="AY1219" s="180" t="str">
        <f>IF(AND(AD1219=1,D1219="Military",H1219&lt;&gt;"Not given")=TRUE,IF(SUMIFS(P:P,A:A,A1219)&gt;0,ABS((SUMIFS(P:P,A:A,A1219)/VLOOKUP("USD",'Exchange Rates'!B:C,2,0)))/S1219,"."),".")</f>
        <v>.</v>
      </c>
      <c r="AZ1219" s="182" t="str">
        <f>IF(AND(AD1219=1,D1219="Military",H1219&lt;&gt;"Not given")=TRUE,IF(SUMIFS(P:P,A:A,A1219)&gt;0,IF((ABS((SUMIFS(P:P,A:A,A1219)/VLOOKUP("USD",'Exchange Rates'!B:C,2,0)))/S1219)&gt;1,(SUMIFS(P:P,A:A,A1219)-S1219)/S1219,(S1219-SUMIFS(P:P,A:A,A1219))/SUMIFS(P:P,A:A,A1219)),"."),".")</f>
        <v>.</v>
      </c>
      <c r="BA1219" s="182"/>
      <c r="BB1219" s="182"/>
      <c r="BC1219" s="182"/>
      <c r="BD1219" s="182"/>
      <c r="BE1219" s="182"/>
      <c r="BF1219" s="182"/>
      <c r="BG1219" s="182"/>
      <c r="BH1219" s="182"/>
      <c r="BI1219" s="182"/>
      <c r="BJ1219" s="182"/>
      <c r="BK1219" s="182"/>
      <c r="BL1219" s="182"/>
      <c r="BM1219" s="182"/>
      <c r="BN1219" s="182"/>
      <c r="BO1219" s="182"/>
      <c r="BP1219" s="182"/>
      <c r="BQ1219" s="182"/>
      <c r="BR1219" s="182"/>
      <c r="BS1219" s="182"/>
    </row>
    <row r="1220" spans="1:71" ht="15.9" customHeight="1" x14ac:dyDescent="0.3">
      <c r="A1220" s="5" t="s">
        <v>3302</v>
      </c>
      <c r="B1220" s="5" t="s">
        <v>3038</v>
      </c>
      <c r="C1220" s="174">
        <v>44676</v>
      </c>
      <c r="D1220" s="5" t="s">
        <v>285</v>
      </c>
      <c r="E1220" s="19" t="s">
        <v>286</v>
      </c>
      <c r="F1220" s="175" t="s">
        <v>3304</v>
      </c>
      <c r="G1220" s="15" t="s">
        <v>346</v>
      </c>
      <c r="H1220" s="176">
        <v>322000000</v>
      </c>
      <c r="I1220" s="185" t="s">
        <v>3309</v>
      </c>
      <c r="J1220" s="113" t="str">
        <f>VLOOKUP($I1220,'Price List, Weapons &amp; Items'!B:C,2,0)</f>
        <v>Ammunition for heavy weapon</v>
      </c>
      <c r="K1220" s="113" t="str">
        <f>IF(I1220=".",I1220,VLOOKUP($I1220,'Price List, Weapons &amp; Items'!B:D,3,0))</f>
        <v>122mm howitzer ammunition</v>
      </c>
      <c r="L1220" s="177">
        <f>VLOOKUP(I1220,'Price List, Weapons &amp; Items'!B:E,4,0)</f>
        <v>0</v>
      </c>
      <c r="M1220" s="542" t="s">
        <v>270</v>
      </c>
      <c r="N1220" s="542" t="s">
        <v>270</v>
      </c>
      <c r="O1220" s="543">
        <f>VLOOKUP($I1220,'Price List, Weapons &amp; Items'!B:G,6,0)</f>
        <v>2000</v>
      </c>
      <c r="P1220" s="176" t="str">
        <f t="shared" si="274"/>
        <v>.</v>
      </c>
      <c r="Q1220" s="176" t="str">
        <f t="shared" si="275"/>
        <v>.</v>
      </c>
      <c r="R1220" s="176" t="str">
        <f t="shared" si="277"/>
        <v/>
      </c>
      <c r="S1220" s="176" t="str">
        <f>IF(AND(AD1220=1,R1220&lt;&gt;".")=TRUE,R1220/VLOOKUP(G1220,'Exchange Rates'!B:C,2,0),IF(R1220=".",".",""))</f>
        <v/>
      </c>
      <c r="T1220" s="176" t="str">
        <f>IF(AD1220=1,IF(AF1220="Value is not given at all",".",IF(AF1220="Value is given by the source",S1220,IF(AF1220="Value is calculated with prices",(IF(SUMIFS(Q:Q,A:A,A1220)&gt;0,SUMIFS(Q:Q,A:A,A1220),"."))/VLOOKUP("USD",'Exchange Rates'!B:C,2,0),"Error with coding"))),"")</f>
        <v/>
      </c>
      <c r="U1220" s="15" t="s">
        <v>261</v>
      </c>
      <c r="V1220" s="547" t="s">
        <v>3044</v>
      </c>
      <c r="W1220" s="667" t="s">
        <v>3044</v>
      </c>
      <c r="X1220" s="667" t="s">
        <v>3047</v>
      </c>
      <c r="Y1220" s="667" t="s">
        <v>3310</v>
      </c>
      <c r="Z1220" s="15">
        <v>0</v>
      </c>
      <c r="AA1220" s="180">
        <v>0</v>
      </c>
      <c r="AB1220" s="17" t="s">
        <v>260</v>
      </c>
      <c r="AC1220" s="544" t="str">
        <f>""</f>
        <v/>
      </c>
      <c r="AD1220" s="183">
        <v>0</v>
      </c>
      <c r="AE1220" s="183" t="s">
        <v>264</v>
      </c>
      <c r="AF1220" s="183" t="s">
        <v>265</v>
      </c>
      <c r="AG1220" s="183">
        <v>1</v>
      </c>
      <c r="AH1220" s="183">
        <v>4</v>
      </c>
      <c r="AI1220" s="183">
        <v>0</v>
      </c>
      <c r="AJ1220" s="181">
        <f>VLOOKUP($I1220,'Price List, Weapons &amp; Items'!B:F,5,0)</f>
        <v>0</v>
      </c>
      <c r="AK1220" s="181">
        <f t="shared" si="278"/>
        <v>0</v>
      </c>
      <c r="AL1220" s="181">
        <f t="shared" si="279"/>
        <v>0</v>
      </c>
      <c r="AM1220" s="181">
        <f t="shared" si="280"/>
        <v>0</v>
      </c>
      <c r="AN1220" s="180" t="str">
        <f>VLOOKUP($I1220,'Price List, Weapons &amp; Items'!B:L,COLUMN('Price List, Weapons &amp; Items'!$J$11)-1,0)</f>
        <v>Media reports (incl. social media)</v>
      </c>
      <c r="AO1220" s="180" t="str">
        <f>IF(I1220=".",".",VLOOKUP($I1220,'Price List, Weapons &amp; Items'!B:J,3,0))</f>
        <v>122mm howitzer ammunition</v>
      </c>
      <c r="AP1220" s="545" t="str">
        <f t="shared" ca="1" si="276"/>
        <v/>
      </c>
      <c r="AQ1220" s="180" t="str">
        <f>VLOOKUP($I1220,'Price List, Weapons &amp; Items'!B:L,COLUMN('Price List, Weapons &amp; Items'!$L$11)-1,0)</f>
        <v>no price, 0 count</v>
      </c>
      <c r="AR1220" s="180">
        <f t="shared" si="281"/>
        <v>1</v>
      </c>
      <c r="AS1220" s="180">
        <f t="shared" si="282"/>
        <v>1</v>
      </c>
      <c r="AT1220" s="180">
        <f t="shared" si="290"/>
        <v>1</v>
      </c>
      <c r="AU1220" s="180" t="str">
        <f t="shared" si="291"/>
        <v>.</v>
      </c>
      <c r="AV1220" s="180" t="str">
        <f t="shared" si="292"/>
        <v>.</v>
      </c>
      <c r="AW1220" s="180">
        <f>IFERROR(VLOOKUP(B1220,'Share, Heavy Weapons to Ukraine'!B:J,COLUMN('Share, Heavy Weapons to Ukraine'!C1230)-1,0),0)</f>
        <v>1</v>
      </c>
      <c r="AX1220" s="180">
        <f>VLOOKUP('Bilateral Assistance, MAIN DATA'!B1220,'Country Summary'!B:F,COLUMN('Country Summary'!C1233)-1,FALSE)</f>
        <v>0</v>
      </c>
      <c r="AY1220" s="180" t="str">
        <f>IF(AND(AD1220=1,D1220="Military",H1220&lt;&gt;"Not given")=TRUE,IF(SUMIFS(P:P,A:A,A1220)&gt;0,ABS((SUMIFS(P:P,A:A,A1220)/VLOOKUP("USD",'Exchange Rates'!B:C,2,0)))/S1220,"."),".")</f>
        <v>.</v>
      </c>
      <c r="AZ1220" s="182" t="str">
        <f>IF(AND(AD1220=1,D1220="Military",H1220&lt;&gt;"Not given")=TRUE,IF(SUMIFS(P:P,A:A,A1220)&gt;0,IF((ABS((SUMIFS(P:P,A:A,A1220)/VLOOKUP("USD",'Exchange Rates'!B:C,2,0)))/S1220)&gt;1,(SUMIFS(P:P,A:A,A1220)-S1220)/S1220,(S1220-SUMIFS(P:P,A:A,A1220))/SUMIFS(P:P,A:A,A1220)),"."),".")</f>
        <v>.</v>
      </c>
      <c r="BA1220" s="182"/>
      <c r="BB1220" s="182"/>
      <c r="BC1220" s="182"/>
      <c r="BD1220" s="182"/>
      <c r="BE1220" s="182"/>
      <c r="BF1220" s="182"/>
      <c r="BG1220" s="182"/>
      <c r="BH1220" s="182"/>
      <c r="BI1220" s="182"/>
      <c r="BJ1220" s="182"/>
      <c r="BK1220" s="182"/>
      <c r="BL1220" s="182"/>
      <c r="BM1220" s="182"/>
      <c r="BN1220" s="182"/>
      <c r="BO1220" s="182"/>
      <c r="BP1220" s="182"/>
      <c r="BQ1220" s="182"/>
      <c r="BR1220" s="182"/>
      <c r="BS1220" s="182"/>
    </row>
    <row r="1221" spans="1:71" ht="15.9" customHeight="1" x14ac:dyDescent="0.3">
      <c r="A1221" s="5" t="s">
        <v>3302</v>
      </c>
      <c r="B1221" s="5" t="s">
        <v>3038</v>
      </c>
      <c r="C1221" s="174">
        <v>44676</v>
      </c>
      <c r="D1221" s="5" t="s">
        <v>285</v>
      </c>
      <c r="E1221" s="19" t="s">
        <v>286</v>
      </c>
      <c r="F1221" s="175" t="s">
        <v>3304</v>
      </c>
      <c r="G1221" s="15" t="s">
        <v>346</v>
      </c>
      <c r="H1221" s="176">
        <v>322000000</v>
      </c>
      <c r="I1221" s="185" t="s">
        <v>3311</v>
      </c>
      <c r="J1221" s="113" t="str">
        <f>VLOOKUP($I1221,'Price List, Weapons &amp; Items'!B:C,2,0)</f>
        <v>Ammunition for heavy weapon</v>
      </c>
      <c r="K1221" s="113" t="str">
        <f>IF(I1221=".",I1221,VLOOKUP($I1221,'Price List, Weapons &amp; Items'!B:D,3,0))</f>
        <v>122mm howitzer ammunition</v>
      </c>
      <c r="L1221" s="177">
        <f>VLOOKUP(I1221,'Price List, Weapons &amp; Items'!B:E,4,0)</f>
        <v>1</v>
      </c>
      <c r="M1221" s="542" t="s">
        <v>270</v>
      </c>
      <c r="N1221" s="542" t="s">
        <v>270</v>
      </c>
      <c r="O1221" s="543">
        <f>VLOOKUP($I1221,'Price List, Weapons &amp; Items'!B:G,6,0)</f>
        <v>2000</v>
      </c>
      <c r="P1221" s="176" t="str">
        <f t="shared" si="274"/>
        <v>.</v>
      </c>
      <c r="Q1221" s="176" t="str">
        <f t="shared" si="275"/>
        <v>.</v>
      </c>
      <c r="R1221" s="176" t="str">
        <f t="shared" si="277"/>
        <v/>
      </c>
      <c r="S1221" s="176" t="str">
        <f>IF(AND(AD1221=1,R1221&lt;&gt;".")=TRUE,R1221/VLOOKUP(G1221,'Exchange Rates'!B:C,2,0),IF(R1221=".",".",""))</f>
        <v/>
      </c>
      <c r="T1221" s="176" t="str">
        <f>IF(AD1221=1,IF(AF1221="Value is not given at all",".",IF(AF1221="Value is given by the source",S1221,IF(AF1221="Value is calculated with prices",(IF(SUMIFS(Q:Q,A:A,A1221)&gt;0,SUMIFS(Q:Q,A:A,A1221),"."))/VLOOKUP("USD",'Exchange Rates'!B:C,2,0),"Error with coding"))),"")</f>
        <v/>
      </c>
      <c r="U1221" s="15" t="s">
        <v>261</v>
      </c>
      <c r="V1221" s="547" t="s">
        <v>3044</v>
      </c>
      <c r="W1221" s="667" t="s">
        <v>3044</v>
      </c>
      <c r="X1221" s="667" t="s">
        <v>3047</v>
      </c>
      <c r="Y1221" s="667" t="s">
        <v>3312</v>
      </c>
      <c r="Z1221" s="15">
        <v>0</v>
      </c>
      <c r="AA1221" s="180">
        <v>0</v>
      </c>
      <c r="AB1221" s="17" t="s">
        <v>260</v>
      </c>
      <c r="AC1221" s="544" t="str">
        <f>""</f>
        <v/>
      </c>
      <c r="AD1221" s="183">
        <v>0</v>
      </c>
      <c r="AE1221" s="183" t="s">
        <v>264</v>
      </c>
      <c r="AF1221" s="183" t="s">
        <v>265</v>
      </c>
      <c r="AG1221" s="183">
        <v>1</v>
      </c>
      <c r="AH1221" s="183">
        <v>4</v>
      </c>
      <c r="AI1221" s="183">
        <v>0</v>
      </c>
      <c r="AJ1221" s="181">
        <f>VLOOKUP($I1221,'Price List, Weapons &amp; Items'!B:F,5,0)</f>
        <v>0</v>
      </c>
      <c r="AK1221" s="181">
        <f t="shared" si="278"/>
        <v>0</v>
      </c>
      <c r="AL1221" s="181">
        <f t="shared" si="279"/>
        <v>0</v>
      </c>
      <c r="AM1221" s="181">
        <f t="shared" si="280"/>
        <v>0</v>
      </c>
      <c r="AN1221" s="180" t="str">
        <f>VLOOKUP($I1221,'Price List, Weapons &amp; Items'!B:L,COLUMN('Price List, Weapons &amp; Items'!$J$11)-1,0)</f>
        <v>Media reports (incl. social media)</v>
      </c>
      <c r="AO1221" s="180" t="str">
        <f>IF(I1221=".",".",VLOOKUP($I1221,'Price List, Weapons &amp; Items'!B:J,3,0))</f>
        <v>122mm howitzer ammunition</v>
      </c>
      <c r="AP1221" s="545" t="str">
        <f t="shared" ca="1" si="276"/>
        <v/>
      </c>
      <c r="AQ1221" s="180" t="str">
        <f>VLOOKUP($I1221,'Price List, Weapons &amp; Items'!B:L,COLUMN('Price List, Weapons &amp; Items'!$L$11)-1,0)</f>
        <v>no price, 0 count</v>
      </c>
      <c r="AR1221" s="180">
        <f t="shared" si="281"/>
        <v>1</v>
      </c>
      <c r="AS1221" s="180">
        <f t="shared" si="282"/>
        <v>1</v>
      </c>
      <c r="AT1221" s="180">
        <f t="shared" si="290"/>
        <v>1</v>
      </c>
      <c r="AU1221" s="180" t="str">
        <f t="shared" si="291"/>
        <v>.</v>
      </c>
      <c r="AV1221" s="180" t="str">
        <f t="shared" si="292"/>
        <v>.</v>
      </c>
      <c r="AW1221" s="180">
        <f>IFERROR(VLOOKUP(B1221,'Share, Heavy Weapons to Ukraine'!B:J,COLUMN('Share, Heavy Weapons to Ukraine'!C1231)-1,0),0)</f>
        <v>1</v>
      </c>
      <c r="AX1221" s="180">
        <f>VLOOKUP('Bilateral Assistance, MAIN DATA'!B1221,'Country Summary'!B:F,COLUMN('Country Summary'!C1234)-1,FALSE)</f>
        <v>0</v>
      </c>
      <c r="AY1221" s="180" t="str">
        <f>IF(AND(AD1221=1,D1221="Military",H1221&lt;&gt;"Not given")=TRUE,IF(SUMIFS(P:P,A:A,A1221)&gt;0,ABS((SUMIFS(P:P,A:A,A1221)/VLOOKUP("USD",'Exchange Rates'!B:C,2,0)))/S1221,"."),".")</f>
        <v>.</v>
      </c>
      <c r="AZ1221" s="182" t="str">
        <f>IF(AND(AD1221=1,D1221="Military",H1221&lt;&gt;"Not given")=TRUE,IF(SUMIFS(P:P,A:A,A1221)&gt;0,IF((ABS((SUMIFS(P:P,A:A,A1221)/VLOOKUP("USD",'Exchange Rates'!B:C,2,0)))/S1221)&gt;1,(SUMIFS(P:P,A:A,A1221)-S1221)/S1221,(S1221-SUMIFS(P:P,A:A,A1221))/SUMIFS(P:P,A:A,A1221)),"."),".")</f>
        <v>.</v>
      </c>
      <c r="BA1221" s="182"/>
      <c r="BB1221" s="182"/>
      <c r="BC1221" s="182"/>
      <c r="BD1221" s="182"/>
      <c r="BE1221" s="182"/>
      <c r="BF1221" s="182"/>
      <c r="BG1221" s="182"/>
      <c r="BH1221" s="182"/>
      <c r="BI1221" s="182"/>
      <c r="BJ1221" s="182"/>
      <c r="BK1221" s="182"/>
      <c r="BL1221" s="182"/>
      <c r="BM1221" s="182"/>
      <c r="BN1221" s="182"/>
      <c r="BO1221" s="182"/>
      <c r="BP1221" s="182"/>
      <c r="BQ1221" s="182"/>
      <c r="BR1221" s="182"/>
      <c r="BS1221" s="182"/>
    </row>
    <row r="1222" spans="1:71" ht="15.9" customHeight="1" x14ac:dyDescent="0.3">
      <c r="A1222" s="5" t="s">
        <v>3302</v>
      </c>
      <c r="B1222" s="5" t="s">
        <v>3038</v>
      </c>
      <c r="C1222" s="174">
        <v>44676</v>
      </c>
      <c r="D1222" s="5" t="s">
        <v>285</v>
      </c>
      <c r="E1222" s="19" t="s">
        <v>286</v>
      </c>
      <c r="F1222" s="175" t="s">
        <v>3304</v>
      </c>
      <c r="G1222" s="15" t="s">
        <v>346</v>
      </c>
      <c r="H1222" s="176">
        <v>322000000</v>
      </c>
      <c r="I1222" s="185" t="s">
        <v>3313</v>
      </c>
      <c r="J1222" s="113" t="str">
        <f>VLOOKUP($I1222,'Price List, Weapons &amp; Items'!B:C,2,0)</f>
        <v>Ammunition for heavy weapon</v>
      </c>
      <c r="K1222" s="113" t="str">
        <f>IF(I1222=".",I1222,VLOOKUP($I1222,'Price List, Weapons &amp; Items'!B:D,3,0))</f>
        <v>122mm MLRS ammunition</v>
      </c>
      <c r="L1222" s="177">
        <f>VLOOKUP(I1222,'Price List, Weapons &amp; Items'!B:E,4,0)</f>
        <v>1</v>
      </c>
      <c r="M1222" s="542" t="s">
        <v>270</v>
      </c>
      <c r="N1222" s="542" t="s">
        <v>270</v>
      </c>
      <c r="O1222" s="543">
        <f>VLOOKUP($I1222,'Price List, Weapons &amp; Items'!B:G,6,0)</f>
        <v>1000</v>
      </c>
      <c r="P1222" s="176" t="str">
        <f t="shared" si="274"/>
        <v>.</v>
      </c>
      <c r="Q1222" s="176" t="str">
        <f t="shared" si="275"/>
        <v>.</v>
      </c>
      <c r="R1222" s="176" t="str">
        <f t="shared" si="277"/>
        <v/>
      </c>
      <c r="S1222" s="176" t="str">
        <f>IF(AND(AD1222=1,R1222&lt;&gt;".")=TRUE,R1222/VLOOKUP(G1222,'Exchange Rates'!B:C,2,0),IF(R1222=".",".",""))</f>
        <v/>
      </c>
      <c r="T1222" s="176" t="str">
        <f>IF(AD1222=1,IF(AF1222="Value is not given at all",".",IF(AF1222="Value is given by the source",S1222,IF(AF1222="Value is calculated with prices",(IF(SUMIFS(Q:Q,A:A,A1222)&gt;0,SUMIFS(Q:Q,A:A,A1222),"."))/VLOOKUP("USD",'Exchange Rates'!B:C,2,0),"Error with coding"))),"")</f>
        <v/>
      </c>
      <c r="U1222" s="15" t="s">
        <v>261</v>
      </c>
      <c r="V1222" s="547" t="s">
        <v>3044</v>
      </c>
      <c r="W1222" s="667" t="s">
        <v>3044</v>
      </c>
      <c r="X1222" s="667" t="s">
        <v>3047</v>
      </c>
      <c r="Y1222" s="667" t="s">
        <v>3314</v>
      </c>
      <c r="Z1222" s="15">
        <v>0</v>
      </c>
      <c r="AA1222" s="180">
        <v>0</v>
      </c>
      <c r="AB1222" s="17" t="s">
        <v>260</v>
      </c>
      <c r="AC1222" s="544" t="str">
        <f>""</f>
        <v/>
      </c>
      <c r="AD1222" s="183">
        <v>0</v>
      </c>
      <c r="AE1222" s="183" t="s">
        <v>264</v>
      </c>
      <c r="AF1222" s="183" t="s">
        <v>265</v>
      </c>
      <c r="AG1222" s="183">
        <v>1</v>
      </c>
      <c r="AH1222" s="183">
        <v>4</v>
      </c>
      <c r="AI1222" s="183">
        <v>0</v>
      </c>
      <c r="AJ1222" s="181">
        <f>VLOOKUP($I1222,'Price List, Weapons &amp; Items'!B:F,5,0)</f>
        <v>1</v>
      </c>
      <c r="AK1222" s="181">
        <f t="shared" si="278"/>
        <v>1</v>
      </c>
      <c r="AL1222" s="181">
        <f t="shared" si="279"/>
        <v>1</v>
      </c>
      <c r="AM1222" s="181">
        <f t="shared" si="280"/>
        <v>0</v>
      </c>
      <c r="AN1222" s="180" t="str">
        <f>VLOOKUP($I1222,'Price List, Weapons &amp; Items'!B:L,COLUMN('Price List, Weapons &amp; Items'!$J$11)-1,0)</f>
        <v>Media reports (incl. social media)</v>
      </c>
      <c r="AO1222" s="180" t="str">
        <f>IF(I1222=".",".",VLOOKUP($I1222,'Price List, Weapons &amp; Items'!B:J,3,0))</f>
        <v>122mm MLRS ammunition</v>
      </c>
      <c r="AP1222" s="545" t="str">
        <f t="shared" ca="1" si="276"/>
        <v/>
      </c>
      <c r="AQ1222" s="180">
        <f>VLOOKUP($I1222,'Price List, Weapons &amp; Items'!B:L,COLUMN('Price List, Weapons &amp; Items'!$L$11)-1,0)</f>
        <v>2</v>
      </c>
      <c r="AR1222" s="180">
        <f t="shared" si="281"/>
        <v>1</v>
      </c>
      <c r="AS1222" s="180">
        <f t="shared" si="282"/>
        <v>1</v>
      </c>
      <c r="AT1222" s="180">
        <f t="shared" si="290"/>
        <v>1</v>
      </c>
      <c r="AU1222" s="180" t="str">
        <f t="shared" si="291"/>
        <v>.</v>
      </c>
      <c r="AV1222" s="180" t="str">
        <f t="shared" si="292"/>
        <v>.</v>
      </c>
      <c r="AW1222" s="180">
        <f>IFERROR(VLOOKUP(B1222,'Share, Heavy Weapons to Ukraine'!B:J,COLUMN('Share, Heavy Weapons to Ukraine'!C1232)-1,0),0)</f>
        <v>1</v>
      </c>
      <c r="AX1222" s="180">
        <f>VLOOKUP('Bilateral Assistance, MAIN DATA'!B1222,'Country Summary'!B:F,COLUMN('Country Summary'!C1235)-1,FALSE)</f>
        <v>0</v>
      </c>
      <c r="AY1222" s="180" t="str">
        <f>IF(AND(AD1222=1,D1222="Military",H1222&lt;&gt;"Not given")=TRUE,IF(SUMIFS(P:P,A:A,A1222)&gt;0,ABS((SUMIFS(P:P,A:A,A1222)/VLOOKUP("USD",'Exchange Rates'!B:C,2,0)))/S1222,"."),".")</f>
        <v>.</v>
      </c>
      <c r="AZ1222" s="182" t="str">
        <f>IF(AND(AD1222=1,D1222="Military",H1222&lt;&gt;"Not given")=TRUE,IF(SUMIFS(P:P,A:A,A1222)&gt;0,IF((ABS((SUMIFS(P:P,A:A,A1222)/VLOOKUP("USD",'Exchange Rates'!B:C,2,0)))/S1222)&gt;1,(SUMIFS(P:P,A:A,A1222)-S1222)/S1222,(S1222-SUMIFS(P:P,A:A,A1222))/SUMIFS(P:P,A:A,A1222)),"."),".")</f>
        <v>.</v>
      </c>
      <c r="BA1222" s="182"/>
      <c r="BB1222" s="182"/>
      <c r="BC1222" s="182"/>
      <c r="BD1222" s="182"/>
      <c r="BE1222" s="182"/>
      <c r="BF1222" s="182"/>
      <c r="BG1222" s="182"/>
      <c r="BH1222" s="182"/>
      <c r="BI1222" s="182"/>
      <c r="BJ1222" s="182"/>
      <c r="BK1222" s="182"/>
      <c r="BL1222" s="182"/>
      <c r="BM1222" s="182"/>
      <c r="BN1222" s="182"/>
      <c r="BO1222" s="182"/>
      <c r="BP1222" s="182"/>
      <c r="BQ1222" s="182"/>
      <c r="BR1222" s="182"/>
      <c r="BS1222" s="182"/>
    </row>
    <row r="1223" spans="1:71" ht="15.9" customHeight="1" x14ac:dyDescent="0.3">
      <c r="A1223" s="5" t="s">
        <v>3302</v>
      </c>
      <c r="B1223" s="5" t="s">
        <v>3038</v>
      </c>
      <c r="C1223" s="174">
        <v>44676</v>
      </c>
      <c r="D1223" s="5" t="s">
        <v>285</v>
      </c>
      <c r="E1223" s="19" t="s">
        <v>286</v>
      </c>
      <c r="F1223" s="175" t="s">
        <v>3304</v>
      </c>
      <c r="G1223" s="15" t="s">
        <v>346</v>
      </c>
      <c r="H1223" s="176">
        <v>322000000</v>
      </c>
      <c r="I1223" s="185" t="s">
        <v>3315</v>
      </c>
      <c r="J1223" s="113" t="str">
        <f>VLOOKUP($I1223,'Price List, Weapons &amp; Items'!B:C,2,0)</f>
        <v>Ammunition for heavy weapon</v>
      </c>
      <c r="K1223" s="113" t="str">
        <f>IF(I1223=".",I1223,VLOOKUP($I1223,'Price List, Weapons &amp; Items'!B:D,3,0))</f>
        <v>300mm MLRS ammunition</v>
      </c>
      <c r="L1223" s="177">
        <f>VLOOKUP(I1223,'Price List, Weapons &amp; Items'!B:E,4,0)</f>
        <v>0</v>
      </c>
      <c r="M1223" s="542" t="s">
        <v>270</v>
      </c>
      <c r="N1223" s="542" t="s">
        <v>270</v>
      </c>
      <c r="O1223" s="543">
        <f>VLOOKUP($I1223,'Price List, Weapons &amp; Items'!B:G,6,0)</f>
        <v>625000</v>
      </c>
      <c r="P1223" s="176" t="str">
        <f t="shared" si="274"/>
        <v>.</v>
      </c>
      <c r="Q1223" s="176" t="str">
        <f t="shared" si="275"/>
        <v>.</v>
      </c>
      <c r="R1223" s="176" t="str">
        <f t="shared" si="277"/>
        <v/>
      </c>
      <c r="S1223" s="176" t="str">
        <f>IF(AND(AD1223=1,R1223&lt;&gt;".")=TRUE,R1223/VLOOKUP(G1223,'Exchange Rates'!B:C,2,0),IF(R1223=".",".",""))</f>
        <v/>
      </c>
      <c r="T1223" s="176" t="str">
        <f>IF(AD1223=1,IF(AF1223="Value is not given at all",".",IF(AF1223="Value is given by the source",S1223,IF(AF1223="Value is calculated with prices",(IF(SUMIFS(Q:Q,A:A,A1223)&gt;0,SUMIFS(Q:Q,A:A,A1223),"."))/VLOOKUP("USD",'Exchange Rates'!B:C,2,0),"Error with coding"))),"")</f>
        <v/>
      </c>
      <c r="U1223" s="15" t="s">
        <v>261</v>
      </c>
      <c r="V1223" s="547" t="s">
        <v>3044</v>
      </c>
      <c r="W1223" s="667" t="s">
        <v>3044</v>
      </c>
      <c r="X1223" s="667" t="s">
        <v>3047</v>
      </c>
      <c r="Y1223" s="667" t="s">
        <v>3316</v>
      </c>
      <c r="Z1223" s="15">
        <v>0</v>
      </c>
      <c r="AA1223" s="180">
        <v>0</v>
      </c>
      <c r="AB1223" s="17" t="s">
        <v>260</v>
      </c>
      <c r="AC1223" s="544" t="str">
        <f>""</f>
        <v/>
      </c>
      <c r="AD1223" s="183">
        <v>0</v>
      </c>
      <c r="AE1223" s="183" t="s">
        <v>264</v>
      </c>
      <c r="AF1223" s="183" t="s">
        <v>265</v>
      </c>
      <c r="AG1223" s="183">
        <v>1</v>
      </c>
      <c r="AH1223" s="183">
        <v>4</v>
      </c>
      <c r="AI1223" s="183">
        <v>0</v>
      </c>
      <c r="AJ1223" s="181">
        <f>VLOOKUP($I1223,'Price List, Weapons &amp; Items'!B:F,5,0)</f>
        <v>1</v>
      </c>
      <c r="AK1223" s="181">
        <f t="shared" si="278"/>
        <v>1</v>
      </c>
      <c r="AL1223" s="181">
        <f t="shared" si="279"/>
        <v>1</v>
      </c>
      <c r="AM1223" s="181">
        <f t="shared" si="280"/>
        <v>0</v>
      </c>
      <c r="AN1223" s="180" t="str">
        <f>VLOOKUP($I1223,'Price List, Weapons &amp; Items'!B:L,COLUMN('Price List, Weapons &amp; Items'!$J$11)-1,0)</f>
        <v>Government information</v>
      </c>
      <c r="AO1223" s="180" t="str">
        <f>IF(I1223=".",".",VLOOKUP($I1223,'Price List, Weapons &amp; Items'!B:J,3,0))</f>
        <v>300mm MLRS ammunition</v>
      </c>
      <c r="AP1223" s="545" t="str">
        <f t="shared" ca="1" si="276"/>
        <v/>
      </c>
      <c r="AQ1223" s="180" t="str">
        <f>VLOOKUP($I1223,'Price List, Weapons &amp; Items'!B:L,COLUMN('Price List, Weapons &amp; Items'!$L$11)-1,0)</f>
        <v>no price, 0 count</v>
      </c>
      <c r="AR1223" s="180">
        <f t="shared" si="281"/>
        <v>1</v>
      </c>
      <c r="AS1223" s="180">
        <f t="shared" si="282"/>
        <v>1</v>
      </c>
      <c r="AT1223" s="180">
        <f t="shared" si="290"/>
        <v>1</v>
      </c>
      <c r="AU1223" s="180" t="str">
        <f t="shared" si="291"/>
        <v>.</v>
      </c>
      <c r="AV1223" s="180" t="str">
        <f t="shared" si="292"/>
        <v>.</v>
      </c>
      <c r="AW1223" s="180">
        <f>IFERROR(VLOOKUP(B1223,'Share, Heavy Weapons to Ukraine'!B:J,COLUMN('Share, Heavy Weapons to Ukraine'!C1233)-1,0),0)</f>
        <v>1</v>
      </c>
      <c r="AX1223" s="180">
        <f>VLOOKUP('Bilateral Assistance, MAIN DATA'!B1223,'Country Summary'!B:F,COLUMN('Country Summary'!C1236)-1,FALSE)</f>
        <v>0</v>
      </c>
      <c r="AY1223" s="180" t="str">
        <f>IF(AND(AD1223=1,D1223="Military",H1223&lt;&gt;"Not given")=TRUE,IF(SUMIFS(P:P,A:A,A1223)&gt;0,ABS((SUMIFS(P:P,A:A,A1223)/VLOOKUP("USD",'Exchange Rates'!B:C,2,0)))/S1223,"."),".")</f>
        <v>.</v>
      </c>
      <c r="AZ1223" s="182" t="str">
        <f>IF(AND(AD1223=1,D1223="Military",H1223&lt;&gt;"Not given")=TRUE,IF(SUMIFS(P:P,A:A,A1223)&gt;0,IF((ABS((SUMIFS(P:P,A:A,A1223)/VLOOKUP("USD",'Exchange Rates'!B:C,2,0)))/S1223)&gt;1,(SUMIFS(P:P,A:A,A1223)-S1223)/S1223,(S1223-SUMIFS(P:P,A:A,A1223))/SUMIFS(P:P,A:A,A1223)),"."),".")</f>
        <v>.</v>
      </c>
      <c r="BA1223" s="182"/>
      <c r="BB1223" s="182"/>
      <c r="BC1223" s="182"/>
      <c r="BD1223" s="182"/>
      <c r="BE1223" s="182"/>
      <c r="BF1223" s="182"/>
      <c r="BG1223" s="182"/>
      <c r="BH1223" s="182"/>
      <c r="BI1223" s="182"/>
      <c r="BJ1223" s="182"/>
      <c r="BK1223" s="182"/>
      <c r="BL1223" s="182"/>
      <c r="BM1223" s="182"/>
      <c r="BN1223" s="182"/>
      <c r="BO1223" s="182"/>
      <c r="BP1223" s="182"/>
      <c r="BQ1223" s="182"/>
      <c r="BR1223" s="182"/>
      <c r="BS1223" s="182"/>
    </row>
    <row r="1224" spans="1:71" ht="15.9" customHeight="1" x14ac:dyDescent="0.3">
      <c r="A1224" s="5" t="s">
        <v>3302</v>
      </c>
      <c r="B1224" s="5" t="s">
        <v>3038</v>
      </c>
      <c r="C1224" s="174">
        <v>44676</v>
      </c>
      <c r="D1224" s="5" t="s">
        <v>285</v>
      </c>
      <c r="E1224" s="19" t="s">
        <v>286</v>
      </c>
      <c r="F1224" s="175" t="s">
        <v>3304</v>
      </c>
      <c r="G1224" s="15" t="s">
        <v>346</v>
      </c>
      <c r="H1224" s="176">
        <v>322000000</v>
      </c>
      <c r="I1224" s="185" t="s">
        <v>3317</v>
      </c>
      <c r="J1224" s="113" t="str">
        <f>VLOOKUP($I1224,'Price List, Weapons &amp; Items'!B:C,2,0)</f>
        <v>Ammunition for portable defence system</v>
      </c>
      <c r="K1224" s="113" t="str">
        <f>IF(I1224=".",I1224,VLOOKUP($I1224,'Price List, Weapons &amp; Items'!B:D,3,0))</f>
        <v>Light Anti-armor Weapon (LAW) ammunition</v>
      </c>
      <c r="L1224" s="177">
        <f>VLOOKUP(I1224,'Price List, Weapons &amp; Items'!B:E,4,0)</f>
        <v>0</v>
      </c>
      <c r="M1224" s="542" t="s">
        <v>270</v>
      </c>
      <c r="N1224" s="542" t="s">
        <v>270</v>
      </c>
      <c r="O1224" s="543">
        <f>VLOOKUP($I1224,'Price List, Weapons &amp; Items'!B:G,6,0)</f>
        <v>1082</v>
      </c>
      <c r="P1224" s="176" t="str">
        <f t="shared" si="274"/>
        <v>.</v>
      </c>
      <c r="Q1224" s="176" t="str">
        <f t="shared" si="275"/>
        <v>.</v>
      </c>
      <c r="R1224" s="176" t="str">
        <f t="shared" si="277"/>
        <v/>
      </c>
      <c r="S1224" s="176" t="str">
        <f>IF(AND(AD1224=1,R1224&lt;&gt;".")=TRUE,R1224/VLOOKUP(G1224,'Exchange Rates'!B:C,2,0),IF(R1224=".",".",""))</f>
        <v/>
      </c>
      <c r="T1224" s="176" t="str">
        <f>IF(AD1224=1,IF(AF1224="Value is not given at all",".",IF(AF1224="Value is given by the source",S1224,IF(AF1224="Value is calculated with prices",(IF(SUMIFS(Q:Q,A:A,A1224)&gt;0,SUMIFS(Q:Q,A:A,A1224),"."))/VLOOKUP("USD",'Exchange Rates'!B:C,2,0),"Error with coding"))),"")</f>
        <v/>
      </c>
      <c r="U1224" s="15" t="s">
        <v>261</v>
      </c>
      <c r="V1224" s="547" t="s">
        <v>3044</v>
      </c>
      <c r="W1224" s="667" t="s">
        <v>3044</v>
      </c>
      <c r="X1224" s="667" t="s">
        <v>3047</v>
      </c>
      <c r="Y1224" s="667" t="s">
        <v>3318</v>
      </c>
      <c r="Z1224" s="15">
        <v>0</v>
      </c>
      <c r="AA1224" s="180">
        <v>0</v>
      </c>
      <c r="AB1224" s="17" t="s">
        <v>260</v>
      </c>
      <c r="AC1224" s="544" t="str">
        <f>""</f>
        <v/>
      </c>
      <c r="AD1224" s="183">
        <v>0</v>
      </c>
      <c r="AE1224" s="183" t="s">
        <v>264</v>
      </c>
      <c r="AF1224" s="183" t="s">
        <v>265</v>
      </c>
      <c r="AG1224" s="183">
        <v>1</v>
      </c>
      <c r="AH1224" s="183">
        <v>4</v>
      </c>
      <c r="AI1224" s="183">
        <v>0</v>
      </c>
      <c r="AJ1224" s="181">
        <f>VLOOKUP($I1224,'Price List, Weapons &amp; Items'!B:F,5,0)</f>
        <v>0</v>
      </c>
      <c r="AK1224" s="181">
        <f t="shared" si="278"/>
        <v>0</v>
      </c>
      <c r="AL1224" s="181">
        <f t="shared" si="279"/>
        <v>0</v>
      </c>
      <c r="AM1224" s="181">
        <f t="shared" si="280"/>
        <v>0</v>
      </c>
      <c r="AN1224" s="180" t="str">
        <f>VLOOKUP($I1224,'Price List, Weapons &amp; Items'!B:L,COLUMN('Price List, Weapons &amp; Items'!$J$11)-1,0)</f>
        <v>Miscellaneous</v>
      </c>
      <c r="AO1224" s="180" t="str">
        <f>IF(I1224=".",".",VLOOKUP($I1224,'Price List, Weapons &amp; Items'!B:J,3,0))</f>
        <v>Light Anti-armor Weapon (LAW) ammunition</v>
      </c>
      <c r="AP1224" s="545" t="str">
        <f t="shared" ca="1" si="276"/>
        <v/>
      </c>
      <c r="AQ1224" s="180" t="str">
        <f>VLOOKUP($I1224,'Price List, Weapons &amp; Items'!B:L,COLUMN('Price List, Weapons &amp; Items'!$L$11)-1,0)</f>
        <v>no price, 0 count</v>
      </c>
      <c r="AR1224" s="180">
        <f t="shared" si="281"/>
        <v>1</v>
      </c>
      <c r="AS1224" s="180">
        <f t="shared" si="282"/>
        <v>1</v>
      </c>
      <c r="AT1224" s="180">
        <f t="shared" si="290"/>
        <v>1</v>
      </c>
      <c r="AU1224" s="180" t="str">
        <f t="shared" si="291"/>
        <v>.</v>
      </c>
      <c r="AV1224" s="180" t="str">
        <f t="shared" si="292"/>
        <v>.</v>
      </c>
      <c r="AW1224" s="180">
        <f>IFERROR(VLOOKUP(B1224,'Share, Heavy Weapons to Ukraine'!B:J,COLUMN('Share, Heavy Weapons to Ukraine'!C1234)-1,0),0)</f>
        <v>1</v>
      </c>
      <c r="AX1224" s="180">
        <f>VLOOKUP('Bilateral Assistance, MAIN DATA'!B1224,'Country Summary'!B:F,COLUMN('Country Summary'!C1237)-1,FALSE)</f>
        <v>0</v>
      </c>
      <c r="AY1224" s="180" t="str">
        <f>IF(AND(AD1224=1,D1224="Military",H1224&lt;&gt;"Not given")=TRUE,IF(SUMIFS(P:P,A:A,A1224)&gt;0,ABS((SUMIFS(P:P,A:A,A1224)/VLOOKUP("USD",'Exchange Rates'!B:C,2,0)))/S1224,"."),".")</f>
        <v>.</v>
      </c>
      <c r="AZ1224" s="182" t="str">
        <f>IF(AND(AD1224=1,D1224="Military",H1224&lt;&gt;"Not given")=TRUE,IF(SUMIFS(P:P,A:A,A1224)&gt;0,IF((ABS((SUMIFS(P:P,A:A,A1224)/VLOOKUP("USD",'Exchange Rates'!B:C,2,0)))/S1224)&gt;1,(SUMIFS(P:P,A:A,A1224)-S1224)/S1224,(S1224-SUMIFS(P:P,A:A,A1224))/SUMIFS(P:P,A:A,A1224)),"."),".")</f>
        <v>.</v>
      </c>
      <c r="BA1224" s="182"/>
      <c r="BB1224" s="182"/>
      <c r="BC1224" s="182"/>
      <c r="BD1224" s="182"/>
      <c r="BE1224" s="182"/>
      <c r="BF1224" s="182"/>
      <c r="BG1224" s="182"/>
      <c r="BH1224" s="182"/>
      <c r="BI1224" s="182"/>
      <c r="BJ1224" s="182"/>
      <c r="BK1224" s="182"/>
      <c r="BL1224" s="182"/>
      <c r="BM1224" s="182"/>
      <c r="BN1224" s="182"/>
      <c r="BO1224" s="182"/>
      <c r="BP1224" s="182"/>
      <c r="BQ1224" s="182"/>
      <c r="BR1224" s="182"/>
      <c r="BS1224" s="182"/>
    </row>
    <row r="1225" spans="1:71" ht="15.9" customHeight="1" x14ac:dyDescent="0.3">
      <c r="A1225" s="5" t="s">
        <v>3302</v>
      </c>
      <c r="B1225" s="5" t="s">
        <v>3038</v>
      </c>
      <c r="C1225" s="174">
        <v>44676</v>
      </c>
      <c r="D1225" s="5" t="s">
        <v>285</v>
      </c>
      <c r="E1225" s="19" t="s">
        <v>286</v>
      </c>
      <c r="F1225" s="175" t="s">
        <v>3304</v>
      </c>
      <c r="G1225" s="15" t="s">
        <v>346</v>
      </c>
      <c r="H1225" s="176">
        <v>322000000</v>
      </c>
      <c r="I1225" s="185" t="s">
        <v>3319</v>
      </c>
      <c r="J1225" s="113" t="str">
        <f>VLOOKUP($I1225,'Price List, Weapons &amp; Items'!B:C,2,0)</f>
        <v>Ammunition for light infantry</v>
      </c>
      <c r="K1225" s="113" t="str">
        <f>IF(I1225=".",I1225,VLOOKUP($I1225,'Price List, Weapons &amp; Items'!B:D,3,0))</f>
        <v>Mortar ammunition</v>
      </c>
      <c r="L1225" s="177">
        <f>VLOOKUP(I1225,'Price List, Weapons &amp; Items'!B:E,4,0)</f>
        <v>0</v>
      </c>
      <c r="M1225" s="542" t="s">
        <v>270</v>
      </c>
      <c r="N1225" s="542" t="s">
        <v>270</v>
      </c>
      <c r="O1225" s="543" t="str">
        <f>VLOOKUP($I1225,'Price List, Weapons &amp; Items'!B:G,6,0)</f>
        <v>.</v>
      </c>
      <c r="P1225" s="176" t="str">
        <f t="shared" si="274"/>
        <v>.</v>
      </c>
      <c r="Q1225" s="176" t="str">
        <f t="shared" si="275"/>
        <v>.</v>
      </c>
      <c r="R1225" s="176" t="str">
        <f t="shared" si="277"/>
        <v/>
      </c>
      <c r="S1225" s="176" t="str">
        <f>IF(AND(AD1225=1,R1225&lt;&gt;".")=TRUE,R1225/VLOOKUP(G1225,'Exchange Rates'!B:C,2,0),IF(R1225=".",".",""))</f>
        <v/>
      </c>
      <c r="T1225" s="176" t="str">
        <f>IF(AD1225=1,IF(AF1225="Value is not given at all",".",IF(AF1225="Value is given by the source",S1225,IF(AF1225="Value is calculated with prices",(IF(SUMIFS(Q:Q,A:A,A1225)&gt;0,SUMIFS(Q:Q,A:A,A1225),"."))/VLOOKUP("USD",'Exchange Rates'!B:C,2,0),"Error with coding"))),"")</f>
        <v/>
      </c>
      <c r="U1225" s="15" t="s">
        <v>261</v>
      </c>
      <c r="V1225" s="547" t="s">
        <v>3044</v>
      </c>
      <c r="W1225" s="667" t="s">
        <v>3044</v>
      </c>
      <c r="X1225" s="667" t="s">
        <v>3047</v>
      </c>
      <c r="Y1225" s="667" t="s">
        <v>3320</v>
      </c>
      <c r="Z1225" s="15">
        <v>0</v>
      </c>
      <c r="AA1225" s="180">
        <v>0</v>
      </c>
      <c r="AB1225" s="17" t="s">
        <v>260</v>
      </c>
      <c r="AC1225" s="544" t="str">
        <f>""</f>
        <v/>
      </c>
      <c r="AD1225" s="183">
        <v>0</v>
      </c>
      <c r="AE1225" s="183" t="s">
        <v>264</v>
      </c>
      <c r="AF1225" s="183" t="s">
        <v>265</v>
      </c>
      <c r="AG1225" s="183">
        <v>1</v>
      </c>
      <c r="AH1225" s="183">
        <v>4</v>
      </c>
      <c r="AI1225" s="183">
        <v>0</v>
      </c>
      <c r="AJ1225" s="181">
        <f>VLOOKUP($I1225,'Price List, Weapons &amp; Items'!B:F,5,0)</f>
        <v>0</v>
      </c>
      <c r="AK1225" s="181">
        <f t="shared" si="278"/>
        <v>0</v>
      </c>
      <c r="AL1225" s="181">
        <f t="shared" si="279"/>
        <v>0</v>
      </c>
      <c r="AM1225" s="181">
        <f t="shared" si="280"/>
        <v>0</v>
      </c>
      <c r="AN1225" s="180" t="str">
        <f>VLOOKUP($I1225,'Price List, Weapons &amp; Items'!B:L,COLUMN('Price List, Weapons &amp; Items'!$J$11)-1,0)</f>
        <v>.</v>
      </c>
      <c r="AO1225" s="180" t="str">
        <f>IF(I1225=".",".",VLOOKUP($I1225,'Price List, Weapons &amp; Items'!B:J,3,0))</f>
        <v>Mortar ammunition</v>
      </c>
      <c r="AP1225" s="545" t="str">
        <f t="shared" ca="1" si="276"/>
        <v/>
      </c>
      <c r="AQ1225" s="180" t="str">
        <f>VLOOKUP($I1225,'Price List, Weapons &amp; Items'!B:L,COLUMN('Price List, Weapons &amp; Items'!$L$11)-1,0)</f>
        <v>no price, 0 count</v>
      </c>
      <c r="AR1225" s="180">
        <f t="shared" si="281"/>
        <v>1</v>
      </c>
      <c r="AS1225" s="180">
        <f t="shared" si="282"/>
        <v>1</v>
      </c>
      <c r="AT1225" s="180">
        <f t="shared" si="290"/>
        <v>1</v>
      </c>
      <c r="AU1225" s="180" t="str">
        <f t="shared" si="291"/>
        <v>.</v>
      </c>
      <c r="AV1225" s="180" t="str">
        <f t="shared" si="292"/>
        <v>.</v>
      </c>
      <c r="AW1225" s="180">
        <f>IFERROR(VLOOKUP(B1225,'Share, Heavy Weapons to Ukraine'!B:J,COLUMN('Share, Heavy Weapons to Ukraine'!C1235)-1,0),0)</f>
        <v>1</v>
      </c>
      <c r="AX1225" s="180">
        <f>VLOOKUP('Bilateral Assistance, MAIN DATA'!B1225,'Country Summary'!B:F,COLUMN('Country Summary'!C1238)-1,FALSE)</f>
        <v>0</v>
      </c>
      <c r="AY1225" s="180" t="str">
        <f>IF(AND(AD1225=1,D1225="Military",H1225&lt;&gt;"Not given")=TRUE,IF(SUMIFS(P:P,A:A,A1225)&gt;0,ABS((SUMIFS(P:P,A:A,A1225)/VLOOKUP("USD",'Exchange Rates'!B:C,2,0)))/S1225,"."),".")</f>
        <v>.</v>
      </c>
      <c r="AZ1225" s="182" t="str">
        <f>IF(AND(AD1225=1,D1225="Military",H1225&lt;&gt;"Not given")=TRUE,IF(SUMIFS(P:P,A:A,A1225)&gt;0,IF((ABS((SUMIFS(P:P,A:A,A1225)/VLOOKUP("USD",'Exchange Rates'!B:C,2,0)))/S1225)&gt;1,(SUMIFS(P:P,A:A,A1225)-S1225)/S1225,(S1225-SUMIFS(P:P,A:A,A1225))/SUMIFS(P:P,A:A,A1225)),"."),".")</f>
        <v>.</v>
      </c>
      <c r="BA1225" s="182"/>
      <c r="BB1225" s="182"/>
      <c r="BC1225" s="182"/>
      <c r="BD1225" s="182"/>
      <c r="BE1225" s="182"/>
      <c r="BF1225" s="182"/>
      <c r="BG1225" s="182"/>
      <c r="BH1225" s="182"/>
      <c r="BI1225" s="182"/>
      <c r="BJ1225" s="182"/>
      <c r="BK1225" s="182"/>
      <c r="BL1225" s="182"/>
      <c r="BM1225" s="182"/>
      <c r="BN1225" s="182"/>
      <c r="BO1225" s="182"/>
      <c r="BP1225" s="182"/>
      <c r="BQ1225" s="182"/>
      <c r="BR1225" s="182"/>
      <c r="BS1225" s="182"/>
    </row>
    <row r="1226" spans="1:71" ht="15.9" customHeight="1" x14ac:dyDescent="0.3">
      <c r="A1226" s="5" t="s">
        <v>3302</v>
      </c>
      <c r="B1226" s="5" t="s">
        <v>3038</v>
      </c>
      <c r="C1226" s="174">
        <v>44676</v>
      </c>
      <c r="D1226" s="5" t="s">
        <v>285</v>
      </c>
      <c r="E1226" s="19" t="s">
        <v>286</v>
      </c>
      <c r="F1226" s="175" t="s">
        <v>3304</v>
      </c>
      <c r="G1226" s="15" t="s">
        <v>346</v>
      </c>
      <c r="H1226" s="176">
        <v>322000000</v>
      </c>
      <c r="I1226" s="185" t="s">
        <v>3321</v>
      </c>
      <c r="J1226" s="113" t="str">
        <f>VLOOKUP($I1226,'Price List, Weapons &amp; Items'!B:C,2,0)</f>
        <v>Ammunition for heavy weapon</v>
      </c>
      <c r="K1226" s="113" t="str">
        <f>IF(I1226=".",I1226,VLOOKUP($I1226,'Price List, Weapons &amp; Items'!B:D,3,0))</f>
        <v>122mm howitzer ammunition</v>
      </c>
      <c r="L1226" s="177">
        <f>VLOOKUP(I1226,'Price List, Weapons &amp; Items'!B:E,4,0)</f>
        <v>1</v>
      </c>
      <c r="M1226" s="542" t="s">
        <v>270</v>
      </c>
      <c r="N1226" s="542" t="s">
        <v>270</v>
      </c>
      <c r="O1226" s="543">
        <f>VLOOKUP($I1226,'Price List, Weapons &amp; Items'!B:G,6,0)</f>
        <v>71120.78</v>
      </c>
      <c r="P1226" s="176" t="str">
        <f t="shared" si="274"/>
        <v>.</v>
      </c>
      <c r="Q1226" s="176" t="str">
        <f t="shared" si="275"/>
        <v>.</v>
      </c>
      <c r="R1226" s="176" t="str">
        <f t="shared" si="277"/>
        <v/>
      </c>
      <c r="S1226" s="176" t="str">
        <f>IF(AND(AD1226=1,R1226&lt;&gt;".")=TRUE,R1226/VLOOKUP(G1226,'Exchange Rates'!B:C,2,0),IF(R1226=".",".",""))</f>
        <v/>
      </c>
      <c r="T1226" s="176" t="str">
        <f>IF(AD1226=1,IF(AF1226="Value is not given at all",".",IF(AF1226="Value is given by the source",S1226,IF(AF1226="Value is calculated with prices",(IF(SUMIFS(Q:Q,A:A,A1226)&gt;0,SUMIFS(Q:Q,A:A,A1226),"."))/VLOOKUP("USD",'Exchange Rates'!B:C,2,0),"Error with coding"))),"")</f>
        <v/>
      </c>
      <c r="U1226" s="15" t="s">
        <v>261</v>
      </c>
      <c r="V1226" s="547" t="s">
        <v>3044</v>
      </c>
      <c r="W1226" s="667" t="s">
        <v>3044</v>
      </c>
      <c r="X1226" s="667" t="s">
        <v>3047</v>
      </c>
      <c r="Y1226" s="667" t="s">
        <v>3322</v>
      </c>
      <c r="Z1226" s="15">
        <v>0</v>
      </c>
      <c r="AA1226" s="180">
        <v>0</v>
      </c>
      <c r="AB1226" s="17" t="s">
        <v>260</v>
      </c>
      <c r="AC1226" s="544" t="str">
        <f>""</f>
        <v/>
      </c>
      <c r="AD1226" s="183">
        <v>0</v>
      </c>
      <c r="AE1226" s="183" t="s">
        <v>264</v>
      </c>
      <c r="AF1226" s="183" t="s">
        <v>265</v>
      </c>
      <c r="AG1226" s="183">
        <v>1</v>
      </c>
      <c r="AH1226" s="183">
        <v>4</v>
      </c>
      <c r="AI1226" s="183">
        <v>0</v>
      </c>
      <c r="AJ1226" s="181">
        <f>VLOOKUP($I1226,'Price List, Weapons &amp; Items'!B:F,5,0)</f>
        <v>0</v>
      </c>
      <c r="AK1226" s="181">
        <f t="shared" si="278"/>
        <v>0</v>
      </c>
      <c r="AL1226" s="181">
        <f t="shared" si="279"/>
        <v>0</v>
      </c>
      <c r="AM1226" s="181">
        <f t="shared" si="280"/>
        <v>1</v>
      </c>
      <c r="AN1226" s="180" t="str">
        <f>VLOOKUP($I1226,'Price List, Weapons &amp; Items'!B:L,COLUMN('Price List, Weapons &amp; Items'!$J$11)-1,0)</f>
        <v>Miscellaneous</v>
      </c>
      <c r="AO1226" s="180" t="str">
        <f>IF(I1226=".",".",VLOOKUP($I1226,'Price List, Weapons &amp; Items'!B:J,3,0))</f>
        <v>122mm howitzer ammunition</v>
      </c>
      <c r="AP1226" s="545" t="str">
        <f t="shared" ca="1" si="276"/>
        <v/>
      </c>
      <c r="AQ1226" s="180">
        <f>VLOOKUP($I1226,'Price List, Weapons &amp; Items'!B:L,COLUMN('Price List, Weapons &amp; Items'!$L$11)-1,0)</f>
        <v>2</v>
      </c>
      <c r="AR1226" s="180">
        <f t="shared" si="281"/>
        <v>1</v>
      </c>
      <c r="AS1226" s="180">
        <f t="shared" si="282"/>
        <v>1</v>
      </c>
      <c r="AT1226" s="180">
        <f t="shared" si="290"/>
        <v>1</v>
      </c>
      <c r="AU1226" s="180" t="str">
        <f t="shared" si="291"/>
        <v>.</v>
      </c>
      <c r="AV1226" s="180" t="str">
        <f t="shared" si="292"/>
        <v>.</v>
      </c>
      <c r="AW1226" s="180">
        <f>IFERROR(VLOOKUP(B1226,'Share, Heavy Weapons to Ukraine'!B:J,COLUMN('Share, Heavy Weapons to Ukraine'!C1236)-1,0),0)</f>
        <v>1</v>
      </c>
      <c r="AX1226" s="180">
        <f>VLOOKUP('Bilateral Assistance, MAIN DATA'!B1226,'Country Summary'!B:F,COLUMN('Country Summary'!C1239)-1,FALSE)</f>
        <v>0</v>
      </c>
      <c r="AY1226" s="180" t="str">
        <f>IF(AND(AD1226=1,D1226="Military",H1226&lt;&gt;"Not given")=TRUE,IF(SUMIFS(P:P,A:A,A1226)&gt;0,ABS((SUMIFS(P:P,A:A,A1226)/VLOOKUP("USD",'Exchange Rates'!B:C,2,0)))/S1226,"."),".")</f>
        <v>.</v>
      </c>
      <c r="AZ1226" s="182" t="str">
        <f>IF(AND(AD1226=1,D1226="Military",H1226&lt;&gt;"Not given")=TRUE,IF(SUMIFS(P:P,A:A,A1226)&gt;0,IF((ABS((SUMIFS(P:P,A:A,A1226)/VLOOKUP("USD",'Exchange Rates'!B:C,2,0)))/S1226)&gt;1,(SUMIFS(P:P,A:A,A1226)-S1226)/S1226,(S1226-SUMIFS(P:P,A:A,A1226))/SUMIFS(P:P,A:A,A1226)),"."),".")</f>
        <v>.</v>
      </c>
      <c r="BA1226" s="182"/>
      <c r="BB1226" s="182"/>
      <c r="BC1226" s="182"/>
      <c r="BD1226" s="182"/>
      <c r="BE1226" s="182"/>
      <c r="BF1226" s="182"/>
      <c r="BG1226" s="182"/>
      <c r="BH1226" s="182"/>
      <c r="BI1226" s="182"/>
      <c r="BJ1226" s="182"/>
      <c r="BK1226" s="182"/>
      <c r="BL1226" s="182"/>
      <c r="BM1226" s="182"/>
      <c r="BN1226" s="182"/>
      <c r="BO1226" s="182"/>
      <c r="BP1226" s="182"/>
      <c r="BQ1226" s="182"/>
      <c r="BR1226" s="182"/>
      <c r="BS1226" s="182"/>
    </row>
    <row r="1227" spans="1:71" ht="15.9" customHeight="1" x14ac:dyDescent="0.3">
      <c r="A1227" s="5" t="s">
        <v>3302</v>
      </c>
      <c r="B1227" s="5" t="s">
        <v>3038</v>
      </c>
      <c r="C1227" s="174">
        <v>44676</v>
      </c>
      <c r="D1227" s="5" t="s">
        <v>285</v>
      </c>
      <c r="E1227" s="19" t="s">
        <v>286</v>
      </c>
      <c r="F1227" s="175" t="s">
        <v>3304</v>
      </c>
      <c r="G1227" s="15" t="s">
        <v>346</v>
      </c>
      <c r="H1227" s="176">
        <v>322000000</v>
      </c>
      <c r="I1227" s="185" t="s">
        <v>3323</v>
      </c>
      <c r="J1227" s="113" t="str">
        <f>VLOOKUP($I1227,'Price List, Weapons &amp; Items'!B:C,2,0)</f>
        <v>Ammunition for heavy weapon</v>
      </c>
      <c r="K1227" s="113" t="str">
        <f>IF(I1227=".",I1227,VLOOKUP($I1227,'Price List, Weapons &amp; Items'!B:D,3,0))</f>
        <v>152mm howitzer ammunition</v>
      </c>
      <c r="L1227" s="177">
        <f>VLOOKUP(I1227,'Price List, Weapons &amp; Items'!B:E,4,0)</f>
        <v>0</v>
      </c>
      <c r="M1227" s="542" t="s">
        <v>270</v>
      </c>
      <c r="N1227" s="542" t="s">
        <v>270</v>
      </c>
      <c r="O1227" s="543">
        <f>VLOOKUP($I1227,'Price List, Weapons &amp; Items'!B:G,6,0)</f>
        <v>3800</v>
      </c>
      <c r="P1227" s="176" t="str">
        <f t="shared" si="274"/>
        <v>.</v>
      </c>
      <c r="Q1227" s="176" t="str">
        <f t="shared" si="275"/>
        <v>.</v>
      </c>
      <c r="R1227" s="176" t="str">
        <f t="shared" si="277"/>
        <v/>
      </c>
      <c r="S1227" s="176" t="str">
        <f>IF(AND(AD1227=1,R1227&lt;&gt;".")=TRUE,R1227/VLOOKUP(G1227,'Exchange Rates'!B:C,2,0),IF(R1227=".",".",""))</f>
        <v/>
      </c>
      <c r="T1227" s="176" t="str">
        <f>IF(AD1227=1,IF(AF1227="Value is not given at all",".",IF(AF1227="Value is given by the source",S1227,IF(AF1227="Value is calculated with prices",(IF(SUMIFS(Q:Q,A:A,A1227)&gt;0,SUMIFS(Q:Q,A:A,A1227),"."))/VLOOKUP("USD",'Exchange Rates'!B:C,2,0),"Error with coding"))),"")</f>
        <v/>
      </c>
      <c r="U1227" s="15" t="s">
        <v>261</v>
      </c>
      <c r="V1227" s="547" t="s">
        <v>3044</v>
      </c>
      <c r="W1227" s="667" t="s">
        <v>3044</v>
      </c>
      <c r="X1227" s="667" t="s">
        <v>3047</v>
      </c>
      <c r="Y1227" s="667" t="s">
        <v>3324</v>
      </c>
      <c r="Z1227" s="15">
        <v>0</v>
      </c>
      <c r="AA1227" s="180">
        <v>0</v>
      </c>
      <c r="AB1227" s="17" t="s">
        <v>260</v>
      </c>
      <c r="AC1227" s="544" t="str">
        <f>""</f>
        <v/>
      </c>
      <c r="AD1227" s="183">
        <v>0</v>
      </c>
      <c r="AE1227" s="183" t="s">
        <v>264</v>
      </c>
      <c r="AF1227" s="183" t="s">
        <v>265</v>
      </c>
      <c r="AG1227" s="183">
        <v>1</v>
      </c>
      <c r="AH1227" s="183">
        <v>4</v>
      </c>
      <c r="AI1227" s="183">
        <v>0</v>
      </c>
      <c r="AJ1227" s="181">
        <f>VLOOKUP($I1227,'Price List, Weapons &amp; Items'!B:F,5,0)</f>
        <v>1</v>
      </c>
      <c r="AK1227" s="181">
        <f t="shared" si="278"/>
        <v>1</v>
      </c>
      <c r="AL1227" s="181">
        <f t="shared" si="279"/>
        <v>1</v>
      </c>
      <c r="AM1227" s="181">
        <f t="shared" si="280"/>
        <v>0</v>
      </c>
      <c r="AN1227" s="180" t="str">
        <f>VLOOKUP($I1227,'Price List, Weapons &amp; Items'!B:L,COLUMN('Price List, Weapons &amp; Items'!$J$11)-1,0)</f>
        <v>Contracts</v>
      </c>
      <c r="AO1227" s="180" t="str">
        <f>IF(I1227=".",".",VLOOKUP($I1227,'Price List, Weapons &amp; Items'!B:J,3,0))</f>
        <v>152mm howitzer ammunition</v>
      </c>
      <c r="AP1227" s="545" t="str">
        <f t="shared" ca="1" si="276"/>
        <v/>
      </c>
      <c r="AQ1227" s="180" t="str">
        <f>VLOOKUP($I1227,'Price List, Weapons &amp; Items'!B:L,COLUMN('Price List, Weapons &amp; Items'!$L$11)-1,0)</f>
        <v>no price, 0 count</v>
      </c>
      <c r="AR1227" s="180">
        <f t="shared" si="281"/>
        <v>1</v>
      </c>
      <c r="AS1227" s="180">
        <f t="shared" si="282"/>
        <v>1</v>
      </c>
      <c r="AT1227" s="180">
        <f t="shared" si="290"/>
        <v>1</v>
      </c>
      <c r="AU1227" s="180" t="str">
        <f t="shared" si="291"/>
        <v>.</v>
      </c>
      <c r="AV1227" s="180" t="str">
        <f t="shared" si="292"/>
        <v>.</v>
      </c>
      <c r="AW1227" s="180">
        <f>IFERROR(VLOOKUP(B1227,'Share, Heavy Weapons to Ukraine'!B:J,COLUMN('Share, Heavy Weapons to Ukraine'!C1237)-1,0),0)</f>
        <v>1</v>
      </c>
      <c r="AX1227" s="180">
        <f>VLOOKUP('Bilateral Assistance, MAIN DATA'!B1227,'Country Summary'!B:F,COLUMN('Country Summary'!C1240)-1,FALSE)</f>
        <v>0</v>
      </c>
      <c r="AY1227" s="180" t="str">
        <f>IF(AND(AD1227=1,D1227="Military",H1227&lt;&gt;"Not given")=TRUE,IF(SUMIFS(P:P,A:A,A1227)&gt;0,ABS((SUMIFS(P:P,A:A,A1227)/VLOOKUP("USD",'Exchange Rates'!B:C,2,0)))/S1227,"."),".")</f>
        <v>.</v>
      </c>
      <c r="AZ1227" s="182" t="str">
        <f>IF(AND(AD1227=1,D1227="Military",H1227&lt;&gt;"Not given")=TRUE,IF(SUMIFS(P:P,A:A,A1227)&gt;0,IF((ABS((SUMIFS(P:P,A:A,A1227)/VLOOKUP("USD",'Exchange Rates'!B:C,2,0)))/S1227)&gt;1,(SUMIFS(P:P,A:A,A1227)-S1227)/S1227,(S1227-SUMIFS(P:P,A:A,A1227))/SUMIFS(P:P,A:A,A1227)),"."),".")</f>
        <v>.</v>
      </c>
      <c r="BA1227" s="182"/>
      <c r="BB1227" s="182"/>
      <c r="BC1227" s="182"/>
      <c r="BD1227" s="182"/>
      <c r="BE1227" s="182"/>
      <c r="BF1227" s="182"/>
      <c r="BG1227" s="182"/>
      <c r="BH1227" s="182"/>
      <c r="BI1227" s="182"/>
      <c r="BJ1227" s="182"/>
      <c r="BK1227" s="182"/>
      <c r="BL1227" s="182"/>
      <c r="BM1227" s="182"/>
      <c r="BN1227" s="182"/>
      <c r="BO1227" s="182"/>
      <c r="BP1227" s="182"/>
      <c r="BQ1227" s="182"/>
      <c r="BR1227" s="182"/>
      <c r="BS1227" s="182"/>
    </row>
    <row r="1228" spans="1:71" s="505" customFormat="1" ht="15.9" customHeight="1" x14ac:dyDescent="0.3">
      <c r="A1228" s="5" t="s">
        <v>3302</v>
      </c>
      <c r="B1228" s="5" t="s">
        <v>3038</v>
      </c>
      <c r="C1228" s="174">
        <v>44691</v>
      </c>
      <c r="D1228" s="5" t="s">
        <v>285</v>
      </c>
      <c r="E1228" s="19" t="s">
        <v>1328</v>
      </c>
      <c r="F1228" s="175" t="s">
        <v>3325</v>
      </c>
      <c r="G1228" s="15" t="s">
        <v>346</v>
      </c>
      <c r="H1228" s="176">
        <v>1225000000</v>
      </c>
      <c r="I1228" s="185" t="s">
        <v>3326</v>
      </c>
      <c r="J1228" s="113" t="str">
        <f>VLOOKUP($I1228,'Price List, Weapons &amp; Items'!B:C,2,0)</f>
        <v>Heavy weapon</v>
      </c>
      <c r="K1228" s="113" t="str">
        <f>IF(I1228=".",I1228,VLOOKUP($I1228,'Price List, Weapons &amp; Items'!B:D,3,0))</f>
        <v>Patrol and coastal combatants</v>
      </c>
      <c r="L1228" s="177">
        <f>VLOOKUP(I1228,'Price List, Weapons &amp; Items'!B:E,4,0)</f>
        <v>0</v>
      </c>
      <c r="M1228" s="542">
        <v>16</v>
      </c>
      <c r="N1228" s="542">
        <v>16</v>
      </c>
      <c r="O1228" s="543">
        <f>VLOOKUP($I1228,'Price List, Weapons &amp; Items'!B:G,6,0)</f>
        <v>15000000</v>
      </c>
      <c r="P1228" s="176">
        <f t="shared" si="274"/>
        <v>240000000</v>
      </c>
      <c r="Q1228" s="176">
        <f t="shared" si="275"/>
        <v>240000000</v>
      </c>
      <c r="R1228" s="176" t="str">
        <f t="shared" si="277"/>
        <v/>
      </c>
      <c r="S1228" s="176" t="str">
        <f>IF(AND(AD1228=1,R1228&lt;&gt;".")=TRUE,R1228/VLOOKUP(G1228,'Exchange Rates'!B:C,2,0),IF(R1228=".",".",""))</f>
        <v/>
      </c>
      <c r="T1228" s="176" t="str">
        <f>IF(AD1228=1,IF(AF1228="Value is not given at all",".",IF(AF1228="Value is given by the source",S1228,IF(AF1228="Value is calculated with prices",(IF(SUMIFS(Q:Q,A:A,A1228)&gt;0,SUMIFS(Q:Q,A:A,A1228),"."))/VLOOKUP("USD",'Exchange Rates'!B:C,2,0),"Error with coding"))),"")</f>
        <v/>
      </c>
      <c r="U1228" s="15" t="s">
        <v>261</v>
      </c>
      <c r="V1228" s="547" t="s">
        <v>3047</v>
      </c>
      <c r="W1228" s="667" t="s">
        <v>3044</v>
      </c>
      <c r="X1228" s="667" t="s">
        <v>3047</v>
      </c>
      <c r="Y1228" s="667" t="s">
        <v>3327</v>
      </c>
      <c r="Z1228" s="15">
        <v>0</v>
      </c>
      <c r="AA1228" s="180">
        <v>0</v>
      </c>
      <c r="AB1228" s="17" t="s">
        <v>260</v>
      </c>
      <c r="AC1228" s="544" t="str">
        <f>""</f>
        <v/>
      </c>
      <c r="AD1228" s="183">
        <v>0</v>
      </c>
      <c r="AE1228" s="183" t="s">
        <v>264</v>
      </c>
      <c r="AF1228" s="183" t="s">
        <v>265</v>
      </c>
      <c r="AG1228" s="183">
        <v>1</v>
      </c>
      <c r="AH1228" s="183">
        <v>5</v>
      </c>
      <c r="AI1228" s="183">
        <v>0</v>
      </c>
      <c r="AJ1228" s="181">
        <f>VLOOKUP($I1228,'Price List, Weapons &amp; Items'!B:F,5,0)</f>
        <v>0</v>
      </c>
      <c r="AK1228" s="181">
        <f t="shared" si="278"/>
        <v>0</v>
      </c>
      <c r="AL1228" s="181">
        <f t="shared" si="279"/>
        <v>0</v>
      </c>
      <c r="AM1228" s="181">
        <f t="shared" si="280"/>
        <v>0</v>
      </c>
      <c r="AN1228" s="180" t="str">
        <f>VLOOKUP($I1228,'Price List, Weapons &amp; Items'!B:L,COLUMN('Price List, Weapons &amp; Items'!$J$11)-1,0)</f>
        <v>Military media (incl. websites)</v>
      </c>
      <c r="AO1228" s="180" t="str">
        <f>IF(I1228=".",".",VLOOKUP($I1228,'Price List, Weapons &amp; Items'!B:J,3,0))</f>
        <v>Patrol and coastal combatants</v>
      </c>
      <c r="AP1228" s="545" t="str">
        <f t="shared" ca="1" si="276"/>
        <v/>
      </c>
      <c r="AQ1228" s="180">
        <f>VLOOKUP($I1228,'Price List, Weapons &amp; Items'!B:L,COLUMN('Price List, Weapons &amp; Items'!$L$11)-1,0)</f>
        <v>2</v>
      </c>
      <c r="AR1228" s="180">
        <f t="shared" si="281"/>
        <v>1</v>
      </c>
      <c r="AS1228" s="180">
        <f t="shared" si="282"/>
        <v>1</v>
      </c>
      <c r="AT1228" s="180">
        <f t="shared" si="290"/>
        <v>1</v>
      </c>
      <c r="AU1228" s="180" t="str">
        <f t="shared" si="291"/>
        <v>.</v>
      </c>
      <c r="AV1228" s="180" t="str">
        <f t="shared" si="292"/>
        <v>.</v>
      </c>
      <c r="AW1228" s="180">
        <f>IFERROR(VLOOKUP(B1228,'Share, Heavy Weapons to Ukraine'!B:J,COLUMN('Share, Heavy Weapons to Ukraine'!C1238)-1,0),0)</f>
        <v>1</v>
      </c>
      <c r="AX1228" s="180">
        <f>VLOOKUP('Bilateral Assistance, MAIN DATA'!B1228,'Country Summary'!B:F,COLUMN('Country Summary'!C1241)-1,FALSE)</f>
        <v>0</v>
      </c>
      <c r="AY1228" s="180" t="str">
        <f>IF(AND(AD1228=1,D1228="Military",H1228&lt;&gt;"Not given")=TRUE,IF(SUMIFS(P:P,A:A,A1228)&gt;0,ABS((SUMIFS(P:P,A:A,A1228)/VLOOKUP("USD",'Exchange Rates'!B:C,2,0)))/S1228,"."),".")</f>
        <v>.</v>
      </c>
      <c r="AZ1228" s="182" t="str">
        <f>IF(AND(AD1228=1,D1228="Military",H1228&lt;&gt;"Not given")=TRUE,IF(SUMIFS(P:P,A:A,A1228)&gt;0,IF((ABS((SUMIFS(P:P,A:A,A1228)/VLOOKUP("USD",'Exchange Rates'!B:C,2,0)))/S1228)&gt;1,(SUMIFS(P:P,A:A,A1228)-S1228)/S1228,(S1228-SUMIFS(P:P,A:A,A1228))/SUMIFS(P:P,A:A,A1228)),"."),".")</f>
        <v>.</v>
      </c>
      <c r="BA1228" s="17"/>
      <c r="BB1228" s="17"/>
      <c r="BC1228" s="17"/>
      <c r="BD1228" s="17"/>
      <c r="BE1228" s="17"/>
      <c r="BF1228" s="17"/>
      <c r="BG1228" s="17"/>
      <c r="BH1228" s="17"/>
      <c r="BI1228" s="17"/>
      <c r="BJ1228" s="17"/>
      <c r="BK1228" s="17"/>
      <c r="BL1228" s="17"/>
      <c r="BM1228" s="17"/>
      <c r="BN1228" s="17"/>
      <c r="BO1228" s="17"/>
      <c r="BP1228" s="17"/>
      <c r="BQ1228" s="17"/>
      <c r="BR1228" s="17"/>
      <c r="BS1228" s="17"/>
    </row>
    <row r="1229" spans="1:71" s="505" customFormat="1" ht="15.9" customHeight="1" x14ac:dyDescent="0.3">
      <c r="A1229" s="5" t="s">
        <v>3302</v>
      </c>
      <c r="B1229" s="5" t="s">
        <v>3038</v>
      </c>
      <c r="C1229" s="174">
        <v>44729</v>
      </c>
      <c r="D1229" s="5" t="s">
        <v>285</v>
      </c>
      <c r="E1229" s="19" t="s">
        <v>1328</v>
      </c>
      <c r="F1229" s="175" t="s">
        <v>3325</v>
      </c>
      <c r="G1229" s="15" t="s">
        <v>346</v>
      </c>
      <c r="H1229" s="176">
        <v>1225000000</v>
      </c>
      <c r="I1229" s="185" t="s">
        <v>3328</v>
      </c>
      <c r="J1229" s="113" t="str">
        <f>VLOOKUP($I1229,'Price List, Weapons &amp; Items'!B:C,2,0)</f>
        <v>Military equipment</v>
      </c>
      <c r="K1229" s="113" t="str">
        <f>IF(I1229=".",I1229,VLOOKUP($I1229,'Price List, Weapons &amp; Items'!B:D,3,0))</f>
        <v>Light Anti-armor Weapon (LAW)</v>
      </c>
      <c r="L1229" s="177">
        <f>VLOOKUP(I1229,'Price List, Weapons &amp; Items'!B:E,4,0)</f>
        <v>0</v>
      </c>
      <c r="M1229" s="542">
        <v>32</v>
      </c>
      <c r="N1229" s="542">
        <v>32</v>
      </c>
      <c r="O1229" s="543">
        <f>VLOOKUP($I1229,'Price List, Weapons &amp; Items'!B:G,6,0)</f>
        <v>390000</v>
      </c>
      <c r="P1229" s="176">
        <f t="shared" si="274"/>
        <v>12480000</v>
      </c>
      <c r="Q1229" s="176">
        <f t="shared" si="275"/>
        <v>12480000</v>
      </c>
      <c r="R1229" s="176" t="str">
        <f t="shared" si="277"/>
        <v/>
      </c>
      <c r="S1229" s="176" t="str">
        <f>IF(AND(AD1229=1,R1229&lt;&gt;".")=TRUE,R1229/VLOOKUP(G1229,'Exchange Rates'!B:C,2,0),IF(R1229=".",".",""))</f>
        <v/>
      </c>
      <c r="T1229" s="176" t="str">
        <f>IF(AD1229=1,IF(AF1229="Value is not given at all",".",IF(AF1229="Value is given by the source",S1229,IF(AF1229="Value is calculated with prices",(IF(SUMIFS(Q:Q,A:A,A1229)&gt;0,SUMIFS(Q:Q,A:A,A1229),"."))/VLOOKUP("USD",'Exchange Rates'!B:C,2,0),"Error with coding"))),"")</f>
        <v/>
      </c>
      <c r="U1229" s="15" t="s">
        <v>261</v>
      </c>
      <c r="V1229" s="547" t="s">
        <v>3047</v>
      </c>
      <c r="W1229" s="667" t="s">
        <v>3044</v>
      </c>
      <c r="X1229" s="667" t="s">
        <v>3047</v>
      </c>
      <c r="Y1229" s="667" t="s">
        <v>3329</v>
      </c>
      <c r="Z1229" s="15">
        <v>0</v>
      </c>
      <c r="AA1229" s="180">
        <v>0</v>
      </c>
      <c r="AB1229" s="17" t="s">
        <v>260</v>
      </c>
      <c r="AC1229" s="544" t="str">
        <f>""</f>
        <v/>
      </c>
      <c r="AD1229" s="183">
        <v>0</v>
      </c>
      <c r="AE1229" s="183" t="s">
        <v>264</v>
      </c>
      <c r="AF1229" s="183" t="s">
        <v>265</v>
      </c>
      <c r="AG1229" s="183">
        <v>1</v>
      </c>
      <c r="AH1229" s="183">
        <v>6</v>
      </c>
      <c r="AI1229" s="183">
        <v>0</v>
      </c>
      <c r="AJ1229" s="181">
        <f>VLOOKUP($I1229,'Price List, Weapons &amp; Items'!B:F,5,0)</f>
        <v>0</v>
      </c>
      <c r="AK1229" s="181">
        <f t="shared" si="278"/>
        <v>0</v>
      </c>
      <c r="AL1229" s="181">
        <f t="shared" si="279"/>
        <v>0</v>
      </c>
      <c r="AM1229" s="181">
        <f t="shared" si="280"/>
        <v>0</v>
      </c>
      <c r="AN1229" s="180" t="str">
        <f>VLOOKUP($I1229,'Price List, Weapons &amp; Items'!B:L,COLUMN('Price List, Weapons &amp; Items'!$J$11)-1,0)</f>
        <v>Military media (incl. websites)</v>
      </c>
      <c r="AO1229" s="180" t="str">
        <f>IF(I1229=".",".",VLOOKUP($I1229,'Price List, Weapons &amp; Items'!B:J,3,0))</f>
        <v>Light Anti-armor Weapon (LAW)</v>
      </c>
      <c r="AP1229" s="545" t="str">
        <f t="shared" ca="1" si="276"/>
        <v/>
      </c>
      <c r="AQ1229" s="180">
        <f>VLOOKUP($I1229,'Price List, Weapons &amp; Items'!B:L,COLUMN('Price List, Weapons &amp; Items'!$L$11)-1,0)</f>
        <v>2</v>
      </c>
      <c r="AR1229" s="180">
        <f t="shared" si="281"/>
        <v>1</v>
      </c>
      <c r="AS1229" s="180">
        <f t="shared" si="282"/>
        <v>1</v>
      </c>
      <c r="AT1229" s="180">
        <f t="shared" si="290"/>
        <v>1</v>
      </c>
      <c r="AU1229" s="180" t="str">
        <f t="shared" si="291"/>
        <v>.</v>
      </c>
      <c r="AV1229" s="180" t="str">
        <f t="shared" si="292"/>
        <v>.</v>
      </c>
      <c r="AW1229" s="180">
        <f>IFERROR(VLOOKUP(B1229,'Share, Heavy Weapons to Ukraine'!B:J,COLUMN('Share, Heavy Weapons to Ukraine'!C1239)-1,0),0)</f>
        <v>1</v>
      </c>
      <c r="AX1229" s="180">
        <f>VLOOKUP('Bilateral Assistance, MAIN DATA'!B1229,'Country Summary'!B:F,COLUMN('Country Summary'!C1242)-1,FALSE)</f>
        <v>0</v>
      </c>
      <c r="AY1229" s="180" t="str">
        <f>IF(AND(AD1229=1,D1229="Military",H1229&lt;&gt;"Not given")=TRUE,IF(SUMIFS(P:P,A:A,A1229)&gt;0,ABS((SUMIFS(P:P,A:A,A1229)/VLOOKUP("USD",'Exchange Rates'!B:C,2,0)))/S1229,"."),".")</f>
        <v>.</v>
      </c>
      <c r="AZ1229" s="182" t="str">
        <f>IF(AND(AD1229=1,D1229="Military",H1229&lt;&gt;"Not given")=TRUE,IF(SUMIFS(P:P,A:A,A1229)&gt;0,IF((ABS((SUMIFS(P:P,A:A,A1229)/VLOOKUP("USD",'Exchange Rates'!B:C,2,0)))/S1229)&gt;1,(SUMIFS(P:P,A:A,A1229)-S1229)/S1229,(S1229-SUMIFS(P:P,A:A,A1229))/SUMIFS(P:P,A:A,A1229)),"."),".")</f>
        <v>.</v>
      </c>
      <c r="BA1229" s="17"/>
      <c r="BB1229" s="17"/>
      <c r="BC1229" s="17"/>
      <c r="BD1229" s="17"/>
      <c r="BE1229" s="17"/>
      <c r="BF1229" s="17"/>
      <c r="BG1229" s="17"/>
      <c r="BH1229" s="17"/>
      <c r="BI1229" s="17"/>
      <c r="BJ1229" s="17"/>
      <c r="BK1229" s="17"/>
      <c r="BL1229" s="17"/>
      <c r="BM1229" s="17"/>
      <c r="BN1229" s="17"/>
      <c r="BO1229" s="17"/>
      <c r="BP1229" s="17"/>
      <c r="BQ1229" s="17"/>
      <c r="BR1229" s="17"/>
      <c r="BS1229" s="17"/>
    </row>
    <row r="1230" spans="1:71" s="505" customFormat="1" ht="15.9" customHeight="1" x14ac:dyDescent="0.3">
      <c r="A1230" s="5" t="s">
        <v>3302</v>
      </c>
      <c r="B1230" s="5" t="s">
        <v>3038</v>
      </c>
      <c r="C1230" s="174">
        <v>44729</v>
      </c>
      <c r="D1230" s="5" t="s">
        <v>285</v>
      </c>
      <c r="E1230" s="19" t="s">
        <v>1328</v>
      </c>
      <c r="F1230" s="175" t="s">
        <v>3325</v>
      </c>
      <c r="G1230" s="15" t="s">
        <v>346</v>
      </c>
      <c r="H1230" s="176">
        <v>1225000000</v>
      </c>
      <c r="I1230" s="185" t="s">
        <v>3330</v>
      </c>
      <c r="J1230" s="113" t="str">
        <f>VLOOKUP($I1230,'Price List, Weapons &amp; Items'!B:C,2,0)</f>
        <v>Military equipment</v>
      </c>
      <c r="K1230" s="113" t="str">
        <f>IF(I1230=".",I1230,VLOOKUP($I1230,'Price List, Weapons &amp; Items'!B:D,3,0))</f>
        <v>Military equipment</v>
      </c>
      <c r="L1230" s="177">
        <f>VLOOKUP(I1230,'Price List, Weapons &amp; Items'!B:E,4,0)</f>
        <v>0</v>
      </c>
      <c r="M1230" s="542">
        <v>20</v>
      </c>
      <c r="N1230" s="542">
        <v>20</v>
      </c>
      <c r="O1230" s="543" t="str">
        <f>VLOOKUP($I1230,'Price List, Weapons &amp; Items'!B:G,6,0)</f>
        <v>.</v>
      </c>
      <c r="P1230" s="176" t="str">
        <f t="shared" si="274"/>
        <v>No price</v>
      </c>
      <c r="Q1230" s="176" t="str">
        <f t="shared" si="275"/>
        <v>No price</v>
      </c>
      <c r="R1230" s="176" t="str">
        <f t="shared" si="277"/>
        <v/>
      </c>
      <c r="S1230" s="176" t="str">
        <f>IF(AND(AD1230=1,R1230&lt;&gt;".")=TRUE,R1230/VLOOKUP(G1230,'Exchange Rates'!B:C,2,0),IF(R1230=".",".",""))</f>
        <v/>
      </c>
      <c r="T1230" s="176" t="str">
        <f>IF(AD1230=1,IF(AF1230="Value is not given at all",".",IF(AF1230="Value is given by the source",S1230,IF(AF1230="Value is calculated with prices",(IF(SUMIFS(Q:Q,A:A,A1230)&gt;0,SUMIFS(Q:Q,A:A,A1230),"."))/VLOOKUP("USD",'Exchange Rates'!B:C,2,0),"Error with coding"))),"")</f>
        <v/>
      </c>
      <c r="U1230" s="15" t="s">
        <v>261</v>
      </c>
      <c r="V1230" s="547" t="s">
        <v>3047</v>
      </c>
      <c r="W1230" s="667" t="s">
        <v>3044</v>
      </c>
      <c r="X1230" s="667" t="s">
        <v>3047</v>
      </c>
      <c r="Y1230" s="667" t="s">
        <v>3331</v>
      </c>
      <c r="Z1230" s="15">
        <v>0</v>
      </c>
      <c r="AA1230" s="180">
        <v>0</v>
      </c>
      <c r="AB1230" s="17" t="s">
        <v>260</v>
      </c>
      <c r="AC1230" s="544" t="str">
        <f>""</f>
        <v/>
      </c>
      <c r="AD1230" s="183">
        <v>0</v>
      </c>
      <c r="AE1230" s="183" t="s">
        <v>264</v>
      </c>
      <c r="AF1230" s="183" t="s">
        <v>265</v>
      </c>
      <c r="AG1230" s="183">
        <v>1</v>
      </c>
      <c r="AH1230" s="183">
        <v>6</v>
      </c>
      <c r="AI1230" s="183">
        <v>0</v>
      </c>
      <c r="AJ1230" s="181">
        <f>VLOOKUP($I1230,'Price List, Weapons &amp; Items'!B:F,5,0)</f>
        <v>0</v>
      </c>
      <c r="AK1230" s="181">
        <f t="shared" si="278"/>
        <v>0</v>
      </c>
      <c r="AL1230" s="181">
        <f t="shared" si="279"/>
        <v>0</v>
      </c>
      <c r="AM1230" s="181">
        <f t="shared" si="280"/>
        <v>0</v>
      </c>
      <c r="AN1230" s="180" t="str">
        <f>VLOOKUP($I1230,'Price List, Weapons &amp; Items'!B:L,COLUMN('Price List, Weapons &amp; Items'!$J$11)-1,0)</f>
        <v>Contracts</v>
      </c>
      <c r="AO1230" s="180" t="str">
        <f>IF(I1230=".",".",VLOOKUP($I1230,'Price List, Weapons &amp; Items'!B:J,3,0))</f>
        <v>Military equipment</v>
      </c>
      <c r="AP1230" s="545" t="str">
        <f t="shared" ca="1" si="276"/>
        <v/>
      </c>
      <c r="AQ1230" s="180">
        <f>VLOOKUP($I1230,'Price List, Weapons &amp; Items'!B:L,COLUMN('Price List, Weapons &amp; Items'!$L$11)-1,0)</f>
        <v>0</v>
      </c>
      <c r="AR1230" s="180">
        <f t="shared" si="281"/>
        <v>1</v>
      </c>
      <c r="AS1230" s="180">
        <f t="shared" si="282"/>
        <v>1</v>
      </c>
      <c r="AT1230" s="180">
        <f t="shared" si="290"/>
        <v>1</v>
      </c>
      <c r="AU1230" s="180" t="str">
        <f t="shared" si="291"/>
        <v>.</v>
      </c>
      <c r="AV1230" s="180" t="str">
        <f t="shared" si="292"/>
        <v>.</v>
      </c>
      <c r="AW1230" s="180">
        <f>IFERROR(VLOOKUP(B1230,'Share, Heavy Weapons to Ukraine'!B:J,COLUMN('Share, Heavy Weapons to Ukraine'!C1240)-1,0),0)</f>
        <v>1</v>
      </c>
      <c r="AX1230" s="180">
        <f>VLOOKUP('Bilateral Assistance, MAIN DATA'!B1230,'Country Summary'!B:F,COLUMN('Country Summary'!C1243)-1,FALSE)</f>
        <v>0</v>
      </c>
      <c r="AY1230" s="180" t="str">
        <f>IF(AND(AD1230=1,D1230="Military",H1230&lt;&gt;"Not given")=TRUE,IF(SUMIFS(P:P,A:A,A1230)&gt;0,ABS((SUMIFS(P:P,A:A,A1230)/VLOOKUP("USD",'Exchange Rates'!B:C,2,0)))/S1230,"."),".")</f>
        <v>.</v>
      </c>
      <c r="AZ1230" s="182" t="str">
        <f>IF(AND(AD1230=1,D1230="Military",H1230&lt;&gt;"Not given")=TRUE,IF(SUMIFS(P:P,A:A,A1230)&gt;0,IF((ABS((SUMIFS(P:P,A:A,A1230)/VLOOKUP("USD",'Exchange Rates'!B:C,2,0)))/S1230)&gt;1,(SUMIFS(P:P,A:A,A1230)-S1230)/S1230,(S1230-SUMIFS(P:P,A:A,A1230))/SUMIFS(P:P,A:A,A1230)),"."),".")</f>
        <v>.</v>
      </c>
      <c r="BA1230" s="17"/>
      <c r="BB1230" s="17"/>
      <c r="BC1230" s="17"/>
      <c r="BD1230" s="17"/>
      <c r="BE1230" s="17"/>
      <c r="BF1230" s="17"/>
      <c r="BG1230" s="17"/>
      <c r="BH1230" s="17"/>
      <c r="BI1230" s="17"/>
      <c r="BJ1230" s="17"/>
      <c r="BK1230" s="17"/>
      <c r="BL1230" s="17"/>
      <c r="BM1230" s="17"/>
      <c r="BN1230" s="17"/>
      <c r="BO1230" s="17"/>
      <c r="BP1230" s="17"/>
      <c r="BQ1230" s="17"/>
      <c r="BR1230" s="17"/>
      <c r="BS1230" s="17"/>
    </row>
    <row r="1231" spans="1:71" s="505" customFormat="1" ht="15.9" customHeight="1" x14ac:dyDescent="0.3">
      <c r="A1231" s="5" t="s">
        <v>3302</v>
      </c>
      <c r="B1231" s="5" t="s">
        <v>3038</v>
      </c>
      <c r="C1231" s="174">
        <v>44729</v>
      </c>
      <c r="D1231" s="5" t="s">
        <v>285</v>
      </c>
      <c r="E1231" s="19" t="s">
        <v>1328</v>
      </c>
      <c r="F1231" s="175" t="s">
        <v>3325</v>
      </c>
      <c r="G1231" s="15" t="s">
        <v>346</v>
      </c>
      <c r="H1231" s="176">
        <v>1225000000</v>
      </c>
      <c r="I1231" s="185" t="s">
        <v>3332</v>
      </c>
      <c r="J1231" s="113" t="str">
        <f>VLOOKUP($I1231,'Price List, Weapons &amp; Items'!B:C,2,0)</f>
        <v>Military equipment</v>
      </c>
      <c r="K1231" s="113" t="str">
        <f>IF(I1231=".",I1231,VLOOKUP($I1231,'Price List, Weapons &amp; Items'!B:D,3,0))</f>
        <v>Military equipment</v>
      </c>
      <c r="L1231" s="177">
        <f>VLOOKUP(I1231,'Price List, Weapons &amp; Items'!B:E,4,0)</f>
        <v>0</v>
      </c>
      <c r="M1231" s="542">
        <v>16</v>
      </c>
      <c r="N1231" s="542">
        <v>16</v>
      </c>
      <c r="O1231" s="543">
        <f>VLOOKUP($I1231,'Price List, Weapons &amp; Items'!B:G,6,0)</f>
        <v>97500</v>
      </c>
      <c r="P1231" s="176">
        <f t="shared" si="274"/>
        <v>1560000</v>
      </c>
      <c r="Q1231" s="176">
        <f t="shared" si="275"/>
        <v>1560000</v>
      </c>
      <c r="R1231" s="176" t="str">
        <f t="shared" si="277"/>
        <v/>
      </c>
      <c r="S1231" s="176" t="str">
        <f>IF(AND(AD1231=1,R1231&lt;&gt;".")=TRUE,R1231/VLOOKUP(G1231,'Exchange Rates'!B:C,2,0),IF(R1231=".",".",""))</f>
        <v/>
      </c>
      <c r="T1231" s="176" t="str">
        <f>IF(AD1231=1,IF(AF1231="Value is not given at all",".",IF(AF1231="Value is given by the source",S1231,IF(AF1231="Value is calculated with prices",(IF(SUMIFS(Q:Q,A:A,A1231)&gt;0,SUMIFS(Q:Q,A:A,A1231),"."))/VLOOKUP("USD",'Exchange Rates'!B:C,2,0),"Error with coding"))),"")</f>
        <v/>
      </c>
      <c r="U1231" s="15" t="s">
        <v>261</v>
      </c>
      <c r="V1231" s="547" t="s">
        <v>3047</v>
      </c>
      <c r="W1231" s="667" t="s">
        <v>3044</v>
      </c>
      <c r="X1231" s="667" t="s">
        <v>3047</v>
      </c>
      <c r="Y1231" s="667" t="s">
        <v>3333</v>
      </c>
      <c r="Z1231" s="15">
        <v>0</v>
      </c>
      <c r="AA1231" s="180">
        <v>0</v>
      </c>
      <c r="AB1231" s="17" t="s">
        <v>260</v>
      </c>
      <c r="AC1231" s="544" t="str">
        <f>""</f>
        <v/>
      </c>
      <c r="AD1231" s="183">
        <v>0</v>
      </c>
      <c r="AE1231" s="183" t="s">
        <v>264</v>
      </c>
      <c r="AF1231" s="183" t="s">
        <v>265</v>
      </c>
      <c r="AG1231" s="183">
        <v>1</v>
      </c>
      <c r="AH1231" s="183">
        <v>6</v>
      </c>
      <c r="AI1231" s="183">
        <v>0</v>
      </c>
      <c r="AJ1231" s="181">
        <f>VLOOKUP($I1231,'Price List, Weapons &amp; Items'!B:F,5,0)</f>
        <v>0</v>
      </c>
      <c r="AK1231" s="181">
        <f t="shared" si="278"/>
        <v>0</v>
      </c>
      <c r="AL1231" s="181">
        <f t="shared" si="279"/>
        <v>0</v>
      </c>
      <c r="AM1231" s="181">
        <f t="shared" si="280"/>
        <v>0</v>
      </c>
      <c r="AN1231" s="180" t="str">
        <f>VLOOKUP($I1231,'Price List, Weapons &amp; Items'!B:L,COLUMN('Price List, Weapons &amp; Items'!$J$11)-1,0)</f>
        <v>Media reports (incl. social media)</v>
      </c>
      <c r="AO1231" s="180" t="str">
        <f>IF(I1231=".",".",VLOOKUP($I1231,'Price List, Weapons &amp; Items'!B:J,3,0))</f>
        <v>Military equipment</v>
      </c>
      <c r="AP1231" s="545" t="str">
        <f t="shared" ca="1" si="276"/>
        <v/>
      </c>
      <c r="AQ1231" s="180">
        <f>VLOOKUP($I1231,'Price List, Weapons &amp; Items'!B:L,COLUMN('Price List, Weapons &amp; Items'!$L$11)-1,0)</f>
        <v>1</v>
      </c>
      <c r="AR1231" s="180">
        <f t="shared" si="281"/>
        <v>1</v>
      </c>
      <c r="AS1231" s="180">
        <f t="shared" si="282"/>
        <v>1</v>
      </c>
      <c r="AT1231" s="180">
        <f t="shared" si="290"/>
        <v>1</v>
      </c>
      <c r="AU1231" s="180" t="str">
        <f t="shared" si="291"/>
        <v>.</v>
      </c>
      <c r="AV1231" s="180" t="str">
        <f t="shared" si="292"/>
        <v>.</v>
      </c>
      <c r="AW1231" s="180">
        <f>IFERROR(VLOOKUP(B1231,'Share, Heavy Weapons to Ukraine'!B:J,COLUMN('Share, Heavy Weapons to Ukraine'!C1241)-1,0),0)</f>
        <v>1</v>
      </c>
      <c r="AX1231" s="180">
        <f>VLOOKUP('Bilateral Assistance, MAIN DATA'!B1231,'Country Summary'!B:F,COLUMN('Country Summary'!C1244)-1,FALSE)</f>
        <v>0</v>
      </c>
      <c r="AY1231" s="180" t="str">
        <f>IF(AND(AD1231=1,D1231="Military",H1231&lt;&gt;"Not given")=TRUE,IF(SUMIFS(P:P,A:A,A1231)&gt;0,ABS((SUMIFS(P:P,A:A,A1231)/VLOOKUP("USD",'Exchange Rates'!B:C,2,0)))/S1231,"."),".")</f>
        <v>.</v>
      </c>
      <c r="AZ1231" s="182" t="str">
        <f>IF(AND(AD1231=1,D1231="Military",H1231&lt;&gt;"Not given")=TRUE,IF(SUMIFS(P:P,A:A,A1231)&gt;0,IF((ABS((SUMIFS(P:P,A:A,A1231)/VLOOKUP("USD",'Exchange Rates'!B:C,2,0)))/S1231)&gt;1,(SUMIFS(P:P,A:A,A1231)-S1231)/S1231,(S1231-SUMIFS(P:P,A:A,A1231))/SUMIFS(P:P,A:A,A1231)),"."),".")</f>
        <v>.</v>
      </c>
      <c r="BA1231" s="17"/>
      <c r="BB1231" s="17"/>
      <c r="BC1231" s="17"/>
      <c r="BD1231" s="17"/>
      <c r="BE1231" s="17"/>
      <c r="BF1231" s="17"/>
      <c r="BG1231" s="17"/>
      <c r="BH1231" s="17"/>
      <c r="BI1231" s="17"/>
      <c r="BJ1231" s="17"/>
      <c r="BK1231" s="17"/>
      <c r="BL1231" s="17"/>
      <c r="BM1231" s="17"/>
      <c r="BN1231" s="17"/>
      <c r="BO1231" s="17"/>
      <c r="BP1231" s="17"/>
      <c r="BQ1231" s="17"/>
      <c r="BR1231" s="17"/>
      <c r="BS1231" s="17"/>
    </row>
    <row r="1232" spans="1:71" s="505" customFormat="1" ht="15.9" customHeight="1" x14ac:dyDescent="0.3">
      <c r="A1232" s="5" t="s">
        <v>3302</v>
      </c>
      <c r="B1232" s="5" t="s">
        <v>3038</v>
      </c>
      <c r="C1232" s="174">
        <v>44729</v>
      </c>
      <c r="D1232" s="5" t="s">
        <v>285</v>
      </c>
      <c r="E1232" s="19" t="s">
        <v>1328</v>
      </c>
      <c r="F1232" s="175" t="s">
        <v>3325</v>
      </c>
      <c r="G1232" s="15" t="s">
        <v>346</v>
      </c>
      <c r="H1232" s="176">
        <v>1225000000</v>
      </c>
      <c r="I1232" s="185" t="s">
        <v>3334</v>
      </c>
      <c r="J1232" s="113" t="str">
        <f>VLOOKUP($I1232,'Price List, Weapons &amp; Items'!B:C,2,0)</f>
        <v>Military equipment</v>
      </c>
      <c r="K1232" s="113" t="str">
        <f>IF(I1232=".",I1232,VLOOKUP($I1232,'Price List, Weapons &amp; Items'!B:D,3,0))</f>
        <v>Military equipment</v>
      </c>
      <c r="L1232" s="177">
        <f>VLOOKUP(I1232,'Price List, Weapons &amp; Items'!B:E,4,0)</f>
        <v>0</v>
      </c>
      <c r="M1232" s="542">
        <v>16</v>
      </c>
      <c r="N1232" s="542">
        <v>16</v>
      </c>
      <c r="O1232" s="543" t="str">
        <f>VLOOKUP($I1232,'Price List, Weapons &amp; Items'!B:G,6,0)</f>
        <v>.</v>
      </c>
      <c r="P1232" s="176" t="str">
        <f t="shared" si="274"/>
        <v>No price</v>
      </c>
      <c r="Q1232" s="176" t="str">
        <f t="shared" si="275"/>
        <v>No price</v>
      </c>
      <c r="R1232" s="176" t="str">
        <f t="shared" si="277"/>
        <v/>
      </c>
      <c r="S1232" s="176" t="str">
        <f>IF(AND(AD1232=1,R1232&lt;&gt;".")=TRUE,R1232/VLOOKUP(G1232,'Exchange Rates'!B:C,2,0),IF(R1232=".",".",""))</f>
        <v/>
      </c>
      <c r="T1232" s="176" t="str">
        <f>IF(AD1232=1,IF(AF1232="Value is not given at all",".",IF(AF1232="Value is given by the source",S1232,IF(AF1232="Value is calculated with prices",(IF(SUMIFS(Q:Q,A:A,A1232)&gt;0,SUMIFS(Q:Q,A:A,A1232),"."))/VLOOKUP("USD",'Exchange Rates'!B:C,2,0),"Error with coding"))),"")</f>
        <v/>
      </c>
      <c r="U1232" s="15" t="s">
        <v>261</v>
      </c>
      <c r="V1232" s="547" t="s">
        <v>3047</v>
      </c>
      <c r="W1232" s="667" t="s">
        <v>3044</v>
      </c>
      <c r="X1232" s="667" t="s">
        <v>3047</v>
      </c>
      <c r="Y1232" s="667" t="s">
        <v>3335</v>
      </c>
      <c r="Z1232" s="15">
        <v>0</v>
      </c>
      <c r="AA1232" s="180">
        <v>0</v>
      </c>
      <c r="AB1232" s="17" t="s">
        <v>260</v>
      </c>
      <c r="AC1232" s="544" t="str">
        <f>""</f>
        <v/>
      </c>
      <c r="AD1232" s="183">
        <v>0</v>
      </c>
      <c r="AE1232" s="183" t="s">
        <v>264</v>
      </c>
      <c r="AF1232" s="183" t="s">
        <v>265</v>
      </c>
      <c r="AG1232" s="183">
        <v>1</v>
      </c>
      <c r="AH1232" s="183">
        <v>6</v>
      </c>
      <c r="AI1232" s="183">
        <v>0</v>
      </c>
      <c r="AJ1232" s="181">
        <f>VLOOKUP($I1232,'Price List, Weapons &amp; Items'!B:F,5,0)</f>
        <v>0</v>
      </c>
      <c r="AK1232" s="181">
        <f t="shared" si="278"/>
        <v>0</v>
      </c>
      <c r="AL1232" s="181">
        <f t="shared" si="279"/>
        <v>0</v>
      </c>
      <c r="AM1232" s="181">
        <f t="shared" si="280"/>
        <v>0</v>
      </c>
      <c r="AN1232" s="180" t="str">
        <f>VLOOKUP($I1232,'Price List, Weapons &amp; Items'!B:L,COLUMN('Price List, Weapons &amp; Items'!$J$11)-1,0)</f>
        <v>Contracts</v>
      </c>
      <c r="AO1232" s="180" t="str">
        <f>IF(I1232=".",".",VLOOKUP($I1232,'Price List, Weapons &amp; Items'!B:J,3,0))</f>
        <v>Military equipment</v>
      </c>
      <c r="AP1232" s="545" t="str">
        <f t="shared" ca="1" si="276"/>
        <v/>
      </c>
      <c r="AQ1232" s="180">
        <f>VLOOKUP($I1232,'Price List, Weapons &amp; Items'!B:L,COLUMN('Price List, Weapons &amp; Items'!$L$11)-1,0)</f>
        <v>0</v>
      </c>
      <c r="AR1232" s="180">
        <f t="shared" si="281"/>
        <v>1</v>
      </c>
      <c r="AS1232" s="180">
        <f t="shared" si="282"/>
        <v>1</v>
      </c>
      <c r="AT1232" s="180">
        <f t="shared" si="290"/>
        <v>1</v>
      </c>
      <c r="AU1232" s="180" t="str">
        <f t="shared" si="291"/>
        <v>.</v>
      </c>
      <c r="AV1232" s="180" t="str">
        <f t="shared" si="292"/>
        <v>.</v>
      </c>
      <c r="AW1232" s="180">
        <f>IFERROR(VLOOKUP(B1232,'Share, Heavy Weapons to Ukraine'!B:J,COLUMN('Share, Heavy Weapons to Ukraine'!C1242)-1,0),0)</f>
        <v>1</v>
      </c>
      <c r="AX1232" s="180">
        <f>VLOOKUP('Bilateral Assistance, MAIN DATA'!B1232,'Country Summary'!B:F,COLUMN('Country Summary'!C1245)-1,FALSE)</f>
        <v>0</v>
      </c>
      <c r="AY1232" s="180" t="str">
        <f>IF(AND(AD1232=1,D1232="Military",H1232&lt;&gt;"Not given")=TRUE,IF(SUMIFS(P:P,A:A,A1232)&gt;0,ABS((SUMIFS(P:P,A:A,A1232)/VLOOKUP("USD",'Exchange Rates'!B:C,2,0)))/S1232,"."),".")</f>
        <v>.</v>
      </c>
      <c r="AZ1232" s="182" t="str">
        <f>IF(AND(AD1232=1,D1232="Military",H1232&lt;&gt;"Not given")=TRUE,IF(SUMIFS(P:P,A:A,A1232)&gt;0,IF((ABS((SUMIFS(P:P,A:A,A1232)/VLOOKUP("USD",'Exchange Rates'!B:C,2,0)))/S1232)&gt;1,(SUMIFS(P:P,A:A,A1232)-S1232)/S1232,(S1232-SUMIFS(P:P,A:A,A1232))/SUMIFS(P:P,A:A,A1232)),"."),".")</f>
        <v>.</v>
      </c>
      <c r="BA1232" s="17"/>
      <c r="BB1232" s="17"/>
      <c r="BC1232" s="17"/>
      <c r="BD1232" s="17"/>
      <c r="BE1232" s="17"/>
      <c r="BF1232" s="17"/>
      <c r="BG1232" s="17"/>
      <c r="BH1232" s="17"/>
      <c r="BI1232" s="17"/>
      <c r="BJ1232" s="17"/>
      <c r="BK1232" s="17"/>
      <c r="BL1232" s="17"/>
      <c r="BM1232" s="17"/>
      <c r="BN1232" s="17"/>
      <c r="BO1232" s="17"/>
      <c r="BP1232" s="17"/>
      <c r="BQ1232" s="17"/>
      <c r="BR1232" s="17"/>
      <c r="BS1232" s="17"/>
    </row>
    <row r="1233" spans="1:71" s="505" customFormat="1" ht="15.9" customHeight="1" x14ac:dyDescent="0.3">
      <c r="A1233" s="5" t="s">
        <v>3302</v>
      </c>
      <c r="B1233" s="5" t="s">
        <v>3038</v>
      </c>
      <c r="C1233" s="174">
        <v>44729</v>
      </c>
      <c r="D1233" s="5" t="s">
        <v>285</v>
      </c>
      <c r="E1233" s="19" t="s">
        <v>1328</v>
      </c>
      <c r="F1233" s="175" t="s">
        <v>3325</v>
      </c>
      <c r="G1233" s="15" t="s">
        <v>346</v>
      </c>
      <c r="H1233" s="176">
        <v>1225000000</v>
      </c>
      <c r="I1233" s="185" t="s">
        <v>3336</v>
      </c>
      <c r="J1233" s="113" t="str">
        <f>VLOOKUP($I1233,'Price List, Weapons &amp; Items'!B:C,2,0)</f>
        <v>Military equipment</v>
      </c>
      <c r="K1233" s="113" t="str">
        <f>IF(I1233=".",I1233,VLOOKUP($I1233,'Price List, Weapons &amp; Items'!B:D,3,0))</f>
        <v>Light Anti-armor Weapon (LAW)</v>
      </c>
      <c r="L1233" s="177">
        <f>VLOOKUP(I1233,'Price List, Weapons &amp; Items'!B:E,4,0)</f>
        <v>0</v>
      </c>
      <c r="M1233" s="542">
        <v>40</v>
      </c>
      <c r="N1233" s="542">
        <v>40</v>
      </c>
      <c r="O1233" s="543">
        <f>VLOOKUP($I1233,'Price List, Weapons &amp; Items'!B:G,6,0)</f>
        <v>390000</v>
      </c>
      <c r="P1233" s="176">
        <f t="shared" si="274"/>
        <v>15600000</v>
      </c>
      <c r="Q1233" s="176">
        <f t="shared" si="275"/>
        <v>15600000</v>
      </c>
      <c r="R1233" s="176" t="str">
        <f t="shared" si="277"/>
        <v/>
      </c>
      <c r="S1233" s="176" t="str">
        <f>IF(AND(AD1233=1,R1233&lt;&gt;".")=TRUE,R1233/VLOOKUP(G1233,'Exchange Rates'!B:C,2,0),IF(R1233=".",".",""))</f>
        <v/>
      </c>
      <c r="T1233" s="176" t="str">
        <f>IF(AD1233=1,IF(AF1233="Value is not given at all",".",IF(AF1233="Value is given by the source",S1233,IF(AF1233="Value is calculated with prices",(IF(SUMIFS(Q:Q,A:A,A1233)&gt;0,SUMIFS(Q:Q,A:A,A1233),"."))/VLOOKUP("USD",'Exchange Rates'!B:C,2,0),"Error with coding"))),"")</f>
        <v/>
      </c>
      <c r="U1233" s="15" t="s">
        <v>261</v>
      </c>
      <c r="V1233" s="634" t="s">
        <v>3044</v>
      </c>
      <c r="W1233" s="667" t="s">
        <v>3047</v>
      </c>
      <c r="X1233" s="667" t="s">
        <v>3067</v>
      </c>
      <c r="Y1233" s="667" t="s">
        <v>3337</v>
      </c>
      <c r="Z1233" s="15">
        <v>0</v>
      </c>
      <c r="AA1233" s="180">
        <v>0</v>
      </c>
      <c r="AB1233" s="17" t="s">
        <v>260</v>
      </c>
      <c r="AC1233" s="544" t="str">
        <f>""</f>
        <v/>
      </c>
      <c r="AD1233" s="183">
        <v>0</v>
      </c>
      <c r="AE1233" s="183" t="s">
        <v>264</v>
      </c>
      <c r="AF1233" s="183" t="s">
        <v>265</v>
      </c>
      <c r="AG1233" s="183">
        <v>1</v>
      </c>
      <c r="AH1233" s="183">
        <v>6</v>
      </c>
      <c r="AI1233" s="183">
        <v>0</v>
      </c>
      <c r="AJ1233" s="181">
        <f>VLOOKUP($I1233,'Price List, Weapons &amp; Items'!B:F,5,0)</f>
        <v>0</v>
      </c>
      <c r="AK1233" s="181">
        <f t="shared" si="278"/>
        <v>0</v>
      </c>
      <c r="AL1233" s="181">
        <f t="shared" si="279"/>
        <v>0</v>
      </c>
      <c r="AM1233" s="181">
        <f t="shared" si="280"/>
        <v>0</v>
      </c>
      <c r="AN1233" s="180" t="str">
        <f>VLOOKUP($I1233,'Price List, Weapons &amp; Items'!B:L,COLUMN('Price List, Weapons &amp; Items'!$J$11)-1,0)</f>
        <v>Military media (incl. websites)</v>
      </c>
      <c r="AO1233" s="180" t="str">
        <f>IF(I1233=".",".",VLOOKUP($I1233,'Price List, Weapons &amp; Items'!B:J,3,0))</f>
        <v>Light Anti-armor Weapon (LAW)</v>
      </c>
      <c r="AP1233" s="545" t="str">
        <f t="shared" ca="1" si="276"/>
        <v/>
      </c>
      <c r="AQ1233" s="180">
        <f>VLOOKUP($I1233,'Price List, Weapons &amp; Items'!B:L,COLUMN('Price List, Weapons &amp; Items'!$L$11)-1,0)</f>
        <v>2</v>
      </c>
      <c r="AR1233" s="180">
        <f t="shared" si="281"/>
        <v>1</v>
      </c>
      <c r="AS1233" s="180">
        <f t="shared" si="282"/>
        <v>1</v>
      </c>
      <c r="AT1233" s="180">
        <f t="shared" si="290"/>
        <v>1</v>
      </c>
      <c r="AU1233" s="180" t="str">
        <f t="shared" si="291"/>
        <v>.</v>
      </c>
      <c r="AV1233" s="180" t="str">
        <f t="shared" si="292"/>
        <v>.</v>
      </c>
      <c r="AW1233" s="180">
        <f>IFERROR(VLOOKUP(B1233,'Share, Heavy Weapons to Ukraine'!B:J,COLUMN('Share, Heavy Weapons to Ukraine'!C1243)-1,0),0)</f>
        <v>1</v>
      </c>
      <c r="AX1233" s="180">
        <f>VLOOKUP('Bilateral Assistance, MAIN DATA'!B1233,'Country Summary'!B:F,COLUMN('Country Summary'!C1246)-1,FALSE)</f>
        <v>0</v>
      </c>
      <c r="AY1233" s="180" t="str">
        <f>IF(AND(AD1233=1,D1233="Military",H1233&lt;&gt;"Not given")=TRUE,IF(SUMIFS(P:P,A:A,A1233)&gt;0,ABS((SUMIFS(P:P,A:A,A1233)/VLOOKUP("USD",'Exchange Rates'!B:C,2,0)))/S1233,"."),".")</f>
        <v>.</v>
      </c>
      <c r="AZ1233" s="182" t="str">
        <f>IF(AND(AD1233=1,D1233="Military",H1233&lt;&gt;"Not given")=TRUE,IF(SUMIFS(P:P,A:A,A1233)&gt;0,IF((ABS((SUMIFS(P:P,A:A,A1233)/VLOOKUP("USD",'Exchange Rates'!B:C,2,0)))/S1233)&gt;1,(SUMIFS(P:P,A:A,A1233)-S1233)/S1233,(S1233-SUMIFS(P:P,A:A,A1233))/SUMIFS(P:P,A:A,A1233)),"."),".")</f>
        <v>.</v>
      </c>
      <c r="BA1233" s="17"/>
      <c r="BB1233" s="17"/>
      <c r="BC1233" s="17"/>
      <c r="BD1233" s="17"/>
      <c r="BE1233" s="17"/>
      <c r="BF1233" s="17"/>
      <c r="BG1233" s="17"/>
      <c r="BH1233" s="17"/>
      <c r="BI1233" s="17"/>
      <c r="BJ1233" s="17"/>
      <c r="BK1233" s="17"/>
      <c r="BL1233" s="17"/>
      <c r="BM1233" s="17"/>
      <c r="BN1233" s="17"/>
      <c r="BO1233" s="17"/>
      <c r="BP1233" s="17"/>
      <c r="BQ1233" s="17"/>
      <c r="BR1233" s="17"/>
      <c r="BS1233" s="17"/>
    </row>
    <row r="1234" spans="1:71" s="525" customFormat="1" ht="15.9" customHeight="1" x14ac:dyDescent="0.3">
      <c r="A1234" s="221" t="s">
        <v>3338</v>
      </c>
      <c r="B1234" s="221" t="s">
        <v>3038</v>
      </c>
      <c r="C1234" s="222">
        <v>44652</v>
      </c>
      <c r="D1234" s="221" t="s">
        <v>285</v>
      </c>
      <c r="E1234" s="221" t="s">
        <v>286</v>
      </c>
      <c r="F1234" s="223" t="s">
        <v>3339</v>
      </c>
      <c r="G1234" s="224" t="s">
        <v>346</v>
      </c>
      <c r="H1234" s="225">
        <v>6300000000</v>
      </c>
      <c r="I1234" s="190" t="s">
        <v>3340</v>
      </c>
      <c r="J1234" s="113" t="str">
        <f>VLOOKUP($I1234,'Price List, Weapons &amp; Items'!B:C,2,0)</f>
        <v>Portable defence system</v>
      </c>
      <c r="K1234" s="113" t="str">
        <f>IF(I1234=".",I1234,VLOOKUP($I1234,'Price List, Weapons &amp; Items'!B:D,3,0))</f>
        <v>Light Anti-armor Weapon (LAW)</v>
      </c>
      <c r="L1234" s="177">
        <f>VLOOKUP(I1234,'Price List, Weapons &amp; Items'!B:E,4,0)</f>
        <v>0</v>
      </c>
      <c r="M1234" s="226" t="s">
        <v>270</v>
      </c>
      <c r="N1234" s="542" t="s">
        <v>270</v>
      </c>
      <c r="O1234" s="543">
        <f>VLOOKUP($I1234,'Price List, Weapons &amp; Items'!B:G,6,0)</f>
        <v>22000</v>
      </c>
      <c r="P1234" s="176" t="str">
        <f t="shared" ref="P1234" si="293">IF(TYPE(M1234)=1,IF(TYPE(O1234)=1,M1234*O1234,"No price"),".")</f>
        <v>.</v>
      </c>
      <c r="Q1234" s="176" t="str">
        <f t="shared" ref="Q1234" si="294">IF(TYPE(N1234)=1,IF(TYPE(O1234)=1,N1234*O1234,"No price"),".")</f>
        <v>.</v>
      </c>
      <c r="R1234" s="176">
        <f t="shared" si="277"/>
        <v>6300000000</v>
      </c>
      <c r="S1234" s="176">
        <f>IF(AND(AD1234=1,R1234&lt;&gt;".")=TRUE,R1234/VLOOKUP(G1234,'Exchange Rates'!B:C,2,0),IF(R1234=".",".",""))</f>
        <v>6000000000</v>
      </c>
      <c r="T1234" s="176" t="str">
        <f>IF(AD1234=1,IF(AF1234="Value is not given at all",".",IF(AF1234="Value is given by the source",S1234,IF(AF1234="Value is calculated with prices",(IF(SUMIFS(Q:Q,A:A,A1234)&gt;0,SUMIFS(Q:Q,A:A,A1234),"."))/VLOOKUP("USD",'Exchange Rates'!B:C,2,0),"Error with coding"))),"")</f>
        <v>.</v>
      </c>
      <c r="U1234" s="224" t="s">
        <v>261</v>
      </c>
      <c r="V1234" s="637" t="s">
        <v>3044</v>
      </c>
      <c r="W1234" s="810" t="s">
        <v>3047</v>
      </c>
      <c r="X1234" s="811" t="s">
        <v>3067</v>
      </c>
      <c r="Y1234" s="812" t="s">
        <v>260</v>
      </c>
      <c r="Z1234" s="224">
        <v>0</v>
      </c>
      <c r="AA1234" s="180">
        <v>0</v>
      </c>
      <c r="AB1234" s="696" t="s">
        <v>260</v>
      </c>
      <c r="AC1234" s="544" t="str">
        <f>""</f>
        <v/>
      </c>
      <c r="AD1234" s="588">
        <v>1</v>
      </c>
      <c r="AE1234" s="589" t="s">
        <v>264</v>
      </c>
      <c r="AF1234" s="183" t="s">
        <v>265</v>
      </c>
      <c r="AG1234" s="589">
        <v>1</v>
      </c>
      <c r="AH1234" s="589">
        <v>4</v>
      </c>
      <c r="AI1234" s="589">
        <v>0</v>
      </c>
      <c r="AJ1234" s="181">
        <f>VLOOKUP($I1234,'Price List, Weapons &amp; Items'!B:F,5,0)</f>
        <v>0</v>
      </c>
      <c r="AK1234" s="181">
        <f t="shared" ref="AK1234" si="295">IF(AND(AJ1234=1,M1234="undisclosed")=TRUE,1,0)</f>
        <v>0</v>
      </c>
      <c r="AL1234" s="181">
        <f t="shared" ref="AL1234" si="296">IF(AND(AJ1234=1,N1234="undisclosed")=TRUE,1,0)</f>
        <v>0</v>
      </c>
      <c r="AM1234" s="181">
        <f t="shared" ref="AM1234" si="297">IFERROR(IF(SEARCH("ammuni",I1234,1)&gt;0,1,0),0)</f>
        <v>0</v>
      </c>
      <c r="AN1234" s="180" t="str">
        <f>VLOOKUP($I1234,'Price List, Weapons &amp; Items'!B:L,COLUMN('Price List, Weapons &amp; Items'!$J$11)-1,0)</f>
        <v>Contracts</v>
      </c>
      <c r="AO1234" s="180" t="str">
        <f>IF(I1234=".",".",VLOOKUP($I1234,'Price List, Weapons &amp; Items'!B:J,3,0))</f>
        <v>Light Anti-armor Weapon (LAW)</v>
      </c>
      <c r="AP1234" s="545" t="e">
        <f t="shared" ca="1" si="276"/>
        <v>#NAME?</v>
      </c>
      <c r="AQ1234" s="180" t="str">
        <f>VLOOKUP($I1234,'Price List, Weapons &amp; Items'!B:L,COLUMN('Price List, Weapons &amp; Items'!$L$11)-1,0)</f>
        <v>no price, 0 count</v>
      </c>
      <c r="AR1234" s="180">
        <f t="shared" ref="AR1234" si="298">IF(U1234="Yes",1,0)</f>
        <v>1</v>
      </c>
      <c r="AS1234" s="180">
        <f t="shared" ref="AS1234" si="299">IF(D1234="Military",IF(OR(IFERROR(SEARCH("equipment",E1234,1),0)&gt;0,IFERROR(SEARCH("weapons",E1234,1),0)&gt;0),1,0),0)</f>
        <v>1</v>
      </c>
      <c r="AT1234" s="180">
        <f t="shared" si="290"/>
        <v>1</v>
      </c>
      <c r="AU1234" s="180" t="str">
        <f t="shared" si="291"/>
        <v>.</v>
      </c>
      <c r="AV1234" s="180" t="str">
        <f t="shared" ref="AV1234" si="300">IF(T1234&lt;&gt;".",IF(T1234&gt;S1234,1,"."),".")</f>
        <v>.</v>
      </c>
      <c r="AW1234" s="180">
        <f>IFERROR(VLOOKUP(B1234,'Share, Heavy Weapons to Ukraine'!B:J,COLUMN('Share, Heavy Weapons to Ukraine'!C1244)-1,0),0)</f>
        <v>1</v>
      </c>
      <c r="AX1234" s="180">
        <f>VLOOKUP('Bilateral Assistance, MAIN DATA'!B1234,'Country Summary'!B:F,COLUMN('Country Summary'!C1247)-1,FALSE)</f>
        <v>0</v>
      </c>
      <c r="AY1234" s="180">
        <f>IF(AND(AD1234=1,D1234="Military",H1234&lt;&gt;"Not given")=TRUE,IF(SUMIFS(P:P,A:A,A1234)&gt;0,ABS((SUMIFS(P:P,A:A,A1234)/VLOOKUP("USD",'Exchange Rates'!B:C,2,0)))/S1234,"."),".")</f>
        <v>0.92738788314285703</v>
      </c>
      <c r="AZ1234" s="182">
        <f>IF(AND(AD1234=1,D1234="Military",H1234&lt;&gt;"Not given")=TRUE,IF(SUMIFS(P:P,A:A,A1234)&gt;0,IF((ABS((SUMIFS(P:P,A:A,A1234)/VLOOKUP("USD",'Exchange Rates'!B:C,2,0)))/S1234)&gt;1,(SUMIFS(P:P,A:A,A1234)-S1234)/S1234,(S1234-SUMIFS(P:P,A:A,A1234))/SUMIFS(P:P,A:A,A1234)),"."),".")</f>
        <v>2.6949963108635108E-2</v>
      </c>
      <c r="BA1234" s="18"/>
      <c r="BB1234" s="18"/>
      <c r="BC1234" s="18"/>
      <c r="BD1234" s="18"/>
      <c r="BE1234" s="18"/>
      <c r="BF1234" s="18"/>
      <c r="BG1234" s="18"/>
      <c r="BH1234" s="18"/>
      <c r="BI1234" s="18"/>
      <c r="BJ1234" s="18"/>
      <c r="BK1234" s="18"/>
      <c r="BL1234" s="18"/>
      <c r="BM1234" s="18"/>
      <c r="BN1234" s="18"/>
      <c r="BO1234" s="18"/>
      <c r="BP1234" s="18"/>
      <c r="BQ1234" s="18"/>
      <c r="BR1234" s="18"/>
      <c r="BS1234" s="18"/>
    </row>
    <row r="1235" spans="1:71" s="525" customFormat="1" ht="15.9" customHeight="1" x14ac:dyDescent="0.3">
      <c r="A1235" s="221" t="s">
        <v>3338</v>
      </c>
      <c r="B1235" s="221" t="s">
        <v>3038</v>
      </c>
      <c r="C1235" s="230">
        <v>44652</v>
      </c>
      <c r="D1235" s="221" t="s">
        <v>285</v>
      </c>
      <c r="E1235" s="221" t="s">
        <v>286</v>
      </c>
      <c r="F1235" s="175" t="s">
        <v>3341</v>
      </c>
      <c r="G1235" s="224" t="s">
        <v>346</v>
      </c>
      <c r="H1235" s="225">
        <v>300000000</v>
      </c>
      <c r="I1235" s="190" t="s">
        <v>3340</v>
      </c>
      <c r="J1235" s="113" t="str">
        <f>VLOOKUP($I1235,'Price List, Weapons &amp; Items'!B:C,2,0)</f>
        <v>Portable defence system</v>
      </c>
      <c r="K1235" s="113" t="str">
        <f>IF(I1235=".",I1235,VLOOKUP($I1235,'Price List, Weapons &amp; Items'!B:D,3,0))</f>
        <v>Light Anti-armor Weapon (LAW)</v>
      </c>
      <c r="L1235" s="177">
        <f>VLOOKUP(I1235,'Price List, Weapons &amp; Items'!B:E,4,0)</f>
        <v>0</v>
      </c>
      <c r="M1235" s="226" t="s">
        <v>270</v>
      </c>
      <c r="N1235" s="542" t="s">
        <v>270</v>
      </c>
      <c r="O1235" s="543">
        <f>VLOOKUP($I1235,'Price List, Weapons &amp; Items'!B:G,6,0)</f>
        <v>22000</v>
      </c>
      <c r="P1235" s="176" t="str">
        <f t="shared" si="274"/>
        <v>.</v>
      </c>
      <c r="Q1235" s="176" t="str">
        <f t="shared" si="275"/>
        <v>.</v>
      </c>
      <c r="R1235" s="176" t="str">
        <f t="shared" si="277"/>
        <v/>
      </c>
      <c r="S1235" s="176" t="str">
        <f>IF(AND(AD1235=1,R1235&lt;&gt;".")=TRUE,R1235/VLOOKUP(G1235,'Exchange Rates'!B:C,2,0),IF(R1235=".",".",""))</f>
        <v/>
      </c>
      <c r="T1235" s="176" t="str">
        <f>IF(AD1235=1,IF(AF1235="Value is not given at all",".",IF(AF1235="Value is given by the source",S1235,IF(AF1235="Value is calculated with prices",(IF(SUMIFS(Q:Q,A:A,A1235)&gt;0,SUMIFS(Q:Q,A:A,A1235),"."))/VLOOKUP("USD",'Exchange Rates'!B:C,2,0),"Error with coding"))),"")</f>
        <v/>
      </c>
      <c r="U1235" s="224" t="s">
        <v>261</v>
      </c>
      <c r="V1235" s="587" t="s">
        <v>3342</v>
      </c>
      <c r="W1235" s="813" t="s">
        <v>3044</v>
      </c>
      <c r="X1235" s="810" t="s">
        <v>3047</v>
      </c>
      <c r="Y1235" s="811" t="s">
        <v>3067</v>
      </c>
      <c r="Z1235" s="224">
        <v>0</v>
      </c>
      <c r="AA1235" s="180">
        <v>0</v>
      </c>
      <c r="AB1235" s="696" t="s">
        <v>260</v>
      </c>
      <c r="AC1235" s="544" t="str">
        <f>""</f>
        <v/>
      </c>
      <c r="AD1235" s="588">
        <v>0</v>
      </c>
      <c r="AE1235" s="589" t="s">
        <v>264</v>
      </c>
      <c r="AF1235" s="183" t="s">
        <v>265</v>
      </c>
      <c r="AG1235" s="589">
        <v>1</v>
      </c>
      <c r="AH1235" s="589">
        <v>4</v>
      </c>
      <c r="AI1235" s="589">
        <v>0</v>
      </c>
      <c r="AJ1235" s="181">
        <f>VLOOKUP($I1235,'Price List, Weapons &amp; Items'!B:F,5,0)</f>
        <v>0</v>
      </c>
      <c r="AK1235" s="181">
        <f t="shared" si="278"/>
        <v>0</v>
      </c>
      <c r="AL1235" s="181">
        <f t="shared" si="279"/>
        <v>0</v>
      </c>
      <c r="AM1235" s="181">
        <f t="shared" si="280"/>
        <v>0</v>
      </c>
      <c r="AN1235" s="180" t="str">
        <f>VLOOKUP($I1235,'Price List, Weapons &amp; Items'!B:L,COLUMN('Price List, Weapons &amp; Items'!$J$11)-1,0)</f>
        <v>Contracts</v>
      </c>
      <c r="AO1235" s="180" t="str">
        <f>IF(I1235=".",".",VLOOKUP($I1235,'Price List, Weapons &amp; Items'!B:J,3,0))</f>
        <v>Light Anti-armor Weapon (LAW)</v>
      </c>
      <c r="AP1235" s="545" t="str">
        <f t="shared" ca="1" si="276"/>
        <v/>
      </c>
      <c r="AQ1235" s="180" t="str">
        <f>VLOOKUP($I1235,'Price List, Weapons &amp; Items'!B:L,COLUMN('Price List, Weapons &amp; Items'!$L$11)-1,0)</f>
        <v>no price, 0 count</v>
      </c>
      <c r="AR1235" s="180">
        <f t="shared" si="281"/>
        <v>1</v>
      </c>
      <c r="AS1235" s="180">
        <f t="shared" si="282"/>
        <v>1</v>
      </c>
      <c r="AT1235" s="180">
        <f t="shared" si="290"/>
        <v>1</v>
      </c>
      <c r="AU1235" s="180" t="s">
        <v>260</v>
      </c>
      <c r="AV1235" s="180" t="str">
        <f t="shared" si="292"/>
        <v>.</v>
      </c>
      <c r="AW1235" s="180">
        <f>IFERROR(VLOOKUP(B1235,'Share, Heavy Weapons to Ukraine'!B:J,COLUMN('Share, Heavy Weapons to Ukraine'!C1245)-1,0),0)</f>
        <v>1</v>
      </c>
      <c r="AX1235" s="180">
        <f>VLOOKUP('Bilateral Assistance, MAIN DATA'!B1235,'Country Summary'!B:F,COLUMN('Country Summary'!C1248)-1,FALSE)</f>
        <v>0</v>
      </c>
      <c r="AY1235" s="180" t="str">
        <f>IF(AND(AD1235=1,D1235="Military",H1235&lt;&gt;"Not given")=TRUE,IF(SUMIFS(P:P,A:A,A1235)&gt;0,ABS((SUMIFS(P:P,A:A,A1235)/VLOOKUP("USD",'Exchange Rates'!B:C,2,0)))/S1235,"."),".")</f>
        <v>.</v>
      </c>
      <c r="AZ1235" s="182" t="str">
        <f>IF(AND(AD1235=1,D1235="Military",H1235&lt;&gt;"Not given")=TRUE,IF(SUMIFS(P:P,A:A,A1235)&gt;0,IF((ABS((SUMIFS(P:P,A:A,A1235)/VLOOKUP("USD",'Exchange Rates'!B:C,2,0)))/S1235)&gt;1,(SUMIFS(P:P,A:A,A1235)-S1235)/S1235,(S1235-SUMIFS(P:P,A:A,A1235))/SUMIFS(P:P,A:A,A1235)),"."),".")</f>
        <v>.</v>
      </c>
      <c r="BA1235" s="18"/>
      <c r="BB1235" s="18"/>
      <c r="BC1235" s="18"/>
      <c r="BD1235" s="18"/>
      <c r="BE1235" s="18"/>
      <c r="BF1235" s="18"/>
      <c r="BG1235" s="18"/>
      <c r="BH1235" s="18"/>
      <c r="BI1235" s="18"/>
      <c r="BJ1235" s="18"/>
      <c r="BK1235" s="18"/>
      <c r="BL1235" s="18"/>
      <c r="BM1235" s="18"/>
      <c r="BN1235" s="18"/>
      <c r="BO1235" s="18"/>
      <c r="BP1235" s="18"/>
      <c r="BQ1235" s="18"/>
      <c r="BR1235" s="18"/>
      <c r="BS1235" s="18"/>
    </row>
    <row r="1236" spans="1:71" s="525" customFormat="1" ht="15.9" customHeight="1" x14ac:dyDescent="0.3">
      <c r="A1236" s="221" t="s">
        <v>3338</v>
      </c>
      <c r="B1236" s="229" t="s">
        <v>3038</v>
      </c>
      <c r="C1236" s="230">
        <v>44652</v>
      </c>
      <c r="D1236" s="229" t="s">
        <v>285</v>
      </c>
      <c r="E1236" s="229" t="s">
        <v>286</v>
      </c>
      <c r="F1236" s="175" t="s">
        <v>3341</v>
      </c>
      <c r="G1236" s="232" t="s">
        <v>346</v>
      </c>
      <c r="H1236" s="233">
        <v>300000000</v>
      </c>
      <c r="I1236" s="190" t="s">
        <v>3343</v>
      </c>
      <c r="J1236" s="113" t="str">
        <f>VLOOKUP($I1236,'Price List, Weapons &amp; Items'!B:C,2,0)</f>
        <v>Aviation and drones</v>
      </c>
      <c r="K1236" s="113" t="str">
        <f>IF(I1236=".",I1236,VLOOKUP($I1236,'Price List, Weapons &amp; Items'!B:D,3,0))</f>
        <v>drone</v>
      </c>
      <c r="L1236" s="177">
        <f>VLOOKUP(I1236,'Price List, Weapons &amp; Items'!B:E,4,0)</f>
        <v>0</v>
      </c>
      <c r="M1236" s="590">
        <v>600</v>
      </c>
      <c r="N1236" s="233">
        <v>600</v>
      </c>
      <c r="O1236" s="543">
        <f>VLOOKUP($I1236,'Price List, Weapons &amp; Items'!B:G,6,0)</f>
        <v>6000</v>
      </c>
      <c r="P1236" s="176">
        <f t="shared" si="274"/>
        <v>3600000</v>
      </c>
      <c r="Q1236" s="176">
        <f t="shared" si="275"/>
        <v>3600000</v>
      </c>
      <c r="R1236" s="176" t="str">
        <f t="shared" si="277"/>
        <v/>
      </c>
      <c r="S1236" s="176" t="str">
        <f>IF(AND(AD1236=1,R1236&lt;&gt;".")=TRUE,R1236/VLOOKUP(G1236,'Exchange Rates'!B:C,2,0),IF(R1236=".",".",""))</f>
        <v/>
      </c>
      <c r="T1236" s="176" t="str">
        <f>IF(AD1236=1,IF(AF1236="Value is not given at all",".",IF(AF1236="Value is given by the source",S1236,IF(AF1236="Value is calculated with prices",(IF(SUMIFS(Q:Q,A:A,A1236)&gt;0,SUMIFS(Q:Q,A:A,A1236),"."))/VLOOKUP("USD",'Exchange Rates'!B:C,2,0),"Error with coding"))),"")</f>
        <v/>
      </c>
      <c r="U1236" s="232" t="s">
        <v>261</v>
      </c>
      <c r="V1236" s="567" t="s">
        <v>3342</v>
      </c>
      <c r="W1236" s="813" t="s">
        <v>3044</v>
      </c>
      <c r="X1236" s="810" t="s">
        <v>3047</v>
      </c>
      <c r="Y1236" s="811" t="s">
        <v>3070</v>
      </c>
      <c r="Z1236" s="232">
        <v>0</v>
      </c>
      <c r="AA1236" s="180">
        <v>0</v>
      </c>
      <c r="AB1236" s="696" t="s">
        <v>260</v>
      </c>
      <c r="AC1236" s="544" t="str">
        <f>""</f>
        <v/>
      </c>
      <c r="AD1236" s="591">
        <v>0</v>
      </c>
      <c r="AE1236" s="589" t="s">
        <v>264</v>
      </c>
      <c r="AF1236" s="183" t="s">
        <v>265</v>
      </c>
      <c r="AG1236" s="235">
        <v>1</v>
      </c>
      <c r="AH1236" s="235">
        <v>4</v>
      </c>
      <c r="AI1236" s="235">
        <v>0</v>
      </c>
      <c r="AJ1236" s="181">
        <f>VLOOKUP($I1236,'Price List, Weapons &amp; Items'!B:F,5,0)</f>
        <v>0</v>
      </c>
      <c r="AK1236" s="181">
        <f t="shared" si="278"/>
        <v>0</v>
      </c>
      <c r="AL1236" s="181">
        <f t="shared" si="279"/>
        <v>0</v>
      </c>
      <c r="AM1236" s="181">
        <f t="shared" si="280"/>
        <v>0</v>
      </c>
      <c r="AN1236" s="180" t="str">
        <f>VLOOKUP($I1236,'Price List, Weapons &amp; Items'!B:L,COLUMN('Price List, Weapons &amp; Items'!$J$11)-1,0)</f>
        <v>Miscellaneous</v>
      </c>
      <c r="AO1236" s="180" t="str">
        <f>IF(I1236=".",".",VLOOKUP($I1236,'Price List, Weapons &amp; Items'!B:J,3,0))</f>
        <v>drone</v>
      </c>
      <c r="AP1236" s="545" t="str">
        <f t="shared" ca="1" si="276"/>
        <v/>
      </c>
      <c r="AQ1236" s="180">
        <f>VLOOKUP($I1236,'Price List, Weapons &amp; Items'!B:L,COLUMN('Price List, Weapons &amp; Items'!$L$11)-1,0)</f>
        <v>2</v>
      </c>
      <c r="AR1236" s="180">
        <f t="shared" si="281"/>
        <v>1</v>
      </c>
      <c r="AS1236" s="180">
        <f t="shared" si="282"/>
        <v>1</v>
      </c>
      <c r="AT1236" s="180">
        <f t="shared" si="290"/>
        <v>1</v>
      </c>
      <c r="AU1236" s="180" t="str">
        <f t="shared" si="291"/>
        <v>.</v>
      </c>
      <c r="AV1236" s="180" t="str">
        <f t="shared" si="292"/>
        <v>.</v>
      </c>
      <c r="AW1236" s="180">
        <f>IFERROR(VLOOKUP(B1236,'Share, Heavy Weapons to Ukraine'!B:J,COLUMN('Share, Heavy Weapons to Ukraine'!C1246)-1,0),0)</f>
        <v>1</v>
      </c>
      <c r="AX1236" s="180">
        <f>VLOOKUP('Bilateral Assistance, MAIN DATA'!B1236,'Country Summary'!B:F,COLUMN('Country Summary'!C1249)-1,FALSE)</f>
        <v>0</v>
      </c>
      <c r="AY1236" s="180" t="str">
        <f>IF(AND(AD1236=1,D1236="Military",H1236&lt;&gt;"Not given")=TRUE,IF(SUMIFS(P:P,A:A,A1236)&gt;0,ABS((SUMIFS(P:P,A:A,A1236)/VLOOKUP("USD",'Exchange Rates'!B:C,2,0)))/S1236,"."),".")</f>
        <v>.</v>
      </c>
      <c r="AZ1236" s="182" t="str">
        <f>IF(AND(AD1236=1,D1236="Military",H1236&lt;&gt;"Not given")=TRUE,IF(SUMIFS(P:P,A:A,A1236)&gt;0,IF((ABS((SUMIFS(P:P,A:A,A1236)/VLOOKUP("USD",'Exchange Rates'!B:C,2,0)))/S1236)&gt;1,(SUMIFS(P:P,A:A,A1236)-S1236)/S1236,(S1236-SUMIFS(P:P,A:A,A1236))/SUMIFS(P:P,A:A,A1236)),"."),".")</f>
        <v>.</v>
      </c>
      <c r="BA1236" s="18"/>
      <c r="BB1236" s="18"/>
      <c r="BC1236" s="18"/>
      <c r="BD1236" s="18"/>
      <c r="BE1236" s="18"/>
      <c r="BF1236" s="18"/>
      <c r="BG1236" s="18"/>
      <c r="BH1236" s="18"/>
      <c r="BI1236" s="18"/>
      <c r="BJ1236" s="18"/>
      <c r="BK1236" s="18"/>
      <c r="BL1236" s="18"/>
      <c r="BM1236" s="18"/>
      <c r="BN1236" s="18"/>
      <c r="BO1236" s="18"/>
      <c r="BP1236" s="18"/>
      <c r="BQ1236" s="18"/>
      <c r="BR1236" s="18"/>
      <c r="BS1236" s="18"/>
    </row>
    <row r="1237" spans="1:71" s="525" customFormat="1" ht="15.9" customHeight="1" x14ac:dyDescent="0.3">
      <c r="A1237" s="221" t="s">
        <v>3338</v>
      </c>
      <c r="B1237" s="229" t="s">
        <v>3038</v>
      </c>
      <c r="C1237" s="230">
        <v>44652</v>
      </c>
      <c r="D1237" s="229" t="s">
        <v>285</v>
      </c>
      <c r="E1237" s="229" t="s">
        <v>286</v>
      </c>
      <c r="F1237" s="175" t="s">
        <v>3341</v>
      </c>
      <c r="G1237" s="232" t="s">
        <v>346</v>
      </c>
      <c r="H1237" s="233">
        <v>300000000</v>
      </c>
      <c r="I1237" s="190" t="s">
        <v>3344</v>
      </c>
      <c r="J1237" s="113" t="str">
        <f>VLOOKUP($I1237,'Price List, Weapons &amp; Items'!B:C,2,0)</f>
        <v>Aviation and drones</v>
      </c>
      <c r="K1237" s="113" t="str">
        <f>IF(I1237=".",I1237,VLOOKUP($I1237,'Price List, Weapons &amp; Items'!B:D,3,0))</f>
        <v>Drone</v>
      </c>
      <c r="L1237" s="177">
        <f>VLOOKUP(I1237,'Price List, Weapons &amp; Items'!B:E,4,0)</f>
        <v>0</v>
      </c>
      <c r="M1237" s="226" t="s">
        <v>270</v>
      </c>
      <c r="N1237" s="233" t="s">
        <v>270</v>
      </c>
      <c r="O1237" s="543">
        <f>VLOOKUP($I1237,'Price List, Weapons &amp; Items'!B:G,6,0)</f>
        <v>250000</v>
      </c>
      <c r="P1237" s="176" t="str">
        <f t="shared" si="274"/>
        <v>.</v>
      </c>
      <c r="Q1237" s="176" t="str">
        <f t="shared" si="275"/>
        <v>.</v>
      </c>
      <c r="R1237" s="176" t="str">
        <f t="shared" si="277"/>
        <v/>
      </c>
      <c r="S1237" s="176" t="str">
        <f>IF(AND(AD1237=1,R1237&lt;&gt;".")=TRUE,R1237/VLOOKUP(G1237,'Exchange Rates'!B:C,2,0),IF(R1237=".",".",""))</f>
        <v/>
      </c>
      <c r="T1237" s="176" t="str">
        <f>IF(AD1237=1,IF(AF1237="Value is not given at all",".",IF(AF1237="Value is given by the source",S1237,IF(AF1237="Value is calculated with prices",(IF(SUMIFS(Q:Q,A:A,A1237)&gt;0,SUMIFS(Q:Q,A:A,A1237),"."))/VLOOKUP("USD",'Exchange Rates'!B:C,2,0),"Error with coding"))),"")</f>
        <v/>
      </c>
      <c r="U1237" s="232" t="s">
        <v>261</v>
      </c>
      <c r="V1237" s="567" t="s">
        <v>3342</v>
      </c>
      <c r="W1237" s="813" t="s">
        <v>3044</v>
      </c>
      <c r="X1237" s="810" t="s">
        <v>3047</v>
      </c>
      <c r="Y1237" s="811" t="s">
        <v>3072</v>
      </c>
      <c r="Z1237" s="232">
        <v>0</v>
      </c>
      <c r="AA1237" s="180">
        <v>0</v>
      </c>
      <c r="AB1237" s="696" t="s">
        <v>260</v>
      </c>
      <c r="AC1237" s="544" t="str">
        <f>""</f>
        <v/>
      </c>
      <c r="AD1237" s="591">
        <v>0</v>
      </c>
      <c r="AE1237" s="589" t="s">
        <v>264</v>
      </c>
      <c r="AF1237" s="183" t="s">
        <v>265</v>
      </c>
      <c r="AG1237" s="235">
        <v>1</v>
      </c>
      <c r="AH1237" s="235">
        <v>4</v>
      </c>
      <c r="AI1237" s="235">
        <v>0</v>
      </c>
      <c r="AJ1237" s="181">
        <f>VLOOKUP($I1237,'Price List, Weapons &amp; Items'!B:F,5,0)</f>
        <v>0</v>
      </c>
      <c r="AK1237" s="181">
        <f t="shared" si="278"/>
        <v>0</v>
      </c>
      <c r="AL1237" s="181">
        <f t="shared" si="279"/>
        <v>0</v>
      </c>
      <c r="AM1237" s="181">
        <f t="shared" si="280"/>
        <v>0</v>
      </c>
      <c r="AN1237" s="180" t="str">
        <f>VLOOKUP($I1237,'Price List, Weapons &amp; Items'!B:L,COLUMN('Price List, Weapons &amp; Items'!$J$11)-1,0)</f>
        <v>Media reports (incl. social media)</v>
      </c>
      <c r="AO1237" s="180" t="str">
        <f>IF(I1237=".",".",VLOOKUP($I1237,'Price List, Weapons &amp; Items'!B:J,3,0))</f>
        <v>Drone</v>
      </c>
      <c r="AP1237" s="545" t="str">
        <f t="shared" ref="AP1237:AP1300" ca="1" si="301">IF(AD1237=1,_xlfn.ARRAYTOTEXT(OFFSET(I1237,0,0,COUNTIF(A:A,A1237),1)),"")</f>
        <v/>
      </c>
      <c r="AQ1237" s="180" t="str">
        <f>VLOOKUP($I1237,'Price List, Weapons &amp; Items'!B:L,COLUMN('Price List, Weapons &amp; Items'!$L$11)-1,0)</f>
        <v>no price, 0 count</v>
      </c>
      <c r="AR1237" s="180">
        <f t="shared" si="281"/>
        <v>1</v>
      </c>
      <c r="AS1237" s="180">
        <f t="shared" si="282"/>
        <v>1</v>
      </c>
      <c r="AT1237" s="180">
        <f t="shared" si="290"/>
        <v>1</v>
      </c>
      <c r="AU1237" s="180" t="str">
        <f t="shared" si="291"/>
        <v>.</v>
      </c>
      <c r="AV1237" s="180" t="str">
        <f t="shared" si="292"/>
        <v>.</v>
      </c>
      <c r="AW1237" s="180">
        <f>IFERROR(VLOOKUP(B1237,'Share, Heavy Weapons to Ukraine'!B:J,COLUMN('Share, Heavy Weapons to Ukraine'!C1247)-1,0),0)</f>
        <v>1</v>
      </c>
      <c r="AX1237" s="180">
        <f>VLOOKUP('Bilateral Assistance, MAIN DATA'!B1237,'Country Summary'!B:F,COLUMN('Country Summary'!C1250)-1,FALSE)</f>
        <v>0</v>
      </c>
      <c r="AY1237" s="180" t="str">
        <f>IF(AND(AD1237=1,D1237="Military",H1237&lt;&gt;"Not given")=TRUE,IF(SUMIFS(P:P,A:A,A1237)&gt;0,ABS((SUMIFS(P:P,A:A,A1237)/VLOOKUP("USD",'Exchange Rates'!B:C,2,0)))/S1237,"."),".")</f>
        <v>.</v>
      </c>
      <c r="AZ1237" s="182" t="str">
        <f>IF(AND(AD1237=1,D1237="Military",H1237&lt;&gt;"Not given")=TRUE,IF(SUMIFS(P:P,A:A,A1237)&gt;0,IF((ABS((SUMIFS(P:P,A:A,A1237)/VLOOKUP("USD",'Exchange Rates'!B:C,2,0)))/S1237)&gt;1,(SUMIFS(P:P,A:A,A1237)-S1237)/S1237,(S1237-SUMIFS(P:P,A:A,A1237))/SUMIFS(P:P,A:A,A1237)),"."),".")</f>
        <v>.</v>
      </c>
      <c r="BA1237" s="18"/>
      <c r="BB1237" s="18"/>
      <c r="BC1237" s="18"/>
      <c r="BD1237" s="18"/>
      <c r="BE1237" s="18"/>
      <c r="BF1237" s="18"/>
      <c r="BG1237" s="18"/>
      <c r="BH1237" s="18"/>
      <c r="BI1237" s="18"/>
      <c r="BJ1237" s="18"/>
      <c r="BK1237" s="18"/>
      <c r="BL1237" s="18"/>
      <c r="BM1237" s="18"/>
      <c r="BN1237" s="18"/>
      <c r="BO1237" s="18"/>
      <c r="BP1237" s="18"/>
      <c r="BQ1237" s="18"/>
      <c r="BR1237" s="18"/>
      <c r="BS1237" s="18"/>
    </row>
    <row r="1238" spans="1:71" s="525" customFormat="1" ht="15.9" customHeight="1" x14ac:dyDescent="0.3">
      <c r="A1238" s="221" t="s">
        <v>3338</v>
      </c>
      <c r="B1238" s="229" t="s">
        <v>3038</v>
      </c>
      <c r="C1238" s="230">
        <v>44652</v>
      </c>
      <c r="D1238" s="229" t="s">
        <v>285</v>
      </c>
      <c r="E1238" s="229" t="s">
        <v>286</v>
      </c>
      <c r="F1238" s="175" t="s">
        <v>3341</v>
      </c>
      <c r="G1238" s="232" t="s">
        <v>346</v>
      </c>
      <c r="H1238" s="233">
        <v>300000000</v>
      </c>
      <c r="I1238" s="190" t="s">
        <v>3345</v>
      </c>
      <c r="J1238" s="113" t="str">
        <f>VLOOKUP($I1238,'Price List, Weapons &amp; Items'!B:C,2,0)</f>
        <v>Aviation and drones</v>
      </c>
      <c r="K1238" s="113" t="str">
        <f>IF(I1238=".",I1238,VLOOKUP($I1238,'Price List, Weapons &amp; Items'!B:D,3,0))</f>
        <v>Drone</v>
      </c>
      <c r="L1238" s="177">
        <f>VLOOKUP(I1238,'Price List, Weapons &amp; Items'!B:E,4,0)</f>
        <v>0</v>
      </c>
      <c r="M1238" s="226" t="s">
        <v>270</v>
      </c>
      <c r="N1238" s="233" t="s">
        <v>270</v>
      </c>
      <c r="O1238" s="543">
        <f>VLOOKUP($I1238,'Price List, Weapons &amp; Items'!B:G,6,0)</f>
        <v>15000000</v>
      </c>
      <c r="P1238" s="176" t="str">
        <f t="shared" si="274"/>
        <v>.</v>
      </c>
      <c r="Q1238" s="176" t="str">
        <f t="shared" si="275"/>
        <v>.</v>
      </c>
      <c r="R1238" s="176" t="str">
        <f t="shared" si="277"/>
        <v/>
      </c>
      <c r="S1238" s="176" t="str">
        <f>IF(AND(AD1238=1,R1238&lt;&gt;".")=TRUE,R1238/VLOOKUP(G1238,'Exchange Rates'!B:C,2,0),IF(R1238=".",".",""))</f>
        <v/>
      </c>
      <c r="T1238" s="176" t="str">
        <f>IF(AD1238=1,IF(AF1238="Value is not given at all",".",IF(AF1238="Value is given by the source",S1238,IF(AF1238="Value is calculated with prices",(IF(SUMIFS(Q:Q,A:A,A1238)&gt;0,SUMIFS(Q:Q,A:A,A1238),"."))/VLOOKUP("USD",'Exchange Rates'!B:C,2,0),"Error with coding"))),"")</f>
        <v/>
      </c>
      <c r="U1238" s="232" t="s">
        <v>261</v>
      </c>
      <c r="V1238" s="567" t="s">
        <v>3342</v>
      </c>
      <c r="W1238" s="813" t="s">
        <v>3044</v>
      </c>
      <c r="X1238" s="810" t="s">
        <v>3047</v>
      </c>
      <c r="Y1238" s="811" t="s">
        <v>3074</v>
      </c>
      <c r="Z1238" s="232">
        <v>0</v>
      </c>
      <c r="AA1238" s="180">
        <v>0</v>
      </c>
      <c r="AB1238" s="696" t="s">
        <v>260</v>
      </c>
      <c r="AC1238" s="544" t="str">
        <f>""</f>
        <v/>
      </c>
      <c r="AD1238" s="591">
        <v>0</v>
      </c>
      <c r="AE1238" s="589" t="s">
        <v>264</v>
      </c>
      <c r="AF1238" s="183" t="s">
        <v>265</v>
      </c>
      <c r="AG1238" s="235">
        <v>1</v>
      </c>
      <c r="AH1238" s="235">
        <v>4</v>
      </c>
      <c r="AI1238" s="235">
        <v>0</v>
      </c>
      <c r="AJ1238" s="181">
        <f>VLOOKUP($I1238,'Price List, Weapons &amp; Items'!B:F,5,0)</f>
        <v>0</v>
      </c>
      <c r="AK1238" s="181">
        <f t="shared" si="278"/>
        <v>0</v>
      </c>
      <c r="AL1238" s="181">
        <f t="shared" si="279"/>
        <v>0</v>
      </c>
      <c r="AM1238" s="181">
        <f t="shared" si="280"/>
        <v>0</v>
      </c>
      <c r="AN1238" s="180" t="str">
        <f>VLOOKUP($I1238,'Price List, Weapons &amp; Items'!B:L,COLUMN('Price List, Weapons &amp; Items'!$J$11)-1,0)</f>
        <v>Miscellaneous</v>
      </c>
      <c r="AO1238" s="180" t="str">
        <f>IF(I1238=".",".",VLOOKUP($I1238,'Price List, Weapons &amp; Items'!B:J,3,0))</f>
        <v>Drone</v>
      </c>
      <c r="AP1238" s="545" t="str">
        <f t="shared" ca="1" si="301"/>
        <v/>
      </c>
      <c r="AQ1238" s="180" t="str">
        <f>VLOOKUP($I1238,'Price List, Weapons &amp; Items'!B:L,COLUMN('Price List, Weapons &amp; Items'!$L$11)-1,0)</f>
        <v>no price, 0 count</v>
      </c>
      <c r="AR1238" s="180">
        <f t="shared" si="281"/>
        <v>1</v>
      </c>
      <c r="AS1238" s="180">
        <f t="shared" si="282"/>
        <v>1</v>
      </c>
      <c r="AT1238" s="180">
        <f t="shared" si="290"/>
        <v>1</v>
      </c>
      <c r="AU1238" s="180" t="str">
        <f t="shared" si="291"/>
        <v>.</v>
      </c>
      <c r="AV1238" s="180" t="str">
        <f t="shared" si="292"/>
        <v>.</v>
      </c>
      <c r="AW1238" s="180">
        <f>IFERROR(VLOOKUP(B1238,'Share, Heavy Weapons to Ukraine'!B:J,COLUMN('Share, Heavy Weapons to Ukraine'!C1248)-1,0),0)</f>
        <v>1</v>
      </c>
      <c r="AX1238" s="180">
        <f>VLOOKUP('Bilateral Assistance, MAIN DATA'!B1238,'Country Summary'!B:F,COLUMN('Country Summary'!C1251)-1,FALSE)</f>
        <v>0</v>
      </c>
      <c r="AY1238" s="180" t="str">
        <f>IF(AND(AD1238=1,D1238="Military",H1238&lt;&gt;"Not given")=TRUE,IF(SUMIFS(P:P,A:A,A1238)&gt;0,ABS((SUMIFS(P:P,A:A,A1238)/VLOOKUP("USD",'Exchange Rates'!B:C,2,0)))/S1238,"."),".")</f>
        <v>.</v>
      </c>
      <c r="AZ1238" s="182" t="str">
        <f>IF(AND(AD1238=1,D1238="Military",H1238&lt;&gt;"Not given")=TRUE,IF(SUMIFS(P:P,A:A,A1238)&gt;0,IF((ABS((SUMIFS(P:P,A:A,A1238)/VLOOKUP("USD",'Exchange Rates'!B:C,2,0)))/S1238)&gt;1,(SUMIFS(P:P,A:A,A1238)-S1238)/S1238,(S1238-SUMIFS(P:P,A:A,A1238))/SUMIFS(P:P,A:A,A1238)),"."),".")</f>
        <v>.</v>
      </c>
      <c r="BA1238" s="18"/>
      <c r="BB1238" s="18"/>
      <c r="BC1238" s="18"/>
      <c r="BD1238" s="18"/>
      <c r="BE1238" s="18"/>
      <c r="BF1238" s="18"/>
      <c r="BG1238" s="18"/>
      <c r="BH1238" s="18"/>
      <c r="BI1238" s="18"/>
      <c r="BJ1238" s="18"/>
      <c r="BK1238" s="18"/>
      <c r="BL1238" s="18"/>
      <c r="BM1238" s="18"/>
      <c r="BN1238" s="18"/>
      <c r="BO1238" s="18"/>
      <c r="BP1238" s="18"/>
      <c r="BQ1238" s="18"/>
      <c r="BR1238" s="18"/>
      <c r="BS1238" s="18"/>
    </row>
    <row r="1239" spans="1:71" s="525" customFormat="1" ht="15.9" customHeight="1" x14ac:dyDescent="0.3">
      <c r="A1239" s="221" t="s">
        <v>3338</v>
      </c>
      <c r="B1239" s="229" t="s">
        <v>3038</v>
      </c>
      <c r="C1239" s="230">
        <v>44652</v>
      </c>
      <c r="D1239" s="229" t="s">
        <v>285</v>
      </c>
      <c r="E1239" s="229" t="s">
        <v>286</v>
      </c>
      <c r="F1239" s="175" t="s">
        <v>3341</v>
      </c>
      <c r="G1239" s="232" t="s">
        <v>346</v>
      </c>
      <c r="H1239" s="233">
        <v>300000000</v>
      </c>
      <c r="I1239" s="190" t="s">
        <v>3110</v>
      </c>
      <c r="J1239" s="113" t="str">
        <f>VLOOKUP($I1239,'Price List, Weapons &amp; Items'!B:C,2,0)</f>
        <v>Heavy weapon</v>
      </c>
      <c r="K1239" s="113" t="str">
        <f>IF(I1239=".",I1239,VLOOKUP($I1239,'Price List, Weapons &amp; Items'!B:D,3,0))</f>
        <v>Armoured Utility Vehicle (AUV)</v>
      </c>
      <c r="L1239" s="177">
        <f>VLOOKUP(I1239,'Price List, Weapons &amp; Items'!B:E,4,0)</f>
        <v>0</v>
      </c>
      <c r="M1239" s="226" t="s">
        <v>270</v>
      </c>
      <c r="N1239" s="233" t="s">
        <v>270</v>
      </c>
      <c r="O1239" s="543">
        <f>VLOOKUP($I1239,'Price List, Weapons &amp; Items'!B:G,6,0)</f>
        <v>254717</v>
      </c>
      <c r="P1239" s="176" t="str">
        <f t="shared" si="274"/>
        <v>.</v>
      </c>
      <c r="Q1239" s="176" t="str">
        <f t="shared" si="275"/>
        <v>.</v>
      </c>
      <c r="R1239" s="176" t="str">
        <f t="shared" si="277"/>
        <v/>
      </c>
      <c r="S1239" s="176" t="str">
        <f>IF(AND(AD1239=1,R1239&lt;&gt;".")=TRUE,R1239/VLOOKUP(G1239,'Exchange Rates'!B:C,2,0),IF(R1239=".",".",""))</f>
        <v/>
      </c>
      <c r="T1239" s="176" t="str">
        <f>IF(AD1239=1,IF(AF1239="Value is not given at all",".",IF(AF1239="Value is given by the source",S1239,IF(AF1239="Value is calculated with prices",(IF(SUMIFS(Q:Q,A:A,A1239)&gt;0,SUMIFS(Q:Q,A:A,A1239),"."))/VLOOKUP("USD",'Exchange Rates'!B:C,2,0),"Error with coding"))),"")</f>
        <v/>
      </c>
      <c r="U1239" s="232" t="s">
        <v>261</v>
      </c>
      <c r="V1239" s="547" t="s">
        <v>3342</v>
      </c>
      <c r="W1239" s="813" t="s">
        <v>3044</v>
      </c>
      <c r="X1239" s="810" t="s">
        <v>3047</v>
      </c>
      <c r="Y1239" s="811" t="s">
        <v>3077</v>
      </c>
      <c r="Z1239" s="232">
        <v>0</v>
      </c>
      <c r="AA1239" s="180">
        <v>0</v>
      </c>
      <c r="AB1239" s="696" t="s">
        <v>260</v>
      </c>
      <c r="AC1239" s="544" t="str">
        <f>""</f>
        <v/>
      </c>
      <c r="AD1239" s="591">
        <v>0</v>
      </c>
      <c r="AE1239" s="589" t="s">
        <v>264</v>
      </c>
      <c r="AF1239" s="183" t="s">
        <v>265</v>
      </c>
      <c r="AG1239" s="235">
        <v>1</v>
      </c>
      <c r="AH1239" s="235">
        <v>4</v>
      </c>
      <c r="AI1239" s="235">
        <v>0</v>
      </c>
      <c r="AJ1239" s="181">
        <f>VLOOKUP($I1239,'Price List, Weapons &amp; Items'!B:F,5,0)</f>
        <v>1</v>
      </c>
      <c r="AK1239" s="181">
        <f t="shared" si="278"/>
        <v>1</v>
      </c>
      <c r="AL1239" s="181">
        <f t="shared" si="279"/>
        <v>1</v>
      </c>
      <c r="AM1239" s="181">
        <f t="shared" si="280"/>
        <v>0</v>
      </c>
      <c r="AN1239" s="180" t="str">
        <f>VLOOKUP($I1239,'Price List, Weapons &amp; Items'!B:L,COLUMN('Price List, Weapons &amp; Items'!$J$11)-1,0)</f>
        <v>Military media (incl. websites)</v>
      </c>
      <c r="AO1239" s="180" t="str">
        <f>IF(I1239=".",".",VLOOKUP($I1239,'Price List, Weapons &amp; Items'!B:J,3,0))</f>
        <v>Armoured Utility Vehicle (AUV)</v>
      </c>
      <c r="AP1239" s="545" t="str">
        <f t="shared" ca="1" si="301"/>
        <v/>
      </c>
      <c r="AQ1239" s="180">
        <f>VLOOKUP($I1239,'Price List, Weapons &amp; Items'!B:L,COLUMN('Price List, Weapons &amp; Items'!$L$11)-1,0)</f>
        <v>2</v>
      </c>
      <c r="AR1239" s="180">
        <f t="shared" si="281"/>
        <v>1</v>
      </c>
      <c r="AS1239" s="180">
        <f t="shared" si="282"/>
        <v>1</v>
      </c>
      <c r="AT1239" s="180">
        <f t="shared" si="290"/>
        <v>1</v>
      </c>
      <c r="AU1239" s="180" t="str">
        <f t="shared" si="291"/>
        <v>.</v>
      </c>
      <c r="AV1239" s="180" t="str">
        <f t="shared" si="292"/>
        <v>.</v>
      </c>
      <c r="AW1239" s="180">
        <f>IFERROR(VLOOKUP(B1239,'Share, Heavy Weapons to Ukraine'!B:J,COLUMN('Share, Heavy Weapons to Ukraine'!C1249)-1,0),0)</f>
        <v>1</v>
      </c>
      <c r="AX1239" s="180">
        <f>VLOOKUP('Bilateral Assistance, MAIN DATA'!B1239,'Country Summary'!B:F,COLUMN('Country Summary'!C1252)-1,FALSE)</f>
        <v>0</v>
      </c>
      <c r="AY1239" s="180" t="str">
        <f>IF(AND(AD1239=1,D1239="Military",H1239&lt;&gt;"Not given")=TRUE,IF(SUMIFS(P:P,A:A,A1239)&gt;0,ABS((SUMIFS(P:P,A:A,A1239)/VLOOKUP("USD",'Exchange Rates'!B:C,2,0)))/S1239,"."),".")</f>
        <v>.</v>
      </c>
      <c r="AZ1239" s="182" t="str">
        <f>IF(AND(AD1239=1,D1239="Military",H1239&lt;&gt;"Not given")=TRUE,IF(SUMIFS(P:P,A:A,A1239)&gt;0,IF((ABS((SUMIFS(P:P,A:A,A1239)/VLOOKUP("USD",'Exchange Rates'!B:C,2,0)))/S1239)&gt;1,(SUMIFS(P:P,A:A,A1239)-S1239)/S1239,(S1239-SUMIFS(P:P,A:A,A1239))/SUMIFS(P:P,A:A,A1239)),"."),".")</f>
        <v>.</v>
      </c>
      <c r="BA1239" s="18"/>
      <c r="BB1239" s="18"/>
      <c r="BC1239" s="18"/>
      <c r="BD1239" s="18"/>
      <c r="BE1239" s="18"/>
      <c r="BF1239" s="18"/>
      <c r="BG1239" s="18"/>
      <c r="BH1239" s="18"/>
      <c r="BI1239" s="18"/>
      <c r="BJ1239" s="18"/>
      <c r="BK1239" s="18"/>
      <c r="BL1239" s="18"/>
      <c r="BM1239" s="18"/>
      <c r="BN1239" s="18"/>
      <c r="BO1239" s="18"/>
      <c r="BP1239" s="18"/>
      <c r="BQ1239" s="18"/>
      <c r="BR1239" s="18"/>
      <c r="BS1239" s="18"/>
    </row>
    <row r="1240" spans="1:71" s="525" customFormat="1" ht="15.9" customHeight="1" x14ac:dyDescent="0.3">
      <c r="A1240" s="221" t="s">
        <v>3338</v>
      </c>
      <c r="B1240" s="229" t="s">
        <v>3038</v>
      </c>
      <c r="C1240" s="230">
        <v>44652</v>
      </c>
      <c r="D1240" s="229" t="s">
        <v>285</v>
      </c>
      <c r="E1240" s="229" t="s">
        <v>286</v>
      </c>
      <c r="F1240" s="175" t="s">
        <v>3341</v>
      </c>
      <c r="G1240" s="232" t="s">
        <v>346</v>
      </c>
      <c r="H1240" s="233">
        <v>300000000</v>
      </c>
      <c r="I1240" s="190" t="s">
        <v>3346</v>
      </c>
      <c r="J1240" s="113" t="str">
        <f>VLOOKUP($I1240,'Price List, Weapons &amp; Items'!B:C,2,0)</f>
        <v>Ammunition for light infantry</v>
      </c>
      <c r="K1240" s="113" t="str">
        <f>IF(I1240=".",I1240,VLOOKUP($I1240,'Price List, Weapons &amp; Items'!B:D,3,0))</f>
        <v>Small Arms and Light Weapons (SALW) ammunition</v>
      </c>
      <c r="L1240" s="177">
        <f>VLOOKUP(I1240,'Price List, Weapons &amp; Items'!B:E,4,0)</f>
        <v>0</v>
      </c>
      <c r="M1240" s="226" t="s">
        <v>270</v>
      </c>
      <c r="N1240" s="233" t="s">
        <v>270</v>
      </c>
      <c r="O1240" s="543" t="str">
        <f>VLOOKUP($I1240,'Price List, Weapons &amp; Items'!B:G,6,0)</f>
        <v>.</v>
      </c>
      <c r="P1240" s="176" t="str">
        <f t="shared" si="274"/>
        <v>.</v>
      </c>
      <c r="Q1240" s="176" t="str">
        <f t="shared" si="275"/>
        <v>.</v>
      </c>
      <c r="R1240" s="176" t="str">
        <f t="shared" si="277"/>
        <v/>
      </c>
      <c r="S1240" s="176" t="str">
        <f>IF(AND(AD1240=1,R1240&lt;&gt;".")=TRUE,R1240/VLOOKUP(G1240,'Exchange Rates'!B:C,2,0),IF(R1240=".",".",""))</f>
        <v/>
      </c>
      <c r="T1240" s="176" t="str">
        <f>IF(AD1240=1,IF(AF1240="Value is not given at all",".",IF(AF1240="Value is given by the source",S1240,IF(AF1240="Value is calculated with prices",(IF(SUMIFS(Q:Q,A:A,A1240)&gt;0,SUMIFS(Q:Q,A:A,A1240),"."))/VLOOKUP("USD",'Exchange Rates'!B:C,2,0),"Error with coding"))),"")</f>
        <v/>
      </c>
      <c r="U1240" s="232" t="s">
        <v>261</v>
      </c>
      <c r="V1240" s="567" t="s">
        <v>3342</v>
      </c>
      <c r="W1240" s="813" t="s">
        <v>3044</v>
      </c>
      <c r="X1240" s="810" t="s">
        <v>3047</v>
      </c>
      <c r="Y1240" s="811" t="s">
        <v>3078</v>
      </c>
      <c r="Z1240" s="232">
        <v>0</v>
      </c>
      <c r="AA1240" s="180">
        <v>0</v>
      </c>
      <c r="AB1240" s="696" t="s">
        <v>260</v>
      </c>
      <c r="AC1240" s="544" t="str">
        <f>""</f>
        <v/>
      </c>
      <c r="AD1240" s="591">
        <v>0</v>
      </c>
      <c r="AE1240" s="589" t="s">
        <v>264</v>
      </c>
      <c r="AF1240" s="183" t="s">
        <v>265</v>
      </c>
      <c r="AG1240" s="235">
        <v>1</v>
      </c>
      <c r="AH1240" s="235">
        <v>4</v>
      </c>
      <c r="AI1240" s="235">
        <v>0</v>
      </c>
      <c r="AJ1240" s="181">
        <f>VLOOKUP($I1240,'Price List, Weapons &amp; Items'!B:F,5,0)</f>
        <v>0</v>
      </c>
      <c r="AK1240" s="181">
        <f t="shared" si="278"/>
        <v>0</v>
      </c>
      <c r="AL1240" s="181">
        <f t="shared" si="279"/>
        <v>0</v>
      </c>
      <c r="AM1240" s="181">
        <f t="shared" si="280"/>
        <v>1</v>
      </c>
      <c r="AN1240" s="180" t="str">
        <f>VLOOKUP($I1240,'Price List, Weapons &amp; Items'!B:L,COLUMN('Price List, Weapons &amp; Items'!$J$11)-1,0)</f>
        <v>.</v>
      </c>
      <c r="AO1240" s="180" t="str">
        <f>IF(I1240=".",".",VLOOKUP($I1240,'Price List, Weapons &amp; Items'!B:J,3,0))</f>
        <v>Small Arms and Light Weapons (SALW) ammunition</v>
      </c>
      <c r="AP1240" s="545" t="str">
        <f t="shared" ca="1" si="301"/>
        <v/>
      </c>
      <c r="AQ1240" s="180" t="str">
        <f>VLOOKUP($I1240,'Price List, Weapons &amp; Items'!B:L,COLUMN('Price List, Weapons &amp; Items'!$L$11)-1,0)</f>
        <v>no price, 0 count</v>
      </c>
      <c r="AR1240" s="180">
        <f t="shared" si="281"/>
        <v>1</v>
      </c>
      <c r="AS1240" s="180">
        <f t="shared" si="282"/>
        <v>1</v>
      </c>
      <c r="AT1240" s="180">
        <f t="shared" si="290"/>
        <v>1</v>
      </c>
      <c r="AU1240" s="180" t="str">
        <f t="shared" si="291"/>
        <v>.</v>
      </c>
      <c r="AV1240" s="180" t="str">
        <f t="shared" si="292"/>
        <v>.</v>
      </c>
      <c r="AW1240" s="180">
        <f>IFERROR(VLOOKUP(B1240,'Share, Heavy Weapons to Ukraine'!B:J,COLUMN('Share, Heavy Weapons to Ukraine'!C1250)-1,0),0)</f>
        <v>1</v>
      </c>
      <c r="AX1240" s="180">
        <f>VLOOKUP('Bilateral Assistance, MAIN DATA'!B1240,'Country Summary'!B:F,COLUMN('Country Summary'!C1253)-1,FALSE)</f>
        <v>0</v>
      </c>
      <c r="AY1240" s="180" t="str">
        <f>IF(AND(AD1240=1,D1240="Military",H1240&lt;&gt;"Not given")=TRUE,IF(SUMIFS(P:P,A:A,A1240)&gt;0,ABS((SUMIFS(P:P,A:A,A1240)/VLOOKUP("USD",'Exchange Rates'!B:C,2,0)))/S1240,"."),".")</f>
        <v>.</v>
      </c>
      <c r="AZ1240" s="182" t="str">
        <f>IF(AND(AD1240=1,D1240="Military",H1240&lt;&gt;"Not given")=TRUE,IF(SUMIFS(P:P,A:A,A1240)&gt;0,IF((ABS((SUMIFS(P:P,A:A,A1240)/VLOOKUP("USD",'Exchange Rates'!B:C,2,0)))/S1240)&gt;1,(SUMIFS(P:P,A:A,A1240)-S1240)/S1240,(S1240-SUMIFS(P:P,A:A,A1240))/SUMIFS(P:P,A:A,A1240)),"."),".")</f>
        <v>.</v>
      </c>
      <c r="BA1240" s="18"/>
      <c r="BB1240" s="18"/>
      <c r="BC1240" s="18"/>
      <c r="BD1240" s="18"/>
      <c r="BE1240" s="18"/>
      <c r="BF1240" s="18"/>
      <c r="BG1240" s="18"/>
      <c r="BH1240" s="18"/>
      <c r="BI1240" s="18"/>
      <c r="BJ1240" s="18"/>
      <c r="BK1240" s="18"/>
      <c r="BL1240" s="18"/>
      <c r="BM1240" s="18"/>
      <c r="BN1240" s="18"/>
      <c r="BO1240" s="18"/>
      <c r="BP1240" s="18"/>
      <c r="BQ1240" s="18"/>
      <c r="BR1240" s="18"/>
      <c r="BS1240" s="18"/>
    </row>
    <row r="1241" spans="1:71" s="525" customFormat="1" ht="15.9" customHeight="1" x14ac:dyDescent="0.3">
      <c r="A1241" s="221" t="s">
        <v>3338</v>
      </c>
      <c r="B1241" s="229" t="s">
        <v>3038</v>
      </c>
      <c r="C1241" s="230">
        <v>44652</v>
      </c>
      <c r="D1241" s="229" t="s">
        <v>285</v>
      </c>
      <c r="E1241" s="229" t="s">
        <v>286</v>
      </c>
      <c r="F1241" s="175" t="s">
        <v>3341</v>
      </c>
      <c r="G1241" s="232" t="s">
        <v>346</v>
      </c>
      <c r="H1241" s="233">
        <v>300000000</v>
      </c>
      <c r="I1241" s="190" t="s">
        <v>598</v>
      </c>
      <c r="J1241" s="113" t="str">
        <f>VLOOKUP($I1241,'Price List, Weapons &amp; Items'!B:C,2,0)</f>
        <v>Military equipment</v>
      </c>
      <c r="K1241" s="113" t="str">
        <f>IF(I1241=".",I1241,VLOOKUP($I1241,'Price List, Weapons &amp; Items'!B:D,3,0))</f>
        <v>Military equipment</v>
      </c>
      <c r="L1241" s="177">
        <f>VLOOKUP(I1241,'Price List, Weapons &amp; Items'!B:E,4,0)</f>
        <v>0</v>
      </c>
      <c r="M1241" s="226" t="s">
        <v>270</v>
      </c>
      <c r="N1241" s="233" t="s">
        <v>270</v>
      </c>
      <c r="O1241" s="543">
        <f>VLOOKUP($I1241,'Price List, Weapons &amp; Items'!B:G,6,0)</f>
        <v>2320</v>
      </c>
      <c r="P1241" s="176" t="str">
        <f t="shared" si="274"/>
        <v>.</v>
      </c>
      <c r="Q1241" s="176" t="str">
        <f t="shared" si="275"/>
        <v>.</v>
      </c>
      <c r="R1241" s="176" t="str">
        <f t="shared" si="277"/>
        <v/>
      </c>
      <c r="S1241" s="176" t="str">
        <f>IF(AND(AD1241=1,R1241&lt;&gt;".")=TRUE,R1241/VLOOKUP(G1241,'Exchange Rates'!B:C,2,0),IF(R1241=".",".",""))</f>
        <v/>
      </c>
      <c r="T1241" s="176" t="str">
        <f>IF(AD1241=1,IF(AF1241="Value is not given at all",".",IF(AF1241="Value is given by the source",S1241,IF(AF1241="Value is calculated with prices",(IF(SUMIFS(Q:Q,A:A,A1241)&gt;0,SUMIFS(Q:Q,A:A,A1241),"."))/VLOOKUP("USD",'Exchange Rates'!B:C,2,0),"Error with coding"))),"")</f>
        <v/>
      </c>
      <c r="U1241" s="232" t="s">
        <v>261</v>
      </c>
      <c r="V1241" s="567" t="s">
        <v>3342</v>
      </c>
      <c r="W1241" s="813" t="s">
        <v>3044</v>
      </c>
      <c r="X1241" s="810" t="s">
        <v>3047</v>
      </c>
      <c r="Y1241" s="811" t="s">
        <v>3079</v>
      </c>
      <c r="Z1241" s="232">
        <v>0</v>
      </c>
      <c r="AA1241" s="180">
        <v>0</v>
      </c>
      <c r="AB1241" s="696" t="s">
        <v>260</v>
      </c>
      <c r="AC1241" s="544" t="str">
        <f>""</f>
        <v/>
      </c>
      <c r="AD1241" s="591">
        <v>0</v>
      </c>
      <c r="AE1241" s="589" t="s">
        <v>264</v>
      </c>
      <c r="AF1241" s="183" t="s">
        <v>265</v>
      </c>
      <c r="AG1241" s="235">
        <v>1</v>
      </c>
      <c r="AH1241" s="235">
        <v>4</v>
      </c>
      <c r="AI1241" s="235">
        <v>0</v>
      </c>
      <c r="AJ1241" s="181">
        <f>VLOOKUP($I1241,'Price List, Weapons &amp; Items'!B:F,5,0)</f>
        <v>0</v>
      </c>
      <c r="AK1241" s="181">
        <f t="shared" si="278"/>
        <v>0</v>
      </c>
      <c r="AL1241" s="181">
        <f t="shared" si="279"/>
        <v>0</v>
      </c>
      <c r="AM1241" s="181">
        <f t="shared" si="280"/>
        <v>0</v>
      </c>
      <c r="AN1241" s="180" t="str">
        <f>VLOOKUP($I1241,'Price List, Weapons &amp; Items'!B:L,COLUMN('Price List, Weapons &amp; Items'!$J$11)-1,0)</f>
        <v>Media reports (incl. social media)</v>
      </c>
      <c r="AO1241" s="180" t="str">
        <f>IF(I1241=".",".",VLOOKUP($I1241,'Price List, Weapons &amp; Items'!B:J,3,0))</f>
        <v>Military equipment</v>
      </c>
      <c r="AP1241" s="545" t="str">
        <f t="shared" ca="1" si="301"/>
        <v/>
      </c>
      <c r="AQ1241" s="180">
        <f>VLOOKUP($I1241,'Price List, Weapons &amp; Items'!B:L,COLUMN('Price List, Weapons &amp; Items'!$L$11)-1,0)</f>
        <v>2</v>
      </c>
      <c r="AR1241" s="180">
        <f t="shared" si="281"/>
        <v>1</v>
      </c>
      <c r="AS1241" s="180">
        <f t="shared" si="282"/>
        <v>1</v>
      </c>
      <c r="AT1241" s="180">
        <f t="shared" si="290"/>
        <v>1</v>
      </c>
      <c r="AU1241" s="180" t="str">
        <f t="shared" si="291"/>
        <v>.</v>
      </c>
      <c r="AV1241" s="180" t="str">
        <f t="shared" si="292"/>
        <v>.</v>
      </c>
      <c r="AW1241" s="180">
        <f>IFERROR(VLOOKUP(B1241,'Share, Heavy Weapons to Ukraine'!B:J,COLUMN('Share, Heavy Weapons to Ukraine'!C1251)-1,0),0)</f>
        <v>1</v>
      </c>
      <c r="AX1241" s="180">
        <f>VLOOKUP('Bilateral Assistance, MAIN DATA'!B1241,'Country Summary'!B:F,COLUMN('Country Summary'!C1254)-1,FALSE)</f>
        <v>0</v>
      </c>
      <c r="AY1241" s="180" t="str">
        <f>IF(AND(AD1241=1,D1241="Military",H1241&lt;&gt;"Not given")=TRUE,IF(SUMIFS(P:P,A:A,A1241)&gt;0,ABS((SUMIFS(P:P,A:A,A1241)/VLOOKUP("USD",'Exchange Rates'!B:C,2,0)))/S1241,"."),".")</f>
        <v>.</v>
      </c>
      <c r="AZ1241" s="182" t="str">
        <f>IF(AND(AD1241=1,D1241="Military",H1241&lt;&gt;"Not given")=TRUE,IF(SUMIFS(P:P,A:A,A1241)&gt;0,IF((ABS((SUMIFS(P:P,A:A,A1241)/VLOOKUP("USD",'Exchange Rates'!B:C,2,0)))/S1241)&gt;1,(SUMIFS(P:P,A:A,A1241)-S1241)/S1241,(S1241-SUMIFS(P:P,A:A,A1241))/SUMIFS(P:P,A:A,A1241)),"."),".")</f>
        <v>.</v>
      </c>
      <c r="BA1241" s="18"/>
      <c r="BB1241" s="18"/>
      <c r="BC1241" s="18"/>
      <c r="BD1241" s="18"/>
      <c r="BE1241" s="18"/>
      <c r="BF1241" s="18"/>
      <c r="BG1241" s="18"/>
      <c r="BH1241" s="18"/>
      <c r="BI1241" s="18"/>
      <c r="BJ1241" s="18"/>
      <c r="BK1241" s="18"/>
      <c r="BL1241" s="18"/>
      <c r="BM1241" s="18"/>
      <c r="BN1241" s="18"/>
      <c r="BO1241" s="18"/>
      <c r="BP1241" s="18"/>
      <c r="BQ1241" s="18"/>
      <c r="BR1241" s="18"/>
      <c r="BS1241" s="18"/>
    </row>
    <row r="1242" spans="1:71" s="525" customFormat="1" ht="15.9" customHeight="1" x14ac:dyDescent="0.3">
      <c r="A1242" s="221" t="s">
        <v>3338</v>
      </c>
      <c r="B1242" s="229" t="s">
        <v>3038</v>
      </c>
      <c r="C1242" s="230">
        <v>44652</v>
      </c>
      <c r="D1242" s="229" t="s">
        <v>285</v>
      </c>
      <c r="E1242" s="229" t="s">
        <v>286</v>
      </c>
      <c r="F1242" s="175" t="s">
        <v>3341</v>
      </c>
      <c r="G1242" s="232" t="s">
        <v>346</v>
      </c>
      <c r="H1242" s="233">
        <v>300000000</v>
      </c>
      <c r="I1242" s="190" t="s">
        <v>957</v>
      </c>
      <c r="J1242" s="113" t="str">
        <f>VLOOKUP($I1242,'Price List, Weapons &amp; Items'!B:C,2,0)</f>
        <v>Military equipment</v>
      </c>
      <c r="K1242" s="113" t="str">
        <f>IF(I1242=".",I1242,VLOOKUP($I1242,'Price List, Weapons &amp; Items'!B:D,3,0))</f>
        <v>Military equipment</v>
      </c>
      <c r="L1242" s="177">
        <f>VLOOKUP(I1242,'Price List, Weapons &amp; Items'!B:E,4,0)</f>
        <v>0</v>
      </c>
      <c r="M1242" s="226" t="s">
        <v>270</v>
      </c>
      <c r="N1242" s="233" t="s">
        <v>270</v>
      </c>
      <c r="O1242" s="543">
        <f>VLOOKUP($I1242,'Price List, Weapons &amp; Items'!B:G,6,0)</f>
        <v>5000</v>
      </c>
      <c r="P1242" s="176" t="str">
        <f t="shared" ref="P1242:P1387" si="302">IF(TYPE(M1242)=1,IF(TYPE(O1242)=1,M1242*O1242,"No price"),".")</f>
        <v>.</v>
      </c>
      <c r="Q1242" s="176" t="str">
        <f t="shared" ref="Q1242:Q1387" si="303">IF(TYPE(N1242)=1,IF(TYPE(O1242)=1,N1242*O1242,"No price"),".")</f>
        <v>.</v>
      </c>
      <c r="R1242" s="176" t="str">
        <f t="shared" si="277"/>
        <v/>
      </c>
      <c r="S1242" s="176" t="str">
        <f>IF(AND(AD1242=1,R1242&lt;&gt;".")=TRUE,R1242/VLOOKUP(G1242,'Exchange Rates'!B:C,2,0),IF(R1242=".",".",""))</f>
        <v/>
      </c>
      <c r="T1242" s="176" t="str">
        <f>IF(AD1242=1,IF(AF1242="Value is not given at all",".",IF(AF1242="Value is given by the source",S1242,IF(AF1242="Value is calculated with prices",(IF(SUMIFS(Q:Q,A:A,A1242)&gt;0,SUMIFS(Q:Q,A:A,A1242),"."))/VLOOKUP("USD",'Exchange Rates'!B:C,2,0),"Error with coding"))),"")</f>
        <v/>
      </c>
      <c r="U1242" s="232" t="s">
        <v>261</v>
      </c>
      <c r="V1242" s="567" t="s">
        <v>3342</v>
      </c>
      <c r="W1242" s="813" t="s">
        <v>3044</v>
      </c>
      <c r="X1242" s="810" t="s">
        <v>3047</v>
      </c>
      <c r="Y1242" s="811" t="s">
        <v>3081</v>
      </c>
      <c r="Z1242" s="232">
        <v>0</v>
      </c>
      <c r="AA1242" s="180">
        <v>0</v>
      </c>
      <c r="AB1242" s="696" t="s">
        <v>260</v>
      </c>
      <c r="AC1242" s="544" t="str">
        <f>""</f>
        <v/>
      </c>
      <c r="AD1242" s="591">
        <v>0</v>
      </c>
      <c r="AE1242" s="589" t="s">
        <v>264</v>
      </c>
      <c r="AF1242" s="183" t="s">
        <v>265</v>
      </c>
      <c r="AG1242" s="235">
        <v>1</v>
      </c>
      <c r="AH1242" s="235">
        <v>4</v>
      </c>
      <c r="AI1242" s="235">
        <v>0</v>
      </c>
      <c r="AJ1242" s="181">
        <f>VLOOKUP($I1242,'Price List, Weapons &amp; Items'!B:F,5,0)</f>
        <v>0</v>
      </c>
      <c r="AK1242" s="181">
        <f t="shared" si="278"/>
        <v>0</v>
      </c>
      <c r="AL1242" s="181">
        <f t="shared" si="279"/>
        <v>0</v>
      </c>
      <c r="AM1242" s="181">
        <f t="shared" si="280"/>
        <v>0</v>
      </c>
      <c r="AN1242" s="180" t="str">
        <f>VLOOKUP($I1242,'Price List, Weapons &amp; Items'!B:L,COLUMN('Price List, Weapons &amp; Items'!$J$11)-1,0)</f>
        <v>Miscellaneous</v>
      </c>
      <c r="AO1242" s="180" t="str">
        <f>IF(I1242=".",".",VLOOKUP($I1242,'Price List, Weapons &amp; Items'!B:J,3,0))</f>
        <v>Military equipment</v>
      </c>
      <c r="AP1242" s="545" t="str">
        <f t="shared" ca="1" si="301"/>
        <v/>
      </c>
      <c r="AQ1242" s="180" t="str">
        <f>VLOOKUP($I1242,'Price List, Weapons &amp; Items'!B:L,COLUMN('Price List, Weapons &amp; Items'!$L$11)-1,0)</f>
        <v>no price, 0 count</v>
      </c>
      <c r="AR1242" s="180">
        <f t="shared" si="281"/>
        <v>1</v>
      </c>
      <c r="AS1242" s="180">
        <f t="shared" si="282"/>
        <v>1</v>
      </c>
      <c r="AT1242" s="180">
        <f t="shared" si="290"/>
        <v>1</v>
      </c>
      <c r="AU1242" s="180" t="str">
        <f t="shared" si="291"/>
        <v>.</v>
      </c>
      <c r="AV1242" s="180" t="str">
        <f t="shared" si="292"/>
        <v>.</v>
      </c>
      <c r="AW1242" s="180">
        <f>IFERROR(VLOOKUP(B1242,'Share, Heavy Weapons to Ukraine'!B:J,COLUMN('Share, Heavy Weapons to Ukraine'!C1252)-1,0),0)</f>
        <v>1</v>
      </c>
      <c r="AX1242" s="180">
        <f>VLOOKUP('Bilateral Assistance, MAIN DATA'!B1242,'Country Summary'!B:F,COLUMN('Country Summary'!C1255)-1,FALSE)</f>
        <v>0</v>
      </c>
      <c r="AY1242" s="180" t="str">
        <f>IF(AND(AD1242=1,D1242="Military",H1242&lt;&gt;"Not given")=TRUE,IF(SUMIFS(P:P,A:A,A1242)&gt;0,ABS((SUMIFS(P:P,A:A,A1242)/VLOOKUP("USD",'Exchange Rates'!B:C,2,0)))/S1242,"."),".")</f>
        <v>.</v>
      </c>
      <c r="AZ1242" s="182" t="str">
        <f>IF(AND(AD1242=1,D1242="Military",H1242&lt;&gt;"Not given")=TRUE,IF(SUMIFS(P:P,A:A,A1242)&gt;0,IF((ABS((SUMIFS(P:P,A:A,A1242)/VLOOKUP("USD",'Exchange Rates'!B:C,2,0)))/S1242)&gt;1,(SUMIFS(P:P,A:A,A1242)-S1242)/S1242,(S1242-SUMIFS(P:P,A:A,A1242))/SUMIFS(P:P,A:A,A1242)),"."),".")</f>
        <v>.</v>
      </c>
      <c r="BA1242" s="18"/>
      <c r="BB1242" s="18"/>
      <c r="BC1242" s="18"/>
      <c r="BD1242" s="18"/>
      <c r="BE1242" s="18"/>
      <c r="BF1242" s="18"/>
      <c r="BG1242" s="18"/>
      <c r="BH1242" s="18"/>
      <c r="BI1242" s="18"/>
      <c r="BJ1242" s="18"/>
      <c r="BK1242" s="18"/>
      <c r="BL1242" s="18"/>
      <c r="BM1242" s="18"/>
      <c r="BN1242" s="18"/>
      <c r="BO1242" s="18"/>
      <c r="BP1242" s="18"/>
      <c r="BQ1242" s="18"/>
      <c r="BR1242" s="18"/>
      <c r="BS1242" s="18"/>
    </row>
    <row r="1243" spans="1:71" s="525" customFormat="1" ht="15.9" customHeight="1" x14ac:dyDescent="0.3">
      <c r="A1243" s="221" t="s">
        <v>3338</v>
      </c>
      <c r="B1243" s="229" t="s">
        <v>3038</v>
      </c>
      <c r="C1243" s="230">
        <v>44652</v>
      </c>
      <c r="D1243" s="229" t="s">
        <v>285</v>
      </c>
      <c r="E1243" s="229" t="s">
        <v>286</v>
      </c>
      <c r="F1243" s="175" t="s">
        <v>3341</v>
      </c>
      <c r="G1243" s="232" t="s">
        <v>346</v>
      </c>
      <c r="H1243" s="233">
        <v>300000000</v>
      </c>
      <c r="I1243" s="190" t="s">
        <v>3119</v>
      </c>
      <c r="J1243" s="113" t="str">
        <f>VLOOKUP($I1243,'Price List, Weapons &amp; Items'!B:C,2,0)</f>
        <v>Military equipment</v>
      </c>
      <c r="K1243" s="113" t="str">
        <f>IF(I1243=".",I1243,VLOOKUP($I1243,'Price List, Weapons &amp; Items'!B:D,3,0))</f>
        <v>Military equipment</v>
      </c>
      <c r="L1243" s="177">
        <f>VLOOKUP(I1243,'Price List, Weapons &amp; Items'!B:E,4,0)</f>
        <v>0</v>
      </c>
      <c r="M1243" s="226" t="s">
        <v>270</v>
      </c>
      <c r="N1243" s="233" t="s">
        <v>270</v>
      </c>
      <c r="O1243" s="543">
        <f>VLOOKUP($I1243,'Price List, Weapons &amp; Items'!B:G,6,0)</f>
        <v>45</v>
      </c>
      <c r="P1243" s="176" t="str">
        <f t="shared" si="302"/>
        <v>.</v>
      </c>
      <c r="Q1243" s="176" t="str">
        <f t="shared" si="303"/>
        <v>.</v>
      </c>
      <c r="R1243" s="176" t="str">
        <f t="shared" si="277"/>
        <v/>
      </c>
      <c r="S1243" s="176" t="str">
        <f>IF(AND(AD1243=1,R1243&lt;&gt;".")=TRUE,R1243/VLOOKUP(G1243,'Exchange Rates'!B:C,2,0),IF(R1243=".",".",""))</f>
        <v/>
      </c>
      <c r="T1243" s="176" t="str">
        <f>IF(AD1243=1,IF(AF1243="Value is not given at all",".",IF(AF1243="Value is given by the source",S1243,IF(AF1243="Value is calculated with prices",(IF(SUMIFS(Q:Q,A:A,A1243)&gt;0,SUMIFS(Q:Q,A:A,A1243),"."))/VLOOKUP("USD",'Exchange Rates'!B:C,2,0),"Error with coding"))),"")</f>
        <v/>
      </c>
      <c r="U1243" s="232" t="s">
        <v>261</v>
      </c>
      <c r="V1243" s="567" t="s">
        <v>3342</v>
      </c>
      <c r="W1243" s="813" t="s">
        <v>3044</v>
      </c>
      <c r="X1243" s="810" t="s">
        <v>3047</v>
      </c>
      <c r="Y1243" s="811" t="s">
        <v>3083</v>
      </c>
      <c r="Z1243" s="232">
        <v>0</v>
      </c>
      <c r="AA1243" s="180">
        <v>0</v>
      </c>
      <c r="AB1243" s="696" t="s">
        <v>260</v>
      </c>
      <c r="AC1243" s="544" t="str">
        <f>""</f>
        <v/>
      </c>
      <c r="AD1243" s="591">
        <v>0</v>
      </c>
      <c r="AE1243" s="589" t="s">
        <v>264</v>
      </c>
      <c r="AF1243" s="183" t="s">
        <v>265</v>
      </c>
      <c r="AG1243" s="235">
        <v>1</v>
      </c>
      <c r="AH1243" s="235">
        <v>4</v>
      </c>
      <c r="AI1243" s="235">
        <v>0</v>
      </c>
      <c r="AJ1243" s="181">
        <f>VLOOKUP($I1243,'Price List, Weapons &amp; Items'!B:F,5,0)</f>
        <v>0</v>
      </c>
      <c r="AK1243" s="181">
        <f t="shared" si="278"/>
        <v>0</v>
      </c>
      <c r="AL1243" s="181">
        <f t="shared" si="279"/>
        <v>0</v>
      </c>
      <c r="AM1243" s="181">
        <f t="shared" si="280"/>
        <v>0</v>
      </c>
      <c r="AN1243" s="180" t="str">
        <f>VLOOKUP($I1243,'Price List, Weapons &amp; Items'!B:L,COLUMN('Price List, Weapons &amp; Items'!$J$11)-1,0)</f>
        <v>Online marketplaces and stores</v>
      </c>
      <c r="AO1243" s="180" t="str">
        <f>IF(I1243=".",".",VLOOKUP($I1243,'Price List, Weapons &amp; Items'!B:J,3,0))</f>
        <v>Military equipment</v>
      </c>
      <c r="AP1243" s="545" t="str">
        <f t="shared" ca="1" si="301"/>
        <v/>
      </c>
      <c r="AQ1243" s="180">
        <f>VLOOKUP($I1243,'Price List, Weapons &amp; Items'!B:L,COLUMN('Price List, Weapons &amp; Items'!$L$11)-1,0)</f>
        <v>1</v>
      </c>
      <c r="AR1243" s="180">
        <f t="shared" si="281"/>
        <v>1</v>
      </c>
      <c r="AS1243" s="180">
        <f t="shared" si="282"/>
        <v>1</v>
      </c>
      <c r="AT1243" s="180">
        <f t="shared" si="290"/>
        <v>1</v>
      </c>
      <c r="AU1243" s="180" t="str">
        <f t="shared" si="291"/>
        <v>.</v>
      </c>
      <c r="AV1243" s="180" t="str">
        <f t="shared" si="292"/>
        <v>.</v>
      </c>
      <c r="AW1243" s="180">
        <f>IFERROR(VLOOKUP(B1243,'Share, Heavy Weapons to Ukraine'!B:J,COLUMN('Share, Heavy Weapons to Ukraine'!C1253)-1,0),0)</f>
        <v>1</v>
      </c>
      <c r="AX1243" s="180">
        <f>VLOOKUP('Bilateral Assistance, MAIN DATA'!B1243,'Country Summary'!B:F,COLUMN('Country Summary'!C1256)-1,FALSE)</f>
        <v>0</v>
      </c>
      <c r="AY1243" s="180" t="str">
        <f>IF(AND(AD1243=1,D1243="Military",H1243&lt;&gt;"Not given")=TRUE,IF(SUMIFS(P:P,A:A,A1243)&gt;0,ABS((SUMIFS(P:P,A:A,A1243)/VLOOKUP("USD",'Exchange Rates'!B:C,2,0)))/S1243,"."),".")</f>
        <v>.</v>
      </c>
      <c r="AZ1243" s="182" t="str">
        <f>IF(AND(AD1243=1,D1243="Military",H1243&lt;&gt;"Not given")=TRUE,IF(SUMIFS(P:P,A:A,A1243)&gt;0,IF((ABS((SUMIFS(P:P,A:A,A1243)/VLOOKUP("USD",'Exchange Rates'!B:C,2,0)))/S1243)&gt;1,(SUMIFS(P:P,A:A,A1243)-S1243)/S1243,(S1243-SUMIFS(P:P,A:A,A1243))/SUMIFS(P:P,A:A,A1243)),"."),".")</f>
        <v>.</v>
      </c>
      <c r="BA1243" s="18"/>
      <c r="BB1243" s="18"/>
      <c r="BC1243" s="18"/>
      <c r="BD1243" s="18"/>
      <c r="BE1243" s="18"/>
      <c r="BF1243" s="18"/>
      <c r="BG1243" s="18"/>
      <c r="BH1243" s="18"/>
      <c r="BI1243" s="18"/>
      <c r="BJ1243" s="18"/>
      <c r="BK1243" s="18"/>
      <c r="BL1243" s="18"/>
      <c r="BM1243" s="18"/>
      <c r="BN1243" s="18"/>
      <c r="BO1243" s="18"/>
      <c r="BP1243" s="18"/>
      <c r="BQ1243" s="18"/>
      <c r="BR1243" s="18"/>
      <c r="BS1243" s="18"/>
    </row>
    <row r="1244" spans="1:71" s="525" customFormat="1" ht="15.9" customHeight="1" x14ac:dyDescent="0.3">
      <c r="A1244" s="221" t="s">
        <v>3338</v>
      </c>
      <c r="B1244" s="229" t="s">
        <v>3038</v>
      </c>
      <c r="C1244" s="230">
        <v>44652</v>
      </c>
      <c r="D1244" s="229" t="s">
        <v>285</v>
      </c>
      <c r="E1244" s="229" t="s">
        <v>286</v>
      </c>
      <c r="F1244" s="175" t="s">
        <v>3341</v>
      </c>
      <c r="G1244" s="232" t="s">
        <v>346</v>
      </c>
      <c r="H1244" s="233">
        <v>300000000</v>
      </c>
      <c r="I1244" s="190" t="s">
        <v>2035</v>
      </c>
      <c r="J1244" s="113" t="str">
        <f>VLOOKUP($I1244,'Price List, Weapons &amp; Items'!B:C,2,0)</f>
        <v>Military equipment</v>
      </c>
      <c r="K1244" s="113" t="str">
        <f>IF(I1244=".",I1244,VLOOKUP($I1244,'Price List, Weapons &amp; Items'!B:D,3,0))</f>
        <v>Military equipment</v>
      </c>
      <c r="L1244" s="177">
        <f>VLOOKUP(I1244,'Price List, Weapons &amp; Items'!B:E,4,0)</f>
        <v>0</v>
      </c>
      <c r="M1244" s="226" t="s">
        <v>270</v>
      </c>
      <c r="N1244" s="233" t="s">
        <v>270</v>
      </c>
      <c r="O1244" s="543" t="str">
        <f>VLOOKUP($I1244,'Price List, Weapons &amp; Items'!B:G,6,0)</f>
        <v>.</v>
      </c>
      <c r="P1244" s="176" t="str">
        <f t="shared" si="302"/>
        <v>.</v>
      </c>
      <c r="Q1244" s="176" t="str">
        <f t="shared" si="303"/>
        <v>.</v>
      </c>
      <c r="R1244" s="176" t="str">
        <f t="shared" si="277"/>
        <v/>
      </c>
      <c r="S1244" s="176" t="str">
        <f>IF(AND(AD1244=1,R1244&lt;&gt;".")=TRUE,R1244/VLOOKUP(G1244,'Exchange Rates'!B:C,2,0),IF(R1244=".",".",""))</f>
        <v/>
      </c>
      <c r="T1244" s="176" t="str">
        <f>IF(AD1244=1,IF(AF1244="Value is not given at all",".",IF(AF1244="Value is given by the source",S1244,IF(AF1244="Value is calculated with prices",(IF(SUMIFS(Q:Q,A:A,A1244)&gt;0,SUMIFS(Q:Q,A:A,A1244),"."))/VLOOKUP("USD",'Exchange Rates'!B:C,2,0),"Error with coding"))),"")</f>
        <v/>
      </c>
      <c r="U1244" s="232" t="s">
        <v>261</v>
      </c>
      <c r="V1244" s="567" t="s">
        <v>3342</v>
      </c>
      <c r="W1244" s="813" t="s">
        <v>3044</v>
      </c>
      <c r="X1244" s="810" t="s">
        <v>3047</v>
      </c>
      <c r="Y1244" s="811" t="s">
        <v>3085</v>
      </c>
      <c r="Z1244" s="232">
        <v>0</v>
      </c>
      <c r="AA1244" s="180">
        <v>0</v>
      </c>
      <c r="AB1244" s="696" t="s">
        <v>260</v>
      </c>
      <c r="AC1244" s="544" t="str">
        <f>""</f>
        <v/>
      </c>
      <c r="AD1244" s="591">
        <v>0</v>
      </c>
      <c r="AE1244" s="589" t="s">
        <v>264</v>
      </c>
      <c r="AF1244" s="183" t="s">
        <v>265</v>
      </c>
      <c r="AG1244" s="235">
        <v>1</v>
      </c>
      <c r="AH1244" s="235">
        <v>4</v>
      </c>
      <c r="AI1244" s="235">
        <v>0</v>
      </c>
      <c r="AJ1244" s="181">
        <f>VLOOKUP($I1244,'Price List, Weapons &amp; Items'!B:F,5,0)</f>
        <v>0</v>
      </c>
      <c r="AK1244" s="181">
        <f t="shared" si="278"/>
        <v>0</v>
      </c>
      <c r="AL1244" s="181">
        <f t="shared" si="279"/>
        <v>0</v>
      </c>
      <c r="AM1244" s="181">
        <f t="shared" si="280"/>
        <v>0</v>
      </c>
      <c r="AN1244" s="180" t="str">
        <f>VLOOKUP($I1244,'Price List, Weapons &amp; Items'!B:L,COLUMN('Price List, Weapons &amp; Items'!$J$11)-1,0)</f>
        <v>.</v>
      </c>
      <c r="AO1244" s="180" t="str">
        <f>IF(I1244=".",".",VLOOKUP($I1244,'Price List, Weapons &amp; Items'!B:J,3,0))</f>
        <v>Military equipment</v>
      </c>
      <c r="AP1244" s="545" t="str">
        <f t="shared" ca="1" si="301"/>
        <v/>
      </c>
      <c r="AQ1244" s="180">
        <f>VLOOKUP($I1244,'Price List, Weapons &amp; Items'!B:L,COLUMN('Price List, Weapons &amp; Items'!$L$11)-1,0)</f>
        <v>0</v>
      </c>
      <c r="AR1244" s="180">
        <f t="shared" si="281"/>
        <v>1</v>
      </c>
      <c r="AS1244" s="180">
        <f t="shared" si="282"/>
        <v>1</v>
      </c>
      <c r="AT1244" s="180">
        <f t="shared" si="290"/>
        <v>1</v>
      </c>
      <c r="AU1244" s="180" t="str">
        <f t="shared" si="291"/>
        <v>.</v>
      </c>
      <c r="AV1244" s="180" t="str">
        <f t="shared" si="292"/>
        <v>.</v>
      </c>
      <c r="AW1244" s="180">
        <f>IFERROR(VLOOKUP(B1244,'Share, Heavy Weapons to Ukraine'!B:J,COLUMN('Share, Heavy Weapons to Ukraine'!C1254)-1,0),0)</f>
        <v>1</v>
      </c>
      <c r="AX1244" s="180">
        <f>VLOOKUP('Bilateral Assistance, MAIN DATA'!B1244,'Country Summary'!B:F,COLUMN('Country Summary'!C1257)-1,FALSE)</f>
        <v>0</v>
      </c>
      <c r="AY1244" s="180" t="str">
        <f>IF(AND(AD1244=1,D1244="Military",H1244&lt;&gt;"Not given")=TRUE,IF(SUMIFS(P:P,A:A,A1244)&gt;0,ABS((SUMIFS(P:P,A:A,A1244)/VLOOKUP("USD",'Exchange Rates'!B:C,2,0)))/S1244,"."),".")</f>
        <v>.</v>
      </c>
      <c r="AZ1244" s="182" t="str">
        <f>IF(AND(AD1244=1,D1244="Military",H1244&lt;&gt;"Not given")=TRUE,IF(SUMIFS(P:P,A:A,A1244)&gt;0,IF((ABS((SUMIFS(P:P,A:A,A1244)/VLOOKUP("USD",'Exchange Rates'!B:C,2,0)))/S1244)&gt;1,(SUMIFS(P:P,A:A,A1244)-S1244)/S1244,(S1244-SUMIFS(P:P,A:A,A1244))/SUMIFS(P:P,A:A,A1244)),"."),".")</f>
        <v>.</v>
      </c>
      <c r="BA1244" s="18"/>
      <c r="BB1244" s="18"/>
      <c r="BC1244" s="18"/>
      <c r="BD1244" s="18"/>
      <c r="BE1244" s="18"/>
      <c r="BF1244" s="18"/>
      <c r="BG1244" s="18"/>
      <c r="BH1244" s="18"/>
      <c r="BI1244" s="18"/>
      <c r="BJ1244" s="18"/>
      <c r="BK1244" s="18"/>
      <c r="BL1244" s="18"/>
      <c r="BM1244" s="18"/>
      <c r="BN1244" s="18"/>
      <c r="BO1244" s="18"/>
      <c r="BP1244" s="18"/>
      <c r="BQ1244" s="18"/>
      <c r="BR1244" s="18"/>
      <c r="BS1244" s="18"/>
    </row>
    <row r="1245" spans="1:71" s="525" customFormat="1" ht="15.9" customHeight="1" x14ac:dyDescent="0.3">
      <c r="A1245" s="221" t="s">
        <v>3338</v>
      </c>
      <c r="B1245" s="229" t="s">
        <v>3038</v>
      </c>
      <c r="C1245" s="230">
        <v>44652</v>
      </c>
      <c r="D1245" s="229" t="s">
        <v>285</v>
      </c>
      <c r="E1245" s="229" t="s">
        <v>286</v>
      </c>
      <c r="F1245" s="175" t="s">
        <v>3341</v>
      </c>
      <c r="G1245" s="232" t="s">
        <v>346</v>
      </c>
      <c r="H1245" s="233">
        <v>300000000</v>
      </c>
      <c r="I1245" s="190" t="s">
        <v>3347</v>
      </c>
      <c r="J1245" s="113" t="str">
        <f>VLOOKUP($I1245,'Price List, Weapons &amp; Items'!B:C,2,0)</f>
        <v>Light armaments &amp; infantry</v>
      </c>
      <c r="K1245" s="113" t="str">
        <f>IF(I1245=".",I1245,VLOOKUP($I1245,'Price List, Weapons &amp; Items'!B:D,3,0))</f>
        <v>Small Arms and Light Weapons (SALW)</v>
      </c>
      <c r="L1245" s="177">
        <f>VLOOKUP(I1245,'Price List, Weapons &amp; Items'!B:E,4,0)</f>
        <v>0</v>
      </c>
      <c r="M1245" s="226" t="s">
        <v>270</v>
      </c>
      <c r="N1245" s="233" t="s">
        <v>270</v>
      </c>
      <c r="O1245" s="543">
        <f>VLOOKUP($I1245,'Price List, Weapons &amp; Items'!B:G,6,0)</f>
        <v>5300</v>
      </c>
      <c r="P1245" s="176" t="str">
        <f t="shared" si="302"/>
        <v>.</v>
      </c>
      <c r="Q1245" s="176" t="str">
        <f t="shared" si="303"/>
        <v>.</v>
      </c>
      <c r="R1245" s="176" t="str">
        <f t="shared" si="277"/>
        <v/>
      </c>
      <c r="S1245" s="176" t="str">
        <f>IF(AND(AD1245=1,R1245&lt;&gt;".")=TRUE,R1245/VLOOKUP(G1245,'Exchange Rates'!B:C,2,0),IF(R1245=".",".",""))</f>
        <v/>
      </c>
      <c r="T1245" s="176" t="str">
        <f>IF(AD1245=1,IF(AF1245="Value is not given at all",".",IF(AF1245="Value is given by the source",S1245,IF(AF1245="Value is calculated with prices",(IF(SUMIFS(Q:Q,A:A,A1245)&gt;0,SUMIFS(Q:Q,A:A,A1245),"."))/VLOOKUP("USD",'Exchange Rates'!B:C,2,0),"Error with coding"))),"")</f>
        <v/>
      </c>
      <c r="U1245" s="232" t="s">
        <v>261</v>
      </c>
      <c r="V1245" s="567" t="s">
        <v>3342</v>
      </c>
      <c r="W1245" s="813" t="s">
        <v>3044</v>
      </c>
      <c r="X1245" s="810" t="s">
        <v>3047</v>
      </c>
      <c r="Y1245" s="811" t="s">
        <v>3087</v>
      </c>
      <c r="Z1245" s="232">
        <v>0</v>
      </c>
      <c r="AA1245" s="180">
        <v>0</v>
      </c>
      <c r="AB1245" s="696" t="s">
        <v>260</v>
      </c>
      <c r="AC1245" s="544" t="str">
        <f>""</f>
        <v/>
      </c>
      <c r="AD1245" s="591">
        <v>0</v>
      </c>
      <c r="AE1245" s="589" t="s">
        <v>264</v>
      </c>
      <c r="AF1245" s="183" t="s">
        <v>265</v>
      </c>
      <c r="AG1245" s="235">
        <v>1</v>
      </c>
      <c r="AH1245" s="235">
        <v>4</v>
      </c>
      <c r="AI1245" s="235">
        <v>0</v>
      </c>
      <c r="AJ1245" s="181">
        <f>VLOOKUP($I1245,'Price List, Weapons &amp; Items'!B:F,5,0)</f>
        <v>0</v>
      </c>
      <c r="AK1245" s="181">
        <f t="shared" si="278"/>
        <v>0</v>
      </c>
      <c r="AL1245" s="181">
        <f t="shared" si="279"/>
        <v>0</v>
      </c>
      <c r="AM1245" s="181">
        <f t="shared" si="280"/>
        <v>0</v>
      </c>
      <c r="AN1245" s="180" t="str">
        <f>VLOOKUP($I1245,'Price List, Weapons &amp; Items'!B:L,COLUMN('Price List, Weapons &amp; Items'!$J$11)-1,0)</f>
        <v>Miscellaneous</v>
      </c>
      <c r="AO1245" s="180" t="str">
        <f>IF(I1245=".",".",VLOOKUP($I1245,'Price List, Weapons &amp; Items'!B:J,3,0))</f>
        <v>Small Arms and Light Weapons (SALW)</v>
      </c>
      <c r="AP1245" s="545" t="str">
        <f t="shared" ca="1" si="301"/>
        <v/>
      </c>
      <c r="AQ1245" s="180" t="str">
        <f>VLOOKUP($I1245,'Price List, Weapons &amp; Items'!B:L,COLUMN('Price List, Weapons &amp; Items'!$L$11)-1,0)</f>
        <v>no price, 0 count</v>
      </c>
      <c r="AR1245" s="180">
        <f t="shared" si="281"/>
        <v>1</v>
      </c>
      <c r="AS1245" s="180">
        <f t="shared" si="282"/>
        <v>1</v>
      </c>
      <c r="AT1245" s="180">
        <f t="shared" si="290"/>
        <v>1</v>
      </c>
      <c r="AU1245" s="180" t="str">
        <f t="shared" si="291"/>
        <v>.</v>
      </c>
      <c r="AV1245" s="180" t="str">
        <f t="shared" si="292"/>
        <v>.</v>
      </c>
      <c r="AW1245" s="180">
        <f>IFERROR(VLOOKUP(B1245,'Share, Heavy Weapons to Ukraine'!B:J,COLUMN('Share, Heavy Weapons to Ukraine'!C1255)-1,0),0)</f>
        <v>1</v>
      </c>
      <c r="AX1245" s="180">
        <f>VLOOKUP('Bilateral Assistance, MAIN DATA'!B1245,'Country Summary'!B:F,COLUMN('Country Summary'!C1258)-1,FALSE)</f>
        <v>0</v>
      </c>
      <c r="AY1245" s="180" t="str">
        <f>IF(AND(AD1245=1,D1245="Military",H1245&lt;&gt;"Not given")=TRUE,IF(SUMIFS(P:P,A:A,A1245)&gt;0,ABS((SUMIFS(P:P,A:A,A1245)/VLOOKUP("USD",'Exchange Rates'!B:C,2,0)))/S1245,"."),".")</f>
        <v>.</v>
      </c>
      <c r="AZ1245" s="182" t="str">
        <f>IF(AND(AD1245=1,D1245="Military",H1245&lt;&gt;"Not given")=TRUE,IF(SUMIFS(P:P,A:A,A1245)&gt;0,IF((ABS((SUMIFS(P:P,A:A,A1245)/VLOOKUP("USD",'Exchange Rates'!B:C,2,0)))/S1245)&gt;1,(SUMIFS(P:P,A:A,A1245)-S1245)/S1245,(S1245-SUMIFS(P:P,A:A,A1245))/SUMIFS(P:P,A:A,A1245)),"."),".")</f>
        <v>.</v>
      </c>
      <c r="BA1245" s="18"/>
      <c r="BB1245" s="18"/>
      <c r="BC1245" s="18"/>
      <c r="BD1245" s="18"/>
      <c r="BE1245" s="18"/>
      <c r="BF1245" s="18"/>
      <c r="BG1245" s="18"/>
      <c r="BH1245" s="18"/>
      <c r="BI1245" s="18"/>
      <c r="BJ1245" s="18"/>
      <c r="BK1245" s="18"/>
      <c r="BL1245" s="18"/>
      <c r="BM1245" s="18"/>
      <c r="BN1245" s="18"/>
      <c r="BO1245" s="18"/>
      <c r="BP1245" s="18"/>
      <c r="BQ1245" s="18"/>
      <c r="BR1245" s="18"/>
      <c r="BS1245" s="18"/>
    </row>
    <row r="1246" spans="1:71" s="525" customFormat="1" ht="15.9" customHeight="1" x14ac:dyDescent="0.3">
      <c r="A1246" s="221" t="s">
        <v>3338</v>
      </c>
      <c r="B1246" s="229" t="s">
        <v>3038</v>
      </c>
      <c r="C1246" s="230">
        <v>44652</v>
      </c>
      <c r="D1246" s="229" t="s">
        <v>285</v>
      </c>
      <c r="E1246" s="229" t="s">
        <v>286</v>
      </c>
      <c r="F1246" s="175" t="s">
        <v>3341</v>
      </c>
      <c r="G1246" s="232" t="s">
        <v>346</v>
      </c>
      <c r="H1246" s="233">
        <v>300000000</v>
      </c>
      <c r="I1246" s="190" t="s">
        <v>3348</v>
      </c>
      <c r="J1246" s="113" t="str">
        <f>VLOOKUP($I1246,'Price List, Weapons &amp; Items'!B:C,2,0)</f>
        <v>Military equipment</v>
      </c>
      <c r="K1246" s="113" t="str">
        <f>IF(I1246=".",I1246,VLOOKUP($I1246,'Price List, Weapons &amp; Items'!B:D,3,0))</f>
        <v>Military equipment</v>
      </c>
      <c r="L1246" s="177">
        <f>VLOOKUP(I1246,'Price List, Weapons &amp; Items'!B:E,4,0)</f>
        <v>0</v>
      </c>
      <c r="M1246" s="226" t="s">
        <v>270</v>
      </c>
      <c r="N1246" s="233" t="s">
        <v>270</v>
      </c>
      <c r="O1246" s="543" t="str">
        <f>VLOOKUP($I1246,'Price List, Weapons &amp; Items'!B:G,6,0)</f>
        <v>.</v>
      </c>
      <c r="P1246" s="176" t="str">
        <f t="shared" si="302"/>
        <v>.</v>
      </c>
      <c r="Q1246" s="176" t="str">
        <f t="shared" si="303"/>
        <v>.</v>
      </c>
      <c r="R1246" s="176" t="str">
        <f t="shared" si="277"/>
        <v/>
      </c>
      <c r="S1246" s="176" t="str">
        <f>IF(AND(AD1246=1,R1246&lt;&gt;".")=TRUE,R1246/VLOOKUP(G1246,'Exchange Rates'!B:C,2,0),IF(R1246=".",".",""))</f>
        <v/>
      </c>
      <c r="T1246" s="176" t="str">
        <f>IF(AD1246=1,IF(AF1246="Value is not given at all",".",IF(AF1246="Value is given by the source",S1246,IF(AF1246="Value is calculated with prices",(IF(SUMIFS(Q:Q,A:A,A1246)&gt;0,SUMIFS(Q:Q,A:A,A1246),"."))/VLOOKUP("USD",'Exchange Rates'!B:C,2,0),"Error with coding"))),"")</f>
        <v/>
      </c>
      <c r="U1246" s="232" t="s">
        <v>261</v>
      </c>
      <c r="V1246" s="567" t="s">
        <v>3342</v>
      </c>
      <c r="W1246" s="813" t="s">
        <v>3044</v>
      </c>
      <c r="X1246" s="810" t="s">
        <v>3047</v>
      </c>
      <c r="Y1246" s="811" t="s">
        <v>3089</v>
      </c>
      <c r="Z1246" s="232">
        <v>0</v>
      </c>
      <c r="AA1246" s="180">
        <v>0</v>
      </c>
      <c r="AB1246" s="696" t="s">
        <v>260</v>
      </c>
      <c r="AC1246" s="544" t="str">
        <f>""</f>
        <v/>
      </c>
      <c r="AD1246" s="591">
        <v>0</v>
      </c>
      <c r="AE1246" s="589" t="s">
        <v>264</v>
      </c>
      <c r="AF1246" s="183" t="s">
        <v>265</v>
      </c>
      <c r="AG1246" s="235">
        <v>1</v>
      </c>
      <c r="AH1246" s="235">
        <v>4</v>
      </c>
      <c r="AI1246" s="235">
        <v>0</v>
      </c>
      <c r="AJ1246" s="181">
        <f>VLOOKUP($I1246,'Price List, Weapons &amp; Items'!B:F,5,0)</f>
        <v>0</v>
      </c>
      <c r="AK1246" s="181">
        <f t="shared" si="278"/>
        <v>0</v>
      </c>
      <c r="AL1246" s="181">
        <f t="shared" si="279"/>
        <v>0</v>
      </c>
      <c r="AM1246" s="181">
        <f t="shared" si="280"/>
        <v>0</v>
      </c>
      <c r="AN1246" s="180" t="str">
        <f>VLOOKUP($I1246,'Price List, Weapons &amp; Items'!B:L,COLUMN('Price List, Weapons &amp; Items'!$J$11)-1,0)</f>
        <v>.</v>
      </c>
      <c r="AO1246" s="180" t="str">
        <f>IF(I1246=".",".",VLOOKUP($I1246,'Price List, Weapons &amp; Items'!B:J,3,0))</f>
        <v>Military equipment</v>
      </c>
      <c r="AP1246" s="545" t="str">
        <f t="shared" ca="1" si="301"/>
        <v/>
      </c>
      <c r="AQ1246" s="180" t="str">
        <f>VLOOKUP($I1246,'Price List, Weapons &amp; Items'!B:L,COLUMN('Price List, Weapons &amp; Items'!$L$11)-1,0)</f>
        <v>no price, 0 count</v>
      </c>
      <c r="AR1246" s="180">
        <f t="shared" si="281"/>
        <v>1</v>
      </c>
      <c r="AS1246" s="180">
        <f t="shared" si="282"/>
        <v>1</v>
      </c>
      <c r="AT1246" s="180">
        <f t="shared" si="290"/>
        <v>1</v>
      </c>
      <c r="AU1246" s="180" t="str">
        <f t="shared" si="291"/>
        <v>.</v>
      </c>
      <c r="AV1246" s="180" t="str">
        <f t="shared" si="292"/>
        <v>.</v>
      </c>
      <c r="AW1246" s="180">
        <f>IFERROR(VLOOKUP(B1246,'Share, Heavy Weapons to Ukraine'!B:J,COLUMN('Share, Heavy Weapons to Ukraine'!C1256)-1,0),0)</f>
        <v>1</v>
      </c>
      <c r="AX1246" s="180">
        <f>VLOOKUP('Bilateral Assistance, MAIN DATA'!B1246,'Country Summary'!B:F,COLUMN('Country Summary'!C1259)-1,FALSE)</f>
        <v>0</v>
      </c>
      <c r="AY1246" s="180" t="str">
        <f>IF(AND(AD1246=1,D1246="Military",H1246&lt;&gt;"Not given")=TRUE,IF(SUMIFS(P:P,A:A,A1246)&gt;0,ABS((SUMIFS(P:P,A:A,A1246)/VLOOKUP("USD",'Exchange Rates'!B:C,2,0)))/S1246,"."),".")</f>
        <v>.</v>
      </c>
      <c r="AZ1246" s="182" t="str">
        <f>IF(AND(AD1246=1,D1246="Military",H1246&lt;&gt;"Not given")=TRUE,IF(SUMIFS(P:P,A:A,A1246)&gt;0,IF((ABS((SUMIFS(P:P,A:A,A1246)/VLOOKUP("USD",'Exchange Rates'!B:C,2,0)))/S1246)&gt;1,(SUMIFS(P:P,A:A,A1246)-S1246)/S1246,(S1246-SUMIFS(P:P,A:A,A1246))/SUMIFS(P:P,A:A,A1246)),"."),".")</f>
        <v>.</v>
      </c>
      <c r="BA1246" s="18"/>
      <c r="BB1246" s="18"/>
      <c r="BC1246" s="18"/>
      <c r="BD1246" s="18"/>
      <c r="BE1246" s="18"/>
      <c r="BF1246" s="18"/>
      <c r="BG1246" s="18"/>
      <c r="BH1246" s="18"/>
      <c r="BI1246" s="18"/>
      <c r="BJ1246" s="18"/>
      <c r="BK1246" s="18"/>
      <c r="BL1246" s="18"/>
      <c r="BM1246" s="18"/>
      <c r="BN1246" s="18"/>
      <c r="BO1246" s="18"/>
      <c r="BP1246" s="18"/>
      <c r="BQ1246" s="18"/>
      <c r="BR1246" s="18"/>
      <c r="BS1246" s="18"/>
    </row>
    <row r="1247" spans="1:71" s="525" customFormat="1" ht="15.9" customHeight="1" x14ac:dyDescent="0.3">
      <c r="A1247" s="221" t="s">
        <v>3338</v>
      </c>
      <c r="B1247" s="229" t="s">
        <v>3038</v>
      </c>
      <c r="C1247" s="230">
        <v>44652</v>
      </c>
      <c r="D1247" s="229" t="s">
        <v>285</v>
      </c>
      <c r="E1247" s="229" t="s">
        <v>286</v>
      </c>
      <c r="F1247" s="175" t="s">
        <v>3341</v>
      </c>
      <c r="G1247" s="232" t="s">
        <v>346</v>
      </c>
      <c r="H1247" s="233">
        <v>300000000</v>
      </c>
      <c r="I1247" s="190" t="s">
        <v>2453</v>
      </c>
      <c r="J1247" s="113" t="str">
        <f>VLOOKUP($I1247,'Price List, Weapons &amp; Items'!B:C,2,0)</f>
        <v>Military equipment</v>
      </c>
      <c r="K1247" s="113" t="str">
        <f>IF(I1247=".",I1247,VLOOKUP($I1247,'Price List, Weapons &amp; Items'!B:D,3,0))</f>
        <v>Military equipment</v>
      </c>
      <c r="L1247" s="177">
        <f>VLOOKUP(I1247,'Price List, Weapons &amp; Items'!B:E,4,0)</f>
        <v>0</v>
      </c>
      <c r="M1247" s="226" t="s">
        <v>270</v>
      </c>
      <c r="N1247" s="233" t="s">
        <v>270</v>
      </c>
      <c r="O1247" s="543" t="str">
        <f>VLOOKUP($I1247,'Price List, Weapons &amp; Items'!B:G,6,0)</f>
        <v>.</v>
      </c>
      <c r="P1247" s="176" t="str">
        <f t="shared" si="302"/>
        <v>.</v>
      </c>
      <c r="Q1247" s="176" t="str">
        <f t="shared" si="303"/>
        <v>.</v>
      </c>
      <c r="R1247" s="176" t="str">
        <f t="shared" si="277"/>
        <v/>
      </c>
      <c r="S1247" s="176" t="str">
        <f>IF(AND(AD1247=1,R1247&lt;&gt;".")=TRUE,R1247/VLOOKUP(G1247,'Exchange Rates'!B:C,2,0),IF(R1247=".",".",""))</f>
        <v/>
      </c>
      <c r="T1247" s="176" t="str">
        <f>IF(AD1247=1,IF(AF1247="Value is not given at all",".",IF(AF1247="Value is given by the source",S1247,IF(AF1247="Value is calculated with prices",(IF(SUMIFS(Q:Q,A:A,A1247)&gt;0,SUMIFS(Q:Q,A:A,A1247),"."))/VLOOKUP("USD",'Exchange Rates'!B:C,2,0),"Error with coding"))),"")</f>
        <v/>
      </c>
      <c r="U1247" s="232" t="s">
        <v>261</v>
      </c>
      <c r="V1247" s="567" t="s">
        <v>3342</v>
      </c>
      <c r="W1247" s="813" t="s">
        <v>3044</v>
      </c>
      <c r="X1247" s="810" t="s">
        <v>3047</v>
      </c>
      <c r="Y1247" s="811" t="s">
        <v>3091</v>
      </c>
      <c r="Z1247" s="232">
        <v>0</v>
      </c>
      <c r="AA1247" s="180">
        <v>0</v>
      </c>
      <c r="AB1247" s="696" t="s">
        <v>260</v>
      </c>
      <c r="AC1247" s="544" t="str">
        <f>""</f>
        <v/>
      </c>
      <c r="AD1247" s="591">
        <v>0</v>
      </c>
      <c r="AE1247" s="589" t="s">
        <v>264</v>
      </c>
      <c r="AF1247" s="183" t="s">
        <v>265</v>
      </c>
      <c r="AG1247" s="235">
        <v>1</v>
      </c>
      <c r="AH1247" s="235">
        <v>4</v>
      </c>
      <c r="AI1247" s="235">
        <v>0</v>
      </c>
      <c r="AJ1247" s="181">
        <f>VLOOKUP($I1247,'Price List, Weapons &amp; Items'!B:F,5,0)</f>
        <v>0</v>
      </c>
      <c r="AK1247" s="181">
        <f t="shared" si="278"/>
        <v>0</v>
      </c>
      <c r="AL1247" s="181">
        <f t="shared" si="279"/>
        <v>0</v>
      </c>
      <c r="AM1247" s="181">
        <f t="shared" si="280"/>
        <v>0</v>
      </c>
      <c r="AN1247" s="180" t="str">
        <f>VLOOKUP($I1247,'Price List, Weapons &amp; Items'!B:L,COLUMN('Price List, Weapons &amp; Items'!$J$11)-1,0)</f>
        <v>.</v>
      </c>
      <c r="AO1247" s="180" t="str">
        <f>IF(I1247=".",".",VLOOKUP($I1247,'Price List, Weapons &amp; Items'!B:J,3,0))</f>
        <v>Military equipment</v>
      </c>
      <c r="AP1247" s="545" t="str">
        <f t="shared" ca="1" si="301"/>
        <v/>
      </c>
      <c r="AQ1247" s="180" t="str">
        <f>VLOOKUP($I1247,'Price List, Weapons &amp; Items'!B:L,COLUMN('Price List, Weapons &amp; Items'!$L$11)-1,0)</f>
        <v>no price, 0 count</v>
      </c>
      <c r="AR1247" s="180">
        <f t="shared" si="281"/>
        <v>1</v>
      </c>
      <c r="AS1247" s="180">
        <f t="shared" si="282"/>
        <v>1</v>
      </c>
      <c r="AT1247" s="180">
        <f t="shared" si="290"/>
        <v>1</v>
      </c>
      <c r="AU1247" s="180" t="str">
        <f t="shared" si="291"/>
        <v>.</v>
      </c>
      <c r="AV1247" s="180" t="str">
        <f t="shared" si="292"/>
        <v>.</v>
      </c>
      <c r="AW1247" s="180">
        <f>IFERROR(VLOOKUP(B1247,'Share, Heavy Weapons to Ukraine'!B:J,COLUMN('Share, Heavy Weapons to Ukraine'!C1257)-1,0),0)</f>
        <v>1</v>
      </c>
      <c r="AX1247" s="180">
        <f>VLOOKUP('Bilateral Assistance, MAIN DATA'!B1247,'Country Summary'!B:F,COLUMN('Country Summary'!C1260)-1,FALSE)</f>
        <v>0</v>
      </c>
      <c r="AY1247" s="180" t="str">
        <f>IF(AND(AD1247=1,D1247="Military",H1247&lt;&gt;"Not given")=TRUE,IF(SUMIFS(P:P,A:A,A1247)&gt;0,ABS((SUMIFS(P:P,A:A,A1247)/VLOOKUP("USD",'Exchange Rates'!B:C,2,0)))/S1247,"."),".")</f>
        <v>.</v>
      </c>
      <c r="AZ1247" s="182" t="str">
        <f>IF(AND(AD1247=1,D1247="Military",H1247&lt;&gt;"Not given")=TRUE,IF(SUMIFS(P:P,A:A,A1247)&gt;0,IF((ABS((SUMIFS(P:P,A:A,A1247)/VLOOKUP("USD",'Exchange Rates'!B:C,2,0)))/S1247)&gt;1,(SUMIFS(P:P,A:A,A1247)-S1247)/S1247,(S1247-SUMIFS(P:P,A:A,A1247))/SUMIFS(P:P,A:A,A1247)),"."),".")</f>
        <v>.</v>
      </c>
      <c r="BA1247" s="18"/>
      <c r="BB1247" s="18"/>
      <c r="BC1247" s="18"/>
      <c r="BD1247" s="18"/>
      <c r="BE1247" s="18"/>
      <c r="BF1247" s="18"/>
      <c r="BG1247" s="18"/>
      <c r="BH1247" s="18"/>
      <c r="BI1247" s="18"/>
      <c r="BJ1247" s="18"/>
      <c r="BK1247" s="18"/>
      <c r="BL1247" s="18"/>
      <c r="BM1247" s="18"/>
      <c r="BN1247" s="18"/>
      <c r="BO1247" s="18"/>
      <c r="BP1247" s="18"/>
      <c r="BQ1247" s="18"/>
      <c r="BR1247" s="18"/>
      <c r="BS1247" s="18"/>
    </row>
    <row r="1248" spans="1:71" s="525" customFormat="1" ht="15.9" customHeight="1" x14ac:dyDescent="0.3">
      <c r="A1248" s="221" t="s">
        <v>3338</v>
      </c>
      <c r="B1248" s="229" t="s">
        <v>3038</v>
      </c>
      <c r="C1248" s="230">
        <v>44652</v>
      </c>
      <c r="D1248" s="229" t="s">
        <v>285</v>
      </c>
      <c r="E1248" s="229" t="s">
        <v>286</v>
      </c>
      <c r="F1248" s="175" t="s">
        <v>3341</v>
      </c>
      <c r="G1248" s="232" t="s">
        <v>346</v>
      </c>
      <c r="H1248" s="233">
        <v>300000000</v>
      </c>
      <c r="I1248" s="190" t="s">
        <v>3131</v>
      </c>
      <c r="J1248" s="113" t="str">
        <f>VLOOKUP($I1248,'Price List, Weapons &amp; Items'!B:C,2,0)</f>
        <v>Military equipment</v>
      </c>
      <c r="K1248" s="113" t="str">
        <f>IF(I1248=".",I1248,VLOOKUP($I1248,'Price List, Weapons &amp; Items'!B:D,3,0))</f>
        <v>Military equipment</v>
      </c>
      <c r="L1248" s="177">
        <f>VLOOKUP(I1248,'Price List, Weapons &amp; Items'!B:E,4,0)</f>
        <v>0</v>
      </c>
      <c r="M1248" s="226" t="s">
        <v>270</v>
      </c>
      <c r="N1248" s="233" t="s">
        <v>270</v>
      </c>
      <c r="O1248" s="543" t="str">
        <f>VLOOKUP($I1248,'Price List, Weapons &amp; Items'!B:G,6,0)</f>
        <v>.</v>
      </c>
      <c r="P1248" s="176" t="str">
        <f t="shared" si="302"/>
        <v>.</v>
      </c>
      <c r="Q1248" s="176" t="str">
        <f t="shared" si="303"/>
        <v>.</v>
      </c>
      <c r="R1248" s="176" t="str">
        <f t="shared" si="277"/>
        <v/>
      </c>
      <c r="S1248" s="176" t="str">
        <f>IF(AND(AD1248=1,R1248&lt;&gt;".")=TRUE,R1248/VLOOKUP(G1248,'Exchange Rates'!B:C,2,0),IF(R1248=".",".",""))</f>
        <v/>
      </c>
      <c r="T1248" s="176" t="str">
        <f>IF(AD1248=1,IF(AF1248="Value is not given at all",".",IF(AF1248="Value is given by the source",S1248,IF(AF1248="Value is calculated with prices",(IF(SUMIFS(Q:Q,A:A,A1248)&gt;0,SUMIFS(Q:Q,A:A,A1248),"."))/VLOOKUP("USD",'Exchange Rates'!B:C,2,0),"Error with coding"))),"")</f>
        <v/>
      </c>
      <c r="U1248" s="232" t="s">
        <v>261</v>
      </c>
      <c r="V1248" s="567" t="s">
        <v>3342</v>
      </c>
      <c r="W1248" s="813" t="s">
        <v>3044</v>
      </c>
      <c r="X1248" s="810" t="s">
        <v>3047</v>
      </c>
      <c r="Y1248" s="811" t="s">
        <v>3093</v>
      </c>
      <c r="Z1248" s="232">
        <v>0</v>
      </c>
      <c r="AA1248" s="180">
        <v>0</v>
      </c>
      <c r="AB1248" s="696" t="s">
        <v>260</v>
      </c>
      <c r="AC1248" s="544" t="str">
        <f>""</f>
        <v/>
      </c>
      <c r="AD1248" s="591">
        <v>0</v>
      </c>
      <c r="AE1248" s="589" t="s">
        <v>264</v>
      </c>
      <c r="AF1248" s="183" t="s">
        <v>265</v>
      </c>
      <c r="AG1248" s="235">
        <v>1</v>
      </c>
      <c r="AH1248" s="235">
        <v>4</v>
      </c>
      <c r="AI1248" s="235">
        <v>0</v>
      </c>
      <c r="AJ1248" s="181">
        <f>VLOOKUP($I1248,'Price List, Weapons &amp; Items'!B:F,5,0)</f>
        <v>0</v>
      </c>
      <c r="AK1248" s="181">
        <f t="shared" si="278"/>
        <v>0</v>
      </c>
      <c r="AL1248" s="181">
        <f t="shared" si="279"/>
        <v>0</v>
      </c>
      <c r="AM1248" s="181">
        <f t="shared" si="280"/>
        <v>0</v>
      </c>
      <c r="AN1248" s="180" t="str">
        <f>VLOOKUP($I1248,'Price List, Weapons &amp; Items'!B:L,COLUMN('Price List, Weapons &amp; Items'!$J$11)-1,0)</f>
        <v>.</v>
      </c>
      <c r="AO1248" s="180" t="str">
        <f>IF(I1248=".",".",VLOOKUP($I1248,'Price List, Weapons &amp; Items'!B:J,3,0))</f>
        <v>Military equipment</v>
      </c>
      <c r="AP1248" s="545" t="str">
        <f t="shared" ca="1" si="301"/>
        <v/>
      </c>
      <c r="AQ1248" s="180" t="str">
        <f>VLOOKUP($I1248,'Price List, Weapons &amp; Items'!B:L,COLUMN('Price List, Weapons &amp; Items'!$L$11)-1,0)</f>
        <v>no price, 0 count</v>
      </c>
      <c r="AR1248" s="180">
        <f t="shared" si="281"/>
        <v>1</v>
      </c>
      <c r="AS1248" s="180">
        <f t="shared" si="282"/>
        <v>1</v>
      </c>
      <c r="AT1248" s="180">
        <f t="shared" si="290"/>
        <v>1</v>
      </c>
      <c r="AU1248" s="180" t="str">
        <f t="shared" si="291"/>
        <v>.</v>
      </c>
      <c r="AV1248" s="180" t="str">
        <f t="shared" si="292"/>
        <v>.</v>
      </c>
      <c r="AW1248" s="180">
        <f>IFERROR(VLOOKUP(B1248,'Share, Heavy Weapons to Ukraine'!B:J,COLUMN('Share, Heavy Weapons to Ukraine'!C1258)-1,0),0)</f>
        <v>1</v>
      </c>
      <c r="AX1248" s="180">
        <f>VLOOKUP('Bilateral Assistance, MAIN DATA'!B1248,'Country Summary'!B:F,COLUMN('Country Summary'!C1261)-1,FALSE)</f>
        <v>0</v>
      </c>
      <c r="AY1248" s="180" t="str">
        <f>IF(AND(AD1248=1,D1248="Military",H1248&lt;&gt;"Not given")=TRUE,IF(SUMIFS(P:P,A:A,A1248)&gt;0,ABS((SUMIFS(P:P,A:A,A1248)/VLOOKUP("USD",'Exchange Rates'!B:C,2,0)))/S1248,"."),".")</f>
        <v>.</v>
      </c>
      <c r="AZ1248" s="182" t="str">
        <f>IF(AND(AD1248=1,D1248="Military",H1248&lt;&gt;"Not given")=TRUE,IF(SUMIFS(P:P,A:A,A1248)&gt;0,IF((ABS((SUMIFS(P:P,A:A,A1248)/VLOOKUP("USD",'Exchange Rates'!B:C,2,0)))/S1248)&gt;1,(SUMIFS(P:P,A:A,A1248)-S1248)/S1248,(S1248-SUMIFS(P:P,A:A,A1248))/SUMIFS(P:P,A:A,A1248)),"."),".")</f>
        <v>.</v>
      </c>
      <c r="BA1248" s="18"/>
      <c r="BB1248" s="18"/>
      <c r="BC1248" s="18"/>
      <c r="BD1248" s="18"/>
      <c r="BE1248" s="18"/>
      <c r="BF1248" s="18"/>
      <c r="BG1248" s="18"/>
      <c r="BH1248" s="18"/>
      <c r="BI1248" s="18"/>
      <c r="BJ1248" s="18"/>
      <c r="BK1248" s="18"/>
      <c r="BL1248" s="18"/>
      <c r="BM1248" s="18"/>
      <c r="BN1248" s="18"/>
      <c r="BO1248" s="18"/>
      <c r="BP1248" s="18"/>
      <c r="BQ1248" s="18"/>
      <c r="BR1248" s="18"/>
      <c r="BS1248" s="18"/>
    </row>
    <row r="1249" spans="1:71" s="525" customFormat="1" ht="15.9" customHeight="1" x14ac:dyDescent="0.3">
      <c r="A1249" s="221" t="s">
        <v>3338</v>
      </c>
      <c r="B1249" s="236" t="s">
        <v>3038</v>
      </c>
      <c r="C1249" s="237">
        <v>44652</v>
      </c>
      <c r="D1249" s="236" t="s">
        <v>285</v>
      </c>
      <c r="E1249" s="236" t="s">
        <v>286</v>
      </c>
      <c r="F1249" s="175" t="s">
        <v>3341</v>
      </c>
      <c r="G1249" s="239" t="s">
        <v>346</v>
      </c>
      <c r="H1249" s="240">
        <v>300000000</v>
      </c>
      <c r="I1249" s="190" t="s">
        <v>3140</v>
      </c>
      <c r="J1249" s="113" t="str">
        <f>VLOOKUP($I1249,'Price List, Weapons &amp; Items'!B:C,2,0)</f>
        <v>Military equipment</v>
      </c>
      <c r="K1249" s="113" t="str">
        <f>IF(I1249=".",I1249,VLOOKUP($I1249,'Price List, Weapons &amp; Items'!B:D,3,0))</f>
        <v>spare parts</v>
      </c>
      <c r="L1249" s="177">
        <f>VLOOKUP(I1249,'Price List, Weapons &amp; Items'!B:E,4,0)</f>
        <v>0</v>
      </c>
      <c r="M1249" s="226" t="s">
        <v>270</v>
      </c>
      <c r="N1249" s="233" t="s">
        <v>270</v>
      </c>
      <c r="O1249" s="543" t="str">
        <f>VLOOKUP($I1249,'Price List, Weapons &amp; Items'!B:G,6,0)</f>
        <v>.</v>
      </c>
      <c r="P1249" s="176" t="str">
        <f t="shared" si="302"/>
        <v>.</v>
      </c>
      <c r="Q1249" s="176" t="str">
        <f t="shared" si="303"/>
        <v>.</v>
      </c>
      <c r="R1249" s="176" t="str">
        <f t="shared" si="277"/>
        <v/>
      </c>
      <c r="S1249" s="176" t="str">
        <f>IF(AND(AD1249=1,R1249&lt;&gt;".")=TRUE,R1249/VLOOKUP(G1249,'Exchange Rates'!B:C,2,0),IF(R1249=".",".",""))</f>
        <v/>
      </c>
      <c r="T1249" s="176" t="str">
        <f>IF(AD1249=1,IF(AF1249="Value is not given at all",".",IF(AF1249="Value is given by the source",S1249,IF(AF1249="Value is calculated with prices",(IF(SUMIFS(Q:Q,A:A,A1249)&gt;0,SUMIFS(Q:Q,A:A,A1249),"."))/VLOOKUP("USD",'Exchange Rates'!B:C,2,0),"Error with coding"))),"")</f>
        <v/>
      </c>
      <c r="U1249" s="592" t="s">
        <v>261</v>
      </c>
      <c r="V1249" s="593" t="s">
        <v>3342</v>
      </c>
      <c r="W1249" s="813" t="s">
        <v>3044</v>
      </c>
      <c r="X1249" s="810" t="s">
        <v>3047</v>
      </c>
      <c r="Y1249" s="811" t="s">
        <v>3094</v>
      </c>
      <c r="Z1249" s="239">
        <v>0</v>
      </c>
      <c r="AA1249" s="180">
        <v>0</v>
      </c>
      <c r="AB1249" s="696" t="s">
        <v>260</v>
      </c>
      <c r="AC1249" s="544" t="str">
        <f>""</f>
        <v/>
      </c>
      <c r="AD1249" s="594">
        <v>0</v>
      </c>
      <c r="AE1249" s="589" t="s">
        <v>264</v>
      </c>
      <c r="AF1249" s="183" t="s">
        <v>265</v>
      </c>
      <c r="AG1249" s="595">
        <v>1</v>
      </c>
      <c r="AH1249" s="595">
        <v>4</v>
      </c>
      <c r="AI1249" s="595">
        <v>0</v>
      </c>
      <c r="AJ1249" s="181">
        <f>VLOOKUP($I1249,'Price List, Weapons &amp; Items'!B:F,5,0)</f>
        <v>0</v>
      </c>
      <c r="AK1249" s="181">
        <f t="shared" si="278"/>
        <v>0</v>
      </c>
      <c r="AL1249" s="181">
        <f t="shared" si="279"/>
        <v>0</v>
      </c>
      <c r="AM1249" s="181">
        <f t="shared" si="280"/>
        <v>0</v>
      </c>
      <c r="AN1249" s="180" t="str">
        <f>VLOOKUP($I1249,'Price List, Weapons &amp; Items'!B:L,COLUMN('Price List, Weapons &amp; Items'!$J$11)-1,0)</f>
        <v>.</v>
      </c>
      <c r="AO1249" s="180" t="str">
        <f>IF(I1249=".",".",VLOOKUP($I1249,'Price List, Weapons &amp; Items'!B:J,3,0))</f>
        <v>spare parts</v>
      </c>
      <c r="AP1249" s="545" t="str">
        <f t="shared" ca="1" si="301"/>
        <v/>
      </c>
      <c r="AQ1249" s="180" t="str">
        <f>VLOOKUP($I1249,'Price List, Weapons &amp; Items'!B:L,COLUMN('Price List, Weapons &amp; Items'!$L$11)-1,0)</f>
        <v>no price, 0 count</v>
      </c>
      <c r="AR1249" s="180">
        <f t="shared" si="281"/>
        <v>1</v>
      </c>
      <c r="AS1249" s="180">
        <f t="shared" si="282"/>
        <v>1</v>
      </c>
      <c r="AT1249" s="180">
        <f t="shared" si="290"/>
        <v>1</v>
      </c>
      <c r="AU1249" s="180" t="str">
        <f t="shared" si="291"/>
        <v>.</v>
      </c>
      <c r="AV1249" s="180" t="str">
        <f t="shared" si="292"/>
        <v>.</v>
      </c>
      <c r="AW1249" s="180">
        <f>IFERROR(VLOOKUP(B1249,'Share, Heavy Weapons to Ukraine'!B:J,COLUMN('Share, Heavy Weapons to Ukraine'!C1259)-1,0),0)</f>
        <v>1</v>
      </c>
      <c r="AX1249" s="180">
        <f>VLOOKUP('Bilateral Assistance, MAIN DATA'!B1249,'Country Summary'!B:F,COLUMN('Country Summary'!C1262)-1,FALSE)</f>
        <v>0</v>
      </c>
      <c r="AY1249" s="180" t="str">
        <f>IF(AND(AD1249=1,D1249="Military",H1249&lt;&gt;"Not given")=TRUE,IF(SUMIFS(P:P,A:A,A1249)&gt;0,ABS((SUMIFS(P:P,A:A,A1249)/VLOOKUP("USD",'Exchange Rates'!B:C,2,0)))/S1249,"."),".")</f>
        <v>.</v>
      </c>
      <c r="AZ1249" s="182" t="str">
        <f>IF(AND(AD1249=1,D1249="Military",H1249&lt;&gt;"Not given")=TRUE,IF(SUMIFS(P:P,A:A,A1249)&gt;0,IF((ABS((SUMIFS(P:P,A:A,A1249)/VLOOKUP("USD",'Exchange Rates'!B:C,2,0)))/S1249)&gt;1,(SUMIFS(P:P,A:A,A1249)-S1249)/S1249,(S1249-SUMIFS(P:P,A:A,A1249))/SUMIFS(P:P,A:A,A1249)),"."),".")</f>
        <v>.</v>
      </c>
      <c r="BA1249" s="18"/>
      <c r="BB1249" s="18"/>
      <c r="BC1249" s="18"/>
      <c r="BD1249" s="18"/>
      <c r="BE1249" s="18"/>
      <c r="BF1249" s="18"/>
      <c r="BG1249" s="18"/>
      <c r="BH1249" s="18"/>
      <c r="BI1249" s="18"/>
      <c r="BJ1249" s="18"/>
      <c r="BK1249" s="18"/>
      <c r="BL1249" s="18"/>
      <c r="BM1249" s="18"/>
      <c r="BN1249" s="18"/>
      <c r="BO1249" s="18"/>
      <c r="BP1249" s="18"/>
      <c r="BQ1249" s="18"/>
      <c r="BR1249" s="18"/>
      <c r="BS1249" s="18"/>
    </row>
    <row r="1250" spans="1:71" ht="15.9" customHeight="1" x14ac:dyDescent="0.3">
      <c r="A1250" s="221" t="s">
        <v>3338</v>
      </c>
      <c r="B1250" s="5" t="s">
        <v>3038</v>
      </c>
      <c r="C1250" s="174">
        <v>44691</v>
      </c>
      <c r="D1250" s="5" t="s">
        <v>285</v>
      </c>
      <c r="E1250" s="5" t="s">
        <v>1328</v>
      </c>
      <c r="F1250" s="175" t="s">
        <v>3349</v>
      </c>
      <c r="G1250" s="15" t="s">
        <v>346</v>
      </c>
      <c r="H1250" s="176">
        <v>650000000</v>
      </c>
      <c r="I1250" s="185" t="s">
        <v>906</v>
      </c>
      <c r="J1250" s="113" t="str">
        <f>VLOOKUP($I1250,'Price List, Weapons &amp; Items'!B:C,2,0)</f>
        <v>Heavy weapon</v>
      </c>
      <c r="K1250" s="113" t="str">
        <f>IF(I1250=".",I1250,VLOOKUP($I1250,'Price List, Weapons &amp; Items'!B:D,3,0))</f>
        <v>Anti-ship missle system</v>
      </c>
      <c r="L1250" s="177">
        <f>VLOOKUP(I1250,'Price List, Weapons &amp; Items'!B:E,4,0)</f>
        <v>0</v>
      </c>
      <c r="M1250" s="542">
        <v>2</v>
      </c>
      <c r="N1250" s="233" t="s">
        <v>270</v>
      </c>
      <c r="O1250" s="543">
        <f>VLOOKUP($I1250,'Price List, Weapons &amp; Items'!B:G,6,0)</f>
        <v>35411360.630000003</v>
      </c>
      <c r="P1250" s="176">
        <f t="shared" si="302"/>
        <v>70822721.260000005</v>
      </c>
      <c r="Q1250" s="176" t="str">
        <f t="shared" si="303"/>
        <v>.</v>
      </c>
      <c r="R1250" s="176" t="str">
        <f t="shared" si="277"/>
        <v/>
      </c>
      <c r="S1250" s="176" t="str">
        <f>IF(AND(AD1250=1,R1250&lt;&gt;".")=TRUE,R1250/VLOOKUP(G1250,'Exchange Rates'!B:C,2,0),IF(R1250=".",".",""))</f>
        <v/>
      </c>
      <c r="T1250" s="176" t="str">
        <f>IF(AD1250=1,IF(AF1250="Value is not given at all",".",IF(AF1250="Value is given by the source",S1250,IF(AF1250="Value is calculated with prices",(IF(SUMIFS(Q:Q,A:A,A1250)&gt;0,SUMIFS(Q:Q,A:A,A1250),"."))/VLOOKUP("USD",'Exchange Rates'!B:C,2,0),"Error with coding"))),"")</f>
        <v/>
      </c>
      <c r="U1250" s="15" t="s">
        <v>261</v>
      </c>
      <c r="V1250" s="547" t="s">
        <v>3047</v>
      </c>
      <c r="W1250" s="813" t="s">
        <v>3044</v>
      </c>
      <c r="X1250" s="810" t="s">
        <v>3047</v>
      </c>
      <c r="Y1250" s="811" t="s">
        <v>3095</v>
      </c>
      <c r="Z1250" s="15">
        <v>0</v>
      </c>
      <c r="AA1250" s="180">
        <v>0</v>
      </c>
      <c r="AB1250" s="17" t="s">
        <v>260</v>
      </c>
      <c r="AC1250" s="544" t="str">
        <f>""</f>
        <v/>
      </c>
      <c r="AD1250" s="183">
        <v>0</v>
      </c>
      <c r="AE1250" s="589" t="s">
        <v>264</v>
      </c>
      <c r="AF1250" s="183" t="s">
        <v>265</v>
      </c>
      <c r="AG1250" s="183">
        <v>1</v>
      </c>
      <c r="AH1250" s="183">
        <v>5</v>
      </c>
      <c r="AI1250" s="183">
        <v>0</v>
      </c>
      <c r="AJ1250" s="181">
        <f>VLOOKUP($I1250,'Price List, Weapons &amp; Items'!B:F,5,0)</f>
        <v>0</v>
      </c>
      <c r="AK1250" s="181">
        <f t="shared" si="278"/>
        <v>0</v>
      </c>
      <c r="AL1250" s="181">
        <f t="shared" si="279"/>
        <v>0</v>
      </c>
      <c r="AM1250" s="181">
        <f t="shared" si="280"/>
        <v>0</v>
      </c>
      <c r="AN1250" s="180" t="str">
        <f>VLOOKUP($I1250,'Price List, Weapons &amp; Items'!B:L,COLUMN('Price List, Weapons &amp; Items'!$J$11)-1,0)</f>
        <v>Government information</v>
      </c>
      <c r="AO1250" s="180" t="str">
        <f>IF(I1250=".",".",VLOOKUP($I1250,'Price List, Weapons &amp; Items'!B:J,3,0))</f>
        <v>Anti-ship missle system</v>
      </c>
      <c r="AP1250" s="545" t="str">
        <f t="shared" ca="1" si="301"/>
        <v/>
      </c>
      <c r="AQ1250" s="180">
        <f>VLOOKUP($I1250,'Price List, Weapons &amp; Items'!B:L,COLUMN('Price List, Weapons &amp; Items'!$L$11)-1,0)</f>
        <v>2</v>
      </c>
      <c r="AR1250" s="180">
        <f t="shared" si="281"/>
        <v>1</v>
      </c>
      <c r="AS1250" s="180">
        <f t="shared" si="282"/>
        <v>1</v>
      </c>
      <c r="AT1250" s="180">
        <f t="shared" si="290"/>
        <v>1</v>
      </c>
      <c r="AU1250" s="180" t="str">
        <f t="shared" si="291"/>
        <v>.</v>
      </c>
      <c r="AV1250" s="180" t="str">
        <f t="shared" si="292"/>
        <v>.</v>
      </c>
      <c r="AW1250" s="180">
        <f>IFERROR(VLOOKUP(B1250,'Share, Heavy Weapons to Ukraine'!B:J,COLUMN('Share, Heavy Weapons to Ukraine'!C1260)-1,0),0)</f>
        <v>1</v>
      </c>
      <c r="AX1250" s="180">
        <f>VLOOKUP('Bilateral Assistance, MAIN DATA'!B1250,'Country Summary'!B:F,COLUMN('Country Summary'!C1263)-1,FALSE)</f>
        <v>0</v>
      </c>
      <c r="AY1250" s="180" t="str">
        <f>IF(AND(AD1250=1,D1250="Military",H1250&lt;&gt;"Not given")=TRUE,IF(SUMIFS(P:P,A:A,A1250)&gt;0,ABS((SUMIFS(P:P,A:A,A1250)/VLOOKUP("USD",'Exchange Rates'!B:C,2,0)))/S1250,"."),".")</f>
        <v>.</v>
      </c>
      <c r="AZ1250" s="182" t="str">
        <f>IF(AND(AD1250=1,D1250="Military",H1250&lt;&gt;"Not given")=TRUE,IF(SUMIFS(P:P,A:A,A1250)&gt;0,IF((ABS((SUMIFS(P:P,A:A,A1250)/VLOOKUP("USD",'Exchange Rates'!B:C,2,0)))/S1250)&gt;1,(SUMIFS(P:P,A:A,A1250)-S1250)/S1250,(S1250-SUMIFS(P:P,A:A,A1250))/SUMIFS(P:P,A:A,A1250)),"."),".")</f>
        <v>.</v>
      </c>
      <c r="BA1250" s="182"/>
      <c r="BB1250" s="182"/>
      <c r="BC1250" s="182"/>
      <c r="BD1250" s="182"/>
      <c r="BE1250" s="182"/>
      <c r="BF1250" s="182"/>
      <c r="BG1250" s="182"/>
      <c r="BH1250" s="182"/>
      <c r="BI1250" s="182"/>
      <c r="BJ1250" s="182"/>
      <c r="BK1250" s="182"/>
      <c r="BL1250" s="182"/>
      <c r="BM1250" s="182"/>
      <c r="BN1250" s="182"/>
      <c r="BO1250" s="182"/>
      <c r="BP1250" s="182"/>
      <c r="BQ1250" s="182"/>
      <c r="BR1250" s="182"/>
      <c r="BS1250" s="182"/>
    </row>
    <row r="1251" spans="1:71" ht="15.9" customHeight="1" x14ac:dyDescent="0.3">
      <c r="A1251" s="221" t="s">
        <v>3338</v>
      </c>
      <c r="B1251" s="5" t="s">
        <v>3038</v>
      </c>
      <c r="C1251" s="174">
        <v>44729</v>
      </c>
      <c r="D1251" s="5" t="s">
        <v>285</v>
      </c>
      <c r="E1251" s="5" t="s">
        <v>1328</v>
      </c>
      <c r="F1251" s="175" t="s">
        <v>3349</v>
      </c>
      <c r="G1251" s="15" t="s">
        <v>346</v>
      </c>
      <c r="H1251" s="176">
        <v>650000000</v>
      </c>
      <c r="I1251" s="185" t="s">
        <v>955</v>
      </c>
      <c r="J1251" s="113" t="str">
        <f>VLOOKUP($I1251,'Price List, Weapons &amp; Items'!B:C,2,0)</f>
        <v>Military equipment</v>
      </c>
      <c r="K1251" s="113" t="str">
        <f>IF(I1251=".",I1251,VLOOKUP($I1251,'Price List, Weapons &amp; Items'!B:D,3,0))</f>
        <v>Military equipment</v>
      </c>
      <c r="L1251" s="177">
        <f>VLOOKUP(I1251,'Price List, Weapons &amp; Items'!B:E,4,0)</f>
        <v>0</v>
      </c>
      <c r="M1251" s="542">
        <v>2000</v>
      </c>
      <c r="N1251" s="233" t="s">
        <v>270</v>
      </c>
      <c r="O1251" s="543" t="str">
        <f>VLOOKUP($I1251,'Price List, Weapons &amp; Items'!B:G,6,0)</f>
        <v>.</v>
      </c>
      <c r="P1251" s="176" t="str">
        <f t="shared" si="302"/>
        <v>No price</v>
      </c>
      <c r="Q1251" s="176" t="str">
        <f t="shared" si="303"/>
        <v>.</v>
      </c>
      <c r="R1251" s="176" t="str">
        <f t="shared" ref="R1251:R1314" si="304">IF(AD1251=1,IF(H1251&lt;&gt;"Not given",H1251,IF(TYPE(H1251)=2,IF(SUMIFS(P:P,A:A,A1251)&gt;0,SUMIFS(P:P,A:A,A1251),"."),"Format error")),"")</f>
        <v/>
      </c>
      <c r="S1251" s="176" t="str">
        <f>IF(AND(AD1251=1,R1251&lt;&gt;".")=TRUE,R1251/VLOOKUP(G1251,'Exchange Rates'!B:C,2,0),IF(R1251=".",".",""))</f>
        <v/>
      </c>
      <c r="T1251" s="176" t="str">
        <f>IF(AD1251=1,IF(AF1251="Value is not given at all",".",IF(AF1251="Value is given by the source",S1251,IF(AF1251="Value is calculated with prices",(IF(SUMIFS(Q:Q,A:A,A1251)&gt;0,SUMIFS(Q:Q,A:A,A1251),"."))/VLOOKUP("USD",'Exchange Rates'!B:C,2,0),"Error with coding"))),"")</f>
        <v/>
      </c>
      <c r="U1251" s="15" t="s">
        <v>261</v>
      </c>
      <c r="V1251" s="547" t="s">
        <v>3047</v>
      </c>
      <c r="W1251" s="813" t="s">
        <v>3044</v>
      </c>
      <c r="X1251" s="810" t="s">
        <v>3047</v>
      </c>
      <c r="Y1251" s="811" t="s">
        <v>3097</v>
      </c>
      <c r="Z1251" s="15">
        <v>0</v>
      </c>
      <c r="AA1251" s="180">
        <v>0</v>
      </c>
      <c r="AB1251" s="17" t="s">
        <v>260</v>
      </c>
      <c r="AC1251" s="544" t="str">
        <f>""</f>
        <v/>
      </c>
      <c r="AD1251" s="183">
        <v>0</v>
      </c>
      <c r="AE1251" s="589" t="s">
        <v>264</v>
      </c>
      <c r="AF1251" s="183" t="s">
        <v>265</v>
      </c>
      <c r="AG1251" s="183">
        <v>1</v>
      </c>
      <c r="AH1251" s="183">
        <v>6</v>
      </c>
      <c r="AI1251" s="183">
        <v>0</v>
      </c>
      <c r="AJ1251" s="181">
        <f>VLOOKUP($I1251,'Price List, Weapons &amp; Items'!B:F,5,0)</f>
        <v>0</v>
      </c>
      <c r="AK1251" s="181">
        <f t="shared" si="278"/>
        <v>0</v>
      </c>
      <c r="AL1251" s="181">
        <f t="shared" si="279"/>
        <v>0</v>
      </c>
      <c r="AM1251" s="181">
        <f t="shared" si="280"/>
        <v>0</v>
      </c>
      <c r="AN1251" s="180" t="str">
        <f>VLOOKUP($I1251,'Price List, Weapons &amp; Items'!B:L,COLUMN('Price List, Weapons &amp; Items'!$J$11)-1,0)</f>
        <v>Contracts</v>
      </c>
      <c r="AO1251" s="180" t="str">
        <f>IF(I1251=".",".",VLOOKUP($I1251,'Price List, Weapons &amp; Items'!B:J,3,0))</f>
        <v>Military equipment</v>
      </c>
      <c r="AP1251" s="545" t="str">
        <f t="shared" ca="1" si="301"/>
        <v/>
      </c>
      <c r="AQ1251" s="180">
        <f>VLOOKUP($I1251,'Price List, Weapons &amp; Items'!B:L,COLUMN('Price List, Weapons &amp; Items'!$L$11)-1,0)</f>
        <v>0</v>
      </c>
      <c r="AR1251" s="180">
        <f t="shared" si="281"/>
        <v>1</v>
      </c>
      <c r="AS1251" s="180">
        <f t="shared" si="282"/>
        <v>1</v>
      </c>
      <c r="AT1251" s="180">
        <f t="shared" si="290"/>
        <v>1</v>
      </c>
      <c r="AU1251" s="180" t="str">
        <f t="shared" si="291"/>
        <v>.</v>
      </c>
      <c r="AV1251" s="180" t="str">
        <f t="shared" si="292"/>
        <v>.</v>
      </c>
      <c r="AW1251" s="180">
        <f>IFERROR(VLOOKUP(B1251,'Share, Heavy Weapons to Ukraine'!B:J,COLUMN('Share, Heavy Weapons to Ukraine'!C1261)-1,0),0)</f>
        <v>1</v>
      </c>
      <c r="AX1251" s="180">
        <f>VLOOKUP('Bilateral Assistance, MAIN DATA'!B1251,'Country Summary'!B:F,COLUMN('Country Summary'!C1264)-1,FALSE)</f>
        <v>0</v>
      </c>
      <c r="AY1251" s="180" t="str">
        <f>IF(AND(AD1251=1,D1251="Military",H1251&lt;&gt;"Not given")=TRUE,IF(SUMIFS(P:P,A:A,A1251)&gt;0,ABS((SUMIFS(P:P,A:A,A1251)/VLOOKUP("USD",'Exchange Rates'!B:C,2,0)))/S1251,"."),".")</f>
        <v>.</v>
      </c>
      <c r="AZ1251" s="182" t="str">
        <f>IF(AND(AD1251=1,D1251="Military",H1251&lt;&gt;"Not given")=TRUE,IF(SUMIFS(P:P,A:A,A1251)&gt;0,IF((ABS((SUMIFS(P:P,A:A,A1251)/VLOOKUP("USD",'Exchange Rates'!B:C,2,0)))/S1251)&gt;1,(SUMIFS(P:P,A:A,A1251)-S1251)/S1251,(S1251-SUMIFS(P:P,A:A,A1251))/SUMIFS(P:P,A:A,A1251)),"."),".")</f>
        <v>.</v>
      </c>
      <c r="BA1251" s="182"/>
      <c r="BB1251" s="182"/>
      <c r="BC1251" s="182"/>
      <c r="BD1251" s="182"/>
      <c r="BE1251" s="182"/>
      <c r="BF1251" s="182"/>
      <c r="BG1251" s="182"/>
      <c r="BH1251" s="182"/>
      <c r="BI1251" s="182"/>
      <c r="BJ1251" s="182"/>
      <c r="BK1251" s="182"/>
      <c r="BL1251" s="182"/>
      <c r="BM1251" s="182"/>
      <c r="BN1251" s="182"/>
      <c r="BO1251" s="182"/>
      <c r="BP1251" s="182"/>
      <c r="BQ1251" s="182"/>
      <c r="BR1251" s="182"/>
      <c r="BS1251" s="182"/>
    </row>
    <row r="1252" spans="1:71" ht="15.9" customHeight="1" x14ac:dyDescent="0.3">
      <c r="A1252" s="221" t="s">
        <v>3338</v>
      </c>
      <c r="B1252" s="5" t="s">
        <v>3038</v>
      </c>
      <c r="C1252" s="174">
        <v>44729</v>
      </c>
      <c r="D1252" s="5" t="s">
        <v>285</v>
      </c>
      <c r="E1252" s="5" t="s">
        <v>1328</v>
      </c>
      <c r="F1252" s="175" t="s">
        <v>3349</v>
      </c>
      <c r="G1252" s="15" t="s">
        <v>346</v>
      </c>
      <c r="H1252" s="176">
        <v>650000000</v>
      </c>
      <c r="I1252" s="185" t="s">
        <v>957</v>
      </c>
      <c r="J1252" s="113" t="str">
        <f>VLOOKUP($I1252,'Price List, Weapons &amp; Items'!B:C,2,0)</f>
        <v>Military equipment</v>
      </c>
      <c r="K1252" s="113" t="str">
        <f>IF(I1252=".",I1252,VLOOKUP($I1252,'Price List, Weapons &amp; Items'!B:D,3,0))</f>
        <v>Military equipment</v>
      </c>
      <c r="L1252" s="177">
        <f>VLOOKUP(I1252,'Price List, Weapons &amp; Items'!B:E,4,0)</f>
        <v>0</v>
      </c>
      <c r="M1252" s="542" t="s">
        <v>270</v>
      </c>
      <c r="N1252" s="233" t="s">
        <v>270</v>
      </c>
      <c r="O1252" s="543">
        <f>VLOOKUP($I1252,'Price List, Weapons &amp; Items'!B:G,6,0)</f>
        <v>5000</v>
      </c>
      <c r="P1252" s="176" t="str">
        <f t="shared" si="302"/>
        <v>.</v>
      </c>
      <c r="Q1252" s="176" t="str">
        <f t="shared" si="303"/>
        <v>.</v>
      </c>
      <c r="R1252" s="176" t="str">
        <f t="shared" si="304"/>
        <v/>
      </c>
      <c r="S1252" s="176" t="str">
        <f>IF(AND(AD1252=1,R1252&lt;&gt;".")=TRUE,R1252/VLOOKUP(G1252,'Exchange Rates'!B:C,2,0),IF(R1252=".",".",""))</f>
        <v/>
      </c>
      <c r="T1252" s="176" t="str">
        <f>IF(AD1252=1,IF(AF1252="Value is not given at all",".",IF(AF1252="Value is given by the source",S1252,IF(AF1252="Value is calculated with prices",(IF(SUMIFS(Q:Q,A:A,A1252)&gt;0,SUMIFS(Q:Q,A:A,A1252),"."))/VLOOKUP("USD",'Exchange Rates'!B:C,2,0),"Error with coding"))),"")</f>
        <v/>
      </c>
      <c r="U1252" s="15" t="s">
        <v>261</v>
      </c>
      <c r="V1252" s="547" t="s">
        <v>3047</v>
      </c>
      <c r="W1252" s="813" t="s">
        <v>3044</v>
      </c>
      <c r="X1252" s="810" t="s">
        <v>3047</v>
      </c>
      <c r="Y1252" s="811" t="s">
        <v>3099</v>
      </c>
      <c r="Z1252" s="15">
        <v>0</v>
      </c>
      <c r="AA1252" s="180">
        <v>0</v>
      </c>
      <c r="AB1252" s="17" t="s">
        <v>260</v>
      </c>
      <c r="AC1252" s="544" t="str">
        <f>""</f>
        <v/>
      </c>
      <c r="AD1252" s="183">
        <v>0</v>
      </c>
      <c r="AE1252" s="589" t="s">
        <v>264</v>
      </c>
      <c r="AF1252" s="183" t="s">
        <v>265</v>
      </c>
      <c r="AG1252" s="183">
        <v>1</v>
      </c>
      <c r="AH1252" s="183">
        <v>6</v>
      </c>
      <c r="AI1252" s="183">
        <v>0</v>
      </c>
      <c r="AJ1252" s="181">
        <f>VLOOKUP($I1252,'Price List, Weapons &amp; Items'!B:F,5,0)</f>
        <v>0</v>
      </c>
      <c r="AK1252" s="181">
        <f t="shared" si="278"/>
        <v>0</v>
      </c>
      <c r="AL1252" s="181">
        <f t="shared" si="279"/>
        <v>0</v>
      </c>
      <c r="AM1252" s="181">
        <f t="shared" si="280"/>
        <v>0</v>
      </c>
      <c r="AN1252" s="180" t="str">
        <f>VLOOKUP($I1252,'Price List, Weapons &amp; Items'!B:L,COLUMN('Price List, Weapons &amp; Items'!$J$11)-1,0)</f>
        <v>Miscellaneous</v>
      </c>
      <c r="AO1252" s="180" t="str">
        <f>IF(I1252=".",".",VLOOKUP($I1252,'Price List, Weapons &amp; Items'!B:J,3,0))</f>
        <v>Military equipment</v>
      </c>
      <c r="AP1252" s="545" t="str">
        <f t="shared" ca="1" si="301"/>
        <v/>
      </c>
      <c r="AQ1252" s="180" t="str">
        <f>VLOOKUP($I1252,'Price List, Weapons &amp; Items'!B:L,COLUMN('Price List, Weapons &amp; Items'!$L$11)-1,0)</f>
        <v>no price, 0 count</v>
      </c>
      <c r="AR1252" s="180">
        <f t="shared" si="281"/>
        <v>1</v>
      </c>
      <c r="AS1252" s="180">
        <f t="shared" si="282"/>
        <v>1</v>
      </c>
      <c r="AT1252" s="180">
        <f t="shared" si="290"/>
        <v>1</v>
      </c>
      <c r="AU1252" s="180" t="str">
        <f t="shared" si="291"/>
        <v>.</v>
      </c>
      <c r="AV1252" s="180" t="str">
        <f t="shared" si="292"/>
        <v>.</v>
      </c>
      <c r="AW1252" s="180">
        <f>IFERROR(VLOOKUP(B1252,'Share, Heavy Weapons to Ukraine'!B:J,COLUMN('Share, Heavy Weapons to Ukraine'!C1262)-1,0),0)</f>
        <v>1</v>
      </c>
      <c r="AX1252" s="180">
        <f>VLOOKUP('Bilateral Assistance, MAIN DATA'!B1252,'Country Summary'!B:F,COLUMN('Country Summary'!C1265)-1,FALSE)</f>
        <v>0</v>
      </c>
      <c r="AY1252" s="180" t="str">
        <f>IF(AND(AD1252=1,D1252="Military",H1252&lt;&gt;"Not given")=TRUE,IF(SUMIFS(P:P,A:A,A1252)&gt;0,ABS((SUMIFS(P:P,A:A,A1252)/VLOOKUP("USD",'Exchange Rates'!B:C,2,0)))/S1252,"."),".")</f>
        <v>.</v>
      </c>
      <c r="AZ1252" s="182" t="str">
        <f>IF(AND(AD1252=1,D1252="Military",H1252&lt;&gt;"Not given")=TRUE,IF(SUMIFS(P:P,A:A,A1252)&gt;0,IF((ABS((SUMIFS(P:P,A:A,A1252)/VLOOKUP("USD",'Exchange Rates'!B:C,2,0)))/S1252)&gt;1,(SUMIFS(P:P,A:A,A1252)-S1252)/S1252,(S1252-SUMIFS(P:P,A:A,A1252))/SUMIFS(P:P,A:A,A1252)),"."),".")</f>
        <v>.</v>
      </c>
      <c r="BA1252" s="182"/>
      <c r="BB1252" s="182"/>
      <c r="BC1252" s="182"/>
      <c r="BD1252" s="182"/>
      <c r="BE1252" s="182"/>
      <c r="BF1252" s="182"/>
      <c r="BG1252" s="182"/>
      <c r="BH1252" s="182"/>
      <c r="BI1252" s="182"/>
      <c r="BJ1252" s="182"/>
      <c r="BK1252" s="182"/>
      <c r="BL1252" s="182"/>
      <c r="BM1252" s="182"/>
      <c r="BN1252" s="182"/>
      <c r="BO1252" s="182"/>
      <c r="BP1252" s="182"/>
      <c r="BQ1252" s="182"/>
      <c r="BR1252" s="182"/>
      <c r="BS1252" s="182"/>
    </row>
    <row r="1253" spans="1:71" ht="15.9" customHeight="1" x14ac:dyDescent="0.25">
      <c r="A1253" s="221" t="s">
        <v>3338</v>
      </c>
      <c r="B1253" s="5" t="s">
        <v>3038</v>
      </c>
      <c r="C1253" s="174">
        <v>44729</v>
      </c>
      <c r="D1253" s="5" t="s">
        <v>285</v>
      </c>
      <c r="E1253" s="5" t="s">
        <v>1328</v>
      </c>
      <c r="F1253" s="175" t="s">
        <v>3349</v>
      </c>
      <c r="G1253" s="15" t="s">
        <v>346</v>
      </c>
      <c r="H1253" s="176">
        <v>650000000</v>
      </c>
      <c r="I1253" s="201" t="s">
        <v>598</v>
      </c>
      <c r="J1253" s="113" t="str">
        <f>VLOOKUP($I1253,'Price List, Weapons &amp; Items'!B:C,2,0)</f>
        <v>Military equipment</v>
      </c>
      <c r="K1253" s="113" t="str">
        <f>IF(I1253=".",I1253,VLOOKUP($I1253,'Price List, Weapons &amp; Items'!B:D,3,0))</f>
        <v>Military equipment</v>
      </c>
      <c r="L1253" s="177">
        <f>VLOOKUP(I1253,'Price List, Weapons &amp; Items'!B:E,4,0)</f>
        <v>0</v>
      </c>
      <c r="M1253" s="542" t="s">
        <v>270</v>
      </c>
      <c r="N1253" s="233" t="s">
        <v>270</v>
      </c>
      <c r="O1253" s="543">
        <f>VLOOKUP($I1253,'Price List, Weapons &amp; Items'!B:G,6,0)</f>
        <v>2320</v>
      </c>
      <c r="P1253" s="176" t="str">
        <f t="shared" si="302"/>
        <v>.</v>
      </c>
      <c r="Q1253" s="176" t="str">
        <f t="shared" si="303"/>
        <v>.</v>
      </c>
      <c r="R1253" s="176" t="str">
        <f t="shared" si="304"/>
        <v/>
      </c>
      <c r="S1253" s="176" t="str">
        <f>IF(AND(AD1253=1,R1253&lt;&gt;".")=TRUE,R1253/VLOOKUP(G1253,'Exchange Rates'!B:C,2,0),IF(R1253=".",".",""))</f>
        <v/>
      </c>
      <c r="T1253" s="176" t="str">
        <f>IF(AD1253=1,IF(AF1253="Value is not given at all",".",IF(AF1253="Value is given by the source",S1253,IF(AF1253="Value is calculated with prices",(IF(SUMIFS(Q:Q,A:A,A1253)&gt;0,SUMIFS(Q:Q,A:A,A1253),"."))/VLOOKUP("USD",'Exchange Rates'!B:C,2,0),"Error with coding"))),"")</f>
        <v/>
      </c>
      <c r="U1253" s="15" t="s">
        <v>261</v>
      </c>
      <c r="V1253" s="547" t="s">
        <v>3047</v>
      </c>
      <c r="W1253" s="813" t="s">
        <v>3044</v>
      </c>
      <c r="X1253" s="810" t="s">
        <v>3047</v>
      </c>
      <c r="Y1253" s="811" t="s">
        <v>3100</v>
      </c>
      <c r="Z1253" s="15">
        <v>0</v>
      </c>
      <c r="AA1253" s="180">
        <v>0</v>
      </c>
      <c r="AB1253" s="17" t="s">
        <v>260</v>
      </c>
      <c r="AC1253" s="544" t="str">
        <f>""</f>
        <v/>
      </c>
      <c r="AD1253" s="183">
        <v>0</v>
      </c>
      <c r="AE1253" s="589" t="s">
        <v>264</v>
      </c>
      <c r="AF1253" s="183" t="s">
        <v>265</v>
      </c>
      <c r="AG1253" s="183">
        <v>1</v>
      </c>
      <c r="AH1253" s="183">
        <v>6</v>
      </c>
      <c r="AI1253" s="183">
        <v>0</v>
      </c>
      <c r="AJ1253" s="181">
        <f>VLOOKUP($I1253,'Price List, Weapons &amp; Items'!B:F,5,0)</f>
        <v>0</v>
      </c>
      <c r="AK1253" s="181">
        <f t="shared" si="278"/>
        <v>0</v>
      </c>
      <c r="AL1253" s="181">
        <f t="shared" si="279"/>
        <v>0</v>
      </c>
      <c r="AM1253" s="181">
        <f t="shared" si="280"/>
        <v>0</v>
      </c>
      <c r="AN1253" s="180" t="str">
        <f>VLOOKUP($I1253,'Price List, Weapons &amp; Items'!B:L,COLUMN('Price List, Weapons &amp; Items'!$J$11)-1,0)</f>
        <v>Media reports (incl. social media)</v>
      </c>
      <c r="AO1253" s="180" t="str">
        <f>IF(I1253=".",".",VLOOKUP($I1253,'Price List, Weapons &amp; Items'!B:J,3,0))</f>
        <v>Military equipment</v>
      </c>
      <c r="AP1253" s="545" t="str">
        <f t="shared" ca="1" si="301"/>
        <v/>
      </c>
      <c r="AQ1253" s="180">
        <f>VLOOKUP($I1253,'Price List, Weapons &amp; Items'!B:L,COLUMN('Price List, Weapons &amp; Items'!$L$11)-1,0)</f>
        <v>2</v>
      </c>
      <c r="AR1253" s="180">
        <f t="shared" si="281"/>
        <v>1</v>
      </c>
      <c r="AS1253" s="180">
        <f t="shared" si="282"/>
        <v>1</v>
      </c>
      <c r="AT1253" s="180">
        <f t="shared" si="290"/>
        <v>1</v>
      </c>
      <c r="AU1253" s="180" t="str">
        <f t="shared" si="291"/>
        <v>.</v>
      </c>
      <c r="AV1253" s="180" t="str">
        <f t="shared" si="292"/>
        <v>.</v>
      </c>
      <c r="AW1253" s="180">
        <f>IFERROR(VLOOKUP(B1253,'Share, Heavy Weapons to Ukraine'!B:J,COLUMN('Share, Heavy Weapons to Ukraine'!C1263)-1,0),0)</f>
        <v>1</v>
      </c>
      <c r="AX1253" s="180">
        <f>VLOOKUP('Bilateral Assistance, MAIN DATA'!B1253,'Country Summary'!B:F,COLUMN('Country Summary'!C1266)-1,FALSE)</f>
        <v>0</v>
      </c>
      <c r="AY1253" s="180" t="str">
        <f>IF(AND(AD1253=1,D1253="Military",H1253&lt;&gt;"Not given")=TRUE,IF(SUMIFS(P:P,A:A,A1253)&gt;0,ABS((SUMIFS(P:P,A:A,A1253)/VLOOKUP("USD",'Exchange Rates'!B:C,2,0)))/S1253,"."),".")</f>
        <v>.</v>
      </c>
      <c r="AZ1253" s="182" t="str">
        <f>IF(AND(AD1253=1,D1253="Military",H1253&lt;&gt;"Not given")=TRUE,IF(SUMIFS(P:P,A:A,A1253)&gt;0,IF((ABS((SUMIFS(P:P,A:A,A1253)/VLOOKUP("USD",'Exchange Rates'!B:C,2,0)))/S1253)&gt;1,(SUMIFS(P:P,A:A,A1253)-S1253)/S1253,(S1253-SUMIFS(P:P,A:A,A1253))/SUMIFS(P:P,A:A,A1253)),"."),".")</f>
        <v>.</v>
      </c>
      <c r="BA1253" s="182"/>
      <c r="BB1253" s="182"/>
      <c r="BC1253" s="182"/>
      <c r="BD1253" s="182"/>
      <c r="BE1253" s="182"/>
      <c r="BF1253" s="182"/>
      <c r="BG1253" s="182"/>
      <c r="BH1253" s="182"/>
      <c r="BI1253" s="182"/>
      <c r="BJ1253" s="182"/>
      <c r="BK1253" s="182"/>
      <c r="BL1253" s="182"/>
      <c r="BM1253" s="182"/>
      <c r="BN1253" s="182"/>
      <c r="BO1253" s="182"/>
      <c r="BP1253" s="182"/>
      <c r="BQ1253" s="182"/>
      <c r="BR1253" s="182"/>
      <c r="BS1253" s="182"/>
    </row>
    <row r="1254" spans="1:71" ht="15.9" customHeight="1" x14ac:dyDescent="0.25">
      <c r="A1254" s="221" t="s">
        <v>3338</v>
      </c>
      <c r="B1254" s="5" t="s">
        <v>3038</v>
      </c>
      <c r="C1254" s="174">
        <v>44743</v>
      </c>
      <c r="D1254" s="5" t="s">
        <v>285</v>
      </c>
      <c r="E1254" s="5" t="s">
        <v>1328</v>
      </c>
      <c r="F1254" s="175" t="s">
        <v>3350</v>
      </c>
      <c r="G1254" s="15" t="s">
        <v>346</v>
      </c>
      <c r="H1254" s="176">
        <v>770000000</v>
      </c>
      <c r="I1254" s="201" t="s">
        <v>649</v>
      </c>
      <c r="J1254" s="113" t="str">
        <f>VLOOKUP($I1254,'Price List, Weapons &amp; Items'!B:C,2,0)</f>
        <v>Heavy weapon</v>
      </c>
      <c r="K1254" s="113" t="str">
        <f>IF(I1254=".",I1254,VLOOKUP($I1254,'Price List, Weapons &amp; Items'!B:D,3,0))</f>
        <v>Anti-aircraft surface-to-air missile (SAM) system (short-range)</v>
      </c>
      <c r="L1254" s="177">
        <f>VLOOKUP(I1254,'Price List, Weapons &amp; Items'!B:E,4,0)</f>
        <v>0</v>
      </c>
      <c r="M1254" s="542">
        <v>2</v>
      </c>
      <c r="N1254" s="542">
        <v>2</v>
      </c>
      <c r="O1254" s="543">
        <f>VLOOKUP($I1254,'Price List, Weapons &amp; Items'!B:G,6,0)</f>
        <v>50000000</v>
      </c>
      <c r="P1254" s="176">
        <f t="shared" si="302"/>
        <v>100000000</v>
      </c>
      <c r="Q1254" s="176">
        <f t="shared" si="303"/>
        <v>100000000</v>
      </c>
      <c r="R1254" s="176" t="str">
        <f t="shared" si="304"/>
        <v/>
      </c>
      <c r="S1254" s="176" t="str">
        <f>IF(AND(AD1254=1,R1254&lt;&gt;".")=TRUE,R1254/VLOOKUP(G1254,'Exchange Rates'!B:C,2,0),IF(R1254=".",".",""))</f>
        <v/>
      </c>
      <c r="T1254" s="176" t="str">
        <f>IF(AD1254=1,IF(AF1254="Value is not given at all",".",IF(AF1254="Value is given by the source",S1254,IF(AF1254="Value is calculated with prices",(IF(SUMIFS(Q:Q,A:A,A1254)&gt;0,SUMIFS(Q:Q,A:A,A1254),"."))/VLOOKUP("USD",'Exchange Rates'!B:C,2,0),"Error with coding"))),"")</f>
        <v/>
      </c>
      <c r="U1254" s="15" t="s">
        <v>261</v>
      </c>
      <c r="V1254" s="547" t="s">
        <v>3188</v>
      </c>
      <c r="W1254" s="813" t="s">
        <v>3044</v>
      </c>
      <c r="X1254" s="810" t="s">
        <v>3047</v>
      </c>
      <c r="Y1254" s="811" t="s">
        <v>3101</v>
      </c>
      <c r="Z1254" s="15">
        <v>0</v>
      </c>
      <c r="AA1254" s="180">
        <v>0</v>
      </c>
      <c r="AB1254" s="561" t="s">
        <v>3351</v>
      </c>
      <c r="AC1254" s="544" t="str">
        <f>""</f>
        <v/>
      </c>
      <c r="AD1254" s="183">
        <v>0</v>
      </c>
      <c r="AE1254" s="589" t="s">
        <v>264</v>
      </c>
      <c r="AF1254" s="183" t="s">
        <v>265</v>
      </c>
      <c r="AG1254" s="183">
        <v>1</v>
      </c>
      <c r="AH1254" s="183">
        <v>7</v>
      </c>
      <c r="AI1254" s="183">
        <v>0</v>
      </c>
      <c r="AJ1254" s="181">
        <f>VLOOKUP($I1254,'Price List, Weapons &amp; Items'!B:F,5,0)</f>
        <v>0</v>
      </c>
      <c r="AK1254" s="181">
        <f t="shared" si="278"/>
        <v>0</v>
      </c>
      <c r="AL1254" s="181">
        <f t="shared" si="279"/>
        <v>0</v>
      </c>
      <c r="AM1254" s="181">
        <f t="shared" si="280"/>
        <v>0</v>
      </c>
      <c r="AN1254" s="180" t="str">
        <f>VLOOKUP($I1254,'Price List, Weapons &amp; Items'!B:L,COLUMN('Price List, Weapons &amp; Items'!$J$11)-1,0)</f>
        <v>Military media (incl. websites)</v>
      </c>
      <c r="AO1254" s="180" t="str">
        <f>IF(I1254=".",".",VLOOKUP($I1254,'Price List, Weapons &amp; Items'!B:J,3,0))</f>
        <v>Anti-aircraft surface-to-air missile (SAM) system (short-range)</v>
      </c>
      <c r="AP1254" s="545" t="str">
        <f t="shared" ca="1" si="301"/>
        <v/>
      </c>
      <c r="AQ1254" s="180">
        <f>VLOOKUP($I1254,'Price List, Weapons &amp; Items'!B:L,COLUMN('Price List, Weapons &amp; Items'!$L$11)-1,0)</f>
        <v>2</v>
      </c>
      <c r="AR1254" s="180">
        <f t="shared" si="281"/>
        <v>1</v>
      </c>
      <c r="AS1254" s="180">
        <f t="shared" si="282"/>
        <v>1</v>
      </c>
      <c r="AT1254" s="180">
        <f t="shared" si="290"/>
        <v>1</v>
      </c>
      <c r="AU1254" s="180" t="str">
        <f t="shared" si="291"/>
        <v>.</v>
      </c>
      <c r="AV1254" s="180" t="str">
        <f t="shared" si="292"/>
        <v>.</v>
      </c>
      <c r="AW1254" s="180">
        <f>IFERROR(VLOOKUP(B1254,'Share, Heavy Weapons to Ukraine'!B:J,COLUMN('Share, Heavy Weapons to Ukraine'!C1264)-1,0),0)</f>
        <v>1</v>
      </c>
      <c r="AX1254" s="180">
        <f>VLOOKUP('Bilateral Assistance, MAIN DATA'!B1254,'Country Summary'!B:F,COLUMN('Country Summary'!C1267)-1,FALSE)</f>
        <v>0</v>
      </c>
      <c r="AY1254" s="180" t="str">
        <f>IF(AND(AD1254=1,D1254="Military",H1254&lt;&gt;"Not given")=TRUE,IF(SUMIFS(P:P,A:A,A1254)&gt;0,ABS((SUMIFS(P:P,A:A,A1254)/VLOOKUP("USD",'Exchange Rates'!B:C,2,0)))/S1254,"."),".")</f>
        <v>.</v>
      </c>
      <c r="AZ1254" s="182" t="str">
        <f>IF(AND(AD1254=1,D1254="Military",H1254&lt;&gt;"Not given")=TRUE,IF(SUMIFS(P:P,A:A,A1254)&gt;0,IF((ABS((SUMIFS(P:P,A:A,A1254)/VLOOKUP("USD",'Exchange Rates'!B:C,2,0)))/S1254)&gt;1,(SUMIFS(P:P,A:A,A1254)-S1254)/S1254,(S1254-SUMIFS(P:P,A:A,A1254))/SUMIFS(P:P,A:A,A1254)),"."),".")</f>
        <v>.</v>
      </c>
      <c r="BA1254" s="182"/>
      <c r="BB1254" s="182"/>
      <c r="BC1254" s="182"/>
      <c r="BD1254" s="182"/>
      <c r="BE1254" s="182"/>
      <c r="BF1254" s="182"/>
      <c r="BG1254" s="182"/>
      <c r="BH1254" s="182"/>
      <c r="BI1254" s="182"/>
      <c r="BJ1254" s="182"/>
      <c r="BK1254" s="182"/>
      <c r="BL1254" s="182"/>
      <c r="BM1254" s="182"/>
      <c r="BN1254" s="182"/>
      <c r="BO1254" s="182"/>
      <c r="BP1254" s="182"/>
      <c r="BQ1254" s="182"/>
      <c r="BR1254" s="182"/>
      <c r="BS1254" s="182"/>
    </row>
    <row r="1255" spans="1:71" ht="15.9" customHeight="1" x14ac:dyDescent="0.25">
      <c r="A1255" s="221" t="s">
        <v>3338</v>
      </c>
      <c r="B1255" s="5" t="s">
        <v>3038</v>
      </c>
      <c r="C1255" s="174">
        <v>44743</v>
      </c>
      <c r="D1255" s="5" t="s">
        <v>285</v>
      </c>
      <c r="E1255" s="5" t="s">
        <v>1328</v>
      </c>
      <c r="F1255" s="175" t="s">
        <v>3350</v>
      </c>
      <c r="G1255" s="15" t="s">
        <v>346</v>
      </c>
      <c r="H1255" s="176">
        <v>770000000</v>
      </c>
      <c r="I1255" s="201" t="s">
        <v>644</v>
      </c>
      <c r="J1255" s="113" t="str">
        <f>VLOOKUP($I1255,'Price List, Weapons &amp; Items'!B:C,2,0)</f>
        <v>Ammunition for heavy weapon</v>
      </c>
      <c r="K1255" s="113" t="str">
        <f>IF(I1255=".",I1255,VLOOKUP($I1255,'Price List, Weapons &amp; Items'!B:D,3,0))</f>
        <v>155mm howitzer ammunition</v>
      </c>
      <c r="L1255" s="177">
        <f>VLOOKUP(I1255,'Price List, Weapons &amp; Items'!B:E,4,0)</f>
        <v>0</v>
      </c>
      <c r="M1255" s="542">
        <v>150000</v>
      </c>
      <c r="N1255" s="542" t="s">
        <v>270</v>
      </c>
      <c r="O1255" s="543">
        <f>VLOOKUP($I1255,'Price List, Weapons &amp; Items'!B:G,6,0)</f>
        <v>3800</v>
      </c>
      <c r="P1255" s="176">
        <f t="shared" si="302"/>
        <v>570000000</v>
      </c>
      <c r="Q1255" s="176" t="str">
        <f t="shared" si="303"/>
        <v>.</v>
      </c>
      <c r="R1255" s="176" t="str">
        <f t="shared" si="304"/>
        <v/>
      </c>
      <c r="S1255" s="176" t="str">
        <f>IF(AND(AD1255=1,R1255&lt;&gt;".")=TRUE,R1255/VLOOKUP(G1255,'Exchange Rates'!B:C,2,0),IF(R1255=".",".",""))</f>
        <v/>
      </c>
      <c r="T1255" s="176" t="str">
        <f>IF(AD1255=1,IF(AF1255="Value is not given at all",".",IF(AF1255="Value is given by the source",S1255,IF(AF1255="Value is calculated with prices",(IF(SUMIFS(Q:Q,A:A,A1255)&gt;0,SUMIFS(Q:Q,A:A,A1255),"."))/VLOOKUP("USD",'Exchange Rates'!B:C,2,0),"Error with coding"))),"")</f>
        <v/>
      </c>
      <c r="U1255" s="15" t="s">
        <v>261</v>
      </c>
      <c r="V1255" s="547" t="s">
        <v>3188</v>
      </c>
      <c r="W1255" s="813" t="s">
        <v>3044</v>
      </c>
      <c r="X1255" s="810" t="s">
        <v>3047</v>
      </c>
      <c r="Y1255" s="811" t="s">
        <v>3103</v>
      </c>
      <c r="Z1255" s="15">
        <v>0</v>
      </c>
      <c r="AA1255" s="180">
        <v>0</v>
      </c>
      <c r="AB1255" s="17" t="s">
        <v>260</v>
      </c>
      <c r="AC1255" s="544" t="str">
        <f>""</f>
        <v/>
      </c>
      <c r="AD1255" s="183">
        <v>0</v>
      </c>
      <c r="AE1255" s="589" t="s">
        <v>264</v>
      </c>
      <c r="AF1255" s="183" t="s">
        <v>265</v>
      </c>
      <c r="AG1255" s="183">
        <v>1</v>
      </c>
      <c r="AH1255" s="183">
        <v>7</v>
      </c>
      <c r="AI1255" s="183">
        <v>0</v>
      </c>
      <c r="AJ1255" s="181">
        <f>VLOOKUP($I1255,'Price List, Weapons &amp; Items'!B:F,5,0)</f>
        <v>1</v>
      </c>
      <c r="AK1255" s="181">
        <f t="shared" si="278"/>
        <v>0</v>
      </c>
      <c r="AL1255" s="181">
        <f t="shared" si="279"/>
        <v>1</v>
      </c>
      <c r="AM1255" s="181">
        <f t="shared" si="280"/>
        <v>0</v>
      </c>
      <c r="AN1255" s="180" t="str">
        <f>VLOOKUP($I1255,'Price List, Weapons &amp; Items'!B:L,COLUMN('Price List, Weapons &amp; Items'!$J$11)-1,0)</f>
        <v>Government information</v>
      </c>
      <c r="AO1255" s="180" t="str">
        <f>IF(I1255=".",".",VLOOKUP($I1255,'Price List, Weapons &amp; Items'!B:J,3,0))</f>
        <v>155mm howitzer ammunition</v>
      </c>
      <c r="AP1255" s="545" t="str">
        <f t="shared" ca="1" si="301"/>
        <v/>
      </c>
      <c r="AQ1255" s="180">
        <f>VLOOKUP($I1255,'Price List, Weapons &amp; Items'!B:L,COLUMN('Price List, Weapons &amp; Items'!$L$11)-1,0)</f>
        <v>2</v>
      </c>
      <c r="AR1255" s="180">
        <f t="shared" si="281"/>
        <v>1</v>
      </c>
      <c r="AS1255" s="180">
        <f t="shared" si="282"/>
        <v>1</v>
      </c>
      <c r="AT1255" s="180">
        <f t="shared" si="290"/>
        <v>1</v>
      </c>
      <c r="AU1255" s="180" t="str">
        <f t="shared" si="291"/>
        <v>.</v>
      </c>
      <c r="AV1255" s="180" t="str">
        <f t="shared" si="292"/>
        <v>.</v>
      </c>
      <c r="AW1255" s="180">
        <f>IFERROR(VLOOKUP(B1255,'Share, Heavy Weapons to Ukraine'!B:J,COLUMN('Share, Heavy Weapons to Ukraine'!C1265)-1,0),0)</f>
        <v>1</v>
      </c>
      <c r="AX1255" s="180">
        <f>VLOOKUP('Bilateral Assistance, MAIN DATA'!B1255,'Country Summary'!B:F,COLUMN('Country Summary'!C1268)-1,FALSE)</f>
        <v>0</v>
      </c>
      <c r="AY1255" s="180" t="str">
        <f>IF(AND(AD1255=1,D1255="Military",H1255&lt;&gt;"Not given")=TRUE,IF(SUMIFS(P:P,A:A,A1255)&gt;0,ABS((SUMIFS(P:P,A:A,A1255)/VLOOKUP("USD",'Exchange Rates'!B:C,2,0)))/S1255,"."),".")</f>
        <v>.</v>
      </c>
      <c r="AZ1255" s="182" t="str">
        <f>IF(AND(AD1255=1,D1255="Military",H1255&lt;&gt;"Not given")=TRUE,IF(SUMIFS(P:P,A:A,A1255)&gt;0,IF((ABS((SUMIFS(P:P,A:A,A1255)/VLOOKUP("USD",'Exchange Rates'!B:C,2,0)))/S1255)&gt;1,(SUMIFS(P:P,A:A,A1255)-S1255)/S1255,(S1255-SUMIFS(P:P,A:A,A1255))/SUMIFS(P:P,A:A,A1255)),"."),".")</f>
        <v>.</v>
      </c>
      <c r="BA1255" s="182"/>
      <c r="BB1255" s="182"/>
      <c r="BC1255" s="182"/>
      <c r="BD1255" s="182"/>
      <c r="BE1255" s="182"/>
      <c r="BF1255" s="182"/>
      <c r="BG1255" s="182"/>
      <c r="BH1255" s="182"/>
      <c r="BI1255" s="182"/>
      <c r="BJ1255" s="182"/>
      <c r="BK1255" s="182"/>
      <c r="BL1255" s="182"/>
      <c r="BM1255" s="182"/>
      <c r="BN1255" s="182"/>
      <c r="BO1255" s="182"/>
      <c r="BP1255" s="182"/>
      <c r="BQ1255" s="182"/>
      <c r="BR1255" s="182"/>
      <c r="BS1255" s="182"/>
    </row>
    <row r="1256" spans="1:71" ht="15.9" customHeight="1" x14ac:dyDescent="0.3">
      <c r="A1256" s="221" t="s">
        <v>3338</v>
      </c>
      <c r="B1256" s="5" t="s">
        <v>3038</v>
      </c>
      <c r="C1256" s="174">
        <v>44743</v>
      </c>
      <c r="D1256" s="5" t="s">
        <v>285</v>
      </c>
      <c r="E1256" s="5" t="s">
        <v>1328</v>
      </c>
      <c r="F1256" s="175" t="s">
        <v>3350</v>
      </c>
      <c r="G1256" s="15" t="s">
        <v>346</v>
      </c>
      <c r="H1256" s="176">
        <v>770000000</v>
      </c>
      <c r="I1256" s="17" t="s">
        <v>2085</v>
      </c>
      <c r="J1256" s="113" t="str">
        <f>VLOOKUP($I1256,'Price List, Weapons &amp; Items'!B:C,2,0)</f>
        <v>Military equipment</v>
      </c>
      <c r="K1256" s="113" t="str">
        <f>IF(I1256=".",I1256,VLOOKUP($I1256,'Price List, Weapons &amp; Items'!B:D,3,0))</f>
        <v>Military equipment</v>
      </c>
      <c r="L1256" s="177">
        <f>VLOOKUP(I1256,'Price List, Weapons &amp; Items'!B:E,4,0)</f>
        <v>0</v>
      </c>
      <c r="M1256" s="542">
        <v>4</v>
      </c>
      <c r="N1256" s="542" t="s">
        <v>270</v>
      </c>
      <c r="O1256" s="543">
        <f>VLOOKUP($I1256,'Price List, Weapons &amp; Items'!B:G,6,0)</f>
        <v>8888888</v>
      </c>
      <c r="P1256" s="176">
        <f t="shared" si="302"/>
        <v>35555552</v>
      </c>
      <c r="Q1256" s="176" t="str">
        <f t="shared" si="303"/>
        <v>.</v>
      </c>
      <c r="R1256" s="176" t="str">
        <f t="shared" si="304"/>
        <v/>
      </c>
      <c r="S1256" s="176" t="str">
        <f>IF(AND(AD1256=1,R1256&lt;&gt;".")=TRUE,R1256/VLOOKUP(G1256,'Exchange Rates'!B:C,2,0),IF(R1256=".",".",""))</f>
        <v/>
      </c>
      <c r="T1256" s="176" t="str">
        <f>IF(AD1256=1,IF(AF1256="Value is not given at all",".",IF(AF1256="Value is given by the source",S1256,IF(AF1256="Value is calculated with prices",(IF(SUMIFS(Q:Q,A:A,A1256)&gt;0,SUMIFS(Q:Q,A:A,A1256),"."))/VLOOKUP("USD",'Exchange Rates'!B:C,2,0),"Error with coding"))),"")</f>
        <v/>
      </c>
      <c r="U1256" s="15" t="s">
        <v>261</v>
      </c>
      <c r="V1256" s="547" t="s">
        <v>3188</v>
      </c>
      <c r="W1256" s="813" t="s">
        <v>3044</v>
      </c>
      <c r="X1256" s="810" t="s">
        <v>3047</v>
      </c>
      <c r="Y1256" s="811" t="s">
        <v>3105</v>
      </c>
      <c r="Z1256" s="15">
        <v>0</v>
      </c>
      <c r="AA1256" s="180">
        <v>0</v>
      </c>
      <c r="AB1256" s="17" t="s">
        <v>260</v>
      </c>
      <c r="AC1256" s="544" t="str">
        <f>""</f>
        <v/>
      </c>
      <c r="AD1256" s="183">
        <v>0</v>
      </c>
      <c r="AE1256" s="589" t="s">
        <v>264</v>
      </c>
      <c r="AF1256" s="183" t="s">
        <v>265</v>
      </c>
      <c r="AG1256" s="183">
        <v>1</v>
      </c>
      <c r="AH1256" s="183">
        <v>7</v>
      </c>
      <c r="AI1256" s="183">
        <v>0</v>
      </c>
      <c r="AJ1256" s="181">
        <f>VLOOKUP($I1256,'Price List, Weapons &amp; Items'!B:F,5,0)</f>
        <v>0</v>
      </c>
      <c r="AK1256" s="181">
        <f t="shared" si="278"/>
        <v>0</v>
      </c>
      <c r="AL1256" s="181">
        <f t="shared" si="279"/>
        <v>0</v>
      </c>
      <c r="AM1256" s="181">
        <f t="shared" si="280"/>
        <v>0</v>
      </c>
      <c r="AN1256" s="180" t="str">
        <f>VLOOKUP($I1256,'Price List, Weapons &amp; Items'!B:L,COLUMN('Price List, Weapons &amp; Items'!$J$11)-1,0)</f>
        <v>Military media (incl. websites)</v>
      </c>
      <c r="AO1256" s="180" t="str">
        <f>IF(I1256=".",".",VLOOKUP($I1256,'Price List, Weapons &amp; Items'!B:J,3,0))</f>
        <v>Military equipment</v>
      </c>
      <c r="AP1256" s="545" t="str">
        <f t="shared" ca="1" si="301"/>
        <v/>
      </c>
      <c r="AQ1256" s="180">
        <f>VLOOKUP($I1256,'Price List, Weapons &amp; Items'!B:L,COLUMN('Price List, Weapons &amp; Items'!$L$11)-1,0)</f>
        <v>2</v>
      </c>
      <c r="AR1256" s="180">
        <f t="shared" si="281"/>
        <v>1</v>
      </c>
      <c r="AS1256" s="180">
        <f t="shared" si="282"/>
        <v>1</v>
      </c>
      <c r="AT1256" s="180">
        <f t="shared" si="290"/>
        <v>1</v>
      </c>
      <c r="AU1256" s="180" t="str">
        <f t="shared" si="291"/>
        <v>.</v>
      </c>
      <c r="AV1256" s="180" t="str">
        <f t="shared" si="292"/>
        <v>.</v>
      </c>
      <c r="AW1256" s="180">
        <f>IFERROR(VLOOKUP(B1256,'Share, Heavy Weapons to Ukraine'!B:J,COLUMN('Share, Heavy Weapons to Ukraine'!C1266)-1,0),0)</f>
        <v>1</v>
      </c>
      <c r="AX1256" s="180">
        <f>VLOOKUP('Bilateral Assistance, MAIN DATA'!B1256,'Country Summary'!B:F,COLUMN('Country Summary'!C1269)-1,FALSE)</f>
        <v>0</v>
      </c>
      <c r="AY1256" s="180" t="str">
        <f>IF(AND(AD1256=1,D1256="Military",H1256&lt;&gt;"Not given")=TRUE,IF(SUMIFS(P:P,A:A,A1256)&gt;0,ABS((SUMIFS(P:P,A:A,A1256)/VLOOKUP("USD",'Exchange Rates'!B:C,2,0)))/S1256,"."),".")</f>
        <v>.</v>
      </c>
      <c r="AZ1256" s="182" t="str">
        <f>IF(AND(AD1256=1,D1256="Military",H1256&lt;&gt;"Not given")=TRUE,IF(SUMIFS(P:P,A:A,A1256)&gt;0,IF((ABS((SUMIFS(P:P,A:A,A1256)/VLOOKUP("USD",'Exchange Rates'!B:C,2,0)))/S1256)&gt;1,(SUMIFS(P:P,A:A,A1256)-S1256)/S1256,(S1256-SUMIFS(P:P,A:A,A1256))/SUMIFS(P:P,A:A,A1256)),"."),".")</f>
        <v>.</v>
      </c>
      <c r="BA1256" s="182"/>
      <c r="BB1256" s="182"/>
      <c r="BC1256" s="182"/>
      <c r="BD1256" s="182"/>
      <c r="BE1256" s="182"/>
      <c r="BF1256" s="182"/>
      <c r="BG1256" s="182"/>
      <c r="BH1256" s="182"/>
      <c r="BI1256" s="182"/>
      <c r="BJ1256" s="182"/>
      <c r="BK1256" s="182"/>
      <c r="BL1256" s="182"/>
      <c r="BM1256" s="182"/>
      <c r="BN1256" s="182"/>
      <c r="BO1256" s="182"/>
      <c r="BP1256" s="182"/>
      <c r="BQ1256" s="182"/>
      <c r="BR1256" s="182"/>
      <c r="BS1256" s="182"/>
    </row>
    <row r="1257" spans="1:71" ht="15.9" customHeight="1" x14ac:dyDescent="0.3">
      <c r="A1257" s="221" t="s">
        <v>3338</v>
      </c>
      <c r="B1257" s="5" t="s">
        <v>3038</v>
      </c>
      <c r="C1257" s="174">
        <v>44764</v>
      </c>
      <c r="D1257" s="5" t="s">
        <v>285</v>
      </c>
      <c r="E1257" s="5" t="s">
        <v>1328</v>
      </c>
      <c r="F1257" s="175" t="s">
        <v>3352</v>
      </c>
      <c r="G1257" s="15" t="s">
        <v>346</v>
      </c>
      <c r="H1257" s="176">
        <v>95000000</v>
      </c>
      <c r="I1257" s="17" t="s">
        <v>3129</v>
      </c>
      <c r="J1257" s="113" t="str">
        <f>VLOOKUP($I1257,'Price List, Weapons &amp; Items'!B:C,2,0)</f>
        <v>Aviation and drones</v>
      </c>
      <c r="K1257" s="113" t="str">
        <f>IF(I1257=".",I1257,VLOOKUP($I1257,'Price List, Weapons &amp; Items'!B:D,3,0))</f>
        <v>drone</v>
      </c>
      <c r="L1257" s="177">
        <f>VLOOKUP(I1257,'Price List, Weapons &amp; Items'!B:E,4,0)</f>
        <v>0</v>
      </c>
      <c r="M1257" s="542">
        <v>580</v>
      </c>
      <c r="N1257" s="542" t="s">
        <v>270</v>
      </c>
      <c r="O1257" s="543">
        <f>VLOOKUP($I1257,'Price List, Weapons &amp; Items'!B:G,6,0)</f>
        <v>163793</v>
      </c>
      <c r="P1257" s="176">
        <f t="shared" si="302"/>
        <v>94999940</v>
      </c>
      <c r="Q1257" s="176" t="str">
        <f t="shared" si="303"/>
        <v>.</v>
      </c>
      <c r="R1257" s="176" t="str">
        <f t="shared" si="304"/>
        <v/>
      </c>
      <c r="S1257" s="176" t="str">
        <f>IF(AND(AD1257=1,R1257&lt;&gt;".")=TRUE,R1257/VLOOKUP(G1257,'Exchange Rates'!B:C,2,0),IF(R1257=".",".",""))</f>
        <v/>
      </c>
      <c r="T1257" s="176" t="str">
        <f>IF(AD1257=1,IF(AF1257="Value is not given at all",".",IF(AF1257="Value is given by the source",S1257,IF(AF1257="Value is calculated with prices",(IF(SUMIFS(Q:Q,A:A,A1257)&gt;0,SUMIFS(Q:Q,A:A,A1257),"."))/VLOOKUP("USD",'Exchange Rates'!B:C,2,0),"Error with coding"))),"")</f>
        <v/>
      </c>
      <c r="U1257" s="15" t="s">
        <v>261</v>
      </c>
      <c r="V1257" s="300" t="s">
        <v>3202</v>
      </c>
      <c r="W1257" s="813" t="s">
        <v>3044</v>
      </c>
      <c r="X1257" s="810" t="s">
        <v>3047</v>
      </c>
      <c r="Y1257" s="811" t="s">
        <v>3106</v>
      </c>
      <c r="Z1257" s="15">
        <v>0</v>
      </c>
      <c r="AA1257" s="180">
        <v>0</v>
      </c>
      <c r="AB1257" s="17" t="s">
        <v>260</v>
      </c>
      <c r="AC1257" s="544" t="str">
        <f>""</f>
        <v/>
      </c>
      <c r="AD1257" s="183">
        <v>0</v>
      </c>
      <c r="AE1257" s="589" t="s">
        <v>264</v>
      </c>
      <c r="AF1257" s="183" t="s">
        <v>265</v>
      </c>
      <c r="AG1257" s="183">
        <v>1</v>
      </c>
      <c r="AH1257" s="181">
        <v>7</v>
      </c>
      <c r="AI1257" s="181">
        <v>0</v>
      </c>
      <c r="AJ1257" s="181">
        <f>VLOOKUP($I1257,'Price List, Weapons &amp; Items'!B:F,5,0)</f>
        <v>0</v>
      </c>
      <c r="AK1257" s="181">
        <f t="shared" si="278"/>
        <v>0</v>
      </c>
      <c r="AL1257" s="181">
        <f t="shared" si="279"/>
        <v>0</v>
      </c>
      <c r="AM1257" s="181">
        <f t="shared" si="280"/>
        <v>0</v>
      </c>
      <c r="AN1257" s="180" t="str">
        <f>VLOOKUP($I1257,'Price List, Weapons &amp; Items'!B:L,COLUMN('Price List, Weapons &amp; Items'!$J$11)-1,0)</f>
        <v>Government information</v>
      </c>
      <c r="AO1257" s="180" t="str">
        <f>IF(I1257=".",".",VLOOKUP($I1257,'Price List, Weapons &amp; Items'!B:J,3,0))</f>
        <v>drone</v>
      </c>
      <c r="AP1257" s="545" t="str">
        <f t="shared" ca="1" si="301"/>
        <v/>
      </c>
      <c r="AQ1257" s="180">
        <f>VLOOKUP($I1257,'Price List, Weapons &amp; Items'!B:L,COLUMN('Price List, Weapons &amp; Items'!$L$11)-1,0)</f>
        <v>2</v>
      </c>
      <c r="AR1257" s="180">
        <f t="shared" si="281"/>
        <v>1</v>
      </c>
      <c r="AS1257" s="180">
        <f t="shared" si="282"/>
        <v>1</v>
      </c>
      <c r="AT1257" s="180">
        <f t="shared" si="290"/>
        <v>1</v>
      </c>
      <c r="AU1257" s="180" t="str">
        <f t="shared" si="291"/>
        <v>.</v>
      </c>
      <c r="AV1257" s="180" t="str">
        <f t="shared" si="292"/>
        <v>.</v>
      </c>
      <c r="AW1257" s="180">
        <f>IFERROR(VLOOKUP(B1257,'Share, Heavy Weapons to Ukraine'!B:J,COLUMN('Share, Heavy Weapons to Ukraine'!C1267)-1,0),0)</f>
        <v>1</v>
      </c>
      <c r="AX1257" s="180">
        <f>VLOOKUP('Bilateral Assistance, MAIN DATA'!B1257,'Country Summary'!B:F,COLUMN('Country Summary'!C1270)-1,FALSE)</f>
        <v>0</v>
      </c>
      <c r="AY1257" s="180" t="str">
        <f>IF(AND(AD1257=1,D1257="Military",H1257&lt;&gt;"Not given")=TRUE,IF(SUMIFS(P:P,A:A,A1257)&gt;0,ABS((SUMIFS(P:P,A:A,A1257)/VLOOKUP("USD",'Exchange Rates'!B:C,2,0)))/S1257,"."),".")</f>
        <v>.</v>
      </c>
      <c r="AZ1257" s="182" t="str">
        <f>IF(AND(AD1257=1,D1257="Military",H1257&lt;&gt;"Not given")=TRUE,IF(SUMIFS(P:P,A:A,A1257)&gt;0,IF((ABS((SUMIFS(P:P,A:A,A1257)/VLOOKUP("USD",'Exchange Rates'!B:C,2,0)))/S1257)&gt;1,(SUMIFS(P:P,A:A,A1257)-S1257)/S1257,(S1257-SUMIFS(P:P,A:A,A1257))/SUMIFS(P:P,A:A,A1257)),"."),".")</f>
        <v>.</v>
      </c>
      <c r="BA1257" s="182"/>
      <c r="BB1257" s="182"/>
      <c r="BC1257" s="182"/>
      <c r="BD1257" s="182"/>
      <c r="BE1257" s="182"/>
      <c r="BF1257" s="182"/>
      <c r="BG1257" s="182"/>
      <c r="BH1257" s="182"/>
      <c r="BI1257" s="182"/>
      <c r="BJ1257" s="182"/>
      <c r="BK1257" s="182"/>
      <c r="BL1257" s="182"/>
      <c r="BM1257" s="182"/>
      <c r="BN1257" s="182"/>
      <c r="BO1257" s="182"/>
      <c r="BP1257" s="182"/>
      <c r="BQ1257" s="182"/>
      <c r="BR1257" s="182"/>
      <c r="BS1257" s="182"/>
    </row>
    <row r="1258" spans="1:71" ht="15.9" customHeight="1" x14ac:dyDescent="0.3">
      <c r="A1258" s="221" t="s">
        <v>3338</v>
      </c>
      <c r="B1258" s="19" t="s">
        <v>3038</v>
      </c>
      <c r="C1258" s="555">
        <v>44797</v>
      </c>
      <c r="D1258" s="19" t="s">
        <v>285</v>
      </c>
      <c r="E1258" s="19" t="s">
        <v>1328</v>
      </c>
      <c r="F1258" s="175" t="s">
        <v>3353</v>
      </c>
      <c r="G1258" s="15" t="s">
        <v>346</v>
      </c>
      <c r="H1258" s="200">
        <v>2980000000</v>
      </c>
      <c r="I1258" s="19" t="s">
        <v>649</v>
      </c>
      <c r="J1258" s="113" t="str">
        <f>VLOOKUP($I1258,'Price List, Weapons &amp; Items'!B:C,2,0)</f>
        <v>Heavy weapon</v>
      </c>
      <c r="K1258" s="113" t="str">
        <f>IF(I1258=".",I1258,VLOOKUP($I1258,'Price List, Weapons &amp; Items'!B:D,3,0))</f>
        <v>Anti-aircraft surface-to-air missile (SAM) system (short-range)</v>
      </c>
      <c r="L1258" s="177">
        <f>VLOOKUP(I1258,'Price List, Weapons &amp; Items'!B:E,4,0)</f>
        <v>0</v>
      </c>
      <c r="M1258" s="247">
        <v>6</v>
      </c>
      <c r="N1258" s="542">
        <v>6</v>
      </c>
      <c r="O1258" s="543">
        <f>VLOOKUP($I1258,'Price List, Weapons &amp; Items'!B:G,6,0)</f>
        <v>50000000</v>
      </c>
      <c r="P1258" s="176">
        <f t="shared" si="302"/>
        <v>300000000</v>
      </c>
      <c r="Q1258" s="176">
        <f t="shared" si="303"/>
        <v>300000000</v>
      </c>
      <c r="R1258" s="176" t="str">
        <f t="shared" si="304"/>
        <v/>
      </c>
      <c r="S1258" s="176" t="str">
        <f>IF(AND(AD1258=1,R1258&lt;&gt;".")=TRUE,R1258/VLOOKUP(G1258,'Exchange Rates'!B:C,2,0),IF(R1258=".",".",""))</f>
        <v/>
      </c>
      <c r="T1258" s="176" t="str">
        <f>IF(AD1258=1,IF(AF1258="Value is not given at all",".",IF(AF1258="Value is given by the source",S1258,IF(AF1258="Value is calculated with prices",(IF(SUMIFS(Q:Q,A:A,A1258)&gt;0,SUMIFS(Q:Q,A:A,A1258),"."))/VLOOKUP("USD",'Exchange Rates'!B:C,2,0),"Error with coding"))),"")</f>
        <v/>
      </c>
      <c r="U1258" s="15" t="s">
        <v>261</v>
      </c>
      <c r="V1258" s="304" t="s">
        <v>3354</v>
      </c>
      <c r="W1258" s="813" t="s">
        <v>3044</v>
      </c>
      <c r="X1258" s="810" t="s">
        <v>3047</v>
      </c>
      <c r="Y1258" s="811" t="s">
        <v>3108</v>
      </c>
      <c r="Z1258" s="15">
        <v>0</v>
      </c>
      <c r="AA1258" s="180">
        <v>0</v>
      </c>
      <c r="AB1258" s="561" t="s">
        <v>3351</v>
      </c>
      <c r="AC1258" s="544" t="str">
        <f>""</f>
        <v/>
      </c>
      <c r="AD1258" s="183">
        <v>0</v>
      </c>
      <c r="AE1258" s="589" t="s">
        <v>264</v>
      </c>
      <c r="AF1258" s="183" t="s">
        <v>265</v>
      </c>
      <c r="AG1258" s="183">
        <v>1</v>
      </c>
      <c r="AH1258" s="181">
        <v>8</v>
      </c>
      <c r="AI1258" s="183">
        <v>0</v>
      </c>
      <c r="AJ1258" s="181">
        <f>VLOOKUP($I1258,'Price List, Weapons &amp; Items'!B:F,5,0)</f>
        <v>0</v>
      </c>
      <c r="AK1258" s="181">
        <f t="shared" si="278"/>
        <v>0</v>
      </c>
      <c r="AL1258" s="181">
        <f t="shared" si="279"/>
        <v>0</v>
      </c>
      <c r="AM1258" s="181">
        <f t="shared" si="280"/>
        <v>0</v>
      </c>
      <c r="AN1258" s="180" t="str">
        <f>VLOOKUP($I1258,'Price List, Weapons &amp; Items'!B:L,COLUMN('Price List, Weapons &amp; Items'!$J$11)-1,0)</f>
        <v>Military media (incl. websites)</v>
      </c>
      <c r="AO1258" s="180" t="str">
        <f>IF(I1258=".",".",VLOOKUP($I1258,'Price List, Weapons &amp; Items'!B:J,3,0))</f>
        <v>Anti-aircraft surface-to-air missile (SAM) system (short-range)</v>
      </c>
      <c r="AP1258" s="545" t="str">
        <f t="shared" ca="1" si="301"/>
        <v/>
      </c>
      <c r="AQ1258" s="180">
        <f>VLOOKUP($I1258,'Price List, Weapons &amp; Items'!B:L,COLUMN('Price List, Weapons &amp; Items'!$L$11)-1,0)</f>
        <v>2</v>
      </c>
      <c r="AR1258" s="180">
        <f t="shared" si="281"/>
        <v>1</v>
      </c>
      <c r="AS1258" s="180">
        <f t="shared" si="282"/>
        <v>1</v>
      </c>
      <c r="AT1258" s="180">
        <f t="shared" si="290"/>
        <v>1</v>
      </c>
      <c r="AU1258" s="180" t="str">
        <f t="shared" si="291"/>
        <v>.</v>
      </c>
      <c r="AV1258" s="180" t="str">
        <f t="shared" si="292"/>
        <v>.</v>
      </c>
      <c r="AW1258" s="180">
        <f>IFERROR(VLOOKUP(B1258,'Share, Heavy Weapons to Ukraine'!B:J,COLUMN('Share, Heavy Weapons to Ukraine'!C1268)-1,0),0)</f>
        <v>1</v>
      </c>
      <c r="AX1258" s="180">
        <f>VLOOKUP('Bilateral Assistance, MAIN DATA'!B1258,'Country Summary'!B:F,COLUMN('Country Summary'!C1271)-1,FALSE)</f>
        <v>0</v>
      </c>
      <c r="AY1258" s="180" t="str">
        <f>IF(AND(AD1258=1,D1258="Military",H1258&lt;&gt;"Not given")=TRUE,IF(SUMIFS(P:P,A:A,A1258)&gt;0,ABS((SUMIFS(P:P,A:A,A1258)/VLOOKUP("USD",'Exchange Rates'!B:C,2,0)))/S1258,"."),".")</f>
        <v>.</v>
      </c>
      <c r="AZ1258" s="182" t="str">
        <f>IF(AND(AD1258=1,D1258="Military",H1258&lt;&gt;"Not given")=TRUE,IF(SUMIFS(P:P,A:A,A1258)&gt;0,IF((ABS((SUMIFS(P:P,A:A,A1258)/VLOOKUP("USD",'Exchange Rates'!B:C,2,0)))/S1258)&gt;1,(SUMIFS(P:P,A:A,A1258)-S1258)/S1258,(S1258-SUMIFS(P:P,A:A,A1258))/SUMIFS(P:P,A:A,A1258)),"."),".")</f>
        <v>.</v>
      </c>
      <c r="BA1258" s="182"/>
      <c r="BB1258" s="182"/>
      <c r="BC1258" s="182"/>
      <c r="BD1258" s="182"/>
      <c r="BE1258" s="182"/>
      <c r="BF1258" s="182"/>
      <c r="BG1258" s="182"/>
      <c r="BH1258" s="182"/>
      <c r="BI1258" s="182"/>
      <c r="BJ1258" s="182"/>
      <c r="BK1258" s="182"/>
      <c r="BL1258" s="182"/>
      <c r="BM1258" s="182"/>
      <c r="BN1258" s="182"/>
      <c r="BO1258" s="182"/>
      <c r="BP1258" s="182"/>
      <c r="BQ1258" s="182"/>
      <c r="BR1258" s="182"/>
      <c r="BS1258" s="182"/>
    </row>
    <row r="1259" spans="1:71" ht="15.9" customHeight="1" x14ac:dyDescent="0.3">
      <c r="A1259" s="221" t="s">
        <v>3338</v>
      </c>
      <c r="B1259" s="19" t="s">
        <v>3038</v>
      </c>
      <c r="C1259" s="555">
        <v>44797</v>
      </c>
      <c r="D1259" s="19" t="s">
        <v>285</v>
      </c>
      <c r="E1259" s="19" t="s">
        <v>1328</v>
      </c>
      <c r="F1259" s="175" t="s">
        <v>3353</v>
      </c>
      <c r="G1259" s="15" t="s">
        <v>346</v>
      </c>
      <c r="H1259" s="200">
        <v>2980000000</v>
      </c>
      <c r="I1259" s="19" t="s">
        <v>652</v>
      </c>
      <c r="J1259" s="113" t="str">
        <f>VLOOKUP($I1259,'Price List, Weapons &amp; Items'!B:C,2,0)</f>
        <v>Ammunition for Heavy Weapon</v>
      </c>
      <c r="K1259" s="113" t="str">
        <f>IF(I1259=".",I1259,VLOOKUP($I1259,'Price List, Weapons &amp; Items'!B:D,3,0))</f>
        <v>missile</v>
      </c>
      <c r="L1259" s="177">
        <f>VLOOKUP(I1259,'Price List, Weapons &amp; Items'!B:E,4,0)</f>
        <v>0</v>
      </c>
      <c r="M1259" s="247" t="s">
        <v>270</v>
      </c>
      <c r="N1259" s="542" t="s">
        <v>270</v>
      </c>
      <c r="O1259" s="543">
        <f>VLOOKUP($I1259,'Price List, Weapons &amp; Items'!B:G,6,0)</f>
        <v>1090000</v>
      </c>
      <c r="P1259" s="176" t="str">
        <f t="shared" si="302"/>
        <v>.</v>
      </c>
      <c r="Q1259" s="176" t="str">
        <f t="shared" si="303"/>
        <v>.</v>
      </c>
      <c r="R1259" s="176" t="str">
        <f t="shared" si="304"/>
        <v/>
      </c>
      <c r="S1259" s="176" t="str">
        <f>IF(AND(AD1259=1,R1259&lt;&gt;".")=TRUE,R1259/VLOOKUP(G1259,'Exchange Rates'!B:C,2,0),IF(R1259=".",".",""))</f>
        <v/>
      </c>
      <c r="T1259" s="176" t="str">
        <f>IF(AD1259=1,IF(AF1259="Value is not given at all",".",IF(AF1259="Value is given by the source",S1259,IF(AF1259="Value is calculated with prices",(IF(SUMIFS(Q:Q,A:A,A1259)&gt;0,SUMIFS(Q:Q,A:A,A1259),"."))/VLOOKUP("USD",'Exchange Rates'!B:C,2,0),"Error with coding"))),"")</f>
        <v/>
      </c>
      <c r="U1259" s="15" t="s">
        <v>261</v>
      </c>
      <c r="V1259" s="304" t="s">
        <v>3354</v>
      </c>
      <c r="W1259" s="813" t="s">
        <v>3044</v>
      </c>
      <c r="X1259" s="810" t="s">
        <v>3047</v>
      </c>
      <c r="Y1259" s="811" t="s">
        <v>3109</v>
      </c>
      <c r="Z1259" s="15">
        <v>0</v>
      </c>
      <c r="AA1259" s="180">
        <v>0</v>
      </c>
      <c r="AB1259" s="17" t="s">
        <v>260</v>
      </c>
      <c r="AC1259" s="544" t="str">
        <f>""</f>
        <v/>
      </c>
      <c r="AD1259" s="183">
        <v>0</v>
      </c>
      <c r="AE1259" s="589" t="s">
        <v>264</v>
      </c>
      <c r="AF1259" s="183" t="s">
        <v>265</v>
      </c>
      <c r="AG1259" s="183">
        <v>1</v>
      </c>
      <c r="AH1259" s="181">
        <v>8</v>
      </c>
      <c r="AI1259" s="181">
        <v>0</v>
      </c>
      <c r="AJ1259" s="181">
        <f>VLOOKUP($I1259,'Price List, Weapons &amp; Items'!B:F,5,0)</f>
        <v>0</v>
      </c>
      <c r="AK1259" s="181">
        <f t="shared" si="278"/>
        <v>0</v>
      </c>
      <c r="AL1259" s="181">
        <f t="shared" si="279"/>
        <v>0</v>
      </c>
      <c r="AM1259" s="181">
        <f t="shared" si="280"/>
        <v>0</v>
      </c>
      <c r="AN1259" s="180" t="str">
        <f>VLOOKUP($I1259,'Price List, Weapons &amp; Items'!B:L,COLUMN('Price List, Weapons &amp; Items'!$J$11)-1,0)</f>
        <v>Miscellaneous</v>
      </c>
      <c r="AO1259" s="180" t="str">
        <f>IF(I1259=".",".",VLOOKUP($I1259,'Price List, Weapons &amp; Items'!B:J,3,0))</f>
        <v>missile</v>
      </c>
      <c r="AP1259" s="545" t="str">
        <f t="shared" ca="1" si="301"/>
        <v/>
      </c>
      <c r="AQ1259" s="180" t="str">
        <f>VLOOKUP($I1259,'Price List, Weapons &amp; Items'!B:L,COLUMN('Price List, Weapons &amp; Items'!$L$11)-1,0)</f>
        <v>no price, 0 count</v>
      </c>
      <c r="AR1259" s="180">
        <f t="shared" si="281"/>
        <v>1</v>
      </c>
      <c r="AS1259" s="180">
        <f t="shared" si="282"/>
        <v>1</v>
      </c>
      <c r="AT1259" s="180">
        <f t="shared" si="290"/>
        <v>1</v>
      </c>
      <c r="AU1259" s="180" t="str">
        <f t="shared" si="291"/>
        <v>.</v>
      </c>
      <c r="AV1259" s="180" t="str">
        <f t="shared" si="292"/>
        <v>.</v>
      </c>
      <c r="AW1259" s="180">
        <f>IFERROR(VLOOKUP(B1259,'Share, Heavy Weapons to Ukraine'!B:J,COLUMN('Share, Heavy Weapons to Ukraine'!C1269)-1,0),0)</f>
        <v>1</v>
      </c>
      <c r="AX1259" s="180">
        <f>VLOOKUP('Bilateral Assistance, MAIN DATA'!B1259,'Country Summary'!B:F,COLUMN('Country Summary'!C1272)-1,FALSE)</f>
        <v>0</v>
      </c>
      <c r="AY1259" s="180" t="str">
        <f>IF(AND(AD1259=1,D1259="Military",H1259&lt;&gt;"Not given")=TRUE,IF(SUMIFS(P:P,A:A,A1259)&gt;0,ABS((SUMIFS(P:P,A:A,A1259)/VLOOKUP("USD",'Exchange Rates'!B:C,2,0)))/S1259,"."),".")</f>
        <v>.</v>
      </c>
      <c r="AZ1259" s="182" t="str">
        <f>IF(AND(AD1259=1,D1259="Military",H1259&lt;&gt;"Not given")=TRUE,IF(SUMIFS(P:P,A:A,A1259)&gt;0,IF((ABS((SUMIFS(P:P,A:A,A1259)/VLOOKUP("USD",'Exchange Rates'!B:C,2,0)))/S1259)&gt;1,(SUMIFS(P:P,A:A,A1259)-S1259)/S1259,(S1259-SUMIFS(P:P,A:A,A1259))/SUMIFS(P:P,A:A,A1259)),"."),".")</f>
        <v>.</v>
      </c>
      <c r="BA1259" s="182"/>
      <c r="BB1259" s="182"/>
      <c r="BC1259" s="182"/>
      <c r="BD1259" s="182"/>
      <c r="BE1259" s="182"/>
      <c r="BF1259" s="182"/>
      <c r="BG1259" s="182"/>
      <c r="BH1259" s="182"/>
      <c r="BI1259" s="182"/>
      <c r="BJ1259" s="182"/>
      <c r="BK1259" s="182"/>
      <c r="BL1259" s="182"/>
      <c r="BM1259" s="182"/>
      <c r="BN1259" s="182"/>
      <c r="BO1259" s="182"/>
      <c r="BP1259" s="182"/>
      <c r="BQ1259" s="182"/>
      <c r="BR1259" s="182"/>
      <c r="BS1259" s="182"/>
    </row>
    <row r="1260" spans="1:71" ht="15.9" customHeight="1" x14ac:dyDescent="0.3">
      <c r="A1260" s="221" t="s">
        <v>3338</v>
      </c>
      <c r="B1260" s="19" t="s">
        <v>3038</v>
      </c>
      <c r="C1260" s="555">
        <v>44797</v>
      </c>
      <c r="D1260" s="19" t="s">
        <v>285</v>
      </c>
      <c r="E1260" s="19" t="s">
        <v>1328</v>
      </c>
      <c r="F1260" s="175" t="s">
        <v>3353</v>
      </c>
      <c r="G1260" s="15" t="s">
        <v>346</v>
      </c>
      <c r="H1260" s="200">
        <v>2980000000</v>
      </c>
      <c r="I1260" s="19" t="s">
        <v>644</v>
      </c>
      <c r="J1260" s="113" t="str">
        <f>VLOOKUP($I1260,'Price List, Weapons &amp; Items'!B:C,2,0)</f>
        <v>Ammunition for heavy weapon</v>
      </c>
      <c r="K1260" s="113" t="str">
        <f>IF(I1260=".",I1260,VLOOKUP($I1260,'Price List, Weapons &amp; Items'!B:D,3,0))</f>
        <v>155mm howitzer ammunition</v>
      </c>
      <c r="L1260" s="177">
        <f>VLOOKUP(I1260,'Price List, Weapons &amp; Items'!B:E,4,0)</f>
        <v>0</v>
      </c>
      <c r="M1260" s="247">
        <v>245000</v>
      </c>
      <c r="N1260" s="542" t="s">
        <v>270</v>
      </c>
      <c r="O1260" s="543">
        <f>VLOOKUP($I1260,'Price List, Weapons &amp; Items'!B:G,6,0)</f>
        <v>3800</v>
      </c>
      <c r="P1260" s="176">
        <f t="shared" si="302"/>
        <v>931000000</v>
      </c>
      <c r="Q1260" s="176" t="str">
        <f t="shared" si="303"/>
        <v>.</v>
      </c>
      <c r="R1260" s="176" t="str">
        <f t="shared" si="304"/>
        <v/>
      </c>
      <c r="S1260" s="176" t="str">
        <f>IF(AND(AD1260=1,R1260&lt;&gt;".")=TRUE,R1260/VLOOKUP(G1260,'Exchange Rates'!B:C,2,0),IF(R1260=".",".",""))</f>
        <v/>
      </c>
      <c r="T1260" s="176" t="str">
        <f>IF(AD1260=1,IF(AF1260="Value is not given at all",".",IF(AF1260="Value is given by the source",S1260,IF(AF1260="Value is calculated with prices",(IF(SUMIFS(Q:Q,A:A,A1260)&gt;0,SUMIFS(Q:Q,A:A,A1260),"."))/VLOOKUP("USD",'Exchange Rates'!B:C,2,0),"Error with coding"))),"")</f>
        <v/>
      </c>
      <c r="U1260" s="15" t="s">
        <v>261</v>
      </c>
      <c r="V1260" s="304" t="s">
        <v>3354</v>
      </c>
      <c r="W1260" s="813" t="s">
        <v>3044</v>
      </c>
      <c r="X1260" s="810" t="s">
        <v>3047</v>
      </c>
      <c r="Y1260" s="811" t="s">
        <v>3111</v>
      </c>
      <c r="Z1260" s="15">
        <v>0</v>
      </c>
      <c r="AA1260" s="180">
        <v>0</v>
      </c>
      <c r="AB1260" s="17" t="s">
        <v>260</v>
      </c>
      <c r="AC1260" s="544" t="str">
        <f>""</f>
        <v/>
      </c>
      <c r="AD1260" s="183">
        <v>0</v>
      </c>
      <c r="AE1260" s="589" t="s">
        <v>264</v>
      </c>
      <c r="AF1260" s="183" t="s">
        <v>265</v>
      </c>
      <c r="AG1260" s="183">
        <v>1</v>
      </c>
      <c r="AH1260" s="181">
        <v>8</v>
      </c>
      <c r="AI1260" s="183">
        <v>0</v>
      </c>
      <c r="AJ1260" s="181">
        <f>VLOOKUP($I1260,'Price List, Weapons &amp; Items'!B:F,5,0)</f>
        <v>1</v>
      </c>
      <c r="AK1260" s="181">
        <f t="shared" si="278"/>
        <v>0</v>
      </c>
      <c r="AL1260" s="181">
        <f t="shared" si="279"/>
        <v>1</v>
      </c>
      <c r="AM1260" s="181">
        <f t="shared" si="280"/>
        <v>0</v>
      </c>
      <c r="AN1260" s="180" t="str">
        <f>VLOOKUP($I1260,'Price List, Weapons &amp; Items'!B:L,COLUMN('Price List, Weapons &amp; Items'!$J$11)-1,0)</f>
        <v>Government information</v>
      </c>
      <c r="AO1260" s="180" t="str">
        <f>IF(I1260=".",".",VLOOKUP($I1260,'Price List, Weapons &amp; Items'!B:J,3,0))</f>
        <v>155mm howitzer ammunition</v>
      </c>
      <c r="AP1260" s="545" t="str">
        <f t="shared" ca="1" si="301"/>
        <v/>
      </c>
      <c r="AQ1260" s="180">
        <f>VLOOKUP($I1260,'Price List, Weapons &amp; Items'!B:L,COLUMN('Price List, Weapons &amp; Items'!$L$11)-1,0)</f>
        <v>2</v>
      </c>
      <c r="AR1260" s="180">
        <f t="shared" si="281"/>
        <v>1</v>
      </c>
      <c r="AS1260" s="180">
        <f t="shared" si="282"/>
        <v>1</v>
      </c>
      <c r="AT1260" s="180">
        <f t="shared" si="290"/>
        <v>1</v>
      </c>
      <c r="AU1260" s="180" t="str">
        <f t="shared" si="291"/>
        <v>.</v>
      </c>
      <c r="AV1260" s="180" t="str">
        <f t="shared" si="292"/>
        <v>.</v>
      </c>
      <c r="AW1260" s="180">
        <f>IFERROR(VLOOKUP(B1260,'Share, Heavy Weapons to Ukraine'!B:J,COLUMN('Share, Heavy Weapons to Ukraine'!C1270)-1,0),0)</f>
        <v>1</v>
      </c>
      <c r="AX1260" s="180">
        <f>VLOOKUP('Bilateral Assistance, MAIN DATA'!B1260,'Country Summary'!B:F,COLUMN('Country Summary'!C1273)-1,FALSE)</f>
        <v>0</v>
      </c>
      <c r="AY1260" s="180" t="str">
        <f>IF(AND(AD1260=1,D1260="Military",H1260&lt;&gt;"Not given")=TRUE,IF(SUMIFS(P:P,A:A,A1260)&gt;0,ABS((SUMIFS(P:P,A:A,A1260)/VLOOKUP("USD",'Exchange Rates'!B:C,2,0)))/S1260,"."),".")</f>
        <v>.</v>
      </c>
      <c r="AZ1260" s="182" t="str">
        <f>IF(AND(AD1260=1,D1260="Military",H1260&lt;&gt;"Not given")=TRUE,IF(SUMIFS(P:P,A:A,A1260)&gt;0,IF((ABS((SUMIFS(P:P,A:A,A1260)/VLOOKUP("USD",'Exchange Rates'!B:C,2,0)))/S1260)&gt;1,(SUMIFS(P:P,A:A,A1260)-S1260)/S1260,(S1260-SUMIFS(P:P,A:A,A1260))/SUMIFS(P:P,A:A,A1260)),"."),".")</f>
        <v>.</v>
      </c>
      <c r="BA1260" s="182"/>
      <c r="BB1260" s="182"/>
      <c r="BC1260" s="182"/>
      <c r="BD1260" s="182"/>
      <c r="BE1260" s="182"/>
      <c r="BF1260" s="182"/>
      <c r="BG1260" s="182"/>
      <c r="BH1260" s="182"/>
      <c r="BI1260" s="182"/>
      <c r="BJ1260" s="182"/>
      <c r="BK1260" s="182"/>
      <c r="BL1260" s="182"/>
      <c r="BM1260" s="182"/>
      <c r="BN1260" s="182"/>
      <c r="BO1260" s="182"/>
      <c r="BP1260" s="182"/>
      <c r="BQ1260" s="182"/>
      <c r="BR1260" s="182"/>
      <c r="BS1260" s="182"/>
    </row>
    <row r="1261" spans="1:71" ht="15.9" customHeight="1" x14ac:dyDescent="0.3">
      <c r="A1261" s="221" t="s">
        <v>3338</v>
      </c>
      <c r="B1261" s="19" t="s">
        <v>3038</v>
      </c>
      <c r="C1261" s="555">
        <v>44797</v>
      </c>
      <c r="D1261" s="19" t="s">
        <v>285</v>
      </c>
      <c r="E1261" s="19" t="s">
        <v>1328</v>
      </c>
      <c r="F1261" s="175" t="s">
        <v>3353</v>
      </c>
      <c r="G1261" s="15" t="s">
        <v>346</v>
      </c>
      <c r="H1261" s="200">
        <v>2980000000</v>
      </c>
      <c r="I1261" s="19" t="s">
        <v>3220</v>
      </c>
      <c r="J1261" s="113" t="str">
        <f>VLOOKUP($I1261,'Price List, Weapons &amp; Items'!B:C,2,0)</f>
        <v>Ammunition for light infantry</v>
      </c>
      <c r="K1261" s="113" t="str">
        <f>IF(I1261=".",I1261,VLOOKUP($I1261,'Price List, Weapons &amp; Items'!B:D,3,0))</f>
        <v>Mortar ammunition</v>
      </c>
      <c r="L1261" s="177">
        <f>VLOOKUP(I1261,'Price List, Weapons &amp; Items'!B:E,4,0)</f>
        <v>0</v>
      </c>
      <c r="M1261" s="247">
        <v>65000</v>
      </c>
      <c r="N1261" s="542" t="s">
        <v>270</v>
      </c>
      <c r="O1261" s="543">
        <f>VLOOKUP($I1261,'Price List, Weapons &amp; Items'!B:G,6,0)</f>
        <v>109.89</v>
      </c>
      <c r="P1261" s="176">
        <f t="shared" si="302"/>
        <v>7142850</v>
      </c>
      <c r="Q1261" s="176" t="str">
        <f t="shared" si="303"/>
        <v>.</v>
      </c>
      <c r="R1261" s="176" t="str">
        <f t="shared" si="304"/>
        <v/>
      </c>
      <c r="S1261" s="176" t="str">
        <f>IF(AND(AD1261=1,R1261&lt;&gt;".")=TRUE,R1261/VLOOKUP(G1261,'Exchange Rates'!B:C,2,0),IF(R1261=".",".",""))</f>
        <v/>
      </c>
      <c r="T1261" s="176" t="str">
        <f>IF(AD1261=1,IF(AF1261="Value is not given at all",".",IF(AF1261="Value is given by the source",S1261,IF(AF1261="Value is calculated with prices",(IF(SUMIFS(Q:Q,A:A,A1261)&gt;0,SUMIFS(Q:Q,A:A,A1261),"."))/VLOOKUP("USD",'Exchange Rates'!B:C,2,0),"Error with coding"))),"")</f>
        <v/>
      </c>
      <c r="U1261" s="15" t="s">
        <v>261</v>
      </c>
      <c r="V1261" s="304" t="s">
        <v>3354</v>
      </c>
      <c r="W1261" s="813" t="s">
        <v>3044</v>
      </c>
      <c r="X1261" s="810" t="s">
        <v>3047</v>
      </c>
      <c r="Y1261" s="811" t="s">
        <v>3112</v>
      </c>
      <c r="Z1261" s="15">
        <v>0</v>
      </c>
      <c r="AA1261" s="180">
        <v>0</v>
      </c>
      <c r="AB1261" s="17" t="s">
        <v>260</v>
      </c>
      <c r="AC1261" s="544" t="str">
        <f>""</f>
        <v/>
      </c>
      <c r="AD1261" s="183">
        <v>0</v>
      </c>
      <c r="AE1261" s="589" t="s">
        <v>264</v>
      </c>
      <c r="AF1261" s="183" t="s">
        <v>265</v>
      </c>
      <c r="AG1261" s="183">
        <v>1</v>
      </c>
      <c r="AH1261" s="181">
        <v>8</v>
      </c>
      <c r="AI1261" s="181">
        <v>0</v>
      </c>
      <c r="AJ1261" s="181">
        <f>VLOOKUP($I1261,'Price List, Weapons &amp; Items'!B:F,5,0)</f>
        <v>0</v>
      </c>
      <c r="AK1261" s="181">
        <f t="shared" si="278"/>
        <v>0</v>
      </c>
      <c r="AL1261" s="181">
        <f t="shared" si="279"/>
        <v>0</v>
      </c>
      <c r="AM1261" s="181">
        <f t="shared" si="280"/>
        <v>1</v>
      </c>
      <c r="AN1261" s="180" t="str">
        <f>VLOOKUP($I1261,'Price List, Weapons &amp; Items'!B:L,COLUMN('Price List, Weapons &amp; Items'!$J$11)-1,0)</f>
        <v>Government information</v>
      </c>
      <c r="AO1261" s="180" t="str">
        <f>IF(I1261=".",".",VLOOKUP($I1261,'Price List, Weapons &amp; Items'!B:J,3,0))</f>
        <v>Mortar ammunition</v>
      </c>
      <c r="AP1261" s="545" t="str">
        <f t="shared" ca="1" si="301"/>
        <v/>
      </c>
      <c r="AQ1261" s="180">
        <f>VLOOKUP($I1261,'Price List, Weapons &amp; Items'!B:L,COLUMN('Price List, Weapons &amp; Items'!$L$11)-1,0)</f>
        <v>2</v>
      </c>
      <c r="AR1261" s="180">
        <f t="shared" si="281"/>
        <v>1</v>
      </c>
      <c r="AS1261" s="180">
        <f t="shared" si="282"/>
        <v>1</v>
      </c>
      <c r="AT1261" s="180">
        <f t="shared" si="290"/>
        <v>1</v>
      </c>
      <c r="AU1261" s="180" t="str">
        <f t="shared" si="291"/>
        <v>.</v>
      </c>
      <c r="AV1261" s="180" t="str">
        <f t="shared" si="292"/>
        <v>.</v>
      </c>
      <c r="AW1261" s="180">
        <f>IFERROR(VLOOKUP(B1261,'Share, Heavy Weapons to Ukraine'!B:J,COLUMN('Share, Heavy Weapons to Ukraine'!C1271)-1,0),0)</f>
        <v>1</v>
      </c>
      <c r="AX1261" s="180">
        <f>VLOOKUP('Bilateral Assistance, MAIN DATA'!B1261,'Country Summary'!B:F,COLUMN('Country Summary'!C1274)-1,FALSE)</f>
        <v>0</v>
      </c>
      <c r="AY1261" s="180" t="str">
        <f>IF(AND(AD1261=1,D1261="Military",H1261&lt;&gt;"Not given")=TRUE,IF(SUMIFS(P:P,A:A,A1261)&gt;0,ABS((SUMIFS(P:P,A:A,A1261)/VLOOKUP("USD",'Exchange Rates'!B:C,2,0)))/S1261,"."),".")</f>
        <v>.</v>
      </c>
      <c r="AZ1261" s="182" t="str">
        <f>IF(AND(AD1261=1,D1261="Military",H1261&lt;&gt;"Not given")=TRUE,IF(SUMIFS(P:P,A:A,A1261)&gt;0,IF((ABS((SUMIFS(P:P,A:A,A1261)/VLOOKUP("USD",'Exchange Rates'!B:C,2,0)))/S1261)&gt;1,(SUMIFS(P:P,A:A,A1261)-S1261)/S1261,(S1261-SUMIFS(P:P,A:A,A1261))/SUMIFS(P:P,A:A,A1261)),"."),".")</f>
        <v>.</v>
      </c>
      <c r="BA1261" s="182"/>
      <c r="BB1261" s="182"/>
      <c r="BC1261" s="182"/>
      <c r="BD1261" s="182"/>
      <c r="BE1261" s="182"/>
      <c r="BF1261" s="182"/>
      <c r="BG1261" s="182"/>
      <c r="BH1261" s="182"/>
      <c r="BI1261" s="182"/>
      <c r="BJ1261" s="182"/>
      <c r="BK1261" s="182"/>
      <c r="BL1261" s="182"/>
      <c r="BM1261" s="182"/>
      <c r="BN1261" s="182"/>
      <c r="BO1261" s="182"/>
      <c r="BP1261" s="182"/>
      <c r="BQ1261" s="182"/>
      <c r="BR1261" s="182"/>
      <c r="BS1261" s="182"/>
    </row>
    <row r="1262" spans="1:71" ht="15.9" customHeight="1" x14ac:dyDescent="0.3">
      <c r="A1262" s="221" t="s">
        <v>3338</v>
      </c>
      <c r="B1262" s="19" t="s">
        <v>3038</v>
      </c>
      <c r="C1262" s="555">
        <v>44797</v>
      </c>
      <c r="D1262" s="19" t="s">
        <v>285</v>
      </c>
      <c r="E1262" s="19" t="s">
        <v>1328</v>
      </c>
      <c r="F1262" s="175" t="s">
        <v>3353</v>
      </c>
      <c r="G1262" s="15" t="s">
        <v>346</v>
      </c>
      <c r="H1262" s="200">
        <v>2980000000</v>
      </c>
      <c r="I1262" s="19" t="s">
        <v>3287</v>
      </c>
      <c r="J1262" s="113" t="str">
        <f>VLOOKUP($I1262,'Price List, Weapons &amp; Items'!B:C,2,0)</f>
        <v>Military equipment</v>
      </c>
      <c r="K1262" s="113" t="str">
        <f>IF(I1262=".",I1262,VLOOKUP($I1262,'Price List, Weapons &amp; Items'!B:D,3,0))</f>
        <v>Military equipment</v>
      </c>
      <c r="L1262" s="177">
        <f>VLOOKUP(I1262,'Price List, Weapons &amp; Items'!B:E,4,0)</f>
        <v>0</v>
      </c>
      <c r="M1262" s="247">
        <v>24</v>
      </c>
      <c r="N1262" s="542" t="s">
        <v>270</v>
      </c>
      <c r="O1262" s="543">
        <f>VLOOKUP($I1262,'Price List, Weapons &amp; Items'!B:G,6,0)</f>
        <v>52500000</v>
      </c>
      <c r="P1262" s="176">
        <f t="shared" si="302"/>
        <v>1260000000</v>
      </c>
      <c r="Q1262" s="176" t="str">
        <f t="shared" si="303"/>
        <v>.</v>
      </c>
      <c r="R1262" s="176" t="str">
        <f t="shared" si="304"/>
        <v/>
      </c>
      <c r="S1262" s="176" t="str">
        <f>IF(AND(AD1262=1,R1262&lt;&gt;".")=TRUE,R1262/VLOOKUP(G1262,'Exchange Rates'!B:C,2,0),IF(R1262=".",".",""))</f>
        <v/>
      </c>
      <c r="T1262" s="176" t="str">
        <f>IF(AD1262=1,IF(AF1262="Value is not given at all",".",IF(AF1262="Value is given by the source",S1262,IF(AF1262="Value is calculated with prices",(IF(SUMIFS(Q:Q,A:A,A1262)&gt;0,SUMIFS(Q:Q,A:A,A1262),"."))/VLOOKUP("USD",'Exchange Rates'!B:C,2,0),"Error with coding"))),"")</f>
        <v/>
      </c>
      <c r="U1262" s="15" t="s">
        <v>261</v>
      </c>
      <c r="V1262" s="304" t="s">
        <v>3354</v>
      </c>
      <c r="W1262" s="813" t="s">
        <v>3044</v>
      </c>
      <c r="X1262" s="810" t="s">
        <v>3047</v>
      </c>
      <c r="Y1262" s="811" t="s">
        <v>3114</v>
      </c>
      <c r="Z1262" s="15">
        <v>0</v>
      </c>
      <c r="AA1262" s="180">
        <v>0</v>
      </c>
      <c r="AB1262" s="17" t="s">
        <v>260</v>
      </c>
      <c r="AC1262" s="544" t="str">
        <f>""</f>
        <v/>
      </c>
      <c r="AD1262" s="183">
        <v>0</v>
      </c>
      <c r="AE1262" s="589" t="s">
        <v>264</v>
      </c>
      <c r="AF1262" s="183" t="s">
        <v>265</v>
      </c>
      <c r="AG1262" s="183">
        <v>1</v>
      </c>
      <c r="AH1262" s="181">
        <v>8</v>
      </c>
      <c r="AI1262" s="183">
        <v>0</v>
      </c>
      <c r="AJ1262" s="181">
        <f>VLOOKUP($I1262,'Price List, Weapons &amp; Items'!B:F,5,0)</f>
        <v>0</v>
      </c>
      <c r="AK1262" s="181">
        <f t="shared" si="278"/>
        <v>0</v>
      </c>
      <c r="AL1262" s="181">
        <f t="shared" si="279"/>
        <v>0</v>
      </c>
      <c r="AM1262" s="181">
        <f t="shared" si="280"/>
        <v>0</v>
      </c>
      <c r="AN1262" s="180" t="str">
        <f>VLOOKUP($I1262,'Price List, Weapons &amp; Items'!B:L,COLUMN('Price List, Weapons &amp; Items'!$J$11)-1,0)</f>
        <v>Military media (incl. websites)</v>
      </c>
      <c r="AO1262" s="180" t="str">
        <f>IF(I1262=".",".",VLOOKUP($I1262,'Price List, Weapons &amp; Items'!B:J,3,0))</f>
        <v>Military equipment</v>
      </c>
      <c r="AP1262" s="545" t="str">
        <f t="shared" ca="1" si="301"/>
        <v/>
      </c>
      <c r="AQ1262" s="180">
        <f>VLOOKUP($I1262,'Price List, Weapons &amp; Items'!B:L,COLUMN('Price List, Weapons &amp; Items'!$L$11)-1,0)</f>
        <v>2</v>
      </c>
      <c r="AR1262" s="180">
        <f t="shared" si="281"/>
        <v>1</v>
      </c>
      <c r="AS1262" s="180">
        <f t="shared" si="282"/>
        <v>1</v>
      </c>
      <c r="AT1262" s="180">
        <f t="shared" si="290"/>
        <v>1</v>
      </c>
      <c r="AU1262" s="180" t="str">
        <f t="shared" si="291"/>
        <v>.</v>
      </c>
      <c r="AV1262" s="180" t="str">
        <f t="shared" si="292"/>
        <v>.</v>
      </c>
      <c r="AW1262" s="180">
        <f>IFERROR(VLOOKUP(B1262,'Share, Heavy Weapons to Ukraine'!B:J,COLUMN('Share, Heavy Weapons to Ukraine'!C1272)-1,0),0)</f>
        <v>1</v>
      </c>
      <c r="AX1262" s="180">
        <f>VLOOKUP('Bilateral Assistance, MAIN DATA'!B1262,'Country Summary'!B:F,COLUMN('Country Summary'!C1275)-1,FALSE)</f>
        <v>0</v>
      </c>
      <c r="AY1262" s="180" t="str">
        <f>IF(AND(AD1262=1,D1262="Military",H1262&lt;&gt;"Not given")=TRUE,IF(SUMIFS(P:P,A:A,A1262)&gt;0,ABS((SUMIFS(P:P,A:A,A1262)/VLOOKUP("USD",'Exchange Rates'!B:C,2,0)))/S1262,"."),".")</f>
        <v>.</v>
      </c>
      <c r="AZ1262" s="182" t="str">
        <f>IF(AND(AD1262=1,D1262="Military",H1262&lt;&gt;"Not given")=TRUE,IF(SUMIFS(P:P,A:A,A1262)&gt;0,IF((ABS((SUMIFS(P:P,A:A,A1262)/VLOOKUP("USD",'Exchange Rates'!B:C,2,0)))/S1262)&gt;1,(SUMIFS(P:P,A:A,A1262)-S1262)/S1262,(S1262-SUMIFS(P:P,A:A,A1262))/SUMIFS(P:P,A:A,A1262)),"."),".")</f>
        <v>.</v>
      </c>
      <c r="BA1262" s="182"/>
      <c r="BB1262" s="182"/>
      <c r="BC1262" s="182"/>
      <c r="BD1262" s="182"/>
      <c r="BE1262" s="182"/>
      <c r="BF1262" s="182"/>
      <c r="BG1262" s="182"/>
      <c r="BH1262" s="182"/>
      <c r="BI1262" s="182"/>
      <c r="BJ1262" s="182"/>
      <c r="BK1262" s="182"/>
      <c r="BL1262" s="182"/>
      <c r="BM1262" s="182"/>
      <c r="BN1262" s="182"/>
      <c r="BO1262" s="182"/>
      <c r="BP1262" s="182"/>
      <c r="BQ1262" s="182"/>
      <c r="BR1262" s="182"/>
      <c r="BS1262" s="182"/>
    </row>
    <row r="1263" spans="1:71" ht="15.9" customHeight="1" x14ac:dyDescent="0.3">
      <c r="A1263" s="221" t="s">
        <v>3338</v>
      </c>
      <c r="B1263" s="19" t="s">
        <v>3038</v>
      </c>
      <c r="C1263" s="555">
        <v>44797</v>
      </c>
      <c r="D1263" s="19" t="s">
        <v>285</v>
      </c>
      <c r="E1263" s="19" t="s">
        <v>1328</v>
      </c>
      <c r="F1263" s="175" t="s">
        <v>3353</v>
      </c>
      <c r="G1263" s="15" t="s">
        <v>346</v>
      </c>
      <c r="H1263" s="200">
        <v>2980000000</v>
      </c>
      <c r="I1263" s="19" t="s">
        <v>3355</v>
      </c>
      <c r="J1263" s="113" t="str">
        <f>VLOOKUP($I1263,'Price List, Weapons &amp; Items'!B:C,2,0)</f>
        <v>Aviation and drones</v>
      </c>
      <c r="K1263" s="113" t="str">
        <f>IF(I1263=".",I1263,VLOOKUP($I1263,'Price List, Weapons &amp; Items'!B:D,3,0))</f>
        <v>Drone</v>
      </c>
      <c r="L1263" s="177">
        <f>VLOOKUP(I1263,'Price List, Weapons &amp; Items'!B:E,4,0)</f>
        <v>0</v>
      </c>
      <c r="M1263" s="247" t="s">
        <v>270</v>
      </c>
      <c r="N1263" s="542" t="s">
        <v>270</v>
      </c>
      <c r="O1263" s="543">
        <f>VLOOKUP($I1263,'Price List, Weapons &amp; Items'!B:G,6,0)</f>
        <v>250000</v>
      </c>
      <c r="P1263" s="176" t="str">
        <f t="shared" si="302"/>
        <v>.</v>
      </c>
      <c r="Q1263" s="176" t="str">
        <f t="shared" si="303"/>
        <v>.</v>
      </c>
      <c r="R1263" s="176" t="str">
        <f t="shared" si="304"/>
        <v/>
      </c>
      <c r="S1263" s="176" t="str">
        <f>IF(AND(AD1263=1,R1263&lt;&gt;".")=TRUE,R1263/VLOOKUP(G1263,'Exchange Rates'!B:C,2,0),IF(R1263=".",".",""))</f>
        <v/>
      </c>
      <c r="T1263" s="176" t="str">
        <f>IF(AD1263=1,IF(AF1263="Value is not given at all",".",IF(AF1263="Value is given by the source",S1263,IF(AF1263="Value is calculated with prices",(IF(SUMIFS(Q:Q,A:A,A1263)&gt;0,SUMIFS(Q:Q,A:A,A1263),"."))/VLOOKUP("USD",'Exchange Rates'!B:C,2,0),"Error with coding"))),"")</f>
        <v/>
      </c>
      <c r="U1263" s="15" t="s">
        <v>261</v>
      </c>
      <c r="V1263" s="304" t="s">
        <v>3354</v>
      </c>
      <c r="W1263" s="813" t="s">
        <v>3044</v>
      </c>
      <c r="X1263" s="810" t="s">
        <v>3047</v>
      </c>
      <c r="Y1263" s="811" t="s">
        <v>3115</v>
      </c>
      <c r="Z1263" s="15">
        <v>0</v>
      </c>
      <c r="AA1263" s="180">
        <v>0</v>
      </c>
      <c r="AB1263" s="17" t="s">
        <v>260</v>
      </c>
      <c r="AC1263" s="544" t="str">
        <f>""</f>
        <v/>
      </c>
      <c r="AD1263" s="183">
        <v>0</v>
      </c>
      <c r="AE1263" s="589" t="s">
        <v>264</v>
      </c>
      <c r="AF1263" s="183" t="s">
        <v>265</v>
      </c>
      <c r="AG1263" s="183">
        <v>1</v>
      </c>
      <c r="AH1263" s="181">
        <v>8</v>
      </c>
      <c r="AI1263" s="181">
        <v>0</v>
      </c>
      <c r="AJ1263" s="181">
        <f>VLOOKUP($I1263,'Price List, Weapons &amp; Items'!B:F,5,0)</f>
        <v>0</v>
      </c>
      <c r="AK1263" s="181">
        <f t="shared" si="278"/>
        <v>0</v>
      </c>
      <c r="AL1263" s="181">
        <f t="shared" si="279"/>
        <v>0</v>
      </c>
      <c r="AM1263" s="181">
        <f t="shared" si="280"/>
        <v>0</v>
      </c>
      <c r="AN1263" s="180" t="str">
        <f>VLOOKUP($I1263,'Price List, Weapons &amp; Items'!B:L,COLUMN('Price List, Weapons &amp; Items'!$J$11)-1,0)</f>
        <v>Media reports (incl. social media)</v>
      </c>
      <c r="AO1263" s="180" t="str">
        <f>IF(I1263=".",".",VLOOKUP($I1263,'Price List, Weapons &amp; Items'!B:J,3,0))</f>
        <v>Drone</v>
      </c>
      <c r="AP1263" s="545" t="str">
        <f t="shared" ca="1" si="301"/>
        <v/>
      </c>
      <c r="AQ1263" s="180" t="str">
        <f>VLOOKUP($I1263,'Price List, Weapons &amp; Items'!B:L,COLUMN('Price List, Weapons &amp; Items'!$L$11)-1,0)</f>
        <v>no price, 0 count</v>
      </c>
      <c r="AR1263" s="180">
        <f t="shared" si="281"/>
        <v>1</v>
      </c>
      <c r="AS1263" s="180">
        <f t="shared" si="282"/>
        <v>1</v>
      </c>
      <c r="AT1263" s="180">
        <f t="shared" si="290"/>
        <v>1</v>
      </c>
      <c r="AU1263" s="180" t="str">
        <f t="shared" si="291"/>
        <v>.</v>
      </c>
      <c r="AV1263" s="180" t="str">
        <f t="shared" si="292"/>
        <v>.</v>
      </c>
      <c r="AW1263" s="180">
        <f>IFERROR(VLOOKUP(B1263,'Share, Heavy Weapons to Ukraine'!B:J,COLUMN('Share, Heavy Weapons to Ukraine'!C1273)-1,0),0)</f>
        <v>1</v>
      </c>
      <c r="AX1263" s="180">
        <f>VLOOKUP('Bilateral Assistance, MAIN DATA'!B1263,'Country Summary'!B:F,COLUMN('Country Summary'!C1276)-1,FALSE)</f>
        <v>0</v>
      </c>
      <c r="AY1263" s="180" t="str">
        <f>IF(AND(AD1263=1,D1263="Military",H1263&lt;&gt;"Not given")=TRUE,IF(SUMIFS(P:P,A:A,A1263)&gt;0,ABS((SUMIFS(P:P,A:A,A1263)/VLOOKUP("USD",'Exchange Rates'!B:C,2,0)))/S1263,"."),".")</f>
        <v>.</v>
      </c>
      <c r="AZ1263" s="182" t="str">
        <f>IF(AND(AD1263=1,D1263="Military",H1263&lt;&gt;"Not given")=TRUE,IF(SUMIFS(P:P,A:A,A1263)&gt;0,IF((ABS((SUMIFS(P:P,A:A,A1263)/VLOOKUP("USD",'Exchange Rates'!B:C,2,0)))/S1263)&gt;1,(SUMIFS(P:P,A:A,A1263)-S1263)/S1263,(S1263-SUMIFS(P:P,A:A,A1263))/SUMIFS(P:P,A:A,A1263)),"."),".")</f>
        <v>.</v>
      </c>
      <c r="BA1263" s="182"/>
      <c r="BB1263" s="182"/>
      <c r="BC1263" s="182"/>
      <c r="BD1263" s="182"/>
      <c r="BE1263" s="182"/>
      <c r="BF1263" s="182"/>
      <c r="BG1263" s="182"/>
      <c r="BH1263" s="182"/>
      <c r="BI1263" s="182"/>
      <c r="BJ1263" s="182"/>
      <c r="BK1263" s="182"/>
      <c r="BL1263" s="182"/>
      <c r="BM1263" s="182"/>
      <c r="BN1263" s="182"/>
      <c r="BO1263" s="182"/>
      <c r="BP1263" s="182"/>
      <c r="BQ1263" s="182"/>
      <c r="BR1263" s="182"/>
      <c r="BS1263" s="182"/>
    </row>
    <row r="1264" spans="1:71" ht="15.9" customHeight="1" x14ac:dyDescent="0.3">
      <c r="A1264" s="221" t="s">
        <v>3338</v>
      </c>
      <c r="B1264" s="19" t="s">
        <v>3038</v>
      </c>
      <c r="C1264" s="555">
        <v>44797</v>
      </c>
      <c r="D1264" s="19" t="s">
        <v>285</v>
      </c>
      <c r="E1264" s="19" t="s">
        <v>1328</v>
      </c>
      <c r="F1264" s="175" t="s">
        <v>3353</v>
      </c>
      <c r="G1264" s="15" t="s">
        <v>346</v>
      </c>
      <c r="H1264" s="200">
        <v>2980000000</v>
      </c>
      <c r="I1264" s="19" t="s">
        <v>3356</v>
      </c>
      <c r="J1264" s="113" t="str">
        <f>VLOOKUP($I1264,'Price List, Weapons &amp; Items'!B:C,2,0)</f>
        <v>Military equipment</v>
      </c>
      <c r="K1264" s="113" t="str">
        <f>IF(I1264=".",I1264,VLOOKUP($I1264,'Price List, Weapons &amp; Items'!B:D,3,0))</f>
        <v>Military equipment</v>
      </c>
      <c r="L1264" s="177">
        <f>VLOOKUP(I1264,'Price List, Weapons &amp; Items'!B:E,4,0)</f>
        <v>0</v>
      </c>
      <c r="M1264" s="247" t="s">
        <v>270</v>
      </c>
      <c r="N1264" s="542" t="s">
        <v>270</v>
      </c>
      <c r="O1264" s="543" t="str">
        <f>VLOOKUP($I1264,'Price List, Weapons &amp; Items'!B:G,6,0)</f>
        <v>.</v>
      </c>
      <c r="P1264" s="176" t="str">
        <f t="shared" si="302"/>
        <v>.</v>
      </c>
      <c r="Q1264" s="176" t="str">
        <f t="shared" si="303"/>
        <v>.</v>
      </c>
      <c r="R1264" s="176" t="str">
        <f t="shared" si="304"/>
        <v/>
      </c>
      <c r="S1264" s="176" t="str">
        <f>IF(AND(AD1264=1,R1264&lt;&gt;".")=TRUE,R1264/VLOOKUP(G1264,'Exchange Rates'!B:C,2,0),IF(R1264=".",".",""))</f>
        <v/>
      </c>
      <c r="T1264" s="176" t="str">
        <f>IF(AD1264=1,IF(AF1264="Value is not given at all",".",IF(AF1264="Value is given by the source",S1264,IF(AF1264="Value is calculated with prices",(IF(SUMIFS(Q:Q,A:A,A1264)&gt;0,SUMIFS(Q:Q,A:A,A1264),"."))/VLOOKUP("USD",'Exchange Rates'!B:C,2,0),"Error with coding"))),"")</f>
        <v/>
      </c>
      <c r="U1264" s="15" t="s">
        <v>261</v>
      </c>
      <c r="V1264" s="304" t="s">
        <v>3354</v>
      </c>
      <c r="W1264" s="813" t="s">
        <v>3044</v>
      </c>
      <c r="X1264" s="810" t="s">
        <v>3047</v>
      </c>
      <c r="Y1264" s="811" t="s">
        <v>3116</v>
      </c>
      <c r="Z1264" s="15">
        <v>0</v>
      </c>
      <c r="AA1264" s="180">
        <v>0</v>
      </c>
      <c r="AB1264" s="17" t="s">
        <v>260</v>
      </c>
      <c r="AC1264" s="544" t="str">
        <f>""</f>
        <v/>
      </c>
      <c r="AD1264" s="183">
        <v>0</v>
      </c>
      <c r="AE1264" s="589" t="s">
        <v>264</v>
      </c>
      <c r="AF1264" s="183" t="s">
        <v>265</v>
      </c>
      <c r="AG1264" s="183">
        <v>1</v>
      </c>
      <c r="AH1264" s="181">
        <v>8</v>
      </c>
      <c r="AI1264" s="183">
        <v>0</v>
      </c>
      <c r="AJ1264" s="181">
        <f>VLOOKUP($I1264,'Price List, Weapons &amp; Items'!B:F,5,0)</f>
        <v>0</v>
      </c>
      <c r="AK1264" s="181">
        <f t="shared" si="278"/>
        <v>0</v>
      </c>
      <c r="AL1264" s="181">
        <f t="shared" si="279"/>
        <v>0</v>
      </c>
      <c r="AM1264" s="181">
        <f t="shared" si="280"/>
        <v>0</v>
      </c>
      <c r="AN1264" s="180" t="str">
        <f>VLOOKUP($I1264,'Price List, Weapons &amp; Items'!B:L,COLUMN('Price List, Weapons &amp; Items'!$J$11)-1,0)</f>
        <v>.</v>
      </c>
      <c r="AO1264" s="180" t="str">
        <f>IF(I1264=".",".",VLOOKUP($I1264,'Price List, Weapons &amp; Items'!B:J,3,0))</f>
        <v>Military equipment</v>
      </c>
      <c r="AP1264" s="545" t="str">
        <f t="shared" ca="1" si="301"/>
        <v/>
      </c>
      <c r="AQ1264" s="180" t="str">
        <f>VLOOKUP($I1264,'Price List, Weapons &amp; Items'!B:L,COLUMN('Price List, Weapons &amp; Items'!$L$11)-1,0)</f>
        <v>no price, 0 count</v>
      </c>
      <c r="AR1264" s="180">
        <f t="shared" si="281"/>
        <v>1</v>
      </c>
      <c r="AS1264" s="180">
        <f t="shared" si="282"/>
        <v>1</v>
      </c>
      <c r="AT1264" s="180">
        <f t="shared" si="290"/>
        <v>1</v>
      </c>
      <c r="AU1264" s="180" t="str">
        <f t="shared" si="291"/>
        <v>.</v>
      </c>
      <c r="AV1264" s="180" t="str">
        <f t="shared" si="292"/>
        <v>.</v>
      </c>
      <c r="AW1264" s="180">
        <f>IFERROR(VLOOKUP(B1264,'Share, Heavy Weapons to Ukraine'!B:J,COLUMN('Share, Heavy Weapons to Ukraine'!C1274)-1,0),0)</f>
        <v>1</v>
      </c>
      <c r="AX1264" s="180">
        <f>VLOOKUP('Bilateral Assistance, MAIN DATA'!B1264,'Country Summary'!B:F,COLUMN('Country Summary'!C1277)-1,FALSE)</f>
        <v>0</v>
      </c>
      <c r="AY1264" s="180" t="str">
        <f>IF(AND(AD1264=1,D1264="Military",H1264&lt;&gt;"Not given")=TRUE,IF(SUMIFS(P:P,A:A,A1264)&gt;0,ABS((SUMIFS(P:P,A:A,A1264)/VLOOKUP("USD",'Exchange Rates'!B:C,2,0)))/S1264,"."),".")</f>
        <v>.</v>
      </c>
      <c r="AZ1264" s="182" t="str">
        <f>IF(AND(AD1264=1,D1264="Military",H1264&lt;&gt;"Not given")=TRUE,IF(SUMIFS(P:P,A:A,A1264)&gt;0,IF((ABS((SUMIFS(P:P,A:A,A1264)/VLOOKUP("USD",'Exchange Rates'!B:C,2,0)))/S1264)&gt;1,(SUMIFS(P:P,A:A,A1264)-S1264)/S1264,(S1264-SUMIFS(P:P,A:A,A1264))/SUMIFS(P:P,A:A,A1264)),"."),".")</f>
        <v>.</v>
      </c>
      <c r="BA1264" s="182"/>
      <c r="BB1264" s="182"/>
      <c r="BC1264" s="182"/>
      <c r="BD1264" s="182"/>
      <c r="BE1264" s="182"/>
      <c r="BF1264" s="182"/>
      <c r="BG1264" s="182"/>
      <c r="BH1264" s="182"/>
      <c r="BI1264" s="182"/>
      <c r="BJ1264" s="182"/>
      <c r="BK1264" s="182"/>
      <c r="BL1264" s="182"/>
      <c r="BM1264" s="182"/>
      <c r="BN1264" s="182"/>
      <c r="BO1264" s="182"/>
      <c r="BP1264" s="182"/>
      <c r="BQ1264" s="182"/>
      <c r="BR1264" s="182"/>
      <c r="BS1264" s="182"/>
    </row>
    <row r="1265" spans="1:71" ht="15.9" customHeight="1" x14ac:dyDescent="0.3">
      <c r="A1265" s="221" t="s">
        <v>3338</v>
      </c>
      <c r="B1265" s="19" t="s">
        <v>3038</v>
      </c>
      <c r="C1265" s="555">
        <v>44797</v>
      </c>
      <c r="D1265" s="19" t="s">
        <v>285</v>
      </c>
      <c r="E1265" s="19" t="s">
        <v>1328</v>
      </c>
      <c r="F1265" s="175" t="s">
        <v>3353</v>
      </c>
      <c r="G1265" s="15" t="s">
        <v>346</v>
      </c>
      <c r="H1265" s="200">
        <v>2980000000</v>
      </c>
      <c r="I1265" s="19" t="s">
        <v>3357</v>
      </c>
      <c r="J1265" s="113" t="str">
        <f>VLOOKUP($I1265,'Price List, Weapons &amp; Items'!B:C,2,0)</f>
        <v>Aviation and drones</v>
      </c>
      <c r="K1265" s="113" t="str">
        <f>IF(I1265=".",I1265,VLOOKUP($I1265,'Price List, Weapons &amp; Items'!B:D,3,0))</f>
        <v>Drone</v>
      </c>
      <c r="L1265" s="177">
        <f>VLOOKUP(I1265,'Price List, Weapons &amp; Items'!B:E,4,0)</f>
        <v>0</v>
      </c>
      <c r="M1265" s="247" t="s">
        <v>270</v>
      </c>
      <c r="N1265" s="542" t="s">
        <v>270</v>
      </c>
      <c r="O1265" s="543">
        <f>VLOOKUP($I1265,'Price List, Weapons &amp; Items'!B:G,6,0)</f>
        <v>15000000</v>
      </c>
      <c r="P1265" s="176" t="str">
        <f t="shared" si="302"/>
        <v>.</v>
      </c>
      <c r="Q1265" s="176" t="str">
        <f t="shared" si="303"/>
        <v>.</v>
      </c>
      <c r="R1265" s="176" t="str">
        <f t="shared" si="304"/>
        <v/>
      </c>
      <c r="S1265" s="176" t="str">
        <f>IF(AND(AD1265=1,R1265&lt;&gt;".")=TRUE,R1265/VLOOKUP(G1265,'Exchange Rates'!B:C,2,0),IF(R1265=".",".",""))</f>
        <v/>
      </c>
      <c r="T1265" s="176" t="str">
        <f>IF(AD1265=1,IF(AF1265="Value is not given at all",".",IF(AF1265="Value is given by the source",S1265,IF(AF1265="Value is calculated with prices",(IF(SUMIFS(Q:Q,A:A,A1265)&gt;0,SUMIFS(Q:Q,A:A,A1265),"."))/VLOOKUP("USD",'Exchange Rates'!B:C,2,0),"Error with coding"))),"")</f>
        <v/>
      </c>
      <c r="U1265" s="15" t="s">
        <v>261</v>
      </c>
      <c r="V1265" s="304" t="s">
        <v>3354</v>
      </c>
      <c r="W1265" s="813" t="s">
        <v>3044</v>
      </c>
      <c r="X1265" s="810" t="s">
        <v>3047</v>
      </c>
      <c r="Y1265" s="811" t="s">
        <v>3117</v>
      </c>
      <c r="Z1265" s="15">
        <v>0</v>
      </c>
      <c r="AA1265" s="180">
        <v>0</v>
      </c>
      <c r="AB1265" s="17" t="s">
        <v>260</v>
      </c>
      <c r="AC1265" s="544" t="str">
        <f>""</f>
        <v/>
      </c>
      <c r="AD1265" s="183">
        <v>0</v>
      </c>
      <c r="AE1265" s="589" t="s">
        <v>264</v>
      </c>
      <c r="AF1265" s="183" t="s">
        <v>265</v>
      </c>
      <c r="AG1265" s="183">
        <v>1</v>
      </c>
      <c r="AH1265" s="181">
        <v>8</v>
      </c>
      <c r="AI1265" s="181">
        <v>0</v>
      </c>
      <c r="AJ1265" s="181">
        <f>VLOOKUP($I1265,'Price List, Weapons &amp; Items'!B:F,5,0)</f>
        <v>0</v>
      </c>
      <c r="AK1265" s="181">
        <f t="shared" si="278"/>
        <v>0</v>
      </c>
      <c r="AL1265" s="181">
        <f t="shared" si="279"/>
        <v>0</v>
      </c>
      <c r="AM1265" s="181">
        <f t="shared" si="280"/>
        <v>0</v>
      </c>
      <c r="AN1265" s="180" t="str">
        <f>VLOOKUP($I1265,'Price List, Weapons &amp; Items'!B:L,COLUMN('Price List, Weapons &amp; Items'!$J$11)-1,0)</f>
        <v>Miscellaneous</v>
      </c>
      <c r="AO1265" s="180" t="str">
        <f>IF(I1265=".",".",VLOOKUP($I1265,'Price List, Weapons &amp; Items'!B:J,3,0))</f>
        <v>Drone</v>
      </c>
      <c r="AP1265" s="545" t="str">
        <f t="shared" ca="1" si="301"/>
        <v/>
      </c>
      <c r="AQ1265" s="180" t="str">
        <f>VLOOKUP($I1265,'Price List, Weapons &amp; Items'!B:L,COLUMN('Price List, Weapons &amp; Items'!$L$11)-1,0)</f>
        <v>no price, 0 count</v>
      </c>
      <c r="AR1265" s="180">
        <f t="shared" si="281"/>
        <v>1</v>
      </c>
      <c r="AS1265" s="180">
        <f t="shared" si="282"/>
        <v>1</v>
      </c>
      <c r="AT1265" s="180">
        <f t="shared" si="290"/>
        <v>1</v>
      </c>
      <c r="AU1265" s="180" t="str">
        <f t="shared" si="291"/>
        <v>.</v>
      </c>
      <c r="AV1265" s="180" t="str">
        <f t="shared" si="292"/>
        <v>.</v>
      </c>
      <c r="AW1265" s="180">
        <f>IFERROR(VLOOKUP(B1265,'Share, Heavy Weapons to Ukraine'!B:J,COLUMN('Share, Heavy Weapons to Ukraine'!C1275)-1,0),0)</f>
        <v>1</v>
      </c>
      <c r="AX1265" s="180">
        <f>VLOOKUP('Bilateral Assistance, MAIN DATA'!B1265,'Country Summary'!B:F,COLUMN('Country Summary'!C1278)-1,FALSE)</f>
        <v>0</v>
      </c>
      <c r="AY1265" s="180" t="str">
        <f>IF(AND(AD1265=1,D1265="Military",H1265&lt;&gt;"Not given")=TRUE,IF(SUMIFS(P:P,A:A,A1265)&gt;0,ABS((SUMIFS(P:P,A:A,A1265)/VLOOKUP("USD",'Exchange Rates'!B:C,2,0)))/S1265,"."),".")</f>
        <v>.</v>
      </c>
      <c r="AZ1265" s="182" t="str">
        <f>IF(AND(AD1265=1,D1265="Military",H1265&lt;&gt;"Not given")=TRUE,IF(SUMIFS(P:P,A:A,A1265)&gt;0,IF((ABS((SUMIFS(P:P,A:A,A1265)/VLOOKUP("USD",'Exchange Rates'!B:C,2,0)))/S1265)&gt;1,(SUMIFS(P:P,A:A,A1265)-S1265)/S1265,(S1265-SUMIFS(P:P,A:A,A1265))/SUMIFS(P:P,A:A,A1265)),"."),".")</f>
        <v>.</v>
      </c>
      <c r="BA1265" s="182"/>
      <c r="BB1265" s="182"/>
      <c r="BC1265" s="182"/>
      <c r="BD1265" s="182"/>
      <c r="BE1265" s="182"/>
      <c r="BF1265" s="182"/>
      <c r="BG1265" s="182"/>
      <c r="BH1265" s="182"/>
      <c r="BI1265" s="182"/>
      <c r="BJ1265" s="182"/>
      <c r="BK1265" s="182"/>
      <c r="BL1265" s="182"/>
      <c r="BM1265" s="182"/>
      <c r="BN1265" s="182"/>
      <c r="BO1265" s="182"/>
      <c r="BP1265" s="182"/>
      <c r="BQ1265" s="182"/>
      <c r="BR1265" s="182"/>
      <c r="BS1265" s="182"/>
    </row>
    <row r="1266" spans="1:71" ht="15.9" customHeight="1" x14ac:dyDescent="0.3">
      <c r="A1266" s="221" t="s">
        <v>3338</v>
      </c>
      <c r="B1266" s="19" t="s">
        <v>3038</v>
      </c>
      <c r="C1266" s="555">
        <v>44797</v>
      </c>
      <c r="D1266" s="19" t="s">
        <v>285</v>
      </c>
      <c r="E1266" s="19" t="s">
        <v>1328</v>
      </c>
      <c r="F1266" s="175" t="s">
        <v>3353</v>
      </c>
      <c r="G1266" s="15" t="s">
        <v>346</v>
      </c>
      <c r="H1266" s="200">
        <v>2980000000</v>
      </c>
      <c r="I1266" s="19" t="s">
        <v>3358</v>
      </c>
      <c r="J1266" s="113" t="str">
        <f>VLOOKUP($I1266,'Price List, Weapons &amp; Items'!B:C,2,0)</f>
        <v>Portable defence system</v>
      </c>
      <c r="K1266" s="113" t="str">
        <f>IF(I1266=".",I1266,VLOOKUP($I1266,'Price List, Weapons &amp; Items'!B:D,3,0))</f>
        <v>Light Anti-armor Weapon (LAW)</v>
      </c>
      <c r="L1266" s="177">
        <f>VLOOKUP(I1266,'Price List, Weapons &amp; Items'!B:E,4,0)</f>
        <v>0</v>
      </c>
      <c r="M1266" s="247" t="s">
        <v>270</v>
      </c>
      <c r="N1266" s="542" t="s">
        <v>270</v>
      </c>
      <c r="O1266" s="543">
        <f>VLOOKUP($I1266,'Price List, Weapons &amp; Items'!B:G,6,0)</f>
        <v>22000</v>
      </c>
      <c r="P1266" s="176" t="str">
        <f t="shared" si="302"/>
        <v>.</v>
      </c>
      <c r="Q1266" s="176" t="str">
        <f t="shared" si="303"/>
        <v>.</v>
      </c>
      <c r="R1266" s="176" t="str">
        <f t="shared" si="304"/>
        <v/>
      </c>
      <c r="S1266" s="176" t="str">
        <f>IF(AND(AD1266=1,R1266&lt;&gt;".")=TRUE,R1266/VLOOKUP(G1266,'Exchange Rates'!B:C,2,0),IF(R1266=".",".",""))</f>
        <v/>
      </c>
      <c r="T1266" s="176" t="str">
        <f>IF(AD1266=1,IF(AF1266="Value is not given at all",".",IF(AF1266="Value is given by the source",S1266,IF(AF1266="Value is calculated with prices",(IF(SUMIFS(Q:Q,A:A,A1266)&gt;0,SUMIFS(Q:Q,A:A,A1266),"."))/VLOOKUP("USD",'Exchange Rates'!B:C,2,0),"Error with coding"))),"")</f>
        <v/>
      </c>
      <c r="U1266" s="15" t="s">
        <v>261</v>
      </c>
      <c r="V1266" s="304" t="s">
        <v>3354</v>
      </c>
      <c r="W1266" s="813" t="s">
        <v>3044</v>
      </c>
      <c r="X1266" s="810" t="s">
        <v>3047</v>
      </c>
      <c r="Y1266" s="811" t="s">
        <v>3118</v>
      </c>
      <c r="Z1266" s="15">
        <v>0</v>
      </c>
      <c r="AA1266" s="180">
        <v>0</v>
      </c>
      <c r="AB1266" s="17" t="s">
        <v>260</v>
      </c>
      <c r="AC1266" s="544" t="str">
        <f>""</f>
        <v/>
      </c>
      <c r="AD1266" s="183">
        <v>0</v>
      </c>
      <c r="AE1266" s="589" t="s">
        <v>264</v>
      </c>
      <c r="AF1266" s="183" t="s">
        <v>265</v>
      </c>
      <c r="AG1266" s="183">
        <v>1</v>
      </c>
      <c r="AH1266" s="181">
        <v>8</v>
      </c>
      <c r="AI1266" s="183">
        <v>0</v>
      </c>
      <c r="AJ1266" s="181">
        <f>VLOOKUP($I1266,'Price List, Weapons &amp; Items'!B:F,5,0)</f>
        <v>0</v>
      </c>
      <c r="AK1266" s="181">
        <f t="shared" si="278"/>
        <v>0</v>
      </c>
      <c r="AL1266" s="181">
        <f t="shared" si="279"/>
        <v>0</v>
      </c>
      <c r="AM1266" s="181">
        <f t="shared" si="280"/>
        <v>0</v>
      </c>
      <c r="AN1266" s="180" t="str">
        <f>VLOOKUP($I1266,'Price List, Weapons &amp; Items'!B:L,COLUMN('Price List, Weapons &amp; Items'!$J$11)-1,0)</f>
        <v>Contracts</v>
      </c>
      <c r="AO1266" s="180" t="str">
        <f>IF(I1266=".",".",VLOOKUP($I1266,'Price List, Weapons &amp; Items'!B:J,3,0))</f>
        <v>Light Anti-armor Weapon (LAW)</v>
      </c>
      <c r="AP1266" s="545" t="str">
        <f t="shared" ca="1" si="301"/>
        <v/>
      </c>
      <c r="AQ1266" s="180" t="str">
        <f>VLOOKUP($I1266,'Price List, Weapons &amp; Items'!B:L,COLUMN('Price List, Weapons &amp; Items'!$L$11)-1,0)</f>
        <v>no price, 0 count</v>
      </c>
      <c r="AR1266" s="180">
        <f t="shared" si="281"/>
        <v>1</v>
      </c>
      <c r="AS1266" s="180">
        <f t="shared" si="282"/>
        <v>1</v>
      </c>
      <c r="AT1266" s="180">
        <f t="shared" si="290"/>
        <v>1</v>
      </c>
      <c r="AU1266" s="180" t="str">
        <f t="shared" si="291"/>
        <v>.</v>
      </c>
      <c r="AV1266" s="180" t="str">
        <f t="shared" si="292"/>
        <v>.</v>
      </c>
      <c r="AW1266" s="180">
        <f>IFERROR(VLOOKUP(B1266,'Share, Heavy Weapons to Ukraine'!B:J,COLUMN('Share, Heavy Weapons to Ukraine'!C1276)-1,0),0)</f>
        <v>1</v>
      </c>
      <c r="AX1266" s="180">
        <f>VLOOKUP('Bilateral Assistance, MAIN DATA'!B1266,'Country Summary'!B:F,COLUMN('Country Summary'!C1279)-1,FALSE)</f>
        <v>0</v>
      </c>
      <c r="AY1266" s="180" t="str">
        <f>IF(AND(AD1266=1,D1266="Military",H1266&lt;&gt;"Not given")=TRUE,IF(SUMIFS(P:P,A:A,A1266)&gt;0,ABS((SUMIFS(P:P,A:A,A1266)/VLOOKUP("USD",'Exchange Rates'!B:C,2,0)))/S1266,"."),".")</f>
        <v>.</v>
      </c>
      <c r="AZ1266" s="182" t="str">
        <f>IF(AND(AD1266=1,D1266="Military",H1266&lt;&gt;"Not given")=TRUE,IF(SUMIFS(P:P,A:A,A1266)&gt;0,IF((ABS((SUMIFS(P:P,A:A,A1266)/VLOOKUP("USD",'Exchange Rates'!B:C,2,0)))/S1266)&gt;1,(SUMIFS(P:P,A:A,A1266)-S1266)/S1266,(S1266-SUMIFS(P:P,A:A,A1266))/SUMIFS(P:P,A:A,A1266)),"."),".")</f>
        <v>.</v>
      </c>
      <c r="BA1266" s="182"/>
      <c r="BB1266" s="182"/>
      <c r="BC1266" s="182"/>
      <c r="BD1266" s="182"/>
      <c r="BE1266" s="182"/>
      <c r="BF1266" s="182"/>
      <c r="BG1266" s="182"/>
      <c r="BH1266" s="182"/>
      <c r="BI1266" s="182"/>
      <c r="BJ1266" s="182"/>
      <c r="BK1266" s="182"/>
      <c r="BL1266" s="182"/>
      <c r="BM1266" s="182"/>
      <c r="BN1266" s="182"/>
      <c r="BO1266" s="182"/>
      <c r="BP1266" s="182"/>
      <c r="BQ1266" s="182"/>
      <c r="BR1266" s="182"/>
      <c r="BS1266" s="182"/>
    </row>
    <row r="1267" spans="1:71" ht="15.9" customHeight="1" x14ac:dyDescent="0.3">
      <c r="A1267" s="221" t="s">
        <v>3338</v>
      </c>
      <c r="B1267" s="19" t="s">
        <v>3038</v>
      </c>
      <c r="C1267" s="555">
        <v>44832</v>
      </c>
      <c r="D1267" s="19" t="s">
        <v>285</v>
      </c>
      <c r="E1267" s="19" t="s">
        <v>1328</v>
      </c>
      <c r="F1267" s="175" t="s">
        <v>3359</v>
      </c>
      <c r="G1267" s="15" t="s">
        <v>346</v>
      </c>
      <c r="H1267" s="200">
        <v>1100000000</v>
      </c>
      <c r="I1267" s="19" t="s">
        <v>3150</v>
      </c>
      <c r="J1267" s="113" t="str">
        <f>VLOOKUP($I1267,'Price List, Weapons &amp; Items'!B:C,2,0)</f>
        <v>Heavy weapon</v>
      </c>
      <c r="K1267" s="113" t="str">
        <f>IF(I1267=".",I1267,VLOOKUP($I1267,'Price List, Weapons &amp; Items'!B:D,3,0))</f>
        <v>227mm MLRS</v>
      </c>
      <c r="L1267" s="177">
        <f>VLOOKUP(I1267,'Price List, Weapons &amp; Items'!B:E,4,0)</f>
        <v>0</v>
      </c>
      <c r="M1267" s="247">
        <v>18</v>
      </c>
      <c r="N1267" s="542" t="s">
        <v>270</v>
      </c>
      <c r="O1267" s="543">
        <f>VLOOKUP($I1267,'Price List, Weapons &amp; Items'!B:G,6,0)</f>
        <v>15076313.029999999</v>
      </c>
      <c r="P1267" s="176">
        <f t="shared" si="302"/>
        <v>271373634.53999996</v>
      </c>
      <c r="Q1267" s="176" t="str">
        <f t="shared" si="303"/>
        <v>.</v>
      </c>
      <c r="R1267" s="176" t="str">
        <f t="shared" si="304"/>
        <v/>
      </c>
      <c r="S1267" s="176" t="str">
        <f>IF(AND(AD1267=1,R1267&lt;&gt;".")=TRUE,R1267/VLOOKUP(G1267,'Exchange Rates'!B:C,2,0),IF(R1267=".",".",""))</f>
        <v/>
      </c>
      <c r="T1267" s="176" t="str">
        <f>IF(AD1267=1,IF(AF1267="Value is not given at all",".",IF(AF1267="Value is given by the source",S1267,IF(AF1267="Value is calculated with prices",(IF(SUMIFS(Q:Q,A:A,A1267)&gt;0,SUMIFS(Q:Q,A:A,A1267),"."))/VLOOKUP("USD",'Exchange Rates'!B:C,2,0),"Error with coding"))),"")</f>
        <v/>
      </c>
      <c r="U1267" s="15" t="s">
        <v>261</v>
      </c>
      <c r="V1267" s="304" t="s">
        <v>3360</v>
      </c>
      <c r="W1267" s="813" t="s">
        <v>3044</v>
      </c>
      <c r="X1267" s="810" t="s">
        <v>3047</v>
      </c>
      <c r="Y1267" s="811" t="s">
        <v>3120</v>
      </c>
      <c r="Z1267" s="15">
        <v>0</v>
      </c>
      <c r="AA1267" s="180">
        <v>0</v>
      </c>
      <c r="AB1267" s="17" t="s">
        <v>260</v>
      </c>
      <c r="AC1267" s="544" t="str">
        <f>""</f>
        <v/>
      </c>
      <c r="AD1267" s="183">
        <v>0</v>
      </c>
      <c r="AE1267" s="589" t="s">
        <v>264</v>
      </c>
      <c r="AF1267" s="183" t="s">
        <v>265</v>
      </c>
      <c r="AG1267" s="183">
        <v>1</v>
      </c>
      <c r="AH1267" s="181">
        <v>9</v>
      </c>
      <c r="AI1267" s="181">
        <v>0</v>
      </c>
      <c r="AJ1267" s="181">
        <f>VLOOKUP($I1267,'Price List, Weapons &amp; Items'!B:F,5,0)</f>
        <v>1</v>
      </c>
      <c r="AK1267" s="181">
        <f t="shared" si="278"/>
        <v>0</v>
      </c>
      <c r="AL1267" s="181">
        <f t="shared" si="279"/>
        <v>1</v>
      </c>
      <c r="AM1267" s="181">
        <f t="shared" si="280"/>
        <v>0</v>
      </c>
      <c r="AN1267" s="180" t="str">
        <f>VLOOKUP($I1267,'Price List, Weapons &amp; Items'!B:L,COLUMN('Price List, Weapons &amp; Items'!$J$11)-1,0)</f>
        <v>Contracts</v>
      </c>
      <c r="AO1267" s="180" t="str">
        <f>IF(I1267=".",".",VLOOKUP($I1267,'Price List, Weapons &amp; Items'!B:J,3,0))</f>
        <v>227mm MLRS</v>
      </c>
      <c r="AP1267" s="545" t="str">
        <f t="shared" ca="1" si="301"/>
        <v/>
      </c>
      <c r="AQ1267" s="180">
        <f>VLOOKUP($I1267,'Price List, Weapons &amp; Items'!B:L,COLUMN('Price List, Weapons &amp; Items'!$L$11)-1,0)</f>
        <v>2</v>
      </c>
      <c r="AR1267" s="180">
        <f t="shared" si="281"/>
        <v>1</v>
      </c>
      <c r="AS1267" s="180">
        <f t="shared" si="282"/>
        <v>1</v>
      </c>
      <c r="AT1267" s="180">
        <f t="shared" si="290"/>
        <v>1</v>
      </c>
      <c r="AU1267" s="180" t="str">
        <f t="shared" si="291"/>
        <v>.</v>
      </c>
      <c r="AV1267" s="180" t="str">
        <f t="shared" si="292"/>
        <v>.</v>
      </c>
      <c r="AW1267" s="180">
        <f>IFERROR(VLOOKUP(B1267,'Share, Heavy Weapons to Ukraine'!B:J,COLUMN('Share, Heavy Weapons to Ukraine'!C1277)-1,0),0)</f>
        <v>1</v>
      </c>
      <c r="AX1267" s="180">
        <f>VLOOKUP('Bilateral Assistance, MAIN DATA'!B1267,'Country Summary'!B:F,COLUMN('Country Summary'!C1280)-1,FALSE)</f>
        <v>0</v>
      </c>
      <c r="AY1267" s="180" t="str">
        <f>IF(AND(AD1267=1,D1267="Military",H1267&lt;&gt;"Not given")=TRUE,IF(SUMIFS(P:P,A:A,A1267)&gt;0,ABS((SUMIFS(P:P,A:A,A1267)/VLOOKUP("USD",'Exchange Rates'!B:C,2,0)))/S1267,"."),".")</f>
        <v>.</v>
      </c>
      <c r="AZ1267" s="182" t="str">
        <f>IF(AND(AD1267=1,D1267="Military",H1267&lt;&gt;"Not given")=TRUE,IF(SUMIFS(P:P,A:A,A1267)&gt;0,IF((ABS((SUMIFS(P:P,A:A,A1267)/VLOOKUP("USD",'Exchange Rates'!B:C,2,0)))/S1267)&gt;1,(SUMIFS(P:P,A:A,A1267)-S1267)/S1267,(S1267-SUMIFS(P:P,A:A,A1267))/SUMIFS(P:P,A:A,A1267)),"."),".")</f>
        <v>.</v>
      </c>
      <c r="BA1267" s="182"/>
      <c r="BB1267" s="182"/>
      <c r="BC1267" s="182"/>
      <c r="BD1267" s="182"/>
      <c r="BE1267" s="182"/>
      <c r="BF1267" s="182"/>
      <c r="BG1267" s="182"/>
      <c r="BH1267" s="182"/>
      <c r="BI1267" s="182"/>
      <c r="BJ1267" s="182"/>
      <c r="BK1267" s="182"/>
      <c r="BL1267" s="182"/>
      <c r="BM1267" s="182"/>
      <c r="BN1267" s="182"/>
      <c r="BO1267" s="182"/>
      <c r="BP1267" s="182"/>
      <c r="BQ1267" s="182"/>
      <c r="BR1267" s="182"/>
      <c r="BS1267" s="182"/>
    </row>
    <row r="1268" spans="1:71" ht="15.9" customHeight="1" x14ac:dyDescent="0.3">
      <c r="A1268" s="221" t="s">
        <v>3338</v>
      </c>
      <c r="B1268" s="19" t="s">
        <v>3038</v>
      </c>
      <c r="C1268" s="555">
        <v>44832</v>
      </c>
      <c r="D1268" s="19" t="s">
        <v>285</v>
      </c>
      <c r="E1268" s="19" t="s">
        <v>1328</v>
      </c>
      <c r="F1268" s="175" t="s">
        <v>3359</v>
      </c>
      <c r="G1268" s="15" t="s">
        <v>346</v>
      </c>
      <c r="H1268" s="200">
        <v>1100000000</v>
      </c>
      <c r="I1268" s="19" t="s">
        <v>3172</v>
      </c>
      <c r="J1268" s="113" t="str">
        <f>VLOOKUP($I1268,'Price List, Weapons &amp; Items'!B:C,2,0)</f>
        <v>Ammunition for heavy weapon</v>
      </c>
      <c r="K1268" s="113" t="str">
        <f>IF(I1268=".",I1268,VLOOKUP($I1268,'Price List, Weapons &amp; Items'!B:D,3,0))</f>
        <v>227mm MLRS ammunition</v>
      </c>
      <c r="L1268" s="177">
        <f>VLOOKUP(I1268,'Price List, Weapons &amp; Items'!B:E,4,0)</f>
        <v>0</v>
      </c>
      <c r="M1268" s="247" t="s">
        <v>270</v>
      </c>
      <c r="N1268" s="542" t="s">
        <v>270</v>
      </c>
      <c r="O1268" s="543">
        <f>VLOOKUP($I1268,'Price List, Weapons &amp; Items'!B:G,6,0)</f>
        <v>150000</v>
      </c>
      <c r="P1268" s="176" t="str">
        <f t="shared" si="302"/>
        <v>.</v>
      </c>
      <c r="Q1268" s="176" t="str">
        <f t="shared" si="303"/>
        <v>.</v>
      </c>
      <c r="R1268" s="176" t="str">
        <f t="shared" si="304"/>
        <v/>
      </c>
      <c r="S1268" s="176" t="str">
        <f>IF(AND(AD1268=1,R1268&lt;&gt;".")=TRUE,R1268/VLOOKUP(G1268,'Exchange Rates'!B:C,2,0),IF(R1268=".",".",""))</f>
        <v/>
      </c>
      <c r="T1268" s="176" t="str">
        <f>IF(AD1268=1,IF(AF1268="Value is not given at all",".",IF(AF1268="Value is given by the source",S1268,IF(AF1268="Value is calculated with prices",(IF(SUMIFS(Q:Q,A:A,A1268)&gt;0,SUMIFS(Q:Q,A:A,A1268),"."))/VLOOKUP("USD",'Exchange Rates'!B:C,2,0),"Error with coding"))),"")</f>
        <v/>
      </c>
      <c r="U1268" s="15" t="s">
        <v>261</v>
      </c>
      <c r="V1268" s="304" t="s">
        <v>3360</v>
      </c>
      <c r="W1268" s="813" t="s">
        <v>3044</v>
      </c>
      <c r="X1268" s="810" t="s">
        <v>3047</v>
      </c>
      <c r="Y1268" s="811" t="s">
        <v>3121</v>
      </c>
      <c r="Z1268" s="15">
        <v>0</v>
      </c>
      <c r="AA1268" s="180">
        <v>0</v>
      </c>
      <c r="AB1268" s="17" t="s">
        <v>260</v>
      </c>
      <c r="AC1268" s="544" t="str">
        <f>""</f>
        <v/>
      </c>
      <c r="AD1268" s="183">
        <v>0</v>
      </c>
      <c r="AE1268" s="589" t="s">
        <v>264</v>
      </c>
      <c r="AF1268" s="183" t="s">
        <v>265</v>
      </c>
      <c r="AG1268" s="183">
        <v>1</v>
      </c>
      <c r="AH1268" s="181">
        <v>9</v>
      </c>
      <c r="AI1268" s="183">
        <v>0</v>
      </c>
      <c r="AJ1268" s="181">
        <f>VLOOKUP($I1268,'Price List, Weapons &amp; Items'!B:F,5,0)</f>
        <v>1</v>
      </c>
      <c r="AK1268" s="181">
        <f t="shared" si="278"/>
        <v>1</v>
      </c>
      <c r="AL1268" s="181">
        <f t="shared" si="279"/>
        <v>1</v>
      </c>
      <c r="AM1268" s="181">
        <f t="shared" si="280"/>
        <v>1</v>
      </c>
      <c r="AN1268" s="180" t="str">
        <f>VLOOKUP($I1268,'Price List, Weapons &amp; Items'!B:L,COLUMN('Price List, Weapons &amp; Items'!$J$11)-1,0)</f>
        <v>Media reports (incl. social media)</v>
      </c>
      <c r="AO1268" s="180" t="str">
        <f>IF(I1268=".",".",VLOOKUP($I1268,'Price List, Weapons &amp; Items'!B:J,3,0))</f>
        <v>227mm MLRS ammunition</v>
      </c>
      <c r="AP1268" s="545" t="str">
        <f t="shared" ca="1" si="301"/>
        <v/>
      </c>
      <c r="AQ1268" s="180" t="str">
        <f>VLOOKUP($I1268,'Price List, Weapons &amp; Items'!B:L,COLUMN('Price List, Weapons &amp; Items'!$L$11)-1,0)</f>
        <v>no price, 0 count</v>
      </c>
      <c r="AR1268" s="180">
        <f t="shared" si="281"/>
        <v>1</v>
      </c>
      <c r="AS1268" s="180">
        <f t="shared" si="282"/>
        <v>1</v>
      </c>
      <c r="AT1268" s="180">
        <f t="shared" si="290"/>
        <v>1</v>
      </c>
      <c r="AU1268" s="180" t="str">
        <f t="shared" si="291"/>
        <v>.</v>
      </c>
      <c r="AV1268" s="180" t="str">
        <f t="shared" si="292"/>
        <v>.</v>
      </c>
      <c r="AW1268" s="180">
        <f>IFERROR(VLOOKUP(B1268,'Share, Heavy Weapons to Ukraine'!B:J,COLUMN('Share, Heavy Weapons to Ukraine'!C1278)-1,0),0)</f>
        <v>1</v>
      </c>
      <c r="AX1268" s="180">
        <f>VLOOKUP('Bilateral Assistance, MAIN DATA'!B1268,'Country Summary'!B:F,COLUMN('Country Summary'!C1281)-1,FALSE)</f>
        <v>0</v>
      </c>
      <c r="AY1268" s="180" t="str">
        <f>IF(AND(AD1268=1,D1268="Military",H1268&lt;&gt;"Not given")=TRUE,IF(SUMIFS(P:P,A:A,A1268)&gt;0,ABS((SUMIFS(P:P,A:A,A1268)/VLOOKUP("USD",'Exchange Rates'!B:C,2,0)))/S1268,"."),".")</f>
        <v>.</v>
      </c>
      <c r="AZ1268" s="182" t="str">
        <f>IF(AND(AD1268=1,D1268="Military",H1268&lt;&gt;"Not given")=TRUE,IF(SUMIFS(P:P,A:A,A1268)&gt;0,IF((ABS((SUMIFS(P:P,A:A,A1268)/VLOOKUP("USD",'Exchange Rates'!B:C,2,0)))/S1268)&gt;1,(SUMIFS(P:P,A:A,A1268)-S1268)/S1268,(S1268-SUMIFS(P:P,A:A,A1268))/SUMIFS(P:P,A:A,A1268)),"."),".")</f>
        <v>.</v>
      </c>
      <c r="BA1268" s="182"/>
      <c r="BB1268" s="182"/>
      <c r="BC1268" s="182"/>
      <c r="BD1268" s="182"/>
      <c r="BE1268" s="182"/>
      <c r="BF1268" s="182"/>
      <c r="BG1268" s="182"/>
      <c r="BH1268" s="182"/>
      <c r="BI1268" s="182"/>
      <c r="BJ1268" s="182"/>
      <c r="BK1268" s="182"/>
      <c r="BL1268" s="182"/>
      <c r="BM1268" s="182"/>
      <c r="BN1268" s="182"/>
      <c r="BO1268" s="182"/>
      <c r="BP1268" s="182"/>
      <c r="BQ1268" s="182"/>
      <c r="BR1268" s="182"/>
      <c r="BS1268" s="182"/>
    </row>
    <row r="1269" spans="1:71" ht="15.9" customHeight="1" x14ac:dyDescent="0.3">
      <c r="A1269" s="221" t="s">
        <v>3338</v>
      </c>
      <c r="B1269" s="19" t="s">
        <v>3038</v>
      </c>
      <c r="C1269" s="555">
        <v>44832</v>
      </c>
      <c r="D1269" s="19" t="s">
        <v>285</v>
      </c>
      <c r="E1269" s="19" t="s">
        <v>1328</v>
      </c>
      <c r="F1269" s="175" t="s">
        <v>3359</v>
      </c>
      <c r="G1269" s="15" t="s">
        <v>346</v>
      </c>
      <c r="H1269" s="200">
        <v>1100000000</v>
      </c>
      <c r="I1269" s="19" t="s">
        <v>3269</v>
      </c>
      <c r="J1269" s="113" t="str">
        <f>VLOOKUP($I1269,'Price List, Weapons &amp; Items'!B:C,2,0)</f>
        <v>Heavy weapon</v>
      </c>
      <c r="K1269" s="113" t="str">
        <f>IF(I1269=".",I1269,VLOOKUP($I1269,'Price List, Weapons &amp; Items'!B:D,3,0))</f>
        <v>Armoured Utility Vehicle (AUV)</v>
      </c>
      <c r="L1269" s="177">
        <f>VLOOKUP(I1269,'Price List, Weapons &amp; Items'!B:E,4,0)</f>
        <v>0</v>
      </c>
      <c r="M1269" s="247">
        <v>150</v>
      </c>
      <c r="N1269" s="542" t="s">
        <v>270</v>
      </c>
      <c r="O1269" s="543">
        <f>VLOOKUP($I1269,'Price List, Weapons &amp; Items'!B:G,6,0)</f>
        <v>254717</v>
      </c>
      <c r="P1269" s="176">
        <f t="shared" si="302"/>
        <v>38207550</v>
      </c>
      <c r="Q1269" s="176" t="str">
        <f t="shared" si="303"/>
        <v>.</v>
      </c>
      <c r="R1269" s="176" t="str">
        <f t="shared" si="304"/>
        <v/>
      </c>
      <c r="S1269" s="176" t="str">
        <f>IF(AND(AD1269=1,R1269&lt;&gt;".")=TRUE,R1269/VLOOKUP(G1269,'Exchange Rates'!B:C,2,0),IF(R1269=".",".",""))</f>
        <v/>
      </c>
      <c r="T1269" s="176" t="str">
        <f>IF(AD1269=1,IF(AF1269="Value is not given at all",".",IF(AF1269="Value is given by the source",S1269,IF(AF1269="Value is calculated with prices",(IF(SUMIFS(Q:Q,A:A,A1269)&gt;0,SUMIFS(Q:Q,A:A,A1269),"."))/VLOOKUP("USD",'Exchange Rates'!B:C,2,0),"Error with coding"))),"")</f>
        <v/>
      </c>
      <c r="U1269" s="15" t="s">
        <v>261</v>
      </c>
      <c r="V1269" s="304" t="s">
        <v>3360</v>
      </c>
      <c r="W1269" s="813" t="s">
        <v>3044</v>
      </c>
      <c r="X1269" s="810" t="s">
        <v>3047</v>
      </c>
      <c r="Y1269" s="811" t="s">
        <v>3123</v>
      </c>
      <c r="Z1269" s="15">
        <v>0</v>
      </c>
      <c r="AA1269" s="180">
        <v>0</v>
      </c>
      <c r="AB1269" s="17" t="s">
        <v>260</v>
      </c>
      <c r="AC1269" s="544" t="str">
        <f>""</f>
        <v/>
      </c>
      <c r="AD1269" s="183">
        <v>0</v>
      </c>
      <c r="AE1269" s="589" t="s">
        <v>264</v>
      </c>
      <c r="AF1269" s="183" t="s">
        <v>265</v>
      </c>
      <c r="AG1269" s="183">
        <v>1</v>
      </c>
      <c r="AH1269" s="181">
        <v>9</v>
      </c>
      <c r="AI1269" s="181">
        <v>0</v>
      </c>
      <c r="AJ1269" s="181">
        <f>VLOOKUP($I1269,'Price List, Weapons &amp; Items'!B:F,5,0)</f>
        <v>1</v>
      </c>
      <c r="AK1269" s="181">
        <f t="shared" si="278"/>
        <v>0</v>
      </c>
      <c r="AL1269" s="181">
        <f t="shared" si="279"/>
        <v>1</v>
      </c>
      <c r="AM1269" s="181">
        <f t="shared" si="280"/>
        <v>0</v>
      </c>
      <c r="AN1269" s="180" t="str">
        <f>VLOOKUP($I1269,'Price List, Weapons &amp; Items'!B:L,COLUMN('Price List, Weapons &amp; Items'!$J$11)-1,0)</f>
        <v>Military media (incl. websites)</v>
      </c>
      <c r="AO1269" s="180" t="str">
        <f>IF(I1269=".",".",VLOOKUP($I1269,'Price List, Weapons &amp; Items'!B:J,3,0))</f>
        <v>Armoured Utility Vehicle (AUV)</v>
      </c>
      <c r="AP1269" s="545" t="str">
        <f t="shared" ca="1" si="301"/>
        <v/>
      </c>
      <c r="AQ1269" s="180">
        <f>VLOOKUP($I1269,'Price List, Weapons &amp; Items'!B:L,COLUMN('Price List, Weapons &amp; Items'!$L$11)-1,0)</f>
        <v>2</v>
      </c>
      <c r="AR1269" s="180">
        <f t="shared" si="281"/>
        <v>1</v>
      </c>
      <c r="AS1269" s="180">
        <f t="shared" si="282"/>
        <v>1</v>
      </c>
      <c r="AT1269" s="180">
        <f t="shared" si="290"/>
        <v>1</v>
      </c>
      <c r="AU1269" s="180" t="str">
        <f t="shared" si="291"/>
        <v>.</v>
      </c>
      <c r="AV1269" s="180" t="str">
        <f t="shared" si="292"/>
        <v>.</v>
      </c>
      <c r="AW1269" s="180">
        <f>IFERROR(VLOOKUP(B1269,'Share, Heavy Weapons to Ukraine'!B:J,COLUMN('Share, Heavy Weapons to Ukraine'!C1279)-1,0),0)</f>
        <v>1</v>
      </c>
      <c r="AX1269" s="180">
        <f>VLOOKUP('Bilateral Assistance, MAIN DATA'!B1269,'Country Summary'!B:F,COLUMN('Country Summary'!C1282)-1,FALSE)</f>
        <v>0</v>
      </c>
      <c r="AY1269" s="180" t="str">
        <f>IF(AND(AD1269=1,D1269="Military",H1269&lt;&gt;"Not given")=TRUE,IF(SUMIFS(P:P,A:A,A1269)&gt;0,ABS((SUMIFS(P:P,A:A,A1269)/VLOOKUP("USD",'Exchange Rates'!B:C,2,0)))/S1269,"."),".")</f>
        <v>.</v>
      </c>
      <c r="AZ1269" s="182" t="str">
        <f>IF(AND(AD1269=1,D1269="Military",H1269&lt;&gt;"Not given")=TRUE,IF(SUMIFS(P:P,A:A,A1269)&gt;0,IF((ABS((SUMIFS(P:P,A:A,A1269)/VLOOKUP("USD",'Exchange Rates'!B:C,2,0)))/S1269)&gt;1,(SUMIFS(P:P,A:A,A1269)-S1269)/S1269,(S1269-SUMIFS(P:P,A:A,A1269))/SUMIFS(P:P,A:A,A1269)),"."),".")</f>
        <v>.</v>
      </c>
      <c r="BA1269" s="182"/>
      <c r="BB1269" s="182"/>
      <c r="BC1269" s="182"/>
      <c r="BD1269" s="182"/>
      <c r="BE1269" s="182"/>
      <c r="BF1269" s="182"/>
      <c r="BG1269" s="182"/>
      <c r="BH1269" s="182"/>
      <c r="BI1269" s="182"/>
      <c r="BJ1269" s="182"/>
      <c r="BK1269" s="182"/>
      <c r="BL1269" s="182"/>
      <c r="BM1269" s="182"/>
      <c r="BN1269" s="182"/>
      <c r="BO1269" s="182"/>
      <c r="BP1269" s="182"/>
      <c r="BQ1269" s="182"/>
      <c r="BR1269" s="182"/>
      <c r="BS1269" s="182"/>
    </row>
    <row r="1270" spans="1:71" ht="15.9" customHeight="1" x14ac:dyDescent="0.3">
      <c r="A1270" s="221" t="s">
        <v>3338</v>
      </c>
      <c r="B1270" s="19" t="s">
        <v>3038</v>
      </c>
      <c r="C1270" s="555">
        <v>44832</v>
      </c>
      <c r="D1270" s="19" t="s">
        <v>285</v>
      </c>
      <c r="E1270" s="19" t="s">
        <v>1328</v>
      </c>
      <c r="F1270" s="175" t="s">
        <v>3359</v>
      </c>
      <c r="G1270" s="15" t="s">
        <v>346</v>
      </c>
      <c r="H1270" s="200">
        <v>1100000000</v>
      </c>
      <c r="I1270" s="19" t="s">
        <v>3361</v>
      </c>
      <c r="J1270" s="113" t="str">
        <f>VLOOKUP($I1270,'Price List, Weapons &amp; Items'!B:C,2,0)</f>
        <v>Military equipment</v>
      </c>
      <c r="K1270" s="113" t="str">
        <f>IF(I1270=".",I1270,VLOOKUP($I1270,'Price List, Weapons &amp; Items'!B:D,3,0))</f>
        <v>Military equipment</v>
      </c>
      <c r="L1270" s="177">
        <f>VLOOKUP(I1270,'Price List, Weapons &amp; Items'!B:E,4,0)</f>
        <v>0</v>
      </c>
      <c r="M1270" s="247">
        <v>150</v>
      </c>
      <c r="N1270" s="542" t="s">
        <v>270</v>
      </c>
      <c r="O1270" s="543">
        <f>VLOOKUP($I1270,'Price List, Weapons &amp; Items'!B:G,6,0)</f>
        <v>350000</v>
      </c>
      <c r="P1270" s="176">
        <f t="shared" si="302"/>
        <v>52500000</v>
      </c>
      <c r="Q1270" s="176" t="str">
        <f t="shared" si="303"/>
        <v>.</v>
      </c>
      <c r="R1270" s="176" t="str">
        <f t="shared" si="304"/>
        <v/>
      </c>
      <c r="S1270" s="176" t="str">
        <f>IF(AND(AD1270=1,R1270&lt;&gt;".")=TRUE,R1270/VLOOKUP(G1270,'Exchange Rates'!B:C,2,0),IF(R1270=".",".",""))</f>
        <v/>
      </c>
      <c r="T1270" s="176" t="str">
        <f>IF(AD1270=1,IF(AF1270="Value is not given at all",".",IF(AF1270="Value is given by the source",S1270,IF(AF1270="Value is calculated with prices",(IF(SUMIFS(Q:Q,A:A,A1270)&gt;0,SUMIFS(Q:Q,A:A,A1270),"."))/VLOOKUP("USD",'Exchange Rates'!B:C,2,0),"Error with coding"))),"")</f>
        <v/>
      </c>
      <c r="U1270" s="15" t="s">
        <v>261</v>
      </c>
      <c r="V1270" s="304" t="s">
        <v>3360</v>
      </c>
      <c r="W1270" s="813" t="s">
        <v>3044</v>
      </c>
      <c r="X1270" s="810" t="s">
        <v>3047</v>
      </c>
      <c r="Y1270" s="811" t="s">
        <v>3125</v>
      </c>
      <c r="Z1270" s="15">
        <v>0</v>
      </c>
      <c r="AA1270" s="180">
        <v>0</v>
      </c>
      <c r="AB1270" s="17" t="s">
        <v>260</v>
      </c>
      <c r="AC1270" s="544" t="str">
        <f>""</f>
        <v/>
      </c>
      <c r="AD1270" s="183">
        <v>0</v>
      </c>
      <c r="AE1270" s="589" t="s">
        <v>264</v>
      </c>
      <c r="AF1270" s="183" t="s">
        <v>265</v>
      </c>
      <c r="AG1270" s="183">
        <v>1</v>
      </c>
      <c r="AH1270" s="181">
        <v>9</v>
      </c>
      <c r="AI1270" s="183">
        <v>0</v>
      </c>
      <c r="AJ1270" s="181">
        <f>VLOOKUP($I1270,'Price List, Weapons &amp; Items'!B:F,5,0)</f>
        <v>0</v>
      </c>
      <c r="AK1270" s="181">
        <f t="shared" si="278"/>
        <v>0</v>
      </c>
      <c r="AL1270" s="181">
        <f t="shared" si="279"/>
        <v>0</v>
      </c>
      <c r="AM1270" s="181">
        <f t="shared" si="280"/>
        <v>0</v>
      </c>
      <c r="AN1270" s="180" t="str">
        <f>VLOOKUP($I1270,'Price List, Weapons &amp; Items'!B:L,COLUMN('Price List, Weapons &amp; Items'!$J$11)-1,0)</f>
        <v>Media reports (incl. social media)</v>
      </c>
      <c r="AO1270" s="180" t="str">
        <f>IF(I1270=".",".",VLOOKUP($I1270,'Price List, Weapons &amp; Items'!B:J,3,0))</f>
        <v>Military equipment</v>
      </c>
      <c r="AP1270" s="545" t="str">
        <f t="shared" ca="1" si="301"/>
        <v/>
      </c>
      <c r="AQ1270" s="180">
        <f>VLOOKUP($I1270,'Price List, Weapons &amp; Items'!B:L,COLUMN('Price List, Weapons &amp; Items'!$L$11)-1,0)</f>
        <v>2</v>
      </c>
      <c r="AR1270" s="180">
        <f t="shared" si="281"/>
        <v>1</v>
      </c>
      <c r="AS1270" s="180">
        <f t="shared" si="282"/>
        <v>1</v>
      </c>
      <c r="AT1270" s="180">
        <f t="shared" si="290"/>
        <v>1</v>
      </c>
      <c r="AU1270" s="180" t="str">
        <f t="shared" si="291"/>
        <v>.</v>
      </c>
      <c r="AV1270" s="180" t="str">
        <f t="shared" si="292"/>
        <v>.</v>
      </c>
      <c r="AW1270" s="180">
        <f>IFERROR(VLOOKUP(B1270,'Share, Heavy Weapons to Ukraine'!B:J,COLUMN('Share, Heavy Weapons to Ukraine'!C1280)-1,0),0)</f>
        <v>1</v>
      </c>
      <c r="AX1270" s="180">
        <f>VLOOKUP('Bilateral Assistance, MAIN DATA'!B1270,'Country Summary'!B:F,COLUMN('Country Summary'!C1283)-1,FALSE)</f>
        <v>0</v>
      </c>
      <c r="AY1270" s="180" t="str">
        <f>IF(AND(AD1270=1,D1270="Military",H1270&lt;&gt;"Not given")=TRUE,IF(SUMIFS(P:P,A:A,A1270)&gt;0,ABS((SUMIFS(P:P,A:A,A1270)/VLOOKUP("USD",'Exchange Rates'!B:C,2,0)))/S1270,"."),".")</f>
        <v>.</v>
      </c>
      <c r="AZ1270" s="182" t="str">
        <f>IF(AND(AD1270=1,D1270="Military",H1270&lt;&gt;"Not given")=TRUE,IF(SUMIFS(P:P,A:A,A1270)&gt;0,IF((ABS((SUMIFS(P:P,A:A,A1270)/VLOOKUP("USD",'Exchange Rates'!B:C,2,0)))/S1270)&gt;1,(SUMIFS(P:P,A:A,A1270)-S1270)/S1270,(S1270-SUMIFS(P:P,A:A,A1270))/SUMIFS(P:P,A:A,A1270)),"."),".")</f>
        <v>.</v>
      </c>
      <c r="BA1270" s="182"/>
      <c r="BB1270" s="182"/>
      <c r="BC1270" s="182"/>
      <c r="BD1270" s="182"/>
      <c r="BE1270" s="182"/>
      <c r="BF1270" s="182"/>
      <c r="BG1270" s="182"/>
      <c r="BH1270" s="182"/>
      <c r="BI1270" s="182"/>
      <c r="BJ1270" s="182"/>
      <c r="BK1270" s="182"/>
      <c r="BL1270" s="182"/>
      <c r="BM1270" s="182"/>
      <c r="BN1270" s="182"/>
      <c r="BO1270" s="182"/>
      <c r="BP1270" s="182"/>
      <c r="BQ1270" s="182"/>
      <c r="BR1270" s="182"/>
      <c r="BS1270" s="182"/>
    </row>
    <row r="1271" spans="1:71" ht="15.9" customHeight="1" x14ac:dyDescent="0.3">
      <c r="A1271" s="221" t="s">
        <v>3338</v>
      </c>
      <c r="B1271" s="19" t="s">
        <v>3038</v>
      </c>
      <c r="C1271" s="555">
        <v>44832</v>
      </c>
      <c r="D1271" s="19" t="s">
        <v>285</v>
      </c>
      <c r="E1271" s="19" t="s">
        <v>1328</v>
      </c>
      <c r="F1271" s="175" t="s">
        <v>3359</v>
      </c>
      <c r="G1271" s="15" t="s">
        <v>346</v>
      </c>
      <c r="H1271" s="200">
        <v>1100000000</v>
      </c>
      <c r="I1271" s="19" t="s">
        <v>1154</v>
      </c>
      <c r="J1271" s="113" t="str">
        <f>VLOOKUP($I1271,'Price List, Weapons &amp; Items'!B:C,2,0)</f>
        <v>Military equipment</v>
      </c>
      <c r="K1271" s="113" t="str">
        <f>IF(I1271=".",I1271,VLOOKUP($I1271,'Price List, Weapons &amp; Items'!B:D,3,0))</f>
        <v>non combat military vehicle</v>
      </c>
      <c r="L1271" s="177">
        <f>VLOOKUP(I1271,'Price List, Weapons &amp; Items'!B:E,4,0)</f>
        <v>0</v>
      </c>
      <c r="M1271" s="247">
        <v>40</v>
      </c>
      <c r="N1271" s="542" t="s">
        <v>270</v>
      </c>
      <c r="O1271" s="543">
        <f>VLOOKUP($I1271,'Price List, Weapons &amp; Items'!B:G,6,0)</f>
        <v>350000</v>
      </c>
      <c r="P1271" s="176">
        <f t="shared" si="302"/>
        <v>14000000</v>
      </c>
      <c r="Q1271" s="176" t="str">
        <f t="shared" si="303"/>
        <v>.</v>
      </c>
      <c r="R1271" s="176" t="str">
        <f t="shared" si="304"/>
        <v/>
      </c>
      <c r="S1271" s="176" t="str">
        <f>IF(AND(AD1271=1,R1271&lt;&gt;".")=TRUE,R1271/VLOOKUP(G1271,'Exchange Rates'!B:C,2,0),IF(R1271=".",".",""))</f>
        <v/>
      </c>
      <c r="T1271" s="176" t="str">
        <f>IF(AD1271=1,IF(AF1271="Value is not given at all",".",IF(AF1271="Value is given by the source",S1271,IF(AF1271="Value is calculated with prices",(IF(SUMIFS(Q:Q,A:A,A1271)&gt;0,SUMIFS(Q:Q,A:A,A1271),"."))/VLOOKUP("USD",'Exchange Rates'!B:C,2,0),"Error with coding"))),"")</f>
        <v/>
      </c>
      <c r="U1271" s="15" t="s">
        <v>261</v>
      </c>
      <c r="V1271" s="304" t="s">
        <v>3360</v>
      </c>
      <c r="W1271" s="813" t="s">
        <v>3044</v>
      </c>
      <c r="X1271" s="810" t="s">
        <v>3047</v>
      </c>
      <c r="Y1271" s="811" t="s">
        <v>3126</v>
      </c>
      <c r="Z1271" s="15">
        <v>0</v>
      </c>
      <c r="AA1271" s="180">
        <v>0</v>
      </c>
      <c r="AB1271" s="17" t="s">
        <v>260</v>
      </c>
      <c r="AC1271" s="544" t="str">
        <f>""</f>
        <v/>
      </c>
      <c r="AD1271" s="183">
        <v>0</v>
      </c>
      <c r="AE1271" s="589" t="s">
        <v>264</v>
      </c>
      <c r="AF1271" s="183" t="s">
        <v>265</v>
      </c>
      <c r="AG1271" s="183">
        <v>1</v>
      </c>
      <c r="AH1271" s="181">
        <v>9</v>
      </c>
      <c r="AI1271" s="181">
        <v>0</v>
      </c>
      <c r="AJ1271" s="181">
        <f>VLOOKUP($I1271,'Price List, Weapons &amp; Items'!B:F,5,0)</f>
        <v>0</v>
      </c>
      <c r="AK1271" s="181">
        <f t="shared" si="278"/>
        <v>0</v>
      </c>
      <c r="AL1271" s="181">
        <f t="shared" si="279"/>
        <v>0</v>
      </c>
      <c r="AM1271" s="181">
        <f t="shared" si="280"/>
        <v>0</v>
      </c>
      <c r="AN1271" s="180" t="str">
        <f>VLOOKUP($I1271,'Price List, Weapons &amp; Items'!B:L,COLUMN('Price List, Weapons &amp; Items'!$J$11)-1,0)</f>
        <v>Media reports (incl. social media)</v>
      </c>
      <c r="AO1271" s="180" t="str">
        <f>IF(I1271=".",".",VLOOKUP($I1271,'Price List, Weapons &amp; Items'!B:J,3,0))</f>
        <v>non combat military vehicle</v>
      </c>
      <c r="AP1271" s="545" t="str">
        <f t="shared" ca="1" si="301"/>
        <v/>
      </c>
      <c r="AQ1271" s="180">
        <f>VLOOKUP($I1271,'Price List, Weapons &amp; Items'!B:L,COLUMN('Price List, Weapons &amp; Items'!$L$11)-1,0)</f>
        <v>2</v>
      </c>
      <c r="AR1271" s="180">
        <f t="shared" si="281"/>
        <v>1</v>
      </c>
      <c r="AS1271" s="180">
        <f t="shared" si="282"/>
        <v>1</v>
      </c>
      <c r="AT1271" s="180">
        <f t="shared" si="290"/>
        <v>1</v>
      </c>
      <c r="AU1271" s="180" t="str">
        <f t="shared" si="291"/>
        <v>.</v>
      </c>
      <c r="AV1271" s="180" t="str">
        <f t="shared" si="292"/>
        <v>.</v>
      </c>
      <c r="AW1271" s="180">
        <f>IFERROR(VLOOKUP(B1271,'Share, Heavy Weapons to Ukraine'!B:J,COLUMN('Share, Heavy Weapons to Ukraine'!C1281)-1,0),0)</f>
        <v>1</v>
      </c>
      <c r="AX1271" s="180">
        <f>VLOOKUP('Bilateral Assistance, MAIN DATA'!B1271,'Country Summary'!B:F,COLUMN('Country Summary'!C1284)-1,FALSE)</f>
        <v>0</v>
      </c>
      <c r="AY1271" s="180" t="str">
        <f>IF(AND(AD1271=1,D1271="Military",H1271&lt;&gt;"Not given")=TRUE,IF(SUMIFS(P:P,A:A,A1271)&gt;0,ABS((SUMIFS(P:P,A:A,A1271)/VLOOKUP("USD",'Exchange Rates'!B:C,2,0)))/S1271,"."),".")</f>
        <v>.</v>
      </c>
      <c r="AZ1271" s="182" t="str">
        <f>IF(AND(AD1271=1,D1271="Military",H1271&lt;&gt;"Not given")=TRUE,IF(SUMIFS(P:P,A:A,A1271)&gt;0,IF((ABS((SUMIFS(P:P,A:A,A1271)/VLOOKUP("USD",'Exchange Rates'!B:C,2,0)))/S1271)&gt;1,(SUMIFS(P:P,A:A,A1271)-S1271)/S1271,(S1271-SUMIFS(P:P,A:A,A1271))/SUMIFS(P:P,A:A,A1271)),"."),".")</f>
        <v>.</v>
      </c>
      <c r="BA1271" s="182"/>
      <c r="BB1271" s="182"/>
      <c r="BC1271" s="182"/>
      <c r="BD1271" s="182"/>
      <c r="BE1271" s="182"/>
      <c r="BF1271" s="182"/>
      <c r="BG1271" s="182"/>
      <c r="BH1271" s="182"/>
      <c r="BI1271" s="182"/>
      <c r="BJ1271" s="182"/>
      <c r="BK1271" s="182"/>
      <c r="BL1271" s="182"/>
      <c r="BM1271" s="182"/>
      <c r="BN1271" s="182"/>
      <c r="BO1271" s="182"/>
      <c r="BP1271" s="182"/>
      <c r="BQ1271" s="182"/>
      <c r="BR1271" s="182"/>
      <c r="BS1271" s="182"/>
    </row>
    <row r="1272" spans="1:71" ht="15.9" customHeight="1" x14ac:dyDescent="0.3">
      <c r="A1272" s="221" t="s">
        <v>3338</v>
      </c>
      <c r="B1272" s="19" t="s">
        <v>3038</v>
      </c>
      <c r="C1272" s="555">
        <v>44832</v>
      </c>
      <c r="D1272" s="19" t="s">
        <v>285</v>
      </c>
      <c r="E1272" s="19" t="s">
        <v>1328</v>
      </c>
      <c r="F1272" s="175" t="s">
        <v>3359</v>
      </c>
      <c r="G1272" s="15" t="s">
        <v>346</v>
      </c>
      <c r="H1272" s="200">
        <v>1100000000</v>
      </c>
      <c r="I1272" s="19" t="s">
        <v>1431</v>
      </c>
      <c r="J1272" s="113" t="str">
        <f>VLOOKUP($I1272,'Price List, Weapons &amp; Items'!B:C,2,0)</f>
        <v>Military equipment</v>
      </c>
      <c r="K1272" s="113" t="str">
        <f>IF(I1272=".",I1272,VLOOKUP($I1272,'Price List, Weapons &amp; Items'!B:D,3,0))</f>
        <v>non combat military vehicle</v>
      </c>
      <c r="L1272" s="177">
        <f>VLOOKUP(I1272,'Price List, Weapons &amp; Items'!B:E,4,0)</f>
        <v>0</v>
      </c>
      <c r="M1272" s="247">
        <v>80</v>
      </c>
      <c r="N1272" s="542" t="s">
        <v>270</v>
      </c>
      <c r="O1272" s="543">
        <f>VLOOKUP($I1272,'Price List, Weapons &amp; Items'!B:G,6,0)</f>
        <v>50000</v>
      </c>
      <c r="P1272" s="176">
        <f t="shared" si="302"/>
        <v>4000000</v>
      </c>
      <c r="Q1272" s="176" t="str">
        <f t="shared" si="303"/>
        <v>.</v>
      </c>
      <c r="R1272" s="176" t="str">
        <f t="shared" si="304"/>
        <v/>
      </c>
      <c r="S1272" s="176" t="str">
        <f>IF(AND(AD1272=1,R1272&lt;&gt;".")=TRUE,R1272/VLOOKUP(G1272,'Exchange Rates'!B:C,2,0),IF(R1272=".",".",""))</f>
        <v/>
      </c>
      <c r="T1272" s="176" t="str">
        <f>IF(AD1272=1,IF(AF1272="Value is not given at all",".",IF(AF1272="Value is given by the source",S1272,IF(AF1272="Value is calculated with prices",(IF(SUMIFS(Q:Q,A:A,A1272)&gt;0,SUMIFS(Q:Q,A:A,A1272),"."))/VLOOKUP("USD",'Exchange Rates'!B:C,2,0),"Error with coding"))),"")</f>
        <v/>
      </c>
      <c r="U1272" s="15" t="s">
        <v>261</v>
      </c>
      <c r="V1272" s="304" t="s">
        <v>3360</v>
      </c>
      <c r="W1272" s="813" t="s">
        <v>3044</v>
      </c>
      <c r="X1272" s="810" t="s">
        <v>3047</v>
      </c>
      <c r="Y1272" s="811" t="s">
        <v>3128</v>
      </c>
      <c r="Z1272" s="15">
        <v>0</v>
      </c>
      <c r="AA1272" s="180">
        <v>0</v>
      </c>
      <c r="AB1272" s="17" t="s">
        <v>260</v>
      </c>
      <c r="AC1272" s="544" t="str">
        <f>""</f>
        <v/>
      </c>
      <c r="AD1272" s="183">
        <v>0</v>
      </c>
      <c r="AE1272" s="589" t="s">
        <v>264</v>
      </c>
      <c r="AF1272" s="183" t="s">
        <v>265</v>
      </c>
      <c r="AG1272" s="183">
        <v>1</v>
      </c>
      <c r="AH1272" s="181">
        <v>9</v>
      </c>
      <c r="AI1272" s="183">
        <v>0</v>
      </c>
      <c r="AJ1272" s="181">
        <f>VLOOKUP($I1272,'Price List, Weapons &amp; Items'!B:F,5,0)</f>
        <v>0</v>
      </c>
      <c r="AK1272" s="181">
        <f t="shared" si="278"/>
        <v>0</v>
      </c>
      <c r="AL1272" s="181">
        <f t="shared" si="279"/>
        <v>0</v>
      </c>
      <c r="AM1272" s="181">
        <f t="shared" si="280"/>
        <v>0</v>
      </c>
      <c r="AN1272" s="180" t="str">
        <f>VLOOKUP($I1272,'Price List, Weapons &amp; Items'!B:L,COLUMN('Price List, Weapons &amp; Items'!$J$11)-1,0)</f>
        <v>Miscellaneous</v>
      </c>
      <c r="AO1272" s="180" t="str">
        <f>IF(I1272=".",".",VLOOKUP($I1272,'Price List, Weapons &amp; Items'!B:J,3,0))</f>
        <v>non combat military vehicle</v>
      </c>
      <c r="AP1272" s="545" t="str">
        <f t="shared" ca="1" si="301"/>
        <v/>
      </c>
      <c r="AQ1272" s="180">
        <f>VLOOKUP($I1272,'Price List, Weapons &amp; Items'!B:L,COLUMN('Price List, Weapons &amp; Items'!$L$11)-1,0)</f>
        <v>2</v>
      </c>
      <c r="AR1272" s="180">
        <f t="shared" si="281"/>
        <v>1</v>
      </c>
      <c r="AS1272" s="180">
        <f t="shared" si="282"/>
        <v>1</v>
      </c>
      <c r="AT1272" s="180">
        <f t="shared" si="290"/>
        <v>1</v>
      </c>
      <c r="AU1272" s="180" t="str">
        <f t="shared" si="291"/>
        <v>.</v>
      </c>
      <c r="AV1272" s="180" t="str">
        <f t="shared" si="292"/>
        <v>.</v>
      </c>
      <c r="AW1272" s="180">
        <f>IFERROR(VLOOKUP(B1272,'Share, Heavy Weapons to Ukraine'!B:J,COLUMN('Share, Heavy Weapons to Ukraine'!C1282)-1,0),0)</f>
        <v>1</v>
      </c>
      <c r="AX1272" s="180">
        <f>VLOOKUP('Bilateral Assistance, MAIN DATA'!B1272,'Country Summary'!B:F,COLUMN('Country Summary'!C1285)-1,FALSE)</f>
        <v>0</v>
      </c>
      <c r="AY1272" s="180" t="str">
        <f>IF(AND(AD1272=1,D1272="Military",H1272&lt;&gt;"Not given")=TRUE,IF(SUMIFS(P:P,A:A,A1272)&gt;0,ABS((SUMIFS(P:P,A:A,A1272)/VLOOKUP("USD",'Exchange Rates'!B:C,2,0)))/S1272,"."),".")</f>
        <v>.</v>
      </c>
      <c r="AZ1272" s="182" t="str">
        <f>IF(AND(AD1272=1,D1272="Military",H1272&lt;&gt;"Not given")=TRUE,IF(SUMIFS(P:P,A:A,A1272)&gt;0,IF((ABS((SUMIFS(P:P,A:A,A1272)/VLOOKUP("USD",'Exchange Rates'!B:C,2,0)))/S1272)&gt;1,(SUMIFS(P:P,A:A,A1272)-S1272)/S1272,(S1272-SUMIFS(P:P,A:A,A1272))/SUMIFS(P:P,A:A,A1272)),"."),".")</f>
        <v>.</v>
      </c>
      <c r="BA1272" s="182"/>
      <c r="BB1272" s="182"/>
      <c r="BC1272" s="182"/>
      <c r="BD1272" s="182"/>
      <c r="BE1272" s="182"/>
      <c r="BF1272" s="182"/>
      <c r="BG1272" s="182"/>
      <c r="BH1272" s="182"/>
      <c r="BI1272" s="182"/>
      <c r="BJ1272" s="182"/>
      <c r="BK1272" s="182"/>
      <c r="BL1272" s="182"/>
      <c r="BM1272" s="182"/>
      <c r="BN1272" s="182"/>
      <c r="BO1272" s="182"/>
      <c r="BP1272" s="182"/>
      <c r="BQ1272" s="182"/>
      <c r="BR1272" s="182"/>
      <c r="BS1272" s="182"/>
    </row>
    <row r="1273" spans="1:71" ht="15.9" customHeight="1" x14ac:dyDescent="0.3">
      <c r="A1273" s="221" t="s">
        <v>3338</v>
      </c>
      <c r="B1273" s="19" t="s">
        <v>3038</v>
      </c>
      <c r="C1273" s="555">
        <v>44832</v>
      </c>
      <c r="D1273" s="19" t="s">
        <v>285</v>
      </c>
      <c r="E1273" s="19" t="s">
        <v>1328</v>
      </c>
      <c r="F1273" s="175" t="s">
        <v>3359</v>
      </c>
      <c r="G1273" s="15" t="s">
        <v>346</v>
      </c>
      <c r="H1273" s="200">
        <v>1100000000</v>
      </c>
      <c r="I1273" s="19" t="s">
        <v>3362</v>
      </c>
      <c r="J1273" s="113" t="str">
        <f>VLOOKUP($I1273,'Price List, Weapons &amp; Items'!B:C,2,0)</f>
        <v>Military equipment</v>
      </c>
      <c r="K1273" s="113" t="str">
        <f>IF(I1273=".",I1273,VLOOKUP($I1273,'Price List, Weapons &amp; Items'!B:D,3,0))</f>
        <v>Military equipment</v>
      </c>
      <c r="L1273" s="177">
        <f>VLOOKUP(I1273,'Price List, Weapons &amp; Items'!B:E,4,0)</f>
        <v>0</v>
      </c>
      <c r="M1273" s="247">
        <v>2</v>
      </c>
      <c r="N1273" s="542" t="s">
        <v>270</v>
      </c>
      <c r="O1273" s="543" t="str">
        <f>VLOOKUP($I1273,'Price List, Weapons &amp; Items'!B:G,6,0)</f>
        <v>.</v>
      </c>
      <c r="P1273" s="176" t="str">
        <f t="shared" si="302"/>
        <v>No price</v>
      </c>
      <c r="Q1273" s="176" t="str">
        <f t="shared" si="303"/>
        <v>.</v>
      </c>
      <c r="R1273" s="176" t="str">
        <f t="shared" si="304"/>
        <v/>
      </c>
      <c r="S1273" s="176" t="str">
        <f>IF(AND(AD1273=1,R1273&lt;&gt;".")=TRUE,R1273/VLOOKUP(G1273,'Exchange Rates'!B:C,2,0),IF(R1273=".",".",""))</f>
        <v/>
      </c>
      <c r="T1273" s="176" t="str">
        <f>IF(AD1273=1,IF(AF1273="Value is not given at all",".",IF(AF1273="Value is given by the source",S1273,IF(AF1273="Value is calculated with prices",(IF(SUMIFS(Q:Q,A:A,A1273)&gt;0,SUMIFS(Q:Q,A:A,A1273),"."))/VLOOKUP("USD",'Exchange Rates'!B:C,2,0),"Error with coding"))),"")</f>
        <v/>
      </c>
      <c r="U1273" s="15" t="s">
        <v>261</v>
      </c>
      <c r="V1273" s="304" t="s">
        <v>3360</v>
      </c>
      <c r="W1273" s="813" t="s">
        <v>3044</v>
      </c>
      <c r="X1273" s="810" t="s">
        <v>3047</v>
      </c>
      <c r="Y1273" s="811" t="s">
        <v>3130</v>
      </c>
      <c r="Z1273" s="15">
        <v>0</v>
      </c>
      <c r="AA1273" s="180">
        <v>0</v>
      </c>
      <c r="AB1273" s="17" t="s">
        <v>260</v>
      </c>
      <c r="AC1273" s="544" t="str">
        <f>""</f>
        <v/>
      </c>
      <c r="AD1273" s="183">
        <v>0</v>
      </c>
      <c r="AE1273" s="589" t="s">
        <v>264</v>
      </c>
      <c r="AF1273" s="183" t="s">
        <v>265</v>
      </c>
      <c r="AG1273" s="183">
        <v>1</v>
      </c>
      <c r="AH1273" s="181">
        <v>9</v>
      </c>
      <c r="AI1273" s="181">
        <v>0</v>
      </c>
      <c r="AJ1273" s="181">
        <f>VLOOKUP($I1273,'Price List, Weapons &amp; Items'!B:F,5,0)</f>
        <v>0</v>
      </c>
      <c r="AK1273" s="181">
        <f t="shared" si="278"/>
        <v>0</v>
      </c>
      <c r="AL1273" s="181">
        <f t="shared" si="279"/>
        <v>0</v>
      </c>
      <c r="AM1273" s="181">
        <f t="shared" si="280"/>
        <v>0</v>
      </c>
      <c r="AN1273" s="180" t="str">
        <f>VLOOKUP($I1273,'Price List, Weapons &amp; Items'!B:L,COLUMN('Price List, Weapons &amp; Items'!$J$11)-1,0)</f>
        <v>.</v>
      </c>
      <c r="AO1273" s="180" t="str">
        <f>IF(I1273=".",".",VLOOKUP($I1273,'Price List, Weapons &amp; Items'!B:J,3,0))</f>
        <v>Military equipment</v>
      </c>
      <c r="AP1273" s="545" t="str">
        <f t="shared" ca="1" si="301"/>
        <v/>
      </c>
      <c r="AQ1273" s="180">
        <f>VLOOKUP($I1273,'Price List, Weapons &amp; Items'!B:L,COLUMN('Price List, Weapons &amp; Items'!$L$11)-1,0)</f>
        <v>0</v>
      </c>
      <c r="AR1273" s="180">
        <f t="shared" si="281"/>
        <v>1</v>
      </c>
      <c r="AS1273" s="180">
        <f t="shared" si="282"/>
        <v>1</v>
      </c>
      <c r="AT1273" s="180">
        <f t="shared" si="290"/>
        <v>1</v>
      </c>
      <c r="AU1273" s="180" t="str">
        <f t="shared" si="291"/>
        <v>.</v>
      </c>
      <c r="AV1273" s="180" t="str">
        <f t="shared" si="292"/>
        <v>.</v>
      </c>
      <c r="AW1273" s="180">
        <f>IFERROR(VLOOKUP(B1273,'Share, Heavy Weapons to Ukraine'!B:J,COLUMN('Share, Heavy Weapons to Ukraine'!C1283)-1,0),0)</f>
        <v>1</v>
      </c>
      <c r="AX1273" s="180">
        <f>VLOOKUP('Bilateral Assistance, MAIN DATA'!B1273,'Country Summary'!B:F,COLUMN('Country Summary'!C1286)-1,FALSE)</f>
        <v>0</v>
      </c>
      <c r="AY1273" s="180" t="str">
        <f>IF(AND(AD1273=1,D1273="Military",H1273&lt;&gt;"Not given")=TRUE,IF(SUMIFS(P:P,A:A,A1273)&gt;0,ABS((SUMIFS(P:P,A:A,A1273)/VLOOKUP("USD",'Exchange Rates'!B:C,2,0)))/S1273,"."),".")</f>
        <v>.</v>
      </c>
      <c r="AZ1273" s="182" t="str">
        <f>IF(AND(AD1273=1,D1273="Military",H1273&lt;&gt;"Not given")=TRUE,IF(SUMIFS(P:P,A:A,A1273)&gt;0,IF((ABS((SUMIFS(P:P,A:A,A1273)/VLOOKUP("USD",'Exchange Rates'!B:C,2,0)))/S1273)&gt;1,(SUMIFS(P:P,A:A,A1273)-S1273)/S1273,(S1273-SUMIFS(P:P,A:A,A1273))/SUMIFS(P:P,A:A,A1273)),"."),".")</f>
        <v>.</v>
      </c>
      <c r="BA1273" s="182"/>
      <c r="BB1273" s="182"/>
      <c r="BC1273" s="182"/>
      <c r="BD1273" s="182"/>
      <c r="BE1273" s="182"/>
      <c r="BF1273" s="182"/>
      <c r="BG1273" s="182"/>
      <c r="BH1273" s="182"/>
      <c r="BI1273" s="182"/>
      <c r="BJ1273" s="182"/>
      <c r="BK1273" s="182"/>
      <c r="BL1273" s="182"/>
      <c r="BM1273" s="182"/>
      <c r="BN1273" s="182"/>
      <c r="BO1273" s="182"/>
      <c r="BP1273" s="182"/>
      <c r="BQ1273" s="182"/>
      <c r="BR1273" s="182"/>
      <c r="BS1273" s="182"/>
    </row>
    <row r="1274" spans="1:71" ht="15.9" customHeight="1" x14ac:dyDescent="0.3">
      <c r="A1274" s="221" t="s">
        <v>3338</v>
      </c>
      <c r="B1274" s="19" t="s">
        <v>3038</v>
      </c>
      <c r="C1274" s="555">
        <v>44832</v>
      </c>
      <c r="D1274" s="19" t="s">
        <v>285</v>
      </c>
      <c r="E1274" s="19" t="s">
        <v>1328</v>
      </c>
      <c r="F1274" s="175" t="s">
        <v>3359</v>
      </c>
      <c r="G1274" s="15" t="s">
        <v>346</v>
      </c>
      <c r="H1274" s="200">
        <v>1100000000</v>
      </c>
      <c r="I1274" s="19" t="s">
        <v>3363</v>
      </c>
      <c r="J1274" s="113" t="str">
        <f>VLOOKUP($I1274,'Price List, Weapons &amp; Items'!B:C,2,0)</f>
        <v>Military equipment</v>
      </c>
      <c r="K1274" s="113" t="str">
        <f>IF(I1274=".",I1274,VLOOKUP($I1274,'Price List, Weapons &amp; Items'!B:D,3,0))</f>
        <v>Military equipment</v>
      </c>
      <c r="L1274" s="177">
        <f>VLOOKUP(I1274,'Price List, Weapons &amp; Items'!B:E,4,0)</f>
        <v>0</v>
      </c>
      <c r="M1274" s="247">
        <v>20</v>
      </c>
      <c r="N1274" s="542" t="s">
        <v>270</v>
      </c>
      <c r="O1274" s="543">
        <f>VLOOKUP($I1274,'Price List, Weapons &amp; Items'!B:G,6,0)</f>
        <v>15625000</v>
      </c>
      <c r="P1274" s="176">
        <f t="shared" si="302"/>
        <v>312500000</v>
      </c>
      <c r="Q1274" s="176" t="str">
        <f t="shared" si="303"/>
        <v>.</v>
      </c>
      <c r="R1274" s="176" t="str">
        <f t="shared" si="304"/>
        <v/>
      </c>
      <c r="S1274" s="176" t="str">
        <f>IF(AND(AD1274=1,R1274&lt;&gt;".")=TRUE,R1274/VLOOKUP(G1274,'Exchange Rates'!B:C,2,0),IF(R1274=".",".",""))</f>
        <v/>
      </c>
      <c r="T1274" s="176" t="str">
        <f>IF(AD1274=1,IF(AF1274="Value is not given at all",".",IF(AF1274="Value is given by the source",S1274,IF(AF1274="Value is calculated with prices",(IF(SUMIFS(Q:Q,A:A,A1274)&gt;0,SUMIFS(Q:Q,A:A,A1274),"."))/VLOOKUP("USD",'Exchange Rates'!B:C,2,0),"Error with coding"))),"")</f>
        <v/>
      </c>
      <c r="U1274" s="15" t="s">
        <v>261</v>
      </c>
      <c r="V1274" s="304" t="s">
        <v>3360</v>
      </c>
      <c r="W1274" s="813" t="s">
        <v>3044</v>
      </c>
      <c r="X1274" s="810" t="s">
        <v>3047</v>
      </c>
      <c r="Y1274" s="811" t="s">
        <v>3132</v>
      </c>
      <c r="Z1274" s="15">
        <v>0</v>
      </c>
      <c r="AA1274" s="180">
        <v>0</v>
      </c>
      <c r="AB1274" s="17" t="s">
        <v>260</v>
      </c>
      <c r="AC1274" s="544" t="str">
        <f>""</f>
        <v/>
      </c>
      <c r="AD1274" s="183">
        <v>0</v>
      </c>
      <c r="AE1274" s="589" t="s">
        <v>264</v>
      </c>
      <c r="AF1274" s="183" t="s">
        <v>265</v>
      </c>
      <c r="AG1274" s="183">
        <v>1</v>
      </c>
      <c r="AH1274" s="181">
        <v>9</v>
      </c>
      <c r="AI1274" s="183">
        <v>0</v>
      </c>
      <c r="AJ1274" s="181">
        <f>VLOOKUP($I1274,'Price List, Weapons &amp; Items'!B:F,5,0)</f>
        <v>0</v>
      </c>
      <c r="AK1274" s="181">
        <f t="shared" si="278"/>
        <v>0</v>
      </c>
      <c r="AL1274" s="181">
        <f t="shared" si="279"/>
        <v>0</v>
      </c>
      <c r="AM1274" s="181">
        <f t="shared" si="280"/>
        <v>0</v>
      </c>
      <c r="AN1274" s="180" t="str">
        <f>VLOOKUP($I1274,'Price List, Weapons &amp; Items'!B:L,COLUMN('Price List, Weapons &amp; Items'!$J$11)-1,0)</f>
        <v>Contract</v>
      </c>
      <c r="AO1274" s="180" t="str">
        <f>IF(I1274=".",".",VLOOKUP($I1274,'Price List, Weapons &amp; Items'!B:J,3,0))</f>
        <v>Military equipment</v>
      </c>
      <c r="AP1274" s="545" t="str">
        <f t="shared" ca="1" si="301"/>
        <v/>
      </c>
      <c r="AQ1274" s="180">
        <f>VLOOKUP($I1274,'Price List, Weapons &amp; Items'!B:L,COLUMN('Price List, Weapons &amp; Items'!$L$11)-1,0)</f>
        <v>2</v>
      </c>
      <c r="AR1274" s="180">
        <f t="shared" si="281"/>
        <v>1</v>
      </c>
      <c r="AS1274" s="180">
        <f t="shared" si="282"/>
        <v>1</v>
      </c>
      <c r="AT1274" s="180">
        <f t="shared" si="290"/>
        <v>1</v>
      </c>
      <c r="AU1274" s="180" t="str">
        <f t="shared" si="291"/>
        <v>.</v>
      </c>
      <c r="AV1274" s="180" t="str">
        <f t="shared" si="292"/>
        <v>.</v>
      </c>
      <c r="AW1274" s="180">
        <f>IFERROR(VLOOKUP(B1274,'Share, Heavy Weapons to Ukraine'!B:J,COLUMN('Share, Heavy Weapons to Ukraine'!C1284)-1,0),0)</f>
        <v>1</v>
      </c>
      <c r="AX1274" s="180">
        <f>VLOOKUP('Bilateral Assistance, MAIN DATA'!B1274,'Country Summary'!B:F,COLUMN('Country Summary'!C1287)-1,FALSE)</f>
        <v>0</v>
      </c>
      <c r="AY1274" s="180" t="str">
        <f>IF(AND(AD1274=1,D1274="Military",H1274&lt;&gt;"Not given")=TRUE,IF(SUMIFS(P:P,A:A,A1274)&gt;0,ABS((SUMIFS(P:P,A:A,A1274)/VLOOKUP("USD",'Exchange Rates'!B:C,2,0)))/S1274,"."),".")</f>
        <v>.</v>
      </c>
      <c r="AZ1274" s="182" t="str">
        <f>IF(AND(AD1274=1,D1274="Military",H1274&lt;&gt;"Not given")=TRUE,IF(SUMIFS(P:P,A:A,A1274)&gt;0,IF((ABS((SUMIFS(P:P,A:A,A1274)/VLOOKUP("USD",'Exchange Rates'!B:C,2,0)))/S1274)&gt;1,(SUMIFS(P:P,A:A,A1274)-S1274)/S1274,(S1274-SUMIFS(P:P,A:A,A1274))/SUMIFS(P:P,A:A,A1274)),"."),".")</f>
        <v>.</v>
      </c>
      <c r="BA1274" s="182"/>
      <c r="BB1274" s="182"/>
      <c r="BC1274" s="182"/>
      <c r="BD1274" s="182"/>
      <c r="BE1274" s="182"/>
      <c r="BF1274" s="182"/>
      <c r="BG1274" s="182"/>
      <c r="BH1274" s="182"/>
      <c r="BI1274" s="182"/>
      <c r="BJ1274" s="182"/>
      <c r="BK1274" s="182"/>
      <c r="BL1274" s="182"/>
      <c r="BM1274" s="182"/>
      <c r="BN1274" s="182"/>
      <c r="BO1274" s="182"/>
      <c r="BP1274" s="182"/>
      <c r="BQ1274" s="182"/>
      <c r="BR1274" s="182"/>
      <c r="BS1274" s="182"/>
    </row>
    <row r="1275" spans="1:71" ht="15.9" customHeight="1" x14ac:dyDescent="0.3">
      <c r="A1275" s="221" t="s">
        <v>3338</v>
      </c>
      <c r="B1275" s="19" t="s">
        <v>3038</v>
      </c>
      <c r="C1275" s="555">
        <v>44832</v>
      </c>
      <c r="D1275" s="19" t="s">
        <v>285</v>
      </c>
      <c r="E1275" s="19" t="s">
        <v>1328</v>
      </c>
      <c r="F1275" s="175" t="s">
        <v>3359</v>
      </c>
      <c r="G1275" s="15" t="s">
        <v>346</v>
      </c>
      <c r="H1275" s="200">
        <v>1100000000</v>
      </c>
      <c r="I1275" s="19" t="s">
        <v>3291</v>
      </c>
      <c r="J1275" s="113" t="str">
        <f>VLOOKUP($I1275,'Price List, Weapons &amp; Items'!B:C,2,0)</f>
        <v>Aviation and drones</v>
      </c>
      <c r="K1275" s="113" t="str">
        <f>IF(I1275=".",I1275,VLOOKUP($I1275,'Price List, Weapons &amp; Items'!B:D,3,0))</f>
        <v>Drone</v>
      </c>
      <c r="L1275" s="177">
        <f>VLOOKUP(I1275,'Price List, Weapons &amp; Items'!B:E,4,0)</f>
        <v>0</v>
      </c>
      <c r="M1275" s="247" t="s">
        <v>270</v>
      </c>
      <c r="N1275" s="542" t="s">
        <v>270</v>
      </c>
      <c r="O1275" s="543">
        <f>VLOOKUP($I1275,'Price List, Weapons &amp; Items'!B:G,6,0)</f>
        <v>15000000</v>
      </c>
      <c r="P1275" s="176" t="str">
        <f t="shared" si="302"/>
        <v>.</v>
      </c>
      <c r="Q1275" s="176" t="str">
        <f t="shared" si="303"/>
        <v>.</v>
      </c>
      <c r="R1275" s="176" t="str">
        <f t="shared" si="304"/>
        <v/>
      </c>
      <c r="S1275" s="176" t="str">
        <f>IF(AND(AD1275=1,R1275&lt;&gt;".")=TRUE,R1275/VLOOKUP(G1275,'Exchange Rates'!B:C,2,0),IF(R1275=".",".",""))</f>
        <v/>
      </c>
      <c r="T1275" s="176" t="str">
        <f>IF(AD1275=1,IF(AF1275="Value is not given at all",".",IF(AF1275="Value is given by the source",S1275,IF(AF1275="Value is calculated with prices",(IF(SUMIFS(Q:Q,A:A,A1275)&gt;0,SUMIFS(Q:Q,A:A,A1275),"."))/VLOOKUP("USD",'Exchange Rates'!B:C,2,0),"Error with coding"))),"")</f>
        <v/>
      </c>
      <c r="U1275" s="15" t="s">
        <v>261</v>
      </c>
      <c r="V1275" s="304" t="s">
        <v>3360</v>
      </c>
      <c r="W1275" s="813" t="s">
        <v>3044</v>
      </c>
      <c r="X1275" s="810" t="s">
        <v>3047</v>
      </c>
      <c r="Y1275" s="811" t="s">
        <v>3135</v>
      </c>
      <c r="Z1275" s="15">
        <v>0</v>
      </c>
      <c r="AA1275" s="180">
        <v>0</v>
      </c>
      <c r="AB1275" s="17" t="s">
        <v>260</v>
      </c>
      <c r="AC1275" s="544" t="str">
        <f>""</f>
        <v/>
      </c>
      <c r="AD1275" s="183">
        <v>0</v>
      </c>
      <c r="AE1275" s="589" t="s">
        <v>264</v>
      </c>
      <c r="AF1275" s="183" t="s">
        <v>265</v>
      </c>
      <c r="AG1275" s="183">
        <v>1</v>
      </c>
      <c r="AH1275" s="181">
        <v>9</v>
      </c>
      <c r="AI1275" s="181">
        <v>0</v>
      </c>
      <c r="AJ1275" s="181">
        <f>VLOOKUP($I1275,'Price List, Weapons &amp; Items'!B:F,5,0)</f>
        <v>0</v>
      </c>
      <c r="AK1275" s="181">
        <f t="shared" ref="AK1275:AK1335" si="305">IF(AND(AJ1275=1,M1275="undisclosed")=TRUE,1,0)</f>
        <v>0</v>
      </c>
      <c r="AL1275" s="181">
        <f t="shared" ref="AL1275:AL1335" si="306">IF(AND(AJ1275=1,N1275="undisclosed")=TRUE,1,0)</f>
        <v>0</v>
      </c>
      <c r="AM1275" s="181">
        <f t="shared" ref="AM1275:AM1335" si="307">IFERROR(IF(SEARCH("ammuni",I1275,1)&gt;0,1,0),0)</f>
        <v>0</v>
      </c>
      <c r="AN1275" s="180" t="str">
        <f>VLOOKUP($I1275,'Price List, Weapons &amp; Items'!B:L,COLUMN('Price List, Weapons &amp; Items'!$J$11)-1,0)</f>
        <v>Miscellaneous</v>
      </c>
      <c r="AO1275" s="180" t="str">
        <f>IF(I1275=".",".",VLOOKUP($I1275,'Price List, Weapons &amp; Items'!B:J,3,0))</f>
        <v>Drone</v>
      </c>
      <c r="AP1275" s="545" t="str">
        <f t="shared" ca="1" si="301"/>
        <v/>
      </c>
      <c r="AQ1275" s="180" t="str">
        <f>VLOOKUP($I1275,'Price List, Weapons &amp; Items'!B:L,COLUMN('Price List, Weapons &amp; Items'!$L$11)-1,0)</f>
        <v>no price, 0 count</v>
      </c>
      <c r="AR1275" s="180">
        <f t="shared" ref="AR1275:AR1335" si="308">IF(U1275="Yes",1,0)</f>
        <v>1</v>
      </c>
      <c r="AS1275" s="180">
        <f t="shared" ref="AS1275:AS1335" si="309">IF(D1275="Military",IF(OR(IFERROR(SEARCH("equipment",E1275,1),0)&gt;0,IFERROR(SEARCH("weapons",E1275,1),0)&gt;0),1,0),0)</f>
        <v>1</v>
      </c>
      <c r="AT1275" s="180">
        <f t="shared" si="290"/>
        <v>1</v>
      </c>
      <c r="AU1275" s="180" t="str">
        <f t="shared" si="291"/>
        <v>.</v>
      </c>
      <c r="AV1275" s="180" t="str">
        <f t="shared" si="292"/>
        <v>.</v>
      </c>
      <c r="AW1275" s="180">
        <f>IFERROR(VLOOKUP(B1275,'Share, Heavy Weapons to Ukraine'!B:J,COLUMN('Share, Heavy Weapons to Ukraine'!C1285)-1,0),0)</f>
        <v>1</v>
      </c>
      <c r="AX1275" s="180">
        <f>VLOOKUP('Bilateral Assistance, MAIN DATA'!B1275,'Country Summary'!B:F,COLUMN('Country Summary'!C1288)-1,FALSE)</f>
        <v>0</v>
      </c>
      <c r="AY1275" s="180" t="str">
        <f>IF(AND(AD1275=1,D1275="Military",H1275&lt;&gt;"Not given")=TRUE,IF(SUMIFS(P:P,A:A,A1275)&gt;0,ABS((SUMIFS(P:P,A:A,A1275)/VLOOKUP("USD",'Exchange Rates'!B:C,2,0)))/S1275,"."),".")</f>
        <v>.</v>
      </c>
      <c r="AZ1275" s="182" t="str">
        <f>IF(AND(AD1275=1,D1275="Military",H1275&lt;&gt;"Not given")=TRUE,IF(SUMIFS(P:P,A:A,A1275)&gt;0,IF((ABS((SUMIFS(P:P,A:A,A1275)/VLOOKUP("USD",'Exchange Rates'!B:C,2,0)))/S1275)&gt;1,(SUMIFS(P:P,A:A,A1275)-S1275)/S1275,(S1275-SUMIFS(P:P,A:A,A1275))/SUMIFS(P:P,A:A,A1275)),"."),".")</f>
        <v>.</v>
      </c>
      <c r="BA1275" s="182"/>
      <c r="BB1275" s="182"/>
      <c r="BC1275" s="182"/>
      <c r="BD1275" s="182"/>
      <c r="BE1275" s="182"/>
      <c r="BF1275" s="182"/>
      <c r="BG1275" s="182"/>
      <c r="BH1275" s="182"/>
      <c r="BI1275" s="182"/>
      <c r="BJ1275" s="182"/>
      <c r="BK1275" s="182"/>
      <c r="BL1275" s="182"/>
      <c r="BM1275" s="182"/>
      <c r="BN1275" s="182"/>
      <c r="BO1275" s="182"/>
      <c r="BP1275" s="182"/>
      <c r="BQ1275" s="182"/>
      <c r="BR1275" s="182"/>
      <c r="BS1275" s="182"/>
    </row>
    <row r="1276" spans="1:71" ht="15.9" customHeight="1" x14ac:dyDescent="0.3">
      <c r="A1276" s="221" t="s">
        <v>3338</v>
      </c>
      <c r="B1276" s="19" t="s">
        <v>3038</v>
      </c>
      <c r="C1276" s="555">
        <v>44832</v>
      </c>
      <c r="D1276" s="19" t="s">
        <v>285</v>
      </c>
      <c r="E1276" s="19" t="s">
        <v>1328</v>
      </c>
      <c r="F1276" s="175" t="s">
        <v>3359</v>
      </c>
      <c r="G1276" s="15" t="s">
        <v>346</v>
      </c>
      <c r="H1276" s="200">
        <v>1100000000</v>
      </c>
      <c r="I1276" s="19" t="s">
        <v>3364</v>
      </c>
      <c r="J1276" s="113" t="str">
        <f>VLOOKUP($I1276,'Price List, Weapons &amp; Items'!B:C,2,0)</f>
        <v>Military equipment</v>
      </c>
      <c r="K1276" s="113" t="str">
        <f>IF(I1276=".",I1276,VLOOKUP($I1276,'Price List, Weapons &amp; Items'!B:D,3,0))</f>
        <v>Military equipment</v>
      </c>
      <c r="L1276" s="177">
        <f>VLOOKUP(I1276,'Price List, Weapons &amp; Items'!B:E,4,0)</f>
        <v>0</v>
      </c>
      <c r="M1276" s="247" t="s">
        <v>270</v>
      </c>
      <c r="N1276" s="542" t="s">
        <v>270</v>
      </c>
      <c r="O1276" s="543" t="str">
        <f>VLOOKUP($I1276,'Price List, Weapons &amp; Items'!B:G,6,0)</f>
        <v>.</v>
      </c>
      <c r="P1276" s="176" t="str">
        <f t="shared" si="302"/>
        <v>.</v>
      </c>
      <c r="Q1276" s="176" t="str">
        <f t="shared" si="303"/>
        <v>.</v>
      </c>
      <c r="R1276" s="176" t="str">
        <f t="shared" si="304"/>
        <v/>
      </c>
      <c r="S1276" s="176" t="str">
        <f>IF(AND(AD1276=1,R1276&lt;&gt;".")=TRUE,R1276/VLOOKUP(G1276,'Exchange Rates'!B:C,2,0),IF(R1276=".",".",""))</f>
        <v/>
      </c>
      <c r="T1276" s="176" t="str">
        <f>IF(AD1276=1,IF(AF1276="Value is not given at all",".",IF(AF1276="Value is given by the source",S1276,IF(AF1276="Value is calculated with prices",(IF(SUMIFS(Q:Q,A:A,A1276)&gt;0,SUMIFS(Q:Q,A:A,A1276),"."))/VLOOKUP("USD",'Exchange Rates'!B:C,2,0),"Error with coding"))),"")</f>
        <v/>
      </c>
      <c r="U1276" s="15" t="s">
        <v>261</v>
      </c>
      <c r="V1276" s="304" t="s">
        <v>3360</v>
      </c>
      <c r="W1276" s="813" t="s">
        <v>3044</v>
      </c>
      <c r="X1276" s="810" t="s">
        <v>3047</v>
      </c>
      <c r="Y1276" s="811" t="s">
        <v>3136</v>
      </c>
      <c r="Z1276" s="15">
        <v>0</v>
      </c>
      <c r="AA1276" s="180">
        <v>0</v>
      </c>
      <c r="AB1276" s="17" t="s">
        <v>260</v>
      </c>
      <c r="AC1276" s="544" t="str">
        <f>""</f>
        <v/>
      </c>
      <c r="AD1276" s="183">
        <v>0</v>
      </c>
      <c r="AE1276" s="589" t="s">
        <v>264</v>
      </c>
      <c r="AF1276" s="183" t="s">
        <v>265</v>
      </c>
      <c r="AG1276" s="183">
        <v>1</v>
      </c>
      <c r="AH1276" s="181">
        <v>9</v>
      </c>
      <c r="AI1276" s="183">
        <v>0</v>
      </c>
      <c r="AJ1276" s="181">
        <f>VLOOKUP($I1276,'Price List, Weapons &amp; Items'!B:F,5,0)</f>
        <v>0</v>
      </c>
      <c r="AK1276" s="181">
        <f t="shared" si="305"/>
        <v>0</v>
      </c>
      <c r="AL1276" s="181">
        <f t="shared" si="306"/>
        <v>0</v>
      </c>
      <c r="AM1276" s="181">
        <f t="shared" si="307"/>
        <v>0</v>
      </c>
      <c r="AN1276" s="180" t="str">
        <f>VLOOKUP($I1276,'Price List, Weapons &amp; Items'!B:L,COLUMN('Price List, Weapons &amp; Items'!$J$11)-1,0)</f>
        <v>.</v>
      </c>
      <c r="AO1276" s="180" t="str">
        <f>IF(I1276=".",".",VLOOKUP($I1276,'Price List, Weapons &amp; Items'!B:J,3,0))</f>
        <v>Military equipment</v>
      </c>
      <c r="AP1276" s="545" t="str">
        <f t="shared" ca="1" si="301"/>
        <v/>
      </c>
      <c r="AQ1276" s="180" t="str">
        <f>VLOOKUP($I1276,'Price List, Weapons &amp; Items'!B:L,COLUMN('Price List, Weapons &amp; Items'!$L$11)-1,0)</f>
        <v>no price, 0 count</v>
      </c>
      <c r="AR1276" s="180">
        <f t="shared" si="308"/>
        <v>1</v>
      </c>
      <c r="AS1276" s="180">
        <f t="shared" si="309"/>
        <v>1</v>
      </c>
      <c r="AT1276" s="180">
        <f t="shared" si="290"/>
        <v>1</v>
      </c>
      <c r="AU1276" s="180" t="str">
        <f t="shared" si="291"/>
        <v>.</v>
      </c>
      <c r="AV1276" s="180" t="str">
        <f t="shared" si="292"/>
        <v>.</v>
      </c>
      <c r="AW1276" s="180">
        <f>IFERROR(VLOOKUP(B1276,'Share, Heavy Weapons to Ukraine'!B:J,COLUMN('Share, Heavy Weapons to Ukraine'!C1286)-1,0),0)</f>
        <v>1</v>
      </c>
      <c r="AX1276" s="180">
        <f>VLOOKUP('Bilateral Assistance, MAIN DATA'!B1276,'Country Summary'!B:F,COLUMN('Country Summary'!C1289)-1,FALSE)</f>
        <v>0</v>
      </c>
      <c r="AY1276" s="180" t="str">
        <f>IF(AND(AD1276=1,D1276="Military",H1276&lt;&gt;"Not given")=TRUE,IF(SUMIFS(P:P,A:A,A1276)&gt;0,ABS((SUMIFS(P:P,A:A,A1276)/VLOOKUP("USD",'Exchange Rates'!B:C,2,0)))/S1276,"."),".")</f>
        <v>.</v>
      </c>
      <c r="AZ1276" s="182" t="str">
        <f>IF(AND(AD1276=1,D1276="Military",H1276&lt;&gt;"Not given")=TRUE,IF(SUMIFS(P:P,A:A,A1276)&gt;0,IF((ABS((SUMIFS(P:P,A:A,A1276)/VLOOKUP("USD",'Exchange Rates'!B:C,2,0)))/S1276)&gt;1,(SUMIFS(P:P,A:A,A1276)-S1276)/S1276,(S1276-SUMIFS(P:P,A:A,A1276))/SUMIFS(P:P,A:A,A1276)),"."),".")</f>
        <v>.</v>
      </c>
      <c r="BA1276" s="182"/>
      <c r="BB1276" s="182"/>
      <c r="BC1276" s="182"/>
      <c r="BD1276" s="182"/>
      <c r="BE1276" s="182"/>
      <c r="BF1276" s="182"/>
      <c r="BG1276" s="182"/>
      <c r="BH1276" s="182"/>
      <c r="BI1276" s="182"/>
      <c r="BJ1276" s="182"/>
      <c r="BK1276" s="182"/>
      <c r="BL1276" s="182"/>
      <c r="BM1276" s="182"/>
      <c r="BN1276" s="182"/>
      <c r="BO1276" s="182"/>
      <c r="BP1276" s="182"/>
      <c r="BQ1276" s="182"/>
      <c r="BR1276" s="182"/>
      <c r="BS1276" s="182"/>
    </row>
    <row r="1277" spans="1:71" ht="15.9" customHeight="1" x14ac:dyDescent="0.3">
      <c r="A1277" s="221" t="s">
        <v>3338</v>
      </c>
      <c r="B1277" s="19" t="s">
        <v>3038</v>
      </c>
      <c r="C1277" s="555">
        <v>44832</v>
      </c>
      <c r="D1277" s="19" t="s">
        <v>285</v>
      </c>
      <c r="E1277" s="19" t="s">
        <v>1328</v>
      </c>
      <c r="F1277" s="175" t="s">
        <v>3359</v>
      </c>
      <c r="G1277" s="15" t="s">
        <v>346</v>
      </c>
      <c r="H1277" s="200">
        <v>1100000000</v>
      </c>
      <c r="I1277" s="19" t="s">
        <v>3365</v>
      </c>
      <c r="J1277" s="113" t="str">
        <f>VLOOKUP($I1277,'Price List, Weapons &amp; Items'!B:C,2,0)</f>
        <v>Military equipment</v>
      </c>
      <c r="K1277" s="113" t="str">
        <f>IF(I1277=".",I1277,VLOOKUP($I1277,'Price List, Weapons &amp; Items'!B:D,3,0))</f>
        <v>Military equipment</v>
      </c>
      <c r="L1277" s="177">
        <f>VLOOKUP(I1277,'Price List, Weapons &amp; Items'!B:E,4,0)</f>
        <v>0</v>
      </c>
      <c r="M1277" s="247" t="s">
        <v>270</v>
      </c>
      <c r="N1277" s="542" t="s">
        <v>270</v>
      </c>
      <c r="O1277" s="543" t="str">
        <f>VLOOKUP($I1277,'Price List, Weapons &amp; Items'!B:G,6,0)</f>
        <v>.</v>
      </c>
      <c r="P1277" s="176" t="str">
        <f t="shared" si="302"/>
        <v>.</v>
      </c>
      <c r="Q1277" s="176" t="str">
        <f t="shared" si="303"/>
        <v>.</v>
      </c>
      <c r="R1277" s="176" t="str">
        <f t="shared" si="304"/>
        <v/>
      </c>
      <c r="S1277" s="176" t="str">
        <f>IF(AND(AD1277=1,R1277&lt;&gt;".")=TRUE,R1277/VLOOKUP(G1277,'Exchange Rates'!B:C,2,0),IF(R1277=".",".",""))</f>
        <v/>
      </c>
      <c r="T1277" s="176" t="str">
        <f>IF(AD1277=1,IF(AF1277="Value is not given at all",".",IF(AF1277="Value is given by the source",S1277,IF(AF1277="Value is calculated with prices",(IF(SUMIFS(Q:Q,A:A,A1277)&gt;0,SUMIFS(Q:Q,A:A,A1277),"."))/VLOOKUP("USD",'Exchange Rates'!B:C,2,0),"Error with coding"))),"")</f>
        <v/>
      </c>
      <c r="U1277" s="15" t="s">
        <v>261</v>
      </c>
      <c r="V1277" s="304" t="s">
        <v>3360</v>
      </c>
      <c r="W1277" s="813" t="s">
        <v>3044</v>
      </c>
      <c r="X1277" s="810" t="s">
        <v>3047</v>
      </c>
      <c r="Y1277" s="811" t="s">
        <v>3138</v>
      </c>
      <c r="Z1277" s="15">
        <v>0</v>
      </c>
      <c r="AA1277" s="180">
        <v>0</v>
      </c>
      <c r="AB1277" s="17" t="s">
        <v>260</v>
      </c>
      <c r="AC1277" s="544" t="str">
        <f>""</f>
        <v/>
      </c>
      <c r="AD1277" s="183">
        <v>0</v>
      </c>
      <c r="AE1277" s="589" t="s">
        <v>264</v>
      </c>
      <c r="AF1277" s="183" t="s">
        <v>265</v>
      </c>
      <c r="AG1277" s="183">
        <v>1</v>
      </c>
      <c r="AH1277" s="181">
        <v>9</v>
      </c>
      <c r="AI1277" s="181">
        <v>0</v>
      </c>
      <c r="AJ1277" s="181">
        <f>VLOOKUP($I1277,'Price List, Weapons &amp; Items'!B:F,5,0)</f>
        <v>0</v>
      </c>
      <c r="AK1277" s="181">
        <f t="shared" si="305"/>
        <v>0</v>
      </c>
      <c r="AL1277" s="181">
        <f t="shared" si="306"/>
        <v>0</v>
      </c>
      <c r="AM1277" s="181">
        <f t="shared" si="307"/>
        <v>0</v>
      </c>
      <c r="AN1277" s="180" t="str">
        <f>VLOOKUP($I1277,'Price List, Weapons &amp; Items'!B:L,COLUMN('Price List, Weapons &amp; Items'!$J$11)-1,0)</f>
        <v>.</v>
      </c>
      <c r="AO1277" s="180" t="str">
        <f>IF(I1277=".",".",VLOOKUP($I1277,'Price List, Weapons &amp; Items'!B:J,3,0))</f>
        <v>Military equipment</v>
      </c>
      <c r="AP1277" s="545" t="str">
        <f t="shared" ca="1" si="301"/>
        <v/>
      </c>
      <c r="AQ1277" s="180" t="str">
        <f>VLOOKUP($I1277,'Price List, Weapons &amp; Items'!B:L,COLUMN('Price List, Weapons &amp; Items'!$L$11)-1,0)</f>
        <v>no price, 0 count</v>
      </c>
      <c r="AR1277" s="180">
        <f t="shared" si="308"/>
        <v>1</v>
      </c>
      <c r="AS1277" s="180">
        <f t="shared" si="309"/>
        <v>1</v>
      </c>
      <c r="AT1277" s="180">
        <f t="shared" si="290"/>
        <v>1</v>
      </c>
      <c r="AU1277" s="180" t="str">
        <f t="shared" si="291"/>
        <v>.</v>
      </c>
      <c r="AV1277" s="180" t="str">
        <f t="shared" si="292"/>
        <v>.</v>
      </c>
      <c r="AW1277" s="180">
        <f>IFERROR(VLOOKUP(B1277,'Share, Heavy Weapons to Ukraine'!B:J,COLUMN('Share, Heavy Weapons to Ukraine'!C1287)-1,0),0)</f>
        <v>1</v>
      </c>
      <c r="AX1277" s="180">
        <f>VLOOKUP('Bilateral Assistance, MAIN DATA'!B1277,'Country Summary'!B:F,COLUMN('Country Summary'!C1290)-1,FALSE)</f>
        <v>0</v>
      </c>
      <c r="AY1277" s="180" t="str">
        <f>IF(AND(AD1277=1,D1277="Military",H1277&lt;&gt;"Not given")=TRUE,IF(SUMIFS(P:P,A:A,A1277)&gt;0,ABS((SUMIFS(P:P,A:A,A1277)/VLOOKUP("USD",'Exchange Rates'!B:C,2,0)))/S1277,"."),".")</f>
        <v>.</v>
      </c>
      <c r="AZ1277" s="182" t="str">
        <f>IF(AND(AD1277=1,D1277="Military",H1277&lt;&gt;"Not given")=TRUE,IF(SUMIFS(P:P,A:A,A1277)&gt;0,IF((ABS((SUMIFS(P:P,A:A,A1277)/VLOOKUP("USD",'Exchange Rates'!B:C,2,0)))/S1277)&gt;1,(SUMIFS(P:P,A:A,A1277)-S1277)/S1277,(S1277-SUMIFS(P:P,A:A,A1277))/SUMIFS(P:P,A:A,A1277)),"."),".")</f>
        <v>.</v>
      </c>
      <c r="BA1277" s="182"/>
      <c r="BB1277" s="182"/>
      <c r="BC1277" s="182"/>
      <c r="BD1277" s="182"/>
      <c r="BE1277" s="182"/>
      <c r="BF1277" s="182"/>
      <c r="BG1277" s="182"/>
      <c r="BH1277" s="182"/>
      <c r="BI1277" s="182"/>
      <c r="BJ1277" s="182"/>
      <c r="BK1277" s="182"/>
      <c r="BL1277" s="182"/>
      <c r="BM1277" s="182"/>
      <c r="BN1277" s="182"/>
      <c r="BO1277" s="182"/>
      <c r="BP1277" s="182"/>
      <c r="BQ1277" s="182"/>
      <c r="BR1277" s="182"/>
      <c r="BS1277" s="182"/>
    </row>
    <row r="1278" spans="1:71" ht="15.9" customHeight="1" x14ac:dyDescent="0.3">
      <c r="A1278" s="221" t="s">
        <v>3338</v>
      </c>
      <c r="B1278" s="19" t="s">
        <v>3038</v>
      </c>
      <c r="C1278" s="555">
        <v>44832</v>
      </c>
      <c r="D1278" s="19" t="s">
        <v>285</v>
      </c>
      <c r="E1278" s="19" t="s">
        <v>1328</v>
      </c>
      <c r="F1278" s="175" t="s">
        <v>3359</v>
      </c>
      <c r="G1278" s="15" t="s">
        <v>346</v>
      </c>
      <c r="H1278" s="200">
        <v>1100000000</v>
      </c>
      <c r="I1278" s="19" t="s">
        <v>3366</v>
      </c>
      <c r="J1278" s="113" t="str">
        <f>VLOOKUP($I1278,'Price List, Weapons &amp; Items'!B:C,2,0)</f>
        <v>Military equipment</v>
      </c>
      <c r="K1278" s="113" t="str">
        <f>IF(I1278=".",I1278,VLOOKUP($I1278,'Price List, Weapons &amp; Items'!B:D,3,0))</f>
        <v>Military equipment</v>
      </c>
      <c r="L1278" s="177">
        <f>VLOOKUP(I1278,'Price List, Weapons &amp; Items'!B:E,4,0)</f>
        <v>0</v>
      </c>
      <c r="M1278" s="247" t="s">
        <v>270</v>
      </c>
      <c r="N1278" s="542" t="s">
        <v>270</v>
      </c>
      <c r="O1278" s="543" t="str">
        <f>VLOOKUP($I1278,'Price List, Weapons &amp; Items'!B:G,6,0)</f>
        <v>.</v>
      </c>
      <c r="P1278" s="176" t="str">
        <f t="shared" si="302"/>
        <v>.</v>
      </c>
      <c r="Q1278" s="176" t="str">
        <f t="shared" si="303"/>
        <v>.</v>
      </c>
      <c r="R1278" s="176" t="str">
        <f t="shared" si="304"/>
        <v/>
      </c>
      <c r="S1278" s="176" t="str">
        <f>IF(AND(AD1278=1,R1278&lt;&gt;".")=TRUE,R1278/VLOOKUP(G1278,'Exchange Rates'!B:C,2,0),IF(R1278=".",".",""))</f>
        <v/>
      </c>
      <c r="T1278" s="176" t="str">
        <f>IF(AD1278=1,IF(AF1278="Value is not given at all",".",IF(AF1278="Value is given by the source",S1278,IF(AF1278="Value is calculated with prices",(IF(SUMIFS(Q:Q,A:A,A1278)&gt;0,SUMIFS(Q:Q,A:A,A1278),"."))/VLOOKUP("USD",'Exchange Rates'!B:C,2,0),"Error with coding"))),"")</f>
        <v/>
      </c>
      <c r="U1278" s="15" t="s">
        <v>261</v>
      </c>
      <c r="V1278" s="304" t="s">
        <v>3360</v>
      </c>
      <c r="W1278" s="813" t="s">
        <v>3044</v>
      </c>
      <c r="X1278" s="810" t="s">
        <v>3047</v>
      </c>
      <c r="Y1278" s="811" t="s">
        <v>3139</v>
      </c>
      <c r="Z1278" s="15">
        <v>0</v>
      </c>
      <c r="AA1278" s="180">
        <v>0</v>
      </c>
      <c r="AB1278" s="17" t="s">
        <v>260</v>
      </c>
      <c r="AC1278" s="544" t="str">
        <f>""</f>
        <v/>
      </c>
      <c r="AD1278" s="183">
        <v>0</v>
      </c>
      <c r="AE1278" s="589" t="s">
        <v>264</v>
      </c>
      <c r="AF1278" s="183" t="s">
        <v>265</v>
      </c>
      <c r="AG1278" s="183">
        <v>1</v>
      </c>
      <c r="AH1278" s="181">
        <v>9</v>
      </c>
      <c r="AI1278" s="183">
        <v>0</v>
      </c>
      <c r="AJ1278" s="181">
        <f>VLOOKUP($I1278,'Price List, Weapons &amp; Items'!B:F,5,0)</f>
        <v>0</v>
      </c>
      <c r="AK1278" s="181">
        <f t="shared" si="305"/>
        <v>0</v>
      </c>
      <c r="AL1278" s="181">
        <f t="shared" si="306"/>
        <v>0</v>
      </c>
      <c r="AM1278" s="181">
        <f t="shared" si="307"/>
        <v>0</v>
      </c>
      <c r="AN1278" s="180" t="str">
        <f>VLOOKUP($I1278,'Price List, Weapons &amp; Items'!B:L,COLUMN('Price List, Weapons &amp; Items'!$J$11)-1,0)</f>
        <v>.</v>
      </c>
      <c r="AO1278" s="180" t="str">
        <f>IF(I1278=".",".",VLOOKUP($I1278,'Price List, Weapons &amp; Items'!B:J,3,0))</f>
        <v>Military equipment</v>
      </c>
      <c r="AP1278" s="545" t="str">
        <f t="shared" ca="1" si="301"/>
        <v/>
      </c>
      <c r="AQ1278" s="180" t="str">
        <f>VLOOKUP($I1278,'Price List, Weapons &amp; Items'!B:L,COLUMN('Price List, Weapons &amp; Items'!$L$11)-1,0)</f>
        <v>no price, 0 count</v>
      </c>
      <c r="AR1278" s="180">
        <f t="shared" si="308"/>
        <v>1</v>
      </c>
      <c r="AS1278" s="180">
        <f t="shared" si="309"/>
        <v>1</v>
      </c>
      <c r="AT1278" s="180">
        <f t="shared" si="290"/>
        <v>1</v>
      </c>
      <c r="AU1278" s="180" t="str">
        <f t="shared" si="291"/>
        <v>.</v>
      </c>
      <c r="AV1278" s="180" t="str">
        <f t="shared" si="292"/>
        <v>.</v>
      </c>
      <c r="AW1278" s="180">
        <f>IFERROR(VLOOKUP(B1278,'Share, Heavy Weapons to Ukraine'!B:J,COLUMN('Share, Heavy Weapons to Ukraine'!C1288)-1,0),0)</f>
        <v>1</v>
      </c>
      <c r="AX1278" s="180">
        <f>VLOOKUP('Bilateral Assistance, MAIN DATA'!B1278,'Country Summary'!B:F,COLUMN('Country Summary'!C1291)-1,FALSE)</f>
        <v>0</v>
      </c>
      <c r="AY1278" s="180" t="str">
        <f>IF(AND(AD1278=1,D1278="Military",H1278&lt;&gt;"Not given")=TRUE,IF(SUMIFS(P:P,A:A,A1278)&gt;0,ABS((SUMIFS(P:P,A:A,A1278)/VLOOKUP("USD",'Exchange Rates'!B:C,2,0)))/S1278,"."),".")</f>
        <v>.</v>
      </c>
      <c r="AZ1278" s="182" t="str">
        <f>IF(AND(AD1278=1,D1278="Military",H1278&lt;&gt;"Not given")=TRUE,IF(SUMIFS(P:P,A:A,A1278)&gt;0,IF((ABS((SUMIFS(P:P,A:A,A1278)/VLOOKUP("USD",'Exchange Rates'!B:C,2,0)))/S1278)&gt;1,(SUMIFS(P:P,A:A,A1278)-S1278)/S1278,(S1278-SUMIFS(P:P,A:A,A1278))/SUMIFS(P:P,A:A,A1278)),"."),".")</f>
        <v>.</v>
      </c>
      <c r="BA1278" s="182"/>
      <c r="BB1278" s="182"/>
      <c r="BC1278" s="182"/>
      <c r="BD1278" s="182"/>
      <c r="BE1278" s="182"/>
      <c r="BF1278" s="182"/>
      <c r="BG1278" s="182"/>
      <c r="BH1278" s="182"/>
      <c r="BI1278" s="182"/>
      <c r="BJ1278" s="182"/>
      <c r="BK1278" s="182"/>
      <c r="BL1278" s="182"/>
      <c r="BM1278" s="182"/>
      <c r="BN1278" s="182"/>
      <c r="BO1278" s="182"/>
      <c r="BP1278" s="182"/>
      <c r="BQ1278" s="182"/>
      <c r="BR1278" s="182"/>
      <c r="BS1278" s="182"/>
    </row>
    <row r="1279" spans="1:71" ht="15.9" customHeight="1" x14ac:dyDescent="0.3">
      <c r="A1279" s="221" t="s">
        <v>3338</v>
      </c>
      <c r="B1279" s="19" t="s">
        <v>3038</v>
      </c>
      <c r="C1279" s="555">
        <v>44832</v>
      </c>
      <c r="D1279" s="19" t="s">
        <v>285</v>
      </c>
      <c r="E1279" s="19" t="s">
        <v>1328</v>
      </c>
      <c r="F1279" s="175" t="s">
        <v>3359</v>
      </c>
      <c r="G1279" s="15" t="s">
        <v>346</v>
      </c>
      <c r="H1279" s="200">
        <v>1100000000</v>
      </c>
      <c r="I1279" s="19" t="s">
        <v>3279</v>
      </c>
      <c r="J1279" s="113" t="str">
        <f>VLOOKUP($I1279,'Price List, Weapons &amp; Items'!B:C,2,0)</f>
        <v>Military equipment</v>
      </c>
      <c r="K1279" s="113" t="str">
        <f>IF(I1279=".",I1279,VLOOKUP($I1279,'Price List, Weapons &amp; Items'!B:D,3,0))</f>
        <v>Military equipment</v>
      </c>
      <c r="L1279" s="177">
        <f>VLOOKUP(I1279,'Price List, Weapons &amp; Items'!B:E,4,0)</f>
        <v>0</v>
      </c>
      <c r="M1279" s="247" t="s">
        <v>270</v>
      </c>
      <c r="N1279" s="542" t="s">
        <v>270</v>
      </c>
      <c r="O1279" s="543" t="str">
        <f>VLOOKUP($I1279,'Price List, Weapons &amp; Items'!B:G,6,0)</f>
        <v>.</v>
      </c>
      <c r="P1279" s="176" t="str">
        <f t="shared" si="302"/>
        <v>.</v>
      </c>
      <c r="Q1279" s="176" t="str">
        <f t="shared" si="303"/>
        <v>.</v>
      </c>
      <c r="R1279" s="176" t="str">
        <f t="shared" si="304"/>
        <v/>
      </c>
      <c r="S1279" s="176" t="str">
        <f>IF(AND(AD1279=1,R1279&lt;&gt;".")=TRUE,R1279/VLOOKUP(G1279,'Exchange Rates'!B:C,2,0),IF(R1279=".",".",""))</f>
        <v/>
      </c>
      <c r="T1279" s="176" t="str">
        <f>IF(AD1279=1,IF(AF1279="Value is not given at all",".",IF(AF1279="Value is given by the source",S1279,IF(AF1279="Value is calculated with prices",(IF(SUMIFS(Q:Q,A:A,A1279)&gt;0,SUMIFS(Q:Q,A:A,A1279),"."))/VLOOKUP("USD",'Exchange Rates'!B:C,2,0),"Error with coding"))),"")</f>
        <v/>
      </c>
      <c r="U1279" s="15" t="s">
        <v>261</v>
      </c>
      <c r="V1279" s="304" t="s">
        <v>3360</v>
      </c>
      <c r="W1279" s="813" t="s">
        <v>3044</v>
      </c>
      <c r="X1279" s="810" t="s">
        <v>3047</v>
      </c>
      <c r="Y1279" s="811" t="s">
        <v>3141</v>
      </c>
      <c r="Z1279" s="15">
        <v>0</v>
      </c>
      <c r="AA1279" s="180">
        <v>0</v>
      </c>
      <c r="AB1279" s="17" t="s">
        <v>260</v>
      </c>
      <c r="AC1279" s="544" t="str">
        <f>""</f>
        <v/>
      </c>
      <c r="AD1279" s="183">
        <v>0</v>
      </c>
      <c r="AE1279" s="589" t="s">
        <v>264</v>
      </c>
      <c r="AF1279" s="183" t="s">
        <v>265</v>
      </c>
      <c r="AG1279" s="183">
        <v>1</v>
      </c>
      <c r="AH1279" s="181">
        <v>9</v>
      </c>
      <c r="AI1279" s="181">
        <v>0</v>
      </c>
      <c r="AJ1279" s="181">
        <f>VLOOKUP($I1279,'Price List, Weapons &amp; Items'!B:F,5,0)</f>
        <v>0</v>
      </c>
      <c r="AK1279" s="181">
        <f t="shared" si="305"/>
        <v>0</v>
      </c>
      <c r="AL1279" s="181">
        <f t="shared" si="306"/>
        <v>0</v>
      </c>
      <c r="AM1279" s="181">
        <f t="shared" si="307"/>
        <v>0</v>
      </c>
      <c r="AN1279" s="180" t="str">
        <f>VLOOKUP($I1279,'Price List, Weapons &amp; Items'!B:L,COLUMN('Price List, Weapons &amp; Items'!$J$11)-1,0)</f>
        <v>.</v>
      </c>
      <c r="AO1279" s="180" t="str">
        <f>IF(I1279=".",".",VLOOKUP($I1279,'Price List, Weapons &amp; Items'!B:J,3,0))</f>
        <v>Military equipment</v>
      </c>
      <c r="AP1279" s="545" t="str">
        <f t="shared" ca="1" si="301"/>
        <v/>
      </c>
      <c r="AQ1279" s="180" t="str">
        <f>VLOOKUP($I1279,'Price List, Weapons &amp; Items'!B:L,COLUMN('Price List, Weapons &amp; Items'!$L$11)-1,0)</f>
        <v>no price, 0 count</v>
      </c>
      <c r="AR1279" s="180">
        <f t="shared" si="308"/>
        <v>1</v>
      </c>
      <c r="AS1279" s="180">
        <f t="shared" si="309"/>
        <v>1</v>
      </c>
      <c r="AT1279" s="180">
        <f t="shared" si="290"/>
        <v>1</v>
      </c>
      <c r="AU1279" s="180" t="str">
        <f t="shared" si="291"/>
        <v>.</v>
      </c>
      <c r="AV1279" s="180" t="str">
        <f t="shared" si="292"/>
        <v>.</v>
      </c>
      <c r="AW1279" s="180">
        <f>IFERROR(VLOOKUP(B1279,'Share, Heavy Weapons to Ukraine'!B:J,COLUMN('Share, Heavy Weapons to Ukraine'!C1289)-1,0),0)</f>
        <v>1</v>
      </c>
      <c r="AX1279" s="180">
        <f>VLOOKUP('Bilateral Assistance, MAIN DATA'!B1279,'Country Summary'!B:F,COLUMN('Country Summary'!C1292)-1,FALSE)</f>
        <v>0</v>
      </c>
      <c r="AY1279" s="180" t="str">
        <f>IF(AND(AD1279=1,D1279="Military",H1279&lt;&gt;"Not given")=TRUE,IF(SUMIFS(P:P,A:A,A1279)&gt;0,ABS((SUMIFS(P:P,A:A,A1279)/VLOOKUP("USD",'Exchange Rates'!B:C,2,0)))/S1279,"."),".")</f>
        <v>.</v>
      </c>
      <c r="AZ1279" s="182" t="str">
        <f>IF(AND(AD1279=1,D1279="Military",H1279&lt;&gt;"Not given")=TRUE,IF(SUMIFS(P:P,A:A,A1279)&gt;0,IF((ABS((SUMIFS(P:P,A:A,A1279)/VLOOKUP("USD",'Exchange Rates'!B:C,2,0)))/S1279)&gt;1,(SUMIFS(P:P,A:A,A1279)-S1279)/S1279,(S1279-SUMIFS(P:P,A:A,A1279))/SUMIFS(P:P,A:A,A1279)),"."),".")</f>
        <v>.</v>
      </c>
      <c r="BA1279" s="182"/>
      <c r="BB1279" s="182"/>
      <c r="BC1279" s="182"/>
      <c r="BD1279" s="182"/>
      <c r="BE1279" s="182"/>
      <c r="BF1279" s="182"/>
      <c r="BG1279" s="182"/>
      <c r="BH1279" s="182"/>
      <c r="BI1279" s="182"/>
      <c r="BJ1279" s="182"/>
      <c r="BK1279" s="182"/>
      <c r="BL1279" s="182"/>
      <c r="BM1279" s="182"/>
      <c r="BN1279" s="182"/>
      <c r="BO1279" s="182"/>
      <c r="BP1279" s="182"/>
      <c r="BQ1279" s="182"/>
      <c r="BR1279" s="182"/>
      <c r="BS1279" s="182"/>
    </row>
    <row r="1280" spans="1:71" ht="15.9" customHeight="1" x14ac:dyDescent="0.3">
      <c r="A1280" s="221" t="s">
        <v>3338</v>
      </c>
      <c r="B1280" s="19" t="s">
        <v>3038</v>
      </c>
      <c r="C1280" s="555">
        <v>44869</v>
      </c>
      <c r="D1280" s="19" t="s">
        <v>285</v>
      </c>
      <c r="E1280" s="19" t="s">
        <v>286</v>
      </c>
      <c r="F1280" s="175" t="s">
        <v>3367</v>
      </c>
      <c r="G1280" s="15" t="s">
        <v>346</v>
      </c>
      <c r="H1280" s="200">
        <v>400000000</v>
      </c>
      <c r="I1280" s="158" t="s">
        <v>3129</v>
      </c>
      <c r="J1280" s="113" t="str">
        <f>VLOOKUP($I1280,'Price List, Weapons &amp; Items'!B:C,2,0)</f>
        <v>Aviation and drones</v>
      </c>
      <c r="K1280" s="113" t="str">
        <f>IF(I1280=".",I1280,VLOOKUP($I1280,'Price List, Weapons &amp; Items'!B:D,3,0))</f>
        <v>drone</v>
      </c>
      <c r="L1280" s="177">
        <f>VLOOKUP(I1280,'Price List, Weapons &amp; Items'!B:E,4,0)</f>
        <v>0</v>
      </c>
      <c r="M1280" s="542">
        <v>1100</v>
      </c>
      <c r="N1280" s="542" t="s">
        <v>270</v>
      </c>
      <c r="O1280" s="543">
        <f>VLOOKUP($I1280,'Price List, Weapons &amp; Items'!B:G,6,0)</f>
        <v>163793</v>
      </c>
      <c r="P1280" s="176">
        <f t="shared" si="302"/>
        <v>180172300</v>
      </c>
      <c r="Q1280" s="176" t="str">
        <f t="shared" si="303"/>
        <v>.</v>
      </c>
      <c r="R1280" s="176" t="str">
        <f t="shared" si="304"/>
        <v/>
      </c>
      <c r="S1280" s="176" t="str">
        <f>IF(AND(AD1280=1,R1280&lt;&gt;".")=TRUE,R1280/VLOOKUP(G1280,'Exchange Rates'!B:C,2,0),IF(R1280=".",".",""))</f>
        <v/>
      </c>
      <c r="T1280" s="176" t="str">
        <f>IF(AD1280=1,IF(AF1280="Value is not given at all",".",IF(AF1280="Value is given by the source",S1280,IF(AF1280="Value is calculated with prices",(IF(SUMIFS(Q:Q,A:A,A1280)&gt;0,SUMIFS(Q:Q,A:A,A1280),"."))/VLOOKUP("USD",'Exchange Rates'!B:C,2,0),"Error with coding"))),"")</f>
        <v/>
      </c>
      <c r="U1280" s="15" t="s">
        <v>261</v>
      </c>
      <c r="V1280" s="564" t="s">
        <v>3368</v>
      </c>
      <c r="W1280" s="813" t="s">
        <v>3044</v>
      </c>
      <c r="X1280" s="810" t="s">
        <v>3047</v>
      </c>
      <c r="Y1280" s="811" t="s">
        <v>3144</v>
      </c>
      <c r="Z1280" s="15">
        <v>0</v>
      </c>
      <c r="AA1280" s="180">
        <v>0</v>
      </c>
      <c r="AB1280" s="17" t="s">
        <v>260</v>
      </c>
      <c r="AC1280" s="544"/>
      <c r="AD1280" s="181">
        <v>0</v>
      </c>
      <c r="AE1280" s="589" t="s">
        <v>264</v>
      </c>
      <c r="AF1280" s="181" t="s">
        <v>265</v>
      </c>
      <c r="AG1280" s="181">
        <v>1</v>
      </c>
      <c r="AH1280" s="181">
        <v>11</v>
      </c>
      <c r="AI1280" s="181">
        <v>0</v>
      </c>
      <c r="AJ1280" s="181">
        <f>VLOOKUP($I1280,'Price List, Weapons &amp; Items'!B:F,5,0)</f>
        <v>0</v>
      </c>
      <c r="AK1280" s="181">
        <f t="shared" si="305"/>
        <v>0</v>
      </c>
      <c r="AL1280" s="181">
        <f t="shared" si="306"/>
        <v>0</v>
      </c>
      <c r="AM1280" s="181">
        <f t="shared" si="307"/>
        <v>0</v>
      </c>
      <c r="AN1280" s="180" t="str">
        <f>VLOOKUP($I1280,'Price List, Weapons &amp; Items'!B:L,COLUMN('Price List, Weapons &amp; Items'!$J$11)-1,0)</f>
        <v>Government information</v>
      </c>
      <c r="AO1280" s="180" t="str">
        <f>IF(I1280=".",".",VLOOKUP($I1280,'Price List, Weapons &amp; Items'!B:J,3,0))</f>
        <v>drone</v>
      </c>
      <c r="AP1280" s="545" t="str">
        <f t="shared" ca="1" si="301"/>
        <v/>
      </c>
      <c r="AQ1280" s="180">
        <f>VLOOKUP($I1280,'Price List, Weapons &amp; Items'!B:L,COLUMN('Price List, Weapons &amp; Items'!$L$11)-1,0)</f>
        <v>2</v>
      </c>
      <c r="AR1280" s="180">
        <f t="shared" si="308"/>
        <v>1</v>
      </c>
      <c r="AS1280" s="180">
        <f t="shared" si="309"/>
        <v>1</v>
      </c>
      <c r="AT1280" s="180">
        <f t="shared" ref="AT1280:AT1343" si="310">IFERROR(IF(VALUE(TEXT(C1280,"mm"))=AH1280,".",IF(TEXT(C1280,"mm")="01",".",1)),"Value is not in date format")</f>
        <v>1</v>
      </c>
      <c r="AU1280" s="180" t="str">
        <f t="shared" si="291"/>
        <v>.</v>
      </c>
      <c r="AV1280" s="180" t="str">
        <f t="shared" si="292"/>
        <v>.</v>
      </c>
      <c r="AW1280" s="180">
        <f>IFERROR(VLOOKUP(B1280,'Share, Heavy Weapons to Ukraine'!B:J,COLUMN('Share, Heavy Weapons to Ukraine'!C1290)-1,0),0)</f>
        <v>1</v>
      </c>
      <c r="AX1280" s="180">
        <f>VLOOKUP('Bilateral Assistance, MAIN DATA'!B1280,'Country Summary'!B:F,COLUMN('Country Summary'!C1293)-1,FALSE)</f>
        <v>0</v>
      </c>
      <c r="AY1280" s="180" t="str">
        <f>IF(AND(AD1280=1,D1280="Military",H1280&lt;&gt;"Not given")=TRUE,IF(SUMIFS(P:P,A:A,A1280)&gt;0,ABS((SUMIFS(P:P,A:A,A1280)/VLOOKUP("USD",'Exchange Rates'!B:C,2,0)))/S1280,"."),".")</f>
        <v>.</v>
      </c>
      <c r="AZ1280" s="182" t="str">
        <f>IF(AND(AD1280=1,D1280="Military",H1280&lt;&gt;"Not given")=TRUE,IF(SUMIFS(P:P,A:A,A1280)&gt;0,IF((ABS((SUMIFS(P:P,A:A,A1280)/VLOOKUP("USD",'Exchange Rates'!B:C,2,0)))/S1280)&gt;1,(SUMIFS(P:P,A:A,A1280)-S1280)/S1280,(S1280-SUMIFS(P:P,A:A,A1280))/SUMIFS(P:P,A:A,A1280)),"."),".")</f>
        <v>.</v>
      </c>
      <c r="BA1280" s="182"/>
      <c r="BB1280" s="182"/>
      <c r="BC1280" s="182"/>
      <c r="BD1280" s="182"/>
      <c r="BE1280" s="182"/>
      <c r="BF1280" s="182"/>
      <c r="BG1280" s="182"/>
      <c r="BH1280" s="182"/>
      <c r="BI1280" s="182"/>
      <c r="BJ1280" s="182"/>
      <c r="BK1280" s="182"/>
      <c r="BL1280" s="182"/>
      <c r="BM1280" s="182"/>
      <c r="BN1280" s="182"/>
      <c r="BO1280" s="182"/>
      <c r="BP1280" s="182"/>
      <c r="BQ1280" s="182"/>
      <c r="BR1280" s="182"/>
      <c r="BS1280" s="182"/>
    </row>
    <row r="1281" spans="1:71" ht="15.9" customHeight="1" x14ac:dyDescent="0.3">
      <c r="A1281" s="221" t="s">
        <v>3338</v>
      </c>
      <c r="B1281" s="19" t="s">
        <v>3038</v>
      </c>
      <c r="C1281" s="555">
        <v>44869</v>
      </c>
      <c r="D1281" s="19" t="s">
        <v>285</v>
      </c>
      <c r="E1281" s="19" t="s">
        <v>286</v>
      </c>
      <c r="F1281" s="175" t="s">
        <v>3367</v>
      </c>
      <c r="G1281" s="15" t="s">
        <v>346</v>
      </c>
      <c r="H1281" s="200">
        <v>400000000</v>
      </c>
      <c r="I1281" s="158" t="s">
        <v>3369</v>
      </c>
      <c r="J1281" s="113" t="str">
        <f>VLOOKUP($I1281,'Price List, Weapons &amp; Items'!B:C,2,0)</f>
        <v>Heavy weapon</v>
      </c>
      <c r="K1281" s="113" t="str">
        <f>IF(I1281=".",I1281,VLOOKUP($I1281,'Price List, Weapons &amp; Items'!B:D,3,0))</f>
        <v>Patrol and coastal combatants</v>
      </c>
      <c r="L1281" s="177">
        <f>VLOOKUP(I1281,'Price List, Weapons &amp; Items'!B:E,4,0)</f>
        <v>0</v>
      </c>
      <c r="M1281" s="542">
        <v>40</v>
      </c>
      <c r="N1281" s="542" t="s">
        <v>270</v>
      </c>
      <c r="O1281" s="543">
        <f>VLOOKUP($I1281,'Price List, Weapons &amp; Items'!B:G,6,0)</f>
        <v>39916727.899999999</v>
      </c>
      <c r="P1281" s="176">
        <f t="shared" si="302"/>
        <v>1596669116</v>
      </c>
      <c r="Q1281" s="176" t="str">
        <f t="shared" si="303"/>
        <v>.</v>
      </c>
      <c r="R1281" s="176" t="str">
        <f t="shared" si="304"/>
        <v/>
      </c>
      <c r="S1281" s="176" t="str">
        <f>IF(AND(AD1281=1,R1281&lt;&gt;".")=TRUE,R1281/VLOOKUP(G1281,'Exchange Rates'!B:C,2,0),IF(R1281=".",".",""))</f>
        <v/>
      </c>
      <c r="T1281" s="176" t="str">
        <f>IF(AD1281=1,IF(AF1281="Value is not given at all",".",IF(AF1281="Value is given by the source",S1281,IF(AF1281="Value is calculated with prices",(IF(SUMIFS(Q:Q,A:A,A1281)&gt;0,SUMIFS(Q:Q,A:A,A1281),"."))/VLOOKUP("USD",'Exchange Rates'!B:C,2,0),"Error with coding"))),"")</f>
        <v/>
      </c>
      <c r="U1281" s="15" t="s">
        <v>261</v>
      </c>
      <c r="V1281" s="564" t="s">
        <v>3368</v>
      </c>
      <c r="W1281" s="813" t="s">
        <v>3044</v>
      </c>
      <c r="X1281" s="810" t="s">
        <v>3047</v>
      </c>
      <c r="Y1281" s="811" t="s">
        <v>3145</v>
      </c>
      <c r="Z1281" s="15">
        <v>0</v>
      </c>
      <c r="AA1281" s="180">
        <v>0</v>
      </c>
      <c r="AB1281" s="17" t="s">
        <v>260</v>
      </c>
      <c r="AC1281" s="544"/>
      <c r="AD1281" s="181">
        <v>0</v>
      </c>
      <c r="AE1281" s="589" t="s">
        <v>264</v>
      </c>
      <c r="AF1281" s="181" t="s">
        <v>265</v>
      </c>
      <c r="AG1281" s="181">
        <v>1</v>
      </c>
      <c r="AH1281" s="181">
        <v>11</v>
      </c>
      <c r="AI1281" s="181">
        <v>0</v>
      </c>
      <c r="AJ1281" s="181">
        <f>VLOOKUP($I1281,'Price List, Weapons &amp; Items'!B:F,5,0)</f>
        <v>0</v>
      </c>
      <c r="AK1281" s="181">
        <f t="shared" si="305"/>
        <v>0</v>
      </c>
      <c r="AL1281" s="181">
        <f t="shared" si="306"/>
        <v>0</v>
      </c>
      <c r="AM1281" s="181">
        <f t="shared" si="307"/>
        <v>0</v>
      </c>
      <c r="AN1281" s="180" t="str">
        <f>VLOOKUP($I1281,'Price List, Weapons &amp; Items'!B:L,COLUMN('Price List, Weapons &amp; Items'!$J$11)-1,0)</f>
        <v>Military media (incl. websites)</v>
      </c>
      <c r="AO1281" s="180" t="str">
        <f>IF(I1281=".",".",VLOOKUP($I1281,'Price List, Weapons &amp; Items'!B:J,3,0))</f>
        <v>Patrol and coastal combatants</v>
      </c>
      <c r="AP1281" s="545" t="str">
        <f t="shared" ca="1" si="301"/>
        <v/>
      </c>
      <c r="AQ1281" s="180">
        <f>VLOOKUP($I1281,'Price List, Weapons &amp; Items'!B:L,COLUMN('Price List, Weapons &amp; Items'!$L$11)-1,0)</f>
        <v>2</v>
      </c>
      <c r="AR1281" s="180">
        <f t="shared" si="308"/>
        <v>1</v>
      </c>
      <c r="AS1281" s="180">
        <f t="shared" si="309"/>
        <v>1</v>
      </c>
      <c r="AT1281" s="180">
        <f t="shared" si="310"/>
        <v>1</v>
      </c>
      <c r="AU1281" s="180" t="str">
        <f t="shared" si="291"/>
        <v>.</v>
      </c>
      <c r="AV1281" s="180" t="str">
        <f t="shared" si="292"/>
        <v>.</v>
      </c>
      <c r="AW1281" s="180">
        <f>IFERROR(VLOOKUP(B1281,'Share, Heavy Weapons to Ukraine'!B:J,COLUMN('Share, Heavy Weapons to Ukraine'!C1291)-1,0),0)</f>
        <v>1</v>
      </c>
      <c r="AX1281" s="180">
        <f>VLOOKUP('Bilateral Assistance, MAIN DATA'!B1281,'Country Summary'!B:F,COLUMN('Country Summary'!C1294)-1,FALSE)</f>
        <v>0</v>
      </c>
      <c r="AY1281" s="180" t="str">
        <f>IF(AND(AD1281=1,D1281="Military",H1281&lt;&gt;"Not given")=TRUE,IF(SUMIFS(P:P,A:A,A1281)&gt;0,ABS((SUMIFS(P:P,A:A,A1281)/VLOOKUP("USD",'Exchange Rates'!B:C,2,0)))/S1281,"."),".")</f>
        <v>.</v>
      </c>
      <c r="AZ1281" s="182" t="str">
        <f>IF(AND(AD1281=1,D1281="Military",H1281&lt;&gt;"Not given")=TRUE,IF(SUMIFS(P:P,A:A,A1281)&gt;0,IF((ABS((SUMIFS(P:P,A:A,A1281)/VLOOKUP("USD",'Exchange Rates'!B:C,2,0)))/S1281)&gt;1,(SUMIFS(P:P,A:A,A1281)-S1281)/S1281,(S1281-SUMIFS(P:P,A:A,A1281))/SUMIFS(P:P,A:A,A1281)),"."),".")</f>
        <v>.</v>
      </c>
      <c r="BA1281" s="182"/>
      <c r="BB1281" s="182"/>
      <c r="BC1281" s="182"/>
      <c r="BD1281" s="182"/>
      <c r="BE1281" s="182"/>
      <c r="BF1281" s="182"/>
      <c r="BG1281" s="182"/>
      <c r="BH1281" s="182"/>
      <c r="BI1281" s="182"/>
      <c r="BJ1281" s="182"/>
      <c r="BK1281" s="182"/>
      <c r="BL1281" s="182"/>
      <c r="BM1281" s="182"/>
      <c r="BN1281" s="182"/>
      <c r="BO1281" s="182"/>
      <c r="BP1281" s="182"/>
      <c r="BQ1281" s="182"/>
      <c r="BR1281" s="182"/>
      <c r="BS1281" s="182"/>
    </row>
    <row r="1282" spans="1:71" ht="15.9" customHeight="1" x14ac:dyDescent="0.3">
      <c r="A1282" s="221" t="s">
        <v>3338</v>
      </c>
      <c r="B1282" s="19" t="s">
        <v>3038</v>
      </c>
      <c r="C1282" s="555">
        <v>44869</v>
      </c>
      <c r="D1282" s="19" t="s">
        <v>285</v>
      </c>
      <c r="E1282" s="19" t="s">
        <v>286</v>
      </c>
      <c r="F1282" s="175" t="s">
        <v>3367</v>
      </c>
      <c r="G1282" s="15" t="s">
        <v>346</v>
      </c>
      <c r="H1282" s="200">
        <v>400000000</v>
      </c>
      <c r="I1282" s="157" t="s">
        <v>3364</v>
      </c>
      <c r="J1282" s="113" t="str">
        <f>VLOOKUP($I1282,'Price List, Weapons &amp; Items'!B:C,2,0)</f>
        <v>Military equipment</v>
      </c>
      <c r="K1282" s="113" t="str">
        <f>IF(I1282=".",I1282,VLOOKUP($I1282,'Price List, Weapons &amp; Items'!B:D,3,0))</f>
        <v>Military equipment</v>
      </c>
      <c r="L1282" s="177">
        <f>VLOOKUP(I1282,'Price List, Weapons &amp; Items'!B:E,4,0)</f>
        <v>0</v>
      </c>
      <c r="M1282" s="542" t="s">
        <v>270</v>
      </c>
      <c r="N1282" s="542" t="s">
        <v>270</v>
      </c>
      <c r="O1282" s="543" t="str">
        <f>VLOOKUP($I1282,'Price List, Weapons &amp; Items'!B:G,6,0)</f>
        <v>.</v>
      </c>
      <c r="P1282" s="176" t="str">
        <f t="shared" si="302"/>
        <v>.</v>
      </c>
      <c r="Q1282" s="176" t="str">
        <f t="shared" si="303"/>
        <v>.</v>
      </c>
      <c r="R1282" s="176" t="str">
        <f t="shared" si="304"/>
        <v/>
      </c>
      <c r="S1282" s="176" t="str">
        <f>IF(AND(AD1282=1,R1282&lt;&gt;".")=TRUE,R1282/VLOOKUP(G1282,'Exchange Rates'!B:C,2,0),IF(R1282=".",".",""))</f>
        <v/>
      </c>
      <c r="T1282" s="176" t="str">
        <f>IF(AD1282=1,IF(AF1282="Value is not given at all",".",IF(AF1282="Value is given by the source",S1282,IF(AF1282="Value is calculated with prices",(IF(SUMIFS(Q:Q,A:A,A1282)&gt;0,SUMIFS(Q:Q,A:A,A1282),"."))/VLOOKUP("USD",'Exchange Rates'!B:C,2,0),"Error with coding"))),"")</f>
        <v/>
      </c>
      <c r="U1282" s="15" t="s">
        <v>261</v>
      </c>
      <c r="V1282" s="564" t="s">
        <v>3368</v>
      </c>
      <c r="W1282" s="813" t="s">
        <v>3044</v>
      </c>
      <c r="X1282" s="810" t="s">
        <v>3047</v>
      </c>
      <c r="Y1282" s="811" t="s">
        <v>3146</v>
      </c>
      <c r="Z1282" s="15">
        <v>0</v>
      </c>
      <c r="AA1282" s="180">
        <v>0</v>
      </c>
      <c r="AB1282" s="17" t="s">
        <v>260</v>
      </c>
      <c r="AC1282" s="544"/>
      <c r="AD1282" s="181">
        <v>0</v>
      </c>
      <c r="AE1282" s="589" t="s">
        <v>264</v>
      </c>
      <c r="AF1282" s="181" t="s">
        <v>265</v>
      </c>
      <c r="AG1282" s="181">
        <v>1</v>
      </c>
      <c r="AH1282" s="181">
        <v>11</v>
      </c>
      <c r="AI1282" s="181">
        <v>0</v>
      </c>
      <c r="AJ1282" s="181">
        <f>VLOOKUP($I1282,'Price List, Weapons &amp; Items'!B:F,5,0)</f>
        <v>0</v>
      </c>
      <c r="AK1282" s="181">
        <f t="shared" si="305"/>
        <v>0</v>
      </c>
      <c r="AL1282" s="181">
        <f t="shared" si="306"/>
        <v>0</v>
      </c>
      <c r="AM1282" s="181">
        <f t="shared" si="307"/>
        <v>0</v>
      </c>
      <c r="AN1282" s="180" t="str">
        <f>VLOOKUP($I1282,'Price List, Weapons &amp; Items'!B:L,COLUMN('Price List, Weapons &amp; Items'!$J$11)-1,0)</f>
        <v>.</v>
      </c>
      <c r="AO1282" s="180" t="str">
        <f>IF(I1282=".",".",VLOOKUP($I1282,'Price List, Weapons &amp; Items'!B:J,3,0))</f>
        <v>Military equipment</v>
      </c>
      <c r="AP1282" s="545" t="str">
        <f t="shared" ca="1" si="301"/>
        <v/>
      </c>
      <c r="AQ1282" s="180" t="str">
        <f>VLOOKUP($I1282,'Price List, Weapons &amp; Items'!B:L,COLUMN('Price List, Weapons &amp; Items'!$L$11)-1,0)</f>
        <v>no price, 0 count</v>
      </c>
      <c r="AR1282" s="180">
        <f t="shared" si="308"/>
        <v>1</v>
      </c>
      <c r="AS1282" s="180">
        <f t="shared" si="309"/>
        <v>1</v>
      </c>
      <c r="AT1282" s="180">
        <f t="shared" si="310"/>
        <v>1</v>
      </c>
      <c r="AU1282" s="180" t="str">
        <f t="shared" ref="AU1282:AU1283" si="311">IF(AND(A1282=A1281,C1282=C1281)=TRUE,IF(F1282=F1281,".","1"),".")</f>
        <v>.</v>
      </c>
      <c r="AV1282" s="180" t="str">
        <f t="shared" ref="AV1282" si="312">IF(T1282&lt;&gt;".",IF(T1282&gt;S1282,1,"."),".")</f>
        <v>.</v>
      </c>
      <c r="AW1282" s="180">
        <f>IFERROR(VLOOKUP(B1282,'Share, Heavy Weapons to Ukraine'!B:J,COLUMN('Share, Heavy Weapons to Ukraine'!C1292)-1,0),0)</f>
        <v>1</v>
      </c>
      <c r="AX1282" s="180">
        <f>VLOOKUP('Bilateral Assistance, MAIN DATA'!B1282,'Country Summary'!B:F,COLUMN('Country Summary'!C1295)-1,FALSE)</f>
        <v>0</v>
      </c>
      <c r="AY1282" s="180" t="str">
        <f>IF(AND(AD1282=1,D1282="Military",H1282&lt;&gt;"Not given")=TRUE,IF(SUMIFS(P:P,A:A,A1282)&gt;0,ABS((SUMIFS(P:P,A:A,A1282)/VLOOKUP("USD",'Exchange Rates'!B:C,2,0)))/S1282,"."),".")</f>
        <v>.</v>
      </c>
      <c r="AZ1282" s="182" t="str">
        <f>IF(AND(AD1282=1,D1282="Military",H1282&lt;&gt;"Not given")=TRUE,IF(SUMIFS(P:P,A:A,A1282)&gt;0,IF((ABS((SUMIFS(P:P,A:A,A1282)/VLOOKUP("USD",'Exchange Rates'!B:C,2,0)))/S1282)&gt;1,(SUMIFS(P:P,A:A,A1282)-S1282)/S1282,(S1282-SUMIFS(P:P,A:A,A1282))/SUMIFS(P:P,A:A,A1282)),"."),".")</f>
        <v>.</v>
      </c>
      <c r="BA1282" s="182"/>
      <c r="BB1282" s="182"/>
      <c r="BC1282" s="182"/>
      <c r="BD1282" s="182"/>
      <c r="BE1282" s="182"/>
      <c r="BF1282" s="182"/>
      <c r="BG1282" s="182"/>
      <c r="BH1282" s="182"/>
      <c r="BI1282" s="182"/>
      <c r="BJ1282" s="182"/>
      <c r="BK1282" s="182"/>
      <c r="BL1282" s="182"/>
      <c r="BM1282" s="182"/>
      <c r="BN1282" s="182"/>
      <c r="BO1282" s="182"/>
      <c r="BP1282" s="182"/>
      <c r="BQ1282" s="182"/>
      <c r="BR1282" s="182"/>
      <c r="BS1282" s="182"/>
    </row>
    <row r="1283" spans="1:71" s="523" customFormat="1" ht="15.9" customHeight="1" x14ac:dyDescent="0.3">
      <c r="A1283" s="19" t="s">
        <v>3370</v>
      </c>
      <c r="B1283" s="19" t="s">
        <v>3038</v>
      </c>
      <c r="C1283" s="555">
        <v>44834</v>
      </c>
      <c r="D1283" s="19" t="s">
        <v>285</v>
      </c>
      <c r="E1283" s="19" t="s">
        <v>286</v>
      </c>
      <c r="F1283" s="1139" t="s">
        <v>3371</v>
      </c>
      <c r="G1283" s="15" t="s">
        <v>346</v>
      </c>
      <c r="H1283" s="200">
        <v>3700000000</v>
      </c>
      <c r="I1283" s="17" t="s">
        <v>260</v>
      </c>
      <c r="J1283" s="113" t="str">
        <f>VLOOKUP($I1283,'Price List, Weapons &amp; Items'!B:C,2,0)</f>
        <v>.</v>
      </c>
      <c r="K1283" s="113" t="str">
        <f>IF(I1283=".",I1283,VLOOKUP($I1283,'Price List, Weapons &amp; Items'!B:D,3,0))</f>
        <v>.</v>
      </c>
      <c r="L1283" s="177">
        <f>VLOOKUP(I1283,'Price List, Weapons &amp; Items'!B:E,4,0)</f>
        <v>0</v>
      </c>
      <c r="M1283" s="542" t="s">
        <v>260</v>
      </c>
      <c r="N1283" s="542" t="s">
        <v>260</v>
      </c>
      <c r="O1283" s="543" t="str">
        <f>VLOOKUP($I1283,'Price List, Weapons &amp; Items'!B:G,6,0)</f>
        <v>.</v>
      </c>
      <c r="P1283" s="176" t="str">
        <f t="shared" ref="P1283" si="313">IF(TYPE(M1283)=1,IF(TYPE(O1283)=1,M1283*O1283,"No price"),".")</f>
        <v>.</v>
      </c>
      <c r="Q1283" s="176" t="str">
        <f t="shared" ref="Q1283" si="314">IF(TYPE(N1283)=1,IF(TYPE(O1283)=1,N1283*O1283,"No price"),".")</f>
        <v>.</v>
      </c>
      <c r="R1283" s="176">
        <f t="shared" si="304"/>
        <v>3700000000</v>
      </c>
      <c r="S1283" s="176">
        <f>IF(AND(AD1283=1,R1283&lt;&gt;".")=TRUE,R1283/VLOOKUP(G1283,'Exchange Rates'!B:C,2,0),IF(R1283=".",".",""))</f>
        <v>3523809523.8095236</v>
      </c>
      <c r="T1283" s="176" t="str">
        <f>IF(AD1283=1,IF(AF1283="Value is not given at all",".",IF(AF1283="Value is given by the source",S1283,IF(AF1283="Value is calculated with prices",(IF(SUMIFS(Q:Q,A:A,A1283)&gt;0,SUMIFS(Q:Q,A:A,A1283),"."))/VLOOKUP("USD",'Exchange Rates'!B:C,2,0),"Error with coding"))),"")</f>
        <v>.</v>
      </c>
      <c r="U1283" s="15" t="s">
        <v>261</v>
      </c>
      <c r="V1283" s="626" t="s">
        <v>3059</v>
      </c>
      <c r="W1283" s="665" t="s">
        <v>3062</v>
      </c>
      <c r="X1283" s="671" t="s">
        <v>3067</v>
      </c>
      <c r="Y1283" s="175" t="s">
        <v>260</v>
      </c>
      <c r="Z1283" s="15">
        <v>0</v>
      </c>
      <c r="AA1283" s="180">
        <v>0</v>
      </c>
      <c r="AB1283" s="17" t="s">
        <v>260</v>
      </c>
      <c r="AC1283" s="544" t="str">
        <f>""</f>
        <v/>
      </c>
      <c r="AD1283" s="181">
        <v>1</v>
      </c>
      <c r="AE1283" s="181" t="s">
        <v>264</v>
      </c>
      <c r="AF1283" s="181" t="s">
        <v>265</v>
      </c>
      <c r="AG1283" s="181">
        <v>1</v>
      </c>
      <c r="AH1283" s="181">
        <v>9</v>
      </c>
      <c r="AI1283" s="181">
        <v>0</v>
      </c>
      <c r="AJ1283" s="181">
        <f>VLOOKUP($I1283,'Price List, Weapons &amp; Items'!B:F,5,0)</f>
        <v>0</v>
      </c>
      <c r="AK1283" s="181">
        <f t="shared" ref="AK1283" si="315">IF(AND(AJ1283=1,M1283="undisclosed")=TRUE,1,0)</f>
        <v>0</v>
      </c>
      <c r="AL1283" s="181">
        <f t="shared" ref="AL1283" si="316">IF(AND(AJ1283=1,N1283="undisclosed")=TRUE,1,0)</f>
        <v>0</v>
      </c>
      <c r="AM1283" s="181">
        <f t="shared" ref="AM1283" si="317">IFERROR(IF(SEARCH("ammuni",I1283,1)&gt;0,1,0),0)</f>
        <v>0</v>
      </c>
      <c r="AN1283" s="180" t="str">
        <f>VLOOKUP($I1283,'Price List, Weapons &amp; Items'!B:L,COLUMN('Price List, Weapons &amp; Items'!$J$11)-1,0)</f>
        <v>.</v>
      </c>
      <c r="AO1283" s="180" t="str">
        <f>IF(I1283=".",".",VLOOKUP($I1283,'Price List, Weapons &amp; Items'!B:J,3,0))</f>
        <v>.</v>
      </c>
      <c r="AP1283" s="545" t="e">
        <f t="shared" ca="1" si="301"/>
        <v>#NAME?</v>
      </c>
      <c r="AQ1283" s="180" t="str">
        <f>VLOOKUP($I1283,'Price List, Weapons &amp; Items'!B:L,COLUMN('Price List, Weapons &amp; Items'!$L$11)-1,0)</f>
        <v>no price, 0 count</v>
      </c>
      <c r="AR1283" s="180">
        <f t="shared" ref="AR1283" si="318">IF(U1283="Yes",1,0)</f>
        <v>1</v>
      </c>
      <c r="AS1283" s="180">
        <f t="shared" ref="AS1283" si="319">IF(D1283="Military",IF(OR(IFERROR(SEARCH("equipment",E1283,1),0)&gt;0,IFERROR(SEARCH("weapons",E1283,1),0)&gt;0),1,0),0)</f>
        <v>1</v>
      </c>
      <c r="AT1283" s="180">
        <f t="shared" si="310"/>
        <v>1</v>
      </c>
      <c r="AU1283" s="180" t="str">
        <f t="shared" si="311"/>
        <v>.</v>
      </c>
      <c r="AV1283" s="180" t="str">
        <f t="shared" ref="AV1283:AV1343" si="320">IF(T1283&lt;&gt;".",IF(T1283&gt;S1283,1,"."),".")</f>
        <v>.</v>
      </c>
      <c r="AW1283" s="180">
        <f>IFERROR(VLOOKUP(B1283,'Share, Heavy Weapons to Ukraine'!B:J,COLUMN('Share, Heavy Weapons to Ukraine'!C1293)-1,0),0)</f>
        <v>1</v>
      </c>
      <c r="AX1283" s="180">
        <f>VLOOKUP('Bilateral Assistance, MAIN DATA'!B1283,'Country Summary'!B:F,COLUMN('Country Summary'!C1296)-1,FALSE)</f>
        <v>0</v>
      </c>
      <c r="AY1283" s="180">
        <f>IF(AND(AD1283=1,D1283="Military",H1283&lt;&gt;"Not given")=TRUE,IF(SUMIFS(P:P,A:A,A1283)&gt;0,ABS((SUMIFS(P:P,A:A,A1283)/VLOOKUP("USD",'Exchange Rates'!B:C,2,0)))/S1283,"."),".")</f>
        <v>0.72580301838031669</v>
      </c>
      <c r="AZ1283" s="182">
        <f>IF(AND(AD1283=1,D1283="Military",H1283&lt;&gt;"Not given")=TRUE,IF(SUMIFS(P:P,A:A,A1283)&gt;0,IF((ABS((SUMIFS(P:P,A:A,A1283)/VLOOKUP("USD",'Exchange Rates'!B:C,2,0)))/S1283)&gt;1,(SUMIFS(P:P,A:A,A1283)-S1283)/S1283,(S1283-SUMIFS(P:P,A:A,A1283))/SUMIFS(P:P,A:A,A1283)),"."),".")</f>
        <v>0.31217551906336949</v>
      </c>
      <c r="BA1283" s="182"/>
      <c r="BB1283" s="182"/>
      <c r="BC1283" s="182"/>
      <c r="BD1283" s="182"/>
      <c r="BE1283" s="182"/>
      <c r="BF1283" s="182"/>
      <c r="BG1283" s="182"/>
      <c r="BH1283" s="182"/>
      <c r="BI1283" s="182"/>
      <c r="BJ1283" s="182"/>
      <c r="BK1283" s="182"/>
      <c r="BL1283" s="182"/>
      <c r="BM1283" s="182"/>
      <c r="BN1283" s="182"/>
      <c r="BO1283" s="182"/>
      <c r="BP1283" s="182"/>
      <c r="BQ1283" s="182"/>
      <c r="BR1283" s="182"/>
      <c r="BS1283" s="182"/>
    </row>
    <row r="1284" spans="1:71" ht="15.9" customHeight="1" x14ac:dyDescent="0.3">
      <c r="A1284" s="19" t="s">
        <v>3370</v>
      </c>
      <c r="B1284" s="19" t="s">
        <v>3038</v>
      </c>
      <c r="C1284" s="555">
        <v>44838</v>
      </c>
      <c r="D1284" s="19" t="s">
        <v>285</v>
      </c>
      <c r="E1284" s="19" t="s">
        <v>286</v>
      </c>
      <c r="F1284" s="1139" t="s">
        <v>3372</v>
      </c>
      <c r="G1284" s="15" t="s">
        <v>346</v>
      </c>
      <c r="H1284" s="200">
        <v>625000000</v>
      </c>
      <c r="I1284" s="17" t="s">
        <v>3150</v>
      </c>
      <c r="J1284" s="113" t="str">
        <f>VLOOKUP($I1284,'Price List, Weapons &amp; Items'!B:C,2,0)</f>
        <v>Heavy weapon</v>
      </c>
      <c r="K1284" s="113" t="str">
        <f>IF(I1284=".",I1284,VLOOKUP($I1284,'Price List, Weapons &amp; Items'!B:D,3,0))</f>
        <v>227mm MLRS</v>
      </c>
      <c r="L1284" s="177">
        <f>VLOOKUP(I1284,'Price List, Weapons &amp; Items'!B:E,4,0)</f>
        <v>0</v>
      </c>
      <c r="M1284" s="542">
        <v>4</v>
      </c>
      <c r="N1284" s="542" t="s">
        <v>270</v>
      </c>
      <c r="O1284" s="543">
        <f>VLOOKUP($I1284,'Price List, Weapons &amp; Items'!B:G,6,0)</f>
        <v>15076313.029999999</v>
      </c>
      <c r="P1284" s="176">
        <f t="shared" si="302"/>
        <v>60305252.119999997</v>
      </c>
      <c r="Q1284" s="176" t="str">
        <f t="shared" si="303"/>
        <v>.</v>
      </c>
      <c r="R1284" s="176" t="str">
        <f t="shared" si="304"/>
        <v/>
      </c>
      <c r="S1284" s="176" t="str">
        <f>IF(AND(AD1284=1,R1284&lt;&gt;".")=TRUE,R1284/VLOOKUP(G1284,'Exchange Rates'!B:C,2,0),IF(R1284=".",".",""))</f>
        <v/>
      </c>
      <c r="T1284" s="176" t="str">
        <f>IF(AD1284=1,IF(AF1284="Value is not given at all",".",IF(AF1284="Value is given by the source",S1284,IF(AF1284="Value is calculated with prices",(IF(SUMIFS(Q:Q,A:A,A1284)&gt;0,SUMIFS(Q:Q,A:A,A1284),"."))/VLOOKUP("USD",'Exchange Rates'!B:C,2,0),"Error with coding"))),"")</f>
        <v/>
      </c>
      <c r="U1284" s="15" t="s">
        <v>261</v>
      </c>
      <c r="V1284" s="305" t="s">
        <v>3373</v>
      </c>
      <c r="W1284" s="814" t="s">
        <v>3059</v>
      </c>
      <c r="X1284" s="665" t="s">
        <v>3062</v>
      </c>
      <c r="Y1284" s="671" t="s">
        <v>3067</v>
      </c>
      <c r="Z1284" s="15">
        <v>0</v>
      </c>
      <c r="AA1284" s="180">
        <v>0</v>
      </c>
      <c r="AB1284" s="669" t="s">
        <v>260</v>
      </c>
      <c r="AC1284" s="544" t="str">
        <f>""</f>
        <v/>
      </c>
      <c r="AD1284" s="181">
        <v>0</v>
      </c>
      <c r="AE1284" s="181" t="s">
        <v>264</v>
      </c>
      <c r="AF1284" s="181" t="s">
        <v>265</v>
      </c>
      <c r="AG1284" s="181">
        <v>1</v>
      </c>
      <c r="AH1284" s="181">
        <v>10</v>
      </c>
      <c r="AI1284" s="181">
        <v>0</v>
      </c>
      <c r="AJ1284" s="181">
        <f>VLOOKUP($I1284,'Price List, Weapons &amp; Items'!B:F,5,0)</f>
        <v>1</v>
      </c>
      <c r="AK1284" s="181">
        <f t="shared" si="305"/>
        <v>0</v>
      </c>
      <c r="AL1284" s="181">
        <f t="shared" si="306"/>
        <v>1</v>
      </c>
      <c r="AM1284" s="181">
        <f t="shared" si="307"/>
        <v>0</v>
      </c>
      <c r="AN1284" s="180" t="str">
        <f>VLOOKUP($I1284,'Price List, Weapons &amp; Items'!B:L,COLUMN('Price List, Weapons &amp; Items'!$J$11)-1,0)</f>
        <v>Contracts</v>
      </c>
      <c r="AO1284" s="180" t="str">
        <f>IF(I1284=".",".",VLOOKUP($I1284,'Price List, Weapons &amp; Items'!B:J,3,0))</f>
        <v>227mm MLRS</v>
      </c>
      <c r="AP1284" s="545" t="str">
        <f t="shared" ca="1" si="301"/>
        <v/>
      </c>
      <c r="AQ1284" s="180">
        <f>VLOOKUP($I1284,'Price List, Weapons &amp; Items'!B:L,COLUMN('Price List, Weapons &amp; Items'!$L$11)-1,0)</f>
        <v>2</v>
      </c>
      <c r="AR1284" s="180">
        <f t="shared" si="308"/>
        <v>1</v>
      </c>
      <c r="AS1284" s="180">
        <f t="shared" si="309"/>
        <v>1</v>
      </c>
      <c r="AT1284" s="180">
        <f t="shared" si="310"/>
        <v>1</v>
      </c>
      <c r="AU1284" s="180" t="str">
        <f t="shared" ref="AU1284:AU1342" si="321">IF(AND(A1284=A1283,C1284=C1283)=TRUE,IF(F1284=F1283,".","1"),".")</f>
        <v>.</v>
      </c>
      <c r="AV1284" s="180" t="str">
        <f t="shared" si="320"/>
        <v>.</v>
      </c>
      <c r="AW1284" s="180">
        <f>IFERROR(VLOOKUP(B1284,'Share, Heavy Weapons to Ukraine'!B:J,COLUMN('Share, Heavy Weapons to Ukraine'!C1294)-1,0),0)</f>
        <v>1</v>
      </c>
      <c r="AX1284" s="180">
        <f>VLOOKUP('Bilateral Assistance, MAIN DATA'!B1284,'Country Summary'!B:F,COLUMN('Country Summary'!C1297)-1,FALSE)</f>
        <v>0</v>
      </c>
      <c r="AY1284" s="180" t="str">
        <f>IF(AND(AD1284=1,D1284="Military",H1284&lt;&gt;"Not given")=TRUE,IF(SUMIFS(P:P,A:A,A1284)&gt;0,ABS((SUMIFS(P:P,A:A,A1284)/VLOOKUP("USD",'Exchange Rates'!B:C,2,0)))/S1284,"."),".")</f>
        <v>.</v>
      </c>
      <c r="AZ1284" s="182" t="str">
        <f>IF(AND(AD1284=1,D1284="Military",H1284&lt;&gt;"Not given")=TRUE,IF(SUMIFS(P:P,A:A,A1284)&gt;0,IF((ABS((SUMIFS(P:P,A:A,A1284)/VLOOKUP("USD",'Exchange Rates'!B:C,2,0)))/S1284)&gt;1,(SUMIFS(P:P,A:A,A1284)-S1284)/S1284,(S1284-SUMIFS(P:P,A:A,A1284))/SUMIFS(P:P,A:A,A1284)),"."),".")</f>
        <v>.</v>
      </c>
      <c r="BA1284" s="182"/>
      <c r="BB1284" s="182"/>
      <c r="BC1284" s="182"/>
      <c r="BD1284" s="182"/>
      <c r="BE1284" s="182"/>
      <c r="BF1284" s="182"/>
      <c r="BG1284" s="182"/>
      <c r="BH1284" s="182"/>
      <c r="BI1284" s="182"/>
      <c r="BJ1284" s="182"/>
      <c r="BK1284" s="182"/>
      <c r="BL1284" s="182"/>
      <c r="BM1284" s="182"/>
      <c r="BN1284" s="182"/>
      <c r="BO1284" s="182"/>
      <c r="BP1284" s="182"/>
      <c r="BQ1284" s="182"/>
      <c r="BR1284" s="182"/>
      <c r="BS1284" s="182"/>
    </row>
    <row r="1285" spans="1:71" ht="15.9" customHeight="1" x14ac:dyDescent="0.3">
      <c r="A1285" s="19" t="s">
        <v>3370</v>
      </c>
      <c r="B1285" s="19" t="s">
        <v>3038</v>
      </c>
      <c r="C1285" s="555">
        <v>44838</v>
      </c>
      <c r="D1285" s="19" t="s">
        <v>285</v>
      </c>
      <c r="E1285" s="19" t="s">
        <v>286</v>
      </c>
      <c r="F1285" s="1139" t="s">
        <v>3372</v>
      </c>
      <c r="G1285" s="15" t="s">
        <v>346</v>
      </c>
      <c r="H1285" s="200">
        <v>625000000</v>
      </c>
      <c r="I1285" s="17" t="s">
        <v>2687</v>
      </c>
      <c r="J1285" s="113" t="str">
        <f>VLOOKUP($I1285,'Price List, Weapons &amp; Items'!B:C,2,0)</f>
        <v>Heavy weapon</v>
      </c>
      <c r="K1285" s="113" t="str">
        <f>IF(I1285=".",I1285,VLOOKUP($I1285,'Price List, Weapons &amp; Items'!B:D,3,0))</f>
        <v>unknown howitzer</v>
      </c>
      <c r="L1285" s="177">
        <f>VLOOKUP(I1285,'Price List, Weapons &amp; Items'!B:E,4,0)</f>
        <v>0</v>
      </c>
      <c r="M1285" s="542">
        <v>32</v>
      </c>
      <c r="N1285" s="542" t="s">
        <v>270</v>
      </c>
      <c r="O1285" s="543">
        <f>VLOOKUP($I1285,'Price List, Weapons &amp; Items'!B:G,6,0)</f>
        <v>5170000</v>
      </c>
      <c r="P1285" s="176">
        <f t="shared" si="302"/>
        <v>165440000</v>
      </c>
      <c r="Q1285" s="176" t="str">
        <f t="shared" si="303"/>
        <v>.</v>
      </c>
      <c r="R1285" s="176" t="str">
        <f t="shared" si="304"/>
        <v/>
      </c>
      <c r="S1285" s="176" t="str">
        <f>IF(AND(AD1285=1,R1285&lt;&gt;".")=TRUE,R1285/VLOOKUP(G1285,'Exchange Rates'!B:C,2,0),IF(R1285=".",".",""))</f>
        <v/>
      </c>
      <c r="T1285" s="176" t="str">
        <f>IF(AD1285=1,IF(AF1285="Value is not given at all",".",IF(AF1285="Value is given by the source",S1285,IF(AF1285="Value is calculated with prices",(IF(SUMIFS(Q:Q,A:A,A1285)&gt;0,SUMIFS(Q:Q,A:A,A1285),"."))/VLOOKUP("USD",'Exchange Rates'!B:C,2,0),"Error with coding"))),"")</f>
        <v/>
      </c>
      <c r="U1285" s="15" t="s">
        <v>261</v>
      </c>
      <c r="V1285" s="305" t="s">
        <v>3373</v>
      </c>
      <c r="W1285" s="814" t="s">
        <v>3059</v>
      </c>
      <c r="X1285" s="665" t="s">
        <v>3062</v>
      </c>
      <c r="Y1285" s="671" t="s">
        <v>3070</v>
      </c>
      <c r="Z1285" s="15">
        <v>0</v>
      </c>
      <c r="AA1285" s="180">
        <v>0</v>
      </c>
      <c r="AB1285" s="669" t="s">
        <v>260</v>
      </c>
      <c r="AC1285" s="544" t="str">
        <f>""</f>
        <v/>
      </c>
      <c r="AD1285" s="181">
        <v>0</v>
      </c>
      <c r="AE1285" s="181" t="s">
        <v>264</v>
      </c>
      <c r="AF1285" s="181" t="s">
        <v>265</v>
      </c>
      <c r="AG1285" s="181">
        <v>1</v>
      </c>
      <c r="AH1285" s="181">
        <v>10</v>
      </c>
      <c r="AI1285" s="181">
        <v>0</v>
      </c>
      <c r="AJ1285" s="181">
        <f>VLOOKUP($I1285,'Price List, Weapons &amp; Items'!B:F,5,0)</f>
        <v>0</v>
      </c>
      <c r="AK1285" s="181">
        <f t="shared" si="305"/>
        <v>0</v>
      </c>
      <c r="AL1285" s="181">
        <f t="shared" si="306"/>
        <v>0</v>
      </c>
      <c r="AM1285" s="181">
        <f t="shared" si="307"/>
        <v>0</v>
      </c>
      <c r="AN1285" s="180" t="str">
        <f>VLOOKUP($I1285,'Price List, Weapons &amp; Items'!B:L,COLUMN('Price List, Weapons &amp; Items'!$J$11)-1,0)</f>
        <v>Military media (incl. websites)</v>
      </c>
      <c r="AO1285" s="180" t="str">
        <f>IF(I1285=".",".",VLOOKUP($I1285,'Price List, Weapons &amp; Items'!B:J,3,0))</f>
        <v>unknown howitzer</v>
      </c>
      <c r="AP1285" s="545" t="str">
        <f t="shared" ca="1" si="301"/>
        <v/>
      </c>
      <c r="AQ1285" s="180">
        <f>VLOOKUP($I1285,'Price List, Weapons &amp; Items'!B:L,COLUMN('Price List, Weapons &amp; Items'!$L$11)-1,0)</f>
        <v>2</v>
      </c>
      <c r="AR1285" s="180">
        <f t="shared" si="308"/>
        <v>1</v>
      </c>
      <c r="AS1285" s="180">
        <f t="shared" si="309"/>
        <v>1</v>
      </c>
      <c r="AT1285" s="180">
        <f t="shared" si="310"/>
        <v>1</v>
      </c>
      <c r="AU1285" s="180" t="str">
        <f t="shared" si="321"/>
        <v>.</v>
      </c>
      <c r="AV1285" s="180" t="str">
        <f t="shared" si="320"/>
        <v>.</v>
      </c>
      <c r="AW1285" s="180">
        <f>IFERROR(VLOOKUP(B1285,'Share, Heavy Weapons to Ukraine'!B:J,COLUMN('Share, Heavy Weapons to Ukraine'!C1295)-1,0),0)</f>
        <v>1</v>
      </c>
      <c r="AX1285" s="180">
        <f>VLOOKUP('Bilateral Assistance, MAIN DATA'!B1285,'Country Summary'!B:F,COLUMN('Country Summary'!C1298)-1,FALSE)</f>
        <v>0</v>
      </c>
      <c r="AY1285" s="180" t="str">
        <f>IF(AND(AD1285=1,D1285="Military",H1285&lt;&gt;"Not given")=TRUE,IF(SUMIFS(P:P,A:A,A1285)&gt;0,ABS((SUMIFS(P:P,A:A,A1285)/VLOOKUP("USD",'Exchange Rates'!B:C,2,0)))/S1285,"."),".")</f>
        <v>.</v>
      </c>
      <c r="AZ1285" s="182" t="str">
        <f>IF(AND(AD1285=1,D1285="Military",H1285&lt;&gt;"Not given")=TRUE,IF(SUMIFS(P:P,A:A,A1285)&gt;0,IF((ABS((SUMIFS(P:P,A:A,A1285)/VLOOKUP("USD",'Exchange Rates'!B:C,2,0)))/S1285)&gt;1,(SUMIFS(P:P,A:A,A1285)-S1285)/S1285,(S1285-SUMIFS(P:P,A:A,A1285))/SUMIFS(P:P,A:A,A1285)),"."),".")</f>
        <v>.</v>
      </c>
      <c r="BA1285" s="182"/>
      <c r="BB1285" s="182"/>
      <c r="BC1285" s="182"/>
      <c r="BD1285" s="182"/>
      <c r="BE1285" s="182"/>
      <c r="BF1285" s="182"/>
      <c r="BG1285" s="182"/>
      <c r="BH1285" s="182"/>
      <c r="BI1285" s="182"/>
      <c r="BJ1285" s="182"/>
      <c r="BK1285" s="182"/>
      <c r="BL1285" s="182"/>
      <c r="BM1285" s="182"/>
      <c r="BN1285" s="182"/>
      <c r="BO1285" s="182"/>
      <c r="BP1285" s="182"/>
      <c r="BQ1285" s="182"/>
      <c r="BR1285" s="182"/>
      <c r="BS1285" s="182"/>
    </row>
    <row r="1286" spans="1:71" ht="15.9" customHeight="1" x14ac:dyDescent="0.3">
      <c r="A1286" s="19" t="s">
        <v>3370</v>
      </c>
      <c r="B1286" s="19" t="s">
        <v>3038</v>
      </c>
      <c r="C1286" s="555">
        <v>44838</v>
      </c>
      <c r="D1286" s="19" t="s">
        <v>285</v>
      </c>
      <c r="E1286" s="19" t="s">
        <v>286</v>
      </c>
      <c r="F1286" s="1139" t="s">
        <v>3372</v>
      </c>
      <c r="G1286" s="15" t="s">
        <v>346</v>
      </c>
      <c r="H1286" s="200">
        <v>625000000</v>
      </c>
      <c r="I1286" s="19" t="s">
        <v>3241</v>
      </c>
      <c r="J1286" s="113" t="str">
        <f>VLOOKUP($I1286,'Price List, Weapons &amp; Items'!B:C,2,0)</f>
        <v>Heavy Weapon</v>
      </c>
      <c r="K1286" s="113" t="str">
        <f>IF(I1286=".",I1286,VLOOKUP($I1286,'Price List, Weapons &amp; Items'!B:D,3,0))</f>
        <v>non combat military vehicle</v>
      </c>
      <c r="L1286" s="177">
        <f>VLOOKUP(I1286,'Price List, Weapons &amp; Items'!B:E,4,0)</f>
        <v>0</v>
      </c>
      <c r="M1286" s="542">
        <v>200</v>
      </c>
      <c r="N1286" s="542" t="s">
        <v>270</v>
      </c>
      <c r="O1286" s="543">
        <f>VLOOKUP($I1286,'Price List, Weapons &amp; Items'!B:G,6,0)</f>
        <v>405530</v>
      </c>
      <c r="P1286" s="176">
        <f t="shared" si="302"/>
        <v>81106000</v>
      </c>
      <c r="Q1286" s="176" t="str">
        <f t="shared" si="303"/>
        <v>.</v>
      </c>
      <c r="R1286" s="176" t="str">
        <f t="shared" si="304"/>
        <v/>
      </c>
      <c r="S1286" s="176" t="str">
        <f>IF(AND(AD1286=1,R1286&lt;&gt;".")=TRUE,R1286/VLOOKUP(G1286,'Exchange Rates'!B:C,2,0),IF(R1286=".",".",""))</f>
        <v/>
      </c>
      <c r="T1286" s="176" t="str">
        <f>IF(AD1286=1,IF(AF1286="Value is not given at all",".",IF(AF1286="Value is given by the source",S1286,IF(AF1286="Value is calculated with prices",(IF(SUMIFS(Q:Q,A:A,A1286)&gt;0,SUMIFS(Q:Q,A:A,A1286),"."))/VLOOKUP("USD",'Exchange Rates'!B:C,2,0),"Error with coding"))),"")</f>
        <v/>
      </c>
      <c r="U1286" s="15" t="s">
        <v>261</v>
      </c>
      <c r="V1286" s="305" t="s">
        <v>3373</v>
      </c>
      <c r="W1286" s="814" t="s">
        <v>3059</v>
      </c>
      <c r="X1286" s="665" t="s">
        <v>3062</v>
      </c>
      <c r="Y1286" s="671" t="s">
        <v>3072</v>
      </c>
      <c r="Z1286" s="15">
        <v>0</v>
      </c>
      <c r="AA1286" s="180">
        <v>0</v>
      </c>
      <c r="AB1286" s="669" t="s">
        <v>260</v>
      </c>
      <c r="AC1286" s="544" t="str">
        <f>""</f>
        <v/>
      </c>
      <c r="AD1286" s="181">
        <v>0</v>
      </c>
      <c r="AE1286" s="181" t="s">
        <v>264</v>
      </c>
      <c r="AF1286" s="181" t="s">
        <v>265</v>
      </c>
      <c r="AG1286" s="181">
        <v>1</v>
      </c>
      <c r="AH1286" s="181">
        <v>10</v>
      </c>
      <c r="AI1286" s="181">
        <v>0</v>
      </c>
      <c r="AJ1286" s="181">
        <f>VLOOKUP($I1286,'Price List, Weapons &amp; Items'!B:F,5,0)</f>
        <v>0</v>
      </c>
      <c r="AK1286" s="181">
        <f t="shared" si="305"/>
        <v>0</v>
      </c>
      <c r="AL1286" s="181">
        <f t="shared" si="306"/>
        <v>0</v>
      </c>
      <c r="AM1286" s="181">
        <f t="shared" si="307"/>
        <v>0</v>
      </c>
      <c r="AN1286" s="180" t="str">
        <f>VLOOKUP($I1286,'Price List, Weapons &amp; Items'!B:L,COLUMN('Price List, Weapons &amp; Items'!$J$11)-1,0)</f>
        <v>Contract</v>
      </c>
      <c r="AO1286" s="180" t="str">
        <f>IF(I1286=".",".",VLOOKUP($I1286,'Price List, Weapons &amp; Items'!B:J,3,0))</f>
        <v>non combat military vehicle</v>
      </c>
      <c r="AP1286" s="545" t="str">
        <f t="shared" ca="1" si="301"/>
        <v/>
      </c>
      <c r="AQ1286" s="180">
        <f>VLOOKUP($I1286,'Price List, Weapons &amp; Items'!B:L,COLUMN('Price List, Weapons &amp; Items'!$L$11)-1,0)</f>
        <v>2</v>
      </c>
      <c r="AR1286" s="180">
        <f t="shared" si="308"/>
        <v>1</v>
      </c>
      <c r="AS1286" s="180">
        <f t="shared" si="309"/>
        <v>1</v>
      </c>
      <c r="AT1286" s="180">
        <f t="shared" si="310"/>
        <v>1</v>
      </c>
      <c r="AU1286" s="180" t="str">
        <f t="shared" si="321"/>
        <v>.</v>
      </c>
      <c r="AV1286" s="180" t="str">
        <f t="shared" si="320"/>
        <v>.</v>
      </c>
      <c r="AW1286" s="180">
        <f>IFERROR(VLOOKUP(B1286,'Share, Heavy Weapons to Ukraine'!B:J,COLUMN('Share, Heavy Weapons to Ukraine'!C1296)-1,0),0)</f>
        <v>1</v>
      </c>
      <c r="AX1286" s="180">
        <f>VLOOKUP('Bilateral Assistance, MAIN DATA'!B1286,'Country Summary'!B:F,COLUMN('Country Summary'!C1299)-1,FALSE)</f>
        <v>0</v>
      </c>
      <c r="AY1286" s="180" t="str">
        <f>IF(AND(AD1286=1,D1286="Military",H1286&lt;&gt;"Not given")=TRUE,IF(SUMIFS(P:P,A:A,A1286)&gt;0,ABS((SUMIFS(P:P,A:A,A1286)/VLOOKUP("USD",'Exchange Rates'!B:C,2,0)))/S1286,"."),".")</f>
        <v>.</v>
      </c>
      <c r="AZ1286" s="182" t="str">
        <f>IF(AND(AD1286=1,D1286="Military",H1286&lt;&gt;"Not given")=TRUE,IF(SUMIFS(P:P,A:A,A1286)&gt;0,IF((ABS((SUMIFS(P:P,A:A,A1286)/VLOOKUP("USD",'Exchange Rates'!B:C,2,0)))/S1286)&gt;1,(SUMIFS(P:P,A:A,A1286)-S1286)/S1286,(S1286-SUMIFS(P:P,A:A,A1286))/SUMIFS(P:P,A:A,A1286)),"."),".")</f>
        <v>.</v>
      </c>
      <c r="BA1286" s="182"/>
      <c r="BB1286" s="182"/>
      <c r="BC1286" s="182"/>
      <c r="BD1286" s="182"/>
      <c r="BE1286" s="182"/>
      <c r="BF1286" s="182"/>
      <c r="BG1286" s="182"/>
      <c r="BH1286" s="182"/>
      <c r="BI1286" s="182"/>
      <c r="BJ1286" s="182"/>
      <c r="BK1286" s="182"/>
      <c r="BL1286" s="182"/>
      <c r="BM1286" s="182"/>
      <c r="BN1286" s="182"/>
      <c r="BO1286" s="182"/>
      <c r="BP1286" s="182"/>
      <c r="BQ1286" s="182"/>
      <c r="BR1286" s="182"/>
      <c r="BS1286" s="182"/>
    </row>
    <row r="1287" spans="1:71" ht="15.9" customHeight="1" x14ac:dyDescent="0.3">
      <c r="A1287" s="19" t="s">
        <v>3370</v>
      </c>
      <c r="B1287" s="19" t="s">
        <v>3038</v>
      </c>
      <c r="C1287" s="555">
        <v>44838</v>
      </c>
      <c r="D1287" s="19" t="s">
        <v>285</v>
      </c>
      <c r="E1287" s="19" t="s">
        <v>286</v>
      </c>
      <c r="F1287" s="1139" t="s">
        <v>3372</v>
      </c>
      <c r="G1287" s="15" t="s">
        <v>346</v>
      </c>
      <c r="H1287" s="200">
        <v>625000000</v>
      </c>
      <c r="I1287" s="17" t="s">
        <v>2946</v>
      </c>
      <c r="J1287" s="113" t="str">
        <f>VLOOKUP($I1287,'Price List, Weapons &amp; Items'!B:C,2,0)</f>
        <v>Ammunition for heavy weapon</v>
      </c>
      <c r="K1287" s="113" t="str">
        <f>IF(I1287=".",I1287,VLOOKUP($I1287,'Price List, Weapons &amp; Items'!B:D,3,0))</f>
        <v>howitzer ammunition</v>
      </c>
      <c r="L1287" s="177">
        <f>VLOOKUP(I1287,'Price List, Weapons &amp; Items'!B:E,4,0)</f>
        <v>0</v>
      </c>
      <c r="M1287" s="542" t="s">
        <v>270</v>
      </c>
      <c r="N1287" s="542" t="s">
        <v>270</v>
      </c>
      <c r="O1287" s="543">
        <f>VLOOKUP($I1287,'Price List, Weapons &amp; Items'!B:G,6,0)</f>
        <v>2000</v>
      </c>
      <c r="P1287" s="176" t="str">
        <f t="shared" si="302"/>
        <v>.</v>
      </c>
      <c r="Q1287" s="176" t="str">
        <f t="shared" si="303"/>
        <v>.</v>
      </c>
      <c r="R1287" s="176" t="str">
        <f t="shared" si="304"/>
        <v/>
      </c>
      <c r="S1287" s="176" t="str">
        <f>IF(AND(AD1287=1,R1287&lt;&gt;".")=TRUE,R1287/VLOOKUP(G1287,'Exchange Rates'!B:C,2,0),IF(R1287=".",".",""))</f>
        <v/>
      </c>
      <c r="T1287" s="176" t="str">
        <f>IF(AD1287=1,IF(AF1287="Value is not given at all",".",IF(AF1287="Value is given by the source",S1287,IF(AF1287="Value is calculated with prices",(IF(SUMIFS(Q:Q,A:A,A1287)&gt;0,SUMIFS(Q:Q,A:A,A1287),"."))/VLOOKUP("USD",'Exchange Rates'!B:C,2,0),"Error with coding"))),"")</f>
        <v/>
      </c>
      <c r="U1287" s="15" t="s">
        <v>261</v>
      </c>
      <c r="V1287" s="305" t="s">
        <v>3373</v>
      </c>
      <c r="W1287" s="814" t="s">
        <v>3059</v>
      </c>
      <c r="X1287" s="665" t="s">
        <v>3062</v>
      </c>
      <c r="Y1287" s="671" t="s">
        <v>3074</v>
      </c>
      <c r="Z1287" s="15">
        <v>0</v>
      </c>
      <c r="AA1287" s="180">
        <v>0</v>
      </c>
      <c r="AB1287" s="669" t="s">
        <v>260</v>
      </c>
      <c r="AC1287" s="544" t="str">
        <f>""</f>
        <v/>
      </c>
      <c r="AD1287" s="181">
        <v>0</v>
      </c>
      <c r="AE1287" s="181" t="s">
        <v>264</v>
      </c>
      <c r="AF1287" s="181" t="s">
        <v>265</v>
      </c>
      <c r="AG1287" s="181">
        <v>1</v>
      </c>
      <c r="AH1287" s="181">
        <v>10</v>
      </c>
      <c r="AI1287" s="181">
        <v>0</v>
      </c>
      <c r="AJ1287" s="181">
        <f>VLOOKUP($I1287,'Price List, Weapons &amp; Items'!B:F,5,0)</f>
        <v>0</v>
      </c>
      <c r="AK1287" s="181">
        <f t="shared" si="305"/>
        <v>0</v>
      </c>
      <c r="AL1287" s="181">
        <f t="shared" si="306"/>
        <v>0</v>
      </c>
      <c r="AM1287" s="181">
        <f t="shared" si="307"/>
        <v>0</v>
      </c>
      <c r="AN1287" s="180" t="str">
        <f>VLOOKUP($I1287,'Price List, Weapons &amp; Items'!B:L,COLUMN('Price List, Weapons &amp; Items'!$J$11)-1,0)</f>
        <v>Media reports (incl. social media)</v>
      </c>
      <c r="AO1287" s="180" t="str">
        <f>IF(I1287=".",".",VLOOKUP($I1287,'Price List, Weapons &amp; Items'!B:J,3,0))</f>
        <v>howitzer ammunition</v>
      </c>
      <c r="AP1287" s="545" t="str">
        <f t="shared" ca="1" si="301"/>
        <v/>
      </c>
      <c r="AQ1287" s="180">
        <f>VLOOKUP($I1287,'Price List, Weapons &amp; Items'!B:L,COLUMN('Price List, Weapons &amp; Items'!$L$11)-1,0)</f>
        <v>2</v>
      </c>
      <c r="AR1287" s="180">
        <f t="shared" si="308"/>
        <v>1</v>
      </c>
      <c r="AS1287" s="180">
        <f t="shared" si="309"/>
        <v>1</v>
      </c>
      <c r="AT1287" s="180">
        <f t="shared" si="310"/>
        <v>1</v>
      </c>
      <c r="AU1287" s="180" t="str">
        <f t="shared" si="321"/>
        <v>.</v>
      </c>
      <c r="AV1287" s="180" t="str">
        <f t="shared" si="320"/>
        <v>.</v>
      </c>
      <c r="AW1287" s="180">
        <f>IFERROR(VLOOKUP(B1287,'Share, Heavy Weapons to Ukraine'!B:J,COLUMN('Share, Heavy Weapons to Ukraine'!C1297)-1,0),0)</f>
        <v>1</v>
      </c>
      <c r="AX1287" s="180">
        <f>VLOOKUP('Bilateral Assistance, MAIN DATA'!B1287,'Country Summary'!B:F,COLUMN('Country Summary'!C1300)-1,FALSE)</f>
        <v>0</v>
      </c>
      <c r="AY1287" s="180" t="str">
        <f>IF(AND(AD1287=1,D1287="Military",H1287&lt;&gt;"Not given")=TRUE,IF(SUMIFS(P:P,A:A,A1287)&gt;0,ABS((SUMIFS(P:P,A:A,A1287)/VLOOKUP("USD",'Exchange Rates'!B:C,2,0)))/S1287,"."),".")</f>
        <v>.</v>
      </c>
      <c r="AZ1287" s="182" t="str">
        <f>IF(AND(AD1287=1,D1287="Military",H1287&lt;&gt;"Not given")=TRUE,IF(SUMIFS(P:P,A:A,A1287)&gt;0,IF((ABS((SUMIFS(P:P,A:A,A1287)/VLOOKUP("USD",'Exchange Rates'!B:C,2,0)))/S1287)&gt;1,(SUMIFS(P:P,A:A,A1287)-S1287)/S1287,(S1287-SUMIFS(P:P,A:A,A1287))/SUMIFS(P:P,A:A,A1287)),"."),".")</f>
        <v>.</v>
      </c>
      <c r="BA1287" s="182"/>
      <c r="BB1287" s="182"/>
      <c r="BC1287" s="182"/>
      <c r="BD1287" s="182"/>
      <c r="BE1287" s="182"/>
      <c r="BF1287" s="182"/>
      <c r="BG1287" s="182"/>
      <c r="BH1287" s="182"/>
      <c r="BI1287" s="182"/>
      <c r="BJ1287" s="182"/>
      <c r="BK1287" s="182"/>
      <c r="BL1287" s="182"/>
      <c r="BM1287" s="182"/>
      <c r="BN1287" s="182"/>
      <c r="BO1287" s="182"/>
      <c r="BP1287" s="182"/>
      <c r="BQ1287" s="182"/>
      <c r="BR1287" s="182"/>
      <c r="BS1287" s="182"/>
    </row>
    <row r="1288" spans="1:71" ht="15.9" customHeight="1" x14ac:dyDescent="0.3">
      <c r="A1288" s="19" t="s">
        <v>3370</v>
      </c>
      <c r="B1288" s="19" t="s">
        <v>3038</v>
      </c>
      <c r="C1288" s="555">
        <v>44838</v>
      </c>
      <c r="D1288" s="19" t="s">
        <v>285</v>
      </c>
      <c r="E1288" s="19" t="s">
        <v>286</v>
      </c>
      <c r="F1288" s="1139" t="s">
        <v>3372</v>
      </c>
      <c r="G1288" s="15" t="s">
        <v>346</v>
      </c>
      <c r="H1288" s="200">
        <v>625000000</v>
      </c>
      <c r="I1288" s="17" t="s">
        <v>3220</v>
      </c>
      <c r="J1288" s="113" t="str">
        <f>VLOOKUP($I1288,'Price List, Weapons &amp; Items'!B:C,2,0)</f>
        <v>Ammunition for light infantry</v>
      </c>
      <c r="K1288" s="113" t="str">
        <f>IF(I1288=".",I1288,VLOOKUP($I1288,'Price List, Weapons &amp; Items'!B:D,3,0))</f>
        <v>Mortar ammunition</v>
      </c>
      <c r="L1288" s="177">
        <f>VLOOKUP(I1288,'Price List, Weapons &amp; Items'!B:E,4,0)</f>
        <v>0</v>
      </c>
      <c r="M1288" s="542" t="s">
        <v>270</v>
      </c>
      <c r="N1288" s="542" t="s">
        <v>270</v>
      </c>
      <c r="O1288" s="543">
        <f>VLOOKUP($I1288,'Price List, Weapons &amp; Items'!B:G,6,0)</f>
        <v>109.89</v>
      </c>
      <c r="P1288" s="176" t="str">
        <f t="shared" si="302"/>
        <v>.</v>
      </c>
      <c r="Q1288" s="176" t="str">
        <f t="shared" si="303"/>
        <v>.</v>
      </c>
      <c r="R1288" s="176" t="str">
        <f t="shared" si="304"/>
        <v/>
      </c>
      <c r="S1288" s="176" t="str">
        <f>IF(AND(AD1288=1,R1288&lt;&gt;".")=TRUE,R1288/VLOOKUP(G1288,'Exchange Rates'!B:C,2,0),IF(R1288=".",".",""))</f>
        <v/>
      </c>
      <c r="T1288" s="176" t="str">
        <f>IF(AD1288=1,IF(AF1288="Value is not given at all",".",IF(AF1288="Value is given by the source",S1288,IF(AF1288="Value is calculated with prices",(IF(SUMIFS(Q:Q,A:A,A1288)&gt;0,SUMIFS(Q:Q,A:A,A1288),"."))/VLOOKUP("USD",'Exchange Rates'!B:C,2,0),"Error with coding"))),"")</f>
        <v/>
      </c>
      <c r="U1288" s="15" t="s">
        <v>261</v>
      </c>
      <c r="V1288" s="305" t="s">
        <v>3373</v>
      </c>
      <c r="W1288" s="814" t="s">
        <v>3059</v>
      </c>
      <c r="X1288" s="665" t="s">
        <v>3062</v>
      </c>
      <c r="Y1288" s="671" t="s">
        <v>3077</v>
      </c>
      <c r="Z1288" s="15">
        <v>0</v>
      </c>
      <c r="AA1288" s="180">
        <v>0</v>
      </c>
      <c r="AB1288" s="669" t="s">
        <v>260</v>
      </c>
      <c r="AC1288" s="544" t="str">
        <f>""</f>
        <v/>
      </c>
      <c r="AD1288" s="181">
        <v>0</v>
      </c>
      <c r="AE1288" s="181" t="s">
        <v>264</v>
      </c>
      <c r="AF1288" s="181" t="s">
        <v>265</v>
      </c>
      <c r="AG1288" s="181">
        <v>1</v>
      </c>
      <c r="AH1288" s="181">
        <v>10</v>
      </c>
      <c r="AI1288" s="181">
        <v>0</v>
      </c>
      <c r="AJ1288" s="181">
        <f>VLOOKUP($I1288,'Price List, Weapons &amp; Items'!B:F,5,0)</f>
        <v>0</v>
      </c>
      <c r="AK1288" s="181">
        <f t="shared" si="305"/>
        <v>0</v>
      </c>
      <c r="AL1288" s="181">
        <f t="shared" si="306"/>
        <v>0</v>
      </c>
      <c r="AM1288" s="181">
        <f t="shared" si="307"/>
        <v>1</v>
      </c>
      <c r="AN1288" s="180" t="str">
        <f>VLOOKUP($I1288,'Price List, Weapons &amp; Items'!B:L,COLUMN('Price List, Weapons &amp; Items'!$J$11)-1,0)</f>
        <v>Government information</v>
      </c>
      <c r="AO1288" s="180" t="str">
        <f>IF(I1288=".",".",VLOOKUP($I1288,'Price List, Weapons &amp; Items'!B:J,3,0))</f>
        <v>Mortar ammunition</v>
      </c>
      <c r="AP1288" s="545" t="str">
        <f t="shared" ca="1" si="301"/>
        <v/>
      </c>
      <c r="AQ1288" s="180">
        <f>VLOOKUP($I1288,'Price List, Weapons &amp; Items'!B:L,COLUMN('Price List, Weapons &amp; Items'!$L$11)-1,0)</f>
        <v>2</v>
      </c>
      <c r="AR1288" s="180">
        <f t="shared" si="308"/>
        <v>1</v>
      </c>
      <c r="AS1288" s="180">
        <f t="shared" si="309"/>
        <v>1</v>
      </c>
      <c r="AT1288" s="180">
        <f t="shared" si="310"/>
        <v>1</v>
      </c>
      <c r="AU1288" s="180" t="str">
        <f t="shared" si="321"/>
        <v>.</v>
      </c>
      <c r="AV1288" s="180" t="str">
        <f t="shared" si="320"/>
        <v>.</v>
      </c>
      <c r="AW1288" s="180">
        <f>IFERROR(VLOOKUP(B1288,'Share, Heavy Weapons to Ukraine'!B:J,COLUMN('Share, Heavy Weapons to Ukraine'!C1298)-1,0),0)</f>
        <v>1</v>
      </c>
      <c r="AX1288" s="180">
        <f>VLOOKUP('Bilateral Assistance, MAIN DATA'!B1288,'Country Summary'!B:F,COLUMN('Country Summary'!C1301)-1,FALSE)</f>
        <v>0</v>
      </c>
      <c r="AY1288" s="180" t="str">
        <f>IF(AND(AD1288=1,D1288="Military",H1288&lt;&gt;"Not given")=TRUE,IF(SUMIFS(P:P,A:A,A1288)&gt;0,ABS((SUMIFS(P:P,A:A,A1288)/VLOOKUP("USD",'Exchange Rates'!B:C,2,0)))/S1288,"."),".")</f>
        <v>.</v>
      </c>
      <c r="AZ1288" s="182" t="str">
        <f>IF(AND(AD1288=1,D1288="Military",H1288&lt;&gt;"Not given")=TRUE,IF(SUMIFS(P:P,A:A,A1288)&gt;0,IF((ABS((SUMIFS(P:P,A:A,A1288)/VLOOKUP("USD",'Exchange Rates'!B:C,2,0)))/S1288)&gt;1,(SUMIFS(P:P,A:A,A1288)-S1288)/S1288,(S1288-SUMIFS(P:P,A:A,A1288))/SUMIFS(P:P,A:A,A1288)),"."),".")</f>
        <v>.</v>
      </c>
      <c r="BA1288" s="182"/>
      <c r="BB1288" s="182"/>
      <c r="BC1288" s="182"/>
      <c r="BD1288" s="182"/>
      <c r="BE1288" s="182"/>
      <c r="BF1288" s="182"/>
      <c r="BG1288" s="182"/>
      <c r="BH1288" s="182"/>
      <c r="BI1288" s="182"/>
      <c r="BJ1288" s="182"/>
      <c r="BK1288" s="182"/>
      <c r="BL1288" s="182"/>
      <c r="BM1288" s="182"/>
      <c r="BN1288" s="182"/>
      <c r="BO1288" s="182"/>
      <c r="BP1288" s="182"/>
      <c r="BQ1288" s="182"/>
      <c r="BR1288" s="182"/>
      <c r="BS1288" s="182"/>
    </row>
    <row r="1289" spans="1:71" ht="15.9" customHeight="1" x14ac:dyDescent="0.3">
      <c r="A1289" s="19" t="s">
        <v>3370</v>
      </c>
      <c r="B1289" s="19" t="s">
        <v>3038</v>
      </c>
      <c r="C1289" s="555">
        <v>44848</v>
      </c>
      <c r="D1289" s="19" t="s">
        <v>285</v>
      </c>
      <c r="E1289" s="19" t="s">
        <v>286</v>
      </c>
      <c r="F1289" s="1139" t="s">
        <v>3374</v>
      </c>
      <c r="G1289" s="15" t="s">
        <v>346</v>
      </c>
      <c r="H1289" s="200">
        <v>725000000</v>
      </c>
      <c r="I1289" s="17" t="s">
        <v>3172</v>
      </c>
      <c r="J1289" s="113" t="str">
        <f>VLOOKUP($I1289,'Price List, Weapons &amp; Items'!B:C,2,0)</f>
        <v>Ammunition for heavy weapon</v>
      </c>
      <c r="K1289" s="113" t="str">
        <f>IF(I1289=".",I1289,VLOOKUP($I1289,'Price List, Weapons &amp; Items'!B:D,3,0))</f>
        <v>227mm MLRS ammunition</v>
      </c>
      <c r="L1289" s="177">
        <f>VLOOKUP(I1289,'Price List, Weapons &amp; Items'!B:E,4,0)</f>
        <v>0</v>
      </c>
      <c r="M1289" s="542" t="s">
        <v>270</v>
      </c>
      <c r="N1289" s="542" t="s">
        <v>270</v>
      </c>
      <c r="O1289" s="543">
        <f>VLOOKUP($I1289,'Price List, Weapons &amp; Items'!B:G,6,0)</f>
        <v>150000</v>
      </c>
      <c r="P1289" s="176" t="str">
        <f t="shared" si="302"/>
        <v>.</v>
      </c>
      <c r="Q1289" s="176" t="str">
        <f t="shared" si="303"/>
        <v>.</v>
      </c>
      <c r="R1289" s="176" t="str">
        <f t="shared" si="304"/>
        <v/>
      </c>
      <c r="S1289" s="176" t="str">
        <f>IF(AND(AD1289=1,R1289&lt;&gt;".")=TRUE,R1289/VLOOKUP(G1289,'Exchange Rates'!B:C,2,0),IF(R1289=".",".",""))</f>
        <v/>
      </c>
      <c r="T1289" s="176" t="str">
        <f>IF(AD1289=1,IF(AF1289="Value is not given at all",".",IF(AF1289="Value is given by the source",S1289,IF(AF1289="Value is calculated with prices",(IF(SUMIFS(Q:Q,A:A,A1289)&gt;0,SUMIFS(Q:Q,A:A,A1289),"."))/VLOOKUP("USD",'Exchange Rates'!B:C,2,0),"Error with coding"))),"")</f>
        <v/>
      </c>
      <c r="U1289" s="15" t="s">
        <v>261</v>
      </c>
      <c r="V1289" s="304" t="s">
        <v>3375</v>
      </c>
      <c r="W1289" s="814" t="s">
        <v>3059</v>
      </c>
      <c r="X1289" s="665" t="s">
        <v>3062</v>
      </c>
      <c r="Y1289" s="671" t="s">
        <v>3078</v>
      </c>
      <c r="Z1289" s="15">
        <v>0</v>
      </c>
      <c r="AA1289" s="180">
        <v>0</v>
      </c>
      <c r="AB1289" s="669" t="s">
        <v>260</v>
      </c>
      <c r="AC1289" s="544" t="str">
        <f>""</f>
        <v/>
      </c>
      <c r="AD1289" s="181">
        <v>0</v>
      </c>
      <c r="AE1289" s="181" t="s">
        <v>264</v>
      </c>
      <c r="AF1289" s="181" t="s">
        <v>265</v>
      </c>
      <c r="AG1289" s="181">
        <v>1</v>
      </c>
      <c r="AH1289" s="181">
        <v>10</v>
      </c>
      <c r="AI1289" s="181">
        <v>0</v>
      </c>
      <c r="AJ1289" s="181">
        <f>VLOOKUP($I1289,'Price List, Weapons &amp; Items'!B:F,5,0)</f>
        <v>1</v>
      </c>
      <c r="AK1289" s="181">
        <f t="shared" si="305"/>
        <v>1</v>
      </c>
      <c r="AL1289" s="181">
        <f t="shared" si="306"/>
        <v>1</v>
      </c>
      <c r="AM1289" s="181">
        <f t="shared" si="307"/>
        <v>1</v>
      </c>
      <c r="AN1289" s="180" t="str">
        <f>VLOOKUP($I1289,'Price List, Weapons &amp; Items'!B:L,COLUMN('Price List, Weapons &amp; Items'!$J$11)-1,0)</f>
        <v>Media reports (incl. social media)</v>
      </c>
      <c r="AO1289" s="180" t="str">
        <f>IF(I1289=".",".",VLOOKUP($I1289,'Price List, Weapons &amp; Items'!B:J,3,0))</f>
        <v>227mm MLRS ammunition</v>
      </c>
      <c r="AP1289" s="545" t="str">
        <f t="shared" ca="1" si="301"/>
        <v/>
      </c>
      <c r="AQ1289" s="180" t="str">
        <f>VLOOKUP($I1289,'Price List, Weapons &amp; Items'!B:L,COLUMN('Price List, Weapons &amp; Items'!$L$11)-1,0)</f>
        <v>no price, 0 count</v>
      </c>
      <c r="AR1289" s="180">
        <f t="shared" si="308"/>
        <v>1</v>
      </c>
      <c r="AS1289" s="180">
        <f t="shared" si="309"/>
        <v>1</v>
      </c>
      <c r="AT1289" s="180">
        <f t="shared" si="310"/>
        <v>1</v>
      </c>
      <c r="AU1289" s="180" t="str">
        <f t="shared" si="321"/>
        <v>.</v>
      </c>
      <c r="AV1289" s="180" t="str">
        <f t="shared" si="320"/>
        <v>.</v>
      </c>
      <c r="AW1289" s="180">
        <f>IFERROR(VLOOKUP(B1289,'Share, Heavy Weapons to Ukraine'!B:J,COLUMN('Share, Heavy Weapons to Ukraine'!C1299)-1,0),0)</f>
        <v>1</v>
      </c>
      <c r="AX1289" s="180">
        <f>VLOOKUP('Bilateral Assistance, MAIN DATA'!B1289,'Country Summary'!B:F,COLUMN('Country Summary'!C1302)-1,FALSE)</f>
        <v>0</v>
      </c>
      <c r="AY1289" s="180" t="str">
        <f>IF(AND(AD1289=1,D1289="Military",H1289&lt;&gt;"Not given")=TRUE,IF(SUMIFS(P:P,A:A,A1289)&gt;0,ABS((SUMIFS(P:P,A:A,A1289)/VLOOKUP("USD",'Exchange Rates'!B:C,2,0)))/S1289,"."),".")</f>
        <v>.</v>
      </c>
      <c r="AZ1289" s="182" t="str">
        <f>IF(AND(AD1289=1,D1289="Military",H1289&lt;&gt;"Not given")=TRUE,IF(SUMIFS(P:P,A:A,A1289)&gt;0,IF((ABS((SUMIFS(P:P,A:A,A1289)/VLOOKUP("USD",'Exchange Rates'!B:C,2,0)))/S1289)&gt;1,(SUMIFS(P:P,A:A,A1289)-S1289)/S1289,(S1289-SUMIFS(P:P,A:A,A1289))/SUMIFS(P:P,A:A,A1289)),"."),".")</f>
        <v>.</v>
      </c>
      <c r="BA1289" s="182"/>
      <c r="BB1289" s="182"/>
      <c r="BC1289" s="182"/>
      <c r="BD1289" s="182"/>
      <c r="BE1289" s="182"/>
      <c r="BF1289" s="182"/>
      <c r="BG1289" s="182"/>
      <c r="BH1289" s="182"/>
      <c r="BI1289" s="182"/>
      <c r="BJ1289" s="182"/>
      <c r="BK1289" s="182"/>
      <c r="BL1289" s="182"/>
      <c r="BM1289" s="182"/>
      <c r="BN1289" s="182"/>
      <c r="BO1289" s="182"/>
      <c r="BP1289" s="182"/>
      <c r="BQ1289" s="182"/>
      <c r="BR1289" s="182"/>
      <c r="BS1289" s="182"/>
    </row>
    <row r="1290" spans="1:71" ht="15.9" customHeight="1" x14ac:dyDescent="0.3">
      <c r="A1290" s="19" t="s">
        <v>3370</v>
      </c>
      <c r="B1290" s="19" t="s">
        <v>3038</v>
      </c>
      <c r="C1290" s="555">
        <v>44848</v>
      </c>
      <c r="D1290" s="19" t="s">
        <v>285</v>
      </c>
      <c r="E1290" s="19" t="s">
        <v>286</v>
      </c>
      <c r="F1290" s="1139" t="s">
        <v>3374</v>
      </c>
      <c r="G1290" s="15" t="s">
        <v>346</v>
      </c>
      <c r="H1290" s="200">
        <v>725000000</v>
      </c>
      <c r="I1290" s="17" t="s">
        <v>644</v>
      </c>
      <c r="J1290" s="113" t="str">
        <f>VLOOKUP($I1290,'Price List, Weapons &amp; Items'!B:C,2,0)</f>
        <v>Ammunition for heavy weapon</v>
      </c>
      <c r="K1290" s="113" t="str">
        <f>IF(I1290=".",I1290,VLOOKUP($I1290,'Price List, Weapons &amp; Items'!B:D,3,0))</f>
        <v>155mm howitzer ammunition</v>
      </c>
      <c r="L1290" s="177">
        <f>VLOOKUP(I1290,'Price List, Weapons &amp; Items'!B:E,4,0)</f>
        <v>0</v>
      </c>
      <c r="M1290" s="542">
        <v>23000</v>
      </c>
      <c r="N1290" s="542" t="s">
        <v>270</v>
      </c>
      <c r="O1290" s="543">
        <f>VLOOKUP($I1290,'Price List, Weapons &amp; Items'!B:G,6,0)</f>
        <v>3800</v>
      </c>
      <c r="P1290" s="176">
        <f t="shared" si="302"/>
        <v>87400000</v>
      </c>
      <c r="Q1290" s="176" t="str">
        <f t="shared" si="303"/>
        <v>.</v>
      </c>
      <c r="R1290" s="176" t="str">
        <f t="shared" si="304"/>
        <v/>
      </c>
      <c r="S1290" s="176" t="str">
        <f>IF(AND(AD1290=1,R1290&lt;&gt;".")=TRUE,R1290/VLOOKUP(G1290,'Exchange Rates'!B:C,2,0),IF(R1290=".",".",""))</f>
        <v/>
      </c>
      <c r="T1290" s="176" t="str">
        <f>IF(AD1290=1,IF(AF1290="Value is not given at all",".",IF(AF1290="Value is given by the source",S1290,IF(AF1290="Value is calculated with prices",(IF(SUMIFS(Q:Q,A:A,A1290)&gt;0,SUMIFS(Q:Q,A:A,A1290),"."))/VLOOKUP("USD",'Exchange Rates'!B:C,2,0),"Error with coding"))),"")</f>
        <v/>
      </c>
      <c r="U1290" s="15" t="s">
        <v>261</v>
      </c>
      <c r="V1290" s="304" t="s">
        <v>3375</v>
      </c>
      <c r="W1290" s="814" t="s">
        <v>3059</v>
      </c>
      <c r="X1290" s="665" t="s">
        <v>3062</v>
      </c>
      <c r="Y1290" s="671" t="s">
        <v>3079</v>
      </c>
      <c r="Z1290" s="15">
        <v>0</v>
      </c>
      <c r="AA1290" s="180">
        <v>0</v>
      </c>
      <c r="AB1290" s="669" t="s">
        <v>260</v>
      </c>
      <c r="AC1290" s="544" t="str">
        <f>""</f>
        <v/>
      </c>
      <c r="AD1290" s="181">
        <v>0</v>
      </c>
      <c r="AE1290" s="181" t="s">
        <v>264</v>
      </c>
      <c r="AF1290" s="181" t="s">
        <v>265</v>
      </c>
      <c r="AG1290" s="181">
        <v>1</v>
      </c>
      <c r="AH1290" s="181">
        <v>10</v>
      </c>
      <c r="AI1290" s="181">
        <v>0</v>
      </c>
      <c r="AJ1290" s="181">
        <f>VLOOKUP($I1290,'Price List, Weapons &amp; Items'!B:F,5,0)</f>
        <v>1</v>
      </c>
      <c r="AK1290" s="181">
        <f t="shared" si="305"/>
        <v>0</v>
      </c>
      <c r="AL1290" s="181">
        <f t="shared" si="306"/>
        <v>1</v>
      </c>
      <c r="AM1290" s="181">
        <f t="shared" si="307"/>
        <v>0</v>
      </c>
      <c r="AN1290" s="180" t="str">
        <f>VLOOKUP($I1290,'Price List, Weapons &amp; Items'!B:L,COLUMN('Price List, Weapons &amp; Items'!$J$11)-1,0)</f>
        <v>Government information</v>
      </c>
      <c r="AO1290" s="180" t="str">
        <f>IF(I1290=".",".",VLOOKUP($I1290,'Price List, Weapons &amp; Items'!B:J,3,0))</f>
        <v>155mm howitzer ammunition</v>
      </c>
      <c r="AP1290" s="545" t="str">
        <f t="shared" ca="1" si="301"/>
        <v/>
      </c>
      <c r="AQ1290" s="180">
        <f>VLOOKUP($I1290,'Price List, Weapons &amp; Items'!B:L,COLUMN('Price List, Weapons &amp; Items'!$L$11)-1,0)</f>
        <v>2</v>
      </c>
      <c r="AR1290" s="180">
        <f t="shared" si="308"/>
        <v>1</v>
      </c>
      <c r="AS1290" s="180">
        <f t="shared" si="309"/>
        <v>1</v>
      </c>
      <c r="AT1290" s="180">
        <f t="shared" si="310"/>
        <v>1</v>
      </c>
      <c r="AU1290" s="180" t="str">
        <f t="shared" si="321"/>
        <v>.</v>
      </c>
      <c r="AV1290" s="180" t="str">
        <f t="shared" si="320"/>
        <v>.</v>
      </c>
      <c r="AW1290" s="180">
        <f>IFERROR(VLOOKUP(B1290,'Share, Heavy Weapons to Ukraine'!B:J,COLUMN('Share, Heavy Weapons to Ukraine'!C1300)-1,0),0)</f>
        <v>1</v>
      </c>
      <c r="AX1290" s="180">
        <f>VLOOKUP('Bilateral Assistance, MAIN DATA'!B1290,'Country Summary'!B:F,COLUMN('Country Summary'!C1303)-1,FALSE)</f>
        <v>0</v>
      </c>
      <c r="AY1290" s="180" t="str">
        <f>IF(AND(AD1290=1,D1290="Military",H1290&lt;&gt;"Not given")=TRUE,IF(SUMIFS(P:P,A:A,A1290)&gt;0,ABS((SUMIFS(P:P,A:A,A1290)/VLOOKUP("USD",'Exchange Rates'!B:C,2,0)))/S1290,"."),".")</f>
        <v>.</v>
      </c>
      <c r="AZ1290" s="182" t="str">
        <f>IF(AND(AD1290=1,D1290="Military",H1290&lt;&gt;"Not given")=TRUE,IF(SUMIFS(P:P,A:A,A1290)&gt;0,IF((ABS((SUMIFS(P:P,A:A,A1290)/VLOOKUP("USD",'Exchange Rates'!B:C,2,0)))/S1290)&gt;1,(SUMIFS(P:P,A:A,A1290)-S1290)/S1290,(S1290-SUMIFS(P:P,A:A,A1290))/SUMIFS(P:P,A:A,A1290)),"."),".")</f>
        <v>.</v>
      </c>
      <c r="BA1290" s="182"/>
      <c r="BB1290" s="182"/>
      <c r="BC1290" s="182"/>
      <c r="BD1290" s="182"/>
      <c r="BE1290" s="182"/>
      <c r="BF1290" s="182"/>
      <c r="BG1290" s="182"/>
      <c r="BH1290" s="182"/>
      <c r="BI1290" s="182"/>
      <c r="BJ1290" s="182"/>
      <c r="BK1290" s="182"/>
      <c r="BL1290" s="182"/>
      <c r="BM1290" s="182"/>
      <c r="BN1290" s="182"/>
      <c r="BO1290" s="182"/>
      <c r="BP1290" s="182"/>
      <c r="BQ1290" s="182"/>
      <c r="BR1290" s="182"/>
      <c r="BS1290" s="182"/>
    </row>
    <row r="1291" spans="1:71" ht="15.9" customHeight="1" x14ac:dyDescent="0.3">
      <c r="A1291" s="19" t="s">
        <v>3370</v>
      </c>
      <c r="B1291" s="19" t="s">
        <v>3038</v>
      </c>
      <c r="C1291" s="555">
        <v>44848</v>
      </c>
      <c r="D1291" s="19" t="s">
        <v>285</v>
      </c>
      <c r="E1291" s="19" t="s">
        <v>286</v>
      </c>
      <c r="F1291" s="1139" t="s">
        <v>3374</v>
      </c>
      <c r="G1291" s="15" t="s">
        <v>346</v>
      </c>
      <c r="H1291" s="200">
        <v>725000000</v>
      </c>
      <c r="I1291" s="17" t="s">
        <v>3376</v>
      </c>
      <c r="J1291" s="113" t="str">
        <f>VLOOKUP($I1291,'Price List, Weapons &amp; Items'!B:C,2,0)</f>
        <v>Ammunition for heavy weapon</v>
      </c>
      <c r="K1291" s="113" t="str">
        <f>IF(I1291=".",I1291,VLOOKUP($I1291,'Price List, Weapons &amp; Items'!B:D,3,0))</f>
        <v>artillery round</v>
      </c>
      <c r="L1291" s="177">
        <f>VLOOKUP(I1291,'Price List, Weapons &amp; Items'!B:E,4,0)</f>
        <v>0</v>
      </c>
      <c r="M1291" s="542">
        <v>500</v>
      </c>
      <c r="N1291" s="542" t="s">
        <v>270</v>
      </c>
      <c r="O1291" s="543">
        <f>VLOOKUP($I1291,'Price List, Weapons &amp; Items'!B:G,6,0)</f>
        <v>112800</v>
      </c>
      <c r="P1291" s="176">
        <f t="shared" si="302"/>
        <v>56400000</v>
      </c>
      <c r="Q1291" s="176" t="str">
        <f t="shared" si="303"/>
        <v>.</v>
      </c>
      <c r="R1291" s="176" t="str">
        <f t="shared" si="304"/>
        <v/>
      </c>
      <c r="S1291" s="176" t="str">
        <f>IF(AND(AD1291=1,R1291&lt;&gt;".")=TRUE,R1291/VLOOKUP(G1291,'Exchange Rates'!B:C,2,0),IF(R1291=".",".",""))</f>
        <v/>
      </c>
      <c r="T1291" s="176" t="str">
        <f>IF(AD1291=1,IF(AF1291="Value is not given at all",".",IF(AF1291="Value is given by the source",S1291,IF(AF1291="Value is calculated with prices",(IF(SUMIFS(Q:Q,A:A,A1291)&gt;0,SUMIFS(Q:Q,A:A,A1291),"."))/VLOOKUP("USD",'Exchange Rates'!B:C,2,0),"Error with coding"))),"")</f>
        <v/>
      </c>
      <c r="U1291" s="15" t="s">
        <v>261</v>
      </c>
      <c r="V1291" s="304" t="s">
        <v>3375</v>
      </c>
      <c r="W1291" s="814" t="s">
        <v>3059</v>
      </c>
      <c r="X1291" s="665" t="s">
        <v>3062</v>
      </c>
      <c r="Y1291" s="671" t="s">
        <v>3081</v>
      </c>
      <c r="Z1291" s="15">
        <v>0</v>
      </c>
      <c r="AA1291" s="180">
        <v>0</v>
      </c>
      <c r="AB1291" s="669" t="s">
        <v>260</v>
      </c>
      <c r="AC1291" s="544" t="str">
        <f>""</f>
        <v/>
      </c>
      <c r="AD1291" s="181">
        <v>0</v>
      </c>
      <c r="AE1291" s="181" t="s">
        <v>264</v>
      </c>
      <c r="AF1291" s="181" t="s">
        <v>265</v>
      </c>
      <c r="AG1291" s="181">
        <v>1</v>
      </c>
      <c r="AH1291" s="181">
        <v>10</v>
      </c>
      <c r="AI1291" s="181">
        <v>0</v>
      </c>
      <c r="AJ1291" s="181">
        <f>VLOOKUP($I1291,'Price List, Weapons &amp; Items'!B:F,5,0)</f>
        <v>0</v>
      </c>
      <c r="AK1291" s="181">
        <f t="shared" si="305"/>
        <v>0</v>
      </c>
      <c r="AL1291" s="181">
        <f t="shared" si="306"/>
        <v>0</v>
      </c>
      <c r="AM1291" s="181">
        <f t="shared" si="307"/>
        <v>0</v>
      </c>
      <c r="AN1291" s="180" t="str">
        <f>VLOOKUP($I1291,'Price List, Weapons &amp; Items'!B:L,COLUMN('Price List, Weapons &amp; Items'!$J$11)-1,0)</f>
        <v>Miscellaneous</v>
      </c>
      <c r="AO1291" s="180" t="str">
        <f>IF(I1291=".",".",VLOOKUP($I1291,'Price List, Weapons &amp; Items'!B:J,3,0))</f>
        <v>artillery round</v>
      </c>
      <c r="AP1291" s="545" t="str">
        <f t="shared" ca="1" si="301"/>
        <v/>
      </c>
      <c r="AQ1291" s="180">
        <f>VLOOKUP($I1291,'Price List, Weapons &amp; Items'!B:L,COLUMN('Price List, Weapons &amp; Items'!$L$11)-1,0)</f>
        <v>2</v>
      </c>
      <c r="AR1291" s="180">
        <f t="shared" si="308"/>
        <v>1</v>
      </c>
      <c r="AS1291" s="180">
        <f t="shared" si="309"/>
        <v>1</v>
      </c>
      <c r="AT1291" s="180">
        <f t="shared" si="310"/>
        <v>1</v>
      </c>
      <c r="AU1291" s="180" t="str">
        <f t="shared" si="321"/>
        <v>.</v>
      </c>
      <c r="AV1291" s="180" t="str">
        <f t="shared" si="320"/>
        <v>.</v>
      </c>
      <c r="AW1291" s="180">
        <f>IFERROR(VLOOKUP(B1291,'Share, Heavy Weapons to Ukraine'!B:J,COLUMN('Share, Heavy Weapons to Ukraine'!C1301)-1,0),0)</f>
        <v>1</v>
      </c>
      <c r="AX1291" s="180">
        <f>VLOOKUP('Bilateral Assistance, MAIN DATA'!B1291,'Country Summary'!B:F,COLUMN('Country Summary'!C1304)-1,FALSE)</f>
        <v>0</v>
      </c>
      <c r="AY1291" s="180" t="str">
        <f>IF(AND(AD1291=1,D1291="Military",H1291&lt;&gt;"Not given")=TRUE,IF(SUMIFS(P:P,A:A,A1291)&gt;0,ABS((SUMIFS(P:P,A:A,A1291)/VLOOKUP("USD",'Exchange Rates'!B:C,2,0)))/S1291,"."),".")</f>
        <v>.</v>
      </c>
      <c r="AZ1291" s="182" t="str">
        <f>IF(AND(AD1291=1,D1291="Military",H1291&lt;&gt;"Not given")=TRUE,IF(SUMIFS(P:P,A:A,A1291)&gt;0,IF((ABS((SUMIFS(P:P,A:A,A1291)/VLOOKUP("USD",'Exchange Rates'!B:C,2,0)))/S1291)&gt;1,(SUMIFS(P:P,A:A,A1291)-S1291)/S1291,(S1291-SUMIFS(P:P,A:A,A1291))/SUMIFS(P:P,A:A,A1291)),"."),".")</f>
        <v>.</v>
      </c>
      <c r="BA1291" s="182"/>
      <c r="BB1291" s="182"/>
      <c r="BC1291" s="182"/>
      <c r="BD1291" s="182"/>
      <c r="BE1291" s="182"/>
      <c r="BF1291" s="182"/>
      <c r="BG1291" s="182"/>
      <c r="BH1291" s="182"/>
      <c r="BI1291" s="182"/>
      <c r="BJ1291" s="182"/>
      <c r="BK1291" s="182"/>
      <c r="BL1291" s="182"/>
      <c r="BM1291" s="182"/>
      <c r="BN1291" s="182"/>
      <c r="BO1291" s="182"/>
      <c r="BP1291" s="182"/>
      <c r="BQ1291" s="182"/>
      <c r="BR1291" s="182"/>
      <c r="BS1291" s="182"/>
    </row>
    <row r="1292" spans="1:71" ht="15.9" customHeight="1" x14ac:dyDescent="0.3">
      <c r="A1292" s="19" t="s">
        <v>3370</v>
      </c>
      <c r="B1292" s="19" t="s">
        <v>3038</v>
      </c>
      <c r="C1292" s="555">
        <v>44848</v>
      </c>
      <c r="D1292" s="19" t="s">
        <v>285</v>
      </c>
      <c r="E1292" s="19" t="s">
        <v>286</v>
      </c>
      <c r="F1292" s="1139" t="s">
        <v>3374</v>
      </c>
      <c r="G1292" s="15" t="s">
        <v>346</v>
      </c>
      <c r="H1292" s="200">
        <v>725000000</v>
      </c>
      <c r="I1292" s="17" t="s">
        <v>3377</v>
      </c>
      <c r="J1292" s="113" t="str">
        <f>VLOOKUP($I1292,'Price List, Weapons &amp; Items'!B:C,2,0)</f>
        <v>Ammunition for heavy weapon</v>
      </c>
      <c r="K1292" s="113" t="str">
        <f>IF(I1292=".",I1292,VLOOKUP($I1292,'Price List, Weapons &amp; Items'!B:D,3,0))</f>
        <v>155mm howitzer ammunition</v>
      </c>
      <c r="L1292" s="177">
        <f>VLOOKUP(I1292,'Price List, Weapons &amp; Items'!B:E,4,0)</f>
        <v>0</v>
      </c>
      <c r="M1292" s="542">
        <v>5000</v>
      </c>
      <c r="N1292" s="542" t="s">
        <v>270</v>
      </c>
      <c r="O1292" s="543">
        <f>VLOOKUP($I1292,'Price List, Weapons &amp; Items'!B:G,6,0)</f>
        <v>98000</v>
      </c>
      <c r="P1292" s="176">
        <f t="shared" si="302"/>
        <v>490000000</v>
      </c>
      <c r="Q1292" s="176" t="str">
        <f t="shared" si="303"/>
        <v>.</v>
      </c>
      <c r="R1292" s="176" t="str">
        <f t="shared" si="304"/>
        <v/>
      </c>
      <c r="S1292" s="176" t="str">
        <f>IF(AND(AD1292=1,R1292&lt;&gt;".")=TRUE,R1292/VLOOKUP(G1292,'Exchange Rates'!B:C,2,0),IF(R1292=".",".",""))</f>
        <v/>
      </c>
      <c r="T1292" s="176" t="str">
        <f>IF(AD1292=1,IF(AF1292="Value is not given at all",".",IF(AF1292="Value is given by the source",S1292,IF(AF1292="Value is calculated with prices",(IF(SUMIFS(Q:Q,A:A,A1292)&gt;0,SUMIFS(Q:Q,A:A,A1292),"."))/VLOOKUP("USD",'Exchange Rates'!B:C,2,0),"Error with coding"))),"")</f>
        <v/>
      </c>
      <c r="U1292" s="15" t="s">
        <v>261</v>
      </c>
      <c r="V1292" s="304" t="s">
        <v>3375</v>
      </c>
      <c r="W1292" s="814" t="s">
        <v>3059</v>
      </c>
      <c r="X1292" s="665" t="s">
        <v>3062</v>
      </c>
      <c r="Y1292" s="671" t="s">
        <v>3083</v>
      </c>
      <c r="Z1292" s="15">
        <v>0</v>
      </c>
      <c r="AA1292" s="180">
        <v>0</v>
      </c>
      <c r="AB1292" s="669" t="s">
        <v>260</v>
      </c>
      <c r="AC1292" s="544" t="str">
        <f>""</f>
        <v/>
      </c>
      <c r="AD1292" s="181">
        <v>0</v>
      </c>
      <c r="AE1292" s="181" t="s">
        <v>264</v>
      </c>
      <c r="AF1292" s="181" t="s">
        <v>265</v>
      </c>
      <c r="AG1292" s="181">
        <v>1</v>
      </c>
      <c r="AH1292" s="181">
        <v>10</v>
      </c>
      <c r="AI1292" s="181">
        <v>0</v>
      </c>
      <c r="AJ1292" s="181">
        <f>VLOOKUP($I1292,'Price List, Weapons &amp; Items'!B:F,5,0)</f>
        <v>1</v>
      </c>
      <c r="AK1292" s="181">
        <f t="shared" si="305"/>
        <v>0</v>
      </c>
      <c r="AL1292" s="181">
        <f t="shared" si="306"/>
        <v>1</v>
      </c>
      <c r="AM1292" s="181">
        <f t="shared" si="307"/>
        <v>0</v>
      </c>
      <c r="AN1292" s="180" t="str">
        <f>VLOOKUP($I1292,'Price List, Weapons &amp; Items'!B:L,COLUMN('Price List, Weapons &amp; Items'!$J$11)-1,0)</f>
        <v>Government information</v>
      </c>
      <c r="AO1292" s="180" t="str">
        <f>IF(I1292=".",".",VLOOKUP($I1292,'Price List, Weapons &amp; Items'!B:J,3,0))</f>
        <v>155mm howitzer ammunition</v>
      </c>
      <c r="AP1292" s="545" t="str">
        <f t="shared" ca="1" si="301"/>
        <v/>
      </c>
      <c r="AQ1292" s="180">
        <f>VLOOKUP($I1292,'Price List, Weapons &amp; Items'!B:L,COLUMN('Price List, Weapons &amp; Items'!$L$11)-1,0)</f>
        <v>2</v>
      </c>
      <c r="AR1292" s="180">
        <f t="shared" si="308"/>
        <v>1</v>
      </c>
      <c r="AS1292" s="180">
        <f t="shared" si="309"/>
        <v>1</v>
      </c>
      <c r="AT1292" s="180">
        <f t="shared" si="310"/>
        <v>1</v>
      </c>
      <c r="AU1292" s="180" t="str">
        <f t="shared" si="321"/>
        <v>.</v>
      </c>
      <c r="AV1292" s="180" t="str">
        <f t="shared" si="320"/>
        <v>.</v>
      </c>
      <c r="AW1292" s="180">
        <f>IFERROR(VLOOKUP(B1292,'Share, Heavy Weapons to Ukraine'!B:J,COLUMN('Share, Heavy Weapons to Ukraine'!C1302)-1,0),0)</f>
        <v>1</v>
      </c>
      <c r="AX1292" s="180">
        <f>VLOOKUP('Bilateral Assistance, MAIN DATA'!B1292,'Country Summary'!B:F,COLUMN('Country Summary'!C1305)-1,FALSE)</f>
        <v>0</v>
      </c>
      <c r="AY1292" s="180" t="str">
        <f>IF(AND(AD1292=1,D1292="Military",H1292&lt;&gt;"Not given")=TRUE,IF(SUMIFS(P:P,A:A,A1292)&gt;0,ABS((SUMIFS(P:P,A:A,A1292)/VLOOKUP("USD",'Exchange Rates'!B:C,2,0)))/S1292,"."),".")</f>
        <v>.</v>
      </c>
      <c r="AZ1292" s="182" t="str">
        <f>IF(AND(AD1292=1,D1292="Military",H1292&lt;&gt;"Not given")=TRUE,IF(SUMIFS(P:P,A:A,A1292)&gt;0,IF((ABS((SUMIFS(P:P,A:A,A1292)/VLOOKUP("USD",'Exchange Rates'!B:C,2,0)))/S1292)&gt;1,(SUMIFS(P:P,A:A,A1292)-S1292)/S1292,(S1292-SUMIFS(P:P,A:A,A1292))/SUMIFS(P:P,A:A,A1292)),"."),".")</f>
        <v>.</v>
      </c>
      <c r="BA1292" s="182"/>
      <c r="BB1292" s="182"/>
      <c r="BC1292" s="182"/>
      <c r="BD1292" s="182"/>
      <c r="BE1292" s="182"/>
      <c r="BF1292" s="182"/>
      <c r="BG1292" s="182"/>
      <c r="BH1292" s="182"/>
      <c r="BI1292" s="182"/>
      <c r="BJ1292" s="182"/>
      <c r="BK1292" s="182"/>
      <c r="BL1292" s="182"/>
      <c r="BM1292" s="182"/>
      <c r="BN1292" s="182"/>
      <c r="BO1292" s="182"/>
      <c r="BP1292" s="182"/>
      <c r="BQ1292" s="182"/>
      <c r="BR1292" s="182"/>
      <c r="BS1292" s="182"/>
    </row>
    <row r="1293" spans="1:71" ht="15.9" customHeight="1" x14ac:dyDescent="0.3">
      <c r="A1293" s="19" t="s">
        <v>3370</v>
      </c>
      <c r="B1293" s="19" t="s">
        <v>3038</v>
      </c>
      <c r="C1293" s="555">
        <v>44848</v>
      </c>
      <c r="D1293" s="19" t="s">
        <v>285</v>
      </c>
      <c r="E1293" s="19" t="s">
        <v>286</v>
      </c>
      <c r="F1293" s="1139" t="s">
        <v>3374</v>
      </c>
      <c r="G1293" s="15" t="s">
        <v>346</v>
      </c>
      <c r="H1293" s="200">
        <v>725000000</v>
      </c>
      <c r="I1293" s="17" t="s">
        <v>983</v>
      </c>
      <c r="J1293" s="113" t="str">
        <f>VLOOKUP($I1293,'Price List, Weapons &amp; Items'!B:C,2,0)</f>
        <v>Portable defence system</v>
      </c>
      <c r="K1293" s="113" t="str">
        <f>IF(I1293=".",I1293,VLOOKUP($I1293,'Price List, Weapons &amp; Items'!B:D,3,0))</f>
        <v>Light Anti-armor Weapon (LAW)</v>
      </c>
      <c r="L1293" s="177">
        <f>VLOOKUP(I1293,'Price List, Weapons &amp; Items'!B:E,4,0)</f>
        <v>0</v>
      </c>
      <c r="M1293" s="542">
        <v>5000</v>
      </c>
      <c r="N1293" s="542" t="s">
        <v>270</v>
      </c>
      <c r="O1293" s="543">
        <f>VLOOKUP($I1293,'Price List, Weapons &amp; Items'!B:G,6,0)</f>
        <v>40000</v>
      </c>
      <c r="P1293" s="176">
        <f t="shared" si="302"/>
        <v>200000000</v>
      </c>
      <c r="Q1293" s="176" t="str">
        <f t="shared" si="303"/>
        <v>.</v>
      </c>
      <c r="R1293" s="176" t="str">
        <f t="shared" si="304"/>
        <v/>
      </c>
      <c r="S1293" s="176" t="str">
        <f>IF(AND(AD1293=1,R1293&lt;&gt;".")=TRUE,R1293/VLOOKUP(G1293,'Exchange Rates'!B:C,2,0),IF(R1293=".",".",""))</f>
        <v/>
      </c>
      <c r="T1293" s="176" t="str">
        <f>IF(AD1293=1,IF(AF1293="Value is not given at all",".",IF(AF1293="Value is given by the source",S1293,IF(AF1293="Value is calculated with prices",(IF(SUMIFS(Q:Q,A:A,A1293)&gt;0,SUMIFS(Q:Q,A:A,A1293),"."))/VLOOKUP("USD",'Exchange Rates'!B:C,2,0),"Error with coding"))),"")</f>
        <v/>
      </c>
      <c r="U1293" s="15" t="s">
        <v>261</v>
      </c>
      <c r="V1293" s="304" t="s">
        <v>3375</v>
      </c>
      <c r="W1293" s="814" t="s">
        <v>3059</v>
      </c>
      <c r="X1293" s="665" t="s">
        <v>3062</v>
      </c>
      <c r="Y1293" s="671" t="s">
        <v>3085</v>
      </c>
      <c r="Z1293" s="15">
        <v>0</v>
      </c>
      <c r="AA1293" s="180">
        <v>0</v>
      </c>
      <c r="AB1293" s="669" t="s">
        <v>260</v>
      </c>
      <c r="AC1293" s="544" t="str">
        <f>""</f>
        <v/>
      </c>
      <c r="AD1293" s="181">
        <v>0</v>
      </c>
      <c r="AE1293" s="181" t="s">
        <v>264</v>
      </c>
      <c r="AF1293" s="181" t="s">
        <v>265</v>
      </c>
      <c r="AG1293" s="181">
        <v>1</v>
      </c>
      <c r="AH1293" s="181">
        <v>10</v>
      </c>
      <c r="AI1293" s="181">
        <v>0</v>
      </c>
      <c r="AJ1293" s="181">
        <f>VLOOKUP($I1293,'Price List, Weapons &amp; Items'!B:F,5,0)</f>
        <v>0</v>
      </c>
      <c r="AK1293" s="181">
        <f t="shared" si="305"/>
        <v>0</v>
      </c>
      <c r="AL1293" s="181">
        <f t="shared" si="306"/>
        <v>0</v>
      </c>
      <c r="AM1293" s="181">
        <f t="shared" si="307"/>
        <v>0</v>
      </c>
      <c r="AN1293" s="180" t="str">
        <f>VLOOKUP($I1293,'Price List, Weapons &amp; Items'!B:L,COLUMN('Price List, Weapons &amp; Items'!$J$11)-1,0)</f>
        <v>Media reports (incl. social media)</v>
      </c>
      <c r="AO1293" s="180" t="str">
        <f>IF(I1293=".",".",VLOOKUP($I1293,'Price List, Weapons &amp; Items'!B:J,3,0))</f>
        <v>Light Anti-armor Weapon (LAW)</v>
      </c>
      <c r="AP1293" s="545" t="str">
        <f t="shared" ca="1" si="301"/>
        <v/>
      </c>
      <c r="AQ1293" s="180">
        <f>VLOOKUP($I1293,'Price List, Weapons &amp; Items'!B:L,COLUMN('Price List, Weapons &amp; Items'!$L$11)-1,0)</f>
        <v>2</v>
      </c>
      <c r="AR1293" s="180">
        <f t="shared" si="308"/>
        <v>1</v>
      </c>
      <c r="AS1293" s="180">
        <f t="shared" si="309"/>
        <v>1</v>
      </c>
      <c r="AT1293" s="180">
        <f t="shared" si="310"/>
        <v>1</v>
      </c>
      <c r="AU1293" s="180" t="str">
        <f t="shared" si="321"/>
        <v>.</v>
      </c>
      <c r="AV1293" s="180" t="str">
        <f t="shared" si="320"/>
        <v>.</v>
      </c>
      <c r="AW1293" s="180">
        <f>IFERROR(VLOOKUP(B1293,'Share, Heavy Weapons to Ukraine'!B:J,COLUMN('Share, Heavy Weapons to Ukraine'!C1303)-1,0),0)</f>
        <v>1</v>
      </c>
      <c r="AX1293" s="180">
        <f>VLOOKUP('Bilateral Assistance, MAIN DATA'!B1293,'Country Summary'!B:F,COLUMN('Country Summary'!C1306)-1,FALSE)</f>
        <v>0</v>
      </c>
      <c r="AY1293" s="180" t="str">
        <f>IF(AND(AD1293=1,D1293="Military",H1293&lt;&gt;"Not given")=TRUE,IF(SUMIFS(P:P,A:A,A1293)&gt;0,ABS((SUMIFS(P:P,A:A,A1293)/VLOOKUP("USD",'Exchange Rates'!B:C,2,0)))/S1293,"."),".")</f>
        <v>.</v>
      </c>
      <c r="AZ1293" s="182" t="str">
        <f>IF(AND(AD1293=1,D1293="Military",H1293&lt;&gt;"Not given")=TRUE,IF(SUMIFS(P:P,A:A,A1293)&gt;0,IF((ABS((SUMIFS(P:P,A:A,A1293)/VLOOKUP("USD",'Exchange Rates'!B:C,2,0)))/S1293)&gt;1,(SUMIFS(P:P,A:A,A1293)-S1293)/S1293,(S1293-SUMIFS(P:P,A:A,A1293))/SUMIFS(P:P,A:A,A1293)),"."),".")</f>
        <v>.</v>
      </c>
      <c r="BA1293" s="182"/>
      <c r="BB1293" s="182"/>
      <c r="BC1293" s="182"/>
      <c r="BD1293" s="182"/>
      <c r="BE1293" s="182"/>
      <c r="BF1293" s="182"/>
      <c r="BG1293" s="182"/>
      <c r="BH1293" s="182"/>
      <c r="BI1293" s="182"/>
      <c r="BJ1293" s="182"/>
      <c r="BK1293" s="182"/>
      <c r="BL1293" s="182"/>
      <c r="BM1293" s="182"/>
      <c r="BN1293" s="182"/>
      <c r="BO1293" s="182"/>
      <c r="BP1293" s="182"/>
      <c r="BQ1293" s="182"/>
      <c r="BR1293" s="182"/>
      <c r="BS1293" s="182"/>
    </row>
    <row r="1294" spans="1:71" ht="15.9" customHeight="1" x14ac:dyDescent="0.3">
      <c r="A1294" s="19" t="s">
        <v>3370</v>
      </c>
      <c r="B1294" s="19" t="s">
        <v>3038</v>
      </c>
      <c r="C1294" s="555">
        <v>44848</v>
      </c>
      <c r="D1294" s="19" t="s">
        <v>285</v>
      </c>
      <c r="E1294" s="19" t="s">
        <v>286</v>
      </c>
      <c r="F1294" s="1139" t="s">
        <v>3374</v>
      </c>
      <c r="G1294" s="15" t="s">
        <v>346</v>
      </c>
      <c r="H1294" s="200">
        <v>725000000</v>
      </c>
      <c r="I1294" s="17" t="s">
        <v>3243</v>
      </c>
      <c r="J1294" s="113" t="str">
        <f>VLOOKUP($I1294,'Price List, Weapons &amp; Items'!B:C,2,0)</f>
        <v>Ammunition for heavy weapon</v>
      </c>
      <c r="K1294" s="113" t="str">
        <f>IF(I1294=".",I1294,VLOOKUP($I1294,'Price List, Weapons &amp; Items'!B:D,3,0))</f>
        <v>missile</v>
      </c>
      <c r="L1294" s="177">
        <f>VLOOKUP(I1294,'Price List, Weapons &amp; Items'!B:E,4,0)</f>
        <v>0</v>
      </c>
      <c r="M1294" s="542" t="s">
        <v>270</v>
      </c>
      <c r="N1294" s="542" t="s">
        <v>270</v>
      </c>
      <c r="O1294" s="543">
        <f>VLOOKUP($I1294,'Price List, Weapons &amp; Items'!B:G,6,0)</f>
        <v>557000</v>
      </c>
      <c r="P1294" s="176" t="str">
        <f t="shared" si="302"/>
        <v>.</v>
      </c>
      <c r="Q1294" s="176" t="str">
        <f t="shared" si="303"/>
        <v>.</v>
      </c>
      <c r="R1294" s="176" t="str">
        <f t="shared" si="304"/>
        <v/>
      </c>
      <c r="S1294" s="176" t="str">
        <f>IF(AND(AD1294=1,R1294&lt;&gt;".")=TRUE,R1294/VLOOKUP(G1294,'Exchange Rates'!B:C,2,0),IF(R1294=".",".",""))</f>
        <v/>
      </c>
      <c r="T1294" s="176" t="str">
        <f>IF(AD1294=1,IF(AF1294="Value is not given at all",".",IF(AF1294="Value is given by the source",S1294,IF(AF1294="Value is calculated with prices",(IF(SUMIFS(Q:Q,A:A,A1294)&gt;0,SUMIFS(Q:Q,A:A,A1294),"."))/VLOOKUP("USD",'Exchange Rates'!B:C,2,0),"Error with coding"))),"")</f>
        <v/>
      </c>
      <c r="U1294" s="15" t="s">
        <v>261</v>
      </c>
      <c r="V1294" s="304" t="s">
        <v>3375</v>
      </c>
      <c r="W1294" s="814" t="s">
        <v>3059</v>
      </c>
      <c r="X1294" s="665" t="s">
        <v>3062</v>
      </c>
      <c r="Y1294" s="671" t="s">
        <v>3087</v>
      </c>
      <c r="Z1294" s="15">
        <v>0</v>
      </c>
      <c r="AA1294" s="180">
        <v>0</v>
      </c>
      <c r="AB1294" s="669" t="s">
        <v>260</v>
      </c>
      <c r="AC1294" s="544" t="str">
        <f>""</f>
        <v/>
      </c>
      <c r="AD1294" s="181">
        <v>0</v>
      </c>
      <c r="AE1294" s="181" t="s">
        <v>264</v>
      </c>
      <c r="AF1294" s="181" t="s">
        <v>265</v>
      </c>
      <c r="AG1294" s="181">
        <v>1</v>
      </c>
      <c r="AH1294" s="181">
        <v>10</v>
      </c>
      <c r="AI1294" s="181">
        <v>0</v>
      </c>
      <c r="AJ1294" s="181">
        <f>VLOOKUP($I1294,'Price List, Weapons &amp; Items'!B:F,5,0)</f>
        <v>0</v>
      </c>
      <c r="AK1294" s="181">
        <f t="shared" si="305"/>
        <v>0</v>
      </c>
      <c r="AL1294" s="181">
        <f t="shared" si="306"/>
        <v>0</v>
      </c>
      <c r="AM1294" s="181">
        <f t="shared" si="307"/>
        <v>0</v>
      </c>
      <c r="AN1294" s="180" t="str">
        <f>VLOOKUP($I1294,'Price List, Weapons &amp; Items'!B:L,COLUMN('Price List, Weapons &amp; Items'!$J$11)-1,0)</f>
        <v>Miscellaneous</v>
      </c>
      <c r="AO1294" s="180" t="str">
        <f>IF(I1294=".",".",VLOOKUP($I1294,'Price List, Weapons &amp; Items'!B:J,3,0))</f>
        <v>missile</v>
      </c>
      <c r="AP1294" s="545" t="str">
        <f t="shared" ca="1" si="301"/>
        <v/>
      </c>
      <c r="AQ1294" s="180" t="str">
        <f>VLOOKUP($I1294,'Price List, Weapons &amp; Items'!B:L,COLUMN('Price List, Weapons &amp; Items'!$L$11)-1,0)</f>
        <v>no price, 0 count</v>
      </c>
      <c r="AR1294" s="180">
        <f t="shared" si="308"/>
        <v>1</v>
      </c>
      <c r="AS1294" s="180">
        <f t="shared" si="309"/>
        <v>1</v>
      </c>
      <c r="AT1294" s="180">
        <f t="shared" si="310"/>
        <v>1</v>
      </c>
      <c r="AU1294" s="180" t="str">
        <f t="shared" si="321"/>
        <v>.</v>
      </c>
      <c r="AV1294" s="180" t="str">
        <f t="shared" si="320"/>
        <v>.</v>
      </c>
      <c r="AW1294" s="180">
        <f>IFERROR(VLOOKUP(B1294,'Share, Heavy Weapons to Ukraine'!B:J,COLUMN('Share, Heavy Weapons to Ukraine'!C1304)-1,0),0)</f>
        <v>1</v>
      </c>
      <c r="AX1294" s="180">
        <f>VLOOKUP('Bilateral Assistance, MAIN DATA'!B1294,'Country Summary'!B:F,COLUMN('Country Summary'!C1307)-1,FALSE)</f>
        <v>0</v>
      </c>
      <c r="AY1294" s="180" t="str">
        <f>IF(AND(AD1294=1,D1294="Military",H1294&lt;&gt;"Not given")=TRUE,IF(SUMIFS(P:P,A:A,A1294)&gt;0,ABS((SUMIFS(P:P,A:A,A1294)/VLOOKUP("USD",'Exchange Rates'!B:C,2,0)))/S1294,"."),".")</f>
        <v>.</v>
      </c>
      <c r="AZ1294" s="182" t="str">
        <f>IF(AND(AD1294=1,D1294="Military",H1294&lt;&gt;"Not given")=TRUE,IF(SUMIFS(P:P,A:A,A1294)&gt;0,IF((ABS((SUMIFS(P:P,A:A,A1294)/VLOOKUP("USD",'Exchange Rates'!B:C,2,0)))/S1294)&gt;1,(SUMIFS(P:P,A:A,A1294)-S1294)/S1294,(S1294-SUMIFS(P:P,A:A,A1294))/SUMIFS(P:P,A:A,A1294)),"."),".")</f>
        <v>.</v>
      </c>
      <c r="BA1294" s="182"/>
      <c r="BB1294" s="182"/>
      <c r="BC1294" s="182"/>
      <c r="BD1294" s="182"/>
      <c r="BE1294" s="182"/>
      <c r="BF1294" s="182"/>
      <c r="BG1294" s="182"/>
      <c r="BH1294" s="182"/>
      <c r="BI1294" s="182"/>
      <c r="BJ1294" s="182"/>
      <c r="BK1294" s="182"/>
      <c r="BL1294" s="182"/>
      <c r="BM1294" s="182"/>
      <c r="BN1294" s="182"/>
      <c r="BO1294" s="182"/>
      <c r="BP1294" s="182"/>
      <c r="BQ1294" s="182"/>
      <c r="BR1294" s="182"/>
      <c r="BS1294" s="182"/>
    </row>
    <row r="1295" spans="1:71" ht="15.9" customHeight="1" x14ac:dyDescent="0.3">
      <c r="A1295" s="19" t="s">
        <v>3370</v>
      </c>
      <c r="B1295" s="19" t="s">
        <v>3038</v>
      </c>
      <c r="C1295" s="555">
        <v>44848</v>
      </c>
      <c r="D1295" s="19" t="s">
        <v>285</v>
      </c>
      <c r="E1295" s="19" t="s">
        <v>286</v>
      </c>
      <c r="F1295" s="1139" t="s">
        <v>3374</v>
      </c>
      <c r="G1295" s="15" t="s">
        <v>346</v>
      </c>
      <c r="H1295" s="200">
        <v>725000000</v>
      </c>
      <c r="I1295" s="19" t="s">
        <v>3269</v>
      </c>
      <c r="J1295" s="113" t="str">
        <f>VLOOKUP($I1295,'Price List, Weapons &amp; Items'!B:C,2,0)</f>
        <v>Heavy weapon</v>
      </c>
      <c r="K1295" s="113" t="str">
        <f>IF(I1295=".",I1295,VLOOKUP($I1295,'Price List, Weapons &amp; Items'!B:D,3,0))</f>
        <v>Armoured Utility Vehicle (AUV)</v>
      </c>
      <c r="L1295" s="177">
        <f>VLOOKUP(I1295,'Price List, Weapons &amp; Items'!B:E,4,0)</f>
        <v>0</v>
      </c>
      <c r="M1295" s="542">
        <v>200</v>
      </c>
      <c r="N1295" s="542" t="s">
        <v>270</v>
      </c>
      <c r="O1295" s="543">
        <f>VLOOKUP($I1295,'Price List, Weapons &amp; Items'!B:G,6,0)</f>
        <v>254717</v>
      </c>
      <c r="P1295" s="176">
        <f t="shared" si="302"/>
        <v>50943400</v>
      </c>
      <c r="Q1295" s="176" t="str">
        <f t="shared" si="303"/>
        <v>.</v>
      </c>
      <c r="R1295" s="176" t="str">
        <f t="shared" si="304"/>
        <v/>
      </c>
      <c r="S1295" s="176" t="str">
        <f>IF(AND(AD1295=1,R1295&lt;&gt;".")=TRUE,R1295/VLOOKUP(G1295,'Exchange Rates'!B:C,2,0),IF(R1295=".",".",""))</f>
        <v/>
      </c>
      <c r="T1295" s="176" t="str">
        <f>IF(AD1295=1,IF(AF1295="Value is not given at all",".",IF(AF1295="Value is given by the source",S1295,IF(AF1295="Value is calculated with prices",(IF(SUMIFS(Q:Q,A:A,A1295)&gt;0,SUMIFS(Q:Q,A:A,A1295),"."))/VLOOKUP("USD",'Exchange Rates'!B:C,2,0),"Error with coding"))),"")</f>
        <v/>
      </c>
      <c r="U1295" s="15" t="s">
        <v>261</v>
      </c>
      <c r="V1295" s="304" t="s">
        <v>3375</v>
      </c>
      <c r="W1295" s="814" t="s">
        <v>3059</v>
      </c>
      <c r="X1295" s="665" t="s">
        <v>3062</v>
      </c>
      <c r="Y1295" s="671" t="s">
        <v>3089</v>
      </c>
      <c r="Z1295" s="15">
        <v>0</v>
      </c>
      <c r="AA1295" s="180">
        <v>0</v>
      </c>
      <c r="AB1295" s="669" t="s">
        <v>260</v>
      </c>
      <c r="AC1295" s="544" t="str">
        <f>""</f>
        <v/>
      </c>
      <c r="AD1295" s="181">
        <v>0</v>
      </c>
      <c r="AE1295" s="181" t="s">
        <v>264</v>
      </c>
      <c r="AF1295" s="181" t="s">
        <v>265</v>
      </c>
      <c r="AG1295" s="181">
        <v>1</v>
      </c>
      <c r="AH1295" s="181">
        <v>10</v>
      </c>
      <c r="AI1295" s="181">
        <v>0</v>
      </c>
      <c r="AJ1295" s="181">
        <f>VLOOKUP($I1295,'Price List, Weapons &amp; Items'!B:F,5,0)</f>
        <v>1</v>
      </c>
      <c r="AK1295" s="181">
        <f t="shared" si="305"/>
        <v>0</v>
      </c>
      <c r="AL1295" s="181">
        <f t="shared" si="306"/>
        <v>1</v>
      </c>
      <c r="AM1295" s="181">
        <f t="shared" si="307"/>
        <v>0</v>
      </c>
      <c r="AN1295" s="180" t="str">
        <f>VLOOKUP($I1295,'Price List, Weapons &amp; Items'!B:L,COLUMN('Price List, Weapons &amp; Items'!$J$11)-1,0)</f>
        <v>Military media (incl. websites)</v>
      </c>
      <c r="AO1295" s="180" t="str">
        <f>IF(I1295=".",".",VLOOKUP($I1295,'Price List, Weapons &amp; Items'!B:J,3,0))</f>
        <v>Armoured Utility Vehicle (AUV)</v>
      </c>
      <c r="AP1295" s="545" t="str">
        <f t="shared" ca="1" si="301"/>
        <v/>
      </c>
      <c r="AQ1295" s="180">
        <f>VLOOKUP($I1295,'Price List, Weapons &amp; Items'!B:L,COLUMN('Price List, Weapons &amp; Items'!$L$11)-1,0)</f>
        <v>2</v>
      </c>
      <c r="AR1295" s="180">
        <f t="shared" si="308"/>
        <v>1</v>
      </c>
      <c r="AS1295" s="180">
        <f t="shared" si="309"/>
        <v>1</v>
      </c>
      <c r="AT1295" s="180">
        <f t="shared" si="310"/>
        <v>1</v>
      </c>
      <c r="AU1295" s="180" t="str">
        <f t="shared" si="321"/>
        <v>.</v>
      </c>
      <c r="AV1295" s="180" t="str">
        <f t="shared" si="320"/>
        <v>.</v>
      </c>
      <c r="AW1295" s="180">
        <f>IFERROR(VLOOKUP(B1295,'Share, Heavy Weapons to Ukraine'!B:J,COLUMN('Share, Heavy Weapons to Ukraine'!C1305)-1,0),0)</f>
        <v>1</v>
      </c>
      <c r="AX1295" s="180">
        <f>VLOOKUP('Bilateral Assistance, MAIN DATA'!B1295,'Country Summary'!B:F,COLUMN('Country Summary'!C1308)-1,FALSE)</f>
        <v>0</v>
      </c>
      <c r="AY1295" s="180" t="str">
        <f>IF(AND(AD1295=1,D1295="Military",H1295&lt;&gt;"Not given")=TRUE,IF(SUMIFS(P:P,A:A,A1295)&gt;0,ABS((SUMIFS(P:P,A:A,A1295)/VLOOKUP("USD",'Exchange Rates'!B:C,2,0)))/S1295,"."),".")</f>
        <v>.</v>
      </c>
      <c r="AZ1295" s="182" t="str">
        <f>IF(AND(AD1295=1,D1295="Military",H1295&lt;&gt;"Not given")=TRUE,IF(SUMIFS(P:P,A:A,A1295)&gt;0,IF((ABS((SUMIFS(P:P,A:A,A1295)/VLOOKUP("USD",'Exchange Rates'!B:C,2,0)))/S1295)&gt;1,(SUMIFS(P:P,A:A,A1295)-S1295)/S1295,(S1295-SUMIFS(P:P,A:A,A1295))/SUMIFS(P:P,A:A,A1295)),"."),".")</f>
        <v>.</v>
      </c>
      <c r="BA1295" s="182"/>
      <c r="BB1295" s="182"/>
      <c r="BC1295" s="182"/>
      <c r="BD1295" s="182"/>
      <c r="BE1295" s="182"/>
      <c r="BF1295" s="182"/>
      <c r="BG1295" s="182"/>
      <c r="BH1295" s="182"/>
      <c r="BI1295" s="182"/>
      <c r="BJ1295" s="182"/>
      <c r="BK1295" s="182"/>
      <c r="BL1295" s="182"/>
      <c r="BM1295" s="182"/>
      <c r="BN1295" s="182"/>
      <c r="BO1295" s="182"/>
      <c r="BP1295" s="182"/>
      <c r="BQ1295" s="182"/>
      <c r="BR1295" s="182"/>
      <c r="BS1295" s="182"/>
    </row>
    <row r="1296" spans="1:71" ht="15.9" customHeight="1" x14ac:dyDescent="0.3">
      <c r="A1296" s="19" t="s">
        <v>3370</v>
      </c>
      <c r="B1296" s="19" t="s">
        <v>3038</v>
      </c>
      <c r="C1296" s="555">
        <v>44848</v>
      </c>
      <c r="D1296" s="19" t="s">
        <v>285</v>
      </c>
      <c r="E1296" s="19" t="s">
        <v>286</v>
      </c>
      <c r="F1296" s="1139" t="s">
        <v>3374</v>
      </c>
      <c r="G1296" s="15" t="s">
        <v>346</v>
      </c>
      <c r="H1296" s="200">
        <v>725000000</v>
      </c>
      <c r="I1296" s="17" t="s">
        <v>3296</v>
      </c>
      <c r="J1296" s="113" t="str">
        <f>VLOOKUP($I1296,'Price List, Weapons &amp; Items'!B:C,2,0)</f>
        <v>Ammunition for light infantry</v>
      </c>
      <c r="K1296" s="113" t="str">
        <f>IF(I1296=".",I1296,VLOOKUP($I1296,'Price List, Weapons &amp; Items'!B:D,3,0))</f>
        <v>Small Arms and Light Weapons (SALW) ammunition</v>
      </c>
      <c r="L1296" s="177">
        <f>VLOOKUP(I1296,'Price List, Weapons &amp; Items'!B:E,4,0)</f>
        <v>0</v>
      </c>
      <c r="M1296" s="542">
        <v>2000000</v>
      </c>
      <c r="N1296" s="542" t="s">
        <v>270</v>
      </c>
      <c r="O1296" s="543">
        <f>VLOOKUP($I1296,'Price List, Weapons &amp; Items'!B:G,6,0)</f>
        <v>0.47</v>
      </c>
      <c r="P1296" s="176">
        <f t="shared" si="302"/>
        <v>940000</v>
      </c>
      <c r="Q1296" s="176" t="str">
        <f t="shared" si="303"/>
        <v>.</v>
      </c>
      <c r="R1296" s="176" t="str">
        <f t="shared" si="304"/>
        <v/>
      </c>
      <c r="S1296" s="176" t="str">
        <f>IF(AND(AD1296=1,R1296&lt;&gt;".")=TRUE,R1296/VLOOKUP(G1296,'Exchange Rates'!B:C,2,0),IF(R1296=".",".",""))</f>
        <v/>
      </c>
      <c r="T1296" s="176" t="str">
        <f>IF(AD1296=1,IF(AF1296="Value is not given at all",".",IF(AF1296="Value is given by the source",S1296,IF(AF1296="Value is calculated with prices",(IF(SUMIFS(Q:Q,A:A,A1296)&gt;0,SUMIFS(Q:Q,A:A,A1296),"."))/VLOOKUP("USD",'Exchange Rates'!B:C,2,0),"Error with coding"))),"")</f>
        <v/>
      </c>
      <c r="U1296" s="15" t="s">
        <v>261</v>
      </c>
      <c r="V1296" s="304" t="s">
        <v>3375</v>
      </c>
      <c r="W1296" s="814" t="s">
        <v>3059</v>
      </c>
      <c r="X1296" s="665" t="s">
        <v>3062</v>
      </c>
      <c r="Y1296" s="671" t="s">
        <v>3091</v>
      </c>
      <c r="Z1296" s="15">
        <v>0</v>
      </c>
      <c r="AA1296" s="180">
        <v>0</v>
      </c>
      <c r="AB1296" s="669" t="s">
        <v>260</v>
      </c>
      <c r="AC1296" s="544" t="str">
        <f>""</f>
        <v/>
      </c>
      <c r="AD1296" s="181">
        <v>0</v>
      </c>
      <c r="AE1296" s="181" t="s">
        <v>264</v>
      </c>
      <c r="AF1296" s="181" t="s">
        <v>265</v>
      </c>
      <c r="AG1296" s="181">
        <v>1</v>
      </c>
      <c r="AH1296" s="181">
        <v>10</v>
      </c>
      <c r="AI1296" s="181">
        <v>0</v>
      </c>
      <c r="AJ1296" s="181">
        <f>VLOOKUP($I1296,'Price List, Weapons &amp; Items'!B:F,5,0)</f>
        <v>0</v>
      </c>
      <c r="AK1296" s="181">
        <f t="shared" si="305"/>
        <v>0</v>
      </c>
      <c r="AL1296" s="181">
        <f t="shared" si="306"/>
        <v>0</v>
      </c>
      <c r="AM1296" s="181">
        <f t="shared" si="307"/>
        <v>1</v>
      </c>
      <c r="AN1296" s="180" t="str">
        <f>VLOOKUP($I1296,'Price List, Weapons &amp; Items'!B:L,COLUMN('Price List, Weapons &amp; Items'!$J$11)-1,0)</f>
        <v>Miscellaneous</v>
      </c>
      <c r="AO1296" s="180" t="str">
        <f>IF(I1296=".",".",VLOOKUP($I1296,'Price List, Weapons &amp; Items'!B:J,3,0))</f>
        <v>Small Arms and Light Weapons (SALW) ammunition</v>
      </c>
      <c r="AP1296" s="545" t="str">
        <f t="shared" ca="1" si="301"/>
        <v/>
      </c>
      <c r="AQ1296" s="180">
        <f>VLOOKUP($I1296,'Price List, Weapons &amp; Items'!B:L,COLUMN('Price List, Weapons &amp; Items'!$L$11)-1,0)</f>
        <v>2</v>
      </c>
      <c r="AR1296" s="180">
        <f t="shared" si="308"/>
        <v>1</v>
      </c>
      <c r="AS1296" s="180">
        <f t="shared" si="309"/>
        <v>1</v>
      </c>
      <c r="AT1296" s="180">
        <f t="shared" si="310"/>
        <v>1</v>
      </c>
      <c r="AU1296" s="180" t="str">
        <f t="shared" si="321"/>
        <v>.</v>
      </c>
      <c r="AV1296" s="180" t="str">
        <f t="shared" si="320"/>
        <v>.</v>
      </c>
      <c r="AW1296" s="180">
        <f>IFERROR(VLOOKUP(B1296,'Share, Heavy Weapons to Ukraine'!B:J,COLUMN('Share, Heavy Weapons to Ukraine'!C1306)-1,0),0)</f>
        <v>1</v>
      </c>
      <c r="AX1296" s="180">
        <f>VLOOKUP('Bilateral Assistance, MAIN DATA'!B1296,'Country Summary'!B:F,COLUMN('Country Summary'!C1309)-1,FALSE)</f>
        <v>0</v>
      </c>
      <c r="AY1296" s="180" t="str">
        <f>IF(AND(AD1296=1,D1296="Military",H1296&lt;&gt;"Not given")=TRUE,IF(SUMIFS(P:P,A:A,A1296)&gt;0,ABS((SUMIFS(P:P,A:A,A1296)/VLOOKUP("USD",'Exchange Rates'!B:C,2,0)))/S1296,"."),".")</f>
        <v>.</v>
      </c>
      <c r="AZ1296" s="182" t="str">
        <f>IF(AND(AD1296=1,D1296="Military",H1296&lt;&gt;"Not given")=TRUE,IF(SUMIFS(P:P,A:A,A1296)&gt;0,IF((ABS((SUMIFS(P:P,A:A,A1296)/VLOOKUP("USD",'Exchange Rates'!B:C,2,0)))/S1296)&gt;1,(SUMIFS(P:P,A:A,A1296)-S1296)/S1296,(S1296-SUMIFS(P:P,A:A,A1296))/SUMIFS(P:P,A:A,A1296)),"."),".")</f>
        <v>.</v>
      </c>
      <c r="BA1296" s="182"/>
      <c r="BB1296" s="182"/>
      <c r="BC1296" s="182"/>
      <c r="BD1296" s="182"/>
      <c r="BE1296" s="182"/>
      <c r="BF1296" s="182"/>
      <c r="BG1296" s="182"/>
      <c r="BH1296" s="182"/>
      <c r="BI1296" s="182"/>
      <c r="BJ1296" s="182"/>
      <c r="BK1296" s="182"/>
      <c r="BL1296" s="182"/>
      <c r="BM1296" s="182"/>
      <c r="BN1296" s="182"/>
      <c r="BO1296" s="182"/>
      <c r="BP1296" s="182"/>
      <c r="BQ1296" s="182"/>
      <c r="BR1296" s="182"/>
      <c r="BS1296" s="182"/>
    </row>
    <row r="1297" spans="1:71" ht="15.9" customHeight="1" x14ac:dyDescent="0.3">
      <c r="A1297" s="19" t="s">
        <v>3370</v>
      </c>
      <c r="B1297" s="19" t="s">
        <v>3038</v>
      </c>
      <c r="C1297" s="555">
        <v>44848</v>
      </c>
      <c r="D1297" s="19" t="s">
        <v>285</v>
      </c>
      <c r="E1297" s="19" t="s">
        <v>286</v>
      </c>
      <c r="F1297" s="1139" t="s">
        <v>3374</v>
      </c>
      <c r="G1297" s="15" t="s">
        <v>346</v>
      </c>
      <c r="H1297" s="200">
        <v>725000000</v>
      </c>
      <c r="I1297" s="17" t="s">
        <v>3230</v>
      </c>
      <c r="J1297" s="113" t="str">
        <f>VLOOKUP($I1297,'Price List, Weapons &amp; Items'!B:C,2,0)</f>
        <v>Military equipment</v>
      </c>
      <c r="K1297" s="113" t="str">
        <f>IF(I1297=".",I1297,VLOOKUP($I1297,'Price List, Weapons &amp; Items'!B:D,3,0))</f>
        <v>Military equipment</v>
      </c>
      <c r="L1297" s="177">
        <f>VLOOKUP(I1297,'Price List, Weapons &amp; Items'!B:E,4,0)</f>
        <v>0</v>
      </c>
      <c r="M1297" s="542" t="s">
        <v>270</v>
      </c>
      <c r="N1297" s="542" t="s">
        <v>270</v>
      </c>
      <c r="O1297" s="543" t="str">
        <f>VLOOKUP($I1297,'Price List, Weapons &amp; Items'!B:G,6,0)</f>
        <v>.</v>
      </c>
      <c r="P1297" s="176" t="str">
        <f t="shared" si="302"/>
        <v>.</v>
      </c>
      <c r="Q1297" s="176" t="str">
        <f t="shared" si="303"/>
        <v>.</v>
      </c>
      <c r="R1297" s="176" t="str">
        <f t="shared" si="304"/>
        <v/>
      </c>
      <c r="S1297" s="176" t="str">
        <f>IF(AND(AD1297=1,R1297&lt;&gt;".")=TRUE,R1297/VLOOKUP(G1297,'Exchange Rates'!B:C,2,0),IF(R1297=".",".",""))</f>
        <v/>
      </c>
      <c r="T1297" s="176" t="str">
        <f>IF(AD1297=1,IF(AF1297="Value is not given at all",".",IF(AF1297="Value is given by the source",S1297,IF(AF1297="Value is calculated with prices",(IF(SUMIFS(Q:Q,A:A,A1297)&gt;0,SUMIFS(Q:Q,A:A,A1297),"."))/VLOOKUP("USD",'Exchange Rates'!B:C,2,0),"Error with coding"))),"")</f>
        <v/>
      </c>
      <c r="U1297" s="15" t="s">
        <v>261</v>
      </c>
      <c r="V1297" s="304" t="s">
        <v>3375</v>
      </c>
      <c r="W1297" s="814" t="s">
        <v>3059</v>
      </c>
      <c r="X1297" s="665" t="s">
        <v>3062</v>
      </c>
      <c r="Y1297" s="671" t="s">
        <v>3093</v>
      </c>
      <c r="Z1297" s="15">
        <v>0</v>
      </c>
      <c r="AA1297" s="180">
        <v>0</v>
      </c>
      <c r="AB1297" s="669" t="s">
        <v>260</v>
      </c>
      <c r="AC1297" s="544" t="str">
        <f>""</f>
        <v/>
      </c>
      <c r="AD1297" s="181">
        <v>0</v>
      </c>
      <c r="AE1297" s="181" t="s">
        <v>264</v>
      </c>
      <c r="AF1297" s="181" t="s">
        <v>265</v>
      </c>
      <c r="AG1297" s="181">
        <v>1</v>
      </c>
      <c r="AH1297" s="181">
        <v>10</v>
      </c>
      <c r="AI1297" s="181">
        <v>0</v>
      </c>
      <c r="AJ1297" s="181">
        <f>VLOOKUP($I1297,'Price List, Weapons &amp; Items'!B:F,5,0)</f>
        <v>0</v>
      </c>
      <c r="AK1297" s="181">
        <f t="shared" si="305"/>
        <v>0</v>
      </c>
      <c r="AL1297" s="181">
        <f t="shared" si="306"/>
        <v>0</v>
      </c>
      <c r="AM1297" s="181">
        <f t="shared" si="307"/>
        <v>0</v>
      </c>
      <c r="AN1297" s="180" t="str">
        <f>VLOOKUP($I1297,'Price List, Weapons &amp; Items'!B:L,COLUMN('Price List, Weapons &amp; Items'!$J$11)-1,0)</f>
        <v>.</v>
      </c>
      <c r="AO1297" s="180" t="str">
        <f>IF(I1297=".",".",VLOOKUP($I1297,'Price List, Weapons &amp; Items'!B:J,3,0))</f>
        <v>Military equipment</v>
      </c>
      <c r="AP1297" s="545" t="str">
        <f t="shared" ca="1" si="301"/>
        <v/>
      </c>
      <c r="AQ1297" s="180" t="str">
        <f>VLOOKUP($I1297,'Price List, Weapons &amp; Items'!B:L,COLUMN('Price List, Weapons &amp; Items'!$L$11)-1,0)</f>
        <v>no price, 0 count</v>
      </c>
      <c r="AR1297" s="180">
        <f t="shared" si="308"/>
        <v>1</v>
      </c>
      <c r="AS1297" s="180">
        <f t="shared" si="309"/>
        <v>1</v>
      </c>
      <c r="AT1297" s="180">
        <f t="shared" si="310"/>
        <v>1</v>
      </c>
      <c r="AU1297" s="180" t="str">
        <f t="shared" si="321"/>
        <v>.</v>
      </c>
      <c r="AV1297" s="180" t="str">
        <f t="shared" si="320"/>
        <v>.</v>
      </c>
      <c r="AW1297" s="180">
        <f>IFERROR(VLOOKUP(B1297,'Share, Heavy Weapons to Ukraine'!B:J,COLUMN('Share, Heavy Weapons to Ukraine'!C1307)-1,0),0)</f>
        <v>1</v>
      </c>
      <c r="AX1297" s="180">
        <f>VLOOKUP('Bilateral Assistance, MAIN DATA'!B1297,'Country Summary'!B:F,COLUMN('Country Summary'!C1310)-1,FALSE)</f>
        <v>0</v>
      </c>
      <c r="AY1297" s="180" t="str">
        <f>IF(AND(AD1297=1,D1297="Military",H1297&lt;&gt;"Not given")=TRUE,IF(SUMIFS(P:P,A:A,A1297)&gt;0,ABS((SUMIFS(P:P,A:A,A1297)/VLOOKUP("USD",'Exchange Rates'!B:C,2,0)))/S1297,"."),".")</f>
        <v>.</v>
      </c>
      <c r="AZ1297" s="182" t="str">
        <f>IF(AND(AD1297=1,D1297="Military",H1297&lt;&gt;"Not given")=TRUE,IF(SUMIFS(P:P,A:A,A1297)&gt;0,IF((ABS((SUMIFS(P:P,A:A,A1297)/VLOOKUP("USD",'Exchange Rates'!B:C,2,0)))/S1297)&gt;1,(SUMIFS(P:P,A:A,A1297)-S1297)/S1297,(S1297-SUMIFS(P:P,A:A,A1297))/SUMIFS(P:P,A:A,A1297)),"."),".")</f>
        <v>.</v>
      </c>
      <c r="BA1297" s="182"/>
      <c r="BB1297" s="182"/>
      <c r="BC1297" s="182"/>
      <c r="BD1297" s="182"/>
      <c r="BE1297" s="182"/>
      <c r="BF1297" s="182"/>
      <c r="BG1297" s="182"/>
      <c r="BH1297" s="182"/>
      <c r="BI1297" s="182"/>
      <c r="BJ1297" s="182"/>
      <c r="BK1297" s="182"/>
      <c r="BL1297" s="182"/>
      <c r="BM1297" s="182"/>
      <c r="BN1297" s="182"/>
      <c r="BO1297" s="182"/>
      <c r="BP1297" s="182"/>
      <c r="BQ1297" s="182"/>
      <c r="BR1297" s="182"/>
      <c r="BS1297" s="182"/>
    </row>
    <row r="1298" spans="1:71" ht="15.9" customHeight="1" x14ac:dyDescent="0.3">
      <c r="A1298" s="19" t="s">
        <v>3370</v>
      </c>
      <c r="B1298" s="19" t="s">
        <v>3038</v>
      </c>
      <c r="C1298" s="555">
        <v>44862</v>
      </c>
      <c r="D1298" s="19" t="s">
        <v>285</v>
      </c>
      <c r="E1298" s="19" t="s">
        <v>286</v>
      </c>
      <c r="F1298" s="1139" t="s">
        <v>3378</v>
      </c>
      <c r="G1298" s="15" t="s">
        <v>346</v>
      </c>
      <c r="H1298" s="200">
        <v>275000000</v>
      </c>
      <c r="I1298" s="17" t="s">
        <v>3172</v>
      </c>
      <c r="J1298" s="113" t="str">
        <f>VLOOKUP($I1298,'Price List, Weapons &amp; Items'!B:C,2,0)</f>
        <v>Ammunition for heavy weapon</v>
      </c>
      <c r="K1298" s="113" t="str">
        <f>IF(I1298=".",I1298,VLOOKUP($I1298,'Price List, Weapons &amp; Items'!B:D,3,0))</f>
        <v>227mm MLRS ammunition</v>
      </c>
      <c r="L1298" s="177">
        <f>VLOOKUP(I1298,'Price List, Weapons &amp; Items'!B:E,4,0)</f>
        <v>0</v>
      </c>
      <c r="M1298" s="542" t="s">
        <v>270</v>
      </c>
      <c r="N1298" s="542" t="s">
        <v>270</v>
      </c>
      <c r="O1298" s="543">
        <f>VLOOKUP($I1298,'Price List, Weapons &amp; Items'!B:G,6,0)</f>
        <v>150000</v>
      </c>
      <c r="P1298" s="176" t="str">
        <f>IF(TYPE(M1298)=1,IF(TYPE(O1298)=1,M1298*O1298,"No price"),".")</f>
        <v>.</v>
      </c>
      <c r="Q1298" s="176" t="str">
        <f>IF(TYPE(N1298)=1,IF(TYPE(O1298)=1,N1298*O1298,"No price"),".")</f>
        <v>.</v>
      </c>
      <c r="R1298" s="176" t="str">
        <f t="shared" si="304"/>
        <v/>
      </c>
      <c r="S1298" s="176" t="str">
        <f>IF(AND(AD1298=1,R1298&lt;&gt;".")=TRUE,R1298/VLOOKUP(G1298,'Exchange Rates'!B:C,2,0),IF(R1298=".",".",""))</f>
        <v/>
      </c>
      <c r="T1298" s="176" t="str">
        <f>IF(AD1298=1,IF(AF1298="Value is not given at all",".",IF(AF1298="Value is given by the source",S1298,IF(AF1298="Value is calculated with prices",(IF(SUMIFS(Q:Q,A:A,A1298)&gt;0,SUMIFS(Q:Q,A:A,A1298),"."))/VLOOKUP("USD",'Exchange Rates'!B:C,2,0),"Error with coding"))),"")</f>
        <v/>
      </c>
      <c r="U1298" s="15" t="s">
        <v>261</v>
      </c>
      <c r="V1298" s="304" t="s">
        <v>3379</v>
      </c>
      <c r="W1298" s="814" t="s">
        <v>3059</v>
      </c>
      <c r="X1298" s="665" t="s">
        <v>3062</v>
      </c>
      <c r="Y1298" s="671" t="s">
        <v>3094</v>
      </c>
      <c r="Z1298" s="15">
        <v>0</v>
      </c>
      <c r="AA1298" s="180">
        <v>0</v>
      </c>
      <c r="AB1298" s="669" t="s">
        <v>260</v>
      </c>
      <c r="AC1298" s="544" t="str">
        <f>""</f>
        <v/>
      </c>
      <c r="AD1298" s="181">
        <v>0</v>
      </c>
      <c r="AE1298" s="181" t="s">
        <v>264</v>
      </c>
      <c r="AF1298" s="181" t="s">
        <v>265</v>
      </c>
      <c r="AG1298" s="181">
        <v>1</v>
      </c>
      <c r="AH1298" s="181">
        <v>10</v>
      </c>
      <c r="AI1298" s="181">
        <v>0</v>
      </c>
      <c r="AJ1298" s="181">
        <f>VLOOKUP($I1298,'Price List, Weapons &amp; Items'!B:F,5,0)</f>
        <v>1</v>
      </c>
      <c r="AK1298" s="181">
        <f t="shared" si="305"/>
        <v>1</v>
      </c>
      <c r="AL1298" s="181">
        <f t="shared" si="306"/>
        <v>1</v>
      </c>
      <c r="AM1298" s="181">
        <f t="shared" si="307"/>
        <v>1</v>
      </c>
      <c r="AN1298" s="180" t="str">
        <f>VLOOKUP($I1298,'Price List, Weapons &amp; Items'!B:L,COLUMN('Price List, Weapons &amp; Items'!$J$11)-1,0)</f>
        <v>Media reports (incl. social media)</v>
      </c>
      <c r="AO1298" s="180" t="str">
        <f>IF(I1298=".",".",VLOOKUP($I1298,'Price List, Weapons &amp; Items'!B:J,3,0))</f>
        <v>227mm MLRS ammunition</v>
      </c>
      <c r="AP1298" s="545" t="str">
        <f t="shared" ca="1" si="301"/>
        <v/>
      </c>
      <c r="AQ1298" s="180" t="str">
        <f>VLOOKUP($I1298,'Price List, Weapons &amp; Items'!B:L,COLUMN('Price List, Weapons &amp; Items'!$L$11)-1,0)</f>
        <v>no price, 0 count</v>
      </c>
      <c r="AR1298" s="180">
        <f t="shared" si="308"/>
        <v>1</v>
      </c>
      <c r="AS1298" s="180">
        <f t="shared" si="309"/>
        <v>1</v>
      </c>
      <c r="AT1298" s="180">
        <f t="shared" si="310"/>
        <v>1</v>
      </c>
      <c r="AU1298" s="180" t="str">
        <f t="shared" si="321"/>
        <v>.</v>
      </c>
      <c r="AV1298" s="180" t="str">
        <f t="shared" si="320"/>
        <v>.</v>
      </c>
      <c r="AW1298" s="180">
        <f>IFERROR(VLOOKUP(B1298,'Share, Heavy Weapons to Ukraine'!B:J,COLUMN('Share, Heavy Weapons to Ukraine'!C1308)-1,0),0)</f>
        <v>1</v>
      </c>
      <c r="AX1298" s="180">
        <f>VLOOKUP('Bilateral Assistance, MAIN DATA'!B1298,'Country Summary'!B:F,COLUMN('Country Summary'!C1311)-1,FALSE)</f>
        <v>0</v>
      </c>
      <c r="AY1298" s="180" t="str">
        <f>IF(AND(AD1298=1,D1298="Military",H1298&lt;&gt;"Not given")=TRUE,IF(SUMIFS(P:P,A:A,A1298)&gt;0,ABS((SUMIFS(P:P,A:A,A1298)/VLOOKUP("USD",'Exchange Rates'!B:C,2,0)))/S1298,"."),".")</f>
        <v>.</v>
      </c>
      <c r="AZ1298" s="182" t="str">
        <f>IF(AND(AD1298=1,D1298="Military",H1298&lt;&gt;"Not given")=TRUE,IF(SUMIFS(P:P,A:A,A1298)&gt;0,IF((ABS((SUMIFS(P:P,A:A,A1298)/VLOOKUP("USD",'Exchange Rates'!B:C,2,0)))/S1298)&gt;1,(SUMIFS(P:P,A:A,A1298)-S1298)/S1298,(S1298-SUMIFS(P:P,A:A,A1298))/SUMIFS(P:P,A:A,A1298)),"."),".")</f>
        <v>.</v>
      </c>
      <c r="BA1298" s="182"/>
      <c r="BB1298" s="182"/>
      <c r="BC1298" s="182"/>
      <c r="BD1298" s="182"/>
      <c r="BE1298" s="182"/>
      <c r="BF1298" s="182"/>
      <c r="BG1298" s="182"/>
      <c r="BH1298" s="182"/>
      <c r="BI1298" s="182"/>
      <c r="BJ1298" s="182"/>
      <c r="BK1298" s="182"/>
      <c r="BL1298" s="182"/>
      <c r="BM1298" s="182"/>
      <c r="BN1298" s="182"/>
      <c r="BO1298" s="182"/>
      <c r="BP1298" s="182"/>
      <c r="BQ1298" s="182"/>
      <c r="BR1298" s="182"/>
      <c r="BS1298" s="182"/>
    </row>
    <row r="1299" spans="1:71" ht="15.9" customHeight="1" x14ac:dyDescent="0.3">
      <c r="A1299" s="19" t="s">
        <v>3370</v>
      </c>
      <c r="B1299" s="19" t="s">
        <v>3038</v>
      </c>
      <c r="C1299" s="555">
        <v>44862</v>
      </c>
      <c r="D1299" s="19" t="s">
        <v>285</v>
      </c>
      <c r="E1299" s="19" t="s">
        <v>286</v>
      </c>
      <c r="F1299" s="1139" t="s">
        <v>3378</v>
      </c>
      <c r="G1299" s="15" t="s">
        <v>346</v>
      </c>
      <c r="H1299" s="200">
        <v>275000000</v>
      </c>
      <c r="I1299" s="17" t="s">
        <v>3376</v>
      </c>
      <c r="J1299" s="113" t="str">
        <f>VLOOKUP($I1299,'Price List, Weapons &amp; Items'!B:C,2,0)</f>
        <v>Ammunition for heavy weapon</v>
      </c>
      <c r="K1299" s="113" t="str">
        <f>IF(I1299=".",I1299,VLOOKUP($I1299,'Price List, Weapons &amp; Items'!B:D,3,0))</f>
        <v>artillery round</v>
      </c>
      <c r="L1299" s="177">
        <f>VLOOKUP(I1299,'Price List, Weapons &amp; Items'!B:E,4,0)</f>
        <v>0</v>
      </c>
      <c r="M1299" s="542">
        <v>500</v>
      </c>
      <c r="N1299" s="542" t="s">
        <v>270</v>
      </c>
      <c r="O1299" s="543">
        <f>VLOOKUP($I1299,'Price List, Weapons &amp; Items'!B:G,6,0)</f>
        <v>112800</v>
      </c>
      <c r="P1299" s="176">
        <f t="shared" ref="P1299:P1317" si="322">IF(TYPE(M1299)=1,IF(TYPE(O1299)=1,M1299*O1299,"No price"),".")</f>
        <v>56400000</v>
      </c>
      <c r="Q1299" s="176" t="str">
        <f t="shared" ref="Q1299:Q1304" si="323">IF(TYPE(N1299)=1,IF(TYPE(O1299)=1,N1299*O1299,"No price"),".")</f>
        <v>.</v>
      </c>
      <c r="R1299" s="176" t="str">
        <f t="shared" si="304"/>
        <v/>
      </c>
      <c r="S1299" s="176" t="str">
        <f>IF(AND(AD1299=1,R1299&lt;&gt;".")=TRUE,R1299/VLOOKUP(G1299,'Exchange Rates'!B:C,2,0),IF(R1299=".",".",""))</f>
        <v/>
      </c>
      <c r="T1299" s="176" t="str">
        <f>IF(AD1299=1,IF(AF1299="Value is not given at all",".",IF(AF1299="Value is given by the source",S1299,IF(AF1299="Value is calculated with prices",(IF(SUMIFS(Q:Q,A:A,A1299)&gt;0,SUMIFS(Q:Q,A:A,A1299),"."))/VLOOKUP("USD",'Exchange Rates'!B:C,2,0),"Error with coding"))),"")</f>
        <v/>
      </c>
      <c r="U1299" s="15" t="s">
        <v>261</v>
      </c>
      <c r="V1299" s="304" t="s">
        <v>3379</v>
      </c>
      <c r="W1299" s="814" t="s">
        <v>3059</v>
      </c>
      <c r="X1299" s="665" t="s">
        <v>3062</v>
      </c>
      <c r="Y1299" s="671" t="s">
        <v>3095</v>
      </c>
      <c r="Z1299" s="15">
        <v>0</v>
      </c>
      <c r="AA1299" s="180">
        <v>0</v>
      </c>
      <c r="AB1299" s="669" t="s">
        <v>260</v>
      </c>
      <c r="AC1299" s="544" t="str">
        <f>""</f>
        <v/>
      </c>
      <c r="AD1299" s="181">
        <v>0</v>
      </c>
      <c r="AE1299" s="181" t="s">
        <v>264</v>
      </c>
      <c r="AF1299" s="181" t="s">
        <v>265</v>
      </c>
      <c r="AG1299" s="181">
        <v>1</v>
      </c>
      <c r="AH1299" s="181">
        <v>10</v>
      </c>
      <c r="AI1299" s="181">
        <v>0</v>
      </c>
      <c r="AJ1299" s="181">
        <f>VLOOKUP($I1299,'Price List, Weapons &amp; Items'!B:F,5,0)</f>
        <v>0</v>
      </c>
      <c r="AK1299" s="181">
        <f t="shared" si="305"/>
        <v>0</v>
      </c>
      <c r="AL1299" s="181">
        <f t="shared" si="306"/>
        <v>0</v>
      </c>
      <c r="AM1299" s="181">
        <f t="shared" si="307"/>
        <v>0</v>
      </c>
      <c r="AN1299" s="180" t="str">
        <f>VLOOKUP($I1299,'Price List, Weapons &amp; Items'!B:L,COLUMN('Price List, Weapons &amp; Items'!$J$11)-1,0)</f>
        <v>Miscellaneous</v>
      </c>
      <c r="AO1299" s="180" t="str">
        <f>IF(I1299=".",".",VLOOKUP($I1299,'Price List, Weapons &amp; Items'!B:J,3,0))</f>
        <v>artillery round</v>
      </c>
      <c r="AP1299" s="545" t="str">
        <f t="shared" ca="1" si="301"/>
        <v/>
      </c>
      <c r="AQ1299" s="180">
        <f>VLOOKUP($I1299,'Price List, Weapons &amp; Items'!B:L,COLUMN('Price List, Weapons &amp; Items'!$L$11)-1,0)</f>
        <v>2</v>
      </c>
      <c r="AR1299" s="180">
        <f t="shared" si="308"/>
        <v>1</v>
      </c>
      <c r="AS1299" s="180">
        <f t="shared" si="309"/>
        <v>1</v>
      </c>
      <c r="AT1299" s="180">
        <f t="shared" si="310"/>
        <v>1</v>
      </c>
      <c r="AU1299" s="180" t="str">
        <f t="shared" si="321"/>
        <v>.</v>
      </c>
      <c r="AV1299" s="180" t="str">
        <f t="shared" si="320"/>
        <v>.</v>
      </c>
      <c r="AW1299" s="180">
        <f>IFERROR(VLOOKUP(B1299,'Share, Heavy Weapons to Ukraine'!B:J,COLUMN('Share, Heavy Weapons to Ukraine'!C1309)-1,0),0)</f>
        <v>1</v>
      </c>
      <c r="AX1299" s="180">
        <f>VLOOKUP('Bilateral Assistance, MAIN DATA'!B1299,'Country Summary'!B:F,COLUMN('Country Summary'!C1312)-1,FALSE)</f>
        <v>0</v>
      </c>
      <c r="AY1299" s="180" t="str">
        <f>IF(AND(AD1299=1,D1299="Military",H1299&lt;&gt;"Not given")=TRUE,IF(SUMIFS(P:P,A:A,A1299)&gt;0,ABS((SUMIFS(P:P,A:A,A1299)/VLOOKUP("USD",'Exchange Rates'!B:C,2,0)))/S1299,"."),".")</f>
        <v>.</v>
      </c>
      <c r="AZ1299" s="182" t="str">
        <f>IF(AND(AD1299=1,D1299="Military",H1299&lt;&gt;"Not given")=TRUE,IF(SUMIFS(P:P,A:A,A1299)&gt;0,IF((ABS((SUMIFS(P:P,A:A,A1299)/VLOOKUP("USD",'Exchange Rates'!B:C,2,0)))/S1299)&gt;1,(SUMIFS(P:P,A:A,A1299)-S1299)/S1299,(S1299-SUMIFS(P:P,A:A,A1299))/SUMIFS(P:P,A:A,A1299)),"."),".")</f>
        <v>.</v>
      </c>
      <c r="BA1299" s="182"/>
      <c r="BB1299" s="182"/>
      <c r="BC1299" s="182"/>
      <c r="BD1299" s="182"/>
      <c r="BE1299" s="182"/>
      <c r="BF1299" s="182"/>
      <c r="BG1299" s="182"/>
      <c r="BH1299" s="182"/>
      <c r="BI1299" s="182"/>
      <c r="BJ1299" s="182"/>
      <c r="BK1299" s="182"/>
      <c r="BL1299" s="182"/>
      <c r="BM1299" s="182"/>
      <c r="BN1299" s="182"/>
      <c r="BO1299" s="182"/>
      <c r="BP1299" s="182"/>
      <c r="BQ1299" s="182"/>
      <c r="BR1299" s="182"/>
      <c r="BS1299" s="182"/>
    </row>
    <row r="1300" spans="1:71" ht="15.9" customHeight="1" x14ac:dyDescent="0.3">
      <c r="A1300" s="19" t="s">
        <v>3370</v>
      </c>
      <c r="B1300" s="19" t="s">
        <v>3038</v>
      </c>
      <c r="C1300" s="555">
        <v>44862</v>
      </c>
      <c r="D1300" s="19" t="s">
        <v>285</v>
      </c>
      <c r="E1300" s="19" t="s">
        <v>286</v>
      </c>
      <c r="F1300" s="1139" t="s">
        <v>3378</v>
      </c>
      <c r="G1300" s="15" t="s">
        <v>346</v>
      </c>
      <c r="H1300" s="200">
        <v>275000000</v>
      </c>
      <c r="I1300" s="17" t="s">
        <v>3377</v>
      </c>
      <c r="J1300" s="113" t="str">
        <f>VLOOKUP($I1300,'Price List, Weapons &amp; Items'!B:C,2,0)</f>
        <v>Ammunition for heavy weapon</v>
      </c>
      <c r="K1300" s="113" t="str">
        <f>IF(I1300=".",I1300,VLOOKUP($I1300,'Price List, Weapons &amp; Items'!B:D,3,0))</f>
        <v>155mm howitzer ammunition</v>
      </c>
      <c r="L1300" s="177">
        <f>VLOOKUP(I1300,'Price List, Weapons &amp; Items'!B:E,4,0)</f>
        <v>0</v>
      </c>
      <c r="M1300" s="542">
        <v>2000</v>
      </c>
      <c r="N1300" s="542" t="s">
        <v>270</v>
      </c>
      <c r="O1300" s="543">
        <f>VLOOKUP($I1300,'Price List, Weapons &amp; Items'!B:G,6,0)</f>
        <v>98000</v>
      </c>
      <c r="P1300" s="176">
        <f t="shared" si="322"/>
        <v>196000000</v>
      </c>
      <c r="Q1300" s="176" t="str">
        <f t="shared" si="323"/>
        <v>.</v>
      </c>
      <c r="R1300" s="176" t="str">
        <f t="shared" si="304"/>
        <v/>
      </c>
      <c r="S1300" s="176" t="str">
        <f>IF(AND(AD1300=1,R1300&lt;&gt;".")=TRUE,R1300/VLOOKUP(G1300,'Exchange Rates'!B:C,2,0),IF(R1300=".",".",""))</f>
        <v/>
      </c>
      <c r="T1300" s="176" t="str">
        <f>IF(AD1300=1,IF(AF1300="Value is not given at all",".",IF(AF1300="Value is given by the source",S1300,IF(AF1300="Value is calculated with prices",(IF(SUMIFS(Q:Q,A:A,A1300)&gt;0,SUMIFS(Q:Q,A:A,A1300),"."))/VLOOKUP("USD",'Exchange Rates'!B:C,2,0),"Error with coding"))),"")</f>
        <v/>
      </c>
      <c r="U1300" s="15" t="s">
        <v>261</v>
      </c>
      <c r="V1300" s="304" t="s">
        <v>3379</v>
      </c>
      <c r="W1300" s="814" t="s">
        <v>3059</v>
      </c>
      <c r="X1300" s="665" t="s">
        <v>3062</v>
      </c>
      <c r="Y1300" s="671" t="s">
        <v>3097</v>
      </c>
      <c r="Z1300" s="15">
        <v>0</v>
      </c>
      <c r="AA1300" s="180">
        <v>0</v>
      </c>
      <c r="AB1300" s="669" t="s">
        <v>260</v>
      </c>
      <c r="AC1300" s="544" t="str">
        <f>""</f>
        <v/>
      </c>
      <c r="AD1300" s="181">
        <v>0</v>
      </c>
      <c r="AE1300" s="181" t="s">
        <v>264</v>
      </c>
      <c r="AF1300" s="181" t="s">
        <v>265</v>
      </c>
      <c r="AG1300" s="181">
        <v>1</v>
      </c>
      <c r="AH1300" s="181">
        <v>10</v>
      </c>
      <c r="AI1300" s="181">
        <v>0</v>
      </c>
      <c r="AJ1300" s="181">
        <f>VLOOKUP($I1300,'Price List, Weapons &amp; Items'!B:F,5,0)</f>
        <v>1</v>
      </c>
      <c r="AK1300" s="181">
        <f t="shared" si="305"/>
        <v>0</v>
      </c>
      <c r="AL1300" s="181">
        <f t="shared" si="306"/>
        <v>1</v>
      </c>
      <c r="AM1300" s="181">
        <f t="shared" si="307"/>
        <v>0</v>
      </c>
      <c r="AN1300" s="180" t="str">
        <f>VLOOKUP($I1300,'Price List, Weapons &amp; Items'!B:L,COLUMN('Price List, Weapons &amp; Items'!$J$11)-1,0)</f>
        <v>Government information</v>
      </c>
      <c r="AO1300" s="180" t="str">
        <f>IF(I1300=".",".",VLOOKUP($I1300,'Price List, Weapons &amp; Items'!B:J,3,0))</f>
        <v>155mm howitzer ammunition</v>
      </c>
      <c r="AP1300" s="545" t="str">
        <f t="shared" ca="1" si="301"/>
        <v/>
      </c>
      <c r="AQ1300" s="180">
        <f>VLOOKUP($I1300,'Price List, Weapons &amp; Items'!B:L,COLUMN('Price List, Weapons &amp; Items'!$L$11)-1,0)</f>
        <v>2</v>
      </c>
      <c r="AR1300" s="180">
        <f t="shared" si="308"/>
        <v>1</v>
      </c>
      <c r="AS1300" s="180">
        <f t="shared" si="309"/>
        <v>1</v>
      </c>
      <c r="AT1300" s="180">
        <f t="shared" si="310"/>
        <v>1</v>
      </c>
      <c r="AU1300" s="180" t="str">
        <f t="shared" si="321"/>
        <v>.</v>
      </c>
      <c r="AV1300" s="180" t="str">
        <f t="shared" si="320"/>
        <v>.</v>
      </c>
      <c r="AW1300" s="180">
        <f>IFERROR(VLOOKUP(B1300,'Share, Heavy Weapons to Ukraine'!B:J,COLUMN('Share, Heavy Weapons to Ukraine'!C1310)-1,0),0)</f>
        <v>1</v>
      </c>
      <c r="AX1300" s="180">
        <f>VLOOKUP('Bilateral Assistance, MAIN DATA'!B1300,'Country Summary'!B:F,COLUMN('Country Summary'!C1313)-1,FALSE)</f>
        <v>0</v>
      </c>
      <c r="AY1300" s="180" t="str">
        <f>IF(AND(AD1300=1,D1300="Military",H1300&lt;&gt;"Not given")=TRUE,IF(SUMIFS(P:P,A:A,A1300)&gt;0,ABS((SUMIFS(P:P,A:A,A1300)/VLOOKUP("USD",'Exchange Rates'!B:C,2,0)))/S1300,"."),".")</f>
        <v>.</v>
      </c>
      <c r="AZ1300" s="182" t="str">
        <f>IF(AND(AD1300=1,D1300="Military",H1300&lt;&gt;"Not given")=TRUE,IF(SUMIFS(P:P,A:A,A1300)&gt;0,IF((ABS((SUMIFS(P:P,A:A,A1300)/VLOOKUP("USD",'Exchange Rates'!B:C,2,0)))/S1300)&gt;1,(SUMIFS(P:P,A:A,A1300)-S1300)/S1300,(S1300-SUMIFS(P:P,A:A,A1300))/SUMIFS(P:P,A:A,A1300)),"."),".")</f>
        <v>.</v>
      </c>
      <c r="BA1300" s="182"/>
      <c r="BB1300" s="182"/>
      <c r="BC1300" s="182"/>
      <c r="BD1300" s="182"/>
      <c r="BE1300" s="182"/>
      <c r="BF1300" s="182"/>
      <c r="BG1300" s="182"/>
      <c r="BH1300" s="182"/>
      <c r="BI1300" s="182"/>
      <c r="BJ1300" s="182"/>
      <c r="BK1300" s="182"/>
      <c r="BL1300" s="182"/>
      <c r="BM1300" s="182"/>
      <c r="BN1300" s="182"/>
      <c r="BO1300" s="182"/>
      <c r="BP1300" s="182"/>
      <c r="BQ1300" s="182"/>
      <c r="BR1300" s="182"/>
      <c r="BS1300" s="182"/>
    </row>
    <row r="1301" spans="1:71" ht="15.9" customHeight="1" x14ac:dyDescent="0.3">
      <c r="A1301" s="19" t="s">
        <v>3370</v>
      </c>
      <c r="B1301" s="19" t="s">
        <v>3038</v>
      </c>
      <c r="C1301" s="555">
        <v>44862</v>
      </c>
      <c r="D1301" s="19" t="s">
        <v>285</v>
      </c>
      <c r="E1301" s="19" t="s">
        <v>286</v>
      </c>
      <c r="F1301" s="1139" t="s">
        <v>3378</v>
      </c>
      <c r="G1301" s="15" t="s">
        <v>346</v>
      </c>
      <c r="H1301" s="200">
        <v>275000000</v>
      </c>
      <c r="I1301" s="17" t="s">
        <v>3107</v>
      </c>
      <c r="J1301" s="113" t="str">
        <f>VLOOKUP($I1301,'Price List, Weapons &amp; Items'!B:C,2,0)</f>
        <v>Portable defence system</v>
      </c>
      <c r="K1301" s="113" t="str">
        <f>IF(I1301=".",I1301,VLOOKUP($I1301,'Price List, Weapons &amp; Items'!B:D,3,0))</f>
        <v>Light Anti-armor Weapon (LAW)</v>
      </c>
      <c r="L1301" s="177">
        <f>VLOOKUP(I1301,'Price List, Weapons &amp; Items'!B:E,4,0)</f>
        <v>0</v>
      </c>
      <c r="M1301" s="542">
        <v>1300</v>
      </c>
      <c r="N1301" s="542" t="s">
        <v>270</v>
      </c>
      <c r="O1301" s="543">
        <f>VLOOKUP($I1301,'Price List, Weapons &amp; Items'!B:G,6,0)</f>
        <v>78000</v>
      </c>
      <c r="P1301" s="176">
        <f t="shared" si="322"/>
        <v>101400000</v>
      </c>
      <c r="Q1301" s="176" t="str">
        <f t="shared" si="323"/>
        <v>.</v>
      </c>
      <c r="R1301" s="176" t="str">
        <f t="shared" si="304"/>
        <v/>
      </c>
      <c r="S1301" s="176" t="str">
        <f>IF(AND(AD1301=1,R1301&lt;&gt;".")=TRUE,R1301/VLOOKUP(G1301,'Exchange Rates'!B:C,2,0),IF(R1301=".",".",""))</f>
        <v/>
      </c>
      <c r="T1301" s="176" t="str">
        <f>IF(AD1301=1,IF(AF1301="Value is not given at all",".",IF(AF1301="Value is given by the source",S1301,IF(AF1301="Value is calculated with prices",(IF(SUMIFS(Q:Q,A:A,A1301)&gt;0,SUMIFS(Q:Q,A:A,A1301),"."))/VLOOKUP("USD",'Exchange Rates'!B:C,2,0),"Error with coding"))),"")</f>
        <v/>
      </c>
      <c r="U1301" s="15" t="s">
        <v>261</v>
      </c>
      <c r="V1301" s="304" t="s">
        <v>3379</v>
      </c>
      <c r="W1301" s="814" t="s">
        <v>3059</v>
      </c>
      <c r="X1301" s="665" t="s">
        <v>3062</v>
      </c>
      <c r="Y1301" s="671" t="s">
        <v>3099</v>
      </c>
      <c r="Z1301" s="15">
        <v>0</v>
      </c>
      <c r="AA1301" s="180">
        <v>0</v>
      </c>
      <c r="AB1301" s="669" t="s">
        <v>260</v>
      </c>
      <c r="AC1301" s="544" t="str">
        <f>""</f>
        <v/>
      </c>
      <c r="AD1301" s="181">
        <v>0</v>
      </c>
      <c r="AE1301" s="181" t="s">
        <v>264</v>
      </c>
      <c r="AF1301" s="181" t="s">
        <v>265</v>
      </c>
      <c r="AG1301" s="181">
        <v>1</v>
      </c>
      <c r="AH1301" s="181">
        <v>10</v>
      </c>
      <c r="AI1301" s="181">
        <v>0</v>
      </c>
      <c r="AJ1301" s="181">
        <f>VLOOKUP($I1301,'Price List, Weapons &amp; Items'!B:F,5,0)</f>
        <v>0</v>
      </c>
      <c r="AK1301" s="181">
        <f t="shared" si="305"/>
        <v>0</v>
      </c>
      <c r="AL1301" s="181">
        <f t="shared" si="306"/>
        <v>0</v>
      </c>
      <c r="AM1301" s="181">
        <f t="shared" si="307"/>
        <v>0</v>
      </c>
      <c r="AN1301" s="180" t="str">
        <f>VLOOKUP($I1301,'Price List, Weapons &amp; Items'!B:L,COLUMN('Price List, Weapons &amp; Items'!$J$11)-1,0)</f>
        <v>Military media (incl. websites)</v>
      </c>
      <c r="AO1301" s="180" t="str">
        <f>IF(I1301=".",".",VLOOKUP($I1301,'Price List, Weapons &amp; Items'!B:J,3,0))</f>
        <v>Light Anti-armor Weapon (LAW)</v>
      </c>
      <c r="AP1301" s="545" t="str">
        <f t="shared" ref="AP1301:AP1364" ca="1" si="324">IF(AD1301=1,_xlfn.ARRAYTOTEXT(OFFSET(I1301,0,0,COUNTIF(A:A,A1301),1)),"")</f>
        <v/>
      </c>
      <c r="AQ1301" s="180">
        <f>VLOOKUP($I1301,'Price List, Weapons &amp; Items'!B:L,COLUMN('Price List, Weapons &amp; Items'!$L$11)-1,0)</f>
        <v>2</v>
      </c>
      <c r="AR1301" s="180">
        <f t="shared" si="308"/>
        <v>1</v>
      </c>
      <c r="AS1301" s="180">
        <f t="shared" si="309"/>
        <v>1</v>
      </c>
      <c r="AT1301" s="180">
        <f t="shared" si="310"/>
        <v>1</v>
      </c>
      <c r="AU1301" s="180" t="str">
        <f t="shared" si="321"/>
        <v>.</v>
      </c>
      <c r="AV1301" s="180" t="str">
        <f t="shared" si="320"/>
        <v>.</v>
      </c>
      <c r="AW1301" s="180">
        <f>IFERROR(VLOOKUP(B1301,'Share, Heavy Weapons to Ukraine'!B:J,COLUMN('Share, Heavy Weapons to Ukraine'!C1311)-1,0),0)</f>
        <v>1</v>
      </c>
      <c r="AX1301" s="180">
        <f>VLOOKUP('Bilateral Assistance, MAIN DATA'!B1301,'Country Summary'!B:F,COLUMN('Country Summary'!C1314)-1,FALSE)</f>
        <v>0</v>
      </c>
      <c r="AY1301" s="180" t="str">
        <f>IF(AND(AD1301=1,D1301="Military",H1301&lt;&gt;"Not given")=TRUE,IF(SUMIFS(P:P,A:A,A1301)&gt;0,ABS((SUMIFS(P:P,A:A,A1301)/VLOOKUP("USD",'Exchange Rates'!B:C,2,0)))/S1301,"."),".")</f>
        <v>.</v>
      </c>
      <c r="AZ1301" s="182" t="str">
        <f>IF(AND(AD1301=1,D1301="Military",H1301&lt;&gt;"Not given")=TRUE,IF(SUMIFS(P:P,A:A,A1301)&gt;0,IF((ABS((SUMIFS(P:P,A:A,A1301)/VLOOKUP("USD",'Exchange Rates'!B:C,2,0)))/S1301)&gt;1,(SUMIFS(P:P,A:A,A1301)-S1301)/S1301,(S1301-SUMIFS(P:P,A:A,A1301))/SUMIFS(P:P,A:A,A1301)),"."),".")</f>
        <v>.</v>
      </c>
      <c r="BA1301" s="182"/>
      <c r="BB1301" s="182"/>
      <c r="BC1301" s="182"/>
      <c r="BD1301" s="182"/>
      <c r="BE1301" s="182"/>
      <c r="BF1301" s="182"/>
      <c r="BG1301" s="182"/>
      <c r="BH1301" s="182"/>
      <c r="BI1301" s="182"/>
      <c r="BJ1301" s="182"/>
      <c r="BK1301" s="182"/>
      <c r="BL1301" s="182"/>
      <c r="BM1301" s="182"/>
      <c r="BN1301" s="182"/>
      <c r="BO1301" s="182"/>
      <c r="BP1301" s="182"/>
      <c r="BQ1301" s="182"/>
      <c r="BR1301" s="182"/>
      <c r="BS1301" s="182"/>
    </row>
    <row r="1302" spans="1:71" ht="15.9" customHeight="1" x14ac:dyDescent="0.3">
      <c r="A1302" s="19" t="s">
        <v>3370</v>
      </c>
      <c r="B1302" s="19" t="s">
        <v>3038</v>
      </c>
      <c r="C1302" s="555">
        <v>44862</v>
      </c>
      <c r="D1302" s="19" t="s">
        <v>285</v>
      </c>
      <c r="E1302" s="19" t="s">
        <v>286</v>
      </c>
      <c r="F1302" s="1139" t="s">
        <v>3378</v>
      </c>
      <c r="G1302" s="15" t="s">
        <v>346</v>
      </c>
      <c r="H1302" s="200">
        <v>275000000</v>
      </c>
      <c r="I1302" s="17" t="s">
        <v>3110</v>
      </c>
      <c r="J1302" s="113" t="str">
        <f>VLOOKUP($I1302,'Price List, Weapons &amp; Items'!B:C,2,0)</f>
        <v>Heavy weapon</v>
      </c>
      <c r="K1302" s="113" t="str">
        <f>IF(I1302=".",I1302,VLOOKUP($I1302,'Price List, Weapons &amp; Items'!B:D,3,0))</f>
        <v>Armoured Utility Vehicle (AUV)</v>
      </c>
      <c r="L1302" s="177">
        <f>VLOOKUP(I1302,'Price List, Weapons &amp; Items'!B:E,4,0)</f>
        <v>0</v>
      </c>
      <c r="M1302" s="542">
        <v>125</v>
      </c>
      <c r="N1302" s="542" t="s">
        <v>270</v>
      </c>
      <c r="O1302" s="543">
        <f>VLOOKUP($I1302,'Price List, Weapons &amp; Items'!B:G,6,0)</f>
        <v>254717</v>
      </c>
      <c r="P1302" s="176">
        <f t="shared" si="322"/>
        <v>31839625</v>
      </c>
      <c r="Q1302" s="176" t="str">
        <f t="shared" si="323"/>
        <v>.</v>
      </c>
      <c r="R1302" s="176" t="str">
        <f t="shared" si="304"/>
        <v/>
      </c>
      <c r="S1302" s="176" t="str">
        <f>IF(AND(AD1302=1,R1302&lt;&gt;".")=TRUE,R1302/VLOOKUP(G1302,'Exchange Rates'!B:C,2,0),IF(R1302=".",".",""))</f>
        <v/>
      </c>
      <c r="T1302" s="176" t="str">
        <f>IF(AD1302=1,IF(AF1302="Value is not given at all",".",IF(AF1302="Value is given by the source",S1302,IF(AF1302="Value is calculated with prices",(IF(SUMIFS(Q:Q,A:A,A1302)&gt;0,SUMIFS(Q:Q,A:A,A1302),"."))/VLOOKUP("USD",'Exchange Rates'!B:C,2,0),"Error with coding"))),"")</f>
        <v/>
      </c>
      <c r="U1302" s="15" t="s">
        <v>261</v>
      </c>
      <c r="V1302" s="304" t="s">
        <v>3379</v>
      </c>
      <c r="W1302" s="814" t="s">
        <v>3059</v>
      </c>
      <c r="X1302" s="665" t="s">
        <v>3062</v>
      </c>
      <c r="Y1302" s="671" t="s">
        <v>3100</v>
      </c>
      <c r="Z1302" s="15">
        <v>0</v>
      </c>
      <c r="AA1302" s="180">
        <v>0</v>
      </c>
      <c r="AB1302" s="669" t="s">
        <v>260</v>
      </c>
      <c r="AC1302" s="544" t="str">
        <f>""</f>
        <v/>
      </c>
      <c r="AD1302" s="181">
        <v>0</v>
      </c>
      <c r="AE1302" s="181" t="s">
        <v>264</v>
      </c>
      <c r="AF1302" s="181" t="s">
        <v>265</v>
      </c>
      <c r="AG1302" s="181">
        <v>1</v>
      </c>
      <c r="AH1302" s="181">
        <v>10</v>
      </c>
      <c r="AI1302" s="181">
        <v>0</v>
      </c>
      <c r="AJ1302" s="181">
        <f>VLOOKUP($I1302,'Price List, Weapons &amp; Items'!B:F,5,0)</f>
        <v>1</v>
      </c>
      <c r="AK1302" s="181">
        <f t="shared" si="305"/>
        <v>0</v>
      </c>
      <c r="AL1302" s="181">
        <f t="shared" si="306"/>
        <v>1</v>
      </c>
      <c r="AM1302" s="181">
        <f t="shared" si="307"/>
        <v>0</v>
      </c>
      <c r="AN1302" s="180" t="str">
        <f>VLOOKUP($I1302,'Price List, Weapons &amp; Items'!B:L,COLUMN('Price List, Weapons &amp; Items'!$J$11)-1,0)</f>
        <v>Military media (incl. websites)</v>
      </c>
      <c r="AO1302" s="180" t="str">
        <f>IF(I1302=".",".",VLOOKUP($I1302,'Price List, Weapons &amp; Items'!B:J,3,0))</f>
        <v>Armoured Utility Vehicle (AUV)</v>
      </c>
      <c r="AP1302" s="545" t="str">
        <f t="shared" ca="1" si="324"/>
        <v/>
      </c>
      <c r="AQ1302" s="180">
        <f>VLOOKUP($I1302,'Price List, Weapons &amp; Items'!B:L,COLUMN('Price List, Weapons &amp; Items'!$L$11)-1,0)</f>
        <v>2</v>
      </c>
      <c r="AR1302" s="180">
        <f t="shared" si="308"/>
        <v>1</v>
      </c>
      <c r="AS1302" s="180">
        <f t="shared" si="309"/>
        <v>1</v>
      </c>
      <c r="AT1302" s="180">
        <f t="shared" si="310"/>
        <v>1</v>
      </c>
      <c r="AU1302" s="180" t="str">
        <f t="shared" si="321"/>
        <v>.</v>
      </c>
      <c r="AV1302" s="180" t="str">
        <f t="shared" si="320"/>
        <v>.</v>
      </c>
      <c r="AW1302" s="180">
        <f>IFERROR(VLOOKUP(B1302,'Share, Heavy Weapons to Ukraine'!B:J,COLUMN('Share, Heavy Weapons to Ukraine'!C1312)-1,0),0)</f>
        <v>1</v>
      </c>
      <c r="AX1302" s="180">
        <f>VLOOKUP('Bilateral Assistance, MAIN DATA'!B1302,'Country Summary'!B:F,COLUMN('Country Summary'!C1315)-1,FALSE)</f>
        <v>0</v>
      </c>
      <c r="AY1302" s="180" t="str">
        <f>IF(AND(AD1302=1,D1302="Military",H1302&lt;&gt;"Not given")=TRUE,IF(SUMIFS(P:P,A:A,A1302)&gt;0,ABS((SUMIFS(P:P,A:A,A1302)/VLOOKUP("USD",'Exchange Rates'!B:C,2,0)))/S1302,"."),".")</f>
        <v>.</v>
      </c>
      <c r="AZ1302" s="182" t="str">
        <f>IF(AND(AD1302=1,D1302="Military",H1302&lt;&gt;"Not given")=TRUE,IF(SUMIFS(P:P,A:A,A1302)&gt;0,IF((ABS((SUMIFS(P:P,A:A,A1302)/VLOOKUP("USD",'Exchange Rates'!B:C,2,0)))/S1302)&gt;1,(SUMIFS(P:P,A:A,A1302)-S1302)/S1302,(S1302-SUMIFS(P:P,A:A,A1302))/SUMIFS(P:P,A:A,A1302)),"."),".")</f>
        <v>.</v>
      </c>
      <c r="BA1302" s="182"/>
      <c r="BB1302" s="182"/>
      <c r="BC1302" s="182"/>
      <c r="BD1302" s="182"/>
      <c r="BE1302" s="182"/>
      <c r="BF1302" s="182"/>
      <c r="BG1302" s="182"/>
      <c r="BH1302" s="182"/>
      <c r="BI1302" s="182"/>
      <c r="BJ1302" s="182"/>
      <c r="BK1302" s="182"/>
      <c r="BL1302" s="182"/>
      <c r="BM1302" s="182"/>
      <c r="BN1302" s="182"/>
      <c r="BO1302" s="182"/>
      <c r="BP1302" s="182"/>
      <c r="BQ1302" s="182"/>
      <c r="BR1302" s="182"/>
      <c r="BS1302" s="182"/>
    </row>
    <row r="1303" spans="1:71" ht="15.9" customHeight="1" x14ac:dyDescent="0.3">
      <c r="A1303" s="19" t="s">
        <v>3370</v>
      </c>
      <c r="B1303" s="19" t="s">
        <v>3038</v>
      </c>
      <c r="C1303" s="555">
        <v>44862</v>
      </c>
      <c r="D1303" s="19" t="s">
        <v>285</v>
      </c>
      <c r="E1303" s="19" t="s">
        <v>286</v>
      </c>
      <c r="F1303" s="1139" t="s">
        <v>3378</v>
      </c>
      <c r="G1303" s="15" t="s">
        <v>346</v>
      </c>
      <c r="H1303" s="200">
        <v>275000000</v>
      </c>
      <c r="I1303" s="17" t="s">
        <v>3296</v>
      </c>
      <c r="J1303" s="113" t="str">
        <f>VLOOKUP($I1303,'Price List, Weapons &amp; Items'!B:C,2,0)</f>
        <v>Ammunition for light infantry</v>
      </c>
      <c r="K1303" s="113" t="str">
        <f>IF(I1303=".",I1303,VLOOKUP($I1303,'Price List, Weapons &amp; Items'!B:D,3,0))</f>
        <v>Small Arms and Light Weapons (SALW) ammunition</v>
      </c>
      <c r="L1303" s="177">
        <f>VLOOKUP(I1303,'Price List, Weapons &amp; Items'!B:E,4,0)</f>
        <v>0</v>
      </c>
      <c r="M1303" s="542">
        <v>2750000</v>
      </c>
      <c r="N1303" s="542" t="s">
        <v>270</v>
      </c>
      <c r="O1303" s="543">
        <f>VLOOKUP($I1303,'Price List, Weapons &amp; Items'!B:G,6,0)</f>
        <v>0.47</v>
      </c>
      <c r="P1303" s="176">
        <f t="shared" si="322"/>
        <v>1292500</v>
      </c>
      <c r="Q1303" s="176" t="str">
        <f t="shared" si="323"/>
        <v>.</v>
      </c>
      <c r="R1303" s="176" t="str">
        <f t="shared" si="304"/>
        <v/>
      </c>
      <c r="S1303" s="176" t="str">
        <f>IF(AND(AD1303=1,R1303&lt;&gt;".")=TRUE,R1303/VLOOKUP(G1303,'Exchange Rates'!B:C,2,0),IF(R1303=".",".",""))</f>
        <v/>
      </c>
      <c r="T1303" s="176" t="str">
        <f>IF(AD1303=1,IF(AF1303="Value is not given at all",".",IF(AF1303="Value is given by the source",S1303,IF(AF1303="Value is calculated with prices",(IF(SUMIFS(Q:Q,A:A,A1303)&gt;0,SUMIFS(Q:Q,A:A,A1303),"."))/VLOOKUP("USD",'Exchange Rates'!B:C,2,0),"Error with coding"))),"")</f>
        <v/>
      </c>
      <c r="U1303" s="15" t="s">
        <v>261</v>
      </c>
      <c r="V1303" s="304" t="s">
        <v>3379</v>
      </c>
      <c r="W1303" s="814" t="s">
        <v>3059</v>
      </c>
      <c r="X1303" s="665" t="s">
        <v>3062</v>
      </c>
      <c r="Y1303" s="671" t="s">
        <v>3101</v>
      </c>
      <c r="Z1303" s="15">
        <v>0</v>
      </c>
      <c r="AA1303" s="180">
        <v>0</v>
      </c>
      <c r="AB1303" s="669" t="s">
        <v>260</v>
      </c>
      <c r="AC1303" s="544" t="str">
        <f>""</f>
        <v/>
      </c>
      <c r="AD1303" s="181">
        <v>0</v>
      </c>
      <c r="AE1303" s="181" t="s">
        <v>264</v>
      </c>
      <c r="AF1303" s="181" t="s">
        <v>265</v>
      </c>
      <c r="AG1303" s="181">
        <v>1</v>
      </c>
      <c r="AH1303" s="181">
        <v>10</v>
      </c>
      <c r="AI1303" s="181">
        <v>0</v>
      </c>
      <c r="AJ1303" s="181">
        <f>VLOOKUP($I1303,'Price List, Weapons &amp; Items'!B:F,5,0)</f>
        <v>0</v>
      </c>
      <c r="AK1303" s="181">
        <f t="shared" si="305"/>
        <v>0</v>
      </c>
      <c r="AL1303" s="181">
        <f t="shared" si="306"/>
        <v>0</v>
      </c>
      <c r="AM1303" s="181">
        <f t="shared" si="307"/>
        <v>1</v>
      </c>
      <c r="AN1303" s="180" t="str">
        <f>VLOOKUP($I1303,'Price List, Weapons &amp; Items'!B:L,COLUMN('Price List, Weapons &amp; Items'!$J$11)-1,0)</f>
        <v>Miscellaneous</v>
      </c>
      <c r="AO1303" s="180" t="str">
        <f>IF(I1303=".",".",VLOOKUP($I1303,'Price List, Weapons &amp; Items'!B:J,3,0))</f>
        <v>Small Arms and Light Weapons (SALW) ammunition</v>
      </c>
      <c r="AP1303" s="545" t="str">
        <f t="shared" ca="1" si="324"/>
        <v/>
      </c>
      <c r="AQ1303" s="180">
        <f>VLOOKUP($I1303,'Price List, Weapons &amp; Items'!B:L,COLUMN('Price List, Weapons &amp; Items'!$L$11)-1,0)</f>
        <v>2</v>
      </c>
      <c r="AR1303" s="180">
        <f t="shared" si="308"/>
        <v>1</v>
      </c>
      <c r="AS1303" s="180">
        <f t="shared" si="309"/>
        <v>1</v>
      </c>
      <c r="AT1303" s="180">
        <f t="shared" si="310"/>
        <v>1</v>
      </c>
      <c r="AU1303" s="180" t="str">
        <f t="shared" si="321"/>
        <v>.</v>
      </c>
      <c r="AV1303" s="180" t="str">
        <f t="shared" si="320"/>
        <v>.</v>
      </c>
      <c r="AW1303" s="180">
        <f>IFERROR(VLOOKUP(B1303,'Share, Heavy Weapons to Ukraine'!B:J,COLUMN('Share, Heavy Weapons to Ukraine'!C1313)-1,0),0)</f>
        <v>1</v>
      </c>
      <c r="AX1303" s="180">
        <f>VLOOKUP('Bilateral Assistance, MAIN DATA'!B1303,'Country Summary'!B:F,COLUMN('Country Summary'!C1316)-1,FALSE)</f>
        <v>0</v>
      </c>
      <c r="AY1303" s="180" t="str">
        <f>IF(AND(AD1303=1,D1303="Military",H1303&lt;&gt;"Not given")=TRUE,IF(SUMIFS(P:P,A:A,A1303)&gt;0,ABS((SUMIFS(P:P,A:A,A1303)/VLOOKUP("USD",'Exchange Rates'!B:C,2,0)))/S1303,"."),".")</f>
        <v>.</v>
      </c>
      <c r="AZ1303" s="182" t="str">
        <f>IF(AND(AD1303=1,D1303="Military",H1303&lt;&gt;"Not given")=TRUE,IF(SUMIFS(P:P,A:A,A1303)&gt;0,IF((ABS((SUMIFS(P:P,A:A,A1303)/VLOOKUP("USD",'Exchange Rates'!B:C,2,0)))/S1303)&gt;1,(SUMIFS(P:P,A:A,A1303)-S1303)/S1303,(S1303-SUMIFS(P:P,A:A,A1303))/SUMIFS(P:P,A:A,A1303)),"."),".")</f>
        <v>.</v>
      </c>
      <c r="BA1303" s="182"/>
      <c r="BB1303" s="182"/>
      <c r="BC1303" s="182"/>
      <c r="BD1303" s="182"/>
      <c r="BE1303" s="182"/>
      <c r="BF1303" s="182"/>
      <c r="BG1303" s="182"/>
      <c r="BH1303" s="182"/>
      <c r="BI1303" s="182"/>
      <c r="BJ1303" s="182"/>
      <c r="BK1303" s="182"/>
      <c r="BL1303" s="182"/>
      <c r="BM1303" s="182"/>
      <c r="BN1303" s="182"/>
      <c r="BO1303" s="182"/>
      <c r="BP1303" s="182"/>
      <c r="BQ1303" s="182"/>
      <c r="BR1303" s="182"/>
      <c r="BS1303" s="182"/>
    </row>
    <row r="1304" spans="1:71" ht="15.9" customHeight="1" x14ac:dyDescent="0.3">
      <c r="A1304" s="19" t="s">
        <v>3370</v>
      </c>
      <c r="B1304" s="19" t="s">
        <v>3038</v>
      </c>
      <c r="C1304" s="555">
        <v>44862</v>
      </c>
      <c r="D1304" s="19" t="s">
        <v>285</v>
      </c>
      <c r="E1304" s="19" t="s">
        <v>286</v>
      </c>
      <c r="F1304" s="1139" t="s">
        <v>3378</v>
      </c>
      <c r="G1304" s="15" t="s">
        <v>346</v>
      </c>
      <c r="H1304" s="200">
        <v>275000000</v>
      </c>
      <c r="I1304" s="17" t="s">
        <v>3380</v>
      </c>
      <c r="J1304" s="113" t="str">
        <f>VLOOKUP($I1304,'Price List, Weapons &amp; Items'!B:C,2,0)</f>
        <v>Military equipment</v>
      </c>
      <c r="K1304" s="113" t="str">
        <f>IF(I1304=".",I1304,VLOOKUP($I1304,'Price List, Weapons &amp; Items'!B:D,3,0))</f>
        <v>Military equipment</v>
      </c>
      <c r="L1304" s="177">
        <f>VLOOKUP(I1304,'Price List, Weapons &amp; Items'!B:E,4,0)</f>
        <v>0</v>
      </c>
      <c r="M1304" s="542">
        <v>4</v>
      </c>
      <c r="N1304" s="542" t="s">
        <v>270</v>
      </c>
      <c r="O1304" s="543" t="str">
        <f>VLOOKUP($I1304,'Price List, Weapons &amp; Items'!B:G,6,0)</f>
        <v>.</v>
      </c>
      <c r="P1304" s="176" t="str">
        <f t="shared" si="322"/>
        <v>No price</v>
      </c>
      <c r="Q1304" s="176" t="str">
        <f t="shared" si="323"/>
        <v>.</v>
      </c>
      <c r="R1304" s="176" t="str">
        <f t="shared" si="304"/>
        <v/>
      </c>
      <c r="S1304" s="176" t="str">
        <f>IF(AND(AD1304=1,R1304&lt;&gt;".")=TRUE,R1304/VLOOKUP(G1304,'Exchange Rates'!B:C,2,0),IF(R1304=".",".",""))</f>
        <v/>
      </c>
      <c r="T1304" s="176" t="str">
        <f>IF(AD1304=1,IF(AF1304="Value is not given at all",".",IF(AF1304="Value is given by the source",S1304,IF(AF1304="Value is calculated with prices",(IF(SUMIFS(Q:Q,A:A,A1304)&gt;0,SUMIFS(Q:Q,A:A,A1304),"."))/VLOOKUP("USD",'Exchange Rates'!B:C,2,0),"Error with coding"))),"")</f>
        <v/>
      </c>
      <c r="U1304" s="15" t="s">
        <v>261</v>
      </c>
      <c r="V1304" s="304" t="s">
        <v>3379</v>
      </c>
      <c r="W1304" s="814" t="s">
        <v>3059</v>
      </c>
      <c r="X1304" s="665" t="s">
        <v>3062</v>
      </c>
      <c r="Y1304" s="671" t="s">
        <v>3103</v>
      </c>
      <c r="Z1304" s="15">
        <v>0</v>
      </c>
      <c r="AA1304" s="180">
        <v>0</v>
      </c>
      <c r="AB1304" s="669" t="s">
        <v>260</v>
      </c>
      <c r="AC1304" s="544" t="str">
        <f>""</f>
        <v/>
      </c>
      <c r="AD1304" s="181">
        <v>0</v>
      </c>
      <c r="AE1304" s="181" t="s">
        <v>264</v>
      </c>
      <c r="AF1304" s="181" t="s">
        <v>265</v>
      </c>
      <c r="AG1304" s="181">
        <v>1</v>
      </c>
      <c r="AH1304" s="181">
        <v>10</v>
      </c>
      <c r="AI1304" s="181">
        <v>0</v>
      </c>
      <c r="AJ1304" s="181">
        <f>VLOOKUP($I1304,'Price List, Weapons &amp; Items'!B:F,5,0)</f>
        <v>0</v>
      </c>
      <c r="AK1304" s="181">
        <f t="shared" si="305"/>
        <v>0</v>
      </c>
      <c r="AL1304" s="181">
        <f t="shared" si="306"/>
        <v>0</v>
      </c>
      <c r="AM1304" s="181">
        <f t="shared" si="307"/>
        <v>0</v>
      </c>
      <c r="AN1304" s="180" t="str">
        <f>VLOOKUP($I1304,'Price List, Weapons &amp; Items'!B:L,COLUMN('Price List, Weapons &amp; Items'!$J$11)-1,0)</f>
        <v>.</v>
      </c>
      <c r="AO1304" s="180" t="str">
        <f>IF(I1304=".",".",VLOOKUP($I1304,'Price List, Weapons &amp; Items'!B:J,3,0))</f>
        <v>Military equipment</v>
      </c>
      <c r="AP1304" s="545" t="str">
        <f t="shared" ca="1" si="324"/>
        <v/>
      </c>
      <c r="AQ1304" s="180">
        <f>VLOOKUP($I1304,'Price List, Weapons &amp; Items'!B:L,COLUMN('Price List, Weapons &amp; Items'!$L$11)-1,0)</f>
        <v>0</v>
      </c>
      <c r="AR1304" s="180">
        <f t="shared" si="308"/>
        <v>1</v>
      </c>
      <c r="AS1304" s="180">
        <f t="shared" si="309"/>
        <v>1</v>
      </c>
      <c r="AT1304" s="180">
        <f t="shared" si="310"/>
        <v>1</v>
      </c>
      <c r="AU1304" s="180" t="str">
        <f t="shared" si="321"/>
        <v>.</v>
      </c>
      <c r="AV1304" s="180" t="str">
        <f t="shared" si="320"/>
        <v>.</v>
      </c>
      <c r="AW1304" s="180">
        <f>IFERROR(VLOOKUP(B1304,'Share, Heavy Weapons to Ukraine'!B:J,COLUMN('Share, Heavy Weapons to Ukraine'!C1314)-1,0),0)</f>
        <v>1</v>
      </c>
      <c r="AX1304" s="180">
        <f>VLOOKUP('Bilateral Assistance, MAIN DATA'!B1304,'Country Summary'!B:F,COLUMN('Country Summary'!C1317)-1,FALSE)</f>
        <v>0</v>
      </c>
      <c r="AY1304" s="180" t="str">
        <f>IF(AND(AD1304=1,D1304="Military",H1304&lt;&gt;"Not given")=TRUE,IF(SUMIFS(P:P,A:A,A1304)&gt;0,ABS((SUMIFS(P:P,A:A,A1304)/VLOOKUP("USD",'Exchange Rates'!B:C,2,0)))/S1304,"."),".")</f>
        <v>.</v>
      </c>
      <c r="AZ1304" s="182" t="str">
        <f>IF(AND(AD1304=1,D1304="Military",H1304&lt;&gt;"Not given")=TRUE,IF(SUMIFS(P:P,A:A,A1304)&gt;0,IF((ABS((SUMIFS(P:P,A:A,A1304)/VLOOKUP("USD",'Exchange Rates'!B:C,2,0)))/S1304)&gt;1,(SUMIFS(P:P,A:A,A1304)-S1304)/S1304,(S1304-SUMIFS(P:P,A:A,A1304))/SUMIFS(P:P,A:A,A1304)),"."),".")</f>
        <v>.</v>
      </c>
      <c r="BA1304" s="182"/>
      <c r="BB1304" s="182"/>
      <c r="BC1304" s="182"/>
      <c r="BD1304" s="182"/>
      <c r="BE1304" s="182"/>
      <c r="BF1304" s="182"/>
      <c r="BG1304" s="182"/>
      <c r="BH1304" s="182"/>
      <c r="BI1304" s="182"/>
      <c r="BJ1304" s="182"/>
      <c r="BK1304" s="182"/>
      <c r="BL1304" s="182"/>
      <c r="BM1304" s="182"/>
      <c r="BN1304" s="182"/>
      <c r="BO1304" s="182"/>
      <c r="BP1304" s="182"/>
      <c r="BQ1304" s="182"/>
      <c r="BR1304" s="182"/>
      <c r="BS1304" s="182"/>
    </row>
    <row r="1305" spans="1:71" ht="15.9" customHeight="1" x14ac:dyDescent="0.3">
      <c r="A1305" s="19" t="s">
        <v>3370</v>
      </c>
      <c r="B1305" s="19" t="s">
        <v>3038</v>
      </c>
      <c r="C1305" s="555">
        <v>44875</v>
      </c>
      <c r="D1305" s="19" t="s">
        <v>285</v>
      </c>
      <c r="E1305" s="19" t="s">
        <v>286</v>
      </c>
      <c r="F1305" s="1139" t="s">
        <v>3381</v>
      </c>
      <c r="G1305" s="15" t="s">
        <v>346</v>
      </c>
      <c r="H1305" s="200">
        <v>400000000</v>
      </c>
      <c r="I1305" s="17" t="s">
        <v>3382</v>
      </c>
      <c r="J1305" s="113" t="str">
        <f>VLOOKUP($I1305,'Price List, Weapons &amp; Items'!B:C,2,0)</f>
        <v>Ammunition for heavy weapon</v>
      </c>
      <c r="K1305" s="113" t="str">
        <f>IF(I1305=".",I1305,VLOOKUP($I1305,'Price List, Weapons &amp; Items'!B:D,3,0))</f>
        <v>Surface-to-air missile (SAM)</v>
      </c>
      <c r="L1305" s="177">
        <f>VLOOKUP(I1305,'Price List, Weapons &amp; Items'!B:E,4,0)</f>
        <v>0</v>
      </c>
      <c r="M1305" s="542" t="s">
        <v>270</v>
      </c>
      <c r="N1305" s="542" t="s">
        <v>270</v>
      </c>
      <c r="O1305" s="543">
        <f>VLOOKUP($I1305,'Price List, Weapons &amp; Items'!B:G,6,0)</f>
        <v>97800</v>
      </c>
      <c r="P1305" s="176" t="str">
        <f t="shared" si="322"/>
        <v>.</v>
      </c>
      <c r="Q1305" s="176" t="str">
        <f t="shared" si="303"/>
        <v>.</v>
      </c>
      <c r="R1305" s="176" t="str">
        <f t="shared" si="304"/>
        <v/>
      </c>
      <c r="S1305" s="176" t="str">
        <f>IF(AND(AD1305=1,R1305&lt;&gt;".")=TRUE,R1305/VLOOKUP(G1305,'Exchange Rates'!B:C,2,0),IF(R1305=".",".",""))</f>
        <v/>
      </c>
      <c r="T1305" s="176" t="str">
        <f>IF(AD1305=1,IF(AF1305="Value is not given at all",".",IF(AF1305="Value is given by the source",S1305,IF(AF1305="Value is calculated with prices",(IF(SUMIFS(Q:Q,A:A,A1305)&gt;0,SUMIFS(Q:Q,A:A,A1305),"."))/VLOOKUP("USD",'Exchange Rates'!B:C,2,0),"Error with coding"))),"")</f>
        <v/>
      </c>
      <c r="U1305" s="15" t="s">
        <v>261</v>
      </c>
      <c r="V1305" s="304" t="s">
        <v>3383</v>
      </c>
      <c r="W1305" s="814" t="s">
        <v>3059</v>
      </c>
      <c r="X1305" s="665" t="s">
        <v>3062</v>
      </c>
      <c r="Y1305" s="671" t="s">
        <v>3105</v>
      </c>
      <c r="Z1305" s="15">
        <v>0</v>
      </c>
      <c r="AA1305" s="180">
        <v>0</v>
      </c>
      <c r="AB1305" s="669" t="s">
        <v>260</v>
      </c>
      <c r="AC1305" s="544" t="str">
        <f>""</f>
        <v/>
      </c>
      <c r="AD1305" s="181">
        <v>0</v>
      </c>
      <c r="AE1305" s="181" t="s">
        <v>264</v>
      </c>
      <c r="AF1305" s="181" t="s">
        <v>265</v>
      </c>
      <c r="AG1305" s="181">
        <v>1</v>
      </c>
      <c r="AH1305" s="181">
        <v>11</v>
      </c>
      <c r="AI1305" s="181">
        <v>0</v>
      </c>
      <c r="AJ1305" s="181">
        <f>VLOOKUP($I1305,'Price List, Weapons &amp; Items'!B:F,5,0)</f>
        <v>0</v>
      </c>
      <c r="AK1305" s="181">
        <f t="shared" si="305"/>
        <v>0</v>
      </c>
      <c r="AL1305" s="181">
        <f t="shared" si="306"/>
        <v>0</v>
      </c>
      <c r="AM1305" s="181">
        <f t="shared" si="307"/>
        <v>0</v>
      </c>
      <c r="AN1305" s="180" t="str">
        <f>VLOOKUP($I1305,'Price List, Weapons &amp; Items'!B:L,COLUMN('Price List, Weapons &amp; Items'!$J$11)-1,0)</f>
        <v>Government information</v>
      </c>
      <c r="AO1305" s="180" t="str">
        <f>IF(I1305=".",".",VLOOKUP($I1305,'Price List, Weapons &amp; Items'!B:J,3,0))</f>
        <v>Surface-to-air missile (SAM)</v>
      </c>
      <c r="AP1305" s="545" t="str">
        <f t="shared" ca="1" si="324"/>
        <v/>
      </c>
      <c r="AQ1305" s="180" t="str">
        <f>VLOOKUP($I1305,'Price List, Weapons &amp; Items'!B:L,COLUMN('Price List, Weapons &amp; Items'!$L$11)-1,0)</f>
        <v>no price, 0 count</v>
      </c>
      <c r="AR1305" s="180">
        <f t="shared" si="308"/>
        <v>1</v>
      </c>
      <c r="AS1305" s="180">
        <f t="shared" si="309"/>
        <v>1</v>
      </c>
      <c r="AT1305" s="180">
        <f t="shared" si="310"/>
        <v>1</v>
      </c>
      <c r="AU1305" s="180" t="str">
        <f t="shared" si="321"/>
        <v>.</v>
      </c>
      <c r="AV1305" s="180" t="str">
        <f t="shared" si="320"/>
        <v>.</v>
      </c>
      <c r="AW1305" s="180">
        <f>IFERROR(VLOOKUP(B1305,'Share, Heavy Weapons to Ukraine'!B:J,COLUMN('Share, Heavy Weapons to Ukraine'!C1315)-1,0),0)</f>
        <v>1</v>
      </c>
      <c r="AX1305" s="180">
        <f>VLOOKUP('Bilateral Assistance, MAIN DATA'!B1305,'Country Summary'!B:F,COLUMN('Country Summary'!C1318)-1,FALSE)</f>
        <v>0</v>
      </c>
      <c r="AY1305" s="180" t="str">
        <f>IF(AND(AD1305=1,D1305="Military",H1305&lt;&gt;"Not given")=TRUE,IF(SUMIFS(P:P,A:A,A1305)&gt;0,ABS((SUMIFS(P:P,A:A,A1305)/VLOOKUP("USD",'Exchange Rates'!B:C,2,0)))/S1305,"."),".")</f>
        <v>.</v>
      </c>
      <c r="AZ1305" s="182" t="str">
        <f>IF(AND(AD1305=1,D1305="Military",H1305&lt;&gt;"Not given")=TRUE,IF(SUMIFS(P:P,A:A,A1305)&gt;0,IF((ABS((SUMIFS(P:P,A:A,A1305)/VLOOKUP("USD",'Exchange Rates'!B:C,2,0)))/S1305)&gt;1,(SUMIFS(P:P,A:A,A1305)-S1305)/S1305,(S1305-SUMIFS(P:P,A:A,A1305))/SUMIFS(P:P,A:A,A1305)),"."),".")</f>
        <v>.</v>
      </c>
      <c r="BA1305" s="182"/>
      <c r="BB1305" s="182"/>
      <c r="BC1305" s="182"/>
      <c r="BD1305" s="182"/>
      <c r="BE1305" s="182"/>
      <c r="BF1305" s="182"/>
      <c r="BG1305" s="182"/>
      <c r="BH1305" s="182"/>
      <c r="BI1305" s="182"/>
      <c r="BJ1305" s="182"/>
      <c r="BK1305" s="182"/>
      <c r="BL1305" s="182"/>
      <c r="BM1305" s="182"/>
      <c r="BN1305" s="182"/>
      <c r="BO1305" s="182"/>
      <c r="BP1305" s="182"/>
      <c r="BQ1305" s="182"/>
      <c r="BR1305" s="182"/>
      <c r="BS1305" s="182"/>
    </row>
    <row r="1306" spans="1:71" ht="15.9" customHeight="1" x14ac:dyDescent="0.3">
      <c r="A1306" s="19" t="s">
        <v>3370</v>
      </c>
      <c r="B1306" s="19" t="s">
        <v>3038</v>
      </c>
      <c r="C1306" s="555">
        <v>44875</v>
      </c>
      <c r="D1306" s="19" t="s">
        <v>285</v>
      </c>
      <c r="E1306" s="19" t="s">
        <v>286</v>
      </c>
      <c r="F1306" s="1139" t="s">
        <v>3381</v>
      </c>
      <c r="G1306" s="15" t="s">
        <v>346</v>
      </c>
      <c r="H1306" s="200">
        <v>400000000</v>
      </c>
      <c r="I1306" s="17" t="s">
        <v>3384</v>
      </c>
      <c r="J1306" s="113" t="str">
        <f>VLOOKUP($I1306,'Price List, Weapons &amp; Items'!B:C,2,0)</f>
        <v>Heavy weapon</v>
      </c>
      <c r="K1306" s="113" t="str">
        <f>IF(I1306=".",I1306,VLOOKUP($I1306,'Price List, Weapons &amp; Items'!B:D,3,0))</f>
        <v>Anti-aircraft surface-to-air missile (SAM) system (point-defense)</v>
      </c>
      <c r="L1306" s="177">
        <f>VLOOKUP(I1306,'Price List, Weapons &amp; Items'!B:E,4,0)</f>
        <v>0</v>
      </c>
      <c r="M1306" s="542">
        <v>4</v>
      </c>
      <c r="N1306" s="542" t="s">
        <v>270</v>
      </c>
      <c r="O1306" s="543">
        <f>VLOOKUP($I1306,'Price List, Weapons &amp; Items'!B:G,6,0)</f>
        <v>1866185.221792896</v>
      </c>
      <c r="P1306" s="176">
        <f t="shared" si="322"/>
        <v>7464740.8871715842</v>
      </c>
      <c r="Q1306" s="176" t="str">
        <f t="shared" si="303"/>
        <v>.</v>
      </c>
      <c r="R1306" s="176" t="str">
        <f t="shared" si="304"/>
        <v/>
      </c>
      <c r="S1306" s="176" t="str">
        <f>IF(AND(AD1306=1,R1306&lt;&gt;".")=TRUE,R1306/VLOOKUP(G1306,'Exchange Rates'!B:C,2,0),IF(R1306=".",".",""))</f>
        <v/>
      </c>
      <c r="T1306" s="176" t="str">
        <f>IF(AD1306=1,IF(AF1306="Value is not given at all",".",IF(AF1306="Value is given by the source",S1306,IF(AF1306="Value is calculated with prices",(IF(SUMIFS(Q:Q,A:A,A1306)&gt;0,SUMIFS(Q:Q,A:A,A1306),"."))/VLOOKUP("USD",'Exchange Rates'!B:C,2,0),"Error with coding"))),"")</f>
        <v/>
      </c>
      <c r="U1306" s="15" t="s">
        <v>261</v>
      </c>
      <c r="V1306" s="304" t="s">
        <v>3383</v>
      </c>
      <c r="W1306" s="814" t="s">
        <v>3059</v>
      </c>
      <c r="X1306" s="665" t="s">
        <v>3062</v>
      </c>
      <c r="Y1306" s="671" t="s">
        <v>3106</v>
      </c>
      <c r="Z1306" s="15">
        <v>0</v>
      </c>
      <c r="AA1306" s="180">
        <v>0</v>
      </c>
      <c r="AB1306" s="669" t="s">
        <v>260</v>
      </c>
      <c r="AC1306" s="544" t="str">
        <f>""</f>
        <v/>
      </c>
      <c r="AD1306" s="181">
        <v>0</v>
      </c>
      <c r="AE1306" s="181" t="s">
        <v>264</v>
      </c>
      <c r="AF1306" s="181" t="s">
        <v>265</v>
      </c>
      <c r="AG1306" s="181">
        <v>1</v>
      </c>
      <c r="AH1306" s="181">
        <v>11</v>
      </c>
      <c r="AI1306" s="181">
        <v>0</v>
      </c>
      <c r="AJ1306" s="181">
        <f>VLOOKUP($I1306,'Price List, Weapons &amp; Items'!B:F,5,0)</f>
        <v>0</v>
      </c>
      <c r="AK1306" s="181">
        <f t="shared" si="305"/>
        <v>0</v>
      </c>
      <c r="AL1306" s="181">
        <f t="shared" si="306"/>
        <v>0</v>
      </c>
      <c r="AM1306" s="181">
        <f t="shared" si="307"/>
        <v>0</v>
      </c>
      <c r="AN1306" s="180" t="str">
        <f>VLOOKUP($I1306,'Price List, Weapons &amp; Items'!B:L,COLUMN('Price List, Weapons &amp; Items'!$J$11)-1,0)</f>
        <v>Contracts</v>
      </c>
      <c r="AO1306" s="180" t="str">
        <f>IF(I1306=".",".",VLOOKUP($I1306,'Price List, Weapons &amp; Items'!B:J,3,0))</f>
        <v>Anti-aircraft surface-to-air missile (SAM) system (point-defense)</v>
      </c>
      <c r="AP1306" s="545" t="str">
        <f t="shared" ca="1" si="324"/>
        <v/>
      </c>
      <c r="AQ1306" s="180">
        <f>VLOOKUP($I1306,'Price List, Weapons &amp; Items'!B:L,COLUMN('Price List, Weapons &amp; Items'!$L$11)-1,0)</f>
        <v>2</v>
      </c>
      <c r="AR1306" s="180">
        <f t="shared" si="308"/>
        <v>1</v>
      </c>
      <c r="AS1306" s="180">
        <f t="shared" si="309"/>
        <v>1</v>
      </c>
      <c r="AT1306" s="180">
        <f t="shared" si="310"/>
        <v>1</v>
      </c>
      <c r="AU1306" s="180" t="str">
        <f t="shared" si="321"/>
        <v>.</v>
      </c>
      <c r="AV1306" s="180" t="str">
        <f t="shared" si="320"/>
        <v>.</v>
      </c>
      <c r="AW1306" s="180">
        <f>IFERROR(VLOOKUP(B1306,'Share, Heavy Weapons to Ukraine'!B:J,COLUMN('Share, Heavy Weapons to Ukraine'!C1316)-1,0),0)</f>
        <v>1</v>
      </c>
      <c r="AX1306" s="180">
        <f>VLOOKUP('Bilateral Assistance, MAIN DATA'!B1306,'Country Summary'!B:F,COLUMN('Country Summary'!C1319)-1,FALSE)</f>
        <v>0</v>
      </c>
      <c r="AY1306" s="180" t="str">
        <f>IF(AND(AD1306=1,D1306="Military",H1306&lt;&gt;"Not given")=TRUE,IF(SUMIFS(P:P,A:A,A1306)&gt;0,ABS((SUMIFS(P:P,A:A,A1306)/VLOOKUP("USD",'Exchange Rates'!B:C,2,0)))/S1306,"."),".")</f>
        <v>.</v>
      </c>
      <c r="AZ1306" s="182" t="str">
        <f>IF(AND(AD1306=1,D1306="Military",H1306&lt;&gt;"Not given")=TRUE,IF(SUMIFS(P:P,A:A,A1306)&gt;0,IF((ABS((SUMIFS(P:P,A:A,A1306)/VLOOKUP("USD",'Exchange Rates'!B:C,2,0)))/S1306)&gt;1,(SUMIFS(P:P,A:A,A1306)-S1306)/S1306,(S1306-SUMIFS(P:P,A:A,A1306))/SUMIFS(P:P,A:A,A1306)),"."),".")</f>
        <v>.</v>
      </c>
      <c r="BA1306" s="182"/>
      <c r="BB1306" s="182"/>
      <c r="BC1306" s="182"/>
      <c r="BD1306" s="182"/>
      <c r="BE1306" s="182"/>
      <c r="BF1306" s="182"/>
      <c r="BG1306" s="182"/>
      <c r="BH1306" s="182"/>
      <c r="BI1306" s="182"/>
      <c r="BJ1306" s="182"/>
      <c r="BK1306" s="182"/>
      <c r="BL1306" s="182"/>
      <c r="BM1306" s="182"/>
      <c r="BN1306" s="182"/>
      <c r="BO1306" s="182"/>
      <c r="BP1306" s="182"/>
      <c r="BQ1306" s="182"/>
      <c r="BR1306" s="182"/>
      <c r="BS1306" s="182"/>
    </row>
    <row r="1307" spans="1:71" ht="15.9" customHeight="1" x14ac:dyDescent="0.3">
      <c r="A1307" s="19" t="s">
        <v>3370</v>
      </c>
      <c r="B1307" s="19" t="s">
        <v>3038</v>
      </c>
      <c r="C1307" s="555">
        <v>44875</v>
      </c>
      <c r="D1307" s="19" t="s">
        <v>285</v>
      </c>
      <c r="E1307" s="19" t="s">
        <v>286</v>
      </c>
      <c r="F1307" s="1139" t="s">
        <v>3381</v>
      </c>
      <c r="G1307" s="15" t="s">
        <v>346</v>
      </c>
      <c r="H1307" s="200">
        <v>400000000</v>
      </c>
      <c r="I1307" s="17" t="s">
        <v>1638</v>
      </c>
      <c r="J1307" s="113" t="str">
        <f>VLOOKUP($I1307,'Price List, Weapons &amp; Items'!B:C,2,0)</f>
        <v>Ammunition for portable defence system</v>
      </c>
      <c r="K1307" s="113" t="str">
        <f>IF(I1307=".",I1307,VLOOKUP($I1307,'Price List, Weapons &amp; Items'!B:D,3,0))</f>
        <v>MANPADS ammunition</v>
      </c>
      <c r="L1307" s="177">
        <f>VLOOKUP(I1307,'Price List, Weapons &amp; Items'!B:E,4,0)</f>
        <v>0</v>
      </c>
      <c r="M1307" s="542" t="s">
        <v>270</v>
      </c>
      <c r="N1307" s="542" t="s">
        <v>270</v>
      </c>
      <c r="O1307" s="543">
        <f>VLOOKUP($I1307,'Price List, Weapons &amp; Items'!B:G,6,0)</f>
        <v>480000</v>
      </c>
      <c r="P1307" s="176" t="str">
        <f t="shared" si="322"/>
        <v>.</v>
      </c>
      <c r="Q1307" s="176" t="str">
        <f t="shared" si="303"/>
        <v>.</v>
      </c>
      <c r="R1307" s="176" t="str">
        <f t="shared" si="304"/>
        <v/>
      </c>
      <c r="S1307" s="176" t="str">
        <f>IF(AND(AD1307=1,R1307&lt;&gt;".")=TRUE,R1307/VLOOKUP(G1307,'Exchange Rates'!B:C,2,0),IF(R1307=".",".",""))</f>
        <v/>
      </c>
      <c r="T1307" s="176" t="str">
        <f>IF(AD1307=1,IF(AF1307="Value is not given at all",".",IF(AF1307="Value is given by the source",S1307,IF(AF1307="Value is calculated with prices",(IF(SUMIFS(Q:Q,A:A,A1307)&gt;0,SUMIFS(Q:Q,A:A,A1307),"."))/VLOOKUP("USD",'Exchange Rates'!B:C,2,0),"Error with coding"))),"")</f>
        <v/>
      </c>
      <c r="U1307" s="15" t="s">
        <v>261</v>
      </c>
      <c r="V1307" s="304" t="s">
        <v>3383</v>
      </c>
      <c r="W1307" s="814" t="s">
        <v>3059</v>
      </c>
      <c r="X1307" s="665" t="s">
        <v>3062</v>
      </c>
      <c r="Y1307" s="671" t="s">
        <v>3108</v>
      </c>
      <c r="Z1307" s="15">
        <v>0</v>
      </c>
      <c r="AA1307" s="180">
        <v>0</v>
      </c>
      <c r="AB1307" s="669" t="s">
        <v>260</v>
      </c>
      <c r="AC1307" s="544" t="str">
        <f>""</f>
        <v/>
      </c>
      <c r="AD1307" s="181">
        <v>0</v>
      </c>
      <c r="AE1307" s="181" t="s">
        <v>264</v>
      </c>
      <c r="AF1307" s="181" t="s">
        <v>265</v>
      </c>
      <c r="AG1307" s="181">
        <v>1</v>
      </c>
      <c r="AH1307" s="181">
        <v>11</v>
      </c>
      <c r="AI1307" s="181">
        <v>0</v>
      </c>
      <c r="AJ1307" s="181">
        <f>VLOOKUP($I1307,'Price List, Weapons &amp; Items'!B:F,5,0)</f>
        <v>0</v>
      </c>
      <c r="AK1307" s="181">
        <f t="shared" si="305"/>
        <v>0</v>
      </c>
      <c r="AL1307" s="181">
        <f t="shared" si="306"/>
        <v>0</v>
      </c>
      <c r="AM1307" s="181">
        <f t="shared" si="307"/>
        <v>0</v>
      </c>
      <c r="AN1307" s="180" t="str">
        <f>VLOOKUP($I1307,'Price List, Weapons &amp; Items'!B:L,COLUMN('Price List, Weapons &amp; Items'!$J$11)-1,0)</f>
        <v>Media reports (incl. social media)</v>
      </c>
      <c r="AO1307" s="180" t="str">
        <f>IF(I1307=".",".",VLOOKUP($I1307,'Price List, Weapons &amp; Items'!B:J,3,0))</f>
        <v>MANPADS ammunition</v>
      </c>
      <c r="AP1307" s="545" t="str">
        <f t="shared" ca="1" si="324"/>
        <v/>
      </c>
      <c r="AQ1307" s="180">
        <f>VLOOKUP($I1307,'Price List, Weapons &amp; Items'!B:L,COLUMN('Price List, Weapons &amp; Items'!$L$11)-1,0)</f>
        <v>2</v>
      </c>
      <c r="AR1307" s="180">
        <f t="shared" si="308"/>
        <v>1</v>
      </c>
      <c r="AS1307" s="180">
        <f t="shared" si="309"/>
        <v>1</v>
      </c>
      <c r="AT1307" s="180">
        <f t="shared" si="310"/>
        <v>1</v>
      </c>
      <c r="AU1307" s="180" t="str">
        <f t="shared" si="321"/>
        <v>.</v>
      </c>
      <c r="AV1307" s="180" t="str">
        <f t="shared" si="320"/>
        <v>.</v>
      </c>
      <c r="AW1307" s="180">
        <f>IFERROR(VLOOKUP(B1307,'Share, Heavy Weapons to Ukraine'!B:J,COLUMN('Share, Heavy Weapons to Ukraine'!C1317)-1,0),0)</f>
        <v>1</v>
      </c>
      <c r="AX1307" s="180">
        <f>VLOOKUP('Bilateral Assistance, MAIN DATA'!B1307,'Country Summary'!B:F,COLUMN('Country Summary'!C1320)-1,FALSE)</f>
        <v>0</v>
      </c>
      <c r="AY1307" s="180" t="str">
        <f>IF(AND(AD1307=1,D1307="Military",H1307&lt;&gt;"Not given")=TRUE,IF(SUMIFS(P:P,A:A,A1307)&gt;0,ABS((SUMIFS(P:P,A:A,A1307)/VLOOKUP("USD",'Exchange Rates'!B:C,2,0)))/S1307,"."),".")</f>
        <v>.</v>
      </c>
      <c r="AZ1307" s="182" t="str">
        <f>IF(AND(AD1307=1,D1307="Military",H1307&lt;&gt;"Not given")=TRUE,IF(SUMIFS(P:P,A:A,A1307)&gt;0,IF((ABS((SUMIFS(P:P,A:A,A1307)/VLOOKUP("USD",'Exchange Rates'!B:C,2,0)))/S1307)&gt;1,(SUMIFS(P:P,A:A,A1307)-S1307)/S1307,(S1307-SUMIFS(P:P,A:A,A1307))/SUMIFS(P:P,A:A,A1307)),"."),".")</f>
        <v>.</v>
      </c>
      <c r="BA1307" s="182"/>
      <c r="BB1307" s="182"/>
      <c r="BC1307" s="182"/>
      <c r="BD1307" s="182"/>
      <c r="BE1307" s="182"/>
      <c r="BF1307" s="182"/>
      <c r="BG1307" s="182"/>
      <c r="BH1307" s="182"/>
      <c r="BI1307" s="182"/>
      <c r="BJ1307" s="182"/>
      <c r="BK1307" s="182"/>
      <c r="BL1307" s="182"/>
      <c r="BM1307" s="182"/>
      <c r="BN1307" s="182"/>
      <c r="BO1307" s="182"/>
      <c r="BP1307" s="182"/>
      <c r="BQ1307" s="182"/>
      <c r="BR1307" s="182"/>
      <c r="BS1307" s="182"/>
    </row>
    <row r="1308" spans="1:71" ht="15.9" customHeight="1" x14ac:dyDescent="0.3">
      <c r="A1308" s="19" t="s">
        <v>3370</v>
      </c>
      <c r="B1308" s="19" t="s">
        <v>3038</v>
      </c>
      <c r="C1308" s="555">
        <v>44875</v>
      </c>
      <c r="D1308" s="19" t="s">
        <v>285</v>
      </c>
      <c r="E1308" s="19" t="s">
        <v>286</v>
      </c>
      <c r="F1308" s="1139" t="s">
        <v>3381</v>
      </c>
      <c r="G1308" s="15" t="s">
        <v>346</v>
      </c>
      <c r="H1308" s="200">
        <v>400000000</v>
      </c>
      <c r="I1308" s="17" t="s">
        <v>3172</v>
      </c>
      <c r="J1308" s="113" t="str">
        <f>VLOOKUP($I1308,'Price List, Weapons &amp; Items'!B:C,2,0)</f>
        <v>Ammunition for heavy weapon</v>
      </c>
      <c r="K1308" s="113" t="str">
        <f>IF(I1308=".",I1308,VLOOKUP($I1308,'Price List, Weapons &amp; Items'!B:D,3,0))</f>
        <v>227mm MLRS ammunition</v>
      </c>
      <c r="L1308" s="177">
        <f>VLOOKUP(I1308,'Price List, Weapons &amp; Items'!B:E,4,0)</f>
        <v>0</v>
      </c>
      <c r="M1308" s="542" t="s">
        <v>270</v>
      </c>
      <c r="N1308" s="542" t="s">
        <v>270</v>
      </c>
      <c r="O1308" s="543">
        <f>VLOOKUP($I1308,'Price List, Weapons &amp; Items'!B:G,6,0)</f>
        <v>150000</v>
      </c>
      <c r="P1308" s="176" t="str">
        <f t="shared" si="322"/>
        <v>.</v>
      </c>
      <c r="Q1308" s="176" t="str">
        <f t="shared" si="303"/>
        <v>.</v>
      </c>
      <c r="R1308" s="176" t="str">
        <f t="shared" si="304"/>
        <v/>
      </c>
      <c r="S1308" s="176" t="str">
        <f>IF(AND(AD1308=1,R1308&lt;&gt;".")=TRUE,R1308/VLOOKUP(G1308,'Exchange Rates'!B:C,2,0),IF(R1308=".",".",""))</f>
        <v/>
      </c>
      <c r="T1308" s="176" t="str">
        <f>IF(AD1308=1,IF(AF1308="Value is not given at all",".",IF(AF1308="Value is given by the source",S1308,IF(AF1308="Value is calculated with prices",(IF(SUMIFS(Q:Q,A:A,A1308)&gt;0,SUMIFS(Q:Q,A:A,A1308),"."))/VLOOKUP("USD",'Exchange Rates'!B:C,2,0),"Error with coding"))),"")</f>
        <v/>
      </c>
      <c r="U1308" s="15" t="s">
        <v>261</v>
      </c>
      <c r="V1308" s="304" t="s">
        <v>3383</v>
      </c>
      <c r="W1308" s="814" t="s">
        <v>3059</v>
      </c>
      <c r="X1308" s="665" t="s">
        <v>3062</v>
      </c>
      <c r="Y1308" s="671" t="s">
        <v>3109</v>
      </c>
      <c r="Z1308" s="15">
        <v>0</v>
      </c>
      <c r="AA1308" s="180">
        <v>0</v>
      </c>
      <c r="AB1308" s="669" t="s">
        <v>260</v>
      </c>
      <c r="AC1308" s="544" t="str">
        <f>""</f>
        <v/>
      </c>
      <c r="AD1308" s="181">
        <v>0</v>
      </c>
      <c r="AE1308" s="181" t="s">
        <v>264</v>
      </c>
      <c r="AF1308" s="181" t="s">
        <v>265</v>
      </c>
      <c r="AG1308" s="181">
        <v>1</v>
      </c>
      <c r="AH1308" s="181">
        <v>11</v>
      </c>
      <c r="AI1308" s="181">
        <v>0</v>
      </c>
      <c r="AJ1308" s="181">
        <f>VLOOKUP($I1308,'Price List, Weapons &amp; Items'!B:F,5,0)</f>
        <v>1</v>
      </c>
      <c r="AK1308" s="181">
        <f t="shared" si="305"/>
        <v>1</v>
      </c>
      <c r="AL1308" s="181">
        <f t="shared" si="306"/>
        <v>1</v>
      </c>
      <c r="AM1308" s="181">
        <f t="shared" si="307"/>
        <v>1</v>
      </c>
      <c r="AN1308" s="180" t="str">
        <f>VLOOKUP($I1308,'Price List, Weapons &amp; Items'!B:L,COLUMN('Price List, Weapons &amp; Items'!$J$11)-1,0)</f>
        <v>Media reports (incl. social media)</v>
      </c>
      <c r="AO1308" s="180" t="str">
        <f>IF(I1308=".",".",VLOOKUP($I1308,'Price List, Weapons &amp; Items'!B:J,3,0))</f>
        <v>227mm MLRS ammunition</v>
      </c>
      <c r="AP1308" s="545" t="str">
        <f t="shared" ca="1" si="324"/>
        <v/>
      </c>
      <c r="AQ1308" s="180" t="str">
        <f>VLOOKUP($I1308,'Price List, Weapons &amp; Items'!B:L,COLUMN('Price List, Weapons &amp; Items'!$L$11)-1,0)</f>
        <v>no price, 0 count</v>
      </c>
      <c r="AR1308" s="180">
        <f t="shared" si="308"/>
        <v>1</v>
      </c>
      <c r="AS1308" s="180">
        <f t="shared" si="309"/>
        <v>1</v>
      </c>
      <c r="AT1308" s="180">
        <f t="shared" si="310"/>
        <v>1</v>
      </c>
      <c r="AU1308" s="180" t="str">
        <f t="shared" si="321"/>
        <v>.</v>
      </c>
      <c r="AV1308" s="180" t="str">
        <f t="shared" si="320"/>
        <v>.</v>
      </c>
      <c r="AW1308" s="180">
        <f>IFERROR(VLOOKUP(B1308,'Share, Heavy Weapons to Ukraine'!B:J,COLUMN('Share, Heavy Weapons to Ukraine'!C1318)-1,0),0)</f>
        <v>1</v>
      </c>
      <c r="AX1308" s="180">
        <f>VLOOKUP('Bilateral Assistance, MAIN DATA'!B1308,'Country Summary'!B:F,COLUMN('Country Summary'!C1321)-1,FALSE)</f>
        <v>0</v>
      </c>
      <c r="AY1308" s="180" t="str">
        <f>IF(AND(AD1308=1,D1308="Military",H1308&lt;&gt;"Not given")=TRUE,IF(SUMIFS(P:P,A:A,A1308)&gt;0,ABS((SUMIFS(P:P,A:A,A1308)/VLOOKUP("USD",'Exchange Rates'!B:C,2,0)))/S1308,"."),".")</f>
        <v>.</v>
      </c>
      <c r="AZ1308" s="182" t="str">
        <f>IF(AND(AD1308=1,D1308="Military",H1308&lt;&gt;"Not given")=TRUE,IF(SUMIFS(P:P,A:A,A1308)&gt;0,IF((ABS((SUMIFS(P:P,A:A,A1308)/VLOOKUP("USD",'Exchange Rates'!B:C,2,0)))/S1308)&gt;1,(SUMIFS(P:P,A:A,A1308)-S1308)/S1308,(S1308-SUMIFS(P:P,A:A,A1308))/SUMIFS(P:P,A:A,A1308)),"."),".")</f>
        <v>.</v>
      </c>
      <c r="BA1308" s="182"/>
      <c r="BB1308" s="182"/>
      <c r="BC1308" s="182"/>
      <c r="BD1308" s="182"/>
      <c r="BE1308" s="182"/>
      <c r="BF1308" s="182"/>
      <c r="BG1308" s="182"/>
      <c r="BH1308" s="182"/>
      <c r="BI1308" s="182"/>
      <c r="BJ1308" s="182"/>
      <c r="BK1308" s="182"/>
      <c r="BL1308" s="182"/>
      <c r="BM1308" s="182"/>
      <c r="BN1308" s="182"/>
      <c r="BO1308" s="182"/>
      <c r="BP1308" s="182"/>
      <c r="BQ1308" s="182"/>
      <c r="BR1308" s="182"/>
      <c r="BS1308" s="182"/>
    </row>
    <row r="1309" spans="1:71" ht="15.9" customHeight="1" x14ac:dyDescent="0.3">
      <c r="A1309" s="19" t="s">
        <v>3370</v>
      </c>
      <c r="B1309" s="19" t="s">
        <v>3038</v>
      </c>
      <c r="C1309" s="555">
        <v>44875</v>
      </c>
      <c r="D1309" s="19" t="s">
        <v>285</v>
      </c>
      <c r="E1309" s="19" t="s">
        <v>286</v>
      </c>
      <c r="F1309" s="1139" t="s">
        <v>3381</v>
      </c>
      <c r="G1309" s="15" t="s">
        <v>346</v>
      </c>
      <c r="H1309" s="200">
        <v>400000000</v>
      </c>
      <c r="I1309" s="17" t="s">
        <v>644</v>
      </c>
      <c r="J1309" s="113" t="str">
        <f>VLOOKUP($I1309,'Price List, Weapons &amp; Items'!B:C,2,0)</f>
        <v>Ammunition for heavy weapon</v>
      </c>
      <c r="K1309" s="113" t="str">
        <f>IF(I1309=".",I1309,VLOOKUP($I1309,'Price List, Weapons &amp; Items'!B:D,3,0))</f>
        <v>155mm howitzer ammunition</v>
      </c>
      <c r="L1309" s="177">
        <f>VLOOKUP(I1309,'Price List, Weapons &amp; Items'!B:E,4,0)</f>
        <v>0</v>
      </c>
      <c r="M1309" s="542">
        <v>21000</v>
      </c>
      <c r="N1309" s="542" t="s">
        <v>270</v>
      </c>
      <c r="O1309" s="543">
        <f>VLOOKUP($I1309,'Price List, Weapons &amp; Items'!B:G,6,0)</f>
        <v>3800</v>
      </c>
      <c r="P1309" s="176">
        <f t="shared" si="322"/>
        <v>79800000</v>
      </c>
      <c r="Q1309" s="176" t="str">
        <f t="shared" si="303"/>
        <v>.</v>
      </c>
      <c r="R1309" s="176" t="str">
        <f t="shared" si="304"/>
        <v/>
      </c>
      <c r="S1309" s="176" t="str">
        <f>IF(AND(AD1309=1,R1309&lt;&gt;".")=TRUE,R1309/VLOOKUP(G1309,'Exchange Rates'!B:C,2,0),IF(R1309=".",".",""))</f>
        <v/>
      </c>
      <c r="T1309" s="176" t="str">
        <f>IF(AD1309=1,IF(AF1309="Value is not given at all",".",IF(AF1309="Value is given by the source",S1309,IF(AF1309="Value is calculated with prices",(IF(SUMIFS(Q:Q,A:A,A1309)&gt;0,SUMIFS(Q:Q,A:A,A1309),"."))/VLOOKUP("USD",'Exchange Rates'!B:C,2,0),"Error with coding"))),"")</f>
        <v/>
      </c>
      <c r="U1309" s="15" t="s">
        <v>261</v>
      </c>
      <c r="V1309" s="304" t="s">
        <v>3383</v>
      </c>
      <c r="W1309" s="814" t="s">
        <v>3059</v>
      </c>
      <c r="X1309" s="665" t="s">
        <v>3062</v>
      </c>
      <c r="Y1309" s="671" t="s">
        <v>3111</v>
      </c>
      <c r="Z1309" s="15">
        <v>0</v>
      </c>
      <c r="AA1309" s="180">
        <v>0</v>
      </c>
      <c r="AB1309" s="669" t="s">
        <v>260</v>
      </c>
      <c r="AC1309" s="544" t="str">
        <f>""</f>
        <v/>
      </c>
      <c r="AD1309" s="181">
        <v>0</v>
      </c>
      <c r="AE1309" s="181" t="s">
        <v>264</v>
      </c>
      <c r="AF1309" s="181" t="s">
        <v>265</v>
      </c>
      <c r="AG1309" s="181">
        <v>1</v>
      </c>
      <c r="AH1309" s="181">
        <v>11</v>
      </c>
      <c r="AI1309" s="181">
        <v>0</v>
      </c>
      <c r="AJ1309" s="181">
        <f>VLOOKUP($I1309,'Price List, Weapons &amp; Items'!B:F,5,0)</f>
        <v>1</v>
      </c>
      <c r="AK1309" s="181">
        <f t="shared" si="305"/>
        <v>0</v>
      </c>
      <c r="AL1309" s="181">
        <f t="shared" si="306"/>
        <v>1</v>
      </c>
      <c r="AM1309" s="181">
        <f t="shared" si="307"/>
        <v>0</v>
      </c>
      <c r="AN1309" s="180" t="str">
        <f>VLOOKUP($I1309,'Price List, Weapons &amp; Items'!B:L,COLUMN('Price List, Weapons &amp; Items'!$J$11)-1,0)</f>
        <v>Government information</v>
      </c>
      <c r="AO1309" s="180" t="str">
        <f>IF(I1309=".",".",VLOOKUP($I1309,'Price List, Weapons &amp; Items'!B:J,3,0))</f>
        <v>155mm howitzer ammunition</v>
      </c>
      <c r="AP1309" s="545" t="str">
        <f t="shared" ca="1" si="324"/>
        <v/>
      </c>
      <c r="AQ1309" s="180">
        <f>VLOOKUP($I1309,'Price List, Weapons &amp; Items'!B:L,COLUMN('Price List, Weapons &amp; Items'!$L$11)-1,0)</f>
        <v>2</v>
      </c>
      <c r="AR1309" s="180">
        <f t="shared" si="308"/>
        <v>1</v>
      </c>
      <c r="AS1309" s="180">
        <f t="shared" si="309"/>
        <v>1</v>
      </c>
      <c r="AT1309" s="180">
        <f t="shared" si="310"/>
        <v>1</v>
      </c>
      <c r="AU1309" s="180" t="str">
        <f t="shared" si="321"/>
        <v>.</v>
      </c>
      <c r="AV1309" s="180" t="str">
        <f t="shared" si="320"/>
        <v>.</v>
      </c>
      <c r="AW1309" s="180">
        <f>IFERROR(VLOOKUP(B1309,'Share, Heavy Weapons to Ukraine'!B:J,COLUMN('Share, Heavy Weapons to Ukraine'!C1319)-1,0),0)</f>
        <v>1</v>
      </c>
      <c r="AX1309" s="180">
        <f>VLOOKUP('Bilateral Assistance, MAIN DATA'!B1309,'Country Summary'!B:F,COLUMN('Country Summary'!C1322)-1,FALSE)</f>
        <v>0</v>
      </c>
      <c r="AY1309" s="180" t="str">
        <f>IF(AND(AD1309=1,D1309="Military",H1309&lt;&gt;"Not given")=TRUE,IF(SUMIFS(P:P,A:A,A1309)&gt;0,ABS((SUMIFS(P:P,A:A,A1309)/VLOOKUP("USD",'Exchange Rates'!B:C,2,0)))/S1309,"."),".")</f>
        <v>.</v>
      </c>
      <c r="AZ1309" s="182" t="str">
        <f>IF(AND(AD1309=1,D1309="Military",H1309&lt;&gt;"Not given")=TRUE,IF(SUMIFS(P:P,A:A,A1309)&gt;0,IF((ABS((SUMIFS(P:P,A:A,A1309)/VLOOKUP("USD",'Exchange Rates'!B:C,2,0)))/S1309)&gt;1,(SUMIFS(P:P,A:A,A1309)-S1309)/S1309,(S1309-SUMIFS(P:P,A:A,A1309))/SUMIFS(P:P,A:A,A1309)),"."),".")</f>
        <v>.</v>
      </c>
      <c r="BA1309" s="182"/>
      <c r="BB1309" s="182"/>
      <c r="BC1309" s="182"/>
      <c r="BD1309" s="182"/>
      <c r="BE1309" s="182"/>
      <c r="BF1309" s="182"/>
      <c r="BG1309" s="182"/>
      <c r="BH1309" s="182"/>
      <c r="BI1309" s="182"/>
      <c r="BJ1309" s="182"/>
      <c r="BK1309" s="182"/>
      <c r="BL1309" s="182"/>
      <c r="BM1309" s="182"/>
      <c r="BN1309" s="182"/>
      <c r="BO1309" s="182"/>
      <c r="BP1309" s="182"/>
      <c r="BQ1309" s="182"/>
      <c r="BR1309" s="182"/>
      <c r="BS1309" s="182"/>
    </row>
    <row r="1310" spans="1:71" ht="15.9" customHeight="1" x14ac:dyDescent="0.3">
      <c r="A1310" s="19" t="s">
        <v>3370</v>
      </c>
      <c r="B1310" s="19" t="s">
        <v>3038</v>
      </c>
      <c r="C1310" s="555">
        <v>44875</v>
      </c>
      <c r="D1310" s="19" t="s">
        <v>285</v>
      </c>
      <c r="E1310" s="19" t="s">
        <v>286</v>
      </c>
      <c r="F1310" s="1139" t="s">
        <v>3381</v>
      </c>
      <c r="G1310" s="15" t="s">
        <v>346</v>
      </c>
      <c r="H1310" s="200">
        <v>400000000</v>
      </c>
      <c r="I1310" s="17" t="s">
        <v>3376</v>
      </c>
      <c r="J1310" s="113" t="str">
        <f>VLOOKUP($I1310,'Price List, Weapons &amp; Items'!B:C,2,0)</f>
        <v>Ammunition for heavy weapon</v>
      </c>
      <c r="K1310" s="113" t="str">
        <f>IF(I1310=".",I1310,VLOOKUP($I1310,'Price List, Weapons &amp; Items'!B:D,3,0))</f>
        <v>artillery round</v>
      </c>
      <c r="L1310" s="177">
        <f>VLOOKUP(I1310,'Price List, Weapons &amp; Items'!B:E,4,0)</f>
        <v>0</v>
      </c>
      <c r="M1310" s="542">
        <v>500</v>
      </c>
      <c r="N1310" s="542" t="s">
        <v>270</v>
      </c>
      <c r="O1310" s="543">
        <f>VLOOKUP($I1310,'Price List, Weapons &amp; Items'!B:G,6,0)</f>
        <v>112800</v>
      </c>
      <c r="P1310" s="176">
        <f t="shared" si="322"/>
        <v>56400000</v>
      </c>
      <c r="Q1310" s="176" t="str">
        <f t="shared" si="303"/>
        <v>.</v>
      </c>
      <c r="R1310" s="176" t="str">
        <f t="shared" si="304"/>
        <v/>
      </c>
      <c r="S1310" s="176" t="str">
        <f>IF(AND(AD1310=1,R1310&lt;&gt;".")=TRUE,R1310/VLOOKUP(G1310,'Exchange Rates'!B:C,2,0),IF(R1310=".",".",""))</f>
        <v/>
      </c>
      <c r="T1310" s="176" t="str">
        <f>IF(AD1310=1,IF(AF1310="Value is not given at all",".",IF(AF1310="Value is given by the source",S1310,IF(AF1310="Value is calculated with prices",(IF(SUMIFS(Q:Q,A:A,A1310)&gt;0,SUMIFS(Q:Q,A:A,A1310),"."))/VLOOKUP("USD",'Exchange Rates'!B:C,2,0),"Error with coding"))),"")</f>
        <v/>
      </c>
      <c r="U1310" s="15" t="s">
        <v>261</v>
      </c>
      <c r="V1310" s="304" t="s">
        <v>3383</v>
      </c>
      <c r="W1310" s="814" t="s">
        <v>3059</v>
      </c>
      <c r="X1310" s="665" t="s">
        <v>3062</v>
      </c>
      <c r="Y1310" s="671" t="s">
        <v>3112</v>
      </c>
      <c r="Z1310" s="15">
        <v>0</v>
      </c>
      <c r="AA1310" s="180">
        <v>0</v>
      </c>
      <c r="AB1310" s="669" t="s">
        <v>260</v>
      </c>
      <c r="AC1310" s="544" t="str">
        <f>""</f>
        <v/>
      </c>
      <c r="AD1310" s="181">
        <v>0</v>
      </c>
      <c r="AE1310" s="181" t="s">
        <v>264</v>
      </c>
      <c r="AF1310" s="181" t="s">
        <v>265</v>
      </c>
      <c r="AG1310" s="181">
        <v>1</v>
      </c>
      <c r="AH1310" s="181">
        <v>11</v>
      </c>
      <c r="AI1310" s="181">
        <v>0</v>
      </c>
      <c r="AJ1310" s="181">
        <f>VLOOKUP($I1310,'Price List, Weapons &amp; Items'!B:F,5,0)</f>
        <v>0</v>
      </c>
      <c r="AK1310" s="181">
        <f t="shared" si="305"/>
        <v>0</v>
      </c>
      <c r="AL1310" s="181">
        <f t="shared" si="306"/>
        <v>0</v>
      </c>
      <c r="AM1310" s="181">
        <f t="shared" si="307"/>
        <v>0</v>
      </c>
      <c r="AN1310" s="180" t="str">
        <f>VLOOKUP($I1310,'Price List, Weapons &amp; Items'!B:L,COLUMN('Price List, Weapons &amp; Items'!$J$11)-1,0)</f>
        <v>Miscellaneous</v>
      </c>
      <c r="AO1310" s="180" t="str">
        <f>IF(I1310=".",".",VLOOKUP($I1310,'Price List, Weapons &amp; Items'!B:J,3,0))</f>
        <v>artillery round</v>
      </c>
      <c r="AP1310" s="545" t="str">
        <f t="shared" ca="1" si="324"/>
        <v/>
      </c>
      <c r="AQ1310" s="180">
        <f>VLOOKUP($I1310,'Price List, Weapons &amp; Items'!B:L,COLUMN('Price List, Weapons &amp; Items'!$L$11)-1,0)</f>
        <v>2</v>
      </c>
      <c r="AR1310" s="180">
        <f t="shared" si="308"/>
        <v>1</v>
      </c>
      <c r="AS1310" s="180">
        <f t="shared" si="309"/>
        <v>1</v>
      </c>
      <c r="AT1310" s="180">
        <f t="shared" si="310"/>
        <v>1</v>
      </c>
      <c r="AU1310" s="180" t="str">
        <f t="shared" si="321"/>
        <v>.</v>
      </c>
      <c r="AV1310" s="180" t="str">
        <f t="shared" si="320"/>
        <v>.</v>
      </c>
      <c r="AW1310" s="180">
        <f>IFERROR(VLOOKUP(B1310,'Share, Heavy Weapons to Ukraine'!B:J,COLUMN('Share, Heavy Weapons to Ukraine'!C1320)-1,0),0)</f>
        <v>1</v>
      </c>
      <c r="AX1310" s="180">
        <f>VLOOKUP('Bilateral Assistance, MAIN DATA'!B1310,'Country Summary'!B:F,COLUMN('Country Summary'!C1323)-1,FALSE)</f>
        <v>0</v>
      </c>
      <c r="AY1310" s="180" t="str">
        <f>IF(AND(AD1310=1,D1310="Military",H1310&lt;&gt;"Not given")=TRUE,IF(SUMIFS(P:P,A:A,A1310)&gt;0,ABS((SUMIFS(P:P,A:A,A1310)/VLOOKUP("USD",'Exchange Rates'!B:C,2,0)))/S1310,"."),".")</f>
        <v>.</v>
      </c>
      <c r="AZ1310" s="182" t="str">
        <f>IF(AND(AD1310=1,D1310="Military",H1310&lt;&gt;"Not given")=TRUE,IF(SUMIFS(P:P,A:A,A1310)&gt;0,IF((ABS((SUMIFS(P:P,A:A,A1310)/VLOOKUP("USD",'Exchange Rates'!B:C,2,0)))/S1310)&gt;1,(SUMIFS(P:P,A:A,A1310)-S1310)/S1310,(S1310-SUMIFS(P:P,A:A,A1310))/SUMIFS(P:P,A:A,A1310)),"."),".")</f>
        <v>.</v>
      </c>
      <c r="BA1310" s="182"/>
      <c r="BB1310" s="182"/>
      <c r="BC1310" s="182"/>
      <c r="BD1310" s="182"/>
      <c r="BE1310" s="182"/>
      <c r="BF1310" s="182"/>
      <c r="BG1310" s="182"/>
      <c r="BH1310" s="182"/>
      <c r="BI1310" s="182"/>
      <c r="BJ1310" s="182"/>
      <c r="BK1310" s="182"/>
      <c r="BL1310" s="182"/>
      <c r="BM1310" s="182"/>
      <c r="BN1310" s="182"/>
      <c r="BO1310" s="182"/>
      <c r="BP1310" s="182"/>
      <c r="BQ1310" s="182"/>
      <c r="BR1310" s="182"/>
      <c r="BS1310" s="182"/>
    </row>
    <row r="1311" spans="1:71" ht="15.9" customHeight="1" x14ac:dyDescent="0.3">
      <c r="A1311" s="19" t="s">
        <v>3370</v>
      </c>
      <c r="B1311" s="19" t="s">
        <v>3038</v>
      </c>
      <c r="C1311" s="555">
        <v>44875</v>
      </c>
      <c r="D1311" s="19" t="s">
        <v>285</v>
      </c>
      <c r="E1311" s="19" t="s">
        <v>286</v>
      </c>
      <c r="F1311" s="1139" t="s">
        <v>3381</v>
      </c>
      <c r="G1311" s="15" t="s">
        <v>346</v>
      </c>
      <c r="H1311" s="200">
        <v>400000000</v>
      </c>
      <c r="I1311" s="17" t="s">
        <v>3220</v>
      </c>
      <c r="J1311" s="113" t="str">
        <f>VLOOKUP($I1311,'Price List, Weapons &amp; Items'!B:C,2,0)</f>
        <v>Ammunition for light infantry</v>
      </c>
      <c r="K1311" s="113" t="str">
        <f>IF(I1311=".",I1311,VLOOKUP($I1311,'Price List, Weapons &amp; Items'!B:D,3,0))</f>
        <v>Mortar ammunition</v>
      </c>
      <c r="L1311" s="177">
        <f>VLOOKUP(I1311,'Price List, Weapons &amp; Items'!B:E,4,0)</f>
        <v>0</v>
      </c>
      <c r="M1311" s="542">
        <v>10000</v>
      </c>
      <c r="N1311" s="542" t="s">
        <v>270</v>
      </c>
      <c r="O1311" s="543">
        <f>VLOOKUP($I1311,'Price List, Weapons &amp; Items'!B:G,6,0)</f>
        <v>109.89</v>
      </c>
      <c r="P1311" s="176">
        <f t="shared" si="322"/>
        <v>1098900</v>
      </c>
      <c r="Q1311" s="176" t="str">
        <f t="shared" si="303"/>
        <v>.</v>
      </c>
      <c r="R1311" s="176" t="str">
        <f t="shared" si="304"/>
        <v/>
      </c>
      <c r="S1311" s="176" t="str">
        <f>IF(AND(AD1311=1,R1311&lt;&gt;".")=TRUE,R1311/VLOOKUP(G1311,'Exchange Rates'!B:C,2,0),IF(R1311=".",".",""))</f>
        <v/>
      </c>
      <c r="T1311" s="176" t="str">
        <f>IF(AD1311=1,IF(AF1311="Value is not given at all",".",IF(AF1311="Value is given by the source",S1311,IF(AF1311="Value is calculated with prices",(IF(SUMIFS(Q:Q,A:A,A1311)&gt;0,SUMIFS(Q:Q,A:A,A1311),"."))/VLOOKUP("USD",'Exchange Rates'!B:C,2,0),"Error with coding"))),"")</f>
        <v/>
      </c>
      <c r="U1311" s="15" t="s">
        <v>261</v>
      </c>
      <c r="V1311" s="304" t="s">
        <v>3383</v>
      </c>
      <c r="W1311" s="814" t="s">
        <v>3059</v>
      </c>
      <c r="X1311" s="665" t="s">
        <v>3062</v>
      </c>
      <c r="Y1311" s="671" t="s">
        <v>3114</v>
      </c>
      <c r="Z1311" s="15">
        <v>0</v>
      </c>
      <c r="AA1311" s="180">
        <v>0</v>
      </c>
      <c r="AB1311" s="669" t="s">
        <v>260</v>
      </c>
      <c r="AC1311" s="544" t="str">
        <f>""</f>
        <v/>
      </c>
      <c r="AD1311" s="181">
        <v>0</v>
      </c>
      <c r="AE1311" s="181" t="s">
        <v>264</v>
      </c>
      <c r="AF1311" s="181" t="s">
        <v>265</v>
      </c>
      <c r="AG1311" s="181">
        <v>1</v>
      </c>
      <c r="AH1311" s="181">
        <v>11</v>
      </c>
      <c r="AI1311" s="181">
        <v>0</v>
      </c>
      <c r="AJ1311" s="181">
        <f>VLOOKUP($I1311,'Price List, Weapons &amp; Items'!B:F,5,0)</f>
        <v>0</v>
      </c>
      <c r="AK1311" s="181">
        <f t="shared" si="305"/>
        <v>0</v>
      </c>
      <c r="AL1311" s="181">
        <f t="shared" si="306"/>
        <v>0</v>
      </c>
      <c r="AM1311" s="181">
        <f t="shared" si="307"/>
        <v>1</v>
      </c>
      <c r="AN1311" s="180" t="str">
        <f>VLOOKUP($I1311,'Price List, Weapons &amp; Items'!B:L,COLUMN('Price List, Weapons &amp; Items'!$J$11)-1,0)</f>
        <v>Government information</v>
      </c>
      <c r="AO1311" s="180" t="str">
        <f>IF(I1311=".",".",VLOOKUP($I1311,'Price List, Weapons &amp; Items'!B:J,3,0))</f>
        <v>Mortar ammunition</v>
      </c>
      <c r="AP1311" s="545" t="str">
        <f t="shared" ca="1" si="324"/>
        <v/>
      </c>
      <c r="AQ1311" s="180">
        <f>VLOOKUP($I1311,'Price List, Weapons &amp; Items'!B:L,COLUMN('Price List, Weapons &amp; Items'!$L$11)-1,0)</f>
        <v>2</v>
      </c>
      <c r="AR1311" s="180">
        <f t="shared" si="308"/>
        <v>1</v>
      </c>
      <c r="AS1311" s="180">
        <f t="shared" si="309"/>
        <v>1</v>
      </c>
      <c r="AT1311" s="180">
        <f t="shared" si="310"/>
        <v>1</v>
      </c>
      <c r="AU1311" s="180" t="str">
        <f t="shared" si="321"/>
        <v>.</v>
      </c>
      <c r="AV1311" s="180" t="str">
        <f t="shared" si="320"/>
        <v>.</v>
      </c>
      <c r="AW1311" s="180">
        <f>IFERROR(VLOOKUP(B1311,'Share, Heavy Weapons to Ukraine'!B:J,COLUMN('Share, Heavy Weapons to Ukraine'!C1321)-1,0),0)</f>
        <v>1</v>
      </c>
      <c r="AX1311" s="180">
        <f>VLOOKUP('Bilateral Assistance, MAIN DATA'!B1311,'Country Summary'!B:F,COLUMN('Country Summary'!C1324)-1,FALSE)</f>
        <v>0</v>
      </c>
      <c r="AY1311" s="180" t="str">
        <f>IF(AND(AD1311=1,D1311="Military",H1311&lt;&gt;"Not given")=TRUE,IF(SUMIFS(P:P,A:A,A1311)&gt;0,ABS((SUMIFS(P:P,A:A,A1311)/VLOOKUP("USD",'Exchange Rates'!B:C,2,0)))/S1311,"."),".")</f>
        <v>.</v>
      </c>
      <c r="AZ1311" s="182" t="str">
        <f>IF(AND(AD1311=1,D1311="Military",H1311&lt;&gt;"Not given")=TRUE,IF(SUMIFS(P:P,A:A,A1311)&gt;0,IF((ABS((SUMIFS(P:P,A:A,A1311)/VLOOKUP("USD",'Exchange Rates'!B:C,2,0)))/S1311)&gt;1,(SUMIFS(P:P,A:A,A1311)-S1311)/S1311,(S1311-SUMIFS(P:P,A:A,A1311))/SUMIFS(P:P,A:A,A1311)),"."),".")</f>
        <v>.</v>
      </c>
      <c r="BA1311" s="182"/>
      <c r="BB1311" s="182"/>
      <c r="BC1311" s="182"/>
      <c r="BD1311" s="182"/>
      <c r="BE1311" s="182"/>
      <c r="BF1311" s="182"/>
      <c r="BG1311" s="182"/>
      <c r="BH1311" s="182"/>
      <c r="BI1311" s="182"/>
      <c r="BJ1311" s="182"/>
      <c r="BK1311" s="182"/>
      <c r="BL1311" s="182"/>
      <c r="BM1311" s="182"/>
      <c r="BN1311" s="182"/>
      <c r="BO1311" s="182"/>
      <c r="BP1311" s="182"/>
      <c r="BQ1311" s="182"/>
      <c r="BR1311" s="182"/>
      <c r="BS1311" s="182"/>
    </row>
    <row r="1312" spans="1:71" ht="15.9" customHeight="1" x14ac:dyDescent="0.3">
      <c r="A1312" s="19" t="s">
        <v>3370</v>
      </c>
      <c r="B1312" s="19" t="s">
        <v>3038</v>
      </c>
      <c r="C1312" s="555">
        <v>44875</v>
      </c>
      <c r="D1312" s="19" t="s">
        <v>285</v>
      </c>
      <c r="E1312" s="19" t="s">
        <v>286</v>
      </c>
      <c r="F1312" s="1139" t="s">
        <v>3381</v>
      </c>
      <c r="G1312" s="15" t="s">
        <v>346</v>
      </c>
      <c r="H1312" s="200">
        <v>400000000</v>
      </c>
      <c r="I1312" s="17" t="s">
        <v>3269</v>
      </c>
      <c r="J1312" s="113" t="str">
        <f>VLOOKUP($I1312,'Price List, Weapons &amp; Items'!B:C,2,0)</f>
        <v>Heavy weapon</v>
      </c>
      <c r="K1312" s="113" t="str">
        <f>IF(I1312=".",I1312,VLOOKUP($I1312,'Price List, Weapons &amp; Items'!B:D,3,0))</f>
        <v>Armoured Utility Vehicle (AUV)</v>
      </c>
      <c r="L1312" s="177">
        <f>VLOOKUP(I1312,'Price List, Weapons &amp; Items'!B:E,4,0)</f>
        <v>0</v>
      </c>
      <c r="M1312" s="542">
        <v>100</v>
      </c>
      <c r="N1312" s="542" t="s">
        <v>270</v>
      </c>
      <c r="O1312" s="543">
        <f>VLOOKUP($I1312,'Price List, Weapons &amp; Items'!B:G,6,0)</f>
        <v>254717</v>
      </c>
      <c r="P1312" s="176">
        <f t="shared" si="322"/>
        <v>25471700</v>
      </c>
      <c r="Q1312" s="176" t="str">
        <f t="shared" si="303"/>
        <v>.</v>
      </c>
      <c r="R1312" s="176" t="str">
        <f t="shared" si="304"/>
        <v/>
      </c>
      <c r="S1312" s="176" t="str">
        <f>IF(AND(AD1312=1,R1312&lt;&gt;".")=TRUE,R1312/VLOOKUP(G1312,'Exchange Rates'!B:C,2,0),IF(R1312=".",".",""))</f>
        <v/>
      </c>
      <c r="T1312" s="176" t="str">
        <f>IF(AD1312=1,IF(AF1312="Value is not given at all",".",IF(AF1312="Value is given by the source",S1312,IF(AF1312="Value is calculated with prices",(IF(SUMIFS(Q:Q,A:A,A1312)&gt;0,SUMIFS(Q:Q,A:A,A1312),"."))/VLOOKUP("USD",'Exchange Rates'!B:C,2,0),"Error with coding"))),"")</f>
        <v/>
      </c>
      <c r="U1312" s="15" t="s">
        <v>261</v>
      </c>
      <c r="V1312" s="304" t="s">
        <v>3383</v>
      </c>
      <c r="W1312" s="814" t="s">
        <v>3059</v>
      </c>
      <c r="X1312" s="665" t="s">
        <v>3062</v>
      </c>
      <c r="Y1312" s="671" t="s">
        <v>3115</v>
      </c>
      <c r="Z1312" s="15">
        <v>0</v>
      </c>
      <c r="AA1312" s="180">
        <v>0</v>
      </c>
      <c r="AB1312" s="669" t="s">
        <v>260</v>
      </c>
      <c r="AC1312" s="544" t="str">
        <f>""</f>
        <v/>
      </c>
      <c r="AD1312" s="181">
        <v>0</v>
      </c>
      <c r="AE1312" s="181" t="s">
        <v>264</v>
      </c>
      <c r="AF1312" s="181" t="s">
        <v>265</v>
      </c>
      <c r="AG1312" s="181">
        <v>1</v>
      </c>
      <c r="AH1312" s="181">
        <v>11</v>
      </c>
      <c r="AI1312" s="181">
        <v>0</v>
      </c>
      <c r="AJ1312" s="181">
        <f>VLOOKUP($I1312,'Price List, Weapons &amp; Items'!B:F,5,0)</f>
        <v>1</v>
      </c>
      <c r="AK1312" s="181">
        <f t="shared" si="305"/>
        <v>0</v>
      </c>
      <c r="AL1312" s="181">
        <f t="shared" si="306"/>
        <v>1</v>
      </c>
      <c r="AM1312" s="181">
        <f t="shared" si="307"/>
        <v>0</v>
      </c>
      <c r="AN1312" s="180" t="str">
        <f>VLOOKUP($I1312,'Price List, Weapons &amp; Items'!B:L,COLUMN('Price List, Weapons &amp; Items'!$J$11)-1,0)</f>
        <v>Military media (incl. websites)</v>
      </c>
      <c r="AO1312" s="180" t="str">
        <f>IF(I1312=".",".",VLOOKUP($I1312,'Price List, Weapons &amp; Items'!B:J,3,0))</f>
        <v>Armoured Utility Vehicle (AUV)</v>
      </c>
      <c r="AP1312" s="545" t="str">
        <f t="shared" ca="1" si="324"/>
        <v/>
      </c>
      <c r="AQ1312" s="180">
        <f>VLOOKUP($I1312,'Price List, Weapons &amp; Items'!B:L,COLUMN('Price List, Weapons &amp; Items'!$L$11)-1,0)</f>
        <v>2</v>
      </c>
      <c r="AR1312" s="180">
        <f t="shared" si="308"/>
        <v>1</v>
      </c>
      <c r="AS1312" s="180">
        <f t="shared" si="309"/>
        <v>1</v>
      </c>
      <c r="AT1312" s="180">
        <f t="shared" si="310"/>
        <v>1</v>
      </c>
      <c r="AU1312" s="180" t="str">
        <f t="shared" si="321"/>
        <v>.</v>
      </c>
      <c r="AV1312" s="180" t="str">
        <f t="shared" si="320"/>
        <v>.</v>
      </c>
      <c r="AW1312" s="180">
        <f>IFERROR(VLOOKUP(B1312,'Share, Heavy Weapons to Ukraine'!B:J,COLUMN('Share, Heavy Weapons to Ukraine'!C1322)-1,0),0)</f>
        <v>1</v>
      </c>
      <c r="AX1312" s="180">
        <f>VLOOKUP('Bilateral Assistance, MAIN DATA'!B1312,'Country Summary'!B:F,COLUMN('Country Summary'!C1325)-1,FALSE)</f>
        <v>0</v>
      </c>
      <c r="AY1312" s="180" t="str">
        <f>IF(AND(AD1312=1,D1312="Military",H1312&lt;&gt;"Not given")=TRUE,IF(SUMIFS(P:P,A:A,A1312)&gt;0,ABS((SUMIFS(P:P,A:A,A1312)/VLOOKUP("USD",'Exchange Rates'!B:C,2,0)))/S1312,"."),".")</f>
        <v>.</v>
      </c>
      <c r="AZ1312" s="182" t="str">
        <f>IF(AND(AD1312=1,D1312="Military",H1312&lt;&gt;"Not given")=TRUE,IF(SUMIFS(P:P,A:A,A1312)&gt;0,IF((ABS((SUMIFS(P:P,A:A,A1312)/VLOOKUP("USD",'Exchange Rates'!B:C,2,0)))/S1312)&gt;1,(SUMIFS(P:P,A:A,A1312)-S1312)/S1312,(S1312-SUMIFS(P:P,A:A,A1312))/SUMIFS(P:P,A:A,A1312)),"."),".")</f>
        <v>.</v>
      </c>
      <c r="BA1312" s="182"/>
      <c r="BB1312" s="182"/>
      <c r="BC1312" s="182"/>
      <c r="BD1312" s="182"/>
      <c r="BE1312" s="182"/>
      <c r="BF1312" s="182"/>
      <c r="BG1312" s="182"/>
      <c r="BH1312" s="182"/>
      <c r="BI1312" s="182"/>
      <c r="BJ1312" s="182"/>
      <c r="BK1312" s="182"/>
      <c r="BL1312" s="182"/>
      <c r="BM1312" s="182"/>
      <c r="BN1312" s="182"/>
      <c r="BO1312" s="182"/>
      <c r="BP1312" s="182"/>
      <c r="BQ1312" s="182"/>
      <c r="BR1312" s="182"/>
      <c r="BS1312" s="182"/>
    </row>
    <row r="1313" spans="1:71" ht="15.9" customHeight="1" x14ac:dyDescent="0.3">
      <c r="A1313" s="19" t="s">
        <v>3370</v>
      </c>
      <c r="B1313" s="19" t="s">
        <v>3038</v>
      </c>
      <c r="C1313" s="555">
        <v>44875</v>
      </c>
      <c r="D1313" s="19" t="s">
        <v>285</v>
      </c>
      <c r="E1313" s="19" t="s">
        <v>286</v>
      </c>
      <c r="F1313" s="1139" t="s">
        <v>3381</v>
      </c>
      <c r="G1313" s="15" t="s">
        <v>346</v>
      </c>
      <c r="H1313" s="200">
        <v>400000000</v>
      </c>
      <c r="I1313" s="17" t="s">
        <v>3082</v>
      </c>
      <c r="J1313" s="113" t="str">
        <f>VLOOKUP($I1313,'Price List, Weapons &amp; Items'!B:C,2,0)</f>
        <v>Portable defence system</v>
      </c>
      <c r="K1313" s="113" t="str">
        <f>IF(I1313=".",I1313,VLOOKUP($I1313,'Price List, Weapons &amp; Items'!B:D,3,0))</f>
        <v>Under-barrel grenade launcher</v>
      </c>
      <c r="L1313" s="177">
        <f>VLOOKUP(I1313,'Price List, Weapons &amp; Items'!B:E,4,0)</f>
        <v>0</v>
      </c>
      <c r="M1313" s="542">
        <v>400</v>
      </c>
      <c r="N1313" s="542" t="s">
        <v>270</v>
      </c>
      <c r="O1313" s="543">
        <f>VLOOKUP($I1313,'Price List, Weapons &amp; Items'!B:G,6,0)</f>
        <v>2291</v>
      </c>
      <c r="P1313" s="176">
        <f t="shared" si="322"/>
        <v>916400</v>
      </c>
      <c r="Q1313" s="176" t="str">
        <f t="shared" si="303"/>
        <v>.</v>
      </c>
      <c r="R1313" s="176" t="str">
        <f t="shared" si="304"/>
        <v/>
      </c>
      <c r="S1313" s="176" t="str">
        <f>IF(AND(AD1313=1,R1313&lt;&gt;".")=TRUE,R1313/VLOOKUP(G1313,'Exchange Rates'!B:C,2,0),IF(R1313=".",".",""))</f>
        <v/>
      </c>
      <c r="T1313" s="176" t="str">
        <f>IF(AD1313=1,IF(AF1313="Value is not given at all",".",IF(AF1313="Value is given by the source",S1313,IF(AF1313="Value is calculated with prices",(IF(SUMIFS(Q:Q,A:A,A1313)&gt;0,SUMIFS(Q:Q,A:A,A1313),"."))/VLOOKUP("USD",'Exchange Rates'!B:C,2,0),"Error with coding"))),"")</f>
        <v/>
      </c>
      <c r="U1313" s="15" t="s">
        <v>261</v>
      </c>
      <c r="V1313" s="304" t="s">
        <v>3383</v>
      </c>
      <c r="W1313" s="814" t="s">
        <v>3059</v>
      </c>
      <c r="X1313" s="665" t="s">
        <v>3062</v>
      </c>
      <c r="Y1313" s="671" t="s">
        <v>3116</v>
      </c>
      <c r="Z1313" s="15">
        <v>0</v>
      </c>
      <c r="AA1313" s="180">
        <v>0</v>
      </c>
      <c r="AB1313" s="669" t="s">
        <v>260</v>
      </c>
      <c r="AC1313" s="544" t="str">
        <f>""</f>
        <v/>
      </c>
      <c r="AD1313" s="181">
        <v>0</v>
      </c>
      <c r="AE1313" s="181" t="s">
        <v>264</v>
      </c>
      <c r="AF1313" s="181" t="s">
        <v>265</v>
      </c>
      <c r="AG1313" s="181">
        <v>1</v>
      </c>
      <c r="AH1313" s="181">
        <v>11</v>
      </c>
      <c r="AI1313" s="181">
        <v>0</v>
      </c>
      <c r="AJ1313" s="181">
        <f>VLOOKUP($I1313,'Price List, Weapons &amp; Items'!B:F,5,0)</f>
        <v>0</v>
      </c>
      <c r="AK1313" s="181">
        <f t="shared" si="305"/>
        <v>0</v>
      </c>
      <c r="AL1313" s="181">
        <f t="shared" si="306"/>
        <v>0</v>
      </c>
      <c r="AM1313" s="181">
        <f t="shared" si="307"/>
        <v>0</v>
      </c>
      <c r="AN1313" s="180" t="str">
        <f>VLOOKUP($I1313,'Price List, Weapons &amp; Items'!B:L,COLUMN('Price List, Weapons &amp; Items'!$J$11)-1,0)</f>
        <v>Miscellaneous</v>
      </c>
      <c r="AO1313" s="180" t="str">
        <f>IF(I1313=".",".",VLOOKUP($I1313,'Price List, Weapons &amp; Items'!B:J,3,0))</f>
        <v>Under-barrel grenade launcher</v>
      </c>
      <c r="AP1313" s="545" t="str">
        <f t="shared" ca="1" si="324"/>
        <v/>
      </c>
      <c r="AQ1313" s="180">
        <f>VLOOKUP($I1313,'Price List, Weapons &amp; Items'!B:L,COLUMN('Price List, Weapons &amp; Items'!$L$11)-1,0)</f>
        <v>2</v>
      </c>
      <c r="AR1313" s="180">
        <f t="shared" si="308"/>
        <v>1</v>
      </c>
      <c r="AS1313" s="180">
        <f t="shared" si="309"/>
        <v>1</v>
      </c>
      <c r="AT1313" s="180">
        <f t="shared" si="310"/>
        <v>1</v>
      </c>
      <c r="AU1313" s="180" t="str">
        <f t="shared" si="321"/>
        <v>.</v>
      </c>
      <c r="AV1313" s="180" t="str">
        <f t="shared" si="320"/>
        <v>.</v>
      </c>
      <c r="AW1313" s="180">
        <f>IFERROR(VLOOKUP(B1313,'Share, Heavy Weapons to Ukraine'!B:J,COLUMN('Share, Heavy Weapons to Ukraine'!C1323)-1,0),0)</f>
        <v>1</v>
      </c>
      <c r="AX1313" s="180">
        <f>VLOOKUP('Bilateral Assistance, MAIN DATA'!B1313,'Country Summary'!B:F,COLUMN('Country Summary'!C1326)-1,FALSE)</f>
        <v>0</v>
      </c>
      <c r="AY1313" s="180" t="str">
        <f>IF(AND(AD1313=1,D1313="Military",H1313&lt;&gt;"Not given")=TRUE,IF(SUMIFS(P:P,A:A,A1313)&gt;0,ABS((SUMIFS(P:P,A:A,A1313)/VLOOKUP("USD",'Exchange Rates'!B:C,2,0)))/S1313,"."),".")</f>
        <v>.</v>
      </c>
      <c r="AZ1313" s="182" t="str">
        <f>IF(AND(AD1313=1,D1313="Military",H1313&lt;&gt;"Not given")=TRUE,IF(SUMIFS(P:P,A:A,A1313)&gt;0,IF((ABS((SUMIFS(P:P,A:A,A1313)/VLOOKUP("USD",'Exchange Rates'!B:C,2,0)))/S1313)&gt;1,(SUMIFS(P:P,A:A,A1313)-S1313)/S1313,(S1313-SUMIFS(P:P,A:A,A1313))/SUMIFS(P:P,A:A,A1313)),"."),".")</f>
        <v>.</v>
      </c>
      <c r="BA1313" s="182"/>
      <c r="BB1313" s="182"/>
      <c r="BC1313" s="182"/>
      <c r="BD1313" s="182"/>
      <c r="BE1313" s="182"/>
      <c r="BF1313" s="182"/>
      <c r="BG1313" s="182"/>
      <c r="BH1313" s="182"/>
      <c r="BI1313" s="182"/>
      <c r="BJ1313" s="182"/>
      <c r="BK1313" s="182"/>
      <c r="BL1313" s="182"/>
      <c r="BM1313" s="182"/>
      <c r="BN1313" s="182"/>
      <c r="BO1313" s="182"/>
      <c r="BP1313" s="182"/>
      <c r="BQ1313" s="182"/>
      <c r="BR1313" s="182"/>
      <c r="BS1313" s="182"/>
    </row>
    <row r="1314" spans="1:71" ht="15.9" customHeight="1" x14ac:dyDescent="0.3">
      <c r="A1314" s="19" t="s">
        <v>3370</v>
      </c>
      <c r="B1314" s="19" t="s">
        <v>3038</v>
      </c>
      <c r="C1314" s="555">
        <v>44875</v>
      </c>
      <c r="D1314" s="19" t="s">
        <v>285</v>
      </c>
      <c r="E1314" s="19" t="s">
        <v>286</v>
      </c>
      <c r="F1314" s="1139" t="s">
        <v>3381</v>
      </c>
      <c r="G1314" s="15" t="s">
        <v>346</v>
      </c>
      <c r="H1314" s="200">
        <v>400000000</v>
      </c>
      <c r="I1314" s="17" t="s">
        <v>3296</v>
      </c>
      <c r="J1314" s="113" t="str">
        <f>VLOOKUP($I1314,'Price List, Weapons &amp; Items'!B:C,2,0)</f>
        <v>Ammunition for light infantry</v>
      </c>
      <c r="K1314" s="113" t="str">
        <f>IF(I1314=".",I1314,VLOOKUP($I1314,'Price List, Weapons &amp; Items'!B:D,3,0))</f>
        <v>Small Arms and Light Weapons (SALW) ammunition</v>
      </c>
      <c r="L1314" s="177">
        <f>VLOOKUP(I1314,'Price List, Weapons &amp; Items'!B:E,4,0)</f>
        <v>0</v>
      </c>
      <c r="M1314" s="542">
        <v>2000000</v>
      </c>
      <c r="N1314" s="542" t="s">
        <v>270</v>
      </c>
      <c r="O1314" s="543">
        <f>VLOOKUP($I1314,'Price List, Weapons &amp; Items'!B:G,6,0)</f>
        <v>0.47</v>
      </c>
      <c r="P1314" s="176">
        <f t="shared" si="322"/>
        <v>940000</v>
      </c>
      <c r="Q1314" s="176" t="str">
        <f t="shared" si="303"/>
        <v>.</v>
      </c>
      <c r="R1314" s="176" t="str">
        <f t="shared" si="304"/>
        <v/>
      </c>
      <c r="S1314" s="176" t="str">
        <f>IF(AND(AD1314=1,R1314&lt;&gt;".")=TRUE,R1314/VLOOKUP(G1314,'Exchange Rates'!B:C,2,0),IF(R1314=".",".",""))</f>
        <v/>
      </c>
      <c r="T1314" s="176" t="str">
        <f>IF(AD1314=1,IF(AF1314="Value is not given at all",".",IF(AF1314="Value is given by the source",S1314,IF(AF1314="Value is calculated with prices",(IF(SUMIFS(Q:Q,A:A,A1314)&gt;0,SUMIFS(Q:Q,A:A,A1314),"."))/VLOOKUP("USD",'Exchange Rates'!B:C,2,0),"Error with coding"))),"")</f>
        <v/>
      </c>
      <c r="U1314" s="15" t="s">
        <v>261</v>
      </c>
      <c r="V1314" s="304" t="s">
        <v>3383</v>
      </c>
      <c r="W1314" s="814" t="s">
        <v>3059</v>
      </c>
      <c r="X1314" s="665" t="s">
        <v>3062</v>
      </c>
      <c r="Y1314" s="671" t="s">
        <v>3117</v>
      </c>
      <c r="Z1314" s="15">
        <v>0</v>
      </c>
      <c r="AA1314" s="180">
        <v>0</v>
      </c>
      <c r="AB1314" s="669" t="s">
        <v>260</v>
      </c>
      <c r="AC1314" s="544" t="str">
        <f>""</f>
        <v/>
      </c>
      <c r="AD1314" s="181">
        <v>0</v>
      </c>
      <c r="AE1314" s="181" t="s">
        <v>264</v>
      </c>
      <c r="AF1314" s="181" t="s">
        <v>265</v>
      </c>
      <c r="AG1314" s="181">
        <v>1</v>
      </c>
      <c r="AH1314" s="181">
        <v>11</v>
      </c>
      <c r="AI1314" s="181">
        <v>0</v>
      </c>
      <c r="AJ1314" s="181">
        <f>VLOOKUP($I1314,'Price List, Weapons &amp; Items'!B:F,5,0)</f>
        <v>0</v>
      </c>
      <c r="AK1314" s="181">
        <f t="shared" si="305"/>
        <v>0</v>
      </c>
      <c r="AL1314" s="181">
        <f t="shared" si="306"/>
        <v>0</v>
      </c>
      <c r="AM1314" s="181">
        <f t="shared" si="307"/>
        <v>1</v>
      </c>
      <c r="AN1314" s="180" t="str">
        <f>VLOOKUP($I1314,'Price List, Weapons &amp; Items'!B:L,COLUMN('Price List, Weapons &amp; Items'!$J$11)-1,0)</f>
        <v>Miscellaneous</v>
      </c>
      <c r="AO1314" s="180" t="str">
        <f>IF(I1314=".",".",VLOOKUP($I1314,'Price List, Weapons &amp; Items'!B:J,3,0))</f>
        <v>Small Arms and Light Weapons (SALW) ammunition</v>
      </c>
      <c r="AP1314" s="545" t="str">
        <f t="shared" ca="1" si="324"/>
        <v/>
      </c>
      <c r="AQ1314" s="180">
        <f>VLOOKUP($I1314,'Price List, Weapons &amp; Items'!B:L,COLUMN('Price List, Weapons &amp; Items'!$L$11)-1,0)</f>
        <v>2</v>
      </c>
      <c r="AR1314" s="180">
        <f t="shared" si="308"/>
        <v>1</v>
      </c>
      <c r="AS1314" s="180">
        <f t="shared" si="309"/>
        <v>1</v>
      </c>
      <c r="AT1314" s="180">
        <f t="shared" si="310"/>
        <v>1</v>
      </c>
      <c r="AU1314" s="180" t="str">
        <f t="shared" si="321"/>
        <v>.</v>
      </c>
      <c r="AV1314" s="180" t="str">
        <f t="shared" si="320"/>
        <v>.</v>
      </c>
      <c r="AW1314" s="180">
        <f>IFERROR(VLOOKUP(B1314,'Share, Heavy Weapons to Ukraine'!B:J,COLUMN('Share, Heavy Weapons to Ukraine'!C1324)-1,0),0)</f>
        <v>1</v>
      </c>
      <c r="AX1314" s="180">
        <f>VLOOKUP('Bilateral Assistance, MAIN DATA'!B1314,'Country Summary'!B:F,COLUMN('Country Summary'!C1327)-1,FALSE)</f>
        <v>0</v>
      </c>
      <c r="AY1314" s="180" t="str">
        <f>IF(AND(AD1314=1,D1314="Military",H1314&lt;&gt;"Not given")=TRUE,IF(SUMIFS(P:P,A:A,A1314)&gt;0,ABS((SUMIFS(P:P,A:A,A1314)/VLOOKUP("USD",'Exchange Rates'!B:C,2,0)))/S1314,"."),".")</f>
        <v>.</v>
      </c>
      <c r="AZ1314" s="182" t="str">
        <f>IF(AND(AD1314=1,D1314="Military",H1314&lt;&gt;"Not given")=TRUE,IF(SUMIFS(P:P,A:A,A1314)&gt;0,IF((ABS((SUMIFS(P:P,A:A,A1314)/VLOOKUP("USD",'Exchange Rates'!B:C,2,0)))/S1314)&gt;1,(SUMIFS(P:P,A:A,A1314)-S1314)/S1314,(S1314-SUMIFS(P:P,A:A,A1314))/SUMIFS(P:P,A:A,A1314)),"."),".")</f>
        <v>.</v>
      </c>
      <c r="BA1314" s="182"/>
      <c r="BB1314" s="182"/>
      <c r="BC1314" s="182"/>
      <c r="BD1314" s="182"/>
      <c r="BE1314" s="182"/>
      <c r="BF1314" s="182"/>
      <c r="BG1314" s="182"/>
      <c r="BH1314" s="182"/>
      <c r="BI1314" s="182"/>
      <c r="BJ1314" s="182"/>
      <c r="BK1314" s="182"/>
      <c r="BL1314" s="182"/>
      <c r="BM1314" s="182"/>
      <c r="BN1314" s="182"/>
      <c r="BO1314" s="182"/>
      <c r="BP1314" s="182"/>
      <c r="BQ1314" s="182"/>
      <c r="BR1314" s="182"/>
      <c r="BS1314" s="182"/>
    </row>
    <row r="1315" spans="1:71" ht="15.9" customHeight="1" x14ac:dyDescent="0.3">
      <c r="A1315" s="19" t="s">
        <v>3370</v>
      </c>
      <c r="B1315" s="19" t="s">
        <v>3038</v>
      </c>
      <c r="C1315" s="555">
        <v>44875</v>
      </c>
      <c r="D1315" s="19" t="s">
        <v>285</v>
      </c>
      <c r="E1315" s="19" t="s">
        <v>286</v>
      </c>
      <c r="F1315" s="1139" t="s">
        <v>3381</v>
      </c>
      <c r="G1315" s="15" t="s">
        <v>346</v>
      </c>
      <c r="H1315" s="200">
        <v>400000000</v>
      </c>
      <c r="I1315" s="17" t="s">
        <v>3119</v>
      </c>
      <c r="J1315" s="113" t="str">
        <f>VLOOKUP($I1315,'Price List, Weapons &amp; Items'!B:C,2,0)</f>
        <v>Military equipment</v>
      </c>
      <c r="K1315" s="113" t="str">
        <f>IF(I1315=".",I1315,VLOOKUP($I1315,'Price List, Weapons &amp; Items'!B:D,3,0))</f>
        <v>Military equipment</v>
      </c>
      <c r="L1315" s="177">
        <f>VLOOKUP(I1315,'Price List, Weapons &amp; Items'!B:E,4,0)</f>
        <v>0</v>
      </c>
      <c r="M1315" s="542" t="s">
        <v>270</v>
      </c>
      <c r="N1315" s="542" t="s">
        <v>270</v>
      </c>
      <c r="O1315" s="543">
        <f>VLOOKUP($I1315,'Price List, Weapons &amp; Items'!B:G,6,0)</f>
        <v>45</v>
      </c>
      <c r="P1315" s="176" t="str">
        <f t="shared" si="322"/>
        <v>.</v>
      </c>
      <c r="Q1315" s="176" t="str">
        <f t="shared" si="303"/>
        <v>.</v>
      </c>
      <c r="R1315" s="176" t="str">
        <f t="shared" ref="R1315:R1378" si="325">IF(AD1315=1,IF(H1315&lt;&gt;"Not given",H1315,IF(TYPE(H1315)=2,IF(SUMIFS(P:P,A:A,A1315)&gt;0,SUMIFS(P:P,A:A,A1315),"."),"Format error")),"")</f>
        <v/>
      </c>
      <c r="S1315" s="176" t="str">
        <f>IF(AND(AD1315=1,R1315&lt;&gt;".")=TRUE,R1315/VLOOKUP(G1315,'Exchange Rates'!B:C,2,0),IF(R1315=".",".",""))</f>
        <v/>
      </c>
      <c r="T1315" s="176" t="str">
        <f>IF(AD1315=1,IF(AF1315="Value is not given at all",".",IF(AF1315="Value is given by the source",S1315,IF(AF1315="Value is calculated with prices",(IF(SUMIFS(Q:Q,A:A,A1315)&gt;0,SUMIFS(Q:Q,A:A,A1315),"."))/VLOOKUP("USD",'Exchange Rates'!B:C,2,0),"Error with coding"))),"")</f>
        <v/>
      </c>
      <c r="U1315" s="15" t="s">
        <v>261</v>
      </c>
      <c r="V1315" s="304" t="s">
        <v>3383</v>
      </c>
      <c r="W1315" s="814" t="s">
        <v>3059</v>
      </c>
      <c r="X1315" s="665" t="s">
        <v>3062</v>
      </c>
      <c r="Y1315" s="671" t="s">
        <v>3118</v>
      </c>
      <c r="Z1315" s="15">
        <v>0</v>
      </c>
      <c r="AA1315" s="180">
        <v>0</v>
      </c>
      <c r="AB1315" s="669" t="s">
        <v>260</v>
      </c>
      <c r="AC1315" s="544" t="str">
        <f>""</f>
        <v/>
      </c>
      <c r="AD1315" s="181">
        <v>0</v>
      </c>
      <c r="AE1315" s="181" t="s">
        <v>264</v>
      </c>
      <c r="AF1315" s="181" t="s">
        <v>265</v>
      </c>
      <c r="AG1315" s="181">
        <v>1</v>
      </c>
      <c r="AH1315" s="181">
        <v>11</v>
      </c>
      <c r="AI1315" s="181">
        <v>0</v>
      </c>
      <c r="AJ1315" s="181">
        <f>VLOOKUP($I1315,'Price List, Weapons &amp; Items'!B:F,5,0)</f>
        <v>0</v>
      </c>
      <c r="AK1315" s="181">
        <f t="shared" si="305"/>
        <v>0</v>
      </c>
      <c r="AL1315" s="181">
        <f t="shared" si="306"/>
        <v>0</v>
      </c>
      <c r="AM1315" s="181">
        <f t="shared" si="307"/>
        <v>0</v>
      </c>
      <c r="AN1315" s="180" t="str">
        <f>VLOOKUP($I1315,'Price List, Weapons &amp; Items'!B:L,COLUMN('Price List, Weapons &amp; Items'!$J$11)-1,0)</f>
        <v>Online marketplaces and stores</v>
      </c>
      <c r="AO1315" s="180" t="str">
        <f>IF(I1315=".",".",VLOOKUP($I1315,'Price List, Weapons &amp; Items'!B:J,3,0))</f>
        <v>Military equipment</v>
      </c>
      <c r="AP1315" s="545" t="str">
        <f t="shared" ca="1" si="324"/>
        <v/>
      </c>
      <c r="AQ1315" s="180">
        <f>VLOOKUP($I1315,'Price List, Weapons &amp; Items'!B:L,COLUMN('Price List, Weapons &amp; Items'!$L$11)-1,0)</f>
        <v>1</v>
      </c>
      <c r="AR1315" s="180">
        <f t="shared" si="308"/>
        <v>1</v>
      </c>
      <c r="AS1315" s="180">
        <f t="shared" si="309"/>
        <v>1</v>
      </c>
      <c r="AT1315" s="180">
        <f t="shared" si="310"/>
        <v>1</v>
      </c>
      <c r="AU1315" s="180" t="str">
        <f t="shared" si="321"/>
        <v>.</v>
      </c>
      <c r="AV1315" s="180" t="str">
        <f t="shared" si="320"/>
        <v>.</v>
      </c>
      <c r="AW1315" s="180">
        <f>IFERROR(VLOOKUP(B1315,'Share, Heavy Weapons to Ukraine'!B:J,COLUMN('Share, Heavy Weapons to Ukraine'!C1325)-1,0),0)</f>
        <v>1</v>
      </c>
      <c r="AX1315" s="180">
        <f>VLOOKUP('Bilateral Assistance, MAIN DATA'!B1315,'Country Summary'!B:F,COLUMN('Country Summary'!C1328)-1,FALSE)</f>
        <v>0</v>
      </c>
      <c r="AY1315" s="180" t="str">
        <f>IF(AND(AD1315=1,D1315="Military",H1315&lt;&gt;"Not given")=TRUE,IF(SUMIFS(P:P,A:A,A1315)&gt;0,ABS((SUMIFS(P:P,A:A,A1315)/VLOOKUP("USD",'Exchange Rates'!B:C,2,0)))/S1315,"."),".")</f>
        <v>.</v>
      </c>
      <c r="AZ1315" s="182" t="str">
        <f>IF(AND(AD1315=1,D1315="Military",H1315&lt;&gt;"Not given")=TRUE,IF(SUMIFS(P:P,A:A,A1315)&gt;0,IF((ABS((SUMIFS(P:P,A:A,A1315)/VLOOKUP("USD",'Exchange Rates'!B:C,2,0)))/S1315)&gt;1,(SUMIFS(P:P,A:A,A1315)-S1315)/S1315,(S1315-SUMIFS(P:P,A:A,A1315))/SUMIFS(P:P,A:A,A1315)),"."),".")</f>
        <v>.</v>
      </c>
      <c r="BA1315" s="182"/>
      <c r="BB1315" s="182"/>
      <c r="BC1315" s="182"/>
      <c r="BD1315" s="182"/>
      <c r="BE1315" s="182"/>
      <c r="BF1315" s="182"/>
      <c r="BG1315" s="182"/>
      <c r="BH1315" s="182"/>
      <c r="BI1315" s="182"/>
      <c r="BJ1315" s="182"/>
      <c r="BK1315" s="182"/>
      <c r="BL1315" s="182"/>
      <c r="BM1315" s="182"/>
      <c r="BN1315" s="182"/>
      <c r="BO1315" s="182"/>
      <c r="BP1315" s="182"/>
      <c r="BQ1315" s="182"/>
      <c r="BR1315" s="182"/>
      <c r="BS1315" s="182"/>
    </row>
    <row r="1316" spans="1:71" ht="15.9" customHeight="1" x14ac:dyDescent="0.3">
      <c r="A1316" s="19" t="s">
        <v>3370</v>
      </c>
      <c r="B1316" s="19" t="s">
        <v>3038</v>
      </c>
      <c r="C1316" s="555">
        <v>44875</v>
      </c>
      <c r="D1316" s="19" t="s">
        <v>285</v>
      </c>
      <c r="E1316" s="19" t="s">
        <v>286</v>
      </c>
      <c r="F1316" s="1139" t="s">
        <v>3381</v>
      </c>
      <c r="G1316" s="15" t="s">
        <v>346</v>
      </c>
      <c r="H1316" s="200">
        <v>400000000</v>
      </c>
      <c r="I1316" s="17" t="s">
        <v>3122</v>
      </c>
      <c r="J1316" s="113" t="str">
        <f>VLOOKUP($I1316,'Price List, Weapons &amp; Items'!B:C,2,0)</f>
        <v>Military equipment</v>
      </c>
      <c r="K1316" s="113" t="str">
        <f>IF(I1316=".",I1316,VLOOKUP($I1316,'Price List, Weapons &amp; Items'!B:D,3,0))</f>
        <v>Military equipment</v>
      </c>
      <c r="L1316" s="177">
        <f>VLOOKUP(I1316,'Price List, Weapons &amp; Items'!B:E,4,0)</f>
        <v>0</v>
      </c>
      <c r="M1316" s="542" t="s">
        <v>270</v>
      </c>
      <c r="N1316" s="542" t="s">
        <v>270</v>
      </c>
      <c r="O1316" s="543">
        <f>VLOOKUP($I1316,'Price List, Weapons &amp; Items'!B:G,6,0)</f>
        <v>90</v>
      </c>
      <c r="P1316" s="176" t="str">
        <f t="shared" si="322"/>
        <v>.</v>
      </c>
      <c r="Q1316" s="176" t="str">
        <f t="shared" si="303"/>
        <v>.</v>
      </c>
      <c r="R1316" s="176" t="str">
        <f t="shared" si="325"/>
        <v/>
      </c>
      <c r="S1316" s="176" t="str">
        <f>IF(AND(AD1316=1,R1316&lt;&gt;".")=TRUE,R1316/VLOOKUP(G1316,'Exchange Rates'!B:C,2,0),IF(R1316=".",".",""))</f>
        <v/>
      </c>
      <c r="T1316" s="176" t="str">
        <f>IF(AD1316=1,IF(AF1316="Value is not given at all",".",IF(AF1316="Value is given by the source",S1316,IF(AF1316="Value is calculated with prices",(IF(SUMIFS(Q:Q,A:A,A1316)&gt;0,SUMIFS(Q:Q,A:A,A1316),"."))/VLOOKUP("USD",'Exchange Rates'!B:C,2,0),"Error with coding"))),"")</f>
        <v/>
      </c>
      <c r="U1316" s="15" t="s">
        <v>261</v>
      </c>
      <c r="V1316" s="304" t="s">
        <v>3383</v>
      </c>
      <c r="W1316" s="814" t="s">
        <v>3059</v>
      </c>
      <c r="X1316" s="665" t="s">
        <v>3062</v>
      </c>
      <c r="Y1316" s="671" t="s">
        <v>3120</v>
      </c>
      <c r="Z1316" s="15">
        <v>0</v>
      </c>
      <c r="AA1316" s="180">
        <v>0</v>
      </c>
      <c r="AB1316" s="669" t="s">
        <v>260</v>
      </c>
      <c r="AC1316" s="544" t="str">
        <f>""</f>
        <v/>
      </c>
      <c r="AD1316" s="181">
        <v>0</v>
      </c>
      <c r="AE1316" s="181" t="s">
        <v>264</v>
      </c>
      <c r="AF1316" s="181" t="s">
        <v>265</v>
      </c>
      <c r="AG1316" s="181">
        <v>1</v>
      </c>
      <c r="AH1316" s="181">
        <v>11</v>
      </c>
      <c r="AI1316" s="181">
        <v>0</v>
      </c>
      <c r="AJ1316" s="181">
        <f>VLOOKUP($I1316,'Price List, Weapons &amp; Items'!B:F,5,0)</f>
        <v>0</v>
      </c>
      <c r="AK1316" s="181">
        <f t="shared" si="305"/>
        <v>0</v>
      </c>
      <c r="AL1316" s="181">
        <f t="shared" si="306"/>
        <v>0</v>
      </c>
      <c r="AM1316" s="181">
        <f t="shared" si="307"/>
        <v>0</v>
      </c>
      <c r="AN1316" s="180" t="str">
        <f>VLOOKUP($I1316,'Price List, Weapons &amp; Items'!B:L,COLUMN('Price List, Weapons &amp; Items'!$J$11)-1,0)</f>
        <v>Media reports (incl. social media)</v>
      </c>
      <c r="AO1316" s="180" t="str">
        <f>IF(I1316=".",".",VLOOKUP($I1316,'Price List, Weapons &amp; Items'!B:J,3,0))</f>
        <v>Military equipment</v>
      </c>
      <c r="AP1316" s="545" t="str">
        <f t="shared" ca="1" si="324"/>
        <v/>
      </c>
      <c r="AQ1316" s="180" t="str">
        <f>VLOOKUP($I1316,'Price List, Weapons &amp; Items'!B:L,COLUMN('Price List, Weapons &amp; Items'!$L$11)-1,0)</f>
        <v>no price, 0 count</v>
      </c>
      <c r="AR1316" s="180">
        <f t="shared" si="308"/>
        <v>1</v>
      </c>
      <c r="AS1316" s="180">
        <f t="shared" si="309"/>
        <v>1</v>
      </c>
      <c r="AT1316" s="180">
        <f t="shared" si="310"/>
        <v>1</v>
      </c>
      <c r="AU1316" s="180" t="str">
        <f t="shared" si="321"/>
        <v>.</v>
      </c>
      <c r="AV1316" s="180" t="str">
        <f t="shared" si="320"/>
        <v>.</v>
      </c>
      <c r="AW1316" s="180">
        <f>IFERROR(VLOOKUP(B1316,'Share, Heavy Weapons to Ukraine'!B:J,COLUMN('Share, Heavy Weapons to Ukraine'!C1326)-1,0),0)</f>
        <v>1</v>
      </c>
      <c r="AX1316" s="180">
        <f>VLOOKUP('Bilateral Assistance, MAIN DATA'!B1316,'Country Summary'!B:F,COLUMN('Country Summary'!C1329)-1,FALSE)</f>
        <v>0</v>
      </c>
      <c r="AY1316" s="180" t="str">
        <f>IF(AND(AD1316=1,D1316="Military",H1316&lt;&gt;"Not given")=TRUE,IF(SUMIFS(P:P,A:A,A1316)&gt;0,ABS((SUMIFS(P:P,A:A,A1316)/VLOOKUP("USD",'Exchange Rates'!B:C,2,0)))/S1316,"."),".")</f>
        <v>.</v>
      </c>
      <c r="AZ1316" s="182" t="str">
        <f>IF(AND(AD1316=1,D1316="Military",H1316&lt;&gt;"Not given")=TRUE,IF(SUMIFS(P:P,A:A,A1316)&gt;0,IF((ABS((SUMIFS(P:P,A:A,A1316)/VLOOKUP("USD",'Exchange Rates'!B:C,2,0)))/S1316)&gt;1,(SUMIFS(P:P,A:A,A1316)-S1316)/S1316,(S1316-SUMIFS(P:P,A:A,A1316))/SUMIFS(P:P,A:A,A1316)),"."),".")</f>
        <v>.</v>
      </c>
      <c r="BA1316" s="182"/>
      <c r="BB1316" s="182"/>
      <c r="BC1316" s="182"/>
      <c r="BD1316" s="182"/>
      <c r="BE1316" s="182"/>
      <c r="BF1316" s="182"/>
      <c r="BG1316" s="182"/>
      <c r="BH1316" s="182"/>
      <c r="BI1316" s="182"/>
      <c r="BJ1316" s="182"/>
      <c r="BK1316" s="182"/>
      <c r="BL1316" s="182"/>
      <c r="BM1316" s="182"/>
      <c r="BN1316" s="182"/>
      <c r="BO1316" s="182"/>
      <c r="BP1316" s="182"/>
      <c r="BQ1316" s="182"/>
      <c r="BR1316" s="182"/>
      <c r="BS1316" s="182"/>
    </row>
    <row r="1317" spans="1:71" ht="15.9" customHeight="1" x14ac:dyDescent="0.3">
      <c r="A1317" s="19" t="s">
        <v>3370</v>
      </c>
      <c r="B1317" s="19" t="s">
        <v>3038</v>
      </c>
      <c r="C1317" s="555">
        <v>44875</v>
      </c>
      <c r="D1317" s="19" t="s">
        <v>285</v>
      </c>
      <c r="E1317" s="19" t="s">
        <v>286</v>
      </c>
      <c r="F1317" s="1139" t="s">
        <v>3381</v>
      </c>
      <c r="G1317" s="15" t="s">
        <v>346</v>
      </c>
      <c r="H1317" s="200">
        <v>400000000</v>
      </c>
      <c r="I1317" s="17" t="s">
        <v>3299</v>
      </c>
      <c r="J1317" s="113" t="str">
        <f>VLOOKUP($I1317,'Price List, Weapons &amp; Items'!B:C,2,0)</f>
        <v>Military equipment</v>
      </c>
      <c r="K1317" s="113" t="str">
        <f>IF(I1317=".",I1317,VLOOKUP($I1317,'Price List, Weapons &amp; Items'!B:D,3,0))</f>
        <v>Military equipment</v>
      </c>
      <c r="L1317" s="177">
        <f>VLOOKUP(I1317,'Price List, Weapons &amp; Items'!B:E,4,0)</f>
        <v>0</v>
      </c>
      <c r="M1317" s="542" t="s">
        <v>270</v>
      </c>
      <c r="N1317" s="542" t="s">
        <v>270</v>
      </c>
      <c r="O1317" s="543" t="str">
        <f>VLOOKUP($I1317,'Price List, Weapons &amp; Items'!B:G,6,0)</f>
        <v>.</v>
      </c>
      <c r="P1317" s="176" t="str">
        <f t="shared" si="322"/>
        <v>.</v>
      </c>
      <c r="Q1317" s="176" t="str">
        <f t="shared" si="303"/>
        <v>.</v>
      </c>
      <c r="R1317" s="176" t="str">
        <f t="shared" si="325"/>
        <v/>
      </c>
      <c r="S1317" s="176" t="str">
        <f>IF(AND(AD1317=1,R1317&lt;&gt;".")=TRUE,R1317/VLOOKUP(G1317,'Exchange Rates'!B:C,2,0),IF(R1317=".",".",""))</f>
        <v/>
      </c>
      <c r="T1317" s="176" t="str">
        <f>IF(AD1317=1,IF(AF1317="Value is not given at all",".",IF(AF1317="Value is given by the source",S1317,IF(AF1317="Value is calculated with prices",(IF(SUMIFS(Q:Q,A:A,A1317)&gt;0,SUMIFS(Q:Q,A:A,A1317),"."))/VLOOKUP("USD",'Exchange Rates'!B:C,2,0),"Error with coding"))),"")</f>
        <v/>
      </c>
      <c r="U1317" s="15" t="s">
        <v>261</v>
      </c>
      <c r="V1317" s="304" t="s">
        <v>3383</v>
      </c>
      <c r="W1317" s="814" t="s">
        <v>3059</v>
      </c>
      <c r="X1317" s="665" t="s">
        <v>3062</v>
      </c>
      <c r="Y1317" s="671" t="s">
        <v>3121</v>
      </c>
      <c r="Z1317" s="15">
        <v>0</v>
      </c>
      <c r="AA1317" s="180">
        <v>0</v>
      </c>
      <c r="AB1317" s="669" t="s">
        <v>260</v>
      </c>
      <c r="AC1317" s="544" t="str">
        <f>""</f>
        <v/>
      </c>
      <c r="AD1317" s="181">
        <v>0</v>
      </c>
      <c r="AE1317" s="181" t="s">
        <v>264</v>
      </c>
      <c r="AF1317" s="181" t="s">
        <v>265</v>
      </c>
      <c r="AG1317" s="181">
        <v>1</v>
      </c>
      <c r="AH1317" s="181">
        <v>11</v>
      </c>
      <c r="AI1317" s="181">
        <v>0</v>
      </c>
      <c r="AJ1317" s="181">
        <f>VLOOKUP($I1317,'Price List, Weapons &amp; Items'!B:F,5,0)</f>
        <v>0</v>
      </c>
      <c r="AK1317" s="181">
        <f t="shared" si="305"/>
        <v>0</v>
      </c>
      <c r="AL1317" s="181">
        <f t="shared" si="306"/>
        <v>0</v>
      </c>
      <c r="AM1317" s="181">
        <f t="shared" si="307"/>
        <v>0</v>
      </c>
      <c r="AN1317" s="180" t="str">
        <f>VLOOKUP($I1317,'Price List, Weapons &amp; Items'!B:L,COLUMN('Price List, Weapons &amp; Items'!$J$11)-1,0)</f>
        <v>.</v>
      </c>
      <c r="AO1317" s="180" t="str">
        <f>IF(I1317=".",".",VLOOKUP($I1317,'Price List, Weapons &amp; Items'!B:J,3,0))</f>
        <v>Military equipment</v>
      </c>
      <c r="AP1317" s="545" t="str">
        <f t="shared" ca="1" si="324"/>
        <v/>
      </c>
      <c r="AQ1317" s="180" t="str">
        <f>VLOOKUP($I1317,'Price List, Weapons &amp; Items'!B:L,COLUMN('Price List, Weapons &amp; Items'!$L$11)-1,0)</f>
        <v>no price, 0 count</v>
      </c>
      <c r="AR1317" s="180">
        <f t="shared" si="308"/>
        <v>1</v>
      </c>
      <c r="AS1317" s="180">
        <f t="shared" si="309"/>
        <v>1</v>
      </c>
      <c r="AT1317" s="180">
        <f t="shared" si="310"/>
        <v>1</v>
      </c>
      <c r="AU1317" s="180" t="str">
        <f t="shared" si="321"/>
        <v>.</v>
      </c>
      <c r="AV1317" s="180" t="str">
        <f t="shared" si="320"/>
        <v>.</v>
      </c>
      <c r="AW1317" s="180">
        <f>IFERROR(VLOOKUP(B1317,'Share, Heavy Weapons to Ukraine'!B:J,COLUMN('Share, Heavy Weapons to Ukraine'!C1327)-1,0),0)</f>
        <v>1</v>
      </c>
      <c r="AX1317" s="180">
        <f>VLOOKUP('Bilateral Assistance, MAIN DATA'!B1317,'Country Summary'!B:F,COLUMN('Country Summary'!C1330)-1,FALSE)</f>
        <v>0</v>
      </c>
      <c r="AY1317" s="180" t="str">
        <f>IF(AND(AD1317=1,D1317="Military",H1317&lt;&gt;"Not given")=TRUE,IF(SUMIFS(P:P,A:A,A1317)&gt;0,ABS((SUMIFS(P:P,A:A,A1317)/VLOOKUP("USD",'Exchange Rates'!B:C,2,0)))/S1317,"."),".")</f>
        <v>.</v>
      </c>
      <c r="AZ1317" s="182" t="str">
        <f>IF(AND(AD1317=1,D1317="Military",H1317&lt;&gt;"Not given")=TRUE,IF(SUMIFS(P:P,A:A,A1317)&gt;0,IF((ABS((SUMIFS(P:P,A:A,A1317)/VLOOKUP("USD",'Exchange Rates'!B:C,2,0)))/S1317)&gt;1,(SUMIFS(P:P,A:A,A1317)-S1317)/S1317,(S1317-SUMIFS(P:P,A:A,A1317))/SUMIFS(P:P,A:A,A1317)),"."),".")</f>
        <v>.</v>
      </c>
      <c r="BA1317" s="182"/>
      <c r="BB1317" s="182"/>
      <c r="BC1317" s="182"/>
      <c r="BD1317" s="182"/>
      <c r="BE1317" s="182"/>
      <c r="BF1317" s="182"/>
      <c r="BG1317" s="182"/>
      <c r="BH1317" s="182"/>
      <c r="BI1317" s="182"/>
      <c r="BJ1317" s="182"/>
      <c r="BK1317" s="182"/>
      <c r="BL1317" s="182"/>
      <c r="BM1317" s="182"/>
      <c r="BN1317" s="182"/>
      <c r="BO1317" s="182"/>
      <c r="BP1317" s="182"/>
      <c r="BQ1317" s="182"/>
      <c r="BR1317" s="182"/>
      <c r="BS1317" s="182"/>
    </row>
    <row r="1318" spans="1:71" s="523" customFormat="1" ht="15.9" customHeight="1" x14ac:dyDescent="0.3">
      <c r="A1318" s="19" t="s">
        <v>3370</v>
      </c>
      <c r="B1318" s="19" t="s">
        <v>3038</v>
      </c>
      <c r="C1318" s="555">
        <v>44888</v>
      </c>
      <c r="D1318" s="19" t="s">
        <v>285</v>
      </c>
      <c r="E1318" s="19" t="s">
        <v>286</v>
      </c>
      <c r="F1318" s="1139" t="s">
        <v>3385</v>
      </c>
      <c r="G1318" s="15" t="s">
        <v>346</v>
      </c>
      <c r="H1318" s="200">
        <v>400000000</v>
      </c>
      <c r="I1318" s="19" t="s">
        <v>652</v>
      </c>
      <c r="J1318" s="113" t="str">
        <f>VLOOKUP($I1318,'Price List, Weapons &amp; Items'!B:C,2,0)</f>
        <v>Ammunition for Heavy Weapon</v>
      </c>
      <c r="K1318" s="113" t="str">
        <f>IF(I1318=".",I1318,VLOOKUP($I1318,'Price List, Weapons &amp; Items'!B:D,3,0))</f>
        <v>missile</v>
      </c>
      <c r="L1318" s="177">
        <f>VLOOKUP(I1318,'Price List, Weapons &amp; Items'!B:E,4,0)</f>
        <v>0</v>
      </c>
      <c r="M1318" s="542" t="s">
        <v>270</v>
      </c>
      <c r="N1318" s="542" t="s">
        <v>270</v>
      </c>
      <c r="O1318" s="543">
        <f>VLOOKUP($I1318,'Price List, Weapons &amp; Items'!B:G,6,0)</f>
        <v>1090000</v>
      </c>
      <c r="P1318" s="176" t="str">
        <f t="shared" ref="P1318:P1386" si="326">IF(TYPE(M1318)=1,IF(TYPE(O1318)=1,M1318*O1318,"No price"),".")</f>
        <v>.</v>
      </c>
      <c r="Q1318" s="176" t="str">
        <f t="shared" ref="Q1318:Q1386" si="327">IF(TYPE(N1318)=1,IF(TYPE(O1318)=1,N1318*O1318,"No price"),".")</f>
        <v>.</v>
      </c>
      <c r="R1318" s="176" t="str">
        <f t="shared" si="325"/>
        <v/>
      </c>
      <c r="S1318" s="176" t="str">
        <f>IF(AND(AD1318=1,R1318&lt;&gt;".")=TRUE,R1318/VLOOKUP(G1318,'Exchange Rates'!B:C,2,0),IF(R1318=".",".",""))</f>
        <v/>
      </c>
      <c r="T1318" s="176" t="str">
        <f>IF(AD1318=1,IF(AF1318="Value is not given at all",".",IF(AF1318="Value is given by the source",S1318,IF(AF1318="Value is calculated with prices",(IF(SUMIFS(Q:Q,A:A,A1318)&gt;0,SUMIFS(Q:Q,A:A,A1318),"."))/VLOOKUP("USD",'Exchange Rates'!B:C,2,0),"Error with coding"))),"")</f>
        <v/>
      </c>
      <c r="U1318" s="15" t="s">
        <v>261</v>
      </c>
      <c r="V1318" s="305" t="s">
        <v>3386</v>
      </c>
      <c r="W1318" s="814" t="s">
        <v>3059</v>
      </c>
      <c r="X1318" s="665" t="s">
        <v>3062</v>
      </c>
      <c r="Y1318" s="671" t="s">
        <v>3123</v>
      </c>
      <c r="Z1318" s="15">
        <v>0</v>
      </c>
      <c r="AA1318" s="180">
        <v>1</v>
      </c>
      <c r="AB1318" s="669" t="s">
        <v>260</v>
      </c>
      <c r="AC1318" s="544"/>
      <c r="AD1318" s="181">
        <v>0</v>
      </c>
      <c r="AE1318" s="181" t="s">
        <v>264</v>
      </c>
      <c r="AF1318" s="181" t="s">
        <v>265</v>
      </c>
      <c r="AG1318" s="181">
        <v>1</v>
      </c>
      <c r="AH1318" s="181">
        <v>11</v>
      </c>
      <c r="AI1318" s="181">
        <v>0</v>
      </c>
      <c r="AJ1318" s="181">
        <f>VLOOKUP($I1318,'Price List, Weapons &amp; Items'!B:F,5,0)</f>
        <v>0</v>
      </c>
      <c r="AK1318" s="181">
        <f t="shared" si="305"/>
        <v>0</v>
      </c>
      <c r="AL1318" s="181">
        <f t="shared" si="306"/>
        <v>0</v>
      </c>
      <c r="AM1318" s="181">
        <f t="shared" si="307"/>
        <v>0</v>
      </c>
      <c r="AN1318" s="180" t="str">
        <f>VLOOKUP($I1318,'Price List, Weapons &amp; Items'!B:L,COLUMN('Price List, Weapons &amp; Items'!$J$11)-1,0)</f>
        <v>Miscellaneous</v>
      </c>
      <c r="AO1318" s="180" t="str">
        <f>IF(I1318=".",".",VLOOKUP($I1318,'Price List, Weapons &amp; Items'!B:J,3,0))</f>
        <v>missile</v>
      </c>
      <c r="AP1318" s="545" t="str">
        <f t="shared" ca="1" si="324"/>
        <v/>
      </c>
      <c r="AQ1318" s="180" t="str">
        <f>VLOOKUP($I1318,'Price List, Weapons &amp; Items'!B:L,COLUMN('Price List, Weapons &amp; Items'!$L$11)-1,0)</f>
        <v>no price, 0 count</v>
      </c>
      <c r="AR1318" s="180">
        <f t="shared" si="308"/>
        <v>1</v>
      </c>
      <c r="AS1318" s="180">
        <f t="shared" si="309"/>
        <v>1</v>
      </c>
      <c r="AT1318" s="180">
        <f t="shared" si="310"/>
        <v>1</v>
      </c>
      <c r="AU1318" s="180" t="str">
        <f t="shared" si="321"/>
        <v>.</v>
      </c>
      <c r="AV1318" s="180" t="str">
        <f t="shared" si="320"/>
        <v>.</v>
      </c>
      <c r="AW1318" s="180">
        <f>IFERROR(VLOOKUP(B1318,'Share, Heavy Weapons to Ukraine'!B:J,COLUMN('Share, Heavy Weapons to Ukraine'!C1328)-1,0),0)</f>
        <v>1</v>
      </c>
      <c r="AX1318" s="180">
        <f>VLOOKUP('Bilateral Assistance, MAIN DATA'!B1318,'Country Summary'!B:F,COLUMN('Country Summary'!C1331)-1,FALSE)</f>
        <v>0</v>
      </c>
      <c r="AY1318" s="180" t="str">
        <f>IF(AND(AD1318=1,D1318="Military",H1318&lt;&gt;"Not given")=TRUE,IF(SUMIFS(P:P,A:A,A1318)&gt;0,ABS((SUMIFS(P:P,A:A,A1318)/VLOOKUP("USD",'Exchange Rates'!B:C,2,0)))/S1318,"."),".")</f>
        <v>.</v>
      </c>
      <c r="AZ1318" s="182" t="str">
        <f>IF(AND(AD1318=1,D1318="Military",H1318&lt;&gt;"Not given")=TRUE,IF(SUMIFS(P:P,A:A,A1318)&gt;0,IF((ABS((SUMIFS(P:P,A:A,A1318)/VLOOKUP("USD",'Exchange Rates'!B:C,2,0)))/S1318)&gt;1,(SUMIFS(P:P,A:A,A1318)-S1318)/S1318,(S1318-SUMIFS(P:P,A:A,A1318))/SUMIFS(P:P,A:A,A1318)),"."),".")</f>
        <v>.</v>
      </c>
      <c r="BA1318" s="182"/>
      <c r="BB1318" s="182"/>
      <c r="BC1318" s="182"/>
      <c r="BD1318" s="182"/>
      <c r="BE1318" s="182"/>
      <c r="BF1318" s="182"/>
      <c r="BG1318" s="182"/>
      <c r="BH1318" s="182"/>
      <c r="BI1318" s="182"/>
      <c r="BJ1318" s="182"/>
      <c r="BK1318" s="182"/>
      <c r="BL1318" s="182"/>
      <c r="BM1318" s="182"/>
      <c r="BN1318" s="182"/>
      <c r="BO1318" s="182"/>
      <c r="BP1318" s="182"/>
      <c r="BQ1318" s="182"/>
      <c r="BR1318" s="182"/>
      <c r="BS1318" s="182"/>
    </row>
    <row r="1319" spans="1:71" s="523" customFormat="1" ht="15.9" customHeight="1" x14ac:dyDescent="0.3">
      <c r="A1319" s="19" t="s">
        <v>3370</v>
      </c>
      <c r="B1319" s="19" t="s">
        <v>3038</v>
      </c>
      <c r="C1319" s="555">
        <v>44888</v>
      </c>
      <c r="D1319" s="19" t="s">
        <v>285</v>
      </c>
      <c r="E1319" s="19" t="s">
        <v>286</v>
      </c>
      <c r="F1319" s="1139" t="s">
        <v>3385</v>
      </c>
      <c r="G1319" s="15" t="s">
        <v>346</v>
      </c>
      <c r="H1319" s="200">
        <v>400000000</v>
      </c>
      <c r="I1319" s="17" t="s">
        <v>458</v>
      </c>
      <c r="J1319" s="113" t="str">
        <f>VLOOKUP($I1319,'Price List, Weapons &amp; Items'!B:C,2,0)</f>
        <v>Light armaments &amp; infantry</v>
      </c>
      <c r="K1319" s="113" t="str">
        <f>IF(I1319=".",I1319,VLOOKUP($I1319,'Price List, Weapons &amp; Items'!B:D,3,0))</f>
        <v>Small Arms and Light Weapons (SALW)</v>
      </c>
      <c r="L1319" s="177">
        <f>VLOOKUP(I1319,'Price List, Weapons &amp; Items'!B:E,4,0)</f>
        <v>0</v>
      </c>
      <c r="M1319" s="542">
        <v>150</v>
      </c>
      <c r="N1319" s="542" t="s">
        <v>270</v>
      </c>
      <c r="O1319" s="543">
        <f>VLOOKUP($I1319,'Price List, Weapons &amp; Items'!B:G,6,0)</f>
        <v>5300</v>
      </c>
      <c r="P1319" s="176">
        <f t="shared" si="326"/>
        <v>795000</v>
      </c>
      <c r="Q1319" s="176" t="str">
        <f t="shared" si="327"/>
        <v>.</v>
      </c>
      <c r="R1319" s="176" t="str">
        <f t="shared" si="325"/>
        <v/>
      </c>
      <c r="S1319" s="176" t="str">
        <f>IF(AND(AD1319=1,R1319&lt;&gt;".")=TRUE,R1319/VLOOKUP(G1319,'Exchange Rates'!B:C,2,0),IF(R1319=".",".",""))</f>
        <v/>
      </c>
      <c r="T1319" s="176" t="str">
        <f>IF(AD1319=1,IF(AF1319="Value is not given at all",".",IF(AF1319="Value is given by the source",S1319,IF(AF1319="Value is calculated with prices",(IF(SUMIFS(Q:Q,A:A,A1319)&gt;0,SUMIFS(Q:Q,A:A,A1319),"."))/VLOOKUP("USD",'Exchange Rates'!B:C,2,0),"Error with coding"))),"")</f>
        <v/>
      </c>
      <c r="U1319" s="15" t="s">
        <v>261</v>
      </c>
      <c r="V1319" s="305" t="s">
        <v>3386</v>
      </c>
      <c r="W1319" s="814" t="s">
        <v>3059</v>
      </c>
      <c r="X1319" s="665" t="s">
        <v>3062</v>
      </c>
      <c r="Y1319" s="671" t="s">
        <v>3125</v>
      </c>
      <c r="Z1319" s="15">
        <v>0</v>
      </c>
      <c r="AA1319" s="180">
        <v>1</v>
      </c>
      <c r="AB1319" s="669" t="s">
        <v>260</v>
      </c>
      <c r="AC1319" s="544"/>
      <c r="AD1319" s="181">
        <v>0</v>
      </c>
      <c r="AE1319" s="181" t="s">
        <v>264</v>
      </c>
      <c r="AF1319" s="181" t="s">
        <v>265</v>
      </c>
      <c r="AG1319" s="181">
        <v>1</v>
      </c>
      <c r="AH1319" s="181">
        <v>11</v>
      </c>
      <c r="AI1319" s="181">
        <v>0</v>
      </c>
      <c r="AJ1319" s="181">
        <f>VLOOKUP($I1319,'Price List, Weapons &amp; Items'!B:F,5,0)</f>
        <v>0</v>
      </c>
      <c r="AK1319" s="181">
        <f t="shared" si="305"/>
        <v>0</v>
      </c>
      <c r="AL1319" s="181">
        <f t="shared" si="306"/>
        <v>0</v>
      </c>
      <c r="AM1319" s="181">
        <f t="shared" si="307"/>
        <v>0</v>
      </c>
      <c r="AN1319" s="180" t="str">
        <f>VLOOKUP($I1319,'Price List, Weapons &amp; Items'!B:L,COLUMN('Price List, Weapons &amp; Items'!$J$11)-1,0)</f>
        <v>Miscellaneous</v>
      </c>
      <c r="AO1319" s="180" t="str">
        <f>IF(I1319=".",".",VLOOKUP($I1319,'Price List, Weapons &amp; Items'!B:J,3,0))</f>
        <v>Small Arms and Light Weapons (SALW)</v>
      </c>
      <c r="AP1319" s="545" t="str">
        <f t="shared" ca="1" si="324"/>
        <v/>
      </c>
      <c r="AQ1319" s="180">
        <f>VLOOKUP($I1319,'Price List, Weapons &amp; Items'!B:L,COLUMN('Price List, Weapons &amp; Items'!$L$11)-1,0)</f>
        <v>1</v>
      </c>
      <c r="AR1319" s="180">
        <f t="shared" si="308"/>
        <v>1</v>
      </c>
      <c r="AS1319" s="180">
        <f t="shared" si="309"/>
        <v>1</v>
      </c>
      <c r="AT1319" s="180">
        <f t="shared" si="310"/>
        <v>1</v>
      </c>
      <c r="AU1319" s="180" t="str">
        <f t="shared" si="321"/>
        <v>.</v>
      </c>
      <c r="AV1319" s="180" t="str">
        <f t="shared" si="320"/>
        <v>.</v>
      </c>
      <c r="AW1319" s="180">
        <f>IFERROR(VLOOKUP(B1319,'Share, Heavy Weapons to Ukraine'!B:J,COLUMN('Share, Heavy Weapons to Ukraine'!C1329)-1,0),0)</f>
        <v>1</v>
      </c>
      <c r="AX1319" s="180">
        <f>VLOOKUP('Bilateral Assistance, MAIN DATA'!B1319,'Country Summary'!B:F,COLUMN('Country Summary'!C1332)-1,FALSE)</f>
        <v>0</v>
      </c>
      <c r="AY1319" s="180" t="str">
        <f>IF(AND(AD1319=1,D1319="Military",H1319&lt;&gt;"Not given")=TRUE,IF(SUMIFS(P:P,A:A,A1319)&gt;0,ABS((SUMIFS(P:P,A:A,A1319)/VLOOKUP("USD",'Exchange Rates'!B:C,2,0)))/S1319,"."),".")</f>
        <v>.</v>
      </c>
      <c r="AZ1319" s="182" t="str">
        <f>IF(AND(AD1319=1,D1319="Military",H1319&lt;&gt;"Not given")=TRUE,IF(SUMIFS(P:P,A:A,A1319)&gt;0,IF((ABS((SUMIFS(P:P,A:A,A1319)/VLOOKUP("USD",'Exchange Rates'!B:C,2,0)))/S1319)&gt;1,(SUMIFS(P:P,A:A,A1319)-S1319)/S1319,(S1319-SUMIFS(P:P,A:A,A1319))/SUMIFS(P:P,A:A,A1319)),"."),".")</f>
        <v>.</v>
      </c>
      <c r="BA1319" s="182"/>
      <c r="BB1319" s="182"/>
      <c r="BC1319" s="182"/>
      <c r="BD1319" s="182"/>
      <c r="BE1319" s="182"/>
      <c r="BF1319" s="182"/>
      <c r="BG1319" s="182"/>
      <c r="BH1319" s="182"/>
      <c r="BI1319" s="182"/>
      <c r="BJ1319" s="182"/>
      <c r="BK1319" s="182"/>
      <c r="BL1319" s="182"/>
      <c r="BM1319" s="182"/>
      <c r="BN1319" s="182"/>
      <c r="BO1319" s="182"/>
      <c r="BP1319" s="182"/>
      <c r="BQ1319" s="182"/>
      <c r="BR1319" s="182"/>
      <c r="BS1319" s="182"/>
    </row>
    <row r="1320" spans="1:71" s="523" customFormat="1" ht="15.9" customHeight="1" x14ac:dyDescent="0.3">
      <c r="A1320" s="19" t="s">
        <v>3370</v>
      </c>
      <c r="B1320" s="19" t="s">
        <v>3038</v>
      </c>
      <c r="C1320" s="555">
        <v>44888</v>
      </c>
      <c r="D1320" s="19" t="s">
        <v>285</v>
      </c>
      <c r="E1320" s="19" t="s">
        <v>286</v>
      </c>
      <c r="F1320" s="1139" t="s">
        <v>3385</v>
      </c>
      <c r="G1320" s="15" t="s">
        <v>346</v>
      </c>
      <c r="H1320" s="200">
        <v>400000000</v>
      </c>
      <c r="I1320" s="17" t="s">
        <v>3172</v>
      </c>
      <c r="J1320" s="113" t="str">
        <f>VLOOKUP($I1320,'Price List, Weapons &amp; Items'!B:C,2,0)</f>
        <v>Ammunition for heavy weapon</v>
      </c>
      <c r="K1320" s="113" t="str">
        <f>IF(I1320=".",I1320,VLOOKUP($I1320,'Price List, Weapons &amp; Items'!B:D,3,0))</f>
        <v>227mm MLRS ammunition</v>
      </c>
      <c r="L1320" s="177">
        <f>VLOOKUP(I1320,'Price List, Weapons &amp; Items'!B:E,4,0)</f>
        <v>0</v>
      </c>
      <c r="M1320" s="542" t="s">
        <v>270</v>
      </c>
      <c r="N1320" s="542" t="s">
        <v>270</v>
      </c>
      <c r="O1320" s="543">
        <f>VLOOKUP($I1320,'Price List, Weapons &amp; Items'!B:G,6,0)</f>
        <v>150000</v>
      </c>
      <c r="P1320" s="176" t="str">
        <f t="shared" si="326"/>
        <v>.</v>
      </c>
      <c r="Q1320" s="176" t="str">
        <f t="shared" si="327"/>
        <v>.</v>
      </c>
      <c r="R1320" s="176" t="str">
        <f t="shared" si="325"/>
        <v/>
      </c>
      <c r="S1320" s="176" t="str">
        <f>IF(AND(AD1320=1,R1320&lt;&gt;".")=TRUE,R1320/VLOOKUP(G1320,'Exchange Rates'!B:C,2,0),IF(R1320=".",".",""))</f>
        <v/>
      </c>
      <c r="T1320" s="176" t="str">
        <f>IF(AD1320=1,IF(AF1320="Value is not given at all",".",IF(AF1320="Value is given by the source",S1320,IF(AF1320="Value is calculated with prices",(IF(SUMIFS(Q:Q,A:A,A1320)&gt;0,SUMIFS(Q:Q,A:A,A1320),"."))/VLOOKUP("USD",'Exchange Rates'!B:C,2,0),"Error with coding"))),"")</f>
        <v/>
      </c>
      <c r="U1320" s="15" t="s">
        <v>261</v>
      </c>
      <c r="V1320" s="305" t="s">
        <v>3386</v>
      </c>
      <c r="W1320" s="814" t="s">
        <v>3059</v>
      </c>
      <c r="X1320" s="665" t="s">
        <v>3062</v>
      </c>
      <c r="Y1320" s="671" t="s">
        <v>3126</v>
      </c>
      <c r="Z1320" s="15">
        <v>0</v>
      </c>
      <c r="AA1320" s="180">
        <v>1</v>
      </c>
      <c r="AB1320" s="669" t="s">
        <v>260</v>
      </c>
      <c r="AC1320" s="544"/>
      <c r="AD1320" s="181">
        <v>0</v>
      </c>
      <c r="AE1320" s="181" t="s">
        <v>264</v>
      </c>
      <c r="AF1320" s="181" t="s">
        <v>265</v>
      </c>
      <c r="AG1320" s="181">
        <v>1</v>
      </c>
      <c r="AH1320" s="181">
        <v>11</v>
      </c>
      <c r="AI1320" s="181">
        <v>0</v>
      </c>
      <c r="AJ1320" s="181">
        <f>VLOOKUP($I1320,'Price List, Weapons &amp; Items'!B:F,5,0)</f>
        <v>1</v>
      </c>
      <c r="AK1320" s="181">
        <f t="shared" si="305"/>
        <v>1</v>
      </c>
      <c r="AL1320" s="181">
        <f t="shared" si="306"/>
        <v>1</v>
      </c>
      <c r="AM1320" s="181">
        <f t="shared" si="307"/>
        <v>1</v>
      </c>
      <c r="AN1320" s="180" t="str">
        <f>VLOOKUP($I1320,'Price List, Weapons &amp; Items'!B:L,COLUMN('Price List, Weapons &amp; Items'!$J$11)-1,0)</f>
        <v>Media reports (incl. social media)</v>
      </c>
      <c r="AO1320" s="180" t="str">
        <f>IF(I1320=".",".",VLOOKUP($I1320,'Price List, Weapons &amp; Items'!B:J,3,0))</f>
        <v>227mm MLRS ammunition</v>
      </c>
      <c r="AP1320" s="545" t="str">
        <f t="shared" ca="1" si="324"/>
        <v/>
      </c>
      <c r="AQ1320" s="180" t="str">
        <f>VLOOKUP($I1320,'Price List, Weapons &amp; Items'!B:L,COLUMN('Price List, Weapons &amp; Items'!$L$11)-1,0)</f>
        <v>no price, 0 count</v>
      </c>
      <c r="AR1320" s="180">
        <f t="shared" si="308"/>
        <v>1</v>
      </c>
      <c r="AS1320" s="180">
        <f t="shared" si="309"/>
        <v>1</v>
      </c>
      <c r="AT1320" s="180">
        <f t="shared" si="310"/>
        <v>1</v>
      </c>
      <c r="AU1320" s="180" t="str">
        <f t="shared" si="321"/>
        <v>.</v>
      </c>
      <c r="AV1320" s="180" t="str">
        <f t="shared" si="320"/>
        <v>.</v>
      </c>
      <c r="AW1320" s="180">
        <f>IFERROR(VLOOKUP(B1320,'Share, Heavy Weapons to Ukraine'!B:J,COLUMN('Share, Heavy Weapons to Ukraine'!C1330)-1,0),0)</f>
        <v>1</v>
      </c>
      <c r="AX1320" s="180">
        <f>VLOOKUP('Bilateral Assistance, MAIN DATA'!B1320,'Country Summary'!B:F,COLUMN('Country Summary'!C1333)-1,FALSE)</f>
        <v>0</v>
      </c>
      <c r="AY1320" s="180" t="str">
        <f>IF(AND(AD1320=1,D1320="Military",H1320&lt;&gt;"Not given")=TRUE,IF(SUMIFS(P:P,A:A,A1320)&gt;0,ABS((SUMIFS(P:P,A:A,A1320)/VLOOKUP("USD",'Exchange Rates'!B:C,2,0)))/S1320,"."),".")</f>
        <v>.</v>
      </c>
      <c r="AZ1320" s="182" t="str">
        <f>IF(AND(AD1320=1,D1320="Military",H1320&lt;&gt;"Not given")=TRUE,IF(SUMIFS(P:P,A:A,A1320)&gt;0,IF((ABS((SUMIFS(P:P,A:A,A1320)/VLOOKUP("USD",'Exchange Rates'!B:C,2,0)))/S1320)&gt;1,(SUMIFS(P:P,A:A,A1320)-S1320)/S1320,(S1320-SUMIFS(P:P,A:A,A1320))/SUMIFS(P:P,A:A,A1320)),"."),".")</f>
        <v>.</v>
      </c>
      <c r="BA1320" s="182"/>
      <c r="BB1320" s="182"/>
      <c r="BC1320" s="182"/>
      <c r="BD1320" s="182"/>
      <c r="BE1320" s="182"/>
      <c r="BF1320" s="182"/>
      <c r="BG1320" s="182"/>
      <c r="BH1320" s="182"/>
      <c r="BI1320" s="182"/>
      <c r="BJ1320" s="182"/>
      <c r="BK1320" s="182"/>
      <c r="BL1320" s="182"/>
      <c r="BM1320" s="182"/>
      <c r="BN1320" s="182"/>
      <c r="BO1320" s="182"/>
      <c r="BP1320" s="182"/>
      <c r="BQ1320" s="182"/>
      <c r="BR1320" s="182"/>
      <c r="BS1320" s="182"/>
    </row>
    <row r="1321" spans="1:71" s="523" customFormat="1" ht="15.9" customHeight="1" x14ac:dyDescent="0.3">
      <c r="A1321" s="19" t="s">
        <v>3370</v>
      </c>
      <c r="B1321" s="19" t="s">
        <v>3038</v>
      </c>
      <c r="C1321" s="555">
        <v>44888</v>
      </c>
      <c r="D1321" s="19" t="s">
        <v>285</v>
      </c>
      <c r="E1321" s="19" t="s">
        <v>286</v>
      </c>
      <c r="F1321" s="1139" t="s">
        <v>3385</v>
      </c>
      <c r="G1321" s="15" t="s">
        <v>346</v>
      </c>
      <c r="H1321" s="200">
        <v>400000000</v>
      </c>
      <c r="I1321" s="17" t="s">
        <v>3376</v>
      </c>
      <c r="J1321" s="113" t="str">
        <f>VLOOKUP($I1321,'Price List, Weapons &amp; Items'!B:C,2,0)</f>
        <v>Ammunition for heavy weapon</v>
      </c>
      <c r="K1321" s="113" t="str">
        <f>IF(I1321=".",I1321,VLOOKUP($I1321,'Price List, Weapons &amp; Items'!B:D,3,0))</f>
        <v>artillery round</v>
      </c>
      <c r="L1321" s="177">
        <f>VLOOKUP(I1321,'Price List, Weapons &amp; Items'!B:E,4,0)</f>
        <v>0</v>
      </c>
      <c r="M1321" s="542">
        <v>200</v>
      </c>
      <c r="N1321" s="542" t="s">
        <v>270</v>
      </c>
      <c r="O1321" s="543">
        <f>VLOOKUP($I1321,'Price List, Weapons &amp; Items'!B:G,6,0)</f>
        <v>112800</v>
      </c>
      <c r="P1321" s="176">
        <f t="shared" si="326"/>
        <v>22560000</v>
      </c>
      <c r="Q1321" s="176" t="str">
        <f t="shared" si="327"/>
        <v>.</v>
      </c>
      <c r="R1321" s="176" t="str">
        <f t="shared" si="325"/>
        <v/>
      </c>
      <c r="S1321" s="176" t="str">
        <f>IF(AND(AD1321=1,R1321&lt;&gt;".")=TRUE,R1321/VLOOKUP(G1321,'Exchange Rates'!B:C,2,0),IF(R1321=".",".",""))</f>
        <v/>
      </c>
      <c r="T1321" s="176" t="str">
        <f>IF(AD1321=1,IF(AF1321="Value is not given at all",".",IF(AF1321="Value is given by the source",S1321,IF(AF1321="Value is calculated with prices",(IF(SUMIFS(Q:Q,A:A,A1321)&gt;0,SUMIFS(Q:Q,A:A,A1321),"."))/VLOOKUP("USD",'Exchange Rates'!B:C,2,0),"Error with coding"))),"")</f>
        <v/>
      </c>
      <c r="U1321" s="15" t="s">
        <v>261</v>
      </c>
      <c r="V1321" s="305" t="s">
        <v>3386</v>
      </c>
      <c r="W1321" s="814" t="s">
        <v>3059</v>
      </c>
      <c r="X1321" s="665" t="s">
        <v>3062</v>
      </c>
      <c r="Y1321" s="671" t="s">
        <v>3128</v>
      </c>
      <c r="Z1321" s="15">
        <v>0</v>
      </c>
      <c r="AA1321" s="180">
        <v>1</v>
      </c>
      <c r="AB1321" s="669" t="s">
        <v>260</v>
      </c>
      <c r="AC1321" s="544"/>
      <c r="AD1321" s="181">
        <v>0</v>
      </c>
      <c r="AE1321" s="181" t="s">
        <v>264</v>
      </c>
      <c r="AF1321" s="181" t="s">
        <v>265</v>
      </c>
      <c r="AG1321" s="181">
        <v>1</v>
      </c>
      <c r="AH1321" s="181">
        <v>11</v>
      </c>
      <c r="AI1321" s="181">
        <v>0</v>
      </c>
      <c r="AJ1321" s="181">
        <f>VLOOKUP($I1321,'Price List, Weapons &amp; Items'!B:F,5,0)</f>
        <v>0</v>
      </c>
      <c r="AK1321" s="181">
        <f t="shared" si="305"/>
        <v>0</v>
      </c>
      <c r="AL1321" s="181">
        <f t="shared" si="306"/>
        <v>0</v>
      </c>
      <c r="AM1321" s="181">
        <f t="shared" si="307"/>
        <v>0</v>
      </c>
      <c r="AN1321" s="180" t="str">
        <f>VLOOKUP($I1321,'Price List, Weapons &amp; Items'!B:L,COLUMN('Price List, Weapons &amp; Items'!$J$11)-1,0)</f>
        <v>Miscellaneous</v>
      </c>
      <c r="AO1321" s="180" t="str">
        <f>IF(I1321=".",".",VLOOKUP($I1321,'Price List, Weapons &amp; Items'!B:J,3,0))</f>
        <v>artillery round</v>
      </c>
      <c r="AP1321" s="545" t="str">
        <f t="shared" ca="1" si="324"/>
        <v/>
      </c>
      <c r="AQ1321" s="180">
        <f>VLOOKUP($I1321,'Price List, Weapons &amp; Items'!B:L,COLUMN('Price List, Weapons &amp; Items'!$L$11)-1,0)</f>
        <v>2</v>
      </c>
      <c r="AR1321" s="180">
        <f t="shared" si="308"/>
        <v>1</v>
      </c>
      <c r="AS1321" s="180">
        <f t="shared" si="309"/>
        <v>1</v>
      </c>
      <c r="AT1321" s="180">
        <f t="shared" si="310"/>
        <v>1</v>
      </c>
      <c r="AU1321" s="180" t="str">
        <f t="shared" si="321"/>
        <v>.</v>
      </c>
      <c r="AV1321" s="180" t="str">
        <f t="shared" si="320"/>
        <v>.</v>
      </c>
      <c r="AW1321" s="180">
        <f>IFERROR(VLOOKUP(B1321,'Share, Heavy Weapons to Ukraine'!B:J,COLUMN('Share, Heavy Weapons to Ukraine'!C1331)-1,0),0)</f>
        <v>1</v>
      </c>
      <c r="AX1321" s="180">
        <f>VLOOKUP('Bilateral Assistance, MAIN DATA'!B1321,'Country Summary'!B:F,COLUMN('Country Summary'!C1334)-1,FALSE)</f>
        <v>0</v>
      </c>
      <c r="AY1321" s="180" t="str">
        <f>IF(AND(AD1321=1,D1321="Military",H1321&lt;&gt;"Not given")=TRUE,IF(SUMIFS(P:P,A:A,A1321)&gt;0,ABS((SUMIFS(P:P,A:A,A1321)/VLOOKUP("USD",'Exchange Rates'!B:C,2,0)))/S1321,"."),".")</f>
        <v>.</v>
      </c>
      <c r="AZ1321" s="182" t="str">
        <f>IF(AND(AD1321=1,D1321="Military",H1321&lt;&gt;"Not given")=TRUE,IF(SUMIFS(P:P,A:A,A1321)&gt;0,IF((ABS((SUMIFS(P:P,A:A,A1321)/VLOOKUP("USD",'Exchange Rates'!B:C,2,0)))/S1321)&gt;1,(SUMIFS(P:P,A:A,A1321)-S1321)/S1321,(S1321-SUMIFS(P:P,A:A,A1321))/SUMIFS(P:P,A:A,A1321)),"."),".")</f>
        <v>.</v>
      </c>
      <c r="BA1321" s="182"/>
      <c r="BB1321" s="182"/>
      <c r="BC1321" s="182"/>
      <c r="BD1321" s="182"/>
      <c r="BE1321" s="182"/>
      <c r="BF1321" s="182"/>
      <c r="BG1321" s="182"/>
      <c r="BH1321" s="182"/>
      <c r="BI1321" s="182"/>
      <c r="BJ1321" s="182"/>
      <c r="BK1321" s="182"/>
      <c r="BL1321" s="182"/>
      <c r="BM1321" s="182"/>
      <c r="BN1321" s="182"/>
      <c r="BO1321" s="182"/>
      <c r="BP1321" s="182"/>
      <c r="BQ1321" s="182"/>
      <c r="BR1321" s="182"/>
      <c r="BS1321" s="182"/>
    </row>
    <row r="1322" spans="1:71" s="523" customFormat="1" ht="15.9" customHeight="1" x14ac:dyDescent="0.3">
      <c r="A1322" s="19" t="s">
        <v>3370</v>
      </c>
      <c r="B1322" s="19" t="s">
        <v>3038</v>
      </c>
      <c r="C1322" s="555">
        <v>44888</v>
      </c>
      <c r="D1322" s="19" t="s">
        <v>285</v>
      </c>
      <c r="E1322" s="19" t="s">
        <v>286</v>
      </c>
      <c r="F1322" s="1139" t="s">
        <v>3385</v>
      </c>
      <c r="G1322" s="15" t="s">
        <v>346</v>
      </c>
      <c r="H1322" s="200">
        <v>400000000</v>
      </c>
      <c r="I1322" s="17" t="s">
        <v>3220</v>
      </c>
      <c r="J1322" s="113" t="str">
        <f>VLOOKUP($I1322,'Price List, Weapons &amp; Items'!B:C,2,0)</f>
        <v>Ammunition for light infantry</v>
      </c>
      <c r="K1322" s="113" t="str">
        <f>IF(I1322=".",I1322,VLOOKUP($I1322,'Price List, Weapons &amp; Items'!B:D,3,0))</f>
        <v>Mortar ammunition</v>
      </c>
      <c r="L1322" s="177">
        <f>VLOOKUP(I1322,'Price List, Weapons &amp; Items'!B:E,4,0)</f>
        <v>0</v>
      </c>
      <c r="M1322" s="542">
        <v>10000</v>
      </c>
      <c r="N1322" s="542" t="s">
        <v>270</v>
      </c>
      <c r="O1322" s="543">
        <f>VLOOKUP($I1322,'Price List, Weapons &amp; Items'!B:G,6,0)</f>
        <v>109.89</v>
      </c>
      <c r="P1322" s="176">
        <f t="shared" si="326"/>
        <v>1098900</v>
      </c>
      <c r="Q1322" s="176" t="str">
        <f t="shared" si="327"/>
        <v>.</v>
      </c>
      <c r="R1322" s="176" t="str">
        <f t="shared" si="325"/>
        <v/>
      </c>
      <c r="S1322" s="176" t="str">
        <f>IF(AND(AD1322=1,R1322&lt;&gt;".")=TRUE,R1322/VLOOKUP(G1322,'Exchange Rates'!B:C,2,0),IF(R1322=".",".",""))</f>
        <v/>
      </c>
      <c r="T1322" s="176" t="str">
        <f>IF(AD1322=1,IF(AF1322="Value is not given at all",".",IF(AF1322="Value is given by the source",S1322,IF(AF1322="Value is calculated with prices",(IF(SUMIFS(Q:Q,A:A,A1322)&gt;0,SUMIFS(Q:Q,A:A,A1322),"."))/VLOOKUP("USD",'Exchange Rates'!B:C,2,0),"Error with coding"))),"")</f>
        <v/>
      </c>
      <c r="U1322" s="15" t="s">
        <v>261</v>
      </c>
      <c r="V1322" s="305" t="s">
        <v>3386</v>
      </c>
      <c r="W1322" s="814" t="s">
        <v>3059</v>
      </c>
      <c r="X1322" s="665" t="s">
        <v>3062</v>
      </c>
      <c r="Y1322" s="671" t="s">
        <v>3130</v>
      </c>
      <c r="Z1322" s="15">
        <v>0</v>
      </c>
      <c r="AA1322" s="180">
        <v>1</v>
      </c>
      <c r="AB1322" s="669" t="s">
        <v>260</v>
      </c>
      <c r="AC1322" s="544"/>
      <c r="AD1322" s="181">
        <v>0</v>
      </c>
      <c r="AE1322" s="181" t="s">
        <v>264</v>
      </c>
      <c r="AF1322" s="181" t="s">
        <v>265</v>
      </c>
      <c r="AG1322" s="181">
        <v>1</v>
      </c>
      <c r="AH1322" s="181">
        <v>11</v>
      </c>
      <c r="AI1322" s="181">
        <v>0</v>
      </c>
      <c r="AJ1322" s="181">
        <f>VLOOKUP($I1322,'Price List, Weapons &amp; Items'!B:F,5,0)</f>
        <v>0</v>
      </c>
      <c r="AK1322" s="181">
        <f t="shared" si="305"/>
        <v>0</v>
      </c>
      <c r="AL1322" s="181">
        <f t="shared" si="306"/>
        <v>0</v>
      </c>
      <c r="AM1322" s="181">
        <f t="shared" si="307"/>
        <v>1</v>
      </c>
      <c r="AN1322" s="180" t="str">
        <f>VLOOKUP($I1322,'Price List, Weapons &amp; Items'!B:L,COLUMN('Price List, Weapons &amp; Items'!$J$11)-1,0)</f>
        <v>Government information</v>
      </c>
      <c r="AO1322" s="180" t="str">
        <f>IF(I1322=".",".",VLOOKUP($I1322,'Price List, Weapons &amp; Items'!B:J,3,0))</f>
        <v>Mortar ammunition</v>
      </c>
      <c r="AP1322" s="545" t="str">
        <f t="shared" ca="1" si="324"/>
        <v/>
      </c>
      <c r="AQ1322" s="180">
        <f>VLOOKUP($I1322,'Price List, Weapons &amp; Items'!B:L,COLUMN('Price List, Weapons &amp; Items'!$L$11)-1,0)</f>
        <v>2</v>
      </c>
      <c r="AR1322" s="180">
        <f t="shared" si="308"/>
        <v>1</v>
      </c>
      <c r="AS1322" s="180">
        <f t="shared" si="309"/>
        <v>1</v>
      </c>
      <c r="AT1322" s="180">
        <f t="shared" si="310"/>
        <v>1</v>
      </c>
      <c r="AU1322" s="180" t="str">
        <f t="shared" si="321"/>
        <v>.</v>
      </c>
      <c r="AV1322" s="180" t="str">
        <f t="shared" si="320"/>
        <v>.</v>
      </c>
      <c r="AW1322" s="180">
        <f>IFERROR(VLOOKUP(B1322,'Share, Heavy Weapons to Ukraine'!B:J,COLUMN('Share, Heavy Weapons to Ukraine'!C1332)-1,0),0)</f>
        <v>1</v>
      </c>
      <c r="AX1322" s="180">
        <f>VLOOKUP('Bilateral Assistance, MAIN DATA'!B1322,'Country Summary'!B:F,COLUMN('Country Summary'!C1335)-1,FALSE)</f>
        <v>0</v>
      </c>
      <c r="AY1322" s="180" t="str">
        <f>IF(AND(AD1322=1,D1322="Military",H1322&lt;&gt;"Not given")=TRUE,IF(SUMIFS(P:P,A:A,A1322)&gt;0,ABS((SUMIFS(P:P,A:A,A1322)/VLOOKUP("USD",'Exchange Rates'!B:C,2,0)))/S1322,"."),".")</f>
        <v>.</v>
      </c>
      <c r="AZ1322" s="182" t="str">
        <f>IF(AND(AD1322=1,D1322="Military",H1322&lt;&gt;"Not given")=TRUE,IF(SUMIFS(P:P,A:A,A1322)&gt;0,IF((ABS((SUMIFS(P:P,A:A,A1322)/VLOOKUP("USD",'Exchange Rates'!B:C,2,0)))/S1322)&gt;1,(SUMIFS(P:P,A:A,A1322)-S1322)/S1322,(S1322-SUMIFS(P:P,A:A,A1322))/SUMIFS(P:P,A:A,A1322)),"."),".")</f>
        <v>.</v>
      </c>
      <c r="BA1322" s="182"/>
      <c r="BB1322" s="182"/>
      <c r="BC1322" s="182"/>
      <c r="BD1322" s="182"/>
      <c r="BE1322" s="182"/>
      <c r="BF1322" s="182"/>
      <c r="BG1322" s="182"/>
      <c r="BH1322" s="182"/>
      <c r="BI1322" s="182"/>
      <c r="BJ1322" s="182"/>
      <c r="BK1322" s="182"/>
      <c r="BL1322" s="182"/>
      <c r="BM1322" s="182"/>
      <c r="BN1322" s="182"/>
      <c r="BO1322" s="182"/>
      <c r="BP1322" s="182"/>
      <c r="BQ1322" s="182"/>
      <c r="BR1322" s="182"/>
      <c r="BS1322" s="182"/>
    </row>
    <row r="1323" spans="1:71" s="523" customFormat="1" ht="15.9" customHeight="1" x14ac:dyDescent="0.3">
      <c r="A1323" s="19" t="s">
        <v>3370</v>
      </c>
      <c r="B1323" s="19" t="s">
        <v>3038</v>
      </c>
      <c r="C1323" s="555">
        <v>44888</v>
      </c>
      <c r="D1323" s="19" t="s">
        <v>285</v>
      </c>
      <c r="E1323" s="19" t="s">
        <v>286</v>
      </c>
      <c r="F1323" s="1139" t="s">
        <v>3385</v>
      </c>
      <c r="G1323" s="15" t="s">
        <v>346</v>
      </c>
      <c r="H1323" s="200">
        <v>400000000</v>
      </c>
      <c r="I1323" s="17" t="s">
        <v>3243</v>
      </c>
      <c r="J1323" s="113" t="str">
        <f>VLOOKUP($I1323,'Price List, Weapons &amp; Items'!B:C,2,0)</f>
        <v>Ammunition for heavy weapon</v>
      </c>
      <c r="K1323" s="113" t="str">
        <f>IF(I1323=".",I1323,VLOOKUP($I1323,'Price List, Weapons &amp; Items'!B:D,3,0))</f>
        <v>missile</v>
      </c>
      <c r="L1323" s="177">
        <f>VLOOKUP(I1323,'Price List, Weapons &amp; Items'!B:E,4,0)</f>
        <v>0</v>
      </c>
      <c r="M1323" s="542" t="s">
        <v>270</v>
      </c>
      <c r="N1323" s="542" t="s">
        <v>270</v>
      </c>
      <c r="O1323" s="543">
        <f>VLOOKUP($I1323,'Price List, Weapons &amp; Items'!B:G,6,0)</f>
        <v>557000</v>
      </c>
      <c r="P1323" s="176" t="str">
        <f t="shared" si="326"/>
        <v>.</v>
      </c>
      <c r="Q1323" s="176" t="str">
        <f t="shared" si="327"/>
        <v>.</v>
      </c>
      <c r="R1323" s="176" t="str">
        <f t="shared" si="325"/>
        <v/>
      </c>
      <c r="S1323" s="176" t="str">
        <f>IF(AND(AD1323=1,R1323&lt;&gt;".")=TRUE,R1323/VLOOKUP(G1323,'Exchange Rates'!B:C,2,0),IF(R1323=".",".",""))</f>
        <v/>
      </c>
      <c r="T1323" s="176" t="str">
        <f>IF(AD1323=1,IF(AF1323="Value is not given at all",".",IF(AF1323="Value is given by the source",S1323,IF(AF1323="Value is calculated with prices",(IF(SUMIFS(Q:Q,A:A,A1323)&gt;0,SUMIFS(Q:Q,A:A,A1323),"."))/VLOOKUP("USD",'Exchange Rates'!B:C,2,0),"Error with coding"))),"")</f>
        <v/>
      </c>
      <c r="U1323" s="15" t="s">
        <v>261</v>
      </c>
      <c r="V1323" s="305" t="s">
        <v>3386</v>
      </c>
      <c r="W1323" s="814" t="s">
        <v>3059</v>
      </c>
      <c r="X1323" s="665" t="s">
        <v>3062</v>
      </c>
      <c r="Y1323" s="671" t="s">
        <v>3132</v>
      </c>
      <c r="Z1323" s="15">
        <v>0</v>
      </c>
      <c r="AA1323" s="180">
        <v>1</v>
      </c>
      <c r="AB1323" s="669" t="s">
        <v>260</v>
      </c>
      <c r="AC1323" s="544"/>
      <c r="AD1323" s="181">
        <v>0</v>
      </c>
      <c r="AE1323" s="181" t="s">
        <v>264</v>
      </c>
      <c r="AF1323" s="181" t="s">
        <v>265</v>
      </c>
      <c r="AG1323" s="181">
        <v>1</v>
      </c>
      <c r="AH1323" s="181">
        <v>11</v>
      </c>
      <c r="AI1323" s="181">
        <v>0</v>
      </c>
      <c r="AJ1323" s="181">
        <f>VLOOKUP($I1323,'Price List, Weapons &amp; Items'!B:F,5,0)</f>
        <v>0</v>
      </c>
      <c r="AK1323" s="181">
        <f t="shared" si="305"/>
        <v>0</v>
      </c>
      <c r="AL1323" s="181">
        <f t="shared" si="306"/>
        <v>0</v>
      </c>
      <c r="AM1323" s="181">
        <f t="shared" si="307"/>
        <v>0</v>
      </c>
      <c r="AN1323" s="180" t="str">
        <f>VLOOKUP($I1323,'Price List, Weapons &amp; Items'!B:L,COLUMN('Price List, Weapons &amp; Items'!$J$11)-1,0)</f>
        <v>Miscellaneous</v>
      </c>
      <c r="AO1323" s="180" t="str">
        <f>IF(I1323=".",".",VLOOKUP($I1323,'Price List, Weapons &amp; Items'!B:J,3,0))</f>
        <v>missile</v>
      </c>
      <c r="AP1323" s="545" t="str">
        <f t="shared" ca="1" si="324"/>
        <v/>
      </c>
      <c r="AQ1323" s="180" t="str">
        <f>VLOOKUP($I1323,'Price List, Weapons &amp; Items'!B:L,COLUMN('Price List, Weapons &amp; Items'!$L$11)-1,0)</f>
        <v>no price, 0 count</v>
      </c>
      <c r="AR1323" s="180">
        <f t="shared" si="308"/>
        <v>1</v>
      </c>
      <c r="AS1323" s="180">
        <f t="shared" si="309"/>
        <v>1</v>
      </c>
      <c r="AT1323" s="180">
        <f t="shared" si="310"/>
        <v>1</v>
      </c>
      <c r="AU1323" s="180" t="str">
        <f t="shared" si="321"/>
        <v>.</v>
      </c>
      <c r="AV1323" s="180" t="str">
        <f t="shared" si="320"/>
        <v>.</v>
      </c>
      <c r="AW1323" s="180">
        <f>IFERROR(VLOOKUP(B1323,'Share, Heavy Weapons to Ukraine'!B:J,COLUMN('Share, Heavy Weapons to Ukraine'!C1333)-1,0),0)</f>
        <v>1</v>
      </c>
      <c r="AX1323" s="180">
        <f>VLOOKUP('Bilateral Assistance, MAIN DATA'!B1323,'Country Summary'!B:F,COLUMN('Country Summary'!C1336)-1,FALSE)</f>
        <v>0</v>
      </c>
      <c r="AY1323" s="180" t="str">
        <f>IF(AND(AD1323=1,D1323="Military",H1323&lt;&gt;"Not given")=TRUE,IF(SUMIFS(P:P,A:A,A1323)&gt;0,ABS((SUMIFS(P:P,A:A,A1323)/VLOOKUP("USD",'Exchange Rates'!B:C,2,0)))/S1323,"."),".")</f>
        <v>.</v>
      </c>
      <c r="AZ1323" s="182" t="str">
        <f>IF(AND(AD1323=1,D1323="Military",H1323&lt;&gt;"Not given")=TRUE,IF(SUMIFS(P:P,A:A,A1323)&gt;0,IF((ABS((SUMIFS(P:P,A:A,A1323)/VLOOKUP("USD",'Exchange Rates'!B:C,2,0)))/S1323)&gt;1,(SUMIFS(P:P,A:A,A1323)-S1323)/S1323,(S1323-SUMIFS(P:P,A:A,A1323))/SUMIFS(P:P,A:A,A1323)),"."),".")</f>
        <v>.</v>
      </c>
      <c r="BA1323" s="182"/>
      <c r="BB1323" s="182"/>
      <c r="BC1323" s="182"/>
      <c r="BD1323" s="182"/>
      <c r="BE1323" s="182"/>
      <c r="BF1323" s="182"/>
      <c r="BG1323" s="182"/>
      <c r="BH1323" s="182"/>
      <c r="BI1323" s="182"/>
      <c r="BJ1323" s="182"/>
      <c r="BK1323" s="182"/>
      <c r="BL1323" s="182"/>
      <c r="BM1323" s="182"/>
      <c r="BN1323" s="182"/>
      <c r="BO1323" s="182"/>
      <c r="BP1323" s="182"/>
      <c r="BQ1323" s="182"/>
      <c r="BR1323" s="182"/>
      <c r="BS1323" s="182"/>
    </row>
    <row r="1324" spans="1:71" s="523" customFormat="1" ht="15.9" customHeight="1" x14ac:dyDescent="0.3">
      <c r="A1324" s="19" t="s">
        <v>3370</v>
      </c>
      <c r="B1324" s="19" t="s">
        <v>3038</v>
      </c>
      <c r="C1324" s="555">
        <v>44888</v>
      </c>
      <c r="D1324" s="19" t="s">
        <v>285</v>
      </c>
      <c r="E1324" s="19" t="s">
        <v>286</v>
      </c>
      <c r="F1324" s="1139" t="s">
        <v>3385</v>
      </c>
      <c r="G1324" s="15" t="s">
        <v>346</v>
      </c>
      <c r="H1324" s="200">
        <v>400000000</v>
      </c>
      <c r="I1324" s="17" t="s">
        <v>3269</v>
      </c>
      <c r="J1324" s="113" t="str">
        <f>VLOOKUP($I1324,'Price List, Weapons &amp; Items'!B:C,2,0)</f>
        <v>Heavy weapon</v>
      </c>
      <c r="K1324" s="113" t="str">
        <f>IF(I1324=".",I1324,VLOOKUP($I1324,'Price List, Weapons &amp; Items'!B:D,3,0))</f>
        <v>Armoured Utility Vehicle (AUV)</v>
      </c>
      <c r="L1324" s="177">
        <f>VLOOKUP(I1324,'Price List, Weapons &amp; Items'!B:E,4,0)</f>
        <v>0</v>
      </c>
      <c r="M1324" s="542">
        <v>150</v>
      </c>
      <c r="N1324" s="542" t="s">
        <v>270</v>
      </c>
      <c r="O1324" s="543">
        <f>VLOOKUP($I1324,'Price List, Weapons &amp; Items'!B:G,6,0)</f>
        <v>254717</v>
      </c>
      <c r="P1324" s="176">
        <f t="shared" si="326"/>
        <v>38207550</v>
      </c>
      <c r="Q1324" s="176" t="str">
        <f t="shared" si="327"/>
        <v>.</v>
      </c>
      <c r="R1324" s="176" t="str">
        <f t="shared" si="325"/>
        <v/>
      </c>
      <c r="S1324" s="176" t="str">
        <f>IF(AND(AD1324=1,R1324&lt;&gt;".")=TRUE,R1324/VLOOKUP(G1324,'Exchange Rates'!B:C,2,0),IF(R1324=".",".",""))</f>
        <v/>
      </c>
      <c r="T1324" s="176" t="str">
        <f>IF(AD1324=1,IF(AF1324="Value is not given at all",".",IF(AF1324="Value is given by the source",S1324,IF(AF1324="Value is calculated with prices",(IF(SUMIFS(Q:Q,A:A,A1324)&gt;0,SUMIFS(Q:Q,A:A,A1324),"."))/VLOOKUP("USD",'Exchange Rates'!B:C,2,0),"Error with coding"))),"")</f>
        <v/>
      </c>
      <c r="U1324" s="15" t="s">
        <v>261</v>
      </c>
      <c r="V1324" s="305" t="s">
        <v>3386</v>
      </c>
      <c r="W1324" s="814" t="s">
        <v>3059</v>
      </c>
      <c r="X1324" s="665" t="s">
        <v>3062</v>
      </c>
      <c r="Y1324" s="671" t="s">
        <v>3135</v>
      </c>
      <c r="Z1324" s="15">
        <v>0</v>
      </c>
      <c r="AA1324" s="180">
        <v>1</v>
      </c>
      <c r="AB1324" s="669" t="s">
        <v>260</v>
      </c>
      <c r="AC1324" s="544"/>
      <c r="AD1324" s="181">
        <v>0</v>
      </c>
      <c r="AE1324" s="181" t="s">
        <v>264</v>
      </c>
      <c r="AF1324" s="181" t="s">
        <v>265</v>
      </c>
      <c r="AG1324" s="181">
        <v>1</v>
      </c>
      <c r="AH1324" s="181">
        <v>11</v>
      </c>
      <c r="AI1324" s="181">
        <v>0</v>
      </c>
      <c r="AJ1324" s="181">
        <f>VLOOKUP($I1324,'Price List, Weapons &amp; Items'!B:F,5,0)</f>
        <v>1</v>
      </c>
      <c r="AK1324" s="181">
        <f t="shared" si="305"/>
        <v>0</v>
      </c>
      <c r="AL1324" s="181">
        <f t="shared" si="306"/>
        <v>1</v>
      </c>
      <c r="AM1324" s="181">
        <f t="shared" si="307"/>
        <v>0</v>
      </c>
      <c r="AN1324" s="180" t="str">
        <f>VLOOKUP($I1324,'Price List, Weapons &amp; Items'!B:L,COLUMN('Price List, Weapons &amp; Items'!$J$11)-1,0)</f>
        <v>Military media (incl. websites)</v>
      </c>
      <c r="AO1324" s="180" t="str">
        <f>IF(I1324=".",".",VLOOKUP($I1324,'Price List, Weapons &amp; Items'!B:J,3,0))</f>
        <v>Armoured Utility Vehicle (AUV)</v>
      </c>
      <c r="AP1324" s="545" t="str">
        <f t="shared" ca="1" si="324"/>
        <v/>
      </c>
      <c r="AQ1324" s="180">
        <f>VLOOKUP($I1324,'Price List, Weapons &amp; Items'!B:L,COLUMN('Price List, Weapons &amp; Items'!$L$11)-1,0)</f>
        <v>2</v>
      </c>
      <c r="AR1324" s="180">
        <f t="shared" si="308"/>
        <v>1</v>
      </c>
      <c r="AS1324" s="180">
        <f t="shared" si="309"/>
        <v>1</v>
      </c>
      <c r="AT1324" s="180">
        <f t="shared" si="310"/>
        <v>1</v>
      </c>
      <c r="AU1324" s="180" t="str">
        <f t="shared" si="321"/>
        <v>.</v>
      </c>
      <c r="AV1324" s="180" t="str">
        <f t="shared" si="320"/>
        <v>.</v>
      </c>
      <c r="AW1324" s="180">
        <f>IFERROR(VLOOKUP(B1324,'Share, Heavy Weapons to Ukraine'!B:J,COLUMN('Share, Heavy Weapons to Ukraine'!C1334)-1,0),0)</f>
        <v>1</v>
      </c>
      <c r="AX1324" s="180">
        <f>VLOOKUP('Bilateral Assistance, MAIN DATA'!B1324,'Country Summary'!B:F,COLUMN('Country Summary'!C1337)-1,FALSE)</f>
        <v>0</v>
      </c>
      <c r="AY1324" s="180" t="str">
        <f>IF(AND(AD1324=1,D1324="Military",H1324&lt;&gt;"Not given")=TRUE,IF(SUMIFS(P:P,A:A,A1324)&gt;0,ABS((SUMIFS(P:P,A:A,A1324)/VLOOKUP("USD",'Exchange Rates'!B:C,2,0)))/S1324,"."),".")</f>
        <v>.</v>
      </c>
      <c r="AZ1324" s="182" t="str">
        <f>IF(AND(AD1324=1,D1324="Military",H1324&lt;&gt;"Not given")=TRUE,IF(SUMIFS(P:P,A:A,A1324)&gt;0,IF((ABS((SUMIFS(P:P,A:A,A1324)/VLOOKUP("USD",'Exchange Rates'!B:C,2,0)))/S1324)&gt;1,(SUMIFS(P:P,A:A,A1324)-S1324)/S1324,(S1324-SUMIFS(P:P,A:A,A1324))/SUMIFS(P:P,A:A,A1324)),"."),".")</f>
        <v>.</v>
      </c>
      <c r="BA1324" s="182"/>
      <c r="BB1324" s="182"/>
      <c r="BC1324" s="182"/>
      <c r="BD1324" s="182"/>
      <c r="BE1324" s="182"/>
      <c r="BF1324" s="182"/>
      <c r="BG1324" s="182"/>
      <c r="BH1324" s="182"/>
      <c r="BI1324" s="182"/>
      <c r="BJ1324" s="182"/>
      <c r="BK1324" s="182"/>
      <c r="BL1324" s="182"/>
      <c r="BM1324" s="182"/>
      <c r="BN1324" s="182"/>
      <c r="BO1324" s="182"/>
      <c r="BP1324" s="182"/>
      <c r="BQ1324" s="182"/>
      <c r="BR1324" s="182"/>
      <c r="BS1324" s="182"/>
    </row>
    <row r="1325" spans="1:71" s="523" customFormat="1" ht="15.9" customHeight="1" x14ac:dyDescent="0.3">
      <c r="A1325" s="19" t="s">
        <v>3370</v>
      </c>
      <c r="B1325" s="19" t="s">
        <v>3038</v>
      </c>
      <c r="C1325" s="555">
        <v>44888</v>
      </c>
      <c r="D1325" s="19" t="s">
        <v>285</v>
      </c>
      <c r="E1325" s="19" t="s">
        <v>286</v>
      </c>
      <c r="F1325" s="1139" t="s">
        <v>3385</v>
      </c>
      <c r="G1325" s="15" t="s">
        <v>346</v>
      </c>
      <c r="H1325" s="200">
        <v>400000000</v>
      </c>
      <c r="I1325" s="182" t="s">
        <v>3164</v>
      </c>
      <c r="J1325" s="113" t="str">
        <f>VLOOKUP($I1325,'Price List, Weapons &amp; Items'!B:C,2,0)</f>
        <v>Military equipment</v>
      </c>
      <c r="K1325" s="113" t="str">
        <f>IF(I1325=".",I1325,VLOOKUP($I1325,'Price List, Weapons &amp; Items'!B:D,3,0))</f>
        <v>Military equipment</v>
      </c>
      <c r="L1325" s="177">
        <f>VLOOKUP(I1325,'Price List, Weapons &amp; Items'!B:E,4,0)</f>
        <v>0</v>
      </c>
      <c r="M1325" s="542">
        <v>100</v>
      </c>
      <c r="N1325" s="542" t="s">
        <v>270</v>
      </c>
      <c r="O1325" s="543">
        <f>VLOOKUP($I1325,'Price List, Weapons &amp; Items'!B:G,6,0)</f>
        <v>350000</v>
      </c>
      <c r="P1325" s="176">
        <f t="shared" si="326"/>
        <v>35000000</v>
      </c>
      <c r="Q1325" s="176" t="str">
        <f t="shared" si="327"/>
        <v>.</v>
      </c>
      <c r="R1325" s="176" t="str">
        <f t="shared" si="325"/>
        <v/>
      </c>
      <c r="S1325" s="176" t="str">
        <f>IF(AND(AD1325=1,R1325&lt;&gt;".")=TRUE,R1325/VLOOKUP(G1325,'Exchange Rates'!B:C,2,0),IF(R1325=".",".",""))</f>
        <v/>
      </c>
      <c r="T1325" s="176" t="str">
        <f>IF(AD1325=1,IF(AF1325="Value is not given at all",".",IF(AF1325="Value is given by the source",S1325,IF(AF1325="Value is calculated with prices",(IF(SUMIFS(Q:Q,A:A,A1325)&gt;0,SUMIFS(Q:Q,A:A,A1325),"."))/VLOOKUP("USD",'Exchange Rates'!B:C,2,0),"Error with coding"))),"")</f>
        <v/>
      </c>
      <c r="U1325" s="15" t="s">
        <v>261</v>
      </c>
      <c r="V1325" s="305" t="s">
        <v>3386</v>
      </c>
      <c r="W1325" s="814" t="s">
        <v>3059</v>
      </c>
      <c r="X1325" s="665" t="s">
        <v>3062</v>
      </c>
      <c r="Y1325" s="671" t="s">
        <v>3136</v>
      </c>
      <c r="Z1325" s="15">
        <v>0</v>
      </c>
      <c r="AA1325" s="180">
        <v>1</v>
      </c>
      <c r="AB1325" s="669" t="s">
        <v>260</v>
      </c>
      <c r="AC1325" s="544"/>
      <c r="AD1325" s="181">
        <v>0</v>
      </c>
      <c r="AE1325" s="181" t="s">
        <v>264</v>
      </c>
      <c r="AF1325" s="181" t="s">
        <v>265</v>
      </c>
      <c r="AG1325" s="181">
        <v>1</v>
      </c>
      <c r="AH1325" s="181">
        <v>11</v>
      </c>
      <c r="AI1325" s="181">
        <v>0</v>
      </c>
      <c r="AJ1325" s="181">
        <f>VLOOKUP($I1325,'Price List, Weapons &amp; Items'!B:F,5,0)</f>
        <v>0</v>
      </c>
      <c r="AK1325" s="181">
        <f t="shared" si="305"/>
        <v>0</v>
      </c>
      <c r="AL1325" s="181">
        <f t="shared" si="306"/>
        <v>0</v>
      </c>
      <c r="AM1325" s="181">
        <f t="shared" si="307"/>
        <v>0</v>
      </c>
      <c r="AN1325" s="180" t="str">
        <f>VLOOKUP($I1325,'Price List, Weapons &amp; Items'!B:L,COLUMN('Price List, Weapons &amp; Items'!$J$11)-1,0)</f>
        <v>Media reports (incl. social media)</v>
      </c>
      <c r="AO1325" s="180" t="str">
        <f>IF(I1325=".",".",VLOOKUP($I1325,'Price List, Weapons &amp; Items'!B:J,3,0))</f>
        <v>Military equipment</v>
      </c>
      <c r="AP1325" s="545" t="str">
        <f t="shared" ca="1" si="324"/>
        <v/>
      </c>
      <c r="AQ1325" s="180">
        <f>VLOOKUP($I1325,'Price List, Weapons &amp; Items'!B:L,COLUMN('Price List, Weapons &amp; Items'!$L$11)-1,0)</f>
        <v>2</v>
      </c>
      <c r="AR1325" s="180">
        <f t="shared" si="308"/>
        <v>1</v>
      </c>
      <c r="AS1325" s="180">
        <f t="shared" si="309"/>
        <v>1</v>
      </c>
      <c r="AT1325" s="180">
        <f t="shared" si="310"/>
        <v>1</v>
      </c>
      <c r="AU1325" s="180" t="str">
        <f t="shared" si="321"/>
        <v>.</v>
      </c>
      <c r="AV1325" s="180" t="str">
        <f t="shared" si="320"/>
        <v>.</v>
      </c>
      <c r="AW1325" s="180">
        <f>IFERROR(VLOOKUP(B1325,'Share, Heavy Weapons to Ukraine'!B:J,COLUMN('Share, Heavy Weapons to Ukraine'!C1335)-1,0),0)</f>
        <v>1</v>
      </c>
      <c r="AX1325" s="180">
        <f>VLOOKUP('Bilateral Assistance, MAIN DATA'!B1325,'Country Summary'!B:F,COLUMN('Country Summary'!C1338)-1,FALSE)</f>
        <v>0</v>
      </c>
      <c r="AY1325" s="180" t="str">
        <f>IF(AND(AD1325=1,D1325="Military",H1325&lt;&gt;"Not given")=TRUE,IF(SUMIFS(P:P,A:A,A1325)&gt;0,ABS((SUMIFS(P:P,A:A,A1325)/VLOOKUP("USD",'Exchange Rates'!B:C,2,0)))/S1325,"."),".")</f>
        <v>.</v>
      </c>
      <c r="AZ1325" s="182" t="str">
        <f>IF(AND(AD1325=1,D1325="Military",H1325&lt;&gt;"Not given")=TRUE,IF(SUMIFS(P:P,A:A,A1325)&gt;0,IF((ABS((SUMIFS(P:P,A:A,A1325)/VLOOKUP("USD",'Exchange Rates'!B:C,2,0)))/S1325)&gt;1,(SUMIFS(P:P,A:A,A1325)-S1325)/S1325,(S1325-SUMIFS(P:P,A:A,A1325))/SUMIFS(P:P,A:A,A1325)),"."),".")</f>
        <v>.</v>
      </c>
      <c r="BA1325" s="182"/>
      <c r="BB1325" s="182"/>
      <c r="BC1325" s="182"/>
      <c r="BD1325" s="182"/>
      <c r="BE1325" s="182"/>
      <c r="BF1325" s="182"/>
      <c r="BG1325" s="182"/>
      <c r="BH1325" s="182"/>
      <c r="BI1325" s="182"/>
      <c r="BJ1325" s="182"/>
      <c r="BK1325" s="182"/>
      <c r="BL1325" s="182"/>
      <c r="BM1325" s="182"/>
      <c r="BN1325" s="182"/>
      <c r="BO1325" s="182"/>
      <c r="BP1325" s="182"/>
      <c r="BQ1325" s="182"/>
      <c r="BR1325" s="182"/>
      <c r="BS1325" s="182"/>
    </row>
    <row r="1326" spans="1:71" s="523" customFormat="1" ht="15.9" customHeight="1" x14ac:dyDescent="0.3">
      <c r="A1326" s="19" t="s">
        <v>3370</v>
      </c>
      <c r="B1326" s="19" t="s">
        <v>3038</v>
      </c>
      <c r="C1326" s="555">
        <v>44888</v>
      </c>
      <c r="D1326" s="19" t="s">
        <v>285</v>
      </c>
      <c r="E1326" s="19" t="s">
        <v>286</v>
      </c>
      <c r="F1326" s="1139" t="s">
        <v>3385</v>
      </c>
      <c r="G1326" s="15" t="s">
        <v>346</v>
      </c>
      <c r="H1326" s="200">
        <v>400000000</v>
      </c>
      <c r="I1326" s="17" t="s">
        <v>3296</v>
      </c>
      <c r="J1326" s="113" t="str">
        <f>VLOOKUP($I1326,'Price List, Weapons &amp; Items'!B:C,2,0)</f>
        <v>Ammunition for light infantry</v>
      </c>
      <c r="K1326" s="113" t="str">
        <f>IF(I1326=".",I1326,VLOOKUP($I1326,'Price List, Weapons &amp; Items'!B:D,3,0))</f>
        <v>Small Arms and Light Weapons (SALW) ammunition</v>
      </c>
      <c r="L1326" s="177">
        <f>VLOOKUP(I1326,'Price List, Weapons &amp; Items'!B:E,4,0)</f>
        <v>0</v>
      </c>
      <c r="M1326" s="542">
        <v>20000000</v>
      </c>
      <c r="N1326" s="542" t="s">
        <v>270</v>
      </c>
      <c r="O1326" s="543">
        <f>VLOOKUP($I1326,'Price List, Weapons &amp; Items'!B:G,6,0)</f>
        <v>0.47</v>
      </c>
      <c r="P1326" s="176">
        <f t="shared" si="326"/>
        <v>9400000</v>
      </c>
      <c r="Q1326" s="176" t="str">
        <f t="shared" si="327"/>
        <v>.</v>
      </c>
      <c r="R1326" s="176" t="str">
        <f t="shared" si="325"/>
        <v/>
      </c>
      <c r="S1326" s="176" t="str">
        <f>IF(AND(AD1326=1,R1326&lt;&gt;".")=TRUE,R1326/VLOOKUP(G1326,'Exchange Rates'!B:C,2,0),IF(R1326=".",".",""))</f>
        <v/>
      </c>
      <c r="T1326" s="176" t="str">
        <f>IF(AD1326=1,IF(AF1326="Value is not given at all",".",IF(AF1326="Value is given by the source",S1326,IF(AF1326="Value is calculated with prices",(IF(SUMIFS(Q:Q,A:A,A1326)&gt;0,SUMIFS(Q:Q,A:A,A1326),"."))/VLOOKUP("USD",'Exchange Rates'!B:C,2,0),"Error with coding"))),"")</f>
        <v/>
      </c>
      <c r="U1326" s="15" t="s">
        <v>261</v>
      </c>
      <c r="V1326" s="305" t="s">
        <v>3386</v>
      </c>
      <c r="W1326" s="814" t="s">
        <v>3059</v>
      </c>
      <c r="X1326" s="665" t="s">
        <v>3062</v>
      </c>
      <c r="Y1326" s="671" t="s">
        <v>3138</v>
      </c>
      <c r="Z1326" s="15">
        <v>0</v>
      </c>
      <c r="AA1326" s="180">
        <v>1</v>
      </c>
      <c r="AB1326" s="669" t="s">
        <v>260</v>
      </c>
      <c r="AC1326" s="544"/>
      <c r="AD1326" s="181">
        <v>0</v>
      </c>
      <c r="AE1326" s="181" t="s">
        <v>264</v>
      </c>
      <c r="AF1326" s="181" t="s">
        <v>265</v>
      </c>
      <c r="AG1326" s="181">
        <v>1</v>
      </c>
      <c r="AH1326" s="181">
        <v>11</v>
      </c>
      <c r="AI1326" s="181">
        <v>0</v>
      </c>
      <c r="AJ1326" s="181">
        <f>VLOOKUP($I1326,'Price List, Weapons &amp; Items'!B:F,5,0)</f>
        <v>0</v>
      </c>
      <c r="AK1326" s="181">
        <f t="shared" si="305"/>
        <v>0</v>
      </c>
      <c r="AL1326" s="181">
        <f t="shared" si="306"/>
        <v>0</v>
      </c>
      <c r="AM1326" s="181">
        <f t="shared" si="307"/>
        <v>1</v>
      </c>
      <c r="AN1326" s="180" t="str">
        <f>VLOOKUP($I1326,'Price List, Weapons &amp; Items'!B:L,COLUMN('Price List, Weapons &amp; Items'!$J$11)-1,0)</f>
        <v>Miscellaneous</v>
      </c>
      <c r="AO1326" s="180" t="str">
        <f>IF(I1326=".",".",VLOOKUP($I1326,'Price List, Weapons &amp; Items'!B:J,3,0))</f>
        <v>Small Arms and Light Weapons (SALW) ammunition</v>
      </c>
      <c r="AP1326" s="545" t="str">
        <f t="shared" ca="1" si="324"/>
        <v/>
      </c>
      <c r="AQ1326" s="180">
        <f>VLOOKUP($I1326,'Price List, Weapons &amp; Items'!B:L,COLUMN('Price List, Weapons &amp; Items'!$L$11)-1,0)</f>
        <v>2</v>
      </c>
      <c r="AR1326" s="180">
        <f t="shared" si="308"/>
        <v>1</v>
      </c>
      <c r="AS1326" s="180">
        <f t="shared" si="309"/>
        <v>1</v>
      </c>
      <c r="AT1326" s="180">
        <f t="shared" si="310"/>
        <v>1</v>
      </c>
      <c r="AU1326" s="180" t="str">
        <f t="shared" si="321"/>
        <v>.</v>
      </c>
      <c r="AV1326" s="180" t="str">
        <f t="shared" si="320"/>
        <v>.</v>
      </c>
      <c r="AW1326" s="180">
        <f>IFERROR(VLOOKUP(B1326,'Share, Heavy Weapons to Ukraine'!B:J,COLUMN('Share, Heavy Weapons to Ukraine'!C1336)-1,0),0)</f>
        <v>1</v>
      </c>
      <c r="AX1326" s="180">
        <f>VLOOKUP('Bilateral Assistance, MAIN DATA'!B1326,'Country Summary'!B:F,COLUMN('Country Summary'!C1339)-1,FALSE)</f>
        <v>0</v>
      </c>
      <c r="AY1326" s="180" t="str">
        <f>IF(AND(AD1326=1,D1326="Military",H1326&lt;&gt;"Not given")=TRUE,IF(SUMIFS(P:P,A:A,A1326)&gt;0,ABS((SUMIFS(P:P,A:A,A1326)/VLOOKUP("USD",'Exchange Rates'!B:C,2,0)))/S1326,"."),".")</f>
        <v>.</v>
      </c>
      <c r="AZ1326" s="182" t="str">
        <f>IF(AND(AD1326=1,D1326="Military",H1326&lt;&gt;"Not given")=TRUE,IF(SUMIFS(P:P,A:A,A1326)&gt;0,IF((ABS((SUMIFS(P:P,A:A,A1326)/VLOOKUP("USD",'Exchange Rates'!B:C,2,0)))/S1326)&gt;1,(SUMIFS(P:P,A:A,A1326)-S1326)/S1326,(S1326-SUMIFS(P:P,A:A,A1326))/SUMIFS(P:P,A:A,A1326)),"."),".")</f>
        <v>.</v>
      </c>
      <c r="BA1326" s="182"/>
      <c r="BB1326" s="182"/>
      <c r="BC1326" s="182"/>
      <c r="BD1326" s="182"/>
      <c r="BE1326" s="182"/>
      <c r="BF1326" s="182"/>
      <c r="BG1326" s="182"/>
      <c r="BH1326" s="182"/>
      <c r="BI1326" s="182"/>
      <c r="BJ1326" s="182"/>
      <c r="BK1326" s="182"/>
      <c r="BL1326" s="182"/>
      <c r="BM1326" s="182"/>
      <c r="BN1326" s="182"/>
      <c r="BO1326" s="182"/>
      <c r="BP1326" s="182"/>
      <c r="BQ1326" s="182"/>
      <c r="BR1326" s="182"/>
      <c r="BS1326" s="182"/>
    </row>
    <row r="1327" spans="1:71" s="523" customFormat="1" ht="15.9" customHeight="1" x14ac:dyDescent="0.3">
      <c r="A1327" s="19" t="s">
        <v>3370</v>
      </c>
      <c r="B1327" s="19" t="s">
        <v>3038</v>
      </c>
      <c r="C1327" s="555">
        <v>44888</v>
      </c>
      <c r="D1327" s="19" t="s">
        <v>285</v>
      </c>
      <c r="E1327" s="19" t="s">
        <v>286</v>
      </c>
      <c r="F1327" s="1139" t="s">
        <v>3385</v>
      </c>
      <c r="G1327" s="15" t="s">
        <v>346</v>
      </c>
      <c r="H1327" s="200">
        <v>400000000</v>
      </c>
      <c r="I1327" s="17" t="s">
        <v>3140</v>
      </c>
      <c r="J1327" s="113" t="str">
        <f>VLOOKUP($I1327,'Price List, Weapons &amp; Items'!B:C,2,0)</f>
        <v>Military equipment</v>
      </c>
      <c r="K1327" s="113" t="str">
        <f>IF(I1327=".",I1327,VLOOKUP($I1327,'Price List, Weapons &amp; Items'!B:D,3,0))</f>
        <v>spare parts</v>
      </c>
      <c r="L1327" s="177">
        <f>VLOOKUP(I1327,'Price List, Weapons &amp; Items'!B:E,4,0)</f>
        <v>0</v>
      </c>
      <c r="M1327" s="542" t="s">
        <v>270</v>
      </c>
      <c r="N1327" s="542" t="s">
        <v>270</v>
      </c>
      <c r="O1327" s="543" t="str">
        <f>VLOOKUP($I1327,'Price List, Weapons &amp; Items'!B:G,6,0)</f>
        <v>.</v>
      </c>
      <c r="P1327" s="176" t="str">
        <f t="shared" si="326"/>
        <v>.</v>
      </c>
      <c r="Q1327" s="176" t="str">
        <f t="shared" si="327"/>
        <v>.</v>
      </c>
      <c r="R1327" s="176" t="str">
        <f t="shared" si="325"/>
        <v/>
      </c>
      <c r="S1327" s="176" t="str">
        <f>IF(AND(AD1327=1,R1327&lt;&gt;".")=TRUE,R1327/VLOOKUP(G1327,'Exchange Rates'!B:C,2,0),IF(R1327=".",".",""))</f>
        <v/>
      </c>
      <c r="T1327" s="176" t="str">
        <f>IF(AD1327=1,IF(AF1327="Value is not given at all",".",IF(AF1327="Value is given by the source",S1327,IF(AF1327="Value is calculated with prices",(IF(SUMIFS(Q:Q,A:A,A1327)&gt;0,SUMIFS(Q:Q,A:A,A1327),"."))/VLOOKUP("USD",'Exchange Rates'!B:C,2,0),"Error with coding"))),"")</f>
        <v/>
      </c>
      <c r="U1327" s="15" t="s">
        <v>261</v>
      </c>
      <c r="V1327" s="305" t="s">
        <v>3386</v>
      </c>
      <c r="W1327" s="814" t="s">
        <v>3059</v>
      </c>
      <c r="X1327" s="665" t="s">
        <v>3062</v>
      </c>
      <c r="Y1327" s="671" t="s">
        <v>3139</v>
      </c>
      <c r="Z1327" s="15">
        <v>0</v>
      </c>
      <c r="AA1327" s="180">
        <v>1</v>
      </c>
      <c r="AB1327" s="669" t="s">
        <v>260</v>
      </c>
      <c r="AC1327" s="544"/>
      <c r="AD1327" s="181">
        <v>0</v>
      </c>
      <c r="AE1327" s="181" t="s">
        <v>264</v>
      </c>
      <c r="AF1327" s="181" t="s">
        <v>265</v>
      </c>
      <c r="AG1327" s="181">
        <v>1</v>
      </c>
      <c r="AH1327" s="181">
        <v>11</v>
      </c>
      <c r="AI1327" s="181">
        <v>0</v>
      </c>
      <c r="AJ1327" s="181">
        <f>VLOOKUP($I1327,'Price List, Weapons &amp; Items'!B:F,5,0)</f>
        <v>0</v>
      </c>
      <c r="AK1327" s="181">
        <f t="shared" si="305"/>
        <v>0</v>
      </c>
      <c r="AL1327" s="181">
        <f t="shared" si="306"/>
        <v>0</v>
      </c>
      <c r="AM1327" s="181">
        <f t="shared" si="307"/>
        <v>0</v>
      </c>
      <c r="AN1327" s="180" t="str">
        <f>VLOOKUP($I1327,'Price List, Weapons &amp; Items'!B:L,COLUMN('Price List, Weapons &amp; Items'!$J$11)-1,0)</f>
        <v>.</v>
      </c>
      <c r="AO1327" s="180" t="str">
        <f>IF(I1327=".",".",VLOOKUP($I1327,'Price List, Weapons &amp; Items'!B:J,3,0))</f>
        <v>spare parts</v>
      </c>
      <c r="AP1327" s="545" t="str">
        <f t="shared" ca="1" si="324"/>
        <v/>
      </c>
      <c r="AQ1327" s="180" t="str">
        <f>VLOOKUP($I1327,'Price List, Weapons &amp; Items'!B:L,COLUMN('Price List, Weapons &amp; Items'!$L$11)-1,0)</f>
        <v>no price, 0 count</v>
      </c>
      <c r="AR1327" s="180">
        <f t="shared" si="308"/>
        <v>1</v>
      </c>
      <c r="AS1327" s="180">
        <f t="shared" si="309"/>
        <v>1</v>
      </c>
      <c r="AT1327" s="180">
        <f t="shared" si="310"/>
        <v>1</v>
      </c>
      <c r="AU1327" s="180" t="str">
        <f t="shared" si="321"/>
        <v>.</v>
      </c>
      <c r="AV1327" s="180" t="str">
        <f t="shared" si="320"/>
        <v>.</v>
      </c>
      <c r="AW1327" s="180">
        <f>IFERROR(VLOOKUP(B1327,'Share, Heavy Weapons to Ukraine'!B:J,COLUMN('Share, Heavy Weapons to Ukraine'!C1337)-1,0),0)</f>
        <v>1</v>
      </c>
      <c r="AX1327" s="180">
        <f>VLOOKUP('Bilateral Assistance, MAIN DATA'!B1327,'Country Summary'!B:F,COLUMN('Country Summary'!C1340)-1,FALSE)</f>
        <v>0</v>
      </c>
      <c r="AY1327" s="180" t="str">
        <f>IF(AND(AD1327=1,D1327="Military",H1327&lt;&gt;"Not given")=TRUE,IF(SUMIFS(P:P,A:A,A1327)&gt;0,ABS((SUMIFS(P:P,A:A,A1327)/VLOOKUP("USD",'Exchange Rates'!B:C,2,0)))/S1327,"."),".")</f>
        <v>.</v>
      </c>
      <c r="AZ1327" s="182" t="str">
        <f>IF(AND(AD1327=1,D1327="Military",H1327&lt;&gt;"Not given")=TRUE,IF(SUMIFS(P:P,A:A,A1327)&gt;0,IF((ABS((SUMIFS(P:P,A:A,A1327)/VLOOKUP("USD",'Exchange Rates'!B:C,2,0)))/S1327)&gt;1,(SUMIFS(P:P,A:A,A1327)-S1327)/S1327,(S1327-SUMIFS(P:P,A:A,A1327))/SUMIFS(P:P,A:A,A1327)),"."),".")</f>
        <v>.</v>
      </c>
      <c r="BA1327" s="182"/>
      <c r="BB1327" s="182"/>
      <c r="BC1327" s="182"/>
      <c r="BD1327" s="182"/>
      <c r="BE1327" s="182"/>
      <c r="BF1327" s="182"/>
      <c r="BG1327" s="182"/>
      <c r="BH1327" s="182"/>
      <c r="BI1327" s="182"/>
      <c r="BJ1327" s="182"/>
      <c r="BK1327" s="182"/>
      <c r="BL1327" s="182"/>
      <c r="BM1327" s="182"/>
      <c r="BN1327" s="182"/>
      <c r="BO1327" s="182"/>
      <c r="BP1327" s="182"/>
      <c r="BQ1327" s="182"/>
      <c r="BR1327" s="182"/>
      <c r="BS1327" s="182"/>
    </row>
    <row r="1328" spans="1:71" s="523" customFormat="1" ht="15.9" customHeight="1" x14ac:dyDescent="0.3">
      <c r="A1328" s="19" t="s">
        <v>3370</v>
      </c>
      <c r="B1328" s="19" t="s">
        <v>3038</v>
      </c>
      <c r="C1328" s="555">
        <v>44888</v>
      </c>
      <c r="D1328" s="19" t="s">
        <v>285</v>
      </c>
      <c r="E1328" s="19" t="s">
        <v>286</v>
      </c>
      <c r="F1328" s="1139" t="s">
        <v>3385</v>
      </c>
      <c r="G1328" s="15" t="s">
        <v>346</v>
      </c>
      <c r="H1328" s="200">
        <v>400000000</v>
      </c>
      <c r="I1328" s="17" t="s">
        <v>1457</v>
      </c>
      <c r="J1328" s="113" t="str">
        <f>VLOOKUP($I1328,'Price List, Weapons &amp; Items'!B:C,2,0)</f>
        <v>Military equipment</v>
      </c>
      <c r="K1328" s="113" t="str">
        <f>IF(I1328=".",I1328,VLOOKUP($I1328,'Price List, Weapons &amp; Items'!B:D,3,0))</f>
        <v>Military equipment</v>
      </c>
      <c r="L1328" s="177">
        <f>VLOOKUP(I1328,'Price List, Weapons &amp; Items'!B:E,4,0)</f>
        <v>0</v>
      </c>
      <c r="M1328" s="542">
        <v>200</v>
      </c>
      <c r="N1328" s="542" t="s">
        <v>270</v>
      </c>
      <c r="O1328" s="543">
        <f>VLOOKUP($I1328,'Price List, Weapons &amp; Items'!B:G,6,0)</f>
        <v>22216</v>
      </c>
      <c r="P1328" s="176">
        <f t="shared" si="326"/>
        <v>4443200</v>
      </c>
      <c r="Q1328" s="176" t="str">
        <f t="shared" si="327"/>
        <v>.</v>
      </c>
      <c r="R1328" s="176" t="str">
        <f t="shared" si="325"/>
        <v/>
      </c>
      <c r="S1328" s="176" t="str">
        <f>IF(AND(AD1328=1,R1328&lt;&gt;".")=TRUE,R1328/VLOOKUP(G1328,'Exchange Rates'!B:C,2,0),IF(R1328=".",".",""))</f>
        <v/>
      </c>
      <c r="T1328" s="176" t="str">
        <f>IF(AD1328=1,IF(AF1328="Value is not given at all",".",IF(AF1328="Value is given by the source",S1328,IF(AF1328="Value is calculated with prices",(IF(SUMIFS(Q:Q,A:A,A1328)&gt;0,SUMIFS(Q:Q,A:A,A1328),"."))/VLOOKUP("USD",'Exchange Rates'!B:C,2,0),"Error with coding"))),"")</f>
        <v/>
      </c>
      <c r="U1328" s="15" t="s">
        <v>261</v>
      </c>
      <c r="V1328" s="305" t="s">
        <v>3386</v>
      </c>
      <c r="W1328" s="814" t="s">
        <v>3059</v>
      </c>
      <c r="X1328" s="665" t="s">
        <v>3062</v>
      </c>
      <c r="Y1328" s="671" t="s">
        <v>3141</v>
      </c>
      <c r="Z1328" s="15">
        <v>0</v>
      </c>
      <c r="AA1328" s="180">
        <v>1</v>
      </c>
      <c r="AB1328" s="669" t="s">
        <v>260</v>
      </c>
      <c r="AC1328" s="544"/>
      <c r="AD1328" s="181">
        <v>0</v>
      </c>
      <c r="AE1328" s="181" t="s">
        <v>264</v>
      </c>
      <c r="AF1328" s="181" t="s">
        <v>265</v>
      </c>
      <c r="AG1328" s="181">
        <v>1</v>
      </c>
      <c r="AH1328" s="181">
        <v>11</v>
      </c>
      <c r="AI1328" s="181">
        <v>0</v>
      </c>
      <c r="AJ1328" s="181">
        <f>VLOOKUP($I1328,'Price List, Weapons &amp; Items'!B:F,5,0)</f>
        <v>0</v>
      </c>
      <c r="AK1328" s="181">
        <f t="shared" si="305"/>
        <v>0</v>
      </c>
      <c r="AL1328" s="181">
        <f t="shared" si="306"/>
        <v>0</v>
      </c>
      <c r="AM1328" s="181">
        <f t="shared" si="307"/>
        <v>0</v>
      </c>
      <c r="AN1328" s="180" t="str">
        <f>VLOOKUP($I1328,'Price List, Weapons &amp; Items'!B:L,COLUMN('Price List, Weapons &amp; Items'!$J$11)-1,0)</f>
        <v>Government information</v>
      </c>
      <c r="AO1328" s="180" t="str">
        <f>IF(I1328=".",".",VLOOKUP($I1328,'Price List, Weapons &amp; Items'!B:J,3,0))</f>
        <v>Military equipment</v>
      </c>
      <c r="AP1328" s="545" t="str">
        <f t="shared" ca="1" si="324"/>
        <v/>
      </c>
      <c r="AQ1328" s="180">
        <f>VLOOKUP($I1328,'Price List, Weapons &amp; Items'!B:L,COLUMN('Price List, Weapons &amp; Items'!$L$11)-1,0)</f>
        <v>2</v>
      </c>
      <c r="AR1328" s="180">
        <f t="shared" si="308"/>
        <v>1</v>
      </c>
      <c r="AS1328" s="180">
        <f t="shared" si="309"/>
        <v>1</v>
      </c>
      <c r="AT1328" s="180">
        <f t="shared" si="310"/>
        <v>1</v>
      </c>
      <c r="AU1328" s="180" t="str">
        <f t="shared" si="321"/>
        <v>.</v>
      </c>
      <c r="AV1328" s="180" t="str">
        <f t="shared" si="320"/>
        <v>.</v>
      </c>
      <c r="AW1328" s="180">
        <f>IFERROR(VLOOKUP(B1328,'Share, Heavy Weapons to Ukraine'!B:J,COLUMN('Share, Heavy Weapons to Ukraine'!C1338)-1,0),0)</f>
        <v>1</v>
      </c>
      <c r="AX1328" s="180">
        <f>VLOOKUP('Bilateral Assistance, MAIN DATA'!B1328,'Country Summary'!B:F,COLUMN('Country Summary'!C1341)-1,FALSE)</f>
        <v>0</v>
      </c>
      <c r="AY1328" s="180" t="str">
        <f>IF(AND(AD1328=1,D1328="Military",H1328&lt;&gt;"Not given")=TRUE,IF(SUMIFS(P:P,A:A,A1328)&gt;0,ABS((SUMIFS(P:P,A:A,A1328)/VLOOKUP("USD",'Exchange Rates'!B:C,2,0)))/S1328,"."),".")</f>
        <v>.</v>
      </c>
      <c r="AZ1328" s="182" t="str">
        <f>IF(AND(AD1328=1,D1328="Military",H1328&lt;&gt;"Not given")=TRUE,IF(SUMIFS(P:P,A:A,A1328)&gt;0,IF((ABS((SUMIFS(P:P,A:A,A1328)/VLOOKUP("USD",'Exchange Rates'!B:C,2,0)))/S1328)&gt;1,(SUMIFS(P:P,A:A,A1328)-S1328)/S1328,(S1328-SUMIFS(P:P,A:A,A1328))/SUMIFS(P:P,A:A,A1328)),"."),".")</f>
        <v>.</v>
      </c>
      <c r="BA1328" s="182"/>
      <c r="BB1328" s="182"/>
      <c r="BC1328" s="182"/>
      <c r="BD1328" s="182"/>
      <c r="BE1328" s="182"/>
      <c r="BF1328" s="182"/>
      <c r="BG1328" s="182"/>
      <c r="BH1328" s="182"/>
      <c r="BI1328" s="182"/>
      <c r="BJ1328" s="182"/>
      <c r="BK1328" s="182"/>
      <c r="BL1328" s="182"/>
      <c r="BM1328" s="182"/>
      <c r="BN1328" s="182"/>
      <c r="BO1328" s="182"/>
      <c r="BP1328" s="182"/>
      <c r="BQ1328" s="182"/>
      <c r="BR1328" s="182"/>
      <c r="BS1328" s="182"/>
    </row>
    <row r="1329" spans="1:71" s="523" customFormat="1" ht="15.9" customHeight="1" x14ac:dyDescent="0.3">
      <c r="A1329" s="19" t="s">
        <v>3370</v>
      </c>
      <c r="B1329" s="19" t="s">
        <v>3038</v>
      </c>
      <c r="C1329" s="555">
        <v>44904</v>
      </c>
      <c r="D1329" s="19" t="s">
        <v>285</v>
      </c>
      <c r="E1329" s="19" t="s">
        <v>286</v>
      </c>
      <c r="F1329" s="1139" t="s">
        <v>3387</v>
      </c>
      <c r="G1329" s="15" t="s">
        <v>346</v>
      </c>
      <c r="H1329" s="200">
        <v>275000000</v>
      </c>
      <c r="I1329" s="17" t="s">
        <v>3172</v>
      </c>
      <c r="J1329" s="113" t="str">
        <f>VLOOKUP($I1329,'Price List, Weapons &amp; Items'!B:C,2,0)</f>
        <v>Ammunition for heavy weapon</v>
      </c>
      <c r="K1329" s="113" t="str">
        <f>IF(I1329=".",I1329,VLOOKUP($I1329,'Price List, Weapons &amp; Items'!B:D,3,0))</f>
        <v>227mm MLRS ammunition</v>
      </c>
      <c r="L1329" s="177">
        <f>VLOOKUP(I1329,'Price List, Weapons &amp; Items'!B:E,4,0)</f>
        <v>0</v>
      </c>
      <c r="M1329" s="542" t="s">
        <v>270</v>
      </c>
      <c r="N1329" s="542" t="s">
        <v>270</v>
      </c>
      <c r="O1329" s="543">
        <f>VLOOKUP($I1329,'Price List, Weapons &amp; Items'!B:G,6,0)</f>
        <v>150000</v>
      </c>
      <c r="P1329" s="176" t="str">
        <f t="shared" si="326"/>
        <v>.</v>
      </c>
      <c r="Q1329" s="176" t="str">
        <f t="shared" si="327"/>
        <v>.</v>
      </c>
      <c r="R1329" s="176" t="str">
        <f t="shared" si="325"/>
        <v/>
      </c>
      <c r="S1329" s="176" t="str">
        <f>IF(AND(AD1329=1,R1329&lt;&gt;".")=TRUE,R1329/VLOOKUP(G1329,'Exchange Rates'!B:C,2,0),IF(R1329=".",".",""))</f>
        <v/>
      </c>
      <c r="T1329" s="176" t="str">
        <f>IF(AD1329=1,IF(AF1329="Value is not given at all",".",IF(AF1329="Value is given by the source",S1329,IF(AF1329="Value is calculated with prices",(IF(SUMIFS(Q:Q,A:A,A1329)&gt;0,SUMIFS(Q:Q,A:A,A1329),"."))/VLOOKUP("USD",'Exchange Rates'!B:C,2,0),"Error with coding"))),"")</f>
        <v/>
      </c>
      <c r="U1329" s="15" t="s">
        <v>261</v>
      </c>
      <c r="V1329" s="304" t="s">
        <v>3388</v>
      </c>
      <c r="W1329" s="814" t="s">
        <v>3059</v>
      </c>
      <c r="X1329" s="665" t="s">
        <v>3062</v>
      </c>
      <c r="Y1329" s="671" t="s">
        <v>3144</v>
      </c>
      <c r="Z1329" s="15">
        <v>0</v>
      </c>
      <c r="AA1329" s="180">
        <v>1</v>
      </c>
      <c r="AB1329" s="669" t="s">
        <v>260</v>
      </c>
      <c r="AC1329" s="544"/>
      <c r="AD1329" s="181">
        <v>0</v>
      </c>
      <c r="AE1329" s="181" t="s">
        <v>264</v>
      </c>
      <c r="AF1329" s="181" t="s">
        <v>265</v>
      </c>
      <c r="AG1329" s="181">
        <v>1</v>
      </c>
      <c r="AH1329" s="181">
        <v>12</v>
      </c>
      <c r="AI1329" s="181">
        <v>0</v>
      </c>
      <c r="AJ1329" s="181">
        <f>VLOOKUP($I1329,'Price List, Weapons &amp; Items'!B:F,5,0)</f>
        <v>1</v>
      </c>
      <c r="AK1329" s="181">
        <f t="shared" si="305"/>
        <v>1</v>
      </c>
      <c r="AL1329" s="181">
        <f t="shared" si="306"/>
        <v>1</v>
      </c>
      <c r="AM1329" s="181">
        <f t="shared" si="307"/>
        <v>1</v>
      </c>
      <c r="AN1329" s="180" t="str">
        <f>VLOOKUP($I1329,'Price List, Weapons &amp; Items'!B:L,COLUMN('Price List, Weapons &amp; Items'!$J$11)-1,0)</f>
        <v>Media reports (incl. social media)</v>
      </c>
      <c r="AO1329" s="180" t="str">
        <f>IF(I1329=".",".",VLOOKUP($I1329,'Price List, Weapons &amp; Items'!B:J,3,0))</f>
        <v>227mm MLRS ammunition</v>
      </c>
      <c r="AP1329" s="545" t="str">
        <f t="shared" ca="1" si="324"/>
        <v/>
      </c>
      <c r="AQ1329" s="180" t="str">
        <f>VLOOKUP($I1329,'Price List, Weapons &amp; Items'!B:L,COLUMN('Price List, Weapons &amp; Items'!$L$11)-1,0)</f>
        <v>no price, 0 count</v>
      </c>
      <c r="AR1329" s="180">
        <f t="shared" si="308"/>
        <v>1</v>
      </c>
      <c r="AS1329" s="180">
        <f t="shared" si="309"/>
        <v>1</v>
      </c>
      <c r="AT1329" s="180">
        <f t="shared" si="310"/>
        <v>1</v>
      </c>
      <c r="AU1329" s="180" t="str">
        <f t="shared" si="321"/>
        <v>.</v>
      </c>
      <c r="AV1329" s="180" t="str">
        <f t="shared" si="320"/>
        <v>.</v>
      </c>
      <c r="AW1329" s="180">
        <f>IFERROR(VLOOKUP(B1329,'Share, Heavy Weapons to Ukraine'!B:J,COLUMN('Share, Heavy Weapons to Ukraine'!C1339)-1,0),0)</f>
        <v>1</v>
      </c>
      <c r="AX1329" s="180">
        <f>VLOOKUP('Bilateral Assistance, MAIN DATA'!B1329,'Country Summary'!B:F,COLUMN('Country Summary'!C1342)-1,FALSE)</f>
        <v>0</v>
      </c>
      <c r="AY1329" s="180" t="str">
        <f>IF(AND(AD1329=1,D1329="Military",H1329&lt;&gt;"Not given")=TRUE,IF(SUMIFS(P:P,A:A,A1329)&gt;0,ABS((SUMIFS(P:P,A:A,A1329)/VLOOKUP("USD",'Exchange Rates'!B:C,2,0)))/S1329,"."),".")</f>
        <v>.</v>
      </c>
      <c r="AZ1329" s="182" t="str">
        <f>IF(AND(AD1329=1,D1329="Military",H1329&lt;&gt;"Not given")=TRUE,IF(SUMIFS(P:P,A:A,A1329)&gt;0,IF((ABS((SUMIFS(P:P,A:A,A1329)/VLOOKUP("USD",'Exchange Rates'!B:C,2,0)))/S1329)&gt;1,(SUMIFS(P:P,A:A,A1329)-S1329)/S1329,(S1329-SUMIFS(P:P,A:A,A1329))/SUMIFS(P:P,A:A,A1329)),"."),".")</f>
        <v>.</v>
      </c>
      <c r="BA1329" s="182"/>
      <c r="BB1329" s="182"/>
      <c r="BC1329" s="182"/>
      <c r="BD1329" s="182"/>
      <c r="BE1329" s="182"/>
      <c r="BF1329" s="182"/>
      <c r="BG1329" s="182"/>
      <c r="BH1329" s="182"/>
      <c r="BI1329" s="182"/>
      <c r="BJ1329" s="182"/>
      <c r="BK1329" s="182"/>
      <c r="BL1329" s="182"/>
      <c r="BM1329" s="182"/>
      <c r="BN1329" s="182"/>
      <c r="BO1329" s="182"/>
      <c r="BP1329" s="182"/>
      <c r="BQ1329" s="182"/>
      <c r="BR1329" s="182"/>
      <c r="BS1329" s="182"/>
    </row>
    <row r="1330" spans="1:71" s="523" customFormat="1" ht="15.9" customHeight="1" x14ac:dyDescent="0.3">
      <c r="A1330" s="19" t="s">
        <v>3370</v>
      </c>
      <c r="B1330" s="19" t="s">
        <v>3038</v>
      </c>
      <c r="C1330" s="555">
        <v>44904</v>
      </c>
      <c r="D1330" s="19" t="s">
        <v>285</v>
      </c>
      <c r="E1330" s="19" t="s">
        <v>286</v>
      </c>
      <c r="F1330" s="1139" t="s">
        <v>3387</v>
      </c>
      <c r="G1330" s="15" t="s">
        <v>346</v>
      </c>
      <c r="H1330" s="200">
        <v>275000000</v>
      </c>
      <c r="I1330" s="17" t="s">
        <v>644</v>
      </c>
      <c r="J1330" s="113" t="str">
        <f>VLOOKUP($I1330,'Price List, Weapons &amp; Items'!B:C,2,0)</f>
        <v>Ammunition for heavy weapon</v>
      </c>
      <c r="K1330" s="113" t="str">
        <f>IF(I1330=".",I1330,VLOOKUP($I1330,'Price List, Weapons &amp; Items'!B:D,3,0))</f>
        <v>155mm howitzer ammunition</v>
      </c>
      <c r="L1330" s="177">
        <f>VLOOKUP(I1330,'Price List, Weapons &amp; Items'!B:E,4,0)</f>
        <v>0</v>
      </c>
      <c r="M1330" s="542">
        <v>80000</v>
      </c>
      <c r="N1330" s="542" t="s">
        <v>270</v>
      </c>
      <c r="O1330" s="543">
        <f>VLOOKUP($I1330,'Price List, Weapons &amp; Items'!B:G,6,0)</f>
        <v>3800</v>
      </c>
      <c r="P1330" s="176">
        <f t="shared" si="326"/>
        <v>304000000</v>
      </c>
      <c r="Q1330" s="176" t="str">
        <f t="shared" si="327"/>
        <v>.</v>
      </c>
      <c r="R1330" s="176" t="str">
        <f t="shared" si="325"/>
        <v/>
      </c>
      <c r="S1330" s="176" t="str">
        <f>IF(AND(AD1330=1,R1330&lt;&gt;".")=TRUE,R1330/VLOOKUP(G1330,'Exchange Rates'!B:C,2,0),IF(R1330=".",".",""))</f>
        <v/>
      </c>
      <c r="T1330" s="176" t="str">
        <f>IF(AD1330=1,IF(AF1330="Value is not given at all",".",IF(AF1330="Value is given by the source",S1330,IF(AF1330="Value is calculated with prices",(IF(SUMIFS(Q:Q,A:A,A1330)&gt;0,SUMIFS(Q:Q,A:A,A1330),"."))/VLOOKUP("USD",'Exchange Rates'!B:C,2,0),"Error with coding"))),"")</f>
        <v/>
      </c>
      <c r="U1330" s="15" t="s">
        <v>261</v>
      </c>
      <c r="V1330" s="304" t="s">
        <v>3388</v>
      </c>
      <c r="W1330" s="814" t="s">
        <v>3059</v>
      </c>
      <c r="X1330" s="665" t="s">
        <v>3062</v>
      </c>
      <c r="Y1330" s="671" t="s">
        <v>3145</v>
      </c>
      <c r="Z1330" s="15">
        <v>0</v>
      </c>
      <c r="AA1330" s="180">
        <v>1</v>
      </c>
      <c r="AB1330" s="669" t="s">
        <v>260</v>
      </c>
      <c r="AC1330" s="544"/>
      <c r="AD1330" s="181">
        <v>0</v>
      </c>
      <c r="AE1330" s="181" t="s">
        <v>264</v>
      </c>
      <c r="AF1330" s="181" t="s">
        <v>265</v>
      </c>
      <c r="AG1330" s="181">
        <v>1</v>
      </c>
      <c r="AH1330" s="181">
        <v>12</v>
      </c>
      <c r="AI1330" s="181">
        <v>0</v>
      </c>
      <c r="AJ1330" s="181">
        <f>VLOOKUP($I1330,'Price List, Weapons &amp; Items'!B:F,5,0)</f>
        <v>1</v>
      </c>
      <c r="AK1330" s="181">
        <f t="shared" si="305"/>
        <v>0</v>
      </c>
      <c r="AL1330" s="181">
        <f t="shared" si="306"/>
        <v>1</v>
      </c>
      <c r="AM1330" s="181">
        <f t="shared" si="307"/>
        <v>0</v>
      </c>
      <c r="AN1330" s="180" t="str">
        <f>VLOOKUP($I1330,'Price List, Weapons &amp; Items'!B:L,COLUMN('Price List, Weapons &amp; Items'!$J$11)-1,0)</f>
        <v>Government information</v>
      </c>
      <c r="AO1330" s="180" t="str">
        <f>IF(I1330=".",".",VLOOKUP($I1330,'Price List, Weapons &amp; Items'!B:J,3,0))</f>
        <v>155mm howitzer ammunition</v>
      </c>
      <c r="AP1330" s="545" t="str">
        <f t="shared" ca="1" si="324"/>
        <v/>
      </c>
      <c r="AQ1330" s="180">
        <f>VLOOKUP($I1330,'Price List, Weapons &amp; Items'!B:L,COLUMN('Price List, Weapons &amp; Items'!$L$11)-1,0)</f>
        <v>2</v>
      </c>
      <c r="AR1330" s="180">
        <f t="shared" si="308"/>
        <v>1</v>
      </c>
      <c r="AS1330" s="180">
        <f t="shared" si="309"/>
        <v>1</v>
      </c>
      <c r="AT1330" s="180">
        <f t="shared" si="310"/>
        <v>1</v>
      </c>
      <c r="AU1330" s="180" t="str">
        <f t="shared" si="321"/>
        <v>.</v>
      </c>
      <c r="AV1330" s="180" t="str">
        <f t="shared" si="320"/>
        <v>.</v>
      </c>
      <c r="AW1330" s="180">
        <f>IFERROR(VLOOKUP(B1330,'Share, Heavy Weapons to Ukraine'!B:J,COLUMN('Share, Heavy Weapons to Ukraine'!C1340)-1,0),0)</f>
        <v>1</v>
      </c>
      <c r="AX1330" s="180">
        <f>VLOOKUP('Bilateral Assistance, MAIN DATA'!B1330,'Country Summary'!B:F,COLUMN('Country Summary'!C1343)-1,FALSE)</f>
        <v>0</v>
      </c>
      <c r="AY1330" s="180" t="str">
        <f>IF(AND(AD1330=1,D1330="Military",H1330&lt;&gt;"Not given")=TRUE,IF(SUMIFS(P:P,A:A,A1330)&gt;0,ABS((SUMIFS(P:P,A:A,A1330)/VLOOKUP("USD",'Exchange Rates'!B:C,2,0)))/S1330,"."),".")</f>
        <v>.</v>
      </c>
      <c r="AZ1330" s="182" t="str">
        <f>IF(AND(AD1330=1,D1330="Military",H1330&lt;&gt;"Not given")=TRUE,IF(SUMIFS(P:P,A:A,A1330)&gt;0,IF((ABS((SUMIFS(P:P,A:A,A1330)/VLOOKUP("USD",'Exchange Rates'!B:C,2,0)))/S1330)&gt;1,(SUMIFS(P:P,A:A,A1330)-S1330)/S1330,(S1330-SUMIFS(P:P,A:A,A1330))/SUMIFS(P:P,A:A,A1330)),"."),".")</f>
        <v>.</v>
      </c>
      <c r="BA1330" s="182"/>
      <c r="BB1330" s="182"/>
      <c r="BC1330" s="182"/>
      <c r="BD1330" s="182"/>
      <c r="BE1330" s="182"/>
      <c r="BF1330" s="182"/>
      <c r="BG1330" s="182"/>
      <c r="BH1330" s="182"/>
      <c r="BI1330" s="182"/>
      <c r="BJ1330" s="182"/>
      <c r="BK1330" s="182"/>
      <c r="BL1330" s="182"/>
      <c r="BM1330" s="182"/>
      <c r="BN1330" s="182"/>
      <c r="BO1330" s="182"/>
      <c r="BP1330" s="182"/>
      <c r="BQ1330" s="182"/>
      <c r="BR1330" s="182"/>
      <c r="BS1330" s="182"/>
    </row>
    <row r="1331" spans="1:71" s="523" customFormat="1" ht="15.9" customHeight="1" x14ac:dyDescent="0.3">
      <c r="A1331" s="19" t="s">
        <v>3370</v>
      </c>
      <c r="B1331" s="19" t="s">
        <v>3038</v>
      </c>
      <c r="C1331" s="555">
        <v>44904</v>
      </c>
      <c r="D1331" s="19" t="s">
        <v>285</v>
      </c>
      <c r="E1331" s="19" t="s">
        <v>286</v>
      </c>
      <c r="F1331" s="1139" t="s">
        <v>3387</v>
      </c>
      <c r="G1331" s="15" t="s">
        <v>346</v>
      </c>
      <c r="H1331" s="200">
        <v>275000000</v>
      </c>
      <c r="I1331" s="17" t="s">
        <v>3269</v>
      </c>
      <c r="J1331" s="113" t="str">
        <f>VLOOKUP($I1331,'Price List, Weapons &amp; Items'!B:C,2,0)</f>
        <v>Heavy weapon</v>
      </c>
      <c r="K1331" s="113" t="str">
        <f>IF(I1331=".",I1331,VLOOKUP($I1331,'Price List, Weapons &amp; Items'!B:D,3,0))</f>
        <v>Armoured Utility Vehicle (AUV)</v>
      </c>
      <c r="L1331" s="177">
        <f>VLOOKUP(I1331,'Price List, Weapons &amp; Items'!B:E,4,0)</f>
        <v>0</v>
      </c>
      <c r="M1331" s="542" t="s">
        <v>270</v>
      </c>
      <c r="N1331" s="542" t="s">
        <v>270</v>
      </c>
      <c r="O1331" s="543">
        <f>VLOOKUP($I1331,'Price List, Weapons &amp; Items'!B:G,6,0)</f>
        <v>254717</v>
      </c>
      <c r="P1331" s="176" t="str">
        <f t="shared" si="326"/>
        <v>.</v>
      </c>
      <c r="Q1331" s="176" t="str">
        <f t="shared" si="327"/>
        <v>.</v>
      </c>
      <c r="R1331" s="176" t="str">
        <f t="shared" si="325"/>
        <v/>
      </c>
      <c r="S1331" s="176" t="str">
        <f>IF(AND(AD1331=1,R1331&lt;&gt;".")=TRUE,R1331/VLOOKUP(G1331,'Exchange Rates'!B:C,2,0),IF(R1331=".",".",""))</f>
        <v/>
      </c>
      <c r="T1331" s="176" t="str">
        <f>IF(AD1331=1,IF(AF1331="Value is not given at all",".",IF(AF1331="Value is given by the source",S1331,IF(AF1331="Value is calculated with prices",(IF(SUMIFS(Q:Q,A:A,A1331)&gt;0,SUMIFS(Q:Q,A:A,A1331),"."))/VLOOKUP("USD",'Exchange Rates'!B:C,2,0),"Error with coding"))),"")</f>
        <v/>
      </c>
      <c r="U1331" s="15" t="s">
        <v>261</v>
      </c>
      <c r="V1331" s="304" t="s">
        <v>3388</v>
      </c>
      <c r="W1331" s="814" t="s">
        <v>3059</v>
      </c>
      <c r="X1331" s="665" t="s">
        <v>3062</v>
      </c>
      <c r="Y1331" s="671" t="s">
        <v>3146</v>
      </c>
      <c r="Z1331" s="15">
        <v>0</v>
      </c>
      <c r="AA1331" s="180">
        <v>1</v>
      </c>
      <c r="AB1331" s="669" t="s">
        <v>260</v>
      </c>
      <c r="AC1331" s="544"/>
      <c r="AD1331" s="181">
        <v>0</v>
      </c>
      <c r="AE1331" s="181" t="s">
        <v>264</v>
      </c>
      <c r="AF1331" s="181" t="s">
        <v>265</v>
      </c>
      <c r="AG1331" s="181">
        <v>1</v>
      </c>
      <c r="AH1331" s="181">
        <v>12</v>
      </c>
      <c r="AI1331" s="181">
        <v>0</v>
      </c>
      <c r="AJ1331" s="181">
        <f>VLOOKUP($I1331,'Price List, Weapons &amp; Items'!B:F,5,0)</f>
        <v>1</v>
      </c>
      <c r="AK1331" s="181">
        <f t="shared" si="305"/>
        <v>1</v>
      </c>
      <c r="AL1331" s="181">
        <f t="shared" si="306"/>
        <v>1</v>
      </c>
      <c r="AM1331" s="181">
        <f t="shared" si="307"/>
        <v>0</v>
      </c>
      <c r="AN1331" s="180" t="str">
        <f>VLOOKUP($I1331,'Price List, Weapons &amp; Items'!B:L,COLUMN('Price List, Weapons &amp; Items'!$J$11)-1,0)</f>
        <v>Military media (incl. websites)</v>
      </c>
      <c r="AO1331" s="180" t="str">
        <f>IF(I1331=".",".",VLOOKUP($I1331,'Price List, Weapons &amp; Items'!B:J,3,0))</f>
        <v>Armoured Utility Vehicle (AUV)</v>
      </c>
      <c r="AP1331" s="545" t="str">
        <f t="shared" ca="1" si="324"/>
        <v/>
      </c>
      <c r="AQ1331" s="180">
        <f>VLOOKUP($I1331,'Price List, Weapons &amp; Items'!B:L,COLUMN('Price List, Weapons &amp; Items'!$L$11)-1,0)</f>
        <v>2</v>
      </c>
      <c r="AR1331" s="180">
        <f t="shared" si="308"/>
        <v>1</v>
      </c>
      <c r="AS1331" s="180">
        <f t="shared" si="309"/>
        <v>1</v>
      </c>
      <c r="AT1331" s="180">
        <f t="shared" si="310"/>
        <v>1</v>
      </c>
      <c r="AU1331" s="180" t="str">
        <f t="shared" si="321"/>
        <v>.</v>
      </c>
      <c r="AV1331" s="180" t="str">
        <f t="shared" si="320"/>
        <v>.</v>
      </c>
      <c r="AW1331" s="180">
        <f>IFERROR(VLOOKUP(B1331,'Share, Heavy Weapons to Ukraine'!B:J,COLUMN('Share, Heavy Weapons to Ukraine'!C1341)-1,0),0)</f>
        <v>1</v>
      </c>
      <c r="AX1331" s="180">
        <f>VLOOKUP('Bilateral Assistance, MAIN DATA'!B1331,'Country Summary'!B:F,COLUMN('Country Summary'!C1344)-1,FALSE)</f>
        <v>0</v>
      </c>
      <c r="AY1331" s="180" t="str">
        <f>IF(AND(AD1331=1,D1331="Military",H1331&lt;&gt;"Not given")=TRUE,IF(SUMIFS(P:P,A:A,A1331)&gt;0,ABS((SUMIFS(P:P,A:A,A1331)/VLOOKUP("USD",'Exchange Rates'!B:C,2,0)))/S1331,"."),".")</f>
        <v>.</v>
      </c>
      <c r="AZ1331" s="182" t="str">
        <f>IF(AND(AD1331=1,D1331="Military",H1331&lt;&gt;"Not given")=TRUE,IF(SUMIFS(P:P,A:A,A1331)&gt;0,IF((ABS((SUMIFS(P:P,A:A,A1331)/VLOOKUP("USD",'Exchange Rates'!B:C,2,0)))/S1331)&gt;1,(SUMIFS(P:P,A:A,A1331)-S1331)/S1331,(S1331-SUMIFS(P:P,A:A,A1331))/SUMIFS(P:P,A:A,A1331)),"."),".")</f>
        <v>.</v>
      </c>
      <c r="BA1331" s="182"/>
      <c r="BB1331" s="182"/>
      <c r="BC1331" s="182"/>
      <c r="BD1331" s="182"/>
      <c r="BE1331" s="182"/>
      <c r="BF1331" s="182"/>
      <c r="BG1331" s="182"/>
      <c r="BH1331" s="182"/>
      <c r="BI1331" s="182"/>
      <c r="BJ1331" s="182"/>
      <c r="BK1331" s="182"/>
      <c r="BL1331" s="182"/>
      <c r="BM1331" s="182"/>
      <c r="BN1331" s="182"/>
      <c r="BO1331" s="182"/>
      <c r="BP1331" s="182"/>
      <c r="BQ1331" s="182"/>
      <c r="BR1331" s="182"/>
      <c r="BS1331" s="182"/>
    </row>
    <row r="1332" spans="1:71" s="523" customFormat="1" ht="15.9" customHeight="1" x14ac:dyDescent="0.3">
      <c r="A1332" s="19" t="s">
        <v>3370</v>
      </c>
      <c r="B1332" s="19" t="s">
        <v>3038</v>
      </c>
      <c r="C1332" s="555">
        <v>44904</v>
      </c>
      <c r="D1332" s="19" t="s">
        <v>285</v>
      </c>
      <c r="E1332" s="19" t="s">
        <v>286</v>
      </c>
      <c r="F1332" s="1139" t="s">
        <v>3387</v>
      </c>
      <c r="G1332" s="15" t="s">
        <v>346</v>
      </c>
      <c r="H1332" s="200">
        <v>275000000</v>
      </c>
      <c r="I1332" s="17" t="s">
        <v>1457</v>
      </c>
      <c r="J1332" s="113" t="str">
        <f>VLOOKUP($I1332,'Price List, Weapons &amp; Items'!B:C,2,0)</f>
        <v>Military equipment</v>
      </c>
      <c r="K1332" s="113" t="str">
        <f>IF(I1332=".",I1332,VLOOKUP($I1332,'Price List, Weapons &amp; Items'!B:D,3,0))</f>
        <v>Military equipment</v>
      </c>
      <c r="L1332" s="177">
        <f>VLOOKUP(I1332,'Price List, Weapons &amp; Items'!B:E,4,0)</f>
        <v>0</v>
      </c>
      <c r="M1332" s="542">
        <v>150</v>
      </c>
      <c r="N1332" s="542" t="s">
        <v>270</v>
      </c>
      <c r="O1332" s="543">
        <f>VLOOKUP($I1332,'Price List, Weapons &amp; Items'!B:G,6,0)</f>
        <v>22216</v>
      </c>
      <c r="P1332" s="176">
        <f t="shared" si="326"/>
        <v>3332400</v>
      </c>
      <c r="Q1332" s="176" t="str">
        <f t="shared" si="327"/>
        <v>.</v>
      </c>
      <c r="R1332" s="176" t="str">
        <f t="shared" si="325"/>
        <v/>
      </c>
      <c r="S1332" s="176" t="str">
        <f>IF(AND(AD1332=1,R1332&lt;&gt;".")=TRUE,R1332/VLOOKUP(G1332,'Exchange Rates'!B:C,2,0),IF(R1332=".",".",""))</f>
        <v/>
      </c>
      <c r="T1332" s="176" t="str">
        <f>IF(AD1332=1,IF(AF1332="Value is not given at all",".",IF(AF1332="Value is given by the source",S1332,IF(AF1332="Value is calculated with prices",(IF(SUMIFS(Q:Q,A:A,A1332)&gt;0,SUMIFS(Q:Q,A:A,A1332),"."))/VLOOKUP("USD",'Exchange Rates'!B:C,2,0),"Error with coding"))),"")</f>
        <v/>
      </c>
      <c r="U1332" s="15" t="s">
        <v>261</v>
      </c>
      <c r="V1332" s="304" t="s">
        <v>3388</v>
      </c>
      <c r="W1332" s="814" t="s">
        <v>3059</v>
      </c>
      <c r="X1332" s="665" t="s">
        <v>3062</v>
      </c>
      <c r="Y1332" s="671" t="s">
        <v>3147</v>
      </c>
      <c r="Z1332" s="15">
        <v>0</v>
      </c>
      <c r="AA1332" s="180">
        <v>1</v>
      </c>
      <c r="AB1332" s="669" t="s">
        <v>260</v>
      </c>
      <c r="AC1332" s="544"/>
      <c r="AD1332" s="181">
        <v>0</v>
      </c>
      <c r="AE1332" s="181" t="s">
        <v>264</v>
      </c>
      <c r="AF1332" s="181" t="s">
        <v>265</v>
      </c>
      <c r="AG1332" s="181">
        <v>1</v>
      </c>
      <c r="AH1332" s="181">
        <v>12</v>
      </c>
      <c r="AI1332" s="181">
        <v>0</v>
      </c>
      <c r="AJ1332" s="181">
        <f>VLOOKUP($I1332,'Price List, Weapons &amp; Items'!B:F,5,0)</f>
        <v>0</v>
      </c>
      <c r="AK1332" s="181">
        <f t="shared" si="305"/>
        <v>0</v>
      </c>
      <c r="AL1332" s="181">
        <f t="shared" si="306"/>
        <v>0</v>
      </c>
      <c r="AM1332" s="181">
        <f t="shared" si="307"/>
        <v>0</v>
      </c>
      <c r="AN1332" s="180" t="str">
        <f>VLOOKUP($I1332,'Price List, Weapons &amp; Items'!B:L,COLUMN('Price List, Weapons &amp; Items'!$J$11)-1,0)</f>
        <v>Government information</v>
      </c>
      <c r="AO1332" s="180" t="str">
        <f>IF(I1332=".",".",VLOOKUP($I1332,'Price List, Weapons &amp; Items'!B:J,3,0))</f>
        <v>Military equipment</v>
      </c>
      <c r="AP1332" s="545" t="str">
        <f t="shared" ca="1" si="324"/>
        <v/>
      </c>
      <c r="AQ1332" s="180">
        <f>VLOOKUP($I1332,'Price List, Weapons &amp; Items'!B:L,COLUMN('Price List, Weapons &amp; Items'!$L$11)-1,0)</f>
        <v>2</v>
      </c>
      <c r="AR1332" s="180">
        <f t="shared" si="308"/>
        <v>1</v>
      </c>
      <c r="AS1332" s="180">
        <f t="shared" si="309"/>
        <v>1</v>
      </c>
      <c r="AT1332" s="180">
        <f t="shared" si="310"/>
        <v>1</v>
      </c>
      <c r="AU1332" s="180" t="str">
        <f t="shared" si="321"/>
        <v>.</v>
      </c>
      <c r="AV1332" s="180" t="str">
        <f t="shared" si="320"/>
        <v>.</v>
      </c>
      <c r="AW1332" s="180">
        <f>IFERROR(VLOOKUP(B1332,'Share, Heavy Weapons to Ukraine'!B:J,COLUMN('Share, Heavy Weapons to Ukraine'!C1342)-1,0),0)</f>
        <v>1</v>
      </c>
      <c r="AX1332" s="180">
        <f>VLOOKUP('Bilateral Assistance, MAIN DATA'!B1332,'Country Summary'!B:F,COLUMN('Country Summary'!C1345)-1,FALSE)</f>
        <v>0</v>
      </c>
      <c r="AY1332" s="180" t="str">
        <f>IF(AND(AD1332=1,D1332="Military",H1332&lt;&gt;"Not given")=TRUE,IF(SUMIFS(P:P,A:A,A1332)&gt;0,ABS((SUMIFS(P:P,A:A,A1332)/VLOOKUP("USD",'Exchange Rates'!B:C,2,0)))/S1332,"."),".")</f>
        <v>.</v>
      </c>
      <c r="AZ1332" s="182" t="str">
        <f>IF(AND(AD1332=1,D1332="Military",H1332&lt;&gt;"Not given")=TRUE,IF(SUMIFS(P:P,A:A,A1332)&gt;0,IF((ABS((SUMIFS(P:P,A:A,A1332)/VLOOKUP("USD",'Exchange Rates'!B:C,2,0)))/S1332)&gt;1,(SUMIFS(P:P,A:A,A1332)-S1332)/S1332,(S1332-SUMIFS(P:P,A:A,A1332))/SUMIFS(P:P,A:A,A1332)),"."),".")</f>
        <v>.</v>
      </c>
      <c r="BA1332" s="182"/>
      <c r="BB1332" s="182"/>
      <c r="BC1332" s="182"/>
      <c r="BD1332" s="182"/>
      <c r="BE1332" s="182"/>
      <c r="BF1332" s="182"/>
      <c r="BG1332" s="182"/>
      <c r="BH1332" s="182"/>
      <c r="BI1332" s="182"/>
      <c r="BJ1332" s="182"/>
      <c r="BK1332" s="182"/>
      <c r="BL1332" s="182"/>
      <c r="BM1332" s="182"/>
      <c r="BN1332" s="182"/>
      <c r="BO1332" s="182"/>
      <c r="BP1332" s="182"/>
      <c r="BQ1332" s="182"/>
      <c r="BR1332" s="182"/>
      <c r="BS1332" s="182"/>
    </row>
    <row r="1333" spans="1:71" s="523" customFormat="1" ht="15.9" customHeight="1" x14ac:dyDescent="0.3">
      <c r="A1333" s="19" t="s">
        <v>3370</v>
      </c>
      <c r="B1333" s="19" t="s">
        <v>3038</v>
      </c>
      <c r="C1333" s="555">
        <v>44916</v>
      </c>
      <c r="D1333" s="19" t="s">
        <v>285</v>
      </c>
      <c r="E1333" s="19" t="s">
        <v>286</v>
      </c>
      <c r="F1333" s="1139" t="s">
        <v>3389</v>
      </c>
      <c r="G1333" s="15" t="s">
        <v>346</v>
      </c>
      <c r="H1333" s="200">
        <v>1000000000</v>
      </c>
      <c r="I1333" s="17" t="s">
        <v>1579</v>
      </c>
      <c r="J1333" s="113" t="str">
        <f>VLOOKUP($I1333,'Price List, Weapons &amp; Items'!B:C,2,0)</f>
        <v>Heavy weapon</v>
      </c>
      <c r="K1333" s="113" t="str">
        <f>IF(I1333=".",I1333,VLOOKUP($I1333,'Price List, Weapons &amp; Items'!B:D,3,0))</f>
        <v>Anti-aircraft surface-to-air missile (SAM) system (long-range)</v>
      </c>
      <c r="L1333" s="177">
        <f>VLOOKUP(I1333,'Price List, Weapons &amp; Items'!B:E,4,0)</f>
        <v>0</v>
      </c>
      <c r="M1333" s="542">
        <v>1</v>
      </c>
      <c r="N1333" s="542" t="s">
        <v>270</v>
      </c>
      <c r="O1333" s="543">
        <f>VLOOKUP($I1333,'Price List, Weapons &amp; Items'!B:G,6,0)</f>
        <v>400000000</v>
      </c>
      <c r="P1333" s="176">
        <f t="shared" si="326"/>
        <v>400000000</v>
      </c>
      <c r="Q1333" s="176" t="str">
        <f t="shared" si="327"/>
        <v>.</v>
      </c>
      <c r="R1333" s="176" t="str">
        <f t="shared" si="325"/>
        <v/>
      </c>
      <c r="S1333" s="176" t="str">
        <f>IF(AND(AD1333=1,R1333&lt;&gt;".")=TRUE,R1333/VLOOKUP(G1333,'Exchange Rates'!B:C,2,0),IF(R1333=".",".",""))</f>
        <v/>
      </c>
      <c r="T1333" s="176" t="str">
        <f>IF(AD1333=1,IF(AF1333="Value is not given at all",".",IF(AF1333="Value is given by the source",S1333,IF(AF1333="Value is calculated with prices",(IF(SUMIFS(Q:Q,A:A,A1333)&gt;0,SUMIFS(Q:Q,A:A,A1333),"."))/VLOOKUP("USD",'Exchange Rates'!B:C,2,0),"Error with coding"))),"")</f>
        <v/>
      </c>
      <c r="U1333" s="15" t="s">
        <v>261</v>
      </c>
      <c r="V1333" s="305" t="s">
        <v>3390</v>
      </c>
      <c r="W1333" s="814" t="s">
        <v>3059</v>
      </c>
      <c r="X1333" s="665" t="s">
        <v>3062</v>
      </c>
      <c r="Y1333" s="671" t="s">
        <v>3148</v>
      </c>
      <c r="Z1333" s="15">
        <v>0</v>
      </c>
      <c r="AA1333" s="180">
        <v>1</v>
      </c>
      <c r="AB1333" s="669" t="s">
        <v>260</v>
      </c>
      <c r="AC1333" s="544"/>
      <c r="AD1333" s="181">
        <v>0</v>
      </c>
      <c r="AE1333" s="181" t="s">
        <v>264</v>
      </c>
      <c r="AF1333" s="181" t="s">
        <v>265</v>
      </c>
      <c r="AG1333" s="181">
        <v>1</v>
      </c>
      <c r="AH1333" s="181">
        <v>12</v>
      </c>
      <c r="AI1333" s="181">
        <v>0</v>
      </c>
      <c r="AJ1333" s="181">
        <f>VLOOKUP($I1333,'Price List, Weapons &amp; Items'!B:F,5,0)</f>
        <v>1</v>
      </c>
      <c r="AK1333" s="181">
        <f t="shared" si="305"/>
        <v>0</v>
      </c>
      <c r="AL1333" s="181">
        <f t="shared" si="306"/>
        <v>1</v>
      </c>
      <c r="AM1333" s="181">
        <f t="shared" si="307"/>
        <v>0</v>
      </c>
      <c r="AN1333" s="180" t="str">
        <f>VLOOKUP($I1333,'Price List, Weapons &amp; Items'!B:L,COLUMN('Price List, Weapons &amp; Items'!$J$11)-1,0)</f>
        <v>Military media (incl. websites)</v>
      </c>
      <c r="AO1333" s="180" t="str">
        <f>IF(I1333=".",".",VLOOKUP($I1333,'Price List, Weapons &amp; Items'!B:J,3,0))</f>
        <v>Anti-aircraft surface-to-air missile (SAM) system (long-range)</v>
      </c>
      <c r="AP1333" s="545" t="str">
        <f t="shared" ca="1" si="324"/>
        <v/>
      </c>
      <c r="AQ1333" s="180">
        <f>VLOOKUP($I1333,'Price List, Weapons &amp; Items'!B:L,COLUMN('Price List, Weapons &amp; Items'!$L$11)-1,0)</f>
        <v>2</v>
      </c>
      <c r="AR1333" s="180">
        <f t="shared" si="308"/>
        <v>1</v>
      </c>
      <c r="AS1333" s="180">
        <f t="shared" si="309"/>
        <v>1</v>
      </c>
      <c r="AT1333" s="180">
        <f t="shared" si="310"/>
        <v>1</v>
      </c>
      <c r="AU1333" s="180" t="str">
        <f t="shared" si="321"/>
        <v>.</v>
      </c>
      <c r="AV1333" s="180" t="str">
        <f t="shared" si="320"/>
        <v>.</v>
      </c>
      <c r="AW1333" s="180">
        <f>IFERROR(VLOOKUP(B1333,'Share, Heavy Weapons to Ukraine'!B:J,COLUMN('Share, Heavy Weapons to Ukraine'!C1343)-1,0),0)</f>
        <v>1</v>
      </c>
      <c r="AX1333" s="180">
        <f>VLOOKUP('Bilateral Assistance, MAIN DATA'!B1333,'Country Summary'!B:F,COLUMN('Country Summary'!C1346)-1,FALSE)</f>
        <v>0</v>
      </c>
      <c r="AY1333" s="180" t="str">
        <f>IF(AND(AD1333=1,D1333="Military",H1333&lt;&gt;"Not given")=TRUE,IF(SUMIFS(P:P,A:A,A1333)&gt;0,ABS((SUMIFS(P:P,A:A,A1333)/VLOOKUP("USD",'Exchange Rates'!B:C,2,0)))/S1333,"."),".")</f>
        <v>.</v>
      </c>
      <c r="AZ1333" s="182" t="str">
        <f>IF(AND(AD1333=1,D1333="Military",H1333&lt;&gt;"Not given")=TRUE,IF(SUMIFS(P:P,A:A,A1333)&gt;0,IF((ABS((SUMIFS(P:P,A:A,A1333)/VLOOKUP("USD",'Exchange Rates'!B:C,2,0)))/S1333)&gt;1,(SUMIFS(P:P,A:A,A1333)-S1333)/S1333,(S1333-SUMIFS(P:P,A:A,A1333))/SUMIFS(P:P,A:A,A1333)),"."),".")</f>
        <v>.</v>
      </c>
      <c r="BA1333" s="182"/>
      <c r="BB1333" s="182"/>
      <c r="BC1333" s="182"/>
      <c r="BD1333" s="182"/>
      <c r="BE1333" s="182"/>
      <c r="BF1333" s="182"/>
      <c r="BG1333" s="182"/>
      <c r="BH1333" s="182"/>
      <c r="BI1333" s="182"/>
      <c r="BJ1333" s="182"/>
      <c r="BK1333" s="182"/>
      <c r="BL1333" s="182"/>
      <c r="BM1333" s="182"/>
      <c r="BN1333" s="182"/>
      <c r="BO1333" s="182"/>
      <c r="BP1333" s="182"/>
      <c r="BQ1333" s="182"/>
      <c r="BR1333" s="182"/>
      <c r="BS1333" s="182"/>
    </row>
    <row r="1334" spans="1:71" s="523" customFormat="1" ht="15.9" customHeight="1" x14ac:dyDescent="0.3">
      <c r="A1334" s="19" t="s">
        <v>3370</v>
      </c>
      <c r="B1334" s="19" t="s">
        <v>3038</v>
      </c>
      <c r="C1334" s="555">
        <v>44916</v>
      </c>
      <c r="D1334" s="19" t="s">
        <v>285</v>
      </c>
      <c r="E1334" s="19" t="s">
        <v>286</v>
      </c>
      <c r="F1334" s="1139" t="s">
        <v>3389</v>
      </c>
      <c r="G1334" s="15" t="s">
        <v>346</v>
      </c>
      <c r="H1334" s="200">
        <v>1000000000</v>
      </c>
      <c r="I1334" s="17" t="s">
        <v>1581</v>
      </c>
      <c r="J1334" s="113" t="str">
        <f>VLOOKUP($I1334,'Price List, Weapons &amp; Items'!B:C,2,0)</f>
        <v>Heavy weapon</v>
      </c>
      <c r="K1334" s="113" t="str">
        <f>IF(I1334=".",I1334,VLOOKUP($I1334,'Price List, Weapons &amp; Items'!B:D,3,0))</f>
        <v>Surface-to-air missile (SAM)</v>
      </c>
      <c r="L1334" s="177">
        <f>VLOOKUP(I1334,'Price List, Weapons &amp; Items'!B:E,4,0)</f>
        <v>0</v>
      </c>
      <c r="M1334" s="542" t="s">
        <v>270</v>
      </c>
      <c r="N1334" s="542" t="s">
        <v>270</v>
      </c>
      <c r="O1334" s="543">
        <f>VLOOKUP($I1334,'Price List, Weapons &amp; Items'!B:G,6,0)</f>
        <v>3000000</v>
      </c>
      <c r="P1334" s="176" t="str">
        <f t="shared" si="326"/>
        <v>.</v>
      </c>
      <c r="Q1334" s="176" t="str">
        <f t="shared" si="327"/>
        <v>.</v>
      </c>
      <c r="R1334" s="176" t="str">
        <f t="shared" si="325"/>
        <v/>
      </c>
      <c r="S1334" s="176" t="str">
        <f>IF(AND(AD1334=1,R1334&lt;&gt;".")=TRUE,R1334/VLOOKUP(G1334,'Exchange Rates'!B:C,2,0),IF(R1334=".",".",""))</f>
        <v/>
      </c>
      <c r="T1334" s="176" t="str">
        <f>IF(AD1334=1,IF(AF1334="Value is not given at all",".",IF(AF1334="Value is given by the source",S1334,IF(AF1334="Value is calculated with prices",(IF(SUMIFS(Q:Q,A:A,A1334)&gt;0,SUMIFS(Q:Q,A:A,A1334),"."))/VLOOKUP("USD",'Exchange Rates'!B:C,2,0),"Error with coding"))),"")</f>
        <v/>
      </c>
      <c r="U1334" s="15" t="s">
        <v>261</v>
      </c>
      <c r="V1334" s="305" t="s">
        <v>3390</v>
      </c>
      <c r="W1334" s="814" t="s">
        <v>3059</v>
      </c>
      <c r="X1334" s="665" t="s">
        <v>3062</v>
      </c>
      <c r="Y1334" s="671" t="s">
        <v>3151</v>
      </c>
      <c r="Z1334" s="15">
        <v>0</v>
      </c>
      <c r="AA1334" s="180">
        <v>1</v>
      </c>
      <c r="AB1334" s="669" t="s">
        <v>260</v>
      </c>
      <c r="AC1334" s="544"/>
      <c r="AD1334" s="181">
        <v>0</v>
      </c>
      <c r="AE1334" s="181" t="s">
        <v>264</v>
      </c>
      <c r="AF1334" s="181" t="s">
        <v>265</v>
      </c>
      <c r="AG1334" s="181">
        <v>1</v>
      </c>
      <c r="AH1334" s="181">
        <v>12</v>
      </c>
      <c r="AI1334" s="181">
        <v>0</v>
      </c>
      <c r="AJ1334" s="181">
        <f>VLOOKUP($I1334,'Price List, Weapons &amp; Items'!B:F,5,0)</f>
        <v>1</v>
      </c>
      <c r="AK1334" s="181">
        <f t="shared" si="305"/>
        <v>1</v>
      </c>
      <c r="AL1334" s="181">
        <f t="shared" si="306"/>
        <v>1</v>
      </c>
      <c r="AM1334" s="181">
        <f t="shared" si="307"/>
        <v>0</v>
      </c>
      <c r="AN1334" s="180" t="str">
        <f>VLOOKUP($I1334,'Price List, Weapons &amp; Items'!B:L,COLUMN('Price List, Weapons &amp; Items'!$J$11)-1,0)</f>
        <v>Media reports (incl. social media)</v>
      </c>
      <c r="AO1334" s="180" t="str">
        <f>IF(I1334=".",".",VLOOKUP($I1334,'Price List, Weapons &amp; Items'!B:J,3,0))</f>
        <v>Surface-to-air missile (SAM)</v>
      </c>
      <c r="AP1334" s="545" t="str">
        <f t="shared" ca="1" si="324"/>
        <v/>
      </c>
      <c r="AQ1334" s="180" t="str">
        <f>VLOOKUP($I1334,'Price List, Weapons &amp; Items'!B:L,COLUMN('Price List, Weapons &amp; Items'!$L$11)-1,0)</f>
        <v>no price, 0 count</v>
      </c>
      <c r="AR1334" s="180">
        <f t="shared" si="308"/>
        <v>1</v>
      </c>
      <c r="AS1334" s="180">
        <f t="shared" si="309"/>
        <v>1</v>
      </c>
      <c r="AT1334" s="180">
        <f t="shared" si="310"/>
        <v>1</v>
      </c>
      <c r="AU1334" s="180" t="str">
        <f t="shared" si="321"/>
        <v>.</v>
      </c>
      <c r="AV1334" s="180" t="str">
        <f t="shared" si="320"/>
        <v>.</v>
      </c>
      <c r="AW1334" s="180">
        <f>IFERROR(VLOOKUP(B1334,'Share, Heavy Weapons to Ukraine'!B:J,COLUMN('Share, Heavy Weapons to Ukraine'!C1344)-1,0),0)</f>
        <v>1</v>
      </c>
      <c r="AX1334" s="180">
        <f>VLOOKUP('Bilateral Assistance, MAIN DATA'!B1334,'Country Summary'!B:F,COLUMN('Country Summary'!C1347)-1,FALSE)</f>
        <v>0</v>
      </c>
      <c r="AY1334" s="180" t="str">
        <f>IF(AND(AD1334=1,D1334="Military",H1334&lt;&gt;"Not given")=TRUE,IF(SUMIFS(P:P,A:A,A1334)&gt;0,ABS((SUMIFS(P:P,A:A,A1334)/VLOOKUP("USD",'Exchange Rates'!B:C,2,0)))/S1334,"."),".")</f>
        <v>.</v>
      </c>
      <c r="AZ1334" s="182" t="str">
        <f>IF(AND(AD1334=1,D1334="Military",H1334&lt;&gt;"Not given")=TRUE,IF(SUMIFS(P:P,A:A,A1334)&gt;0,IF((ABS((SUMIFS(P:P,A:A,A1334)/VLOOKUP("USD",'Exchange Rates'!B:C,2,0)))/S1334)&gt;1,(SUMIFS(P:P,A:A,A1334)-S1334)/S1334,(S1334-SUMIFS(P:P,A:A,A1334))/SUMIFS(P:P,A:A,A1334)),"."),".")</f>
        <v>.</v>
      </c>
      <c r="BA1334" s="182"/>
      <c r="BB1334" s="182"/>
      <c r="BC1334" s="182"/>
      <c r="BD1334" s="182"/>
      <c r="BE1334" s="182"/>
      <c r="BF1334" s="182"/>
      <c r="BG1334" s="182"/>
      <c r="BH1334" s="182"/>
      <c r="BI1334" s="182"/>
      <c r="BJ1334" s="182"/>
      <c r="BK1334" s="182"/>
      <c r="BL1334" s="182"/>
      <c r="BM1334" s="182"/>
      <c r="BN1334" s="182"/>
      <c r="BO1334" s="182"/>
      <c r="BP1334" s="182"/>
      <c r="BQ1334" s="182"/>
      <c r="BR1334" s="182"/>
      <c r="BS1334" s="182"/>
    </row>
    <row r="1335" spans="1:71" s="523" customFormat="1" ht="15.9" customHeight="1" x14ac:dyDescent="0.3">
      <c r="A1335" s="19" t="s">
        <v>3370</v>
      </c>
      <c r="B1335" s="19" t="s">
        <v>3038</v>
      </c>
      <c r="C1335" s="555">
        <v>44916</v>
      </c>
      <c r="D1335" s="19" t="s">
        <v>285</v>
      </c>
      <c r="E1335" s="19" t="s">
        <v>286</v>
      </c>
      <c r="F1335" s="1139" t="s">
        <v>3389</v>
      </c>
      <c r="G1335" s="15" t="s">
        <v>346</v>
      </c>
      <c r="H1335" s="200">
        <v>1000000000</v>
      </c>
      <c r="I1335" s="17" t="s">
        <v>3376</v>
      </c>
      <c r="J1335" s="113" t="str">
        <f>VLOOKUP($I1335,'Price List, Weapons &amp; Items'!B:C,2,0)</f>
        <v>Ammunition for heavy weapon</v>
      </c>
      <c r="K1335" s="113" t="str">
        <f>IF(I1335=".",I1335,VLOOKUP($I1335,'Price List, Weapons &amp; Items'!B:D,3,0))</f>
        <v>artillery round</v>
      </c>
      <c r="L1335" s="177">
        <f>VLOOKUP(I1335,'Price List, Weapons &amp; Items'!B:E,4,0)</f>
        <v>0</v>
      </c>
      <c r="M1335" s="542">
        <v>500</v>
      </c>
      <c r="N1335" s="542" t="s">
        <v>270</v>
      </c>
      <c r="O1335" s="543">
        <f>VLOOKUP($I1335,'Price List, Weapons &amp; Items'!B:G,6,0)</f>
        <v>112800</v>
      </c>
      <c r="P1335" s="176">
        <f t="shared" si="326"/>
        <v>56400000</v>
      </c>
      <c r="Q1335" s="176" t="str">
        <f t="shared" si="327"/>
        <v>.</v>
      </c>
      <c r="R1335" s="176" t="str">
        <f t="shared" si="325"/>
        <v/>
      </c>
      <c r="S1335" s="176" t="str">
        <f>IF(AND(AD1335=1,R1335&lt;&gt;".")=TRUE,R1335/VLOOKUP(G1335,'Exchange Rates'!B:C,2,0),IF(R1335=".",".",""))</f>
        <v/>
      </c>
      <c r="T1335" s="176" t="str">
        <f>IF(AD1335=1,IF(AF1335="Value is not given at all",".",IF(AF1335="Value is given by the source",S1335,IF(AF1335="Value is calculated with prices",(IF(SUMIFS(Q:Q,A:A,A1335)&gt;0,SUMIFS(Q:Q,A:A,A1335),"."))/VLOOKUP("USD",'Exchange Rates'!B:C,2,0),"Error with coding"))),"")</f>
        <v/>
      </c>
      <c r="U1335" s="15" t="s">
        <v>261</v>
      </c>
      <c r="V1335" s="305" t="s">
        <v>3390</v>
      </c>
      <c r="W1335" s="814" t="s">
        <v>3059</v>
      </c>
      <c r="X1335" s="665" t="s">
        <v>3062</v>
      </c>
      <c r="Y1335" s="671" t="s">
        <v>3152</v>
      </c>
      <c r="Z1335" s="15">
        <v>0</v>
      </c>
      <c r="AA1335" s="180">
        <v>1</v>
      </c>
      <c r="AB1335" s="669" t="s">
        <v>260</v>
      </c>
      <c r="AC1335" s="544"/>
      <c r="AD1335" s="181">
        <v>0</v>
      </c>
      <c r="AE1335" s="181" t="s">
        <v>264</v>
      </c>
      <c r="AF1335" s="181" t="s">
        <v>265</v>
      </c>
      <c r="AG1335" s="181">
        <v>1</v>
      </c>
      <c r="AH1335" s="181">
        <v>12</v>
      </c>
      <c r="AI1335" s="181">
        <v>0</v>
      </c>
      <c r="AJ1335" s="181">
        <f>VLOOKUP($I1335,'Price List, Weapons &amp; Items'!B:F,5,0)</f>
        <v>0</v>
      </c>
      <c r="AK1335" s="181">
        <f t="shared" si="305"/>
        <v>0</v>
      </c>
      <c r="AL1335" s="181">
        <f t="shared" si="306"/>
        <v>0</v>
      </c>
      <c r="AM1335" s="181">
        <f t="shared" si="307"/>
        <v>0</v>
      </c>
      <c r="AN1335" s="180" t="str">
        <f>VLOOKUP($I1335,'Price List, Weapons &amp; Items'!B:L,COLUMN('Price List, Weapons &amp; Items'!$J$11)-1,0)</f>
        <v>Miscellaneous</v>
      </c>
      <c r="AO1335" s="180" t="str">
        <f>IF(I1335=".",".",VLOOKUP($I1335,'Price List, Weapons &amp; Items'!B:J,3,0))</f>
        <v>artillery round</v>
      </c>
      <c r="AP1335" s="545" t="str">
        <f t="shared" ca="1" si="324"/>
        <v/>
      </c>
      <c r="AQ1335" s="180">
        <f>VLOOKUP($I1335,'Price List, Weapons &amp; Items'!B:L,COLUMN('Price List, Weapons &amp; Items'!$L$11)-1,0)</f>
        <v>2</v>
      </c>
      <c r="AR1335" s="180">
        <f t="shared" si="308"/>
        <v>1</v>
      </c>
      <c r="AS1335" s="180">
        <f t="shared" si="309"/>
        <v>1</v>
      </c>
      <c r="AT1335" s="180">
        <f t="shared" si="310"/>
        <v>1</v>
      </c>
      <c r="AU1335" s="180" t="str">
        <f t="shared" si="321"/>
        <v>.</v>
      </c>
      <c r="AV1335" s="180" t="str">
        <f t="shared" si="320"/>
        <v>.</v>
      </c>
      <c r="AW1335" s="180">
        <f>IFERROR(VLOOKUP(B1335,'Share, Heavy Weapons to Ukraine'!B:J,COLUMN('Share, Heavy Weapons to Ukraine'!C1345)-1,0),0)</f>
        <v>1</v>
      </c>
      <c r="AX1335" s="180">
        <f>VLOOKUP('Bilateral Assistance, MAIN DATA'!B1335,'Country Summary'!B:F,COLUMN('Country Summary'!C1348)-1,FALSE)</f>
        <v>0</v>
      </c>
      <c r="AY1335" s="180" t="str">
        <f>IF(AND(AD1335=1,D1335="Military",H1335&lt;&gt;"Not given")=TRUE,IF(SUMIFS(P:P,A:A,A1335)&gt;0,ABS((SUMIFS(P:P,A:A,A1335)/VLOOKUP("USD",'Exchange Rates'!B:C,2,0)))/S1335,"."),".")</f>
        <v>.</v>
      </c>
      <c r="AZ1335" s="182" t="str">
        <f>IF(AND(AD1335=1,D1335="Military",H1335&lt;&gt;"Not given")=TRUE,IF(SUMIFS(P:P,A:A,A1335)&gt;0,IF((ABS((SUMIFS(P:P,A:A,A1335)/VLOOKUP("USD",'Exchange Rates'!B:C,2,0)))/S1335)&gt;1,(SUMIFS(P:P,A:A,A1335)-S1335)/S1335,(S1335-SUMIFS(P:P,A:A,A1335))/SUMIFS(P:P,A:A,A1335)),"."),".")</f>
        <v>.</v>
      </c>
      <c r="BA1335" s="182"/>
      <c r="BB1335" s="182"/>
      <c r="BC1335" s="182"/>
      <c r="BD1335" s="182"/>
      <c r="BE1335" s="182"/>
      <c r="BF1335" s="182"/>
      <c r="BG1335" s="182"/>
      <c r="BH1335" s="182"/>
      <c r="BI1335" s="182"/>
      <c r="BJ1335" s="182"/>
      <c r="BK1335" s="182"/>
      <c r="BL1335" s="182"/>
      <c r="BM1335" s="182"/>
      <c r="BN1335" s="182"/>
      <c r="BO1335" s="182"/>
      <c r="BP1335" s="182"/>
      <c r="BQ1335" s="182"/>
      <c r="BR1335" s="182"/>
      <c r="BS1335" s="182"/>
    </row>
    <row r="1336" spans="1:71" s="523" customFormat="1" ht="15.9" customHeight="1" x14ac:dyDescent="0.3">
      <c r="A1336" s="19" t="s">
        <v>3370</v>
      </c>
      <c r="B1336" s="19" t="s">
        <v>3038</v>
      </c>
      <c r="C1336" s="555">
        <v>44916</v>
      </c>
      <c r="D1336" s="19" t="s">
        <v>285</v>
      </c>
      <c r="E1336" s="19" t="s">
        <v>286</v>
      </c>
      <c r="F1336" s="1139" t="s">
        <v>3389</v>
      </c>
      <c r="G1336" s="15" t="s">
        <v>346</v>
      </c>
      <c r="H1336" s="200">
        <v>1000000000</v>
      </c>
      <c r="I1336" s="17" t="s">
        <v>3218</v>
      </c>
      <c r="J1336" s="113" t="str">
        <f>VLOOKUP($I1336,'Price List, Weapons &amp; Items'!B:C,2,0)</f>
        <v>Heavy weapon</v>
      </c>
      <c r="K1336" s="113" t="str">
        <f>IF(I1336=".",I1336,VLOOKUP($I1336,'Price List, Weapons &amp; Items'!B:D,3,0))</f>
        <v>Mortar</v>
      </c>
      <c r="L1336" s="177">
        <f>VLOOKUP(I1336,'Price List, Weapons &amp; Items'!B:E,4,0)</f>
        <v>0</v>
      </c>
      <c r="M1336" s="542">
        <v>10</v>
      </c>
      <c r="N1336" s="542" t="s">
        <v>270</v>
      </c>
      <c r="O1336" s="543">
        <f>VLOOKUP($I1336,'Price List, Weapons &amp; Items'!B:G,6,0)</f>
        <v>388500</v>
      </c>
      <c r="P1336" s="176">
        <f t="shared" si="326"/>
        <v>3885000</v>
      </c>
      <c r="Q1336" s="176" t="str">
        <f t="shared" si="327"/>
        <v>.</v>
      </c>
      <c r="R1336" s="176" t="str">
        <f t="shared" si="325"/>
        <v/>
      </c>
      <c r="S1336" s="176" t="str">
        <f>IF(AND(AD1336=1,R1336&lt;&gt;".")=TRUE,R1336/VLOOKUP(G1336,'Exchange Rates'!B:C,2,0),IF(R1336=".",".",""))</f>
        <v/>
      </c>
      <c r="T1336" s="176" t="str">
        <f>IF(AD1336=1,IF(AF1336="Value is not given at all",".",IF(AF1336="Value is given by the source",S1336,IF(AF1336="Value is calculated with prices",(IF(SUMIFS(Q:Q,A:A,A1336)&gt;0,SUMIFS(Q:Q,A:A,A1336),"."))/VLOOKUP("USD",'Exchange Rates'!B:C,2,0),"Error with coding"))),"")</f>
        <v/>
      </c>
      <c r="U1336" s="15" t="s">
        <v>261</v>
      </c>
      <c r="V1336" s="305" t="s">
        <v>3390</v>
      </c>
      <c r="W1336" s="814" t="s">
        <v>3059</v>
      </c>
      <c r="X1336" s="665" t="s">
        <v>3062</v>
      </c>
      <c r="Y1336" s="671" t="s">
        <v>3154</v>
      </c>
      <c r="Z1336" s="15">
        <v>0</v>
      </c>
      <c r="AA1336" s="180">
        <v>1</v>
      </c>
      <c r="AB1336" s="669" t="s">
        <v>260</v>
      </c>
      <c r="AC1336" s="544"/>
      <c r="AD1336" s="181">
        <v>0</v>
      </c>
      <c r="AE1336" s="181" t="s">
        <v>264</v>
      </c>
      <c r="AF1336" s="181" t="s">
        <v>265</v>
      </c>
      <c r="AG1336" s="181">
        <v>1</v>
      </c>
      <c r="AH1336" s="181">
        <v>12</v>
      </c>
      <c r="AI1336" s="181">
        <v>0</v>
      </c>
      <c r="AJ1336" s="181">
        <f>VLOOKUP($I1336,'Price List, Weapons &amp; Items'!B:F,5,0)</f>
        <v>0</v>
      </c>
      <c r="AK1336" s="181">
        <f t="shared" ref="AK1336:AK1405" si="328">IF(AND(AJ1336=1,M1336="undisclosed")=TRUE,1,0)</f>
        <v>0</v>
      </c>
      <c r="AL1336" s="181">
        <f t="shared" ref="AL1336:AL1405" si="329">IF(AND(AJ1336=1,N1336="undisclosed")=TRUE,1,0)</f>
        <v>0</v>
      </c>
      <c r="AM1336" s="181">
        <f t="shared" ref="AM1336:AM1405" si="330">IFERROR(IF(SEARCH("ammuni",I1336,1)&gt;0,1,0),0)</f>
        <v>0</v>
      </c>
      <c r="AN1336" s="180" t="str">
        <f>VLOOKUP($I1336,'Price List, Weapons &amp; Items'!B:L,COLUMN('Price List, Weapons &amp; Items'!$J$11)-1,0)</f>
        <v>Military media (incl. websites)</v>
      </c>
      <c r="AO1336" s="180" t="str">
        <f>IF(I1336=".",".",VLOOKUP($I1336,'Price List, Weapons &amp; Items'!B:J,3,0))</f>
        <v>Mortar</v>
      </c>
      <c r="AP1336" s="545" t="str">
        <f t="shared" ca="1" si="324"/>
        <v/>
      </c>
      <c r="AQ1336" s="180">
        <f>VLOOKUP($I1336,'Price List, Weapons &amp; Items'!B:L,COLUMN('Price List, Weapons &amp; Items'!$L$11)-1,0)</f>
        <v>2</v>
      </c>
      <c r="AR1336" s="180">
        <f t="shared" ref="AR1336:AR1405" si="331">IF(U1336="Yes",1,0)</f>
        <v>1</v>
      </c>
      <c r="AS1336" s="180">
        <f t="shared" ref="AS1336:AS1405" si="332">IF(D1336="Military",IF(OR(IFERROR(SEARCH("equipment",E1336,1),0)&gt;0,IFERROR(SEARCH("weapons",E1336,1),0)&gt;0),1,0),0)</f>
        <v>1</v>
      </c>
      <c r="AT1336" s="180">
        <f t="shared" si="310"/>
        <v>1</v>
      </c>
      <c r="AU1336" s="180" t="str">
        <f t="shared" si="321"/>
        <v>.</v>
      </c>
      <c r="AV1336" s="180" t="str">
        <f t="shared" si="320"/>
        <v>.</v>
      </c>
      <c r="AW1336" s="180">
        <f>IFERROR(VLOOKUP(B1336,'Share, Heavy Weapons to Ukraine'!B:J,COLUMN('Share, Heavy Weapons to Ukraine'!C1346)-1,0),0)</f>
        <v>1</v>
      </c>
      <c r="AX1336" s="180">
        <f>VLOOKUP('Bilateral Assistance, MAIN DATA'!B1336,'Country Summary'!B:F,COLUMN('Country Summary'!C1349)-1,FALSE)</f>
        <v>0</v>
      </c>
      <c r="AY1336" s="180" t="str">
        <f>IF(AND(AD1336=1,D1336="Military",H1336&lt;&gt;"Not given")=TRUE,IF(SUMIFS(P:P,A:A,A1336)&gt;0,ABS((SUMIFS(P:P,A:A,A1336)/VLOOKUP("USD",'Exchange Rates'!B:C,2,0)))/S1336,"."),".")</f>
        <v>.</v>
      </c>
      <c r="AZ1336" s="182" t="str">
        <f>IF(AND(AD1336=1,D1336="Military",H1336&lt;&gt;"Not given")=TRUE,IF(SUMIFS(P:P,A:A,A1336)&gt;0,IF((ABS((SUMIFS(P:P,A:A,A1336)/VLOOKUP("USD",'Exchange Rates'!B:C,2,0)))/S1336)&gt;1,(SUMIFS(P:P,A:A,A1336)-S1336)/S1336,(S1336-SUMIFS(P:P,A:A,A1336))/SUMIFS(P:P,A:A,A1336)),"."),".")</f>
        <v>.</v>
      </c>
      <c r="BA1336" s="182"/>
      <c r="BB1336" s="182"/>
      <c r="BC1336" s="182"/>
      <c r="BD1336" s="182"/>
      <c r="BE1336" s="182"/>
      <c r="BF1336" s="182"/>
      <c r="BG1336" s="182"/>
      <c r="BH1336" s="182"/>
      <c r="BI1336" s="182"/>
      <c r="BJ1336" s="182"/>
      <c r="BK1336" s="182"/>
      <c r="BL1336" s="182"/>
      <c r="BM1336" s="182"/>
      <c r="BN1336" s="182"/>
      <c r="BO1336" s="182"/>
      <c r="BP1336" s="182"/>
      <c r="BQ1336" s="182"/>
      <c r="BR1336" s="182"/>
      <c r="BS1336" s="182"/>
    </row>
    <row r="1337" spans="1:71" s="523" customFormat="1" ht="15.9" customHeight="1" x14ac:dyDescent="0.3">
      <c r="A1337" s="19" t="s">
        <v>3370</v>
      </c>
      <c r="B1337" s="19" t="s">
        <v>3038</v>
      </c>
      <c r="C1337" s="555">
        <v>44916</v>
      </c>
      <c r="D1337" s="19" t="s">
        <v>285</v>
      </c>
      <c r="E1337" s="19" t="s">
        <v>286</v>
      </c>
      <c r="F1337" s="1139" t="s">
        <v>3389</v>
      </c>
      <c r="G1337" s="15" t="s">
        <v>346</v>
      </c>
      <c r="H1337" s="200">
        <v>1000000000</v>
      </c>
      <c r="I1337" s="17" t="s">
        <v>3220</v>
      </c>
      <c r="J1337" s="113" t="str">
        <f>VLOOKUP($I1337,'Price List, Weapons &amp; Items'!B:C,2,0)</f>
        <v>Ammunition for light infantry</v>
      </c>
      <c r="K1337" s="113" t="str">
        <f>IF(I1337=".",I1337,VLOOKUP($I1337,'Price List, Weapons &amp; Items'!B:D,3,0))</f>
        <v>Mortar ammunition</v>
      </c>
      <c r="L1337" s="177">
        <f>VLOOKUP(I1337,'Price List, Weapons &amp; Items'!B:E,4,0)</f>
        <v>0</v>
      </c>
      <c r="M1337" s="542">
        <v>10000</v>
      </c>
      <c r="N1337" s="542" t="s">
        <v>270</v>
      </c>
      <c r="O1337" s="543">
        <f>VLOOKUP($I1337,'Price List, Weapons &amp; Items'!B:G,6,0)</f>
        <v>109.89</v>
      </c>
      <c r="P1337" s="176">
        <f t="shared" si="326"/>
        <v>1098900</v>
      </c>
      <c r="Q1337" s="176" t="str">
        <f t="shared" si="327"/>
        <v>.</v>
      </c>
      <c r="R1337" s="176" t="str">
        <f t="shared" si="325"/>
        <v/>
      </c>
      <c r="S1337" s="176" t="str">
        <f>IF(AND(AD1337=1,R1337&lt;&gt;".")=TRUE,R1337/VLOOKUP(G1337,'Exchange Rates'!B:C,2,0),IF(R1337=".",".",""))</f>
        <v/>
      </c>
      <c r="T1337" s="176" t="str">
        <f>IF(AD1337=1,IF(AF1337="Value is not given at all",".",IF(AF1337="Value is given by the source",S1337,IF(AF1337="Value is calculated with prices",(IF(SUMIFS(Q:Q,A:A,A1337)&gt;0,SUMIFS(Q:Q,A:A,A1337),"."))/VLOOKUP("USD",'Exchange Rates'!B:C,2,0),"Error with coding"))),"")</f>
        <v/>
      </c>
      <c r="U1337" s="15" t="s">
        <v>261</v>
      </c>
      <c r="V1337" s="305" t="s">
        <v>3390</v>
      </c>
      <c r="W1337" s="814" t="s">
        <v>3059</v>
      </c>
      <c r="X1337" s="665" t="s">
        <v>3062</v>
      </c>
      <c r="Y1337" s="671" t="s">
        <v>3156</v>
      </c>
      <c r="Z1337" s="15">
        <v>0</v>
      </c>
      <c r="AA1337" s="180">
        <v>1</v>
      </c>
      <c r="AB1337" s="669" t="s">
        <v>260</v>
      </c>
      <c r="AC1337" s="544"/>
      <c r="AD1337" s="181">
        <v>0</v>
      </c>
      <c r="AE1337" s="181" t="s">
        <v>264</v>
      </c>
      <c r="AF1337" s="181" t="s">
        <v>265</v>
      </c>
      <c r="AG1337" s="181">
        <v>1</v>
      </c>
      <c r="AH1337" s="181">
        <v>12</v>
      </c>
      <c r="AI1337" s="181">
        <v>0</v>
      </c>
      <c r="AJ1337" s="181">
        <f>VLOOKUP($I1337,'Price List, Weapons &amp; Items'!B:F,5,0)</f>
        <v>0</v>
      </c>
      <c r="AK1337" s="181">
        <f t="shared" si="328"/>
        <v>0</v>
      </c>
      <c r="AL1337" s="181">
        <f t="shared" si="329"/>
        <v>0</v>
      </c>
      <c r="AM1337" s="181">
        <f t="shared" si="330"/>
        <v>1</v>
      </c>
      <c r="AN1337" s="180" t="str">
        <f>VLOOKUP($I1337,'Price List, Weapons &amp; Items'!B:L,COLUMN('Price List, Weapons &amp; Items'!$J$11)-1,0)</f>
        <v>Government information</v>
      </c>
      <c r="AO1337" s="180" t="str">
        <f>IF(I1337=".",".",VLOOKUP($I1337,'Price List, Weapons &amp; Items'!B:J,3,0))</f>
        <v>Mortar ammunition</v>
      </c>
      <c r="AP1337" s="545" t="str">
        <f t="shared" ca="1" si="324"/>
        <v/>
      </c>
      <c r="AQ1337" s="180">
        <f>VLOOKUP($I1337,'Price List, Weapons &amp; Items'!B:L,COLUMN('Price List, Weapons &amp; Items'!$L$11)-1,0)</f>
        <v>2</v>
      </c>
      <c r="AR1337" s="180">
        <f t="shared" si="331"/>
        <v>1</v>
      </c>
      <c r="AS1337" s="180">
        <f t="shared" si="332"/>
        <v>1</v>
      </c>
      <c r="AT1337" s="180">
        <f t="shared" si="310"/>
        <v>1</v>
      </c>
      <c r="AU1337" s="180" t="str">
        <f t="shared" si="321"/>
        <v>.</v>
      </c>
      <c r="AV1337" s="180" t="str">
        <f t="shared" si="320"/>
        <v>.</v>
      </c>
      <c r="AW1337" s="180">
        <f>IFERROR(VLOOKUP(B1337,'Share, Heavy Weapons to Ukraine'!B:J,COLUMN('Share, Heavy Weapons to Ukraine'!C1347)-1,0),0)</f>
        <v>1</v>
      </c>
      <c r="AX1337" s="180">
        <f>VLOOKUP('Bilateral Assistance, MAIN DATA'!B1337,'Country Summary'!B:F,COLUMN('Country Summary'!C1350)-1,FALSE)</f>
        <v>0</v>
      </c>
      <c r="AY1337" s="180" t="str">
        <f>IF(AND(AD1337=1,D1337="Military",H1337&lt;&gt;"Not given")=TRUE,IF(SUMIFS(P:P,A:A,A1337)&gt;0,ABS((SUMIFS(P:P,A:A,A1337)/VLOOKUP("USD",'Exchange Rates'!B:C,2,0)))/S1337,"."),".")</f>
        <v>.</v>
      </c>
      <c r="AZ1337" s="182" t="str">
        <f>IF(AND(AD1337=1,D1337="Military",H1337&lt;&gt;"Not given")=TRUE,IF(SUMIFS(P:P,A:A,A1337)&gt;0,IF((ABS((SUMIFS(P:P,A:A,A1337)/VLOOKUP("USD",'Exchange Rates'!B:C,2,0)))/S1337)&gt;1,(SUMIFS(P:P,A:A,A1337)-S1337)/S1337,(S1337-SUMIFS(P:P,A:A,A1337))/SUMIFS(P:P,A:A,A1337)),"."),".")</f>
        <v>.</v>
      </c>
      <c r="BA1337" s="182"/>
      <c r="BB1337" s="182"/>
      <c r="BC1337" s="182"/>
      <c r="BD1337" s="182"/>
      <c r="BE1337" s="182"/>
      <c r="BF1337" s="182"/>
      <c r="BG1337" s="182"/>
      <c r="BH1337" s="182"/>
      <c r="BI1337" s="182"/>
      <c r="BJ1337" s="182"/>
      <c r="BK1337" s="182"/>
      <c r="BL1337" s="182"/>
      <c r="BM1337" s="182"/>
      <c r="BN1337" s="182"/>
      <c r="BO1337" s="182"/>
      <c r="BP1337" s="182"/>
      <c r="BQ1337" s="182"/>
      <c r="BR1337" s="182"/>
      <c r="BS1337" s="182"/>
    </row>
    <row r="1338" spans="1:71" s="523" customFormat="1" ht="15.9" customHeight="1" x14ac:dyDescent="0.3">
      <c r="A1338" s="19" t="s">
        <v>3370</v>
      </c>
      <c r="B1338" s="19" t="s">
        <v>3038</v>
      </c>
      <c r="C1338" s="555">
        <v>44916</v>
      </c>
      <c r="D1338" s="19" t="s">
        <v>285</v>
      </c>
      <c r="E1338" s="19" t="s">
        <v>286</v>
      </c>
      <c r="F1338" s="1139" t="s">
        <v>3389</v>
      </c>
      <c r="G1338" s="15" t="s">
        <v>346</v>
      </c>
      <c r="H1338" s="200">
        <v>1000000000</v>
      </c>
      <c r="I1338" s="17" t="s">
        <v>3391</v>
      </c>
      <c r="J1338" s="113" t="str">
        <f>VLOOKUP($I1338,'Price List, Weapons &amp; Items'!B:C,2,0)</f>
        <v>Light armaments &amp; infantry</v>
      </c>
      <c r="K1338" s="113" t="str">
        <f>IF(I1338=".",I1338,VLOOKUP($I1338,'Price List, Weapons &amp; Items'!B:D,3,0))</f>
        <v>Mortar</v>
      </c>
      <c r="L1338" s="177">
        <f>VLOOKUP(I1338,'Price List, Weapons &amp; Items'!B:E,4,0)</f>
        <v>0</v>
      </c>
      <c r="M1338" s="542">
        <v>10</v>
      </c>
      <c r="N1338" s="542" t="s">
        <v>270</v>
      </c>
      <c r="O1338" s="543">
        <f>VLOOKUP($I1338,'Price List, Weapons &amp; Items'!B:G,6,0)</f>
        <v>24717</v>
      </c>
      <c r="P1338" s="176">
        <f t="shared" si="326"/>
        <v>247170</v>
      </c>
      <c r="Q1338" s="176" t="str">
        <f t="shared" si="327"/>
        <v>.</v>
      </c>
      <c r="R1338" s="176" t="str">
        <f t="shared" si="325"/>
        <v/>
      </c>
      <c r="S1338" s="176" t="str">
        <f>IF(AND(AD1338=1,R1338&lt;&gt;".")=TRUE,R1338/VLOOKUP(G1338,'Exchange Rates'!B:C,2,0),IF(R1338=".",".",""))</f>
        <v/>
      </c>
      <c r="T1338" s="176" t="str">
        <f>IF(AD1338=1,IF(AF1338="Value is not given at all",".",IF(AF1338="Value is given by the source",S1338,IF(AF1338="Value is calculated with prices",(IF(SUMIFS(Q:Q,A:A,A1338)&gt;0,SUMIFS(Q:Q,A:A,A1338),"."))/VLOOKUP("USD",'Exchange Rates'!B:C,2,0),"Error with coding"))),"")</f>
        <v/>
      </c>
      <c r="U1338" s="15" t="s">
        <v>261</v>
      </c>
      <c r="V1338" s="305" t="s">
        <v>3390</v>
      </c>
      <c r="W1338" s="814" t="s">
        <v>3059</v>
      </c>
      <c r="X1338" s="665" t="s">
        <v>3062</v>
      </c>
      <c r="Y1338" s="671" t="s">
        <v>3157</v>
      </c>
      <c r="Z1338" s="15">
        <v>0</v>
      </c>
      <c r="AA1338" s="180">
        <v>1</v>
      </c>
      <c r="AB1338" s="669" t="s">
        <v>260</v>
      </c>
      <c r="AC1338" s="544"/>
      <c r="AD1338" s="181">
        <v>0</v>
      </c>
      <c r="AE1338" s="181" t="s">
        <v>264</v>
      </c>
      <c r="AF1338" s="181" t="s">
        <v>265</v>
      </c>
      <c r="AG1338" s="181">
        <v>1</v>
      </c>
      <c r="AH1338" s="181">
        <v>12</v>
      </c>
      <c r="AI1338" s="181">
        <v>0</v>
      </c>
      <c r="AJ1338" s="181">
        <f>VLOOKUP($I1338,'Price List, Weapons &amp; Items'!B:F,5,0)</f>
        <v>0</v>
      </c>
      <c r="AK1338" s="181">
        <f t="shared" si="328"/>
        <v>0</v>
      </c>
      <c r="AL1338" s="181">
        <f t="shared" si="329"/>
        <v>0</v>
      </c>
      <c r="AM1338" s="181">
        <f t="shared" si="330"/>
        <v>0</v>
      </c>
      <c r="AN1338" s="180" t="str">
        <f>VLOOKUP($I1338,'Price List, Weapons &amp; Items'!B:L,COLUMN('Price List, Weapons &amp; Items'!$J$11)-1,0)</f>
        <v>Military media (incl. websites)</v>
      </c>
      <c r="AO1338" s="180" t="str">
        <f>IF(I1338=".",".",VLOOKUP($I1338,'Price List, Weapons &amp; Items'!B:J,3,0))</f>
        <v>Mortar</v>
      </c>
      <c r="AP1338" s="545" t="str">
        <f t="shared" ca="1" si="324"/>
        <v/>
      </c>
      <c r="AQ1338" s="180">
        <f>VLOOKUP($I1338,'Price List, Weapons &amp; Items'!B:L,COLUMN('Price List, Weapons &amp; Items'!$L$11)-1,0)</f>
        <v>1</v>
      </c>
      <c r="AR1338" s="180">
        <f t="shared" si="331"/>
        <v>1</v>
      </c>
      <c r="AS1338" s="180">
        <f t="shared" si="332"/>
        <v>1</v>
      </c>
      <c r="AT1338" s="180">
        <f t="shared" si="310"/>
        <v>1</v>
      </c>
      <c r="AU1338" s="180" t="str">
        <f t="shared" si="321"/>
        <v>.</v>
      </c>
      <c r="AV1338" s="180" t="str">
        <f t="shared" si="320"/>
        <v>.</v>
      </c>
      <c r="AW1338" s="180">
        <f>IFERROR(VLOOKUP(B1338,'Share, Heavy Weapons to Ukraine'!B:J,COLUMN('Share, Heavy Weapons to Ukraine'!C1348)-1,0),0)</f>
        <v>1</v>
      </c>
      <c r="AX1338" s="180">
        <f>VLOOKUP('Bilateral Assistance, MAIN DATA'!B1338,'Country Summary'!B:F,COLUMN('Country Summary'!C1351)-1,FALSE)</f>
        <v>0</v>
      </c>
      <c r="AY1338" s="180" t="str">
        <f>IF(AND(AD1338=1,D1338="Military",H1338&lt;&gt;"Not given")=TRUE,IF(SUMIFS(P:P,A:A,A1338)&gt;0,ABS((SUMIFS(P:P,A:A,A1338)/VLOOKUP("USD",'Exchange Rates'!B:C,2,0)))/S1338,"."),".")</f>
        <v>.</v>
      </c>
      <c r="AZ1338" s="182" t="str">
        <f>IF(AND(AD1338=1,D1338="Military",H1338&lt;&gt;"Not given")=TRUE,IF(SUMIFS(P:P,A:A,A1338)&gt;0,IF((ABS((SUMIFS(P:P,A:A,A1338)/VLOOKUP("USD",'Exchange Rates'!B:C,2,0)))/S1338)&gt;1,(SUMIFS(P:P,A:A,A1338)-S1338)/S1338,(S1338-SUMIFS(P:P,A:A,A1338))/SUMIFS(P:P,A:A,A1338)),"."),".")</f>
        <v>.</v>
      </c>
      <c r="BA1338" s="182"/>
      <c r="BB1338" s="182"/>
      <c r="BC1338" s="182"/>
      <c r="BD1338" s="182"/>
      <c r="BE1338" s="182"/>
      <c r="BF1338" s="182"/>
      <c r="BG1338" s="182"/>
      <c r="BH1338" s="182"/>
      <c r="BI1338" s="182"/>
      <c r="BJ1338" s="182"/>
      <c r="BK1338" s="182"/>
      <c r="BL1338" s="182"/>
      <c r="BM1338" s="182"/>
      <c r="BN1338" s="182"/>
      <c r="BO1338" s="182"/>
      <c r="BP1338" s="182"/>
      <c r="BQ1338" s="182"/>
      <c r="BR1338" s="182"/>
      <c r="BS1338" s="182"/>
    </row>
    <row r="1339" spans="1:71" s="523" customFormat="1" ht="15.9" customHeight="1" x14ac:dyDescent="0.3">
      <c r="A1339" s="19" t="s">
        <v>3370</v>
      </c>
      <c r="B1339" s="19" t="s">
        <v>3038</v>
      </c>
      <c r="C1339" s="555">
        <v>44916</v>
      </c>
      <c r="D1339" s="19" t="s">
        <v>285</v>
      </c>
      <c r="E1339" s="19" t="s">
        <v>286</v>
      </c>
      <c r="F1339" s="1139" t="s">
        <v>3389</v>
      </c>
      <c r="G1339" s="15" t="s">
        <v>346</v>
      </c>
      <c r="H1339" s="200">
        <v>1000000000</v>
      </c>
      <c r="I1339" s="17" t="s">
        <v>3392</v>
      </c>
      <c r="J1339" s="113" t="str">
        <f>VLOOKUP($I1339,'Price List, Weapons &amp; Items'!B:C,2,0)</f>
        <v>Light armaments &amp; infantry</v>
      </c>
      <c r="K1339" s="113" t="str">
        <f>IF(I1339=".",I1339,VLOOKUP($I1339,'Price List, Weapons &amp; Items'!B:D,3,0))</f>
        <v>Mortar</v>
      </c>
      <c r="L1339" s="177">
        <f>VLOOKUP(I1339,'Price List, Weapons &amp; Items'!B:E,4,0)</f>
        <v>0</v>
      </c>
      <c r="M1339" s="542">
        <v>10</v>
      </c>
      <c r="N1339" s="542" t="s">
        <v>270</v>
      </c>
      <c r="O1339" s="543">
        <f>VLOOKUP($I1339,'Price List, Weapons &amp; Items'!B:G,6,0)</f>
        <v>10658</v>
      </c>
      <c r="P1339" s="176">
        <f t="shared" si="326"/>
        <v>106580</v>
      </c>
      <c r="Q1339" s="176" t="str">
        <f t="shared" si="327"/>
        <v>.</v>
      </c>
      <c r="R1339" s="176" t="str">
        <f t="shared" si="325"/>
        <v/>
      </c>
      <c r="S1339" s="176" t="str">
        <f>IF(AND(AD1339=1,R1339&lt;&gt;".")=TRUE,R1339/VLOOKUP(G1339,'Exchange Rates'!B:C,2,0),IF(R1339=".",".",""))</f>
        <v/>
      </c>
      <c r="T1339" s="176" t="str">
        <f>IF(AD1339=1,IF(AF1339="Value is not given at all",".",IF(AF1339="Value is given by the source",S1339,IF(AF1339="Value is calculated with prices",(IF(SUMIFS(Q:Q,A:A,A1339)&gt;0,SUMIFS(Q:Q,A:A,A1339),"."))/VLOOKUP("USD",'Exchange Rates'!B:C,2,0),"Error with coding"))),"")</f>
        <v/>
      </c>
      <c r="U1339" s="15" t="s">
        <v>261</v>
      </c>
      <c r="V1339" s="305" t="s">
        <v>3390</v>
      </c>
      <c r="W1339" s="814" t="s">
        <v>3059</v>
      </c>
      <c r="X1339" s="665" t="s">
        <v>3062</v>
      </c>
      <c r="Y1339" s="671" t="s">
        <v>3159</v>
      </c>
      <c r="Z1339" s="15">
        <v>0</v>
      </c>
      <c r="AA1339" s="180">
        <v>1</v>
      </c>
      <c r="AB1339" s="669" t="s">
        <v>260</v>
      </c>
      <c r="AC1339" s="544"/>
      <c r="AD1339" s="181">
        <v>0</v>
      </c>
      <c r="AE1339" s="181" t="s">
        <v>264</v>
      </c>
      <c r="AF1339" s="181" t="s">
        <v>265</v>
      </c>
      <c r="AG1339" s="181">
        <v>1</v>
      </c>
      <c r="AH1339" s="181">
        <v>12</v>
      </c>
      <c r="AI1339" s="181">
        <v>0</v>
      </c>
      <c r="AJ1339" s="181">
        <f>VLOOKUP($I1339,'Price List, Weapons &amp; Items'!B:F,5,0)</f>
        <v>0</v>
      </c>
      <c r="AK1339" s="181">
        <f t="shared" si="328"/>
        <v>0</v>
      </c>
      <c r="AL1339" s="181">
        <f t="shared" si="329"/>
        <v>0</v>
      </c>
      <c r="AM1339" s="181">
        <f t="shared" si="330"/>
        <v>0</v>
      </c>
      <c r="AN1339" s="180" t="str">
        <f>VLOOKUP($I1339,'Price List, Weapons &amp; Items'!B:L,COLUMN('Price List, Weapons &amp; Items'!$J$11)-1,0)</f>
        <v>Military media (incl. websites)</v>
      </c>
      <c r="AO1339" s="180" t="str">
        <f>IF(I1339=".",".",VLOOKUP($I1339,'Price List, Weapons &amp; Items'!B:J,3,0))</f>
        <v>Mortar</v>
      </c>
      <c r="AP1339" s="545" t="str">
        <f t="shared" ca="1" si="324"/>
        <v/>
      </c>
      <c r="AQ1339" s="180">
        <f>VLOOKUP($I1339,'Price List, Weapons &amp; Items'!B:L,COLUMN('Price List, Weapons &amp; Items'!$L$11)-1,0)</f>
        <v>1</v>
      </c>
      <c r="AR1339" s="180">
        <f t="shared" si="331"/>
        <v>1</v>
      </c>
      <c r="AS1339" s="180">
        <f t="shared" si="332"/>
        <v>1</v>
      </c>
      <c r="AT1339" s="180">
        <f t="shared" si="310"/>
        <v>1</v>
      </c>
      <c r="AU1339" s="180" t="str">
        <f t="shared" si="321"/>
        <v>.</v>
      </c>
      <c r="AV1339" s="180" t="str">
        <f t="shared" si="320"/>
        <v>.</v>
      </c>
      <c r="AW1339" s="180">
        <f>IFERROR(VLOOKUP(B1339,'Share, Heavy Weapons to Ukraine'!B:J,COLUMN('Share, Heavy Weapons to Ukraine'!C1349)-1,0),0)</f>
        <v>1</v>
      </c>
      <c r="AX1339" s="180">
        <f>VLOOKUP('Bilateral Assistance, MAIN DATA'!B1339,'Country Summary'!B:F,COLUMN('Country Summary'!C1352)-1,FALSE)</f>
        <v>0</v>
      </c>
      <c r="AY1339" s="180" t="str">
        <f>IF(AND(AD1339=1,D1339="Military",H1339&lt;&gt;"Not given")=TRUE,IF(SUMIFS(P:P,A:A,A1339)&gt;0,ABS((SUMIFS(P:P,A:A,A1339)/VLOOKUP("USD",'Exchange Rates'!B:C,2,0)))/S1339,"."),".")</f>
        <v>.</v>
      </c>
      <c r="AZ1339" s="182" t="str">
        <f>IF(AND(AD1339=1,D1339="Military",H1339&lt;&gt;"Not given")=TRUE,IF(SUMIFS(P:P,A:A,A1339)&gt;0,IF((ABS((SUMIFS(P:P,A:A,A1339)/VLOOKUP("USD",'Exchange Rates'!B:C,2,0)))/S1339)&gt;1,(SUMIFS(P:P,A:A,A1339)-S1339)/S1339,(S1339-SUMIFS(P:P,A:A,A1339))/SUMIFS(P:P,A:A,A1339)),"."),".")</f>
        <v>.</v>
      </c>
      <c r="BA1339" s="182"/>
      <c r="BB1339" s="182"/>
      <c r="BC1339" s="182"/>
      <c r="BD1339" s="182"/>
      <c r="BE1339" s="182"/>
      <c r="BF1339" s="182"/>
      <c r="BG1339" s="182"/>
      <c r="BH1339" s="182"/>
      <c r="BI1339" s="182"/>
      <c r="BJ1339" s="182"/>
      <c r="BK1339" s="182"/>
      <c r="BL1339" s="182"/>
      <c r="BM1339" s="182"/>
      <c r="BN1339" s="182"/>
      <c r="BO1339" s="182"/>
      <c r="BP1339" s="182"/>
      <c r="BQ1339" s="182"/>
      <c r="BR1339" s="182"/>
      <c r="BS1339" s="182"/>
    </row>
    <row r="1340" spans="1:71" s="523" customFormat="1" ht="15.9" customHeight="1" x14ac:dyDescent="0.3">
      <c r="A1340" s="19" t="s">
        <v>3370</v>
      </c>
      <c r="B1340" s="19" t="s">
        <v>3038</v>
      </c>
      <c r="C1340" s="555">
        <v>44916</v>
      </c>
      <c r="D1340" s="19" t="s">
        <v>285</v>
      </c>
      <c r="E1340" s="19" t="s">
        <v>286</v>
      </c>
      <c r="F1340" s="1139" t="s">
        <v>3389</v>
      </c>
      <c r="G1340" s="15" t="s">
        <v>346</v>
      </c>
      <c r="H1340" s="200">
        <v>1000000000</v>
      </c>
      <c r="I1340" s="19" t="s">
        <v>3241</v>
      </c>
      <c r="J1340" s="113" t="str">
        <f>VLOOKUP($I1340,'Price List, Weapons &amp; Items'!B:C,2,0)</f>
        <v>Heavy Weapon</v>
      </c>
      <c r="K1340" s="113" t="str">
        <f>IF(I1340=".",I1340,VLOOKUP($I1340,'Price List, Weapons &amp; Items'!B:D,3,0))</f>
        <v>non combat military vehicle</v>
      </c>
      <c r="L1340" s="177">
        <f>VLOOKUP(I1340,'Price List, Weapons &amp; Items'!B:E,4,0)</f>
        <v>0</v>
      </c>
      <c r="M1340" s="542">
        <v>37</v>
      </c>
      <c r="N1340" s="542" t="s">
        <v>270</v>
      </c>
      <c r="O1340" s="543">
        <f>VLOOKUP($I1340,'Price List, Weapons &amp; Items'!B:G,6,0)</f>
        <v>405530</v>
      </c>
      <c r="P1340" s="176">
        <f t="shared" si="326"/>
        <v>15004610</v>
      </c>
      <c r="Q1340" s="176" t="str">
        <f t="shared" si="327"/>
        <v>.</v>
      </c>
      <c r="R1340" s="176" t="str">
        <f t="shared" si="325"/>
        <v/>
      </c>
      <c r="S1340" s="176" t="str">
        <f>IF(AND(AD1340=1,R1340&lt;&gt;".")=TRUE,R1340/VLOOKUP(G1340,'Exchange Rates'!B:C,2,0),IF(R1340=".",".",""))</f>
        <v/>
      </c>
      <c r="T1340" s="176" t="str">
        <f>IF(AD1340=1,IF(AF1340="Value is not given at all",".",IF(AF1340="Value is given by the source",S1340,IF(AF1340="Value is calculated with prices",(IF(SUMIFS(Q:Q,A:A,A1340)&gt;0,SUMIFS(Q:Q,A:A,A1340),"."))/VLOOKUP("USD",'Exchange Rates'!B:C,2,0),"Error with coding"))),"")</f>
        <v/>
      </c>
      <c r="U1340" s="15" t="s">
        <v>261</v>
      </c>
      <c r="V1340" s="305" t="s">
        <v>3390</v>
      </c>
      <c r="W1340" s="814" t="s">
        <v>3059</v>
      </c>
      <c r="X1340" s="665" t="s">
        <v>3062</v>
      </c>
      <c r="Y1340" s="671" t="s">
        <v>3161</v>
      </c>
      <c r="Z1340" s="15">
        <v>0</v>
      </c>
      <c r="AA1340" s="180">
        <v>1</v>
      </c>
      <c r="AB1340" s="669" t="s">
        <v>260</v>
      </c>
      <c r="AC1340" s="544"/>
      <c r="AD1340" s="181">
        <v>0</v>
      </c>
      <c r="AE1340" s="181" t="s">
        <v>264</v>
      </c>
      <c r="AF1340" s="181" t="s">
        <v>265</v>
      </c>
      <c r="AG1340" s="181">
        <v>1</v>
      </c>
      <c r="AH1340" s="181">
        <v>12</v>
      </c>
      <c r="AI1340" s="181">
        <v>0</v>
      </c>
      <c r="AJ1340" s="181">
        <f>VLOOKUP($I1340,'Price List, Weapons &amp; Items'!B:F,5,0)</f>
        <v>0</v>
      </c>
      <c r="AK1340" s="181">
        <f t="shared" si="328"/>
        <v>0</v>
      </c>
      <c r="AL1340" s="181">
        <f t="shared" si="329"/>
        <v>0</v>
      </c>
      <c r="AM1340" s="181">
        <f t="shared" si="330"/>
        <v>0</v>
      </c>
      <c r="AN1340" s="180" t="str">
        <f>VLOOKUP($I1340,'Price List, Weapons &amp; Items'!B:L,COLUMN('Price List, Weapons &amp; Items'!$J$11)-1,0)</f>
        <v>Contract</v>
      </c>
      <c r="AO1340" s="180" t="str">
        <f>IF(I1340=".",".",VLOOKUP($I1340,'Price List, Weapons &amp; Items'!B:J,3,0))</f>
        <v>non combat military vehicle</v>
      </c>
      <c r="AP1340" s="545" t="str">
        <f t="shared" ca="1" si="324"/>
        <v/>
      </c>
      <c r="AQ1340" s="180">
        <f>VLOOKUP($I1340,'Price List, Weapons &amp; Items'!B:L,COLUMN('Price List, Weapons &amp; Items'!$L$11)-1,0)</f>
        <v>2</v>
      </c>
      <c r="AR1340" s="180">
        <f t="shared" si="331"/>
        <v>1</v>
      </c>
      <c r="AS1340" s="180">
        <f t="shared" si="332"/>
        <v>1</v>
      </c>
      <c r="AT1340" s="180">
        <f t="shared" si="310"/>
        <v>1</v>
      </c>
      <c r="AU1340" s="180" t="str">
        <f t="shared" si="321"/>
        <v>.</v>
      </c>
      <c r="AV1340" s="180" t="str">
        <f t="shared" si="320"/>
        <v>.</v>
      </c>
      <c r="AW1340" s="180">
        <f>IFERROR(VLOOKUP(B1340,'Share, Heavy Weapons to Ukraine'!B:J,COLUMN('Share, Heavy Weapons to Ukraine'!C1350)-1,0),0)</f>
        <v>1</v>
      </c>
      <c r="AX1340" s="180">
        <f>VLOOKUP('Bilateral Assistance, MAIN DATA'!B1340,'Country Summary'!B:F,COLUMN('Country Summary'!C1353)-1,FALSE)</f>
        <v>0</v>
      </c>
      <c r="AY1340" s="180" t="str">
        <f>IF(AND(AD1340=1,D1340="Military",H1340&lt;&gt;"Not given")=TRUE,IF(SUMIFS(P:P,A:A,A1340)&gt;0,ABS((SUMIFS(P:P,A:A,A1340)/VLOOKUP("USD",'Exchange Rates'!B:C,2,0)))/S1340,"."),".")</f>
        <v>.</v>
      </c>
      <c r="AZ1340" s="182" t="str">
        <f>IF(AND(AD1340=1,D1340="Military",H1340&lt;&gt;"Not given")=TRUE,IF(SUMIFS(P:P,A:A,A1340)&gt;0,IF((ABS((SUMIFS(P:P,A:A,A1340)/VLOOKUP("USD",'Exchange Rates'!B:C,2,0)))/S1340)&gt;1,(SUMIFS(P:P,A:A,A1340)-S1340)/S1340,(S1340-SUMIFS(P:P,A:A,A1340))/SUMIFS(P:P,A:A,A1340)),"."),".")</f>
        <v>.</v>
      </c>
      <c r="BA1340" s="182"/>
      <c r="BB1340" s="182"/>
      <c r="BC1340" s="182"/>
      <c r="BD1340" s="182"/>
      <c r="BE1340" s="182"/>
      <c r="BF1340" s="182"/>
      <c r="BG1340" s="182"/>
      <c r="BH1340" s="182"/>
      <c r="BI1340" s="182"/>
      <c r="BJ1340" s="182"/>
      <c r="BK1340" s="182"/>
      <c r="BL1340" s="182"/>
      <c r="BM1340" s="182"/>
      <c r="BN1340" s="182"/>
      <c r="BO1340" s="182"/>
      <c r="BP1340" s="182"/>
      <c r="BQ1340" s="182"/>
      <c r="BR1340" s="182"/>
      <c r="BS1340" s="182"/>
    </row>
    <row r="1341" spans="1:71" s="523" customFormat="1" ht="15.9" customHeight="1" x14ac:dyDescent="0.3">
      <c r="A1341" s="19" t="s">
        <v>3370</v>
      </c>
      <c r="B1341" s="19" t="s">
        <v>3038</v>
      </c>
      <c r="C1341" s="555">
        <v>44916</v>
      </c>
      <c r="D1341" s="19" t="s">
        <v>285</v>
      </c>
      <c r="E1341" s="19" t="s">
        <v>286</v>
      </c>
      <c r="F1341" s="1139" t="s">
        <v>3389</v>
      </c>
      <c r="G1341" s="15" t="s">
        <v>346</v>
      </c>
      <c r="H1341" s="200">
        <v>1000000000</v>
      </c>
      <c r="I1341" s="17" t="s">
        <v>3269</v>
      </c>
      <c r="J1341" s="113" t="str">
        <f>VLOOKUP($I1341,'Price List, Weapons &amp; Items'!B:C,2,0)</f>
        <v>Heavy weapon</v>
      </c>
      <c r="K1341" s="113" t="str">
        <f>IF(I1341=".",I1341,VLOOKUP($I1341,'Price List, Weapons &amp; Items'!B:D,3,0))</f>
        <v>Armoured Utility Vehicle (AUV)</v>
      </c>
      <c r="L1341" s="177">
        <f>VLOOKUP(I1341,'Price List, Weapons &amp; Items'!B:E,4,0)</f>
        <v>0</v>
      </c>
      <c r="M1341" s="542">
        <v>120</v>
      </c>
      <c r="N1341" s="542" t="s">
        <v>270</v>
      </c>
      <c r="O1341" s="543">
        <f>VLOOKUP($I1341,'Price List, Weapons &amp; Items'!B:G,6,0)</f>
        <v>254717</v>
      </c>
      <c r="P1341" s="176">
        <f t="shared" si="326"/>
        <v>30566040</v>
      </c>
      <c r="Q1341" s="176" t="str">
        <f t="shared" si="327"/>
        <v>.</v>
      </c>
      <c r="R1341" s="176" t="str">
        <f t="shared" si="325"/>
        <v/>
      </c>
      <c r="S1341" s="176" t="str">
        <f>IF(AND(AD1341=1,R1341&lt;&gt;".")=TRUE,R1341/VLOOKUP(G1341,'Exchange Rates'!B:C,2,0),IF(R1341=".",".",""))</f>
        <v/>
      </c>
      <c r="T1341" s="176" t="str">
        <f>IF(AD1341=1,IF(AF1341="Value is not given at all",".",IF(AF1341="Value is given by the source",S1341,IF(AF1341="Value is calculated with prices",(IF(SUMIFS(Q:Q,A:A,A1341)&gt;0,SUMIFS(Q:Q,A:A,A1341),"."))/VLOOKUP("USD",'Exchange Rates'!B:C,2,0),"Error with coding"))),"")</f>
        <v/>
      </c>
      <c r="U1341" s="15" t="s">
        <v>261</v>
      </c>
      <c r="V1341" s="305" t="s">
        <v>3390</v>
      </c>
      <c r="W1341" s="814" t="s">
        <v>3059</v>
      </c>
      <c r="X1341" s="665" t="s">
        <v>3062</v>
      </c>
      <c r="Y1341" s="671" t="s">
        <v>3162</v>
      </c>
      <c r="Z1341" s="15">
        <v>0</v>
      </c>
      <c r="AA1341" s="180">
        <v>1</v>
      </c>
      <c r="AB1341" s="669" t="s">
        <v>260</v>
      </c>
      <c r="AC1341" s="544"/>
      <c r="AD1341" s="181">
        <v>0</v>
      </c>
      <c r="AE1341" s="181" t="s">
        <v>264</v>
      </c>
      <c r="AF1341" s="181" t="s">
        <v>265</v>
      </c>
      <c r="AG1341" s="181">
        <v>1</v>
      </c>
      <c r="AH1341" s="181">
        <v>12</v>
      </c>
      <c r="AI1341" s="181">
        <v>0</v>
      </c>
      <c r="AJ1341" s="181">
        <f>VLOOKUP($I1341,'Price List, Weapons &amp; Items'!B:F,5,0)</f>
        <v>1</v>
      </c>
      <c r="AK1341" s="181">
        <f t="shared" si="328"/>
        <v>0</v>
      </c>
      <c r="AL1341" s="181">
        <f t="shared" si="329"/>
        <v>1</v>
      </c>
      <c r="AM1341" s="181">
        <f t="shared" si="330"/>
        <v>0</v>
      </c>
      <c r="AN1341" s="180" t="str">
        <f>VLOOKUP($I1341,'Price List, Weapons &amp; Items'!B:L,COLUMN('Price List, Weapons &amp; Items'!$J$11)-1,0)</f>
        <v>Military media (incl. websites)</v>
      </c>
      <c r="AO1341" s="180" t="str">
        <f>IF(I1341=".",".",VLOOKUP($I1341,'Price List, Weapons &amp; Items'!B:J,3,0))</f>
        <v>Armoured Utility Vehicle (AUV)</v>
      </c>
      <c r="AP1341" s="545" t="str">
        <f t="shared" ca="1" si="324"/>
        <v/>
      </c>
      <c r="AQ1341" s="180">
        <f>VLOOKUP($I1341,'Price List, Weapons &amp; Items'!B:L,COLUMN('Price List, Weapons &amp; Items'!$L$11)-1,0)</f>
        <v>2</v>
      </c>
      <c r="AR1341" s="180">
        <f t="shared" si="331"/>
        <v>1</v>
      </c>
      <c r="AS1341" s="180">
        <f t="shared" si="332"/>
        <v>1</v>
      </c>
      <c r="AT1341" s="180">
        <f t="shared" si="310"/>
        <v>1</v>
      </c>
      <c r="AU1341" s="180" t="str">
        <f t="shared" si="321"/>
        <v>.</v>
      </c>
      <c r="AV1341" s="180" t="str">
        <f t="shared" si="320"/>
        <v>.</v>
      </c>
      <c r="AW1341" s="180">
        <f>IFERROR(VLOOKUP(B1341,'Share, Heavy Weapons to Ukraine'!B:J,COLUMN('Share, Heavy Weapons to Ukraine'!C1351)-1,0),0)</f>
        <v>1</v>
      </c>
      <c r="AX1341" s="180">
        <f>VLOOKUP('Bilateral Assistance, MAIN DATA'!B1341,'Country Summary'!B:F,COLUMN('Country Summary'!C1354)-1,FALSE)</f>
        <v>0</v>
      </c>
      <c r="AY1341" s="180" t="str">
        <f>IF(AND(AD1341=1,D1341="Military",H1341&lt;&gt;"Not given")=TRUE,IF(SUMIFS(P:P,A:A,A1341)&gt;0,ABS((SUMIFS(P:P,A:A,A1341)/VLOOKUP("USD",'Exchange Rates'!B:C,2,0)))/S1341,"."),".")</f>
        <v>.</v>
      </c>
      <c r="AZ1341" s="182" t="str">
        <f>IF(AND(AD1341=1,D1341="Military",H1341&lt;&gt;"Not given")=TRUE,IF(SUMIFS(P:P,A:A,A1341)&gt;0,IF((ABS((SUMIFS(P:P,A:A,A1341)/VLOOKUP("USD",'Exchange Rates'!B:C,2,0)))/S1341)&gt;1,(SUMIFS(P:P,A:A,A1341)-S1341)/S1341,(S1341-SUMIFS(P:P,A:A,A1341))/SUMIFS(P:P,A:A,A1341)),"."),".")</f>
        <v>.</v>
      </c>
      <c r="BA1341" s="182"/>
      <c r="BB1341" s="182"/>
      <c r="BC1341" s="182"/>
      <c r="BD1341" s="182"/>
      <c r="BE1341" s="182"/>
      <c r="BF1341" s="182"/>
      <c r="BG1341" s="182"/>
      <c r="BH1341" s="182"/>
      <c r="BI1341" s="182"/>
      <c r="BJ1341" s="182"/>
      <c r="BK1341" s="182"/>
      <c r="BL1341" s="182"/>
      <c r="BM1341" s="182"/>
      <c r="BN1341" s="182"/>
      <c r="BO1341" s="182"/>
      <c r="BP1341" s="182"/>
      <c r="BQ1341" s="182"/>
      <c r="BR1341" s="182"/>
      <c r="BS1341" s="182"/>
    </row>
    <row r="1342" spans="1:71" s="523" customFormat="1" ht="15.9" customHeight="1" x14ac:dyDescent="0.3">
      <c r="A1342" s="19" t="s">
        <v>3370</v>
      </c>
      <c r="B1342" s="19" t="s">
        <v>3038</v>
      </c>
      <c r="C1342" s="555">
        <v>44916</v>
      </c>
      <c r="D1342" s="19" t="s">
        <v>285</v>
      </c>
      <c r="E1342" s="19" t="s">
        <v>286</v>
      </c>
      <c r="F1342" s="1139" t="s">
        <v>3389</v>
      </c>
      <c r="G1342" s="15" t="s">
        <v>346</v>
      </c>
      <c r="H1342" s="200">
        <v>1000000000</v>
      </c>
      <c r="I1342" s="17" t="s">
        <v>1154</v>
      </c>
      <c r="J1342" s="113" t="str">
        <f>VLOOKUP($I1342,'Price List, Weapons &amp; Items'!B:C,2,0)</f>
        <v>Military equipment</v>
      </c>
      <c r="K1342" s="113" t="str">
        <f>IF(I1342=".",I1342,VLOOKUP($I1342,'Price List, Weapons &amp; Items'!B:D,3,0))</f>
        <v>non combat military vehicle</v>
      </c>
      <c r="L1342" s="177">
        <f>VLOOKUP(I1342,'Price List, Weapons &amp; Items'!B:E,4,0)</f>
        <v>0</v>
      </c>
      <c r="M1342" s="542">
        <v>6</v>
      </c>
      <c r="N1342" s="542" t="s">
        <v>270</v>
      </c>
      <c r="O1342" s="543">
        <f>VLOOKUP($I1342,'Price List, Weapons &amp; Items'!B:G,6,0)</f>
        <v>350000</v>
      </c>
      <c r="P1342" s="176">
        <f t="shared" si="326"/>
        <v>2100000</v>
      </c>
      <c r="Q1342" s="176" t="str">
        <f t="shared" si="327"/>
        <v>.</v>
      </c>
      <c r="R1342" s="176" t="str">
        <f t="shared" si="325"/>
        <v/>
      </c>
      <c r="S1342" s="176" t="str">
        <f>IF(AND(AD1342=1,R1342&lt;&gt;".")=TRUE,R1342/VLOOKUP(G1342,'Exchange Rates'!B:C,2,0),IF(R1342=".",".",""))</f>
        <v/>
      </c>
      <c r="T1342" s="176" t="str">
        <f>IF(AD1342=1,IF(AF1342="Value is not given at all",".",IF(AF1342="Value is given by the source",S1342,IF(AF1342="Value is calculated with prices",(IF(SUMIFS(Q:Q,A:A,A1342)&gt;0,SUMIFS(Q:Q,A:A,A1342),"."))/VLOOKUP("USD",'Exchange Rates'!B:C,2,0),"Error with coding"))),"")</f>
        <v/>
      </c>
      <c r="U1342" s="15" t="s">
        <v>261</v>
      </c>
      <c r="V1342" s="305" t="s">
        <v>3390</v>
      </c>
      <c r="W1342" s="814" t="s">
        <v>3059</v>
      </c>
      <c r="X1342" s="665" t="s">
        <v>3062</v>
      </c>
      <c r="Y1342" s="671" t="s">
        <v>3163</v>
      </c>
      <c r="Z1342" s="15">
        <v>0</v>
      </c>
      <c r="AA1342" s="180">
        <v>1</v>
      </c>
      <c r="AB1342" s="669" t="s">
        <v>260</v>
      </c>
      <c r="AC1342" s="544"/>
      <c r="AD1342" s="181">
        <v>0</v>
      </c>
      <c r="AE1342" s="181" t="s">
        <v>264</v>
      </c>
      <c r="AF1342" s="181" t="s">
        <v>265</v>
      </c>
      <c r="AG1342" s="181">
        <v>1</v>
      </c>
      <c r="AH1342" s="181">
        <v>12</v>
      </c>
      <c r="AI1342" s="181">
        <v>0</v>
      </c>
      <c r="AJ1342" s="181">
        <f>VLOOKUP($I1342,'Price List, Weapons &amp; Items'!B:F,5,0)</f>
        <v>0</v>
      </c>
      <c r="AK1342" s="181">
        <f t="shared" si="328"/>
        <v>0</v>
      </c>
      <c r="AL1342" s="181">
        <f t="shared" si="329"/>
        <v>0</v>
      </c>
      <c r="AM1342" s="181">
        <f t="shared" si="330"/>
        <v>0</v>
      </c>
      <c r="AN1342" s="180" t="str">
        <f>VLOOKUP($I1342,'Price List, Weapons &amp; Items'!B:L,COLUMN('Price List, Weapons &amp; Items'!$J$11)-1,0)</f>
        <v>Media reports (incl. social media)</v>
      </c>
      <c r="AO1342" s="180" t="str">
        <f>IF(I1342=".",".",VLOOKUP($I1342,'Price List, Weapons &amp; Items'!B:J,3,0))</f>
        <v>non combat military vehicle</v>
      </c>
      <c r="AP1342" s="545" t="str">
        <f t="shared" ca="1" si="324"/>
        <v/>
      </c>
      <c r="AQ1342" s="180">
        <f>VLOOKUP($I1342,'Price List, Weapons &amp; Items'!B:L,COLUMN('Price List, Weapons &amp; Items'!$L$11)-1,0)</f>
        <v>2</v>
      </c>
      <c r="AR1342" s="180">
        <f t="shared" si="331"/>
        <v>1</v>
      </c>
      <c r="AS1342" s="180">
        <f t="shared" si="332"/>
        <v>1</v>
      </c>
      <c r="AT1342" s="180">
        <f t="shared" si="310"/>
        <v>1</v>
      </c>
      <c r="AU1342" s="180" t="str">
        <f t="shared" si="321"/>
        <v>.</v>
      </c>
      <c r="AV1342" s="180" t="str">
        <f t="shared" si="320"/>
        <v>.</v>
      </c>
      <c r="AW1342" s="180">
        <f>IFERROR(VLOOKUP(B1342,'Share, Heavy Weapons to Ukraine'!B:J,COLUMN('Share, Heavy Weapons to Ukraine'!C1352)-1,0),0)</f>
        <v>1</v>
      </c>
      <c r="AX1342" s="180">
        <f>VLOOKUP('Bilateral Assistance, MAIN DATA'!B1342,'Country Summary'!B:F,COLUMN('Country Summary'!C1355)-1,FALSE)</f>
        <v>0</v>
      </c>
      <c r="AY1342" s="180" t="str">
        <f>IF(AND(AD1342=1,D1342="Military",H1342&lt;&gt;"Not given")=TRUE,IF(SUMIFS(P:P,A:A,A1342)&gt;0,ABS((SUMIFS(P:P,A:A,A1342)/VLOOKUP("USD",'Exchange Rates'!B:C,2,0)))/S1342,"."),".")</f>
        <v>.</v>
      </c>
      <c r="AZ1342" s="182" t="str">
        <f>IF(AND(AD1342=1,D1342="Military",H1342&lt;&gt;"Not given")=TRUE,IF(SUMIFS(P:P,A:A,A1342)&gt;0,IF((ABS((SUMIFS(P:P,A:A,A1342)/VLOOKUP("USD",'Exchange Rates'!B:C,2,0)))/S1342)&gt;1,(SUMIFS(P:P,A:A,A1342)-S1342)/S1342,(S1342-SUMIFS(P:P,A:A,A1342))/SUMIFS(P:P,A:A,A1342)),"."),".")</f>
        <v>.</v>
      </c>
      <c r="BA1342" s="182"/>
      <c r="BB1342" s="182"/>
      <c r="BC1342" s="182"/>
      <c r="BD1342" s="182"/>
      <c r="BE1342" s="182"/>
      <c r="BF1342" s="182"/>
      <c r="BG1342" s="182"/>
      <c r="BH1342" s="182"/>
      <c r="BI1342" s="182"/>
      <c r="BJ1342" s="182"/>
      <c r="BK1342" s="182"/>
      <c r="BL1342" s="182"/>
      <c r="BM1342" s="182"/>
      <c r="BN1342" s="182"/>
      <c r="BO1342" s="182"/>
      <c r="BP1342" s="182"/>
      <c r="BQ1342" s="182"/>
      <c r="BR1342" s="182"/>
      <c r="BS1342" s="182"/>
    </row>
    <row r="1343" spans="1:71" s="523" customFormat="1" ht="15.9" customHeight="1" x14ac:dyDescent="0.3">
      <c r="A1343" s="19" t="s">
        <v>3370</v>
      </c>
      <c r="B1343" s="19" t="s">
        <v>3038</v>
      </c>
      <c r="C1343" s="555">
        <v>44916</v>
      </c>
      <c r="D1343" s="19" t="s">
        <v>285</v>
      </c>
      <c r="E1343" s="19" t="s">
        <v>286</v>
      </c>
      <c r="F1343" s="1139" t="s">
        <v>3389</v>
      </c>
      <c r="G1343" s="15" t="s">
        <v>346</v>
      </c>
      <c r="H1343" s="200">
        <v>1000000000</v>
      </c>
      <c r="I1343" s="17" t="s">
        <v>3243</v>
      </c>
      <c r="J1343" s="113" t="str">
        <f>VLOOKUP($I1343,'Price List, Weapons &amp; Items'!B:C,2,0)</f>
        <v>Ammunition for heavy weapon</v>
      </c>
      <c r="K1343" s="113" t="str">
        <f>IF(I1343=".",I1343,VLOOKUP($I1343,'Price List, Weapons &amp; Items'!B:D,3,0))</f>
        <v>missile</v>
      </c>
      <c r="L1343" s="177">
        <f>VLOOKUP(I1343,'Price List, Weapons &amp; Items'!B:E,4,0)</f>
        <v>0</v>
      </c>
      <c r="M1343" s="542" t="s">
        <v>270</v>
      </c>
      <c r="N1343" s="542" t="s">
        <v>270</v>
      </c>
      <c r="O1343" s="543">
        <f>VLOOKUP($I1343,'Price List, Weapons &amp; Items'!B:G,6,0)</f>
        <v>557000</v>
      </c>
      <c r="P1343" s="176" t="str">
        <f t="shared" si="326"/>
        <v>.</v>
      </c>
      <c r="Q1343" s="176" t="str">
        <f t="shared" si="327"/>
        <v>.</v>
      </c>
      <c r="R1343" s="176" t="str">
        <f t="shared" si="325"/>
        <v/>
      </c>
      <c r="S1343" s="176" t="str">
        <f>IF(AND(AD1343=1,R1343&lt;&gt;".")=TRUE,R1343/VLOOKUP(G1343,'Exchange Rates'!B:C,2,0),IF(R1343=".",".",""))</f>
        <v/>
      </c>
      <c r="T1343" s="176" t="str">
        <f>IF(AD1343=1,IF(AF1343="Value is not given at all",".",IF(AF1343="Value is given by the source",S1343,IF(AF1343="Value is calculated with prices",(IF(SUMIFS(Q:Q,A:A,A1343)&gt;0,SUMIFS(Q:Q,A:A,A1343),"."))/VLOOKUP("USD",'Exchange Rates'!B:C,2,0),"Error with coding"))),"")</f>
        <v/>
      </c>
      <c r="U1343" s="15" t="s">
        <v>261</v>
      </c>
      <c r="V1343" s="305" t="s">
        <v>3390</v>
      </c>
      <c r="W1343" s="814" t="s">
        <v>3059</v>
      </c>
      <c r="X1343" s="665" t="s">
        <v>3062</v>
      </c>
      <c r="Y1343" s="671" t="s">
        <v>3165</v>
      </c>
      <c r="Z1343" s="15">
        <v>0</v>
      </c>
      <c r="AA1343" s="180">
        <v>1</v>
      </c>
      <c r="AB1343" s="669" t="s">
        <v>260</v>
      </c>
      <c r="AC1343" s="544"/>
      <c r="AD1343" s="181">
        <v>0</v>
      </c>
      <c r="AE1343" s="181" t="s">
        <v>264</v>
      </c>
      <c r="AF1343" s="181" t="s">
        <v>265</v>
      </c>
      <c r="AG1343" s="181">
        <v>1</v>
      </c>
      <c r="AH1343" s="181">
        <v>12</v>
      </c>
      <c r="AI1343" s="181">
        <v>0</v>
      </c>
      <c r="AJ1343" s="181">
        <f>VLOOKUP($I1343,'Price List, Weapons &amp; Items'!B:F,5,0)</f>
        <v>0</v>
      </c>
      <c r="AK1343" s="181">
        <f t="shared" si="328"/>
        <v>0</v>
      </c>
      <c r="AL1343" s="181">
        <f t="shared" si="329"/>
        <v>0</v>
      </c>
      <c r="AM1343" s="181">
        <f t="shared" si="330"/>
        <v>0</v>
      </c>
      <c r="AN1343" s="180" t="str">
        <f>VLOOKUP($I1343,'Price List, Weapons &amp; Items'!B:L,COLUMN('Price List, Weapons &amp; Items'!$J$11)-1,0)</f>
        <v>Miscellaneous</v>
      </c>
      <c r="AO1343" s="180" t="str">
        <f>IF(I1343=".",".",VLOOKUP($I1343,'Price List, Weapons &amp; Items'!B:J,3,0))</f>
        <v>missile</v>
      </c>
      <c r="AP1343" s="545" t="str">
        <f t="shared" ca="1" si="324"/>
        <v/>
      </c>
      <c r="AQ1343" s="180" t="str">
        <f>VLOOKUP($I1343,'Price List, Weapons &amp; Items'!B:L,COLUMN('Price List, Weapons &amp; Items'!$L$11)-1,0)</f>
        <v>no price, 0 count</v>
      </c>
      <c r="AR1343" s="180">
        <f t="shared" si="331"/>
        <v>1</v>
      </c>
      <c r="AS1343" s="180">
        <f t="shared" si="332"/>
        <v>1</v>
      </c>
      <c r="AT1343" s="180">
        <f t="shared" si="310"/>
        <v>1</v>
      </c>
      <c r="AU1343" s="180" t="str">
        <f t="shared" ref="AU1343:AU1405" si="333">IF(AND(A1343=A1342,C1343=C1342)=TRUE,IF(F1343=F1342,".","1"),".")</f>
        <v>.</v>
      </c>
      <c r="AV1343" s="180" t="str">
        <f t="shared" si="320"/>
        <v>.</v>
      </c>
      <c r="AW1343" s="180">
        <f>IFERROR(VLOOKUP(B1343,'Share, Heavy Weapons to Ukraine'!B:J,COLUMN('Share, Heavy Weapons to Ukraine'!C1353)-1,0),0)</f>
        <v>1</v>
      </c>
      <c r="AX1343" s="180">
        <f>VLOOKUP('Bilateral Assistance, MAIN DATA'!B1343,'Country Summary'!B:F,COLUMN('Country Summary'!C1356)-1,FALSE)</f>
        <v>0</v>
      </c>
      <c r="AY1343" s="180" t="str">
        <f>IF(AND(AD1343=1,D1343="Military",H1343&lt;&gt;"Not given")=TRUE,IF(SUMIFS(P:P,A:A,A1343)&gt;0,ABS((SUMIFS(P:P,A:A,A1343)/VLOOKUP("USD",'Exchange Rates'!B:C,2,0)))/S1343,"."),".")</f>
        <v>.</v>
      </c>
      <c r="AZ1343" s="182" t="str">
        <f>IF(AND(AD1343=1,D1343="Military",H1343&lt;&gt;"Not given")=TRUE,IF(SUMIFS(P:P,A:A,A1343)&gt;0,IF((ABS((SUMIFS(P:P,A:A,A1343)/VLOOKUP("USD",'Exchange Rates'!B:C,2,0)))/S1343)&gt;1,(SUMIFS(P:P,A:A,A1343)-S1343)/S1343,(S1343-SUMIFS(P:P,A:A,A1343))/SUMIFS(P:P,A:A,A1343)),"."),".")</f>
        <v>.</v>
      </c>
      <c r="BA1343" s="182"/>
      <c r="BB1343" s="182"/>
      <c r="BC1343" s="182"/>
      <c r="BD1343" s="182"/>
      <c r="BE1343" s="182"/>
      <c r="BF1343" s="182"/>
      <c r="BG1343" s="182"/>
      <c r="BH1343" s="182"/>
      <c r="BI1343" s="182"/>
      <c r="BJ1343" s="182"/>
      <c r="BK1343" s="182"/>
      <c r="BL1343" s="182"/>
      <c r="BM1343" s="182"/>
      <c r="BN1343" s="182"/>
      <c r="BO1343" s="182"/>
      <c r="BP1343" s="182"/>
      <c r="BQ1343" s="182"/>
      <c r="BR1343" s="182"/>
      <c r="BS1343" s="182"/>
    </row>
    <row r="1344" spans="1:71" s="523" customFormat="1" ht="15.9" customHeight="1" x14ac:dyDescent="0.3">
      <c r="A1344" s="19" t="s">
        <v>3370</v>
      </c>
      <c r="B1344" s="19" t="s">
        <v>3038</v>
      </c>
      <c r="C1344" s="555">
        <v>44916</v>
      </c>
      <c r="D1344" s="19" t="s">
        <v>285</v>
      </c>
      <c r="E1344" s="19" t="s">
        <v>286</v>
      </c>
      <c r="F1344" s="1139" t="s">
        <v>3389</v>
      </c>
      <c r="G1344" s="15" t="s">
        <v>346</v>
      </c>
      <c r="H1344" s="200">
        <v>1000000000</v>
      </c>
      <c r="I1344" s="17" t="s">
        <v>3376</v>
      </c>
      <c r="J1344" s="113" t="str">
        <f>VLOOKUP($I1344,'Price List, Weapons &amp; Items'!B:C,2,0)</f>
        <v>Ammunition for heavy weapon</v>
      </c>
      <c r="K1344" s="113" t="str">
        <f>IF(I1344=".",I1344,VLOOKUP($I1344,'Price List, Weapons &amp; Items'!B:D,3,0))</f>
        <v>artillery round</v>
      </c>
      <c r="L1344" s="177">
        <f>VLOOKUP(I1344,'Price List, Weapons &amp; Items'!B:E,4,0)</f>
        <v>0</v>
      </c>
      <c r="M1344" s="542" t="s">
        <v>270</v>
      </c>
      <c r="N1344" s="542" t="s">
        <v>270</v>
      </c>
      <c r="O1344" s="543">
        <f>VLOOKUP($I1344,'Price List, Weapons &amp; Items'!B:G,6,0)</f>
        <v>112800</v>
      </c>
      <c r="P1344" s="176" t="str">
        <f t="shared" si="326"/>
        <v>.</v>
      </c>
      <c r="Q1344" s="176" t="str">
        <f t="shared" si="327"/>
        <v>.</v>
      </c>
      <c r="R1344" s="176" t="str">
        <f t="shared" si="325"/>
        <v/>
      </c>
      <c r="S1344" s="176" t="str">
        <f>IF(AND(AD1344=1,R1344&lt;&gt;".")=TRUE,R1344/VLOOKUP(G1344,'Exchange Rates'!B:C,2,0),IF(R1344=".",".",""))</f>
        <v/>
      </c>
      <c r="T1344" s="176" t="str">
        <f>IF(AD1344=1,IF(AF1344="Value is not given at all",".",IF(AF1344="Value is given by the source",S1344,IF(AF1344="Value is calculated with prices",(IF(SUMIFS(Q:Q,A:A,A1344)&gt;0,SUMIFS(Q:Q,A:A,A1344),"."))/VLOOKUP("USD",'Exchange Rates'!B:C,2,0),"Error with coding"))),"")</f>
        <v/>
      </c>
      <c r="U1344" s="15" t="s">
        <v>261</v>
      </c>
      <c r="V1344" s="305" t="s">
        <v>3390</v>
      </c>
      <c r="W1344" s="814" t="s">
        <v>3059</v>
      </c>
      <c r="X1344" s="665" t="s">
        <v>3062</v>
      </c>
      <c r="Y1344" s="671" t="s">
        <v>3166</v>
      </c>
      <c r="Z1344" s="15">
        <v>0</v>
      </c>
      <c r="AA1344" s="180">
        <v>1</v>
      </c>
      <c r="AB1344" s="669" t="s">
        <v>260</v>
      </c>
      <c r="AC1344" s="544"/>
      <c r="AD1344" s="181">
        <v>0</v>
      </c>
      <c r="AE1344" s="181" t="s">
        <v>264</v>
      </c>
      <c r="AF1344" s="181" t="s">
        <v>265</v>
      </c>
      <c r="AG1344" s="181">
        <v>1</v>
      </c>
      <c r="AH1344" s="181">
        <v>12</v>
      </c>
      <c r="AI1344" s="181">
        <v>0</v>
      </c>
      <c r="AJ1344" s="181">
        <f>VLOOKUP($I1344,'Price List, Weapons &amp; Items'!B:F,5,0)</f>
        <v>0</v>
      </c>
      <c r="AK1344" s="181">
        <f t="shared" si="328"/>
        <v>0</v>
      </c>
      <c r="AL1344" s="181">
        <f t="shared" si="329"/>
        <v>0</v>
      </c>
      <c r="AM1344" s="181">
        <f t="shared" si="330"/>
        <v>0</v>
      </c>
      <c r="AN1344" s="180" t="str">
        <f>VLOOKUP($I1344,'Price List, Weapons &amp; Items'!B:L,COLUMN('Price List, Weapons &amp; Items'!$J$11)-1,0)</f>
        <v>Miscellaneous</v>
      </c>
      <c r="AO1344" s="180" t="str">
        <f>IF(I1344=".",".",VLOOKUP($I1344,'Price List, Weapons &amp; Items'!B:J,3,0))</f>
        <v>artillery round</v>
      </c>
      <c r="AP1344" s="545" t="str">
        <f t="shared" ca="1" si="324"/>
        <v/>
      </c>
      <c r="AQ1344" s="180">
        <f>VLOOKUP($I1344,'Price List, Weapons &amp; Items'!B:L,COLUMN('Price List, Weapons &amp; Items'!$L$11)-1,0)</f>
        <v>2</v>
      </c>
      <c r="AR1344" s="180">
        <f t="shared" si="331"/>
        <v>1</v>
      </c>
      <c r="AS1344" s="180">
        <f t="shared" si="332"/>
        <v>1</v>
      </c>
      <c r="AT1344" s="180">
        <f t="shared" ref="AT1344:AT1405" si="334">IFERROR(IF(VALUE(TEXT(C1344,"mm"))=AH1344,".",IF(TEXT(C1344,"mm")="01",".",1)),"Value is not in date format")</f>
        <v>1</v>
      </c>
      <c r="AU1344" s="180" t="str">
        <f t="shared" si="333"/>
        <v>.</v>
      </c>
      <c r="AV1344" s="180" t="str">
        <f t="shared" ref="AV1344:AV1405" si="335">IF(T1344&lt;&gt;".",IF(T1344&gt;S1344,1,"."),".")</f>
        <v>.</v>
      </c>
      <c r="AW1344" s="180">
        <f>IFERROR(VLOOKUP(B1344,'Share, Heavy Weapons to Ukraine'!B:J,COLUMN('Share, Heavy Weapons to Ukraine'!C1354)-1,0),0)</f>
        <v>1</v>
      </c>
      <c r="AX1344" s="180">
        <f>VLOOKUP('Bilateral Assistance, MAIN DATA'!B1344,'Country Summary'!B:F,COLUMN('Country Summary'!C1357)-1,FALSE)</f>
        <v>0</v>
      </c>
      <c r="AY1344" s="180" t="str">
        <f>IF(AND(AD1344=1,D1344="Military",H1344&lt;&gt;"Not given")=TRUE,IF(SUMIFS(P:P,A:A,A1344)&gt;0,ABS((SUMIFS(P:P,A:A,A1344)/VLOOKUP("USD",'Exchange Rates'!B:C,2,0)))/S1344,"."),".")</f>
        <v>.</v>
      </c>
      <c r="AZ1344" s="182" t="str">
        <f>IF(AND(AD1344=1,D1344="Military",H1344&lt;&gt;"Not given")=TRUE,IF(SUMIFS(P:P,A:A,A1344)&gt;0,IF((ABS((SUMIFS(P:P,A:A,A1344)/VLOOKUP("USD",'Exchange Rates'!B:C,2,0)))/S1344)&gt;1,(SUMIFS(P:P,A:A,A1344)-S1344)/S1344,(S1344-SUMIFS(P:P,A:A,A1344))/SUMIFS(P:P,A:A,A1344)),"."),".")</f>
        <v>.</v>
      </c>
      <c r="BA1344" s="182"/>
      <c r="BB1344" s="182"/>
      <c r="BC1344" s="182"/>
      <c r="BD1344" s="182"/>
      <c r="BE1344" s="182"/>
      <c r="BF1344" s="182"/>
      <c r="BG1344" s="182"/>
      <c r="BH1344" s="182"/>
      <c r="BI1344" s="182"/>
      <c r="BJ1344" s="182"/>
      <c r="BK1344" s="182"/>
      <c r="BL1344" s="182"/>
      <c r="BM1344" s="182"/>
      <c r="BN1344" s="182"/>
      <c r="BO1344" s="182"/>
      <c r="BP1344" s="182"/>
      <c r="BQ1344" s="182"/>
      <c r="BR1344" s="182"/>
      <c r="BS1344" s="182"/>
    </row>
    <row r="1345" spans="1:71" s="523" customFormat="1" ht="15.9" customHeight="1" x14ac:dyDescent="0.3">
      <c r="A1345" s="19" t="s">
        <v>3370</v>
      </c>
      <c r="B1345" s="19" t="s">
        <v>3038</v>
      </c>
      <c r="C1345" s="555">
        <v>44916</v>
      </c>
      <c r="D1345" s="19" t="s">
        <v>285</v>
      </c>
      <c r="E1345" s="19" t="s">
        <v>286</v>
      </c>
      <c r="F1345" s="1139" t="s">
        <v>3389</v>
      </c>
      <c r="G1345" s="15" t="s">
        <v>346</v>
      </c>
      <c r="H1345" s="200">
        <v>1000000000</v>
      </c>
      <c r="I1345" s="17" t="s">
        <v>3275</v>
      </c>
      <c r="J1345" s="113" t="str">
        <f>VLOOKUP($I1345,'Price List, Weapons &amp; Items'!B:C,2,0)</f>
        <v>Light armaments &amp; infantry</v>
      </c>
      <c r="K1345" s="113" t="str">
        <f>IF(I1345=".",I1345,VLOOKUP($I1345,'Price List, Weapons &amp; Items'!B:D,3,0))</f>
        <v>Light Anti-armor Weapon (LAW)</v>
      </c>
      <c r="L1345" s="177">
        <f>VLOOKUP(I1345,'Price List, Weapons &amp; Items'!B:E,4,0)</f>
        <v>0</v>
      </c>
      <c r="M1345" s="542">
        <v>2700</v>
      </c>
      <c r="N1345" s="542" t="s">
        <v>270</v>
      </c>
      <c r="O1345" s="543">
        <f>VLOOKUP($I1345,'Price List, Weapons &amp; Items'!B:G,6,0)</f>
        <v>2099</v>
      </c>
      <c r="P1345" s="176">
        <f t="shared" si="326"/>
        <v>5667300</v>
      </c>
      <c r="Q1345" s="176" t="str">
        <f t="shared" si="327"/>
        <v>.</v>
      </c>
      <c r="R1345" s="176" t="str">
        <f t="shared" si="325"/>
        <v/>
      </c>
      <c r="S1345" s="176" t="str">
        <f>IF(AND(AD1345=1,R1345&lt;&gt;".")=TRUE,R1345/VLOOKUP(G1345,'Exchange Rates'!B:C,2,0),IF(R1345=".",".",""))</f>
        <v/>
      </c>
      <c r="T1345" s="176" t="str">
        <f>IF(AD1345=1,IF(AF1345="Value is not given at all",".",IF(AF1345="Value is given by the source",S1345,IF(AF1345="Value is calculated with prices",(IF(SUMIFS(Q:Q,A:A,A1345)&gt;0,SUMIFS(Q:Q,A:A,A1345),"."))/VLOOKUP("USD",'Exchange Rates'!B:C,2,0),"Error with coding"))),"")</f>
        <v/>
      </c>
      <c r="U1345" s="15" t="s">
        <v>261</v>
      </c>
      <c r="V1345" s="305" t="s">
        <v>3390</v>
      </c>
      <c r="W1345" s="814" t="s">
        <v>3059</v>
      </c>
      <c r="X1345" s="665" t="s">
        <v>3062</v>
      </c>
      <c r="Y1345" s="671" t="s">
        <v>3169</v>
      </c>
      <c r="Z1345" s="15">
        <v>0</v>
      </c>
      <c r="AA1345" s="180">
        <v>1</v>
      </c>
      <c r="AB1345" s="669" t="s">
        <v>260</v>
      </c>
      <c r="AC1345" s="544"/>
      <c r="AD1345" s="181">
        <v>0</v>
      </c>
      <c r="AE1345" s="181" t="s">
        <v>264</v>
      </c>
      <c r="AF1345" s="181" t="s">
        <v>265</v>
      </c>
      <c r="AG1345" s="181">
        <v>1</v>
      </c>
      <c r="AH1345" s="181">
        <v>12</v>
      </c>
      <c r="AI1345" s="181">
        <v>0</v>
      </c>
      <c r="AJ1345" s="181">
        <f>VLOOKUP($I1345,'Price List, Weapons &amp; Items'!B:F,5,0)</f>
        <v>0</v>
      </c>
      <c r="AK1345" s="181">
        <f t="shared" si="328"/>
        <v>0</v>
      </c>
      <c r="AL1345" s="181">
        <f t="shared" si="329"/>
        <v>0</v>
      </c>
      <c r="AM1345" s="181">
        <f t="shared" si="330"/>
        <v>0</v>
      </c>
      <c r="AN1345" s="180" t="str">
        <f>VLOOKUP($I1345,'Price List, Weapons &amp; Items'!B:L,COLUMN('Price List, Weapons &amp; Items'!$J$11)-1,0)</f>
        <v>Media reports (incl. social media)</v>
      </c>
      <c r="AO1345" s="180" t="str">
        <f>IF(I1345=".",".",VLOOKUP($I1345,'Price List, Weapons &amp; Items'!B:J,3,0))</f>
        <v>Light Anti-armor Weapon (LAW)</v>
      </c>
      <c r="AP1345" s="545" t="str">
        <f t="shared" ca="1" si="324"/>
        <v/>
      </c>
      <c r="AQ1345" s="180">
        <f>VLOOKUP($I1345,'Price List, Weapons &amp; Items'!B:L,COLUMN('Price List, Weapons &amp; Items'!$L$11)-1,0)</f>
        <v>2</v>
      </c>
      <c r="AR1345" s="180">
        <f t="shared" si="331"/>
        <v>1</v>
      </c>
      <c r="AS1345" s="180">
        <f t="shared" si="332"/>
        <v>1</v>
      </c>
      <c r="AT1345" s="180">
        <f t="shared" si="334"/>
        <v>1</v>
      </c>
      <c r="AU1345" s="180" t="str">
        <f t="shared" si="333"/>
        <v>.</v>
      </c>
      <c r="AV1345" s="180" t="str">
        <f t="shared" si="335"/>
        <v>.</v>
      </c>
      <c r="AW1345" s="180">
        <f>IFERROR(VLOOKUP(B1345,'Share, Heavy Weapons to Ukraine'!B:J,COLUMN('Share, Heavy Weapons to Ukraine'!C1355)-1,0),0)</f>
        <v>1</v>
      </c>
      <c r="AX1345" s="180">
        <f>VLOOKUP('Bilateral Assistance, MAIN DATA'!B1345,'Country Summary'!B:F,COLUMN('Country Summary'!C1358)-1,FALSE)</f>
        <v>0</v>
      </c>
      <c r="AY1345" s="180" t="str">
        <f>IF(AND(AD1345=1,D1345="Military",H1345&lt;&gt;"Not given")=TRUE,IF(SUMIFS(P:P,A:A,A1345)&gt;0,ABS((SUMIFS(P:P,A:A,A1345)/VLOOKUP("USD",'Exchange Rates'!B:C,2,0)))/S1345,"."),".")</f>
        <v>.</v>
      </c>
      <c r="AZ1345" s="182" t="str">
        <f>IF(AND(AD1345=1,D1345="Military",H1345&lt;&gt;"Not given")=TRUE,IF(SUMIFS(P:P,A:A,A1345)&gt;0,IF((ABS((SUMIFS(P:P,A:A,A1345)/VLOOKUP("USD",'Exchange Rates'!B:C,2,0)))/S1345)&gt;1,(SUMIFS(P:P,A:A,A1345)-S1345)/S1345,(S1345-SUMIFS(P:P,A:A,A1345))/SUMIFS(P:P,A:A,A1345)),"."),".")</f>
        <v>.</v>
      </c>
      <c r="BA1345" s="182"/>
      <c r="BB1345" s="182"/>
      <c r="BC1345" s="182"/>
      <c r="BD1345" s="182"/>
      <c r="BE1345" s="182"/>
      <c r="BF1345" s="182"/>
      <c r="BG1345" s="182"/>
      <c r="BH1345" s="182"/>
      <c r="BI1345" s="182"/>
      <c r="BJ1345" s="182"/>
      <c r="BK1345" s="182"/>
      <c r="BL1345" s="182"/>
      <c r="BM1345" s="182"/>
      <c r="BN1345" s="182"/>
      <c r="BO1345" s="182"/>
      <c r="BP1345" s="182"/>
      <c r="BQ1345" s="182"/>
      <c r="BR1345" s="182"/>
      <c r="BS1345" s="182"/>
    </row>
    <row r="1346" spans="1:71" s="523" customFormat="1" ht="15.9" customHeight="1" x14ac:dyDescent="0.3">
      <c r="A1346" s="19" t="s">
        <v>3370</v>
      </c>
      <c r="B1346" s="19" t="s">
        <v>3038</v>
      </c>
      <c r="C1346" s="555">
        <v>44916</v>
      </c>
      <c r="D1346" s="19" t="s">
        <v>285</v>
      </c>
      <c r="E1346" s="19" t="s">
        <v>286</v>
      </c>
      <c r="F1346" s="1139" t="s">
        <v>3389</v>
      </c>
      <c r="G1346" s="15" t="s">
        <v>346</v>
      </c>
      <c r="H1346" s="200">
        <v>1000000000</v>
      </c>
      <c r="I1346" s="19" t="s">
        <v>3124</v>
      </c>
      <c r="J1346" s="113" t="str">
        <f>VLOOKUP($I1346,'Price List, Weapons &amp; Items'!B:C,2,0)</f>
        <v>Light armaments &amp; infantry</v>
      </c>
      <c r="K1346" s="113" t="str">
        <f>IF(I1346=".",I1346,VLOOKUP($I1346,'Price List, Weapons &amp; Items'!B:D,3,0))</f>
        <v>Explosive</v>
      </c>
      <c r="L1346" s="177">
        <f>VLOOKUP(I1346,'Price List, Weapons &amp; Items'!B:E,4,0)</f>
        <v>0</v>
      </c>
      <c r="M1346" s="542" t="s">
        <v>270</v>
      </c>
      <c r="N1346" s="542" t="s">
        <v>270</v>
      </c>
      <c r="O1346" s="543">
        <f>VLOOKUP($I1346,'Price List, Weapons &amp; Items'!B:G,6,0)</f>
        <v>223.15</v>
      </c>
      <c r="P1346" s="176" t="str">
        <f t="shared" si="326"/>
        <v>.</v>
      </c>
      <c r="Q1346" s="176" t="str">
        <f t="shared" si="327"/>
        <v>.</v>
      </c>
      <c r="R1346" s="176" t="str">
        <f t="shared" si="325"/>
        <v/>
      </c>
      <c r="S1346" s="176" t="str">
        <f>IF(AND(AD1346=1,R1346&lt;&gt;".")=TRUE,R1346/VLOOKUP(G1346,'Exchange Rates'!B:C,2,0),IF(R1346=".",".",""))</f>
        <v/>
      </c>
      <c r="T1346" s="176" t="str">
        <f>IF(AD1346=1,IF(AF1346="Value is not given at all",".",IF(AF1346="Value is given by the source",S1346,IF(AF1346="Value is calculated with prices",(IF(SUMIFS(Q:Q,A:A,A1346)&gt;0,SUMIFS(Q:Q,A:A,A1346),"."))/VLOOKUP("USD",'Exchange Rates'!B:C,2,0),"Error with coding"))),"")</f>
        <v/>
      </c>
      <c r="U1346" s="15" t="s">
        <v>261</v>
      </c>
      <c r="V1346" s="305" t="s">
        <v>3390</v>
      </c>
      <c r="W1346" s="814" t="s">
        <v>3059</v>
      </c>
      <c r="X1346" s="665" t="s">
        <v>3062</v>
      </c>
      <c r="Y1346" s="671" t="s">
        <v>3170</v>
      </c>
      <c r="Z1346" s="15">
        <v>0</v>
      </c>
      <c r="AA1346" s="180">
        <v>1</v>
      </c>
      <c r="AB1346" s="669" t="s">
        <v>260</v>
      </c>
      <c r="AC1346" s="544"/>
      <c r="AD1346" s="181">
        <v>0</v>
      </c>
      <c r="AE1346" s="181" t="s">
        <v>264</v>
      </c>
      <c r="AF1346" s="181" t="s">
        <v>265</v>
      </c>
      <c r="AG1346" s="181">
        <v>1</v>
      </c>
      <c r="AH1346" s="181">
        <v>12</v>
      </c>
      <c r="AI1346" s="181">
        <v>0</v>
      </c>
      <c r="AJ1346" s="181">
        <f>VLOOKUP($I1346,'Price List, Weapons &amp; Items'!B:F,5,0)</f>
        <v>0</v>
      </c>
      <c r="AK1346" s="181">
        <f t="shared" si="328"/>
        <v>0</v>
      </c>
      <c r="AL1346" s="181">
        <f t="shared" si="329"/>
        <v>0</v>
      </c>
      <c r="AM1346" s="181">
        <f t="shared" si="330"/>
        <v>0</v>
      </c>
      <c r="AN1346" s="180" t="str">
        <f>VLOOKUP($I1346,'Price List, Weapons &amp; Items'!B:L,COLUMN('Price List, Weapons &amp; Items'!$J$11)-1,0)</f>
        <v>Miscellaneous</v>
      </c>
      <c r="AO1346" s="180" t="str">
        <f>IF(I1346=".",".",VLOOKUP($I1346,'Price List, Weapons &amp; Items'!B:J,3,0))</f>
        <v>Explosive</v>
      </c>
      <c r="AP1346" s="545" t="str">
        <f t="shared" ca="1" si="324"/>
        <v/>
      </c>
      <c r="AQ1346" s="180" t="str">
        <f>VLOOKUP($I1346,'Price List, Weapons &amp; Items'!B:L,COLUMN('Price List, Weapons &amp; Items'!$L$11)-1,0)</f>
        <v>no price, 0 count</v>
      </c>
      <c r="AR1346" s="180">
        <f t="shared" si="331"/>
        <v>1</v>
      </c>
      <c r="AS1346" s="180">
        <f t="shared" si="332"/>
        <v>1</v>
      </c>
      <c r="AT1346" s="180">
        <f t="shared" si="334"/>
        <v>1</v>
      </c>
      <c r="AU1346" s="180" t="str">
        <f t="shared" si="333"/>
        <v>.</v>
      </c>
      <c r="AV1346" s="180" t="str">
        <f t="shared" si="335"/>
        <v>.</v>
      </c>
      <c r="AW1346" s="180">
        <f>IFERROR(VLOOKUP(B1346,'Share, Heavy Weapons to Ukraine'!B:J,COLUMN('Share, Heavy Weapons to Ukraine'!C1356)-1,0),0)</f>
        <v>1</v>
      </c>
      <c r="AX1346" s="180">
        <f>VLOOKUP('Bilateral Assistance, MAIN DATA'!B1346,'Country Summary'!B:F,COLUMN('Country Summary'!C1359)-1,FALSE)</f>
        <v>0</v>
      </c>
      <c r="AY1346" s="180" t="str">
        <f>IF(AND(AD1346=1,D1346="Military",H1346&lt;&gt;"Not given")=TRUE,IF(SUMIFS(P:P,A:A,A1346)&gt;0,ABS((SUMIFS(P:P,A:A,A1346)/VLOOKUP("USD",'Exchange Rates'!B:C,2,0)))/S1346,"."),".")</f>
        <v>.</v>
      </c>
      <c r="AZ1346" s="182" t="str">
        <f>IF(AND(AD1346=1,D1346="Military",H1346&lt;&gt;"Not given")=TRUE,IF(SUMIFS(P:P,A:A,A1346)&gt;0,IF((ABS((SUMIFS(P:P,A:A,A1346)/VLOOKUP("USD",'Exchange Rates'!B:C,2,0)))/S1346)&gt;1,(SUMIFS(P:P,A:A,A1346)-S1346)/S1346,(S1346-SUMIFS(P:P,A:A,A1346))/SUMIFS(P:P,A:A,A1346)),"."),".")</f>
        <v>.</v>
      </c>
      <c r="BA1346" s="182"/>
      <c r="BB1346" s="182"/>
      <c r="BC1346" s="182"/>
      <c r="BD1346" s="182"/>
      <c r="BE1346" s="182"/>
      <c r="BF1346" s="182"/>
      <c r="BG1346" s="182"/>
      <c r="BH1346" s="182"/>
      <c r="BI1346" s="182"/>
      <c r="BJ1346" s="182"/>
      <c r="BK1346" s="182"/>
      <c r="BL1346" s="182"/>
      <c r="BM1346" s="182"/>
      <c r="BN1346" s="182"/>
      <c r="BO1346" s="182"/>
      <c r="BP1346" s="182"/>
      <c r="BQ1346" s="182"/>
      <c r="BR1346" s="182"/>
      <c r="BS1346" s="182"/>
    </row>
    <row r="1347" spans="1:71" s="523" customFormat="1" ht="15.9" customHeight="1" x14ac:dyDescent="0.3">
      <c r="A1347" s="19" t="s">
        <v>3370</v>
      </c>
      <c r="B1347" s="19" t="s">
        <v>3038</v>
      </c>
      <c r="C1347" s="555">
        <v>44916</v>
      </c>
      <c r="D1347" s="19" t="s">
        <v>285</v>
      </c>
      <c r="E1347" s="19" t="s">
        <v>286</v>
      </c>
      <c r="F1347" s="1139" t="s">
        <v>3389</v>
      </c>
      <c r="G1347" s="15" t="s">
        <v>346</v>
      </c>
      <c r="H1347" s="200">
        <v>1000000000</v>
      </c>
      <c r="I1347" s="19" t="s">
        <v>3254</v>
      </c>
      <c r="J1347" s="113" t="str">
        <f>VLOOKUP($I1347,'Price List, Weapons &amp; Items'!B:C,2,0)</f>
        <v>Military equipment</v>
      </c>
      <c r="K1347" s="113" t="str">
        <f>IF(I1347=".",I1347,VLOOKUP($I1347,'Price List, Weapons &amp; Items'!B:D,3,0))</f>
        <v>Military equipment</v>
      </c>
      <c r="L1347" s="177">
        <f>VLOOKUP(I1347,'Price List, Weapons &amp; Items'!B:E,4,0)</f>
        <v>0</v>
      </c>
      <c r="M1347" s="542" t="s">
        <v>270</v>
      </c>
      <c r="N1347" s="542" t="s">
        <v>270</v>
      </c>
      <c r="O1347" s="543">
        <f>VLOOKUP($I1347,'Price List, Weapons &amp; Items'!B:G,6,0)</f>
        <v>90</v>
      </c>
      <c r="P1347" s="176" t="str">
        <f t="shared" si="326"/>
        <v>.</v>
      </c>
      <c r="Q1347" s="176" t="str">
        <f t="shared" si="327"/>
        <v>.</v>
      </c>
      <c r="R1347" s="176" t="str">
        <f t="shared" si="325"/>
        <v/>
      </c>
      <c r="S1347" s="176" t="str">
        <f>IF(AND(AD1347=1,R1347&lt;&gt;".")=TRUE,R1347/VLOOKUP(G1347,'Exchange Rates'!B:C,2,0),IF(R1347=".",".",""))</f>
        <v/>
      </c>
      <c r="T1347" s="176" t="str">
        <f>IF(AD1347=1,IF(AF1347="Value is not given at all",".",IF(AF1347="Value is given by the source",S1347,IF(AF1347="Value is calculated with prices",(IF(SUMIFS(Q:Q,A:A,A1347)&gt;0,SUMIFS(Q:Q,A:A,A1347),"."))/VLOOKUP("USD",'Exchange Rates'!B:C,2,0),"Error with coding"))),"")</f>
        <v/>
      </c>
      <c r="U1347" s="15" t="s">
        <v>261</v>
      </c>
      <c r="V1347" s="305" t="s">
        <v>3390</v>
      </c>
      <c r="W1347" s="814" t="s">
        <v>3059</v>
      </c>
      <c r="X1347" s="665" t="s">
        <v>3062</v>
      </c>
      <c r="Y1347" s="671" t="s">
        <v>3171</v>
      </c>
      <c r="Z1347" s="15">
        <v>0</v>
      </c>
      <c r="AA1347" s="180">
        <v>1</v>
      </c>
      <c r="AB1347" s="669" t="s">
        <v>260</v>
      </c>
      <c r="AC1347" s="544"/>
      <c r="AD1347" s="181">
        <v>0</v>
      </c>
      <c r="AE1347" s="181" t="s">
        <v>264</v>
      </c>
      <c r="AF1347" s="181" t="s">
        <v>265</v>
      </c>
      <c r="AG1347" s="181">
        <v>1</v>
      </c>
      <c r="AH1347" s="181">
        <v>12</v>
      </c>
      <c r="AI1347" s="181">
        <v>0</v>
      </c>
      <c r="AJ1347" s="181">
        <f>VLOOKUP($I1347,'Price List, Weapons &amp; Items'!B:F,5,0)</f>
        <v>0</v>
      </c>
      <c r="AK1347" s="181">
        <f t="shared" si="328"/>
        <v>0</v>
      </c>
      <c r="AL1347" s="181">
        <f t="shared" si="329"/>
        <v>0</v>
      </c>
      <c r="AM1347" s="181">
        <f t="shared" si="330"/>
        <v>0</v>
      </c>
      <c r="AN1347" s="180" t="str">
        <f>VLOOKUP($I1347,'Price List, Weapons &amp; Items'!B:L,COLUMN('Price List, Weapons &amp; Items'!$J$11)-1,0)</f>
        <v>Media reports (incl. social media)</v>
      </c>
      <c r="AO1347" s="180" t="str">
        <f>IF(I1347=".",".",VLOOKUP($I1347,'Price List, Weapons &amp; Items'!B:J,3,0))</f>
        <v>Military equipment</v>
      </c>
      <c r="AP1347" s="545" t="str">
        <f t="shared" ca="1" si="324"/>
        <v/>
      </c>
      <c r="AQ1347" s="180" t="str">
        <f>VLOOKUP($I1347,'Price List, Weapons &amp; Items'!B:L,COLUMN('Price List, Weapons &amp; Items'!$L$11)-1,0)</f>
        <v>no price, 0 count</v>
      </c>
      <c r="AR1347" s="180">
        <f t="shared" si="331"/>
        <v>1</v>
      </c>
      <c r="AS1347" s="180">
        <f t="shared" si="332"/>
        <v>1</v>
      </c>
      <c r="AT1347" s="180">
        <f t="shared" si="334"/>
        <v>1</v>
      </c>
      <c r="AU1347" s="180" t="str">
        <f t="shared" si="333"/>
        <v>.</v>
      </c>
      <c r="AV1347" s="180" t="str">
        <f t="shared" si="335"/>
        <v>.</v>
      </c>
      <c r="AW1347" s="180">
        <f>IFERROR(VLOOKUP(B1347,'Share, Heavy Weapons to Ukraine'!B:J,COLUMN('Share, Heavy Weapons to Ukraine'!C1357)-1,0),0)</f>
        <v>1</v>
      </c>
      <c r="AX1347" s="180">
        <f>VLOOKUP('Bilateral Assistance, MAIN DATA'!B1347,'Country Summary'!B:F,COLUMN('Country Summary'!C1360)-1,FALSE)</f>
        <v>0</v>
      </c>
      <c r="AY1347" s="180" t="str">
        <f>IF(AND(AD1347=1,D1347="Military",H1347&lt;&gt;"Not given")=TRUE,IF(SUMIFS(P:P,A:A,A1347)&gt;0,ABS((SUMIFS(P:P,A:A,A1347)/VLOOKUP("USD",'Exchange Rates'!B:C,2,0)))/S1347,"."),".")</f>
        <v>.</v>
      </c>
      <c r="AZ1347" s="182" t="str">
        <f>IF(AND(AD1347=1,D1347="Military",H1347&lt;&gt;"Not given")=TRUE,IF(SUMIFS(P:P,A:A,A1347)&gt;0,IF((ABS((SUMIFS(P:P,A:A,A1347)/VLOOKUP("USD",'Exchange Rates'!B:C,2,0)))/S1347)&gt;1,(SUMIFS(P:P,A:A,A1347)-S1347)/S1347,(S1347-SUMIFS(P:P,A:A,A1347))/SUMIFS(P:P,A:A,A1347)),"."),".")</f>
        <v>.</v>
      </c>
      <c r="BA1347" s="182"/>
      <c r="BB1347" s="182"/>
      <c r="BC1347" s="182"/>
      <c r="BD1347" s="182"/>
      <c r="BE1347" s="182"/>
      <c r="BF1347" s="182"/>
      <c r="BG1347" s="182"/>
      <c r="BH1347" s="182"/>
      <c r="BI1347" s="182"/>
      <c r="BJ1347" s="182"/>
      <c r="BK1347" s="182"/>
      <c r="BL1347" s="182"/>
      <c r="BM1347" s="182"/>
      <c r="BN1347" s="182"/>
      <c r="BO1347" s="182"/>
      <c r="BP1347" s="182"/>
      <c r="BQ1347" s="182"/>
      <c r="BR1347" s="182"/>
      <c r="BS1347" s="182"/>
    </row>
    <row r="1348" spans="1:71" s="523" customFormat="1" ht="15.9" customHeight="1" x14ac:dyDescent="0.3">
      <c r="A1348" s="19" t="s">
        <v>3370</v>
      </c>
      <c r="B1348" s="19" t="s">
        <v>3038</v>
      </c>
      <c r="C1348" s="555">
        <v>44916</v>
      </c>
      <c r="D1348" s="19" t="s">
        <v>285</v>
      </c>
      <c r="E1348" s="19" t="s">
        <v>286</v>
      </c>
      <c r="F1348" s="1139" t="s">
        <v>3389</v>
      </c>
      <c r="G1348" s="15" t="s">
        <v>346</v>
      </c>
      <c r="H1348" s="200">
        <v>1000000000</v>
      </c>
      <c r="I1348" s="17" t="s">
        <v>598</v>
      </c>
      <c r="J1348" s="113" t="str">
        <f>VLOOKUP($I1348,'Price List, Weapons &amp; Items'!B:C,2,0)</f>
        <v>Military equipment</v>
      </c>
      <c r="K1348" s="113" t="str">
        <f>IF(I1348=".",I1348,VLOOKUP($I1348,'Price List, Weapons &amp; Items'!B:D,3,0))</f>
        <v>Military equipment</v>
      </c>
      <c r="L1348" s="177">
        <f>VLOOKUP(I1348,'Price List, Weapons &amp; Items'!B:E,4,0)</f>
        <v>0</v>
      </c>
      <c r="M1348" s="542" t="s">
        <v>270</v>
      </c>
      <c r="N1348" s="542" t="s">
        <v>270</v>
      </c>
      <c r="O1348" s="543">
        <f>VLOOKUP($I1348,'Price List, Weapons &amp; Items'!B:G,6,0)</f>
        <v>2320</v>
      </c>
      <c r="P1348" s="176" t="str">
        <f t="shared" si="326"/>
        <v>.</v>
      </c>
      <c r="Q1348" s="176" t="str">
        <f t="shared" si="327"/>
        <v>.</v>
      </c>
      <c r="R1348" s="176" t="str">
        <f t="shared" si="325"/>
        <v/>
      </c>
      <c r="S1348" s="176" t="str">
        <f>IF(AND(AD1348=1,R1348&lt;&gt;".")=TRUE,R1348/VLOOKUP(G1348,'Exchange Rates'!B:C,2,0),IF(R1348=".",".",""))</f>
        <v/>
      </c>
      <c r="T1348" s="176" t="str">
        <f>IF(AD1348=1,IF(AF1348="Value is not given at all",".",IF(AF1348="Value is given by the source",S1348,IF(AF1348="Value is calculated with prices",(IF(SUMIFS(Q:Q,A:A,A1348)&gt;0,SUMIFS(Q:Q,A:A,A1348),"."))/VLOOKUP("USD",'Exchange Rates'!B:C,2,0),"Error with coding"))),"")</f>
        <v/>
      </c>
      <c r="U1348" s="15" t="s">
        <v>261</v>
      </c>
      <c r="V1348" s="305" t="s">
        <v>3390</v>
      </c>
      <c r="W1348" s="814" t="s">
        <v>3059</v>
      </c>
      <c r="X1348" s="665" t="s">
        <v>3062</v>
      </c>
      <c r="Y1348" s="671" t="s">
        <v>3173</v>
      </c>
      <c r="Z1348" s="15">
        <v>0</v>
      </c>
      <c r="AA1348" s="180">
        <v>1</v>
      </c>
      <c r="AB1348" s="669" t="s">
        <v>260</v>
      </c>
      <c r="AC1348" s="544"/>
      <c r="AD1348" s="181">
        <v>0</v>
      </c>
      <c r="AE1348" s="181" t="s">
        <v>264</v>
      </c>
      <c r="AF1348" s="181" t="s">
        <v>265</v>
      </c>
      <c r="AG1348" s="181">
        <v>1</v>
      </c>
      <c r="AH1348" s="181">
        <v>12</v>
      </c>
      <c r="AI1348" s="181">
        <v>0</v>
      </c>
      <c r="AJ1348" s="181">
        <f>VLOOKUP($I1348,'Price List, Weapons &amp; Items'!B:F,5,0)</f>
        <v>0</v>
      </c>
      <c r="AK1348" s="181">
        <f t="shared" si="328"/>
        <v>0</v>
      </c>
      <c r="AL1348" s="181">
        <f t="shared" si="329"/>
        <v>0</v>
      </c>
      <c r="AM1348" s="181">
        <f t="shared" si="330"/>
        <v>0</v>
      </c>
      <c r="AN1348" s="180" t="str">
        <f>VLOOKUP($I1348,'Price List, Weapons &amp; Items'!B:L,COLUMN('Price List, Weapons &amp; Items'!$J$11)-1,0)</f>
        <v>Media reports (incl. social media)</v>
      </c>
      <c r="AO1348" s="180" t="str">
        <f>IF(I1348=".",".",VLOOKUP($I1348,'Price List, Weapons &amp; Items'!B:J,3,0))</f>
        <v>Military equipment</v>
      </c>
      <c r="AP1348" s="545" t="str">
        <f t="shared" ca="1" si="324"/>
        <v/>
      </c>
      <c r="AQ1348" s="180">
        <f>VLOOKUP($I1348,'Price List, Weapons &amp; Items'!B:L,COLUMN('Price List, Weapons &amp; Items'!$L$11)-1,0)</f>
        <v>2</v>
      </c>
      <c r="AR1348" s="180">
        <f t="shared" si="331"/>
        <v>1</v>
      </c>
      <c r="AS1348" s="180">
        <f t="shared" si="332"/>
        <v>1</v>
      </c>
      <c r="AT1348" s="180">
        <f t="shared" si="334"/>
        <v>1</v>
      </c>
      <c r="AU1348" s="180" t="str">
        <f t="shared" si="333"/>
        <v>.</v>
      </c>
      <c r="AV1348" s="180" t="str">
        <f t="shared" si="335"/>
        <v>.</v>
      </c>
      <c r="AW1348" s="180">
        <f>IFERROR(VLOOKUP(B1348,'Share, Heavy Weapons to Ukraine'!B:J,COLUMN('Share, Heavy Weapons to Ukraine'!C1358)-1,0),0)</f>
        <v>1</v>
      </c>
      <c r="AX1348" s="180">
        <f>VLOOKUP('Bilateral Assistance, MAIN DATA'!B1348,'Country Summary'!B:F,COLUMN('Country Summary'!C1361)-1,FALSE)</f>
        <v>0</v>
      </c>
      <c r="AY1348" s="180" t="str">
        <f>IF(AND(AD1348=1,D1348="Military",H1348&lt;&gt;"Not given")=TRUE,IF(SUMIFS(P:P,A:A,A1348)&gt;0,ABS((SUMIFS(P:P,A:A,A1348)/VLOOKUP("USD",'Exchange Rates'!B:C,2,0)))/S1348,"."),".")</f>
        <v>.</v>
      </c>
      <c r="AZ1348" s="182" t="str">
        <f>IF(AND(AD1348=1,D1348="Military",H1348&lt;&gt;"Not given")=TRUE,IF(SUMIFS(P:P,A:A,A1348)&gt;0,IF((ABS((SUMIFS(P:P,A:A,A1348)/VLOOKUP("USD",'Exchange Rates'!B:C,2,0)))/S1348)&gt;1,(SUMIFS(P:P,A:A,A1348)-S1348)/S1348,(S1348-SUMIFS(P:P,A:A,A1348))/SUMIFS(P:P,A:A,A1348)),"."),".")</f>
        <v>.</v>
      </c>
      <c r="BA1348" s="182"/>
      <c r="BB1348" s="182"/>
      <c r="BC1348" s="182"/>
      <c r="BD1348" s="182"/>
      <c r="BE1348" s="182"/>
      <c r="BF1348" s="182"/>
      <c r="BG1348" s="182"/>
      <c r="BH1348" s="182"/>
      <c r="BI1348" s="182"/>
      <c r="BJ1348" s="182"/>
      <c r="BK1348" s="182"/>
      <c r="BL1348" s="182"/>
      <c r="BM1348" s="182"/>
      <c r="BN1348" s="182"/>
      <c r="BO1348" s="182"/>
      <c r="BP1348" s="182"/>
      <c r="BQ1348" s="182"/>
      <c r="BR1348" s="182"/>
      <c r="BS1348" s="182"/>
    </row>
    <row r="1349" spans="1:71" s="523" customFormat="1" ht="15.9" customHeight="1" x14ac:dyDescent="0.3">
      <c r="A1349" s="19" t="s">
        <v>3370</v>
      </c>
      <c r="B1349" s="19" t="s">
        <v>3038</v>
      </c>
      <c r="C1349" s="555">
        <v>44916</v>
      </c>
      <c r="D1349" s="19" t="s">
        <v>285</v>
      </c>
      <c r="E1349" s="19" t="s">
        <v>286</v>
      </c>
      <c r="F1349" s="1139" t="s">
        <v>3389</v>
      </c>
      <c r="G1349" s="15" t="s">
        <v>346</v>
      </c>
      <c r="H1349" s="200">
        <v>1000000000</v>
      </c>
      <c r="I1349" s="17" t="s">
        <v>3364</v>
      </c>
      <c r="J1349" s="113" t="str">
        <f>VLOOKUP($I1349,'Price List, Weapons &amp; Items'!B:C,2,0)</f>
        <v>Military equipment</v>
      </c>
      <c r="K1349" s="113" t="str">
        <f>IF(I1349=".",I1349,VLOOKUP($I1349,'Price List, Weapons &amp; Items'!B:D,3,0))</f>
        <v>Military equipment</v>
      </c>
      <c r="L1349" s="177">
        <f>VLOOKUP(I1349,'Price List, Weapons &amp; Items'!B:E,4,0)</f>
        <v>0</v>
      </c>
      <c r="M1349" s="542" t="s">
        <v>270</v>
      </c>
      <c r="N1349" s="542" t="s">
        <v>270</v>
      </c>
      <c r="O1349" s="543" t="str">
        <f>VLOOKUP($I1349,'Price List, Weapons &amp; Items'!B:G,6,0)</f>
        <v>.</v>
      </c>
      <c r="P1349" s="176" t="str">
        <f t="shared" si="326"/>
        <v>.</v>
      </c>
      <c r="Q1349" s="176" t="str">
        <f t="shared" si="327"/>
        <v>.</v>
      </c>
      <c r="R1349" s="176" t="str">
        <f t="shared" si="325"/>
        <v/>
      </c>
      <c r="S1349" s="176" t="str">
        <f>IF(AND(AD1349=1,R1349&lt;&gt;".")=TRUE,R1349/VLOOKUP(G1349,'Exchange Rates'!B:C,2,0),IF(R1349=".",".",""))</f>
        <v/>
      </c>
      <c r="T1349" s="176" t="str">
        <f>IF(AD1349=1,IF(AF1349="Value is not given at all",".",IF(AF1349="Value is given by the source",S1349,IF(AF1349="Value is calculated with prices",(IF(SUMIFS(Q:Q,A:A,A1349)&gt;0,SUMIFS(Q:Q,A:A,A1349),"."))/VLOOKUP("USD",'Exchange Rates'!B:C,2,0),"Error with coding"))),"")</f>
        <v/>
      </c>
      <c r="U1349" s="15" t="s">
        <v>261</v>
      </c>
      <c r="V1349" s="305" t="s">
        <v>3390</v>
      </c>
      <c r="W1349" s="814" t="s">
        <v>3059</v>
      </c>
      <c r="X1349" s="665" t="s">
        <v>3062</v>
      </c>
      <c r="Y1349" s="671" t="s">
        <v>3175</v>
      </c>
      <c r="Z1349" s="15">
        <v>0</v>
      </c>
      <c r="AA1349" s="180">
        <v>1</v>
      </c>
      <c r="AB1349" s="669" t="s">
        <v>260</v>
      </c>
      <c r="AC1349" s="544"/>
      <c r="AD1349" s="181">
        <v>0</v>
      </c>
      <c r="AE1349" s="181" t="s">
        <v>264</v>
      </c>
      <c r="AF1349" s="181" t="s">
        <v>265</v>
      </c>
      <c r="AG1349" s="181">
        <v>1</v>
      </c>
      <c r="AH1349" s="181">
        <v>12</v>
      </c>
      <c r="AI1349" s="181">
        <v>0</v>
      </c>
      <c r="AJ1349" s="181">
        <f>VLOOKUP($I1349,'Price List, Weapons &amp; Items'!B:F,5,0)</f>
        <v>0</v>
      </c>
      <c r="AK1349" s="181">
        <f t="shared" si="328"/>
        <v>0</v>
      </c>
      <c r="AL1349" s="181">
        <f t="shared" si="329"/>
        <v>0</v>
      </c>
      <c r="AM1349" s="181">
        <f t="shared" si="330"/>
        <v>0</v>
      </c>
      <c r="AN1349" s="180" t="str">
        <f>VLOOKUP($I1349,'Price List, Weapons &amp; Items'!B:L,COLUMN('Price List, Weapons &amp; Items'!$J$11)-1,0)</f>
        <v>.</v>
      </c>
      <c r="AO1349" s="180" t="str">
        <f>IF(I1349=".",".",VLOOKUP($I1349,'Price List, Weapons &amp; Items'!B:J,3,0))</f>
        <v>Military equipment</v>
      </c>
      <c r="AP1349" s="545" t="str">
        <f t="shared" ca="1" si="324"/>
        <v/>
      </c>
      <c r="AQ1349" s="180" t="str">
        <f>VLOOKUP($I1349,'Price List, Weapons &amp; Items'!B:L,COLUMN('Price List, Weapons &amp; Items'!$L$11)-1,0)</f>
        <v>no price, 0 count</v>
      </c>
      <c r="AR1349" s="180">
        <f t="shared" si="331"/>
        <v>1</v>
      </c>
      <c r="AS1349" s="180">
        <f t="shared" si="332"/>
        <v>1</v>
      </c>
      <c r="AT1349" s="180">
        <f t="shared" si="334"/>
        <v>1</v>
      </c>
      <c r="AU1349" s="180" t="str">
        <f t="shared" si="333"/>
        <v>.</v>
      </c>
      <c r="AV1349" s="180" t="str">
        <f t="shared" si="335"/>
        <v>.</v>
      </c>
      <c r="AW1349" s="180">
        <f>IFERROR(VLOOKUP(B1349,'Share, Heavy Weapons to Ukraine'!B:J,COLUMN('Share, Heavy Weapons to Ukraine'!C1359)-1,0),0)</f>
        <v>1</v>
      </c>
      <c r="AX1349" s="180">
        <f>VLOOKUP('Bilateral Assistance, MAIN DATA'!B1349,'Country Summary'!B:F,COLUMN('Country Summary'!C1362)-1,FALSE)</f>
        <v>0</v>
      </c>
      <c r="AY1349" s="180" t="str">
        <f>IF(AND(AD1349=1,D1349="Military",H1349&lt;&gt;"Not given")=TRUE,IF(SUMIFS(P:P,A:A,A1349)&gt;0,ABS((SUMIFS(P:P,A:A,A1349)/VLOOKUP("USD",'Exchange Rates'!B:C,2,0)))/S1349,"."),".")</f>
        <v>.</v>
      </c>
      <c r="AZ1349" s="182" t="str">
        <f>IF(AND(AD1349=1,D1349="Military",H1349&lt;&gt;"Not given")=TRUE,IF(SUMIFS(P:P,A:A,A1349)&gt;0,IF((ABS((SUMIFS(P:P,A:A,A1349)/VLOOKUP("USD",'Exchange Rates'!B:C,2,0)))/S1349)&gt;1,(SUMIFS(P:P,A:A,A1349)-S1349)/S1349,(S1349-SUMIFS(P:P,A:A,A1349))/SUMIFS(P:P,A:A,A1349)),"."),".")</f>
        <v>.</v>
      </c>
      <c r="BA1349" s="182"/>
      <c r="BB1349" s="182"/>
      <c r="BC1349" s="182"/>
      <c r="BD1349" s="182"/>
      <c r="BE1349" s="182"/>
      <c r="BF1349" s="182"/>
      <c r="BG1349" s="182"/>
      <c r="BH1349" s="182"/>
      <c r="BI1349" s="182"/>
      <c r="BJ1349" s="182"/>
      <c r="BK1349" s="182"/>
      <c r="BL1349" s="182"/>
      <c r="BM1349" s="182"/>
      <c r="BN1349" s="182"/>
      <c r="BO1349" s="182"/>
      <c r="BP1349" s="182"/>
      <c r="BQ1349" s="182"/>
      <c r="BR1349" s="182"/>
      <c r="BS1349" s="182"/>
    </row>
    <row r="1350" spans="1:71" s="523" customFormat="1" ht="15.9" customHeight="1" x14ac:dyDescent="0.3">
      <c r="A1350" s="19" t="s">
        <v>3370</v>
      </c>
      <c r="B1350" s="19" t="s">
        <v>3038</v>
      </c>
      <c r="C1350" s="555">
        <v>44916</v>
      </c>
      <c r="D1350" s="19" t="s">
        <v>285</v>
      </c>
      <c r="E1350" s="19" t="s">
        <v>286</v>
      </c>
      <c r="F1350" s="1139" t="s">
        <v>3389</v>
      </c>
      <c r="G1350" s="15" t="s">
        <v>346</v>
      </c>
      <c r="H1350" s="200">
        <v>1000000000</v>
      </c>
      <c r="I1350" s="17" t="s">
        <v>3131</v>
      </c>
      <c r="J1350" s="113" t="str">
        <f>VLOOKUP($I1350,'Price List, Weapons &amp; Items'!B:C,2,0)</f>
        <v>Military equipment</v>
      </c>
      <c r="K1350" s="113" t="str">
        <f>IF(I1350=".",I1350,VLOOKUP($I1350,'Price List, Weapons &amp; Items'!B:D,3,0))</f>
        <v>Military equipment</v>
      </c>
      <c r="L1350" s="177">
        <f>VLOOKUP(I1350,'Price List, Weapons &amp; Items'!B:E,4,0)</f>
        <v>0</v>
      </c>
      <c r="M1350" s="542" t="s">
        <v>270</v>
      </c>
      <c r="N1350" s="542" t="s">
        <v>270</v>
      </c>
      <c r="O1350" s="543" t="str">
        <f>VLOOKUP($I1350,'Price List, Weapons &amp; Items'!B:G,6,0)</f>
        <v>.</v>
      </c>
      <c r="P1350" s="176" t="str">
        <f t="shared" si="326"/>
        <v>.</v>
      </c>
      <c r="Q1350" s="176" t="str">
        <f t="shared" si="327"/>
        <v>.</v>
      </c>
      <c r="R1350" s="176" t="str">
        <f t="shared" si="325"/>
        <v/>
      </c>
      <c r="S1350" s="176" t="str">
        <f>IF(AND(AD1350=1,R1350&lt;&gt;".")=TRUE,R1350/VLOOKUP(G1350,'Exchange Rates'!B:C,2,0),IF(R1350=".",".",""))</f>
        <v/>
      </c>
      <c r="T1350" s="176" t="str">
        <f>IF(AD1350=1,IF(AF1350="Value is not given at all",".",IF(AF1350="Value is given by the source",S1350,IF(AF1350="Value is calculated with prices",(IF(SUMIFS(Q:Q,A:A,A1350)&gt;0,SUMIFS(Q:Q,A:A,A1350),"."))/VLOOKUP("USD",'Exchange Rates'!B:C,2,0),"Error with coding"))),"")</f>
        <v/>
      </c>
      <c r="U1350" s="15" t="s">
        <v>261</v>
      </c>
      <c r="V1350" s="305" t="s">
        <v>3390</v>
      </c>
      <c r="W1350" s="814" t="s">
        <v>3059</v>
      </c>
      <c r="X1350" s="665" t="s">
        <v>3062</v>
      </c>
      <c r="Y1350" s="671" t="s">
        <v>3176</v>
      </c>
      <c r="Z1350" s="15">
        <v>0</v>
      </c>
      <c r="AA1350" s="180">
        <v>1</v>
      </c>
      <c r="AB1350" s="669" t="s">
        <v>260</v>
      </c>
      <c r="AC1350" s="544"/>
      <c r="AD1350" s="181">
        <v>0</v>
      </c>
      <c r="AE1350" s="181" t="s">
        <v>264</v>
      </c>
      <c r="AF1350" s="181" t="s">
        <v>265</v>
      </c>
      <c r="AG1350" s="181">
        <v>1</v>
      </c>
      <c r="AH1350" s="181">
        <v>12</v>
      </c>
      <c r="AI1350" s="181">
        <v>0</v>
      </c>
      <c r="AJ1350" s="181">
        <f>VLOOKUP($I1350,'Price List, Weapons &amp; Items'!B:F,5,0)</f>
        <v>0</v>
      </c>
      <c r="AK1350" s="181">
        <f t="shared" si="328"/>
        <v>0</v>
      </c>
      <c r="AL1350" s="181">
        <f t="shared" si="329"/>
        <v>0</v>
      </c>
      <c r="AM1350" s="181">
        <f t="shared" si="330"/>
        <v>0</v>
      </c>
      <c r="AN1350" s="180" t="str">
        <f>VLOOKUP($I1350,'Price List, Weapons &amp; Items'!B:L,COLUMN('Price List, Weapons &amp; Items'!$J$11)-1,0)</f>
        <v>.</v>
      </c>
      <c r="AO1350" s="180" t="str">
        <f>IF(I1350=".",".",VLOOKUP($I1350,'Price List, Weapons &amp; Items'!B:J,3,0))</f>
        <v>Military equipment</v>
      </c>
      <c r="AP1350" s="545" t="str">
        <f t="shared" ca="1" si="324"/>
        <v/>
      </c>
      <c r="AQ1350" s="180" t="str">
        <f>VLOOKUP($I1350,'Price List, Weapons &amp; Items'!B:L,COLUMN('Price List, Weapons &amp; Items'!$L$11)-1,0)</f>
        <v>no price, 0 count</v>
      </c>
      <c r="AR1350" s="180">
        <f t="shared" si="331"/>
        <v>1</v>
      </c>
      <c r="AS1350" s="180">
        <f t="shared" si="332"/>
        <v>1</v>
      </c>
      <c r="AT1350" s="180">
        <f t="shared" si="334"/>
        <v>1</v>
      </c>
      <c r="AU1350" s="180" t="str">
        <f t="shared" si="333"/>
        <v>.</v>
      </c>
      <c r="AV1350" s="180" t="str">
        <f t="shared" si="335"/>
        <v>.</v>
      </c>
      <c r="AW1350" s="180">
        <f>IFERROR(VLOOKUP(B1350,'Share, Heavy Weapons to Ukraine'!B:J,COLUMN('Share, Heavy Weapons to Ukraine'!C1360)-1,0),0)</f>
        <v>1</v>
      </c>
      <c r="AX1350" s="180">
        <f>VLOOKUP('Bilateral Assistance, MAIN DATA'!B1350,'Country Summary'!B:F,COLUMN('Country Summary'!C1363)-1,FALSE)</f>
        <v>0</v>
      </c>
      <c r="AY1350" s="180" t="str">
        <f>IF(AND(AD1350=1,D1350="Military",H1350&lt;&gt;"Not given")=TRUE,IF(SUMIFS(P:P,A:A,A1350)&gt;0,ABS((SUMIFS(P:P,A:A,A1350)/VLOOKUP("USD",'Exchange Rates'!B:C,2,0)))/S1350,"."),".")</f>
        <v>.</v>
      </c>
      <c r="AZ1350" s="182" t="str">
        <f>IF(AND(AD1350=1,D1350="Military",H1350&lt;&gt;"Not given")=TRUE,IF(SUMIFS(P:P,A:A,A1350)&gt;0,IF((ABS((SUMIFS(P:P,A:A,A1350)/VLOOKUP("USD",'Exchange Rates'!B:C,2,0)))/S1350)&gt;1,(SUMIFS(P:P,A:A,A1350)-S1350)/S1350,(S1350-SUMIFS(P:P,A:A,A1350))/SUMIFS(P:P,A:A,A1350)),"."),".")</f>
        <v>.</v>
      </c>
      <c r="BA1350" s="182"/>
      <c r="BB1350" s="182"/>
      <c r="BC1350" s="182"/>
      <c r="BD1350" s="182"/>
      <c r="BE1350" s="182"/>
      <c r="BF1350" s="182"/>
      <c r="BG1350" s="182"/>
      <c r="BH1350" s="182"/>
      <c r="BI1350" s="182"/>
      <c r="BJ1350" s="182"/>
      <c r="BK1350" s="182"/>
      <c r="BL1350" s="182"/>
      <c r="BM1350" s="182"/>
      <c r="BN1350" s="182"/>
      <c r="BO1350" s="182"/>
      <c r="BP1350" s="182"/>
      <c r="BQ1350" s="182"/>
      <c r="BR1350" s="182"/>
      <c r="BS1350" s="182"/>
    </row>
    <row r="1351" spans="1:71" s="523" customFormat="1" ht="15.9" customHeight="1" x14ac:dyDescent="0.3">
      <c r="A1351" s="19" t="s">
        <v>3393</v>
      </c>
      <c r="B1351" s="19" t="s">
        <v>3038</v>
      </c>
      <c r="C1351" s="555">
        <v>44901</v>
      </c>
      <c r="D1351" s="19" t="s">
        <v>285</v>
      </c>
      <c r="E1351" s="19" t="s">
        <v>286</v>
      </c>
      <c r="F1351" s="1139" t="s">
        <v>3394</v>
      </c>
      <c r="G1351" s="15" t="s">
        <v>346</v>
      </c>
      <c r="H1351" s="200">
        <v>10800000000</v>
      </c>
      <c r="I1351" s="17" t="s">
        <v>260</v>
      </c>
      <c r="J1351" s="113" t="str">
        <f>VLOOKUP($I1351,'Price List, Weapons &amp; Items'!B:C,2,0)</f>
        <v>.</v>
      </c>
      <c r="K1351" s="113" t="str">
        <f>IF(I1351=".",I1351,VLOOKUP($I1351,'Price List, Weapons &amp; Items'!B:D,3,0))</f>
        <v>.</v>
      </c>
      <c r="L1351" s="177">
        <f>VLOOKUP(I1351,'Price List, Weapons &amp; Items'!B:E,4,0)</f>
        <v>0</v>
      </c>
      <c r="M1351" s="542" t="s">
        <v>260</v>
      </c>
      <c r="N1351" s="542" t="s">
        <v>260</v>
      </c>
      <c r="O1351" s="543" t="str">
        <f>VLOOKUP($I1351,'Price List, Weapons &amp; Items'!B:G,6,0)</f>
        <v>.</v>
      </c>
      <c r="P1351" s="176" t="str">
        <f t="shared" si="326"/>
        <v>.</v>
      </c>
      <c r="Q1351" s="176" t="str">
        <f t="shared" si="327"/>
        <v>.</v>
      </c>
      <c r="R1351" s="176">
        <f t="shared" si="325"/>
        <v>10800000000</v>
      </c>
      <c r="S1351" s="176">
        <f>IF(AND(AD1351=1,R1351&lt;&gt;".")=TRUE,R1351/VLOOKUP(G1351,'Exchange Rates'!B:C,2,0),IF(R1351=".",".",""))</f>
        <v>10285714285.714285</v>
      </c>
      <c r="T1351" s="176" t="str">
        <f>IF(AD1351=1,IF(AF1351="Value is not given at all",".",IF(AF1351="Value is given by the source",S1351,IF(AF1351="Value is calculated with prices",(IF(SUMIFS(Q:Q,A:A,A1351)&gt;0,SUMIFS(Q:Q,A:A,A1351),"."))/VLOOKUP("USD",'Exchange Rates'!B:C,2,0),"Error with coding"))),"")</f>
        <v>.</v>
      </c>
      <c r="U1351" s="15" t="s">
        <v>261</v>
      </c>
      <c r="V1351" s="814" t="s">
        <v>3059</v>
      </c>
      <c r="W1351" s="665" t="s">
        <v>3062</v>
      </c>
      <c r="X1351" s="665" t="s">
        <v>3067</v>
      </c>
      <c r="Y1351" s="175" t="s">
        <v>260</v>
      </c>
      <c r="Z1351" s="15">
        <v>0</v>
      </c>
      <c r="AA1351" s="180">
        <v>0</v>
      </c>
      <c r="AB1351" s="17" t="s">
        <v>260</v>
      </c>
      <c r="AC1351" s="544" t="str">
        <f>""</f>
        <v/>
      </c>
      <c r="AD1351" s="181">
        <v>1</v>
      </c>
      <c r="AE1351" s="181" t="s">
        <v>264</v>
      </c>
      <c r="AF1351" s="181" t="s">
        <v>265</v>
      </c>
      <c r="AG1351" s="181">
        <v>1</v>
      </c>
      <c r="AH1351" s="181">
        <v>12</v>
      </c>
      <c r="AI1351" s="181">
        <v>0</v>
      </c>
      <c r="AJ1351" s="181">
        <f>VLOOKUP($I1351,'Price List, Weapons &amp; Items'!B:F,5,0)</f>
        <v>0</v>
      </c>
      <c r="AK1351" s="181">
        <f t="shared" si="328"/>
        <v>0</v>
      </c>
      <c r="AL1351" s="181">
        <f t="shared" si="329"/>
        <v>0</v>
      </c>
      <c r="AM1351" s="181">
        <f t="shared" si="330"/>
        <v>0</v>
      </c>
      <c r="AN1351" s="180" t="str">
        <f>VLOOKUP($I1351,'Price List, Weapons &amp; Items'!B:L,COLUMN('Price List, Weapons &amp; Items'!$J$11)-1,0)</f>
        <v>.</v>
      </c>
      <c r="AO1351" s="180" t="str">
        <f>IF(I1351=".",".",VLOOKUP($I1351,'Price List, Weapons &amp; Items'!B:J,3,0))</f>
        <v>.</v>
      </c>
      <c r="AP1351" s="545" t="e">
        <f t="shared" ca="1" si="324"/>
        <v>#NAME?</v>
      </c>
      <c r="AQ1351" s="180" t="str">
        <f>VLOOKUP($I1351,'Price List, Weapons &amp; Items'!B:L,COLUMN('Price List, Weapons &amp; Items'!$L$11)-1,0)</f>
        <v>no price, 0 count</v>
      </c>
      <c r="AR1351" s="180">
        <f t="shared" si="331"/>
        <v>1</v>
      </c>
      <c r="AS1351" s="180">
        <f t="shared" si="332"/>
        <v>1</v>
      </c>
      <c r="AT1351" s="180">
        <f t="shared" si="334"/>
        <v>1</v>
      </c>
      <c r="AU1351" s="180" t="str">
        <f t="shared" si="333"/>
        <v>.</v>
      </c>
      <c r="AV1351" s="180" t="str">
        <f t="shared" si="335"/>
        <v>.</v>
      </c>
      <c r="AW1351" s="180">
        <f>IFERROR(VLOOKUP(B1351,'Share, Heavy Weapons to Ukraine'!B:J,COLUMN('Share, Heavy Weapons to Ukraine'!C1361)-1,0),0)</f>
        <v>1</v>
      </c>
      <c r="AX1351" s="180">
        <f>VLOOKUP('Bilateral Assistance, MAIN DATA'!B1351,'Country Summary'!B:F,COLUMN('Country Summary'!C1364)-1,FALSE)</f>
        <v>0</v>
      </c>
      <c r="AY1351" s="180">
        <f>IF(AND(AD1351=1,D1351="Military",H1351&lt;&gt;"Not given")=TRUE,IF(SUMIFS(P:P,A:A,A1351)&gt;0,ABS((SUMIFS(P:P,A:A,A1351)/VLOOKUP("USD",'Exchange Rates'!B:C,2,0)))/S1351,"."),".")</f>
        <v>7.8700773882971475E-2</v>
      </c>
      <c r="AZ1351" s="182">
        <f>IF(AND(AD1351=1,D1351="Military",H1351&lt;&gt;"Not given")=TRUE,IF(SUMIFS(P:P,A:A,A1351)&gt;0,IF((ABS((SUMIFS(P:P,A:A,A1351)/VLOOKUP("USD",'Exchange Rates'!B:C,2,0)))/S1351)&gt;1,(SUMIFS(P:P,A:A,A1351)-S1351)/S1351,(S1351-SUMIFS(P:P,A:A,A1351))/SUMIFS(P:P,A:A,A1351)),"."),".")</f>
        <v>11.10129081827262</v>
      </c>
      <c r="BA1351" s="182"/>
      <c r="BB1351" s="182"/>
      <c r="BC1351" s="182"/>
      <c r="BD1351" s="182"/>
      <c r="BE1351" s="182"/>
      <c r="BF1351" s="182"/>
      <c r="BG1351" s="182"/>
      <c r="BH1351" s="182"/>
      <c r="BI1351" s="182"/>
      <c r="BJ1351" s="182"/>
      <c r="BK1351" s="182"/>
      <c r="BL1351" s="182"/>
      <c r="BM1351" s="182"/>
      <c r="BN1351" s="182"/>
      <c r="BO1351" s="182"/>
      <c r="BP1351" s="182"/>
      <c r="BQ1351" s="182"/>
      <c r="BR1351" s="182"/>
      <c r="BS1351" s="182"/>
    </row>
    <row r="1352" spans="1:71" s="523" customFormat="1" ht="15.9" customHeight="1" x14ac:dyDescent="0.3">
      <c r="A1352" s="19" t="s">
        <v>3393</v>
      </c>
      <c r="B1352" s="19" t="s">
        <v>3038</v>
      </c>
      <c r="C1352" s="555">
        <v>44932</v>
      </c>
      <c r="D1352" s="19" t="s">
        <v>285</v>
      </c>
      <c r="E1352" s="19" t="s">
        <v>286</v>
      </c>
      <c r="F1352" s="1139" t="s">
        <v>3395</v>
      </c>
      <c r="G1352" s="15" t="s">
        <v>346</v>
      </c>
      <c r="H1352" s="200">
        <v>2850000000</v>
      </c>
      <c r="I1352" s="17" t="s">
        <v>260</v>
      </c>
      <c r="J1352" s="113" t="str">
        <f>VLOOKUP($I1352,'Price List, Weapons &amp; Items'!B:C,2,0)</f>
        <v>.</v>
      </c>
      <c r="K1352" s="113" t="str">
        <f>IF(I1352=".",I1352,VLOOKUP($I1352,'Price List, Weapons &amp; Items'!B:D,3,0))</f>
        <v>.</v>
      </c>
      <c r="L1352" s="177">
        <f>VLOOKUP(I1352,'Price List, Weapons &amp; Items'!B:E,4,0)</f>
        <v>0</v>
      </c>
      <c r="M1352" s="542" t="s">
        <v>260</v>
      </c>
      <c r="N1352" s="542" t="s">
        <v>260</v>
      </c>
      <c r="O1352" s="543" t="str">
        <f>VLOOKUP($I1352,'Price List, Weapons &amp; Items'!B:G,6,0)</f>
        <v>.</v>
      </c>
      <c r="P1352" s="176" t="str">
        <f t="shared" si="326"/>
        <v>.</v>
      </c>
      <c r="Q1352" s="176" t="str">
        <f t="shared" si="327"/>
        <v>.</v>
      </c>
      <c r="R1352" s="176" t="str">
        <f t="shared" si="325"/>
        <v/>
      </c>
      <c r="S1352" s="176" t="str">
        <f>IF(AND(AD1352=1,R1352&lt;&gt;".")=TRUE,R1352/VLOOKUP(G1352,'Exchange Rates'!B:C,2,0),IF(R1352=".",".",""))</f>
        <v/>
      </c>
      <c r="T1352" s="176"/>
      <c r="U1352" s="15" t="s">
        <v>261</v>
      </c>
      <c r="V1352" s="671" t="s">
        <v>3396</v>
      </c>
      <c r="W1352" s="814" t="s">
        <v>3059</v>
      </c>
      <c r="X1352" s="665" t="s">
        <v>3062</v>
      </c>
      <c r="Y1352" s="665" t="s">
        <v>3067</v>
      </c>
      <c r="Z1352" s="15">
        <v>0</v>
      </c>
      <c r="AA1352" s="180">
        <v>1</v>
      </c>
      <c r="AB1352" s="17" t="s">
        <v>260</v>
      </c>
      <c r="AC1352" s="544"/>
      <c r="AD1352" s="181">
        <v>0</v>
      </c>
      <c r="AE1352" s="181" t="s">
        <v>264</v>
      </c>
      <c r="AF1352" s="181" t="s">
        <v>265</v>
      </c>
      <c r="AG1352" s="181">
        <v>1</v>
      </c>
      <c r="AH1352" s="181">
        <v>13</v>
      </c>
      <c r="AI1352" s="181">
        <v>0</v>
      </c>
      <c r="AJ1352" s="181">
        <f>VLOOKUP($I1352,'Price List, Weapons &amp; Items'!B:F,5,0)</f>
        <v>0</v>
      </c>
      <c r="AK1352" s="181">
        <f t="shared" si="328"/>
        <v>0</v>
      </c>
      <c r="AL1352" s="181">
        <f t="shared" si="329"/>
        <v>0</v>
      </c>
      <c r="AM1352" s="181">
        <f t="shared" si="330"/>
        <v>0</v>
      </c>
      <c r="AN1352" s="180" t="str">
        <f>VLOOKUP($I1352,'Price List, Weapons &amp; Items'!B:L,COLUMN('Price List, Weapons &amp; Items'!$J$11)-1,0)</f>
        <v>.</v>
      </c>
      <c r="AO1352" s="180" t="str">
        <f>IF(I1352=".",".",VLOOKUP($I1352,'Price List, Weapons &amp; Items'!B:J,3,0))</f>
        <v>.</v>
      </c>
      <c r="AP1352" s="545" t="str">
        <f t="shared" ca="1" si="324"/>
        <v/>
      </c>
      <c r="AQ1352" s="180" t="str">
        <f>VLOOKUP($I1352,'Price List, Weapons &amp; Items'!B:L,COLUMN('Price List, Weapons &amp; Items'!$L$11)-1,0)</f>
        <v>no price, 0 count</v>
      </c>
      <c r="AR1352" s="180">
        <f t="shared" si="331"/>
        <v>1</v>
      </c>
      <c r="AS1352" s="180">
        <f t="shared" si="332"/>
        <v>1</v>
      </c>
      <c r="AT1352" s="180">
        <f t="shared" si="334"/>
        <v>1</v>
      </c>
      <c r="AU1352" s="180" t="str">
        <f t="shared" si="333"/>
        <v>.</v>
      </c>
      <c r="AV1352" s="180" t="str">
        <f t="shared" si="335"/>
        <v>.</v>
      </c>
      <c r="AW1352" s="180">
        <f>IFERROR(VLOOKUP(B1352,'Share, Heavy Weapons to Ukraine'!B:J,COLUMN('Share, Heavy Weapons to Ukraine'!C1362)-1,0),0)</f>
        <v>1</v>
      </c>
      <c r="AX1352" s="180">
        <f>VLOOKUP('Bilateral Assistance, MAIN DATA'!B1352,'Country Summary'!B:F,COLUMN('Country Summary'!C1365)-1,FALSE)</f>
        <v>0</v>
      </c>
      <c r="AY1352" s="180" t="str">
        <f>IF(AND(AD1352=1,D1352="Military",H1352&lt;&gt;"Not given")=TRUE,IF(SUMIFS(P:P,A:A,A1352)&gt;0,ABS((SUMIFS(P:P,A:A,A1352)/VLOOKUP("USD",'Exchange Rates'!B:C,2,0)))/S1352,"."),".")</f>
        <v>.</v>
      </c>
      <c r="AZ1352" s="182" t="str">
        <f>IF(AND(AD1352=1,D1352="Military",H1352&lt;&gt;"Not given")=TRUE,IF(SUMIFS(P:P,A:A,A1352)&gt;0,IF((ABS((SUMIFS(P:P,A:A,A1352)/VLOOKUP("USD",'Exchange Rates'!B:C,2,0)))/S1352)&gt;1,(SUMIFS(P:P,A:A,A1352)-S1352)/S1352,(S1352-SUMIFS(P:P,A:A,A1352))/SUMIFS(P:P,A:A,A1352)),"."),".")</f>
        <v>.</v>
      </c>
      <c r="BA1352" s="182"/>
      <c r="BB1352" s="182"/>
      <c r="BC1352" s="182"/>
      <c r="BD1352" s="182"/>
      <c r="BE1352" s="182"/>
      <c r="BF1352" s="182"/>
      <c r="BG1352" s="182"/>
      <c r="BH1352" s="182"/>
      <c r="BI1352" s="182"/>
      <c r="BJ1352" s="182"/>
      <c r="BK1352" s="182"/>
      <c r="BL1352" s="182"/>
      <c r="BM1352" s="182"/>
      <c r="BN1352" s="182"/>
      <c r="BO1352" s="182"/>
      <c r="BP1352" s="182"/>
      <c r="BQ1352" s="182"/>
      <c r="BR1352" s="182"/>
      <c r="BS1352" s="182"/>
    </row>
    <row r="1353" spans="1:71" s="523" customFormat="1" ht="15.9" customHeight="1" x14ac:dyDescent="0.3">
      <c r="A1353" s="19" t="s">
        <v>3393</v>
      </c>
      <c r="B1353" s="19" t="s">
        <v>3038</v>
      </c>
      <c r="C1353" s="555">
        <v>44932</v>
      </c>
      <c r="D1353" s="19" t="s">
        <v>285</v>
      </c>
      <c r="E1353" s="19" t="s">
        <v>286</v>
      </c>
      <c r="F1353" s="1139" t="s">
        <v>3395</v>
      </c>
      <c r="G1353" s="15" t="s">
        <v>346</v>
      </c>
      <c r="H1353" s="200">
        <v>2850000000</v>
      </c>
      <c r="I1353" s="17" t="s">
        <v>3397</v>
      </c>
      <c r="J1353" s="113" t="str">
        <f>VLOOKUP($I1353,'Price List, Weapons &amp; Items'!B:C,2,0)</f>
        <v>Heavy weapon</v>
      </c>
      <c r="K1353" s="113" t="str">
        <f>IF(I1353=".",I1353,VLOOKUP($I1353,'Price List, Weapons &amp; Items'!B:D,3,0))</f>
        <v>Infantry fighting vehicle (IFV)</v>
      </c>
      <c r="L1353" s="177">
        <f>VLOOKUP(I1353,'Price List, Weapons &amp; Items'!B:E,4,0)</f>
        <v>0</v>
      </c>
      <c r="M1353" s="542">
        <v>50</v>
      </c>
      <c r="N1353" s="542" t="s">
        <v>270</v>
      </c>
      <c r="O1353" s="543">
        <f>VLOOKUP($I1353,'Price List, Weapons &amp; Items'!B:G,6,0)</f>
        <v>1900000</v>
      </c>
      <c r="P1353" s="176">
        <f t="shared" si="326"/>
        <v>95000000</v>
      </c>
      <c r="Q1353" s="176" t="str">
        <f t="shared" si="327"/>
        <v>.</v>
      </c>
      <c r="R1353" s="176" t="str">
        <f t="shared" si="325"/>
        <v/>
      </c>
      <c r="S1353" s="176" t="str">
        <f>IF(AND(AD1353=1,R1353&lt;&gt;".")=TRUE,R1353/VLOOKUP(G1353,'Exchange Rates'!B:C,2,0),IF(R1353=".",".",""))</f>
        <v/>
      </c>
      <c r="T1353" s="176"/>
      <c r="U1353" s="15" t="s">
        <v>261</v>
      </c>
      <c r="V1353" s="671" t="s">
        <v>3396</v>
      </c>
      <c r="W1353" s="814" t="s">
        <v>3059</v>
      </c>
      <c r="X1353" s="665" t="s">
        <v>3062</v>
      </c>
      <c r="Y1353" s="665" t="s">
        <v>3070</v>
      </c>
      <c r="Z1353" s="15">
        <v>0</v>
      </c>
      <c r="AA1353" s="180">
        <v>1</v>
      </c>
      <c r="AB1353" s="17" t="s">
        <v>260</v>
      </c>
      <c r="AC1353" s="544"/>
      <c r="AD1353" s="181">
        <v>0</v>
      </c>
      <c r="AE1353" s="181" t="s">
        <v>264</v>
      </c>
      <c r="AF1353" s="181" t="s">
        <v>265</v>
      </c>
      <c r="AG1353" s="181">
        <v>1</v>
      </c>
      <c r="AH1353" s="181">
        <v>13</v>
      </c>
      <c r="AI1353" s="181">
        <v>0</v>
      </c>
      <c r="AJ1353" s="181">
        <f>VLOOKUP($I1353,'Price List, Weapons &amp; Items'!B:F,5,0)</f>
        <v>0</v>
      </c>
      <c r="AK1353" s="181">
        <f t="shared" si="328"/>
        <v>0</v>
      </c>
      <c r="AL1353" s="181">
        <f t="shared" si="329"/>
        <v>0</v>
      </c>
      <c r="AM1353" s="181">
        <f t="shared" si="330"/>
        <v>0</v>
      </c>
      <c r="AN1353" s="180" t="str">
        <f>VLOOKUP($I1353,'Price List, Weapons &amp; Items'!B:L,COLUMN('Price List, Weapons &amp; Items'!$J$11)-1,0)</f>
        <v>Contracts</v>
      </c>
      <c r="AO1353" s="180" t="str">
        <f>IF(I1353=".",".",VLOOKUP($I1353,'Price List, Weapons &amp; Items'!B:J,3,0))</f>
        <v>Infantry fighting vehicle (IFV)</v>
      </c>
      <c r="AP1353" s="545" t="str">
        <f t="shared" ca="1" si="324"/>
        <v/>
      </c>
      <c r="AQ1353" s="180">
        <f>VLOOKUP($I1353,'Price List, Weapons &amp; Items'!B:L,COLUMN('Price List, Weapons &amp; Items'!$L$11)-1,0)</f>
        <v>2</v>
      </c>
      <c r="AR1353" s="180">
        <f t="shared" si="331"/>
        <v>1</v>
      </c>
      <c r="AS1353" s="180">
        <f t="shared" si="332"/>
        <v>1</v>
      </c>
      <c r="AT1353" s="180">
        <f t="shared" si="334"/>
        <v>1</v>
      </c>
      <c r="AU1353" s="180" t="str">
        <f t="shared" si="333"/>
        <v>.</v>
      </c>
      <c r="AV1353" s="180" t="str">
        <f t="shared" si="335"/>
        <v>.</v>
      </c>
      <c r="AW1353" s="180">
        <f>IFERROR(VLOOKUP(B1353,'Share, Heavy Weapons to Ukraine'!B:J,COLUMN('Share, Heavy Weapons to Ukraine'!C1363)-1,0),0)</f>
        <v>1</v>
      </c>
      <c r="AX1353" s="180">
        <f>VLOOKUP('Bilateral Assistance, MAIN DATA'!B1353,'Country Summary'!B:F,COLUMN('Country Summary'!C1366)-1,FALSE)</f>
        <v>0</v>
      </c>
      <c r="AY1353" s="180" t="str">
        <f>IF(AND(AD1353=1,D1353="Military",H1353&lt;&gt;"Not given")=TRUE,IF(SUMIFS(P:P,A:A,A1353)&gt;0,ABS((SUMIFS(P:P,A:A,A1353)/VLOOKUP("USD",'Exchange Rates'!B:C,2,0)))/S1353,"."),".")</f>
        <v>.</v>
      </c>
      <c r="AZ1353" s="182" t="str">
        <f>IF(AND(AD1353=1,D1353="Military",H1353&lt;&gt;"Not given")=TRUE,IF(SUMIFS(P:P,A:A,A1353)&gt;0,IF((ABS((SUMIFS(P:P,A:A,A1353)/VLOOKUP("USD",'Exchange Rates'!B:C,2,0)))/S1353)&gt;1,(SUMIFS(P:P,A:A,A1353)-S1353)/S1353,(S1353-SUMIFS(P:P,A:A,A1353))/SUMIFS(P:P,A:A,A1353)),"."),".")</f>
        <v>.</v>
      </c>
      <c r="BA1353" s="182"/>
      <c r="BB1353" s="182"/>
      <c r="BC1353" s="182"/>
      <c r="BD1353" s="182"/>
      <c r="BE1353" s="182"/>
      <c r="BF1353" s="182"/>
      <c r="BG1353" s="182"/>
      <c r="BH1353" s="182"/>
      <c r="BI1353" s="182"/>
      <c r="BJ1353" s="182"/>
      <c r="BK1353" s="182"/>
      <c r="BL1353" s="182"/>
      <c r="BM1353" s="182"/>
      <c r="BN1353" s="182"/>
      <c r="BO1353" s="182"/>
      <c r="BP1353" s="182"/>
      <c r="BQ1353" s="182"/>
      <c r="BR1353" s="182"/>
      <c r="BS1353" s="182"/>
    </row>
    <row r="1354" spans="1:71" s="523" customFormat="1" ht="15.9" customHeight="1" x14ac:dyDescent="0.3">
      <c r="A1354" s="19" t="s">
        <v>3393</v>
      </c>
      <c r="B1354" s="19" t="s">
        <v>3038</v>
      </c>
      <c r="C1354" s="555">
        <v>44932</v>
      </c>
      <c r="D1354" s="19" t="s">
        <v>285</v>
      </c>
      <c r="E1354" s="19" t="s">
        <v>286</v>
      </c>
      <c r="F1354" s="1139" t="s">
        <v>3395</v>
      </c>
      <c r="G1354" s="15" t="s">
        <v>346</v>
      </c>
      <c r="H1354" s="200">
        <v>2850000000</v>
      </c>
      <c r="I1354" s="17" t="s">
        <v>3398</v>
      </c>
      <c r="J1354" s="113" t="str">
        <f>VLOOKUP($I1354,'Price List, Weapons &amp; Items'!B:C,2,0)</f>
        <v>Ammunition for heavy weapon</v>
      </c>
      <c r="K1354" s="113" t="str">
        <f>IF(I1354=".",I1354,VLOOKUP($I1354,'Price List, Weapons &amp; Items'!B:D,3,0))</f>
        <v>missile</v>
      </c>
      <c r="L1354" s="177">
        <f>VLOOKUP(I1354,'Price List, Weapons &amp; Items'!B:E,4,0)</f>
        <v>0</v>
      </c>
      <c r="M1354" s="542">
        <v>500</v>
      </c>
      <c r="N1354" s="542" t="s">
        <v>270</v>
      </c>
      <c r="O1354" s="543">
        <f>VLOOKUP($I1354,'Price List, Weapons &amp; Items'!B:G,6,0)</f>
        <v>9000</v>
      </c>
      <c r="P1354" s="176">
        <f t="shared" si="326"/>
        <v>4500000</v>
      </c>
      <c r="Q1354" s="176" t="str">
        <f t="shared" si="327"/>
        <v>.</v>
      </c>
      <c r="R1354" s="176" t="str">
        <f t="shared" si="325"/>
        <v/>
      </c>
      <c r="S1354" s="176" t="str">
        <f>IF(AND(AD1354=1,R1354&lt;&gt;".")=TRUE,R1354/VLOOKUP(G1354,'Exchange Rates'!B:C,2,0),IF(R1354=".",".",""))</f>
        <v/>
      </c>
      <c r="T1354" s="176"/>
      <c r="U1354" s="15" t="s">
        <v>261</v>
      </c>
      <c r="V1354" s="671" t="s">
        <v>3396</v>
      </c>
      <c r="W1354" s="814" t="s">
        <v>3059</v>
      </c>
      <c r="X1354" s="665" t="s">
        <v>3062</v>
      </c>
      <c r="Y1354" s="665" t="s">
        <v>3072</v>
      </c>
      <c r="Z1354" s="15">
        <v>0</v>
      </c>
      <c r="AA1354" s="180">
        <v>1</v>
      </c>
      <c r="AB1354" s="17" t="s">
        <v>260</v>
      </c>
      <c r="AC1354" s="544"/>
      <c r="AD1354" s="181">
        <v>0</v>
      </c>
      <c r="AE1354" s="181" t="s">
        <v>264</v>
      </c>
      <c r="AF1354" s="181" t="s">
        <v>265</v>
      </c>
      <c r="AG1354" s="181">
        <v>1</v>
      </c>
      <c r="AH1354" s="181">
        <v>13</v>
      </c>
      <c r="AI1354" s="181">
        <v>0</v>
      </c>
      <c r="AJ1354" s="181">
        <f>VLOOKUP($I1354,'Price List, Weapons &amp; Items'!B:F,5,0)</f>
        <v>0</v>
      </c>
      <c r="AK1354" s="181">
        <f t="shared" si="328"/>
        <v>0</v>
      </c>
      <c r="AL1354" s="181">
        <f t="shared" si="329"/>
        <v>0</v>
      </c>
      <c r="AM1354" s="181">
        <f t="shared" si="330"/>
        <v>0</v>
      </c>
      <c r="AN1354" s="180" t="str">
        <f>VLOOKUP($I1354,'Price List, Weapons &amp; Items'!B:L,COLUMN('Price List, Weapons &amp; Items'!$J$11)-1,0)</f>
        <v>Media reports (incl. social media)</v>
      </c>
      <c r="AO1354" s="180" t="str">
        <f>IF(I1354=".",".",VLOOKUP($I1354,'Price List, Weapons &amp; Items'!B:J,3,0))</f>
        <v>missile</v>
      </c>
      <c r="AP1354" s="545" t="str">
        <f t="shared" ca="1" si="324"/>
        <v/>
      </c>
      <c r="AQ1354" s="180">
        <f>VLOOKUP($I1354,'Price List, Weapons &amp; Items'!B:L,COLUMN('Price List, Weapons &amp; Items'!$L$11)-1,0)</f>
        <v>2</v>
      </c>
      <c r="AR1354" s="180">
        <f t="shared" si="331"/>
        <v>1</v>
      </c>
      <c r="AS1354" s="180">
        <f t="shared" si="332"/>
        <v>1</v>
      </c>
      <c r="AT1354" s="180">
        <f t="shared" si="334"/>
        <v>1</v>
      </c>
      <c r="AU1354" s="180" t="str">
        <f t="shared" si="333"/>
        <v>.</v>
      </c>
      <c r="AV1354" s="180" t="str">
        <f t="shared" si="335"/>
        <v>.</v>
      </c>
      <c r="AW1354" s="180">
        <f>IFERROR(VLOOKUP(B1354,'Share, Heavy Weapons to Ukraine'!B:J,COLUMN('Share, Heavy Weapons to Ukraine'!C1364)-1,0),0)</f>
        <v>1</v>
      </c>
      <c r="AX1354" s="180">
        <f>VLOOKUP('Bilateral Assistance, MAIN DATA'!B1354,'Country Summary'!B:F,COLUMN('Country Summary'!C1367)-1,FALSE)</f>
        <v>0</v>
      </c>
      <c r="AY1354" s="180" t="str">
        <f>IF(AND(AD1354=1,D1354="Military",H1354&lt;&gt;"Not given")=TRUE,IF(SUMIFS(P:P,A:A,A1354)&gt;0,ABS((SUMIFS(P:P,A:A,A1354)/VLOOKUP("USD",'Exchange Rates'!B:C,2,0)))/S1354,"."),".")</f>
        <v>.</v>
      </c>
      <c r="AZ1354" s="182" t="str">
        <f>IF(AND(AD1354=1,D1354="Military",H1354&lt;&gt;"Not given")=TRUE,IF(SUMIFS(P:P,A:A,A1354)&gt;0,IF((ABS((SUMIFS(P:P,A:A,A1354)/VLOOKUP("USD",'Exchange Rates'!B:C,2,0)))/S1354)&gt;1,(SUMIFS(P:P,A:A,A1354)-S1354)/S1354,(S1354-SUMIFS(P:P,A:A,A1354))/SUMIFS(P:P,A:A,A1354)),"."),".")</f>
        <v>.</v>
      </c>
      <c r="BA1354" s="182"/>
      <c r="BB1354" s="182"/>
      <c r="BC1354" s="182"/>
      <c r="BD1354" s="182"/>
      <c r="BE1354" s="182"/>
      <c r="BF1354" s="182"/>
      <c r="BG1354" s="182"/>
      <c r="BH1354" s="182"/>
      <c r="BI1354" s="182"/>
      <c r="BJ1354" s="182"/>
      <c r="BK1354" s="182"/>
      <c r="BL1354" s="182"/>
      <c r="BM1354" s="182"/>
      <c r="BN1354" s="182"/>
      <c r="BO1354" s="182"/>
      <c r="BP1354" s="182"/>
      <c r="BQ1354" s="182"/>
      <c r="BR1354" s="182"/>
      <c r="BS1354" s="182"/>
    </row>
    <row r="1355" spans="1:71" s="523" customFormat="1" ht="15.9" customHeight="1" x14ac:dyDescent="0.3">
      <c r="A1355" s="19" t="s">
        <v>3393</v>
      </c>
      <c r="B1355" s="19" t="s">
        <v>3038</v>
      </c>
      <c r="C1355" s="555">
        <v>44932</v>
      </c>
      <c r="D1355" s="19" t="s">
        <v>285</v>
      </c>
      <c r="E1355" s="19" t="s">
        <v>286</v>
      </c>
      <c r="F1355" s="1139" t="s">
        <v>3395</v>
      </c>
      <c r="G1355" s="15" t="s">
        <v>346</v>
      </c>
      <c r="H1355" s="200">
        <v>2850000000</v>
      </c>
      <c r="I1355" s="17" t="s">
        <v>3399</v>
      </c>
      <c r="J1355" s="113" t="str">
        <f>VLOOKUP($I1355,'Price List, Weapons &amp; Items'!B:C,2,0)</f>
        <v>Ammunition</v>
      </c>
      <c r="K1355" s="113" t="str">
        <f>IF(I1355=".",I1355,VLOOKUP($I1355,'Price List, Weapons &amp; Items'!B:D,3,0))</f>
        <v>ammunition</v>
      </c>
      <c r="L1355" s="177">
        <f>VLOOKUP(I1355,'Price List, Weapons &amp; Items'!B:E,4,0)</f>
        <v>0</v>
      </c>
      <c r="M1355" s="542">
        <v>250000</v>
      </c>
      <c r="N1355" s="542" t="s">
        <v>270</v>
      </c>
      <c r="O1355" s="543">
        <f>VLOOKUP($I1355,'Price List, Weapons &amp; Items'!B:G,6,0)</f>
        <v>140.58000000000001</v>
      </c>
      <c r="P1355" s="176">
        <f t="shared" si="326"/>
        <v>35145000</v>
      </c>
      <c r="Q1355" s="176" t="str">
        <f t="shared" si="327"/>
        <v>.</v>
      </c>
      <c r="R1355" s="176" t="str">
        <f t="shared" si="325"/>
        <v/>
      </c>
      <c r="S1355" s="176" t="str">
        <f>IF(AND(AD1355=1,R1355&lt;&gt;".")=TRUE,R1355/VLOOKUP(G1355,'Exchange Rates'!B:C,2,0),IF(R1355=".",".",""))</f>
        <v/>
      </c>
      <c r="T1355" s="176"/>
      <c r="U1355" s="15" t="s">
        <v>261</v>
      </c>
      <c r="V1355" s="671" t="s">
        <v>3396</v>
      </c>
      <c r="W1355" s="814" t="s">
        <v>3059</v>
      </c>
      <c r="X1355" s="665" t="s">
        <v>3062</v>
      </c>
      <c r="Y1355" s="665" t="s">
        <v>3074</v>
      </c>
      <c r="Z1355" s="15">
        <v>0</v>
      </c>
      <c r="AA1355" s="180">
        <v>1</v>
      </c>
      <c r="AB1355" s="17" t="s">
        <v>260</v>
      </c>
      <c r="AC1355" s="544"/>
      <c r="AD1355" s="181">
        <v>0</v>
      </c>
      <c r="AE1355" s="181" t="s">
        <v>264</v>
      </c>
      <c r="AF1355" s="181" t="s">
        <v>265</v>
      </c>
      <c r="AG1355" s="181">
        <v>1</v>
      </c>
      <c r="AH1355" s="181">
        <v>13</v>
      </c>
      <c r="AI1355" s="181">
        <v>0</v>
      </c>
      <c r="AJ1355" s="181">
        <f>VLOOKUP($I1355,'Price List, Weapons &amp; Items'!B:F,5,0)</f>
        <v>0</v>
      </c>
      <c r="AK1355" s="181">
        <f t="shared" si="328"/>
        <v>0</v>
      </c>
      <c r="AL1355" s="181">
        <f t="shared" si="329"/>
        <v>0</v>
      </c>
      <c r="AM1355" s="181">
        <f t="shared" si="330"/>
        <v>1</v>
      </c>
      <c r="AN1355" s="180" t="str">
        <f>VLOOKUP($I1355,'Price List, Weapons &amp; Items'!B:L,COLUMN('Price List, Weapons &amp; Items'!$J$11)-1,0)</f>
        <v>Military media (incl. websites)</v>
      </c>
      <c r="AO1355" s="180" t="str">
        <f>IF(I1355=".",".",VLOOKUP($I1355,'Price List, Weapons &amp; Items'!B:J,3,0))</f>
        <v>ammunition</v>
      </c>
      <c r="AP1355" s="545" t="str">
        <f t="shared" ca="1" si="324"/>
        <v/>
      </c>
      <c r="AQ1355" s="180">
        <f>VLOOKUP($I1355,'Price List, Weapons &amp; Items'!B:L,COLUMN('Price List, Weapons &amp; Items'!$L$11)-1,0)</f>
        <v>2</v>
      </c>
      <c r="AR1355" s="180">
        <f t="shared" si="331"/>
        <v>1</v>
      </c>
      <c r="AS1355" s="180">
        <f t="shared" si="332"/>
        <v>1</v>
      </c>
      <c r="AT1355" s="180">
        <f t="shared" si="334"/>
        <v>1</v>
      </c>
      <c r="AU1355" s="180" t="str">
        <f t="shared" si="333"/>
        <v>.</v>
      </c>
      <c r="AV1355" s="180" t="str">
        <f t="shared" si="335"/>
        <v>.</v>
      </c>
      <c r="AW1355" s="180">
        <f>IFERROR(VLOOKUP(B1355,'Share, Heavy Weapons to Ukraine'!B:J,COLUMN('Share, Heavy Weapons to Ukraine'!C1365)-1,0),0)</f>
        <v>1</v>
      </c>
      <c r="AX1355" s="180">
        <f>VLOOKUP('Bilateral Assistance, MAIN DATA'!B1355,'Country Summary'!B:F,COLUMN('Country Summary'!C1368)-1,FALSE)</f>
        <v>0</v>
      </c>
      <c r="AY1355" s="180" t="str">
        <f>IF(AND(AD1355=1,D1355="Military",H1355&lt;&gt;"Not given")=TRUE,IF(SUMIFS(P:P,A:A,A1355)&gt;0,ABS((SUMIFS(P:P,A:A,A1355)/VLOOKUP("USD",'Exchange Rates'!B:C,2,0)))/S1355,"."),".")</f>
        <v>.</v>
      </c>
      <c r="AZ1355" s="182" t="str">
        <f>IF(AND(AD1355=1,D1355="Military",H1355&lt;&gt;"Not given")=TRUE,IF(SUMIFS(P:P,A:A,A1355)&gt;0,IF((ABS((SUMIFS(P:P,A:A,A1355)/VLOOKUP("USD",'Exchange Rates'!B:C,2,0)))/S1355)&gt;1,(SUMIFS(P:P,A:A,A1355)-S1355)/S1355,(S1355-SUMIFS(P:P,A:A,A1355))/SUMIFS(P:P,A:A,A1355)),"."),".")</f>
        <v>.</v>
      </c>
      <c r="BA1355" s="182"/>
      <c r="BB1355" s="182"/>
      <c r="BC1355" s="182"/>
      <c r="BD1355" s="182"/>
      <c r="BE1355" s="182"/>
      <c r="BF1355" s="182"/>
      <c r="BG1355" s="182"/>
      <c r="BH1355" s="182"/>
      <c r="BI1355" s="182"/>
      <c r="BJ1355" s="182"/>
      <c r="BK1355" s="182"/>
      <c r="BL1355" s="182"/>
      <c r="BM1355" s="182"/>
      <c r="BN1355" s="182"/>
      <c r="BO1355" s="182"/>
      <c r="BP1355" s="182"/>
      <c r="BQ1355" s="182"/>
      <c r="BR1355" s="182"/>
      <c r="BS1355" s="182"/>
    </row>
    <row r="1356" spans="1:71" s="523" customFormat="1" ht="15.9" customHeight="1" x14ac:dyDescent="0.3">
      <c r="A1356" s="19" t="s">
        <v>3393</v>
      </c>
      <c r="B1356" s="19" t="s">
        <v>3038</v>
      </c>
      <c r="C1356" s="555">
        <v>44932</v>
      </c>
      <c r="D1356" s="19" t="s">
        <v>285</v>
      </c>
      <c r="E1356" s="19" t="s">
        <v>286</v>
      </c>
      <c r="F1356" s="1139" t="s">
        <v>3395</v>
      </c>
      <c r="G1356" s="15" t="s">
        <v>346</v>
      </c>
      <c r="H1356" s="200">
        <v>2850000000</v>
      </c>
      <c r="I1356" s="17" t="s">
        <v>3400</v>
      </c>
      <c r="J1356" s="113" t="str">
        <f>VLOOKUP($I1356,'Price List, Weapons &amp; Items'!B:C,2,0)</f>
        <v>Heavy weapon</v>
      </c>
      <c r="K1356" s="113" t="str">
        <f>IF(I1356=".",I1356,VLOOKUP($I1356,'Price List, Weapons &amp; Items'!B:D,3,0))</f>
        <v>Armoured Personnel Carrier (APC)</v>
      </c>
      <c r="L1356" s="177">
        <f>VLOOKUP(I1356,'Price List, Weapons &amp; Items'!B:E,4,0)</f>
        <v>0</v>
      </c>
      <c r="M1356" s="542">
        <v>100</v>
      </c>
      <c r="N1356" s="542" t="s">
        <v>270</v>
      </c>
      <c r="O1356" s="543">
        <f>VLOOKUP($I1356,'Price List, Weapons &amp; Items'!B:G,6,0)</f>
        <v>300000</v>
      </c>
      <c r="P1356" s="176">
        <f t="shared" si="326"/>
        <v>30000000</v>
      </c>
      <c r="Q1356" s="176" t="str">
        <f t="shared" si="327"/>
        <v>.</v>
      </c>
      <c r="R1356" s="176" t="str">
        <f t="shared" si="325"/>
        <v/>
      </c>
      <c r="S1356" s="176" t="str">
        <f>IF(AND(AD1356=1,R1356&lt;&gt;".")=TRUE,R1356/VLOOKUP(G1356,'Exchange Rates'!B:C,2,0),IF(R1356=".",".",""))</f>
        <v/>
      </c>
      <c r="T1356" s="176"/>
      <c r="U1356" s="15" t="s">
        <v>261</v>
      </c>
      <c r="V1356" s="671" t="s">
        <v>3396</v>
      </c>
      <c r="W1356" s="814" t="s">
        <v>3059</v>
      </c>
      <c r="X1356" s="665" t="s">
        <v>3062</v>
      </c>
      <c r="Y1356" s="665" t="s">
        <v>3077</v>
      </c>
      <c r="Z1356" s="15">
        <v>0</v>
      </c>
      <c r="AA1356" s="180">
        <v>1</v>
      </c>
      <c r="AB1356" s="17" t="s">
        <v>260</v>
      </c>
      <c r="AC1356" s="544"/>
      <c r="AD1356" s="181">
        <v>0</v>
      </c>
      <c r="AE1356" s="181" t="s">
        <v>264</v>
      </c>
      <c r="AF1356" s="181" t="s">
        <v>265</v>
      </c>
      <c r="AG1356" s="181">
        <v>1</v>
      </c>
      <c r="AH1356" s="181">
        <v>13</v>
      </c>
      <c r="AI1356" s="181">
        <v>0</v>
      </c>
      <c r="AJ1356" s="181">
        <f>VLOOKUP($I1356,'Price List, Weapons &amp; Items'!B:F,5,0)</f>
        <v>1</v>
      </c>
      <c r="AK1356" s="181">
        <f t="shared" si="328"/>
        <v>0</v>
      </c>
      <c r="AL1356" s="181">
        <f t="shared" si="329"/>
        <v>1</v>
      </c>
      <c r="AM1356" s="181">
        <f t="shared" si="330"/>
        <v>0</v>
      </c>
      <c r="AN1356" s="180" t="str">
        <f>VLOOKUP($I1356,'Price List, Weapons &amp; Items'!B:L,COLUMN('Price List, Weapons &amp; Items'!$J$11)-1,0)</f>
        <v>Military media (incl. websites)</v>
      </c>
      <c r="AO1356" s="180" t="str">
        <f>IF(I1356=".",".",VLOOKUP($I1356,'Price List, Weapons &amp; Items'!B:J,3,0))</f>
        <v>Armoured Personnel Carrier (APC)</v>
      </c>
      <c r="AP1356" s="545" t="str">
        <f t="shared" ca="1" si="324"/>
        <v/>
      </c>
      <c r="AQ1356" s="180">
        <f>VLOOKUP($I1356,'Price List, Weapons &amp; Items'!B:L,COLUMN('Price List, Weapons &amp; Items'!$L$11)-1,0)</f>
        <v>2</v>
      </c>
      <c r="AR1356" s="180">
        <f t="shared" si="331"/>
        <v>1</v>
      </c>
      <c r="AS1356" s="180">
        <f t="shared" si="332"/>
        <v>1</v>
      </c>
      <c r="AT1356" s="180">
        <f t="shared" si="334"/>
        <v>1</v>
      </c>
      <c r="AU1356" s="180" t="str">
        <f t="shared" si="333"/>
        <v>.</v>
      </c>
      <c r="AV1356" s="180" t="str">
        <f t="shared" si="335"/>
        <v>.</v>
      </c>
      <c r="AW1356" s="180">
        <f>IFERROR(VLOOKUP(B1356,'Share, Heavy Weapons to Ukraine'!B:J,COLUMN('Share, Heavy Weapons to Ukraine'!C1366)-1,0),0)</f>
        <v>1</v>
      </c>
      <c r="AX1356" s="180">
        <f>VLOOKUP('Bilateral Assistance, MAIN DATA'!B1356,'Country Summary'!B:F,COLUMN('Country Summary'!C1369)-1,FALSE)</f>
        <v>0</v>
      </c>
      <c r="AY1356" s="180" t="str">
        <f>IF(AND(AD1356=1,D1356="Military",H1356&lt;&gt;"Not given")=TRUE,IF(SUMIFS(P:P,A:A,A1356)&gt;0,ABS((SUMIFS(P:P,A:A,A1356)/VLOOKUP("USD",'Exchange Rates'!B:C,2,0)))/S1356,"."),".")</f>
        <v>.</v>
      </c>
      <c r="AZ1356" s="182" t="str">
        <f>IF(AND(AD1356=1,D1356="Military",H1356&lt;&gt;"Not given")=TRUE,IF(SUMIFS(P:P,A:A,A1356)&gt;0,IF((ABS((SUMIFS(P:P,A:A,A1356)/VLOOKUP("USD",'Exchange Rates'!B:C,2,0)))/S1356)&gt;1,(SUMIFS(P:P,A:A,A1356)-S1356)/S1356,(S1356-SUMIFS(P:P,A:A,A1356))/SUMIFS(P:P,A:A,A1356)),"."),".")</f>
        <v>.</v>
      </c>
      <c r="BA1356" s="182"/>
      <c r="BB1356" s="182"/>
      <c r="BC1356" s="182"/>
      <c r="BD1356" s="182"/>
      <c r="BE1356" s="182"/>
      <c r="BF1356" s="182"/>
      <c r="BG1356" s="182"/>
      <c r="BH1356" s="182"/>
      <c r="BI1356" s="182"/>
      <c r="BJ1356" s="182"/>
      <c r="BK1356" s="182"/>
      <c r="BL1356" s="182"/>
      <c r="BM1356" s="182"/>
      <c r="BN1356" s="182"/>
      <c r="BO1356" s="182"/>
      <c r="BP1356" s="182"/>
      <c r="BQ1356" s="182"/>
      <c r="BR1356" s="182"/>
      <c r="BS1356" s="182"/>
    </row>
    <row r="1357" spans="1:71" s="523" customFormat="1" ht="15.9" customHeight="1" x14ac:dyDescent="0.3">
      <c r="A1357" s="19" t="s">
        <v>3393</v>
      </c>
      <c r="B1357" s="19" t="s">
        <v>3038</v>
      </c>
      <c r="C1357" s="555">
        <v>44932</v>
      </c>
      <c r="D1357" s="19" t="s">
        <v>285</v>
      </c>
      <c r="E1357" s="19" t="s">
        <v>286</v>
      </c>
      <c r="F1357" s="1139" t="s">
        <v>3395</v>
      </c>
      <c r="G1357" s="15" t="s">
        <v>346</v>
      </c>
      <c r="H1357" s="200">
        <v>2850000000</v>
      </c>
      <c r="I1357" s="19" t="s">
        <v>3241</v>
      </c>
      <c r="J1357" s="113" t="str">
        <f>VLOOKUP($I1357,'Price List, Weapons &amp; Items'!B:C,2,0)</f>
        <v>Heavy Weapon</v>
      </c>
      <c r="K1357" s="113" t="str">
        <f>IF(I1357=".",I1357,VLOOKUP($I1357,'Price List, Weapons &amp; Items'!B:D,3,0))</f>
        <v>non combat military vehicle</v>
      </c>
      <c r="L1357" s="177">
        <f>VLOOKUP(I1357,'Price List, Weapons &amp; Items'!B:E,4,0)</f>
        <v>0</v>
      </c>
      <c r="M1357" s="542">
        <v>55</v>
      </c>
      <c r="N1357" s="542" t="s">
        <v>270</v>
      </c>
      <c r="O1357" s="543">
        <f>VLOOKUP($I1357,'Price List, Weapons &amp; Items'!B:G,6,0)</f>
        <v>405530</v>
      </c>
      <c r="P1357" s="176">
        <f t="shared" si="326"/>
        <v>22304150</v>
      </c>
      <c r="Q1357" s="176" t="str">
        <f t="shared" si="327"/>
        <v>.</v>
      </c>
      <c r="R1357" s="176" t="str">
        <f t="shared" si="325"/>
        <v/>
      </c>
      <c r="S1357" s="176" t="str">
        <f>IF(AND(AD1357=1,R1357&lt;&gt;".")=TRUE,R1357/VLOOKUP(G1357,'Exchange Rates'!B:C,2,0),IF(R1357=".",".",""))</f>
        <v/>
      </c>
      <c r="T1357" s="176"/>
      <c r="U1357" s="15" t="s">
        <v>261</v>
      </c>
      <c r="V1357" s="671" t="s">
        <v>3396</v>
      </c>
      <c r="W1357" s="814" t="s">
        <v>3059</v>
      </c>
      <c r="X1357" s="665" t="s">
        <v>3062</v>
      </c>
      <c r="Y1357" s="665" t="s">
        <v>3078</v>
      </c>
      <c r="Z1357" s="15">
        <v>0</v>
      </c>
      <c r="AA1357" s="180">
        <v>1</v>
      </c>
      <c r="AB1357" s="17" t="s">
        <v>260</v>
      </c>
      <c r="AC1357" s="544"/>
      <c r="AD1357" s="181">
        <v>0</v>
      </c>
      <c r="AE1357" s="181" t="s">
        <v>264</v>
      </c>
      <c r="AF1357" s="181" t="s">
        <v>265</v>
      </c>
      <c r="AG1357" s="181">
        <v>1</v>
      </c>
      <c r="AH1357" s="181">
        <v>13</v>
      </c>
      <c r="AI1357" s="181">
        <v>0</v>
      </c>
      <c r="AJ1357" s="181">
        <f>VLOOKUP($I1357,'Price List, Weapons &amp; Items'!B:F,5,0)</f>
        <v>0</v>
      </c>
      <c r="AK1357" s="181">
        <f t="shared" si="328"/>
        <v>0</v>
      </c>
      <c r="AL1357" s="181">
        <f t="shared" si="329"/>
        <v>0</v>
      </c>
      <c r="AM1357" s="181">
        <f t="shared" si="330"/>
        <v>0</v>
      </c>
      <c r="AN1357" s="180" t="str">
        <f>VLOOKUP($I1357,'Price List, Weapons &amp; Items'!B:L,COLUMN('Price List, Weapons &amp; Items'!$J$11)-1,0)</f>
        <v>Contract</v>
      </c>
      <c r="AO1357" s="180" t="str">
        <f>IF(I1357=".",".",VLOOKUP($I1357,'Price List, Weapons &amp; Items'!B:J,3,0))</f>
        <v>non combat military vehicle</v>
      </c>
      <c r="AP1357" s="545" t="str">
        <f t="shared" ca="1" si="324"/>
        <v/>
      </c>
      <c r="AQ1357" s="180">
        <f>VLOOKUP($I1357,'Price List, Weapons &amp; Items'!B:L,COLUMN('Price List, Weapons &amp; Items'!$L$11)-1,0)</f>
        <v>2</v>
      </c>
      <c r="AR1357" s="180">
        <f t="shared" si="331"/>
        <v>1</v>
      </c>
      <c r="AS1357" s="180">
        <f t="shared" si="332"/>
        <v>1</v>
      </c>
      <c r="AT1357" s="180">
        <f t="shared" si="334"/>
        <v>1</v>
      </c>
      <c r="AU1357" s="180" t="str">
        <f t="shared" si="333"/>
        <v>.</v>
      </c>
      <c r="AV1357" s="180" t="str">
        <f t="shared" si="335"/>
        <v>.</v>
      </c>
      <c r="AW1357" s="180">
        <f>IFERROR(VLOOKUP(B1357,'Share, Heavy Weapons to Ukraine'!B:J,COLUMN('Share, Heavy Weapons to Ukraine'!C1367)-1,0),0)</f>
        <v>1</v>
      </c>
      <c r="AX1357" s="180">
        <f>VLOOKUP('Bilateral Assistance, MAIN DATA'!B1357,'Country Summary'!B:F,COLUMN('Country Summary'!C1370)-1,FALSE)</f>
        <v>0</v>
      </c>
      <c r="AY1357" s="180" t="str">
        <f>IF(AND(AD1357=1,D1357="Military",H1357&lt;&gt;"Not given")=TRUE,IF(SUMIFS(P:P,A:A,A1357)&gt;0,ABS((SUMIFS(P:P,A:A,A1357)/VLOOKUP("USD",'Exchange Rates'!B:C,2,0)))/S1357,"."),".")</f>
        <v>.</v>
      </c>
      <c r="AZ1357" s="182" t="str">
        <f>IF(AND(AD1357=1,D1357="Military",H1357&lt;&gt;"Not given")=TRUE,IF(SUMIFS(P:P,A:A,A1357)&gt;0,IF((ABS((SUMIFS(P:P,A:A,A1357)/VLOOKUP("USD",'Exchange Rates'!B:C,2,0)))/S1357)&gt;1,(SUMIFS(P:P,A:A,A1357)-S1357)/S1357,(S1357-SUMIFS(P:P,A:A,A1357))/SUMIFS(P:P,A:A,A1357)),"."),".")</f>
        <v>.</v>
      </c>
      <c r="BA1357" s="182"/>
      <c r="BB1357" s="182"/>
      <c r="BC1357" s="182"/>
      <c r="BD1357" s="182"/>
      <c r="BE1357" s="182"/>
      <c r="BF1357" s="182"/>
      <c r="BG1357" s="182"/>
      <c r="BH1357" s="182"/>
      <c r="BI1357" s="182"/>
      <c r="BJ1357" s="182"/>
      <c r="BK1357" s="182"/>
      <c r="BL1357" s="182"/>
      <c r="BM1357" s="182"/>
      <c r="BN1357" s="182"/>
      <c r="BO1357" s="182"/>
      <c r="BP1357" s="182"/>
      <c r="BQ1357" s="182"/>
      <c r="BR1357" s="182"/>
      <c r="BS1357" s="182"/>
    </row>
    <row r="1358" spans="1:71" s="523" customFormat="1" ht="15.9" customHeight="1" x14ac:dyDescent="0.3">
      <c r="A1358" s="19" t="s">
        <v>3393</v>
      </c>
      <c r="B1358" s="19" t="s">
        <v>3038</v>
      </c>
      <c r="C1358" s="555">
        <v>44932</v>
      </c>
      <c r="D1358" s="19" t="s">
        <v>285</v>
      </c>
      <c r="E1358" s="19" t="s">
        <v>286</v>
      </c>
      <c r="F1358" s="1139" t="s">
        <v>3395</v>
      </c>
      <c r="G1358" s="15" t="s">
        <v>346</v>
      </c>
      <c r="H1358" s="200">
        <v>2850000000</v>
      </c>
      <c r="I1358" s="17" t="s">
        <v>3269</v>
      </c>
      <c r="J1358" s="113" t="str">
        <f>VLOOKUP($I1358,'Price List, Weapons &amp; Items'!B:C,2,0)</f>
        <v>Heavy weapon</v>
      </c>
      <c r="K1358" s="113" t="str">
        <f>IF(I1358=".",I1358,VLOOKUP($I1358,'Price List, Weapons &amp; Items'!B:D,3,0))</f>
        <v>Armoured Utility Vehicle (AUV)</v>
      </c>
      <c r="L1358" s="177">
        <f>VLOOKUP(I1358,'Price List, Weapons &amp; Items'!B:E,4,0)</f>
        <v>0</v>
      </c>
      <c r="M1358" s="542">
        <v>138</v>
      </c>
      <c r="N1358" s="542" t="s">
        <v>270</v>
      </c>
      <c r="O1358" s="543">
        <f>VLOOKUP($I1358,'Price List, Weapons &amp; Items'!B:G,6,0)</f>
        <v>254717</v>
      </c>
      <c r="P1358" s="176">
        <f t="shared" si="326"/>
        <v>35150946</v>
      </c>
      <c r="Q1358" s="176" t="str">
        <f t="shared" si="327"/>
        <v>.</v>
      </c>
      <c r="R1358" s="176" t="str">
        <f t="shared" si="325"/>
        <v/>
      </c>
      <c r="S1358" s="176" t="str">
        <f>IF(AND(AD1358=1,R1358&lt;&gt;".")=TRUE,R1358/VLOOKUP(G1358,'Exchange Rates'!B:C,2,0),IF(R1358=".",".",""))</f>
        <v/>
      </c>
      <c r="T1358" s="176"/>
      <c r="U1358" s="15" t="s">
        <v>261</v>
      </c>
      <c r="V1358" s="671" t="s">
        <v>3396</v>
      </c>
      <c r="W1358" s="814" t="s">
        <v>3059</v>
      </c>
      <c r="X1358" s="665" t="s">
        <v>3062</v>
      </c>
      <c r="Y1358" s="665" t="s">
        <v>3079</v>
      </c>
      <c r="Z1358" s="15">
        <v>0</v>
      </c>
      <c r="AA1358" s="180">
        <v>1</v>
      </c>
      <c r="AB1358" s="17" t="s">
        <v>260</v>
      </c>
      <c r="AC1358" s="544"/>
      <c r="AD1358" s="181">
        <v>0</v>
      </c>
      <c r="AE1358" s="181" t="s">
        <v>264</v>
      </c>
      <c r="AF1358" s="181" t="s">
        <v>265</v>
      </c>
      <c r="AG1358" s="181">
        <v>1</v>
      </c>
      <c r="AH1358" s="181">
        <v>13</v>
      </c>
      <c r="AI1358" s="181">
        <v>0</v>
      </c>
      <c r="AJ1358" s="181">
        <f>VLOOKUP($I1358,'Price List, Weapons &amp; Items'!B:F,5,0)</f>
        <v>1</v>
      </c>
      <c r="AK1358" s="181">
        <f t="shared" si="328"/>
        <v>0</v>
      </c>
      <c r="AL1358" s="181">
        <f t="shared" si="329"/>
        <v>1</v>
      </c>
      <c r="AM1358" s="181">
        <f t="shared" si="330"/>
        <v>0</v>
      </c>
      <c r="AN1358" s="180" t="str">
        <f>VLOOKUP($I1358,'Price List, Weapons &amp; Items'!B:L,COLUMN('Price List, Weapons &amp; Items'!$J$11)-1,0)</f>
        <v>Military media (incl. websites)</v>
      </c>
      <c r="AO1358" s="180" t="str">
        <f>IF(I1358=".",".",VLOOKUP($I1358,'Price List, Weapons &amp; Items'!B:J,3,0))</f>
        <v>Armoured Utility Vehicle (AUV)</v>
      </c>
      <c r="AP1358" s="545" t="str">
        <f t="shared" ca="1" si="324"/>
        <v/>
      </c>
      <c r="AQ1358" s="180">
        <f>VLOOKUP($I1358,'Price List, Weapons &amp; Items'!B:L,COLUMN('Price List, Weapons &amp; Items'!$L$11)-1,0)</f>
        <v>2</v>
      </c>
      <c r="AR1358" s="180">
        <f t="shared" si="331"/>
        <v>1</v>
      </c>
      <c r="AS1358" s="180">
        <f t="shared" si="332"/>
        <v>1</v>
      </c>
      <c r="AT1358" s="180">
        <f t="shared" si="334"/>
        <v>1</v>
      </c>
      <c r="AU1358" s="180" t="str">
        <f t="shared" si="333"/>
        <v>.</v>
      </c>
      <c r="AV1358" s="180" t="str">
        <f t="shared" si="335"/>
        <v>.</v>
      </c>
      <c r="AW1358" s="180">
        <f>IFERROR(VLOOKUP(B1358,'Share, Heavy Weapons to Ukraine'!B:J,COLUMN('Share, Heavy Weapons to Ukraine'!C1368)-1,0),0)</f>
        <v>1</v>
      </c>
      <c r="AX1358" s="180">
        <f>VLOOKUP('Bilateral Assistance, MAIN DATA'!B1358,'Country Summary'!B:F,COLUMN('Country Summary'!C1371)-1,FALSE)</f>
        <v>0</v>
      </c>
      <c r="AY1358" s="180" t="str">
        <f>IF(AND(AD1358=1,D1358="Military",H1358&lt;&gt;"Not given")=TRUE,IF(SUMIFS(P:P,A:A,A1358)&gt;0,ABS((SUMIFS(P:P,A:A,A1358)/VLOOKUP("USD",'Exchange Rates'!B:C,2,0)))/S1358,"."),".")</f>
        <v>.</v>
      </c>
      <c r="AZ1358" s="182" t="str">
        <f>IF(AND(AD1358=1,D1358="Military",H1358&lt;&gt;"Not given")=TRUE,IF(SUMIFS(P:P,A:A,A1358)&gt;0,IF((ABS((SUMIFS(P:P,A:A,A1358)/VLOOKUP("USD",'Exchange Rates'!B:C,2,0)))/S1358)&gt;1,(SUMIFS(P:P,A:A,A1358)-S1358)/S1358,(S1358-SUMIFS(P:P,A:A,A1358))/SUMIFS(P:P,A:A,A1358)),"."),".")</f>
        <v>.</v>
      </c>
      <c r="BA1358" s="182"/>
      <c r="BB1358" s="182"/>
      <c r="BC1358" s="182"/>
      <c r="BD1358" s="182"/>
      <c r="BE1358" s="182"/>
      <c r="BF1358" s="182"/>
      <c r="BG1358" s="182"/>
      <c r="BH1358" s="182"/>
      <c r="BI1358" s="182"/>
      <c r="BJ1358" s="182"/>
      <c r="BK1358" s="182"/>
      <c r="BL1358" s="182"/>
      <c r="BM1358" s="182"/>
      <c r="BN1358" s="182"/>
      <c r="BO1358" s="182"/>
      <c r="BP1358" s="182"/>
      <c r="BQ1358" s="182"/>
      <c r="BR1358" s="182"/>
      <c r="BS1358" s="182"/>
    </row>
    <row r="1359" spans="1:71" s="523" customFormat="1" ht="15.9" customHeight="1" x14ac:dyDescent="0.3">
      <c r="A1359" s="19" t="s">
        <v>3393</v>
      </c>
      <c r="B1359" s="19" t="s">
        <v>3038</v>
      </c>
      <c r="C1359" s="555">
        <v>44932</v>
      </c>
      <c r="D1359" s="19" t="s">
        <v>285</v>
      </c>
      <c r="E1359" s="19" t="s">
        <v>286</v>
      </c>
      <c r="F1359" s="1139" t="s">
        <v>3395</v>
      </c>
      <c r="G1359" s="15" t="s">
        <v>346</v>
      </c>
      <c r="H1359" s="200">
        <v>2850000000</v>
      </c>
      <c r="I1359" s="17" t="s">
        <v>3401</v>
      </c>
      <c r="J1359" s="113" t="str">
        <f>VLOOKUP($I1359,'Price List, Weapons &amp; Items'!B:C,2,0)</f>
        <v>Heavy weapon</v>
      </c>
      <c r="K1359" s="113" t="str">
        <f>IF(I1359=".",I1359,VLOOKUP($I1359,'Price List, Weapons &amp; Items'!B:D,3,0))</f>
        <v>155mm howitzer</v>
      </c>
      <c r="L1359" s="177">
        <f>VLOOKUP(I1359,'Price List, Weapons &amp; Items'!B:E,4,0)</f>
        <v>0</v>
      </c>
      <c r="M1359" s="542">
        <v>18</v>
      </c>
      <c r="N1359" s="542" t="s">
        <v>270</v>
      </c>
      <c r="O1359" s="543">
        <f>VLOOKUP($I1359,'Price List, Weapons &amp; Items'!B:G,6,0)</f>
        <v>5170000</v>
      </c>
      <c r="P1359" s="176">
        <f t="shared" si="326"/>
        <v>93060000</v>
      </c>
      <c r="Q1359" s="176" t="str">
        <f t="shared" si="327"/>
        <v>.</v>
      </c>
      <c r="R1359" s="176" t="str">
        <f t="shared" si="325"/>
        <v/>
      </c>
      <c r="S1359" s="176" t="str">
        <f>IF(AND(AD1359=1,R1359&lt;&gt;".")=TRUE,R1359/VLOOKUP(G1359,'Exchange Rates'!B:C,2,0),IF(R1359=".",".",""))</f>
        <v/>
      </c>
      <c r="T1359" s="176"/>
      <c r="U1359" s="15" t="s">
        <v>261</v>
      </c>
      <c r="V1359" s="671" t="s">
        <v>3396</v>
      </c>
      <c r="W1359" s="814" t="s">
        <v>3059</v>
      </c>
      <c r="X1359" s="665" t="s">
        <v>3062</v>
      </c>
      <c r="Y1359" s="665" t="s">
        <v>3081</v>
      </c>
      <c r="Z1359" s="15">
        <v>0</v>
      </c>
      <c r="AA1359" s="180">
        <v>1</v>
      </c>
      <c r="AB1359" s="17" t="s">
        <v>260</v>
      </c>
      <c r="AC1359" s="544"/>
      <c r="AD1359" s="181">
        <v>0</v>
      </c>
      <c r="AE1359" s="181" t="s">
        <v>264</v>
      </c>
      <c r="AF1359" s="181" t="s">
        <v>265</v>
      </c>
      <c r="AG1359" s="181">
        <v>1</v>
      </c>
      <c r="AH1359" s="181">
        <v>13</v>
      </c>
      <c r="AI1359" s="181">
        <v>0</v>
      </c>
      <c r="AJ1359" s="181">
        <f>VLOOKUP($I1359,'Price List, Weapons &amp; Items'!B:F,5,0)</f>
        <v>1</v>
      </c>
      <c r="AK1359" s="181">
        <f t="shared" si="328"/>
        <v>0</v>
      </c>
      <c r="AL1359" s="181">
        <f t="shared" si="329"/>
        <v>1</v>
      </c>
      <c r="AM1359" s="181">
        <f t="shared" si="330"/>
        <v>0</v>
      </c>
      <c r="AN1359" s="180" t="str">
        <f>VLOOKUP($I1359,'Price List, Weapons &amp; Items'!B:L,COLUMN('Price List, Weapons &amp; Items'!$J$11)-1,0)</f>
        <v>Military media (incl. websites)</v>
      </c>
      <c r="AO1359" s="180" t="str">
        <f>IF(I1359=".",".",VLOOKUP($I1359,'Price List, Weapons &amp; Items'!B:J,3,0))</f>
        <v>155mm howitzer</v>
      </c>
      <c r="AP1359" s="545" t="str">
        <f t="shared" ca="1" si="324"/>
        <v/>
      </c>
      <c r="AQ1359" s="180">
        <f>VLOOKUP($I1359,'Price List, Weapons &amp; Items'!B:L,COLUMN('Price List, Weapons &amp; Items'!$L$11)-1,0)</f>
        <v>2</v>
      </c>
      <c r="AR1359" s="180">
        <f t="shared" si="331"/>
        <v>1</v>
      </c>
      <c r="AS1359" s="180">
        <f t="shared" si="332"/>
        <v>1</v>
      </c>
      <c r="AT1359" s="180">
        <f t="shared" si="334"/>
        <v>1</v>
      </c>
      <c r="AU1359" s="180" t="str">
        <f t="shared" si="333"/>
        <v>.</v>
      </c>
      <c r="AV1359" s="180" t="str">
        <f t="shared" si="335"/>
        <v>.</v>
      </c>
      <c r="AW1359" s="180">
        <f>IFERROR(VLOOKUP(B1359,'Share, Heavy Weapons to Ukraine'!B:J,COLUMN('Share, Heavy Weapons to Ukraine'!C1369)-1,0),0)</f>
        <v>1</v>
      </c>
      <c r="AX1359" s="180">
        <f>VLOOKUP('Bilateral Assistance, MAIN DATA'!B1359,'Country Summary'!B:F,COLUMN('Country Summary'!C1372)-1,FALSE)</f>
        <v>0</v>
      </c>
      <c r="AY1359" s="180" t="str">
        <f>IF(AND(AD1359=1,D1359="Military",H1359&lt;&gt;"Not given")=TRUE,IF(SUMIFS(P:P,A:A,A1359)&gt;0,ABS((SUMIFS(P:P,A:A,A1359)/VLOOKUP("USD",'Exchange Rates'!B:C,2,0)))/S1359,"."),".")</f>
        <v>.</v>
      </c>
      <c r="AZ1359" s="182" t="str">
        <f>IF(AND(AD1359=1,D1359="Military",H1359&lt;&gt;"Not given")=TRUE,IF(SUMIFS(P:P,A:A,A1359)&gt;0,IF((ABS((SUMIFS(P:P,A:A,A1359)/VLOOKUP("USD",'Exchange Rates'!B:C,2,0)))/S1359)&gt;1,(SUMIFS(P:P,A:A,A1359)-S1359)/S1359,(S1359-SUMIFS(P:P,A:A,A1359))/SUMIFS(P:P,A:A,A1359)),"."),".")</f>
        <v>.</v>
      </c>
      <c r="BA1359" s="182"/>
      <c r="BB1359" s="182"/>
      <c r="BC1359" s="182"/>
      <c r="BD1359" s="182"/>
      <c r="BE1359" s="182"/>
      <c r="BF1359" s="182"/>
      <c r="BG1359" s="182"/>
      <c r="BH1359" s="182"/>
      <c r="BI1359" s="182"/>
      <c r="BJ1359" s="182"/>
      <c r="BK1359" s="182"/>
      <c r="BL1359" s="182"/>
      <c r="BM1359" s="182"/>
      <c r="BN1359" s="182"/>
      <c r="BO1359" s="182"/>
      <c r="BP1359" s="182"/>
      <c r="BQ1359" s="182"/>
      <c r="BR1359" s="182"/>
      <c r="BS1359" s="182"/>
    </row>
    <row r="1360" spans="1:71" s="523" customFormat="1" ht="15.9" customHeight="1" x14ac:dyDescent="0.3">
      <c r="A1360" s="19" t="s">
        <v>3393</v>
      </c>
      <c r="B1360" s="19" t="s">
        <v>3038</v>
      </c>
      <c r="C1360" s="555">
        <v>44932</v>
      </c>
      <c r="D1360" s="19" t="s">
        <v>285</v>
      </c>
      <c r="E1360" s="19" t="s">
        <v>286</v>
      </c>
      <c r="F1360" s="1139" t="s">
        <v>3395</v>
      </c>
      <c r="G1360" s="15" t="s">
        <v>346</v>
      </c>
      <c r="H1360" s="200">
        <v>2850000000</v>
      </c>
      <c r="I1360" s="182" t="s">
        <v>3164</v>
      </c>
      <c r="J1360" s="113" t="str">
        <f>VLOOKUP($I1360,'Price List, Weapons &amp; Items'!B:C,2,0)</f>
        <v>Military equipment</v>
      </c>
      <c r="K1360" s="113" t="str">
        <f>IF(I1360=".",I1360,VLOOKUP($I1360,'Price List, Weapons &amp; Items'!B:D,3,0))</f>
        <v>Military equipment</v>
      </c>
      <c r="L1360" s="177">
        <f>VLOOKUP(I1360,'Price List, Weapons &amp; Items'!B:E,4,0)</f>
        <v>0</v>
      </c>
      <c r="M1360" s="542">
        <v>18</v>
      </c>
      <c r="N1360" s="542" t="s">
        <v>270</v>
      </c>
      <c r="O1360" s="543">
        <f>VLOOKUP($I1360,'Price List, Weapons &amp; Items'!B:G,6,0)</f>
        <v>350000</v>
      </c>
      <c r="P1360" s="176">
        <f t="shared" si="326"/>
        <v>6300000</v>
      </c>
      <c r="Q1360" s="176" t="str">
        <f t="shared" si="327"/>
        <v>.</v>
      </c>
      <c r="R1360" s="176" t="str">
        <f t="shared" si="325"/>
        <v/>
      </c>
      <c r="S1360" s="176" t="str">
        <f>IF(AND(AD1360=1,R1360&lt;&gt;".")=TRUE,R1360/VLOOKUP(G1360,'Exchange Rates'!B:C,2,0),IF(R1360=".",".",""))</f>
        <v/>
      </c>
      <c r="T1360" s="176"/>
      <c r="U1360" s="15" t="s">
        <v>261</v>
      </c>
      <c r="V1360" s="671" t="s">
        <v>3396</v>
      </c>
      <c r="W1360" s="814" t="s">
        <v>3059</v>
      </c>
      <c r="X1360" s="665" t="s">
        <v>3062</v>
      </c>
      <c r="Y1360" s="665" t="s">
        <v>3083</v>
      </c>
      <c r="Z1360" s="15">
        <v>0</v>
      </c>
      <c r="AA1360" s="180">
        <v>1</v>
      </c>
      <c r="AB1360" s="17" t="s">
        <v>260</v>
      </c>
      <c r="AC1360" s="544"/>
      <c r="AD1360" s="181">
        <v>0</v>
      </c>
      <c r="AE1360" s="181" t="s">
        <v>264</v>
      </c>
      <c r="AF1360" s="181" t="s">
        <v>265</v>
      </c>
      <c r="AG1360" s="181">
        <v>1</v>
      </c>
      <c r="AH1360" s="181">
        <v>13</v>
      </c>
      <c r="AI1360" s="181">
        <v>0</v>
      </c>
      <c r="AJ1360" s="181">
        <f>VLOOKUP($I1360,'Price List, Weapons &amp; Items'!B:F,5,0)</f>
        <v>0</v>
      </c>
      <c r="AK1360" s="181">
        <f t="shared" si="328"/>
        <v>0</v>
      </c>
      <c r="AL1360" s="181">
        <f t="shared" si="329"/>
        <v>0</v>
      </c>
      <c r="AM1360" s="181">
        <f t="shared" si="330"/>
        <v>0</v>
      </c>
      <c r="AN1360" s="180" t="str">
        <f>VLOOKUP($I1360,'Price List, Weapons &amp; Items'!B:L,COLUMN('Price List, Weapons &amp; Items'!$J$11)-1,0)</f>
        <v>Media reports (incl. social media)</v>
      </c>
      <c r="AO1360" s="180" t="str">
        <f>IF(I1360=".",".",VLOOKUP($I1360,'Price List, Weapons &amp; Items'!B:J,3,0))</f>
        <v>Military equipment</v>
      </c>
      <c r="AP1360" s="545" t="str">
        <f t="shared" ca="1" si="324"/>
        <v/>
      </c>
      <c r="AQ1360" s="180">
        <f>VLOOKUP($I1360,'Price List, Weapons &amp; Items'!B:L,COLUMN('Price List, Weapons &amp; Items'!$L$11)-1,0)</f>
        <v>2</v>
      </c>
      <c r="AR1360" s="180">
        <f t="shared" si="331"/>
        <v>1</v>
      </c>
      <c r="AS1360" s="180">
        <f t="shared" si="332"/>
        <v>1</v>
      </c>
      <c r="AT1360" s="180">
        <f t="shared" si="334"/>
        <v>1</v>
      </c>
      <c r="AU1360" s="180" t="str">
        <f t="shared" si="333"/>
        <v>.</v>
      </c>
      <c r="AV1360" s="180" t="str">
        <f t="shared" si="335"/>
        <v>.</v>
      </c>
      <c r="AW1360" s="180">
        <f>IFERROR(VLOOKUP(B1360,'Share, Heavy Weapons to Ukraine'!B:J,COLUMN('Share, Heavy Weapons to Ukraine'!C1370)-1,0),0)</f>
        <v>1</v>
      </c>
      <c r="AX1360" s="180">
        <f>VLOOKUP('Bilateral Assistance, MAIN DATA'!B1360,'Country Summary'!B:F,COLUMN('Country Summary'!C1373)-1,FALSE)</f>
        <v>0</v>
      </c>
      <c r="AY1360" s="180" t="str">
        <f>IF(AND(AD1360=1,D1360="Military",H1360&lt;&gt;"Not given")=TRUE,IF(SUMIFS(P:P,A:A,A1360)&gt;0,ABS((SUMIFS(P:P,A:A,A1360)/VLOOKUP("USD",'Exchange Rates'!B:C,2,0)))/S1360,"."),".")</f>
        <v>.</v>
      </c>
      <c r="AZ1360" s="182" t="str">
        <f>IF(AND(AD1360=1,D1360="Military",H1360&lt;&gt;"Not given")=TRUE,IF(SUMIFS(P:P,A:A,A1360)&gt;0,IF((ABS((SUMIFS(P:P,A:A,A1360)/VLOOKUP("USD",'Exchange Rates'!B:C,2,0)))/S1360)&gt;1,(SUMIFS(P:P,A:A,A1360)-S1360)/S1360,(S1360-SUMIFS(P:P,A:A,A1360))/SUMIFS(P:P,A:A,A1360)),"."),".")</f>
        <v>.</v>
      </c>
      <c r="BA1360" s="182"/>
      <c r="BB1360" s="182"/>
      <c r="BC1360" s="182"/>
      <c r="BD1360" s="182"/>
      <c r="BE1360" s="182"/>
      <c r="BF1360" s="182"/>
      <c r="BG1360" s="182"/>
      <c r="BH1360" s="182"/>
      <c r="BI1360" s="182"/>
      <c r="BJ1360" s="182"/>
      <c r="BK1360" s="182"/>
      <c r="BL1360" s="182"/>
      <c r="BM1360" s="182"/>
      <c r="BN1360" s="182"/>
      <c r="BO1360" s="182"/>
      <c r="BP1360" s="182"/>
      <c r="BQ1360" s="182"/>
      <c r="BR1360" s="182"/>
      <c r="BS1360" s="182"/>
    </row>
    <row r="1361" spans="1:71" s="523" customFormat="1" ht="15.9" customHeight="1" x14ac:dyDescent="0.3">
      <c r="A1361" s="19" t="s">
        <v>3393</v>
      </c>
      <c r="B1361" s="19" t="s">
        <v>3038</v>
      </c>
      <c r="C1361" s="555">
        <v>44932</v>
      </c>
      <c r="D1361" s="19" t="s">
        <v>285</v>
      </c>
      <c r="E1361" s="19" t="s">
        <v>286</v>
      </c>
      <c r="F1361" s="1139" t="s">
        <v>3395</v>
      </c>
      <c r="G1361" s="15" t="s">
        <v>346</v>
      </c>
      <c r="H1361" s="200">
        <v>2850000000</v>
      </c>
      <c r="I1361" s="17" t="s">
        <v>644</v>
      </c>
      <c r="J1361" s="113" t="str">
        <f>VLOOKUP($I1361,'Price List, Weapons &amp; Items'!B:C,2,0)</f>
        <v>Ammunition for heavy weapon</v>
      </c>
      <c r="K1361" s="113" t="str">
        <f>IF(I1361=".",I1361,VLOOKUP($I1361,'Price List, Weapons &amp; Items'!B:D,3,0))</f>
        <v>155mm howitzer ammunition</v>
      </c>
      <c r="L1361" s="177">
        <f>VLOOKUP(I1361,'Price List, Weapons &amp; Items'!B:E,4,0)</f>
        <v>0</v>
      </c>
      <c r="M1361" s="542">
        <v>70000</v>
      </c>
      <c r="N1361" s="542" t="s">
        <v>270</v>
      </c>
      <c r="O1361" s="543">
        <f>VLOOKUP($I1361,'Price List, Weapons &amp; Items'!B:G,6,0)</f>
        <v>3800</v>
      </c>
      <c r="P1361" s="176">
        <f t="shared" si="326"/>
        <v>266000000</v>
      </c>
      <c r="Q1361" s="176" t="str">
        <f t="shared" si="327"/>
        <v>.</v>
      </c>
      <c r="R1361" s="176" t="str">
        <f t="shared" si="325"/>
        <v/>
      </c>
      <c r="S1361" s="176" t="str">
        <f>IF(AND(AD1361=1,R1361&lt;&gt;".")=TRUE,R1361/VLOOKUP(G1361,'Exchange Rates'!B:C,2,0),IF(R1361=".",".",""))</f>
        <v/>
      </c>
      <c r="T1361" s="176"/>
      <c r="U1361" s="15" t="s">
        <v>261</v>
      </c>
      <c r="V1361" s="671" t="s">
        <v>3396</v>
      </c>
      <c r="W1361" s="814" t="s">
        <v>3059</v>
      </c>
      <c r="X1361" s="665" t="s">
        <v>3062</v>
      </c>
      <c r="Y1361" s="665" t="s">
        <v>3085</v>
      </c>
      <c r="Z1361" s="15">
        <v>0</v>
      </c>
      <c r="AA1361" s="180">
        <v>1</v>
      </c>
      <c r="AB1361" s="17" t="s">
        <v>260</v>
      </c>
      <c r="AC1361" s="544"/>
      <c r="AD1361" s="181">
        <v>0</v>
      </c>
      <c r="AE1361" s="181" t="s">
        <v>264</v>
      </c>
      <c r="AF1361" s="181" t="s">
        <v>265</v>
      </c>
      <c r="AG1361" s="181">
        <v>1</v>
      </c>
      <c r="AH1361" s="181">
        <v>13</v>
      </c>
      <c r="AI1361" s="181">
        <v>0</v>
      </c>
      <c r="AJ1361" s="181">
        <f>VLOOKUP($I1361,'Price List, Weapons &amp; Items'!B:F,5,0)</f>
        <v>1</v>
      </c>
      <c r="AK1361" s="181">
        <f t="shared" si="328"/>
        <v>0</v>
      </c>
      <c r="AL1361" s="181">
        <f t="shared" si="329"/>
        <v>1</v>
      </c>
      <c r="AM1361" s="181">
        <f t="shared" si="330"/>
        <v>0</v>
      </c>
      <c r="AN1361" s="180" t="str">
        <f>VLOOKUP($I1361,'Price List, Weapons &amp; Items'!B:L,COLUMN('Price List, Weapons &amp; Items'!$J$11)-1,0)</f>
        <v>Government information</v>
      </c>
      <c r="AO1361" s="180" t="str">
        <f>IF(I1361=".",".",VLOOKUP($I1361,'Price List, Weapons &amp; Items'!B:J,3,0))</f>
        <v>155mm howitzer ammunition</v>
      </c>
      <c r="AP1361" s="545" t="str">
        <f t="shared" ca="1" si="324"/>
        <v/>
      </c>
      <c r="AQ1361" s="180">
        <f>VLOOKUP($I1361,'Price List, Weapons &amp; Items'!B:L,COLUMN('Price List, Weapons &amp; Items'!$L$11)-1,0)</f>
        <v>2</v>
      </c>
      <c r="AR1361" s="180">
        <f t="shared" si="331"/>
        <v>1</v>
      </c>
      <c r="AS1361" s="180">
        <f t="shared" si="332"/>
        <v>1</v>
      </c>
      <c r="AT1361" s="180">
        <f t="shared" si="334"/>
        <v>1</v>
      </c>
      <c r="AU1361" s="180" t="str">
        <f t="shared" si="333"/>
        <v>.</v>
      </c>
      <c r="AV1361" s="180" t="str">
        <f t="shared" si="335"/>
        <v>.</v>
      </c>
      <c r="AW1361" s="180">
        <f>IFERROR(VLOOKUP(B1361,'Share, Heavy Weapons to Ukraine'!B:J,COLUMN('Share, Heavy Weapons to Ukraine'!C1371)-1,0),0)</f>
        <v>1</v>
      </c>
      <c r="AX1361" s="180">
        <f>VLOOKUP('Bilateral Assistance, MAIN DATA'!B1361,'Country Summary'!B:F,COLUMN('Country Summary'!C1374)-1,FALSE)</f>
        <v>0</v>
      </c>
      <c r="AY1361" s="180" t="str">
        <f>IF(AND(AD1361=1,D1361="Military",H1361&lt;&gt;"Not given")=TRUE,IF(SUMIFS(P:P,A:A,A1361)&gt;0,ABS((SUMIFS(P:P,A:A,A1361)/VLOOKUP("USD",'Exchange Rates'!B:C,2,0)))/S1361,"."),".")</f>
        <v>.</v>
      </c>
      <c r="AZ1361" s="182" t="str">
        <f>IF(AND(AD1361=1,D1361="Military",H1361&lt;&gt;"Not given")=TRUE,IF(SUMIFS(P:P,A:A,A1361)&gt;0,IF((ABS((SUMIFS(P:P,A:A,A1361)/VLOOKUP("USD",'Exchange Rates'!B:C,2,0)))/S1361)&gt;1,(SUMIFS(P:P,A:A,A1361)-S1361)/S1361,(S1361-SUMIFS(P:P,A:A,A1361))/SUMIFS(P:P,A:A,A1361)),"."),".")</f>
        <v>.</v>
      </c>
      <c r="BA1361" s="182"/>
      <c r="BB1361" s="182"/>
      <c r="BC1361" s="182"/>
      <c r="BD1361" s="182"/>
      <c r="BE1361" s="182"/>
      <c r="BF1361" s="182"/>
      <c r="BG1361" s="182"/>
      <c r="BH1361" s="182"/>
      <c r="BI1361" s="182"/>
      <c r="BJ1361" s="182"/>
      <c r="BK1361" s="182"/>
      <c r="BL1361" s="182"/>
      <c r="BM1361" s="182"/>
      <c r="BN1361" s="182"/>
      <c r="BO1361" s="182"/>
      <c r="BP1361" s="182"/>
      <c r="BQ1361" s="182"/>
      <c r="BR1361" s="182"/>
      <c r="BS1361" s="182"/>
    </row>
    <row r="1362" spans="1:71" s="523" customFormat="1" ht="15.9" customHeight="1" x14ac:dyDescent="0.3">
      <c r="A1362" s="19" t="s">
        <v>3393</v>
      </c>
      <c r="B1362" s="19" t="s">
        <v>3038</v>
      </c>
      <c r="C1362" s="555">
        <v>44932</v>
      </c>
      <c r="D1362" s="19" t="s">
        <v>285</v>
      </c>
      <c r="E1362" s="19" t="s">
        <v>286</v>
      </c>
      <c r="F1362" s="1139" t="s">
        <v>3395</v>
      </c>
      <c r="G1362" s="15" t="s">
        <v>346</v>
      </c>
      <c r="H1362" s="200">
        <v>2850000000</v>
      </c>
      <c r="I1362" s="17" t="s">
        <v>3376</v>
      </c>
      <c r="J1362" s="113" t="str">
        <f>VLOOKUP($I1362,'Price List, Weapons &amp; Items'!B:C,2,0)</f>
        <v>Ammunition for heavy weapon</v>
      </c>
      <c r="K1362" s="113" t="str">
        <f>IF(I1362=".",I1362,VLOOKUP($I1362,'Price List, Weapons &amp; Items'!B:D,3,0))</f>
        <v>artillery round</v>
      </c>
      <c r="L1362" s="177">
        <f>VLOOKUP(I1362,'Price List, Weapons &amp; Items'!B:E,4,0)</f>
        <v>0</v>
      </c>
      <c r="M1362" s="542">
        <v>500</v>
      </c>
      <c r="N1362" s="542" t="s">
        <v>270</v>
      </c>
      <c r="O1362" s="543">
        <f>VLOOKUP($I1362,'Price List, Weapons &amp; Items'!B:G,6,0)</f>
        <v>112800</v>
      </c>
      <c r="P1362" s="176">
        <f t="shared" si="326"/>
        <v>56400000</v>
      </c>
      <c r="Q1362" s="176" t="str">
        <f t="shared" si="327"/>
        <v>.</v>
      </c>
      <c r="R1362" s="176" t="str">
        <f t="shared" si="325"/>
        <v/>
      </c>
      <c r="S1362" s="176" t="str">
        <f>IF(AND(AD1362=1,R1362&lt;&gt;".")=TRUE,R1362/VLOOKUP(G1362,'Exchange Rates'!B:C,2,0),IF(R1362=".",".",""))</f>
        <v/>
      </c>
      <c r="T1362" s="176"/>
      <c r="U1362" s="15" t="s">
        <v>261</v>
      </c>
      <c r="V1362" s="671" t="s">
        <v>3396</v>
      </c>
      <c r="W1362" s="814" t="s">
        <v>3059</v>
      </c>
      <c r="X1362" s="665" t="s">
        <v>3062</v>
      </c>
      <c r="Y1362" s="665" t="s">
        <v>3087</v>
      </c>
      <c r="Z1362" s="15">
        <v>0</v>
      </c>
      <c r="AA1362" s="180">
        <v>1</v>
      </c>
      <c r="AB1362" s="17" t="s">
        <v>260</v>
      </c>
      <c r="AC1362" s="544"/>
      <c r="AD1362" s="181">
        <v>0</v>
      </c>
      <c r="AE1362" s="181" t="s">
        <v>264</v>
      </c>
      <c r="AF1362" s="181" t="s">
        <v>265</v>
      </c>
      <c r="AG1362" s="181">
        <v>1</v>
      </c>
      <c r="AH1362" s="181">
        <v>13</v>
      </c>
      <c r="AI1362" s="181">
        <v>0</v>
      </c>
      <c r="AJ1362" s="181">
        <f>VLOOKUP($I1362,'Price List, Weapons &amp; Items'!B:F,5,0)</f>
        <v>0</v>
      </c>
      <c r="AK1362" s="181">
        <f t="shared" si="328"/>
        <v>0</v>
      </c>
      <c r="AL1362" s="181">
        <f t="shared" si="329"/>
        <v>0</v>
      </c>
      <c r="AM1362" s="181">
        <f t="shared" si="330"/>
        <v>0</v>
      </c>
      <c r="AN1362" s="180" t="str">
        <f>VLOOKUP($I1362,'Price List, Weapons &amp; Items'!B:L,COLUMN('Price List, Weapons &amp; Items'!$J$11)-1,0)</f>
        <v>Miscellaneous</v>
      </c>
      <c r="AO1362" s="180" t="str">
        <f>IF(I1362=".",".",VLOOKUP($I1362,'Price List, Weapons &amp; Items'!B:J,3,0))</f>
        <v>artillery round</v>
      </c>
      <c r="AP1362" s="545" t="str">
        <f t="shared" ca="1" si="324"/>
        <v/>
      </c>
      <c r="AQ1362" s="180">
        <f>VLOOKUP($I1362,'Price List, Weapons &amp; Items'!B:L,COLUMN('Price List, Weapons &amp; Items'!$L$11)-1,0)</f>
        <v>2</v>
      </c>
      <c r="AR1362" s="180">
        <f t="shared" si="331"/>
        <v>1</v>
      </c>
      <c r="AS1362" s="180">
        <f t="shared" si="332"/>
        <v>1</v>
      </c>
      <c r="AT1362" s="180">
        <f t="shared" si="334"/>
        <v>1</v>
      </c>
      <c r="AU1362" s="180" t="str">
        <f t="shared" si="333"/>
        <v>.</v>
      </c>
      <c r="AV1362" s="180" t="str">
        <f t="shared" si="335"/>
        <v>.</v>
      </c>
      <c r="AW1362" s="180">
        <f>IFERROR(VLOOKUP(B1362,'Share, Heavy Weapons to Ukraine'!B:J,COLUMN('Share, Heavy Weapons to Ukraine'!C1372)-1,0),0)</f>
        <v>1</v>
      </c>
      <c r="AX1362" s="180">
        <f>VLOOKUP('Bilateral Assistance, MAIN DATA'!B1362,'Country Summary'!B:F,COLUMN('Country Summary'!C1375)-1,FALSE)</f>
        <v>0</v>
      </c>
      <c r="AY1362" s="180" t="str">
        <f>IF(AND(AD1362=1,D1362="Military",H1362&lt;&gt;"Not given")=TRUE,IF(SUMIFS(P:P,A:A,A1362)&gt;0,ABS((SUMIFS(P:P,A:A,A1362)/VLOOKUP("USD",'Exchange Rates'!B:C,2,0)))/S1362,"."),".")</f>
        <v>.</v>
      </c>
      <c r="AZ1362" s="182" t="str">
        <f>IF(AND(AD1362=1,D1362="Military",H1362&lt;&gt;"Not given")=TRUE,IF(SUMIFS(P:P,A:A,A1362)&gt;0,IF((ABS((SUMIFS(P:P,A:A,A1362)/VLOOKUP("USD",'Exchange Rates'!B:C,2,0)))/S1362)&gt;1,(SUMIFS(P:P,A:A,A1362)-S1362)/S1362,(S1362-SUMIFS(P:P,A:A,A1362))/SUMIFS(P:P,A:A,A1362)),"."),".")</f>
        <v>.</v>
      </c>
      <c r="BA1362" s="182"/>
      <c r="BB1362" s="182"/>
      <c r="BC1362" s="182"/>
      <c r="BD1362" s="182"/>
      <c r="BE1362" s="182"/>
      <c r="BF1362" s="182"/>
      <c r="BG1362" s="182"/>
      <c r="BH1362" s="182"/>
      <c r="BI1362" s="182"/>
      <c r="BJ1362" s="182"/>
      <c r="BK1362" s="182"/>
      <c r="BL1362" s="182"/>
      <c r="BM1362" s="182"/>
      <c r="BN1362" s="182"/>
      <c r="BO1362" s="182"/>
      <c r="BP1362" s="182"/>
      <c r="BQ1362" s="182"/>
      <c r="BR1362" s="182"/>
      <c r="BS1362" s="182"/>
    </row>
    <row r="1363" spans="1:71" s="523" customFormat="1" ht="15.9" customHeight="1" x14ac:dyDescent="0.3">
      <c r="A1363" s="19" t="s">
        <v>3393</v>
      </c>
      <c r="B1363" s="19" t="s">
        <v>3038</v>
      </c>
      <c r="C1363" s="555">
        <v>44932</v>
      </c>
      <c r="D1363" s="19" t="s">
        <v>285</v>
      </c>
      <c r="E1363" s="19" t="s">
        <v>286</v>
      </c>
      <c r="F1363" s="1139" t="s">
        <v>3395</v>
      </c>
      <c r="G1363" s="15" t="s">
        <v>346</v>
      </c>
      <c r="H1363" s="200">
        <v>2850000000</v>
      </c>
      <c r="I1363" s="17" t="s">
        <v>3377</v>
      </c>
      <c r="J1363" s="113" t="str">
        <f>VLOOKUP($I1363,'Price List, Weapons &amp; Items'!B:C,2,0)</f>
        <v>Ammunition for heavy weapon</v>
      </c>
      <c r="K1363" s="113" t="str">
        <f>IF(I1363=".",I1363,VLOOKUP($I1363,'Price List, Weapons &amp; Items'!B:D,3,0))</f>
        <v>155mm howitzer ammunition</v>
      </c>
      <c r="L1363" s="177">
        <f>VLOOKUP(I1363,'Price List, Weapons &amp; Items'!B:E,4,0)</f>
        <v>0</v>
      </c>
      <c r="M1363" s="542">
        <v>1200</v>
      </c>
      <c r="N1363" s="542" t="s">
        <v>270</v>
      </c>
      <c r="O1363" s="543">
        <f>VLOOKUP($I1363,'Price List, Weapons &amp; Items'!B:G,6,0)</f>
        <v>98000</v>
      </c>
      <c r="P1363" s="176">
        <f t="shared" si="326"/>
        <v>117600000</v>
      </c>
      <c r="Q1363" s="176" t="str">
        <f t="shared" si="327"/>
        <v>.</v>
      </c>
      <c r="R1363" s="176" t="str">
        <f t="shared" si="325"/>
        <v/>
      </c>
      <c r="S1363" s="176" t="str">
        <f>IF(AND(AD1363=1,R1363&lt;&gt;".")=TRUE,R1363/VLOOKUP(G1363,'Exchange Rates'!B:C,2,0),IF(R1363=".",".",""))</f>
        <v/>
      </c>
      <c r="T1363" s="176"/>
      <c r="U1363" s="15" t="s">
        <v>261</v>
      </c>
      <c r="V1363" s="671" t="s">
        <v>3396</v>
      </c>
      <c r="W1363" s="814" t="s">
        <v>3059</v>
      </c>
      <c r="X1363" s="665" t="s">
        <v>3062</v>
      </c>
      <c r="Y1363" s="665" t="s">
        <v>3089</v>
      </c>
      <c r="Z1363" s="15">
        <v>0</v>
      </c>
      <c r="AA1363" s="180">
        <v>1</v>
      </c>
      <c r="AB1363" s="17" t="s">
        <v>260</v>
      </c>
      <c r="AC1363" s="544"/>
      <c r="AD1363" s="181">
        <v>0</v>
      </c>
      <c r="AE1363" s="181" t="s">
        <v>264</v>
      </c>
      <c r="AF1363" s="181" t="s">
        <v>265</v>
      </c>
      <c r="AG1363" s="181">
        <v>1</v>
      </c>
      <c r="AH1363" s="181">
        <v>13</v>
      </c>
      <c r="AI1363" s="181">
        <v>0</v>
      </c>
      <c r="AJ1363" s="181">
        <f>VLOOKUP($I1363,'Price List, Weapons &amp; Items'!B:F,5,0)</f>
        <v>1</v>
      </c>
      <c r="AK1363" s="181">
        <f t="shared" si="328"/>
        <v>0</v>
      </c>
      <c r="AL1363" s="181">
        <f t="shared" si="329"/>
        <v>1</v>
      </c>
      <c r="AM1363" s="181">
        <f t="shared" si="330"/>
        <v>0</v>
      </c>
      <c r="AN1363" s="180" t="str">
        <f>VLOOKUP($I1363,'Price List, Weapons &amp; Items'!B:L,COLUMN('Price List, Weapons &amp; Items'!$J$11)-1,0)</f>
        <v>Government information</v>
      </c>
      <c r="AO1363" s="180" t="str">
        <f>IF(I1363=".",".",VLOOKUP($I1363,'Price List, Weapons &amp; Items'!B:J,3,0))</f>
        <v>155mm howitzer ammunition</v>
      </c>
      <c r="AP1363" s="545" t="str">
        <f t="shared" ca="1" si="324"/>
        <v/>
      </c>
      <c r="AQ1363" s="180">
        <f>VLOOKUP($I1363,'Price List, Weapons &amp; Items'!B:L,COLUMN('Price List, Weapons &amp; Items'!$L$11)-1,0)</f>
        <v>2</v>
      </c>
      <c r="AR1363" s="180">
        <f t="shared" si="331"/>
        <v>1</v>
      </c>
      <c r="AS1363" s="180">
        <f t="shared" si="332"/>
        <v>1</v>
      </c>
      <c r="AT1363" s="180">
        <f t="shared" si="334"/>
        <v>1</v>
      </c>
      <c r="AU1363" s="180" t="str">
        <f t="shared" si="333"/>
        <v>.</v>
      </c>
      <c r="AV1363" s="180" t="str">
        <f t="shared" si="335"/>
        <v>.</v>
      </c>
      <c r="AW1363" s="180">
        <f>IFERROR(VLOOKUP(B1363,'Share, Heavy Weapons to Ukraine'!B:J,COLUMN('Share, Heavy Weapons to Ukraine'!C1373)-1,0),0)</f>
        <v>1</v>
      </c>
      <c r="AX1363" s="180">
        <f>VLOOKUP('Bilateral Assistance, MAIN DATA'!B1363,'Country Summary'!B:F,COLUMN('Country Summary'!C1376)-1,FALSE)</f>
        <v>0</v>
      </c>
      <c r="AY1363" s="180" t="str">
        <f>IF(AND(AD1363=1,D1363="Military",H1363&lt;&gt;"Not given")=TRUE,IF(SUMIFS(P:P,A:A,A1363)&gt;0,ABS((SUMIFS(P:P,A:A,A1363)/VLOOKUP("USD",'Exchange Rates'!B:C,2,0)))/S1363,"."),".")</f>
        <v>.</v>
      </c>
      <c r="AZ1363" s="182" t="str">
        <f>IF(AND(AD1363=1,D1363="Military",H1363&lt;&gt;"Not given")=TRUE,IF(SUMIFS(P:P,A:A,A1363)&gt;0,IF((ABS((SUMIFS(P:P,A:A,A1363)/VLOOKUP("USD",'Exchange Rates'!B:C,2,0)))/S1363)&gt;1,(SUMIFS(P:P,A:A,A1363)-S1363)/S1363,(S1363-SUMIFS(P:P,A:A,A1363))/SUMIFS(P:P,A:A,A1363)),"."),".")</f>
        <v>.</v>
      </c>
      <c r="BA1363" s="182"/>
      <c r="BB1363" s="182"/>
      <c r="BC1363" s="182"/>
      <c r="BD1363" s="182"/>
      <c r="BE1363" s="182"/>
      <c r="BF1363" s="182"/>
      <c r="BG1363" s="182"/>
      <c r="BH1363" s="182"/>
      <c r="BI1363" s="182"/>
      <c r="BJ1363" s="182"/>
      <c r="BK1363" s="182"/>
      <c r="BL1363" s="182"/>
      <c r="BM1363" s="182"/>
      <c r="BN1363" s="182"/>
      <c r="BO1363" s="182"/>
      <c r="BP1363" s="182"/>
      <c r="BQ1363" s="182"/>
      <c r="BR1363" s="182"/>
      <c r="BS1363" s="182"/>
    </row>
    <row r="1364" spans="1:71" s="523" customFormat="1" ht="15.9" customHeight="1" x14ac:dyDescent="0.3">
      <c r="A1364" s="19" t="s">
        <v>3393</v>
      </c>
      <c r="B1364" s="19" t="s">
        <v>3038</v>
      </c>
      <c r="C1364" s="555">
        <v>44932</v>
      </c>
      <c r="D1364" s="19" t="s">
        <v>285</v>
      </c>
      <c r="E1364" s="19" t="s">
        <v>286</v>
      </c>
      <c r="F1364" s="1139" t="s">
        <v>3395</v>
      </c>
      <c r="G1364" s="15" t="s">
        <v>346</v>
      </c>
      <c r="H1364" s="200">
        <v>2850000000</v>
      </c>
      <c r="I1364" s="19" t="s">
        <v>3235</v>
      </c>
      <c r="J1364" s="113" t="str">
        <f>VLOOKUP($I1364,'Price List, Weapons &amp; Items'!B:C,2,0)</f>
        <v>Heavy weapon</v>
      </c>
      <c r="K1364" s="113" t="str">
        <f>IF(I1364=".",I1364,VLOOKUP($I1364,'Price List, Weapons &amp; Items'!B:D,3,0))</f>
        <v>105mm howitzer</v>
      </c>
      <c r="L1364" s="177">
        <f>VLOOKUP(I1364,'Price List, Weapons &amp; Items'!B:E,4,0)</f>
        <v>0</v>
      </c>
      <c r="M1364" s="542">
        <v>36</v>
      </c>
      <c r="N1364" s="542" t="s">
        <v>270</v>
      </c>
      <c r="O1364" s="543">
        <f>VLOOKUP($I1364,'Price List, Weapons &amp; Items'!B:G,6,0)</f>
        <v>1272482.2760025531</v>
      </c>
      <c r="P1364" s="176">
        <f t="shared" si="326"/>
        <v>45809361.936091907</v>
      </c>
      <c r="Q1364" s="176" t="str">
        <f t="shared" si="327"/>
        <v>.</v>
      </c>
      <c r="R1364" s="176" t="str">
        <f t="shared" si="325"/>
        <v/>
      </c>
      <c r="S1364" s="176" t="str">
        <f>IF(AND(AD1364=1,R1364&lt;&gt;".")=TRUE,R1364/VLOOKUP(G1364,'Exchange Rates'!B:C,2,0),IF(R1364=".",".",""))</f>
        <v/>
      </c>
      <c r="T1364" s="176"/>
      <c r="U1364" s="15" t="s">
        <v>261</v>
      </c>
      <c r="V1364" s="671" t="s">
        <v>3396</v>
      </c>
      <c r="W1364" s="814" t="s">
        <v>3059</v>
      </c>
      <c r="X1364" s="665" t="s">
        <v>3062</v>
      </c>
      <c r="Y1364" s="665" t="s">
        <v>3091</v>
      </c>
      <c r="Z1364" s="15">
        <v>0</v>
      </c>
      <c r="AA1364" s="180">
        <v>1</v>
      </c>
      <c r="AB1364" s="17" t="s">
        <v>260</v>
      </c>
      <c r="AC1364" s="544"/>
      <c r="AD1364" s="181">
        <v>0</v>
      </c>
      <c r="AE1364" s="181" t="s">
        <v>264</v>
      </c>
      <c r="AF1364" s="181" t="s">
        <v>265</v>
      </c>
      <c r="AG1364" s="181">
        <v>1</v>
      </c>
      <c r="AH1364" s="181">
        <v>13</v>
      </c>
      <c r="AI1364" s="181">
        <v>0</v>
      </c>
      <c r="AJ1364" s="181">
        <f>VLOOKUP($I1364,'Price List, Weapons &amp; Items'!B:F,5,0)</f>
        <v>0</v>
      </c>
      <c r="AK1364" s="181">
        <f t="shared" si="328"/>
        <v>0</v>
      </c>
      <c r="AL1364" s="181">
        <f t="shared" si="329"/>
        <v>0</v>
      </c>
      <c r="AM1364" s="181">
        <f t="shared" si="330"/>
        <v>0</v>
      </c>
      <c r="AN1364" s="180" t="str">
        <f>VLOOKUP($I1364,'Price List, Weapons &amp; Items'!B:L,COLUMN('Price List, Weapons &amp; Items'!$J$11)-1,0)</f>
        <v>Contracts</v>
      </c>
      <c r="AO1364" s="180" t="str">
        <f>IF(I1364=".",".",VLOOKUP($I1364,'Price List, Weapons &amp; Items'!B:J,3,0))</f>
        <v>105mm howitzer</v>
      </c>
      <c r="AP1364" s="545" t="str">
        <f t="shared" ca="1" si="324"/>
        <v/>
      </c>
      <c r="AQ1364" s="180">
        <f>VLOOKUP($I1364,'Price List, Weapons &amp; Items'!B:L,COLUMN('Price List, Weapons &amp; Items'!$L$11)-1,0)</f>
        <v>2</v>
      </c>
      <c r="AR1364" s="180">
        <f t="shared" si="331"/>
        <v>1</v>
      </c>
      <c r="AS1364" s="180">
        <f t="shared" si="332"/>
        <v>1</v>
      </c>
      <c r="AT1364" s="180">
        <f t="shared" si="334"/>
        <v>1</v>
      </c>
      <c r="AU1364" s="180" t="str">
        <f t="shared" si="333"/>
        <v>.</v>
      </c>
      <c r="AV1364" s="180" t="str">
        <f t="shared" si="335"/>
        <v>.</v>
      </c>
      <c r="AW1364" s="180">
        <f>IFERROR(VLOOKUP(B1364,'Share, Heavy Weapons to Ukraine'!B:J,COLUMN('Share, Heavy Weapons to Ukraine'!C1374)-1,0),0)</f>
        <v>1</v>
      </c>
      <c r="AX1364" s="180">
        <f>VLOOKUP('Bilateral Assistance, MAIN DATA'!B1364,'Country Summary'!B:F,COLUMN('Country Summary'!C1377)-1,FALSE)</f>
        <v>0</v>
      </c>
      <c r="AY1364" s="180" t="str">
        <f>IF(AND(AD1364=1,D1364="Military",H1364&lt;&gt;"Not given")=TRUE,IF(SUMIFS(P:P,A:A,A1364)&gt;0,ABS((SUMIFS(P:P,A:A,A1364)/VLOOKUP("USD",'Exchange Rates'!B:C,2,0)))/S1364,"."),".")</f>
        <v>.</v>
      </c>
      <c r="AZ1364" s="182" t="str">
        <f>IF(AND(AD1364=1,D1364="Military",H1364&lt;&gt;"Not given")=TRUE,IF(SUMIFS(P:P,A:A,A1364)&gt;0,IF((ABS((SUMIFS(P:P,A:A,A1364)/VLOOKUP("USD",'Exchange Rates'!B:C,2,0)))/S1364)&gt;1,(SUMIFS(P:P,A:A,A1364)-S1364)/S1364,(S1364-SUMIFS(P:P,A:A,A1364))/SUMIFS(P:P,A:A,A1364)),"."),".")</f>
        <v>.</v>
      </c>
      <c r="BA1364" s="182"/>
      <c r="BB1364" s="182"/>
      <c r="BC1364" s="182"/>
      <c r="BD1364" s="182"/>
      <c r="BE1364" s="182"/>
      <c r="BF1364" s="182"/>
      <c r="BG1364" s="182"/>
      <c r="BH1364" s="182"/>
      <c r="BI1364" s="182"/>
      <c r="BJ1364" s="182"/>
      <c r="BK1364" s="182"/>
      <c r="BL1364" s="182"/>
      <c r="BM1364" s="182"/>
      <c r="BN1364" s="182"/>
      <c r="BO1364" s="182"/>
      <c r="BP1364" s="182"/>
      <c r="BQ1364" s="182"/>
      <c r="BR1364" s="182"/>
      <c r="BS1364" s="182"/>
    </row>
    <row r="1365" spans="1:71" s="523" customFormat="1" ht="15.9" customHeight="1" x14ac:dyDescent="0.3">
      <c r="A1365" s="19" t="s">
        <v>3393</v>
      </c>
      <c r="B1365" s="19" t="s">
        <v>3038</v>
      </c>
      <c r="C1365" s="555">
        <v>44932</v>
      </c>
      <c r="D1365" s="19" t="s">
        <v>285</v>
      </c>
      <c r="E1365" s="19" t="s">
        <v>286</v>
      </c>
      <c r="F1365" s="1139" t="s">
        <v>3395</v>
      </c>
      <c r="G1365" s="15" t="s">
        <v>346</v>
      </c>
      <c r="H1365" s="200">
        <v>2850000000</v>
      </c>
      <c r="I1365" s="17" t="s">
        <v>3237</v>
      </c>
      <c r="J1365" s="113" t="str">
        <f>VLOOKUP($I1365,'Price List, Weapons &amp; Items'!B:C,2,0)</f>
        <v>Ammunition for heavy weapon</v>
      </c>
      <c r="K1365" s="113" t="str">
        <f>IF(I1365=".",I1365,VLOOKUP($I1365,'Price List, Weapons &amp; Items'!B:D,3,0))</f>
        <v>105mm</v>
      </c>
      <c r="L1365" s="177">
        <f>VLOOKUP(I1365,'Price List, Weapons &amp; Items'!B:E,4,0)</f>
        <v>0</v>
      </c>
      <c r="M1365" s="542">
        <v>95000</v>
      </c>
      <c r="N1365" s="542" t="s">
        <v>270</v>
      </c>
      <c r="O1365" s="543">
        <f>VLOOKUP($I1365,'Price List, Weapons &amp; Items'!B:G,6,0)</f>
        <v>400</v>
      </c>
      <c r="P1365" s="176">
        <f t="shared" si="326"/>
        <v>38000000</v>
      </c>
      <c r="Q1365" s="176" t="str">
        <f t="shared" si="327"/>
        <v>.</v>
      </c>
      <c r="R1365" s="176" t="str">
        <f t="shared" si="325"/>
        <v/>
      </c>
      <c r="S1365" s="176" t="str">
        <f>IF(AND(AD1365=1,R1365&lt;&gt;".")=TRUE,R1365/VLOOKUP(G1365,'Exchange Rates'!B:C,2,0),IF(R1365=".",".",""))</f>
        <v/>
      </c>
      <c r="T1365" s="176"/>
      <c r="U1365" s="15" t="s">
        <v>261</v>
      </c>
      <c r="V1365" s="671" t="s">
        <v>3396</v>
      </c>
      <c r="W1365" s="814" t="s">
        <v>3059</v>
      </c>
      <c r="X1365" s="665" t="s">
        <v>3062</v>
      </c>
      <c r="Y1365" s="665" t="s">
        <v>3093</v>
      </c>
      <c r="Z1365" s="15">
        <v>0</v>
      </c>
      <c r="AA1365" s="180">
        <v>1</v>
      </c>
      <c r="AB1365" s="17" t="s">
        <v>260</v>
      </c>
      <c r="AC1365" s="544"/>
      <c r="AD1365" s="181">
        <v>0</v>
      </c>
      <c r="AE1365" s="181" t="s">
        <v>264</v>
      </c>
      <c r="AF1365" s="181" t="s">
        <v>265</v>
      </c>
      <c r="AG1365" s="181">
        <v>1</v>
      </c>
      <c r="AH1365" s="181">
        <v>13</v>
      </c>
      <c r="AI1365" s="181">
        <v>0</v>
      </c>
      <c r="AJ1365" s="181">
        <f>VLOOKUP($I1365,'Price List, Weapons &amp; Items'!B:F,5,0)</f>
        <v>0</v>
      </c>
      <c r="AK1365" s="181">
        <f t="shared" si="328"/>
        <v>0</v>
      </c>
      <c r="AL1365" s="181">
        <f t="shared" si="329"/>
        <v>0</v>
      </c>
      <c r="AM1365" s="181">
        <f t="shared" si="330"/>
        <v>0</v>
      </c>
      <c r="AN1365" s="180" t="str">
        <f>VLOOKUP($I1365,'Price List, Weapons &amp; Items'!B:L,COLUMN('Price List, Weapons &amp; Items'!$J$11)-1,0)</f>
        <v>Military media (incl. websites)</v>
      </c>
      <c r="AO1365" s="180" t="str">
        <f>IF(I1365=".",".",VLOOKUP($I1365,'Price List, Weapons &amp; Items'!B:J,3,0))</f>
        <v>105mm</v>
      </c>
      <c r="AP1365" s="545" t="str">
        <f t="shared" ref="AP1365:AP1405" ca="1" si="336">IF(AD1365=1,_xlfn.ARRAYTOTEXT(OFFSET(I1365,0,0,COUNTIF(A:A,A1365),1)),"")</f>
        <v/>
      </c>
      <c r="AQ1365" s="180">
        <f>VLOOKUP($I1365,'Price List, Weapons &amp; Items'!B:L,COLUMN('Price List, Weapons &amp; Items'!$L$11)-1,0)</f>
        <v>2</v>
      </c>
      <c r="AR1365" s="180">
        <f t="shared" si="331"/>
        <v>1</v>
      </c>
      <c r="AS1365" s="180">
        <f t="shared" si="332"/>
        <v>1</v>
      </c>
      <c r="AT1365" s="180">
        <f t="shared" si="334"/>
        <v>1</v>
      </c>
      <c r="AU1365" s="180" t="str">
        <f t="shared" si="333"/>
        <v>.</v>
      </c>
      <c r="AV1365" s="180" t="str">
        <f t="shared" si="335"/>
        <v>.</v>
      </c>
      <c r="AW1365" s="180">
        <f>IFERROR(VLOOKUP(B1365,'Share, Heavy Weapons to Ukraine'!B:J,COLUMN('Share, Heavy Weapons to Ukraine'!C1375)-1,0),0)</f>
        <v>1</v>
      </c>
      <c r="AX1365" s="180">
        <f>VLOOKUP('Bilateral Assistance, MAIN DATA'!B1365,'Country Summary'!B:F,COLUMN('Country Summary'!C1378)-1,FALSE)</f>
        <v>0</v>
      </c>
      <c r="AY1365" s="180" t="str">
        <f>IF(AND(AD1365=1,D1365="Military",H1365&lt;&gt;"Not given")=TRUE,IF(SUMIFS(P:P,A:A,A1365)&gt;0,ABS((SUMIFS(P:P,A:A,A1365)/VLOOKUP("USD",'Exchange Rates'!B:C,2,0)))/S1365,"."),".")</f>
        <v>.</v>
      </c>
      <c r="AZ1365" s="182" t="str">
        <f>IF(AND(AD1365=1,D1365="Military",H1365&lt;&gt;"Not given")=TRUE,IF(SUMIFS(P:P,A:A,A1365)&gt;0,IF((ABS((SUMIFS(P:P,A:A,A1365)/VLOOKUP("USD",'Exchange Rates'!B:C,2,0)))/S1365)&gt;1,(SUMIFS(P:P,A:A,A1365)-S1365)/S1365,(S1365-SUMIFS(P:P,A:A,A1365))/SUMIFS(P:P,A:A,A1365)),"."),".")</f>
        <v>.</v>
      </c>
      <c r="BA1365" s="182"/>
      <c r="BB1365" s="182"/>
      <c r="BC1365" s="182"/>
      <c r="BD1365" s="182"/>
      <c r="BE1365" s="182"/>
      <c r="BF1365" s="182"/>
      <c r="BG1365" s="182"/>
      <c r="BH1365" s="182"/>
      <c r="BI1365" s="182"/>
      <c r="BJ1365" s="182"/>
      <c r="BK1365" s="182"/>
      <c r="BL1365" s="182"/>
      <c r="BM1365" s="182"/>
      <c r="BN1365" s="182"/>
      <c r="BO1365" s="182"/>
      <c r="BP1365" s="182"/>
      <c r="BQ1365" s="182"/>
      <c r="BR1365" s="182"/>
      <c r="BS1365" s="182"/>
    </row>
    <row r="1366" spans="1:71" s="523" customFormat="1" ht="15.9" customHeight="1" x14ac:dyDescent="0.3">
      <c r="A1366" s="19" t="s">
        <v>3393</v>
      </c>
      <c r="B1366" s="19" t="s">
        <v>3038</v>
      </c>
      <c r="C1366" s="555">
        <v>44932</v>
      </c>
      <c r="D1366" s="19" t="s">
        <v>285</v>
      </c>
      <c r="E1366" s="19" t="s">
        <v>286</v>
      </c>
      <c r="F1366" s="1139" t="s">
        <v>3395</v>
      </c>
      <c r="G1366" s="15" t="s">
        <v>346</v>
      </c>
      <c r="H1366" s="200">
        <v>2850000000</v>
      </c>
      <c r="I1366" s="17" t="s">
        <v>3220</v>
      </c>
      <c r="J1366" s="113" t="str">
        <f>VLOOKUP($I1366,'Price List, Weapons &amp; Items'!B:C,2,0)</f>
        <v>Ammunition for light infantry</v>
      </c>
      <c r="K1366" s="113" t="str">
        <f>IF(I1366=".",I1366,VLOOKUP($I1366,'Price List, Weapons &amp; Items'!B:D,3,0))</f>
        <v>Mortar ammunition</v>
      </c>
      <c r="L1366" s="177">
        <f>VLOOKUP(I1366,'Price List, Weapons &amp; Items'!B:E,4,0)</f>
        <v>0</v>
      </c>
      <c r="M1366" s="542">
        <v>10000</v>
      </c>
      <c r="N1366" s="542" t="s">
        <v>270</v>
      </c>
      <c r="O1366" s="543">
        <f>VLOOKUP($I1366,'Price List, Weapons &amp; Items'!B:G,6,0)</f>
        <v>109.89</v>
      </c>
      <c r="P1366" s="176">
        <f t="shared" si="326"/>
        <v>1098900</v>
      </c>
      <c r="Q1366" s="176" t="str">
        <f t="shared" si="327"/>
        <v>.</v>
      </c>
      <c r="R1366" s="176" t="str">
        <f t="shared" si="325"/>
        <v/>
      </c>
      <c r="S1366" s="176" t="str">
        <f>IF(AND(AD1366=1,R1366&lt;&gt;".")=TRUE,R1366/VLOOKUP(G1366,'Exchange Rates'!B:C,2,0),IF(R1366=".",".",""))</f>
        <v/>
      </c>
      <c r="T1366" s="176"/>
      <c r="U1366" s="15" t="s">
        <v>261</v>
      </c>
      <c r="V1366" s="671" t="s">
        <v>3396</v>
      </c>
      <c r="W1366" s="814" t="s">
        <v>3059</v>
      </c>
      <c r="X1366" s="665" t="s">
        <v>3062</v>
      </c>
      <c r="Y1366" s="665" t="s">
        <v>3094</v>
      </c>
      <c r="Z1366" s="15">
        <v>0</v>
      </c>
      <c r="AA1366" s="180">
        <v>1</v>
      </c>
      <c r="AB1366" s="17" t="s">
        <v>260</v>
      </c>
      <c r="AC1366" s="544"/>
      <c r="AD1366" s="181">
        <v>0</v>
      </c>
      <c r="AE1366" s="181" t="s">
        <v>264</v>
      </c>
      <c r="AF1366" s="181" t="s">
        <v>265</v>
      </c>
      <c r="AG1366" s="181">
        <v>1</v>
      </c>
      <c r="AH1366" s="181">
        <v>13</v>
      </c>
      <c r="AI1366" s="181">
        <v>0</v>
      </c>
      <c r="AJ1366" s="181">
        <f>VLOOKUP($I1366,'Price List, Weapons &amp; Items'!B:F,5,0)</f>
        <v>0</v>
      </c>
      <c r="AK1366" s="181">
        <f t="shared" si="328"/>
        <v>0</v>
      </c>
      <c r="AL1366" s="181">
        <f t="shared" si="329"/>
        <v>0</v>
      </c>
      <c r="AM1366" s="181">
        <f t="shared" si="330"/>
        <v>1</v>
      </c>
      <c r="AN1366" s="180" t="str">
        <f>VLOOKUP($I1366,'Price List, Weapons &amp; Items'!B:L,COLUMN('Price List, Weapons &amp; Items'!$J$11)-1,0)</f>
        <v>Government information</v>
      </c>
      <c r="AO1366" s="180" t="str">
        <f>IF(I1366=".",".",VLOOKUP($I1366,'Price List, Weapons &amp; Items'!B:J,3,0))</f>
        <v>Mortar ammunition</v>
      </c>
      <c r="AP1366" s="545" t="str">
        <f t="shared" ca="1" si="336"/>
        <v/>
      </c>
      <c r="AQ1366" s="180">
        <f>VLOOKUP($I1366,'Price List, Weapons &amp; Items'!B:L,COLUMN('Price List, Weapons &amp; Items'!$L$11)-1,0)</f>
        <v>2</v>
      </c>
      <c r="AR1366" s="180">
        <f t="shared" si="331"/>
        <v>1</v>
      </c>
      <c r="AS1366" s="180">
        <f t="shared" si="332"/>
        <v>1</v>
      </c>
      <c r="AT1366" s="180">
        <f t="shared" si="334"/>
        <v>1</v>
      </c>
      <c r="AU1366" s="180" t="str">
        <f t="shared" si="333"/>
        <v>.</v>
      </c>
      <c r="AV1366" s="180" t="str">
        <f t="shared" si="335"/>
        <v>.</v>
      </c>
      <c r="AW1366" s="180">
        <f>IFERROR(VLOOKUP(B1366,'Share, Heavy Weapons to Ukraine'!B:J,COLUMN('Share, Heavy Weapons to Ukraine'!C1376)-1,0),0)</f>
        <v>1</v>
      </c>
      <c r="AX1366" s="180">
        <f>VLOOKUP('Bilateral Assistance, MAIN DATA'!B1366,'Country Summary'!B:F,COLUMN('Country Summary'!C1379)-1,FALSE)</f>
        <v>0</v>
      </c>
      <c r="AY1366" s="180" t="str">
        <f>IF(AND(AD1366=1,D1366="Military",H1366&lt;&gt;"Not given")=TRUE,IF(SUMIFS(P:P,A:A,A1366)&gt;0,ABS((SUMIFS(P:P,A:A,A1366)/VLOOKUP("USD",'Exchange Rates'!B:C,2,0)))/S1366,"."),".")</f>
        <v>.</v>
      </c>
      <c r="AZ1366" s="182" t="str">
        <f>IF(AND(AD1366=1,D1366="Military",H1366&lt;&gt;"Not given")=TRUE,IF(SUMIFS(P:P,A:A,A1366)&gt;0,IF((ABS((SUMIFS(P:P,A:A,A1366)/VLOOKUP("USD",'Exchange Rates'!B:C,2,0)))/S1366)&gt;1,(SUMIFS(P:P,A:A,A1366)-S1366)/S1366,(S1366-SUMIFS(P:P,A:A,A1366))/SUMIFS(P:P,A:A,A1366)),"."),".")</f>
        <v>.</v>
      </c>
      <c r="BA1366" s="182"/>
      <c r="BB1366" s="182"/>
      <c r="BC1366" s="182"/>
      <c r="BD1366" s="182"/>
      <c r="BE1366" s="182"/>
      <c r="BF1366" s="182"/>
      <c r="BG1366" s="182"/>
      <c r="BH1366" s="182"/>
      <c r="BI1366" s="182"/>
      <c r="BJ1366" s="182"/>
      <c r="BK1366" s="182"/>
      <c r="BL1366" s="182"/>
      <c r="BM1366" s="182"/>
      <c r="BN1366" s="182"/>
      <c r="BO1366" s="182"/>
      <c r="BP1366" s="182"/>
      <c r="BQ1366" s="182"/>
      <c r="BR1366" s="182"/>
      <c r="BS1366" s="182"/>
    </row>
    <row r="1367" spans="1:71" s="523" customFormat="1" ht="15.9" customHeight="1" x14ac:dyDescent="0.3">
      <c r="A1367" s="19" t="s">
        <v>3393</v>
      </c>
      <c r="B1367" s="19" t="s">
        <v>3038</v>
      </c>
      <c r="C1367" s="555">
        <v>44932</v>
      </c>
      <c r="D1367" s="19" t="s">
        <v>285</v>
      </c>
      <c r="E1367" s="19" t="s">
        <v>286</v>
      </c>
      <c r="F1367" s="1139" t="s">
        <v>3395</v>
      </c>
      <c r="G1367" s="15" t="s">
        <v>346</v>
      </c>
      <c r="H1367" s="200">
        <v>2850000000</v>
      </c>
      <c r="I1367" s="17" t="s">
        <v>3172</v>
      </c>
      <c r="J1367" s="113" t="str">
        <f>VLOOKUP($I1367,'Price List, Weapons &amp; Items'!B:C,2,0)</f>
        <v>Ammunition for heavy weapon</v>
      </c>
      <c r="K1367" s="113" t="str">
        <f>IF(I1367=".",I1367,VLOOKUP($I1367,'Price List, Weapons &amp; Items'!B:D,3,0))</f>
        <v>227mm MLRS ammunition</v>
      </c>
      <c r="L1367" s="177">
        <f>VLOOKUP(I1367,'Price List, Weapons &amp; Items'!B:E,4,0)</f>
        <v>0</v>
      </c>
      <c r="M1367" s="542" t="s">
        <v>270</v>
      </c>
      <c r="N1367" s="542" t="s">
        <v>270</v>
      </c>
      <c r="O1367" s="543">
        <f>VLOOKUP($I1367,'Price List, Weapons &amp; Items'!B:G,6,0)</f>
        <v>150000</v>
      </c>
      <c r="P1367" s="176" t="str">
        <f t="shared" si="326"/>
        <v>.</v>
      </c>
      <c r="Q1367" s="176" t="str">
        <f t="shared" si="327"/>
        <v>.</v>
      </c>
      <c r="R1367" s="176" t="str">
        <f t="shared" si="325"/>
        <v/>
      </c>
      <c r="S1367" s="176" t="str">
        <f>IF(AND(AD1367=1,R1367&lt;&gt;".")=TRUE,R1367/VLOOKUP(G1367,'Exchange Rates'!B:C,2,0),IF(R1367=".",".",""))</f>
        <v/>
      </c>
      <c r="T1367" s="176"/>
      <c r="U1367" s="15" t="s">
        <v>261</v>
      </c>
      <c r="V1367" s="671" t="s">
        <v>3396</v>
      </c>
      <c r="W1367" s="814" t="s">
        <v>3059</v>
      </c>
      <c r="X1367" s="665" t="s">
        <v>3062</v>
      </c>
      <c r="Y1367" s="665" t="s">
        <v>3095</v>
      </c>
      <c r="Z1367" s="15">
        <v>0</v>
      </c>
      <c r="AA1367" s="180">
        <v>1</v>
      </c>
      <c r="AB1367" s="17" t="s">
        <v>260</v>
      </c>
      <c r="AC1367" s="544"/>
      <c r="AD1367" s="181">
        <v>0</v>
      </c>
      <c r="AE1367" s="181" t="s">
        <v>264</v>
      </c>
      <c r="AF1367" s="181" t="s">
        <v>265</v>
      </c>
      <c r="AG1367" s="181">
        <v>1</v>
      </c>
      <c r="AH1367" s="181">
        <v>13</v>
      </c>
      <c r="AI1367" s="181">
        <v>0</v>
      </c>
      <c r="AJ1367" s="181">
        <f>VLOOKUP($I1367,'Price List, Weapons &amp; Items'!B:F,5,0)</f>
        <v>1</v>
      </c>
      <c r="AK1367" s="181">
        <f t="shared" si="328"/>
        <v>1</v>
      </c>
      <c r="AL1367" s="181">
        <f t="shared" si="329"/>
        <v>1</v>
      </c>
      <c r="AM1367" s="181">
        <f t="shared" si="330"/>
        <v>1</v>
      </c>
      <c r="AN1367" s="180" t="str">
        <f>VLOOKUP($I1367,'Price List, Weapons &amp; Items'!B:L,COLUMN('Price List, Weapons &amp; Items'!$J$11)-1,0)</f>
        <v>Media reports (incl. social media)</v>
      </c>
      <c r="AO1367" s="180" t="str">
        <f>IF(I1367=".",".",VLOOKUP($I1367,'Price List, Weapons &amp; Items'!B:J,3,0))</f>
        <v>227mm MLRS ammunition</v>
      </c>
      <c r="AP1367" s="545" t="str">
        <f t="shared" ca="1" si="336"/>
        <v/>
      </c>
      <c r="AQ1367" s="180" t="str">
        <f>VLOOKUP($I1367,'Price List, Weapons &amp; Items'!B:L,COLUMN('Price List, Weapons &amp; Items'!$L$11)-1,0)</f>
        <v>no price, 0 count</v>
      </c>
      <c r="AR1367" s="180">
        <f t="shared" si="331"/>
        <v>1</v>
      </c>
      <c r="AS1367" s="180">
        <f t="shared" si="332"/>
        <v>1</v>
      </c>
      <c r="AT1367" s="180">
        <f t="shared" si="334"/>
        <v>1</v>
      </c>
      <c r="AU1367" s="180" t="str">
        <f t="shared" si="333"/>
        <v>.</v>
      </c>
      <c r="AV1367" s="180" t="str">
        <f t="shared" si="335"/>
        <v>.</v>
      </c>
      <c r="AW1367" s="180">
        <f>IFERROR(VLOOKUP(B1367,'Share, Heavy Weapons to Ukraine'!B:J,COLUMN('Share, Heavy Weapons to Ukraine'!C1377)-1,0),0)</f>
        <v>1</v>
      </c>
      <c r="AX1367" s="180">
        <f>VLOOKUP('Bilateral Assistance, MAIN DATA'!B1367,'Country Summary'!B:F,COLUMN('Country Summary'!C1380)-1,FALSE)</f>
        <v>0</v>
      </c>
      <c r="AY1367" s="180" t="str">
        <f>IF(AND(AD1367=1,D1367="Military",H1367&lt;&gt;"Not given")=TRUE,IF(SUMIFS(P:P,A:A,A1367)&gt;0,ABS((SUMIFS(P:P,A:A,A1367)/VLOOKUP("USD",'Exchange Rates'!B:C,2,0)))/S1367,"."),".")</f>
        <v>.</v>
      </c>
      <c r="AZ1367" s="182" t="str">
        <f>IF(AND(AD1367=1,D1367="Military",H1367&lt;&gt;"Not given")=TRUE,IF(SUMIFS(P:P,A:A,A1367)&gt;0,IF((ABS((SUMIFS(P:P,A:A,A1367)/VLOOKUP("USD",'Exchange Rates'!B:C,2,0)))/S1367)&gt;1,(SUMIFS(P:P,A:A,A1367)-S1367)/S1367,(S1367-SUMIFS(P:P,A:A,A1367))/SUMIFS(P:P,A:A,A1367)),"."),".")</f>
        <v>.</v>
      </c>
      <c r="BA1367" s="182"/>
      <c r="BB1367" s="182"/>
      <c r="BC1367" s="182"/>
      <c r="BD1367" s="182"/>
      <c r="BE1367" s="182"/>
      <c r="BF1367" s="182"/>
      <c r="BG1367" s="182"/>
      <c r="BH1367" s="182"/>
      <c r="BI1367" s="182"/>
      <c r="BJ1367" s="182"/>
      <c r="BK1367" s="182"/>
      <c r="BL1367" s="182"/>
      <c r="BM1367" s="182"/>
      <c r="BN1367" s="182"/>
      <c r="BO1367" s="182"/>
      <c r="BP1367" s="182"/>
      <c r="BQ1367" s="182"/>
      <c r="BR1367" s="182"/>
      <c r="BS1367" s="182"/>
    </row>
    <row r="1368" spans="1:71" s="523" customFormat="1" ht="15.9" customHeight="1" x14ac:dyDescent="0.3">
      <c r="A1368" s="19" t="s">
        <v>3393</v>
      </c>
      <c r="B1368" s="19" t="s">
        <v>3038</v>
      </c>
      <c r="C1368" s="555">
        <v>44932</v>
      </c>
      <c r="D1368" s="19" t="s">
        <v>285</v>
      </c>
      <c r="E1368" s="19" t="s">
        <v>286</v>
      </c>
      <c r="F1368" s="1139" t="s">
        <v>3395</v>
      </c>
      <c r="G1368" s="15" t="s">
        <v>346</v>
      </c>
      <c r="H1368" s="200">
        <v>2850000000</v>
      </c>
      <c r="I1368" s="17" t="s">
        <v>3402</v>
      </c>
      <c r="J1368" s="113" t="str">
        <f>VLOOKUP($I1368,'Price List, Weapons &amp; Items'!B:C,2,0)</f>
        <v>Ammunition for heavy weapon</v>
      </c>
      <c r="K1368" s="113" t="str">
        <f>IF(I1368=".",I1368,VLOOKUP($I1368,'Price List, Weapons &amp; Items'!B:D,3,0))</f>
        <v>missile</v>
      </c>
      <c r="L1368" s="177">
        <f>VLOOKUP(I1368,'Price List, Weapons &amp; Items'!B:E,4,0)</f>
        <v>0</v>
      </c>
      <c r="M1368" s="542" t="s">
        <v>270</v>
      </c>
      <c r="N1368" s="542" t="s">
        <v>270</v>
      </c>
      <c r="O1368" s="543">
        <f>VLOOKUP($I1368,'Price List, Weapons &amp; Items'!B:G,6,0)</f>
        <v>165900</v>
      </c>
      <c r="P1368" s="176" t="str">
        <f t="shared" si="326"/>
        <v>.</v>
      </c>
      <c r="Q1368" s="176" t="str">
        <f t="shared" si="327"/>
        <v>.</v>
      </c>
      <c r="R1368" s="176" t="str">
        <f t="shared" si="325"/>
        <v/>
      </c>
      <c r="S1368" s="176" t="str">
        <f>IF(AND(AD1368=1,R1368&lt;&gt;".")=TRUE,R1368/VLOOKUP(G1368,'Exchange Rates'!B:C,2,0),IF(R1368=".",".",""))</f>
        <v/>
      </c>
      <c r="T1368" s="176"/>
      <c r="U1368" s="15" t="s">
        <v>261</v>
      </c>
      <c r="V1368" s="671" t="s">
        <v>3396</v>
      </c>
      <c r="W1368" s="814" t="s">
        <v>3059</v>
      </c>
      <c r="X1368" s="665" t="s">
        <v>3062</v>
      </c>
      <c r="Y1368" s="665" t="s">
        <v>3097</v>
      </c>
      <c r="Z1368" s="15">
        <v>0</v>
      </c>
      <c r="AA1368" s="180">
        <v>1</v>
      </c>
      <c r="AB1368" s="17" t="s">
        <v>260</v>
      </c>
      <c r="AC1368" s="544"/>
      <c r="AD1368" s="181">
        <v>0</v>
      </c>
      <c r="AE1368" s="181" t="s">
        <v>264</v>
      </c>
      <c r="AF1368" s="181" t="s">
        <v>265</v>
      </c>
      <c r="AG1368" s="181">
        <v>1</v>
      </c>
      <c r="AH1368" s="181">
        <v>13</v>
      </c>
      <c r="AI1368" s="181">
        <v>0</v>
      </c>
      <c r="AJ1368" s="181">
        <f>VLOOKUP($I1368,'Price List, Weapons &amp; Items'!B:F,5,0)</f>
        <v>0</v>
      </c>
      <c r="AK1368" s="181">
        <f t="shared" si="328"/>
        <v>0</v>
      </c>
      <c r="AL1368" s="181">
        <f t="shared" si="329"/>
        <v>0</v>
      </c>
      <c r="AM1368" s="181">
        <f t="shared" si="330"/>
        <v>0</v>
      </c>
      <c r="AN1368" s="180" t="str">
        <f>VLOOKUP($I1368,'Price List, Weapons &amp; Items'!B:L,COLUMN('Price List, Weapons &amp; Items'!$J$11)-1,0)</f>
        <v>Media reports (incl. social media)</v>
      </c>
      <c r="AO1368" s="180" t="str">
        <f>IF(I1368=".",".",VLOOKUP($I1368,'Price List, Weapons &amp; Items'!B:J,3,0))</f>
        <v>missile</v>
      </c>
      <c r="AP1368" s="545" t="str">
        <f t="shared" ca="1" si="336"/>
        <v/>
      </c>
      <c r="AQ1368" s="180" t="str">
        <f>VLOOKUP($I1368,'Price List, Weapons &amp; Items'!B:L,COLUMN('Price List, Weapons &amp; Items'!$L$11)-1,0)</f>
        <v>no price, 0 count</v>
      </c>
      <c r="AR1368" s="180">
        <f t="shared" si="331"/>
        <v>1</v>
      </c>
      <c r="AS1368" s="180">
        <f t="shared" si="332"/>
        <v>1</v>
      </c>
      <c r="AT1368" s="180">
        <f t="shared" si="334"/>
        <v>1</v>
      </c>
      <c r="AU1368" s="180" t="str">
        <f t="shared" si="333"/>
        <v>.</v>
      </c>
      <c r="AV1368" s="180" t="str">
        <f t="shared" si="335"/>
        <v>.</v>
      </c>
      <c r="AW1368" s="180">
        <f>IFERROR(VLOOKUP(B1368,'Share, Heavy Weapons to Ukraine'!B:J,COLUMN('Share, Heavy Weapons to Ukraine'!C1378)-1,0),0)</f>
        <v>1</v>
      </c>
      <c r="AX1368" s="180">
        <f>VLOOKUP('Bilateral Assistance, MAIN DATA'!B1368,'Country Summary'!B:F,COLUMN('Country Summary'!C1381)-1,FALSE)</f>
        <v>0</v>
      </c>
      <c r="AY1368" s="180" t="str">
        <f>IF(AND(AD1368=1,D1368="Military",H1368&lt;&gt;"Not given")=TRUE,IF(SUMIFS(P:P,A:A,A1368)&gt;0,ABS((SUMIFS(P:P,A:A,A1368)/VLOOKUP("USD",'Exchange Rates'!B:C,2,0)))/S1368,"."),".")</f>
        <v>.</v>
      </c>
      <c r="AZ1368" s="182" t="str">
        <f>IF(AND(AD1368=1,D1368="Military",H1368&lt;&gt;"Not given")=TRUE,IF(SUMIFS(P:P,A:A,A1368)&gt;0,IF((ABS((SUMIFS(P:P,A:A,A1368)/VLOOKUP("USD",'Exchange Rates'!B:C,2,0)))/S1368)&gt;1,(SUMIFS(P:P,A:A,A1368)-S1368)/S1368,(S1368-SUMIFS(P:P,A:A,A1368))/SUMIFS(P:P,A:A,A1368)),"."),".")</f>
        <v>.</v>
      </c>
      <c r="BA1368" s="182"/>
      <c r="BB1368" s="182"/>
      <c r="BC1368" s="182"/>
      <c r="BD1368" s="182"/>
      <c r="BE1368" s="182"/>
      <c r="BF1368" s="182"/>
      <c r="BG1368" s="182"/>
      <c r="BH1368" s="182"/>
      <c r="BI1368" s="182"/>
      <c r="BJ1368" s="182"/>
      <c r="BK1368" s="182"/>
      <c r="BL1368" s="182"/>
      <c r="BM1368" s="182"/>
      <c r="BN1368" s="182"/>
      <c r="BO1368" s="182"/>
      <c r="BP1368" s="182"/>
      <c r="BQ1368" s="182"/>
      <c r="BR1368" s="182"/>
      <c r="BS1368" s="182"/>
    </row>
    <row r="1369" spans="1:71" s="523" customFormat="1" ht="15.9" customHeight="1" x14ac:dyDescent="0.3">
      <c r="A1369" s="19" t="s">
        <v>3393</v>
      </c>
      <c r="B1369" s="19" t="s">
        <v>3038</v>
      </c>
      <c r="C1369" s="555">
        <v>44932</v>
      </c>
      <c r="D1369" s="19" t="s">
        <v>285</v>
      </c>
      <c r="E1369" s="19" t="s">
        <v>286</v>
      </c>
      <c r="F1369" s="1139" t="s">
        <v>3395</v>
      </c>
      <c r="G1369" s="15" t="s">
        <v>346</v>
      </c>
      <c r="H1369" s="200">
        <v>2850000000</v>
      </c>
      <c r="I1369" s="17" t="s">
        <v>3403</v>
      </c>
      <c r="J1369" s="113" t="str">
        <f>VLOOKUP($I1369,'Price List, Weapons &amp; Items'!B:C,2,0)</f>
        <v>Ammunition for heavy weapon</v>
      </c>
      <c r="K1369" s="113" t="str">
        <f>IF(I1369=".",I1369,VLOOKUP($I1369,'Price List, Weapons &amp; Items'!B:D,3,0))</f>
        <v>missile</v>
      </c>
      <c r="L1369" s="177">
        <f>VLOOKUP(I1369,'Price List, Weapons &amp; Items'!B:E,4,0)</f>
        <v>0</v>
      </c>
      <c r="M1369" s="542">
        <v>4000</v>
      </c>
      <c r="N1369" s="542" t="s">
        <v>270</v>
      </c>
      <c r="O1369" s="543">
        <f>VLOOKUP($I1369,'Price List, Weapons &amp; Items'!B:G,6,0)</f>
        <v>400</v>
      </c>
      <c r="P1369" s="176">
        <f t="shared" si="326"/>
        <v>1600000</v>
      </c>
      <c r="Q1369" s="176" t="str">
        <f t="shared" si="327"/>
        <v>.</v>
      </c>
      <c r="R1369" s="176" t="str">
        <f t="shared" si="325"/>
        <v/>
      </c>
      <c r="S1369" s="176" t="str">
        <f>IF(AND(AD1369=1,R1369&lt;&gt;".")=TRUE,R1369/VLOOKUP(G1369,'Exchange Rates'!B:C,2,0),IF(R1369=".",".",""))</f>
        <v/>
      </c>
      <c r="T1369" s="176"/>
      <c r="U1369" s="15" t="s">
        <v>261</v>
      </c>
      <c r="V1369" s="671" t="s">
        <v>3396</v>
      </c>
      <c r="W1369" s="814" t="s">
        <v>3059</v>
      </c>
      <c r="X1369" s="665" t="s">
        <v>3062</v>
      </c>
      <c r="Y1369" s="665" t="s">
        <v>3099</v>
      </c>
      <c r="Z1369" s="15">
        <v>0</v>
      </c>
      <c r="AA1369" s="180">
        <v>1</v>
      </c>
      <c r="AB1369" s="17" t="s">
        <v>260</v>
      </c>
      <c r="AC1369" s="544"/>
      <c r="AD1369" s="181">
        <v>0</v>
      </c>
      <c r="AE1369" s="181" t="s">
        <v>264</v>
      </c>
      <c r="AF1369" s="181" t="s">
        <v>265</v>
      </c>
      <c r="AG1369" s="181">
        <v>1</v>
      </c>
      <c r="AH1369" s="181">
        <v>13</v>
      </c>
      <c r="AI1369" s="181">
        <v>0</v>
      </c>
      <c r="AJ1369" s="181">
        <f>VLOOKUP($I1369,'Price List, Weapons &amp; Items'!B:F,5,0)</f>
        <v>0</v>
      </c>
      <c r="AK1369" s="181">
        <f t="shared" si="328"/>
        <v>0</v>
      </c>
      <c r="AL1369" s="181">
        <f t="shared" si="329"/>
        <v>0</v>
      </c>
      <c r="AM1369" s="181">
        <f t="shared" si="330"/>
        <v>0</v>
      </c>
      <c r="AN1369" s="180" t="str">
        <f>VLOOKUP($I1369,'Price List, Weapons &amp; Items'!B:L,COLUMN('Price List, Weapons &amp; Items'!$J$11)-1,0)</f>
        <v>Media reports (incl. social media)</v>
      </c>
      <c r="AO1369" s="180" t="str">
        <f>IF(I1369=".",".",VLOOKUP($I1369,'Price List, Weapons &amp; Items'!B:J,3,0))</f>
        <v>missile</v>
      </c>
      <c r="AP1369" s="545" t="str">
        <f t="shared" ca="1" si="336"/>
        <v/>
      </c>
      <c r="AQ1369" s="180">
        <f>VLOOKUP($I1369,'Price List, Weapons &amp; Items'!B:L,COLUMN('Price List, Weapons &amp; Items'!$L$11)-1,0)</f>
        <v>1</v>
      </c>
      <c r="AR1369" s="180">
        <f t="shared" si="331"/>
        <v>1</v>
      </c>
      <c r="AS1369" s="180">
        <f t="shared" si="332"/>
        <v>1</v>
      </c>
      <c r="AT1369" s="180">
        <f t="shared" si="334"/>
        <v>1</v>
      </c>
      <c r="AU1369" s="180" t="str">
        <f t="shared" si="333"/>
        <v>.</v>
      </c>
      <c r="AV1369" s="180" t="str">
        <f t="shared" si="335"/>
        <v>.</v>
      </c>
      <c r="AW1369" s="180">
        <f>IFERROR(VLOOKUP(B1369,'Share, Heavy Weapons to Ukraine'!B:J,COLUMN('Share, Heavy Weapons to Ukraine'!C1379)-1,0),0)</f>
        <v>1</v>
      </c>
      <c r="AX1369" s="180">
        <f>VLOOKUP('Bilateral Assistance, MAIN DATA'!B1369,'Country Summary'!B:F,COLUMN('Country Summary'!C1382)-1,FALSE)</f>
        <v>0</v>
      </c>
      <c r="AY1369" s="180" t="str">
        <f>IF(AND(AD1369=1,D1369="Military",H1369&lt;&gt;"Not given")=TRUE,IF(SUMIFS(P:P,A:A,A1369)&gt;0,ABS((SUMIFS(P:P,A:A,A1369)/VLOOKUP("USD",'Exchange Rates'!B:C,2,0)))/S1369,"."),".")</f>
        <v>.</v>
      </c>
      <c r="AZ1369" s="182" t="str">
        <f>IF(AND(AD1369=1,D1369="Military",H1369&lt;&gt;"Not given")=TRUE,IF(SUMIFS(P:P,A:A,A1369)&gt;0,IF((ABS((SUMIFS(P:P,A:A,A1369)/VLOOKUP("USD",'Exchange Rates'!B:C,2,0)))/S1369)&gt;1,(SUMIFS(P:P,A:A,A1369)-S1369)/S1369,(S1369-SUMIFS(P:P,A:A,A1369))/SUMIFS(P:P,A:A,A1369)),"."),".")</f>
        <v>.</v>
      </c>
      <c r="BA1369" s="182"/>
      <c r="BB1369" s="182"/>
      <c r="BC1369" s="182"/>
      <c r="BD1369" s="182"/>
      <c r="BE1369" s="182"/>
      <c r="BF1369" s="182"/>
      <c r="BG1369" s="182"/>
      <c r="BH1369" s="182"/>
      <c r="BI1369" s="182"/>
      <c r="BJ1369" s="182"/>
      <c r="BK1369" s="182"/>
      <c r="BL1369" s="182"/>
      <c r="BM1369" s="182"/>
      <c r="BN1369" s="182"/>
      <c r="BO1369" s="182"/>
      <c r="BP1369" s="182"/>
      <c r="BQ1369" s="182"/>
      <c r="BR1369" s="182"/>
      <c r="BS1369" s="182"/>
    </row>
    <row r="1370" spans="1:71" s="523" customFormat="1" ht="15.9" customHeight="1" x14ac:dyDescent="0.3">
      <c r="A1370" s="19" t="s">
        <v>3393</v>
      </c>
      <c r="B1370" s="19" t="s">
        <v>3038</v>
      </c>
      <c r="C1370" s="555">
        <v>44932</v>
      </c>
      <c r="D1370" s="19" t="s">
        <v>285</v>
      </c>
      <c r="E1370" s="19" t="s">
        <v>286</v>
      </c>
      <c r="F1370" s="1139" t="s">
        <v>3395</v>
      </c>
      <c r="G1370" s="15" t="s">
        <v>346</v>
      </c>
      <c r="H1370" s="200">
        <v>2850000000</v>
      </c>
      <c r="I1370" s="185" t="s">
        <v>3313</v>
      </c>
      <c r="J1370" s="113" t="str">
        <f>VLOOKUP($I1370,'Price List, Weapons &amp; Items'!B:C,2,0)</f>
        <v>Ammunition for heavy weapon</v>
      </c>
      <c r="K1370" s="113" t="str">
        <f>IF(I1370=".",I1370,VLOOKUP($I1370,'Price List, Weapons &amp; Items'!B:D,3,0))</f>
        <v>122mm MLRS ammunition</v>
      </c>
      <c r="L1370" s="177">
        <f>VLOOKUP(I1370,'Price List, Weapons &amp; Items'!B:E,4,0)</f>
        <v>1</v>
      </c>
      <c r="M1370" s="542">
        <v>2000</v>
      </c>
      <c r="N1370" s="542" t="s">
        <v>270</v>
      </c>
      <c r="O1370" s="543">
        <f>VLOOKUP($I1370,'Price List, Weapons &amp; Items'!B:G,6,0)</f>
        <v>1000</v>
      </c>
      <c r="P1370" s="176">
        <f t="shared" si="326"/>
        <v>2000000</v>
      </c>
      <c r="Q1370" s="176" t="str">
        <f t="shared" si="327"/>
        <v>.</v>
      </c>
      <c r="R1370" s="176" t="str">
        <f t="shared" si="325"/>
        <v/>
      </c>
      <c r="S1370" s="176" t="str">
        <f>IF(AND(AD1370=1,R1370&lt;&gt;".")=TRUE,R1370/VLOOKUP(G1370,'Exchange Rates'!B:C,2,0),IF(R1370=".",".",""))</f>
        <v/>
      </c>
      <c r="T1370" s="176"/>
      <c r="U1370" s="15" t="s">
        <v>261</v>
      </c>
      <c r="V1370" s="671" t="s">
        <v>3396</v>
      </c>
      <c r="W1370" s="814" t="s">
        <v>3059</v>
      </c>
      <c r="X1370" s="665" t="s">
        <v>3062</v>
      </c>
      <c r="Y1370" s="665" t="s">
        <v>3100</v>
      </c>
      <c r="Z1370" s="15">
        <v>0</v>
      </c>
      <c r="AA1370" s="180">
        <v>1</v>
      </c>
      <c r="AB1370" s="17" t="s">
        <v>260</v>
      </c>
      <c r="AC1370" s="544"/>
      <c r="AD1370" s="181">
        <v>0</v>
      </c>
      <c r="AE1370" s="181" t="s">
        <v>264</v>
      </c>
      <c r="AF1370" s="181" t="s">
        <v>265</v>
      </c>
      <c r="AG1370" s="181">
        <v>1</v>
      </c>
      <c r="AH1370" s="181">
        <v>13</v>
      </c>
      <c r="AI1370" s="181">
        <v>0</v>
      </c>
      <c r="AJ1370" s="181">
        <f>VLOOKUP($I1370,'Price List, Weapons &amp; Items'!B:F,5,0)</f>
        <v>1</v>
      </c>
      <c r="AK1370" s="181">
        <f t="shared" si="328"/>
        <v>0</v>
      </c>
      <c r="AL1370" s="181">
        <f t="shared" si="329"/>
        <v>1</v>
      </c>
      <c r="AM1370" s="181">
        <f t="shared" si="330"/>
        <v>0</v>
      </c>
      <c r="AN1370" s="180" t="str">
        <f>VLOOKUP($I1370,'Price List, Weapons &amp; Items'!B:L,COLUMN('Price List, Weapons &amp; Items'!$J$11)-1,0)</f>
        <v>Media reports (incl. social media)</v>
      </c>
      <c r="AO1370" s="180" t="str">
        <f>IF(I1370=".",".",VLOOKUP($I1370,'Price List, Weapons &amp; Items'!B:J,3,0))</f>
        <v>122mm MLRS ammunition</v>
      </c>
      <c r="AP1370" s="545" t="str">
        <f t="shared" ca="1" si="336"/>
        <v/>
      </c>
      <c r="AQ1370" s="180">
        <f>VLOOKUP($I1370,'Price List, Weapons &amp; Items'!B:L,COLUMN('Price List, Weapons &amp; Items'!$L$11)-1,0)</f>
        <v>2</v>
      </c>
      <c r="AR1370" s="180">
        <f t="shared" si="331"/>
        <v>1</v>
      </c>
      <c r="AS1370" s="180">
        <f t="shared" si="332"/>
        <v>1</v>
      </c>
      <c r="AT1370" s="180">
        <f t="shared" si="334"/>
        <v>1</v>
      </c>
      <c r="AU1370" s="180" t="str">
        <f t="shared" si="333"/>
        <v>.</v>
      </c>
      <c r="AV1370" s="180" t="str">
        <f t="shared" si="335"/>
        <v>.</v>
      </c>
      <c r="AW1370" s="180">
        <f>IFERROR(VLOOKUP(B1370,'Share, Heavy Weapons to Ukraine'!B:J,COLUMN('Share, Heavy Weapons to Ukraine'!C1380)-1,0),0)</f>
        <v>1</v>
      </c>
      <c r="AX1370" s="180">
        <f>VLOOKUP('Bilateral Assistance, MAIN DATA'!B1370,'Country Summary'!B:F,COLUMN('Country Summary'!C1383)-1,FALSE)</f>
        <v>0</v>
      </c>
      <c r="AY1370" s="180" t="str">
        <f>IF(AND(AD1370=1,D1370="Military",H1370&lt;&gt;"Not given")=TRUE,IF(SUMIFS(P:P,A:A,A1370)&gt;0,ABS((SUMIFS(P:P,A:A,A1370)/VLOOKUP("USD",'Exchange Rates'!B:C,2,0)))/S1370,"."),".")</f>
        <v>.</v>
      </c>
      <c r="AZ1370" s="182" t="str">
        <f>IF(AND(AD1370=1,D1370="Military",H1370&lt;&gt;"Not given")=TRUE,IF(SUMIFS(P:P,A:A,A1370)&gt;0,IF((ABS((SUMIFS(P:P,A:A,A1370)/VLOOKUP("USD",'Exchange Rates'!B:C,2,0)))/S1370)&gt;1,(SUMIFS(P:P,A:A,A1370)-S1370)/S1370,(S1370-SUMIFS(P:P,A:A,A1370))/SUMIFS(P:P,A:A,A1370)),"."),".")</f>
        <v>.</v>
      </c>
      <c r="BA1370" s="182"/>
      <c r="BB1370" s="182"/>
      <c r="BC1370" s="182"/>
      <c r="BD1370" s="182"/>
      <c r="BE1370" s="182"/>
      <c r="BF1370" s="182"/>
      <c r="BG1370" s="182"/>
      <c r="BH1370" s="182"/>
      <c r="BI1370" s="182"/>
      <c r="BJ1370" s="182"/>
      <c r="BK1370" s="182"/>
      <c r="BL1370" s="182"/>
      <c r="BM1370" s="182"/>
      <c r="BN1370" s="182"/>
      <c r="BO1370" s="182"/>
      <c r="BP1370" s="182"/>
      <c r="BQ1370" s="182"/>
      <c r="BR1370" s="182"/>
      <c r="BS1370" s="182"/>
    </row>
    <row r="1371" spans="1:71" ht="15.9" customHeight="1" x14ac:dyDescent="0.3">
      <c r="A1371" s="19" t="s">
        <v>3393</v>
      </c>
      <c r="B1371" s="19" t="s">
        <v>3038</v>
      </c>
      <c r="C1371" s="555">
        <v>44932</v>
      </c>
      <c r="D1371" s="19" t="s">
        <v>285</v>
      </c>
      <c r="E1371" s="19" t="s">
        <v>286</v>
      </c>
      <c r="F1371" s="1139" t="s">
        <v>3395</v>
      </c>
      <c r="G1371" s="15" t="s">
        <v>346</v>
      </c>
      <c r="H1371" s="200">
        <v>2850000000</v>
      </c>
      <c r="I1371" s="17" t="s">
        <v>3275</v>
      </c>
      <c r="J1371" s="113" t="str">
        <f>VLOOKUP($I1371,'Price List, Weapons &amp; Items'!B:C,2,0)</f>
        <v>Light armaments &amp; infantry</v>
      </c>
      <c r="K1371" s="113" t="str">
        <f>IF(I1371=".",I1371,VLOOKUP($I1371,'Price List, Weapons &amp; Items'!B:D,3,0))</f>
        <v>Light Anti-armor Weapon (LAW)</v>
      </c>
      <c r="L1371" s="177">
        <f>VLOOKUP(I1371,'Price List, Weapons &amp; Items'!B:E,4,0)</f>
        <v>0</v>
      </c>
      <c r="M1371" s="542" t="s">
        <v>270</v>
      </c>
      <c r="N1371" s="542" t="s">
        <v>270</v>
      </c>
      <c r="O1371" s="543">
        <f>VLOOKUP($I1371,'Price List, Weapons &amp; Items'!B:G,6,0)</f>
        <v>2099</v>
      </c>
      <c r="P1371" s="176" t="str">
        <f t="shared" si="326"/>
        <v>.</v>
      </c>
      <c r="Q1371" s="176" t="str">
        <f t="shared" si="327"/>
        <v>.</v>
      </c>
      <c r="R1371" s="176" t="str">
        <f t="shared" si="325"/>
        <v/>
      </c>
      <c r="S1371" s="176" t="str">
        <f>IF(AND(AD1371=1,R1371&lt;&gt;".")=TRUE,R1371/VLOOKUP(G1371,'Exchange Rates'!B:C,2,0),IF(R1371=".",".",""))</f>
        <v/>
      </c>
      <c r="T1371" s="176"/>
      <c r="U1371" s="15" t="s">
        <v>261</v>
      </c>
      <c r="V1371" s="671" t="s">
        <v>3396</v>
      </c>
      <c r="W1371" s="814" t="s">
        <v>3059</v>
      </c>
      <c r="X1371" s="665" t="s">
        <v>3062</v>
      </c>
      <c r="Y1371" s="665" t="s">
        <v>3101</v>
      </c>
      <c r="Z1371" s="15">
        <v>0</v>
      </c>
      <c r="AA1371" s="180">
        <v>1</v>
      </c>
      <c r="AB1371" s="17" t="s">
        <v>260</v>
      </c>
      <c r="AC1371" s="544"/>
      <c r="AD1371" s="181">
        <v>0</v>
      </c>
      <c r="AE1371" s="181" t="s">
        <v>264</v>
      </c>
      <c r="AF1371" s="181" t="s">
        <v>265</v>
      </c>
      <c r="AG1371" s="181">
        <v>1</v>
      </c>
      <c r="AH1371" s="181">
        <v>13</v>
      </c>
      <c r="AI1371" s="181">
        <v>0</v>
      </c>
      <c r="AJ1371" s="181">
        <f>VLOOKUP($I1371,'Price List, Weapons &amp; Items'!B:F,5,0)</f>
        <v>0</v>
      </c>
      <c r="AK1371" s="181">
        <f t="shared" si="328"/>
        <v>0</v>
      </c>
      <c r="AL1371" s="181">
        <f t="shared" si="329"/>
        <v>0</v>
      </c>
      <c r="AM1371" s="181">
        <f t="shared" si="330"/>
        <v>0</v>
      </c>
      <c r="AN1371" s="180" t="str">
        <f>VLOOKUP($I1371,'Price List, Weapons &amp; Items'!B:L,COLUMN('Price List, Weapons &amp; Items'!$J$11)-1,0)</f>
        <v>Media reports (incl. social media)</v>
      </c>
      <c r="AO1371" s="180" t="str">
        <f>IF(I1371=".",".",VLOOKUP($I1371,'Price List, Weapons &amp; Items'!B:J,3,0))</f>
        <v>Light Anti-armor Weapon (LAW)</v>
      </c>
      <c r="AP1371" s="545" t="str">
        <f t="shared" ca="1" si="336"/>
        <v/>
      </c>
      <c r="AQ1371" s="180">
        <f>VLOOKUP($I1371,'Price List, Weapons &amp; Items'!B:L,COLUMN('Price List, Weapons &amp; Items'!$L$11)-1,0)</f>
        <v>2</v>
      </c>
      <c r="AR1371" s="180">
        <f t="shared" si="331"/>
        <v>1</v>
      </c>
      <c r="AS1371" s="180">
        <f t="shared" si="332"/>
        <v>1</v>
      </c>
      <c r="AT1371" s="180">
        <f t="shared" si="334"/>
        <v>1</v>
      </c>
      <c r="AU1371" s="180" t="str">
        <f t="shared" si="333"/>
        <v>.</v>
      </c>
      <c r="AV1371" s="180" t="str">
        <f t="shared" si="335"/>
        <v>.</v>
      </c>
      <c r="AW1371" s="180">
        <f>IFERROR(VLOOKUP(B1371,'Share, Heavy Weapons to Ukraine'!B:J,COLUMN('Share, Heavy Weapons to Ukraine'!C1381)-1,0),0)</f>
        <v>1</v>
      </c>
      <c r="AX1371" s="180">
        <f>VLOOKUP('Bilateral Assistance, MAIN DATA'!B1371,'Country Summary'!B:F,COLUMN('Country Summary'!C1384)-1,FALSE)</f>
        <v>0</v>
      </c>
      <c r="AY1371" s="180" t="str">
        <f>IF(AND(AD1371=1,D1371="Military",H1371&lt;&gt;"Not given")=TRUE,IF(SUMIFS(P:P,A:A,A1371)&gt;0,ABS((SUMIFS(P:P,A:A,A1371)/VLOOKUP("USD",'Exchange Rates'!B:C,2,0)))/S1371,"."),".")</f>
        <v>.</v>
      </c>
      <c r="AZ1371" s="182" t="str">
        <f>IF(AND(AD1371=1,D1371="Military",H1371&lt;&gt;"Not given")=TRUE,IF(SUMIFS(P:P,A:A,A1371)&gt;0,IF((ABS((SUMIFS(P:P,A:A,A1371)/VLOOKUP("USD",'Exchange Rates'!B:C,2,0)))/S1371)&gt;1,(SUMIFS(P:P,A:A,A1371)-S1371)/S1371,(S1371-SUMIFS(P:P,A:A,A1371))/SUMIFS(P:P,A:A,A1371)),"."),".")</f>
        <v>.</v>
      </c>
      <c r="BA1371" s="182"/>
      <c r="BB1371" s="182"/>
      <c r="BC1371" s="182"/>
      <c r="BD1371" s="182"/>
      <c r="BE1371" s="182"/>
      <c r="BF1371" s="182"/>
      <c r="BG1371" s="182"/>
      <c r="BH1371" s="182"/>
      <c r="BI1371" s="182"/>
      <c r="BJ1371" s="182"/>
      <c r="BK1371" s="182"/>
      <c r="BL1371" s="182"/>
      <c r="BM1371" s="182"/>
      <c r="BN1371" s="182"/>
      <c r="BO1371" s="182"/>
      <c r="BP1371" s="182"/>
      <c r="BQ1371" s="182"/>
      <c r="BR1371" s="182"/>
      <c r="BS1371" s="182"/>
    </row>
    <row r="1372" spans="1:71" ht="15.9" customHeight="1" x14ac:dyDescent="0.3">
      <c r="A1372" s="19" t="s">
        <v>3393</v>
      </c>
      <c r="B1372" s="19" t="s">
        <v>3038</v>
      </c>
      <c r="C1372" s="555">
        <v>44932</v>
      </c>
      <c r="D1372" s="19" t="s">
        <v>285</v>
      </c>
      <c r="E1372" s="19" t="s">
        <v>286</v>
      </c>
      <c r="F1372" s="1139" t="s">
        <v>3395</v>
      </c>
      <c r="G1372" s="15" t="s">
        <v>346</v>
      </c>
      <c r="H1372" s="200">
        <v>2850000000</v>
      </c>
      <c r="I1372" s="19" t="s">
        <v>3124</v>
      </c>
      <c r="J1372" s="113" t="str">
        <f>VLOOKUP($I1372,'Price List, Weapons &amp; Items'!B:C,2,0)</f>
        <v>Light armaments &amp; infantry</v>
      </c>
      <c r="K1372" s="113" t="str">
        <f>IF(I1372=".",I1372,VLOOKUP($I1372,'Price List, Weapons &amp; Items'!B:D,3,0))</f>
        <v>Explosive</v>
      </c>
      <c r="L1372" s="177">
        <f>VLOOKUP(I1372,'Price List, Weapons &amp; Items'!B:E,4,0)</f>
        <v>0</v>
      </c>
      <c r="M1372" s="542" t="s">
        <v>270</v>
      </c>
      <c r="N1372" s="542" t="s">
        <v>270</v>
      </c>
      <c r="O1372" s="543">
        <f>VLOOKUP($I1372,'Price List, Weapons &amp; Items'!B:G,6,0)</f>
        <v>223.15</v>
      </c>
      <c r="P1372" s="176" t="str">
        <f t="shared" si="326"/>
        <v>.</v>
      </c>
      <c r="Q1372" s="176" t="str">
        <f t="shared" si="327"/>
        <v>.</v>
      </c>
      <c r="R1372" s="176" t="str">
        <f t="shared" si="325"/>
        <v/>
      </c>
      <c r="S1372" s="176" t="str">
        <f>IF(AND(AD1372=1,R1372&lt;&gt;".")=TRUE,R1372/VLOOKUP(G1372,'Exchange Rates'!B:C,2,0),IF(R1372=".",".",""))</f>
        <v/>
      </c>
      <c r="T1372" s="176"/>
      <c r="U1372" s="15" t="s">
        <v>261</v>
      </c>
      <c r="V1372" s="671" t="s">
        <v>3396</v>
      </c>
      <c r="W1372" s="814" t="s">
        <v>3059</v>
      </c>
      <c r="X1372" s="665" t="s">
        <v>3062</v>
      </c>
      <c r="Y1372" s="665" t="s">
        <v>3103</v>
      </c>
      <c r="Z1372" s="15">
        <v>0</v>
      </c>
      <c r="AA1372" s="180">
        <v>1</v>
      </c>
      <c r="AB1372" s="17" t="s">
        <v>260</v>
      </c>
      <c r="AC1372" s="544"/>
      <c r="AD1372" s="181">
        <v>0</v>
      </c>
      <c r="AE1372" s="181" t="s">
        <v>264</v>
      </c>
      <c r="AF1372" s="181" t="s">
        <v>265</v>
      </c>
      <c r="AG1372" s="181">
        <v>1</v>
      </c>
      <c r="AH1372" s="181">
        <v>13</v>
      </c>
      <c r="AI1372" s="181">
        <v>0</v>
      </c>
      <c r="AJ1372" s="181">
        <f>VLOOKUP($I1372,'Price List, Weapons &amp; Items'!B:F,5,0)</f>
        <v>0</v>
      </c>
      <c r="AK1372" s="181">
        <f t="shared" si="328"/>
        <v>0</v>
      </c>
      <c r="AL1372" s="181">
        <f t="shared" si="329"/>
        <v>0</v>
      </c>
      <c r="AM1372" s="181">
        <f t="shared" si="330"/>
        <v>0</v>
      </c>
      <c r="AN1372" s="180" t="str">
        <f>VLOOKUP($I1372,'Price List, Weapons &amp; Items'!B:L,COLUMN('Price List, Weapons &amp; Items'!$J$11)-1,0)</f>
        <v>Miscellaneous</v>
      </c>
      <c r="AO1372" s="180" t="str">
        <f>IF(I1372=".",".",VLOOKUP($I1372,'Price List, Weapons &amp; Items'!B:J,3,0))</f>
        <v>Explosive</v>
      </c>
      <c r="AP1372" s="545" t="str">
        <f t="shared" ca="1" si="336"/>
        <v/>
      </c>
      <c r="AQ1372" s="180" t="str">
        <f>VLOOKUP($I1372,'Price List, Weapons &amp; Items'!B:L,COLUMN('Price List, Weapons &amp; Items'!$L$11)-1,0)</f>
        <v>no price, 0 count</v>
      </c>
      <c r="AR1372" s="180">
        <f t="shared" si="331"/>
        <v>1</v>
      </c>
      <c r="AS1372" s="180">
        <f t="shared" si="332"/>
        <v>1</v>
      </c>
      <c r="AT1372" s="180">
        <f t="shared" si="334"/>
        <v>1</v>
      </c>
      <c r="AU1372" s="180" t="str">
        <f t="shared" si="333"/>
        <v>.</v>
      </c>
      <c r="AV1372" s="180" t="str">
        <f t="shared" si="335"/>
        <v>.</v>
      </c>
      <c r="AW1372" s="180">
        <f>IFERROR(VLOOKUP(B1372,'Share, Heavy Weapons to Ukraine'!B:J,COLUMN('Share, Heavy Weapons to Ukraine'!C1382)-1,0),0)</f>
        <v>1</v>
      </c>
      <c r="AX1372" s="180">
        <f>VLOOKUP('Bilateral Assistance, MAIN DATA'!B1372,'Country Summary'!B:F,COLUMN('Country Summary'!C1385)-1,FALSE)</f>
        <v>0</v>
      </c>
      <c r="AY1372" s="180" t="str">
        <f>IF(AND(AD1372=1,D1372="Military",H1372&lt;&gt;"Not given")=TRUE,IF(SUMIFS(P:P,A:A,A1372)&gt;0,ABS((SUMIFS(P:P,A:A,A1372)/VLOOKUP("USD",'Exchange Rates'!B:C,2,0)))/S1372,"."),".")</f>
        <v>.</v>
      </c>
      <c r="AZ1372" s="182" t="str">
        <f>IF(AND(AD1372=1,D1372="Military",H1372&lt;&gt;"Not given")=TRUE,IF(SUMIFS(P:P,A:A,A1372)&gt;0,IF((ABS((SUMIFS(P:P,A:A,A1372)/VLOOKUP("USD",'Exchange Rates'!B:C,2,0)))/S1372)&gt;1,(SUMIFS(P:P,A:A,A1372)-S1372)/S1372,(S1372-SUMIFS(P:P,A:A,A1372))/SUMIFS(P:P,A:A,A1372)),"."),".")</f>
        <v>.</v>
      </c>
      <c r="BA1372" s="182"/>
      <c r="BB1372" s="182"/>
      <c r="BC1372" s="182"/>
      <c r="BD1372" s="182"/>
      <c r="BE1372" s="182"/>
      <c r="BF1372" s="182"/>
      <c r="BG1372" s="182"/>
      <c r="BH1372" s="182"/>
      <c r="BI1372" s="182"/>
      <c r="BJ1372" s="182"/>
      <c r="BK1372" s="182"/>
      <c r="BL1372" s="182"/>
      <c r="BM1372" s="182"/>
      <c r="BN1372" s="182"/>
      <c r="BO1372" s="182"/>
      <c r="BP1372" s="182"/>
      <c r="BQ1372" s="182"/>
      <c r="BR1372" s="182"/>
      <c r="BS1372" s="182"/>
    </row>
    <row r="1373" spans="1:71" ht="15.9" customHeight="1" x14ac:dyDescent="0.3">
      <c r="A1373" s="19" t="s">
        <v>3393</v>
      </c>
      <c r="B1373" s="19" t="s">
        <v>3038</v>
      </c>
      <c r="C1373" s="555">
        <v>44932</v>
      </c>
      <c r="D1373" s="19" t="s">
        <v>285</v>
      </c>
      <c r="E1373" s="19" t="s">
        <v>286</v>
      </c>
      <c r="F1373" s="1139" t="s">
        <v>3395</v>
      </c>
      <c r="G1373" s="15" t="s">
        <v>346</v>
      </c>
      <c r="H1373" s="200">
        <v>2850000000</v>
      </c>
      <c r="I1373" s="17" t="s">
        <v>598</v>
      </c>
      <c r="J1373" s="113" t="str">
        <f>VLOOKUP($I1373,'Price List, Weapons &amp; Items'!B:C,2,0)</f>
        <v>Military equipment</v>
      </c>
      <c r="K1373" s="113" t="str">
        <f>IF(I1373=".",I1373,VLOOKUP($I1373,'Price List, Weapons &amp; Items'!B:D,3,0))</f>
        <v>Military equipment</v>
      </c>
      <c r="L1373" s="177">
        <f>VLOOKUP(I1373,'Price List, Weapons &amp; Items'!B:E,4,0)</f>
        <v>0</v>
      </c>
      <c r="M1373" s="542" t="s">
        <v>270</v>
      </c>
      <c r="N1373" s="542" t="s">
        <v>270</v>
      </c>
      <c r="O1373" s="543">
        <f>VLOOKUP($I1373,'Price List, Weapons &amp; Items'!B:G,6,0)</f>
        <v>2320</v>
      </c>
      <c r="P1373" s="176" t="str">
        <f t="shared" si="326"/>
        <v>.</v>
      </c>
      <c r="Q1373" s="176" t="str">
        <f t="shared" si="327"/>
        <v>.</v>
      </c>
      <c r="R1373" s="176" t="str">
        <f t="shared" si="325"/>
        <v/>
      </c>
      <c r="S1373" s="176" t="str">
        <f>IF(AND(AD1373=1,R1373&lt;&gt;".")=TRUE,R1373/VLOOKUP(G1373,'Exchange Rates'!B:C,2,0),IF(R1373=".",".",""))</f>
        <v/>
      </c>
      <c r="T1373" s="176"/>
      <c r="U1373" s="15" t="s">
        <v>261</v>
      </c>
      <c r="V1373" s="671" t="s">
        <v>3396</v>
      </c>
      <c r="W1373" s="814" t="s">
        <v>3059</v>
      </c>
      <c r="X1373" s="665" t="s">
        <v>3062</v>
      </c>
      <c r="Y1373" s="665" t="s">
        <v>3105</v>
      </c>
      <c r="Z1373" s="15">
        <v>0</v>
      </c>
      <c r="AA1373" s="180">
        <v>1</v>
      </c>
      <c r="AB1373" s="17" t="s">
        <v>260</v>
      </c>
      <c r="AC1373" s="544"/>
      <c r="AD1373" s="181">
        <v>0</v>
      </c>
      <c r="AE1373" s="181" t="s">
        <v>264</v>
      </c>
      <c r="AF1373" s="181" t="s">
        <v>265</v>
      </c>
      <c r="AG1373" s="181">
        <v>1</v>
      </c>
      <c r="AH1373" s="181">
        <v>13</v>
      </c>
      <c r="AI1373" s="181">
        <v>0</v>
      </c>
      <c r="AJ1373" s="181">
        <f>VLOOKUP($I1373,'Price List, Weapons &amp; Items'!B:F,5,0)</f>
        <v>0</v>
      </c>
      <c r="AK1373" s="181">
        <f t="shared" si="328"/>
        <v>0</v>
      </c>
      <c r="AL1373" s="181">
        <f t="shared" si="329"/>
        <v>0</v>
      </c>
      <c r="AM1373" s="181">
        <f t="shared" si="330"/>
        <v>0</v>
      </c>
      <c r="AN1373" s="180" t="str">
        <f>VLOOKUP($I1373,'Price List, Weapons &amp; Items'!B:L,COLUMN('Price List, Weapons &amp; Items'!$J$11)-1,0)</f>
        <v>Media reports (incl. social media)</v>
      </c>
      <c r="AO1373" s="180" t="str">
        <f>IF(I1373=".",".",VLOOKUP($I1373,'Price List, Weapons &amp; Items'!B:J,3,0))</f>
        <v>Military equipment</v>
      </c>
      <c r="AP1373" s="545" t="str">
        <f t="shared" ca="1" si="336"/>
        <v/>
      </c>
      <c r="AQ1373" s="180">
        <f>VLOOKUP($I1373,'Price List, Weapons &amp; Items'!B:L,COLUMN('Price List, Weapons &amp; Items'!$L$11)-1,0)</f>
        <v>2</v>
      </c>
      <c r="AR1373" s="180">
        <f t="shared" si="331"/>
        <v>1</v>
      </c>
      <c r="AS1373" s="180">
        <f t="shared" si="332"/>
        <v>1</v>
      </c>
      <c r="AT1373" s="180">
        <f t="shared" si="334"/>
        <v>1</v>
      </c>
      <c r="AU1373" s="180" t="str">
        <f t="shared" si="333"/>
        <v>.</v>
      </c>
      <c r="AV1373" s="180" t="str">
        <f t="shared" si="335"/>
        <v>.</v>
      </c>
      <c r="AW1373" s="180">
        <f>IFERROR(VLOOKUP(B1373,'Share, Heavy Weapons to Ukraine'!B:J,COLUMN('Share, Heavy Weapons to Ukraine'!C1383)-1,0),0)</f>
        <v>1</v>
      </c>
      <c r="AX1373" s="180">
        <f>VLOOKUP('Bilateral Assistance, MAIN DATA'!B1373,'Country Summary'!B:F,COLUMN('Country Summary'!C1386)-1,FALSE)</f>
        <v>0</v>
      </c>
      <c r="AY1373" s="180" t="str">
        <f>IF(AND(AD1373=1,D1373="Military",H1373&lt;&gt;"Not given")=TRUE,IF(SUMIFS(P:P,A:A,A1373)&gt;0,ABS((SUMIFS(P:P,A:A,A1373)/VLOOKUP("USD",'Exchange Rates'!B:C,2,0)))/S1373,"."),".")</f>
        <v>.</v>
      </c>
      <c r="AZ1373" s="182" t="str">
        <f>IF(AND(AD1373=1,D1373="Military",H1373&lt;&gt;"Not given")=TRUE,IF(SUMIFS(P:P,A:A,A1373)&gt;0,IF((ABS((SUMIFS(P:P,A:A,A1373)/VLOOKUP("USD",'Exchange Rates'!B:C,2,0)))/S1373)&gt;1,(SUMIFS(P:P,A:A,A1373)-S1373)/S1373,(S1373-SUMIFS(P:P,A:A,A1373))/SUMIFS(P:P,A:A,A1373)),"."),".")</f>
        <v>.</v>
      </c>
      <c r="BA1373" s="182"/>
      <c r="BB1373" s="182"/>
      <c r="BC1373" s="182"/>
      <c r="BD1373" s="182"/>
      <c r="BE1373" s="182"/>
      <c r="BF1373" s="182"/>
      <c r="BG1373" s="182"/>
      <c r="BH1373" s="182"/>
      <c r="BI1373" s="182"/>
      <c r="BJ1373" s="182"/>
      <c r="BK1373" s="182"/>
      <c r="BL1373" s="182"/>
      <c r="BM1373" s="182"/>
      <c r="BN1373" s="182"/>
      <c r="BO1373" s="182"/>
      <c r="BP1373" s="182"/>
      <c r="BQ1373" s="182"/>
      <c r="BR1373" s="182"/>
      <c r="BS1373" s="182"/>
    </row>
    <row r="1374" spans="1:71" ht="15.9" customHeight="1" x14ac:dyDescent="0.3">
      <c r="A1374" s="19" t="s">
        <v>3393</v>
      </c>
      <c r="B1374" s="19" t="s">
        <v>3038</v>
      </c>
      <c r="C1374" s="555">
        <v>44932</v>
      </c>
      <c r="D1374" s="19" t="s">
        <v>285</v>
      </c>
      <c r="E1374" s="19" t="s">
        <v>286</v>
      </c>
      <c r="F1374" s="1139" t="s">
        <v>3395</v>
      </c>
      <c r="G1374" s="15" t="s">
        <v>346</v>
      </c>
      <c r="H1374" s="200">
        <v>2850000000</v>
      </c>
      <c r="I1374" s="17" t="s">
        <v>3131</v>
      </c>
      <c r="J1374" s="113" t="str">
        <f>VLOOKUP($I1374,'Price List, Weapons &amp; Items'!B:C,2,0)</f>
        <v>Military equipment</v>
      </c>
      <c r="K1374" s="113" t="str">
        <f>IF(I1374=".",I1374,VLOOKUP($I1374,'Price List, Weapons &amp; Items'!B:D,3,0))</f>
        <v>Military equipment</v>
      </c>
      <c r="L1374" s="177">
        <f>VLOOKUP(I1374,'Price List, Weapons &amp; Items'!B:E,4,0)</f>
        <v>0</v>
      </c>
      <c r="M1374" s="542" t="s">
        <v>270</v>
      </c>
      <c r="N1374" s="542" t="s">
        <v>270</v>
      </c>
      <c r="O1374" s="543" t="str">
        <f>VLOOKUP($I1374,'Price List, Weapons &amp; Items'!B:G,6,0)</f>
        <v>.</v>
      </c>
      <c r="P1374" s="176" t="str">
        <f t="shared" si="326"/>
        <v>.</v>
      </c>
      <c r="Q1374" s="176" t="str">
        <f t="shared" si="327"/>
        <v>.</v>
      </c>
      <c r="R1374" s="176" t="str">
        <f t="shared" si="325"/>
        <v/>
      </c>
      <c r="S1374" s="176" t="str">
        <f>IF(AND(AD1374=1,R1374&lt;&gt;".")=TRUE,R1374/VLOOKUP(G1374,'Exchange Rates'!B:C,2,0),IF(R1374=".",".",""))</f>
        <v/>
      </c>
      <c r="T1374" s="176"/>
      <c r="U1374" s="15" t="s">
        <v>261</v>
      </c>
      <c r="V1374" s="671" t="s">
        <v>3396</v>
      </c>
      <c r="W1374" s="814" t="s">
        <v>3059</v>
      </c>
      <c r="X1374" s="665" t="s">
        <v>3062</v>
      </c>
      <c r="Y1374" s="665" t="s">
        <v>3106</v>
      </c>
      <c r="Z1374" s="15">
        <v>0</v>
      </c>
      <c r="AA1374" s="180">
        <v>1</v>
      </c>
      <c r="AB1374" s="17" t="s">
        <v>260</v>
      </c>
      <c r="AC1374" s="544"/>
      <c r="AD1374" s="181">
        <v>0</v>
      </c>
      <c r="AE1374" s="181" t="s">
        <v>264</v>
      </c>
      <c r="AF1374" s="181" t="s">
        <v>265</v>
      </c>
      <c r="AG1374" s="181">
        <v>1</v>
      </c>
      <c r="AH1374" s="181">
        <v>13</v>
      </c>
      <c r="AI1374" s="181">
        <v>0</v>
      </c>
      <c r="AJ1374" s="181">
        <f>VLOOKUP($I1374,'Price List, Weapons &amp; Items'!B:F,5,0)</f>
        <v>0</v>
      </c>
      <c r="AK1374" s="181">
        <f t="shared" si="328"/>
        <v>0</v>
      </c>
      <c r="AL1374" s="181">
        <f t="shared" si="329"/>
        <v>0</v>
      </c>
      <c r="AM1374" s="181">
        <f t="shared" si="330"/>
        <v>0</v>
      </c>
      <c r="AN1374" s="180" t="str">
        <f>VLOOKUP($I1374,'Price List, Weapons &amp; Items'!B:L,COLUMN('Price List, Weapons &amp; Items'!$J$11)-1,0)</f>
        <v>.</v>
      </c>
      <c r="AO1374" s="180" t="str">
        <f>IF(I1374=".",".",VLOOKUP($I1374,'Price List, Weapons &amp; Items'!B:J,3,0))</f>
        <v>Military equipment</v>
      </c>
      <c r="AP1374" s="545" t="str">
        <f t="shared" ca="1" si="336"/>
        <v/>
      </c>
      <c r="AQ1374" s="180" t="str">
        <f>VLOOKUP($I1374,'Price List, Weapons &amp; Items'!B:L,COLUMN('Price List, Weapons &amp; Items'!$L$11)-1,0)</f>
        <v>no price, 0 count</v>
      </c>
      <c r="AR1374" s="180">
        <f t="shared" si="331"/>
        <v>1</v>
      </c>
      <c r="AS1374" s="180">
        <f t="shared" si="332"/>
        <v>1</v>
      </c>
      <c r="AT1374" s="180">
        <f t="shared" si="334"/>
        <v>1</v>
      </c>
      <c r="AU1374" s="180" t="str">
        <f t="shared" si="333"/>
        <v>.</v>
      </c>
      <c r="AV1374" s="180" t="str">
        <f t="shared" si="335"/>
        <v>.</v>
      </c>
      <c r="AW1374" s="180">
        <f>IFERROR(VLOOKUP(B1374,'Share, Heavy Weapons to Ukraine'!B:J,COLUMN('Share, Heavy Weapons to Ukraine'!C1384)-1,0),0)</f>
        <v>1</v>
      </c>
      <c r="AX1374" s="180">
        <f>VLOOKUP('Bilateral Assistance, MAIN DATA'!B1374,'Country Summary'!B:F,COLUMN('Country Summary'!C1387)-1,FALSE)</f>
        <v>0</v>
      </c>
      <c r="AY1374" s="180" t="str">
        <f>IF(AND(AD1374=1,D1374="Military",H1374&lt;&gt;"Not given")=TRUE,IF(SUMIFS(P:P,A:A,A1374)&gt;0,ABS((SUMIFS(P:P,A:A,A1374)/VLOOKUP("USD",'Exchange Rates'!B:C,2,0)))/S1374,"."),".")</f>
        <v>.</v>
      </c>
      <c r="AZ1374" s="182" t="str">
        <f>IF(AND(AD1374=1,D1374="Military",H1374&lt;&gt;"Not given")=TRUE,IF(SUMIFS(P:P,A:A,A1374)&gt;0,IF((ABS((SUMIFS(P:P,A:A,A1374)/VLOOKUP("USD",'Exchange Rates'!B:C,2,0)))/S1374)&gt;1,(SUMIFS(P:P,A:A,A1374)-S1374)/S1374,(S1374-SUMIFS(P:P,A:A,A1374))/SUMIFS(P:P,A:A,A1374)),"."),".")</f>
        <v>.</v>
      </c>
      <c r="BA1374" s="182"/>
      <c r="BB1374" s="182"/>
      <c r="BC1374" s="182"/>
      <c r="BD1374" s="182"/>
      <c r="BE1374" s="182"/>
      <c r="BF1374" s="182"/>
      <c r="BG1374" s="182"/>
      <c r="BH1374" s="182"/>
      <c r="BI1374" s="182"/>
      <c r="BJ1374" s="182"/>
      <c r="BK1374" s="182"/>
      <c r="BL1374" s="182"/>
      <c r="BM1374" s="182"/>
      <c r="BN1374" s="182"/>
      <c r="BO1374" s="182"/>
      <c r="BP1374" s="182"/>
      <c r="BQ1374" s="182"/>
      <c r="BR1374" s="182"/>
      <c r="BS1374" s="182"/>
    </row>
    <row r="1375" spans="1:71" ht="15.9" customHeight="1" x14ac:dyDescent="0.3">
      <c r="A1375" s="19" t="s">
        <v>3404</v>
      </c>
      <c r="B1375" s="19" t="s">
        <v>3038</v>
      </c>
      <c r="C1375" s="555">
        <v>44834</v>
      </c>
      <c r="D1375" s="19" t="s">
        <v>285</v>
      </c>
      <c r="E1375" s="19" t="s">
        <v>286</v>
      </c>
      <c r="F1375" s="19" t="s">
        <v>3405</v>
      </c>
      <c r="G1375" s="15" t="s">
        <v>346</v>
      </c>
      <c r="H1375" s="200">
        <v>3000000000</v>
      </c>
      <c r="I1375" s="17" t="s">
        <v>260</v>
      </c>
      <c r="J1375" s="113" t="str">
        <f>VLOOKUP($I1375,'Price List, Weapons &amp; Items'!B:C,2,0)</f>
        <v>.</v>
      </c>
      <c r="K1375" s="113" t="str">
        <f>IF(I1375=".",I1375,VLOOKUP($I1375,'Price List, Weapons &amp; Items'!B:D,3,0))</f>
        <v>.</v>
      </c>
      <c r="L1375" s="177">
        <f>VLOOKUP(I1375,'Price List, Weapons &amp; Items'!B:E,4,0)</f>
        <v>0</v>
      </c>
      <c r="M1375" s="542" t="s">
        <v>260</v>
      </c>
      <c r="N1375" s="542" t="s">
        <v>260</v>
      </c>
      <c r="O1375" s="543" t="str">
        <f>VLOOKUP($I1375,'Price List, Weapons &amp; Items'!B:G,6,0)</f>
        <v>.</v>
      </c>
      <c r="P1375" s="176" t="str">
        <f t="shared" si="326"/>
        <v>.</v>
      </c>
      <c r="Q1375" s="176" t="str">
        <f t="shared" ref="Q1375" si="337">IF(TYPE(N1375)=1,IF(TYPE(O1375)=1,N1375*O1375,"No price"),".")</f>
        <v>.</v>
      </c>
      <c r="R1375" s="176">
        <f t="shared" si="325"/>
        <v>3000000000</v>
      </c>
      <c r="S1375" s="176">
        <f>IF(AND(AD1375=1,R1375&lt;&gt;".")=TRUE,R1375/VLOOKUP(G1375,'Exchange Rates'!B:C,2,0),IF(R1375=".",".",""))</f>
        <v>2857142857.1428571</v>
      </c>
      <c r="T1375" s="176" t="str">
        <f>IF(AD1375=1,IF(AF1375="Value is not given at all",".",IF(AF1375="Value is given by the source",S1375,IF(AF1375="Value is calculated with prices",(IF(SUMIFS(Q:Q,A:A,A1375)&gt;0,SUMIFS(Q:Q,A:A,A1375),"."))/VLOOKUP("USD",'Exchange Rates'!B:C,2,0),"Error with coding"))),"")</f>
        <v>.</v>
      </c>
      <c r="U1375" s="15" t="s">
        <v>261</v>
      </c>
      <c r="V1375" s="814" t="s">
        <v>3059</v>
      </c>
      <c r="W1375" s="665" t="s">
        <v>3062</v>
      </c>
      <c r="X1375" s="671" t="s">
        <v>3067</v>
      </c>
      <c r="Y1375" s="175" t="s">
        <v>260</v>
      </c>
      <c r="Z1375" s="15">
        <v>0</v>
      </c>
      <c r="AA1375" s="180">
        <v>0</v>
      </c>
      <c r="AB1375" s="17" t="s">
        <v>260</v>
      </c>
      <c r="AC1375" s="544" t="str">
        <f>""</f>
        <v/>
      </c>
      <c r="AD1375" s="181">
        <v>1</v>
      </c>
      <c r="AE1375" s="181" t="s">
        <v>264</v>
      </c>
      <c r="AF1375" s="181" t="s">
        <v>265</v>
      </c>
      <c r="AG1375" s="181">
        <v>1</v>
      </c>
      <c r="AH1375" s="181">
        <v>9</v>
      </c>
      <c r="AI1375" s="181">
        <v>0</v>
      </c>
      <c r="AJ1375" s="181">
        <f>VLOOKUP($I1375,'Price List, Weapons &amp; Items'!B:F,5,0)</f>
        <v>0</v>
      </c>
      <c r="AK1375" s="181">
        <f t="shared" ref="AK1375" si="338">IF(AND(AJ1375=1,M1375="undisclosed")=TRUE,1,0)</f>
        <v>0</v>
      </c>
      <c r="AL1375" s="181">
        <f t="shared" ref="AL1375" si="339">IF(AND(AJ1375=1,N1375="undisclosed")=TRUE,1,0)</f>
        <v>0</v>
      </c>
      <c r="AM1375" s="181">
        <f t="shared" ref="AM1375" si="340">IFERROR(IF(SEARCH("ammuni",I1375,1)&gt;0,1,0),0)</f>
        <v>0</v>
      </c>
      <c r="AN1375" s="180" t="str">
        <f>VLOOKUP($I1375,'Price List, Weapons &amp; Items'!B:L,COLUMN('Price List, Weapons &amp; Items'!$J$11)-1,0)</f>
        <v>.</v>
      </c>
      <c r="AO1375" s="180" t="str">
        <f>IF(I1375=".",".",VLOOKUP($I1375,'Price List, Weapons &amp; Items'!B:J,3,0))</f>
        <v>.</v>
      </c>
      <c r="AP1375" s="545" t="e">
        <f t="shared" ca="1" si="336"/>
        <v>#NAME?</v>
      </c>
      <c r="AQ1375" s="180" t="str">
        <f>VLOOKUP($I1375,'Price List, Weapons &amp; Items'!B:L,COLUMN('Price List, Weapons &amp; Items'!$L$11)-1,0)</f>
        <v>no price, 0 count</v>
      </c>
      <c r="AR1375" s="180">
        <f t="shared" ref="AR1375" si="341">IF(U1375="Yes",1,0)</f>
        <v>1</v>
      </c>
      <c r="AS1375" s="180">
        <f t="shared" ref="AS1375" si="342">IF(D1375="Military",IF(OR(IFERROR(SEARCH("equipment",E1375,1),0)&gt;0,IFERROR(SEARCH("weapons",E1375,1),0)&gt;0),1,0),0)</f>
        <v>1</v>
      </c>
      <c r="AT1375" s="180">
        <f t="shared" si="334"/>
        <v>1</v>
      </c>
      <c r="AU1375" s="180" t="str">
        <f>IF(AND(A1375=A1373,C1375=C1373)=TRUE,IF(F1375=F1373,".","1"),".")</f>
        <v>.</v>
      </c>
      <c r="AV1375" s="180" t="str">
        <f t="shared" ref="AV1375" si="343">IF(T1375&lt;&gt;".",IF(T1375&gt;S1375,1,"."),".")</f>
        <v>.</v>
      </c>
      <c r="AW1375" s="180">
        <f>IFERROR(VLOOKUP(B1375,'Share, Heavy Weapons to Ukraine'!B:J,COLUMN('Share, Heavy Weapons to Ukraine'!C1385)-1,0),0)</f>
        <v>1</v>
      </c>
      <c r="AX1375" s="180">
        <f>VLOOKUP('Bilateral Assistance, MAIN DATA'!B1375,'Country Summary'!B:F,COLUMN('Country Summary'!C1388)-1,FALSE)</f>
        <v>0</v>
      </c>
      <c r="AY1375" s="180" t="str">
        <f>IF(AND(AD1375=1,D1375="Military",H1375&lt;&gt;"Not given")=TRUE,IF(SUMIFS(P:P,A:A,A1375)&gt;0,ABS((SUMIFS(P:P,A:A,A1375)/VLOOKUP("USD",'Exchange Rates'!B:C,2,0)))/S1375,"."),".")</f>
        <v>.</v>
      </c>
      <c r="AZ1375" s="182" t="str">
        <f>IF(AND(AD1375=1,D1375="Military",H1375&lt;&gt;"Not given")=TRUE,IF(SUMIFS(P:P,A:A,A1375)&gt;0,IF((ABS((SUMIFS(P:P,A:A,A1375)/VLOOKUP("USD",'Exchange Rates'!B:C,2,0)))/S1375)&gt;1,(SUMIFS(P:P,A:A,A1375)-S1375)/S1375,(S1375-SUMIFS(P:P,A:A,A1375))/SUMIFS(P:P,A:A,A1375)),"."),".")</f>
        <v>.</v>
      </c>
      <c r="BA1375" s="182"/>
      <c r="BB1375" s="182"/>
      <c r="BC1375" s="182"/>
      <c r="BD1375" s="182"/>
      <c r="BE1375" s="182"/>
      <c r="BF1375" s="182"/>
      <c r="BG1375" s="182"/>
      <c r="BH1375" s="182"/>
      <c r="BI1375" s="182"/>
      <c r="BJ1375" s="182"/>
      <c r="BK1375" s="182"/>
      <c r="BL1375" s="182"/>
      <c r="BM1375" s="182"/>
      <c r="BN1375" s="182"/>
      <c r="BO1375" s="182"/>
      <c r="BP1375" s="182"/>
      <c r="BQ1375" s="182"/>
      <c r="BR1375" s="182"/>
      <c r="BS1375" s="182"/>
    </row>
    <row r="1376" spans="1:71" ht="15.9" customHeight="1" x14ac:dyDescent="0.3">
      <c r="A1376" s="19" t="s">
        <v>3406</v>
      </c>
      <c r="B1376" s="19" t="s">
        <v>3038</v>
      </c>
      <c r="C1376" s="555">
        <v>44901</v>
      </c>
      <c r="D1376" s="19" t="s">
        <v>285</v>
      </c>
      <c r="E1376" s="19" t="s">
        <v>286</v>
      </c>
      <c r="F1376" s="19" t="s">
        <v>3407</v>
      </c>
      <c r="G1376" s="15" t="s">
        <v>346</v>
      </c>
      <c r="H1376" s="200">
        <v>9000000000</v>
      </c>
      <c r="I1376" s="17" t="s">
        <v>260</v>
      </c>
      <c r="J1376" s="113" t="str">
        <f>VLOOKUP($I1376,'Price List, Weapons &amp; Items'!B:C,2,0)</f>
        <v>.</v>
      </c>
      <c r="K1376" s="113" t="str">
        <f>IF(I1376=".",I1376,VLOOKUP($I1376,'Price List, Weapons &amp; Items'!B:D,3,0))</f>
        <v>.</v>
      </c>
      <c r="L1376" s="177">
        <f>VLOOKUP(I1376,'Price List, Weapons &amp; Items'!B:E,4,0)</f>
        <v>0</v>
      </c>
      <c r="M1376" s="542" t="s">
        <v>260</v>
      </c>
      <c r="N1376" s="542" t="s">
        <v>260</v>
      </c>
      <c r="O1376" s="543" t="str">
        <f>VLOOKUP($I1376,'Price List, Weapons &amp; Items'!B:G,6,0)</f>
        <v>.</v>
      </c>
      <c r="P1376" s="176" t="str">
        <f t="shared" si="326"/>
        <v>.</v>
      </c>
      <c r="Q1376" s="176" t="str">
        <f t="shared" si="327"/>
        <v>.</v>
      </c>
      <c r="R1376" s="176">
        <f t="shared" si="325"/>
        <v>9000000000</v>
      </c>
      <c r="S1376" s="176">
        <f>IF(AND(AD1376=1,R1376&lt;&gt;".")=TRUE,R1376/VLOOKUP(G1376,'Exchange Rates'!B:C,2,0),IF(R1376=".",".",""))</f>
        <v>8571428571.4285707</v>
      </c>
      <c r="T1376" s="176" t="str">
        <f>IF(AD1376=1,IF(AF1376="Value is not given at all",".",IF(AF1376="Value is given by the source",S1376,IF(AF1376="Value is calculated with prices",(IF(SUMIFS(Q:Q,A:A,A1376)&gt;0,SUMIFS(Q:Q,A:A,A1376),"."))/VLOOKUP("USD",'Exchange Rates'!B:C,2,0),"Error with coding"))),"")</f>
        <v>.</v>
      </c>
      <c r="U1376" s="15" t="s">
        <v>261</v>
      </c>
      <c r="V1376" s="814" t="s">
        <v>3059</v>
      </c>
      <c r="W1376" s="665" t="s">
        <v>3062</v>
      </c>
      <c r="X1376" s="671" t="s">
        <v>3070</v>
      </c>
      <c r="Y1376" s="175" t="s">
        <v>260</v>
      </c>
      <c r="Z1376" s="15">
        <v>0</v>
      </c>
      <c r="AA1376" s="180">
        <v>0</v>
      </c>
      <c r="AB1376" s="17" t="s">
        <v>260</v>
      </c>
      <c r="AC1376" s="544" t="str">
        <f>""</f>
        <v/>
      </c>
      <c r="AD1376" s="181">
        <v>1</v>
      </c>
      <c r="AE1376" s="181" t="s">
        <v>264</v>
      </c>
      <c r="AF1376" s="181" t="s">
        <v>265</v>
      </c>
      <c r="AG1376" s="181">
        <v>1</v>
      </c>
      <c r="AH1376" s="181">
        <v>12</v>
      </c>
      <c r="AI1376" s="181">
        <v>0</v>
      </c>
      <c r="AJ1376" s="181">
        <f>VLOOKUP($I1376,'Price List, Weapons &amp; Items'!B:F,5,0)</f>
        <v>0</v>
      </c>
      <c r="AK1376" s="181">
        <f t="shared" si="328"/>
        <v>0</v>
      </c>
      <c r="AL1376" s="181">
        <f t="shared" si="329"/>
        <v>0</v>
      </c>
      <c r="AM1376" s="181">
        <f t="shared" si="330"/>
        <v>0</v>
      </c>
      <c r="AN1376" s="180" t="str">
        <f>VLOOKUP($I1376,'Price List, Weapons &amp; Items'!B:L,COLUMN('Price List, Weapons &amp; Items'!$J$11)-1,0)</f>
        <v>.</v>
      </c>
      <c r="AO1376" s="180" t="str">
        <f>IF(I1376=".",".",VLOOKUP($I1376,'Price List, Weapons &amp; Items'!B:J,3,0))</f>
        <v>.</v>
      </c>
      <c r="AP1376" s="545" t="e">
        <f t="shared" ca="1" si="336"/>
        <v>#NAME?</v>
      </c>
      <c r="AQ1376" s="180" t="str">
        <f>VLOOKUP($I1376,'Price List, Weapons &amp; Items'!B:L,COLUMN('Price List, Weapons &amp; Items'!$L$11)-1,0)</f>
        <v>no price, 0 count</v>
      </c>
      <c r="AR1376" s="180">
        <f t="shared" si="331"/>
        <v>1</v>
      </c>
      <c r="AS1376" s="180">
        <f t="shared" si="332"/>
        <v>1</v>
      </c>
      <c r="AT1376" s="180">
        <f t="shared" si="334"/>
        <v>1</v>
      </c>
      <c r="AU1376" s="180" t="str">
        <f>IF(AND(A1376=A1374,C1376=C1374)=TRUE,IF(F1376=F1374,".","1"),".")</f>
        <v>.</v>
      </c>
      <c r="AV1376" s="180" t="str">
        <f t="shared" si="335"/>
        <v>.</v>
      </c>
      <c r="AW1376" s="180">
        <f>IFERROR(VLOOKUP(B1376,'Share, Heavy Weapons to Ukraine'!B:J,COLUMN('Share, Heavy Weapons to Ukraine'!C1386)-1,0),0)</f>
        <v>1</v>
      </c>
      <c r="AX1376" s="180">
        <f>VLOOKUP('Bilateral Assistance, MAIN DATA'!B1376,'Country Summary'!B:F,COLUMN('Country Summary'!C1389)-1,FALSE)</f>
        <v>0</v>
      </c>
      <c r="AY1376" s="180">
        <f>IF(AND(AD1376=1,D1376="Military",H1376&lt;&gt;"Not given")=TRUE,IF(SUMIFS(P:P,A:A,A1376)&gt;0,ABS((SUMIFS(P:P,A:A,A1376)/VLOOKUP("USD",'Exchange Rates'!B:C,2,0)))/S1376,"."),".")</f>
        <v>0.81923088888888895</v>
      </c>
      <c r="AZ1376" s="182">
        <f>IF(AND(AD1376=1,D1376="Military",H1376&lt;&gt;"Not given")=TRUE,IF(SUMIFS(P:P,A:A,A1376)&gt;0,IF((ABS((SUMIFS(P:P,A:A,A1376)/VLOOKUP("USD",'Exchange Rates'!B:C,2,0)))/S1376)&gt;1,(SUMIFS(P:P,A:A,A1376)-S1376)/S1376,(S1376-SUMIFS(P:P,A:A,A1376))/SUMIFS(P:P,A:A,A1376)),"."),".")</f>
        <v>0.1625305701945064</v>
      </c>
      <c r="BA1376" s="182"/>
      <c r="BB1376" s="182"/>
      <c r="BC1376" s="182"/>
      <c r="BD1376" s="182"/>
      <c r="BE1376" s="182"/>
      <c r="BF1376" s="182"/>
      <c r="BG1376" s="182"/>
      <c r="BH1376" s="182"/>
      <c r="BI1376" s="182"/>
      <c r="BJ1376" s="182"/>
      <c r="BK1376" s="182"/>
      <c r="BL1376" s="182"/>
      <c r="BM1376" s="182"/>
      <c r="BN1376" s="182"/>
      <c r="BO1376" s="182"/>
      <c r="BP1376" s="182"/>
      <c r="BQ1376" s="182"/>
      <c r="BR1376" s="182"/>
      <c r="BS1376" s="182"/>
    </row>
    <row r="1377" spans="1:71" s="523" customFormat="1" ht="15.9" customHeight="1" x14ac:dyDescent="0.3">
      <c r="A1377" s="19" t="s">
        <v>3406</v>
      </c>
      <c r="B1377" s="19" t="s">
        <v>3038</v>
      </c>
      <c r="C1377" s="555" t="s">
        <v>3408</v>
      </c>
      <c r="D1377" s="19" t="s">
        <v>285</v>
      </c>
      <c r="E1377" s="19" t="s">
        <v>286</v>
      </c>
      <c r="F1377" s="19" t="s">
        <v>3409</v>
      </c>
      <c r="G1377" s="15" t="s">
        <v>346</v>
      </c>
      <c r="H1377" s="200">
        <v>850000000</v>
      </c>
      <c r="I1377" s="185" t="s">
        <v>3306</v>
      </c>
      <c r="J1377" s="113" t="str">
        <f>VLOOKUP($I1377,'Price List, Weapons &amp; Items'!B:C,2,0)</f>
        <v>Ammunition for heavy weapon</v>
      </c>
      <c r="K1377" s="113" t="str">
        <f>IF(I1377=".",I1377,VLOOKUP($I1377,'Price List, Weapons &amp; Items'!B:D,3,0))</f>
        <v>152mm howitzer ammunition</v>
      </c>
      <c r="L1377" s="177">
        <f>VLOOKUP(I1377,'Price List, Weapons &amp; Items'!B:E,4,0)</f>
        <v>1</v>
      </c>
      <c r="M1377" s="542">
        <v>45000</v>
      </c>
      <c r="N1377" s="542" t="s">
        <v>270</v>
      </c>
      <c r="O1377" s="543">
        <f>VLOOKUP($I1377,'Price List, Weapons &amp; Items'!B:G,6,0)</f>
        <v>3800</v>
      </c>
      <c r="P1377" s="176">
        <f t="shared" si="326"/>
        <v>171000000</v>
      </c>
      <c r="Q1377" s="176" t="str">
        <f t="shared" si="327"/>
        <v>.</v>
      </c>
      <c r="R1377" s="176" t="str">
        <f t="shared" si="325"/>
        <v/>
      </c>
      <c r="S1377" s="176" t="str">
        <f>IF(AND(AD1377=1,R1377&lt;&gt;".")=TRUE,R1377/VLOOKUP(G1377,'Exchange Rates'!B:C,2,0),IF(R1377=".",".",""))</f>
        <v/>
      </c>
      <c r="T1377" s="176" t="str">
        <f>IF(AD1377=1,IF(AF1377="Value is not given at all",".",IF(AF1377="Value is given by the source",S1377,IF(AF1377="Value is calculated with prices",(IF(SUMIFS(Q:Q,A:A,A1377)&gt;0,SUMIFS(Q:Q,A:A,A1377),"."))/VLOOKUP("USD",'Exchange Rates'!B:C,2,0),"Error with coding"))),"")</f>
        <v/>
      </c>
      <c r="U1377" s="15" t="s">
        <v>261</v>
      </c>
      <c r="V1377" s="305" t="s">
        <v>3390</v>
      </c>
      <c r="W1377" s="814" t="s">
        <v>3059</v>
      </c>
      <c r="X1377" s="665" t="s">
        <v>3062</v>
      </c>
      <c r="Y1377" s="671" t="s">
        <v>3070</v>
      </c>
      <c r="Z1377" s="15">
        <v>0</v>
      </c>
      <c r="AA1377" s="180">
        <v>1</v>
      </c>
      <c r="AB1377" s="17" t="s">
        <v>260</v>
      </c>
      <c r="AC1377" s="544"/>
      <c r="AD1377" s="181">
        <v>0</v>
      </c>
      <c r="AE1377" s="181" t="s">
        <v>264</v>
      </c>
      <c r="AF1377" s="181" t="s">
        <v>265</v>
      </c>
      <c r="AG1377" s="181">
        <v>1</v>
      </c>
      <c r="AH1377" s="181">
        <v>12</v>
      </c>
      <c r="AI1377" s="181">
        <v>0</v>
      </c>
      <c r="AJ1377" s="181">
        <f>VLOOKUP($I1377,'Price List, Weapons &amp; Items'!B:F,5,0)</f>
        <v>1</v>
      </c>
      <c r="AK1377" s="181">
        <f t="shared" si="328"/>
        <v>0</v>
      </c>
      <c r="AL1377" s="181">
        <f t="shared" si="329"/>
        <v>1</v>
      </c>
      <c r="AM1377" s="181">
        <f t="shared" si="330"/>
        <v>0</v>
      </c>
      <c r="AN1377" s="180" t="str">
        <f>VLOOKUP($I1377,'Price List, Weapons &amp; Items'!B:L,COLUMN('Price List, Weapons &amp; Items'!$J$11)-1,0)</f>
        <v>Contracts</v>
      </c>
      <c r="AO1377" s="180" t="str">
        <f>IF(I1377=".",".",VLOOKUP($I1377,'Price List, Weapons &amp; Items'!B:J,3,0))</f>
        <v>152mm howitzer ammunition</v>
      </c>
      <c r="AP1377" s="545" t="str">
        <f t="shared" ca="1" si="336"/>
        <v/>
      </c>
      <c r="AQ1377" s="180">
        <f>VLOOKUP($I1377,'Price List, Weapons &amp; Items'!B:L,COLUMN('Price List, Weapons &amp; Items'!$L$11)-1,0)</f>
        <v>2</v>
      </c>
      <c r="AR1377" s="180">
        <f t="shared" si="331"/>
        <v>1</v>
      </c>
      <c r="AS1377" s="180">
        <f t="shared" si="332"/>
        <v>1</v>
      </c>
      <c r="AT1377" s="180" t="str">
        <f t="shared" si="334"/>
        <v>Value is not in date format</v>
      </c>
      <c r="AU1377" s="180" t="str">
        <f>IF(AND(A1377=A1375,C1377=C1375)=TRUE,IF(F1377=F1375,".","1"),".")</f>
        <v>.</v>
      </c>
      <c r="AV1377" s="180" t="str">
        <f t="shared" si="335"/>
        <v>.</v>
      </c>
      <c r="AW1377" s="180">
        <f>IFERROR(VLOOKUP(B1377,'Share, Heavy Weapons to Ukraine'!B:J,COLUMN('Share, Heavy Weapons to Ukraine'!C1387)-1,0),0)</f>
        <v>1</v>
      </c>
      <c r="AX1377" s="180">
        <f>VLOOKUP('Bilateral Assistance, MAIN DATA'!B1377,'Country Summary'!B:F,COLUMN('Country Summary'!C1390)-1,FALSE)</f>
        <v>0</v>
      </c>
      <c r="AY1377" s="180" t="str">
        <f>IF(AND(AD1377=1,D1377="Military",H1377&lt;&gt;"Not given")=TRUE,IF(SUMIFS(P:P,A:A,A1377)&gt;0,ABS((SUMIFS(P:P,A:A,A1377)/VLOOKUP("USD",'Exchange Rates'!B:C,2,0)))/S1377,"."),".")</f>
        <v>.</v>
      </c>
      <c r="AZ1377" s="182" t="str">
        <f>IF(AND(AD1377=1,D1377="Military",H1377&lt;&gt;"Not given")=TRUE,IF(SUMIFS(P:P,A:A,A1377)&gt;0,IF((ABS((SUMIFS(P:P,A:A,A1377)/VLOOKUP("USD",'Exchange Rates'!B:C,2,0)))/S1377)&gt;1,(SUMIFS(P:P,A:A,A1377)-S1377)/S1377,(S1377-SUMIFS(P:P,A:A,A1377))/SUMIFS(P:P,A:A,A1377)),"."),".")</f>
        <v>.</v>
      </c>
      <c r="BA1377" s="182"/>
      <c r="BB1377" s="182"/>
      <c r="BC1377" s="182"/>
      <c r="BD1377" s="182"/>
      <c r="BE1377" s="182"/>
      <c r="BF1377" s="182"/>
      <c r="BG1377" s="182"/>
      <c r="BH1377" s="182"/>
      <c r="BI1377" s="182"/>
      <c r="BJ1377" s="182"/>
      <c r="BK1377" s="182"/>
      <c r="BL1377" s="182"/>
      <c r="BM1377" s="182"/>
      <c r="BN1377" s="182"/>
      <c r="BO1377" s="182"/>
      <c r="BP1377" s="182"/>
      <c r="BQ1377" s="182"/>
      <c r="BR1377" s="182"/>
      <c r="BS1377" s="182"/>
    </row>
    <row r="1378" spans="1:71" s="523" customFormat="1" ht="15.9" customHeight="1" x14ac:dyDescent="0.3">
      <c r="A1378" s="19" t="s">
        <v>3406</v>
      </c>
      <c r="B1378" s="19" t="s">
        <v>3038</v>
      </c>
      <c r="C1378" s="555" t="s">
        <v>3408</v>
      </c>
      <c r="D1378" s="19" t="s">
        <v>285</v>
      </c>
      <c r="E1378" s="19" t="s">
        <v>286</v>
      </c>
      <c r="F1378" s="19" t="s">
        <v>3409</v>
      </c>
      <c r="G1378" s="15" t="s">
        <v>346</v>
      </c>
      <c r="H1378" s="200">
        <v>850000000</v>
      </c>
      <c r="I1378" s="185" t="s">
        <v>2337</v>
      </c>
      <c r="J1378" s="113" t="str">
        <f>VLOOKUP($I1378,'Price List, Weapons &amp; Items'!B:C,2,0)</f>
        <v>Ammunition for heavy weapon</v>
      </c>
      <c r="K1378" s="113" t="str">
        <f>IF(I1378=".",I1378,VLOOKUP($I1378,'Price List, Weapons &amp; Items'!B:D,3,0))</f>
        <v>152mm howitzer ammunition</v>
      </c>
      <c r="L1378" s="177">
        <f>VLOOKUP(I1378,'Price List, Weapons &amp; Items'!B:E,4,0)</f>
        <v>0</v>
      </c>
      <c r="M1378" s="542">
        <v>20000</v>
      </c>
      <c r="N1378" s="542" t="s">
        <v>270</v>
      </c>
      <c r="O1378" s="543">
        <f>VLOOKUP($I1378,'Price List, Weapons &amp; Items'!B:G,6,0)</f>
        <v>2000</v>
      </c>
      <c r="P1378" s="176">
        <f t="shared" si="326"/>
        <v>40000000</v>
      </c>
      <c r="Q1378" s="176" t="str">
        <f t="shared" si="327"/>
        <v>.</v>
      </c>
      <c r="R1378" s="176" t="str">
        <f t="shared" si="325"/>
        <v/>
      </c>
      <c r="S1378" s="176" t="str">
        <f>IF(AND(AD1378=1,R1378&lt;&gt;".")=TRUE,R1378/VLOOKUP(G1378,'Exchange Rates'!B:C,2,0),IF(R1378=".",".",""))</f>
        <v/>
      </c>
      <c r="T1378" s="176" t="str">
        <f>IF(AD1378=1,IF(AF1378="Value is not given at all",".",IF(AF1378="Value is given by the source",S1378,IF(AF1378="Value is calculated with prices",(IF(SUMIFS(Q:Q,A:A,A1378)&gt;0,SUMIFS(Q:Q,A:A,A1378),"."))/VLOOKUP("USD",'Exchange Rates'!B:C,2,0),"Error with coding"))),"")</f>
        <v/>
      </c>
      <c r="U1378" s="15" t="s">
        <v>261</v>
      </c>
      <c r="V1378" s="305" t="s">
        <v>3390</v>
      </c>
      <c r="W1378" s="814" t="s">
        <v>3059</v>
      </c>
      <c r="X1378" s="665" t="s">
        <v>3062</v>
      </c>
      <c r="Y1378" s="671" t="s">
        <v>3072</v>
      </c>
      <c r="Z1378" s="15">
        <v>0</v>
      </c>
      <c r="AA1378" s="180">
        <v>1</v>
      </c>
      <c r="AB1378" s="17" t="s">
        <v>260</v>
      </c>
      <c r="AC1378" s="544"/>
      <c r="AD1378" s="181">
        <v>0</v>
      </c>
      <c r="AE1378" s="181" t="s">
        <v>264</v>
      </c>
      <c r="AF1378" s="181" t="s">
        <v>265</v>
      </c>
      <c r="AG1378" s="181">
        <v>1</v>
      </c>
      <c r="AH1378" s="181">
        <v>12</v>
      </c>
      <c r="AI1378" s="181">
        <v>0</v>
      </c>
      <c r="AJ1378" s="181">
        <f>VLOOKUP($I1378,'Price List, Weapons &amp; Items'!B:F,5,0)</f>
        <v>1</v>
      </c>
      <c r="AK1378" s="181">
        <f t="shared" si="328"/>
        <v>0</v>
      </c>
      <c r="AL1378" s="181">
        <f t="shared" si="329"/>
        <v>1</v>
      </c>
      <c r="AM1378" s="181">
        <f t="shared" si="330"/>
        <v>1</v>
      </c>
      <c r="AN1378" s="180" t="str">
        <f>VLOOKUP($I1378,'Price List, Weapons &amp; Items'!B:L,COLUMN('Price List, Weapons &amp; Items'!$J$11)-1,0)</f>
        <v>Media reports (incl. social media)</v>
      </c>
      <c r="AO1378" s="180" t="str">
        <f>IF(I1378=".",".",VLOOKUP($I1378,'Price List, Weapons &amp; Items'!B:J,3,0))</f>
        <v>152mm howitzer ammunition</v>
      </c>
      <c r="AP1378" s="545" t="str">
        <f t="shared" ca="1" si="336"/>
        <v/>
      </c>
      <c r="AQ1378" s="180">
        <f>VLOOKUP($I1378,'Price List, Weapons &amp; Items'!B:L,COLUMN('Price List, Weapons &amp; Items'!$L$11)-1,0)</f>
        <v>2</v>
      </c>
      <c r="AR1378" s="180">
        <f t="shared" si="331"/>
        <v>1</v>
      </c>
      <c r="AS1378" s="180">
        <f t="shared" si="332"/>
        <v>1</v>
      </c>
      <c r="AT1378" s="180" t="str">
        <f t="shared" si="334"/>
        <v>Value is not in date format</v>
      </c>
      <c r="AU1378" s="180" t="str">
        <f t="shared" si="333"/>
        <v>.</v>
      </c>
      <c r="AV1378" s="180" t="str">
        <f t="shared" si="335"/>
        <v>.</v>
      </c>
      <c r="AW1378" s="180">
        <f>IFERROR(VLOOKUP(B1378,'Share, Heavy Weapons to Ukraine'!B:J,COLUMN('Share, Heavy Weapons to Ukraine'!C1388)-1,0),0)</f>
        <v>1</v>
      </c>
      <c r="AX1378" s="180">
        <f>VLOOKUP('Bilateral Assistance, MAIN DATA'!B1378,'Country Summary'!B:F,COLUMN('Country Summary'!C1391)-1,FALSE)</f>
        <v>0</v>
      </c>
      <c r="AY1378" s="180" t="str">
        <f>IF(AND(AD1378=1,D1378="Military",H1378&lt;&gt;"Not given")=TRUE,IF(SUMIFS(P:P,A:A,A1378)&gt;0,ABS((SUMIFS(P:P,A:A,A1378)/VLOOKUP("USD",'Exchange Rates'!B:C,2,0)))/S1378,"."),".")</f>
        <v>.</v>
      </c>
      <c r="AZ1378" s="182" t="str">
        <f>IF(AND(AD1378=1,D1378="Military",H1378&lt;&gt;"Not given")=TRUE,IF(SUMIFS(P:P,A:A,A1378)&gt;0,IF((ABS((SUMIFS(P:P,A:A,A1378)/VLOOKUP("USD",'Exchange Rates'!B:C,2,0)))/S1378)&gt;1,(SUMIFS(P:P,A:A,A1378)-S1378)/S1378,(S1378-SUMIFS(P:P,A:A,A1378))/SUMIFS(P:P,A:A,A1378)),"."),".")</f>
        <v>.</v>
      </c>
      <c r="BA1378" s="182"/>
      <c r="BB1378" s="182"/>
      <c r="BC1378" s="182"/>
      <c r="BD1378" s="182"/>
      <c r="BE1378" s="182"/>
      <c r="BF1378" s="182"/>
      <c r="BG1378" s="182"/>
      <c r="BH1378" s="182"/>
      <c r="BI1378" s="182"/>
      <c r="BJ1378" s="182"/>
      <c r="BK1378" s="182"/>
      <c r="BL1378" s="182"/>
      <c r="BM1378" s="182"/>
      <c r="BN1378" s="182"/>
      <c r="BO1378" s="182"/>
      <c r="BP1378" s="182"/>
      <c r="BQ1378" s="182"/>
      <c r="BR1378" s="182"/>
      <c r="BS1378" s="182"/>
    </row>
    <row r="1379" spans="1:71" s="523" customFormat="1" ht="15.9" customHeight="1" x14ac:dyDescent="0.3">
      <c r="A1379" s="19" t="s">
        <v>3406</v>
      </c>
      <c r="B1379" s="19" t="s">
        <v>3038</v>
      </c>
      <c r="C1379" s="555" t="s">
        <v>3408</v>
      </c>
      <c r="D1379" s="19" t="s">
        <v>285</v>
      </c>
      <c r="E1379" s="19" t="s">
        <v>286</v>
      </c>
      <c r="F1379" s="19" t="s">
        <v>3409</v>
      </c>
      <c r="G1379" s="15" t="s">
        <v>346</v>
      </c>
      <c r="H1379" s="200">
        <v>850000000</v>
      </c>
      <c r="I1379" s="157" t="s">
        <v>3410</v>
      </c>
      <c r="J1379" s="113" t="str">
        <f>VLOOKUP($I1379,'Price List, Weapons &amp; Items'!B:C,2,0)</f>
        <v>Ammunition for heavy weapon</v>
      </c>
      <c r="K1379" s="113" t="str">
        <f>IF(I1379=".",I1379,VLOOKUP($I1379,'Price List, Weapons &amp; Items'!B:D,3,0))</f>
        <v>122mm MLRS ammunition</v>
      </c>
      <c r="L1379" s="177">
        <f>VLOOKUP(I1379,'Price List, Weapons &amp; Items'!B:E,4,0)</f>
        <v>1</v>
      </c>
      <c r="M1379" s="542">
        <v>50000</v>
      </c>
      <c r="N1379" s="542" t="s">
        <v>270</v>
      </c>
      <c r="O1379" s="543">
        <f>VLOOKUP($I1379,'Price List, Weapons &amp; Items'!B:G,6,0)</f>
        <v>1000</v>
      </c>
      <c r="P1379" s="176">
        <f t="shared" si="326"/>
        <v>50000000</v>
      </c>
      <c r="Q1379" s="176" t="str">
        <f t="shared" si="327"/>
        <v>.</v>
      </c>
      <c r="R1379" s="176" t="str">
        <f t="shared" ref="R1379:R1405" si="344">IF(AD1379=1,IF(H1379&lt;&gt;"Not given",H1379,IF(TYPE(H1379)=2,IF(SUMIFS(P:P,A:A,A1379)&gt;0,SUMIFS(P:P,A:A,A1379),"."),"Format error")),"")</f>
        <v/>
      </c>
      <c r="S1379" s="176" t="str">
        <f>IF(AND(AD1379=1,R1379&lt;&gt;".")=TRUE,R1379/VLOOKUP(G1379,'Exchange Rates'!B:C,2,0),IF(R1379=".",".",""))</f>
        <v/>
      </c>
      <c r="T1379" s="176" t="str">
        <f>IF(AD1379=1,IF(AF1379="Value is not given at all",".",IF(AF1379="Value is given by the source",S1379,IF(AF1379="Value is calculated with prices",(IF(SUMIFS(Q:Q,A:A,A1379)&gt;0,SUMIFS(Q:Q,A:A,A1379),"."))/VLOOKUP("USD",'Exchange Rates'!B:C,2,0),"Error with coding"))),"")</f>
        <v/>
      </c>
      <c r="U1379" s="15" t="s">
        <v>261</v>
      </c>
      <c r="V1379" s="305" t="s">
        <v>3390</v>
      </c>
      <c r="W1379" s="814" t="s">
        <v>3059</v>
      </c>
      <c r="X1379" s="665" t="s">
        <v>3062</v>
      </c>
      <c r="Y1379" s="671" t="s">
        <v>3074</v>
      </c>
      <c r="Z1379" s="15">
        <v>0</v>
      </c>
      <c r="AA1379" s="180">
        <v>1</v>
      </c>
      <c r="AB1379" s="17" t="s">
        <v>260</v>
      </c>
      <c r="AC1379" s="544"/>
      <c r="AD1379" s="181">
        <v>0</v>
      </c>
      <c r="AE1379" s="181" t="s">
        <v>264</v>
      </c>
      <c r="AF1379" s="181" t="s">
        <v>265</v>
      </c>
      <c r="AG1379" s="181">
        <v>1</v>
      </c>
      <c r="AH1379" s="181">
        <v>12</v>
      </c>
      <c r="AI1379" s="181">
        <v>0</v>
      </c>
      <c r="AJ1379" s="181">
        <f>VLOOKUP($I1379,'Price List, Weapons &amp; Items'!B:F,5,0)</f>
        <v>1</v>
      </c>
      <c r="AK1379" s="181">
        <f t="shared" si="328"/>
        <v>0</v>
      </c>
      <c r="AL1379" s="181">
        <f t="shared" si="329"/>
        <v>1</v>
      </c>
      <c r="AM1379" s="181">
        <f t="shared" si="330"/>
        <v>0</v>
      </c>
      <c r="AN1379" s="180" t="str">
        <f>VLOOKUP($I1379,'Price List, Weapons &amp; Items'!B:L,COLUMN('Price List, Weapons &amp; Items'!$J$11)-1,0)</f>
        <v>Media reports (incl. social media)</v>
      </c>
      <c r="AO1379" s="180" t="str">
        <f>IF(I1379=".",".",VLOOKUP($I1379,'Price List, Weapons &amp; Items'!B:J,3,0))</f>
        <v>122mm MLRS ammunition</v>
      </c>
      <c r="AP1379" s="545" t="str">
        <f t="shared" ca="1" si="336"/>
        <v/>
      </c>
      <c r="AQ1379" s="180">
        <f>VLOOKUP($I1379,'Price List, Weapons &amp; Items'!B:L,COLUMN('Price List, Weapons &amp; Items'!$L$11)-1,0)</f>
        <v>2</v>
      </c>
      <c r="AR1379" s="180">
        <f t="shared" si="331"/>
        <v>1</v>
      </c>
      <c r="AS1379" s="180">
        <f t="shared" si="332"/>
        <v>1</v>
      </c>
      <c r="AT1379" s="180" t="str">
        <f t="shared" si="334"/>
        <v>Value is not in date format</v>
      </c>
      <c r="AU1379" s="180" t="str">
        <f t="shared" si="333"/>
        <v>.</v>
      </c>
      <c r="AV1379" s="180" t="str">
        <f t="shared" si="335"/>
        <v>.</v>
      </c>
      <c r="AW1379" s="180">
        <f>IFERROR(VLOOKUP(B1379,'Share, Heavy Weapons to Ukraine'!B:J,COLUMN('Share, Heavy Weapons to Ukraine'!C1389)-1,0),0)</f>
        <v>1</v>
      </c>
      <c r="AX1379" s="180">
        <f>VLOOKUP('Bilateral Assistance, MAIN DATA'!B1379,'Country Summary'!B:F,COLUMN('Country Summary'!C1392)-1,FALSE)</f>
        <v>0</v>
      </c>
      <c r="AY1379" s="180" t="str">
        <f>IF(AND(AD1379=1,D1379="Military",H1379&lt;&gt;"Not given")=TRUE,IF(SUMIFS(P:P,A:A,A1379)&gt;0,ABS((SUMIFS(P:P,A:A,A1379)/VLOOKUP("USD",'Exchange Rates'!B:C,2,0)))/S1379,"."),".")</f>
        <v>.</v>
      </c>
      <c r="AZ1379" s="182" t="str">
        <f>IF(AND(AD1379=1,D1379="Military",H1379&lt;&gt;"Not given")=TRUE,IF(SUMIFS(P:P,A:A,A1379)&gt;0,IF((ABS((SUMIFS(P:P,A:A,A1379)/VLOOKUP("USD",'Exchange Rates'!B:C,2,0)))/S1379)&gt;1,(SUMIFS(P:P,A:A,A1379)-S1379)/S1379,(S1379-SUMIFS(P:P,A:A,A1379))/SUMIFS(P:P,A:A,A1379)),"."),".")</f>
        <v>.</v>
      </c>
      <c r="BA1379" s="182"/>
      <c r="BB1379" s="182"/>
      <c r="BC1379" s="182"/>
      <c r="BD1379" s="182"/>
      <c r="BE1379" s="182"/>
      <c r="BF1379" s="182"/>
      <c r="BG1379" s="182"/>
      <c r="BH1379" s="182"/>
      <c r="BI1379" s="182"/>
      <c r="BJ1379" s="182"/>
      <c r="BK1379" s="182"/>
      <c r="BL1379" s="182"/>
      <c r="BM1379" s="182"/>
      <c r="BN1379" s="182"/>
      <c r="BO1379" s="182"/>
      <c r="BP1379" s="182"/>
      <c r="BQ1379" s="182"/>
      <c r="BR1379" s="182"/>
      <c r="BS1379" s="182"/>
    </row>
    <row r="1380" spans="1:71" s="523" customFormat="1" ht="15.9" customHeight="1" x14ac:dyDescent="0.3">
      <c r="A1380" s="19" t="s">
        <v>3406</v>
      </c>
      <c r="B1380" s="19" t="s">
        <v>3038</v>
      </c>
      <c r="C1380" s="555" t="s">
        <v>3408</v>
      </c>
      <c r="D1380" s="19" t="s">
        <v>285</v>
      </c>
      <c r="E1380" s="19" t="s">
        <v>286</v>
      </c>
      <c r="F1380" s="19" t="s">
        <v>3409</v>
      </c>
      <c r="G1380" s="15" t="s">
        <v>346</v>
      </c>
      <c r="H1380" s="200">
        <v>850000000</v>
      </c>
      <c r="I1380" s="185" t="s">
        <v>3321</v>
      </c>
      <c r="J1380" s="113" t="str">
        <f>VLOOKUP($I1380,'Price List, Weapons &amp; Items'!B:C,2,0)</f>
        <v>Ammunition for heavy weapon</v>
      </c>
      <c r="K1380" s="113" t="str">
        <f>IF(I1380=".",I1380,VLOOKUP($I1380,'Price List, Weapons &amp; Items'!B:D,3,0))</f>
        <v>122mm howitzer ammunition</v>
      </c>
      <c r="L1380" s="177">
        <f>VLOOKUP(I1380,'Price List, Weapons &amp; Items'!B:E,4,0)</f>
        <v>1</v>
      </c>
      <c r="M1380" s="542">
        <v>100000</v>
      </c>
      <c r="N1380" s="542" t="s">
        <v>270</v>
      </c>
      <c r="O1380" s="543">
        <f>VLOOKUP($I1380,'Price List, Weapons &amp; Items'!B:G,6,0)</f>
        <v>71120.78</v>
      </c>
      <c r="P1380" s="176">
        <f t="shared" si="326"/>
        <v>7112078000</v>
      </c>
      <c r="Q1380" s="176" t="str">
        <f t="shared" si="327"/>
        <v>.</v>
      </c>
      <c r="R1380" s="176" t="str">
        <f t="shared" si="344"/>
        <v/>
      </c>
      <c r="S1380" s="176" t="str">
        <f>IF(AND(AD1380=1,R1380&lt;&gt;".")=TRUE,R1380/VLOOKUP(G1380,'Exchange Rates'!B:C,2,0),IF(R1380=".",".",""))</f>
        <v/>
      </c>
      <c r="T1380" s="176" t="str">
        <f>IF(AD1380=1,IF(AF1380="Value is not given at all",".",IF(AF1380="Value is given by the source",S1380,IF(AF1380="Value is calculated with prices",(IF(SUMIFS(Q:Q,A:A,A1380)&gt;0,SUMIFS(Q:Q,A:A,A1380),"."))/VLOOKUP("USD",'Exchange Rates'!B:C,2,0),"Error with coding"))),"")</f>
        <v/>
      </c>
      <c r="U1380" s="15" t="s">
        <v>261</v>
      </c>
      <c r="V1380" s="305" t="s">
        <v>3390</v>
      </c>
      <c r="W1380" s="814" t="s">
        <v>3059</v>
      </c>
      <c r="X1380" s="665" t="s">
        <v>3062</v>
      </c>
      <c r="Y1380" s="671" t="s">
        <v>3077</v>
      </c>
      <c r="Z1380" s="15">
        <v>0</v>
      </c>
      <c r="AA1380" s="180">
        <v>1</v>
      </c>
      <c r="AB1380" s="17" t="s">
        <v>260</v>
      </c>
      <c r="AC1380" s="544"/>
      <c r="AD1380" s="181">
        <v>0</v>
      </c>
      <c r="AE1380" s="181" t="s">
        <v>264</v>
      </c>
      <c r="AF1380" s="181" t="s">
        <v>265</v>
      </c>
      <c r="AG1380" s="181">
        <v>1</v>
      </c>
      <c r="AH1380" s="181">
        <v>12</v>
      </c>
      <c r="AI1380" s="181">
        <v>0</v>
      </c>
      <c r="AJ1380" s="181">
        <f>VLOOKUP($I1380,'Price List, Weapons &amp; Items'!B:F,5,0)</f>
        <v>0</v>
      </c>
      <c r="AK1380" s="181">
        <f t="shared" si="328"/>
        <v>0</v>
      </c>
      <c r="AL1380" s="181">
        <f t="shared" si="329"/>
        <v>0</v>
      </c>
      <c r="AM1380" s="181">
        <f t="shared" si="330"/>
        <v>1</v>
      </c>
      <c r="AN1380" s="180" t="str">
        <f>VLOOKUP($I1380,'Price List, Weapons &amp; Items'!B:L,COLUMN('Price List, Weapons &amp; Items'!$J$11)-1,0)</f>
        <v>Miscellaneous</v>
      </c>
      <c r="AO1380" s="180" t="str">
        <f>IF(I1380=".",".",VLOOKUP($I1380,'Price List, Weapons &amp; Items'!B:J,3,0))</f>
        <v>122mm howitzer ammunition</v>
      </c>
      <c r="AP1380" s="545" t="str">
        <f t="shared" ca="1" si="336"/>
        <v/>
      </c>
      <c r="AQ1380" s="180">
        <f>VLOOKUP($I1380,'Price List, Weapons &amp; Items'!B:L,COLUMN('Price List, Weapons &amp; Items'!$L$11)-1,0)</f>
        <v>2</v>
      </c>
      <c r="AR1380" s="180">
        <f t="shared" si="331"/>
        <v>1</v>
      </c>
      <c r="AS1380" s="180">
        <f t="shared" si="332"/>
        <v>1</v>
      </c>
      <c r="AT1380" s="180" t="str">
        <f t="shared" si="334"/>
        <v>Value is not in date format</v>
      </c>
      <c r="AU1380" s="180" t="str">
        <f t="shared" si="333"/>
        <v>.</v>
      </c>
      <c r="AV1380" s="180" t="str">
        <f t="shared" si="335"/>
        <v>.</v>
      </c>
      <c r="AW1380" s="180">
        <f>IFERROR(VLOOKUP(B1380,'Share, Heavy Weapons to Ukraine'!B:J,COLUMN('Share, Heavy Weapons to Ukraine'!C1390)-1,0),0)</f>
        <v>1</v>
      </c>
      <c r="AX1380" s="180">
        <f>VLOOKUP('Bilateral Assistance, MAIN DATA'!B1380,'Country Summary'!B:F,COLUMN('Country Summary'!C1393)-1,FALSE)</f>
        <v>0</v>
      </c>
      <c r="AY1380" s="180" t="str">
        <f>IF(AND(AD1380=1,D1380="Military",H1380&lt;&gt;"Not given")=TRUE,IF(SUMIFS(P:P,A:A,A1380)&gt;0,ABS((SUMIFS(P:P,A:A,A1380)/VLOOKUP("USD",'Exchange Rates'!B:C,2,0)))/S1380,"."),".")</f>
        <v>.</v>
      </c>
      <c r="AZ1380" s="182" t="str">
        <f>IF(AND(AD1380=1,D1380="Military",H1380&lt;&gt;"Not given")=TRUE,IF(SUMIFS(P:P,A:A,A1380)&gt;0,IF((ABS((SUMIFS(P:P,A:A,A1380)/VLOOKUP("USD",'Exchange Rates'!B:C,2,0)))/S1380)&gt;1,(SUMIFS(P:P,A:A,A1380)-S1380)/S1380,(S1380-SUMIFS(P:P,A:A,A1380))/SUMIFS(P:P,A:A,A1380)),"."),".")</f>
        <v>.</v>
      </c>
      <c r="BA1380" s="182"/>
      <c r="BB1380" s="182"/>
      <c r="BC1380" s="182"/>
      <c r="BD1380" s="182"/>
      <c r="BE1380" s="182"/>
      <c r="BF1380" s="182"/>
      <c r="BG1380" s="182"/>
      <c r="BH1380" s="182"/>
      <c r="BI1380" s="182"/>
      <c r="BJ1380" s="182"/>
      <c r="BK1380" s="182"/>
      <c r="BL1380" s="182"/>
      <c r="BM1380" s="182"/>
      <c r="BN1380" s="182"/>
      <c r="BO1380" s="182"/>
      <c r="BP1380" s="182"/>
      <c r="BQ1380" s="182"/>
      <c r="BR1380" s="182"/>
      <c r="BS1380" s="182"/>
    </row>
    <row r="1381" spans="1:71" s="523" customFormat="1" ht="15.9" customHeight="1" x14ac:dyDescent="0.3">
      <c r="A1381" s="19" t="s">
        <v>3406</v>
      </c>
      <c r="B1381" s="19" t="s">
        <v>3038</v>
      </c>
      <c r="C1381" s="555" t="s">
        <v>3408</v>
      </c>
      <c r="D1381" s="19" t="s">
        <v>285</v>
      </c>
      <c r="E1381" s="19" t="s">
        <v>286</v>
      </c>
      <c r="F1381" s="19" t="s">
        <v>3409</v>
      </c>
      <c r="G1381" s="15" t="s">
        <v>346</v>
      </c>
      <c r="H1381" s="200">
        <v>850000000</v>
      </c>
      <c r="I1381" s="190" t="s">
        <v>3348</v>
      </c>
      <c r="J1381" s="113" t="str">
        <f>VLOOKUP($I1381,'Price List, Weapons &amp; Items'!B:C,2,0)</f>
        <v>Military equipment</v>
      </c>
      <c r="K1381" s="113" t="str">
        <f>IF(I1381=".",I1381,VLOOKUP($I1381,'Price List, Weapons &amp; Items'!B:D,3,0))</f>
        <v>Military equipment</v>
      </c>
      <c r="L1381" s="177">
        <f>VLOOKUP(I1381,'Price List, Weapons &amp; Items'!B:E,4,0)</f>
        <v>0</v>
      </c>
      <c r="M1381" s="542" t="s">
        <v>270</v>
      </c>
      <c r="N1381" s="542" t="s">
        <v>270</v>
      </c>
      <c r="O1381" s="543" t="str">
        <f>VLOOKUP($I1381,'Price List, Weapons &amp; Items'!B:G,6,0)</f>
        <v>.</v>
      </c>
      <c r="P1381" s="176" t="str">
        <f t="shared" si="326"/>
        <v>.</v>
      </c>
      <c r="Q1381" s="176" t="str">
        <f t="shared" si="327"/>
        <v>.</v>
      </c>
      <c r="R1381" s="176" t="str">
        <f t="shared" si="344"/>
        <v/>
      </c>
      <c r="S1381" s="176" t="str">
        <f>IF(AND(AD1381=1,R1381&lt;&gt;".")=TRUE,R1381/VLOOKUP(G1381,'Exchange Rates'!B:C,2,0),IF(R1381=".",".",""))</f>
        <v/>
      </c>
      <c r="T1381" s="176" t="str">
        <f>IF(AD1381=1,IF(AF1381="Value is not given at all",".",IF(AF1381="Value is given by the source",S1381,IF(AF1381="Value is calculated with prices",(IF(SUMIFS(Q:Q,A:A,A1381)&gt;0,SUMIFS(Q:Q,A:A,A1381),"."))/VLOOKUP("USD",'Exchange Rates'!B:C,2,0),"Error with coding"))),"")</f>
        <v/>
      </c>
      <c r="U1381" s="15" t="s">
        <v>261</v>
      </c>
      <c r="V1381" s="305" t="s">
        <v>3390</v>
      </c>
      <c r="W1381" s="814" t="s">
        <v>3059</v>
      </c>
      <c r="X1381" s="665" t="s">
        <v>3062</v>
      </c>
      <c r="Y1381" s="671" t="s">
        <v>3078</v>
      </c>
      <c r="Z1381" s="15">
        <v>0</v>
      </c>
      <c r="AA1381" s="180">
        <v>1</v>
      </c>
      <c r="AB1381" s="17" t="s">
        <v>260</v>
      </c>
      <c r="AC1381" s="544"/>
      <c r="AD1381" s="181">
        <v>0</v>
      </c>
      <c r="AE1381" s="181" t="s">
        <v>264</v>
      </c>
      <c r="AF1381" s="181" t="s">
        <v>265</v>
      </c>
      <c r="AG1381" s="181">
        <v>1</v>
      </c>
      <c r="AH1381" s="181">
        <v>12</v>
      </c>
      <c r="AI1381" s="181">
        <v>0</v>
      </c>
      <c r="AJ1381" s="181">
        <f>VLOOKUP($I1381,'Price List, Weapons &amp; Items'!B:F,5,0)</f>
        <v>0</v>
      </c>
      <c r="AK1381" s="181">
        <f t="shared" si="328"/>
        <v>0</v>
      </c>
      <c r="AL1381" s="181">
        <f t="shared" si="329"/>
        <v>0</v>
      </c>
      <c r="AM1381" s="181">
        <f t="shared" si="330"/>
        <v>0</v>
      </c>
      <c r="AN1381" s="180" t="str">
        <f>VLOOKUP($I1381,'Price List, Weapons &amp; Items'!B:L,COLUMN('Price List, Weapons &amp; Items'!$J$11)-1,0)</f>
        <v>.</v>
      </c>
      <c r="AO1381" s="180" t="str">
        <f>IF(I1381=".",".",VLOOKUP($I1381,'Price List, Weapons &amp; Items'!B:J,3,0))</f>
        <v>Military equipment</v>
      </c>
      <c r="AP1381" s="545" t="str">
        <f t="shared" ca="1" si="336"/>
        <v/>
      </c>
      <c r="AQ1381" s="180" t="str">
        <f>VLOOKUP($I1381,'Price List, Weapons &amp; Items'!B:L,COLUMN('Price List, Weapons &amp; Items'!$L$11)-1,0)</f>
        <v>no price, 0 count</v>
      </c>
      <c r="AR1381" s="180">
        <f t="shared" si="331"/>
        <v>1</v>
      </c>
      <c r="AS1381" s="180">
        <f t="shared" si="332"/>
        <v>1</v>
      </c>
      <c r="AT1381" s="180" t="str">
        <f t="shared" si="334"/>
        <v>Value is not in date format</v>
      </c>
      <c r="AU1381" s="180" t="str">
        <f t="shared" si="333"/>
        <v>.</v>
      </c>
      <c r="AV1381" s="180" t="str">
        <f t="shared" si="335"/>
        <v>.</v>
      </c>
      <c r="AW1381" s="180">
        <f>IFERROR(VLOOKUP(B1381,'Share, Heavy Weapons to Ukraine'!B:J,COLUMN('Share, Heavy Weapons to Ukraine'!C1391)-1,0),0)</f>
        <v>1</v>
      </c>
      <c r="AX1381" s="180">
        <f>VLOOKUP('Bilateral Assistance, MAIN DATA'!B1381,'Country Summary'!B:F,COLUMN('Country Summary'!C1394)-1,FALSE)</f>
        <v>0</v>
      </c>
      <c r="AY1381" s="180" t="str">
        <f>IF(AND(AD1381=1,D1381="Military",H1381&lt;&gt;"Not given")=TRUE,IF(SUMIFS(P:P,A:A,A1381)&gt;0,ABS((SUMIFS(P:P,A:A,A1381)/VLOOKUP("USD",'Exchange Rates'!B:C,2,0)))/S1381,"."),".")</f>
        <v>.</v>
      </c>
      <c r="AZ1381" s="182" t="str">
        <f>IF(AND(AD1381=1,D1381="Military",H1381&lt;&gt;"Not given")=TRUE,IF(SUMIFS(P:P,A:A,A1381)&gt;0,IF((ABS((SUMIFS(P:P,A:A,A1381)/VLOOKUP("USD",'Exchange Rates'!B:C,2,0)))/S1381)&gt;1,(SUMIFS(P:P,A:A,A1381)-S1381)/S1381,(S1381-SUMIFS(P:P,A:A,A1381))/SUMIFS(P:P,A:A,A1381)),"."),".")</f>
        <v>.</v>
      </c>
      <c r="BA1381" s="182"/>
      <c r="BB1381" s="182"/>
      <c r="BC1381" s="182"/>
      <c r="BD1381" s="182"/>
      <c r="BE1381" s="182"/>
      <c r="BF1381" s="182"/>
      <c r="BG1381" s="182"/>
      <c r="BH1381" s="182"/>
      <c r="BI1381" s="182"/>
      <c r="BJ1381" s="182"/>
      <c r="BK1381" s="182"/>
      <c r="BL1381" s="182"/>
      <c r="BM1381" s="182"/>
      <c r="BN1381" s="182"/>
      <c r="BO1381" s="182"/>
      <c r="BP1381" s="182"/>
      <c r="BQ1381" s="182"/>
      <c r="BR1381" s="182"/>
      <c r="BS1381" s="182"/>
    </row>
    <row r="1382" spans="1:71" s="523" customFormat="1" ht="15.9" customHeight="1" x14ac:dyDescent="0.3">
      <c r="A1382" s="19" t="s">
        <v>3411</v>
      </c>
      <c r="B1382" s="19" t="s">
        <v>3038</v>
      </c>
      <c r="C1382" s="555">
        <v>44901</v>
      </c>
      <c r="D1382" s="19" t="s">
        <v>285</v>
      </c>
      <c r="E1382" s="19" t="s">
        <v>286</v>
      </c>
      <c r="F1382" s="19" t="s">
        <v>3412</v>
      </c>
      <c r="G1382" s="15" t="s">
        <v>346</v>
      </c>
      <c r="H1382" s="200">
        <v>3183000000</v>
      </c>
      <c r="I1382" s="17" t="s">
        <v>260</v>
      </c>
      <c r="J1382" s="113" t="str">
        <f>VLOOKUP($I1382,'Price List, Weapons &amp; Items'!B:C,2,0)</f>
        <v>.</v>
      </c>
      <c r="K1382" s="113" t="str">
        <f>IF(I1382=".",I1382,VLOOKUP($I1382,'Price List, Weapons &amp; Items'!B:D,3,0))</f>
        <v>.</v>
      </c>
      <c r="L1382" s="177">
        <f>VLOOKUP(I1382,'Price List, Weapons &amp; Items'!B:E,4,0)</f>
        <v>0</v>
      </c>
      <c r="M1382" s="542" t="s">
        <v>260</v>
      </c>
      <c r="N1382" s="542" t="s">
        <v>260</v>
      </c>
      <c r="O1382" s="543" t="str">
        <f>VLOOKUP($I1382,'Price List, Weapons &amp; Items'!B:G,6,0)</f>
        <v>.</v>
      </c>
      <c r="P1382" s="176" t="str">
        <f t="shared" si="326"/>
        <v>.</v>
      </c>
      <c r="Q1382" s="176" t="str">
        <f t="shared" si="327"/>
        <v>.</v>
      </c>
      <c r="R1382" s="176">
        <f t="shared" si="344"/>
        <v>3183000000</v>
      </c>
      <c r="S1382" s="176">
        <f>IF(AND(AD1382=1,R1382&lt;&gt;".")=TRUE,R1382/VLOOKUP(G1382,'Exchange Rates'!B:C,2,0),IF(R1382=".",".",""))</f>
        <v>3031428571.4285712</v>
      </c>
      <c r="T1382" s="176"/>
      <c r="U1382" s="15" t="s">
        <v>261</v>
      </c>
      <c r="V1382" s="671" t="s">
        <v>3413</v>
      </c>
      <c r="W1382" s="671" t="s">
        <v>3414</v>
      </c>
      <c r="X1382" s="665" t="s">
        <v>3067</v>
      </c>
      <c r="Y1382" s="815" t="s">
        <v>260</v>
      </c>
      <c r="Z1382" s="15">
        <v>0</v>
      </c>
      <c r="AA1382" s="180">
        <v>1</v>
      </c>
      <c r="AB1382" s="17" t="s">
        <v>260</v>
      </c>
      <c r="AC1382" s="544"/>
      <c r="AD1382" s="181">
        <v>1</v>
      </c>
      <c r="AE1382" s="181" t="s">
        <v>264</v>
      </c>
      <c r="AF1382" s="181" t="s">
        <v>265</v>
      </c>
      <c r="AG1382" s="181">
        <v>1</v>
      </c>
      <c r="AH1382" s="181">
        <v>12</v>
      </c>
      <c r="AI1382" s="181">
        <v>0</v>
      </c>
      <c r="AJ1382" s="181">
        <f>VLOOKUP($I1382,'Price List, Weapons &amp; Items'!B:F,5,0)</f>
        <v>0</v>
      </c>
      <c r="AK1382" s="181">
        <f t="shared" si="328"/>
        <v>0</v>
      </c>
      <c r="AL1382" s="181">
        <f t="shared" si="329"/>
        <v>0</v>
      </c>
      <c r="AM1382" s="181">
        <f t="shared" si="330"/>
        <v>0</v>
      </c>
      <c r="AN1382" s="180" t="str">
        <f>VLOOKUP($I1382,'Price List, Weapons &amp; Items'!B:L,COLUMN('Price List, Weapons &amp; Items'!$J$11)-1,0)</f>
        <v>.</v>
      </c>
      <c r="AO1382" s="180" t="str">
        <f>IF(I1382=".",".",VLOOKUP($I1382,'Price List, Weapons &amp; Items'!B:J,3,0))</f>
        <v>.</v>
      </c>
      <c r="AP1382" s="545" t="e">
        <f t="shared" ca="1" si="336"/>
        <v>#NAME?</v>
      </c>
      <c r="AQ1382" s="180" t="str">
        <f>VLOOKUP($I1382,'Price List, Weapons &amp; Items'!B:L,COLUMN('Price List, Weapons &amp; Items'!$L$11)-1,0)</f>
        <v>no price, 0 count</v>
      </c>
      <c r="AR1382" s="180">
        <f t="shared" si="331"/>
        <v>1</v>
      </c>
      <c r="AS1382" s="180">
        <f t="shared" si="332"/>
        <v>1</v>
      </c>
      <c r="AT1382" s="180">
        <f t="shared" si="334"/>
        <v>1</v>
      </c>
      <c r="AU1382" s="180" t="str">
        <f t="shared" si="333"/>
        <v>.</v>
      </c>
      <c r="AV1382" s="180" t="str">
        <f t="shared" si="335"/>
        <v>.</v>
      </c>
      <c r="AW1382" s="180">
        <f>IFERROR(VLOOKUP(B1382,'Share, Heavy Weapons to Ukraine'!B:J,COLUMN('Share, Heavy Weapons to Ukraine'!C1392)-1,0),0)</f>
        <v>1</v>
      </c>
      <c r="AX1382" s="180">
        <f>VLOOKUP('Bilateral Assistance, MAIN DATA'!B1382,'Country Summary'!B:F,COLUMN('Country Summary'!C1395)-1,FALSE)</f>
        <v>0</v>
      </c>
      <c r="AY1382" s="180" t="str">
        <f>IF(AND(AD1382=1,D1382="Military",H1382&lt;&gt;"Not given")=TRUE,IF(SUMIFS(P:P,A:A,A1382)&gt;0,ABS((SUMIFS(P:P,A:A,A1382)/VLOOKUP("USD",'Exchange Rates'!B:C,2,0)))/S1382,"."),".")</f>
        <v>.</v>
      </c>
      <c r="AZ1382" s="182" t="str">
        <f>IF(AND(AD1382=1,D1382="Military",H1382&lt;&gt;"Not given")=TRUE,IF(SUMIFS(P:P,A:A,A1382)&gt;0,IF((ABS((SUMIFS(P:P,A:A,A1382)/VLOOKUP("USD",'Exchange Rates'!B:C,2,0)))/S1382)&gt;1,(SUMIFS(P:P,A:A,A1382)-S1382)/S1382,(S1382-SUMIFS(P:P,A:A,A1382))/SUMIFS(P:P,A:A,A1382)),"."),".")</f>
        <v>.</v>
      </c>
      <c r="BA1382" s="182"/>
      <c r="BB1382" s="182"/>
      <c r="BC1382" s="182"/>
      <c r="BD1382" s="182"/>
      <c r="BE1382" s="182"/>
      <c r="BF1382" s="182"/>
      <c r="BG1382" s="182"/>
      <c r="BH1382" s="182"/>
      <c r="BI1382" s="182"/>
      <c r="BJ1382" s="182"/>
      <c r="BK1382" s="182"/>
      <c r="BL1382" s="182"/>
      <c r="BM1382" s="182"/>
      <c r="BN1382" s="182"/>
      <c r="BO1382" s="182"/>
      <c r="BP1382" s="182"/>
      <c r="BQ1382" s="182"/>
      <c r="BR1382" s="182"/>
      <c r="BS1382" s="182"/>
    </row>
    <row r="1383" spans="1:71" s="523" customFormat="1" ht="15.9" customHeight="1" x14ac:dyDescent="0.3">
      <c r="A1383" s="19" t="s">
        <v>3415</v>
      </c>
      <c r="B1383" s="19" t="s">
        <v>3038</v>
      </c>
      <c r="C1383" s="555">
        <v>44635</v>
      </c>
      <c r="D1383" s="19" t="s">
        <v>405</v>
      </c>
      <c r="E1383" s="19" t="s">
        <v>362</v>
      </c>
      <c r="F1383" s="19" t="s">
        <v>3416</v>
      </c>
      <c r="G1383" s="199" t="s">
        <v>346</v>
      </c>
      <c r="H1383" s="70">
        <v>1000000000</v>
      </c>
      <c r="I1383" s="19" t="s">
        <v>260</v>
      </c>
      <c r="J1383" s="113" t="str">
        <f>VLOOKUP($I1383,'Price List, Weapons &amp; Items'!B:C,2,0)</f>
        <v>.</v>
      </c>
      <c r="K1383" s="113" t="str">
        <f>IF(I1383=".",I1383,VLOOKUP($I1383,'Price List, Weapons &amp; Items'!B:D,3,0))</f>
        <v>.</v>
      </c>
      <c r="L1383" s="177">
        <f>VLOOKUP(I1383,'Price List, Weapons &amp; Items'!B:E,4,0)</f>
        <v>0</v>
      </c>
      <c r="M1383" s="247" t="s">
        <v>260</v>
      </c>
      <c r="N1383" s="542" t="s">
        <v>260</v>
      </c>
      <c r="O1383" s="543" t="str">
        <f>VLOOKUP($I1383,'Price List, Weapons &amp; Items'!B:G,6,0)</f>
        <v>.</v>
      </c>
      <c r="P1383" s="176" t="str">
        <f t="shared" si="326"/>
        <v>.</v>
      </c>
      <c r="Q1383" s="176" t="str">
        <f t="shared" si="327"/>
        <v>.</v>
      </c>
      <c r="R1383" s="176">
        <f t="shared" si="344"/>
        <v>1000000000</v>
      </c>
      <c r="S1383" s="176">
        <f>IF(AND(AD1383=1,R1383&lt;&gt;".")=TRUE,R1383/VLOOKUP(G1383,'Exchange Rates'!B:C,2,0),IF(R1383=".",".",""))</f>
        <v>952380952.38095236</v>
      </c>
      <c r="T1383" s="176" t="str">
        <f>IF(AD1383=1,IF(AF1383="Value is not given at all",".",IF(AF1383="Value is given by the source",S1383,IF(AF1383="Value is calculated with prices",(IF(SUMIFS(Q:Q,A:A,A1383)&gt;0,SUMIFS(Q:Q,A:A,A1383),"."))/VLOOKUP("USD",'Exchange Rates'!B:C,2,0),"Error with coding"))),"")</f>
        <v>.</v>
      </c>
      <c r="U1383" s="15" t="s">
        <v>261</v>
      </c>
      <c r="V1383" s="304" t="s">
        <v>3044</v>
      </c>
      <c r="W1383" s="671" t="s">
        <v>3417</v>
      </c>
      <c r="X1383" s="19" t="s">
        <v>260</v>
      </c>
      <c r="Y1383" s="19" t="s">
        <v>260</v>
      </c>
      <c r="Z1383" s="15">
        <v>1</v>
      </c>
      <c r="AA1383" s="180">
        <v>1</v>
      </c>
      <c r="AB1383" s="17" t="s">
        <v>260</v>
      </c>
      <c r="AC1383" s="664" t="s">
        <v>27</v>
      </c>
      <c r="AD1383" s="199">
        <v>1</v>
      </c>
      <c r="AE1383" s="199" t="s">
        <v>264</v>
      </c>
      <c r="AF1383" s="199" t="s">
        <v>265</v>
      </c>
      <c r="AG1383" s="199">
        <v>1</v>
      </c>
      <c r="AH1383" s="199">
        <v>3</v>
      </c>
      <c r="AI1383" s="199">
        <v>0</v>
      </c>
      <c r="AJ1383" s="181">
        <f>VLOOKUP($I1383,'Price List, Weapons &amp; Items'!B:F,5,0)</f>
        <v>0</v>
      </c>
      <c r="AK1383" s="181">
        <f t="shared" si="328"/>
        <v>0</v>
      </c>
      <c r="AL1383" s="181">
        <f t="shared" si="329"/>
        <v>0</v>
      </c>
      <c r="AM1383" s="181">
        <f t="shared" si="330"/>
        <v>0</v>
      </c>
      <c r="AN1383" s="180" t="str">
        <f>VLOOKUP($I1383,'Price List, Weapons &amp; Items'!B:L,COLUMN('Price List, Weapons &amp; Items'!$J$11)-1,0)</f>
        <v>.</v>
      </c>
      <c r="AO1383" s="180" t="str">
        <f>IF(I1383=".",".",VLOOKUP($I1383,'Price List, Weapons &amp; Items'!B:J,3,0))</f>
        <v>.</v>
      </c>
      <c r="AP1383" s="545" t="e">
        <f t="shared" ca="1" si="336"/>
        <v>#NAME?</v>
      </c>
      <c r="AQ1383" s="180" t="str">
        <f>VLOOKUP($I1383,'Price List, Weapons &amp; Items'!B:L,COLUMN('Price List, Weapons &amp; Items'!$L$11)-1,0)</f>
        <v>no price, 0 count</v>
      </c>
      <c r="AR1383" s="180">
        <f t="shared" si="331"/>
        <v>1</v>
      </c>
      <c r="AS1383" s="180">
        <f t="shared" si="332"/>
        <v>0</v>
      </c>
      <c r="AT1383" s="180">
        <f t="shared" si="334"/>
        <v>1</v>
      </c>
      <c r="AU1383" s="180" t="str">
        <f>IF(AND(A1383=A1381,C1383=C1381)=TRUE,IF(F1383=F1381,".","1"),".")</f>
        <v>.</v>
      </c>
      <c r="AV1383" s="180" t="str">
        <f t="shared" si="335"/>
        <v>.</v>
      </c>
      <c r="AW1383" s="180">
        <f>IFERROR(VLOOKUP(B1383,'Share, Heavy Weapons to Ukraine'!B:J,COLUMN('Share, Heavy Weapons to Ukraine'!C1393)-1,0),0)</f>
        <v>1</v>
      </c>
      <c r="AX1383" s="180">
        <f>VLOOKUP('Bilateral Assistance, MAIN DATA'!B1383,'Country Summary'!B:F,COLUMN('Country Summary'!C1396)-1,FALSE)</f>
        <v>0</v>
      </c>
      <c r="AY1383" s="180" t="str">
        <f>IF(AND(AD1383=1,D1383="Military",H1383&lt;&gt;"Not given")=TRUE,IF(SUMIFS(P:P,A:A,A1383)&gt;0,ABS((SUMIFS(P:P,A:A,A1383)/VLOOKUP("USD",'Exchange Rates'!B:C,2,0)))/S1383,"."),".")</f>
        <v>.</v>
      </c>
      <c r="AZ1383" s="182" t="str">
        <f>IF(AND(AD1383=1,D1383="Military",H1383&lt;&gt;"Not given")=TRUE,IF(SUMIFS(P:P,A:A,A1383)&gt;0,IF((ABS((SUMIFS(P:P,A:A,A1383)/VLOOKUP("USD",'Exchange Rates'!B:C,2,0)))/S1383)&gt;1,(SUMIFS(P:P,A:A,A1383)-S1383)/S1383,(S1383-SUMIFS(P:P,A:A,A1383))/SUMIFS(P:P,A:A,A1383)),"."),".")</f>
        <v>.</v>
      </c>
      <c r="BA1383" s="182"/>
      <c r="BB1383" s="182"/>
      <c r="BC1383" s="182"/>
      <c r="BD1383" s="182"/>
      <c r="BE1383" s="182"/>
      <c r="BF1383" s="182"/>
      <c r="BG1383" s="182"/>
      <c r="BH1383" s="182"/>
      <c r="BI1383" s="182"/>
      <c r="BJ1383" s="182"/>
      <c r="BK1383" s="182"/>
      <c r="BL1383" s="182"/>
      <c r="BM1383" s="182"/>
      <c r="BN1383" s="182"/>
      <c r="BO1383" s="182"/>
      <c r="BP1383" s="182"/>
      <c r="BQ1383" s="182"/>
      <c r="BR1383" s="182"/>
      <c r="BS1383" s="182"/>
    </row>
    <row r="1384" spans="1:71" s="523" customFormat="1" ht="15.9" customHeight="1" x14ac:dyDescent="0.3">
      <c r="A1384" s="19" t="s">
        <v>3418</v>
      </c>
      <c r="B1384" s="19" t="s">
        <v>3038</v>
      </c>
      <c r="C1384" s="555">
        <v>44691</v>
      </c>
      <c r="D1384" s="19" t="s">
        <v>405</v>
      </c>
      <c r="E1384" s="19" t="s">
        <v>362</v>
      </c>
      <c r="F1384" s="19" t="s">
        <v>3419</v>
      </c>
      <c r="G1384" s="199" t="s">
        <v>346</v>
      </c>
      <c r="H1384" s="70">
        <v>7500000000</v>
      </c>
      <c r="I1384" s="19" t="s">
        <v>260</v>
      </c>
      <c r="J1384" s="113" t="str">
        <f>VLOOKUP($I1384,'Price List, Weapons &amp; Items'!B:C,2,0)</f>
        <v>.</v>
      </c>
      <c r="K1384" s="113" t="str">
        <f>IF(I1384=".",I1384,VLOOKUP($I1384,'Price List, Weapons &amp; Items'!B:D,3,0))</f>
        <v>.</v>
      </c>
      <c r="L1384" s="177">
        <f>VLOOKUP(I1384,'Price List, Weapons &amp; Items'!B:E,4,0)</f>
        <v>0</v>
      </c>
      <c r="M1384" s="247" t="s">
        <v>260</v>
      </c>
      <c r="N1384" s="542" t="s">
        <v>260</v>
      </c>
      <c r="O1384" s="543" t="str">
        <f>VLOOKUP($I1384,'Price List, Weapons &amp; Items'!B:G,6,0)</f>
        <v>.</v>
      </c>
      <c r="P1384" s="176" t="str">
        <f t="shared" si="326"/>
        <v>.</v>
      </c>
      <c r="Q1384" s="176" t="str">
        <f t="shared" si="327"/>
        <v>.</v>
      </c>
      <c r="R1384" s="176">
        <f t="shared" si="344"/>
        <v>7500000000</v>
      </c>
      <c r="S1384" s="176">
        <f>IF(AND(AD1384=1,R1384&lt;&gt;".")=TRUE,R1384/VLOOKUP(G1384,'Exchange Rates'!B:C,2,0),IF(R1384=".",".",""))</f>
        <v>7142857142.8571424</v>
      </c>
      <c r="T1384" s="176" t="str">
        <f>IF(AD1384=1,IF(AF1384="Value is not given at all",".",IF(AF1384="Value is given by the source",S1384,IF(AF1384="Value is calculated with prices",(IF(SUMIFS(Q:Q,A:A,A1384)&gt;0,SUMIFS(Q:Q,A:A,A1384),"."))/VLOOKUP("USD",'Exchange Rates'!B:C,2,0),"Error with coding"))),"")</f>
        <v>.</v>
      </c>
      <c r="U1384" s="15" t="s">
        <v>261</v>
      </c>
      <c r="V1384" s="304" t="s">
        <v>3047</v>
      </c>
      <c r="W1384" s="671" t="s">
        <v>3417</v>
      </c>
      <c r="X1384" s="19" t="s">
        <v>260</v>
      </c>
      <c r="Y1384" s="19" t="s">
        <v>260</v>
      </c>
      <c r="Z1384" s="15">
        <v>1</v>
      </c>
      <c r="AA1384" s="180">
        <v>1</v>
      </c>
      <c r="AB1384" s="17" t="s">
        <v>260</v>
      </c>
      <c r="AC1384" s="664" t="s">
        <v>27</v>
      </c>
      <c r="AD1384" s="199">
        <v>1</v>
      </c>
      <c r="AE1384" s="199" t="s">
        <v>264</v>
      </c>
      <c r="AF1384" s="199" t="s">
        <v>265</v>
      </c>
      <c r="AG1384" s="199">
        <v>1</v>
      </c>
      <c r="AH1384" s="199">
        <v>5</v>
      </c>
      <c r="AI1384" s="199">
        <v>0</v>
      </c>
      <c r="AJ1384" s="181">
        <f>VLOOKUP($I1384,'Price List, Weapons &amp; Items'!B:F,5,0)</f>
        <v>0</v>
      </c>
      <c r="AK1384" s="181">
        <f t="shared" si="328"/>
        <v>0</v>
      </c>
      <c r="AL1384" s="181">
        <f t="shared" si="329"/>
        <v>0</v>
      </c>
      <c r="AM1384" s="181">
        <f t="shared" si="330"/>
        <v>0</v>
      </c>
      <c r="AN1384" s="180" t="str">
        <f>VLOOKUP($I1384,'Price List, Weapons &amp; Items'!B:L,COLUMN('Price List, Weapons &amp; Items'!$J$11)-1,0)</f>
        <v>.</v>
      </c>
      <c r="AO1384" s="180" t="str">
        <f>IF(I1384=".",".",VLOOKUP($I1384,'Price List, Weapons &amp; Items'!B:J,3,0))</f>
        <v>.</v>
      </c>
      <c r="AP1384" s="545" t="e">
        <f t="shared" ca="1" si="336"/>
        <v>#NAME?</v>
      </c>
      <c r="AQ1384" s="180" t="str">
        <f>VLOOKUP($I1384,'Price List, Weapons &amp; Items'!B:L,COLUMN('Price List, Weapons &amp; Items'!$L$11)-1,0)</f>
        <v>no price, 0 count</v>
      </c>
      <c r="AR1384" s="180">
        <f t="shared" si="331"/>
        <v>1</v>
      </c>
      <c r="AS1384" s="180">
        <f t="shared" si="332"/>
        <v>0</v>
      </c>
      <c r="AT1384" s="180">
        <f t="shared" si="334"/>
        <v>1</v>
      </c>
      <c r="AU1384" s="180" t="str">
        <f t="shared" si="333"/>
        <v>.</v>
      </c>
      <c r="AV1384" s="180" t="str">
        <f t="shared" si="335"/>
        <v>.</v>
      </c>
      <c r="AW1384" s="180">
        <f>IFERROR(VLOOKUP(B1384,'Share, Heavy Weapons to Ukraine'!B:J,COLUMN('Share, Heavy Weapons to Ukraine'!C1394)-1,0),0)</f>
        <v>1</v>
      </c>
      <c r="AX1384" s="180">
        <f>VLOOKUP('Bilateral Assistance, MAIN DATA'!B1384,'Country Summary'!B:F,COLUMN('Country Summary'!C1397)-1,FALSE)</f>
        <v>0</v>
      </c>
      <c r="AY1384" s="180" t="str">
        <f>IF(AND(AD1384=1,D1384="Military",H1384&lt;&gt;"Not given")=TRUE,IF(SUMIFS(P:P,A:A,A1384)&gt;0,ABS((SUMIFS(P:P,A:A,A1384)/VLOOKUP("USD",'Exchange Rates'!B:C,2,0)))/S1384,"."),".")</f>
        <v>.</v>
      </c>
      <c r="AZ1384" s="182" t="str">
        <f>IF(AND(AD1384=1,D1384="Military",H1384&lt;&gt;"Not given")=TRUE,IF(SUMIFS(P:P,A:A,A1384)&gt;0,IF((ABS((SUMIFS(P:P,A:A,A1384)/VLOOKUP("USD",'Exchange Rates'!B:C,2,0)))/S1384)&gt;1,(SUMIFS(P:P,A:A,A1384)-S1384)/S1384,(S1384-SUMIFS(P:P,A:A,A1384))/SUMIFS(P:P,A:A,A1384)),"."),".")</f>
        <v>.</v>
      </c>
      <c r="BA1384" s="182"/>
      <c r="BB1384" s="182"/>
      <c r="BC1384" s="182"/>
      <c r="BD1384" s="182"/>
      <c r="BE1384" s="182"/>
      <c r="BF1384" s="182"/>
      <c r="BG1384" s="182"/>
      <c r="BH1384" s="182"/>
      <c r="BI1384" s="182"/>
      <c r="BJ1384" s="182"/>
      <c r="BK1384" s="182"/>
      <c r="BL1384" s="182"/>
      <c r="BM1384" s="182"/>
      <c r="BN1384" s="182"/>
      <c r="BO1384" s="182"/>
      <c r="BP1384" s="182"/>
      <c r="BQ1384" s="182"/>
      <c r="BR1384" s="182"/>
      <c r="BS1384" s="182"/>
    </row>
    <row r="1385" spans="1:71" s="523" customFormat="1" ht="15.9" customHeight="1" x14ac:dyDescent="0.3">
      <c r="A1385" s="19" t="s">
        <v>3420</v>
      </c>
      <c r="B1385" s="19" t="s">
        <v>3038</v>
      </c>
      <c r="C1385" s="555">
        <v>44834</v>
      </c>
      <c r="D1385" s="19" t="s">
        <v>405</v>
      </c>
      <c r="E1385" s="19" t="s">
        <v>362</v>
      </c>
      <c r="F1385" s="19" t="s">
        <v>3421</v>
      </c>
      <c r="G1385" s="199" t="s">
        <v>346</v>
      </c>
      <c r="H1385" s="70">
        <v>4500000000</v>
      </c>
      <c r="I1385" s="19" t="s">
        <v>260</v>
      </c>
      <c r="J1385" s="113" t="str">
        <f>VLOOKUP($I1385,'Price List, Weapons &amp; Items'!B:C,2,0)</f>
        <v>.</v>
      </c>
      <c r="K1385" s="113" t="str">
        <f>IF(I1385=".",I1385,VLOOKUP($I1385,'Price List, Weapons &amp; Items'!B:D,3,0))</f>
        <v>.</v>
      </c>
      <c r="L1385" s="177">
        <f>VLOOKUP(I1385,'Price List, Weapons &amp; Items'!B:E,4,0)</f>
        <v>0</v>
      </c>
      <c r="M1385" s="247" t="s">
        <v>260</v>
      </c>
      <c r="N1385" s="542" t="s">
        <v>260</v>
      </c>
      <c r="O1385" s="543" t="str">
        <f>VLOOKUP($I1385,'Price List, Weapons &amp; Items'!B:G,6,0)</f>
        <v>.</v>
      </c>
      <c r="P1385" s="176" t="str">
        <f t="shared" si="326"/>
        <v>.</v>
      </c>
      <c r="Q1385" s="176" t="str">
        <f t="shared" si="327"/>
        <v>.</v>
      </c>
      <c r="R1385" s="176">
        <f t="shared" si="344"/>
        <v>4500000000</v>
      </c>
      <c r="S1385" s="176">
        <f>IF(AND(AD1385=1,R1385&lt;&gt;".")=TRUE,R1385/VLOOKUP(G1385,'Exchange Rates'!B:C,2,0),IF(R1385=".",".",""))</f>
        <v>4285714285.7142854</v>
      </c>
      <c r="T1385" s="176" t="str">
        <f>IF(AD1385=1,IF(AF1385="Value is not given at all",".",IF(AF1385="Value is given by the source",S1385,IF(AF1385="Value is calculated with prices",(IF(SUMIFS(Q:Q,A:A,A1385)&gt;0,SUMIFS(Q:Q,A:A,A1385),"."))/VLOOKUP("USD",'Exchange Rates'!B:C,2,0),"Error with coding"))),"")</f>
        <v>.</v>
      </c>
      <c r="U1385" s="15" t="s">
        <v>261</v>
      </c>
      <c r="V1385" s="814" t="s">
        <v>3059</v>
      </c>
      <c r="W1385" s="304" t="s">
        <v>3422</v>
      </c>
      <c r="X1385" s="19" t="s">
        <v>260</v>
      </c>
      <c r="Y1385" s="19" t="s">
        <v>260</v>
      </c>
      <c r="Z1385" s="15">
        <v>1</v>
      </c>
      <c r="AA1385" s="180">
        <v>1</v>
      </c>
      <c r="AB1385" s="17" t="s">
        <v>260</v>
      </c>
      <c r="AC1385" s="664" t="s">
        <v>27</v>
      </c>
      <c r="AD1385" s="199">
        <v>1</v>
      </c>
      <c r="AE1385" s="199" t="s">
        <v>264</v>
      </c>
      <c r="AF1385" s="199" t="s">
        <v>265</v>
      </c>
      <c r="AG1385" s="199">
        <v>1</v>
      </c>
      <c r="AH1385" s="199">
        <v>9</v>
      </c>
      <c r="AI1385" s="199">
        <v>0</v>
      </c>
      <c r="AJ1385" s="181">
        <f>VLOOKUP($I1385,'Price List, Weapons &amp; Items'!B:F,5,0)</f>
        <v>0</v>
      </c>
      <c r="AK1385" s="181">
        <f t="shared" si="328"/>
        <v>0</v>
      </c>
      <c r="AL1385" s="181">
        <f t="shared" si="329"/>
        <v>0</v>
      </c>
      <c r="AM1385" s="181">
        <f t="shared" si="330"/>
        <v>0</v>
      </c>
      <c r="AN1385" s="180" t="str">
        <f>VLOOKUP($I1385,'Price List, Weapons &amp; Items'!B:L,COLUMN('Price List, Weapons &amp; Items'!$J$11)-1,0)</f>
        <v>.</v>
      </c>
      <c r="AO1385" s="180" t="str">
        <f>IF(I1385=".",".",VLOOKUP($I1385,'Price List, Weapons &amp; Items'!B:J,3,0))</f>
        <v>.</v>
      </c>
      <c r="AP1385" s="545" t="e">
        <f t="shared" ca="1" si="336"/>
        <v>#NAME?</v>
      </c>
      <c r="AQ1385" s="180" t="str">
        <f>VLOOKUP($I1385,'Price List, Weapons &amp; Items'!B:L,COLUMN('Price List, Weapons &amp; Items'!$L$11)-1,0)</f>
        <v>no price, 0 count</v>
      </c>
      <c r="AR1385" s="180">
        <f t="shared" si="331"/>
        <v>1</v>
      </c>
      <c r="AS1385" s="180">
        <f t="shared" si="332"/>
        <v>0</v>
      </c>
      <c r="AT1385" s="180">
        <f t="shared" si="334"/>
        <v>1</v>
      </c>
      <c r="AU1385" s="180" t="str">
        <f t="shared" si="333"/>
        <v>.</v>
      </c>
      <c r="AV1385" s="180" t="str">
        <f t="shared" si="335"/>
        <v>.</v>
      </c>
      <c r="AW1385" s="180">
        <f>IFERROR(VLOOKUP(B1385,'Share, Heavy Weapons to Ukraine'!B:J,COLUMN('Share, Heavy Weapons to Ukraine'!C1395)-1,0),0)</f>
        <v>1</v>
      </c>
      <c r="AX1385" s="180">
        <f>VLOOKUP('Bilateral Assistance, MAIN DATA'!B1385,'Country Summary'!B:F,COLUMN('Country Summary'!C1398)-1,FALSE)</f>
        <v>0</v>
      </c>
      <c r="AY1385" s="180" t="str">
        <f>IF(AND(AD1385=1,D1385="Military",H1385&lt;&gt;"Not given")=TRUE,IF(SUMIFS(P:P,A:A,A1385)&gt;0,ABS((SUMIFS(P:P,A:A,A1385)/VLOOKUP("USD",'Exchange Rates'!B:C,2,0)))/S1385,"."),".")</f>
        <v>.</v>
      </c>
      <c r="AZ1385" s="182" t="str">
        <f>IF(AND(AD1385=1,D1385="Military",H1385&lt;&gt;"Not given")=TRUE,IF(SUMIFS(P:P,A:A,A1385)&gt;0,IF((ABS((SUMIFS(P:P,A:A,A1385)/VLOOKUP("USD",'Exchange Rates'!B:C,2,0)))/S1385)&gt;1,(SUMIFS(P:P,A:A,A1385)-S1385)/S1385,(S1385-SUMIFS(P:P,A:A,A1385))/SUMIFS(P:P,A:A,A1385)),"."),".")</f>
        <v>.</v>
      </c>
      <c r="BA1385" s="182"/>
      <c r="BB1385" s="182"/>
      <c r="BC1385" s="182"/>
      <c r="BD1385" s="182"/>
      <c r="BE1385" s="182"/>
      <c r="BF1385" s="182"/>
      <c r="BG1385" s="182"/>
      <c r="BH1385" s="182"/>
      <c r="BI1385" s="182"/>
      <c r="BJ1385" s="182"/>
      <c r="BK1385" s="182"/>
      <c r="BL1385" s="182"/>
      <c r="BM1385" s="182"/>
      <c r="BN1385" s="182"/>
      <c r="BO1385" s="182"/>
      <c r="BP1385" s="182"/>
      <c r="BQ1385" s="182"/>
      <c r="BR1385" s="182"/>
      <c r="BS1385" s="182"/>
    </row>
    <row r="1386" spans="1:71" s="524" customFormat="1" ht="15.9" customHeight="1" x14ac:dyDescent="0.3">
      <c r="A1386" s="19" t="s">
        <v>3423</v>
      </c>
      <c r="B1386" s="19" t="s">
        <v>3038</v>
      </c>
      <c r="C1386" s="555">
        <v>44901</v>
      </c>
      <c r="D1386" s="19" t="s">
        <v>405</v>
      </c>
      <c r="E1386" s="19" t="s">
        <v>362</v>
      </c>
      <c r="F1386" s="19" t="s">
        <v>3424</v>
      </c>
      <c r="G1386" s="199" t="s">
        <v>346</v>
      </c>
      <c r="H1386" s="70">
        <v>13370000000</v>
      </c>
      <c r="I1386" s="19" t="s">
        <v>260</v>
      </c>
      <c r="J1386" s="113" t="str">
        <f>VLOOKUP($I1386,'Price List, Weapons &amp; Items'!B:C,2,0)</f>
        <v>.</v>
      </c>
      <c r="K1386" s="113" t="str">
        <f>IF(I1386=".",I1386,VLOOKUP($I1386,'Price List, Weapons &amp; Items'!B:D,3,0))</f>
        <v>.</v>
      </c>
      <c r="L1386" s="177">
        <f>VLOOKUP(I1386,'Price List, Weapons &amp; Items'!B:E,4,0)</f>
        <v>0</v>
      </c>
      <c r="M1386" s="247" t="s">
        <v>260</v>
      </c>
      <c r="N1386" s="542" t="s">
        <v>260</v>
      </c>
      <c r="O1386" s="543" t="str">
        <f>VLOOKUP($I1386,'Price List, Weapons &amp; Items'!B:G,6,0)</f>
        <v>.</v>
      </c>
      <c r="P1386" s="176" t="str">
        <f t="shared" si="326"/>
        <v>.</v>
      </c>
      <c r="Q1386" s="176" t="str">
        <f t="shared" si="327"/>
        <v>.</v>
      </c>
      <c r="R1386" s="176">
        <f t="shared" si="344"/>
        <v>13370000000</v>
      </c>
      <c r="S1386" s="176">
        <f>IF(AND(AD1386=1,R1386&lt;&gt;".")=TRUE,R1386/VLOOKUP(G1386,'Exchange Rates'!B:C,2,0),IF(R1386=".",".",""))</f>
        <v>12733333333.333332</v>
      </c>
      <c r="T1386" s="176" t="str">
        <f>IF(AD1386=1,IF(AF1386="Value is not given at all",".",IF(AF1386="Value is given by the source",S1386,IF(AF1386="Value is calculated with prices",(IF(SUMIFS(Q:Q,A:A,A1386)&gt;0,SUMIFS(Q:Q,A:A,A1386),"."))/VLOOKUP("USD",'Exchange Rates'!B:C,2,0),"Error with coding"))),"")</f>
        <v>.</v>
      </c>
      <c r="U1386" s="15" t="s">
        <v>261</v>
      </c>
      <c r="V1386" s="304" t="s">
        <v>3062</v>
      </c>
      <c r="W1386" s="671" t="s">
        <v>3417</v>
      </c>
      <c r="X1386" s="19" t="s">
        <v>260</v>
      </c>
      <c r="Y1386" s="19" t="s">
        <v>260</v>
      </c>
      <c r="Z1386" s="15">
        <v>1</v>
      </c>
      <c r="AA1386" s="180">
        <v>1</v>
      </c>
      <c r="AB1386" s="17" t="s">
        <v>260</v>
      </c>
      <c r="AC1386" s="664" t="s">
        <v>27</v>
      </c>
      <c r="AD1386" s="199">
        <v>1</v>
      </c>
      <c r="AE1386" s="199" t="s">
        <v>264</v>
      </c>
      <c r="AF1386" s="199" t="s">
        <v>265</v>
      </c>
      <c r="AG1386" s="199">
        <v>1</v>
      </c>
      <c r="AH1386" s="199">
        <v>12</v>
      </c>
      <c r="AI1386" s="199">
        <v>0</v>
      </c>
      <c r="AJ1386" s="181">
        <f>VLOOKUP($I1386,'Price List, Weapons &amp; Items'!B:F,5,0)</f>
        <v>0</v>
      </c>
      <c r="AK1386" s="181">
        <f t="shared" si="328"/>
        <v>0</v>
      </c>
      <c r="AL1386" s="181">
        <f t="shared" si="329"/>
        <v>0</v>
      </c>
      <c r="AM1386" s="181">
        <f t="shared" si="330"/>
        <v>0</v>
      </c>
      <c r="AN1386" s="180" t="str">
        <f>VLOOKUP($I1386,'Price List, Weapons &amp; Items'!B:L,COLUMN('Price List, Weapons &amp; Items'!$J$11)-1,0)</f>
        <v>.</v>
      </c>
      <c r="AO1386" s="180" t="str">
        <f>IF(I1386=".",".",VLOOKUP($I1386,'Price List, Weapons &amp; Items'!B:J,3,0))</f>
        <v>.</v>
      </c>
      <c r="AP1386" s="545" t="e">
        <f t="shared" ca="1" si="336"/>
        <v>#NAME?</v>
      </c>
      <c r="AQ1386" s="180" t="str">
        <f>VLOOKUP($I1386,'Price List, Weapons &amp; Items'!B:L,COLUMN('Price List, Weapons &amp; Items'!$L$11)-1,0)</f>
        <v>no price, 0 count</v>
      </c>
      <c r="AR1386" s="180">
        <f t="shared" si="331"/>
        <v>1</v>
      </c>
      <c r="AS1386" s="180">
        <f t="shared" si="332"/>
        <v>0</v>
      </c>
      <c r="AT1386" s="180">
        <f t="shared" si="334"/>
        <v>1</v>
      </c>
      <c r="AU1386" s="180" t="str">
        <f t="shared" si="333"/>
        <v>.</v>
      </c>
      <c r="AV1386" s="180" t="str">
        <f t="shared" si="335"/>
        <v>.</v>
      </c>
      <c r="AW1386" s="180">
        <f>IFERROR(VLOOKUP(B1386,'Share, Heavy Weapons to Ukraine'!B:J,COLUMN('Share, Heavy Weapons to Ukraine'!C1396)-1,0),0)</f>
        <v>1</v>
      </c>
      <c r="AX1386" s="180">
        <f>VLOOKUP('Bilateral Assistance, MAIN DATA'!B1386,'Country Summary'!B:F,COLUMN('Country Summary'!C1399)-1,FALSE)</f>
        <v>0</v>
      </c>
      <c r="AY1386" s="180" t="str">
        <f>IF(AND(AD1386=1,D1386="Military",H1386&lt;&gt;"Not given")=TRUE,IF(SUMIFS(P:P,A:A,A1386)&gt;0,ABS((SUMIFS(P:P,A:A,A1386)/VLOOKUP("USD",'Exchange Rates'!B:C,2,0)))/S1386,"."),".")</f>
        <v>.</v>
      </c>
      <c r="AZ1386" s="182" t="str">
        <f>IF(AND(AD1386=1,D1386="Military",H1386&lt;&gt;"Not given")=TRUE,IF(SUMIFS(P:P,A:A,A1386)&gt;0,IF((ABS((SUMIFS(P:P,A:A,A1386)/VLOOKUP("USD",'Exchange Rates'!B:C,2,0)))/S1386)&gt;1,(SUMIFS(P:P,A:A,A1386)-S1386)/S1386,(S1386-SUMIFS(P:P,A:A,A1386))/SUMIFS(P:P,A:A,A1386)),"."),".")</f>
        <v>.</v>
      </c>
      <c r="BA1386" s="17"/>
      <c r="BB1386" s="17"/>
      <c r="BC1386" s="17"/>
      <c r="BD1386" s="17"/>
      <c r="BE1386" s="17"/>
      <c r="BF1386" s="17"/>
      <c r="BG1386" s="17"/>
      <c r="BH1386" s="17"/>
      <c r="BI1386" s="17"/>
      <c r="BJ1386" s="17"/>
      <c r="BK1386" s="17"/>
      <c r="BL1386" s="17"/>
      <c r="BM1386" s="17"/>
      <c r="BN1386" s="17"/>
      <c r="BO1386" s="17"/>
      <c r="BP1386" s="17"/>
      <c r="BQ1386" s="17"/>
      <c r="BR1386" s="17"/>
      <c r="BS1386" s="17"/>
    </row>
    <row r="1387" spans="1:71" s="526" customFormat="1" ht="15.9" customHeight="1" x14ac:dyDescent="0.3">
      <c r="A1387" s="17" t="s">
        <v>3425</v>
      </c>
      <c r="B1387" s="17" t="s">
        <v>3426</v>
      </c>
      <c r="C1387" s="174" t="s">
        <v>3427</v>
      </c>
      <c r="D1387" s="5" t="s">
        <v>256</v>
      </c>
      <c r="E1387" s="5" t="s">
        <v>257</v>
      </c>
      <c r="F1387" s="175" t="s">
        <v>3428</v>
      </c>
      <c r="G1387" s="15" t="s">
        <v>364</v>
      </c>
      <c r="H1387" s="176" t="s">
        <v>341</v>
      </c>
      <c r="I1387" s="17" t="s">
        <v>260</v>
      </c>
      <c r="J1387" s="113" t="str">
        <f>VLOOKUP($I1387,'Price List, Weapons &amp; Items'!B:C,2,0)</f>
        <v>.</v>
      </c>
      <c r="K1387" s="113" t="str">
        <f>IF(I1387=".",I1387,VLOOKUP($I1387,'Price List, Weapons &amp; Items'!B:D,3,0))</f>
        <v>.</v>
      </c>
      <c r="L1387" s="177">
        <f>VLOOKUP(I1387,'Price List, Weapons &amp; Items'!B:E,4,0)</f>
        <v>0</v>
      </c>
      <c r="M1387" s="542" t="s">
        <v>260</v>
      </c>
      <c r="N1387" s="542" t="s">
        <v>260</v>
      </c>
      <c r="O1387" s="543" t="str">
        <f>VLOOKUP($I1387,'Price List, Weapons &amp; Items'!B:G,6,0)</f>
        <v>.</v>
      </c>
      <c r="P1387" s="176" t="str">
        <f t="shared" si="302"/>
        <v>.</v>
      </c>
      <c r="Q1387" s="176" t="str">
        <f t="shared" si="303"/>
        <v>.</v>
      </c>
      <c r="R1387" s="176" t="str">
        <f t="shared" si="344"/>
        <v>.</v>
      </c>
      <c r="S1387" s="176" t="str">
        <f>IF(AND(AD1387=1,R1387&lt;&gt;".")=TRUE,R1387/VLOOKUP(G1387,'Exchange Rates'!B:C,2,0),IF(R1387=".",".",""))</f>
        <v>.</v>
      </c>
      <c r="T1387" s="176" t="str">
        <f>IF(AD1387=1,IF(AF1387="Value is not given at all",".",IF(AF1387="Value is given by the source",S1387,IF(AF1387="Value is calculated with prices",(IF(SUMIFS(Q:Q,A:A,A1387)&gt;0,SUMIFS(Q:Q,A:A,A1387),"."))/VLOOKUP("USD",'Exchange Rates'!B:C,2,0),"Error with coding"))),"")</f>
        <v>.</v>
      </c>
      <c r="U1387" s="15" t="s">
        <v>261</v>
      </c>
      <c r="V1387" s="300" t="s">
        <v>3429</v>
      </c>
      <c r="W1387" s="175" t="s">
        <v>260</v>
      </c>
      <c r="X1387" s="175" t="s">
        <v>260</v>
      </c>
      <c r="Y1387" s="175" t="s">
        <v>260</v>
      </c>
      <c r="Z1387" s="15">
        <v>0</v>
      </c>
      <c r="AA1387" s="180">
        <v>0</v>
      </c>
      <c r="AB1387" s="17" t="s">
        <v>260</v>
      </c>
      <c r="AC1387" s="544" t="str">
        <f>""</f>
        <v/>
      </c>
      <c r="AD1387" s="183">
        <v>1</v>
      </c>
      <c r="AE1387" s="183" t="s">
        <v>265</v>
      </c>
      <c r="AF1387" s="183" t="s">
        <v>265</v>
      </c>
      <c r="AG1387" s="183">
        <v>0</v>
      </c>
      <c r="AH1387" s="181">
        <v>0</v>
      </c>
      <c r="AI1387" s="181">
        <v>0</v>
      </c>
      <c r="AJ1387" s="181">
        <f>VLOOKUP($I1387,'Price List, Weapons &amp; Items'!B:F,5,0)</f>
        <v>0</v>
      </c>
      <c r="AK1387" s="181">
        <f t="shared" si="328"/>
        <v>0</v>
      </c>
      <c r="AL1387" s="181">
        <f t="shared" si="329"/>
        <v>0</v>
      </c>
      <c r="AM1387" s="181">
        <f t="shared" si="330"/>
        <v>0</v>
      </c>
      <c r="AN1387" s="180" t="str">
        <f>VLOOKUP($I1387,'Price List, Weapons &amp; Items'!B:L,COLUMN('Price List, Weapons &amp; Items'!$J$11)-1,0)</f>
        <v>.</v>
      </c>
      <c r="AO1387" s="180" t="str">
        <f>IF(I1387=".",".",VLOOKUP($I1387,'Price List, Weapons &amp; Items'!B:J,3,0))</f>
        <v>.</v>
      </c>
      <c r="AP1387" s="545" t="e">
        <f t="shared" ca="1" si="336"/>
        <v>#NAME?</v>
      </c>
      <c r="AQ1387" s="180" t="str">
        <f>VLOOKUP($I1387,'Price List, Weapons &amp; Items'!B:L,COLUMN('Price List, Weapons &amp; Items'!$L$11)-1,0)</f>
        <v>no price, 0 count</v>
      </c>
      <c r="AR1387" s="180">
        <f t="shared" si="331"/>
        <v>1</v>
      </c>
      <c r="AS1387" s="180">
        <f t="shared" si="332"/>
        <v>0</v>
      </c>
      <c r="AT1387" s="180" t="str">
        <f t="shared" si="334"/>
        <v>Value is not in date format</v>
      </c>
      <c r="AU1387" s="180" t="str">
        <f t="shared" si="333"/>
        <v>.</v>
      </c>
      <c r="AV1387" s="180" t="str">
        <f t="shared" si="335"/>
        <v>.</v>
      </c>
      <c r="AW1387" s="180">
        <f>IFERROR(VLOOKUP(B1387,'Share, Heavy Weapons to Ukraine'!B:J,COLUMN('Share, Heavy Weapons to Ukraine'!C1397)-1,0),0)</f>
        <v>0</v>
      </c>
      <c r="AX1387" s="180">
        <f>VLOOKUP('Bilateral Assistance, MAIN DATA'!B1387,'Country Summary'!B:F,COLUMN('Country Summary'!C1400)-1,FALSE)</f>
        <v>0</v>
      </c>
      <c r="AY1387" s="180" t="str">
        <f>IF(AND(AD1387=1,D1387="Military",H1387&lt;&gt;"Not given")=TRUE,IF(SUMIFS(P:P,A:A,A1387)&gt;0,ABS((SUMIFS(P:P,A:A,A1387)/VLOOKUP("USD",'Exchange Rates'!B:C,2,0)))/S1387,"."),".")</f>
        <v>.</v>
      </c>
      <c r="AZ1387" s="182" t="str">
        <f>IF(AND(AD1387=1,D1387="Military",H1387&lt;&gt;"Not given")=TRUE,IF(SUMIFS(P:P,A:A,A1387)&gt;0,IF((ABS((SUMIFS(P:P,A:A,A1387)/VLOOKUP("USD",'Exchange Rates'!B:C,2,0)))/S1387)&gt;1,(SUMIFS(P:P,A:A,A1387)-S1387)/S1387,(S1387-SUMIFS(P:P,A:A,A1387))/SUMIFS(P:P,A:A,A1387)),"."),".")</f>
        <v>.</v>
      </c>
      <c r="BA1387" s="179"/>
      <c r="BB1387" s="179"/>
      <c r="BC1387" s="179"/>
      <c r="BD1387" s="179"/>
      <c r="BE1387" s="179"/>
      <c r="BF1387" s="179"/>
      <c r="BG1387" s="179"/>
      <c r="BH1387" s="179"/>
      <c r="BI1387" s="179"/>
      <c r="BJ1387" s="179"/>
      <c r="BK1387" s="179"/>
      <c r="BL1387" s="179"/>
      <c r="BM1387" s="179"/>
      <c r="BN1387" s="179"/>
      <c r="BO1387" s="179"/>
      <c r="BP1387" s="179"/>
      <c r="BQ1387" s="179"/>
      <c r="BR1387" s="179"/>
      <c r="BS1387" s="179"/>
    </row>
    <row r="1388" spans="1:71" ht="15.9" customHeight="1" x14ac:dyDescent="0.3">
      <c r="A1388" s="17" t="s">
        <v>3430</v>
      </c>
      <c r="B1388" s="17" t="s">
        <v>3426</v>
      </c>
      <c r="C1388" s="174">
        <v>44621</v>
      </c>
      <c r="D1388" s="5" t="s">
        <v>256</v>
      </c>
      <c r="E1388" s="5" t="s">
        <v>257</v>
      </c>
      <c r="F1388" s="175" t="s">
        <v>3431</v>
      </c>
      <c r="G1388" s="15" t="s">
        <v>364</v>
      </c>
      <c r="H1388" s="176">
        <v>415000000</v>
      </c>
      <c r="I1388" s="17" t="s">
        <v>260</v>
      </c>
      <c r="J1388" s="113" t="str">
        <f>VLOOKUP($I1388,'Price List, Weapons &amp; Items'!B:C,2,0)</f>
        <v>.</v>
      </c>
      <c r="K1388" s="113" t="str">
        <f>IF(I1388=".",I1388,VLOOKUP($I1388,'Price List, Weapons &amp; Items'!B:D,3,0))</f>
        <v>.</v>
      </c>
      <c r="L1388" s="177">
        <f>VLOOKUP(I1388,'Price List, Weapons &amp; Items'!B:E,4,0)</f>
        <v>0</v>
      </c>
      <c r="M1388" s="542" t="s">
        <v>260</v>
      </c>
      <c r="N1388" s="542" t="str">
        <f>VLOOKUP(I1388,'Price List, Weapons &amp; Items'!B:C,2,0)</f>
        <v>.</v>
      </c>
      <c r="O1388" s="543" t="str">
        <f>VLOOKUP($I1388,'Price List, Weapons &amp; Items'!B:G,6,0)</f>
        <v>.</v>
      </c>
      <c r="P1388" s="176" t="str">
        <f t="shared" ref="P1388:P1405" si="345">IF(TYPE(M1388)=1,IF(TYPE(O1388)=1,M1388*O1388,"No price"),".")</f>
        <v>.</v>
      </c>
      <c r="Q1388" s="176" t="str">
        <f t="shared" ref="Q1388:Q1405" si="346">IF(TYPE(N1388)=1,IF(TYPE(O1388)=1,N1388*O1388,"No price"),".")</f>
        <v>.</v>
      </c>
      <c r="R1388" s="176">
        <f t="shared" si="344"/>
        <v>415000000</v>
      </c>
      <c r="S1388" s="176">
        <f>IF(AND(AD1388=1,R1388&lt;&gt;".")=TRUE,R1388/VLOOKUP(G1388,'Exchange Rates'!B:C,2,0),IF(R1388=".",".",""))</f>
        <v>415000000</v>
      </c>
      <c r="T1388" s="176" t="str">
        <f>IF(AD1388=1,IF(AF1388="Value is not given at all",".",IF(AF1388="Value is given by the source",S1388,IF(AF1388="Value is calculated with prices",(IF(SUMIFS(Q:Q,A:A,A1388)&gt;0,SUMIFS(Q:Q,A:A,A1388),"."))/VLOOKUP("USD",'Exchange Rates'!B:C,2,0),"Error with coding"))),"")</f>
        <v>.</v>
      </c>
      <c r="U1388" s="15" t="s">
        <v>261</v>
      </c>
      <c r="V1388" s="300" t="s">
        <v>3432</v>
      </c>
      <c r="W1388" s="300" t="s">
        <v>3433</v>
      </c>
      <c r="X1388" s="175" t="s">
        <v>260</v>
      </c>
      <c r="Y1388" s="175" t="s">
        <v>260</v>
      </c>
      <c r="Z1388" s="15">
        <v>0</v>
      </c>
      <c r="AA1388" s="180">
        <v>0</v>
      </c>
      <c r="AB1388" s="17" t="s">
        <v>260</v>
      </c>
      <c r="AC1388" s="544" t="str">
        <f>""</f>
        <v/>
      </c>
      <c r="AD1388" s="181">
        <v>1</v>
      </c>
      <c r="AE1388" s="181" t="s">
        <v>264</v>
      </c>
      <c r="AF1388" s="181" t="s">
        <v>265</v>
      </c>
      <c r="AG1388" s="181">
        <v>1</v>
      </c>
      <c r="AH1388" s="181">
        <v>3</v>
      </c>
      <c r="AI1388" s="181">
        <v>0</v>
      </c>
      <c r="AJ1388" s="181">
        <f>VLOOKUP($I1388,'Price List, Weapons &amp; Items'!B:F,5,0)</f>
        <v>0</v>
      </c>
      <c r="AK1388" s="181">
        <f t="shared" si="328"/>
        <v>0</v>
      </c>
      <c r="AL1388" s="181">
        <f t="shared" si="329"/>
        <v>0</v>
      </c>
      <c r="AM1388" s="181">
        <f t="shared" si="330"/>
        <v>0</v>
      </c>
      <c r="AN1388" s="180" t="str">
        <f>VLOOKUP($I1388,'Price List, Weapons &amp; Items'!B:L,COLUMN('Price List, Weapons &amp; Items'!$J$11)-1,0)</f>
        <v>.</v>
      </c>
      <c r="AO1388" s="180" t="str">
        <f>IF(I1388=".",".",VLOOKUP($I1388,'Price List, Weapons &amp; Items'!B:J,3,0))</f>
        <v>.</v>
      </c>
      <c r="AP1388" s="545" t="e">
        <f t="shared" ca="1" si="336"/>
        <v>#NAME?</v>
      </c>
      <c r="AQ1388" s="180" t="str">
        <f>VLOOKUP($I1388,'Price List, Weapons &amp; Items'!B:L,COLUMN('Price List, Weapons &amp; Items'!$L$11)-1,0)</f>
        <v>no price, 0 count</v>
      </c>
      <c r="AR1388" s="180">
        <f t="shared" si="331"/>
        <v>1</v>
      </c>
      <c r="AS1388" s="180">
        <f t="shared" si="332"/>
        <v>0</v>
      </c>
      <c r="AT1388" s="180">
        <f t="shared" si="334"/>
        <v>1</v>
      </c>
      <c r="AU1388" s="180" t="str">
        <f t="shared" si="333"/>
        <v>.</v>
      </c>
      <c r="AV1388" s="180" t="str">
        <f t="shared" si="335"/>
        <v>.</v>
      </c>
      <c r="AW1388" s="180">
        <f>IFERROR(VLOOKUP(B1388,'Share, Heavy Weapons to Ukraine'!B:J,COLUMN('Share, Heavy Weapons to Ukraine'!C1398)-1,0),0)</f>
        <v>0</v>
      </c>
      <c r="AX1388" s="180">
        <f>VLOOKUP('Bilateral Assistance, MAIN DATA'!B1388,'Country Summary'!B:F,COLUMN('Country Summary'!C1401)-1,FALSE)</f>
        <v>0</v>
      </c>
      <c r="AY1388" s="180" t="str">
        <f>IF(AND(AD1388=1,D1388="Military",H1388&lt;&gt;"Not given")=TRUE,IF(SUMIFS(P:P,A:A,A1388)&gt;0,ABS((SUMIFS(P:P,A:A,A1388)/VLOOKUP("USD",'Exchange Rates'!B:C,2,0)))/S1388,"."),".")</f>
        <v>.</v>
      </c>
      <c r="AZ1388" s="182" t="str">
        <f>IF(AND(AD1388=1,D1388="Military",H1388&lt;&gt;"Not given")=TRUE,IF(SUMIFS(P:P,A:A,A1388)&gt;0,IF((ABS((SUMIFS(P:P,A:A,A1388)/VLOOKUP("USD",'Exchange Rates'!B:C,2,0)))/S1388)&gt;1,(SUMIFS(P:P,A:A,A1388)-S1388)/S1388,(S1388-SUMIFS(P:P,A:A,A1388))/SUMIFS(P:P,A:A,A1388)),"."),".")</f>
        <v>.</v>
      </c>
      <c r="BA1388" s="182"/>
      <c r="BB1388" s="182"/>
      <c r="BC1388" s="182"/>
      <c r="BD1388" s="182"/>
      <c r="BE1388" s="182"/>
      <c r="BF1388" s="182"/>
      <c r="BG1388" s="182"/>
      <c r="BH1388" s="182"/>
      <c r="BI1388" s="182"/>
      <c r="BJ1388" s="182"/>
      <c r="BK1388" s="182"/>
      <c r="BL1388" s="182"/>
      <c r="BM1388" s="182"/>
      <c r="BN1388" s="182"/>
      <c r="BO1388" s="182"/>
      <c r="BP1388" s="182"/>
      <c r="BQ1388" s="182"/>
      <c r="BR1388" s="182"/>
      <c r="BS1388" s="182"/>
    </row>
    <row r="1389" spans="1:71" ht="15.9" customHeight="1" x14ac:dyDescent="0.3">
      <c r="A1389" s="17" t="s">
        <v>3434</v>
      </c>
      <c r="B1389" s="17" t="s">
        <v>3426</v>
      </c>
      <c r="C1389" s="174">
        <v>44660</v>
      </c>
      <c r="D1389" s="5" t="s">
        <v>256</v>
      </c>
      <c r="E1389" s="5" t="s">
        <v>257</v>
      </c>
      <c r="F1389" s="175" t="s">
        <v>3435</v>
      </c>
      <c r="G1389" s="15" t="s">
        <v>364</v>
      </c>
      <c r="H1389" s="176">
        <v>600000000</v>
      </c>
      <c r="I1389" s="17" t="s">
        <v>260</v>
      </c>
      <c r="J1389" s="113" t="str">
        <f>VLOOKUP($I1389,'Price List, Weapons &amp; Items'!B:C,2,0)</f>
        <v>.</v>
      </c>
      <c r="K1389" s="113" t="str">
        <f>IF(I1389=".",I1389,VLOOKUP($I1389,'Price List, Weapons &amp; Items'!B:D,3,0))</f>
        <v>.</v>
      </c>
      <c r="L1389" s="177">
        <f>VLOOKUP(I1389,'Price List, Weapons &amp; Items'!B:E,4,0)</f>
        <v>0</v>
      </c>
      <c r="M1389" s="542" t="s">
        <v>260</v>
      </c>
      <c r="N1389" s="542" t="str">
        <f>VLOOKUP(I1389,'Price List, Weapons &amp; Items'!B:C,2,0)</f>
        <v>.</v>
      </c>
      <c r="O1389" s="543" t="str">
        <f>VLOOKUP($I1389,'Price List, Weapons &amp; Items'!B:G,6,0)</f>
        <v>.</v>
      </c>
      <c r="P1389" s="176" t="str">
        <f t="shared" si="345"/>
        <v>.</v>
      </c>
      <c r="Q1389" s="176" t="str">
        <f t="shared" si="346"/>
        <v>.</v>
      </c>
      <c r="R1389" s="176">
        <f t="shared" si="344"/>
        <v>600000000</v>
      </c>
      <c r="S1389" s="176">
        <f>IF(AND(AD1389=1,R1389&lt;&gt;".")=TRUE,R1389/VLOOKUP(G1389,'Exchange Rates'!B:C,2,0),IF(R1389=".",".",""))</f>
        <v>600000000</v>
      </c>
      <c r="T1389" s="176" t="str">
        <f>IF(AD1389=1,IF(AF1389="Value is not given at all",".",IF(AF1389="Value is given by the source",S1389,IF(AF1389="Value is calculated with prices",(IF(SUMIFS(Q:Q,A:A,A1389)&gt;0,SUMIFS(Q:Q,A:A,A1389),"."))/VLOOKUP("USD",'Exchange Rates'!B:C,2,0),"Error with coding"))),"")</f>
        <v>.</v>
      </c>
      <c r="U1389" s="15" t="s">
        <v>261</v>
      </c>
      <c r="V1389" s="300" t="s">
        <v>425</v>
      </c>
      <c r="W1389" s="300" t="s">
        <v>3436</v>
      </c>
      <c r="X1389" s="175" t="s">
        <v>260</v>
      </c>
      <c r="Y1389" s="175" t="s">
        <v>260</v>
      </c>
      <c r="Z1389" s="15">
        <v>0</v>
      </c>
      <c r="AA1389" s="180">
        <v>0</v>
      </c>
      <c r="AB1389" s="17" t="s">
        <v>260</v>
      </c>
      <c r="AC1389" s="544" t="str">
        <f>""</f>
        <v/>
      </c>
      <c r="AD1389" s="183">
        <v>1</v>
      </c>
      <c r="AE1389" s="183" t="s">
        <v>264</v>
      </c>
      <c r="AF1389" s="183" t="s">
        <v>265</v>
      </c>
      <c r="AG1389" s="183">
        <v>1</v>
      </c>
      <c r="AH1389" s="181">
        <v>4</v>
      </c>
      <c r="AI1389" s="181">
        <v>0</v>
      </c>
      <c r="AJ1389" s="181">
        <f>VLOOKUP($I1389,'Price List, Weapons &amp; Items'!B:F,5,0)</f>
        <v>0</v>
      </c>
      <c r="AK1389" s="181">
        <f t="shared" si="328"/>
        <v>0</v>
      </c>
      <c r="AL1389" s="181">
        <f t="shared" si="329"/>
        <v>0</v>
      </c>
      <c r="AM1389" s="181">
        <f t="shared" si="330"/>
        <v>0</v>
      </c>
      <c r="AN1389" s="180" t="str">
        <f>VLOOKUP($I1389,'Price List, Weapons &amp; Items'!B:L,COLUMN('Price List, Weapons &amp; Items'!$J$11)-1,0)</f>
        <v>.</v>
      </c>
      <c r="AO1389" s="180" t="str">
        <f>IF(I1389=".",".",VLOOKUP($I1389,'Price List, Weapons &amp; Items'!B:J,3,0))</f>
        <v>.</v>
      </c>
      <c r="AP1389" s="545" t="e">
        <f t="shared" ca="1" si="336"/>
        <v>#NAME?</v>
      </c>
      <c r="AQ1389" s="180" t="str">
        <f>VLOOKUP($I1389,'Price List, Weapons &amp; Items'!B:L,COLUMN('Price List, Weapons &amp; Items'!$L$11)-1,0)</f>
        <v>no price, 0 count</v>
      </c>
      <c r="AR1389" s="180">
        <f t="shared" si="331"/>
        <v>1</v>
      </c>
      <c r="AS1389" s="180">
        <f t="shared" si="332"/>
        <v>0</v>
      </c>
      <c r="AT1389" s="180">
        <f t="shared" si="334"/>
        <v>1</v>
      </c>
      <c r="AU1389" s="180" t="str">
        <f t="shared" si="333"/>
        <v>.</v>
      </c>
      <c r="AV1389" s="180" t="str">
        <f t="shared" si="335"/>
        <v>.</v>
      </c>
      <c r="AW1389" s="180">
        <f>IFERROR(VLOOKUP(B1389,'Share, Heavy Weapons to Ukraine'!B:J,COLUMN('Share, Heavy Weapons to Ukraine'!C1399)-1,0),0)</f>
        <v>0</v>
      </c>
      <c r="AX1389" s="180">
        <f>VLOOKUP('Bilateral Assistance, MAIN DATA'!B1389,'Country Summary'!B:F,COLUMN('Country Summary'!C1402)-1,FALSE)</f>
        <v>0</v>
      </c>
      <c r="AY1389" s="180" t="str">
        <f>IF(AND(AD1389=1,D1389="Military",H1389&lt;&gt;"Not given")=TRUE,IF(SUMIFS(P:P,A:A,A1389)&gt;0,ABS((SUMIFS(P:P,A:A,A1389)/VLOOKUP("USD",'Exchange Rates'!B:C,2,0)))/S1389,"."),".")</f>
        <v>.</v>
      </c>
      <c r="AZ1389" s="182" t="str">
        <f>IF(AND(AD1389=1,D1389="Military",H1389&lt;&gt;"Not given")=TRUE,IF(SUMIFS(P:P,A:A,A1389)&gt;0,IF((ABS((SUMIFS(P:P,A:A,A1389)/VLOOKUP("USD",'Exchange Rates'!B:C,2,0)))/S1389)&gt;1,(SUMIFS(P:P,A:A,A1389)-S1389)/S1389,(S1389-SUMIFS(P:P,A:A,A1389))/SUMIFS(P:P,A:A,A1389)),"."),".")</f>
        <v>.</v>
      </c>
      <c r="BA1389" s="182"/>
      <c r="BB1389" s="182"/>
      <c r="BC1389" s="182"/>
      <c r="BD1389" s="182"/>
      <c r="BE1389" s="182"/>
      <c r="BF1389" s="182"/>
      <c r="BG1389" s="182"/>
      <c r="BH1389" s="182"/>
      <c r="BI1389" s="182"/>
      <c r="BJ1389" s="182"/>
      <c r="BK1389" s="182"/>
      <c r="BL1389" s="182"/>
      <c r="BM1389" s="182"/>
      <c r="BN1389" s="182"/>
      <c r="BO1389" s="182"/>
      <c r="BP1389" s="182"/>
      <c r="BQ1389" s="182"/>
      <c r="BR1389" s="182"/>
      <c r="BS1389" s="182"/>
    </row>
    <row r="1390" spans="1:71" ht="15.9" customHeight="1" x14ac:dyDescent="0.3">
      <c r="A1390" s="17" t="s">
        <v>3437</v>
      </c>
      <c r="B1390" s="17" t="s">
        <v>3426</v>
      </c>
      <c r="C1390" s="174">
        <v>44686</v>
      </c>
      <c r="D1390" s="5" t="s">
        <v>256</v>
      </c>
      <c r="E1390" s="5" t="s">
        <v>257</v>
      </c>
      <c r="F1390" s="175" t="s">
        <v>3438</v>
      </c>
      <c r="G1390" s="15" t="s">
        <v>364</v>
      </c>
      <c r="H1390" s="176">
        <v>200000000</v>
      </c>
      <c r="I1390" s="17" t="s">
        <v>260</v>
      </c>
      <c r="J1390" s="113" t="str">
        <f>VLOOKUP($I1390,'Price List, Weapons &amp; Items'!B:C,2,0)</f>
        <v>.</v>
      </c>
      <c r="K1390" s="113" t="str">
        <f>IF(I1390=".",I1390,VLOOKUP($I1390,'Price List, Weapons &amp; Items'!B:D,3,0))</f>
        <v>.</v>
      </c>
      <c r="L1390" s="177">
        <f>VLOOKUP(I1390,'Price List, Weapons &amp; Items'!B:E,4,0)</f>
        <v>0</v>
      </c>
      <c r="M1390" s="542" t="s">
        <v>260</v>
      </c>
      <c r="N1390" s="542" t="str">
        <f>VLOOKUP(I1390,'Price List, Weapons &amp; Items'!B:C,2,0)</f>
        <v>.</v>
      </c>
      <c r="O1390" s="543" t="str">
        <f>VLOOKUP($I1390,'Price List, Weapons &amp; Items'!B:G,6,0)</f>
        <v>.</v>
      </c>
      <c r="P1390" s="176" t="str">
        <f t="shared" si="345"/>
        <v>.</v>
      </c>
      <c r="Q1390" s="176" t="str">
        <f t="shared" si="346"/>
        <v>.</v>
      </c>
      <c r="R1390" s="176">
        <f t="shared" si="344"/>
        <v>200000000</v>
      </c>
      <c r="S1390" s="176">
        <f>IF(AND(AD1390=1,R1390&lt;&gt;".")=TRUE,R1390/VLOOKUP(G1390,'Exchange Rates'!B:C,2,0),IF(R1390=".",".",""))</f>
        <v>200000000</v>
      </c>
      <c r="T1390" s="176" t="str">
        <f>IF(AD1390=1,IF(AF1390="Value is not given at all",".",IF(AF1390="Value is given by the source",S1390,IF(AF1390="Value is calculated with prices",(IF(SUMIFS(Q:Q,A:A,A1390)&gt;0,SUMIFS(Q:Q,A:A,A1390),"."))/VLOOKUP("USD",'Exchange Rates'!B:C,2,0),"Error with coding"))),"")</f>
        <v>.</v>
      </c>
      <c r="U1390" s="15" t="s">
        <v>415</v>
      </c>
      <c r="V1390" s="300" t="s">
        <v>429</v>
      </c>
      <c r="W1390" s="300" t="s">
        <v>3439</v>
      </c>
      <c r="X1390" s="175" t="s">
        <v>260</v>
      </c>
      <c r="Y1390" s="175" t="s">
        <v>260</v>
      </c>
      <c r="Z1390" s="15">
        <v>0</v>
      </c>
      <c r="AA1390" s="180">
        <v>0</v>
      </c>
      <c r="AB1390" s="17" t="s">
        <v>260</v>
      </c>
      <c r="AC1390" s="544" t="str">
        <f>""</f>
        <v/>
      </c>
      <c r="AD1390" s="181">
        <v>1</v>
      </c>
      <c r="AE1390" s="181" t="s">
        <v>264</v>
      </c>
      <c r="AF1390" s="181" t="s">
        <v>265</v>
      </c>
      <c r="AG1390" s="181">
        <v>1</v>
      </c>
      <c r="AH1390" s="181">
        <v>5</v>
      </c>
      <c r="AI1390" s="181">
        <v>0</v>
      </c>
      <c r="AJ1390" s="181">
        <f>VLOOKUP($I1390,'Price List, Weapons &amp; Items'!B:F,5,0)</f>
        <v>0</v>
      </c>
      <c r="AK1390" s="181">
        <f t="shared" si="328"/>
        <v>0</v>
      </c>
      <c r="AL1390" s="181">
        <f t="shared" si="329"/>
        <v>0</v>
      </c>
      <c r="AM1390" s="181">
        <f t="shared" si="330"/>
        <v>0</v>
      </c>
      <c r="AN1390" s="180" t="str">
        <f>VLOOKUP($I1390,'Price List, Weapons &amp; Items'!B:L,COLUMN('Price List, Weapons &amp; Items'!$J$11)-1,0)</f>
        <v>.</v>
      </c>
      <c r="AO1390" s="180" t="str">
        <f>IF(I1390=".",".",VLOOKUP($I1390,'Price List, Weapons &amp; Items'!B:J,3,0))</f>
        <v>.</v>
      </c>
      <c r="AP1390" s="545" t="e">
        <f t="shared" ca="1" si="336"/>
        <v>#NAME?</v>
      </c>
      <c r="AQ1390" s="180" t="str">
        <f>VLOOKUP($I1390,'Price List, Weapons &amp; Items'!B:L,COLUMN('Price List, Weapons &amp; Items'!$L$11)-1,0)</f>
        <v>no price, 0 count</v>
      </c>
      <c r="AR1390" s="180">
        <f t="shared" si="331"/>
        <v>0</v>
      </c>
      <c r="AS1390" s="180">
        <f t="shared" si="332"/>
        <v>0</v>
      </c>
      <c r="AT1390" s="180">
        <f t="shared" si="334"/>
        <v>1</v>
      </c>
      <c r="AU1390" s="180" t="str">
        <f t="shared" si="333"/>
        <v>.</v>
      </c>
      <c r="AV1390" s="180" t="str">
        <f t="shared" si="335"/>
        <v>.</v>
      </c>
      <c r="AW1390" s="180">
        <f>IFERROR(VLOOKUP(B1390,'Share, Heavy Weapons to Ukraine'!B:J,COLUMN('Share, Heavy Weapons to Ukraine'!C1400)-1,0),0)</f>
        <v>0</v>
      </c>
      <c r="AX1390" s="180">
        <f>VLOOKUP('Bilateral Assistance, MAIN DATA'!B1390,'Country Summary'!B:F,COLUMN('Country Summary'!C1403)-1,FALSE)</f>
        <v>0</v>
      </c>
      <c r="AY1390" s="180" t="str">
        <f>IF(AND(AD1390=1,D1390="Military",H1390&lt;&gt;"Not given")=TRUE,IF(SUMIFS(P:P,A:A,A1390)&gt;0,ABS((SUMIFS(P:P,A:A,A1390)/VLOOKUP("USD",'Exchange Rates'!B:C,2,0)))/S1390,"."),".")</f>
        <v>.</v>
      </c>
      <c r="AZ1390" s="182" t="str">
        <f>IF(AND(AD1390=1,D1390="Military",H1390&lt;&gt;"Not given")=TRUE,IF(SUMIFS(P:P,A:A,A1390)&gt;0,IF((ABS((SUMIFS(P:P,A:A,A1390)/VLOOKUP("USD",'Exchange Rates'!B:C,2,0)))/S1390)&gt;1,(SUMIFS(P:P,A:A,A1390)-S1390)/S1390,(S1390-SUMIFS(P:P,A:A,A1390))/SUMIFS(P:P,A:A,A1390)),"."),".")</f>
        <v>.</v>
      </c>
      <c r="BA1390" s="182"/>
      <c r="BB1390" s="182"/>
      <c r="BC1390" s="182"/>
      <c r="BD1390" s="182"/>
      <c r="BE1390" s="182"/>
      <c r="BF1390" s="182"/>
      <c r="BG1390" s="182"/>
      <c r="BH1390" s="182"/>
      <c r="BI1390" s="182"/>
      <c r="BJ1390" s="182"/>
      <c r="BK1390" s="182"/>
      <c r="BL1390" s="182"/>
      <c r="BM1390" s="182"/>
      <c r="BN1390" s="182"/>
      <c r="BO1390" s="182"/>
      <c r="BP1390" s="182"/>
      <c r="BQ1390" s="182"/>
      <c r="BR1390" s="182"/>
      <c r="BS1390" s="182"/>
    </row>
    <row r="1391" spans="1:71" ht="15.9" customHeight="1" x14ac:dyDescent="0.3">
      <c r="A1391" s="17" t="s">
        <v>3440</v>
      </c>
      <c r="B1391" s="17" t="s">
        <v>3426</v>
      </c>
      <c r="C1391" s="174">
        <v>44721</v>
      </c>
      <c r="D1391" s="5" t="s">
        <v>256</v>
      </c>
      <c r="E1391" s="5" t="s">
        <v>257</v>
      </c>
      <c r="F1391" s="175" t="s">
        <v>3441</v>
      </c>
      <c r="G1391" s="15" t="s">
        <v>364</v>
      </c>
      <c r="H1391" s="176">
        <v>205000000</v>
      </c>
      <c r="I1391" s="17" t="s">
        <v>260</v>
      </c>
      <c r="J1391" s="113" t="str">
        <f>VLOOKUP($I1391,'Price List, Weapons &amp; Items'!B:C,2,0)</f>
        <v>.</v>
      </c>
      <c r="K1391" s="113" t="str">
        <f>IF(I1391=".",I1391,VLOOKUP($I1391,'Price List, Weapons &amp; Items'!B:D,3,0))</f>
        <v>.</v>
      </c>
      <c r="L1391" s="177">
        <f>VLOOKUP(I1391,'Price List, Weapons &amp; Items'!B:E,4,0)</f>
        <v>0</v>
      </c>
      <c r="M1391" s="542" t="s">
        <v>260</v>
      </c>
      <c r="N1391" s="542" t="s">
        <v>260</v>
      </c>
      <c r="O1391" s="543" t="str">
        <f>VLOOKUP($I1391,'Price List, Weapons &amp; Items'!B:G,6,0)</f>
        <v>.</v>
      </c>
      <c r="P1391" s="176" t="str">
        <f t="shared" si="345"/>
        <v>.</v>
      </c>
      <c r="Q1391" s="176" t="str">
        <f t="shared" si="346"/>
        <v>.</v>
      </c>
      <c r="R1391" s="176">
        <f t="shared" si="344"/>
        <v>205000000</v>
      </c>
      <c r="S1391" s="176">
        <f>IF(AND(AD1391=1,R1391&lt;&gt;".")=TRUE,R1391/VLOOKUP(G1391,'Exchange Rates'!B:C,2,0),IF(R1391=".",".",""))</f>
        <v>205000000</v>
      </c>
      <c r="T1391" s="176" t="str">
        <f>IF(AD1391=1,IF(AF1391="Value is not given at all",".",IF(AF1391="Value is given by the source",S1391,IF(AF1391="Value is calculated with prices",(IF(SUMIFS(Q:Q,A:A,A1391)&gt;0,SUMIFS(Q:Q,A:A,A1391),"."))/VLOOKUP("USD",'Exchange Rates'!B:C,2,0),"Error with coding"))),"")</f>
        <v>.</v>
      </c>
      <c r="U1391" s="15" t="s">
        <v>261</v>
      </c>
      <c r="V1391" s="300" t="s">
        <v>3442</v>
      </c>
      <c r="W1391" s="300" t="s">
        <v>3439</v>
      </c>
      <c r="X1391" s="175" t="s">
        <v>260</v>
      </c>
      <c r="Y1391" s="175" t="s">
        <v>260</v>
      </c>
      <c r="Z1391" s="15">
        <v>0</v>
      </c>
      <c r="AA1391" s="180">
        <v>0</v>
      </c>
      <c r="AB1391" s="17" t="s">
        <v>260</v>
      </c>
      <c r="AC1391" s="544" t="str">
        <f>""</f>
        <v/>
      </c>
      <c r="AD1391" s="181">
        <v>1</v>
      </c>
      <c r="AE1391" s="181" t="s">
        <v>264</v>
      </c>
      <c r="AF1391" s="181" t="s">
        <v>265</v>
      </c>
      <c r="AG1391" s="181">
        <v>1</v>
      </c>
      <c r="AH1391" s="181">
        <v>6</v>
      </c>
      <c r="AI1391" s="181">
        <v>0</v>
      </c>
      <c r="AJ1391" s="181">
        <f>VLOOKUP($I1391,'Price List, Weapons &amp; Items'!B:F,5,0)</f>
        <v>0</v>
      </c>
      <c r="AK1391" s="181">
        <f t="shared" si="328"/>
        <v>0</v>
      </c>
      <c r="AL1391" s="181">
        <f t="shared" si="329"/>
        <v>0</v>
      </c>
      <c r="AM1391" s="181">
        <f t="shared" si="330"/>
        <v>0</v>
      </c>
      <c r="AN1391" s="180" t="str">
        <f>VLOOKUP($I1391,'Price List, Weapons &amp; Items'!B:L,COLUMN('Price List, Weapons &amp; Items'!$J$11)-1,0)</f>
        <v>.</v>
      </c>
      <c r="AO1391" s="180" t="str">
        <f>IF(I1391=".",".",VLOOKUP($I1391,'Price List, Weapons &amp; Items'!B:J,3,0))</f>
        <v>.</v>
      </c>
      <c r="AP1391" s="545" t="e">
        <f t="shared" ca="1" si="336"/>
        <v>#NAME?</v>
      </c>
      <c r="AQ1391" s="180" t="str">
        <f>VLOOKUP($I1391,'Price List, Weapons &amp; Items'!B:L,COLUMN('Price List, Weapons &amp; Items'!$L$11)-1,0)</f>
        <v>no price, 0 count</v>
      </c>
      <c r="AR1391" s="180">
        <f t="shared" si="331"/>
        <v>1</v>
      </c>
      <c r="AS1391" s="180">
        <f t="shared" si="332"/>
        <v>0</v>
      </c>
      <c r="AT1391" s="180">
        <f t="shared" si="334"/>
        <v>1</v>
      </c>
      <c r="AU1391" s="180" t="str">
        <f t="shared" si="333"/>
        <v>.</v>
      </c>
      <c r="AV1391" s="180" t="str">
        <f t="shared" si="335"/>
        <v>.</v>
      </c>
      <c r="AW1391" s="180">
        <f>IFERROR(VLOOKUP(B1391,'Share, Heavy Weapons to Ukraine'!B:J,COLUMN('Share, Heavy Weapons to Ukraine'!C1401)-1,0),0)</f>
        <v>0</v>
      </c>
      <c r="AX1391" s="180">
        <f>VLOOKUP('Bilateral Assistance, MAIN DATA'!B1391,'Country Summary'!B:F,COLUMN('Country Summary'!C1404)-1,FALSE)</f>
        <v>0</v>
      </c>
      <c r="AY1391" s="180" t="str">
        <f>IF(AND(AD1391=1,D1391="Military",H1391&lt;&gt;"Not given")=TRUE,IF(SUMIFS(P:P,A:A,A1391)&gt;0,ABS((SUMIFS(P:P,A:A,A1391)/VLOOKUP("USD",'Exchange Rates'!B:C,2,0)))/S1391,"."),".")</f>
        <v>.</v>
      </c>
      <c r="AZ1391" s="182" t="str">
        <f>IF(AND(AD1391=1,D1391="Military",H1391&lt;&gt;"Not given")=TRUE,IF(SUMIFS(P:P,A:A,A1391)&gt;0,IF((ABS((SUMIFS(P:P,A:A,A1391)/VLOOKUP("USD",'Exchange Rates'!B:C,2,0)))/S1391)&gt;1,(SUMIFS(P:P,A:A,A1391)-S1391)/S1391,(S1391-SUMIFS(P:P,A:A,A1391))/SUMIFS(P:P,A:A,A1391)),"."),".")</f>
        <v>.</v>
      </c>
      <c r="BA1391" s="182"/>
      <c r="BB1391" s="182"/>
      <c r="BC1391" s="182"/>
      <c r="BD1391" s="182"/>
      <c r="BE1391" s="182"/>
      <c r="BF1391" s="182"/>
      <c r="BG1391" s="182"/>
      <c r="BH1391" s="182"/>
      <c r="BI1391" s="182"/>
      <c r="BJ1391" s="182"/>
      <c r="BK1391" s="182"/>
      <c r="BL1391" s="182"/>
      <c r="BM1391" s="182"/>
      <c r="BN1391" s="182"/>
      <c r="BO1391" s="182"/>
      <c r="BP1391" s="182"/>
      <c r="BQ1391" s="182"/>
      <c r="BR1391" s="182"/>
      <c r="BS1391" s="182"/>
    </row>
    <row r="1392" spans="1:71" ht="15.9" customHeight="1" x14ac:dyDescent="0.3">
      <c r="A1392" s="17" t="s">
        <v>3443</v>
      </c>
      <c r="B1392" s="17" t="s">
        <v>3426</v>
      </c>
      <c r="C1392" s="174">
        <v>44853</v>
      </c>
      <c r="D1392" s="5" t="s">
        <v>256</v>
      </c>
      <c r="E1392" s="5" t="s">
        <v>257</v>
      </c>
      <c r="F1392" s="175" t="s">
        <v>3444</v>
      </c>
      <c r="G1392" s="15" t="s">
        <v>364</v>
      </c>
      <c r="H1392" s="176">
        <v>150000000</v>
      </c>
      <c r="I1392" s="17" t="s">
        <v>260</v>
      </c>
      <c r="J1392" s="113" t="str">
        <f>VLOOKUP($I1392,'Price List, Weapons &amp; Items'!B:C,2,0)</f>
        <v>.</v>
      </c>
      <c r="K1392" s="113" t="str">
        <f>IF(I1392=".",I1392,VLOOKUP($I1392,'Price List, Weapons &amp; Items'!B:D,3,0))</f>
        <v>.</v>
      </c>
      <c r="L1392" s="177">
        <f>VLOOKUP(I1392,'Price List, Weapons &amp; Items'!B:E,4,0)</f>
        <v>0</v>
      </c>
      <c r="M1392" s="542" t="s">
        <v>260</v>
      </c>
      <c r="N1392" s="542" t="s">
        <v>260</v>
      </c>
      <c r="O1392" s="543" t="str">
        <f>VLOOKUP($I1392,'Price List, Weapons &amp; Items'!B:G,6,0)</f>
        <v>.</v>
      </c>
      <c r="P1392" s="176" t="str">
        <f t="shared" si="345"/>
        <v>.</v>
      </c>
      <c r="Q1392" s="176" t="str">
        <f t="shared" si="346"/>
        <v>.</v>
      </c>
      <c r="R1392" s="176">
        <f t="shared" si="344"/>
        <v>150000000</v>
      </c>
      <c r="S1392" s="176">
        <f>IF(AND(AD1392=1,R1392&lt;&gt;".")=TRUE,R1392/VLOOKUP(G1392,'Exchange Rates'!B:C,2,0),IF(R1392=".",".",""))</f>
        <v>150000000</v>
      </c>
      <c r="T1392" s="176" t="str">
        <f>IF(AD1392=1,IF(AF1392="Value is not given at all",".",IF(AF1392="Value is given by the source",S1392,IF(AF1392="Value is calculated with prices",(IF(SUMIFS(Q:Q,A:A,A1392)&gt;0,SUMIFS(Q:Q,A:A,A1392),"."))/VLOOKUP("USD",'Exchange Rates'!B:C,2,0),"Error with coding"))),"")</f>
        <v>.</v>
      </c>
      <c r="U1392" s="15" t="s">
        <v>261</v>
      </c>
      <c r="V1392" s="300" t="s">
        <v>3445</v>
      </c>
      <c r="W1392" s="144" t="s">
        <v>260</v>
      </c>
      <c r="X1392" s="175" t="s">
        <v>260</v>
      </c>
      <c r="Y1392" s="175" t="s">
        <v>260</v>
      </c>
      <c r="Z1392" s="15">
        <v>0</v>
      </c>
      <c r="AA1392" s="180">
        <v>0</v>
      </c>
      <c r="AB1392" s="17" t="s">
        <v>260</v>
      </c>
      <c r="AC1392" s="544" t="str">
        <f>""</f>
        <v/>
      </c>
      <c r="AD1392" s="181">
        <v>1</v>
      </c>
      <c r="AE1392" s="181" t="s">
        <v>264</v>
      </c>
      <c r="AF1392" s="181" t="s">
        <v>265</v>
      </c>
      <c r="AG1392" s="181">
        <v>1</v>
      </c>
      <c r="AH1392" s="181">
        <v>10</v>
      </c>
      <c r="AI1392" s="181">
        <v>0</v>
      </c>
      <c r="AJ1392" s="181">
        <f>VLOOKUP($I1392,'Price List, Weapons &amp; Items'!B:F,5,0)</f>
        <v>0</v>
      </c>
      <c r="AK1392" s="181">
        <f t="shared" si="328"/>
        <v>0</v>
      </c>
      <c r="AL1392" s="181">
        <f t="shared" si="329"/>
        <v>0</v>
      </c>
      <c r="AM1392" s="181">
        <f t="shared" si="330"/>
        <v>0</v>
      </c>
      <c r="AN1392" s="180" t="str">
        <f>VLOOKUP($I1392,'Price List, Weapons &amp; Items'!B:L,COLUMN('Price List, Weapons &amp; Items'!$J$11)-1,0)</f>
        <v>.</v>
      </c>
      <c r="AO1392" s="180" t="str">
        <f>IF(I1392=".",".",VLOOKUP($I1392,'Price List, Weapons &amp; Items'!B:J,3,0))</f>
        <v>.</v>
      </c>
      <c r="AP1392" s="545" t="e">
        <f t="shared" ca="1" si="336"/>
        <v>#NAME?</v>
      </c>
      <c r="AQ1392" s="180" t="str">
        <f>VLOOKUP($I1392,'Price List, Weapons &amp; Items'!B:L,COLUMN('Price List, Weapons &amp; Items'!$L$11)-1,0)</f>
        <v>no price, 0 count</v>
      </c>
      <c r="AR1392" s="180">
        <f t="shared" si="331"/>
        <v>1</v>
      </c>
      <c r="AS1392" s="180">
        <f t="shared" si="332"/>
        <v>0</v>
      </c>
      <c r="AT1392" s="180">
        <f t="shared" si="334"/>
        <v>1</v>
      </c>
      <c r="AU1392" s="180" t="str">
        <f t="shared" si="333"/>
        <v>.</v>
      </c>
      <c r="AV1392" s="180" t="str">
        <f t="shared" si="335"/>
        <v>.</v>
      </c>
      <c r="AW1392" s="180">
        <f>IFERROR(VLOOKUP(B1392,'Share, Heavy Weapons to Ukraine'!B:J,COLUMN('Share, Heavy Weapons to Ukraine'!C1402)-1,0),0)</f>
        <v>0</v>
      </c>
      <c r="AX1392" s="180">
        <f>VLOOKUP('Bilateral Assistance, MAIN DATA'!B1392,'Country Summary'!B:F,COLUMN('Country Summary'!C1405)-1,FALSE)</f>
        <v>0</v>
      </c>
      <c r="AY1392" s="180" t="str">
        <f>IF(AND(AD1392=1,D1392="Military",H1392&lt;&gt;"Not given")=TRUE,IF(SUMIFS(P:P,A:A,A1392)&gt;0,ABS((SUMIFS(P:P,A:A,A1392)/VLOOKUP("USD",'Exchange Rates'!B:C,2,0)))/S1392,"."),".")</f>
        <v>.</v>
      </c>
      <c r="AZ1392" s="182" t="str">
        <f>IF(AND(AD1392=1,D1392="Military",H1392&lt;&gt;"Not given")=TRUE,IF(SUMIFS(P:P,A:A,A1392)&gt;0,IF((ABS((SUMIFS(P:P,A:A,A1392)/VLOOKUP("USD",'Exchange Rates'!B:C,2,0)))/S1392)&gt;1,(SUMIFS(P:P,A:A,A1392)-S1392)/S1392,(S1392-SUMIFS(P:P,A:A,A1392))/SUMIFS(P:P,A:A,A1392)),"."),".")</f>
        <v>.</v>
      </c>
      <c r="BA1392" s="182"/>
      <c r="BB1392" s="182"/>
      <c r="BC1392" s="182"/>
      <c r="BD1392" s="182"/>
      <c r="BE1392" s="182"/>
      <c r="BF1392" s="182"/>
      <c r="BG1392" s="182"/>
      <c r="BH1392" s="182"/>
      <c r="BI1392" s="182"/>
      <c r="BJ1392" s="182"/>
      <c r="BK1392" s="182"/>
      <c r="BL1392" s="182"/>
      <c r="BM1392" s="182"/>
      <c r="BN1392" s="182"/>
      <c r="BO1392" s="182"/>
      <c r="BP1392" s="182"/>
      <c r="BQ1392" s="182"/>
      <c r="BR1392" s="182"/>
      <c r="BS1392" s="182"/>
    </row>
    <row r="1393" spans="1:71" s="522" customFormat="1" ht="15.9" customHeight="1" x14ac:dyDescent="0.3">
      <c r="A1393" s="17" t="s">
        <v>3446</v>
      </c>
      <c r="B1393" s="17" t="s">
        <v>3426</v>
      </c>
      <c r="C1393" s="174">
        <v>44908</v>
      </c>
      <c r="D1393" s="5" t="s">
        <v>256</v>
      </c>
      <c r="E1393" s="5" t="s">
        <v>257</v>
      </c>
      <c r="F1393" s="175" t="s">
        <v>3447</v>
      </c>
      <c r="G1393" s="15" t="s">
        <v>364</v>
      </c>
      <c r="H1393" s="176">
        <v>30000000</v>
      </c>
      <c r="I1393" s="17" t="s">
        <v>260</v>
      </c>
      <c r="J1393" s="113" t="str">
        <f>VLOOKUP($I1393,'Price List, Weapons &amp; Items'!B:C,2,0)</f>
        <v>.</v>
      </c>
      <c r="K1393" s="113" t="str">
        <f>IF(I1393=".",I1393,VLOOKUP($I1393,'Price List, Weapons &amp; Items'!B:D,3,0))</f>
        <v>.</v>
      </c>
      <c r="L1393" s="177">
        <f>VLOOKUP(I1393,'Price List, Weapons &amp; Items'!B:E,4,0)</f>
        <v>0</v>
      </c>
      <c r="M1393" s="542" t="s">
        <v>260</v>
      </c>
      <c r="N1393" s="542" t="s">
        <v>260</v>
      </c>
      <c r="O1393" s="543" t="str">
        <f>VLOOKUP($I1393,'Price List, Weapons &amp; Items'!B:G,6,0)</f>
        <v>.</v>
      </c>
      <c r="P1393" s="176" t="str">
        <f t="shared" si="345"/>
        <v>.</v>
      </c>
      <c r="Q1393" s="176" t="str">
        <f t="shared" si="346"/>
        <v>.</v>
      </c>
      <c r="R1393" s="176">
        <f t="shared" si="344"/>
        <v>30000000</v>
      </c>
      <c r="S1393" s="176">
        <f>IF(AND(AD1393=1,R1393&lt;&gt;".")=TRUE,R1393/VLOOKUP(G1393,'Exchange Rates'!B:C,2,0),IF(R1393=".",".",""))</f>
        <v>30000000</v>
      </c>
      <c r="T1393" s="176" t="str">
        <f>IF(AD1393=1,IF(AF1393="Value is not given at all",".",IF(AF1393="Value is given by the source",S1393,IF(AF1393="Value is calculated with prices",(IF(SUMIFS(Q:Q,A:A,A1393)&gt;0,SUMIFS(Q:Q,A:A,A1393),"."))/VLOOKUP("USD",'Exchange Rates'!B:C,2,0),"Error with coding"))),"")</f>
        <v>.</v>
      </c>
      <c r="U1393" s="15" t="s">
        <v>261</v>
      </c>
      <c r="V1393" s="300" t="s">
        <v>3448</v>
      </c>
      <c r="W1393" s="144" t="s">
        <v>260</v>
      </c>
      <c r="X1393" s="175" t="s">
        <v>260</v>
      </c>
      <c r="Y1393" s="175" t="s">
        <v>260</v>
      </c>
      <c r="Z1393" s="15">
        <v>0</v>
      </c>
      <c r="AA1393" s="199">
        <v>1</v>
      </c>
      <c r="AB1393" s="17" t="s">
        <v>260</v>
      </c>
      <c r="AC1393" s="544" t="str">
        <f>""</f>
        <v/>
      </c>
      <c r="AD1393" s="181">
        <v>1</v>
      </c>
      <c r="AE1393" s="181" t="s">
        <v>264</v>
      </c>
      <c r="AF1393" s="181" t="s">
        <v>265</v>
      </c>
      <c r="AG1393" s="181">
        <v>1</v>
      </c>
      <c r="AH1393" s="181">
        <v>12</v>
      </c>
      <c r="AI1393" s="181">
        <v>0</v>
      </c>
      <c r="AJ1393" s="181">
        <f>VLOOKUP($I1393,'Price List, Weapons &amp; Items'!B:F,5,0)</f>
        <v>0</v>
      </c>
      <c r="AK1393" s="181">
        <f t="shared" si="328"/>
        <v>0</v>
      </c>
      <c r="AL1393" s="181">
        <f t="shared" si="329"/>
        <v>0</v>
      </c>
      <c r="AM1393" s="181">
        <f t="shared" si="330"/>
        <v>0</v>
      </c>
      <c r="AN1393" s="180" t="str">
        <f>VLOOKUP($I1393,'Price List, Weapons &amp; Items'!B:L,COLUMN('Price List, Weapons &amp; Items'!$J$11)-1,0)</f>
        <v>.</v>
      </c>
      <c r="AO1393" s="180" t="str">
        <f>IF(I1393=".",".",VLOOKUP($I1393,'Price List, Weapons &amp; Items'!B:J,3,0))</f>
        <v>.</v>
      </c>
      <c r="AP1393" s="545" t="e">
        <f t="shared" ca="1" si="336"/>
        <v>#NAME?</v>
      </c>
      <c r="AQ1393" s="180" t="str">
        <f>VLOOKUP($I1393,'Price List, Weapons &amp; Items'!B:L,COLUMN('Price List, Weapons &amp; Items'!$L$11)-1,0)</f>
        <v>no price, 0 count</v>
      </c>
      <c r="AR1393" s="180">
        <f t="shared" si="331"/>
        <v>1</v>
      </c>
      <c r="AS1393" s="180">
        <f t="shared" si="332"/>
        <v>0</v>
      </c>
      <c r="AT1393" s="180">
        <f t="shared" si="334"/>
        <v>1</v>
      </c>
      <c r="AU1393" s="180" t="str">
        <f t="shared" si="333"/>
        <v>.</v>
      </c>
      <c r="AV1393" s="180" t="str">
        <f t="shared" si="335"/>
        <v>.</v>
      </c>
      <c r="AW1393" s="180">
        <f>IFERROR(VLOOKUP(B1393,'Share, Heavy Weapons to Ukraine'!B:J,COLUMN('Share, Heavy Weapons to Ukraine'!C1403)-1,0),0)</f>
        <v>0</v>
      </c>
      <c r="AX1393" s="180">
        <f>VLOOKUP('Bilateral Assistance, MAIN DATA'!B1393,'Country Summary'!B:F,COLUMN('Country Summary'!C1406)-1,FALSE)</f>
        <v>0</v>
      </c>
      <c r="AY1393" s="180" t="str">
        <f>IF(AND(AD1393=1,D1393="Military",H1393&lt;&gt;"Not given")=TRUE,IF(SUMIFS(P:P,A:A,A1393)&gt;0,ABS((SUMIFS(P:P,A:A,A1393)/VLOOKUP("USD",'Exchange Rates'!B:C,2,0)))/S1393,"."),".")</f>
        <v>.</v>
      </c>
      <c r="AZ1393" s="182" t="str">
        <f>IF(AND(AD1393=1,D1393="Military",H1393&lt;&gt;"Not given")=TRUE,IF(SUMIFS(P:P,A:A,A1393)&gt;0,IF((ABS((SUMIFS(P:P,A:A,A1393)/VLOOKUP("USD",'Exchange Rates'!B:C,2,0)))/S1393)&gt;1,(SUMIFS(P:P,A:A,A1393)-S1393)/S1393,(S1393-SUMIFS(P:P,A:A,A1393))/SUMIFS(P:P,A:A,A1393)),"."),".")</f>
        <v>.</v>
      </c>
      <c r="BA1393" s="182"/>
      <c r="BB1393" s="182"/>
      <c r="BC1393" s="182"/>
      <c r="BD1393" s="182"/>
      <c r="BE1393" s="182"/>
      <c r="BF1393" s="182"/>
      <c r="BG1393" s="182"/>
      <c r="BH1393" s="182"/>
      <c r="BI1393" s="182"/>
      <c r="BJ1393" s="182"/>
      <c r="BK1393" s="182"/>
      <c r="BL1393" s="182"/>
      <c r="BM1393" s="182"/>
      <c r="BN1393" s="182"/>
      <c r="BO1393" s="182"/>
      <c r="BP1393" s="182"/>
      <c r="BQ1393" s="182"/>
      <c r="BR1393" s="862"/>
      <c r="BS1393" s="862"/>
    </row>
    <row r="1394" spans="1:71" s="526" customFormat="1" ht="15.9" customHeight="1" x14ac:dyDescent="0.3">
      <c r="A1394" s="17" t="s">
        <v>3449</v>
      </c>
      <c r="B1394" s="17" t="s">
        <v>3426</v>
      </c>
      <c r="C1394" s="174">
        <v>44613</v>
      </c>
      <c r="D1394" s="5" t="s">
        <v>405</v>
      </c>
      <c r="E1394" s="5" t="s">
        <v>518</v>
      </c>
      <c r="F1394" s="175" t="s">
        <v>3450</v>
      </c>
      <c r="G1394" s="15" t="s">
        <v>364</v>
      </c>
      <c r="H1394" s="176">
        <v>1200000000</v>
      </c>
      <c r="I1394" s="184" t="s">
        <v>260</v>
      </c>
      <c r="J1394" s="113" t="str">
        <f>VLOOKUP($I1394,'Price List, Weapons &amp; Items'!B:C,2,0)</f>
        <v>.</v>
      </c>
      <c r="K1394" s="113" t="str">
        <f>IF(I1394=".",I1394,VLOOKUP($I1394,'Price List, Weapons &amp; Items'!B:D,3,0))</f>
        <v>.</v>
      </c>
      <c r="L1394" s="177">
        <f>VLOOKUP(I1394,'Price List, Weapons &amp; Items'!B:E,4,0)</f>
        <v>0</v>
      </c>
      <c r="M1394" s="542" t="s">
        <v>260</v>
      </c>
      <c r="N1394" s="542" t="str">
        <f>VLOOKUP(I1394,'Price List, Weapons &amp; Items'!B:C,2,0)</f>
        <v>.</v>
      </c>
      <c r="O1394" s="543" t="str">
        <f>VLOOKUP($I1394,'Price List, Weapons &amp; Items'!B:G,6,0)</f>
        <v>.</v>
      </c>
      <c r="P1394" s="176" t="str">
        <f t="shared" si="345"/>
        <v>.</v>
      </c>
      <c r="Q1394" s="176" t="str">
        <f t="shared" si="346"/>
        <v>.</v>
      </c>
      <c r="R1394" s="176">
        <f t="shared" si="344"/>
        <v>1200000000</v>
      </c>
      <c r="S1394" s="176">
        <f>IF(AND(AD1394=1,R1394&lt;&gt;".")=TRUE,R1394/VLOOKUP(G1394,'Exchange Rates'!B:C,2,0),IF(R1394=".",".",""))</f>
        <v>1200000000</v>
      </c>
      <c r="T1394" s="176" t="str">
        <f>IF(AD1394=1,IF(AF1394="Value is not given at all",".",IF(AF1394="Value is given by the source",S1394,IF(AF1394="Value is calculated with prices",(IF(SUMIFS(Q:Q,A:A,A1394)&gt;0,SUMIFS(Q:Q,A:A,A1394),"."))/VLOOKUP("USD",'Exchange Rates'!B:C,2,0),"Error with coding"))),"")</f>
        <v>.</v>
      </c>
      <c r="U1394" s="15" t="s">
        <v>261</v>
      </c>
      <c r="V1394" s="300" t="s">
        <v>3451</v>
      </c>
      <c r="W1394" s="175" t="s">
        <v>260</v>
      </c>
      <c r="X1394" s="175" t="s">
        <v>260</v>
      </c>
      <c r="Y1394" s="175" t="s">
        <v>260</v>
      </c>
      <c r="Z1394" s="15">
        <v>0</v>
      </c>
      <c r="AA1394" s="180">
        <v>0</v>
      </c>
      <c r="AB1394" s="17" t="s">
        <v>260</v>
      </c>
      <c r="AC1394" s="544" t="str">
        <f>""</f>
        <v/>
      </c>
      <c r="AD1394" s="183">
        <v>1</v>
      </c>
      <c r="AE1394" s="183" t="s">
        <v>264</v>
      </c>
      <c r="AF1394" s="183" t="s">
        <v>265</v>
      </c>
      <c r="AG1394" s="183">
        <v>1</v>
      </c>
      <c r="AH1394" s="181">
        <v>2</v>
      </c>
      <c r="AI1394" s="181">
        <v>1</v>
      </c>
      <c r="AJ1394" s="181">
        <f>VLOOKUP($I1394,'Price List, Weapons &amp; Items'!B:F,5,0)</f>
        <v>0</v>
      </c>
      <c r="AK1394" s="181">
        <f t="shared" si="328"/>
        <v>0</v>
      </c>
      <c r="AL1394" s="181">
        <f t="shared" si="329"/>
        <v>0</v>
      </c>
      <c r="AM1394" s="181">
        <f t="shared" si="330"/>
        <v>0</v>
      </c>
      <c r="AN1394" s="180" t="str">
        <f>VLOOKUP($I1394,'Price List, Weapons &amp; Items'!B:L,COLUMN('Price List, Weapons &amp; Items'!$J$11)-1,0)</f>
        <v>.</v>
      </c>
      <c r="AO1394" s="180" t="str">
        <f>IF(I1394=".",".",VLOOKUP($I1394,'Price List, Weapons &amp; Items'!B:J,3,0))</f>
        <v>.</v>
      </c>
      <c r="AP1394" s="545" t="e">
        <f t="shared" ca="1" si="336"/>
        <v>#NAME?</v>
      </c>
      <c r="AQ1394" s="180" t="str">
        <f>VLOOKUP($I1394,'Price List, Weapons &amp; Items'!B:L,COLUMN('Price List, Weapons &amp; Items'!$L$11)-1,0)</f>
        <v>no price, 0 count</v>
      </c>
      <c r="AR1394" s="180">
        <f t="shared" si="331"/>
        <v>1</v>
      </c>
      <c r="AS1394" s="180">
        <f t="shared" si="332"/>
        <v>0</v>
      </c>
      <c r="AT1394" s="180">
        <f t="shared" si="334"/>
        <v>1</v>
      </c>
      <c r="AU1394" s="180" t="str">
        <f t="shared" si="333"/>
        <v>.</v>
      </c>
      <c r="AV1394" s="180" t="str">
        <f t="shared" si="335"/>
        <v>.</v>
      </c>
      <c r="AW1394" s="180">
        <f>IFERROR(VLOOKUP(B1394,'Share, Heavy Weapons to Ukraine'!B:J,COLUMN('Share, Heavy Weapons to Ukraine'!C1404)-1,0),0)</f>
        <v>0</v>
      </c>
      <c r="AX1394" s="180">
        <f>VLOOKUP('Bilateral Assistance, MAIN DATA'!B1394,'Country Summary'!B:F,COLUMN('Country Summary'!C1407)-1,FALSE)</f>
        <v>0</v>
      </c>
      <c r="AY1394" s="180" t="str">
        <f>IF(AND(AD1394=1,D1394="Military",H1394&lt;&gt;"Not given")=TRUE,IF(SUMIFS(P:P,A:A,A1394)&gt;0,ABS((SUMIFS(P:P,A:A,A1394)/VLOOKUP("USD",'Exchange Rates'!B:C,2,0)))/S1394,"."),".")</f>
        <v>.</v>
      </c>
      <c r="AZ1394" s="182" t="str">
        <f>IF(AND(AD1394=1,D1394="Military",H1394&lt;&gt;"Not given")=TRUE,IF(SUMIFS(P:P,A:A,A1394)&gt;0,IF((ABS((SUMIFS(P:P,A:A,A1394)/VLOOKUP("USD",'Exchange Rates'!B:C,2,0)))/S1394)&gt;1,(SUMIFS(P:P,A:A,A1394)-S1394)/S1394,(S1394-SUMIFS(P:P,A:A,A1394))/SUMIFS(P:P,A:A,A1394)),"."),".")</f>
        <v>.</v>
      </c>
      <c r="BA1394" s="179"/>
      <c r="BB1394" s="179"/>
      <c r="BC1394" s="179"/>
      <c r="BD1394" s="179"/>
      <c r="BE1394" s="179"/>
      <c r="BF1394" s="179"/>
      <c r="BG1394" s="179"/>
      <c r="BH1394" s="179"/>
      <c r="BI1394" s="179"/>
      <c r="BJ1394" s="179"/>
      <c r="BK1394" s="179"/>
      <c r="BL1394" s="179"/>
      <c r="BM1394" s="179"/>
      <c r="BN1394" s="179"/>
      <c r="BO1394" s="179"/>
      <c r="BP1394" s="179"/>
      <c r="BQ1394" s="179"/>
      <c r="BR1394" s="179"/>
      <c r="BS1394" s="179"/>
    </row>
    <row r="1395" spans="1:71" s="526" customFormat="1" ht="15.9" customHeight="1" x14ac:dyDescent="0.3">
      <c r="A1395" s="17" t="s">
        <v>3452</v>
      </c>
      <c r="B1395" s="17" t="s">
        <v>3426</v>
      </c>
      <c r="C1395" s="174">
        <v>44659</v>
      </c>
      <c r="D1395" s="5" t="s">
        <v>405</v>
      </c>
      <c r="E1395" s="5" t="s">
        <v>362</v>
      </c>
      <c r="F1395" s="175" t="s">
        <v>3453</v>
      </c>
      <c r="G1395" s="15" t="s">
        <v>364</v>
      </c>
      <c r="H1395" s="176">
        <v>120000000</v>
      </c>
      <c r="I1395" s="184" t="s">
        <v>260</v>
      </c>
      <c r="J1395" s="113" t="str">
        <f>VLOOKUP($I1395,'Price List, Weapons &amp; Items'!B:C,2,0)</f>
        <v>.</v>
      </c>
      <c r="K1395" s="113" t="str">
        <f>IF(I1395=".",I1395,VLOOKUP($I1395,'Price List, Weapons &amp; Items'!B:D,3,0))</f>
        <v>.</v>
      </c>
      <c r="L1395" s="177">
        <f>VLOOKUP(I1395,'Price List, Weapons &amp; Items'!B:E,4,0)</f>
        <v>0</v>
      </c>
      <c r="M1395" s="542" t="s">
        <v>260</v>
      </c>
      <c r="N1395" s="542" t="str">
        <f>VLOOKUP(I1395,'Price List, Weapons &amp; Items'!B:C,2,0)</f>
        <v>.</v>
      </c>
      <c r="O1395" s="543" t="str">
        <f>VLOOKUP($I1395,'Price List, Weapons &amp; Items'!B:G,6,0)</f>
        <v>.</v>
      </c>
      <c r="P1395" s="176" t="str">
        <f t="shared" si="345"/>
        <v>.</v>
      </c>
      <c r="Q1395" s="176" t="str">
        <f t="shared" si="346"/>
        <v>.</v>
      </c>
      <c r="R1395" s="176">
        <f t="shared" si="344"/>
        <v>120000000</v>
      </c>
      <c r="S1395" s="176">
        <f>IF(AND(AD1395=1,R1395&lt;&gt;".")=TRUE,R1395/VLOOKUP(G1395,'Exchange Rates'!B:C,2,0),IF(R1395=".",".",""))</f>
        <v>120000000</v>
      </c>
      <c r="T1395" s="176" t="str">
        <f>IF(AD1395=1,IF(AF1395="Value is not given at all",".",IF(AF1395="Value is given by the source",S1395,IF(AF1395="Value is calculated with prices",(IF(SUMIFS(Q:Q,A:A,A1395)&gt;0,SUMIFS(Q:Q,A:A,A1395),"."))/VLOOKUP("USD",'Exchange Rates'!B:C,2,0),"Error with coding"))),"")</f>
        <v>.</v>
      </c>
      <c r="U1395" s="15" t="s">
        <v>261</v>
      </c>
      <c r="V1395" s="300" t="s">
        <v>3454</v>
      </c>
      <c r="W1395" s="300" t="s">
        <v>3455</v>
      </c>
      <c r="X1395" s="175" t="s">
        <v>260</v>
      </c>
      <c r="Y1395" s="175" t="s">
        <v>260</v>
      </c>
      <c r="Z1395" s="15">
        <v>0</v>
      </c>
      <c r="AA1395" s="180">
        <v>0</v>
      </c>
      <c r="AB1395" s="17" t="s">
        <v>260</v>
      </c>
      <c r="AC1395" s="544" t="str">
        <f>""</f>
        <v/>
      </c>
      <c r="AD1395" s="183">
        <v>1</v>
      </c>
      <c r="AE1395" s="183" t="s">
        <v>264</v>
      </c>
      <c r="AF1395" s="183" t="s">
        <v>265</v>
      </c>
      <c r="AG1395" s="183">
        <v>1</v>
      </c>
      <c r="AH1395" s="181">
        <v>4</v>
      </c>
      <c r="AI1395" s="181">
        <v>0</v>
      </c>
      <c r="AJ1395" s="181">
        <f>VLOOKUP($I1395,'Price List, Weapons &amp; Items'!B:F,5,0)</f>
        <v>0</v>
      </c>
      <c r="AK1395" s="181">
        <f t="shared" si="328"/>
        <v>0</v>
      </c>
      <c r="AL1395" s="181">
        <f t="shared" si="329"/>
        <v>0</v>
      </c>
      <c r="AM1395" s="181">
        <f t="shared" si="330"/>
        <v>0</v>
      </c>
      <c r="AN1395" s="180" t="str">
        <f>VLOOKUP($I1395,'Price List, Weapons &amp; Items'!B:L,COLUMN('Price List, Weapons &amp; Items'!$J$11)-1,0)</f>
        <v>.</v>
      </c>
      <c r="AO1395" s="180" t="str">
        <f>IF(I1395=".",".",VLOOKUP($I1395,'Price List, Weapons &amp; Items'!B:J,3,0))</f>
        <v>.</v>
      </c>
      <c r="AP1395" s="545" t="e">
        <f t="shared" ca="1" si="336"/>
        <v>#NAME?</v>
      </c>
      <c r="AQ1395" s="180" t="str">
        <f>VLOOKUP($I1395,'Price List, Weapons &amp; Items'!B:L,COLUMN('Price List, Weapons &amp; Items'!$L$11)-1,0)</f>
        <v>no price, 0 count</v>
      </c>
      <c r="AR1395" s="180">
        <f t="shared" si="331"/>
        <v>1</v>
      </c>
      <c r="AS1395" s="180">
        <f t="shared" si="332"/>
        <v>0</v>
      </c>
      <c r="AT1395" s="180">
        <f t="shared" si="334"/>
        <v>1</v>
      </c>
      <c r="AU1395" s="180" t="str">
        <f t="shared" si="333"/>
        <v>.</v>
      </c>
      <c r="AV1395" s="180" t="str">
        <f t="shared" si="335"/>
        <v>.</v>
      </c>
      <c r="AW1395" s="180">
        <f>IFERROR(VLOOKUP(B1395,'Share, Heavy Weapons to Ukraine'!B:J,COLUMN('Share, Heavy Weapons to Ukraine'!C1405)-1,0),0)</f>
        <v>0</v>
      </c>
      <c r="AX1395" s="180">
        <f>VLOOKUP('Bilateral Assistance, MAIN DATA'!B1395,'Country Summary'!B:F,COLUMN('Country Summary'!C1408)-1,FALSE)</f>
        <v>0</v>
      </c>
      <c r="AY1395" s="180" t="str">
        <f>IF(AND(AD1395=1,D1395="Military",H1395&lt;&gt;"Not given")=TRUE,IF(SUMIFS(P:P,A:A,A1395)&gt;0,ABS((SUMIFS(P:P,A:A,A1395)/VLOOKUP("USD",'Exchange Rates'!B:C,2,0)))/S1395,"."),".")</f>
        <v>.</v>
      </c>
      <c r="AZ1395" s="182" t="str">
        <f>IF(AND(AD1395=1,D1395="Military",H1395&lt;&gt;"Not given")=TRUE,IF(SUMIFS(P:P,A:A,A1395)&gt;0,IF((ABS((SUMIFS(P:P,A:A,A1395)/VLOOKUP("USD",'Exchange Rates'!B:C,2,0)))/S1395)&gt;1,(SUMIFS(P:P,A:A,A1395)-S1395)/S1395,(S1395-SUMIFS(P:P,A:A,A1395))/SUMIFS(P:P,A:A,A1395)),"."),".")</f>
        <v>.</v>
      </c>
      <c r="BA1395" s="179"/>
      <c r="BB1395" s="179"/>
      <c r="BC1395" s="179"/>
      <c r="BD1395" s="179"/>
      <c r="BE1395" s="179"/>
      <c r="BF1395" s="179"/>
      <c r="BG1395" s="179"/>
      <c r="BH1395" s="179"/>
      <c r="BI1395" s="179"/>
      <c r="BJ1395" s="179"/>
      <c r="BK1395" s="179"/>
      <c r="BL1395" s="179"/>
      <c r="BM1395" s="179"/>
      <c r="BN1395" s="179"/>
      <c r="BO1395" s="179"/>
      <c r="BP1395" s="179"/>
      <c r="BQ1395" s="179"/>
      <c r="BR1395" s="179"/>
      <c r="BS1395" s="179"/>
    </row>
    <row r="1396" spans="1:71" s="526" customFormat="1" ht="15.9" customHeight="1" x14ac:dyDescent="0.3">
      <c r="A1396" s="17" t="s">
        <v>3456</v>
      </c>
      <c r="B1396" s="17" t="s">
        <v>3426</v>
      </c>
      <c r="C1396" s="174">
        <v>44699</v>
      </c>
      <c r="D1396" s="5" t="s">
        <v>405</v>
      </c>
      <c r="E1396" s="5" t="s">
        <v>518</v>
      </c>
      <c r="F1396" s="175" t="s">
        <v>3457</v>
      </c>
      <c r="G1396" s="15" t="s">
        <v>364</v>
      </c>
      <c r="H1396" s="176">
        <v>9000000000</v>
      </c>
      <c r="I1396" s="184" t="s">
        <v>260</v>
      </c>
      <c r="J1396" s="113" t="str">
        <f>VLOOKUP($I1396,'Price List, Weapons &amp; Items'!B:C,2,0)</f>
        <v>.</v>
      </c>
      <c r="K1396" s="113" t="str">
        <f>IF(I1396=".",I1396,VLOOKUP($I1396,'Price List, Weapons &amp; Items'!B:D,3,0))</f>
        <v>.</v>
      </c>
      <c r="L1396" s="177">
        <f>VLOOKUP(I1396,'Price List, Weapons &amp; Items'!B:E,4,0)</f>
        <v>0</v>
      </c>
      <c r="M1396" s="542" t="s">
        <v>260</v>
      </c>
      <c r="N1396" s="542" t="str">
        <f>VLOOKUP(I1396,'Price List, Weapons &amp; Items'!B:C,2,0)</f>
        <v>.</v>
      </c>
      <c r="O1396" s="543" t="str">
        <f>VLOOKUP($I1396,'Price List, Weapons &amp; Items'!B:G,6,0)</f>
        <v>.</v>
      </c>
      <c r="P1396" s="176" t="str">
        <f t="shared" si="345"/>
        <v>.</v>
      </c>
      <c r="Q1396" s="176" t="str">
        <f t="shared" si="346"/>
        <v>.</v>
      </c>
      <c r="R1396" s="176">
        <f t="shared" si="344"/>
        <v>9000000000</v>
      </c>
      <c r="S1396" s="176">
        <f>IF(AND(AD1396=1,R1396&lt;&gt;".")=TRUE,R1396/VLOOKUP(G1396,'Exchange Rates'!B:C,2,0),IF(R1396=".",".",""))</f>
        <v>9000000000</v>
      </c>
      <c r="T1396" s="176" t="str">
        <f>IF(AD1396=1,IF(AF1396="Value is not given at all",".",IF(AF1396="Value is given by the source",S1396,IF(AF1396="Value is calculated with prices",(IF(SUMIFS(Q:Q,A:A,A1396)&gt;0,SUMIFS(Q:Q,A:A,A1396),"."))/VLOOKUP("USD",'Exchange Rates'!B:C,2,0),"Error with coding"))),"")</f>
        <v>.</v>
      </c>
      <c r="U1396" s="15" t="s">
        <v>261</v>
      </c>
      <c r="V1396" s="300" t="s">
        <v>3458</v>
      </c>
      <c r="W1396" s="300" t="s">
        <v>3459</v>
      </c>
      <c r="X1396" s="300" t="s">
        <v>3460</v>
      </c>
      <c r="Y1396" s="553" t="s">
        <v>3461</v>
      </c>
      <c r="Z1396" s="15">
        <v>0</v>
      </c>
      <c r="AA1396" s="180">
        <v>0</v>
      </c>
      <c r="AB1396" s="17" t="s">
        <v>260</v>
      </c>
      <c r="AC1396" s="544" t="str">
        <f>""</f>
        <v/>
      </c>
      <c r="AD1396" s="183">
        <v>1</v>
      </c>
      <c r="AE1396" s="183" t="s">
        <v>264</v>
      </c>
      <c r="AF1396" s="183" t="s">
        <v>265</v>
      </c>
      <c r="AG1396" s="183">
        <v>1</v>
      </c>
      <c r="AH1396" s="181">
        <v>5</v>
      </c>
      <c r="AI1396" s="181">
        <v>0</v>
      </c>
      <c r="AJ1396" s="181">
        <f>VLOOKUP($I1396,'Price List, Weapons &amp; Items'!B:F,5,0)</f>
        <v>0</v>
      </c>
      <c r="AK1396" s="181">
        <f t="shared" si="328"/>
        <v>0</v>
      </c>
      <c r="AL1396" s="181">
        <f t="shared" si="329"/>
        <v>0</v>
      </c>
      <c r="AM1396" s="181">
        <f t="shared" si="330"/>
        <v>0</v>
      </c>
      <c r="AN1396" s="180" t="str">
        <f>VLOOKUP($I1396,'Price List, Weapons &amp; Items'!B:L,COLUMN('Price List, Weapons &amp; Items'!$J$11)-1,0)</f>
        <v>.</v>
      </c>
      <c r="AO1396" s="180" t="str">
        <f>IF(I1396=".",".",VLOOKUP($I1396,'Price List, Weapons &amp; Items'!B:J,3,0))</f>
        <v>.</v>
      </c>
      <c r="AP1396" s="545" t="e">
        <f t="shared" ca="1" si="336"/>
        <v>#NAME?</v>
      </c>
      <c r="AQ1396" s="180" t="str">
        <f>VLOOKUP($I1396,'Price List, Weapons &amp; Items'!B:L,COLUMN('Price List, Weapons &amp; Items'!$L$11)-1,0)</f>
        <v>no price, 0 count</v>
      </c>
      <c r="AR1396" s="180">
        <f t="shared" si="331"/>
        <v>1</v>
      </c>
      <c r="AS1396" s="180">
        <f t="shared" si="332"/>
        <v>0</v>
      </c>
      <c r="AT1396" s="180">
        <f t="shared" si="334"/>
        <v>1</v>
      </c>
      <c r="AU1396" s="180" t="str">
        <f t="shared" si="333"/>
        <v>.</v>
      </c>
      <c r="AV1396" s="180" t="str">
        <f t="shared" si="335"/>
        <v>.</v>
      </c>
      <c r="AW1396" s="180">
        <f>IFERROR(VLOOKUP(B1396,'Share, Heavy Weapons to Ukraine'!B:J,COLUMN('Share, Heavy Weapons to Ukraine'!C1406)-1,0),0)</f>
        <v>0</v>
      </c>
      <c r="AX1396" s="180">
        <f>VLOOKUP('Bilateral Assistance, MAIN DATA'!B1396,'Country Summary'!B:F,COLUMN('Country Summary'!C1409)-1,FALSE)</f>
        <v>0</v>
      </c>
      <c r="AY1396" s="180" t="str">
        <f>IF(AND(AD1396=1,D1396="Military",H1396&lt;&gt;"Not given")=TRUE,IF(SUMIFS(P:P,A:A,A1396)&gt;0,ABS((SUMIFS(P:P,A:A,A1396)/VLOOKUP("USD",'Exchange Rates'!B:C,2,0)))/S1396,"."),".")</f>
        <v>.</v>
      </c>
      <c r="AZ1396" s="182" t="str">
        <f>IF(AND(AD1396=1,D1396="Military",H1396&lt;&gt;"Not given")=TRUE,IF(SUMIFS(P:P,A:A,A1396)&gt;0,IF((ABS((SUMIFS(P:P,A:A,A1396)/VLOOKUP("USD",'Exchange Rates'!B:C,2,0)))/S1396)&gt;1,(SUMIFS(P:P,A:A,A1396)-S1396)/S1396,(S1396-SUMIFS(P:P,A:A,A1396))/SUMIFS(P:P,A:A,A1396)),"."),".")</f>
        <v>.</v>
      </c>
      <c r="BA1396" s="179"/>
      <c r="BB1396" s="179"/>
      <c r="BC1396" s="179"/>
      <c r="BD1396" s="179"/>
      <c r="BE1396" s="179"/>
      <c r="BF1396" s="179"/>
      <c r="BG1396" s="179"/>
      <c r="BH1396" s="179"/>
      <c r="BI1396" s="179"/>
      <c r="BJ1396" s="179"/>
      <c r="BK1396" s="179"/>
      <c r="BL1396" s="179"/>
      <c r="BM1396" s="179"/>
      <c r="BN1396" s="179"/>
      <c r="BO1396" s="179"/>
      <c r="BP1396" s="179"/>
      <c r="BQ1396" s="179"/>
      <c r="BR1396" s="179"/>
      <c r="BS1396" s="179"/>
    </row>
    <row r="1397" spans="1:71" s="526" customFormat="1" ht="15.9" customHeight="1" x14ac:dyDescent="0.3">
      <c r="A1397" s="17" t="s">
        <v>3462</v>
      </c>
      <c r="B1397" s="17" t="s">
        <v>3426</v>
      </c>
      <c r="C1397" s="174">
        <v>44874</v>
      </c>
      <c r="D1397" s="5" t="s">
        <v>405</v>
      </c>
      <c r="E1397" s="5" t="s">
        <v>518</v>
      </c>
      <c r="F1397" s="1139" t="s">
        <v>3463</v>
      </c>
      <c r="G1397" s="15" t="s">
        <v>364</v>
      </c>
      <c r="H1397" s="176">
        <v>18000000000</v>
      </c>
      <c r="I1397" s="184" t="s">
        <v>260</v>
      </c>
      <c r="J1397" s="113" t="str">
        <f>VLOOKUP($I1397,'Price List, Weapons &amp; Items'!B:C,2,0)</f>
        <v>.</v>
      </c>
      <c r="K1397" s="113" t="str">
        <f>IF(I1397=".",I1397,VLOOKUP($I1397,'Price List, Weapons &amp; Items'!B:D,3,0))</f>
        <v>.</v>
      </c>
      <c r="L1397" s="177">
        <f>VLOOKUP(I1397,'Price List, Weapons &amp; Items'!B:E,4,0)</f>
        <v>0</v>
      </c>
      <c r="M1397" s="542" t="s">
        <v>260</v>
      </c>
      <c r="N1397" s="542" t="str">
        <f>VLOOKUP(I1397,'Price List, Weapons &amp; Items'!B:C,2,0)</f>
        <v>.</v>
      </c>
      <c r="O1397" s="543" t="str">
        <f>VLOOKUP($I1397,'Price List, Weapons &amp; Items'!B:G,6,0)</f>
        <v>.</v>
      </c>
      <c r="P1397" s="176" t="str">
        <f t="shared" si="345"/>
        <v>.</v>
      </c>
      <c r="Q1397" s="176" t="str">
        <f t="shared" si="346"/>
        <v>.</v>
      </c>
      <c r="R1397" s="176">
        <f t="shared" si="344"/>
        <v>18000000000</v>
      </c>
      <c r="S1397" s="176">
        <f>IF(AND(AD1397=1,R1397&lt;&gt;".")=TRUE,R1397/VLOOKUP(G1397,'Exchange Rates'!B:C,2,0),IF(R1397=".",".",""))</f>
        <v>18000000000</v>
      </c>
      <c r="T1397" s="176" t="str">
        <f>IF(AD1397=1,IF(AF1397="Value is not given at all",".",IF(AF1397="Value is given by the source",S1397,IF(AF1397="Value is calculated with prices",(IF(SUMIFS(Q:Q,A:A,A1397)&gt;0,SUMIFS(Q:Q,A:A,A1397),"."))/VLOOKUP("USD",'Exchange Rates'!B:C,2,0),"Error with coding"))),"")</f>
        <v>.</v>
      </c>
      <c r="U1397" s="15" t="s">
        <v>261</v>
      </c>
      <c r="V1397" s="300" t="s">
        <v>3464</v>
      </c>
      <c r="W1397" s="144" t="s">
        <v>260</v>
      </c>
      <c r="X1397" s="144" t="s">
        <v>260</v>
      </c>
      <c r="Y1397" s="175" t="s">
        <v>260</v>
      </c>
      <c r="Z1397" s="15">
        <v>0</v>
      </c>
      <c r="AA1397" s="180">
        <v>0</v>
      </c>
      <c r="AB1397" s="17" t="s">
        <v>260</v>
      </c>
      <c r="AC1397" s="544" t="str">
        <f>""</f>
        <v/>
      </c>
      <c r="AD1397" s="183">
        <v>1</v>
      </c>
      <c r="AE1397" s="183" t="s">
        <v>264</v>
      </c>
      <c r="AF1397" s="183" t="s">
        <v>265</v>
      </c>
      <c r="AG1397" s="183">
        <v>1</v>
      </c>
      <c r="AH1397" s="181">
        <v>11</v>
      </c>
      <c r="AI1397" s="181">
        <v>0</v>
      </c>
      <c r="AJ1397" s="181">
        <f>VLOOKUP($I1397,'Price List, Weapons &amp; Items'!B:F,5,0)</f>
        <v>0</v>
      </c>
      <c r="AK1397" s="181">
        <f t="shared" si="328"/>
        <v>0</v>
      </c>
      <c r="AL1397" s="181">
        <f t="shared" si="329"/>
        <v>0</v>
      </c>
      <c r="AM1397" s="181">
        <f t="shared" si="330"/>
        <v>0</v>
      </c>
      <c r="AN1397" s="180" t="str">
        <f>VLOOKUP($I1397,'Price List, Weapons &amp; Items'!B:L,COLUMN('Price List, Weapons &amp; Items'!$J$11)-1,0)</f>
        <v>.</v>
      </c>
      <c r="AO1397" s="180" t="str">
        <f>IF(I1397=".",".",VLOOKUP($I1397,'Price List, Weapons &amp; Items'!B:J,3,0))</f>
        <v>.</v>
      </c>
      <c r="AP1397" s="545" t="e">
        <f t="shared" ca="1" si="336"/>
        <v>#NAME?</v>
      </c>
      <c r="AQ1397" s="180" t="str">
        <f>VLOOKUP($I1397,'Price List, Weapons &amp; Items'!B:L,COLUMN('Price List, Weapons &amp; Items'!$L$11)-1,0)</f>
        <v>no price, 0 count</v>
      </c>
      <c r="AR1397" s="180">
        <f t="shared" si="331"/>
        <v>1</v>
      </c>
      <c r="AS1397" s="180">
        <f t="shared" si="332"/>
        <v>0</v>
      </c>
      <c r="AT1397" s="180">
        <f t="shared" si="334"/>
        <v>1</v>
      </c>
      <c r="AU1397" s="180" t="str">
        <f t="shared" si="333"/>
        <v>.</v>
      </c>
      <c r="AV1397" s="180" t="str">
        <f t="shared" si="335"/>
        <v>.</v>
      </c>
      <c r="AW1397" s="180">
        <f>IFERROR(VLOOKUP(B1397,'Share, Heavy Weapons to Ukraine'!B:J,COLUMN('Share, Heavy Weapons to Ukraine'!C1407)-1,0),0)</f>
        <v>0</v>
      </c>
      <c r="AX1397" s="180">
        <f>VLOOKUP('Bilateral Assistance, MAIN DATA'!B1397,'Country Summary'!B:F,COLUMN('Country Summary'!C1410)-1,FALSE)</f>
        <v>0</v>
      </c>
      <c r="AY1397" s="180" t="str">
        <f>IF(AND(AD1397=1,D1397="Military",H1397&lt;&gt;"Not given")=TRUE,IF(SUMIFS(P:P,A:A,A1397)&gt;0,ABS((SUMIFS(P:P,A:A,A1397)/VLOOKUP("USD",'Exchange Rates'!B:C,2,0)))/S1397,"."),".")</f>
        <v>.</v>
      </c>
      <c r="AZ1397" s="182" t="str">
        <f>IF(AND(AD1397=1,D1397="Military",H1397&lt;&gt;"Not given")=TRUE,IF(SUMIFS(P:P,A:A,A1397)&gt;0,IF((ABS((SUMIFS(P:P,A:A,A1397)/VLOOKUP("USD",'Exchange Rates'!B:C,2,0)))/S1397)&gt;1,(SUMIFS(P:P,A:A,A1397)-S1397)/S1397,(S1397-SUMIFS(P:P,A:A,A1397))/SUMIFS(P:P,A:A,A1397)),"."),".")</f>
        <v>.</v>
      </c>
      <c r="BA1397" s="179"/>
      <c r="BB1397" s="179"/>
      <c r="BC1397" s="179"/>
      <c r="BD1397" s="179"/>
      <c r="BE1397" s="179"/>
      <c r="BF1397" s="179"/>
      <c r="BG1397" s="179"/>
      <c r="BH1397" s="179"/>
      <c r="BI1397" s="179"/>
      <c r="BJ1397" s="179"/>
      <c r="BK1397" s="179"/>
      <c r="BL1397" s="179"/>
      <c r="BM1397" s="179"/>
      <c r="BN1397" s="179"/>
      <c r="BO1397" s="179"/>
      <c r="BP1397" s="179"/>
      <c r="BQ1397" s="179"/>
      <c r="BR1397" s="179"/>
      <c r="BS1397" s="179"/>
    </row>
    <row r="1398" spans="1:71" ht="15.9" customHeight="1" x14ac:dyDescent="0.3">
      <c r="A1398" s="17" t="s">
        <v>3465</v>
      </c>
      <c r="B1398" s="17" t="s">
        <v>3466</v>
      </c>
      <c r="C1398" s="174">
        <v>44619</v>
      </c>
      <c r="D1398" s="5" t="s">
        <v>285</v>
      </c>
      <c r="E1398" s="5" t="s">
        <v>3466</v>
      </c>
      <c r="F1398" s="175" t="s">
        <v>3467</v>
      </c>
      <c r="G1398" s="15" t="s">
        <v>364</v>
      </c>
      <c r="H1398" s="176">
        <v>500000000</v>
      </c>
      <c r="I1398" s="184" t="s">
        <v>260</v>
      </c>
      <c r="J1398" s="113" t="str">
        <f>VLOOKUP($I1398,'Price List, Weapons &amp; Items'!B:C,2,0)</f>
        <v>.</v>
      </c>
      <c r="K1398" s="113" t="str">
        <f>IF(I1398=".",I1398,VLOOKUP($I1398,'Price List, Weapons &amp; Items'!B:D,3,0))</f>
        <v>.</v>
      </c>
      <c r="L1398" s="177">
        <f>VLOOKUP(I1398,'Price List, Weapons &amp; Items'!B:E,4,0)</f>
        <v>0</v>
      </c>
      <c r="M1398" s="542" t="s">
        <v>260</v>
      </c>
      <c r="N1398" s="542" t="s">
        <v>260</v>
      </c>
      <c r="O1398" s="543" t="str">
        <f>VLOOKUP($I1398,'Price List, Weapons &amp; Items'!B:G,6,0)</f>
        <v>.</v>
      </c>
      <c r="P1398" s="176" t="str">
        <f t="shared" si="345"/>
        <v>.</v>
      </c>
      <c r="Q1398" s="176" t="str">
        <f t="shared" si="346"/>
        <v>.</v>
      </c>
      <c r="R1398" s="176">
        <f t="shared" si="344"/>
        <v>500000000</v>
      </c>
      <c r="S1398" s="176">
        <f>IF(AND(AD1398=1,R1398&lt;&gt;".")=TRUE,R1398/VLOOKUP(G1398,'Exchange Rates'!B:C,2,0),IF(R1398=".",".",""))</f>
        <v>500000000</v>
      </c>
      <c r="T1398" s="176" t="str">
        <f>IF(AD1398=1,IF(AF1398="Value is not given at all",".",IF(AF1398="Value is given by the source",S1398,IF(AF1398="Value is calculated with prices",(IF(SUMIFS(Q:Q,A:A,A1398)&gt;0,SUMIFS(Q:Q,A:A,A1398),"."))/VLOOKUP("USD",'Exchange Rates'!B:C,2,0),"Error with coding"))),"")</f>
        <v>.</v>
      </c>
      <c r="U1398" s="15" t="s">
        <v>261</v>
      </c>
      <c r="V1398" s="300" t="s">
        <v>3468</v>
      </c>
      <c r="W1398" s="175" t="s">
        <v>260</v>
      </c>
      <c r="X1398" s="175" t="s">
        <v>260</v>
      </c>
      <c r="Y1398" s="175" t="s">
        <v>260</v>
      </c>
      <c r="Z1398" s="180">
        <v>0</v>
      </c>
      <c r="AA1398" s="180">
        <v>0</v>
      </c>
      <c r="AB1398" s="17" t="s">
        <v>260</v>
      </c>
      <c r="AC1398" s="544" t="str">
        <f>""</f>
        <v/>
      </c>
      <c r="AD1398" s="183">
        <v>1</v>
      </c>
      <c r="AE1398" s="183" t="s">
        <v>264</v>
      </c>
      <c r="AF1398" s="183" t="s">
        <v>265</v>
      </c>
      <c r="AG1398" s="183">
        <v>1</v>
      </c>
      <c r="AH1398" s="181">
        <v>2</v>
      </c>
      <c r="AI1398" s="181">
        <v>0</v>
      </c>
      <c r="AJ1398" s="181">
        <f>VLOOKUP($I1398,'Price List, Weapons &amp; Items'!B:F,5,0)</f>
        <v>0</v>
      </c>
      <c r="AK1398" s="181">
        <f t="shared" si="328"/>
        <v>0</v>
      </c>
      <c r="AL1398" s="181">
        <f t="shared" si="329"/>
        <v>0</v>
      </c>
      <c r="AM1398" s="181">
        <f t="shared" si="330"/>
        <v>0</v>
      </c>
      <c r="AN1398" s="180" t="str">
        <f>VLOOKUP($I1398,'Price List, Weapons &amp; Items'!B:L,COLUMN('Price List, Weapons &amp; Items'!$J$11)-1,0)</f>
        <v>.</v>
      </c>
      <c r="AO1398" s="180" t="str">
        <f>IF(I1398=".",".",VLOOKUP($I1398,'Price List, Weapons &amp; Items'!B:J,3,0))</f>
        <v>.</v>
      </c>
      <c r="AP1398" s="545" t="e">
        <f t="shared" ca="1" si="336"/>
        <v>#NAME?</v>
      </c>
      <c r="AQ1398" s="180" t="str">
        <f>VLOOKUP($I1398,'Price List, Weapons &amp; Items'!B:L,COLUMN('Price List, Weapons &amp; Items'!$L$11)-1,0)</f>
        <v>no price, 0 count</v>
      </c>
      <c r="AR1398" s="180">
        <f t="shared" si="331"/>
        <v>1</v>
      </c>
      <c r="AS1398" s="180">
        <f t="shared" si="332"/>
        <v>0</v>
      </c>
      <c r="AT1398" s="180">
        <f t="shared" si="334"/>
        <v>1</v>
      </c>
      <c r="AU1398" s="180" t="str">
        <f t="shared" si="333"/>
        <v>.</v>
      </c>
      <c r="AV1398" s="180" t="str">
        <f t="shared" si="335"/>
        <v>.</v>
      </c>
      <c r="AW1398" s="180">
        <f>IFERROR(VLOOKUP(B1398,'Share, Heavy Weapons to Ukraine'!B:J,COLUMN('Share, Heavy Weapons to Ukraine'!C1408)-1,0),0)</f>
        <v>0</v>
      </c>
      <c r="AX1398" s="180">
        <v>1</v>
      </c>
      <c r="AY1398" s="180" t="str">
        <f>IF(AND(AD1398=1,D1398="Military",H1398&lt;&gt;"Not given")=TRUE,IF(SUMIFS(P:P,A:A,A1398)&gt;0,ABS((SUMIFS(P:P,A:A,A1398)/VLOOKUP("USD",'Exchange Rates'!B:C,2,0)))/S1398,"."),".")</f>
        <v>.</v>
      </c>
      <c r="AZ1398" s="182" t="str">
        <f>IF(AND(AD1398=1,D1398="Military",H1398&lt;&gt;"Not given")=TRUE,IF(SUMIFS(P:P,A:A,A1398)&gt;0,IF((ABS((SUMIFS(P:P,A:A,A1398)/VLOOKUP("USD",'Exchange Rates'!B:C,2,0)))/S1398)&gt;1,(SUMIFS(P:P,A:A,A1398)-S1398)/S1398,(S1398-SUMIFS(P:P,A:A,A1398))/SUMIFS(P:P,A:A,A1398)),"."),".")</f>
        <v>.</v>
      </c>
      <c r="BA1398" s="182"/>
      <c r="BB1398" s="182"/>
      <c r="BC1398" s="182"/>
      <c r="BD1398" s="182"/>
      <c r="BE1398" s="182"/>
      <c r="BF1398" s="182"/>
      <c r="BG1398" s="182"/>
      <c r="BH1398" s="182"/>
      <c r="BI1398" s="182"/>
      <c r="BJ1398" s="182"/>
      <c r="BK1398" s="182"/>
      <c r="BL1398" s="182"/>
      <c r="BM1398" s="182"/>
      <c r="BN1398" s="182"/>
      <c r="BO1398" s="182"/>
      <c r="BP1398" s="182"/>
      <c r="BQ1398" s="182"/>
      <c r="BR1398" s="182"/>
      <c r="BS1398" s="182"/>
    </row>
    <row r="1399" spans="1:71" ht="15.9" customHeight="1" x14ac:dyDescent="0.3">
      <c r="A1399" s="17" t="s">
        <v>3469</v>
      </c>
      <c r="B1399" s="17" t="s">
        <v>3466</v>
      </c>
      <c r="C1399" s="174">
        <v>44643</v>
      </c>
      <c r="D1399" s="5" t="s">
        <v>285</v>
      </c>
      <c r="E1399" s="5" t="s">
        <v>3466</v>
      </c>
      <c r="F1399" s="175" t="s">
        <v>3470</v>
      </c>
      <c r="G1399" s="15" t="s">
        <v>364</v>
      </c>
      <c r="H1399" s="176">
        <v>500000000</v>
      </c>
      <c r="I1399" s="184" t="s">
        <v>260</v>
      </c>
      <c r="J1399" s="113" t="str">
        <f>VLOOKUP($I1399,'Price List, Weapons &amp; Items'!B:C,2,0)</f>
        <v>.</v>
      </c>
      <c r="K1399" s="113" t="str">
        <f>IF(I1399=".",I1399,VLOOKUP($I1399,'Price List, Weapons &amp; Items'!B:D,3,0))</f>
        <v>.</v>
      </c>
      <c r="L1399" s="177">
        <f>VLOOKUP(I1399,'Price List, Weapons &amp; Items'!B:E,4,0)</f>
        <v>0</v>
      </c>
      <c r="M1399" s="542" t="s">
        <v>260</v>
      </c>
      <c r="N1399" s="542" t="s">
        <v>260</v>
      </c>
      <c r="O1399" s="543" t="str">
        <f>VLOOKUP($I1399,'Price List, Weapons &amp; Items'!B:G,6,0)</f>
        <v>.</v>
      </c>
      <c r="P1399" s="176" t="str">
        <f t="shared" si="345"/>
        <v>.</v>
      </c>
      <c r="Q1399" s="176" t="str">
        <f t="shared" si="346"/>
        <v>.</v>
      </c>
      <c r="R1399" s="176">
        <f t="shared" si="344"/>
        <v>500000000</v>
      </c>
      <c r="S1399" s="176">
        <f>IF(AND(AD1399=1,R1399&lt;&gt;".")=TRUE,R1399/VLOOKUP(G1399,'Exchange Rates'!B:C,2,0),IF(R1399=".",".",""))</f>
        <v>500000000</v>
      </c>
      <c r="T1399" s="176" t="str">
        <f>IF(AD1399=1,IF(AF1399="Value is not given at all",".",IF(AF1399="Value is given by the source",S1399,IF(AF1399="Value is calculated with prices",(IF(SUMIFS(Q:Q,A:A,A1399)&gt;0,SUMIFS(Q:Q,A:A,A1399),"."))/VLOOKUP("USD",'Exchange Rates'!B:C,2,0),"Error with coding"))),"")</f>
        <v>.</v>
      </c>
      <c r="U1399" s="15" t="s">
        <v>261</v>
      </c>
      <c r="V1399" s="300" t="s">
        <v>3468</v>
      </c>
      <c r="W1399" s="175" t="s">
        <v>260</v>
      </c>
      <c r="X1399" s="175" t="s">
        <v>260</v>
      </c>
      <c r="Y1399" s="175" t="s">
        <v>260</v>
      </c>
      <c r="Z1399" s="180">
        <v>0</v>
      </c>
      <c r="AA1399" s="180">
        <v>0</v>
      </c>
      <c r="AB1399" s="17" t="s">
        <v>260</v>
      </c>
      <c r="AC1399" s="544" t="str">
        <f>""</f>
        <v/>
      </c>
      <c r="AD1399" s="183">
        <v>1</v>
      </c>
      <c r="AE1399" s="183" t="s">
        <v>264</v>
      </c>
      <c r="AF1399" s="183" t="s">
        <v>265</v>
      </c>
      <c r="AG1399" s="183">
        <v>1</v>
      </c>
      <c r="AH1399" s="181">
        <v>3</v>
      </c>
      <c r="AI1399" s="181">
        <v>0</v>
      </c>
      <c r="AJ1399" s="181">
        <f>VLOOKUP($I1399,'Price List, Weapons &amp; Items'!B:F,5,0)</f>
        <v>0</v>
      </c>
      <c r="AK1399" s="181">
        <f t="shared" si="328"/>
        <v>0</v>
      </c>
      <c r="AL1399" s="181">
        <f t="shared" si="329"/>
        <v>0</v>
      </c>
      <c r="AM1399" s="181">
        <f t="shared" si="330"/>
        <v>0</v>
      </c>
      <c r="AN1399" s="180" t="str">
        <f>VLOOKUP($I1399,'Price List, Weapons &amp; Items'!B:L,COLUMN('Price List, Weapons &amp; Items'!$J$11)-1,0)</f>
        <v>.</v>
      </c>
      <c r="AO1399" s="180" t="str">
        <f>IF(I1399=".",".",VLOOKUP($I1399,'Price List, Weapons &amp; Items'!B:J,3,0))</f>
        <v>.</v>
      </c>
      <c r="AP1399" s="545" t="e">
        <f t="shared" ca="1" si="336"/>
        <v>#NAME?</v>
      </c>
      <c r="AQ1399" s="180" t="str">
        <f>VLOOKUP($I1399,'Price List, Weapons &amp; Items'!B:L,COLUMN('Price List, Weapons &amp; Items'!$L$11)-1,0)</f>
        <v>no price, 0 count</v>
      </c>
      <c r="AR1399" s="180">
        <f t="shared" si="331"/>
        <v>1</v>
      </c>
      <c r="AS1399" s="180">
        <f t="shared" si="332"/>
        <v>0</v>
      </c>
      <c r="AT1399" s="180">
        <f t="shared" si="334"/>
        <v>1</v>
      </c>
      <c r="AU1399" s="180" t="str">
        <f t="shared" si="333"/>
        <v>.</v>
      </c>
      <c r="AV1399" s="180" t="str">
        <f t="shared" si="335"/>
        <v>.</v>
      </c>
      <c r="AW1399" s="180">
        <f>IFERROR(VLOOKUP(B1399,'Share, Heavy Weapons to Ukraine'!B:J,COLUMN('Share, Heavy Weapons to Ukraine'!C1409)-1,0),0)</f>
        <v>0</v>
      </c>
      <c r="AX1399" s="180">
        <v>1</v>
      </c>
      <c r="AY1399" s="180" t="str">
        <f>IF(AND(AD1399=1,D1399="Military",H1399&lt;&gt;"Not given")=TRUE,IF(SUMIFS(P:P,A:A,A1399)&gt;0,ABS((SUMIFS(P:P,A:A,A1399)/VLOOKUP("USD",'Exchange Rates'!B:C,2,0)))/S1399,"."),".")</f>
        <v>.</v>
      </c>
      <c r="AZ1399" s="182" t="str">
        <f>IF(AND(AD1399=1,D1399="Military",H1399&lt;&gt;"Not given")=TRUE,IF(SUMIFS(P:P,A:A,A1399)&gt;0,IF((ABS((SUMIFS(P:P,A:A,A1399)/VLOOKUP("USD",'Exchange Rates'!B:C,2,0)))/S1399)&gt;1,(SUMIFS(P:P,A:A,A1399)-S1399)/S1399,(S1399-SUMIFS(P:P,A:A,A1399))/SUMIFS(P:P,A:A,A1399)),"."),".")</f>
        <v>.</v>
      </c>
      <c r="BA1399" s="182"/>
      <c r="BB1399" s="182"/>
      <c r="BC1399" s="182"/>
      <c r="BD1399" s="182"/>
      <c r="BE1399" s="182"/>
      <c r="BF1399" s="182"/>
      <c r="BG1399" s="182"/>
      <c r="BH1399" s="182"/>
      <c r="BI1399" s="182"/>
      <c r="BJ1399" s="182"/>
      <c r="BK1399" s="182"/>
      <c r="BL1399" s="182"/>
      <c r="BM1399" s="182"/>
      <c r="BN1399" s="182"/>
      <c r="BO1399" s="182"/>
      <c r="BP1399" s="182"/>
      <c r="BQ1399" s="182"/>
      <c r="BR1399" s="182"/>
      <c r="BS1399" s="182"/>
    </row>
    <row r="1400" spans="1:71" ht="15.9" customHeight="1" x14ac:dyDescent="0.3">
      <c r="A1400" s="17" t="s">
        <v>3471</v>
      </c>
      <c r="B1400" s="17" t="s">
        <v>3466</v>
      </c>
      <c r="C1400" s="174">
        <v>44659</v>
      </c>
      <c r="D1400" s="5" t="s">
        <v>285</v>
      </c>
      <c r="E1400" s="5" t="s">
        <v>3466</v>
      </c>
      <c r="F1400" s="175" t="s">
        <v>3472</v>
      </c>
      <c r="G1400" s="15" t="s">
        <v>364</v>
      </c>
      <c r="H1400" s="176">
        <v>500000000</v>
      </c>
      <c r="I1400" s="184" t="s">
        <v>260</v>
      </c>
      <c r="J1400" s="113" t="str">
        <f>VLOOKUP($I1400,'Price List, Weapons &amp; Items'!B:C,2,0)</f>
        <v>.</v>
      </c>
      <c r="K1400" s="113" t="str">
        <f>IF(I1400=".",I1400,VLOOKUP($I1400,'Price List, Weapons &amp; Items'!B:D,3,0))</f>
        <v>.</v>
      </c>
      <c r="L1400" s="177">
        <f>VLOOKUP(I1400,'Price List, Weapons &amp; Items'!B:E,4,0)</f>
        <v>0</v>
      </c>
      <c r="M1400" s="542" t="s">
        <v>260</v>
      </c>
      <c r="N1400" s="542" t="s">
        <v>260</v>
      </c>
      <c r="O1400" s="543" t="str">
        <f>VLOOKUP($I1400,'Price List, Weapons &amp; Items'!B:G,6,0)</f>
        <v>.</v>
      </c>
      <c r="P1400" s="176" t="str">
        <f t="shared" si="345"/>
        <v>.</v>
      </c>
      <c r="Q1400" s="176" t="str">
        <f t="shared" si="346"/>
        <v>.</v>
      </c>
      <c r="R1400" s="176">
        <f t="shared" si="344"/>
        <v>500000000</v>
      </c>
      <c r="S1400" s="176">
        <f>IF(AND(AD1400=1,R1400&lt;&gt;".")=TRUE,R1400/VLOOKUP(G1400,'Exchange Rates'!B:C,2,0),IF(R1400=".",".",""))</f>
        <v>500000000</v>
      </c>
      <c r="T1400" s="176" t="str">
        <f>IF(AD1400=1,IF(AF1400="Value is not given at all",".",IF(AF1400="Value is given by the source",S1400,IF(AF1400="Value is calculated with prices",(IF(SUMIFS(Q:Q,A:A,A1400)&gt;0,SUMIFS(Q:Q,A:A,A1400),"."))/VLOOKUP("USD",'Exchange Rates'!B:C,2,0),"Error with coding"))),"")</f>
        <v>.</v>
      </c>
      <c r="U1400" s="15" t="s">
        <v>261</v>
      </c>
      <c r="V1400" s="300" t="s">
        <v>3473</v>
      </c>
      <c r="W1400" s="300" t="s">
        <v>3474</v>
      </c>
      <c r="X1400" s="300" t="s">
        <v>3475</v>
      </c>
      <c r="Y1400" s="175" t="s">
        <v>260</v>
      </c>
      <c r="Z1400" s="180">
        <v>0</v>
      </c>
      <c r="AA1400" s="180">
        <v>0</v>
      </c>
      <c r="AB1400" s="17" t="s">
        <v>260</v>
      </c>
      <c r="AC1400" s="544" t="str">
        <f>""</f>
        <v/>
      </c>
      <c r="AD1400" s="183">
        <v>1</v>
      </c>
      <c r="AE1400" s="183" t="s">
        <v>264</v>
      </c>
      <c r="AF1400" s="183" t="s">
        <v>265</v>
      </c>
      <c r="AG1400" s="183">
        <v>1</v>
      </c>
      <c r="AH1400" s="181">
        <v>4</v>
      </c>
      <c r="AI1400" s="181">
        <v>0</v>
      </c>
      <c r="AJ1400" s="181">
        <f>VLOOKUP($I1400,'Price List, Weapons &amp; Items'!B:F,5,0)</f>
        <v>0</v>
      </c>
      <c r="AK1400" s="181">
        <f t="shared" si="328"/>
        <v>0</v>
      </c>
      <c r="AL1400" s="181">
        <f t="shared" si="329"/>
        <v>0</v>
      </c>
      <c r="AM1400" s="181">
        <f t="shared" si="330"/>
        <v>0</v>
      </c>
      <c r="AN1400" s="180" t="str">
        <f>VLOOKUP($I1400,'Price List, Weapons &amp; Items'!B:L,COLUMN('Price List, Weapons &amp; Items'!$J$11)-1,0)</f>
        <v>.</v>
      </c>
      <c r="AO1400" s="180" t="str">
        <f>IF(I1400=".",".",VLOOKUP($I1400,'Price List, Weapons &amp; Items'!B:J,3,0))</f>
        <v>.</v>
      </c>
      <c r="AP1400" s="545" t="e">
        <f t="shared" ca="1" si="336"/>
        <v>#NAME?</v>
      </c>
      <c r="AQ1400" s="180" t="str">
        <f>VLOOKUP($I1400,'Price List, Weapons &amp; Items'!B:L,COLUMN('Price List, Weapons &amp; Items'!$L$11)-1,0)</f>
        <v>no price, 0 count</v>
      </c>
      <c r="AR1400" s="180">
        <f t="shared" si="331"/>
        <v>1</v>
      </c>
      <c r="AS1400" s="180">
        <f t="shared" si="332"/>
        <v>0</v>
      </c>
      <c r="AT1400" s="180">
        <f t="shared" si="334"/>
        <v>1</v>
      </c>
      <c r="AU1400" s="180" t="str">
        <f t="shared" si="333"/>
        <v>.</v>
      </c>
      <c r="AV1400" s="180" t="str">
        <f t="shared" si="335"/>
        <v>.</v>
      </c>
      <c r="AW1400" s="180">
        <f>IFERROR(VLOOKUP(B1400,'Share, Heavy Weapons to Ukraine'!B:J,COLUMN('Share, Heavy Weapons to Ukraine'!C1410)-1,0),0)</f>
        <v>0</v>
      </c>
      <c r="AX1400" s="180">
        <v>1</v>
      </c>
      <c r="AY1400" s="180" t="str">
        <f>IF(AND(AD1400=1,D1400="Military",H1400&lt;&gt;"Not given")=TRUE,IF(SUMIFS(P:P,A:A,A1400)&gt;0,ABS((SUMIFS(P:P,A:A,A1400)/VLOOKUP("USD",'Exchange Rates'!B:C,2,0)))/S1400,"."),".")</f>
        <v>.</v>
      </c>
      <c r="AZ1400" s="182" t="str">
        <f>IF(AND(AD1400=1,D1400="Military",H1400&lt;&gt;"Not given")=TRUE,IF(SUMIFS(P:P,A:A,A1400)&gt;0,IF((ABS((SUMIFS(P:P,A:A,A1400)/VLOOKUP("USD",'Exchange Rates'!B:C,2,0)))/S1400)&gt;1,(SUMIFS(P:P,A:A,A1400)-S1400)/S1400,(S1400-SUMIFS(P:P,A:A,A1400))/SUMIFS(P:P,A:A,A1400)),"."),".")</f>
        <v>.</v>
      </c>
      <c r="BA1400" s="182"/>
      <c r="BB1400" s="182"/>
      <c r="BC1400" s="182"/>
      <c r="BD1400" s="182"/>
      <c r="BE1400" s="182"/>
      <c r="BF1400" s="182"/>
      <c r="BG1400" s="182"/>
      <c r="BH1400" s="182"/>
      <c r="BI1400" s="182"/>
      <c r="BJ1400" s="182"/>
      <c r="BK1400" s="182"/>
      <c r="BL1400" s="182"/>
      <c r="BM1400" s="182"/>
      <c r="BN1400" s="182"/>
      <c r="BO1400" s="182"/>
      <c r="BP1400" s="182"/>
      <c r="BQ1400" s="182"/>
      <c r="BR1400" s="182"/>
      <c r="BS1400" s="182"/>
    </row>
    <row r="1401" spans="1:71" ht="15.9" customHeight="1" x14ac:dyDescent="0.3">
      <c r="A1401" s="17" t="s">
        <v>3476</v>
      </c>
      <c r="B1401" s="17" t="s">
        <v>3466</v>
      </c>
      <c r="C1401" s="174">
        <v>44694</v>
      </c>
      <c r="D1401" s="5" t="s">
        <v>285</v>
      </c>
      <c r="E1401" s="5" t="s">
        <v>3466</v>
      </c>
      <c r="F1401" s="175" t="s">
        <v>3477</v>
      </c>
      <c r="G1401" s="15" t="s">
        <v>364</v>
      </c>
      <c r="H1401" s="176">
        <v>500000000</v>
      </c>
      <c r="I1401" s="17" t="s">
        <v>260</v>
      </c>
      <c r="J1401" s="113" t="str">
        <f>VLOOKUP($I1401,'Price List, Weapons &amp; Items'!B:C,2,0)</f>
        <v>.</v>
      </c>
      <c r="K1401" s="113" t="str">
        <f>IF(I1401=".",I1401,VLOOKUP($I1401,'Price List, Weapons &amp; Items'!B:D,3,0))</f>
        <v>.</v>
      </c>
      <c r="L1401" s="177">
        <f>VLOOKUP(I1401,'Price List, Weapons &amp; Items'!B:E,4,0)</f>
        <v>0</v>
      </c>
      <c r="M1401" s="542" t="s">
        <v>260</v>
      </c>
      <c r="N1401" s="542" t="s">
        <v>260</v>
      </c>
      <c r="O1401" s="543" t="str">
        <f>VLOOKUP($I1401,'Price List, Weapons &amp; Items'!B:G,6,0)</f>
        <v>.</v>
      </c>
      <c r="P1401" s="176" t="str">
        <f t="shared" si="345"/>
        <v>.</v>
      </c>
      <c r="Q1401" s="176" t="str">
        <f t="shared" si="346"/>
        <v>.</v>
      </c>
      <c r="R1401" s="176">
        <f t="shared" si="344"/>
        <v>500000000</v>
      </c>
      <c r="S1401" s="176">
        <f>IF(AND(AD1401=1,R1401&lt;&gt;".")=TRUE,R1401/VLOOKUP(G1401,'Exchange Rates'!B:C,2,0),IF(R1401=".",".",""))</f>
        <v>500000000</v>
      </c>
      <c r="T1401" s="176" t="str">
        <f>IF(AD1401=1,IF(AF1401="Value is not given at all",".",IF(AF1401="Value is given by the source",S1401,IF(AF1401="Value is calculated with prices",(IF(SUMIFS(Q:Q,A:A,A1401)&gt;0,SUMIFS(Q:Q,A:A,A1401),"."))/VLOOKUP("USD",'Exchange Rates'!B:C,2,0),"Error with coding"))),"")</f>
        <v>.</v>
      </c>
      <c r="U1401" s="15" t="s">
        <v>261</v>
      </c>
      <c r="V1401" s="300" t="s">
        <v>3478</v>
      </c>
      <c r="W1401" s="300" t="s">
        <v>3479</v>
      </c>
      <c r="Y1401" s="175" t="s">
        <v>260</v>
      </c>
      <c r="Z1401" s="15">
        <v>0</v>
      </c>
      <c r="AA1401" s="180">
        <v>0</v>
      </c>
      <c r="AB1401" s="17" t="s">
        <v>260</v>
      </c>
      <c r="AC1401" s="544" t="str">
        <f>""</f>
        <v/>
      </c>
      <c r="AD1401" s="181">
        <v>1</v>
      </c>
      <c r="AE1401" s="181" t="s">
        <v>264</v>
      </c>
      <c r="AF1401" s="181" t="s">
        <v>265</v>
      </c>
      <c r="AG1401" s="181">
        <v>1</v>
      </c>
      <c r="AH1401" s="181">
        <v>5</v>
      </c>
      <c r="AI1401" s="181">
        <v>0</v>
      </c>
      <c r="AJ1401" s="181">
        <f>VLOOKUP($I1401,'Price List, Weapons &amp; Items'!B:F,5,0)</f>
        <v>0</v>
      </c>
      <c r="AK1401" s="181">
        <f t="shared" si="328"/>
        <v>0</v>
      </c>
      <c r="AL1401" s="181">
        <f t="shared" si="329"/>
        <v>0</v>
      </c>
      <c r="AM1401" s="181">
        <f t="shared" si="330"/>
        <v>0</v>
      </c>
      <c r="AN1401" s="180" t="str">
        <f>VLOOKUP($I1401,'Price List, Weapons &amp; Items'!B:L,COLUMN('Price List, Weapons &amp; Items'!$J$11)-1,0)</f>
        <v>.</v>
      </c>
      <c r="AO1401" s="180" t="str">
        <f>IF(I1401=".",".",VLOOKUP($I1401,'Price List, Weapons &amp; Items'!B:J,3,0))</f>
        <v>.</v>
      </c>
      <c r="AP1401" s="545" t="e">
        <f t="shared" ca="1" si="336"/>
        <v>#NAME?</v>
      </c>
      <c r="AQ1401" s="180" t="str">
        <f>VLOOKUP($I1401,'Price List, Weapons &amp; Items'!B:L,COLUMN('Price List, Weapons &amp; Items'!$L$11)-1,0)</f>
        <v>no price, 0 count</v>
      </c>
      <c r="AR1401" s="180">
        <f t="shared" si="331"/>
        <v>1</v>
      </c>
      <c r="AS1401" s="180">
        <f t="shared" si="332"/>
        <v>0</v>
      </c>
      <c r="AT1401" s="180">
        <f t="shared" si="334"/>
        <v>1</v>
      </c>
      <c r="AU1401" s="180" t="str">
        <f t="shared" si="333"/>
        <v>.</v>
      </c>
      <c r="AV1401" s="180" t="str">
        <f t="shared" si="335"/>
        <v>.</v>
      </c>
      <c r="AW1401" s="180">
        <f>IFERROR(VLOOKUP(B1401,'Share, Heavy Weapons to Ukraine'!B:J,COLUMN('Share, Heavy Weapons to Ukraine'!C1411)-1,0),0)</f>
        <v>0</v>
      </c>
      <c r="AX1401" s="180">
        <v>1</v>
      </c>
      <c r="AY1401" s="180" t="str">
        <f>IF(AND(AD1401=1,D1401="Military",H1401&lt;&gt;"Not given")=TRUE,IF(SUMIFS(P:P,A:A,A1401)&gt;0,ABS((SUMIFS(P:P,A:A,A1401)/VLOOKUP("USD",'Exchange Rates'!B:C,2,0)))/S1401,"."),".")</f>
        <v>.</v>
      </c>
      <c r="AZ1401" s="182" t="str">
        <f>IF(AND(AD1401=1,D1401="Military",H1401&lt;&gt;"Not given")=TRUE,IF(SUMIFS(P:P,A:A,A1401)&gt;0,IF((ABS((SUMIFS(P:P,A:A,A1401)/VLOOKUP("USD",'Exchange Rates'!B:C,2,0)))/S1401)&gt;1,(SUMIFS(P:P,A:A,A1401)-S1401)/S1401,(S1401-SUMIFS(P:P,A:A,A1401))/SUMIFS(P:P,A:A,A1401)),"."),".")</f>
        <v>.</v>
      </c>
      <c r="BA1401" s="182"/>
      <c r="BB1401" s="182"/>
      <c r="BC1401" s="182"/>
      <c r="BD1401" s="182"/>
      <c r="BE1401" s="182"/>
      <c r="BF1401" s="182"/>
      <c r="BG1401" s="182"/>
      <c r="BH1401" s="182"/>
      <c r="BI1401" s="182"/>
      <c r="BJ1401" s="182"/>
      <c r="BK1401" s="182"/>
      <c r="BL1401" s="182"/>
      <c r="BM1401" s="182"/>
      <c r="BN1401" s="182"/>
      <c r="BO1401" s="182"/>
      <c r="BP1401" s="182"/>
      <c r="BQ1401" s="182"/>
      <c r="BR1401" s="182"/>
      <c r="BS1401" s="182"/>
    </row>
    <row r="1402" spans="1:71" ht="15.9" customHeight="1" x14ac:dyDescent="0.3">
      <c r="A1402" s="17" t="s">
        <v>3480</v>
      </c>
      <c r="B1402" s="17" t="s">
        <v>3466</v>
      </c>
      <c r="C1402" s="174">
        <v>44764</v>
      </c>
      <c r="D1402" s="5" t="s">
        <v>285</v>
      </c>
      <c r="E1402" s="5" t="s">
        <v>3466</v>
      </c>
      <c r="F1402" s="175" t="s">
        <v>3481</v>
      </c>
      <c r="G1402" s="15" t="s">
        <v>364</v>
      </c>
      <c r="H1402" s="176">
        <v>500000000</v>
      </c>
      <c r="I1402" s="17" t="s">
        <v>260</v>
      </c>
      <c r="J1402" s="113" t="str">
        <f>VLOOKUP($I1402,'Price List, Weapons &amp; Items'!B:C,2,0)</f>
        <v>.</v>
      </c>
      <c r="K1402" s="113" t="str">
        <f>IF(I1402=".",I1402,VLOOKUP($I1402,'Price List, Weapons &amp; Items'!B:D,3,0))</f>
        <v>.</v>
      </c>
      <c r="L1402" s="177">
        <f>VLOOKUP(I1402,'Price List, Weapons &amp; Items'!B:E,4,0)</f>
        <v>0</v>
      </c>
      <c r="M1402" s="542" t="s">
        <v>260</v>
      </c>
      <c r="N1402" s="542" t="s">
        <v>260</v>
      </c>
      <c r="O1402" s="543" t="str">
        <f>VLOOKUP($I1402,'Price List, Weapons &amp; Items'!B:G,6,0)</f>
        <v>.</v>
      </c>
      <c r="P1402" s="176" t="str">
        <f t="shared" si="345"/>
        <v>.</v>
      </c>
      <c r="Q1402" s="176" t="str">
        <f t="shared" si="346"/>
        <v>.</v>
      </c>
      <c r="R1402" s="176">
        <f t="shared" si="344"/>
        <v>500000000</v>
      </c>
      <c r="S1402" s="176">
        <f>IF(AND(AD1402=1,R1402&lt;&gt;".")=TRUE,R1402/VLOOKUP(G1402,'Exchange Rates'!B:C,2,0),IF(R1402=".",".",""))</f>
        <v>500000000</v>
      </c>
      <c r="T1402" s="176" t="str">
        <f>IF(AD1402=1,IF(AF1402="Value is not given at all",".",IF(AF1402="Value is given by the source",S1402,IF(AF1402="Value is calculated with prices",(IF(SUMIFS(Q:Q,A:A,A1402)&gt;0,SUMIFS(Q:Q,A:A,A1402),"."))/VLOOKUP("USD",'Exchange Rates'!B:C,2,0),"Error with coding"))),"")</f>
        <v>.</v>
      </c>
      <c r="U1402" s="15" t="s">
        <v>261</v>
      </c>
      <c r="V1402" s="300" t="s">
        <v>3482</v>
      </c>
      <c r="W1402" s="300" t="s">
        <v>3483</v>
      </c>
      <c r="X1402" s="144" t="s">
        <v>260</v>
      </c>
      <c r="Y1402" s="175" t="s">
        <v>260</v>
      </c>
      <c r="Z1402" s="15">
        <v>0</v>
      </c>
      <c r="AA1402" s="180">
        <v>0</v>
      </c>
      <c r="AB1402" s="17" t="s">
        <v>260</v>
      </c>
      <c r="AC1402" s="544" t="str">
        <f>""</f>
        <v/>
      </c>
      <c r="AD1402" s="181">
        <v>1</v>
      </c>
      <c r="AE1402" s="181" t="s">
        <v>264</v>
      </c>
      <c r="AF1402" s="181" t="s">
        <v>265</v>
      </c>
      <c r="AG1402" s="181">
        <v>1</v>
      </c>
      <c r="AH1402" s="181">
        <v>7</v>
      </c>
      <c r="AI1402" s="181">
        <v>0</v>
      </c>
      <c r="AJ1402" s="181">
        <f>VLOOKUP($I1402,'Price List, Weapons &amp; Items'!B:F,5,0)</f>
        <v>0</v>
      </c>
      <c r="AK1402" s="181">
        <f t="shared" si="328"/>
        <v>0</v>
      </c>
      <c r="AL1402" s="181">
        <f t="shared" si="329"/>
        <v>0</v>
      </c>
      <c r="AM1402" s="181">
        <f t="shared" si="330"/>
        <v>0</v>
      </c>
      <c r="AN1402" s="180" t="str">
        <f>VLOOKUP($I1402,'Price List, Weapons &amp; Items'!B:L,COLUMN('Price List, Weapons &amp; Items'!$J$11)-1,0)</f>
        <v>.</v>
      </c>
      <c r="AO1402" s="180" t="str">
        <f>IF(I1402=".",".",VLOOKUP($I1402,'Price List, Weapons &amp; Items'!B:J,3,0))</f>
        <v>.</v>
      </c>
      <c r="AP1402" s="545" t="e">
        <f t="shared" ca="1" si="336"/>
        <v>#NAME?</v>
      </c>
      <c r="AQ1402" s="180" t="str">
        <f>VLOOKUP($I1402,'Price List, Weapons &amp; Items'!B:L,COLUMN('Price List, Weapons &amp; Items'!$L$11)-1,0)</f>
        <v>no price, 0 count</v>
      </c>
      <c r="AR1402" s="180">
        <f t="shared" si="331"/>
        <v>1</v>
      </c>
      <c r="AS1402" s="180">
        <f t="shared" si="332"/>
        <v>0</v>
      </c>
      <c r="AT1402" s="180">
        <f t="shared" si="334"/>
        <v>1</v>
      </c>
      <c r="AU1402" s="180" t="str">
        <f t="shared" si="333"/>
        <v>.</v>
      </c>
      <c r="AV1402" s="180" t="str">
        <f t="shared" si="335"/>
        <v>.</v>
      </c>
      <c r="AW1402" s="180">
        <f>IFERROR(VLOOKUP(B1402,'Share, Heavy Weapons to Ukraine'!B:J,COLUMN('Share, Heavy Weapons to Ukraine'!C1412)-1,0),0)</f>
        <v>0</v>
      </c>
      <c r="AX1402" s="180">
        <v>1</v>
      </c>
      <c r="AY1402" s="180" t="str">
        <f>IF(AND(AD1402=1,D1402="Military",H1402&lt;&gt;"Not given")=TRUE,IF(SUMIFS(P:P,A:A,A1402)&gt;0,ABS((SUMIFS(P:P,A:A,A1402)/VLOOKUP("USD",'Exchange Rates'!B:C,2,0)))/S1402,"."),".")</f>
        <v>.</v>
      </c>
      <c r="AZ1402" s="182" t="str">
        <f>IF(AND(AD1402=1,D1402="Military",H1402&lt;&gt;"Not given")=TRUE,IF(SUMIFS(P:P,A:A,A1402)&gt;0,IF((ABS((SUMIFS(P:P,A:A,A1402)/VLOOKUP("USD",'Exchange Rates'!B:C,2,0)))/S1402)&gt;1,(SUMIFS(P:P,A:A,A1402)-S1402)/S1402,(S1402-SUMIFS(P:P,A:A,A1402))/SUMIFS(P:P,A:A,A1402)),"."),".")</f>
        <v>.</v>
      </c>
      <c r="BA1402" s="182"/>
      <c r="BB1402" s="182"/>
      <c r="BC1402" s="182"/>
      <c r="BD1402" s="182"/>
      <c r="BE1402" s="182"/>
      <c r="BF1402" s="182"/>
      <c r="BG1402" s="182"/>
      <c r="BH1402" s="182"/>
      <c r="BI1402" s="182"/>
      <c r="BJ1402" s="182"/>
      <c r="BK1402" s="182"/>
      <c r="BL1402" s="182"/>
      <c r="BM1402" s="182"/>
      <c r="BN1402" s="182"/>
      <c r="BO1402" s="182"/>
      <c r="BP1402" s="182"/>
      <c r="BQ1402" s="182"/>
      <c r="BR1402" s="182"/>
      <c r="BS1402" s="182"/>
    </row>
    <row r="1403" spans="1:71" ht="15.9" customHeight="1" x14ac:dyDescent="0.3">
      <c r="A1403" s="17" t="s">
        <v>3484</v>
      </c>
      <c r="B1403" s="17" t="s">
        <v>3466</v>
      </c>
      <c r="C1403" s="174">
        <v>44851</v>
      </c>
      <c r="D1403" s="5" t="s">
        <v>285</v>
      </c>
      <c r="E1403" s="5" t="s">
        <v>3466</v>
      </c>
      <c r="F1403" s="175" t="s">
        <v>3485</v>
      </c>
      <c r="G1403" s="15" t="s">
        <v>364</v>
      </c>
      <c r="H1403" s="176">
        <v>600000000</v>
      </c>
      <c r="I1403" s="17" t="s">
        <v>260</v>
      </c>
      <c r="J1403" s="113" t="str">
        <f>VLOOKUP($I1403,'Price List, Weapons &amp; Items'!B:C,2,0)</f>
        <v>.</v>
      </c>
      <c r="K1403" s="113" t="str">
        <f>IF(I1403=".",I1403,VLOOKUP($I1403,'Price List, Weapons &amp; Items'!B:D,3,0))</f>
        <v>.</v>
      </c>
      <c r="L1403" s="177">
        <f>VLOOKUP(I1403,'Price List, Weapons &amp; Items'!B:E,4,0)</f>
        <v>0</v>
      </c>
      <c r="M1403" s="542" t="s">
        <v>260</v>
      </c>
      <c r="N1403" s="542" t="s">
        <v>260</v>
      </c>
      <c r="O1403" s="543" t="str">
        <f>VLOOKUP($I1403,'Price List, Weapons &amp; Items'!B:G,6,0)</f>
        <v>.</v>
      </c>
      <c r="P1403" s="176" t="str">
        <f t="shared" si="345"/>
        <v>.</v>
      </c>
      <c r="Q1403" s="176" t="str">
        <f t="shared" si="346"/>
        <v>.</v>
      </c>
      <c r="R1403" s="176">
        <f t="shared" si="344"/>
        <v>600000000</v>
      </c>
      <c r="S1403" s="176">
        <f>IF(AND(AD1403=1,R1403&lt;&gt;".")=TRUE,R1403/VLOOKUP(G1403,'Exchange Rates'!B:C,2,0),IF(R1403=".",".",""))</f>
        <v>600000000</v>
      </c>
      <c r="T1403" s="176" t="str">
        <f>IF(AD1403=1,IF(AF1403="Value is not given at all",".",IF(AF1403="Value is given by the source",S1403,IF(AF1403="Value is calculated with prices",(IF(SUMIFS(Q:Q,A:A,A1403)&gt;0,SUMIFS(Q:Q,A:A,A1403),"."))/VLOOKUP("USD",'Exchange Rates'!B:C,2,0),"Error with coding"))),"")</f>
        <v>.</v>
      </c>
      <c r="U1403" s="15" t="s">
        <v>261</v>
      </c>
      <c r="V1403" s="300" t="s">
        <v>3486</v>
      </c>
      <c r="W1403" s="300" t="s">
        <v>3487</v>
      </c>
      <c r="X1403" s="144" t="s">
        <v>260</v>
      </c>
      <c r="Y1403" s="175" t="s">
        <v>260</v>
      </c>
      <c r="Z1403" s="15">
        <v>0</v>
      </c>
      <c r="AA1403" s="180">
        <v>0</v>
      </c>
      <c r="AB1403" s="17" t="s">
        <v>260</v>
      </c>
      <c r="AC1403" s="544" t="str">
        <f>""</f>
        <v/>
      </c>
      <c r="AD1403" s="181">
        <v>1</v>
      </c>
      <c r="AE1403" s="181" t="s">
        <v>264</v>
      </c>
      <c r="AF1403" s="181" t="s">
        <v>265</v>
      </c>
      <c r="AG1403" s="181">
        <v>1</v>
      </c>
      <c r="AH1403" s="181">
        <v>10</v>
      </c>
      <c r="AI1403" s="181">
        <v>0</v>
      </c>
      <c r="AJ1403" s="181">
        <f>VLOOKUP($I1403,'Price List, Weapons &amp; Items'!B:F,5,0)</f>
        <v>0</v>
      </c>
      <c r="AK1403" s="181">
        <f t="shared" si="328"/>
        <v>0</v>
      </c>
      <c r="AL1403" s="181">
        <f t="shared" si="329"/>
        <v>0</v>
      </c>
      <c r="AM1403" s="181">
        <f t="shared" si="330"/>
        <v>0</v>
      </c>
      <c r="AN1403" s="180" t="str">
        <f>VLOOKUP($I1403,'Price List, Weapons &amp; Items'!B:L,COLUMN('Price List, Weapons &amp; Items'!$J$11)-1,0)</f>
        <v>.</v>
      </c>
      <c r="AO1403" s="180" t="str">
        <f>IF(I1403=".",".",VLOOKUP($I1403,'Price List, Weapons &amp; Items'!B:J,3,0))</f>
        <v>.</v>
      </c>
      <c r="AP1403" s="545" t="e">
        <f t="shared" ca="1" si="336"/>
        <v>#NAME?</v>
      </c>
      <c r="AQ1403" s="180" t="str">
        <f>VLOOKUP($I1403,'Price List, Weapons &amp; Items'!B:L,COLUMN('Price List, Weapons &amp; Items'!$L$11)-1,0)</f>
        <v>no price, 0 count</v>
      </c>
      <c r="AR1403" s="180">
        <f t="shared" si="331"/>
        <v>1</v>
      </c>
      <c r="AS1403" s="180">
        <f t="shared" si="332"/>
        <v>0</v>
      </c>
      <c r="AT1403" s="180">
        <f t="shared" si="334"/>
        <v>1</v>
      </c>
      <c r="AU1403" s="180" t="str">
        <f t="shared" si="333"/>
        <v>.</v>
      </c>
      <c r="AV1403" s="180" t="str">
        <f t="shared" si="335"/>
        <v>.</v>
      </c>
      <c r="AW1403" s="180">
        <f>IFERROR(VLOOKUP(B1403,'Share, Heavy Weapons to Ukraine'!B:J,COLUMN('Share, Heavy Weapons to Ukraine'!C1413)-1,0),0)</f>
        <v>0</v>
      </c>
      <c r="AX1403" s="180">
        <v>1</v>
      </c>
      <c r="AY1403" s="180" t="str">
        <f>IF(AND(AD1403=1,D1403="Military",H1403&lt;&gt;"Not given")=TRUE,IF(SUMIFS(P:P,A:A,A1403)&gt;0,ABS((SUMIFS(P:P,A:A,A1403)/VLOOKUP("USD",'Exchange Rates'!B:C,2,0)))/S1403,"."),".")</f>
        <v>.</v>
      </c>
      <c r="AZ1403" s="182" t="str">
        <f>IF(AND(AD1403=1,D1403="Military",H1403&lt;&gt;"Not given")=TRUE,IF(SUMIFS(P:P,A:A,A1403)&gt;0,IF((ABS((SUMIFS(P:P,A:A,A1403)/VLOOKUP("USD",'Exchange Rates'!B:C,2,0)))/S1403)&gt;1,(SUMIFS(P:P,A:A,A1403)-S1403)/S1403,(S1403-SUMIFS(P:P,A:A,A1403))/SUMIFS(P:P,A:A,A1403)),"."),".")</f>
        <v>.</v>
      </c>
      <c r="BA1403" s="182"/>
      <c r="BB1403" s="182"/>
      <c r="BC1403" s="182"/>
      <c r="BD1403" s="182"/>
      <c r="BE1403" s="182"/>
      <c r="BF1403" s="182"/>
      <c r="BG1403" s="182"/>
      <c r="BH1403" s="182"/>
      <c r="BI1403" s="182"/>
      <c r="BJ1403" s="182"/>
      <c r="BK1403" s="182"/>
      <c r="BL1403" s="182"/>
      <c r="BM1403" s="182"/>
      <c r="BN1403" s="182"/>
      <c r="BO1403" s="182"/>
      <c r="BP1403" s="182"/>
      <c r="BQ1403" s="182"/>
      <c r="BR1403" s="182"/>
      <c r="BS1403" s="182"/>
    </row>
    <row r="1404" spans="1:71" s="526" customFormat="1" ht="15.9" customHeight="1" x14ac:dyDescent="0.3">
      <c r="A1404" s="17" t="s">
        <v>3488</v>
      </c>
      <c r="B1404" s="17" t="s">
        <v>3489</v>
      </c>
      <c r="C1404" s="174">
        <v>44624</v>
      </c>
      <c r="D1404" s="5" t="s">
        <v>405</v>
      </c>
      <c r="E1404" s="5" t="s">
        <v>518</v>
      </c>
      <c r="F1404" s="175" t="s">
        <v>3490</v>
      </c>
      <c r="G1404" s="15" t="s">
        <v>364</v>
      </c>
      <c r="H1404" s="176">
        <v>2000000000</v>
      </c>
      <c r="I1404" s="17" t="s">
        <v>260</v>
      </c>
      <c r="J1404" s="113" t="str">
        <f>VLOOKUP($I1404,'Price List, Weapons &amp; Items'!B:C,2,0)</f>
        <v>.</v>
      </c>
      <c r="K1404" s="113" t="str">
        <f>IF(I1404=".",I1404,VLOOKUP($I1404,'Price List, Weapons &amp; Items'!B:D,3,0))</f>
        <v>.</v>
      </c>
      <c r="L1404" s="177">
        <f>VLOOKUP(I1404,'Price List, Weapons &amp; Items'!B:E,4,0)</f>
        <v>0</v>
      </c>
      <c r="M1404" s="542" t="s">
        <v>260</v>
      </c>
      <c r="N1404" s="542" t="s">
        <v>260</v>
      </c>
      <c r="O1404" s="543" t="str">
        <f>VLOOKUP($I1404,'Price List, Weapons &amp; Items'!B:G,6,0)</f>
        <v>.</v>
      </c>
      <c r="P1404" s="176" t="str">
        <f t="shared" si="345"/>
        <v>.</v>
      </c>
      <c r="Q1404" s="176" t="str">
        <f t="shared" si="346"/>
        <v>.</v>
      </c>
      <c r="R1404" s="176">
        <f t="shared" si="344"/>
        <v>2000000000</v>
      </c>
      <c r="S1404" s="176">
        <f>IF(AND(AD1404=1,R1404&lt;&gt;".")=TRUE,R1404/VLOOKUP(G1404,'Exchange Rates'!B:C,2,0),IF(R1404=".",".",""))</f>
        <v>2000000000</v>
      </c>
      <c r="T1404" s="176" t="str">
        <f>IF(AD1404=1,IF(AF1404="Value is not given at all",".",IF(AF1404="Value is given by the source",S1404,IF(AF1404="Value is calculated with prices",(IF(SUMIFS(Q:Q,A:A,A1404)&gt;0,SUMIFS(Q:Q,A:A,A1404),"."))/VLOOKUP("USD",'Exchange Rates'!B:C,2,0),"Error with coding"))),"")</f>
        <v>.</v>
      </c>
      <c r="U1404" s="15" t="s">
        <v>261</v>
      </c>
      <c r="V1404" s="300" t="s">
        <v>3491</v>
      </c>
      <c r="W1404" s="300" t="s">
        <v>3492</v>
      </c>
      <c r="X1404" s="300" t="s">
        <v>3493</v>
      </c>
      <c r="Y1404" s="175" t="s">
        <v>260</v>
      </c>
      <c r="Z1404" s="180">
        <v>0</v>
      </c>
      <c r="AA1404" s="180">
        <v>0</v>
      </c>
      <c r="AB1404" s="17" t="s">
        <v>260</v>
      </c>
      <c r="AC1404" s="544" t="str">
        <f>""</f>
        <v/>
      </c>
      <c r="AD1404" s="183">
        <v>1</v>
      </c>
      <c r="AE1404" s="183" t="s">
        <v>264</v>
      </c>
      <c r="AF1404" s="183" t="s">
        <v>265</v>
      </c>
      <c r="AG1404" s="183">
        <v>1</v>
      </c>
      <c r="AH1404" s="181">
        <v>3</v>
      </c>
      <c r="AI1404" s="181">
        <v>0</v>
      </c>
      <c r="AJ1404" s="181">
        <f>VLOOKUP($I1404,'Price List, Weapons &amp; Items'!B:F,5,0)</f>
        <v>0</v>
      </c>
      <c r="AK1404" s="181">
        <f t="shared" si="328"/>
        <v>0</v>
      </c>
      <c r="AL1404" s="181">
        <f t="shared" si="329"/>
        <v>0</v>
      </c>
      <c r="AM1404" s="181">
        <f t="shared" si="330"/>
        <v>0</v>
      </c>
      <c r="AN1404" s="180" t="str">
        <f>VLOOKUP($I1404,'Price List, Weapons &amp; Items'!B:L,COLUMN('Price List, Weapons &amp; Items'!$J$11)-1,0)</f>
        <v>.</v>
      </c>
      <c r="AO1404" s="180" t="str">
        <f>IF(I1404=".",".",VLOOKUP($I1404,'Price List, Weapons &amp; Items'!B:J,3,0))</f>
        <v>.</v>
      </c>
      <c r="AP1404" s="545" t="e">
        <f t="shared" ca="1" si="336"/>
        <v>#NAME?</v>
      </c>
      <c r="AQ1404" s="180" t="str">
        <f>VLOOKUP($I1404,'Price List, Weapons &amp; Items'!B:L,COLUMN('Price List, Weapons &amp; Items'!$L$11)-1,0)</f>
        <v>no price, 0 count</v>
      </c>
      <c r="AR1404" s="180">
        <f t="shared" si="331"/>
        <v>1</v>
      </c>
      <c r="AS1404" s="180">
        <f t="shared" si="332"/>
        <v>0</v>
      </c>
      <c r="AT1404" s="180">
        <f t="shared" si="334"/>
        <v>1</v>
      </c>
      <c r="AU1404" s="180" t="str">
        <f t="shared" si="333"/>
        <v>.</v>
      </c>
      <c r="AV1404" s="180" t="str">
        <f t="shared" si="335"/>
        <v>.</v>
      </c>
      <c r="AW1404" s="180">
        <f>IFERROR(VLOOKUP(B1404,'Share, Heavy Weapons to Ukraine'!B:J,COLUMN('Share, Heavy Weapons to Ukraine'!C1414)-1,0),0)</f>
        <v>0</v>
      </c>
      <c r="AX1404" s="180">
        <v>1</v>
      </c>
      <c r="AY1404" s="180" t="str">
        <f>IF(AND(AD1404=1,D1404="Military",H1404&lt;&gt;"Not given")=TRUE,IF(SUMIFS(P:P,A:A,A1404)&gt;0,ABS((SUMIFS(P:P,A:A,A1404)/VLOOKUP("USD",'Exchange Rates'!B:C,2,0)))/S1404,"."),".")</f>
        <v>.</v>
      </c>
      <c r="AZ1404" s="182" t="str">
        <f>IF(AND(AD1404=1,D1404="Military",H1404&lt;&gt;"Not given")=TRUE,IF(SUMIFS(P:P,A:A,A1404)&gt;0,IF((ABS((SUMIFS(P:P,A:A,A1404)/VLOOKUP("USD",'Exchange Rates'!B:C,2,0)))/S1404)&gt;1,(SUMIFS(P:P,A:A,A1404)-S1404)/S1404,(S1404-SUMIFS(P:P,A:A,A1404))/SUMIFS(P:P,A:A,A1404)),"."),".")</f>
        <v>.</v>
      </c>
      <c r="BA1404" s="179"/>
      <c r="BB1404" s="179"/>
      <c r="BC1404" s="179"/>
      <c r="BD1404" s="179"/>
      <c r="BE1404" s="179"/>
      <c r="BF1404" s="179"/>
      <c r="BG1404" s="179"/>
      <c r="BH1404" s="179"/>
      <c r="BI1404" s="179"/>
      <c r="BJ1404" s="179"/>
      <c r="BK1404" s="179"/>
      <c r="BL1404" s="179"/>
      <c r="BM1404" s="179"/>
      <c r="BN1404" s="179"/>
      <c r="BO1404" s="179"/>
      <c r="BP1404" s="179"/>
      <c r="BQ1404" s="179"/>
      <c r="BR1404" s="179"/>
      <c r="BS1404" s="179"/>
    </row>
    <row r="1405" spans="1:71" s="526" customFormat="1" ht="15.9" customHeight="1" x14ac:dyDescent="0.3">
      <c r="A1405" s="17" t="s">
        <v>3494</v>
      </c>
      <c r="B1405" s="17" t="s">
        <v>3489</v>
      </c>
      <c r="C1405" s="174">
        <v>44627</v>
      </c>
      <c r="D1405" s="5" t="s">
        <v>405</v>
      </c>
      <c r="E1405" s="5" t="s">
        <v>362</v>
      </c>
      <c r="F1405" s="175" t="s">
        <v>3495</v>
      </c>
      <c r="G1405" s="15" t="s">
        <v>364</v>
      </c>
      <c r="H1405" s="176">
        <v>2500000</v>
      </c>
      <c r="I1405" s="17" t="s">
        <v>260</v>
      </c>
      <c r="J1405" s="113" t="str">
        <f>VLOOKUP($I1405,'Price List, Weapons &amp; Items'!B:C,2,0)</f>
        <v>.</v>
      </c>
      <c r="K1405" s="113" t="str">
        <f>IF(I1405=".",I1405,VLOOKUP($I1405,'Price List, Weapons &amp; Items'!B:D,3,0))</f>
        <v>.</v>
      </c>
      <c r="L1405" s="177">
        <f>VLOOKUP(I1405,'Price List, Weapons &amp; Items'!B:E,4,0)</f>
        <v>0</v>
      </c>
      <c r="M1405" s="542" t="s">
        <v>260</v>
      </c>
      <c r="N1405" s="542" t="s">
        <v>260</v>
      </c>
      <c r="O1405" s="543" t="str">
        <f>VLOOKUP($I1405,'Price List, Weapons &amp; Items'!B:G,6,0)</f>
        <v>.</v>
      </c>
      <c r="P1405" s="176" t="str">
        <f t="shared" si="345"/>
        <v>.</v>
      </c>
      <c r="Q1405" s="176" t="str">
        <f t="shared" si="346"/>
        <v>.</v>
      </c>
      <c r="R1405" s="176">
        <f t="shared" si="344"/>
        <v>2500000</v>
      </c>
      <c r="S1405" s="176">
        <f>IF(AND(AD1405=1,R1405&lt;&gt;".")=TRUE,R1405/VLOOKUP(G1405,'Exchange Rates'!B:C,2,0),IF(R1405=".",".",""))</f>
        <v>2500000</v>
      </c>
      <c r="T1405" s="176" t="str">
        <f>IF(AD1405=1,IF(AF1405="Value is not given at all",".",IF(AF1405="Value is given by the source",S1405,IF(AF1405="Value is calculated with prices",(IF(SUMIFS(Q:Q,A:A,A1405)&gt;0,SUMIFS(Q:Q,A:A,A1405),"."))/VLOOKUP("USD",'Exchange Rates'!B:C,2,0),"Error with coding"))),"")</f>
        <v>.</v>
      </c>
      <c r="U1405" s="15" t="s">
        <v>261</v>
      </c>
      <c r="V1405" s="300" t="s">
        <v>3496</v>
      </c>
      <c r="W1405" s="175" t="s">
        <v>260</v>
      </c>
      <c r="X1405" s="175" t="s">
        <v>260</v>
      </c>
      <c r="Y1405" s="175" t="s">
        <v>260</v>
      </c>
      <c r="Z1405" s="180">
        <v>0</v>
      </c>
      <c r="AA1405" s="180">
        <v>0</v>
      </c>
      <c r="AB1405" s="17" t="s">
        <v>260</v>
      </c>
      <c r="AC1405" s="544" t="str">
        <f>""</f>
        <v/>
      </c>
      <c r="AD1405" s="183">
        <v>1</v>
      </c>
      <c r="AE1405" s="183" t="s">
        <v>264</v>
      </c>
      <c r="AF1405" s="183" t="s">
        <v>265</v>
      </c>
      <c r="AG1405" s="183">
        <v>1</v>
      </c>
      <c r="AH1405" s="181">
        <v>3</v>
      </c>
      <c r="AI1405" s="181">
        <v>0</v>
      </c>
      <c r="AJ1405" s="181">
        <f>VLOOKUP($I1405,'Price List, Weapons &amp; Items'!B:F,5,0)</f>
        <v>0</v>
      </c>
      <c r="AK1405" s="181">
        <f t="shared" si="328"/>
        <v>0</v>
      </c>
      <c r="AL1405" s="181">
        <f t="shared" si="329"/>
        <v>0</v>
      </c>
      <c r="AM1405" s="181">
        <f t="shared" si="330"/>
        <v>0</v>
      </c>
      <c r="AN1405" s="180" t="str">
        <f>VLOOKUP($I1405,'Price List, Weapons &amp; Items'!B:L,COLUMN('Price List, Weapons &amp; Items'!$J$11)-1,0)</f>
        <v>.</v>
      </c>
      <c r="AO1405" s="180" t="str">
        <f>IF(I1405=".",".",VLOOKUP($I1405,'Price List, Weapons &amp; Items'!B:J,3,0))</f>
        <v>.</v>
      </c>
      <c r="AP1405" s="545" t="e">
        <f t="shared" ca="1" si="336"/>
        <v>#NAME?</v>
      </c>
      <c r="AQ1405" s="180" t="str">
        <f>VLOOKUP($I1405,'Price List, Weapons &amp; Items'!B:L,COLUMN('Price List, Weapons &amp; Items'!$L$11)-1,0)</f>
        <v>no price, 0 count</v>
      </c>
      <c r="AR1405" s="180">
        <f t="shared" si="331"/>
        <v>1</v>
      </c>
      <c r="AS1405" s="180">
        <f t="shared" si="332"/>
        <v>0</v>
      </c>
      <c r="AT1405" s="180">
        <f t="shared" si="334"/>
        <v>1</v>
      </c>
      <c r="AU1405" s="180" t="str">
        <f t="shared" si="333"/>
        <v>.</v>
      </c>
      <c r="AV1405" s="180" t="str">
        <f t="shared" si="335"/>
        <v>.</v>
      </c>
      <c r="AW1405" s="180">
        <f>IFERROR(VLOOKUP(B1405,'Share, Heavy Weapons to Ukraine'!B:J,COLUMN('Share, Heavy Weapons to Ukraine'!C1415)-1,0),0)</f>
        <v>0</v>
      </c>
      <c r="AX1405" s="180">
        <v>1</v>
      </c>
      <c r="AY1405" s="180" t="str">
        <f>IF(AND(AD1405=1,D1405="Military",H1405&lt;&gt;"Not given")=TRUE,IF(SUMIFS(P:P,A:A,A1405)&gt;0,ABS((SUMIFS(P:P,A:A,A1405)/VLOOKUP("USD",'Exchange Rates'!B:C,2,0)))/S1405,"."),".")</f>
        <v>.</v>
      </c>
      <c r="AZ1405" s="182" t="str">
        <f>IF(AND(AD1405=1,D1405="Military",H1405&lt;&gt;"Not given")=TRUE,IF(SUMIFS(P:P,A:A,A1405)&gt;0,IF((ABS((SUMIFS(P:P,A:A,A1405)/VLOOKUP("USD",'Exchange Rates'!B:C,2,0)))/S1405)&gt;1,(SUMIFS(P:P,A:A,A1405)-S1405)/S1405,(S1405-SUMIFS(P:P,A:A,A1405))/SUMIFS(P:P,A:A,A1405)),"."),".")</f>
        <v>.</v>
      </c>
      <c r="BA1405" s="179"/>
      <c r="BB1405" s="179"/>
      <c r="BC1405" s="179"/>
      <c r="BD1405" s="179"/>
      <c r="BE1405" s="179"/>
      <c r="BF1405" s="179"/>
      <c r="BG1405" s="179"/>
      <c r="BH1405" s="179"/>
      <c r="BI1405" s="179"/>
      <c r="BJ1405" s="179"/>
      <c r="BK1405" s="179"/>
      <c r="BL1405" s="179"/>
      <c r="BM1405" s="179"/>
      <c r="BN1405" s="179"/>
      <c r="BO1405" s="179"/>
      <c r="BP1405" s="179"/>
      <c r="BQ1405" s="179"/>
      <c r="BR1405" s="179"/>
      <c r="BS1405" s="179"/>
    </row>
    <row r="1406" spans="1:71" ht="15.9" customHeight="1" x14ac:dyDescent="0.3">
      <c r="A1406" s="17"/>
      <c r="B1406" s="17"/>
      <c r="C1406" s="174"/>
      <c r="D1406" s="5"/>
      <c r="E1406" s="5"/>
      <c r="F1406" s="175"/>
      <c r="G1406" s="15"/>
      <c r="H1406" s="176"/>
      <c r="I1406" s="17"/>
      <c r="J1406" s="113"/>
      <c r="K1406" s="113"/>
      <c r="L1406" s="177"/>
      <c r="M1406" s="542"/>
      <c r="N1406" s="542"/>
      <c r="O1406" s="542"/>
      <c r="P1406" s="176"/>
      <c r="Q1406" s="176"/>
      <c r="R1406" s="176"/>
      <c r="S1406" s="176"/>
      <c r="T1406" s="176"/>
      <c r="U1406" s="15"/>
      <c r="X1406" s="175"/>
      <c r="Z1406" s="15"/>
      <c r="AA1406" s="180"/>
      <c r="AC1406" s="544"/>
      <c r="AD1406" s="180"/>
      <c r="AE1406" s="180"/>
      <c r="AF1406" s="180"/>
      <c r="AG1406" s="180"/>
      <c r="AH1406" s="180"/>
      <c r="AI1406" s="180"/>
      <c r="AJ1406" s="180"/>
      <c r="AK1406" s="180"/>
      <c r="AL1406" s="180"/>
      <c r="AM1406" s="180"/>
      <c r="AN1406" s="180"/>
      <c r="AO1406" s="180"/>
      <c r="AP1406" s="545"/>
      <c r="AQ1406" s="180"/>
      <c r="AR1406" s="180"/>
      <c r="AS1406" s="180"/>
      <c r="AT1406" s="180"/>
      <c r="AU1406" s="180"/>
      <c r="AV1406" s="3"/>
      <c r="AW1406" s="3"/>
      <c r="AX1406" s="182"/>
      <c r="AY1406" s="182"/>
      <c r="AZ1406" s="182"/>
      <c r="BA1406" s="182"/>
      <c r="BB1406" s="182"/>
      <c r="BC1406" s="182"/>
      <c r="BD1406" s="182"/>
      <c r="BE1406" s="182"/>
      <c r="BF1406" s="182"/>
      <c r="BG1406" s="182"/>
      <c r="BH1406" s="182"/>
      <c r="BI1406" s="182"/>
      <c r="BJ1406" s="182"/>
      <c r="BK1406" s="182"/>
      <c r="BL1406" s="182"/>
      <c r="BM1406" s="182"/>
      <c r="BN1406" s="182"/>
      <c r="BO1406" s="182"/>
      <c r="BP1406" s="182"/>
      <c r="BQ1406" s="182"/>
      <c r="BR1406" s="182"/>
      <c r="BS1406" s="182"/>
    </row>
    <row r="1407" spans="1:71" ht="15.9" customHeight="1" x14ac:dyDescent="0.3">
      <c r="A1407" s="17"/>
      <c r="B1407" s="17"/>
      <c r="C1407" s="174"/>
      <c r="D1407" s="5"/>
      <c r="E1407" s="5"/>
      <c r="F1407" s="175"/>
      <c r="G1407" s="15"/>
      <c r="H1407" s="176"/>
      <c r="I1407" s="17"/>
      <c r="J1407" s="113"/>
      <c r="K1407" s="113"/>
      <c r="L1407" s="177"/>
      <c r="M1407" s="542"/>
      <c r="N1407" s="542"/>
      <c r="O1407" s="542"/>
      <c r="P1407" s="176"/>
      <c r="Q1407" s="176"/>
      <c r="R1407" s="176"/>
      <c r="S1407" s="176"/>
      <c r="T1407" s="176"/>
      <c r="U1407" s="15"/>
      <c r="Z1407" s="15"/>
      <c r="AA1407" s="180"/>
      <c r="AC1407" s="544"/>
      <c r="AD1407" s="180"/>
      <c r="AE1407" s="180"/>
      <c r="AF1407" s="180"/>
      <c r="AG1407" s="180"/>
      <c r="AH1407" s="180"/>
      <c r="AI1407" s="180"/>
      <c r="AJ1407" s="180"/>
      <c r="AK1407" s="180"/>
      <c r="AL1407" s="180"/>
      <c r="AM1407" s="180"/>
      <c r="AN1407" s="180"/>
      <c r="AO1407" s="180"/>
      <c r="AP1407" s="545"/>
      <c r="AQ1407" s="180"/>
      <c r="AR1407" s="180"/>
      <c r="AS1407" s="180"/>
      <c r="AT1407" s="180"/>
      <c r="AU1407" s="180"/>
      <c r="AV1407" s="3"/>
      <c r="AW1407" s="3"/>
      <c r="AX1407" s="182"/>
      <c r="AY1407" s="182"/>
      <c r="AZ1407" s="182"/>
      <c r="BA1407" s="182"/>
      <c r="BB1407" s="182"/>
      <c r="BC1407" s="182"/>
      <c r="BD1407" s="182"/>
      <c r="BE1407" s="182"/>
      <c r="BF1407" s="182"/>
      <c r="BG1407" s="182"/>
      <c r="BH1407" s="182"/>
      <c r="BI1407" s="182"/>
      <c r="BJ1407" s="182"/>
      <c r="BK1407" s="182"/>
      <c r="BL1407" s="182"/>
      <c r="BM1407" s="182"/>
      <c r="BN1407" s="182"/>
      <c r="BO1407" s="182"/>
      <c r="BP1407" s="182"/>
      <c r="BQ1407" s="182"/>
      <c r="BR1407" s="182"/>
      <c r="BS1407" s="182"/>
    </row>
    <row r="1408" spans="1:71" ht="15.9" customHeight="1" x14ac:dyDescent="0.3">
      <c r="A1408" s="17"/>
      <c r="B1408" s="17"/>
      <c r="C1408" s="174"/>
      <c r="D1408" s="5"/>
      <c r="E1408" s="5"/>
      <c r="F1408" s="175"/>
      <c r="G1408" s="15"/>
      <c r="H1408" s="176"/>
      <c r="I1408" s="17"/>
      <c r="J1408" s="113"/>
      <c r="K1408" s="113"/>
      <c r="L1408" s="177"/>
      <c r="M1408" s="542"/>
      <c r="N1408" s="542"/>
      <c r="O1408" s="542"/>
      <c r="P1408" s="176"/>
      <c r="Q1408" s="176"/>
      <c r="R1408" s="176"/>
      <c r="S1408" s="176"/>
      <c r="T1408" s="176"/>
      <c r="U1408" s="15"/>
      <c r="Z1408" s="15"/>
      <c r="AA1408" s="180"/>
      <c r="AC1408" s="544"/>
      <c r="AD1408" s="180"/>
      <c r="AE1408" s="180"/>
      <c r="AF1408" s="180"/>
      <c r="AG1408" s="180"/>
      <c r="AH1408" s="180"/>
      <c r="AI1408" s="180"/>
      <c r="AJ1408" s="180"/>
      <c r="AK1408" s="180"/>
      <c r="AL1408" s="180"/>
      <c r="AM1408" s="180"/>
      <c r="AN1408" s="180"/>
      <c r="AO1408" s="180"/>
      <c r="AP1408" s="545"/>
      <c r="AQ1408" s="180"/>
      <c r="AR1408" s="180"/>
      <c r="AS1408" s="180"/>
      <c r="AT1408" s="180"/>
      <c r="AU1408" s="180"/>
      <c r="AV1408" s="3"/>
      <c r="AW1408" s="3"/>
      <c r="AX1408" s="182"/>
      <c r="AY1408" s="182"/>
      <c r="AZ1408" s="182"/>
      <c r="BA1408" s="182"/>
      <c r="BB1408" s="182"/>
      <c r="BC1408" s="182"/>
      <c r="BD1408" s="182"/>
      <c r="BE1408" s="182"/>
      <c r="BF1408" s="182"/>
      <c r="BG1408" s="182"/>
      <c r="BH1408" s="182"/>
      <c r="BI1408" s="182"/>
      <c r="BJ1408" s="182"/>
      <c r="BK1408" s="182"/>
      <c r="BL1408" s="182"/>
      <c r="BM1408" s="182"/>
      <c r="BN1408" s="182"/>
      <c r="BO1408" s="182"/>
      <c r="BP1408" s="182"/>
      <c r="BQ1408" s="182"/>
      <c r="BR1408" s="182"/>
      <c r="BS1408" s="182"/>
    </row>
    <row r="1409" spans="1:71" ht="15.9" customHeight="1" x14ac:dyDescent="0.3">
      <c r="A1409" s="17"/>
      <c r="B1409" s="17"/>
      <c r="C1409" s="174"/>
      <c r="D1409" s="5"/>
      <c r="E1409" s="5"/>
      <c r="F1409" s="175"/>
      <c r="G1409" s="15"/>
      <c r="H1409" s="176"/>
      <c r="I1409" s="17"/>
      <c r="J1409" s="113"/>
      <c r="K1409" s="113"/>
      <c r="L1409" s="177"/>
      <c r="M1409" s="542"/>
      <c r="N1409" s="542"/>
      <c r="O1409" s="542"/>
      <c r="P1409" s="176"/>
      <c r="Q1409" s="176"/>
      <c r="R1409" s="176"/>
      <c r="S1409" s="176"/>
      <c r="T1409" s="176"/>
      <c r="U1409" s="15"/>
      <c r="Z1409" s="15"/>
      <c r="AA1409" s="180"/>
      <c r="AC1409" s="544"/>
      <c r="AD1409" s="180"/>
      <c r="AE1409" s="180"/>
      <c r="AF1409" s="180"/>
      <c r="AG1409" s="180"/>
      <c r="AH1409" s="180"/>
      <c r="AI1409" s="180"/>
      <c r="AJ1409" s="180"/>
      <c r="AK1409" s="180"/>
      <c r="AL1409" s="180"/>
      <c r="AM1409" s="180"/>
      <c r="AN1409" s="180"/>
      <c r="AO1409" s="180"/>
      <c r="AP1409" s="545"/>
      <c r="AQ1409" s="180"/>
      <c r="AR1409" s="180"/>
      <c r="AS1409" s="180"/>
      <c r="AT1409" s="180"/>
      <c r="AU1409" s="180"/>
      <c r="AV1409" s="3"/>
      <c r="AW1409" s="3"/>
      <c r="AX1409" s="182"/>
      <c r="AY1409" s="182"/>
      <c r="AZ1409" s="182"/>
      <c r="BA1409" s="182"/>
      <c r="BB1409" s="182"/>
      <c r="BC1409" s="182"/>
      <c r="BD1409" s="182"/>
      <c r="BE1409" s="182"/>
      <c r="BF1409" s="182"/>
      <c r="BG1409" s="182"/>
      <c r="BH1409" s="182"/>
      <c r="BI1409" s="182"/>
      <c r="BJ1409" s="182"/>
      <c r="BK1409" s="182"/>
      <c r="BL1409" s="182"/>
      <c r="BM1409" s="182"/>
      <c r="BN1409" s="182"/>
      <c r="BO1409" s="182"/>
      <c r="BP1409" s="182"/>
      <c r="BQ1409" s="182"/>
      <c r="BR1409" s="182"/>
      <c r="BS1409" s="182"/>
    </row>
    <row r="1410" spans="1:71" ht="15.9" customHeight="1" x14ac:dyDescent="0.3">
      <c r="A1410" s="17"/>
      <c r="B1410" s="17"/>
      <c r="C1410" s="174"/>
      <c r="D1410" s="5"/>
      <c r="E1410" s="5"/>
      <c r="F1410" s="175"/>
      <c r="G1410" s="15"/>
      <c r="H1410" s="176"/>
      <c r="I1410" s="17"/>
      <c r="J1410" s="113"/>
      <c r="K1410" s="113"/>
      <c r="L1410" s="177"/>
      <c r="M1410" s="542"/>
      <c r="N1410" s="542"/>
      <c r="O1410" s="542"/>
      <c r="P1410" s="176"/>
      <c r="Q1410" s="1135"/>
      <c r="R1410" s="176"/>
      <c r="S1410" s="176"/>
      <c r="T1410" s="176"/>
      <c r="U1410" s="15"/>
      <c r="Z1410" s="15"/>
      <c r="AA1410" s="180"/>
      <c r="AC1410" s="544"/>
      <c r="AD1410" s="180"/>
      <c r="AE1410" s="180"/>
      <c r="AF1410" s="180"/>
      <c r="AG1410" s="180"/>
      <c r="AH1410" s="180"/>
      <c r="AI1410" s="180"/>
      <c r="AJ1410" s="180"/>
      <c r="AK1410" s="180"/>
      <c r="AL1410" s="180"/>
      <c r="AM1410" s="180"/>
      <c r="AN1410" s="180"/>
      <c r="AO1410" s="180"/>
      <c r="AP1410" s="545"/>
      <c r="AQ1410" s="180"/>
      <c r="AR1410" s="180"/>
      <c r="AS1410" s="180"/>
      <c r="AT1410" s="180"/>
      <c r="AU1410" s="180"/>
      <c r="AV1410" s="3"/>
      <c r="AW1410" s="3"/>
      <c r="AX1410" s="182"/>
      <c r="AY1410" s="182"/>
      <c r="AZ1410" s="182"/>
      <c r="BA1410" s="182"/>
      <c r="BB1410" s="182"/>
      <c r="BC1410" s="182"/>
      <c r="BD1410" s="182"/>
      <c r="BE1410" s="182"/>
      <c r="BF1410" s="182"/>
      <c r="BG1410" s="182"/>
      <c r="BH1410" s="182"/>
      <c r="BI1410" s="182"/>
      <c r="BJ1410" s="182"/>
      <c r="BK1410" s="182"/>
      <c r="BL1410" s="182"/>
      <c r="BM1410" s="182"/>
      <c r="BN1410" s="182"/>
      <c r="BO1410" s="182"/>
      <c r="BP1410" s="182"/>
      <c r="BQ1410" s="182"/>
      <c r="BR1410" s="182"/>
      <c r="BS1410" s="182"/>
    </row>
    <row r="1411" spans="1:71" ht="15.9" customHeight="1" x14ac:dyDescent="0.3">
      <c r="A1411" s="17"/>
      <c r="B1411" s="17"/>
      <c r="C1411" s="174"/>
      <c r="D1411" s="5"/>
      <c r="E1411" s="5"/>
      <c r="F1411" s="175"/>
      <c r="G1411" s="15"/>
      <c r="H1411" s="176"/>
      <c r="I1411" s="17"/>
      <c r="J1411" s="113"/>
      <c r="K1411" s="113"/>
      <c r="L1411" s="177"/>
      <c r="M1411" s="542"/>
      <c r="N1411" s="542"/>
      <c r="O1411" s="542"/>
      <c r="P1411" s="176"/>
      <c r="Q1411" s="176"/>
      <c r="R1411" s="176"/>
      <c r="S1411" s="176"/>
      <c r="T1411" s="176"/>
      <c r="U1411" s="15"/>
      <c r="Z1411" s="15"/>
      <c r="AA1411" s="180"/>
      <c r="AC1411" s="544"/>
      <c r="AD1411" s="180"/>
      <c r="AE1411" s="180"/>
      <c r="AF1411" s="180"/>
      <c r="AG1411" s="180"/>
      <c r="AH1411" s="180"/>
      <c r="AI1411" s="180"/>
      <c r="AJ1411" s="180"/>
      <c r="AK1411" s="180"/>
      <c r="AL1411" s="180"/>
      <c r="AM1411" s="180"/>
      <c r="AN1411" s="180"/>
      <c r="AO1411" s="180"/>
      <c r="AP1411" s="545"/>
      <c r="AQ1411" s="180"/>
      <c r="AR1411" s="180"/>
      <c r="AS1411" s="180"/>
      <c r="AT1411" s="180"/>
      <c r="AU1411" s="180"/>
      <c r="AV1411" s="3"/>
      <c r="AW1411" s="3"/>
      <c r="AX1411" s="182"/>
      <c r="AY1411" s="182"/>
      <c r="AZ1411" s="182"/>
      <c r="BA1411" s="182"/>
      <c r="BB1411" s="182"/>
      <c r="BC1411" s="182"/>
      <c r="BD1411" s="182"/>
      <c r="BE1411" s="182"/>
      <c r="BF1411" s="182"/>
      <c r="BG1411" s="182"/>
      <c r="BH1411" s="182"/>
      <c r="BI1411" s="182"/>
      <c r="BJ1411" s="182"/>
      <c r="BK1411" s="182"/>
      <c r="BL1411" s="182"/>
      <c r="BM1411" s="182"/>
      <c r="BN1411" s="182"/>
      <c r="BO1411" s="182"/>
      <c r="BP1411" s="182"/>
      <c r="BQ1411" s="182"/>
      <c r="BR1411" s="182"/>
      <c r="BS1411" s="182"/>
    </row>
    <row r="1412" spans="1:71" ht="15.9" customHeight="1" x14ac:dyDescent="0.3">
      <c r="A1412" s="17"/>
      <c r="B1412" s="17"/>
      <c r="C1412" s="174"/>
      <c r="D1412" s="5"/>
      <c r="E1412" s="5"/>
      <c r="F1412" s="175"/>
      <c r="G1412" s="15"/>
      <c r="H1412" s="176"/>
      <c r="I1412" s="17"/>
      <c r="J1412" s="113"/>
      <c r="K1412" s="113"/>
      <c r="L1412" s="177"/>
      <c r="M1412" s="542"/>
      <c r="N1412" s="542"/>
      <c r="O1412" s="542"/>
      <c r="P1412" s="176"/>
      <c r="Q1412" s="176"/>
      <c r="R1412" s="176"/>
      <c r="S1412" s="176"/>
      <c r="T1412" s="176"/>
      <c r="U1412" s="15"/>
      <c r="Z1412" s="15"/>
      <c r="AA1412" s="180"/>
      <c r="AC1412" s="544"/>
      <c r="AD1412" s="180"/>
      <c r="AE1412" s="180"/>
      <c r="AF1412" s="180"/>
      <c r="AG1412" s="180"/>
      <c r="AH1412" s="180"/>
      <c r="AI1412" s="180"/>
      <c r="AJ1412" s="180"/>
      <c r="AK1412" s="180"/>
      <c r="AL1412" s="180"/>
      <c r="AM1412" s="180"/>
      <c r="AN1412" s="180"/>
      <c r="AO1412" s="180"/>
      <c r="AP1412" s="545"/>
      <c r="AQ1412" s="180"/>
      <c r="AR1412" s="180"/>
      <c r="AS1412" s="180"/>
      <c r="AT1412" s="180"/>
      <c r="AU1412" s="180"/>
      <c r="AV1412" s="3"/>
      <c r="AW1412" s="3"/>
      <c r="AX1412" s="182"/>
      <c r="AY1412" s="182"/>
      <c r="AZ1412" s="182"/>
      <c r="BA1412" s="182"/>
      <c r="BB1412" s="182"/>
      <c r="BC1412" s="182"/>
      <c r="BD1412" s="182"/>
      <c r="BE1412" s="182"/>
      <c r="BF1412" s="182"/>
      <c r="BG1412" s="182"/>
      <c r="BH1412" s="182"/>
      <c r="BI1412" s="182"/>
      <c r="BJ1412" s="182"/>
      <c r="BK1412" s="182"/>
      <c r="BL1412" s="182"/>
      <c r="BM1412" s="182"/>
      <c r="BN1412" s="182"/>
      <c r="BO1412" s="182"/>
      <c r="BP1412" s="182"/>
      <c r="BQ1412" s="182"/>
      <c r="BR1412" s="182"/>
      <c r="BS1412" s="182"/>
    </row>
    <row r="1413" spans="1:71" ht="15.9" customHeight="1" x14ac:dyDescent="0.3">
      <c r="A1413" s="17"/>
      <c r="B1413" s="17"/>
      <c r="C1413" s="174"/>
      <c r="D1413" s="5"/>
      <c r="E1413" s="5"/>
      <c r="F1413" s="175"/>
      <c r="G1413" s="15"/>
      <c r="H1413" s="176"/>
      <c r="I1413" s="1136"/>
      <c r="J1413" s="113"/>
      <c r="K1413" s="113"/>
      <c r="L1413" s="177"/>
      <c r="M1413" s="542"/>
      <c r="N1413" s="542"/>
      <c r="O1413" s="542"/>
      <c r="P1413" s="176"/>
      <c r="Q1413" s="176"/>
      <c r="R1413" s="176"/>
      <c r="S1413" s="176"/>
      <c r="T1413" s="176"/>
      <c r="U1413" s="15"/>
      <c r="Z1413" s="15"/>
      <c r="AA1413" s="180"/>
      <c r="AC1413" s="544"/>
      <c r="AD1413" s="180"/>
      <c r="AE1413" s="180"/>
      <c r="AF1413" s="180"/>
      <c r="AG1413" s="180"/>
      <c r="AH1413" s="180"/>
      <c r="AI1413" s="180"/>
      <c r="AJ1413" s="180"/>
      <c r="AK1413" s="180"/>
      <c r="AL1413" s="180"/>
      <c r="AM1413" s="180"/>
      <c r="AN1413" s="180"/>
      <c r="AO1413" s="180"/>
      <c r="AP1413" s="545"/>
      <c r="AQ1413" s="180"/>
      <c r="AR1413" s="180"/>
      <c r="AS1413" s="180"/>
      <c r="AT1413" s="180"/>
      <c r="AU1413" s="180"/>
      <c r="AV1413" s="3"/>
      <c r="AW1413" s="3"/>
      <c r="AX1413" s="182"/>
      <c r="AY1413" s="182"/>
      <c r="AZ1413" s="182"/>
      <c r="BA1413" s="182"/>
      <c r="BB1413" s="182"/>
      <c r="BC1413" s="182"/>
      <c r="BD1413" s="182"/>
      <c r="BE1413" s="182"/>
      <c r="BF1413" s="182"/>
      <c r="BG1413" s="182"/>
      <c r="BH1413" s="182"/>
      <c r="BI1413" s="182"/>
      <c r="BJ1413" s="182"/>
      <c r="BK1413" s="182"/>
      <c r="BL1413" s="182"/>
      <c r="BM1413" s="182"/>
      <c r="BN1413" s="182"/>
      <c r="BO1413" s="182"/>
      <c r="BP1413" s="182"/>
      <c r="BQ1413" s="182"/>
      <c r="BR1413" s="182"/>
      <c r="BS1413" s="182"/>
    </row>
    <row r="1414" spans="1:71" ht="15.9" customHeight="1" x14ac:dyDescent="0.3">
      <c r="A1414" s="17"/>
      <c r="B1414" s="17"/>
      <c r="C1414" s="174"/>
      <c r="D1414" s="5"/>
      <c r="E1414" s="5"/>
      <c r="F1414" s="175"/>
      <c r="G1414" s="15"/>
      <c r="H1414" s="176"/>
      <c r="I1414" s="17"/>
      <c r="J1414" s="113"/>
      <c r="K1414" s="113"/>
      <c r="L1414" s="177"/>
      <c r="M1414" s="542"/>
      <c r="N1414" s="542"/>
      <c r="O1414" s="542"/>
      <c r="P1414" s="176"/>
      <c r="Q1414" s="176"/>
      <c r="R1414" s="176"/>
      <c r="S1414" s="176"/>
      <c r="T1414" s="176"/>
      <c r="U1414" s="15"/>
      <c r="Z1414" s="15"/>
      <c r="AA1414" s="180"/>
      <c r="AC1414" s="544"/>
      <c r="AD1414" s="180"/>
      <c r="AE1414" s="180"/>
      <c r="AF1414" s="180"/>
      <c r="AG1414" s="180"/>
      <c r="AH1414" s="180"/>
      <c r="AI1414" s="180"/>
      <c r="AJ1414" s="180"/>
      <c r="AK1414" s="180"/>
      <c r="AL1414" s="180"/>
      <c r="AM1414" s="180"/>
      <c r="AN1414" s="180"/>
      <c r="AO1414" s="180"/>
      <c r="AP1414" s="545"/>
      <c r="AQ1414" s="180"/>
      <c r="AR1414" s="180"/>
      <c r="AS1414" s="180"/>
      <c r="AT1414" s="180"/>
      <c r="AU1414" s="180"/>
      <c r="AV1414" s="3"/>
      <c r="AW1414" s="3"/>
      <c r="AX1414" s="182"/>
      <c r="AY1414" s="182"/>
      <c r="AZ1414" s="182"/>
      <c r="BA1414" s="182"/>
      <c r="BB1414" s="182"/>
      <c r="BC1414" s="182"/>
      <c r="BD1414" s="182"/>
      <c r="BE1414" s="182"/>
      <c r="BF1414" s="182"/>
      <c r="BG1414" s="182"/>
      <c r="BH1414" s="182"/>
      <c r="BI1414" s="182"/>
      <c r="BJ1414" s="182"/>
      <c r="BK1414" s="182"/>
      <c r="BL1414" s="182"/>
      <c r="BM1414" s="182"/>
      <c r="BN1414" s="182"/>
      <c r="BO1414" s="182"/>
      <c r="BP1414" s="182"/>
      <c r="BQ1414" s="182"/>
      <c r="BR1414" s="182"/>
      <c r="BS1414" s="182"/>
    </row>
    <row r="1415" spans="1:71" ht="15.9" customHeight="1" x14ac:dyDescent="0.3">
      <c r="A1415" s="17"/>
      <c r="B1415" s="17"/>
      <c r="C1415" s="174"/>
      <c r="D1415" s="5"/>
      <c r="E1415" s="5"/>
      <c r="F1415" s="175"/>
      <c r="G1415" s="15"/>
      <c r="H1415" s="176"/>
      <c r="I1415" s="17"/>
      <c r="J1415" s="113"/>
      <c r="K1415" s="113"/>
      <c r="L1415" s="177"/>
      <c r="M1415" s="542"/>
      <c r="N1415" s="542"/>
      <c r="O1415" s="542"/>
      <c r="P1415" s="176"/>
      <c r="Q1415" s="176"/>
      <c r="R1415" s="176"/>
      <c r="S1415" s="176"/>
      <c r="T1415" s="176"/>
      <c r="U1415" s="15"/>
      <c r="Z1415" s="15"/>
      <c r="AA1415" s="180"/>
      <c r="AC1415" s="544"/>
      <c r="AD1415" s="180"/>
      <c r="AE1415" s="180"/>
      <c r="AF1415" s="180"/>
      <c r="AG1415" s="180"/>
      <c r="AH1415" s="180"/>
      <c r="AI1415" s="180"/>
      <c r="AJ1415" s="180"/>
      <c r="AK1415" s="180"/>
      <c r="AL1415" s="180"/>
      <c r="AM1415" s="180"/>
      <c r="AN1415" s="180"/>
      <c r="AO1415" s="180"/>
      <c r="AP1415" s="545"/>
      <c r="AQ1415" s="180"/>
      <c r="AR1415" s="180"/>
      <c r="AS1415" s="180"/>
      <c r="AT1415" s="180"/>
      <c r="AU1415" s="180"/>
      <c r="AV1415" s="3"/>
      <c r="AW1415" s="3"/>
      <c r="AX1415" s="182"/>
      <c r="AY1415" s="182"/>
      <c r="AZ1415" s="182"/>
      <c r="BA1415" s="182"/>
      <c r="BB1415" s="182"/>
      <c r="BC1415" s="182"/>
      <c r="BD1415" s="182"/>
      <c r="BE1415" s="182"/>
      <c r="BF1415" s="182"/>
      <c r="BG1415" s="182"/>
      <c r="BH1415" s="182"/>
      <c r="BI1415" s="182"/>
      <c r="BJ1415" s="182"/>
      <c r="BK1415" s="182"/>
      <c r="BL1415" s="182"/>
      <c r="BM1415" s="182"/>
      <c r="BN1415" s="182"/>
      <c r="BO1415" s="182"/>
      <c r="BP1415" s="182"/>
      <c r="BQ1415" s="182"/>
      <c r="BR1415" s="182"/>
      <c r="BS1415" s="182"/>
    </row>
    <row r="1416" spans="1:71" ht="15.9" customHeight="1" x14ac:dyDescent="0.3">
      <c r="A1416" s="17"/>
      <c r="B1416" s="17"/>
      <c r="C1416" s="174"/>
      <c r="D1416" s="5"/>
      <c r="E1416" s="5"/>
      <c r="F1416" s="175"/>
      <c r="G1416" s="15"/>
      <c r="H1416" s="176"/>
      <c r="I1416" s="17"/>
      <c r="J1416" s="113"/>
      <c r="K1416" s="113"/>
      <c r="L1416" s="177"/>
      <c r="M1416" s="542"/>
      <c r="N1416" s="542"/>
      <c r="O1416" s="542"/>
      <c r="P1416" s="176"/>
      <c r="Q1416" s="176"/>
      <c r="R1416" s="176"/>
      <c r="S1416" s="176"/>
      <c r="T1416" s="176"/>
      <c r="U1416" s="15"/>
      <c r="Z1416" s="15"/>
      <c r="AA1416" s="180"/>
      <c r="AC1416" s="544"/>
      <c r="AD1416" s="180"/>
      <c r="AE1416" s="180"/>
      <c r="AF1416" s="180"/>
      <c r="AG1416" s="180"/>
      <c r="AH1416" s="180"/>
      <c r="AI1416" s="180"/>
      <c r="AJ1416" s="180"/>
      <c r="AK1416" s="180"/>
      <c r="AL1416" s="180"/>
      <c r="AM1416" s="180"/>
      <c r="AN1416" s="180"/>
      <c r="AO1416" s="180"/>
      <c r="AP1416" s="545"/>
      <c r="AQ1416" s="180"/>
      <c r="AR1416" s="180"/>
      <c r="AS1416" s="180"/>
      <c r="AT1416" s="180"/>
      <c r="AU1416" s="180"/>
      <c r="AV1416" s="3"/>
      <c r="AW1416" s="3"/>
      <c r="AX1416" s="182"/>
      <c r="AY1416" s="182"/>
      <c r="AZ1416" s="182"/>
      <c r="BA1416" s="182"/>
      <c r="BB1416" s="182"/>
      <c r="BC1416" s="182"/>
      <c r="BD1416" s="182"/>
      <c r="BE1416" s="182"/>
      <c r="BF1416" s="182"/>
      <c r="BG1416" s="182"/>
      <c r="BH1416" s="182"/>
      <c r="BI1416" s="182"/>
      <c r="BJ1416" s="182"/>
      <c r="BK1416" s="182"/>
      <c r="BL1416" s="182"/>
      <c r="BM1416" s="182"/>
      <c r="BN1416" s="182"/>
      <c r="BO1416" s="182"/>
      <c r="BP1416" s="182"/>
      <c r="BQ1416" s="182"/>
      <c r="BR1416" s="182"/>
      <c r="BS1416" s="182"/>
    </row>
    <row r="1417" spans="1:71" ht="15.9" customHeight="1" x14ac:dyDescent="0.3">
      <c r="A1417" s="17"/>
      <c r="B1417" s="17"/>
      <c r="C1417" s="174"/>
      <c r="D1417" s="5"/>
      <c r="E1417" s="5"/>
      <c r="F1417" s="175"/>
      <c r="G1417" s="15"/>
      <c r="H1417" s="176"/>
      <c r="I1417" s="17"/>
      <c r="J1417" s="113"/>
      <c r="K1417" s="113"/>
      <c r="L1417" s="177"/>
      <c r="M1417" s="542"/>
      <c r="N1417" s="542"/>
      <c r="O1417" s="542"/>
      <c r="P1417" s="176"/>
      <c r="Q1417" s="176"/>
      <c r="R1417" s="176"/>
      <c r="S1417" s="176"/>
      <c r="T1417" s="176"/>
      <c r="U1417" s="15"/>
      <c r="Z1417" s="15"/>
      <c r="AA1417" s="180"/>
      <c r="AC1417" s="544"/>
      <c r="AD1417" s="180"/>
      <c r="AE1417" s="180"/>
      <c r="AF1417" s="180"/>
      <c r="AG1417" s="180"/>
      <c r="AH1417" s="180"/>
      <c r="AI1417" s="180"/>
      <c r="AJ1417" s="180"/>
      <c r="AK1417" s="180"/>
      <c r="AL1417" s="180"/>
      <c r="AM1417" s="180"/>
      <c r="AN1417" s="180"/>
      <c r="AO1417" s="180"/>
      <c r="AP1417" s="545"/>
      <c r="AQ1417" s="180"/>
      <c r="AR1417" s="180"/>
      <c r="AS1417" s="180"/>
      <c r="AT1417" s="180"/>
      <c r="AU1417" s="180"/>
      <c r="AV1417" s="3"/>
      <c r="AW1417" s="3"/>
      <c r="AX1417" s="182"/>
      <c r="AY1417" s="182"/>
      <c r="AZ1417" s="182"/>
      <c r="BA1417" s="182"/>
      <c r="BB1417" s="182"/>
      <c r="BC1417" s="182"/>
      <c r="BD1417" s="182"/>
      <c r="BE1417" s="182"/>
      <c r="BF1417" s="182"/>
      <c r="BG1417" s="182"/>
      <c r="BH1417" s="182"/>
      <c r="BI1417" s="182"/>
      <c r="BJ1417" s="182"/>
      <c r="BK1417" s="182"/>
      <c r="BL1417" s="182"/>
      <c r="BM1417" s="182"/>
      <c r="BN1417" s="182"/>
      <c r="BO1417" s="182"/>
      <c r="BP1417" s="182"/>
      <c r="BQ1417" s="182"/>
      <c r="BR1417" s="182"/>
      <c r="BS1417" s="182"/>
    </row>
    <row r="1418" spans="1:71" ht="15.9" customHeight="1" x14ac:dyDescent="0.3">
      <c r="A1418" s="17"/>
      <c r="B1418" s="17"/>
      <c r="C1418" s="174"/>
      <c r="D1418" s="5"/>
      <c r="E1418" s="5"/>
      <c r="F1418" s="175"/>
      <c r="G1418" s="15"/>
      <c r="H1418" s="176"/>
      <c r="I1418" s="17"/>
      <c r="J1418" s="113"/>
      <c r="K1418" s="113"/>
      <c r="L1418" s="177"/>
      <c r="M1418" s="542"/>
      <c r="N1418" s="542"/>
      <c r="O1418" s="542"/>
      <c r="P1418" s="176"/>
      <c r="Q1418" s="176"/>
      <c r="R1418" s="176"/>
      <c r="S1418" s="176"/>
      <c r="T1418" s="176"/>
      <c r="U1418" s="15"/>
      <c r="Z1418" s="15"/>
      <c r="AA1418" s="180"/>
      <c r="AC1418" s="544"/>
      <c r="AD1418" s="180"/>
      <c r="AE1418" s="180"/>
      <c r="AF1418" s="180"/>
      <c r="AG1418" s="180"/>
      <c r="AH1418" s="180"/>
      <c r="AI1418" s="180"/>
      <c r="AJ1418" s="180"/>
      <c r="AK1418" s="180"/>
      <c r="AL1418" s="180"/>
      <c r="AM1418" s="180"/>
      <c r="AN1418" s="180"/>
      <c r="AO1418" s="180"/>
      <c r="AP1418" s="545"/>
      <c r="AQ1418" s="180"/>
      <c r="AR1418" s="180"/>
      <c r="AS1418" s="180"/>
      <c r="AT1418" s="180"/>
      <c r="AU1418" s="180"/>
      <c r="AV1418" s="3"/>
      <c r="AW1418" s="3"/>
      <c r="AX1418" s="182"/>
      <c r="AY1418" s="182"/>
      <c r="AZ1418" s="182"/>
      <c r="BA1418" s="182"/>
      <c r="BB1418" s="182"/>
      <c r="BC1418" s="182"/>
      <c r="BD1418" s="182"/>
      <c r="BE1418" s="182"/>
      <c r="BF1418" s="182"/>
      <c r="BG1418" s="182"/>
      <c r="BH1418" s="182"/>
      <c r="BI1418" s="182"/>
      <c r="BJ1418" s="182"/>
      <c r="BK1418" s="182"/>
      <c r="BL1418" s="182"/>
      <c r="BM1418" s="182"/>
      <c r="BN1418" s="182"/>
      <c r="BO1418" s="182"/>
      <c r="BP1418" s="182"/>
      <c r="BQ1418" s="182"/>
      <c r="BR1418" s="182"/>
      <c r="BS1418" s="182"/>
    </row>
    <row r="1419" spans="1:71" ht="15.9" customHeight="1" x14ac:dyDescent="0.3">
      <c r="A1419" s="17"/>
      <c r="B1419" s="17"/>
      <c r="C1419" s="174"/>
      <c r="D1419" s="5"/>
      <c r="E1419" s="5"/>
      <c r="F1419" s="175"/>
      <c r="G1419" s="15"/>
      <c r="H1419" s="176"/>
      <c r="I1419" s="17"/>
      <c r="J1419" s="113"/>
      <c r="K1419" s="113"/>
      <c r="L1419" s="177"/>
      <c r="M1419" s="542"/>
      <c r="N1419" s="542"/>
      <c r="O1419" s="542"/>
      <c r="P1419" s="176"/>
      <c r="Q1419" s="176"/>
      <c r="R1419" s="176"/>
      <c r="S1419" s="176"/>
      <c r="T1419" s="176"/>
      <c r="U1419" s="15"/>
      <c r="Z1419" s="15"/>
      <c r="AA1419" s="180"/>
      <c r="AC1419" s="544"/>
      <c r="AD1419" s="180"/>
      <c r="AE1419" s="180"/>
      <c r="AF1419" s="180"/>
      <c r="AG1419" s="180"/>
      <c r="AH1419" s="180"/>
      <c r="AI1419" s="180"/>
      <c r="AJ1419" s="180"/>
      <c r="AK1419" s="180"/>
      <c r="AL1419" s="180"/>
      <c r="AM1419" s="180"/>
      <c r="AN1419" s="180"/>
      <c r="AO1419" s="180"/>
      <c r="AP1419" s="545"/>
      <c r="AQ1419" s="180"/>
      <c r="AR1419" s="180"/>
      <c r="AS1419" s="180"/>
      <c r="AT1419" s="180"/>
      <c r="AU1419" s="180"/>
      <c r="AV1419" s="3"/>
      <c r="AW1419" s="3"/>
      <c r="AX1419" s="182"/>
      <c r="AY1419" s="182"/>
      <c r="AZ1419" s="182"/>
      <c r="BA1419" s="182"/>
      <c r="BB1419" s="182"/>
      <c r="BC1419" s="182"/>
      <c r="BD1419" s="182"/>
      <c r="BE1419" s="182"/>
      <c r="BF1419" s="182"/>
      <c r="BG1419" s="182"/>
      <c r="BH1419" s="182"/>
      <c r="BI1419" s="182"/>
      <c r="BJ1419" s="182"/>
      <c r="BK1419" s="182"/>
      <c r="BL1419" s="182"/>
      <c r="BM1419" s="182"/>
      <c r="BN1419" s="182"/>
      <c r="BO1419" s="182"/>
      <c r="BP1419" s="182"/>
      <c r="BQ1419" s="182"/>
      <c r="BR1419" s="182"/>
      <c r="BS1419" s="182"/>
    </row>
    <row r="1420" spans="1:71" ht="15.9" customHeight="1" x14ac:dyDescent="0.3">
      <c r="A1420" s="17"/>
      <c r="B1420" s="17"/>
      <c r="C1420" s="174"/>
      <c r="D1420" s="5"/>
      <c r="E1420" s="5"/>
      <c r="F1420" s="175"/>
      <c r="G1420" s="15"/>
      <c r="H1420" s="176"/>
      <c r="I1420" s="17"/>
      <c r="J1420" s="113"/>
      <c r="K1420" s="113"/>
      <c r="L1420" s="177"/>
      <c r="M1420" s="542"/>
      <c r="N1420" s="542"/>
      <c r="O1420" s="542"/>
      <c r="P1420" s="176"/>
      <c r="Q1420" s="176"/>
      <c r="R1420" s="176"/>
      <c r="S1420" s="176"/>
      <c r="T1420" s="176"/>
      <c r="U1420" s="15"/>
      <c r="Z1420" s="15"/>
      <c r="AA1420" s="180"/>
      <c r="AC1420" s="544"/>
      <c r="AD1420" s="180"/>
      <c r="AE1420" s="180"/>
      <c r="AF1420" s="180"/>
      <c r="AG1420" s="180"/>
      <c r="AH1420" s="180"/>
      <c r="AI1420" s="180"/>
      <c r="AJ1420" s="180"/>
      <c r="AK1420" s="180"/>
      <c r="AL1420" s="180"/>
      <c r="AM1420" s="180"/>
      <c r="AN1420" s="180"/>
      <c r="AO1420" s="180"/>
      <c r="AP1420" s="545"/>
      <c r="AQ1420" s="180"/>
      <c r="AR1420" s="180"/>
      <c r="AS1420" s="180"/>
      <c r="AT1420" s="180"/>
      <c r="AU1420" s="180"/>
      <c r="AV1420" s="3"/>
      <c r="AW1420" s="3"/>
      <c r="AX1420" s="182"/>
      <c r="AY1420" s="182"/>
      <c r="AZ1420" s="182"/>
      <c r="BA1420" s="182"/>
      <c r="BB1420" s="182"/>
      <c r="BC1420" s="182"/>
      <c r="BD1420" s="182"/>
      <c r="BE1420" s="182"/>
      <c r="BF1420" s="182"/>
      <c r="BG1420" s="182"/>
      <c r="BH1420" s="182"/>
      <c r="BI1420" s="182"/>
      <c r="BJ1420" s="182"/>
      <c r="BK1420" s="182"/>
      <c r="BL1420" s="182"/>
      <c r="BM1420" s="182"/>
      <c r="BN1420" s="182"/>
      <c r="BO1420" s="182"/>
      <c r="BP1420" s="182"/>
      <c r="BQ1420" s="182"/>
      <c r="BR1420" s="182"/>
      <c r="BS1420" s="182"/>
    </row>
    <row r="1421" spans="1:71" ht="15.9" customHeight="1" x14ac:dyDescent="0.3">
      <c r="A1421" s="17"/>
      <c r="B1421" s="17"/>
      <c r="C1421" s="174"/>
      <c r="D1421" s="5"/>
      <c r="E1421" s="5"/>
      <c r="F1421" s="175"/>
      <c r="G1421" s="15"/>
      <c r="H1421" s="176"/>
      <c r="I1421" s="17"/>
      <c r="J1421" s="113"/>
      <c r="K1421" s="113"/>
      <c r="L1421" s="177"/>
      <c r="M1421" s="542"/>
      <c r="N1421" s="542"/>
      <c r="O1421" s="542"/>
      <c r="P1421" s="176"/>
      <c r="Q1421" s="176"/>
      <c r="R1421" s="176"/>
      <c r="S1421" s="176"/>
      <c r="T1421" s="176"/>
      <c r="U1421" s="15"/>
      <c r="Z1421" s="15"/>
      <c r="AA1421" s="180"/>
      <c r="AC1421" s="544"/>
      <c r="AD1421" s="180"/>
      <c r="AE1421" s="180"/>
      <c r="AF1421" s="180"/>
      <c r="AG1421" s="180"/>
      <c r="AH1421" s="180"/>
      <c r="AI1421" s="180"/>
      <c r="AJ1421" s="180"/>
      <c r="AK1421" s="180"/>
      <c r="AL1421" s="180"/>
      <c r="AM1421" s="180"/>
      <c r="AN1421" s="180"/>
      <c r="AO1421" s="180"/>
      <c r="AP1421" s="545"/>
      <c r="AQ1421" s="180"/>
      <c r="AR1421" s="180"/>
      <c r="AS1421" s="180"/>
      <c r="AT1421" s="180"/>
      <c r="AU1421" s="180"/>
      <c r="AV1421" s="3"/>
      <c r="AW1421" s="3"/>
      <c r="AX1421" s="182"/>
      <c r="AY1421" s="182"/>
      <c r="AZ1421" s="182"/>
      <c r="BA1421" s="182"/>
      <c r="BB1421" s="182"/>
      <c r="BC1421" s="182"/>
      <c r="BD1421" s="182"/>
      <c r="BE1421" s="182"/>
      <c r="BF1421" s="182"/>
      <c r="BG1421" s="182"/>
      <c r="BH1421" s="182"/>
      <c r="BI1421" s="182"/>
      <c r="BJ1421" s="182"/>
      <c r="BK1421" s="182"/>
      <c r="BL1421" s="182"/>
      <c r="BM1421" s="182"/>
      <c r="BN1421" s="182"/>
      <c r="BO1421" s="182"/>
      <c r="BP1421" s="182"/>
      <c r="BQ1421" s="182"/>
      <c r="BR1421" s="182"/>
      <c r="BS1421" s="182"/>
    </row>
    <row r="1422" spans="1:71" ht="15.9" customHeight="1" x14ac:dyDescent="0.3">
      <c r="A1422" s="17"/>
      <c r="B1422" s="17"/>
      <c r="C1422" s="174"/>
      <c r="D1422" s="5"/>
      <c r="E1422" s="5"/>
      <c r="F1422" s="175"/>
      <c r="G1422" s="15"/>
      <c r="H1422" s="176"/>
      <c r="I1422" s="17"/>
      <c r="J1422" s="113"/>
      <c r="K1422" s="113"/>
      <c r="L1422" s="177"/>
      <c r="M1422" s="542"/>
      <c r="N1422" s="542"/>
      <c r="O1422" s="542"/>
      <c r="P1422" s="176"/>
      <c r="Q1422" s="176"/>
      <c r="R1422" s="176"/>
      <c r="S1422" s="176"/>
      <c r="T1422" s="176"/>
      <c r="U1422" s="15"/>
      <c r="Z1422" s="15"/>
      <c r="AA1422" s="180"/>
      <c r="AC1422" s="544"/>
      <c r="AD1422" s="180"/>
      <c r="AE1422" s="180"/>
      <c r="AF1422" s="180"/>
      <c r="AG1422" s="180"/>
      <c r="AH1422" s="180"/>
      <c r="AI1422" s="180"/>
      <c r="AJ1422" s="180"/>
      <c r="AK1422" s="180"/>
      <c r="AL1422" s="180"/>
      <c r="AM1422" s="180"/>
      <c r="AN1422" s="180"/>
      <c r="AO1422" s="180"/>
      <c r="AP1422" s="545"/>
      <c r="AQ1422" s="180"/>
      <c r="AR1422" s="180"/>
      <c r="AS1422" s="180"/>
      <c r="AT1422" s="180"/>
      <c r="AU1422" s="180"/>
      <c r="AV1422" s="3"/>
      <c r="AW1422" s="3"/>
      <c r="AX1422" s="182"/>
      <c r="AY1422" s="182"/>
      <c r="AZ1422" s="182"/>
      <c r="BA1422" s="182"/>
      <c r="BB1422" s="182"/>
      <c r="BC1422" s="182"/>
      <c r="BD1422" s="182"/>
      <c r="BE1422" s="182"/>
      <c r="BF1422" s="182"/>
      <c r="BG1422" s="182"/>
      <c r="BH1422" s="182"/>
      <c r="BI1422" s="182"/>
      <c r="BJ1422" s="182"/>
      <c r="BK1422" s="182"/>
      <c r="BL1422" s="182"/>
      <c r="BM1422" s="182"/>
      <c r="BN1422" s="182"/>
      <c r="BO1422" s="182"/>
      <c r="BP1422" s="182"/>
      <c r="BQ1422" s="182"/>
      <c r="BR1422" s="182"/>
      <c r="BS1422" s="182"/>
    </row>
    <row r="1423" spans="1:71" ht="15.9" customHeight="1" x14ac:dyDescent="0.3">
      <c r="A1423" s="17"/>
      <c r="B1423" s="17"/>
      <c r="C1423" s="174"/>
      <c r="D1423" s="5"/>
      <c r="E1423" s="5"/>
      <c r="F1423" s="175"/>
      <c r="G1423" s="15"/>
      <c r="H1423" s="176"/>
      <c r="I1423" s="17"/>
      <c r="J1423" s="113"/>
      <c r="K1423" s="113"/>
      <c r="L1423" s="177"/>
      <c r="M1423" s="542"/>
      <c r="N1423" s="542"/>
      <c r="O1423" s="542"/>
      <c r="P1423" s="176"/>
      <c r="Q1423" s="176"/>
      <c r="R1423" s="176"/>
      <c r="S1423" s="176"/>
      <c r="T1423" s="176"/>
      <c r="U1423" s="15"/>
      <c r="Z1423" s="15"/>
      <c r="AA1423" s="180"/>
      <c r="AC1423" s="544"/>
      <c r="AD1423" s="180"/>
      <c r="AE1423" s="180"/>
      <c r="AF1423" s="180"/>
      <c r="AG1423" s="180"/>
      <c r="AH1423" s="180"/>
      <c r="AI1423" s="180"/>
      <c r="AJ1423" s="180"/>
      <c r="AK1423" s="180"/>
      <c r="AL1423" s="180"/>
      <c r="AM1423" s="180"/>
      <c r="AN1423" s="180"/>
      <c r="AO1423" s="180"/>
      <c r="AP1423" s="545"/>
      <c r="AQ1423" s="180"/>
      <c r="AR1423" s="180"/>
      <c r="AS1423" s="180"/>
      <c r="AT1423" s="180"/>
      <c r="AU1423" s="180"/>
      <c r="AV1423" s="3"/>
      <c r="AW1423" s="3"/>
      <c r="AX1423" s="182"/>
      <c r="AY1423" s="182"/>
      <c r="AZ1423" s="182"/>
      <c r="BA1423" s="182"/>
      <c r="BB1423" s="182"/>
      <c r="BC1423" s="182"/>
      <c r="BD1423" s="182"/>
      <c r="BE1423" s="182"/>
      <c r="BF1423" s="182"/>
      <c r="BG1423" s="182"/>
      <c r="BH1423" s="182"/>
      <c r="BI1423" s="182"/>
      <c r="BJ1423" s="182"/>
      <c r="BK1423" s="182"/>
      <c r="BL1423" s="182"/>
      <c r="BM1423" s="182"/>
      <c r="BN1423" s="182"/>
      <c r="BO1423" s="182"/>
      <c r="BP1423" s="182"/>
      <c r="BQ1423" s="182"/>
      <c r="BR1423" s="182"/>
      <c r="BS1423" s="182"/>
    </row>
    <row r="1424" spans="1:71" ht="15.9" customHeight="1" x14ac:dyDescent="0.3">
      <c r="A1424" s="17"/>
      <c r="B1424" s="17"/>
      <c r="C1424" s="174"/>
      <c r="D1424" s="5"/>
      <c r="E1424" s="5"/>
      <c r="F1424" s="175"/>
      <c r="G1424" s="15"/>
      <c r="H1424" s="176"/>
      <c r="I1424" s="17"/>
      <c r="J1424" s="113"/>
      <c r="K1424" s="113"/>
      <c r="L1424" s="177"/>
      <c r="M1424" s="542"/>
      <c r="N1424" s="542"/>
      <c r="O1424" s="542"/>
      <c r="P1424" s="176"/>
      <c r="Q1424" s="176"/>
      <c r="R1424" s="176"/>
      <c r="S1424" s="176"/>
      <c r="T1424" s="176"/>
      <c r="U1424" s="15"/>
      <c r="Z1424" s="15"/>
      <c r="AA1424" s="180"/>
      <c r="AC1424" s="544"/>
      <c r="AD1424" s="180"/>
      <c r="AE1424" s="180"/>
      <c r="AF1424" s="180"/>
      <c r="AG1424" s="180"/>
      <c r="AH1424" s="180"/>
      <c r="AI1424" s="180"/>
      <c r="AJ1424" s="180"/>
      <c r="AK1424" s="180"/>
      <c r="AL1424" s="180"/>
      <c r="AM1424" s="180"/>
      <c r="AN1424" s="180"/>
      <c r="AO1424" s="180"/>
      <c r="AP1424" s="545"/>
      <c r="AQ1424" s="180"/>
      <c r="AR1424" s="180"/>
      <c r="AS1424" s="180"/>
      <c r="AT1424" s="180"/>
      <c r="AU1424" s="180"/>
      <c r="AV1424" s="3"/>
      <c r="AW1424" s="3"/>
      <c r="AX1424" s="182"/>
      <c r="AY1424" s="182"/>
      <c r="AZ1424" s="182"/>
      <c r="BA1424" s="182"/>
      <c r="BB1424" s="182"/>
      <c r="BC1424" s="182"/>
      <c r="BD1424" s="182"/>
      <c r="BE1424" s="182"/>
      <c r="BF1424" s="182"/>
      <c r="BG1424" s="182"/>
      <c r="BH1424" s="182"/>
      <c r="BI1424" s="182"/>
      <c r="BJ1424" s="182"/>
      <c r="BK1424" s="182"/>
      <c r="BL1424" s="182"/>
      <c r="BM1424" s="182"/>
      <c r="BN1424" s="182"/>
      <c r="BO1424" s="182"/>
      <c r="BP1424" s="182"/>
      <c r="BQ1424" s="182"/>
      <c r="BR1424" s="182"/>
      <c r="BS1424" s="182"/>
    </row>
    <row r="1425" spans="1:71" ht="15.9" customHeight="1" x14ac:dyDescent="0.3">
      <c r="A1425" s="17"/>
      <c r="B1425" s="17"/>
      <c r="C1425" s="174"/>
      <c r="D1425" s="5"/>
      <c r="E1425" s="5"/>
      <c r="F1425" s="175"/>
      <c r="G1425" s="15"/>
      <c r="H1425" s="176"/>
      <c r="I1425" s="17"/>
      <c r="J1425" s="113"/>
      <c r="K1425" s="113"/>
      <c r="L1425" s="177"/>
      <c r="M1425" s="542"/>
      <c r="N1425" s="542"/>
      <c r="O1425" s="542"/>
      <c r="P1425" s="176"/>
      <c r="Q1425" s="176"/>
      <c r="R1425" s="176"/>
      <c r="S1425" s="176"/>
      <c r="T1425" s="176"/>
      <c r="U1425" s="15"/>
      <c r="Z1425" s="15"/>
      <c r="AA1425" s="180"/>
      <c r="AC1425" s="544"/>
      <c r="AD1425" s="180"/>
      <c r="AE1425" s="180"/>
      <c r="AF1425" s="180"/>
      <c r="AG1425" s="180"/>
      <c r="AH1425" s="180"/>
      <c r="AI1425" s="180"/>
      <c r="AJ1425" s="180"/>
      <c r="AK1425" s="180"/>
      <c r="AL1425" s="180"/>
      <c r="AM1425" s="180"/>
      <c r="AN1425" s="180"/>
      <c r="AO1425" s="180"/>
      <c r="AP1425" s="545"/>
      <c r="AQ1425" s="180"/>
      <c r="AR1425" s="180"/>
      <c r="AS1425" s="180"/>
      <c r="AT1425" s="180"/>
      <c r="AU1425" s="180"/>
      <c r="AV1425" s="3"/>
      <c r="AW1425" s="3"/>
      <c r="AX1425" s="182"/>
      <c r="AY1425" s="182"/>
      <c r="AZ1425" s="182"/>
      <c r="BA1425" s="182"/>
      <c r="BB1425" s="182"/>
      <c r="BC1425" s="182"/>
      <c r="BD1425" s="182"/>
      <c r="BE1425" s="182"/>
      <c r="BF1425" s="182"/>
      <c r="BG1425" s="182"/>
      <c r="BH1425" s="182"/>
      <c r="BI1425" s="182"/>
      <c r="BJ1425" s="182"/>
      <c r="BK1425" s="182"/>
      <c r="BL1425" s="182"/>
      <c r="BM1425" s="182"/>
      <c r="BN1425" s="182"/>
      <c r="BO1425" s="182"/>
      <c r="BP1425" s="182"/>
      <c r="BQ1425" s="182"/>
      <c r="BR1425" s="182"/>
      <c r="BS1425" s="182"/>
    </row>
    <row r="1426" spans="1:71" ht="15.9" customHeight="1" x14ac:dyDescent="0.3">
      <c r="A1426" s="17"/>
      <c r="B1426" s="17"/>
      <c r="C1426" s="174"/>
      <c r="D1426" s="5"/>
      <c r="E1426" s="5"/>
      <c r="F1426" s="175"/>
      <c r="G1426" s="15"/>
      <c r="H1426" s="176"/>
      <c r="I1426" s="17"/>
      <c r="J1426" s="113"/>
      <c r="K1426" s="113"/>
      <c r="L1426" s="177"/>
      <c r="M1426" s="542"/>
      <c r="N1426" s="542"/>
      <c r="O1426" s="542"/>
      <c r="P1426" s="176"/>
      <c r="Q1426" s="176"/>
      <c r="R1426" s="176"/>
      <c r="S1426" s="176"/>
      <c r="T1426" s="176"/>
      <c r="U1426" s="15"/>
      <c r="Z1426" s="15"/>
      <c r="AA1426" s="180"/>
      <c r="AC1426" s="544"/>
      <c r="AD1426" s="180"/>
      <c r="AE1426" s="180"/>
      <c r="AF1426" s="180"/>
      <c r="AG1426" s="180"/>
      <c r="AH1426" s="180"/>
      <c r="AI1426" s="180"/>
      <c r="AJ1426" s="180"/>
      <c r="AK1426" s="180"/>
      <c r="AL1426" s="180"/>
      <c r="AM1426" s="180"/>
      <c r="AN1426" s="180"/>
      <c r="AO1426" s="180"/>
      <c r="AP1426" s="545"/>
      <c r="AQ1426" s="180"/>
      <c r="AR1426" s="180"/>
      <c r="AS1426" s="180"/>
      <c r="AT1426" s="180"/>
      <c r="AU1426" s="180"/>
      <c r="AV1426" s="3"/>
      <c r="AW1426" s="3"/>
      <c r="AX1426" s="182"/>
      <c r="AY1426" s="182"/>
      <c r="AZ1426" s="182"/>
      <c r="BA1426" s="182"/>
      <c r="BB1426" s="182"/>
      <c r="BC1426" s="182"/>
      <c r="BD1426" s="182"/>
      <c r="BE1426" s="182"/>
      <c r="BF1426" s="182"/>
      <c r="BG1426" s="182"/>
      <c r="BH1426" s="182"/>
      <c r="BI1426" s="182"/>
      <c r="BJ1426" s="182"/>
      <c r="BK1426" s="182"/>
      <c r="BL1426" s="182"/>
      <c r="BM1426" s="182"/>
      <c r="BN1426" s="182"/>
      <c r="BO1426" s="182"/>
      <c r="BP1426" s="182"/>
      <c r="BQ1426" s="182"/>
      <c r="BR1426" s="182"/>
      <c r="BS1426" s="182"/>
    </row>
    <row r="1427" spans="1:71" ht="15.9" customHeight="1" x14ac:dyDescent="0.3">
      <c r="A1427" s="17"/>
      <c r="B1427" s="17"/>
      <c r="C1427" s="174"/>
      <c r="D1427" s="5"/>
      <c r="E1427" s="5"/>
      <c r="F1427" s="175"/>
      <c r="G1427" s="15"/>
      <c r="H1427" s="176"/>
      <c r="I1427" s="17"/>
      <c r="J1427" s="113"/>
      <c r="K1427" s="113"/>
      <c r="L1427" s="177"/>
      <c r="M1427" s="542"/>
      <c r="N1427" s="542"/>
      <c r="O1427" s="542"/>
      <c r="P1427" s="176"/>
      <c r="Q1427" s="176"/>
      <c r="R1427" s="176"/>
      <c r="S1427" s="176"/>
      <c r="T1427" s="176"/>
      <c r="U1427" s="15"/>
      <c r="Z1427" s="15"/>
      <c r="AA1427" s="180"/>
      <c r="AC1427" s="544"/>
      <c r="AD1427" s="180"/>
      <c r="AE1427" s="180"/>
      <c r="AF1427" s="180"/>
      <c r="AG1427" s="180"/>
      <c r="AH1427" s="180"/>
      <c r="AI1427" s="180"/>
      <c r="AJ1427" s="180"/>
      <c r="AK1427" s="180"/>
      <c r="AL1427" s="180"/>
      <c r="AM1427" s="180"/>
      <c r="AN1427" s="180"/>
      <c r="AO1427" s="180"/>
      <c r="AP1427" s="545"/>
      <c r="AQ1427" s="180"/>
      <c r="AR1427" s="180"/>
      <c r="AS1427" s="180"/>
      <c r="AT1427" s="180"/>
      <c r="AU1427" s="180"/>
      <c r="AV1427" s="3"/>
      <c r="AW1427" s="3"/>
      <c r="AX1427" s="182"/>
      <c r="AY1427" s="182"/>
      <c r="AZ1427" s="182"/>
      <c r="BA1427" s="182"/>
      <c r="BB1427" s="182"/>
      <c r="BC1427" s="182"/>
      <c r="BD1427" s="182"/>
      <c r="BE1427" s="182"/>
      <c r="BF1427" s="182"/>
      <c r="BG1427" s="182"/>
      <c r="BH1427" s="182"/>
      <c r="BI1427" s="182"/>
      <c r="BJ1427" s="182"/>
      <c r="BK1427" s="182"/>
      <c r="BL1427" s="182"/>
      <c r="BM1427" s="182"/>
      <c r="BN1427" s="182"/>
      <c r="BO1427" s="182"/>
      <c r="BP1427" s="182"/>
      <c r="BQ1427" s="182"/>
      <c r="BR1427" s="182"/>
      <c r="BS1427" s="182"/>
    </row>
    <row r="1428" spans="1:71" ht="15.9" customHeight="1" x14ac:dyDescent="0.3">
      <c r="A1428" s="17"/>
      <c r="B1428" s="17"/>
      <c r="C1428" s="174"/>
      <c r="D1428" s="5"/>
      <c r="E1428" s="5"/>
      <c r="F1428" s="175"/>
      <c r="G1428" s="15"/>
      <c r="H1428" s="176"/>
      <c r="I1428" s="17"/>
      <c r="J1428" s="113"/>
      <c r="K1428" s="113"/>
      <c r="L1428" s="177"/>
      <c r="M1428" s="542"/>
      <c r="N1428" s="542"/>
      <c r="O1428" s="542"/>
      <c r="P1428" s="176"/>
      <c r="Q1428" s="176"/>
      <c r="R1428" s="176"/>
      <c r="S1428" s="176"/>
      <c r="T1428" s="176"/>
      <c r="U1428" s="15"/>
      <c r="Z1428" s="15"/>
      <c r="AA1428" s="180"/>
      <c r="AC1428" s="544"/>
      <c r="AD1428" s="180"/>
      <c r="AE1428" s="180"/>
      <c r="AF1428" s="180"/>
      <c r="AG1428" s="180"/>
      <c r="AH1428" s="180"/>
      <c r="AI1428" s="180"/>
      <c r="AJ1428" s="180"/>
      <c r="AK1428" s="180"/>
      <c r="AL1428" s="180"/>
      <c r="AM1428" s="180"/>
      <c r="AN1428" s="180"/>
      <c r="AO1428" s="180"/>
      <c r="AP1428" s="545"/>
      <c r="AQ1428" s="180"/>
      <c r="AR1428" s="180"/>
      <c r="AS1428" s="180"/>
      <c r="AT1428" s="180"/>
      <c r="AU1428" s="180"/>
      <c r="AV1428" s="3"/>
      <c r="AW1428" s="3"/>
      <c r="AX1428" s="182"/>
      <c r="AY1428" s="182"/>
      <c r="AZ1428" s="182"/>
      <c r="BA1428" s="182"/>
      <c r="BB1428" s="182"/>
      <c r="BC1428" s="182"/>
      <c r="BD1428" s="182"/>
      <c r="BE1428" s="182"/>
      <c r="BF1428" s="182"/>
      <c r="BG1428" s="182"/>
      <c r="BH1428" s="182"/>
      <c r="BI1428" s="182"/>
      <c r="BJ1428" s="182"/>
      <c r="BK1428" s="182"/>
      <c r="BL1428" s="182"/>
      <c r="BM1428" s="182"/>
      <c r="BN1428" s="182"/>
      <c r="BO1428" s="182"/>
      <c r="BP1428" s="182"/>
      <c r="BQ1428" s="182"/>
      <c r="BR1428" s="182"/>
      <c r="BS1428" s="182"/>
    </row>
    <row r="1429" spans="1:71" ht="15.9" customHeight="1" x14ac:dyDescent="0.3">
      <c r="A1429" s="17"/>
      <c r="B1429" s="17"/>
      <c r="C1429" s="174"/>
      <c r="D1429" s="5"/>
      <c r="E1429" s="5"/>
      <c r="F1429" s="175"/>
      <c r="G1429" s="15"/>
      <c r="H1429" s="176"/>
      <c r="I1429" s="17"/>
      <c r="J1429" s="113"/>
      <c r="K1429" s="113"/>
      <c r="L1429" s="177"/>
      <c r="M1429" s="542"/>
      <c r="N1429" s="542"/>
      <c r="O1429" s="542"/>
      <c r="P1429" s="176"/>
      <c r="Q1429" s="176"/>
      <c r="R1429" s="176"/>
      <c r="S1429" s="176"/>
      <c r="T1429" s="176"/>
      <c r="U1429" s="15"/>
      <c r="Z1429" s="15"/>
      <c r="AA1429" s="180"/>
      <c r="AC1429" s="544"/>
      <c r="AD1429" s="180"/>
      <c r="AE1429" s="180"/>
      <c r="AF1429" s="180"/>
      <c r="AG1429" s="180"/>
      <c r="AH1429" s="180"/>
      <c r="AI1429" s="180"/>
      <c r="AJ1429" s="180"/>
      <c r="AK1429" s="180"/>
      <c r="AL1429" s="180"/>
      <c r="AM1429" s="180"/>
      <c r="AN1429" s="180"/>
      <c r="AO1429" s="180"/>
      <c r="AP1429" s="545"/>
      <c r="AQ1429" s="180"/>
      <c r="AR1429" s="180"/>
      <c r="AS1429" s="180"/>
      <c r="AT1429" s="180"/>
      <c r="AU1429" s="180"/>
      <c r="AV1429" s="3"/>
      <c r="AW1429" s="3"/>
      <c r="AX1429" s="182"/>
      <c r="AY1429" s="182"/>
      <c r="AZ1429" s="182"/>
      <c r="BA1429" s="182"/>
      <c r="BB1429" s="182"/>
      <c r="BC1429" s="182"/>
      <c r="BD1429" s="182"/>
      <c r="BE1429" s="182"/>
      <c r="BF1429" s="182"/>
      <c r="BG1429" s="182"/>
      <c r="BH1429" s="182"/>
      <c r="BI1429" s="182"/>
      <c r="BJ1429" s="182"/>
      <c r="BK1429" s="182"/>
      <c r="BL1429" s="182"/>
      <c r="BM1429" s="182"/>
      <c r="BN1429" s="182"/>
      <c r="BO1429" s="182"/>
      <c r="BP1429" s="182"/>
      <c r="BQ1429" s="182"/>
      <c r="BR1429" s="182"/>
      <c r="BS1429" s="182"/>
    </row>
    <row r="1430" spans="1:71" ht="15.9" customHeight="1" x14ac:dyDescent="0.3">
      <c r="A1430" s="17"/>
      <c r="B1430" s="17"/>
      <c r="C1430" s="174"/>
      <c r="D1430" s="5"/>
      <c r="E1430" s="5"/>
      <c r="F1430" s="175"/>
      <c r="G1430" s="15"/>
      <c r="H1430" s="176"/>
      <c r="I1430" s="17"/>
      <c r="J1430" s="113"/>
      <c r="K1430" s="113"/>
      <c r="L1430" s="177"/>
      <c r="M1430" s="542"/>
      <c r="N1430" s="542"/>
      <c r="O1430" s="542"/>
      <c r="P1430" s="176"/>
      <c r="Q1430" s="176"/>
      <c r="R1430" s="176"/>
      <c r="S1430" s="176"/>
      <c r="T1430" s="176"/>
      <c r="U1430" s="15"/>
      <c r="Z1430" s="15"/>
      <c r="AA1430" s="180"/>
      <c r="AC1430" s="544"/>
      <c r="AD1430" s="180"/>
      <c r="AE1430" s="180"/>
      <c r="AF1430" s="180"/>
      <c r="AG1430" s="180"/>
      <c r="AH1430" s="180"/>
      <c r="AI1430" s="180"/>
      <c r="AJ1430" s="180"/>
      <c r="AK1430" s="180"/>
      <c r="AL1430" s="180"/>
      <c r="AM1430" s="180"/>
      <c r="AN1430" s="180"/>
      <c r="AO1430" s="180"/>
      <c r="AP1430" s="545"/>
      <c r="AQ1430" s="180"/>
      <c r="AR1430" s="180"/>
      <c r="AS1430" s="180"/>
      <c r="AT1430" s="180"/>
      <c r="AU1430" s="180"/>
      <c r="AV1430" s="3"/>
      <c r="AW1430" s="3"/>
      <c r="AX1430" s="182"/>
      <c r="AY1430" s="182"/>
      <c r="AZ1430" s="182"/>
      <c r="BA1430" s="182"/>
      <c r="BB1430" s="182"/>
      <c r="BC1430" s="182"/>
      <c r="BD1430" s="182"/>
      <c r="BE1430" s="182"/>
      <c r="BF1430" s="182"/>
      <c r="BG1430" s="182"/>
      <c r="BH1430" s="182"/>
      <c r="BI1430" s="182"/>
      <c r="BJ1430" s="182"/>
      <c r="BK1430" s="182"/>
      <c r="BL1430" s="182"/>
      <c r="BM1430" s="182"/>
      <c r="BN1430" s="182"/>
      <c r="BO1430" s="182"/>
      <c r="BP1430" s="182"/>
      <c r="BQ1430" s="182"/>
      <c r="BR1430" s="182"/>
      <c r="BS1430" s="182"/>
    </row>
    <row r="1431" spans="1:71" ht="15.9" customHeight="1" x14ac:dyDescent="0.3">
      <c r="A1431" s="17"/>
      <c r="B1431" s="17"/>
      <c r="C1431" s="174"/>
      <c r="D1431" s="5"/>
      <c r="E1431" s="5"/>
      <c r="F1431" s="175"/>
      <c r="G1431" s="15"/>
      <c r="H1431" s="176"/>
      <c r="I1431" s="17"/>
      <c r="J1431" s="113"/>
      <c r="K1431" s="113"/>
      <c r="L1431" s="177"/>
      <c r="M1431" s="542"/>
      <c r="N1431" s="542"/>
      <c r="O1431" s="542"/>
      <c r="P1431" s="176"/>
      <c r="Q1431" s="176"/>
      <c r="R1431" s="176"/>
      <c r="S1431" s="176"/>
      <c r="T1431" s="176"/>
      <c r="U1431" s="15"/>
      <c r="Z1431" s="15"/>
      <c r="AA1431" s="180"/>
      <c r="AC1431" s="544"/>
      <c r="AD1431" s="180"/>
      <c r="AE1431" s="180"/>
      <c r="AF1431" s="180"/>
      <c r="AG1431" s="180"/>
      <c r="AH1431" s="180"/>
      <c r="AI1431" s="180"/>
      <c r="AJ1431" s="180"/>
      <c r="AK1431" s="180"/>
      <c r="AL1431" s="180"/>
      <c r="AM1431" s="180"/>
      <c r="AN1431" s="180"/>
      <c r="AO1431" s="180"/>
      <c r="AP1431" s="545"/>
      <c r="AQ1431" s="180"/>
      <c r="AR1431" s="180"/>
      <c r="AS1431" s="180"/>
      <c r="AT1431" s="180"/>
      <c r="AU1431" s="180"/>
      <c r="AV1431" s="3"/>
      <c r="AW1431" s="3"/>
      <c r="AX1431" s="182"/>
      <c r="AY1431" s="182"/>
      <c r="AZ1431" s="182"/>
      <c r="BA1431" s="182"/>
      <c r="BB1431" s="182"/>
      <c r="BC1431" s="182"/>
      <c r="BD1431" s="182"/>
      <c r="BE1431" s="182"/>
      <c r="BF1431" s="182"/>
      <c r="BG1431" s="182"/>
      <c r="BH1431" s="182"/>
      <c r="BI1431" s="182"/>
      <c r="BJ1431" s="182"/>
      <c r="BK1431" s="182"/>
      <c r="BL1431" s="182"/>
      <c r="BM1431" s="182"/>
      <c r="BN1431" s="182"/>
      <c r="BO1431" s="182"/>
      <c r="BP1431" s="182"/>
      <c r="BQ1431" s="182"/>
      <c r="BR1431" s="182"/>
      <c r="BS1431" s="182"/>
    </row>
    <row r="1432" spans="1:71" ht="15.9" customHeight="1" x14ac:dyDescent="0.3">
      <c r="A1432" s="17"/>
      <c r="B1432" s="17"/>
      <c r="C1432" s="174"/>
      <c r="D1432" s="5"/>
      <c r="E1432" s="5"/>
      <c r="F1432" s="175"/>
      <c r="G1432" s="15"/>
      <c r="H1432" s="176"/>
      <c r="I1432" s="17"/>
      <c r="J1432" s="113"/>
      <c r="K1432" s="113"/>
      <c r="L1432" s="177"/>
      <c r="M1432" s="542"/>
      <c r="N1432" s="542"/>
      <c r="O1432" s="542"/>
      <c r="P1432" s="176"/>
      <c r="Q1432" s="176"/>
      <c r="R1432" s="176"/>
      <c r="S1432" s="176"/>
      <c r="T1432" s="176"/>
      <c r="U1432" s="15"/>
      <c r="Z1432" s="15"/>
      <c r="AA1432" s="180"/>
      <c r="AC1432" s="544"/>
      <c r="AD1432" s="180"/>
      <c r="AE1432" s="180"/>
      <c r="AF1432" s="180"/>
      <c r="AG1432" s="180"/>
      <c r="AH1432" s="180"/>
      <c r="AI1432" s="180"/>
      <c r="AJ1432" s="180"/>
      <c r="AK1432" s="180"/>
      <c r="AL1432" s="180"/>
      <c r="AM1432" s="180"/>
      <c r="AN1432" s="180"/>
      <c r="AO1432" s="180"/>
      <c r="AP1432" s="545"/>
      <c r="AQ1432" s="180"/>
      <c r="AR1432" s="180"/>
      <c r="AS1432" s="180"/>
      <c r="AT1432" s="180"/>
      <c r="AU1432" s="180"/>
      <c r="AV1432" s="3"/>
      <c r="AW1432" s="3"/>
      <c r="AX1432" s="182"/>
      <c r="AY1432" s="182"/>
      <c r="AZ1432" s="182"/>
      <c r="BA1432" s="182"/>
      <c r="BB1432" s="182"/>
      <c r="BC1432" s="182"/>
      <c r="BD1432" s="182"/>
      <c r="BE1432" s="182"/>
      <c r="BF1432" s="182"/>
      <c r="BG1432" s="182"/>
      <c r="BH1432" s="182"/>
      <c r="BI1432" s="182"/>
      <c r="BJ1432" s="182"/>
      <c r="BK1432" s="182"/>
      <c r="BL1432" s="182"/>
      <c r="BM1432" s="182"/>
      <c r="BN1432" s="182"/>
      <c r="BO1432" s="182"/>
      <c r="BP1432" s="182"/>
      <c r="BQ1432" s="182"/>
      <c r="BR1432" s="182"/>
      <c r="BS1432" s="182"/>
    </row>
    <row r="1433" spans="1:71" ht="15.9" customHeight="1" x14ac:dyDescent="0.3">
      <c r="A1433" s="17"/>
      <c r="B1433" s="17"/>
      <c r="C1433" s="174"/>
      <c r="D1433" s="5"/>
      <c r="E1433" s="5"/>
      <c r="F1433" s="175"/>
      <c r="G1433" s="15"/>
      <c r="H1433" s="176"/>
      <c r="I1433" s="17"/>
      <c r="J1433" s="113"/>
      <c r="K1433" s="113"/>
      <c r="L1433" s="177"/>
      <c r="M1433" s="542"/>
      <c r="N1433" s="542"/>
      <c r="O1433" s="542"/>
      <c r="P1433" s="176"/>
      <c r="Q1433" s="176"/>
      <c r="R1433" s="176"/>
      <c r="S1433" s="176"/>
      <c r="T1433" s="176"/>
      <c r="U1433" s="15"/>
      <c r="Z1433" s="15"/>
      <c r="AA1433" s="180"/>
      <c r="AC1433" s="544"/>
      <c r="AD1433" s="180"/>
      <c r="AE1433" s="180"/>
      <c r="AF1433" s="180"/>
      <c r="AG1433" s="180"/>
      <c r="AH1433" s="180"/>
      <c r="AI1433" s="180"/>
      <c r="AJ1433" s="180"/>
      <c r="AK1433" s="180"/>
      <c r="AL1433" s="180"/>
      <c r="AM1433" s="180"/>
      <c r="AN1433" s="180"/>
      <c r="AO1433" s="180"/>
      <c r="AP1433" s="545"/>
      <c r="AQ1433" s="180"/>
      <c r="AR1433" s="180"/>
      <c r="AS1433" s="180"/>
      <c r="AT1433" s="180"/>
      <c r="AU1433" s="180"/>
      <c r="AV1433" s="3"/>
      <c r="AW1433" s="3"/>
      <c r="AX1433" s="182"/>
      <c r="AY1433" s="182"/>
      <c r="AZ1433" s="182"/>
      <c r="BA1433" s="182"/>
      <c r="BB1433" s="182"/>
      <c r="BC1433" s="182"/>
      <c r="BD1433" s="182"/>
      <c r="BE1433" s="182"/>
      <c r="BF1433" s="182"/>
      <c r="BG1433" s="182"/>
      <c r="BH1433" s="182"/>
      <c r="BI1433" s="182"/>
      <c r="BJ1433" s="182"/>
      <c r="BK1433" s="182"/>
      <c r="BL1433" s="182"/>
      <c r="BM1433" s="182"/>
      <c r="BN1433" s="182"/>
      <c r="BO1433" s="182"/>
      <c r="BP1433" s="182"/>
      <c r="BQ1433" s="182"/>
      <c r="BR1433" s="182"/>
      <c r="BS1433" s="182"/>
    </row>
    <row r="1434" spans="1:71" ht="15.9" customHeight="1" x14ac:dyDescent="0.3">
      <c r="A1434" s="17"/>
      <c r="B1434" s="17"/>
      <c r="C1434" s="174"/>
      <c r="D1434" s="5"/>
      <c r="E1434" s="5"/>
      <c r="F1434" s="175"/>
      <c r="G1434" s="15"/>
      <c r="H1434" s="176"/>
      <c r="I1434" s="17"/>
      <c r="J1434" s="113"/>
      <c r="K1434" s="113"/>
      <c r="L1434" s="177"/>
      <c r="M1434" s="542"/>
      <c r="N1434" s="542"/>
      <c r="O1434" s="542"/>
      <c r="P1434" s="176"/>
      <c r="Q1434" s="176"/>
      <c r="R1434" s="176"/>
      <c r="S1434" s="176"/>
      <c r="T1434" s="176"/>
      <c r="U1434" s="15"/>
      <c r="Z1434" s="15"/>
      <c r="AA1434" s="180"/>
      <c r="AC1434" s="544"/>
      <c r="AD1434" s="180"/>
      <c r="AE1434" s="180"/>
      <c r="AF1434" s="180"/>
      <c r="AG1434" s="180"/>
      <c r="AH1434" s="180"/>
      <c r="AI1434" s="180"/>
      <c r="AJ1434" s="180"/>
      <c r="AK1434" s="180"/>
      <c r="AL1434" s="180"/>
      <c r="AM1434" s="180"/>
      <c r="AN1434" s="180"/>
      <c r="AO1434" s="180"/>
      <c r="AP1434" s="545"/>
      <c r="AQ1434" s="180"/>
      <c r="AR1434" s="180"/>
      <c r="AS1434" s="180"/>
      <c r="AT1434" s="180"/>
      <c r="AU1434" s="180"/>
      <c r="AV1434" s="3"/>
      <c r="AW1434" s="3"/>
      <c r="AX1434" s="182"/>
      <c r="AY1434" s="182"/>
      <c r="AZ1434" s="182"/>
      <c r="BA1434" s="182"/>
      <c r="BB1434" s="182"/>
      <c r="BC1434" s="182"/>
      <c r="BD1434" s="182"/>
      <c r="BE1434" s="182"/>
      <c r="BF1434" s="182"/>
      <c r="BG1434" s="182"/>
      <c r="BH1434" s="182"/>
      <c r="BI1434" s="182"/>
      <c r="BJ1434" s="182"/>
      <c r="BK1434" s="182"/>
      <c r="BL1434" s="182"/>
      <c r="BM1434" s="182"/>
      <c r="BN1434" s="182"/>
      <c r="BO1434" s="182"/>
      <c r="BP1434" s="182"/>
      <c r="BQ1434" s="182"/>
      <c r="BR1434" s="182"/>
      <c r="BS1434" s="182"/>
    </row>
    <row r="1435" spans="1:71" ht="15.9" customHeight="1" x14ac:dyDescent="0.3">
      <c r="A1435" s="17"/>
      <c r="B1435" s="17"/>
      <c r="C1435" s="174"/>
      <c r="D1435" s="5"/>
      <c r="E1435" s="5"/>
      <c r="F1435" s="175"/>
      <c r="G1435" s="15"/>
      <c r="H1435" s="176"/>
      <c r="I1435" s="17"/>
      <c r="J1435" s="113"/>
      <c r="K1435" s="113"/>
      <c r="L1435" s="177"/>
      <c r="M1435" s="542"/>
      <c r="N1435" s="542"/>
      <c r="O1435" s="542"/>
      <c r="P1435" s="176"/>
      <c r="Q1435" s="176"/>
      <c r="R1435" s="176"/>
      <c r="S1435" s="176"/>
      <c r="T1435" s="176"/>
      <c r="U1435" s="15"/>
      <c r="Z1435" s="15"/>
      <c r="AA1435" s="180"/>
      <c r="AC1435" s="544"/>
      <c r="AD1435" s="180"/>
      <c r="AE1435" s="180"/>
      <c r="AF1435" s="180"/>
      <c r="AG1435" s="180"/>
      <c r="AH1435" s="180"/>
      <c r="AI1435" s="180"/>
      <c r="AJ1435" s="180"/>
      <c r="AK1435" s="180"/>
      <c r="AL1435" s="180"/>
      <c r="AM1435" s="180"/>
      <c r="AN1435" s="180"/>
      <c r="AO1435" s="180"/>
      <c r="AP1435" s="545"/>
      <c r="AQ1435" s="180"/>
      <c r="AR1435" s="180"/>
      <c r="AS1435" s="180"/>
      <c r="AT1435" s="180"/>
      <c r="AU1435" s="180"/>
      <c r="AV1435" s="3"/>
      <c r="AW1435" s="3"/>
      <c r="AX1435" s="182"/>
      <c r="AY1435" s="182"/>
      <c r="AZ1435" s="182"/>
      <c r="BA1435" s="182"/>
      <c r="BB1435" s="182"/>
      <c r="BC1435" s="182"/>
      <c r="BD1435" s="182"/>
      <c r="BE1435" s="182"/>
      <c r="BF1435" s="182"/>
      <c r="BG1435" s="182"/>
      <c r="BH1435" s="182"/>
      <c r="BI1435" s="182"/>
      <c r="BJ1435" s="182"/>
      <c r="BK1435" s="182"/>
      <c r="BL1435" s="182"/>
      <c r="BM1435" s="182"/>
      <c r="BN1435" s="182"/>
      <c r="BO1435" s="182"/>
      <c r="BP1435" s="182"/>
      <c r="BQ1435" s="182"/>
      <c r="BR1435" s="182"/>
      <c r="BS1435" s="182"/>
    </row>
    <row r="1436" spans="1:71" ht="15.9" customHeight="1" x14ac:dyDescent="0.3">
      <c r="A1436" s="17"/>
      <c r="B1436" s="17"/>
      <c r="C1436" s="174"/>
      <c r="D1436" s="5"/>
      <c r="E1436" s="5"/>
      <c r="F1436" s="175"/>
      <c r="G1436" s="15"/>
      <c r="H1436" s="176"/>
      <c r="I1436" s="17"/>
      <c r="J1436" s="113"/>
      <c r="K1436" s="113"/>
      <c r="L1436" s="177"/>
      <c r="M1436" s="542"/>
      <c r="N1436" s="542"/>
      <c r="O1436" s="542"/>
      <c r="P1436" s="176"/>
      <c r="Q1436" s="176"/>
      <c r="R1436" s="176"/>
      <c r="S1436" s="176"/>
      <c r="T1436" s="176"/>
      <c r="U1436" s="15"/>
      <c r="Z1436" s="15"/>
      <c r="AA1436" s="180"/>
      <c r="AC1436" s="544"/>
      <c r="AD1436" s="180"/>
      <c r="AE1436" s="180"/>
      <c r="AF1436" s="180"/>
      <c r="AG1436" s="180"/>
      <c r="AH1436" s="180"/>
      <c r="AI1436" s="180"/>
      <c r="AJ1436" s="180"/>
      <c r="AK1436" s="180"/>
      <c r="AL1436" s="180"/>
      <c r="AM1436" s="180"/>
      <c r="AN1436" s="180"/>
      <c r="AO1436" s="180"/>
      <c r="AP1436" s="545"/>
      <c r="AQ1436" s="180"/>
      <c r="AR1436" s="180"/>
      <c r="AS1436" s="180"/>
      <c r="AT1436" s="180"/>
      <c r="AU1436" s="180"/>
      <c r="AV1436" s="3"/>
      <c r="AW1436" s="3"/>
      <c r="AX1436" s="182"/>
      <c r="AY1436" s="182"/>
      <c r="AZ1436" s="182"/>
      <c r="BA1436" s="182"/>
      <c r="BB1436" s="182"/>
      <c r="BC1436" s="182"/>
      <c r="BD1436" s="182"/>
      <c r="BE1436" s="182"/>
      <c r="BF1436" s="182"/>
      <c r="BG1436" s="182"/>
      <c r="BH1436" s="182"/>
      <c r="BI1436" s="182"/>
      <c r="BJ1436" s="182"/>
      <c r="BK1436" s="182"/>
      <c r="BL1436" s="182"/>
      <c r="BM1436" s="182"/>
      <c r="BN1436" s="182"/>
      <c r="BO1436" s="182"/>
      <c r="BP1436" s="182"/>
      <c r="BQ1436" s="182"/>
      <c r="BR1436" s="182"/>
      <c r="BS1436" s="182"/>
    </row>
    <row r="1437" spans="1:71" ht="15.9" customHeight="1" x14ac:dyDescent="0.3">
      <c r="A1437" s="17"/>
      <c r="B1437" s="17"/>
      <c r="C1437" s="174"/>
      <c r="D1437" s="5"/>
      <c r="E1437" s="5"/>
      <c r="F1437" s="175"/>
      <c r="G1437" s="15"/>
      <c r="H1437" s="176"/>
      <c r="I1437" s="17"/>
      <c r="J1437" s="113"/>
      <c r="K1437" s="113"/>
      <c r="L1437" s="177"/>
      <c r="M1437" s="542"/>
      <c r="N1437" s="542"/>
      <c r="O1437" s="542"/>
      <c r="P1437" s="176"/>
      <c r="Q1437" s="176"/>
      <c r="R1437" s="176"/>
      <c r="S1437" s="176"/>
      <c r="T1437" s="176"/>
      <c r="U1437" s="15"/>
      <c r="Z1437" s="15"/>
      <c r="AA1437" s="180"/>
      <c r="AC1437" s="544"/>
      <c r="AD1437" s="180"/>
      <c r="AE1437" s="180"/>
      <c r="AF1437" s="180"/>
      <c r="AG1437" s="180"/>
      <c r="AH1437" s="180"/>
      <c r="AI1437" s="180"/>
      <c r="AJ1437" s="180"/>
      <c r="AK1437" s="180"/>
      <c r="AL1437" s="180"/>
      <c r="AM1437" s="180"/>
      <c r="AN1437" s="180"/>
      <c r="AO1437" s="180"/>
      <c r="AP1437" s="545"/>
      <c r="AQ1437" s="180"/>
      <c r="AR1437" s="180"/>
      <c r="AS1437" s="180"/>
      <c r="AT1437" s="180"/>
      <c r="AU1437" s="180"/>
      <c r="AV1437" s="3"/>
      <c r="AW1437" s="3"/>
      <c r="AX1437" s="182"/>
      <c r="AY1437" s="182"/>
      <c r="AZ1437" s="182"/>
      <c r="BA1437" s="182"/>
      <c r="BB1437" s="182"/>
      <c r="BC1437" s="182"/>
      <c r="BD1437" s="182"/>
      <c r="BE1437" s="182"/>
      <c r="BF1437" s="182"/>
      <c r="BG1437" s="182"/>
      <c r="BH1437" s="182"/>
      <c r="BI1437" s="182"/>
      <c r="BJ1437" s="182"/>
      <c r="BK1437" s="182"/>
      <c r="BL1437" s="182"/>
      <c r="BM1437" s="182"/>
      <c r="BN1437" s="182"/>
      <c r="BO1437" s="182"/>
      <c r="BP1437" s="182"/>
      <c r="BQ1437" s="182"/>
      <c r="BR1437" s="182"/>
      <c r="BS1437" s="182"/>
    </row>
    <row r="1438" spans="1:71" ht="15.9" customHeight="1" x14ac:dyDescent="0.3">
      <c r="A1438" s="17"/>
      <c r="B1438" s="17"/>
      <c r="C1438" s="174"/>
      <c r="D1438" s="5"/>
      <c r="E1438" s="5"/>
      <c r="F1438" s="175"/>
      <c r="G1438" s="15"/>
      <c r="H1438" s="176"/>
      <c r="I1438" s="17"/>
      <c r="J1438" s="113"/>
      <c r="K1438" s="113"/>
      <c r="L1438" s="177"/>
      <c r="M1438" s="542"/>
      <c r="N1438" s="542"/>
      <c r="O1438" s="542"/>
      <c r="P1438" s="176"/>
      <c r="Q1438" s="176"/>
      <c r="R1438" s="176"/>
      <c r="S1438" s="176"/>
      <c r="T1438" s="176"/>
      <c r="U1438" s="15"/>
      <c r="Z1438" s="15"/>
      <c r="AA1438" s="180"/>
      <c r="AC1438" s="544"/>
      <c r="AD1438" s="180"/>
      <c r="AE1438" s="180"/>
      <c r="AF1438" s="180"/>
      <c r="AG1438" s="180"/>
      <c r="AH1438" s="180"/>
      <c r="AI1438" s="180"/>
      <c r="AJ1438" s="180"/>
      <c r="AK1438" s="180"/>
      <c r="AL1438" s="180"/>
      <c r="AM1438" s="180"/>
      <c r="AN1438" s="180"/>
      <c r="AO1438" s="180"/>
      <c r="AP1438" s="545"/>
      <c r="AQ1438" s="180"/>
      <c r="AR1438" s="180"/>
      <c r="AS1438" s="180"/>
      <c r="AT1438" s="180"/>
      <c r="AU1438" s="180"/>
      <c r="AV1438" s="3"/>
      <c r="AW1438" s="3"/>
      <c r="AX1438" s="182"/>
      <c r="AY1438" s="182"/>
      <c r="AZ1438" s="182"/>
      <c r="BA1438" s="182"/>
      <c r="BB1438" s="182"/>
      <c r="BC1438" s="182"/>
      <c r="BD1438" s="182"/>
      <c r="BE1438" s="182"/>
      <c r="BF1438" s="182"/>
      <c r="BG1438" s="182"/>
      <c r="BH1438" s="182"/>
      <c r="BI1438" s="182"/>
      <c r="BJ1438" s="182"/>
      <c r="BK1438" s="182"/>
      <c r="BL1438" s="182"/>
      <c r="BM1438" s="182"/>
      <c r="BN1438" s="182"/>
      <c r="BO1438" s="182"/>
      <c r="BP1438" s="182"/>
      <c r="BQ1438" s="182"/>
      <c r="BR1438" s="182"/>
      <c r="BS1438" s="182"/>
    </row>
    <row r="1439" spans="1:71" ht="15.9" customHeight="1" x14ac:dyDescent="0.3">
      <c r="A1439" s="17"/>
      <c r="B1439" s="17"/>
      <c r="C1439" s="174"/>
      <c r="D1439" s="5"/>
      <c r="E1439" s="5"/>
      <c r="F1439" s="175"/>
      <c r="G1439" s="15"/>
      <c r="H1439" s="176"/>
      <c r="I1439" s="17"/>
      <c r="J1439" s="113"/>
      <c r="K1439" s="113"/>
      <c r="L1439" s="177"/>
      <c r="M1439" s="542"/>
      <c r="N1439" s="542"/>
      <c r="O1439" s="542"/>
      <c r="P1439" s="176"/>
      <c r="Q1439" s="176"/>
      <c r="R1439" s="176"/>
      <c r="S1439" s="176"/>
      <c r="T1439" s="176"/>
      <c r="U1439" s="15"/>
      <c r="Z1439" s="15"/>
      <c r="AA1439" s="180"/>
      <c r="AC1439" s="544"/>
      <c r="AD1439" s="180"/>
      <c r="AE1439" s="180"/>
      <c r="AF1439" s="180"/>
      <c r="AG1439" s="180"/>
      <c r="AH1439" s="180"/>
      <c r="AI1439" s="180"/>
      <c r="AJ1439" s="180"/>
      <c r="AK1439" s="180"/>
      <c r="AL1439" s="180"/>
      <c r="AM1439" s="180"/>
      <c r="AN1439" s="180"/>
      <c r="AO1439" s="180"/>
      <c r="AP1439" s="545"/>
      <c r="AQ1439" s="180"/>
      <c r="AR1439" s="180"/>
      <c r="AS1439" s="180"/>
      <c r="AT1439" s="180"/>
      <c r="AU1439" s="180"/>
      <c r="AV1439" s="3"/>
      <c r="AW1439" s="3"/>
      <c r="AX1439" s="182"/>
      <c r="AY1439" s="182"/>
      <c r="AZ1439" s="182"/>
      <c r="BA1439" s="182"/>
      <c r="BB1439" s="182"/>
      <c r="BC1439" s="182"/>
      <c r="BD1439" s="182"/>
      <c r="BE1439" s="182"/>
      <c r="BF1439" s="182"/>
      <c r="BG1439" s="182"/>
      <c r="BH1439" s="182"/>
      <c r="BI1439" s="182"/>
      <c r="BJ1439" s="182"/>
      <c r="BK1439" s="182"/>
      <c r="BL1439" s="182"/>
      <c r="BM1439" s="182"/>
      <c r="BN1439" s="182"/>
      <c r="BO1439" s="182"/>
      <c r="BP1439" s="182"/>
      <c r="BQ1439" s="182"/>
      <c r="BR1439" s="182"/>
      <c r="BS1439" s="182"/>
    </row>
    <row r="1440" spans="1:71" ht="15.9" customHeight="1" x14ac:dyDescent="0.3">
      <c r="A1440" s="17"/>
      <c r="B1440" s="17"/>
      <c r="C1440" s="174"/>
      <c r="D1440" s="5"/>
      <c r="E1440" s="5"/>
      <c r="F1440" s="175"/>
      <c r="G1440" s="15"/>
      <c r="H1440" s="176"/>
      <c r="I1440" s="17"/>
      <c r="J1440" s="113"/>
      <c r="K1440" s="113"/>
      <c r="L1440" s="177"/>
      <c r="M1440" s="542"/>
      <c r="N1440" s="542"/>
      <c r="O1440" s="542"/>
      <c r="P1440" s="176"/>
      <c r="Q1440" s="176"/>
      <c r="R1440" s="176"/>
      <c r="S1440" s="176"/>
      <c r="T1440" s="176"/>
      <c r="U1440" s="15"/>
      <c r="Z1440" s="15"/>
      <c r="AA1440" s="180"/>
      <c r="AC1440" s="544"/>
      <c r="AD1440" s="180"/>
      <c r="AE1440" s="180"/>
      <c r="AF1440" s="180"/>
      <c r="AG1440" s="180"/>
      <c r="AH1440" s="180"/>
      <c r="AI1440" s="180"/>
      <c r="AJ1440" s="180"/>
      <c r="AK1440" s="180"/>
      <c r="AL1440" s="180"/>
      <c r="AM1440" s="180"/>
      <c r="AN1440" s="180"/>
      <c r="AO1440" s="180"/>
      <c r="AP1440" s="545"/>
      <c r="AQ1440" s="180"/>
      <c r="AR1440" s="180"/>
      <c r="AS1440" s="180"/>
      <c r="AT1440" s="180"/>
      <c r="AU1440" s="180"/>
      <c r="AV1440" s="3"/>
      <c r="AW1440" s="3"/>
      <c r="AX1440" s="182"/>
      <c r="AY1440" s="182"/>
      <c r="AZ1440" s="182"/>
      <c r="BA1440" s="182"/>
      <c r="BB1440" s="182"/>
      <c r="BC1440" s="182"/>
      <c r="BD1440" s="182"/>
      <c r="BE1440" s="182"/>
      <c r="BF1440" s="182"/>
      <c r="BG1440" s="182"/>
      <c r="BH1440" s="182"/>
      <c r="BI1440" s="182"/>
      <c r="BJ1440" s="182"/>
      <c r="BK1440" s="182"/>
      <c r="BL1440" s="182"/>
      <c r="BM1440" s="182"/>
      <c r="BN1440" s="182"/>
      <c r="BO1440" s="182"/>
      <c r="BP1440" s="182"/>
      <c r="BQ1440" s="182"/>
      <c r="BR1440" s="182"/>
      <c r="BS1440" s="182"/>
    </row>
    <row r="1441" spans="1:71" ht="15.9" customHeight="1" x14ac:dyDescent="0.3">
      <c r="A1441" s="17"/>
      <c r="B1441" s="17"/>
      <c r="C1441" s="174"/>
      <c r="D1441" s="5"/>
      <c r="E1441" s="5"/>
      <c r="F1441" s="175"/>
      <c r="G1441" s="15"/>
      <c r="H1441" s="176"/>
      <c r="I1441" s="17"/>
      <c r="J1441" s="113"/>
      <c r="K1441" s="113"/>
      <c r="L1441" s="177"/>
      <c r="M1441" s="542"/>
      <c r="N1441" s="542"/>
      <c r="O1441" s="542"/>
      <c r="P1441" s="176"/>
      <c r="Q1441" s="176"/>
      <c r="R1441" s="176"/>
      <c r="S1441" s="176"/>
      <c r="T1441" s="176"/>
      <c r="U1441" s="15"/>
      <c r="Z1441" s="15"/>
      <c r="AA1441" s="180"/>
      <c r="AC1441" s="544"/>
      <c r="AD1441" s="180"/>
      <c r="AE1441" s="180"/>
      <c r="AF1441" s="180"/>
      <c r="AG1441" s="180"/>
      <c r="AH1441" s="180"/>
      <c r="AI1441" s="180"/>
      <c r="AJ1441" s="180"/>
      <c r="AK1441" s="180"/>
      <c r="AL1441" s="180"/>
      <c r="AM1441" s="180"/>
      <c r="AN1441" s="180"/>
      <c r="AO1441" s="180"/>
      <c r="AP1441" s="545"/>
      <c r="AQ1441" s="180"/>
      <c r="AR1441" s="180"/>
      <c r="AS1441" s="180"/>
      <c r="AT1441" s="180"/>
      <c r="AU1441" s="180"/>
      <c r="AV1441" s="3"/>
      <c r="AW1441" s="3"/>
      <c r="AX1441" s="182"/>
      <c r="AY1441" s="182"/>
      <c r="AZ1441" s="182"/>
      <c r="BA1441" s="182"/>
      <c r="BB1441" s="182"/>
      <c r="BC1441" s="182"/>
      <c r="BD1441" s="182"/>
      <c r="BE1441" s="182"/>
      <c r="BF1441" s="182"/>
      <c r="BG1441" s="182"/>
      <c r="BH1441" s="182"/>
      <c r="BI1441" s="182"/>
      <c r="BJ1441" s="182"/>
      <c r="BK1441" s="182"/>
      <c r="BL1441" s="182"/>
      <c r="BM1441" s="182"/>
      <c r="BN1441" s="182"/>
      <c r="BO1441" s="182"/>
      <c r="BP1441" s="182"/>
      <c r="BQ1441" s="182"/>
      <c r="BR1441" s="182"/>
      <c r="BS1441" s="182"/>
    </row>
    <row r="1442" spans="1:71" ht="15.9" customHeight="1" x14ac:dyDescent="0.3">
      <c r="A1442" s="17"/>
      <c r="B1442" s="17"/>
      <c r="C1442" s="174"/>
      <c r="D1442" s="5"/>
      <c r="E1442" s="5"/>
      <c r="F1442" s="175"/>
      <c r="G1442" s="15"/>
      <c r="H1442" s="176"/>
      <c r="I1442" s="17"/>
      <c r="J1442" s="113"/>
      <c r="K1442" s="113"/>
      <c r="L1442" s="177"/>
      <c r="M1442" s="542"/>
      <c r="N1442" s="542"/>
      <c r="O1442" s="542"/>
      <c r="P1442" s="176"/>
      <c r="Q1442" s="176"/>
      <c r="R1442" s="176"/>
      <c r="S1442" s="176"/>
      <c r="T1442" s="176"/>
      <c r="U1442" s="15"/>
      <c r="Z1442" s="15"/>
      <c r="AA1442" s="180"/>
      <c r="AC1442" s="544"/>
      <c r="AD1442" s="180"/>
      <c r="AE1442" s="180"/>
      <c r="AF1442" s="180"/>
      <c r="AG1442" s="180"/>
      <c r="AH1442" s="180"/>
      <c r="AI1442" s="180"/>
      <c r="AJ1442" s="180"/>
      <c r="AK1442" s="180"/>
      <c r="AL1442" s="180"/>
      <c r="AM1442" s="180"/>
      <c r="AN1442" s="180"/>
      <c r="AO1442" s="180"/>
      <c r="AP1442" s="545"/>
      <c r="AQ1442" s="180"/>
      <c r="AR1442" s="180"/>
      <c r="AS1442" s="180"/>
      <c r="AT1442" s="180"/>
      <c r="AU1442" s="180"/>
      <c r="AV1442" s="3"/>
      <c r="AW1442" s="3"/>
      <c r="AX1442" s="182"/>
      <c r="AY1442" s="182"/>
      <c r="AZ1442" s="182"/>
      <c r="BA1442" s="182"/>
      <c r="BB1442" s="182"/>
      <c r="BC1442" s="182"/>
      <c r="BD1442" s="182"/>
      <c r="BE1442" s="182"/>
      <c r="BF1442" s="182"/>
      <c r="BG1442" s="182"/>
      <c r="BH1442" s="182"/>
      <c r="BI1442" s="182"/>
      <c r="BJ1442" s="182"/>
      <c r="BK1442" s="182"/>
      <c r="BL1442" s="182"/>
      <c r="BM1442" s="182"/>
      <c r="BN1442" s="182"/>
      <c r="BO1442" s="182"/>
      <c r="BP1442" s="182"/>
      <c r="BQ1442" s="182"/>
      <c r="BR1442" s="182"/>
      <c r="BS1442" s="182"/>
    </row>
    <row r="1443" spans="1:71" ht="15.9" customHeight="1" x14ac:dyDescent="0.3">
      <c r="A1443" s="17"/>
      <c r="B1443" s="17"/>
      <c r="C1443" s="174"/>
      <c r="D1443" s="5"/>
      <c r="E1443" s="5"/>
      <c r="F1443" s="175"/>
      <c r="G1443" s="15"/>
      <c r="H1443" s="176"/>
      <c r="I1443" s="17"/>
      <c r="J1443" s="113"/>
      <c r="K1443" s="113"/>
      <c r="L1443" s="177"/>
      <c r="M1443" s="542"/>
      <c r="N1443" s="542"/>
      <c r="O1443" s="542"/>
      <c r="P1443" s="176"/>
      <c r="Q1443" s="176"/>
      <c r="R1443" s="176"/>
      <c r="S1443" s="176"/>
      <c r="T1443" s="176"/>
      <c r="U1443" s="15"/>
      <c r="Z1443" s="15"/>
      <c r="AA1443" s="180"/>
      <c r="AC1443" s="544"/>
      <c r="AD1443" s="180"/>
      <c r="AE1443" s="180"/>
      <c r="AF1443" s="180"/>
      <c r="AG1443" s="180"/>
      <c r="AH1443" s="180"/>
      <c r="AI1443" s="180"/>
      <c r="AJ1443" s="180"/>
      <c r="AK1443" s="180"/>
      <c r="AL1443" s="180"/>
      <c r="AM1443" s="180"/>
      <c r="AN1443" s="180"/>
      <c r="AO1443" s="180"/>
      <c r="AP1443" s="545"/>
      <c r="AQ1443" s="180"/>
      <c r="AR1443" s="180"/>
      <c r="AS1443" s="180"/>
      <c r="AT1443" s="180"/>
      <c r="AU1443" s="180"/>
      <c r="AV1443" s="3"/>
      <c r="AW1443" s="3"/>
      <c r="AX1443" s="182"/>
      <c r="AY1443" s="182"/>
      <c r="AZ1443" s="182"/>
      <c r="BA1443" s="182"/>
      <c r="BB1443" s="182"/>
      <c r="BC1443" s="182"/>
      <c r="BD1443" s="182"/>
      <c r="BE1443" s="182"/>
      <c r="BF1443" s="182"/>
      <c r="BG1443" s="182"/>
      <c r="BH1443" s="182"/>
      <c r="BI1443" s="182"/>
      <c r="BJ1443" s="182"/>
      <c r="BK1443" s="182"/>
      <c r="BL1443" s="182"/>
      <c r="BM1443" s="182"/>
      <c r="BN1443" s="182"/>
      <c r="BO1443" s="182"/>
      <c r="BP1443" s="182"/>
      <c r="BQ1443" s="182"/>
      <c r="BR1443" s="182"/>
      <c r="BS1443" s="182"/>
    </row>
    <row r="1444" spans="1:71" ht="15.9" customHeight="1" x14ac:dyDescent="0.3">
      <c r="A1444" s="17"/>
      <c r="B1444" s="17"/>
      <c r="C1444" s="174"/>
      <c r="D1444" s="5"/>
      <c r="E1444" s="5"/>
      <c r="F1444" s="175"/>
      <c r="G1444" s="15"/>
      <c r="H1444" s="176"/>
      <c r="I1444" s="17"/>
      <c r="J1444" s="113"/>
      <c r="K1444" s="113"/>
      <c r="L1444" s="177"/>
      <c r="M1444" s="542"/>
      <c r="N1444" s="542"/>
      <c r="O1444" s="542"/>
      <c r="P1444" s="176"/>
      <c r="Q1444" s="176"/>
      <c r="R1444" s="176"/>
      <c r="S1444" s="176"/>
      <c r="T1444" s="176"/>
      <c r="U1444" s="15"/>
      <c r="Z1444" s="15"/>
      <c r="AA1444" s="180"/>
      <c r="AC1444" s="544"/>
      <c r="AD1444" s="180"/>
      <c r="AE1444" s="180"/>
      <c r="AF1444" s="180"/>
      <c r="AG1444" s="180"/>
      <c r="AH1444" s="180"/>
      <c r="AI1444" s="180"/>
      <c r="AJ1444" s="180"/>
      <c r="AK1444" s="180"/>
      <c r="AL1444" s="180"/>
      <c r="AM1444" s="180"/>
      <c r="AN1444" s="180"/>
      <c r="AO1444" s="180"/>
      <c r="AP1444" s="545"/>
      <c r="AQ1444" s="180"/>
      <c r="AR1444" s="180"/>
      <c r="AS1444" s="180"/>
      <c r="AT1444" s="180"/>
      <c r="AU1444" s="180"/>
      <c r="AV1444" s="3"/>
      <c r="AW1444" s="3"/>
      <c r="AX1444" s="182"/>
      <c r="AY1444" s="182"/>
      <c r="AZ1444" s="182"/>
      <c r="BA1444" s="182"/>
      <c r="BB1444" s="182"/>
      <c r="BC1444" s="182"/>
      <c r="BD1444" s="182"/>
      <c r="BE1444" s="182"/>
      <c r="BF1444" s="182"/>
      <c r="BG1444" s="182"/>
      <c r="BH1444" s="182"/>
      <c r="BI1444" s="182"/>
      <c r="BJ1444" s="182"/>
      <c r="BK1444" s="182"/>
      <c r="BL1444" s="182"/>
      <c r="BM1444" s="182"/>
      <c r="BN1444" s="182"/>
      <c r="BO1444" s="182"/>
      <c r="BP1444" s="182"/>
      <c r="BQ1444" s="182"/>
      <c r="BR1444" s="182"/>
      <c r="BS1444" s="182"/>
    </row>
    <row r="1445" spans="1:71" ht="15.9" customHeight="1" x14ac:dyDescent="0.3">
      <c r="A1445" s="17"/>
      <c r="B1445" s="17"/>
      <c r="C1445" s="174"/>
      <c r="D1445" s="5"/>
      <c r="E1445" s="5"/>
      <c r="F1445" s="175"/>
      <c r="G1445" s="15"/>
      <c r="H1445" s="176"/>
      <c r="I1445" s="17"/>
      <c r="J1445" s="113"/>
      <c r="K1445" s="113"/>
      <c r="L1445" s="177"/>
      <c r="M1445" s="542"/>
      <c r="N1445" s="542"/>
      <c r="O1445" s="542"/>
      <c r="P1445" s="176"/>
      <c r="Q1445" s="176"/>
      <c r="R1445" s="176"/>
      <c r="S1445" s="176"/>
      <c r="T1445" s="176"/>
      <c r="U1445" s="15"/>
      <c r="Z1445" s="15"/>
      <c r="AA1445" s="180"/>
      <c r="AC1445" s="544"/>
      <c r="AD1445" s="180"/>
      <c r="AE1445" s="180"/>
      <c r="AF1445" s="180"/>
      <c r="AG1445" s="180"/>
      <c r="AH1445" s="180"/>
      <c r="AI1445" s="180"/>
      <c r="AJ1445" s="180"/>
      <c r="AK1445" s="180"/>
      <c r="AL1445" s="180"/>
      <c r="AM1445" s="180"/>
      <c r="AN1445" s="180"/>
      <c r="AO1445" s="180"/>
      <c r="AP1445" s="545"/>
      <c r="AQ1445" s="180"/>
      <c r="AR1445" s="180"/>
      <c r="AS1445" s="180"/>
      <c r="AT1445" s="180"/>
      <c r="AU1445" s="180"/>
      <c r="AV1445" s="3"/>
      <c r="AW1445" s="3"/>
      <c r="AX1445" s="182"/>
      <c r="AY1445" s="182"/>
      <c r="AZ1445" s="182"/>
      <c r="BA1445" s="182"/>
      <c r="BB1445" s="182"/>
      <c r="BC1445" s="182"/>
      <c r="BD1445" s="182"/>
      <c r="BE1445" s="182"/>
      <c r="BF1445" s="182"/>
      <c r="BG1445" s="182"/>
      <c r="BH1445" s="182"/>
      <c r="BI1445" s="182"/>
      <c r="BJ1445" s="182"/>
      <c r="BK1445" s="182"/>
      <c r="BL1445" s="182"/>
      <c r="BM1445" s="182"/>
      <c r="BN1445" s="182"/>
      <c r="BO1445" s="182"/>
      <c r="BP1445" s="182"/>
      <c r="BQ1445" s="182"/>
      <c r="BR1445" s="182"/>
      <c r="BS1445" s="182"/>
    </row>
    <row r="1446" spans="1:71" ht="15.9" customHeight="1" x14ac:dyDescent="0.3">
      <c r="A1446" s="17"/>
      <c r="B1446" s="17"/>
      <c r="C1446" s="174"/>
      <c r="D1446" s="5"/>
      <c r="E1446" s="5"/>
      <c r="F1446" s="175"/>
      <c r="G1446" s="15"/>
      <c r="H1446" s="176"/>
      <c r="I1446" s="17"/>
      <c r="J1446" s="113"/>
      <c r="K1446" s="113"/>
      <c r="L1446" s="177"/>
      <c r="M1446" s="542"/>
      <c r="N1446" s="542"/>
      <c r="O1446" s="542"/>
      <c r="P1446" s="176"/>
      <c r="Q1446" s="176"/>
      <c r="R1446" s="176"/>
      <c r="S1446" s="176"/>
      <c r="T1446" s="176"/>
      <c r="U1446" s="15"/>
      <c r="Z1446" s="15"/>
      <c r="AA1446" s="180"/>
      <c r="AC1446" s="544"/>
      <c r="AD1446" s="180"/>
      <c r="AE1446" s="180"/>
      <c r="AF1446" s="180"/>
      <c r="AG1446" s="180"/>
      <c r="AH1446" s="180"/>
      <c r="AI1446" s="180"/>
      <c r="AJ1446" s="180"/>
      <c r="AK1446" s="180"/>
      <c r="AL1446" s="180"/>
      <c r="AM1446" s="180"/>
      <c r="AN1446" s="180"/>
      <c r="AO1446" s="180"/>
      <c r="AP1446" s="545"/>
      <c r="AQ1446" s="180"/>
      <c r="AR1446" s="180"/>
      <c r="AS1446" s="180"/>
      <c r="AT1446" s="180"/>
      <c r="AU1446" s="180"/>
      <c r="AV1446" s="3"/>
      <c r="AW1446" s="3"/>
      <c r="AX1446" s="182"/>
      <c r="AY1446" s="182"/>
      <c r="AZ1446" s="182"/>
      <c r="BA1446" s="182"/>
      <c r="BB1446" s="182"/>
      <c r="BC1446" s="182"/>
      <c r="BD1446" s="182"/>
      <c r="BE1446" s="182"/>
      <c r="BF1446" s="182"/>
      <c r="BG1446" s="182"/>
      <c r="BH1446" s="182"/>
      <c r="BI1446" s="182"/>
      <c r="BJ1446" s="182"/>
      <c r="BK1446" s="182"/>
      <c r="BL1446" s="182"/>
      <c r="BM1446" s="182"/>
      <c r="BN1446" s="182"/>
      <c r="BO1446" s="182"/>
      <c r="BP1446" s="182"/>
      <c r="BQ1446" s="182"/>
      <c r="BR1446" s="182"/>
      <c r="BS1446" s="182"/>
    </row>
    <row r="1447" spans="1:71" ht="15.9" customHeight="1" x14ac:dyDescent="0.3">
      <c r="A1447" s="17"/>
      <c r="B1447" s="17"/>
      <c r="C1447" s="174"/>
      <c r="D1447" s="5"/>
      <c r="E1447" s="5"/>
      <c r="F1447" s="175"/>
      <c r="G1447" s="15"/>
      <c r="H1447" s="176"/>
      <c r="I1447" s="17"/>
      <c r="J1447" s="113"/>
      <c r="K1447" s="113"/>
      <c r="L1447" s="177"/>
      <c r="M1447" s="542"/>
      <c r="N1447" s="542"/>
      <c r="O1447" s="542"/>
      <c r="P1447" s="176"/>
      <c r="Q1447" s="176"/>
      <c r="R1447" s="176"/>
      <c r="S1447" s="176"/>
      <c r="T1447" s="176"/>
      <c r="U1447" s="15"/>
      <c r="Z1447" s="15"/>
      <c r="AA1447" s="180"/>
      <c r="AC1447" s="544"/>
      <c r="AD1447" s="180"/>
      <c r="AE1447" s="180"/>
      <c r="AF1447" s="180"/>
      <c r="AG1447" s="180"/>
      <c r="AH1447" s="180"/>
      <c r="AI1447" s="180"/>
      <c r="AJ1447" s="180"/>
      <c r="AK1447" s="180"/>
      <c r="AL1447" s="180"/>
      <c r="AM1447" s="180"/>
      <c r="AN1447" s="180"/>
      <c r="AO1447" s="180"/>
      <c r="AP1447" s="545"/>
      <c r="AQ1447" s="180"/>
      <c r="AR1447" s="180"/>
      <c r="AS1447" s="180"/>
      <c r="AT1447" s="180"/>
      <c r="AU1447" s="180"/>
      <c r="AV1447" s="3"/>
      <c r="AW1447" s="3"/>
      <c r="AX1447" s="182"/>
      <c r="AY1447" s="182"/>
      <c r="AZ1447" s="182"/>
      <c r="BA1447" s="182"/>
      <c r="BB1447" s="182"/>
      <c r="BC1447" s="182"/>
      <c r="BD1447" s="182"/>
      <c r="BE1447" s="182"/>
      <c r="BF1447" s="182"/>
      <c r="BG1447" s="182"/>
      <c r="BH1447" s="182"/>
      <c r="BI1447" s="182"/>
      <c r="BJ1447" s="182"/>
      <c r="BK1447" s="182"/>
      <c r="BL1447" s="182"/>
      <c r="BM1447" s="182"/>
      <c r="BN1447" s="182"/>
      <c r="BO1447" s="182"/>
      <c r="BP1447" s="182"/>
      <c r="BQ1447" s="182"/>
      <c r="BR1447" s="182"/>
      <c r="BS1447" s="182"/>
    </row>
    <row r="1448" spans="1:71" ht="15.9" customHeight="1" x14ac:dyDescent="0.3">
      <c r="A1448" s="17"/>
      <c r="B1448" s="17"/>
      <c r="C1448" s="174"/>
      <c r="D1448" s="5"/>
      <c r="E1448" s="5"/>
      <c r="F1448" s="175"/>
      <c r="G1448" s="15"/>
      <c r="H1448" s="176"/>
      <c r="I1448" s="17"/>
      <c r="J1448" s="113"/>
      <c r="K1448" s="113"/>
      <c r="L1448" s="177"/>
      <c r="M1448" s="542"/>
      <c r="N1448" s="542"/>
      <c r="O1448" s="542"/>
      <c r="P1448" s="176"/>
      <c r="Q1448" s="176"/>
      <c r="R1448" s="176"/>
      <c r="S1448" s="176"/>
      <c r="T1448" s="176"/>
      <c r="U1448" s="15"/>
      <c r="Z1448" s="15"/>
      <c r="AA1448" s="180"/>
      <c r="AC1448" s="544"/>
      <c r="AD1448" s="180"/>
      <c r="AE1448" s="180"/>
      <c r="AF1448" s="180"/>
      <c r="AG1448" s="180"/>
      <c r="AH1448" s="180"/>
      <c r="AI1448" s="180"/>
      <c r="AJ1448" s="180"/>
      <c r="AK1448" s="180"/>
      <c r="AL1448" s="180"/>
      <c r="AM1448" s="180"/>
      <c r="AN1448" s="180"/>
      <c r="AO1448" s="180"/>
      <c r="AP1448" s="545"/>
      <c r="AQ1448" s="180"/>
      <c r="AR1448" s="180"/>
      <c r="AS1448" s="180"/>
      <c r="AT1448" s="180"/>
      <c r="AU1448" s="180"/>
      <c r="AV1448" s="3"/>
      <c r="AW1448" s="3"/>
      <c r="AX1448" s="182"/>
      <c r="AY1448" s="182"/>
      <c r="AZ1448" s="182"/>
      <c r="BA1448" s="182"/>
      <c r="BB1448" s="182"/>
      <c r="BC1448" s="182"/>
      <c r="BD1448" s="182"/>
      <c r="BE1448" s="182"/>
      <c r="BF1448" s="182"/>
      <c r="BG1448" s="182"/>
      <c r="BH1448" s="182"/>
      <c r="BI1448" s="182"/>
      <c r="BJ1448" s="182"/>
      <c r="BK1448" s="182"/>
      <c r="BL1448" s="182"/>
      <c r="BM1448" s="182"/>
      <c r="BN1448" s="182"/>
      <c r="BO1448" s="182"/>
      <c r="BP1448" s="182"/>
      <c r="BQ1448" s="182"/>
      <c r="BR1448" s="182"/>
      <c r="BS1448" s="182"/>
    </row>
    <row r="1449" spans="1:71" ht="15.9" customHeight="1" x14ac:dyDescent="0.3">
      <c r="A1449" s="17"/>
      <c r="B1449" s="17"/>
      <c r="C1449" s="174"/>
      <c r="D1449" s="5"/>
      <c r="E1449" s="5"/>
      <c r="F1449" s="175"/>
      <c r="G1449" s="15"/>
      <c r="H1449" s="176"/>
      <c r="I1449" s="17"/>
      <c r="J1449" s="113"/>
      <c r="K1449" s="113"/>
      <c r="L1449" s="177"/>
      <c r="M1449" s="542"/>
      <c r="N1449" s="542"/>
      <c r="O1449" s="542"/>
      <c r="P1449" s="176"/>
      <c r="Q1449" s="176"/>
      <c r="R1449" s="176"/>
      <c r="S1449" s="176"/>
      <c r="T1449" s="176"/>
      <c r="U1449" s="15"/>
      <c r="Z1449" s="15"/>
      <c r="AA1449" s="180"/>
      <c r="AC1449" s="544"/>
      <c r="AD1449" s="180"/>
      <c r="AE1449" s="180"/>
      <c r="AF1449" s="180"/>
      <c r="AG1449" s="180"/>
      <c r="AH1449" s="180"/>
      <c r="AI1449" s="180"/>
      <c r="AJ1449" s="180"/>
      <c r="AK1449" s="180"/>
      <c r="AL1449" s="180"/>
      <c r="AM1449" s="180"/>
      <c r="AN1449" s="180"/>
      <c r="AO1449" s="180"/>
      <c r="AP1449" s="545"/>
      <c r="AQ1449" s="180"/>
      <c r="AR1449" s="180"/>
      <c r="AS1449" s="180"/>
      <c r="AT1449" s="180"/>
      <c r="AU1449" s="180"/>
      <c r="AV1449" s="3"/>
      <c r="AW1449" s="3"/>
      <c r="AX1449" s="182"/>
      <c r="AY1449" s="182"/>
      <c r="AZ1449" s="182"/>
      <c r="BA1449" s="182"/>
      <c r="BB1449" s="182"/>
      <c r="BC1449" s="182"/>
      <c r="BD1449" s="182"/>
      <c r="BE1449" s="182"/>
      <c r="BF1449" s="182"/>
      <c r="BG1449" s="182"/>
      <c r="BH1449" s="182"/>
      <c r="BI1449" s="182"/>
      <c r="BJ1449" s="182"/>
      <c r="BK1449" s="182"/>
      <c r="BL1449" s="182"/>
      <c r="BM1449" s="182"/>
      <c r="BN1449" s="182"/>
      <c r="BO1449" s="182"/>
      <c r="BP1449" s="182"/>
      <c r="BQ1449" s="182"/>
      <c r="BR1449" s="182"/>
      <c r="BS1449" s="182"/>
    </row>
    <row r="1450" spans="1:71" ht="15.9" customHeight="1" x14ac:dyDescent="0.3">
      <c r="A1450" s="17"/>
      <c r="B1450" s="17"/>
      <c r="C1450" s="174"/>
      <c r="D1450" s="5"/>
      <c r="E1450" s="5"/>
      <c r="F1450" s="175"/>
      <c r="G1450" s="15"/>
      <c r="H1450" s="176"/>
      <c r="I1450" s="17"/>
      <c r="J1450" s="113"/>
      <c r="K1450" s="113"/>
      <c r="L1450" s="177"/>
      <c r="M1450" s="542"/>
      <c r="N1450" s="542"/>
      <c r="O1450" s="542"/>
      <c r="P1450" s="176"/>
      <c r="Q1450" s="176"/>
      <c r="R1450" s="176"/>
      <c r="S1450" s="176"/>
      <c r="T1450" s="176"/>
      <c r="U1450" s="15"/>
      <c r="Z1450" s="15"/>
      <c r="AA1450" s="180"/>
      <c r="AC1450" s="544"/>
      <c r="AD1450" s="180"/>
      <c r="AE1450" s="180"/>
      <c r="AF1450" s="180"/>
      <c r="AG1450" s="180"/>
      <c r="AH1450" s="180"/>
      <c r="AI1450" s="180"/>
      <c r="AJ1450" s="180"/>
      <c r="AK1450" s="180"/>
      <c r="AL1450" s="180"/>
      <c r="AM1450" s="180"/>
      <c r="AN1450" s="180"/>
      <c r="AO1450" s="180"/>
      <c r="AP1450" s="545"/>
      <c r="AQ1450" s="180"/>
      <c r="AR1450" s="180"/>
      <c r="AS1450" s="180"/>
      <c r="AT1450" s="180"/>
      <c r="AU1450" s="180"/>
      <c r="AV1450" s="3"/>
      <c r="AW1450" s="3"/>
      <c r="AX1450" s="182"/>
      <c r="AY1450" s="182"/>
      <c r="AZ1450" s="182"/>
      <c r="BA1450" s="182"/>
      <c r="BB1450" s="182"/>
      <c r="BC1450" s="182"/>
      <c r="BD1450" s="182"/>
      <c r="BE1450" s="182"/>
      <c r="BF1450" s="182"/>
      <c r="BG1450" s="182"/>
      <c r="BH1450" s="182"/>
      <c r="BI1450" s="182"/>
      <c r="BJ1450" s="182"/>
      <c r="BK1450" s="182"/>
      <c r="BL1450" s="182"/>
      <c r="BM1450" s="182"/>
      <c r="BN1450" s="182"/>
      <c r="BO1450" s="182"/>
      <c r="BP1450" s="182"/>
      <c r="BQ1450" s="182"/>
      <c r="BR1450" s="182"/>
      <c r="BS1450" s="182"/>
    </row>
    <row r="1451" spans="1:71" ht="15.9" customHeight="1" x14ac:dyDescent="0.3">
      <c r="A1451" s="17"/>
      <c r="B1451" s="17"/>
      <c r="C1451" s="174"/>
      <c r="D1451" s="5"/>
      <c r="E1451" s="5"/>
      <c r="F1451" s="175"/>
      <c r="G1451" s="15"/>
      <c r="H1451" s="176"/>
      <c r="I1451" s="17"/>
      <c r="J1451" s="113"/>
      <c r="K1451" s="113"/>
      <c r="L1451" s="177"/>
      <c r="M1451" s="542"/>
      <c r="N1451" s="542"/>
      <c r="O1451" s="542"/>
      <c r="P1451" s="176"/>
      <c r="Q1451" s="176"/>
      <c r="R1451" s="176"/>
      <c r="S1451" s="176"/>
      <c r="T1451" s="176"/>
      <c r="U1451" s="15"/>
      <c r="Z1451" s="15"/>
      <c r="AA1451" s="180"/>
      <c r="AC1451" s="544"/>
      <c r="AD1451" s="180"/>
      <c r="AE1451" s="180"/>
      <c r="AF1451" s="180"/>
      <c r="AG1451" s="180"/>
      <c r="AH1451" s="180"/>
      <c r="AI1451" s="180"/>
      <c r="AJ1451" s="180"/>
      <c r="AK1451" s="180"/>
      <c r="AL1451" s="180"/>
      <c r="AM1451" s="180"/>
      <c r="AN1451" s="180"/>
      <c r="AO1451" s="180"/>
      <c r="AP1451" s="545"/>
      <c r="AQ1451" s="180"/>
      <c r="AR1451" s="180"/>
      <c r="AS1451" s="180"/>
      <c r="AT1451" s="180"/>
      <c r="AU1451" s="180"/>
      <c r="AV1451" s="3"/>
      <c r="AW1451" s="3"/>
      <c r="AX1451" s="182"/>
      <c r="AY1451" s="182"/>
      <c r="AZ1451" s="182"/>
      <c r="BA1451" s="182"/>
      <c r="BB1451" s="182"/>
      <c r="BC1451" s="182"/>
      <c r="BD1451" s="182"/>
      <c r="BE1451" s="182"/>
      <c r="BF1451" s="182"/>
      <c r="BG1451" s="182"/>
      <c r="BH1451" s="182"/>
      <c r="BI1451" s="182"/>
      <c r="BJ1451" s="182"/>
      <c r="BK1451" s="182"/>
      <c r="BL1451" s="182"/>
      <c r="BM1451" s="182"/>
      <c r="BN1451" s="182"/>
      <c r="BO1451" s="182"/>
      <c r="BP1451" s="182"/>
      <c r="BQ1451" s="182"/>
      <c r="BR1451" s="182"/>
      <c r="BS1451" s="182"/>
    </row>
    <row r="1452" spans="1:71" ht="15.9" customHeight="1" x14ac:dyDescent="0.3">
      <c r="A1452" s="17"/>
      <c r="B1452" s="17"/>
      <c r="C1452" s="174"/>
      <c r="D1452" s="5"/>
      <c r="E1452" s="5"/>
      <c r="F1452" s="175"/>
      <c r="G1452" s="15"/>
      <c r="H1452" s="176"/>
      <c r="I1452" s="17"/>
      <c r="J1452" s="113"/>
      <c r="K1452" s="113"/>
      <c r="L1452" s="177"/>
      <c r="M1452" s="542"/>
      <c r="N1452" s="542"/>
      <c r="O1452" s="542"/>
      <c r="P1452" s="176"/>
      <c r="Q1452" s="176"/>
      <c r="R1452" s="176"/>
      <c r="S1452" s="176"/>
      <c r="T1452" s="176"/>
      <c r="U1452" s="15"/>
      <c r="Z1452" s="15"/>
      <c r="AA1452" s="180"/>
      <c r="AC1452" s="544"/>
      <c r="AD1452" s="180"/>
      <c r="AE1452" s="180"/>
      <c r="AF1452" s="180"/>
      <c r="AG1452" s="180"/>
      <c r="AH1452" s="180"/>
      <c r="AI1452" s="180"/>
      <c r="AJ1452" s="180"/>
      <c r="AK1452" s="180"/>
      <c r="AL1452" s="180"/>
      <c r="AM1452" s="180"/>
      <c r="AN1452" s="180"/>
      <c r="AO1452" s="180"/>
      <c r="AP1452" s="545"/>
      <c r="AQ1452" s="180"/>
      <c r="AR1452" s="180"/>
      <c r="AS1452" s="180"/>
      <c r="AT1452" s="180"/>
      <c r="AU1452" s="180"/>
      <c r="AV1452" s="3"/>
      <c r="AW1452" s="3"/>
      <c r="AX1452" s="182"/>
      <c r="AY1452" s="182"/>
      <c r="AZ1452" s="182"/>
      <c r="BA1452" s="182"/>
      <c r="BB1452" s="182"/>
      <c r="BC1452" s="182"/>
      <c r="BD1452" s="182"/>
      <c r="BE1452" s="182"/>
      <c r="BF1452" s="182"/>
      <c r="BG1452" s="182"/>
      <c r="BH1452" s="182"/>
      <c r="BI1452" s="182"/>
      <c r="BJ1452" s="182"/>
      <c r="BK1452" s="182"/>
      <c r="BL1452" s="182"/>
      <c r="BM1452" s="182"/>
      <c r="BN1452" s="182"/>
      <c r="BO1452" s="182"/>
      <c r="BP1452" s="182"/>
      <c r="BQ1452" s="182"/>
      <c r="BR1452" s="182"/>
      <c r="BS1452" s="182"/>
    </row>
    <row r="1453" spans="1:71" ht="15.9" customHeight="1" x14ac:dyDescent="0.3">
      <c r="A1453" s="17"/>
      <c r="B1453" s="17"/>
      <c r="C1453" s="174"/>
      <c r="D1453" s="5"/>
      <c r="E1453" s="5"/>
      <c r="F1453" s="175"/>
      <c r="G1453" s="15"/>
      <c r="H1453" s="176"/>
      <c r="I1453" s="17"/>
      <c r="J1453" s="113"/>
      <c r="K1453" s="113"/>
      <c r="L1453" s="177"/>
      <c r="M1453" s="542"/>
      <c r="N1453" s="542"/>
      <c r="O1453" s="542"/>
      <c r="P1453" s="176"/>
      <c r="Q1453" s="176"/>
      <c r="R1453" s="176"/>
      <c r="S1453" s="176"/>
      <c r="T1453" s="176"/>
      <c r="U1453" s="15"/>
      <c r="Z1453" s="15"/>
      <c r="AA1453" s="180"/>
      <c r="AC1453" s="544"/>
      <c r="AD1453" s="180"/>
      <c r="AE1453" s="180"/>
      <c r="AF1453" s="180"/>
      <c r="AG1453" s="180"/>
      <c r="AH1453" s="180"/>
      <c r="AI1453" s="180"/>
      <c r="AJ1453" s="180"/>
      <c r="AK1453" s="180"/>
      <c r="AL1453" s="180"/>
      <c r="AM1453" s="180"/>
      <c r="AN1453" s="180"/>
      <c r="AO1453" s="180"/>
      <c r="AP1453" s="545"/>
      <c r="AQ1453" s="180"/>
      <c r="AR1453" s="180"/>
      <c r="AS1453" s="180"/>
      <c r="AT1453" s="180"/>
      <c r="AU1453" s="180"/>
      <c r="AV1453" s="3"/>
      <c r="AW1453" s="3"/>
      <c r="AX1453" s="182"/>
      <c r="AY1453" s="182"/>
      <c r="AZ1453" s="182"/>
      <c r="BA1453" s="182"/>
      <c r="BB1453" s="182"/>
      <c r="BC1453" s="182"/>
      <c r="BD1453" s="182"/>
      <c r="BE1453" s="182"/>
      <c r="BF1453" s="182"/>
      <c r="BG1453" s="182"/>
      <c r="BH1453" s="182"/>
      <c r="BI1453" s="182"/>
      <c r="BJ1453" s="182"/>
      <c r="BK1453" s="182"/>
      <c r="BL1453" s="182"/>
      <c r="BM1453" s="182"/>
      <c r="BN1453" s="182"/>
      <c r="BO1453" s="182"/>
      <c r="BP1453" s="182"/>
      <c r="BQ1453" s="182"/>
      <c r="BR1453" s="182"/>
      <c r="BS1453" s="182"/>
    </row>
    <row r="1454" spans="1:71" ht="15.9" customHeight="1" x14ac:dyDescent="0.3">
      <c r="A1454" s="17"/>
      <c r="B1454" s="17"/>
      <c r="C1454" s="174"/>
      <c r="D1454" s="5"/>
      <c r="E1454" s="5"/>
      <c r="F1454" s="175"/>
      <c r="G1454" s="15"/>
      <c r="H1454" s="176"/>
      <c r="I1454" s="17"/>
      <c r="J1454" s="113"/>
      <c r="K1454" s="113"/>
      <c r="L1454" s="177"/>
      <c r="M1454" s="542"/>
      <c r="N1454" s="542"/>
      <c r="O1454" s="542"/>
      <c r="P1454" s="176"/>
      <c r="Q1454" s="176"/>
      <c r="R1454" s="176"/>
      <c r="S1454" s="176"/>
      <c r="T1454" s="176"/>
      <c r="U1454" s="15"/>
      <c r="Z1454" s="15"/>
      <c r="AA1454" s="180"/>
      <c r="AC1454" s="544"/>
      <c r="AD1454" s="180"/>
      <c r="AE1454" s="180"/>
      <c r="AF1454" s="180"/>
      <c r="AG1454" s="180"/>
      <c r="AH1454" s="180"/>
      <c r="AI1454" s="180"/>
      <c r="AJ1454" s="180"/>
      <c r="AK1454" s="180"/>
      <c r="AL1454" s="180"/>
      <c r="AM1454" s="180"/>
      <c r="AN1454" s="180"/>
      <c r="AO1454" s="180"/>
      <c r="AP1454" s="545"/>
      <c r="AQ1454" s="180"/>
      <c r="AR1454" s="180"/>
      <c r="AS1454" s="180"/>
      <c r="AT1454" s="180"/>
      <c r="AU1454" s="180"/>
      <c r="AV1454" s="3"/>
      <c r="AW1454" s="3"/>
      <c r="AX1454" s="182"/>
      <c r="AY1454" s="182"/>
      <c r="AZ1454" s="182"/>
      <c r="BA1454" s="182"/>
      <c r="BB1454" s="182"/>
      <c r="BC1454" s="182"/>
      <c r="BD1454" s="182"/>
      <c r="BE1454" s="182"/>
      <c r="BF1454" s="182"/>
      <c r="BG1454" s="182"/>
      <c r="BH1454" s="182"/>
      <c r="BI1454" s="182"/>
      <c r="BJ1454" s="182"/>
      <c r="BK1454" s="182"/>
      <c r="BL1454" s="182"/>
      <c r="BM1454" s="182"/>
      <c r="BN1454" s="182"/>
      <c r="BO1454" s="182"/>
      <c r="BP1454" s="182"/>
      <c r="BQ1454" s="182"/>
      <c r="BR1454" s="182"/>
      <c r="BS1454" s="182"/>
    </row>
    <row r="1455" spans="1:71" ht="15.9" customHeight="1" x14ac:dyDescent="0.3">
      <c r="A1455" s="17"/>
      <c r="B1455" s="17"/>
      <c r="C1455" s="174"/>
      <c r="D1455" s="5"/>
      <c r="E1455" s="5"/>
      <c r="F1455" s="175"/>
      <c r="G1455" s="15"/>
      <c r="H1455" s="176"/>
      <c r="I1455" s="17"/>
      <c r="J1455" s="113"/>
      <c r="K1455" s="113"/>
      <c r="L1455" s="177"/>
      <c r="M1455" s="542"/>
      <c r="N1455" s="542"/>
      <c r="O1455" s="542"/>
      <c r="P1455" s="176"/>
      <c r="Q1455" s="176"/>
      <c r="R1455" s="176"/>
      <c r="S1455" s="176"/>
      <c r="T1455" s="176"/>
      <c r="U1455" s="15"/>
      <c r="Z1455" s="15"/>
      <c r="AA1455" s="180"/>
      <c r="AC1455" s="544"/>
      <c r="AD1455" s="180"/>
      <c r="AE1455" s="180"/>
      <c r="AF1455" s="180"/>
      <c r="AG1455" s="180"/>
      <c r="AH1455" s="180"/>
      <c r="AI1455" s="180"/>
      <c r="AJ1455" s="180"/>
      <c r="AK1455" s="180"/>
      <c r="AL1455" s="180"/>
      <c r="AM1455" s="180"/>
      <c r="AN1455" s="180"/>
      <c r="AO1455" s="180"/>
      <c r="AP1455" s="545"/>
      <c r="AQ1455" s="180"/>
      <c r="AR1455" s="180"/>
      <c r="AS1455" s="180"/>
      <c r="AT1455" s="180"/>
      <c r="AU1455" s="180"/>
      <c r="AV1455" s="3"/>
      <c r="AW1455" s="3"/>
      <c r="AX1455" s="182"/>
      <c r="AY1455" s="182"/>
      <c r="AZ1455" s="182"/>
      <c r="BA1455" s="182"/>
      <c r="BB1455" s="182"/>
      <c r="BC1455" s="182"/>
      <c r="BD1455" s="182"/>
      <c r="BE1455" s="182"/>
      <c r="BF1455" s="182"/>
      <c r="BG1455" s="182"/>
      <c r="BH1455" s="182"/>
      <c r="BI1455" s="182"/>
      <c r="BJ1455" s="182"/>
      <c r="BK1455" s="182"/>
      <c r="BL1455" s="182"/>
      <c r="BM1455" s="182"/>
      <c r="BN1455" s="182"/>
      <c r="BO1455" s="182"/>
      <c r="BP1455" s="182"/>
      <c r="BQ1455" s="182"/>
      <c r="BR1455" s="182"/>
      <c r="BS1455" s="182"/>
    </row>
    <row r="1456" spans="1:71" ht="15.9" customHeight="1" x14ac:dyDescent="0.3">
      <c r="A1456" s="17"/>
      <c r="B1456" s="17"/>
      <c r="C1456" s="174"/>
      <c r="D1456" s="5"/>
      <c r="E1456" s="5"/>
      <c r="F1456" s="175"/>
      <c r="G1456" s="15"/>
      <c r="H1456" s="176"/>
      <c r="I1456" s="17"/>
      <c r="J1456" s="113"/>
      <c r="K1456" s="113"/>
      <c r="L1456" s="177"/>
      <c r="M1456" s="542"/>
      <c r="N1456" s="542"/>
      <c r="O1456" s="542"/>
      <c r="P1456" s="176"/>
      <c r="Q1456" s="176"/>
      <c r="R1456" s="176"/>
      <c r="S1456" s="176"/>
      <c r="T1456" s="176"/>
      <c r="U1456" s="15"/>
      <c r="Z1456" s="15"/>
      <c r="AA1456" s="180"/>
      <c r="AC1456" s="544"/>
      <c r="AD1456" s="180"/>
      <c r="AE1456" s="180"/>
      <c r="AF1456" s="180"/>
      <c r="AG1456" s="180"/>
      <c r="AH1456" s="180"/>
      <c r="AI1456" s="180"/>
      <c r="AJ1456" s="180"/>
      <c r="AK1456" s="180"/>
      <c r="AL1456" s="180"/>
      <c r="AM1456" s="180"/>
      <c r="AN1456" s="180"/>
      <c r="AO1456" s="180"/>
      <c r="AP1456" s="545"/>
      <c r="AQ1456" s="180"/>
      <c r="AR1456" s="180"/>
      <c r="AS1456" s="180"/>
      <c r="AT1456" s="180"/>
      <c r="AU1456" s="180"/>
      <c r="AV1456" s="3"/>
      <c r="AW1456" s="3"/>
      <c r="AX1456" s="182"/>
      <c r="AY1456" s="182"/>
      <c r="AZ1456" s="182"/>
      <c r="BA1456" s="182"/>
      <c r="BB1456" s="182"/>
      <c r="BC1456" s="182"/>
      <c r="BD1456" s="182"/>
      <c r="BE1456" s="182"/>
      <c r="BF1456" s="182"/>
      <c r="BG1456" s="182"/>
      <c r="BH1456" s="182"/>
      <c r="BI1456" s="182"/>
      <c r="BJ1456" s="182"/>
      <c r="BK1456" s="182"/>
      <c r="BL1456" s="182"/>
      <c r="BM1456" s="182"/>
      <c r="BN1456" s="182"/>
      <c r="BO1456" s="182"/>
      <c r="BP1456" s="182"/>
      <c r="BQ1456" s="182"/>
      <c r="BR1456" s="182"/>
      <c r="BS1456" s="182"/>
    </row>
    <row r="1457" spans="1:71" ht="15.9" customHeight="1" x14ac:dyDescent="0.3">
      <c r="A1457" s="17"/>
      <c r="B1457" s="17"/>
      <c r="C1457" s="174"/>
      <c r="D1457" s="5"/>
      <c r="E1457" s="5"/>
      <c r="F1457" s="175"/>
      <c r="G1457" s="15"/>
      <c r="H1457" s="176"/>
      <c r="I1457" s="17"/>
      <c r="J1457" s="113"/>
      <c r="K1457" s="113"/>
      <c r="L1457" s="177"/>
      <c r="M1457" s="542"/>
      <c r="N1457" s="542"/>
      <c r="O1457" s="542"/>
      <c r="P1457" s="176"/>
      <c r="Q1457" s="176"/>
      <c r="R1457" s="176"/>
      <c r="S1457" s="176"/>
      <c r="T1457" s="176"/>
      <c r="U1457" s="15"/>
      <c r="Z1457" s="15"/>
      <c r="AA1457" s="180"/>
      <c r="AC1457" s="544"/>
      <c r="AD1457" s="180"/>
      <c r="AE1457" s="180"/>
      <c r="AF1457" s="180"/>
      <c r="AG1457" s="180"/>
      <c r="AH1457" s="180"/>
      <c r="AI1457" s="180"/>
      <c r="AJ1457" s="180"/>
      <c r="AK1457" s="180"/>
      <c r="AL1457" s="180"/>
      <c r="AM1457" s="180"/>
      <c r="AN1457" s="180"/>
      <c r="AO1457" s="180"/>
      <c r="AP1457" s="545"/>
      <c r="AQ1457" s="180"/>
      <c r="AR1457" s="180"/>
      <c r="AS1457" s="180"/>
      <c r="AT1457" s="180"/>
      <c r="AU1457" s="180"/>
      <c r="AV1457" s="3"/>
      <c r="AW1457" s="3"/>
      <c r="AX1457" s="182"/>
      <c r="AY1457" s="182"/>
      <c r="AZ1457" s="182"/>
      <c r="BA1457" s="182"/>
      <c r="BB1457" s="182"/>
      <c r="BC1457" s="182"/>
      <c r="BD1457" s="182"/>
      <c r="BE1457" s="182"/>
      <c r="BF1457" s="182"/>
      <c r="BG1457" s="182"/>
      <c r="BH1457" s="182"/>
      <c r="BI1457" s="182"/>
      <c r="BJ1457" s="182"/>
      <c r="BK1457" s="182"/>
      <c r="BL1457" s="182"/>
      <c r="BM1457" s="182"/>
      <c r="BN1457" s="182"/>
      <c r="BO1457" s="182"/>
      <c r="BP1457" s="182"/>
      <c r="BQ1457" s="182"/>
      <c r="BR1457" s="182"/>
      <c r="BS1457" s="182"/>
    </row>
    <row r="1458" spans="1:71" ht="15.9" customHeight="1" x14ac:dyDescent="0.3">
      <c r="A1458" s="17"/>
      <c r="B1458" s="17"/>
      <c r="C1458" s="174"/>
      <c r="D1458" s="5"/>
      <c r="E1458" s="5"/>
      <c r="F1458" s="175"/>
      <c r="G1458" s="15"/>
      <c r="H1458" s="176"/>
      <c r="I1458" s="17"/>
      <c r="J1458" s="113"/>
      <c r="K1458" s="113"/>
      <c r="L1458" s="177"/>
      <c r="M1458" s="542"/>
      <c r="N1458" s="542"/>
      <c r="O1458" s="542"/>
      <c r="P1458" s="176"/>
      <c r="Q1458" s="176"/>
      <c r="R1458" s="176"/>
      <c r="S1458" s="176"/>
      <c r="T1458" s="176"/>
      <c r="U1458" s="15"/>
      <c r="Z1458" s="15"/>
      <c r="AA1458" s="180"/>
      <c r="AC1458" s="544"/>
      <c r="AD1458" s="180"/>
      <c r="AE1458" s="180"/>
      <c r="AF1458" s="180"/>
      <c r="AG1458" s="180"/>
      <c r="AH1458" s="180"/>
      <c r="AI1458" s="180"/>
      <c r="AJ1458" s="180"/>
      <c r="AK1458" s="180"/>
      <c r="AL1458" s="180"/>
      <c r="AM1458" s="180"/>
      <c r="AN1458" s="180"/>
      <c r="AO1458" s="180"/>
      <c r="AP1458" s="545"/>
      <c r="AQ1458" s="180"/>
      <c r="AR1458" s="180"/>
      <c r="AS1458" s="180"/>
      <c r="AT1458" s="180"/>
      <c r="AU1458" s="180"/>
      <c r="AV1458" s="3"/>
      <c r="AW1458" s="3"/>
      <c r="AX1458" s="182"/>
      <c r="AY1458" s="182"/>
      <c r="AZ1458" s="182"/>
      <c r="BA1458" s="182"/>
      <c r="BB1458" s="182"/>
      <c r="BC1458" s="182"/>
      <c r="BD1458" s="182"/>
      <c r="BE1458" s="182"/>
      <c r="BF1458" s="182"/>
      <c r="BG1458" s="182"/>
      <c r="BH1458" s="182"/>
      <c r="BI1458" s="182"/>
      <c r="BJ1458" s="182"/>
      <c r="BK1458" s="182"/>
      <c r="BL1458" s="182"/>
      <c r="BM1458" s="182"/>
      <c r="BN1458" s="182"/>
      <c r="BO1458" s="182"/>
      <c r="BP1458" s="182"/>
      <c r="BQ1458" s="182"/>
      <c r="BR1458" s="182"/>
      <c r="BS1458" s="182"/>
    </row>
    <row r="1459" spans="1:71" ht="15.9" customHeight="1" x14ac:dyDescent="0.3">
      <c r="A1459" s="17"/>
      <c r="B1459" s="17"/>
      <c r="C1459" s="174"/>
      <c r="D1459" s="5"/>
      <c r="E1459" s="5"/>
      <c r="F1459" s="175"/>
      <c r="G1459" s="15"/>
      <c r="H1459" s="176"/>
      <c r="I1459" s="17"/>
      <c r="J1459" s="113"/>
      <c r="K1459" s="113"/>
      <c r="L1459" s="177"/>
      <c r="M1459" s="542"/>
      <c r="N1459" s="542"/>
      <c r="O1459" s="542"/>
      <c r="P1459" s="176"/>
      <c r="Q1459" s="176"/>
      <c r="R1459" s="176"/>
      <c r="S1459" s="176"/>
      <c r="T1459" s="176"/>
      <c r="U1459" s="15"/>
      <c r="Z1459" s="15"/>
      <c r="AA1459" s="180"/>
      <c r="AC1459" s="544"/>
      <c r="AD1459" s="180"/>
      <c r="AE1459" s="180"/>
      <c r="AF1459" s="180"/>
      <c r="AG1459" s="180"/>
      <c r="AH1459" s="180"/>
      <c r="AI1459" s="180"/>
      <c r="AJ1459" s="180"/>
      <c r="AK1459" s="180"/>
      <c r="AL1459" s="180"/>
      <c r="AM1459" s="180"/>
      <c r="AN1459" s="180"/>
      <c r="AO1459" s="180"/>
      <c r="AP1459" s="545"/>
      <c r="AQ1459" s="180"/>
      <c r="AR1459" s="180"/>
      <c r="AS1459" s="180"/>
      <c r="AT1459" s="180"/>
      <c r="AU1459" s="180"/>
      <c r="AV1459" s="3"/>
      <c r="AW1459" s="3"/>
      <c r="AX1459" s="182"/>
      <c r="AY1459" s="182"/>
      <c r="AZ1459" s="182"/>
      <c r="BA1459" s="182"/>
      <c r="BB1459" s="182"/>
      <c r="BC1459" s="182"/>
      <c r="BD1459" s="182"/>
      <c r="BE1459" s="182"/>
      <c r="BF1459" s="182"/>
      <c r="BG1459" s="182"/>
      <c r="BH1459" s="182"/>
      <c r="BI1459" s="182"/>
      <c r="BJ1459" s="182"/>
      <c r="BK1459" s="182"/>
      <c r="BL1459" s="182"/>
      <c r="BM1459" s="182"/>
      <c r="BN1459" s="182"/>
      <c r="BO1459" s="182"/>
      <c r="BP1459" s="182"/>
      <c r="BQ1459" s="182"/>
      <c r="BR1459" s="182"/>
      <c r="BS1459" s="182"/>
    </row>
    <row r="1460" spans="1:71" ht="15.9" customHeight="1" x14ac:dyDescent="0.3">
      <c r="A1460" s="17"/>
      <c r="B1460" s="17"/>
      <c r="C1460" s="174"/>
      <c r="D1460" s="5"/>
      <c r="E1460" s="5"/>
      <c r="F1460" s="175"/>
      <c r="G1460" s="15"/>
      <c r="H1460" s="176"/>
      <c r="I1460" s="17"/>
      <c r="J1460" s="113"/>
      <c r="K1460" s="113"/>
      <c r="L1460" s="177"/>
      <c r="M1460" s="542"/>
      <c r="N1460" s="542"/>
      <c r="O1460" s="542"/>
      <c r="P1460" s="176"/>
      <c r="Q1460" s="176"/>
      <c r="R1460" s="176"/>
      <c r="S1460" s="176"/>
      <c r="T1460" s="176"/>
      <c r="U1460" s="15"/>
      <c r="Z1460" s="15"/>
      <c r="AA1460" s="180"/>
      <c r="AC1460" s="544"/>
      <c r="AD1460" s="180"/>
      <c r="AE1460" s="180"/>
      <c r="AF1460" s="180"/>
      <c r="AG1460" s="180"/>
      <c r="AH1460" s="180"/>
      <c r="AI1460" s="180"/>
      <c r="AJ1460" s="180"/>
      <c r="AK1460" s="180"/>
      <c r="AL1460" s="180"/>
      <c r="AM1460" s="180"/>
      <c r="AN1460" s="180"/>
      <c r="AO1460" s="180"/>
      <c r="AP1460" s="545"/>
      <c r="AQ1460" s="180"/>
      <c r="AR1460" s="180"/>
      <c r="AS1460" s="180"/>
      <c r="AT1460" s="180"/>
      <c r="AU1460" s="180"/>
      <c r="AV1460" s="3"/>
      <c r="AW1460" s="3"/>
      <c r="AX1460" s="182"/>
      <c r="AY1460" s="182"/>
      <c r="AZ1460" s="182"/>
      <c r="BA1460" s="182"/>
      <c r="BB1460" s="182"/>
      <c r="BC1460" s="182"/>
      <c r="BD1460" s="182"/>
      <c r="BE1460" s="182"/>
      <c r="BF1460" s="182"/>
      <c r="BG1460" s="182"/>
      <c r="BH1460" s="182"/>
      <c r="BI1460" s="182"/>
      <c r="BJ1460" s="182"/>
      <c r="BK1460" s="182"/>
      <c r="BL1460" s="182"/>
      <c r="BM1460" s="182"/>
      <c r="BN1460" s="182"/>
      <c r="BO1460" s="182"/>
      <c r="BP1460" s="182"/>
      <c r="BQ1460" s="182"/>
      <c r="BR1460" s="182"/>
      <c r="BS1460" s="182"/>
    </row>
    <row r="1461" spans="1:71" ht="15.9" customHeight="1" x14ac:dyDescent="0.3">
      <c r="A1461" s="17"/>
      <c r="B1461" s="17"/>
      <c r="C1461" s="174"/>
      <c r="D1461" s="5"/>
      <c r="E1461" s="5"/>
      <c r="F1461" s="175"/>
      <c r="G1461" s="15"/>
      <c r="H1461" s="176"/>
      <c r="I1461" s="17"/>
      <c r="J1461" s="113"/>
      <c r="K1461" s="113"/>
      <c r="L1461" s="177"/>
      <c r="M1461" s="542"/>
      <c r="N1461" s="542"/>
      <c r="O1461" s="542"/>
      <c r="P1461" s="176"/>
      <c r="Q1461" s="176"/>
      <c r="R1461" s="176"/>
      <c r="S1461" s="176"/>
      <c r="T1461" s="176"/>
      <c r="U1461" s="15"/>
      <c r="Z1461" s="15"/>
      <c r="AA1461" s="180"/>
      <c r="AC1461" s="544"/>
      <c r="AD1461" s="180"/>
      <c r="AE1461" s="180"/>
      <c r="AF1461" s="180"/>
      <c r="AG1461" s="180"/>
      <c r="AH1461" s="180"/>
      <c r="AI1461" s="180"/>
      <c r="AJ1461" s="180"/>
      <c r="AK1461" s="180"/>
      <c r="AL1461" s="180"/>
      <c r="AM1461" s="180"/>
      <c r="AN1461" s="180"/>
      <c r="AO1461" s="180"/>
      <c r="AP1461" s="545"/>
      <c r="AQ1461" s="180"/>
      <c r="AR1461" s="180"/>
      <c r="AS1461" s="180"/>
      <c r="AT1461" s="180"/>
      <c r="AU1461" s="180"/>
      <c r="AV1461" s="3"/>
      <c r="AW1461" s="3"/>
      <c r="AX1461" s="182"/>
      <c r="AY1461" s="182"/>
      <c r="AZ1461" s="182"/>
      <c r="BA1461" s="182"/>
      <c r="BB1461" s="182"/>
      <c r="BC1461" s="182"/>
      <c r="BD1461" s="182"/>
      <c r="BE1461" s="182"/>
      <c r="BF1461" s="182"/>
      <c r="BG1461" s="182"/>
      <c r="BH1461" s="182"/>
      <c r="BI1461" s="182"/>
      <c r="BJ1461" s="182"/>
      <c r="BK1461" s="182"/>
      <c r="BL1461" s="182"/>
      <c r="BM1461" s="182"/>
      <c r="BN1461" s="182"/>
      <c r="BO1461" s="182"/>
      <c r="BP1461" s="182"/>
      <c r="BQ1461" s="182"/>
      <c r="BR1461" s="182"/>
      <c r="BS1461" s="182"/>
    </row>
    <row r="1462" spans="1:71" ht="15.9" customHeight="1" x14ac:dyDescent="0.3">
      <c r="A1462" s="17"/>
      <c r="B1462" s="17"/>
      <c r="C1462" s="174"/>
      <c r="D1462" s="5"/>
      <c r="E1462" s="5"/>
      <c r="F1462" s="175"/>
      <c r="G1462" s="15"/>
      <c r="H1462" s="176"/>
      <c r="I1462" s="17"/>
      <c r="J1462" s="113"/>
      <c r="K1462" s="113"/>
      <c r="L1462" s="177"/>
      <c r="M1462" s="542"/>
      <c r="N1462" s="542"/>
      <c r="O1462" s="542"/>
      <c r="P1462" s="176"/>
      <c r="Q1462" s="176"/>
      <c r="R1462" s="176"/>
      <c r="S1462" s="176"/>
      <c r="T1462" s="176"/>
      <c r="U1462" s="15"/>
      <c r="Z1462" s="15"/>
      <c r="AA1462" s="180"/>
      <c r="AC1462" s="544"/>
      <c r="AD1462" s="180"/>
      <c r="AE1462" s="180"/>
      <c r="AF1462" s="180"/>
      <c r="AG1462" s="180"/>
      <c r="AH1462" s="180"/>
      <c r="AI1462" s="180"/>
      <c r="AJ1462" s="180"/>
      <c r="AK1462" s="180"/>
      <c r="AL1462" s="180"/>
      <c r="AM1462" s="180"/>
      <c r="AN1462" s="180"/>
      <c r="AO1462" s="180"/>
      <c r="AP1462" s="545"/>
      <c r="AQ1462" s="180"/>
      <c r="AR1462" s="180"/>
      <c r="AS1462" s="180"/>
      <c r="AT1462" s="180"/>
      <c r="AU1462" s="180"/>
      <c r="AV1462" s="3"/>
      <c r="AW1462" s="3"/>
      <c r="AX1462" s="182"/>
      <c r="AY1462" s="182"/>
      <c r="AZ1462" s="182"/>
      <c r="BA1462" s="182"/>
      <c r="BB1462" s="182"/>
      <c r="BC1462" s="182"/>
      <c r="BD1462" s="182"/>
      <c r="BE1462" s="182"/>
      <c r="BF1462" s="182"/>
      <c r="BG1462" s="182"/>
      <c r="BH1462" s="182"/>
      <c r="BI1462" s="182"/>
      <c r="BJ1462" s="182"/>
      <c r="BK1462" s="182"/>
      <c r="BL1462" s="182"/>
      <c r="BM1462" s="182"/>
      <c r="BN1462" s="182"/>
      <c r="BO1462" s="182"/>
      <c r="BP1462" s="182"/>
      <c r="BQ1462" s="182"/>
      <c r="BR1462" s="182"/>
      <c r="BS1462" s="182"/>
    </row>
    <row r="1463" spans="1:71" ht="15.9" customHeight="1" x14ac:dyDescent="0.3">
      <c r="A1463" s="17"/>
      <c r="B1463" s="17"/>
      <c r="C1463" s="174"/>
      <c r="D1463" s="5"/>
      <c r="E1463" s="5"/>
      <c r="F1463" s="175"/>
      <c r="G1463" s="15"/>
      <c r="H1463" s="176"/>
      <c r="I1463" s="17"/>
      <c r="J1463" s="113"/>
      <c r="K1463" s="113"/>
      <c r="L1463" s="177"/>
      <c r="M1463" s="542"/>
      <c r="N1463" s="542"/>
      <c r="O1463" s="542"/>
      <c r="P1463" s="176"/>
      <c r="Q1463" s="176"/>
      <c r="R1463" s="176"/>
      <c r="S1463" s="176"/>
      <c r="T1463" s="176"/>
      <c r="U1463" s="15"/>
      <c r="Z1463" s="15"/>
      <c r="AA1463" s="180"/>
      <c r="AC1463" s="544"/>
      <c r="AD1463" s="180"/>
      <c r="AE1463" s="180"/>
      <c r="AF1463" s="180"/>
      <c r="AG1463" s="180"/>
      <c r="AH1463" s="180"/>
      <c r="AI1463" s="180"/>
      <c r="AJ1463" s="180"/>
      <c r="AK1463" s="180"/>
      <c r="AL1463" s="180"/>
      <c r="AM1463" s="180"/>
      <c r="AN1463" s="180"/>
      <c r="AO1463" s="180"/>
      <c r="AP1463" s="545"/>
      <c r="AQ1463" s="180"/>
      <c r="AR1463" s="180"/>
      <c r="AS1463" s="180"/>
      <c r="AT1463" s="180"/>
      <c r="AU1463" s="180"/>
      <c r="AV1463" s="3"/>
      <c r="AW1463" s="3"/>
      <c r="AX1463" s="182"/>
      <c r="AY1463" s="182"/>
      <c r="AZ1463" s="182"/>
      <c r="BA1463" s="182"/>
      <c r="BB1463" s="182"/>
      <c r="BC1463" s="182"/>
      <c r="BD1463" s="182"/>
      <c r="BE1463" s="182"/>
      <c r="BF1463" s="182"/>
      <c r="BG1463" s="182"/>
      <c r="BH1463" s="182"/>
      <c r="BI1463" s="182"/>
      <c r="BJ1463" s="182"/>
      <c r="BK1463" s="182"/>
      <c r="BL1463" s="182"/>
      <c r="BM1463" s="182"/>
      <c r="BN1463" s="182"/>
      <c r="BO1463" s="182"/>
      <c r="BP1463" s="182"/>
      <c r="BQ1463" s="182"/>
      <c r="BR1463" s="182"/>
      <c r="BS1463" s="182"/>
    </row>
    <row r="1464" spans="1:71" ht="15.9" customHeight="1" x14ac:dyDescent="0.3">
      <c r="A1464" s="17"/>
      <c r="B1464" s="17"/>
      <c r="C1464" s="174"/>
      <c r="D1464" s="5"/>
      <c r="E1464" s="5"/>
      <c r="F1464" s="175"/>
      <c r="G1464" s="15"/>
      <c r="H1464" s="176"/>
      <c r="I1464" s="17"/>
      <c r="J1464" s="113"/>
      <c r="K1464" s="113"/>
      <c r="L1464" s="177"/>
      <c r="M1464" s="542"/>
      <c r="N1464" s="542"/>
      <c r="O1464" s="542"/>
      <c r="P1464" s="176"/>
      <c r="Q1464" s="176"/>
      <c r="R1464" s="176"/>
      <c r="S1464" s="176"/>
      <c r="T1464" s="176"/>
      <c r="U1464" s="15"/>
      <c r="Z1464" s="15"/>
      <c r="AA1464" s="180"/>
      <c r="AC1464" s="544"/>
      <c r="AD1464" s="180"/>
      <c r="AE1464" s="180"/>
      <c r="AF1464" s="180"/>
      <c r="AG1464" s="180"/>
      <c r="AH1464" s="180"/>
      <c r="AI1464" s="180"/>
      <c r="AJ1464" s="180"/>
      <c r="AK1464" s="180"/>
      <c r="AL1464" s="180"/>
      <c r="AM1464" s="180"/>
      <c r="AN1464" s="180"/>
      <c r="AO1464" s="180"/>
      <c r="AP1464" s="545"/>
      <c r="AQ1464" s="180"/>
      <c r="AR1464" s="180"/>
      <c r="AS1464" s="180"/>
      <c r="AT1464" s="180"/>
      <c r="AU1464" s="180"/>
      <c r="AV1464" s="3"/>
      <c r="AW1464" s="3"/>
      <c r="AX1464" s="182"/>
      <c r="AY1464" s="182"/>
      <c r="AZ1464" s="182"/>
      <c r="BA1464" s="182"/>
      <c r="BB1464" s="182"/>
      <c r="BC1464" s="182"/>
      <c r="BD1464" s="182"/>
      <c r="BE1464" s="182"/>
      <c r="BF1464" s="182"/>
      <c r="BG1464" s="182"/>
      <c r="BH1464" s="182"/>
      <c r="BI1464" s="182"/>
      <c r="BJ1464" s="182"/>
      <c r="BK1464" s="182"/>
      <c r="BL1464" s="182"/>
      <c r="BM1464" s="182"/>
      <c r="BN1464" s="182"/>
      <c r="BO1464" s="182"/>
      <c r="BP1464" s="182"/>
      <c r="BQ1464" s="182"/>
      <c r="BR1464" s="182"/>
      <c r="BS1464" s="182"/>
    </row>
    <row r="1465" spans="1:71" ht="15.9" customHeight="1" x14ac:dyDescent="0.3">
      <c r="A1465" s="17"/>
      <c r="B1465" s="17"/>
      <c r="C1465" s="174"/>
      <c r="D1465" s="5"/>
      <c r="E1465" s="5"/>
      <c r="F1465" s="175"/>
      <c r="G1465" s="15"/>
      <c r="H1465" s="176"/>
      <c r="I1465" s="17"/>
      <c r="J1465" s="113"/>
      <c r="K1465" s="113"/>
      <c r="L1465" s="177"/>
      <c r="M1465" s="542"/>
      <c r="N1465" s="542"/>
      <c r="O1465" s="542"/>
      <c r="P1465" s="176"/>
      <c r="Q1465" s="176"/>
      <c r="R1465" s="176"/>
      <c r="S1465" s="176"/>
      <c r="T1465" s="176"/>
      <c r="U1465" s="15"/>
      <c r="Z1465" s="15"/>
      <c r="AA1465" s="180"/>
      <c r="AC1465" s="544"/>
      <c r="AD1465" s="180"/>
      <c r="AE1465" s="180"/>
      <c r="AF1465" s="180"/>
      <c r="AG1465" s="180"/>
      <c r="AH1465" s="180"/>
      <c r="AI1465" s="180"/>
      <c r="AJ1465" s="180"/>
      <c r="AK1465" s="180"/>
      <c r="AL1465" s="180"/>
      <c r="AM1465" s="180"/>
      <c r="AN1465" s="180"/>
      <c r="AO1465" s="180"/>
      <c r="AP1465" s="545"/>
      <c r="AQ1465" s="180"/>
      <c r="AR1465" s="180"/>
      <c r="AS1465" s="180"/>
      <c r="AT1465" s="180"/>
      <c r="AU1465" s="180"/>
      <c r="AV1465" s="3"/>
      <c r="AW1465" s="3"/>
      <c r="AX1465" s="182"/>
      <c r="AY1465" s="182"/>
      <c r="AZ1465" s="182"/>
      <c r="BA1465" s="182"/>
      <c r="BB1465" s="182"/>
      <c r="BC1465" s="182"/>
      <c r="BD1465" s="182"/>
      <c r="BE1465" s="182"/>
      <c r="BF1465" s="182"/>
      <c r="BG1465" s="182"/>
      <c r="BH1465" s="182"/>
      <c r="BI1465" s="182"/>
      <c r="BJ1465" s="182"/>
      <c r="BK1465" s="182"/>
      <c r="BL1465" s="182"/>
      <c r="BM1465" s="182"/>
      <c r="BN1465" s="182"/>
      <c r="BO1465" s="182"/>
      <c r="BP1465" s="182"/>
      <c r="BQ1465" s="182"/>
      <c r="BR1465" s="182"/>
      <c r="BS1465" s="182"/>
    </row>
    <row r="1466" spans="1:71" ht="15.9" customHeight="1" x14ac:dyDescent="0.3">
      <c r="A1466" s="17"/>
      <c r="B1466" s="17"/>
      <c r="C1466" s="174"/>
      <c r="D1466" s="5"/>
      <c r="E1466" s="5"/>
      <c r="F1466" s="175"/>
      <c r="G1466" s="15"/>
      <c r="H1466" s="176"/>
      <c r="I1466" s="17"/>
      <c r="J1466" s="113"/>
      <c r="K1466" s="113"/>
      <c r="L1466" s="177"/>
      <c r="M1466" s="542"/>
      <c r="N1466" s="542"/>
      <c r="O1466" s="542"/>
      <c r="P1466" s="176"/>
      <c r="Q1466" s="176"/>
      <c r="R1466" s="176"/>
      <c r="S1466" s="176"/>
      <c r="T1466" s="176"/>
      <c r="U1466" s="15"/>
      <c r="Z1466" s="15"/>
      <c r="AA1466" s="180"/>
      <c r="AC1466" s="544"/>
      <c r="AD1466" s="180"/>
      <c r="AE1466" s="180"/>
      <c r="AF1466" s="180"/>
      <c r="AG1466" s="180"/>
      <c r="AH1466" s="180"/>
      <c r="AI1466" s="180"/>
      <c r="AJ1466" s="180"/>
      <c r="AK1466" s="180"/>
      <c r="AL1466" s="180"/>
      <c r="AM1466" s="180"/>
      <c r="AN1466" s="180"/>
      <c r="AO1466" s="180"/>
      <c r="AP1466" s="545"/>
      <c r="AQ1466" s="180"/>
      <c r="AR1466" s="180"/>
      <c r="AS1466" s="180"/>
      <c r="AT1466" s="180"/>
      <c r="AU1466" s="180"/>
      <c r="AV1466" s="3"/>
      <c r="AW1466" s="3"/>
      <c r="AX1466" s="182"/>
      <c r="AY1466" s="182"/>
      <c r="AZ1466" s="182"/>
      <c r="BA1466" s="182"/>
      <c r="BB1466" s="182"/>
      <c r="BC1466" s="182"/>
      <c r="BD1466" s="182"/>
      <c r="BE1466" s="182"/>
      <c r="BF1466" s="182"/>
      <c r="BG1466" s="182"/>
      <c r="BH1466" s="182"/>
      <c r="BI1466" s="182"/>
      <c r="BJ1466" s="182"/>
      <c r="BK1466" s="182"/>
      <c r="BL1466" s="182"/>
      <c r="BM1466" s="182"/>
      <c r="BN1466" s="182"/>
      <c r="BO1466" s="182"/>
      <c r="BP1466" s="182"/>
      <c r="BQ1466" s="182"/>
      <c r="BR1466" s="182"/>
      <c r="BS1466" s="182"/>
    </row>
    <row r="1467" spans="1:71" ht="15.9" customHeight="1" x14ac:dyDescent="0.3">
      <c r="A1467" s="17"/>
      <c r="B1467" s="17"/>
      <c r="C1467" s="174"/>
      <c r="D1467" s="5"/>
      <c r="E1467" s="5"/>
      <c r="F1467" s="175"/>
      <c r="G1467" s="15"/>
      <c r="H1467" s="176"/>
      <c r="I1467" s="17"/>
      <c r="J1467" s="113"/>
      <c r="K1467" s="113"/>
      <c r="L1467" s="177"/>
      <c r="M1467" s="542"/>
      <c r="N1467" s="542"/>
      <c r="O1467" s="542"/>
      <c r="P1467" s="176"/>
      <c r="Q1467" s="176"/>
      <c r="R1467" s="176"/>
      <c r="S1467" s="176"/>
      <c r="T1467" s="176"/>
      <c r="U1467" s="15"/>
      <c r="Z1467" s="15"/>
      <c r="AA1467" s="180"/>
      <c r="AC1467" s="544"/>
      <c r="AD1467" s="180"/>
      <c r="AE1467" s="180"/>
      <c r="AF1467" s="180"/>
      <c r="AG1467" s="180"/>
      <c r="AH1467" s="180"/>
      <c r="AI1467" s="180"/>
      <c r="AJ1467" s="180"/>
      <c r="AK1467" s="180"/>
      <c r="AL1467" s="180"/>
      <c r="AM1467" s="180"/>
      <c r="AN1467" s="180"/>
      <c r="AO1467" s="180"/>
      <c r="AP1467" s="545"/>
      <c r="AQ1467" s="180"/>
      <c r="AR1467" s="180"/>
      <c r="AS1467" s="180"/>
      <c r="AT1467" s="180"/>
      <c r="AU1467" s="180"/>
      <c r="AV1467" s="3"/>
      <c r="AW1467" s="3"/>
      <c r="AX1467" s="182"/>
      <c r="AY1467" s="182"/>
      <c r="AZ1467" s="182"/>
      <c r="BA1467" s="182"/>
      <c r="BB1467" s="182"/>
      <c r="BC1467" s="182"/>
      <c r="BD1467" s="182"/>
      <c r="BE1467" s="182"/>
      <c r="BF1467" s="182"/>
      <c r="BG1467" s="182"/>
      <c r="BH1467" s="182"/>
      <c r="BI1467" s="182"/>
      <c r="BJ1467" s="182"/>
      <c r="BK1467" s="182"/>
      <c r="BL1467" s="182"/>
      <c r="BM1467" s="182"/>
      <c r="BN1467" s="182"/>
      <c r="BO1467" s="182"/>
      <c r="BP1467" s="182"/>
      <c r="BQ1467" s="182"/>
      <c r="BR1467" s="182"/>
      <c r="BS1467" s="182"/>
    </row>
    <row r="1468" spans="1:71" ht="15.9" customHeight="1" x14ac:dyDescent="0.3">
      <c r="A1468" s="17"/>
      <c r="B1468" s="17"/>
      <c r="C1468" s="174"/>
      <c r="D1468" s="5"/>
      <c r="E1468" s="5"/>
      <c r="F1468" s="175"/>
      <c r="G1468" s="15"/>
      <c r="H1468" s="176"/>
      <c r="I1468" s="17"/>
      <c r="J1468" s="113"/>
      <c r="K1468" s="113"/>
      <c r="L1468" s="177"/>
      <c r="M1468" s="542"/>
      <c r="N1468" s="542"/>
      <c r="O1468" s="542"/>
      <c r="P1468" s="176"/>
      <c r="Q1468" s="176"/>
      <c r="R1468" s="176"/>
      <c r="S1468" s="176"/>
      <c r="T1468" s="176"/>
      <c r="U1468" s="15"/>
      <c r="Z1468" s="15"/>
      <c r="AA1468" s="180"/>
      <c r="AC1468" s="544"/>
      <c r="AD1468" s="180"/>
      <c r="AE1468" s="180"/>
      <c r="AF1468" s="180"/>
      <c r="AG1468" s="180"/>
      <c r="AH1468" s="180"/>
      <c r="AI1468" s="180"/>
      <c r="AJ1468" s="180"/>
      <c r="AK1468" s="180"/>
      <c r="AL1468" s="180"/>
      <c r="AM1468" s="180"/>
      <c r="AN1468" s="180"/>
      <c r="AO1468" s="180"/>
      <c r="AP1468" s="545"/>
      <c r="AQ1468" s="180"/>
      <c r="AR1468" s="180"/>
      <c r="AS1468" s="180"/>
      <c r="AT1468" s="180"/>
      <c r="AU1468" s="180"/>
      <c r="AV1468" s="3"/>
      <c r="AW1468" s="3"/>
      <c r="AX1468" s="182"/>
      <c r="AY1468" s="182"/>
      <c r="AZ1468" s="182"/>
      <c r="BA1468" s="182"/>
      <c r="BB1468" s="182"/>
      <c r="BC1468" s="182"/>
      <c r="BD1468" s="182"/>
      <c r="BE1468" s="182"/>
      <c r="BF1468" s="182"/>
      <c r="BG1468" s="182"/>
      <c r="BH1468" s="182"/>
      <c r="BI1468" s="182"/>
      <c r="BJ1468" s="182"/>
      <c r="BK1468" s="182"/>
      <c r="BL1468" s="182"/>
      <c r="BM1468" s="182"/>
      <c r="BN1468" s="182"/>
      <c r="BO1468" s="182"/>
      <c r="BP1468" s="182"/>
      <c r="BQ1468" s="182"/>
      <c r="BR1468" s="182"/>
      <c r="BS1468" s="182"/>
    </row>
    <row r="1469" spans="1:71" ht="15.9" customHeight="1" x14ac:dyDescent="0.3">
      <c r="A1469" s="17"/>
      <c r="B1469" s="17"/>
      <c r="C1469" s="174"/>
      <c r="D1469" s="5"/>
      <c r="E1469" s="5"/>
      <c r="F1469" s="175"/>
      <c r="G1469" s="15"/>
      <c r="H1469" s="176"/>
      <c r="I1469" s="17"/>
      <c r="J1469" s="113"/>
      <c r="K1469" s="113"/>
      <c r="L1469" s="177"/>
      <c r="M1469" s="542"/>
      <c r="N1469" s="542"/>
      <c r="O1469" s="542"/>
      <c r="P1469" s="176"/>
      <c r="Q1469" s="176"/>
      <c r="R1469" s="176"/>
      <c r="S1469" s="176"/>
      <c r="T1469" s="176"/>
      <c r="U1469" s="15"/>
      <c r="Z1469" s="15"/>
      <c r="AA1469" s="180"/>
      <c r="AC1469" s="544"/>
      <c r="AD1469" s="180"/>
      <c r="AE1469" s="180"/>
      <c r="AF1469" s="180"/>
      <c r="AG1469" s="180"/>
      <c r="AH1469" s="180"/>
      <c r="AI1469" s="180"/>
      <c r="AJ1469" s="180"/>
      <c r="AK1469" s="180"/>
      <c r="AL1469" s="180"/>
      <c r="AM1469" s="180"/>
      <c r="AN1469" s="180"/>
      <c r="AO1469" s="180"/>
      <c r="AP1469" s="545"/>
      <c r="AQ1469" s="180"/>
      <c r="AR1469" s="180"/>
      <c r="AS1469" s="180"/>
      <c r="AT1469" s="180"/>
      <c r="AU1469" s="180"/>
      <c r="AV1469" s="3"/>
      <c r="AW1469" s="3"/>
      <c r="AX1469" s="182"/>
      <c r="AY1469" s="182"/>
      <c r="AZ1469" s="182"/>
      <c r="BA1469" s="182"/>
      <c r="BB1469" s="182"/>
      <c r="BC1469" s="182"/>
      <c r="BD1469" s="182"/>
      <c r="BE1469" s="182"/>
      <c r="BF1469" s="182"/>
      <c r="BG1469" s="182"/>
      <c r="BH1469" s="182"/>
      <c r="BI1469" s="182"/>
      <c r="BJ1469" s="182"/>
      <c r="BK1469" s="182"/>
      <c r="BL1469" s="182"/>
      <c r="BM1469" s="182"/>
      <c r="BN1469" s="182"/>
      <c r="BO1469" s="182"/>
      <c r="BP1469" s="182"/>
      <c r="BQ1469" s="182"/>
      <c r="BR1469" s="182"/>
      <c r="BS1469" s="182"/>
    </row>
    <row r="1470" spans="1:71" ht="15.9" customHeight="1" x14ac:dyDescent="0.3">
      <c r="A1470" s="17"/>
      <c r="B1470" s="17"/>
      <c r="C1470" s="174"/>
      <c r="D1470" s="5"/>
      <c r="E1470" s="5"/>
      <c r="F1470" s="175"/>
      <c r="G1470" s="15"/>
      <c r="H1470" s="176"/>
      <c r="I1470" s="17"/>
      <c r="J1470" s="113"/>
      <c r="K1470" s="113"/>
      <c r="L1470" s="177"/>
      <c r="M1470" s="542"/>
      <c r="N1470" s="542"/>
      <c r="O1470" s="542"/>
      <c r="P1470" s="176"/>
      <c r="Q1470" s="176"/>
      <c r="R1470" s="176"/>
      <c r="S1470" s="176"/>
      <c r="T1470" s="176"/>
      <c r="U1470" s="15"/>
      <c r="Z1470" s="15"/>
      <c r="AA1470" s="180"/>
      <c r="AC1470" s="544"/>
      <c r="AD1470" s="180"/>
      <c r="AE1470" s="180"/>
      <c r="AF1470" s="180"/>
      <c r="AG1470" s="180"/>
      <c r="AH1470" s="180"/>
      <c r="AI1470" s="180"/>
      <c r="AJ1470" s="180"/>
      <c r="AK1470" s="180"/>
      <c r="AL1470" s="180"/>
      <c r="AM1470" s="180"/>
      <c r="AN1470" s="180"/>
      <c r="AO1470" s="180"/>
      <c r="AP1470" s="545"/>
      <c r="AQ1470" s="180"/>
      <c r="AR1470" s="180"/>
      <c r="AS1470" s="180"/>
      <c r="AT1470" s="180"/>
      <c r="AU1470" s="180"/>
      <c r="AV1470" s="3"/>
      <c r="AW1470" s="3"/>
      <c r="AX1470" s="182"/>
      <c r="AY1470" s="182"/>
      <c r="AZ1470" s="182"/>
      <c r="BA1470" s="182"/>
      <c r="BB1470" s="182"/>
      <c r="BC1470" s="182"/>
      <c r="BD1470" s="182"/>
      <c r="BE1470" s="182"/>
      <c r="BF1470" s="182"/>
      <c r="BG1470" s="182"/>
      <c r="BH1470" s="182"/>
      <c r="BI1470" s="182"/>
      <c r="BJ1470" s="182"/>
      <c r="BK1470" s="182"/>
      <c r="BL1470" s="182"/>
      <c r="BM1470" s="182"/>
      <c r="BN1470" s="182"/>
      <c r="BO1470" s="182"/>
      <c r="BP1470" s="182"/>
      <c r="BQ1470" s="182"/>
      <c r="BR1470" s="182"/>
      <c r="BS1470" s="182"/>
    </row>
    <row r="1471" spans="1:71" ht="15.9" customHeight="1" x14ac:dyDescent="0.3">
      <c r="A1471" s="17"/>
      <c r="B1471" s="17"/>
      <c r="C1471" s="174"/>
      <c r="D1471" s="5"/>
      <c r="E1471" s="5"/>
      <c r="F1471" s="175"/>
      <c r="G1471" s="15"/>
      <c r="H1471" s="176"/>
      <c r="I1471" s="17"/>
      <c r="J1471" s="113"/>
      <c r="K1471" s="113"/>
      <c r="L1471" s="177"/>
      <c r="M1471" s="542"/>
      <c r="N1471" s="542"/>
      <c r="O1471" s="542"/>
      <c r="P1471" s="176"/>
      <c r="Q1471" s="176"/>
      <c r="R1471" s="176"/>
      <c r="S1471" s="176"/>
      <c r="T1471" s="176"/>
      <c r="U1471" s="15"/>
      <c r="Z1471" s="15"/>
      <c r="AA1471" s="180"/>
      <c r="AC1471" s="544"/>
      <c r="AD1471" s="180"/>
      <c r="AE1471" s="180"/>
      <c r="AF1471" s="180"/>
      <c r="AG1471" s="180"/>
      <c r="AH1471" s="180"/>
      <c r="AI1471" s="180"/>
      <c r="AJ1471" s="180"/>
      <c r="AK1471" s="180"/>
      <c r="AL1471" s="180"/>
      <c r="AM1471" s="180"/>
      <c r="AN1471" s="180"/>
      <c r="AO1471" s="180"/>
      <c r="AP1471" s="545"/>
      <c r="AQ1471" s="180"/>
      <c r="AR1471" s="180"/>
      <c r="AS1471" s="180"/>
      <c r="AT1471" s="180"/>
      <c r="AU1471" s="180"/>
      <c r="AV1471" s="3"/>
      <c r="AW1471" s="3"/>
      <c r="AX1471" s="182"/>
      <c r="AY1471" s="182"/>
      <c r="AZ1471" s="182"/>
      <c r="BA1471" s="182"/>
      <c r="BB1471" s="182"/>
      <c r="BC1471" s="182"/>
      <c r="BD1471" s="182"/>
      <c r="BE1471" s="182"/>
      <c r="BF1471" s="182"/>
      <c r="BG1471" s="182"/>
      <c r="BH1471" s="182"/>
      <c r="BI1471" s="182"/>
      <c r="BJ1471" s="182"/>
      <c r="BK1471" s="182"/>
      <c r="BL1471" s="182"/>
      <c r="BM1471" s="182"/>
      <c r="BN1471" s="182"/>
      <c r="BO1471" s="182"/>
      <c r="BP1471" s="182"/>
      <c r="BQ1471" s="182"/>
      <c r="BR1471" s="182"/>
      <c r="BS1471" s="182"/>
    </row>
  </sheetData>
  <sortState ref="A313:Z1385">
    <sortCondition sortBy="cellColor" ref="V313:V1385"/>
  </sortState>
  <phoneticPr fontId="23" type="noConversion"/>
  <hyperlinks>
    <hyperlink ref="V319" r:id="rId1" xr:uid="{00000000-0004-0000-0200-000000000000}"/>
    <hyperlink ref="V614" r:id="rId2" xr:uid="{00000000-0004-0000-0200-000001000000}"/>
    <hyperlink ref="V700" r:id="rId3" xr:uid="{00000000-0004-0000-0200-000002000000}"/>
    <hyperlink ref="V617" r:id="rId4" xr:uid="{00000000-0004-0000-0200-000003000000}"/>
    <hyperlink ref="V637" r:id="rId5" xr:uid="{00000000-0004-0000-0200-000004000000}"/>
    <hyperlink ref="W314:W318" r:id="rId6" display="https://www.lefigaro.fr/flash-actu/la-france-a-envoye-33-tonnes-d-aide-humanitaire-pour-l-ukraine-20220228" xr:uid="{00000000-0004-0000-0200-000005000000}"/>
    <hyperlink ref="W700" r:id="rId7" xr:uid="{00000000-0004-0000-0200-000006000000}"/>
    <hyperlink ref="V56" r:id="rId8" xr:uid="{00000000-0004-0000-0200-000007000000}"/>
    <hyperlink ref="V206" r:id="rId9" xr:uid="{00000000-0004-0000-0200-000008000000}"/>
    <hyperlink ref="V207" r:id="rId10" xr:uid="{00000000-0004-0000-0200-000009000000}"/>
    <hyperlink ref="V208" r:id="rId11" xr:uid="{00000000-0004-0000-0200-00000A000000}"/>
    <hyperlink ref="V141" r:id="rId12" xr:uid="{00000000-0004-0000-0200-00000B000000}"/>
    <hyperlink ref="V145" r:id="rId13" xr:uid="{00000000-0004-0000-0200-00000C000000}"/>
    <hyperlink ref="V580" r:id="rId14" display="https://www.politico.com/news/2022/03/22/ukraine-weapons-military-aid-00019104?msclkid=cf80c503ab8311eca021beb4b2336415" xr:uid="{00000000-0004-0000-0200-00000D000000}"/>
    <hyperlink ref="V593" r:id="rId15" xr:uid="{00000000-0004-0000-0200-00000E000000}"/>
    <hyperlink ref="W617" r:id="rId16" xr:uid="{00000000-0004-0000-0200-00000F000000}"/>
    <hyperlink ref="V81" r:id="rId17" xr:uid="{00000000-0004-0000-0200-000010000000}"/>
    <hyperlink ref="V570" r:id="rId18" xr:uid="{00000000-0004-0000-0200-000011000000}"/>
    <hyperlink ref="V726" r:id="rId19" location=":~:text=Humanitarian%20aid%20for%20Ukraine%20The%20Netherlands%20is%20supporting,available%20for%20victims%20of%20the%20war%20in%20Ukraine.?msclkid=75995df0b05d11eca834a0801d91bf9b" xr:uid="{00000000-0004-0000-0200-000012000000}"/>
    <hyperlink ref="V314:V318" r:id="rId20" display="https://www.diplomatie.gouv.fr/en/country-files/ukraine/news/article/ukraine-france-mobilizes-to-deliver-emergency-medical-aid-to-victims-of-the" xr:uid="{00000000-0004-0000-0200-000013000000}"/>
    <hyperlink ref="V580" r:id="rId21" xr:uid="{00000000-0004-0000-0200-000014000000}"/>
    <hyperlink ref="W580" r:id="rId22" xr:uid="{00000000-0004-0000-0200-000015000000}"/>
    <hyperlink ref="X580" r:id="rId23" xr:uid="{00000000-0004-0000-0200-000016000000}"/>
    <hyperlink ref="X617" r:id="rId24" xr:uid="{00000000-0004-0000-0200-000017000000}"/>
    <hyperlink ref="W593" r:id="rId25" xr:uid="{00000000-0004-0000-0200-000018000000}"/>
    <hyperlink ref="W81" r:id="rId26" xr:uid="{00000000-0004-0000-0200-000019000000}"/>
    <hyperlink ref="W726" r:id="rId27" xr:uid="{00000000-0004-0000-0200-00001A000000}"/>
    <hyperlink ref="W141" r:id="rId28" xr:uid="{00000000-0004-0000-0200-00001B000000}"/>
    <hyperlink ref="X141" r:id="rId29" xr:uid="{00000000-0004-0000-0200-00001C000000}"/>
    <hyperlink ref="W145" r:id="rId30" xr:uid="{00000000-0004-0000-0200-00001D000000}"/>
    <hyperlink ref="X145" r:id="rId31" xr:uid="{00000000-0004-0000-0200-00001E000000}"/>
    <hyperlink ref="X314:X318" r:id="rId32" display="https://www.reuters.com/world/europe/france-offer-100-mln-euros-humanitarian-aid-ukraine-2022-03-01/" xr:uid="{00000000-0004-0000-0200-00001F000000}"/>
    <hyperlink ref="W614" r:id="rId33" xr:uid="{00000000-0004-0000-0200-000020000000}"/>
    <hyperlink ref="V728:V730" r:id="rId34" display="https://netherlandsnewslive.com/the-netherlands-supplies-medicines-and-medical-supplies-to-ukraine/373516/" xr:uid="{00000000-0004-0000-0200-000021000000}"/>
    <hyperlink ref="V727" r:id="rId35" location=":~:text=Humanitarian%20aid%20for%20Ukraine%20The%20Netherlands%20is%20supporting,available%20for%20victims%20of%20the%20war%20in%20Ukraine.?msclkid=75995df0b05d11eca834a0801d91bf9b" xr:uid="{00000000-0004-0000-0200-000022000000}"/>
    <hyperlink ref="X198" r:id="rId36" xr:uid="{00000000-0004-0000-0200-000023000000}"/>
    <hyperlink ref="W198" r:id="rId37" xr:uid="{00000000-0004-0000-0200-000024000000}"/>
    <hyperlink ref="V198" r:id="rId38" xr:uid="{00000000-0004-0000-0200-000025000000}"/>
    <hyperlink ref="V199" r:id="rId39" xr:uid="{00000000-0004-0000-0200-000026000000}"/>
    <hyperlink ref="V200" r:id="rId40" xr:uid="{00000000-0004-0000-0200-000027000000}"/>
    <hyperlink ref="W62:W63" r:id="rId41" display="https://twitter.com/alexanderdecroo/status/1497914776063594502" xr:uid="{00000000-0004-0000-0200-000028000000}"/>
    <hyperlink ref="W60:W61" r:id="rId42" display="https://twitter.com/alexanderdecroo/status/1497542000228417537" xr:uid="{00000000-0004-0000-0200-000029000000}"/>
    <hyperlink ref="X614" r:id="rId43" xr:uid="{00000000-0004-0000-0200-00002A000000}"/>
    <hyperlink ref="V618" r:id="rId44" xr:uid="{00000000-0004-0000-0200-00002B000000}"/>
    <hyperlink ref="V638" r:id="rId45" xr:uid="{00000000-0004-0000-0200-00002C000000}"/>
    <hyperlink ref="W638" r:id="rId46" xr:uid="{00000000-0004-0000-0200-00002D000000}"/>
    <hyperlink ref="V665" r:id="rId47" xr:uid="{00000000-0004-0000-0200-00002E000000}"/>
    <hyperlink ref="V666" r:id="rId48" xr:uid="{00000000-0004-0000-0200-00002F000000}"/>
    <hyperlink ref="V664" r:id="rId49" xr:uid="{00000000-0004-0000-0200-000030000000}"/>
    <hyperlink ref="V27" r:id="rId50" location=":~:text=Mit%20der%20bereits%20zweiten%20Hilfslieferung,Plastikhandschuhen%2C%20Schutzbrillen%20und%20Desinfektionsmittel%20entsandt." xr:uid="{00000000-0004-0000-0200-000031000000}"/>
    <hyperlink ref="V99" r:id="rId51" xr:uid="{00000000-0004-0000-0200-000032000000}"/>
    <hyperlink ref="V109" r:id="rId52" xr:uid="{00000000-0004-0000-0200-000033000000}"/>
    <hyperlink ref="W113" r:id="rId53" xr:uid="{00000000-0004-0000-0200-000034000000}"/>
    <hyperlink ref="V120" r:id="rId54" xr:uid="{00000000-0004-0000-0200-000035000000}"/>
    <hyperlink ref="W120" r:id="rId55" xr:uid="{00000000-0004-0000-0200-000036000000}"/>
    <hyperlink ref="W99" r:id="rId56" xr:uid="{00000000-0004-0000-0200-000037000000}"/>
    <hyperlink ref="V100" r:id="rId57" xr:uid="{00000000-0004-0000-0200-000038000000}"/>
    <hyperlink ref="W92" r:id="rId58" xr:uid="{00000000-0004-0000-0200-000039000000}"/>
    <hyperlink ref="V92" r:id="rId59" xr:uid="{00000000-0004-0000-0200-00003A000000}"/>
    <hyperlink ref="V98" r:id="rId60" xr:uid="{00000000-0004-0000-0200-00003B000000}"/>
    <hyperlink ref="V107" r:id="rId61" xr:uid="{00000000-0004-0000-0200-00003C000000}"/>
    <hyperlink ref="V108" r:id="rId62" xr:uid="{00000000-0004-0000-0200-00003D000000}"/>
    <hyperlink ref="V91" r:id="rId63" xr:uid="{00000000-0004-0000-0200-00003E000000}"/>
    <hyperlink ref="X92" r:id="rId64" location=":~:text=The%20federal%20government%20is%20proposing%20to%20assist%20Ukraine%E2%80%99s,loan%20through%20a%20new%20Canada-led%20international%20financial%20program" display="https://www.theglobeandmail.com/canada/article-federal-budget-2022-ukraine-russia-1-billion-loan/#:~:text=The%20federal%20government%20is%20proposing%20to%20assist%20Ukraine%E2%80%99s,loan%20through%20a%20new%20Canada-led%20international%20financial%20program." xr:uid="{00000000-0004-0000-0200-00003F000000}"/>
    <hyperlink ref="W107" r:id="rId65" xr:uid="{00000000-0004-0000-0200-000040000000}"/>
    <hyperlink ref="V119" r:id="rId66" xr:uid="{00000000-0004-0000-0200-000041000000}"/>
    <hyperlink ref="V117" r:id="rId67" xr:uid="{00000000-0004-0000-0200-000042000000}"/>
    <hyperlink ref="V113" r:id="rId68" xr:uid="{00000000-0004-0000-0200-000043000000}"/>
    <hyperlink ref="V147" r:id="rId69" xr:uid="{00000000-0004-0000-0200-000044000000}"/>
    <hyperlink ref="W147" r:id="rId70" xr:uid="{00000000-0004-0000-0200-000045000000}"/>
    <hyperlink ref="V168" r:id="rId71" xr:uid="{00000000-0004-0000-0200-000046000000}"/>
    <hyperlink ref="V174" r:id="rId72" xr:uid="{00000000-0004-0000-0200-000047000000}"/>
    <hyperlink ref="W168" r:id="rId73" xr:uid="{00000000-0004-0000-0200-000048000000}"/>
    <hyperlink ref="W174" r:id="rId74" xr:uid="{00000000-0004-0000-0200-000049000000}"/>
    <hyperlink ref="V175" r:id="rId75" xr:uid="{00000000-0004-0000-0200-00004A000000}"/>
    <hyperlink ref="W175" r:id="rId76" xr:uid="{00000000-0004-0000-0200-00004B000000}"/>
    <hyperlink ref="V156" r:id="rId77" xr:uid="{00000000-0004-0000-0200-00004C000000}"/>
    <hyperlink ref="V176" r:id="rId78" xr:uid="{00000000-0004-0000-0200-00004D000000}"/>
    <hyperlink ref="V178" r:id="rId79" xr:uid="{00000000-0004-0000-0200-00004E000000}"/>
    <hyperlink ref="V177" r:id="rId80" xr:uid="{00000000-0004-0000-0200-00004F000000}"/>
    <hyperlink ref="V179" r:id="rId81" xr:uid="{00000000-0004-0000-0200-000050000000}"/>
    <hyperlink ref="V180" r:id="rId82" xr:uid="{00000000-0004-0000-0200-000051000000}"/>
    <hyperlink ref="V181" r:id="rId83" xr:uid="{00000000-0004-0000-0200-000052000000}"/>
    <hyperlink ref="W181" r:id="rId84" xr:uid="{00000000-0004-0000-0200-000053000000}"/>
    <hyperlink ref="V156:V167" r:id="rId85" display="https://www.vlada.cz/cz/media-centrum/aktualne/vlada-schvalila-dalsi-dar-v-podobe-vojenskeho-materialu-ukrajine-194585/" xr:uid="{00000000-0004-0000-0200-000054000000}"/>
    <hyperlink ref="W179" r:id="rId86" xr:uid="{00000000-0004-0000-0200-000055000000}"/>
    <hyperlink ref="X175" r:id="rId87" xr:uid="{00000000-0004-0000-0200-000056000000}"/>
    <hyperlink ref="V182" r:id="rId88" xr:uid="{00000000-0004-0000-0200-000057000000}"/>
    <hyperlink ref="X168" r:id="rId89" xr:uid="{00000000-0004-0000-0200-000058000000}"/>
    <hyperlink ref="W155" r:id="rId90" xr:uid="{00000000-0004-0000-0200-000059000000}"/>
    <hyperlink ref="V155" r:id="rId91" xr:uid="{00000000-0004-0000-0200-00005A000000}"/>
    <hyperlink ref="V850" r:id="rId92" xr:uid="{00000000-0004-0000-0200-00005B000000}"/>
    <hyperlink ref="V861" r:id="rId93" xr:uid="{00000000-0004-0000-0200-00005C000000}"/>
    <hyperlink ref="V858" r:id="rId94" xr:uid="{00000000-0004-0000-0200-00005D000000}"/>
    <hyperlink ref="V860" r:id="rId95" xr:uid="{00000000-0004-0000-0200-00005E000000}"/>
    <hyperlink ref="W858" r:id="rId96" xr:uid="{00000000-0004-0000-0200-00005F000000}"/>
    <hyperlink ref="X858" r:id="rId97" xr:uid="{00000000-0004-0000-0200-000060000000}"/>
    <hyperlink ref="V997" r:id="rId98" xr:uid="{00000000-0004-0000-0200-000061000000}"/>
    <hyperlink ref="V810" r:id="rId99" xr:uid="{00000000-0004-0000-0200-000062000000}"/>
    <hyperlink ref="W860" r:id="rId100" xr:uid="{00000000-0004-0000-0200-000063000000}"/>
    <hyperlink ref="V904:V906" r:id="rId101" display="https://www.reuters.com/world/europe/spain-send-grenade-launchers-machine-guns-ukraine-minister-says-2022-03-02/" xr:uid="{00000000-0004-0000-0200-000064000000}"/>
    <hyperlink ref="X810" r:id="rId102" xr:uid="{00000000-0004-0000-0200-000065000000}"/>
    <hyperlink ref="W810" r:id="rId103" xr:uid="{00000000-0004-0000-0200-000066000000}"/>
    <hyperlink ref="V880" r:id="rId104" xr:uid="{00000000-0004-0000-0200-000067000000}"/>
    <hyperlink ref="W850" r:id="rId105" xr:uid="{00000000-0004-0000-0200-000068000000}"/>
    <hyperlink ref="X850" r:id="rId106" xr:uid="{00000000-0004-0000-0200-000069000000}"/>
    <hyperlink ref="W880" r:id="rId107" xr:uid="{00000000-0004-0000-0200-00006A000000}"/>
    <hyperlink ref="W904" r:id="rId108" xr:uid="{00000000-0004-0000-0200-00006B000000}"/>
    <hyperlink ref="V1054" r:id="rId109" xr:uid="{00000000-0004-0000-0200-00006C000000}"/>
    <hyperlink ref="W1054" r:id="rId110" xr:uid="{00000000-0004-0000-0200-00006D000000}"/>
    <hyperlink ref="X1054" r:id="rId111" xr:uid="{00000000-0004-0000-0200-00006E000000}"/>
    <hyperlink ref="W997" r:id="rId112" xr:uid="{00000000-0004-0000-0200-00006F000000}"/>
    <hyperlink ref="V996" r:id="rId113" xr:uid="{00000000-0004-0000-0200-000070000000}"/>
    <hyperlink ref="W996" r:id="rId114" xr:uid="{00000000-0004-0000-0200-000071000000}"/>
    <hyperlink ref="V995" r:id="rId115" xr:uid="{00000000-0004-0000-0200-000072000000}"/>
    <hyperlink ref="V907" r:id="rId116" xr:uid="{00000000-0004-0000-0200-000073000000}"/>
    <hyperlink ref="W907" r:id="rId117" xr:uid="{00000000-0004-0000-0200-000074000000}"/>
    <hyperlink ref="V998:V999" r:id="rId118" display="https://www.gov.uk/government/speeches/ukraine-foreign-secretary-statement-to-parliament-28-march-2022" xr:uid="{00000000-0004-0000-0200-000075000000}"/>
    <hyperlink ref="W998:W999" r:id="rId119" display="https://www.gov.uk/government/news/pm-announces-major-new-military-support-package-for-ukraine-24-march-2022" xr:uid="{00000000-0004-0000-0200-000076000000}"/>
    <hyperlink ref="X939" r:id="rId120" xr:uid="{00000000-0004-0000-0200-000077000000}"/>
    <hyperlink ref="W939" r:id="rId121" xr:uid="{00000000-0004-0000-0200-000078000000}"/>
    <hyperlink ref="V939:V942" r:id="rId122" display="https://www.government.se/articles/2022/02/sweden-to-provide-direct-support-and-defence-materiel-to-ukraine/" xr:uid="{00000000-0004-0000-0200-000079000000}"/>
    <hyperlink ref="V943" r:id="rId123" xr:uid="{00000000-0004-0000-0200-00007A000000}"/>
    <hyperlink ref="W943" r:id="rId124" display="https://twitter.com/AnnLinde/status/1498002914362728455?ref_src=twsrc%5Etfw%7Ctwcamp%5Etweetembed%7Ctwterm%5E1498002914362728455%7Ctwgr%5E%7Ctwcon%5Es1_&amp;ref_url=https%3A%2F%2Fwww.republicworld.com%2Fworld-news%2Frussia-ukraine-crisis%2Frussia-ukraine-war-sweden-ignores-putins-threat-announces-military-aid-to-kyiv-articleshow.html" xr:uid="{00000000-0004-0000-0200-00007B000000}"/>
    <hyperlink ref="V944" r:id="rId125" xr:uid="{00000000-0004-0000-0200-00007C000000}"/>
    <hyperlink ref="W939:W942" r:id="rId126" display="https://www.reuters.com/world/europe/sweden-send-military-aid-ukraine-pm-andersson-2022-02-27/ " xr:uid="{00000000-0004-0000-0200-00007D000000}"/>
    <hyperlink ref="X939:X942" r:id="rId127" display="https://twitter.com/AnnLinde/status/1498002914362728455?ref_src=twsrc%5Etfw%7Ctwcamp%5Etweetembed%7Ctwterm%5E1498002914362728455%7Ctwgr%5E%7Ctwcon%5Es1_&amp;ref_url=https%3A%2F%2Fwww.republicworld.com%2Fworld-news%2Frussia-ukraine-crisis%2Frussia-ukraine-war-sweden-ignores-putins-threat-announces-military-aid-to-kyiv-articleshow.html" xr:uid="{00000000-0004-0000-0200-00007E000000}"/>
    <hyperlink ref="W904:W906" r:id="rId128" display="https://www.aa.com.tr/en/europe/spain-to-send-weapons-to-ukrainian-forces/2520902 " xr:uid="{00000000-0004-0000-0200-00007F000000}"/>
    <hyperlink ref="V858:V859" r:id="rId129" display="https://twitter.com/eduardheger/status/1498055152045015046" xr:uid="{00000000-0004-0000-0200-000080000000}"/>
    <hyperlink ref="W858:W859" r:id="rId130" display="https://spectator.sme.sk/c/22850259/slovakia-will-send-more-military-aid-to-ukraine.html" xr:uid="{00000000-0004-0000-0200-000081000000}"/>
    <hyperlink ref="X858:X859" r:id="rId131" display="https://www.aa.com.tr/en/russia-ukraine-crisis/slovakia-to-send-more-military-supplies-to-ukraine-premier-says/2518136" xr:uid="{00000000-0004-0000-0200-000082000000}"/>
    <hyperlink ref="X1000" r:id="rId132" xr:uid="{00000000-0004-0000-0200-000083000000}"/>
    <hyperlink ref="W1007" r:id="rId133" xr:uid="{00000000-0004-0000-0200-000084000000}"/>
    <hyperlink ref="V897" r:id="rId134" xr:uid="{00000000-0004-0000-0200-000085000000}"/>
    <hyperlink ref="W897" r:id="rId135" xr:uid="{00000000-0004-0000-0200-000086000000}"/>
    <hyperlink ref="V900" r:id="rId136" xr:uid="{00000000-0004-0000-0200-000087000000}"/>
    <hyperlink ref="V902" r:id="rId137" xr:uid="{00000000-0004-0000-0200-000088000000}"/>
    <hyperlink ref="W902" r:id="rId138" xr:uid="{00000000-0004-0000-0200-000089000000}"/>
    <hyperlink ref="V1052" r:id="rId139" xr:uid="{00000000-0004-0000-0200-00008A000000}"/>
    <hyperlink ref="V1051" r:id="rId140" xr:uid="{00000000-0004-0000-0200-00008B000000}"/>
    <hyperlink ref="V994" r:id="rId141" xr:uid="{00000000-0004-0000-0200-00008C000000}"/>
    <hyperlink ref="V852" r:id="rId142" xr:uid="{00000000-0004-0000-0200-00008D000000}"/>
    <hyperlink ref="V874:V878" r:id="rId143" display="https://www.gov.si/en/news/2022-02-26-humanitarian-contribution-of-the-republic-of-slovenia-to-the-people-of-ukraine/" xr:uid="{00000000-0004-0000-0200-00008E000000}"/>
    <hyperlink ref="W874:W878" r:id="rId144" display="https://www.gov.si/en/news/2022-03-01-minister-logar-announces-eur-1-1-million-in-humanitarian-aid-for-ukraine/ " xr:uid="{00000000-0004-0000-0200-00008F000000}"/>
    <hyperlink ref="X874:X878" r:id="rId145" display="https://www.gov.si/en/news/2022-03-07-eu-development-ministers-on-emergency-humanitarian-aid-to-ukraine/ " xr:uid="{00000000-0004-0000-0200-000090000000}"/>
    <hyperlink ref="V847" r:id="rId146" xr:uid="{00000000-0004-0000-0200-000091000000}"/>
    <hyperlink ref="V843" r:id="rId147" xr:uid="{00000000-0004-0000-0200-000092000000}"/>
    <hyperlink ref="W843" r:id="rId148" xr:uid="{00000000-0004-0000-0200-000093000000}"/>
    <hyperlink ref="V898" r:id="rId149" xr:uid="{00000000-0004-0000-0200-000094000000}"/>
    <hyperlink ref="V811" r:id="rId150" xr:uid="{00000000-0004-0000-0200-000095000000}"/>
    <hyperlink ref="V851" r:id="rId151" xr:uid="{00000000-0004-0000-0200-000096000000}"/>
    <hyperlink ref="W851" r:id="rId152" xr:uid="{00000000-0004-0000-0200-000097000000}"/>
    <hyperlink ref="V857" r:id="rId153" xr:uid="{00000000-0004-0000-0200-000098000000}"/>
    <hyperlink ref="V881" r:id="rId154" xr:uid="{00000000-0004-0000-0200-000099000000}"/>
    <hyperlink ref="X897" r:id="rId155" xr:uid="{00000000-0004-0000-0200-00009A000000}"/>
    <hyperlink ref="V908" r:id="rId156" xr:uid="{00000000-0004-0000-0200-00009B000000}"/>
    <hyperlink ref="V1000:V1003" r:id="rId157" display="https://www.gov.uk/government/news/uk-to-bolster-defensive-aid-to-ukraine-with-new-100m-package" xr:uid="{00000000-0004-0000-0200-00009C000000}"/>
    <hyperlink ref="V1007:V1008" r:id="rId158" display="https://www.gov.uk/government/news/prime-minister-pledges-uks-unwavering-support-to-ukraine-on-visit-to-kyiv-9-april-2022" xr:uid="{00000000-0004-0000-0200-00009D000000}"/>
    <hyperlink ref="W1000:W1003" r:id="rId159" display="https://www.gov.uk/government/speeches/pm-opening-remarks-at-press-conference-with-german-chancellor-olaf-scholz-8-april-2022" xr:uid="{00000000-0004-0000-0200-00009E000000}"/>
    <hyperlink ref="W881" r:id="rId160" xr:uid="{00000000-0004-0000-0200-00009F000000}"/>
    <hyperlink ref="V1073" r:id="rId161" xr:uid="{00000000-0004-0000-0200-0000A0000000}"/>
    <hyperlink ref="V1074" r:id="rId162" xr:uid="{00000000-0004-0000-0200-0000A1000000}"/>
    <hyperlink ref="V1075:V1087" r:id="rId163" display="https://www.defense.gov/News/Releases/Release/Article/3007664/fact-sheet-on-us-security-assistance-for-ukraine-roll-up-as-of-april-21-2022/" xr:uid="{00000000-0004-0000-0200-0000A2000000}"/>
    <hyperlink ref="V1108:V1111" r:id="rId164" display="https://www.defense.gov/News/Releases/Release/Article/3007664/fact-sheet-on-us-security-assistance-for-ukraine-roll-up-as-of-april-21-2022/" xr:uid="{00000000-0004-0000-0200-0000A3000000}"/>
    <hyperlink ref="V27:V34" r:id="rId165" location=":~:text=Mit%20der%20bereits%20zweiten%20Hilfslieferung,Plastikhandschuhen%2C%20Schutzbrillen%20und%20Desinfektionsmittel%20entsandt" display="https://bmi.gv.at/news.aspx?id=44786F67485A5049462F493D#:~:text=Mit%20der%20bereits%20zweiten%20Hilfslieferung,Plastikhandschuhen%2C%20Schutzbrillen%20und%20Desinfektionsmittel%20entsandt." xr:uid="{00000000-0004-0000-0200-0000A4000000}"/>
    <hyperlink ref="V109:V112" r:id="rId166" display="https://www.canada.ca/en/department-national-defence/news/2022/03/defence-minister-anand-announces-additional-military-support-to-ukraine.html?msclkid=50865665ab9011ecbb2d77d3ecd6e3a6" xr:uid="{00000000-0004-0000-0200-0000A5000000}"/>
    <hyperlink ref="V117:V118" r:id="rId167" display="https://www.canada.ca/en/department-national-defence/news/2022/03/defence-minister-anand-announces-additional-military-support-to-ukraine.html" xr:uid="{00000000-0004-0000-0200-0000A6000000}"/>
    <hyperlink ref="V147:V150" r:id="rId168" display="https://mfa.gov.cy/press-releases/2022/03/09/cyprus-humanitarian-aid-to-ukraine/" xr:uid="{00000000-0004-0000-0200-0000A7000000}"/>
    <hyperlink ref="W147:W150" r:id="rId169" display="https://cyprus-mail.com/2022/04/06/aid-for-ukraine-now-tops-e2-million/" xr:uid="{00000000-0004-0000-0200-0000A8000000}"/>
    <hyperlink ref="V168:V173" r:id="rId170" display="https://www.vlada.cz/cz/media-centrum/aktualne/vlada-petra-fialy-schvalila-dalsi-vojenskou-pomoc-bojujici-ukrajine-194603/" xr:uid="{00000000-0004-0000-0200-0000A9000000}"/>
    <hyperlink ref="W168:W173" r:id="rId171" display="https://www.praguemorning.cz/czech-governmenet-approves-czk-400-million-in-military-aid-for-ukraine/" xr:uid="{00000000-0004-0000-0200-0000AA000000}"/>
    <hyperlink ref="X168:X173" r:id="rId172" display="https://www.politico.com/news/2022/03/22/ukraine-weapons-military-aid-00019104" xr:uid="{00000000-0004-0000-0200-0000AB000000}"/>
    <hyperlink ref="W142" r:id="rId173" xr:uid="{00000000-0004-0000-0200-0000AC000000}"/>
    <hyperlink ref="V142" r:id="rId174" xr:uid="{00000000-0004-0000-0200-0000AD000000}"/>
    <hyperlink ref="W91" r:id="rId175" display="https://twitter.com/ua_minfin/status/1514313544795361280?ref_src=twsrc%5Etfw%7Ctwcamp%5Etweetembed%7Ctwterm%5E1514313544795361280%7Ctwgr%5E%7Ctwcon%5Es1_&amp;ref_url=https%3A%2F%2Fwww.republicworld.com%2Fworld-news%2Frussia-ukraine-crisis%2Fcanada-to-provide-ukraine-with-398-dollars-million-concessional-loan-amid-russian-invasion-articleshow.html" xr:uid="{00000000-0004-0000-0200-0000AE000000}"/>
    <hyperlink ref="V289" r:id="rId176" xr:uid="{00000000-0004-0000-0200-0000AF000000}"/>
    <hyperlink ref="V955" r:id="rId177" xr:uid="{00000000-0004-0000-0200-0000B0000000}"/>
    <hyperlink ref="V735" r:id="rId178" xr:uid="{00000000-0004-0000-0200-0000B1000000}"/>
    <hyperlink ref="V954" r:id="rId179" xr:uid="{00000000-0004-0000-0200-0000B2000000}"/>
    <hyperlink ref="V635" r:id="rId180" location=":~:text=The%20Latvian%20government%20has%20directed,of%20military%20aggression%20by%20Russia" xr:uid="{00000000-0004-0000-0200-0000B3000000}"/>
    <hyperlink ref="W635" r:id="rId181" xr:uid="{00000000-0004-0000-0200-0000B4000000}"/>
    <hyperlink ref="V671" r:id="rId182" xr:uid="{00000000-0004-0000-0200-0000B5000000}"/>
    <hyperlink ref="V51" r:id="rId183" xr:uid="{00000000-0004-0000-0200-0000B6000000}"/>
    <hyperlink ref="V615" r:id="rId184" xr:uid="{00000000-0004-0000-0200-0000B7000000}"/>
    <hyperlink ref="W615" r:id="rId185" xr:uid="{00000000-0004-0000-0200-0000B8000000}"/>
    <hyperlink ref="X615" r:id="rId186" xr:uid="{00000000-0004-0000-0200-0000B9000000}"/>
    <hyperlink ref="V367" r:id="rId187" xr:uid="{00000000-0004-0000-0200-0000BA000000}"/>
    <hyperlink ref="V36" r:id="rId188" xr:uid="{00000000-0004-0000-0200-0000BB000000}"/>
    <hyperlink ref="W36" r:id="rId189" xr:uid="{00000000-0004-0000-0200-0000BC000000}"/>
    <hyperlink ref="X36" r:id="rId190" xr:uid="{00000000-0004-0000-0200-0000BD000000}"/>
    <hyperlink ref="V122" r:id="rId191" xr:uid="{00000000-0004-0000-0200-0000BE000000}"/>
    <hyperlink ref="V718" r:id="rId192" xr:uid="{00000000-0004-0000-0200-0000BF000000}"/>
    <hyperlink ref="W718" r:id="rId193" xr:uid="{00000000-0004-0000-0200-0000C0000000}"/>
    <hyperlink ref="X718" r:id="rId194" xr:uid="{00000000-0004-0000-0200-0000C1000000}"/>
    <hyperlink ref="V667" r:id="rId195" xr:uid="{00000000-0004-0000-0200-0000C2000000}"/>
    <hyperlink ref="V640" r:id="rId196" xr:uid="{00000000-0004-0000-0200-0000C3000000}"/>
    <hyperlink ref="W640" r:id="rId197" xr:uid="{00000000-0004-0000-0200-0000C4000000}"/>
    <hyperlink ref="V636" r:id="rId198" xr:uid="{00000000-0004-0000-0200-0000C5000000}"/>
    <hyperlink ref="V311" r:id="rId199" xr:uid="{00000000-0004-0000-0200-0000C6000000}"/>
    <hyperlink ref="W311" r:id="rId200" xr:uid="{00000000-0004-0000-0200-0000C7000000}"/>
    <hyperlink ref="X311" r:id="rId201" location=":~:text=Finland%27s%20government%20has%20promised%20to,to%20the%20war%2Dtorn%20country.&amp;text=Cryptocurrencies%20have%20come%20to%20aid,for%20over%202%20months%20now" display="https://www.businesstoday.in/crypto/story/finland-set-to-donate-over-eu70-million-worth-of-crypto-to-war-torn-ukraine-331795-2022-04-29#:~:text=Finland%27s%20government%20has%20promised%20to,to%20the%20war%2Dtorn%20country.&amp;text=Cryptocurrencies%20have%20come%20to%20aid,for%20over%202%20months%20now." xr:uid="{00000000-0004-0000-0200-0000C8000000}"/>
    <hyperlink ref="V47" r:id="rId202" xr:uid="{00000000-0004-0000-0200-0000C9000000}"/>
    <hyperlink ref="W47:W50" r:id="rId203" display="https://www.wienerzeitung.at/nachrichten/politik/oesterreich/2146418-Oesterreich-schickte-Ukraine-Armeeausruestung.html" xr:uid="{00000000-0004-0000-0200-0000CA000000}"/>
    <hyperlink ref="V201" r:id="rId204" xr:uid="{00000000-0004-0000-0200-0000CB000000}"/>
    <hyperlink ref="V202" r:id="rId205" xr:uid="{00000000-0004-0000-0200-0000CC000000}"/>
    <hyperlink ref="V270" r:id="rId206" xr:uid="{00000000-0004-0000-0200-0000CD000000}"/>
    <hyperlink ref="V320" r:id="rId207" xr:uid="{00000000-0004-0000-0200-0000CE000000}"/>
    <hyperlink ref="W320:W324" r:id="rId208" display="https://www.arout.net/france-sends-dozens-of-fire-engines-and-ambulances-to-ukraine-to-support-the-war-against-russia/" xr:uid="{00000000-0004-0000-0200-0000CF000000}"/>
    <hyperlink ref="X366" r:id="rId209" xr:uid="{00000000-0004-0000-0200-0000D0000000}"/>
    <hyperlink ref="W366" r:id="rId210" xr:uid="{00000000-0004-0000-0200-0000D1000000}"/>
    <hyperlink ref="V366" r:id="rId211" xr:uid="{00000000-0004-0000-0200-0000D2000000}"/>
    <hyperlink ref="V362" r:id="rId212" xr:uid="{00000000-0004-0000-0200-0000D3000000}"/>
    <hyperlink ref="W362" r:id="rId213" xr:uid="{00000000-0004-0000-0200-0000D4000000}"/>
    <hyperlink ref="X362" r:id="rId214" xr:uid="{00000000-0004-0000-0200-0000D5000000}"/>
    <hyperlink ref="V368" r:id="rId215" xr:uid="{00000000-0004-0000-0200-0000D6000000}"/>
    <hyperlink ref="V382" r:id="rId216" xr:uid="{00000000-0004-0000-0200-0000D7000000}"/>
    <hyperlink ref="W382" r:id="rId217" xr:uid="{00000000-0004-0000-0200-0000D8000000}"/>
    <hyperlink ref="V383" r:id="rId218" xr:uid="{00000000-0004-0000-0200-0000D9000000}"/>
    <hyperlink ref="W789" r:id="rId219" xr:uid="{00000000-0004-0000-0200-0000DA000000}"/>
    <hyperlink ref="V789" r:id="rId220" xr:uid="{00000000-0004-0000-0200-0000DB000000}"/>
    <hyperlink ref="X789" r:id="rId221" xr:uid="{00000000-0004-0000-0200-0000DC000000}"/>
    <hyperlink ref="V790" r:id="rId222" xr:uid="{00000000-0004-0000-0200-0000DD000000}"/>
    <hyperlink ref="V879" r:id="rId223" xr:uid="{00000000-0004-0000-0200-0000DE000000}"/>
    <hyperlink ref="V882:V887" r:id="rId224" display="https://english.sta.si/3031756/slovenia-to-send-additional-material-aid-to-ukraine" xr:uid="{00000000-0004-0000-0200-0000DF000000}"/>
    <hyperlink ref="W882:W887" r:id="rId225" display="https://www.rtvslo.si/radio-si/news/slovenia-promises-aid-to-ukraine/625786" xr:uid="{00000000-0004-0000-0200-0000E0000000}"/>
    <hyperlink ref="X882:X887" r:id="rId226" display="https://babel.ua/en/news/78193-slovenia-will-provide-180-000-in-financial-assistance-to-ukraine" xr:uid="{00000000-0004-0000-0200-0000E1000000}"/>
    <hyperlink ref="V986" r:id="rId227" xr:uid="{00000000-0004-0000-0200-0000E2000000}"/>
    <hyperlink ref="V987" r:id="rId228" xr:uid="{00000000-0004-0000-0200-0000E3000000}"/>
    <hyperlink ref="W987" r:id="rId229" xr:uid="{00000000-0004-0000-0200-0000E4000000}"/>
    <hyperlink ref="V988" r:id="rId230" xr:uid="{00000000-0004-0000-0200-0000E5000000}"/>
    <hyperlink ref="X987" r:id="rId231" xr:uid="{00000000-0004-0000-0200-0000E6000000}"/>
    <hyperlink ref="V233" r:id="rId232" location=":~:text=Estonian%20people%2C%20government%20and%20private,aid%20to%20Ukraine%20in%20total &amp;text=Govermental%20aid%20means%20means%20assistance,state%20budget%20through%20state%20agencies " xr:uid="{00000000-0004-0000-0200-0000E7000000}"/>
    <hyperlink ref="V233:V235" r:id="rId233" location=":~:text=Estonian%20people%2C%20government%20and%20private,aid%20to%20Ukraine%20in%20total.&amp;text=Govermental%20aid%20means%20means%20assistance,state%20budget%20through%20state%20agencies" display="https://vm.ee/en/humanitarian-aid-ukraine#:~:text=Estonian%20people%2C%20government%20and%20private,aid%20to%20Ukraine%20in%20total.&amp;text=Govermental%20aid%20means%20means%20assistance,state%20budget%20through%20state%20agencies." xr:uid="{00000000-0004-0000-0200-0000E8000000}"/>
    <hyperlink ref="W233" r:id="rId234" xr:uid="{00000000-0004-0000-0200-0000E9000000}"/>
    <hyperlink ref="W233:W235" r:id="rId235" display="https://kaitseministeerium.ee/en/news/estonia-donated-missiles-anti-tank-weapon-system-javelin-ukraine" xr:uid="{00000000-0004-0000-0200-0000EA000000}"/>
    <hyperlink ref="V3" r:id="rId236" xr:uid="{00000000-0004-0000-0200-0000EB000000}"/>
    <hyperlink ref="X3" r:id="rId237" xr:uid="{00000000-0004-0000-0200-0000EC000000}"/>
    <hyperlink ref="W3" r:id="rId238" xr:uid="{00000000-0004-0000-0200-0000ED000000}"/>
    <hyperlink ref="V755" r:id="rId239" xr:uid="{00000000-0004-0000-0200-0000EE000000}"/>
    <hyperlink ref="W755" r:id="rId240" xr:uid="{00000000-0004-0000-0200-0000EF000000}"/>
    <hyperlink ref="V780" r:id="rId241" xr:uid="{00000000-0004-0000-0200-0000F0000000}"/>
    <hyperlink ref="V781" r:id="rId242" xr:uid="{00000000-0004-0000-0200-0000F1000000}"/>
    <hyperlink ref="V968" r:id="rId243" xr:uid="{00000000-0004-0000-0200-0000F2000000}"/>
    <hyperlink ref="V970:V974" r:id="rId244" display="https://twitter.com/AFADTurkey/status/1497633720068714497" xr:uid="{00000000-0004-0000-0200-0000F3000000}"/>
    <hyperlink ref="V975" r:id="rId245" xr:uid="{00000000-0004-0000-0200-0000F4000000}"/>
    <hyperlink ref="V58" r:id="rId246" xr:uid="{00000000-0004-0000-0200-0000F5000000}"/>
    <hyperlink ref="W64" r:id="rId247" xr:uid="{00000000-0004-0000-0200-0000F6000000}"/>
    <hyperlink ref="X64" r:id="rId248" xr:uid="{00000000-0004-0000-0200-0000F7000000}"/>
    <hyperlink ref="X143" r:id="rId249" xr:uid="{00000000-0004-0000-0200-0000F8000000}"/>
    <hyperlink ref="V143" r:id="rId250" xr:uid="{00000000-0004-0000-0200-0000F9000000}"/>
    <hyperlink ref="V743" r:id="rId251" xr:uid="{00000000-0004-0000-0200-0000FA000000}"/>
    <hyperlink ref="V958" r:id="rId252" xr:uid="{00000000-0004-0000-0200-0000FB000000}"/>
    <hyperlink ref="W958" r:id="rId253" xr:uid="{00000000-0004-0000-0200-0000FC000000}"/>
    <hyperlink ref="X958" r:id="rId254" xr:uid="{00000000-0004-0000-0200-0000FD000000}"/>
    <hyperlink ref="V751" r:id="rId255" xr:uid="{00000000-0004-0000-0200-0000FE000000}"/>
    <hyperlink ref="W751" r:id="rId256" xr:uid="{00000000-0004-0000-0200-0000FF000000}"/>
    <hyperlink ref="X751" r:id="rId257" xr:uid="{00000000-0004-0000-0200-000000010000}"/>
    <hyperlink ref="X752" r:id="rId258" xr:uid="{00000000-0004-0000-0200-000001010000}"/>
    <hyperlink ref="V752" r:id="rId259" xr:uid="{00000000-0004-0000-0200-000002010000}"/>
    <hyperlink ref="V753" r:id="rId260" xr:uid="{00000000-0004-0000-0200-000003010000}"/>
    <hyperlink ref="W752" r:id="rId261" xr:uid="{00000000-0004-0000-0200-000004010000}"/>
    <hyperlink ref="W753" r:id="rId262" xr:uid="{00000000-0004-0000-0200-000005010000}"/>
    <hyperlink ref="W780" r:id="rId263" xr:uid="{00000000-0004-0000-0200-000006010000}"/>
    <hyperlink ref="V785" r:id="rId264" xr:uid="{00000000-0004-0000-0200-000007010000}"/>
    <hyperlink ref="W785" r:id="rId265" xr:uid="{00000000-0004-0000-0200-000008010000}"/>
    <hyperlink ref="V762" r:id="rId266" xr:uid="{00000000-0004-0000-0200-000009010000}"/>
    <hyperlink ref="W762" r:id="rId267" xr:uid="{00000000-0004-0000-0200-00000A010000}"/>
    <hyperlink ref="V741" r:id="rId268" xr:uid="{00000000-0004-0000-0200-00000B010000}"/>
    <hyperlink ref="W741" r:id="rId269" xr:uid="{00000000-0004-0000-0200-00000C010000}"/>
    <hyperlink ref="X741" r:id="rId270" xr:uid="{00000000-0004-0000-0200-00000D010000}"/>
    <hyperlink ref="X742" r:id="rId271" xr:uid="{00000000-0004-0000-0200-00000E010000}"/>
    <hyperlink ref="W742" r:id="rId272" xr:uid="{00000000-0004-0000-0200-00000F010000}"/>
    <hyperlink ref="V742" r:id="rId273" xr:uid="{00000000-0004-0000-0200-000010010000}"/>
    <hyperlink ref="V749" r:id="rId274" xr:uid="{00000000-0004-0000-0200-000011010000}"/>
    <hyperlink ref="W749" r:id="rId275" xr:uid="{00000000-0004-0000-0200-000012010000}"/>
    <hyperlink ref="X749" r:id="rId276" xr:uid="{00000000-0004-0000-0200-000013010000}"/>
    <hyperlink ref="W743" r:id="rId277" xr:uid="{00000000-0004-0000-0200-000014010000}"/>
    <hyperlink ref="V832" r:id="rId278" xr:uid="{00000000-0004-0000-0200-000015010000}"/>
    <hyperlink ref="W832" r:id="rId279" xr:uid="{00000000-0004-0000-0200-000016010000}"/>
    <hyperlink ref="X832" r:id="rId280" xr:uid="{00000000-0004-0000-0200-000017010000}"/>
    <hyperlink ref="V838" r:id="rId281" xr:uid="{00000000-0004-0000-0200-000018010000}"/>
    <hyperlink ref="W838" r:id="rId282" xr:uid="{00000000-0004-0000-0200-000019010000}"/>
    <hyperlink ref="X837" r:id="rId283" xr:uid="{00000000-0004-0000-0200-00001A010000}"/>
    <hyperlink ref="X833" r:id="rId284" xr:uid="{00000000-0004-0000-0200-00001B010000}"/>
    <hyperlink ref="W833" r:id="rId285" xr:uid="{00000000-0004-0000-0200-00001C010000}"/>
    <hyperlink ref="W837" r:id="rId286" xr:uid="{00000000-0004-0000-0200-00001D010000}"/>
    <hyperlink ref="V833" r:id="rId287" xr:uid="{00000000-0004-0000-0200-00001E010000}"/>
    <hyperlink ref="V837" r:id="rId288" xr:uid="{00000000-0004-0000-0200-00001F010000}"/>
    <hyperlink ref="V738:V740" r:id="rId289" display="https://www.beehive.govt.nz/release/nz-provide-non-lethal-military-assistance-ukraine" xr:uid="{00000000-0004-0000-0200-000020010000}"/>
    <hyperlink ref="W738:W740" r:id="rId290" display="https://www.reuters.com/world/new-zealand-provide-ukraine-with-non-lethal-military-assistance-2022-03-21/" xr:uid="{00000000-0004-0000-0200-000021010000}"/>
    <hyperlink ref="V122:V123" r:id="rId291" display="https://www.canada.ca/en/department-national-defence/news/2022/04/canada-announces-artillery-and-other-additional-military-aid-for-ukraine.html" xr:uid="{00000000-0004-0000-0200-000022010000}"/>
    <hyperlink ref="W122:W123" r:id="rId292" display="https://www.cbc.ca/news/politics/ukraine-m777-howitzer-russia-heavy-artillery-1.6427762" xr:uid="{00000000-0004-0000-0200-000023010000}"/>
    <hyperlink ref="V127:V130" r:id="rId293" display="https://pm.gc.ca/en/news/news-releases/2022/05/08/prime-minister-visits-kyiv-ukraine" xr:uid="{00000000-0004-0000-0200-000024010000}"/>
    <hyperlink ref="W671" r:id="rId294" xr:uid="{00000000-0004-0000-0200-000025010000}"/>
    <hyperlink ref="V1053" r:id="rId295" xr:uid="{00000000-0004-0000-0200-000026010000}"/>
    <hyperlink ref="W1053" r:id="rId296" xr:uid="{00000000-0004-0000-0200-000027010000}"/>
    <hyperlink ref="W1060" r:id="rId297" xr:uid="{00000000-0004-0000-0200-000028010000}"/>
    <hyperlink ref="V1060" r:id="rId298" xr:uid="{00000000-0004-0000-0200-000029010000}"/>
    <hyperlink ref="V1055" r:id="rId299" xr:uid="{00000000-0004-0000-0200-00002A010000}"/>
    <hyperlink ref="V1056" r:id="rId300" xr:uid="{00000000-0004-0000-0200-00002B010000}"/>
    <hyperlink ref="X233:X235" r:id="rId301" display="https://news.err.ee/1608589426/estonia-s-military-aid-to-ukraine-totals-230-million" xr:uid="{00000000-0004-0000-0200-00002C010000}"/>
    <hyperlink ref="W367" r:id="rId302" xr:uid="{00000000-0004-0000-0200-00002D010000}"/>
    <hyperlink ref="W849" r:id="rId303" xr:uid="{00000000-0004-0000-0200-00002E010000}"/>
    <hyperlink ref="W83" r:id="rId304" xr:uid="{00000000-0004-0000-0200-00002F010000}"/>
    <hyperlink ref="V83" r:id="rId305" display="https://www.dw.com/bg/%D0%BF%D0%B0%D1%80%D0%BB%D0%B0%D0%BC%D0%B5%D0%BD%D1%82%D1%8A%D1%82-%D1%80%D0%B5%D1%88%D0%B8-%D0%B1%D1%8A%D0%BB%D0%B3%D0%B0%D1%80%D0%B8%D1%8F-%D1%89%D0%B5-%D0%BE%D0%BA%D0%B0%D0%B6%D0%B5-%D0%B2%D0%BE%D0%B5%D0%BD%D0%BD%D0%BE-%D1%82%D0%B5%D1%85%D0%BD%D0%B8%D1%87%D0%B5%D1%81%D0%BA%D0%B0-%D0%BF%D0%BE%D0%BC%D0%BE%D1%89-%D0%BD%D0%B0-%D1%83%D0%BA%D1%80%D0%B0%D0%B9%D0%BD%D0%B0/a-61683857" xr:uid="{00000000-0004-0000-0200-000030010000}"/>
    <hyperlink ref="V16:V17" r:id="rId306" display="https://www.peterdutton.com.au/joint-media-release-australia-to-provide-additional-support-to-ukraine/" xr:uid="{00000000-0004-0000-0200-000031010000}"/>
    <hyperlink ref="X785" r:id="rId307" xr:uid="{00000000-0004-0000-0200-000032010000}"/>
    <hyperlink ref="W18" r:id="rId308" xr:uid="{00000000-0004-0000-0200-000033010000}"/>
    <hyperlink ref="V744" r:id="rId309" xr:uid="{00000000-0004-0000-0200-000034010000}"/>
    <hyperlink ref="W744" r:id="rId310" xr:uid="{00000000-0004-0000-0200-000035010000}"/>
    <hyperlink ref="V93" r:id="rId311" xr:uid="{00000000-0004-0000-0200-000036010000}"/>
    <hyperlink ref="W93" r:id="rId312" xr:uid="{00000000-0004-0000-0200-000037010000}"/>
    <hyperlink ref="X93" r:id="rId313" xr:uid="{00000000-0004-0000-0200-000038010000}"/>
    <hyperlink ref="V101" r:id="rId314" xr:uid="{00000000-0004-0000-0200-000039010000}"/>
    <hyperlink ref="W101" r:id="rId315" xr:uid="{00000000-0004-0000-0200-00003A010000}"/>
    <hyperlink ref="V124" r:id="rId316" xr:uid="{00000000-0004-0000-0200-00003B010000}"/>
    <hyperlink ref="W124" r:id="rId317" xr:uid="{00000000-0004-0000-0200-00003C010000}"/>
    <hyperlink ref="X124" r:id="rId318" xr:uid="{00000000-0004-0000-0200-00003D010000}"/>
    <hyperlink ref="W126" r:id="rId319" xr:uid="{00000000-0004-0000-0200-00003E010000}"/>
    <hyperlink ref="X126" r:id="rId320" xr:uid="{00000000-0004-0000-0200-00003F010000}"/>
    <hyperlink ref="W224" r:id="rId321" xr:uid="{00000000-0004-0000-0200-000040010000}"/>
    <hyperlink ref="X224" r:id="rId322" xr:uid="{00000000-0004-0000-0200-000041010000}"/>
    <hyperlink ref="V224" r:id="rId323" xr:uid="{00000000-0004-0000-0200-000042010000}"/>
    <hyperlink ref="V275" r:id="rId324" xr:uid="{00000000-0004-0000-0200-000043010000}"/>
    <hyperlink ref="V616" r:id="rId325" xr:uid="{00000000-0004-0000-0200-000044010000}"/>
    <hyperlink ref="X616" r:id="rId326" xr:uid="{00000000-0004-0000-0200-000045010000}"/>
    <hyperlink ref="W616" r:id="rId327" xr:uid="{00000000-0004-0000-0200-000046010000}"/>
    <hyperlink ref="V597" r:id="rId328" xr:uid="{00000000-0004-0000-0200-000047010000}"/>
    <hyperlink ref="W597" r:id="rId329" xr:uid="{00000000-0004-0000-0200-000048010000}"/>
    <hyperlink ref="W625" r:id="rId330" display="https://twitter.com/edgarsrinkevics/status/1511694357560180745?ref_src=twsrc%5Etfw%7Ctwcamp%5Etweetembed%7Ctwterm%5E1511694357560180745%7Ctwgr%5E%7Ctwcon%5Es1_&amp;ref_url=https%3A%2F%2Fwww.redditmedia.com%2Fmediaembed%2Ftxqhaq%3Fresponsive%3Dtrueis_nightmode%3Dfalse" xr:uid="{00000000-0004-0000-0200-000049010000}"/>
    <hyperlink ref="X625" r:id="rId331" xr:uid="{00000000-0004-0000-0200-00004A010000}"/>
    <hyperlink ref="X625:X630" r:id="rId332" display="https://www.mfa.gov.lv/en/article/latvian-foreign-ministry-channel-eur-24000000-towards-assistance-ukraine" xr:uid="{00000000-0004-0000-0200-00004B010000}"/>
    <hyperlink ref="V641:V643" r:id="rId333" display="https://interfax.com/newsroom/top-stories/79528/" xr:uid="{00000000-0004-0000-0200-00004C010000}"/>
    <hyperlink ref="W641:W643" r:id="rId334" display="https://www.lrt.lt/en/news-in-english/19/1702086/lithuania-to-hand-over-eur15-5-million-worth-of-armoured-vehicles-trucks-suvs-to-ukraine" xr:uid="{00000000-0004-0000-0200-00004D010000}"/>
    <hyperlink ref="V698" r:id="rId335" xr:uid="{00000000-0004-0000-0200-00004E010000}"/>
    <hyperlink ref="W697" r:id="rId336" xr:uid="{00000000-0004-0000-0200-00004F010000}"/>
    <hyperlink ref="V697" r:id="rId337" xr:uid="{00000000-0004-0000-0200-000050010000}"/>
    <hyperlink ref="V699" r:id="rId338" xr:uid="{00000000-0004-0000-0200-000051010000}"/>
    <hyperlink ref="W698" r:id="rId339" xr:uid="{00000000-0004-0000-0200-000052010000}"/>
    <hyperlink ref="V731" r:id="rId340" xr:uid="{00000000-0004-0000-0200-000053010000}"/>
    <hyperlink ref="V732" r:id="rId341" xr:uid="{00000000-0004-0000-0200-000054010000}"/>
    <hyperlink ref="W901" r:id="rId342" xr:uid="{00000000-0004-0000-0200-000055010000}"/>
    <hyperlink ref="X901" r:id="rId343" xr:uid="{00000000-0004-0000-0200-000056010000}"/>
    <hyperlink ref="V901" r:id="rId344" xr:uid="{00000000-0004-0000-0200-000057010000}"/>
    <hyperlink ref="X909" r:id="rId345" xr:uid="{00000000-0004-0000-0200-000058010000}"/>
    <hyperlink ref="V909:V911" r:id="rId346" display="https://www.lamoncloa.gob.es/lang/en/presidente/news/paginas/2022/20220421_visit-to-ukraine.aspx" xr:uid="{00000000-0004-0000-0200-000059010000}"/>
    <hyperlink ref="W934" r:id="rId347" location=":~:text=Due%20to%20Russia's%20aggression%20against,to%20the%20growing%20humanitarian%20needs" xr:uid="{00000000-0004-0000-0200-00005A010000}"/>
    <hyperlink ref="V934" r:id="rId348" location=":~:text=Sweden%27s%20support%20to%20Ukraine&amp;text=Sweden%20is%20one%20of%20CERF%27s,SEK%2035%20million%20in%202022" xr:uid="{00000000-0004-0000-0200-00005B010000}"/>
    <hyperlink ref="W935" r:id="rId349" xr:uid="{00000000-0004-0000-0200-00005C010000}"/>
    <hyperlink ref="X935" r:id="rId350" xr:uid="{00000000-0004-0000-0200-00005D010000}"/>
    <hyperlink ref="X934" r:id="rId351" xr:uid="{00000000-0004-0000-0200-00005E010000}"/>
    <hyperlink ref="V935" r:id="rId352" xr:uid="{00000000-0004-0000-0200-00005F010000}"/>
    <hyperlink ref="AB16" r:id="rId353" xr:uid="{00000000-0004-0000-0200-000060010000}"/>
    <hyperlink ref="AB13" r:id="rId354" xr:uid="{00000000-0004-0000-0200-000061010000}"/>
    <hyperlink ref="AB754" r:id="rId355" xr:uid="{00000000-0004-0000-0200-000062010000}"/>
    <hyperlink ref="AB124" r:id="rId356" xr:uid="{00000000-0004-0000-0200-000063010000}"/>
    <hyperlink ref="AB224" r:id="rId357" xr:uid="{00000000-0004-0000-0200-000064010000}"/>
    <hyperlink ref="AB910" r:id="rId358" xr:uid="{00000000-0004-0000-0200-000065010000}"/>
    <hyperlink ref="V269" r:id="rId359" location=":~:text=Estonian%20people%2C%20government%20and%20private,aid%20to%20Ukraine%20in%20total &amp;text=Govermental%20aid%20means%20means%20assistance,state%20budget%20through%20state%20agencies" xr:uid="{00000000-0004-0000-0200-000066010000}"/>
    <hyperlink ref="V339" r:id="rId360" xr:uid="{00000000-0004-0000-0200-000067010000}"/>
    <hyperlink ref="V369" r:id="rId361" xr:uid="{00000000-0004-0000-0200-000068010000}"/>
    <hyperlink ref="V381" r:id="rId362" xr:uid="{00000000-0004-0000-0200-000069010000}"/>
    <hyperlink ref="V569" r:id="rId363" xr:uid="{00000000-0004-0000-0200-00006A010000}"/>
    <hyperlink ref="V571:V575" r:id="rId364" display="https://www.esteri.it/en/politica-estera-e-cooperazione-allo-sviluppo/aree_geografiche/europa/litalia-a-sostegno-dellucraina/" xr:uid="{00000000-0004-0000-0200-00006B010000}"/>
    <hyperlink ref="V576" r:id="rId365" xr:uid="{00000000-0004-0000-0200-00006C010000}"/>
    <hyperlink ref="W576" r:id="rId366" xr:uid="{00000000-0004-0000-0200-00006D010000}"/>
    <hyperlink ref="V577" r:id="rId367" xr:uid="{00000000-0004-0000-0200-00006E010000}"/>
    <hyperlink ref="V581" r:id="rId368" xr:uid="{00000000-0004-0000-0200-00006F010000}"/>
    <hyperlink ref="X582:X584" r:id="rId369" display="https://www.fanpage.it/politica/armi-allucraina-arriva-il-terzo-decreto-del-governo-lelenco-e-secretato-come-i-precedenti/" xr:uid="{00000000-0004-0000-0200-000070010000}"/>
    <hyperlink ref="V582:V584" r:id="rId370" display="https://www.gazzettaufficiale.it/atto/serie_generale/caricaDettaglioAtto/originario?atto.dataPubblicazioneGazzetta=2022-05-13&amp;atto.codiceRedazionale=22A02976&amp;elenco30giorni=false" xr:uid="{00000000-0004-0000-0200-000071010000}"/>
    <hyperlink ref="W581" r:id="rId371" xr:uid="{00000000-0004-0000-0200-000072010000}"/>
    <hyperlink ref="AB109" r:id="rId372" xr:uid="{00000000-0004-0000-0200-000073010000}"/>
    <hyperlink ref="AB111" r:id="rId373" xr:uid="{00000000-0004-0000-0200-000074010000}"/>
    <hyperlink ref="AB112" r:id="rId374" xr:uid="{00000000-0004-0000-0200-000075010000}"/>
    <hyperlink ref="AB117" r:id="rId375" xr:uid="{00000000-0004-0000-0200-000076010000}"/>
    <hyperlink ref="AB118" r:id="rId376" xr:uid="{00000000-0004-0000-0200-000077010000}"/>
    <hyperlink ref="AB122" r:id="rId377" xr:uid="{00000000-0004-0000-0200-000078010000}"/>
    <hyperlink ref="V1057" r:id="rId378" xr:uid="{00000000-0004-0000-0200-000079010000}"/>
    <hyperlink ref="V1112" r:id="rId379" xr:uid="{00000000-0004-0000-0200-00007A010000}"/>
    <hyperlink ref="V1117:V1121" r:id="rId380" display="https://www.defense.gov/News/News-Stories/Article/Article/3038121/additional-100-million-in-howitzers-tactical-vehicles-radars-headed-to-ukraine/source/additional-100-million-in-howitzers-tactical-vehicles-radars-headed-to-ukraine/" xr:uid="{00000000-0004-0000-0200-00007B010000}"/>
    <hyperlink ref="AB127" r:id="rId381" xr:uid="{00000000-0004-0000-0200-00007C010000}"/>
    <hyperlink ref="W831" r:id="rId382" xr:uid="{00000000-0004-0000-0200-00007D010000}"/>
    <hyperlink ref="X831" r:id="rId383" xr:uid="{00000000-0004-0000-0200-00007E010000}"/>
    <hyperlink ref="Y831" r:id="rId384" xr:uid="{00000000-0004-0000-0200-00007F010000}"/>
    <hyperlink ref="V828:V829" r:id="rId385" display="https://mil.in.ua/en/news/portugal-is-preparing-to-hand-over-m113-armored-personnel-carriers-to-ukraine-media/" xr:uid="{00000000-0004-0000-0200-000080010000}"/>
    <hyperlink ref="W828:W829" r:id="rId386" display="https://en.defence-ua.com/weapon_and_tech/portugal_to_send_howitzers_and_apcs_to_ukraine-2846.html" xr:uid="{00000000-0004-0000-0200-000081010000}"/>
    <hyperlink ref="AB367" r:id="rId387" xr:uid="{00000000-0004-0000-0200-000082010000}"/>
    <hyperlink ref="AB582" r:id="rId388" xr:uid="{00000000-0004-0000-0200-000083010000}"/>
    <hyperlink ref="AB718" r:id="rId389" xr:uid="{00000000-0004-0000-0200-000084010000}"/>
    <hyperlink ref="AB719" r:id="rId390" xr:uid="{00000000-0004-0000-0200-000085010000}"/>
    <hyperlink ref="AB996" r:id="rId391" xr:uid="{00000000-0004-0000-0200-000086010000}"/>
    <hyperlink ref="AB113" r:id="rId392" xr:uid="{00000000-0004-0000-0200-000087010000}"/>
    <hyperlink ref="AB366" r:id="rId393" xr:uid="{00000000-0004-0000-0200-000088010000}"/>
    <hyperlink ref="W857" r:id="rId394" xr:uid="{00000000-0004-0000-0200-000089010000}"/>
    <hyperlink ref="AB637" r:id="rId395" xr:uid="{00000000-0004-0000-0200-00008A010000}"/>
    <hyperlink ref="AB640" r:id="rId396" xr:uid="{00000000-0004-0000-0200-00008B010000}"/>
    <hyperlink ref="AB639" r:id="rId397" xr:uid="{00000000-0004-0000-0200-00008C010000}"/>
    <hyperlink ref="AB638" r:id="rId398" xr:uid="{00000000-0004-0000-0200-00008D010000}"/>
    <hyperlink ref="Y233:Y236" r:id="rId399" display="https://news.err.ee/1608555886/estonia-s-220-million-military-aid-to-ukraine-substantially-diversified" xr:uid="{00000000-0004-0000-0200-00008E010000}"/>
    <hyperlink ref="AB641" r:id="rId400" xr:uid="{00000000-0004-0000-0200-00008F010000}"/>
    <hyperlink ref="V253" r:id="rId401" xr:uid="{00000000-0004-0000-0200-000090010000}"/>
    <hyperlink ref="W944" r:id="rId402" xr:uid="{00000000-0004-0000-0200-000091010000}"/>
    <hyperlink ref="AB751" r:id="rId403" xr:uid="{00000000-0004-0000-0200-000092010000}"/>
    <hyperlink ref="AB752" r:id="rId404" xr:uid="{00000000-0004-0000-0200-000093010000}"/>
    <hyperlink ref="AB858" r:id="rId405" xr:uid="{00000000-0004-0000-0200-000094010000}"/>
    <hyperlink ref="AB859" r:id="rId406" xr:uid="{00000000-0004-0000-0200-000095010000}"/>
    <hyperlink ref="AB904" r:id="rId407" xr:uid="{00000000-0004-0000-0200-000096010000}"/>
    <hyperlink ref="AB908" r:id="rId408" xr:uid="{00000000-0004-0000-0200-000097010000}"/>
    <hyperlink ref="AB909" r:id="rId409" xr:uid="{00000000-0004-0000-0200-000098010000}"/>
    <hyperlink ref="AB911" r:id="rId410" xr:uid="{00000000-0004-0000-0200-000099010000}"/>
    <hyperlink ref="AB939" r:id="rId411" xr:uid="{00000000-0004-0000-0200-00009A010000}"/>
    <hyperlink ref="AB968" r:id="rId412" xr:uid="{00000000-0004-0000-0200-00009B010000}"/>
    <hyperlink ref="V203" r:id="rId413" xr:uid="{00000000-0004-0000-0200-00009C010000}"/>
    <hyperlink ref="AB994" r:id="rId414" xr:uid="{00000000-0004-0000-0200-00009D010000}"/>
    <hyperlink ref="AB995" r:id="rId415" xr:uid="{00000000-0004-0000-0200-00009E010000}"/>
    <hyperlink ref="AB1007" r:id="rId416" xr:uid="{00000000-0004-0000-0200-00009F010000}"/>
    <hyperlink ref="AB1001" r:id="rId417" xr:uid="{00000000-0004-0000-0200-0000A0010000}"/>
    <hyperlink ref="W1388" r:id="rId418" xr:uid="{00000000-0004-0000-0200-0000A1010000}"/>
    <hyperlink ref="V1388" r:id="rId419" xr:uid="{00000000-0004-0000-0200-0000A2010000}"/>
    <hyperlink ref="V1389" r:id="rId420" xr:uid="{00000000-0004-0000-0200-0000A3010000}"/>
    <hyperlink ref="W1390" r:id="rId421" location=":~:text=Ukraine%3A%20EU%20announces%20new%20aid%20worth%20%E2%82%AC200%20million,Donors%E2%80%99%20Conference%20convened%20jointly%20by%20Poland%20and%20Sweden.?msclkid=2ab08ff4cf8811ec87c245022077fc10" display="https://euneighbourseast.eu/news-and-stories/latest-news/ukraine-eu-announces-new-aid-worth-e200-million-for-displaced-people/#:~:text=Ukraine%3A%20EU%20announces%20new%20aid%20worth%20%E2%82%AC200%20million,Donors%E2%80%99%20Conference%20convened%20jointly%20by%20Poland%20and%20Sweden.?msclkid=2ab08ff4cf8811ec87c245022077fc10" xr:uid="{00000000-0004-0000-0200-0000A4010000}"/>
    <hyperlink ref="V1398" r:id="rId422" xr:uid="{00000000-0004-0000-0200-0000A5010000}"/>
    <hyperlink ref="V1399" r:id="rId423" xr:uid="{00000000-0004-0000-0200-0000A6010000}"/>
    <hyperlink ref="V1400" r:id="rId424" xr:uid="{00000000-0004-0000-0200-0000A7010000}"/>
    <hyperlink ref="W1400" r:id="rId425" xr:uid="{00000000-0004-0000-0200-0000A8010000}"/>
    <hyperlink ref="X1400" r:id="rId426" location=":~:text=The%20European%20Union%20agreed%20on%20the%20third%20tranche,of%20military%20equipment%20to%20the%20Ukrainian%20Armed%20Forces" xr:uid="{00000000-0004-0000-0200-0000A9010000}"/>
    <hyperlink ref="V1390" r:id="rId427" xr:uid="{00000000-0004-0000-0200-0000AA010000}"/>
    <hyperlink ref="V1404" r:id="rId428" xr:uid="{00000000-0004-0000-0200-0000AB010000}"/>
    <hyperlink ref="W1404" r:id="rId429" xr:uid="{00000000-0004-0000-0200-0000AC010000}"/>
    <hyperlink ref="V1405" r:id="rId430" xr:uid="{00000000-0004-0000-0200-0000AD010000}"/>
    <hyperlink ref="X1404" r:id="rId431" xr:uid="{00000000-0004-0000-0200-0000AE010000}"/>
    <hyperlink ref="W1389" r:id="rId432" xr:uid="{00000000-0004-0000-0200-0000AF010000}"/>
    <hyperlink ref="V1394" r:id="rId433" xr:uid="{00000000-0004-0000-0200-0000B0010000}"/>
    <hyperlink ref="V1395" r:id="rId434" xr:uid="{00000000-0004-0000-0200-0000B1010000}"/>
    <hyperlink ref="W1395" r:id="rId435" location=":~:text=Ukraine%3A%20EU%20announces%20%E2%82%AC120%20million%20grant%20to%20support,preparedness%20and%20management%20at%20central%20and%20local%20levels.?msclkid=23e8a2ecd14011ec870c8ad62e34da3e" display="https://euneighbourseast.eu/news-and-stories/latest-news/ukraine-eu-announces-e120-million-grant-to-support-societal-and-state-resilience/#:~:text=Ukraine%3A%20EU%20announces%20%E2%82%AC120%20million%20grant%20to%20support,preparedness%20and%20management%20at%20central%20and%20local%20levels.?msclkid=23e8a2ecd14011ec870c8ad62e34da3e" xr:uid="{00000000-0004-0000-0200-0000B2010000}"/>
    <hyperlink ref="V1396" r:id="rId436" xr:uid="{00000000-0004-0000-0200-0000B3010000}"/>
    <hyperlink ref="W1396" r:id="rId437" xr:uid="{00000000-0004-0000-0200-0000B4010000}"/>
    <hyperlink ref="W1401" r:id="rId438" xr:uid="{00000000-0004-0000-0200-0000B5010000}"/>
    <hyperlink ref="V1401" r:id="rId439" xr:uid="{00000000-0004-0000-0200-0000B6010000}"/>
    <hyperlink ref="V1387" r:id="rId440" location="eu-civil-protection-mechanism" xr:uid="{00000000-0004-0000-0200-0000B7010000}"/>
    <hyperlink ref="AB48" r:id="rId441" xr:uid="{00000000-0004-0000-0200-0000B8010000}"/>
    <hyperlink ref="AB49" r:id="rId442" xr:uid="{00000000-0004-0000-0200-0000B9010000}"/>
    <hyperlink ref="AB50" r:id="rId443" xr:uid="{00000000-0004-0000-0200-0000BA010000}"/>
    <hyperlink ref="AB47" r:id="rId444" xr:uid="{00000000-0004-0000-0200-0000BB010000}"/>
    <hyperlink ref="AB107" r:id="rId445" xr:uid="{00000000-0004-0000-0200-0000BC010000}"/>
    <hyperlink ref="AB108" r:id="rId446" xr:uid="{00000000-0004-0000-0200-0000BD010000}"/>
    <hyperlink ref="AB119" r:id="rId447" xr:uid="{00000000-0004-0000-0200-0000BE010000}"/>
    <hyperlink ref="AB120" r:id="rId448" xr:uid="{00000000-0004-0000-0200-0000BF010000}"/>
    <hyperlink ref="AB126" r:id="rId449" xr:uid="{00000000-0004-0000-0200-0000C0010000}"/>
    <hyperlink ref="AB145" r:id="rId450" xr:uid="{00000000-0004-0000-0200-0000C1010000}"/>
    <hyperlink ref="W625:W630" r:id="rId451" display="https://twitter.com/edgarsrinkevics/status/1511694357560180745?ref_src=twsrc%5Etfw%7Ctwcamp%5Etweetembed%7Ctwterm%5E1511694357560180745%7Ctwgr%5E%7Ctwcon%5Es1_&amp;ref_url=https%3A%2F%2Fwww.redditmedia.com%2Fmediaembed%2Ftxqhaq%3Fresponsive%3Dtrueis_nightmode%3Dfalse" xr:uid="{00000000-0004-0000-0200-0000C2010000}"/>
    <hyperlink ref="AB625:AB630" r:id="rId452" display="https://twitter.com/edgarsrinkevics/status/1511694357560180745?ref_src=twsrc%5Etfw%7Ctwcamp%5Etweetembed%7Ctwterm%5E1511694357560180745%7Ctwgr%5E%7Ctwcon%5Es1_&amp;ref_url=https%3A%2F%2Fwww.redditmedia.com%2Fmediaembed%2Ftxqhaq%3Fresponsive%3Dtrueis_nightmode%3Dfalse" xr:uid="{00000000-0004-0000-0200-0000C3010000}"/>
    <hyperlink ref="V912" r:id="rId453" xr:uid="{00000000-0004-0000-0200-0000C4010000}"/>
    <hyperlink ref="W912" r:id="rId454" xr:uid="{00000000-0004-0000-0200-0000C5010000}"/>
    <hyperlink ref="X912" r:id="rId455" xr:uid="{00000000-0004-0000-0200-0000C6010000}"/>
    <hyperlink ref="V936" r:id="rId456" xr:uid="{00000000-0004-0000-0200-0000C7010000}"/>
    <hyperlink ref="W35" r:id="rId457" xr:uid="{00000000-0004-0000-0200-0000C8010000}"/>
    <hyperlink ref="V35" r:id="rId458" xr:uid="{00000000-0004-0000-0200-0000C9010000}"/>
    <hyperlink ref="V53" r:id="rId459" xr:uid="{00000000-0004-0000-0200-0000CA010000}"/>
    <hyperlink ref="V60:V64" r:id="rId460" display="https://mil.in.ua/en/news/belgium-made-a-decision-to-hand-over-artillery-to-ukraine-the-media/" xr:uid="{00000000-0004-0000-0200-0000CB010000}"/>
    <hyperlink ref="AB60:AB64" r:id="rId461" display="https://mil.in.ua/en/news/belgium-made-a-decision-to-hand-over-artillery-to-ukraine-the-media/" xr:uid="{00000000-0004-0000-0200-0000CC010000}"/>
    <hyperlink ref="W82" r:id="rId462" xr:uid="{00000000-0004-0000-0200-0000CD010000}"/>
    <hyperlink ref="X82" r:id="rId463" xr:uid="{00000000-0004-0000-0200-0000CE010000}"/>
    <hyperlink ref="V82" r:id="rId464" xr:uid="{00000000-0004-0000-0200-0000CF010000}"/>
    <hyperlink ref="X84:X85" r:id="rId465" display="https://www.euractiv.com/section/politics/short_news/bulgaria-sends-helmets-to-ukrain%D0%B5/" xr:uid="{00000000-0004-0000-0200-0000D0010000}"/>
    <hyperlink ref="V152" r:id="rId466" xr:uid="{00000000-0004-0000-0200-0000D1010000}"/>
    <hyperlink ref="W152" r:id="rId467" xr:uid="{00000000-0004-0000-0200-0000D2010000}"/>
    <hyperlink ref="AB156:AB167" r:id="rId468" display="https://www.vlada.cz/cz/media-centrum/aktualne/vlada-schvalila-dalsi-dar-v-podobe-vojenskeho-materialu-ukrajine-194585/" xr:uid="{00000000-0004-0000-0200-0000D3010000}"/>
    <hyperlink ref="AB155" r:id="rId469" xr:uid="{00000000-0004-0000-0200-0000D4010000}"/>
    <hyperlink ref="V2" r:id="rId470" xr:uid="{00000000-0004-0000-0200-0000D5010000}"/>
    <hyperlink ref="W2" r:id="rId471" xr:uid="{00000000-0004-0000-0200-0000D6010000}"/>
    <hyperlink ref="AB168:AB173" r:id="rId472" display="https://www.rferl.org/a/czech-republic-poland-new-military-aid-ukraine/31873938.html" xr:uid="{00000000-0004-0000-0200-0000D7010000}"/>
    <hyperlink ref="AB175:AB176" r:id="rId473" display="Czech Republic, Poland Set New Rounds Of Military Aid To Ukraine (rferl.org)" xr:uid="{00000000-0004-0000-0200-0000D8010000}"/>
    <hyperlink ref="AB174" r:id="rId474" xr:uid="{00000000-0004-0000-0200-0000D9010000}"/>
    <hyperlink ref="AB177" r:id="rId475" xr:uid="{00000000-0004-0000-0200-0000DA010000}"/>
    <hyperlink ref="AB178" r:id="rId476" xr:uid="{00000000-0004-0000-0200-0000DB010000}"/>
    <hyperlink ref="AB179" r:id="rId477" xr:uid="{00000000-0004-0000-0200-0000DC010000}"/>
    <hyperlink ref="AB180" r:id="rId478" xr:uid="{00000000-0004-0000-0200-0000DD010000}"/>
    <hyperlink ref="AB182" r:id="rId479" xr:uid="{00000000-0004-0000-0200-0000DE010000}"/>
    <hyperlink ref="W6" r:id="rId480" xr:uid="{00000000-0004-0000-0200-0000DF010000}"/>
    <hyperlink ref="V7" r:id="rId481" xr:uid="{00000000-0004-0000-0200-0000E0010000}"/>
    <hyperlink ref="W7" r:id="rId482" xr:uid="{00000000-0004-0000-0200-0000E1010000}"/>
    <hyperlink ref="X7" r:id="rId483" xr:uid="{00000000-0004-0000-0200-0000E2010000}"/>
    <hyperlink ref="X8" r:id="rId484" xr:uid="{00000000-0004-0000-0200-0000E3010000}"/>
    <hyperlink ref="V14" r:id="rId485" xr:uid="{00000000-0004-0000-0200-0000E4010000}"/>
    <hyperlink ref="AB18:AB19" r:id="rId486" display="https://www.armyrecognition.com/defense_news_may_2022_global_security_army_industry/australia_announces_delivery_of_14_m113_tracked_apcs_and_20_bushmaster_armored_vehicles_to_ukraine.html" xr:uid="{00000000-0004-0000-0200-0000E5010000}"/>
    <hyperlink ref="AB14:AB15" r:id="rId487" display="https://www.armyrecognition.com/defense_news_may_2022_global_security_army_industry/australia_announces_delivery_of_14_m113_tracked_apcs_and_20_bushmaster_armored_vehicles_to_ukraine.html" xr:uid="{00000000-0004-0000-0200-0000E6010000}"/>
    <hyperlink ref="V8" r:id="rId488" xr:uid="{00000000-0004-0000-0200-0000E7010000}"/>
    <hyperlink ref="AB738:AB740" r:id="rId489" display="https://www.rnz.co.nz/news/national/464762/first-shipment-of-nz-defence-equipment-arrives-to-aid-ukraine" xr:uid="{00000000-0004-0000-0200-0000E8010000}"/>
    <hyperlink ref="AB755:AB761" r:id="rId490" display="https://www-forsvaret-no.translate.goog/aktuelt-og-presse/aktuelt/sender-militaerutstyr-og-vapen-til-ukraina?_x_tr_sl=auto&amp;_x_tr_tl=auto&amp;_x_tr_hl=de" xr:uid="{00000000-0004-0000-0200-0000E9010000}"/>
    <hyperlink ref="V842" r:id="rId491" xr:uid="{00000000-0004-0000-0200-0000EA010000}"/>
    <hyperlink ref="W842" r:id="rId492" xr:uid="{00000000-0004-0000-0200-0000EB010000}"/>
    <hyperlink ref="X842" r:id="rId493" xr:uid="{00000000-0004-0000-0200-0000EC010000}"/>
    <hyperlink ref="AB819" r:id="rId494" xr:uid="{00000000-0004-0000-0200-0000ED010000}"/>
    <hyperlink ref="W819" r:id="rId495" xr:uid="{00000000-0004-0000-0200-0000EE010000}"/>
    <hyperlink ref="V819" r:id="rId496" xr:uid="{00000000-0004-0000-0200-0000EF010000}"/>
    <hyperlink ref="W826" r:id="rId497" xr:uid="{00000000-0004-0000-0200-0000F0010000}"/>
    <hyperlink ref="V826" r:id="rId498" xr:uid="{00000000-0004-0000-0200-0000F1010000}"/>
    <hyperlink ref="X826" r:id="rId499" xr:uid="{00000000-0004-0000-0200-0000F2010000}"/>
    <hyperlink ref="W827" r:id="rId500" xr:uid="{00000000-0004-0000-0200-0000F3010000}"/>
    <hyperlink ref="V827" r:id="rId501" xr:uid="{00000000-0004-0000-0200-0000F4010000}"/>
    <hyperlink ref="W812" r:id="rId502" xr:uid="{00000000-0004-0000-0200-0000F5010000}"/>
    <hyperlink ref="V812" r:id="rId503" xr:uid="{00000000-0004-0000-0200-0000F6010000}"/>
    <hyperlink ref="V933" r:id="rId504" xr:uid="{00000000-0004-0000-0200-0000F7010000}"/>
    <hyperlink ref="V848" r:id="rId505" xr:uid="{00000000-0004-0000-0200-0000F8010000}"/>
    <hyperlink ref="X640" r:id="rId506" xr:uid="{00000000-0004-0000-0200-0000F9010000}"/>
    <hyperlink ref="V204:V205" r:id="rId507" display="https://english.radio.cz/czech-republic-sends-further-humanitarian-aid-ukraine-8752601" xr:uid="{00000000-0004-0000-0200-0000FA010000}"/>
    <hyperlink ref="AB204:AB205" r:id="rId508" display="https://english.radio.cz/czech-republic-sends-further-humanitarian-aid-ukraine-8752601" xr:uid="{00000000-0004-0000-0200-0000FB010000}"/>
    <hyperlink ref="AB233:AB251" r:id="rId509" display="https://www.ukrinform.net/rubric-polytics/3501933-estonia-has-provided-240m-in-military-aid-to-ukraine-korniyenko.html" xr:uid="{00000000-0004-0000-0200-0000FC010000}"/>
    <hyperlink ref="AB580" r:id="rId510" xr:uid="{00000000-0004-0000-0200-0000FD010000}"/>
    <hyperlink ref="AB998:AB999" r:id="rId511" display="https://www.forces.net/technology/weapons-and-kit/latest-military-aid-being-sent-ukraine-west" xr:uid="{00000000-0004-0000-0200-0000FE010000}"/>
    <hyperlink ref="AB763:AB766" r:id="rId512" display="https://www-regjeringen-no.translate.goog/no/aktuelt/norge-har-donert-artilleriskyts-til-ukraina/id2917760/?_x_tr_sl=auto&amp;_x_tr_tl=auto&amp;_x_tr_hl=de" xr:uid="{00000000-0004-0000-0200-0000FF010000}"/>
    <hyperlink ref="V763:V766" r:id="rId513" display="https://www-regjeringen-no.translate.goog/no/aktuelt/norge-har-donert-artilleriskyts-til-ukraina/id2917760/?_x_tr_sl=auto&amp;_x_tr_tl=auto&amp;_x_tr_hl=de" xr:uid="{00000000-0004-0000-0200-000000020000}"/>
    <hyperlink ref="W763:W766" r:id="rId514" display="https://www.ukrinform.net/rubric-ato/3502204-norway-donates-22-m109-howitzers-to-ukraine.html" xr:uid="{00000000-0004-0000-0200-000001020000}"/>
    <hyperlink ref="AB850" r:id="rId515" xr:uid="{00000000-0004-0000-0200-000002020000}"/>
    <hyperlink ref="AB939:AB942" r:id="rId516" display="https://www.reuters.com/world/europe/sweden-provide-ukraine-with-5000-more-anti-tank-weapons-tt-news-agency-2022-03-23/" xr:uid="{00000000-0004-0000-0200-000003020000}"/>
    <hyperlink ref="AB944" r:id="rId517" xr:uid="{00000000-0004-0000-0200-000004020000}"/>
    <hyperlink ref="Y912" r:id="rId518" xr:uid="{00000000-0004-0000-0200-000005020000}"/>
    <hyperlink ref="AB819:AB825" r:id="rId519" display="https://www.theportugalnews.com/news/2022-04-07/portugal-to-send-more-military-material-to-ukraine/66259" xr:uid="{00000000-0004-0000-0200-000006020000}"/>
    <hyperlink ref="V948" r:id="rId520" xr:uid="{00000000-0004-0000-0200-000007020000}"/>
    <hyperlink ref="V949" r:id="rId521" xr:uid="{00000000-0004-0000-0200-000008020000}"/>
    <hyperlink ref="W945:W947" r:id="rId522" display="https://twitter.com/AnnLinde/status/1532316643254226945?ref_src=twsrc%5Etfw%7Ctwcamp%5Etweetembed%7Ctwterm%5E1532316643254226945%7Ctwgr%5E%7Ctwcon%5Es1_&amp;ref_url=https%3A%2F%2Fmezha.media%2Fen%2F2022%2F06%2F03%2Frbs-17-swedish-short-range-anti-ship-missile%2F" xr:uid="{00000000-0004-0000-0200-000009020000}"/>
    <hyperlink ref="W948" r:id="rId523" display="https://twitter.com/AnnLinde/status/1532316643254226945?ref_src=twsrc%5Etfw%7Ctwcamp%5Etweetembed%7Ctwterm%5E1532316643254226945%7Ctwgr%5E%7Ctwcon%5Es1_&amp;ref_url=https%3A%2F%2Fmezha.media%2Fen%2F2022%2F06%2F03%2Frbs-17-swedish-short-range-anti-ship-missile%2F" xr:uid="{00000000-0004-0000-0200-00000A020000}"/>
    <hyperlink ref="W949" r:id="rId524" display="https://twitter.com/AnnLinde/status/1532316643254226945?ref_src=twsrc%5Etfw%7Ctwcamp%5Etweetembed%7Ctwterm%5E1532316643254226945%7Ctwgr%5E%7Ctwcon%5Es1_&amp;ref_url=https%3A%2F%2Fmezha.media%2Fen%2F2022%2F06%2F03%2Frbs-17-swedish-short-range-anti-ship-missile%2F" xr:uid="{00000000-0004-0000-0200-00000B020000}"/>
    <hyperlink ref="X945:X947" r:id="rId525" display="https://www.reuters.com/world/europe/sweden-supply-more-military-aid-including-anti-ship-missiles-ukraine-2022-06-02/" xr:uid="{00000000-0004-0000-0200-00000C020000}"/>
    <hyperlink ref="X948" r:id="rId526" xr:uid="{00000000-0004-0000-0200-00000D020000}"/>
    <hyperlink ref="X949" r:id="rId527" xr:uid="{00000000-0004-0000-0200-00000E020000}"/>
    <hyperlink ref="W582:W585" r:id="rId528" display="https://mil.in.ua/en/news/the-netherlands-italy-and-belgium-have-agreed-to-transfer-the-additional-155-mm-caliber-acs-to-ukraine/" xr:uid="{00000000-0004-0000-0200-00000F020000}"/>
    <hyperlink ref="V6" r:id="rId529" xr:uid="{00000000-0004-0000-0200-000010020000}"/>
    <hyperlink ref="W16:W17" r:id="rId530" display="https://www.abc.net.au/news/2022-02-27/australia-send-weapons-nato-ukraine-war-russia/100865712" xr:uid="{00000000-0004-0000-0200-000011020000}"/>
    <hyperlink ref="W197" r:id="rId531" xr:uid="{00000000-0004-0000-0200-000012020000}"/>
    <hyperlink ref="X197" r:id="rId532" xr:uid="{00000000-0004-0000-0200-000013020000}"/>
    <hyperlink ref="V197" r:id="rId533" xr:uid="{00000000-0004-0000-0200-000014020000}"/>
    <hyperlink ref="V330" r:id="rId534" xr:uid="{00000000-0004-0000-0200-000015020000}"/>
    <hyperlink ref="W330" r:id="rId535" xr:uid="{00000000-0004-0000-0200-000016020000}"/>
    <hyperlink ref="X330" r:id="rId536" xr:uid="{00000000-0004-0000-0200-000017020000}"/>
    <hyperlink ref="Y582:Y585" r:id="rId537" display="https://www.ilmessaggero.it/mondo/armi_italia_ucraina_inviate_quali_sono_guerra_russia_ultime_notizie-6743279.html" xr:uid="{00000000-0004-0000-0200-000018020000}"/>
    <hyperlink ref="X60:X61" r:id="rId538" display="https://www.thebulletin.be/belgium-send-more-weapons-and-fuel-ukraine" xr:uid="{00000000-0004-0000-0200-000019020000}"/>
    <hyperlink ref="X62:X63" r:id="rId539" display="https://www.thebulletin.be/belgium-send-more-weapons-and-fuel-ukraine" xr:uid="{00000000-0004-0000-0200-00001A020000}"/>
    <hyperlink ref="W143" r:id="rId540" xr:uid="{00000000-0004-0000-0200-00001B020000}"/>
    <hyperlink ref="AB175" r:id="rId541" xr:uid="{00000000-0004-0000-0200-00001C020000}"/>
    <hyperlink ref="AB176" r:id="rId542" xr:uid="{00000000-0004-0000-0200-00001D020000}"/>
    <hyperlink ref="V233:V251" r:id="rId543" location=":~:text=Estonian%20people%2C%20government%20and%20private,aid%20to%20Ukraine%20in%20total &amp;text=Govermental%20aid%20means%20means%20assistance,state%20budget%20through%20state%20agencies" display="https://vm.ee/en/humanitarian-aid-ukraine#:~:text=Estonian%20people%2C%20government%20and%20private,aid%20to%20Ukraine%20in%20total &amp;text=Govermental%20aid%20means%20means%20assistance,state%20budget%20through%20state%20agencies " xr:uid="{00000000-0004-0000-0200-00001E020000}"/>
    <hyperlink ref="W233:W252" r:id="rId544" display="https://kaitseministeerium.ee/en/news/estonia-donated-missiles-anti-tank-weapon-system-javelin-ukraine" xr:uid="{00000000-0004-0000-0200-00001F020000}"/>
    <hyperlink ref="X233:X252" r:id="rId545" display="https://news.err.ee/1608589426/estonia-s-military-aid-to-ukraine-totals-230-million" xr:uid="{00000000-0004-0000-0200-000020020000}"/>
    <hyperlink ref="AB233:AB252" r:id="rId546" display="https://www.ukrinform.net/rubric-polytics/3501933-estonia-has-provided-240m-in-military-aid-to-ukraine-korniyenko.html" xr:uid="{00000000-0004-0000-0200-000021020000}"/>
    <hyperlink ref="V252" r:id="rId547" xr:uid="{00000000-0004-0000-0200-000022020000}"/>
    <hyperlink ref="V313:V318" r:id="rId548" display="https://www.diplomatie.gouv.fr/en/country-files/ukraine/news/article/ukraine-france-mobilizes-to-deliver-emergency-medical-aid-to-victims-of-the" xr:uid="{00000000-0004-0000-0200-000023020000}"/>
    <hyperlink ref="W313:W318" r:id="rId549" display="https://www.lefigaro.fr/flash-actu/la-france-a-envoye-33-tonnes-d-aide-humanitaire-pour-l-ukraine-20220228" xr:uid="{00000000-0004-0000-0200-000024020000}"/>
    <hyperlink ref="X313:X318" r:id="rId550" display="https://www.reuters.com/world/europe/france-offer-100-mln-euros-humanitarian-aid-ukraine-2022-03-01/" xr:uid="{00000000-0004-0000-0200-000025020000}"/>
    <hyperlink ref="V320:V324" r:id="rId551" display="https://ec.europa.eu/echo/news-stories/news/ukraine-eu-delivers-additional-assistance-rescue-vehicles-and-emergency-equipment-2022-03-25_de" xr:uid="{00000000-0004-0000-0200-000026020000}"/>
    <hyperlink ref="V582:V585" r:id="rId552" display="https://www.gazzettaufficiale.it/atto/serie_generale/caricaDettaglioAtto/originario?atto.dataPubblicazioneGazzetta=2022-05-13&amp;atto.codiceRedazionale=22A02976&amp;elenco30giorni=false" xr:uid="{00000000-0004-0000-0200-000027020000}"/>
    <hyperlink ref="X582:X585" r:id="rId553" display="https://www.fanpage.it/politica/armi-allucraina-arriva-il-terzo-decreto-del-governo-lelenco-e-secretato-come-i-precedenti/" xr:uid="{00000000-0004-0000-0200-000028020000}"/>
    <hyperlink ref="W994" r:id="rId554" xr:uid="{00000000-0004-0000-0200-000029020000}"/>
    <hyperlink ref="V1000:V1006" r:id="rId555" display="https://www.gov.uk/government/news/uk-to-bolster-defensive-aid-to-ukraine-with-new-100m-package" xr:uid="{00000000-0004-0000-0200-00002A020000}"/>
    <hyperlink ref="W1000:W1006" r:id="rId556" display="https://www.gov.uk/government/speeches/pm-opening-remarks-at-press-conference-with-german-chancellor-olaf-scholz-8-april-2022" xr:uid="{00000000-0004-0000-0200-00002B020000}"/>
    <hyperlink ref="X1000:X1006" r:id="rId557" display="https://www.gov.uk/government/news/prime-minister-pledges-uks-unwavering-support-to-ukraine-on-visit-to-kyiv-9-april-2022" xr:uid="{00000000-0004-0000-0200-00002C020000}"/>
    <hyperlink ref="W1007:W1008" r:id="rId558" display="https://edition.cnn.com/2022/04/09/europe/ukraine-uk-boris-johnson-intl-gbr/index.html" xr:uid="{00000000-0004-0000-0200-00002D020000}"/>
    <hyperlink ref="V1112:V1115" r:id="rId559" display="https://www.whitehouse.gov/briefing-room/statements-releases/2022/05/06/statement-by-president-joe-biden-on-additional-security-assistance-to-ukraine/" xr:uid="{00000000-0004-0000-0200-00002E020000}"/>
    <hyperlink ref="V567" r:id="rId560" xr:uid="{00000000-0004-0000-0200-00002F020000}"/>
    <hyperlink ref="V813" r:id="rId561" xr:uid="{00000000-0004-0000-0200-000030020000}"/>
    <hyperlink ref="V831" r:id="rId562" xr:uid="{00000000-0004-0000-0200-000031020000}"/>
    <hyperlink ref="V849" r:id="rId563" xr:uid="{00000000-0004-0000-0200-000032020000}"/>
    <hyperlink ref="V276" r:id="rId564" xr:uid="{00000000-0004-0000-0200-000033020000}"/>
    <hyperlink ref="V277:V279" r:id="rId565" display="https://intermin.fi/en/ukraine/civilian-assistance-to-ukraine" xr:uid="{00000000-0004-0000-0200-000034020000}"/>
    <hyperlink ref="V280" r:id="rId566" xr:uid="{00000000-0004-0000-0200-000035020000}"/>
    <hyperlink ref="V281" r:id="rId567" xr:uid="{00000000-0004-0000-0200-000036020000}"/>
    <hyperlink ref="V282" r:id="rId568" xr:uid="{00000000-0004-0000-0200-000037020000}"/>
    <hyperlink ref="V283" r:id="rId569" xr:uid="{00000000-0004-0000-0200-000038020000}"/>
    <hyperlink ref="V284" r:id="rId570" xr:uid="{00000000-0004-0000-0200-000039020000}"/>
    <hyperlink ref="V285" r:id="rId571" xr:uid="{00000000-0004-0000-0200-00003A020000}"/>
    <hyperlink ref="V286" r:id="rId572" xr:uid="{00000000-0004-0000-0200-00003B020000}"/>
    <hyperlink ref="V287" r:id="rId573" xr:uid="{00000000-0004-0000-0200-00003C020000}"/>
    <hyperlink ref="V288" r:id="rId574" xr:uid="{00000000-0004-0000-0200-00003D020000}"/>
    <hyperlink ref="Y958" r:id="rId575" xr:uid="{00000000-0004-0000-0200-00003E020000}"/>
    <hyperlink ref="X4" r:id="rId576" xr:uid="{00000000-0004-0000-0200-00003F020000}"/>
    <hyperlink ref="V4" r:id="rId577" xr:uid="{00000000-0004-0000-0200-000040020000}"/>
    <hyperlink ref="W4" r:id="rId578" xr:uid="{00000000-0004-0000-0200-000041020000}"/>
    <hyperlink ref="X18" r:id="rId579" xr:uid="{00000000-0004-0000-0200-000042020000}"/>
    <hyperlink ref="V746" r:id="rId580" xr:uid="{00000000-0004-0000-0200-000043020000}"/>
    <hyperlink ref="V750" r:id="rId581" xr:uid="{00000000-0004-0000-0200-000044020000}"/>
    <hyperlink ref="X763" r:id="rId582" xr:uid="{00000000-0004-0000-0200-000045020000}"/>
    <hyperlink ref="V768" r:id="rId583" xr:uid="{00000000-0004-0000-0200-000046020000}"/>
    <hyperlink ref="V782" r:id="rId584" xr:uid="{00000000-0004-0000-0200-000047020000}"/>
    <hyperlink ref="W782" r:id="rId585" xr:uid="{00000000-0004-0000-0200-000048020000}"/>
    <hyperlink ref="V131" r:id="rId586" xr:uid="{00000000-0004-0000-0200-000049020000}"/>
    <hyperlink ref="W131" r:id="rId587" display="https://twitter.com/KyivIndependent/status/1542585476414070786?ref_src=twsrc%5Etfw%7Ctwcamp%5Etweetembed%7Ctwterm%5E1542585476414070786%7Ctwgr%5E%7Ctwcon%5Es1_&amp;ref_url=https%3A%2F%2Fwww.republicworld.com%2Fworld-news%2Frussia-ukraine-crisis%2Fcanadas-pm-pledges-to-deliver-dozens-of-brand-new-armoured-personnel-carriers-to-ukraine-articleshow.html" xr:uid="{00000000-0004-0000-0200-00004A020000}"/>
    <hyperlink ref="Y224:Y226" r:id="rId588" display="https://mil.in.ua/en/news/harpoon-what-is-known-about-danish-coastal-missile-systems/" xr:uid="{00000000-0004-0000-0200-00004B020000}"/>
    <hyperlink ref="Y641:Y643" r:id="rId589" display="https://www.lrt.lt/en/news-in-english/19/1702318/lithuania-among-top-15-of-ukraine-s-military-donors-mp" xr:uid="{00000000-0004-0000-0200-00004C020000}"/>
    <hyperlink ref="V702" r:id="rId590" xr:uid="{00000000-0004-0000-0200-00004D020000}"/>
    <hyperlink ref="V702:V717" r:id="rId591" display="https://english.defensie.nl/latest/news/2022/04/06/a-look-at-the-defence-news-28-march---3-april" xr:uid="{00000000-0004-0000-0200-00004E020000}"/>
    <hyperlink ref="W702" r:id="rId592" xr:uid="{00000000-0004-0000-0200-00004F020000}"/>
    <hyperlink ref="X702" r:id="rId593" xr:uid="{00000000-0004-0000-0200-000050020000}"/>
    <hyperlink ref="Y702" r:id="rId594" xr:uid="{00000000-0004-0000-0200-000051020000}"/>
    <hyperlink ref="AB702" r:id="rId595" xr:uid="{00000000-0004-0000-0200-000052020000}"/>
    <hyperlink ref="W711" r:id="rId596" xr:uid="{00000000-0004-0000-0200-000053020000}"/>
    <hyperlink ref="X711:X714" r:id="rId597" display="https://www.rijksoverheid.nl/documenten/kamerstukken/2022/02/27/kamerbrief-update-afgifte-vergunning-voor-de-export-van-militaire-goederen-aan-oekraine" xr:uid="{00000000-0004-0000-0200-000054020000}"/>
    <hyperlink ref="W715" r:id="rId598" xr:uid="{00000000-0004-0000-0200-000055020000}"/>
    <hyperlink ref="V568" r:id="rId599" location=":~:text=%E2%80%9CIreland%20is%20sending%20another%20significant,the%20wider%20coordinated%20EU%20effort." xr:uid="{00000000-0004-0000-0200-000056020000}"/>
    <hyperlink ref="W568" r:id="rId600" xr:uid="{00000000-0004-0000-0200-000057020000}"/>
    <hyperlink ref="V18:V19" r:id="rId601" display="https://www.peterdutton.com.au/australia-to-provide-armoured-personnel-carriers-and-more-bushmasters-to-ukraine/" xr:uid="{00000000-0004-0000-0200-000058020000}"/>
    <hyperlink ref="V1391" r:id="rId602" xr:uid="{00000000-0004-0000-0200-000059020000}"/>
    <hyperlink ref="V834" r:id="rId603" xr:uid="{00000000-0004-0000-0200-00005A020000}"/>
    <hyperlink ref="W834" r:id="rId604" xr:uid="{00000000-0004-0000-0200-00005B020000}"/>
    <hyperlink ref="V139" r:id="rId605" xr:uid="{00000000-0004-0000-0200-00005C020000}"/>
    <hyperlink ref="V140" r:id="rId606" xr:uid="{00000000-0004-0000-0200-00005D020000}"/>
    <hyperlink ref="Y92" r:id="rId607" xr:uid="{00000000-0004-0000-0200-00005E020000}"/>
    <hyperlink ref="V183" r:id="rId608" location=":~:text=Ukrainian%20armoured%20vehicles%20will%20be%20repaired%20in%20the%20Czech%20Republic,-19.&amp;text=The%20Ministry%20of%20Defence%20of,the%20Czech%20Republic%20and%20Slovakia." display="https://www.czdefence.com/article/ukrainian-armoured-vehicles-will-be-repaired-in-the-czech-republic#:~:text=Ukrainian%20armoured%20vehicles%20will%20be%20repaired%20in%20the%20Czech%20Republic,-19.&amp;text=The%20Ministry%20of%20Defence%20of,the%20Czech%20Republic%20and%20Slovakia." xr:uid="{00000000-0004-0000-0200-00005F020000}"/>
    <hyperlink ref="V186" r:id="rId609" xr:uid="{00000000-0004-0000-0200-000060020000}"/>
    <hyperlink ref="V187" r:id="rId610" xr:uid="{00000000-0004-0000-0200-000061020000}"/>
    <hyperlink ref="AB187" r:id="rId611" xr:uid="{00000000-0004-0000-0200-000062020000}"/>
    <hyperlink ref="AB188" r:id="rId612" xr:uid="{00000000-0004-0000-0200-000063020000}"/>
    <hyperlink ref="V189" r:id="rId613" xr:uid="{00000000-0004-0000-0200-000064020000}"/>
    <hyperlink ref="W189" r:id="rId614" xr:uid="{00000000-0004-0000-0200-000065020000}"/>
    <hyperlink ref="V190" r:id="rId615" xr:uid="{00000000-0004-0000-0200-000066020000}"/>
    <hyperlink ref="V94" r:id="rId616" location=":~:text=Canada%20will%20provide%20%24200%20million,administrative%20burden%20on%20Ukrainian%20officials" xr:uid="{00000000-0004-0000-0200-000067020000}"/>
    <hyperlink ref="W94" r:id="rId617" xr:uid="{00000000-0004-0000-0200-000068020000}"/>
    <hyperlink ref="V102" r:id="rId618" location=":~:text=Canada%20will%20provide%20%24200%20million,administrative%20burden%20on%20Ukrainian%20officials" xr:uid="{00000000-0004-0000-0200-000069020000}"/>
    <hyperlink ref="W102" r:id="rId619" xr:uid="{00000000-0004-0000-0200-00006A020000}"/>
    <hyperlink ref="V103" r:id="rId620" location=":~:text=Canada%20will%20provide%20%24200%20million,administrative%20burden%20on%20Ukrainian%20officials" xr:uid="{00000000-0004-0000-0200-00006B020000}"/>
    <hyperlink ref="V340" r:id="rId621" xr:uid="{00000000-0004-0000-0200-00006C020000}"/>
    <hyperlink ref="V341" r:id="rId622" xr:uid="{00000000-0004-0000-0200-00006D020000}"/>
    <hyperlink ref="V342" r:id="rId623" xr:uid="{00000000-0004-0000-0200-00006E020000}"/>
    <hyperlink ref="V338" r:id="rId624" xr:uid="{00000000-0004-0000-0200-00006F020000}"/>
    <hyperlink ref="V125" r:id="rId625" xr:uid="{00000000-0004-0000-0200-000070020000}"/>
    <hyperlink ref="V126" r:id="rId626" xr:uid="{00000000-0004-0000-0200-000071020000}"/>
    <hyperlink ref="AB125" r:id="rId627" xr:uid="{00000000-0004-0000-0200-000072020000}"/>
    <hyperlink ref="W125" r:id="rId628" xr:uid="{00000000-0004-0000-0200-000073020000}"/>
    <hyperlink ref="X125" r:id="rId629" xr:uid="{00000000-0004-0000-0200-000074020000}"/>
    <hyperlink ref="V794" r:id="rId630" xr:uid="{00000000-0004-0000-0200-000075020000}"/>
    <hyperlink ref="V795" r:id="rId631" location=":~:text=Poland%20has%20sent%20at%20least,escalating%20fight%20for%20its%20east" xr:uid="{00000000-0004-0000-0200-000076020000}"/>
    <hyperlink ref="W795" r:id="rId632" xr:uid="{00000000-0004-0000-0200-000077020000}"/>
    <hyperlink ref="X795" r:id="rId633" xr:uid="{00000000-0004-0000-0200-000078020000}"/>
    <hyperlink ref="Y795" r:id="rId634" xr:uid="{00000000-0004-0000-0200-000079020000}"/>
    <hyperlink ref="AB795" r:id="rId635" xr:uid="{00000000-0004-0000-0200-00007A020000}"/>
    <hyperlink ref="AB796" r:id="rId636" xr:uid="{00000000-0004-0000-0200-00007B020000}"/>
    <hyperlink ref="AB797" r:id="rId637" xr:uid="{00000000-0004-0000-0200-00007C020000}"/>
    <hyperlink ref="AB798" r:id="rId638" xr:uid="{00000000-0004-0000-0200-00007D020000}"/>
    <hyperlink ref="AB799" r:id="rId639" xr:uid="{00000000-0004-0000-0200-00007E020000}"/>
    <hyperlink ref="AB800" r:id="rId640" xr:uid="{00000000-0004-0000-0200-00007F020000}"/>
    <hyperlink ref="AB801" r:id="rId641" xr:uid="{00000000-0004-0000-0200-000080020000}"/>
    <hyperlink ref="AB802" r:id="rId642" xr:uid="{00000000-0004-0000-0200-000081020000}"/>
    <hyperlink ref="AB803" r:id="rId643" xr:uid="{00000000-0004-0000-0200-000082020000}"/>
    <hyperlink ref="AB804" r:id="rId644" xr:uid="{00000000-0004-0000-0200-000083020000}"/>
    <hyperlink ref="V805" r:id="rId645" location=":~:text=%23Ukraine%3A%20Ukrainian%20forces%20started%20to,the%20front%20of%20the%20drone &amp;text=Warmate%20barrage%20ammunition%20was%20created,of%20Poland%20since%20autumn%202017" display="https://mezha.media/en/2022/04/25/the-warmate-uav-a-polish-alternative-to-the-switchblades-kamikaze-drone-already-in-ukraine/#:~:text=%23Ukraine%3A%20Ukrainian%20forces%20started%20to,the%20front%20of%20the%20drone &amp;text=Warmate%20barrage%20ammunition%20was%20created,of%20Poland%20since%20autumn%202017 " xr:uid="{00000000-0004-0000-0200-000084020000}"/>
    <hyperlink ref="AB805" r:id="rId646" xr:uid="{00000000-0004-0000-0200-000085020000}"/>
    <hyperlink ref="V863" r:id="rId647" xr:uid="{00000000-0004-0000-0200-000086020000}"/>
    <hyperlink ref="W863" r:id="rId648" xr:uid="{00000000-0004-0000-0200-000087020000}"/>
    <hyperlink ref="X863" r:id="rId649" xr:uid="{00000000-0004-0000-0200-000088020000}"/>
    <hyperlink ref="AB863" r:id="rId650" xr:uid="{00000000-0004-0000-0200-000089020000}"/>
    <hyperlink ref="V862" r:id="rId651" xr:uid="{00000000-0004-0000-0200-00008A020000}"/>
    <hyperlink ref="V892" r:id="rId652" xr:uid="{00000000-0004-0000-0200-00008B020000}"/>
    <hyperlink ref="W892" r:id="rId653" xr:uid="{00000000-0004-0000-0200-00008C020000}"/>
    <hyperlink ref="X892" r:id="rId654" xr:uid="{00000000-0004-0000-0200-00008D020000}"/>
    <hyperlink ref="AB892" r:id="rId655" xr:uid="{00000000-0004-0000-0200-00008E020000}"/>
    <hyperlink ref="V976" r:id="rId656" xr:uid="{00000000-0004-0000-0200-00008F020000}"/>
    <hyperlink ref="V977" r:id="rId657" xr:uid="{00000000-0004-0000-0200-000090020000}"/>
    <hyperlink ref="V979" r:id="rId658" xr:uid="{00000000-0004-0000-0200-000091020000}"/>
    <hyperlink ref="V980" r:id="rId659" xr:uid="{00000000-0004-0000-0200-000092020000}"/>
    <hyperlink ref="V984" r:id="rId660" xr:uid="{00000000-0004-0000-0200-000093020000}"/>
    <hyperlink ref="V1012" r:id="rId661" xr:uid="{00000000-0004-0000-0200-000094020000}"/>
    <hyperlink ref="W1012" r:id="rId662" xr:uid="{00000000-0004-0000-0200-000095020000}"/>
    <hyperlink ref="V1018" r:id="rId663" xr:uid="{00000000-0004-0000-0200-000096020000}"/>
    <hyperlink ref="V1019" r:id="rId664" xr:uid="{00000000-0004-0000-0200-000097020000}"/>
    <hyperlink ref="W636" r:id="rId665" xr:uid="{00000000-0004-0000-0200-000098020000}"/>
    <hyperlink ref="V1122" r:id="rId666" xr:uid="{00000000-0004-0000-0200-000099020000}"/>
    <hyperlink ref="V1133" r:id="rId667" xr:uid="{00000000-0004-0000-0200-00009A020000}"/>
    <hyperlink ref="V982" r:id="rId668" xr:uid="{00000000-0004-0000-0200-00009B020000}"/>
    <hyperlink ref="AB186" r:id="rId669" xr:uid="{00000000-0004-0000-0200-00009C020000}"/>
    <hyperlink ref="AB1012" r:id="rId670" xr:uid="{00000000-0004-0000-0200-00009D020000}"/>
    <hyperlink ref="V1146" r:id="rId671" xr:uid="{00000000-0004-0000-0200-00009E020000}"/>
    <hyperlink ref="V1254" r:id="rId672" xr:uid="{00000000-0004-0000-0200-00009F020000}"/>
    <hyperlink ref="V983" r:id="rId673" xr:uid="{00000000-0004-0000-0200-0000A0020000}"/>
    <hyperlink ref="V1235" r:id="rId674" location=":~:text=Through%20USAI%2C%20DoD%20will%20provide,repel%20Russia's%20war%20of%20choice" xr:uid="{00000000-0004-0000-0200-0000A1020000}"/>
    <hyperlink ref="X1235:X1249" r:id="rId675" display="https://www.19fortyfive.com/2022/04/switchblade-the-drone-giving-ukraine-a-big-edge-against-russia/" xr:uid="{00000000-0004-0000-0200-0000A2020000}"/>
    <hyperlink ref="V1235:V1249" r:id="rId676" location=":~:text=Through%20USAI%2C%20DoD%20will%20provide,repel%20Russia's%20war%20of%20choice" display="https://www.defense.gov/News/Releases/Release/Article/2987119/defense-department-announces-300-million-in-additional-assistance-for-ukraine/#:~:text=Through%20USAI%2C%20DoD%20will%20provide,repel%20Russia's%20war%20of%20choice" xr:uid="{00000000-0004-0000-0200-0000A3020000}"/>
    <hyperlink ref="W1235:W1249" r:id="rId677" display="https://www.whitehouse.gov/briefing-room/press-briefings/2022/04/04/press-briefing-by-press-secretary-jen-psaki-and-national-security-advisor-jake-sullivan/" xr:uid="{00000000-0004-0000-0200-0000A4020000}"/>
    <hyperlink ref="Y252" r:id="rId678" xr:uid="{00000000-0004-0000-0200-0000A5020000}"/>
    <hyperlink ref="X873" r:id="rId679" xr:uid="{00000000-0004-0000-0200-0000A6020000}"/>
    <hyperlink ref="W873" r:id="rId680" xr:uid="{00000000-0004-0000-0200-0000A7020000}"/>
    <hyperlink ref="V873" r:id="rId681" xr:uid="{00000000-0004-0000-0200-0000A8020000}"/>
    <hyperlink ref="V864:V865" r:id="rId682" location=":~:text=June%2016%2C%202022%2C%20at%202%3A26%20a.m.&amp;text=(Reuters)%20%2D%20Slovakia%20has%20donated,defence%20minister%20said%20on%20Thursday" display="https://www.usnews.com/news/world/articles/2022-06-16/slovaks-give-mi-helicopters-grad-rockets-to-ukraine#:~:text=June%2016%2C%202022%2C%20at%202%3A26%20a.m.&amp;text=(Reuters)%20%2D%20Slovakia%20has%20donated,defence%20minister%20said%20on%20Thursday." xr:uid="{00000000-0004-0000-0200-0000A9020000}"/>
    <hyperlink ref="W864:W865" r:id="rId683" display="https://kyivindependent.com/news-feed/slovakia-supplies-5-helicopters-ammunition-for-grad-multiple-rocket-launchers" xr:uid="{00000000-0004-0000-0200-0000AA020000}"/>
    <hyperlink ref="X864:X865" r:id="rId684" display="https://kyivindependent.com/news-feed/slovakia-supplies-5-helicopters-ammunition-for-grad-multiple-rocket-launchers" xr:uid="{00000000-0004-0000-0200-0000AB020000}"/>
    <hyperlink ref="AB864:AB865" r:id="rId685" display="https://twitter.com/JaroNad/status/1537194189066223616?ref_src=twsrc%5Etfw%7Ctwcamp%5Etweetembed%7Ctwterm%5E1537194189066223616%7Ctwgr%5E%7Ctwcon%5Es1_&amp;ref_url=https%3A%2F%2Fgagadget.com%2Fen%2F138212-slovakia-handed-over-to-ukraine-mi-17-and-mi-2-helicopters-as-well-as-ammunition-for-the-grad-mlrs%2F" xr:uid="{00000000-0004-0000-0200-0000AC020000}"/>
    <hyperlink ref="V59" r:id="rId686" xr:uid="{00000000-0004-0000-0200-0000AD020000}"/>
    <hyperlink ref="V89" r:id="rId687" xr:uid="{00000000-0004-0000-0200-0000AE020000}"/>
    <hyperlink ref="W89" r:id="rId688" xr:uid="{00000000-0004-0000-0200-0000AF020000}"/>
    <hyperlink ref="V144" r:id="rId689" xr:uid="{00000000-0004-0000-0200-0000B0020000}"/>
    <hyperlink ref="W144" r:id="rId690" xr:uid="{00000000-0004-0000-0200-0000B1020000}"/>
    <hyperlink ref="AB828" r:id="rId691" xr:uid="{00000000-0004-0000-0200-0000B2020000}"/>
    <hyperlink ref="V1139:V1145" r:id="rId692" display="https://www.defense.gov/News/News-Stories/Article/Article/3072692/president-authorizes-another-450-million-drawdown-to-support-ukraine/" xr:uid="{00000000-0004-0000-0200-0000B3020000}"/>
    <hyperlink ref="V631" r:id="rId693" xr:uid="{00000000-0004-0000-0200-0000B4020000}"/>
    <hyperlink ref="AB631" r:id="rId694" xr:uid="{00000000-0004-0000-0200-0000B5020000}"/>
    <hyperlink ref="AB644" r:id="rId695" xr:uid="{00000000-0004-0000-0200-0000B6020000}"/>
    <hyperlink ref="V644" r:id="rId696" xr:uid="{00000000-0004-0000-0200-0000B7020000}"/>
    <hyperlink ref="V647" r:id="rId697" xr:uid="{00000000-0004-0000-0200-0000B8020000}"/>
    <hyperlink ref="W647" r:id="rId698" xr:uid="{00000000-0004-0000-0200-0000B9020000}"/>
    <hyperlink ref="V913" r:id="rId699" xr:uid="{00000000-0004-0000-0200-0000BA020000}"/>
    <hyperlink ref="V950" r:id="rId700" xr:uid="{00000000-0004-0000-0200-0000BB020000}"/>
    <hyperlink ref="W950" r:id="rId701" display="https://twitter.com/AnnLinde/status/1532316643254226945?ref_src=twsrc%5Etfw%7Ctwcamp%5Etweetembed%7Ctwterm%5E1532316643254226945%7Ctwgr%5E%7Ctwcon%5Es1_&amp;ref_url=https%3A%2F%2Fmezha.media%2Fen%2F2022%2F06%2F03%2Frbs-17-swedish-short-range-anti-ship-missile%2F" xr:uid="{00000000-0004-0000-0200-0000BC020000}"/>
    <hyperlink ref="X950" r:id="rId702" display="https://www.reuters.com/world/europe/sweden-supply-more-military-aid-including-anti-ship-missiles-ukraine-2022-06-02/" xr:uid="{00000000-0004-0000-0200-0000BD020000}"/>
    <hyperlink ref="AB1011" r:id="rId703" xr:uid="{00000000-0004-0000-0200-0000BE020000}"/>
    <hyperlink ref="W1011" r:id="rId704" xr:uid="{00000000-0004-0000-0200-0000BF020000}"/>
    <hyperlink ref="V1011" r:id="rId705" xr:uid="{00000000-0004-0000-0200-0000C0020000}"/>
    <hyperlink ref="W644" r:id="rId706" xr:uid="{00000000-0004-0000-0200-0000C1020000}"/>
    <hyperlink ref="V343" r:id="rId707" xr:uid="{00000000-0004-0000-0200-0000C2020000}"/>
    <hyperlink ref="V895" r:id="rId708" xr:uid="{00000000-0004-0000-0200-0000C3020000}"/>
    <hyperlink ref="W895" r:id="rId709" xr:uid="{00000000-0004-0000-0200-0000C4020000}"/>
    <hyperlink ref="X895" r:id="rId710" xr:uid="{00000000-0004-0000-0200-0000C5020000}"/>
    <hyperlink ref="AB895" r:id="rId711" xr:uid="{00000000-0004-0000-0200-0000C6020000}"/>
    <hyperlink ref="AB189" r:id="rId712" location=":~:text=The%20Ukrainian%20military%20confirmed%20that%20the%20Armed%20Forces,Of%20Mi-24%20Helicopters%20To%20Ukraine%20May%2027%2C%202022" xr:uid="{00000000-0004-0000-0200-0000C7020000}"/>
    <hyperlink ref="W586" r:id="rId713" xr:uid="{00000000-0004-0000-0200-0000C8020000}"/>
    <hyperlink ref="V586" r:id="rId714" xr:uid="{00000000-0004-0000-0200-0000C9020000}"/>
    <hyperlink ref="V1147" r:id="rId715" location=":~:text=The%20Ukrainian%20people%20continue%20to,as%20long%20as%20it%20takes." xr:uid="{00000000-0004-0000-0200-0000CA020000}"/>
    <hyperlink ref="V1160:V1161" r:id="rId716" display="https://www.state.gov/biden-harris-administration-announces-550-million-in-new-u-s-military-assistance-for-ukraine/" xr:uid="{00000000-0004-0000-0200-0000CB020000}"/>
    <hyperlink ref="V1088" r:id="rId717" xr:uid="{00000000-0004-0000-0200-0000CC020000}"/>
    <hyperlink ref="V1089:V1107" r:id="rId718" display="https://www.defense.gov/News/Releases/Release/Article/3007664/fact-sheet-on-us-security-assistance-for-ukraine-roll-up-as-of-april-21-2022/" xr:uid="{00000000-0004-0000-0200-0000CD020000}"/>
    <hyperlink ref="V786" r:id="rId719" xr:uid="{00000000-0004-0000-0200-0000CE020000}"/>
    <hyperlink ref="V769" r:id="rId720" xr:uid="{00000000-0004-0000-0200-0000CF020000}"/>
    <hyperlink ref="V787" r:id="rId721" xr:uid="{00000000-0004-0000-0200-0000D0020000}"/>
    <hyperlink ref="V649" r:id="rId722" xr:uid="{00000000-0004-0000-0200-0000D1020000}"/>
    <hyperlink ref="W913" r:id="rId723" xr:uid="{00000000-0004-0000-0200-0000D2020000}"/>
    <hyperlink ref="V1031" r:id="rId724" xr:uid="{00000000-0004-0000-0200-0000D3020000}"/>
    <hyperlink ref="W1031" r:id="rId725" xr:uid="{00000000-0004-0000-0200-0000D4020000}"/>
    <hyperlink ref="V95" r:id="rId726" xr:uid="{00000000-0004-0000-0200-0000D5020000}"/>
    <hyperlink ref="V20:V23" r:id="rId727" display="https://www.pm.gov.au/media/visit-kyiv-and-further-australian-support-ukraine" xr:uid="{00000000-0004-0000-0200-0000D6020000}"/>
    <hyperlink ref="V24" r:id="rId728" xr:uid="{00000000-0004-0000-0200-0000D7020000}"/>
    <hyperlink ref="W20:W23" r:id="rId729" location=":~:text=The%20Australian%20Government%20will%20provide,more%20Bushmaster%20Protected%20Mobility%20Vehicles" display="https://www.minister.defence.gov.au/minister/rmarles/media-releases/australia-increases-support-ukraine#:~:text=The%20Australian%20Government%20will%20provide,more%20Bushmaster%20Protected%20Mobility%20Vehicles." xr:uid="{00000000-0004-0000-0200-0000D8020000}"/>
    <hyperlink ref="W24" r:id="rId730" location=":~:text=The%20Australian%20Government%20will%20provide,more%20Bushmaster%20Protected%20Mobility%20Vehicles" xr:uid="{00000000-0004-0000-0200-0000D9020000}"/>
    <hyperlink ref="W903" r:id="rId731" xr:uid="{00000000-0004-0000-0200-0000DA020000}"/>
    <hyperlink ref="V903" r:id="rId732" xr:uid="{00000000-0004-0000-0200-0000DB020000}"/>
    <hyperlink ref="W930" r:id="rId733" xr:uid="{00000000-0004-0000-0200-0000DC020000}"/>
    <hyperlink ref="W931" r:id="rId734" xr:uid="{00000000-0004-0000-0200-0000DD020000}"/>
    <hyperlink ref="V931" r:id="rId735" xr:uid="{00000000-0004-0000-0200-0000DE020000}"/>
    <hyperlink ref="V930" r:id="rId736" xr:uid="{00000000-0004-0000-0200-0000DF020000}"/>
    <hyperlink ref="Y1000:Y1006" r:id="rId737" display="https://www.gov.uk/government/news/uk-to-send-scores-of-artillery-guns-and-hundreds-of-drones-to-ukraine" xr:uid="{00000000-0004-0000-0200-0000E0020000}"/>
    <hyperlink ref="Y640" r:id="rId738" xr:uid="{00000000-0004-0000-0200-0000E1020000}"/>
    <hyperlink ref="W894" r:id="rId739" xr:uid="{00000000-0004-0000-0200-0000E2020000}"/>
    <hyperlink ref="V894" r:id="rId740" xr:uid="{00000000-0004-0000-0200-0000E3020000}"/>
    <hyperlink ref="AB894" r:id="rId741" xr:uid="{00000000-0004-0000-0200-0000E4020000}"/>
    <hyperlink ref="V736" r:id="rId742" xr:uid="{00000000-0004-0000-0200-0000E5020000}"/>
    <hyperlink ref="V1239" r:id="rId743" location=":~:text=Through%20USAI%2C%20DoD%20will%20provide,repel%20Russia's%20war%20of%20choice" xr:uid="{00000000-0004-0000-0200-0000E6020000}"/>
    <hyperlink ref="W629" r:id="rId744" display="https://twitter.com/edgarsrinkevics/status/1511694357560180745?ref_src=twsrc%5Etfw%7Ctwcamp%5Etweetembed%7Ctwterm%5E1511694357560180745%7Ctwgr%5E%7Ctwcon%5Es1_&amp;ref_url=https%3A%2F%2Fwww.redditmedia.com%2Fmediaembed%2Ftxqhaq%3Fresponsive%3Dtrueis_nightmode%3Dfalse" xr:uid="{00000000-0004-0000-0200-0000E7020000}"/>
    <hyperlink ref="X629" r:id="rId745" xr:uid="{00000000-0004-0000-0200-0000E8020000}"/>
    <hyperlink ref="Y629" r:id="rId746" xr:uid="{00000000-0004-0000-0200-0000E9020000}"/>
    <hyperlink ref="V236" r:id="rId747" location=":~:text=Estonian%20people%2C%20government%20and%20private,aid%20to%20Ukraine%20in%20total &amp;text=Govermental%20aid%20means%20means%20assistance,state%20budget%20through%20state%20agencies " xr:uid="{00000000-0004-0000-0200-0000EA020000}"/>
    <hyperlink ref="V40" r:id="rId748" xr:uid="{00000000-0004-0000-0200-0000EB020000}"/>
    <hyperlink ref="V292" r:id="rId749" xr:uid="{00000000-0004-0000-0200-0000EC020000}"/>
    <hyperlink ref="V312" r:id="rId750" xr:uid="{00000000-0004-0000-0200-0000ED020000}"/>
    <hyperlink ref="V290" r:id="rId751" location=":~:text=Since%20February%2C%20Finland%20has%20sent,is%20over%20EUR%20two%20million" xr:uid="{00000000-0004-0000-0200-0000EE020000}"/>
    <hyperlink ref="V632" r:id="rId752" xr:uid="{00000000-0004-0000-0200-0000EF020000}"/>
    <hyperlink ref="W632" r:id="rId753" xr:uid="{00000000-0004-0000-0200-0000F0020000}"/>
    <hyperlink ref="AB632" r:id="rId754" xr:uid="{00000000-0004-0000-0200-0000F1020000}"/>
    <hyperlink ref="V633" r:id="rId755" xr:uid="{00000000-0004-0000-0200-0000F2020000}"/>
    <hyperlink ref="W633" r:id="rId756" xr:uid="{00000000-0004-0000-0200-0000F3020000}"/>
    <hyperlink ref="AB633" r:id="rId757" xr:uid="{00000000-0004-0000-0200-0000F4020000}"/>
    <hyperlink ref="V634" r:id="rId758" display="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xr:uid="{00000000-0004-0000-0200-0000F5020000}"/>
    <hyperlink ref="AB634" r:id="rId759" display="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xr:uid="{00000000-0004-0000-0200-0000F6020000}"/>
    <hyperlink ref="W651" r:id="rId760" display="https://twitter.com/Lithuanian_MoD/status/1567446474312540160?ref_src=twsrc%5Etfw%7Ctwcamp%5Etweetembed%7Ctwterm%5E1567446474312540160%7Ctwgr%5E4672a6b5ec4c4f6cf0f7166371f51fb78182c17f%7Ctwcon%5Es1_&amp;ref_url=https%3A%2F%2Fwww.eurointegration.com.ua%2Fnews%2F2022%2F09%2F7%2F7146332%2F" xr:uid="{00000000-0004-0000-0200-0000F7020000}"/>
    <hyperlink ref="V737" r:id="rId761" xr:uid="{00000000-0004-0000-0200-0000F8020000}"/>
    <hyperlink ref="V951" r:id="rId762" xr:uid="{00000000-0004-0000-0200-0000F9020000}"/>
    <hyperlink ref="X951" r:id="rId763" xr:uid="{00000000-0004-0000-0200-0000FA020000}"/>
    <hyperlink ref="Y951" r:id="rId764" xr:uid="{00000000-0004-0000-0200-0000FB020000}"/>
    <hyperlink ref="AB951" r:id="rId765" xr:uid="{00000000-0004-0000-0200-0000FC020000}"/>
    <hyperlink ref="V956" r:id="rId766" xr:uid="{00000000-0004-0000-0200-0000FD020000}"/>
    <hyperlink ref="X956" r:id="rId767" xr:uid="{00000000-0004-0000-0200-0000FE020000}"/>
    <hyperlink ref="X95" r:id="rId768" xr:uid="{00000000-0004-0000-0200-0000FF020000}"/>
    <hyperlink ref="V105" r:id="rId769" xr:uid="{00000000-0004-0000-0200-000000030000}"/>
    <hyperlink ref="V96" r:id="rId770" xr:uid="{00000000-0004-0000-0200-000001030000}"/>
    <hyperlink ref="V1025" r:id="rId771" xr:uid="{00000000-0004-0000-0200-000002030000}"/>
    <hyperlink ref="V1026" r:id="rId772" xr:uid="{00000000-0004-0000-0200-000003030000}"/>
    <hyperlink ref="V1028" r:id="rId773" xr:uid="{00000000-0004-0000-0200-000004030000}"/>
    <hyperlink ref="V1029" r:id="rId774" xr:uid="{00000000-0004-0000-0200-000005030000}"/>
    <hyperlink ref="AB1026" r:id="rId775" display="https://twitter.com/oleksiireznikov/status/1557992937006448640?ref_src=twsrc%5Etfw%7Ctwcamp%5Etweetembed%7Ctwterm%5E1557992937006448640%7Ctwgr%5E16758fa5587714e685f2d4c6e1ff01d7fa7e3e2e%7Ctwcon%5Es1_&amp;ref_url=https%3A%2F%2Fwww.slovoidilo.ua%2F2022%2F08%2F12%2Fnovyna%2Fbezpeka%2Fukrayinu-prybuly-novi-rszv-m270-brytaniyi" xr:uid="{00000000-0004-0000-0200-000006030000}"/>
    <hyperlink ref="V771" r:id="rId776" xr:uid="{00000000-0004-0000-0200-000007030000}"/>
    <hyperlink ref="V772" r:id="rId777" xr:uid="{00000000-0004-0000-0200-000008030000}"/>
    <hyperlink ref="V773" r:id="rId778" xr:uid="{00000000-0004-0000-0200-000009030000}"/>
    <hyperlink ref="V774" r:id="rId779" xr:uid="{00000000-0004-0000-0200-00000A030000}"/>
    <hyperlink ref="V65" r:id="rId780" xr:uid="{00000000-0004-0000-0200-00000B030000}"/>
    <hyperlink ref="V66" r:id="rId781" xr:uid="{00000000-0004-0000-0200-00000C030000}"/>
    <hyperlink ref="V67" r:id="rId782" xr:uid="{00000000-0004-0000-0200-00000D030000}"/>
    <hyperlink ref="V68" r:id="rId783" xr:uid="{00000000-0004-0000-0200-00000E030000}"/>
    <hyperlink ref="V69" r:id="rId784" xr:uid="{00000000-0004-0000-0200-00000F030000}"/>
    <hyperlink ref="V70" r:id="rId785" xr:uid="{00000000-0004-0000-0200-000010030000}"/>
    <hyperlink ref="V71" r:id="rId786" xr:uid="{00000000-0004-0000-0200-000011030000}"/>
    <hyperlink ref="V72" r:id="rId787" xr:uid="{00000000-0004-0000-0200-000012030000}"/>
    <hyperlink ref="V73" r:id="rId788" xr:uid="{00000000-0004-0000-0200-000013030000}"/>
    <hyperlink ref="V74" r:id="rId789" xr:uid="{00000000-0004-0000-0200-000014030000}"/>
    <hyperlink ref="V344" r:id="rId790" xr:uid="{00000000-0004-0000-0200-000015030000}"/>
    <hyperlink ref="V346" r:id="rId791" xr:uid="{00000000-0004-0000-0200-000016030000}"/>
    <hyperlink ref="V349" r:id="rId792" xr:uid="{00000000-0004-0000-0200-000017030000}"/>
    <hyperlink ref="V353" r:id="rId793" xr:uid="{00000000-0004-0000-0200-000018030000}"/>
    <hyperlink ref="V354" r:id="rId794" xr:uid="{00000000-0004-0000-0200-000019030000}"/>
    <hyperlink ref="V594" r:id="rId795" xr:uid="{00000000-0004-0000-0200-00001A030000}"/>
    <hyperlink ref="V969" r:id="rId796" xr:uid="{00000000-0004-0000-0200-00001B030000}"/>
    <hyperlink ref="AB969" r:id="rId797" xr:uid="{00000000-0004-0000-0200-00001C030000}"/>
    <hyperlink ref="V1173" r:id="rId798" xr:uid="{00000000-0004-0000-0200-00001D030000}"/>
    <hyperlink ref="V1174" r:id="rId799" xr:uid="{00000000-0004-0000-0200-00001E030000}"/>
    <hyperlink ref="V1175" r:id="rId800" xr:uid="{00000000-0004-0000-0200-00001F030000}"/>
    <hyperlink ref="V1176" r:id="rId801" xr:uid="{00000000-0004-0000-0200-000020030000}"/>
    <hyperlink ref="V1177" r:id="rId802" xr:uid="{00000000-0004-0000-0200-000021030000}"/>
    <hyperlink ref="V1178" r:id="rId803" xr:uid="{00000000-0004-0000-0200-000022030000}"/>
    <hyperlink ref="V1179" r:id="rId804" xr:uid="{00000000-0004-0000-0200-000023030000}"/>
    <hyperlink ref="V1180" r:id="rId805" xr:uid="{00000000-0004-0000-0200-000024030000}"/>
    <hyperlink ref="V1181" r:id="rId806" xr:uid="{00000000-0004-0000-0200-000025030000}"/>
    <hyperlink ref="V1182" r:id="rId807" xr:uid="{00000000-0004-0000-0200-000026030000}"/>
    <hyperlink ref="V1183" r:id="rId808" xr:uid="{00000000-0004-0000-0200-000027030000}"/>
    <hyperlink ref="V1184" r:id="rId809" xr:uid="{00000000-0004-0000-0200-000028030000}"/>
    <hyperlink ref="V1185" r:id="rId810" xr:uid="{00000000-0004-0000-0200-000029030000}"/>
    <hyperlink ref="V1186" r:id="rId811" xr:uid="{00000000-0004-0000-0200-00002A030000}"/>
    <hyperlink ref="V1190" r:id="rId812" xr:uid="{00000000-0004-0000-0200-00002B030000}"/>
    <hyperlink ref="V1191" r:id="rId813" xr:uid="{00000000-0004-0000-0200-00002C030000}"/>
    <hyperlink ref="V1192" r:id="rId814" xr:uid="{00000000-0004-0000-0200-00002D030000}"/>
    <hyperlink ref="V1193" r:id="rId815" xr:uid="{00000000-0004-0000-0200-00002E030000}"/>
    <hyperlink ref="V1194" r:id="rId816" xr:uid="{00000000-0004-0000-0200-00002F030000}"/>
    <hyperlink ref="V1195" r:id="rId817" xr:uid="{00000000-0004-0000-0200-000030030000}"/>
    <hyperlink ref="V1196" r:id="rId818" xr:uid="{00000000-0004-0000-0200-000031030000}"/>
    <hyperlink ref="V1197" r:id="rId819" xr:uid="{00000000-0004-0000-0200-000032030000}"/>
    <hyperlink ref="V1198" r:id="rId820" xr:uid="{00000000-0004-0000-0200-000033030000}"/>
    <hyperlink ref="V1199" r:id="rId821" xr:uid="{00000000-0004-0000-0200-000034030000}"/>
    <hyperlink ref="V1200" r:id="rId822" xr:uid="{00000000-0004-0000-0200-000035030000}"/>
    <hyperlink ref="V1202" r:id="rId823" xr:uid="{00000000-0004-0000-0200-000036030000}"/>
    <hyperlink ref="V1203" r:id="rId824" xr:uid="{00000000-0004-0000-0200-000037030000}"/>
    <hyperlink ref="V1204" r:id="rId825" xr:uid="{00000000-0004-0000-0200-000038030000}"/>
    <hyperlink ref="V1205" r:id="rId826" xr:uid="{00000000-0004-0000-0200-000039030000}"/>
    <hyperlink ref="V1206" r:id="rId827" xr:uid="{00000000-0004-0000-0200-00003A030000}"/>
    <hyperlink ref="V1207" r:id="rId828" xr:uid="{00000000-0004-0000-0200-00003B030000}"/>
    <hyperlink ref="V1208" r:id="rId829" xr:uid="{00000000-0004-0000-0200-00003C030000}"/>
    <hyperlink ref="V1209" r:id="rId830" xr:uid="{00000000-0004-0000-0200-00003D030000}"/>
    <hyperlink ref="V1210" r:id="rId831" xr:uid="{00000000-0004-0000-0200-00003E030000}"/>
    <hyperlink ref="V1211" r:id="rId832" xr:uid="{00000000-0004-0000-0200-00003F030000}"/>
    <hyperlink ref="V1212" r:id="rId833" xr:uid="{00000000-0004-0000-0200-000040030000}"/>
    <hyperlink ref="V1213" r:id="rId834" xr:uid="{00000000-0004-0000-0200-000041030000}"/>
    <hyperlink ref="V1258" r:id="rId835" xr:uid="{00000000-0004-0000-0200-000042030000}"/>
    <hyperlink ref="V1259" r:id="rId836" xr:uid="{00000000-0004-0000-0200-000043030000}"/>
    <hyperlink ref="V1260" r:id="rId837" xr:uid="{00000000-0004-0000-0200-000044030000}"/>
    <hyperlink ref="V1261" r:id="rId838" xr:uid="{00000000-0004-0000-0200-000045030000}"/>
    <hyperlink ref="V1262" r:id="rId839" xr:uid="{00000000-0004-0000-0200-000046030000}"/>
    <hyperlink ref="V1263" r:id="rId840" xr:uid="{00000000-0004-0000-0200-000047030000}"/>
    <hyperlink ref="V1264" r:id="rId841" xr:uid="{00000000-0004-0000-0200-000048030000}"/>
    <hyperlink ref="V1265" r:id="rId842" xr:uid="{00000000-0004-0000-0200-000049030000}"/>
    <hyperlink ref="V1266" r:id="rId843" xr:uid="{00000000-0004-0000-0200-00004A030000}"/>
    <hyperlink ref="V1267" r:id="rId844" xr:uid="{00000000-0004-0000-0200-00004B030000}"/>
    <hyperlink ref="V1268" r:id="rId845" xr:uid="{00000000-0004-0000-0200-00004C030000}"/>
    <hyperlink ref="V1269" r:id="rId846" xr:uid="{00000000-0004-0000-0200-00004D030000}"/>
    <hyperlink ref="V1270" r:id="rId847" xr:uid="{00000000-0004-0000-0200-00004E030000}"/>
    <hyperlink ref="V1271" r:id="rId848" xr:uid="{00000000-0004-0000-0200-00004F030000}"/>
    <hyperlink ref="V1272" r:id="rId849" xr:uid="{00000000-0004-0000-0200-000050030000}"/>
    <hyperlink ref="V1273" r:id="rId850" xr:uid="{00000000-0004-0000-0200-000051030000}"/>
    <hyperlink ref="V1274" r:id="rId851" xr:uid="{00000000-0004-0000-0200-000052030000}"/>
    <hyperlink ref="V1275" r:id="rId852" xr:uid="{00000000-0004-0000-0200-000053030000}"/>
    <hyperlink ref="V1276" r:id="rId853" xr:uid="{00000000-0004-0000-0200-000054030000}"/>
    <hyperlink ref="V1277" r:id="rId854" xr:uid="{00000000-0004-0000-0200-000055030000}"/>
    <hyperlink ref="V1278" r:id="rId855" xr:uid="{00000000-0004-0000-0200-000056030000}"/>
    <hyperlink ref="W21" r:id="rId856" location=":~:text=The%20Australian%20Government%20will%20provide,more%20Bushmaster%20Protected%20Mobility%20Vehicles" xr:uid="{00000000-0004-0000-0200-000057030000}"/>
    <hyperlink ref="V13" r:id="rId857" xr:uid="{00000000-0004-0000-0200-000058030000}"/>
    <hyperlink ref="X6" r:id="rId858" xr:uid="{00000000-0004-0000-0200-000059030000}"/>
    <hyperlink ref="Y36" r:id="rId859" xr:uid="{00000000-0004-0000-0200-00005A030000}"/>
    <hyperlink ref="V1214" r:id="rId860" xr:uid="{00000000-0004-0000-0200-00005B030000}"/>
    <hyperlink ref="V1215" r:id="rId861" xr:uid="{00000000-0004-0000-0200-00005C030000}"/>
    <hyperlink ref="V1201" r:id="rId862" xr:uid="{00000000-0004-0000-0200-00005D030000}"/>
    <hyperlink ref="V1279" r:id="rId863" xr:uid="{00000000-0004-0000-0200-00005E030000}"/>
    <hyperlink ref="W13" r:id="rId864" xr:uid="{00000000-0004-0000-0200-00005F030000}"/>
    <hyperlink ref="Y24" r:id="rId865" xr:uid="{00000000-0004-0000-0200-000060030000}"/>
    <hyperlink ref="Y3" r:id="rId866" xr:uid="{00000000-0004-0000-0200-000061030000}"/>
    <hyperlink ref="W40" r:id="rId867" xr:uid="{00000000-0004-0000-0200-000062030000}"/>
    <hyperlink ref="W65" r:id="rId868" display="https://twitter.com/hadjalahbib/status/1562721777649799170?ref_src=twsrc%5Etfw%7Ctwcamp%5Etweetembed%7Ctwterm%5E1562721777649799170%7Ctwgr%5E69cb6a35c6fc5375ee1777ba5e3491bf84fd300f%7Ctwcon%5Es1_&amp;ref_url=https%3A%2F%2Fbabel.ua%2Fen%2Fnews%2F83487-belgium-allocated-8-million-for-non-lethal-aid-to-ukraine" xr:uid="{00000000-0004-0000-0200-000063030000}"/>
    <hyperlink ref="W95" r:id="rId869" xr:uid="{00000000-0004-0000-0200-000064030000}"/>
    <hyperlink ref="X65" r:id="rId870" xr:uid="{00000000-0004-0000-0200-000065030000}"/>
    <hyperlink ref="X66" r:id="rId871" xr:uid="{00000000-0004-0000-0200-000066030000}"/>
    <hyperlink ref="X67" r:id="rId872" xr:uid="{00000000-0004-0000-0200-000067030000}"/>
    <hyperlink ref="X68" r:id="rId873" xr:uid="{00000000-0004-0000-0200-000068030000}"/>
    <hyperlink ref="Y65" r:id="rId874" xr:uid="{00000000-0004-0000-0200-000069030000}"/>
    <hyperlink ref="Y66" r:id="rId875" xr:uid="{00000000-0004-0000-0200-00006A030000}"/>
    <hyperlink ref="Y67" r:id="rId876" xr:uid="{00000000-0004-0000-0200-00006B030000}"/>
    <hyperlink ref="Y68" r:id="rId877" xr:uid="{00000000-0004-0000-0200-00006C030000}"/>
    <hyperlink ref="W69" r:id="rId878" xr:uid="{00000000-0004-0000-0200-00006D030000}"/>
    <hyperlink ref="X69" r:id="rId879" xr:uid="{00000000-0004-0000-0200-00006E030000}"/>
    <hyperlink ref="X70" r:id="rId880" xr:uid="{00000000-0004-0000-0200-00006F030000}"/>
    <hyperlink ref="X71" r:id="rId881" xr:uid="{00000000-0004-0000-0200-000070030000}"/>
    <hyperlink ref="X72" r:id="rId882" xr:uid="{00000000-0004-0000-0200-000071030000}"/>
    <hyperlink ref="X73" r:id="rId883" xr:uid="{00000000-0004-0000-0200-000072030000}"/>
    <hyperlink ref="X74" r:id="rId884" xr:uid="{00000000-0004-0000-0200-000073030000}"/>
    <hyperlink ref="V648" r:id="rId885" xr:uid="{00000000-0004-0000-0200-000074030000}"/>
    <hyperlink ref="W648" r:id="rId886" xr:uid="{00000000-0004-0000-0200-000075030000}"/>
    <hyperlink ref="W652" r:id="rId887" xr:uid="{00000000-0004-0000-0200-000076030000}"/>
    <hyperlink ref="V75" r:id="rId888" xr:uid="{00000000-0004-0000-0200-000077030000}"/>
    <hyperlink ref="X75" r:id="rId889" xr:uid="{00000000-0004-0000-0200-000078030000}"/>
    <hyperlink ref="V76" r:id="rId890" xr:uid="{00000000-0004-0000-0200-000079030000}"/>
    <hyperlink ref="X76" r:id="rId891" xr:uid="{00000000-0004-0000-0200-00007A030000}"/>
    <hyperlink ref="W867" r:id="rId892" xr:uid="{00000000-0004-0000-0200-00007B030000}"/>
    <hyperlink ref="V867" r:id="rId893" xr:uid="{00000000-0004-0000-0200-00007C030000}"/>
    <hyperlink ref="Y145" r:id="rId894" xr:uid="{00000000-0004-0000-0200-00007D030000}"/>
    <hyperlink ref="V150" r:id="rId895" xr:uid="{00000000-0004-0000-0200-00007E030000}"/>
    <hyperlink ref="V151" r:id="rId896" xr:uid="{00000000-0004-0000-0200-00007F030000}"/>
    <hyperlink ref="W151" r:id="rId897" xr:uid="{00000000-0004-0000-0200-000080030000}"/>
    <hyperlink ref="W253" r:id="rId898" xr:uid="{00000000-0004-0000-0200-000081030000}"/>
    <hyperlink ref="W344:W354" r:id="rId899" display="https://www.euronews.com/2022/09/29/cargo-ship-with-1000-tonnes-of-ukraine-aid-sets-sail-from-marseille" xr:uid="{00000000-0004-0000-0200-000082030000}"/>
    <hyperlink ref="X344:X354" r:id="rId900" display="https://www.diplomatie.gouv.fr/en/country-files/ukraine/news/article/ukraine-catherine-colonna-to-attend-the-launch-of-solidarity-operation-un" xr:uid="{00000000-0004-0000-0200-000083030000}"/>
    <hyperlink ref="V347" r:id="rId901" xr:uid="{00000000-0004-0000-0200-000084030000}"/>
    <hyperlink ref="W347" r:id="rId902" xr:uid="{00000000-0004-0000-0200-000085030000}"/>
    <hyperlink ref="X347" r:id="rId903" xr:uid="{00000000-0004-0000-0200-000086030000}"/>
    <hyperlink ref="W348" r:id="rId904" xr:uid="{00000000-0004-0000-0200-000087030000}"/>
    <hyperlink ref="X348" r:id="rId905" xr:uid="{00000000-0004-0000-0200-000088030000}"/>
    <hyperlink ref="V348" r:id="rId906" xr:uid="{00000000-0004-0000-0200-000089030000}"/>
    <hyperlink ref="W348" r:id="rId907" xr:uid="{00000000-0004-0000-0200-00008A030000}"/>
    <hyperlink ref="X348" r:id="rId908" xr:uid="{00000000-0004-0000-0200-00008B030000}"/>
    <hyperlink ref="W350" r:id="rId909" xr:uid="{00000000-0004-0000-0200-00008C030000}"/>
    <hyperlink ref="X350" r:id="rId910" xr:uid="{00000000-0004-0000-0200-00008D030000}"/>
    <hyperlink ref="V350" r:id="rId911" xr:uid="{00000000-0004-0000-0200-00008E030000}"/>
    <hyperlink ref="W350" r:id="rId912" xr:uid="{00000000-0004-0000-0200-00008F030000}"/>
    <hyperlink ref="X350" r:id="rId913" xr:uid="{00000000-0004-0000-0200-000090030000}"/>
    <hyperlink ref="W351" r:id="rId914" xr:uid="{00000000-0004-0000-0200-000091030000}"/>
    <hyperlink ref="X351" r:id="rId915" xr:uid="{00000000-0004-0000-0200-000092030000}"/>
    <hyperlink ref="V351" r:id="rId916" xr:uid="{00000000-0004-0000-0200-000093030000}"/>
    <hyperlink ref="W351" r:id="rId917" xr:uid="{00000000-0004-0000-0200-000094030000}"/>
    <hyperlink ref="X351" r:id="rId918" xr:uid="{00000000-0004-0000-0200-000095030000}"/>
    <hyperlink ref="W352" r:id="rId919" xr:uid="{00000000-0004-0000-0200-000096030000}"/>
    <hyperlink ref="X352" r:id="rId920" xr:uid="{00000000-0004-0000-0200-000097030000}"/>
    <hyperlink ref="V352" r:id="rId921" xr:uid="{00000000-0004-0000-0200-000098030000}"/>
    <hyperlink ref="W352" r:id="rId922" xr:uid="{00000000-0004-0000-0200-000099030000}"/>
    <hyperlink ref="X352" r:id="rId923" xr:uid="{00000000-0004-0000-0200-00009A030000}"/>
    <hyperlink ref="V1058" r:id="rId924" xr:uid="{00000000-0004-0000-0200-00009B030000}"/>
    <hyperlink ref="W1058" r:id="rId925" xr:uid="{00000000-0004-0000-0200-00009C030000}"/>
    <hyperlink ref="V271" r:id="rId926" xr:uid="{00000000-0004-0000-0200-00009D030000}"/>
    <hyperlink ref="W271" r:id="rId927" xr:uid="{00000000-0004-0000-0200-00009E030000}"/>
    <hyperlink ref="V273" r:id="rId928" xr:uid="{00000000-0004-0000-0200-00009F030000}"/>
    <hyperlink ref="W273" r:id="rId929" xr:uid="{00000000-0004-0000-0200-0000A0030000}"/>
    <hyperlink ref="X273" r:id="rId930" xr:uid="{00000000-0004-0000-0200-0000A1030000}"/>
    <hyperlink ref="V254" r:id="rId931" xr:uid="{00000000-0004-0000-0200-0000A2030000}"/>
    <hyperlink ref="W254" r:id="rId932" xr:uid="{00000000-0004-0000-0200-0000A3030000}"/>
    <hyperlink ref="AB254" r:id="rId933" xr:uid="{00000000-0004-0000-0200-0000A4030000}"/>
    <hyperlink ref="W255" r:id="rId934" xr:uid="{00000000-0004-0000-0200-0000A5030000}"/>
    <hyperlink ref="X255" r:id="rId935" xr:uid="{00000000-0004-0000-0200-0000A6030000}"/>
    <hyperlink ref="AB255" r:id="rId936" xr:uid="{00000000-0004-0000-0200-0000A7030000}"/>
    <hyperlink ref="V255" r:id="rId937" xr:uid="{00000000-0004-0000-0200-0000A8030000}"/>
    <hyperlink ref="W256" r:id="rId938" xr:uid="{00000000-0004-0000-0200-0000A9030000}"/>
    <hyperlink ref="X256" r:id="rId939" xr:uid="{00000000-0004-0000-0200-0000AA030000}"/>
    <hyperlink ref="V256" r:id="rId940" xr:uid="{00000000-0004-0000-0200-0000AB030000}"/>
    <hyperlink ref="AB256" r:id="rId941" xr:uid="{00000000-0004-0000-0200-0000AC030000}"/>
    <hyperlink ref="Y255" r:id="rId942" xr:uid="{00000000-0004-0000-0200-0000AD030000}"/>
    <hyperlink ref="Y256" r:id="rId943" xr:uid="{00000000-0004-0000-0200-0000AE030000}"/>
    <hyperlink ref="V272" r:id="rId944" display="https://twitter.com/UrmasReinsalu/status/1554520335587938304?ref_src=twsrc%5Etfw%7Ctwcamp%5Etweetembed%7Ctwterm%5E1554520335587938304%7Ctwgr%5Ee825fdb7ad984a8d5ed6d86b7eff30b88c845343%7Ctwcon%5Es1_&amp;ref_url=https%3A%2F%2Fnews.err.ee%2F1608674068%2Festonian-fm-visits-ukraine-lays-new-kindergarten-cornerstone-in-zhytomyr" xr:uid="{00000000-0004-0000-0200-0000AF030000}"/>
    <hyperlink ref="W272" r:id="rId945" xr:uid="{00000000-0004-0000-0200-0000B0030000}"/>
    <hyperlink ref="V274" r:id="rId946" display="https://twitter.com/OlekKorn/status/1574691048378765312?ref_src=twsrc%5Etfw%7Ctwcamp%5Etweetembed%7Ctwterm%5E1574764099644301314%7Ctwgr%5E32aa61244c5816ffc71c7af61a0a966f6f6a69a4%7Ctwcon%5Es3_&amp;ref_url=https%3A%2F%2Fnews.err.ee%2F1608731662%2Feconomic-minister-estonia-can-set-an-example-for-rebuilding-ukraine" xr:uid="{00000000-0004-0000-0200-0000B1030000}"/>
    <hyperlink ref="W274" r:id="rId947" xr:uid="{00000000-0004-0000-0200-0000B2030000}"/>
    <hyperlink ref="V1030" r:id="rId948" xr:uid="{00000000-0004-0000-0200-0000B3030000}"/>
    <hyperlink ref="V1027" r:id="rId949" xr:uid="{00000000-0004-0000-0200-0000B4030000}"/>
    <hyperlink ref="W1026" r:id="rId950" xr:uid="{00000000-0004-0000-0200-0000B5030000}"/>
    <hyperlink ref="W1027" r:id="rId951" xr:uid="{00000000-0004-0000-0200-0000B6030000}"/>
    <hyperlink ref="V1024" r:id="rId952" display="https://www.bbc.com/news/uk-61990479 " xr:uid="{00000000-0004-0000-0200-0000B7030000}"/>
    <hyperlink ref="V1024" r:id="rId953" display="https://www.bbc.com/news/uk-61990479 " xr:uid="{00000000-0004-0000-0200-0000B8030000}"/>
    <hyperlink ref="V1162" r:id="rId954" xr:uid="{00000000-0004-0000-0200-0000B9030000}"/>
    <hyperlink ref="V1163:V1172" r:id="rId955" display="https://www.defense.gov/News/Releases/Release/Article/3120059/1-billion-in-additional-security-assistance-for-ukraine/ " xr:uid="{00000000-0004-0000-0200-0000BA030000}"/>
    <hyperlink ref="X867" r:id="rId956" xr:uid="{00000000-0004-0000-0200-0000BB030000}"/>
    <hyperlink ref="V599" r:id="rId957" xr:uid="{00000000-0004-0000-0200-0000BC030000}"/>
    <hyperlink ref="W599" r:id="rId958" xr:uid="{00000000-0004-0000-0200-0000BD030000}"/>
    <hyperlink ref="X599" r:id="rId959" xr:uid="{00000000-0004-0000-0200-0000BE030000}"/>
    <hyperlink ref="V775" r:id="rId960" xr:uid="{00000000-0004-0000-0200-0000BF030000}"/>
    <hyperlink ref="W775" r:id="rId961" xr:uid="{00000000-0004-0000-0200-0000C0030000}"/>
    <hyperlink ref="X775" r:id="rId962" xr:uid="{00000000-0004-0000-0200-0000C1030000}"/>
    <hyperlink ref="Y775" r:id="rId963" xr:uid="{00000000-0004-0000-0200-0000C2030000}"/>
    <hyperlink ref="W344" r:id="rId964" xr:uid="{00000000-0004-0000-0200-0000C3030000}"/>
    <hyperlink ref="V355" r:id="rId965" xr:uid="{00000000-0004-0000-0200-0000C4030000}"/>
    <hyperlink ref="W355" r:id="rId966" xr:uid="{00000000-0004-0000-0200-0000C5030000}"/>
    <hyperlink ref="X355" r:id="rId967" xr:uid="{00000000-0004-0000-0200-0000C6030000}"/>
    <hyperlink ref="V1124" r:id="rId968" xr:uid="{00000000-0004-0000-0200-0000C7030000}"/>
    <hyperlink ref="AB1018" r:id="rId969" xr:uid="{00000000-0004-0000-0200-0000C8030000}"/>
    <hyperlink ref="W1018" r:id="rId970" xr:uid="{00000000-0004-0000-0200-0000C9030000}"/>
    <hyperlink ref="X1026" r:id="rId971" display="https://www.bbc.com/ukrainian/live/62300872?ns_mchannel=social&amp;ns_source=twitter&amp;ns_campaign=bbc_live&amp;ns_linkname=62f3fd302ea3472fbde8330b%26%D0%91%D1%80%D0%B8%D1%82%D0%B0%D0%BD%D1%96%D1%8F%20%D0%BD%D0%B0%D0%B4%D1%81%D0%B8%D0%BB%D0%B0%D1%94%20%D0%BD%D0%BE%D0%B2%D1%96%20%D1%81%D0%B8%D1%81%D1%82%D0%B5%D0%BC%D0%B8%20%D0%B7%D0%B0%D0%BB%D0%BF%D0%BE%D0%B2%D0%BE%D0%B3%D0%BE%20%D0%B2%D0%BE%D0%B3%D0%BD%D1%8E%20%D0%B4%D0%BB%D1%8F%20%D0%A3%D0%BA%D1%80%D0%B0%D1%97%D0%BD%D0%B8%262022-08-10T18%3A59%3A13.398Z&amp;ns_fee=0&amp;pinned_post_locator=urn:asset:cea8dcb7-dd1a-4a71-b0a4-54ce84646b98&amp;pinned_post_asset_id=62f3fd302ea3472fbde8330b&amp;pinned_post_type=share" xr:uid="{00000000-0004-0000-0200-0000CA030000}"/>
    <hyperlink ref="V766" r:id="rId972" xr:uid="{00000000-0004-0000-0200-0000CB030000}"/>
    <hyperlink ref="V765" r:id="rId973" xr:uid="{00000000-0004-0000-0200-0000CC030000}"/>
    <hyperlink ref="V764" r:id="rId974" xr:uid="{00000000-0004-0000-0200-0000CD030000}"/>
    <hyperlink ref="V763" r:id="rId975" xr:uid="{00000000-0004-0000-0200-0000CE030000}"/>
    <hyperlink ref="AB767" r:id="rId976" xr:uid="{00000000-0004-0000-0200-0000CF030000}"/>
    <hyperlink ref="V767" r:id="rId977" display="https://www-regjeringen-no.translate.goog/no/aktuelt/norge-har-donert-artilleriskyts-til-ukraina/id2917760/?_x_tr_sl=auto&amp;_x_tr_tl=auto&amp;_x_tr_hl=de" xr:uid="{00000000-0004-0000-0200-0000D0030000}"/>
    <hyperlink ref="W767" r:id="rId978" xr:uid="{00000000-0004-0000-0200-0000D1030000}"/>
    <hyperlink ref="V767" r:id="rId979" xr:uid="{00000000-0004-0000-0200-0000D2030000}"/>
    <hyperlink ref="V1154" r:id="rId980" xr:uid="{00000000-0004-0000-0200-0000D3030000}"/>
    <hyperlink ref="V1138" r:id="rId981" xr:uid="{00000000-0004-0000-0200-0000D4030000}"/>
    <hyperlink ref="V1188" r:id="rId982" xr:uid="{00000000-0004-0000-0200-0000D5030000}"/>
    <hyperlink ref="V20" r:id="rId983" xr:uid="{00000000-0004-0000-0200-0000D6030000}"/>
    <hyperlink ref="W20" r:id="rId984" location=":~:text=The%20Australian%20Government%20will%20provide,more%20Bushmaster%20Protected%20Mobility%20Vehicles" xr:uid="{00000000-0004-0000-0200-0000D7030000}"/>
    <hyperlink ref="AB20" r:id="rId985" xr:uid="{00000000-0004-0000-0200-0000D8030000}"/>
    <hyperlink ref="V26" r:id="rId986" display="https://www.minister.defence.gov.au/media-releases/2022-10-27/additional-support-ukraine" xr:uid="{00000000-0004-0000-0200-0000D9030000}"/>
    <hyperlink ref="W60" r:id="rId987" xr:uid="{00000000-0004-0000-0200-0000DA030000}"/>
    <hyperlink ref="AB60" r:id="rId988" xr:uid="{00000000-0004-0000-0200-0000DB030000}"/>
    <hyperlink ref="V60" r:id="rId989" xr:uid="{00000000-0004-0000-0200-0000DC030000}"/>
    <hyperlink ref="X60" r:id="rId990" xr:uid="{00000000-0004-0000-0200-0000DD030000}"/>
    <hyperlink ref="W184:W185" r:id="rId991" display="https://echo24.cz/a/SrjYb/cesko-poslalo-na-ukrajinu-desitky-tanku-t-72-a-bvp" xr:uid="{00000000-0004-0000-0200-0000DE030000}"/>
    <hyperlink ref="AB185" r:id="rId992" xr:uid="{00000000-0004-0000-0200-0000DF030000}"/>
    <hyperlink ref="AB184" r:id="rId993" xr:uid="{00000000-0004-0000-0200-0000E0030000}"/>
    <hyperlink ref="Y184" r:id="rId994" xr:uid="{00000000-0004-0000-0200-0000E1030000}"/>
    <hyperlink ref="X184" r:id="rId995" xr:uid="{00000000-0004-0000-0200-0000E2030000}"/>
    <hyperlink ref="W184" r:id="rId996" xr:uid="{00000000-0004-0000-0200-0000E3030000}"/>
    <hyperlink ref="V184" r:id="rId997" xr:uid="{00000000-0004-0000-0200-0000E4030000}"/>
    <hyperlink ref="Y185" r:id="rId998" xr:uid="{00000000-0004-0000-0200-0000E5030000}"/>
    <hyperlink ref="V210" r:id="rId999" xr:uid="{00000000-0004-0000-0200-0000E6030000}"/>
    <hyperlink ref="V209" r:id="rId1000" xr:uid="{00000000-0004-0000-0200-0000E7030000}"/>
    <hyperlink ref="V211" r:id="rId1001" location=":~:text=Denmarks%20has%20allocated%20another%20DKK,war%20crimes%20committed%20in%20Ukraine" xr:uid="{00000000-0004-0000-0200-0000E8030000}"/>
    <hyperlink ref="W215" r:id="rId1002" xr:uid="{00000000-0004-0000-0200-0000E9030000}"/>
    <hyperlink ref="W215:W223" r:id="rId1003" display="https://www.armyrecognition.com/defense_news_april_2022_global_security_army_industry/denmark_approves_delivery_of_m113_tracked_armored_vehicles_and_ammunition_to_ukraine.html" xr:uid="{00000000-0004-0000-0200-0000EA030000}"/>
    <hyperlink ref="X215:X223" r:id="rId1004" display="https://en.kriseinformation.dk/denmarks-reactions/denmarks-contributions" xr:uid="{00000000-0004-0000-0200-0000EB030000}"/>
    <hyperlink ref="AB215" r:id="rId1005" xr:uid="{00000000-0004-0000-0200-0000EC030000}"/>
    <hyperlink ref="AB216" r:id="rId1006" xr:uid="{00000000-0004-0000-0200-0000ED030000}"/>
    <hyperlink ref="AB218" r:id="rId1007" xr:uid="{00000000-0004-0000-0200-0000EE030000}"/>
    <hyperlink ref="AB217" r:id="rId1008" xr:uid="{00000000-0004-0000-0200-0000EF030000}"/>
    <hyperlink ref="V212" r:id="rId1009" display="https://tyrkiet.um.dk/en/news/independence-day-of-ukraine-six-months-since-the-russia-invasion" xr:uid="{00000000-0004-0000-0200-0000F0030000}"/>
    <hyperlink ref="W212" r:id="rId1010" display="https://um.dk/en/foreign-policy/danish-support-for-ukraine" xr:uid="{00000000-0004-0000-0200-0000F1030000}"/>
    <hyperlink ref="W210" r:id="rId1011" xr:uid="{00000000-0004-0000-0200-0000F2030000}"/>
    <hyperlink ref="W211" r:id="rId1012" xr:uid="{00000000-0004-0000-0200-0000F3030000}"/>
    <hyperlink ref="AB220" r:id="rId1013" xr:uid="{00000000-0004-0000-0200-0000F4030000}"/>
    <hyperlink ref="AB221:AB223" r:id="rId1014" display="https://www.armyrecognition.com/defense_news_april_2022_global_security_army_industry/denmark_approves_delivery_of_m113_tracked_armored_vehicles_and_ammunition_to_ukraine.html" xr:uid="{00000000-0004-0000-0200-0000F5030000}"/>
    <hyperlink ref="V213" r:id="rId1015" display="https://um.dk/en/foreign-policy/danish-support-for-ukraine" xr:uid="{00000000-0004-0000-0200-0000F6030000}"/>
    <hyperlink ref="V231" r:id="rId1016" xr:uid="{00000000-0004-0000-0200-0000F7030000}"/>
    <hyperlink ref="W231" r:id="rId1017" location=":~:text=World%20Bank%3A%20DKK%20150%20million%20(approx.&amp;text=DKK%20150%20million%20(EUR%2020.2,billion)%20to%20the%20Ukrainian%20government" xr:uid="{00000000-0004-0000-0200-0000F8030000}"/>
    <hyperlink ref="V232" r:id="rId1018" xr:uid="{00000000-0004-0000-0200-0000F9030000}"/>
    <hyperlink ref="W232" r:id="rId1019" xr:uid="{00000000-0004-0000-0200-0000FA030000}"/>
    <hyperlink ref="Y232" r:id="rId1020" xr:uid="{00000000-0004-0000-0200-0000FB030000}"/>
    <hyperlink ref="X232" r:id="rId1021" display="https://via.ritzau.dk/embedded/release/danmark-stiller-garanti-pa-280-mio-kr-til-ukraines-hardt-ramte-okonomi?publisherId=2012662&amp;releaseId=13652977&amp;lang=da" xr:uid="{00000000-0004-0000-0200-0000FC030000}"/>
    <hyperlink ref="W303" r:id="rId1022" location="40d3246d" xr:uid="{00000000-0004-0000-0200-0000FD030000}"/>
    <hyperlink ref="V303" r:id="rId1023" xr:uid="{00000000-0004-0000-0200-0000FE030000}"/>
    <hyperlink ref="W297:W298" r:id="rId1024" display="https://valtioneuvosto.fi/en/-/10616/finland-sends-additional-aid-to-ukraine" xr:uid="{00000000-0004-0000-0200-0000FF030000}"/>
    <hyperlink ref="W299" r:id="rId1025" location=":~:text=On%20the%20proposal%20of%20the%20Government%2C%20the%20President,combat%20ration%20packages%20to%20Ukraine%20as%20material%20aid.?msclkid=43fcac85ab7811ecb0558f7b82e56a26" display="https://valtioneuvosto.fi/en/-/finland-to-send-arms-assistance-to-ukraine - :~:text=On%20the%20proposal%20of%20the%20Government%2C%20the%20President,combat%20ration%20packages%20to%20Ukraine%20as%20material%20aid.?msclkid=43fcac85ab7811ecb0558f7b82e56a26" xr:uid="{00000000-0004-0000-0200-000000040000}"/>
    <hyperlink ref="W299:W302" r:id="rId1026" location=":~:text=On%20the%20proposal%20of%20the%20Government%2C%20the%20President,combat%20ration%20packages%20to%20Ukraine%20as%20material%20aid.?msclkid=43fcac85ab7811ecb0558f7b82e56a26" display="https://valtioneuvosto.fi/en/-/finland-to-send-arms-assistance-to-ukraine#:~:text=On%20the%20proposal%20of%20the%20Government%2C%20the%20President,combat%20ration%20packages%20to%20Ukraine%20as%20material%20aid.?msclkid=43fcac85ab7811ecb0558f7b82e56a26" xr:uid="{00000000-0004-0000-0200-000001040000}"/>
    <hyperlink ref="X297:X298" r:id="rId1027" display="https://www.helsinkitimes.fi/finland/finland-news/domestic/21086-finland-commits-military-protective-equipment-to-ukraine.html" xr:uid="{00000000-0004-0000-0200-000002040000}"/>
    <hyperlink ref="X303" r:id="rId1028" xr:uid="{00000000-0004-0000-0200-000003040000}"/>
    <hyperlink ref="AB299" r:id="rId1029" xr:uid="{00000000-0004-0000-0200-000004040000}"/>
    <hyperlink ref="V304" r:id="rId1030" location="40d3246d" xr:uid="{00000000-0004-0000-0200-000005040000}"/>
    <hyperlink ref="V305" r:id="rId1031" location="f9cb427e" xr:uid="{00000000-0004-0000-0200-000006040000}"/>
    <hyperlink ref="W305" r:id="rId1032" xr:uid="{00000000-0004-0000-0200-000007040000}"/>
    <hyperlink ref="X305" r:id="rId1033" xr:uid="{00000000-0004-0000-0200-000008040000}"/>
    <hyperlink ref="W304" r:id="rId1034" xr:uid="{00000000-0004-0000-0200-000009040000}"/>
    <hyperlink ref="V293" r:id="rId1035" display="https://intermin.fi/en/ukraine/civilian-assistance-to-ukraine" xr:uid="{00000000-0004-0000-0200-00000A040000}"/>
    <hyperlink ref="V294" r:id="rId1036" display="https://intermin.fi/en/ukraine/civilian-assistance-to-ukraine" xr:uid="{00000000-0004-0000-0200-00000B040000}"/>
    <hyperlink ref="V306" r:id="rId1037" display="https://yle.fi/novyny/3-12649451" xr:uid="{00000000-0004-0000-0200-00000C040000}"/>
    <hyperlink ref="W306" r:id="rId1038" xr:uid="{00000000-0004-0000-0200-00000D040000}"/>
    <hyperlink ref="V308" r:id="rId1039" location="35b98872" display="https://www.defmin.fi/ajankohtaista/tiedotteet_ja_uutiset/suomi_toimittaa_lisaa_puolustustarvikeapua_ukrainaan.13184.news - 35b98872" xr:uid="{00000000-0004-0000-0200-00000E040000}"/>
    <hyperlink ref="W308" r:id="rId1040" display="https://mil.in.ua/en/news/finland-commits-the-largest-military-aid-package-in-the-amount-of-e55-6-million/" xr:uid="{00000000-0004-0000-0200-00000F040000}"/>
    <hyperlink ref="X308" r:id="rId1041" display="https://yle.fi/a/3-12678466" xr:uid="{00000000-0004-0000-0200-000010040000}"/>
    <hyperlink ref="V602" r:id="rId1042" xr:uid="{00000000-0004-0000-0200-000011040000}"/>
    <hyperlink ref="X602" r:id="rId1043" xr:uid="{00000000-0004-0000-0200-000012040000}"/>
    <hyperlink ref="V610" r:id="rId1044" xr:uid="{00000000-0004-0000-0200-000013040000}"/>
    <hyperlink ref="W602" r:id="rId1045" xr:uid="{00000000-0004-0000-0200-000014040000}"/>
    <hyperlink ref="AB602" r:id="rId1046" xr:uid="{00000000-0004-0000-0200-000015040000}"/>
    <hyperlink ref="AB610" r:id="rId1047" xr:uid="{00000000-0004-0000-0200-000016040000}"/>
    <hyperlink ref="V613" r:id="rId1048" xr:uid="{00000000-0004-0000-0200-000017040000}"/>
    <hyperlink ref="W613" r:id="rId1049" xr:uid="{00000000-0004-0000-0200-000018040000}"/>
    <hyperlink ref="X613" r:id="rId1050" xr:uid="{00000000-0004-0000-0200-000019040000}"/>
    <hyperlink ref="Y613" r:id="rId1051" xr:uid="{00000000-0004-0000-0200-00001A040000}"/>
    <hyperlink ref="W612" r:id="rId1052" xr:uid="{00000000-0004-0000-0200-00001B040000}"/>
    <hyperlink ref="Y605" r:id="rId1053" xr:uid="{00000000-0004-0000-0200-00001C040000}"/>
    <hyperlink ref="V748" r:id="rId1054" xr:uid="{00000000-0004-0000-0200-00001D040000}"/>
    <hyperlink ref="V770" r:id="rId1055" xr:uid="{00000000-0004-0000-0200-00001E040000}"/>
    <hyperlink ref="V776" r:id="rId1056" xr:uid="{00000000-0004-0000-0200-00001F040000}"/>
    <hyperlink ref="V952" r:id="rId1057" xr:uid="{00000000-0004-0000-0200-000020040000}"/>
    <hyperlink ref="V959" r:id="rId1058" xr:uid="{00000000-0004-0000-0200-000021040000}"/>
    <hyperlink ref="V964" r:id="rId1059" xr:uid="{00000000-0004-0000-0200-000022040000}"/>
    <hyperlink ref="W964" r:id="rId1060" location=":~:text=The%20Swiss%20government%20has%20promised,infrastructure%20damaged%20by%20the%20war." xr:uid="{00000000-0004-0000-0200-000023040000}"/>
    <hyperlink ref="V985" r:id="rId1061" location=":~:text=Foreign%20Minister%20Jaushieh%20Joseph%20Wu%20announced%20a%20US%2456%20million,26." xr:uid="{00000000-0004-0000-0200-000024040000}"/>
    <hyperlink ref="W985" r:id="rId1062" xr:uid="{00000000-0004-0000-0200-000025040000}"/>
    <hyperlink ref="V192" r:id="rId1063" xr:uid="{00000000-0004-0000-0200-000026040000}"/>
    <hyperlink ref="W192" r:id="rId1064" xr:uid="{00000000-0004-0000-0200-000027040000}"/>
    <hyperlink ref="V193" r:id="rId1065" xr:uid="{00000000-0004-0000-0200-000028040000}"/>
    <hyperlink ref="W194" r:id="rId1066" xr:uid="{00000000-0004-0000-0200-000029040000}"/>
    <hyperlink ref="X194" r:id="rId1067" xr:uid="{00000000-0004-0000-0200-00002A040000}"/>
    <hyperlink ref="V195" r:id="rId1068" xr:uid="{00000000-0004-0000-0200-00002B040000}"/>
    <hyperlink ref="V325" r:id="rId1069" xr:uid="{00000000-0004-0000-0200-00002C040000}"/>
    <hyperlink ref="V326" r:id="rId1070" xr:uid="{00000000-0004-0000-0200-00002D040000}"/>
    <hyperlink ref="V327" r:id="rId1071" xr:uid="{00000000-0004-0000-0200-00002E040000}"/>
    <hyperlink ref="V328" r:id="rId1072" xr:uid="{00000000-0004-0000-0200-00002F040000}"/>
    <hyperlink ref="V329" r:id="rId1073" xr:uid="{00000000-0004-0000-0200-000030040000}"/>
    <hyperlink ref="V331" r:id="rId1074" xr:uid="{00000000-0004-0000-0200-000031040000}"/>
    <hyperlink ref="V332" r:id="rId1075" xr:uid="{00000000-0004-0000-0200-000032040000}"/>
    <hyperlink ref="V333" r:id="rId1076" xr:uid="{00000000-0004-0000-0200-000033040000}"/>
    <hyperlink ref="V334" r:id="rId1077" xr:uid="{00000000-0004-0000-0200-000034040000}"/>
    <hyperlink ref="V335" r:id="rId1078" xr:uid="{00000000-0004-0000-0200-000035040000}"/>
    <hyperlink ref="V336" r:id="rId1079" xr:uid="{00000000-0004-0000-0200-000036040000}"/>
    <hyperlink ref="V337" r:id="rId1080" xr:uid="{00000000-0004-0000-0200-000037040000}"/>
    <hyperlink ref="AB331" r:id="rId1081" xr:uid="{00000000-0004-0000-0200-000038040000}"/>
    <hyperlink ref="AB332" r:id="rId1082" xr:uid="{00000000-0004-0000-0200-000039040000}"/>
    <hyperlink ref="AB333" r:id="rId1083" xr:uid="{00000000-0004-0000-0200-00003A040000}"/>
    <hyperlink ref="AB334" r:id="rId1084" xr:uid="{00000000-0004-0000-0200-00003B040000}"/>
    <hyperlink ref="AB335" r:id="rId1085" xr:uid="{00000000-0004-0000-0200-00003C040000}"/>
    <hyperlink ref="AB336" r:id="rId1086" xr:uid="{00000000-0004-0000-0200-00003D040000}"/>
    <hyperlink ref="AB337" r:id="rId1087" xr:uid="{00000000-0004-0000-0200-00003E040000}"/>
    <hyperlink ref="V356" r:id="rId1088" xr:uid="{00000000-0004-0000-0200-00003F040000}"/>
    <hyperlink ref="AB371" r:id="rId1089" xr:uid="{00000000-0004-0000-0200-000040040000}"/>
    <hyperlink ref="W374" r:id="rId1090" xr:uid="{00000000-0004-0000-0200-000041040000}"/>
    <hyperlink ref="AB376" r:id="rId1091" xr:uid="{00000000-0004-0000-0200-000042040000}"/>
    <hyperlink ref="V588" r:id="rId1092" xr:uid="{00000000-0004-0000-0200-000043040000}"/>
    <hyperlink ref="W588" r:id="rId1093" xr:uid="{00000000-0004-0000-0200-000044040000}"/>
    <hyperlink ref="X588" r:id="rId1094" xr:uid="{00000000-0004-0000-0200-000045040000}"/>
    <hyperlink ref="AB588" r:id="rId1095" xr:uid="{00000000-0004-0000-0200-000046040000}"/>
    <hyperlink ref="AB589" r:id="rId1096" xr:uid="{00000000-0004-0000-0200-000047040000}"/>
    <hyperlink ref="AB590" r:id="rId1097" xr:uid="{00000000-0004-0000-0200-000048040000}"/>
    <hyperlink ref="V590" r:id="rId1098" xr:uid="{00000000-0004-0000-0200-000049040000}"/>
    <hyperlink ref="V589" r:id="rId1099" xr:uid="{00000000-0004-0000-0200-00004A040000}"/>
    <hyperlink ref="V591" r:id="rId1100" xr:uid="{00000000-0004-0000-0200-00004B040000}"/>
    <hyperlink ref="V587" r:id="rId1101" xr:uid="{00000000-0004-0000-0200-00004C040000}"/>
    <hyperlink ref="Y588" r:id="rId1102" xr:uid="{00000000-0004-0000-0200-00004D040000}"/>
    <hyperlink ref="W589" r:id="rId1103" xr:uid="{00000000-0004-0000-0200-00004E040000}"/>
    <hyperlink ref="W590" r:id="rId1104" xr:uid="{00000000-0004-0000-0200-00004F040000}"/>
    <hyperlink ref="W591" r:id="rId1105" xr:uid="{00000000-0004-0000-0200-000050040000}"/>
    <hyperlink ref="AB591" r:id="rId1106" xr:uid="{00000000-0004-0000-0200-000051040000}"/>
    <hyperlink ref="V818" r:id="rId1107" xr:uid="{00000000-0004-0000-0200-000052040000}"/>
    <hyperlink ref="V830" r:id="rId1108" xr:uid="{00000000-0004-0000-0200-000053040000}"/>
    <hyperlink ref="W830" r:id="rId1109" xr:uid="{00000000-0004-0000-0200-000054040000}"/>
    <hyperlink ref="V37" r:id="rId1110" xr:uid="{00000000-0004-0000-0200-000055040000}"/>
    <hyperlink ref="V38" r:id="rId1111" xr:uid="{00000000-0004-0000-0200-000056040000}"/>
    <hyperlink ref="V39" r:id="rId1112" xr:uid="{00000000-0004-0000-0200-000057040000}"/>
    <hyperlink ref="W37" r:id="rId1113" xr:uid="{00000000-0004-0000-0200-000058040000}"/>
    <hyperlink ref="W38" r:id="rId1114" xr:uid="{00000000-0004-0000-0200-000059040000}"/>
    <hyperlink ref="W39" r:id="rId1115" xr:uid="{00000000-0004-0000-0200-00005A040000}"/>
    <hyperlink ref="X38" r:id="rId1116" xr:uid="{00000000-0004-0000-0200-00005B040000}"/>
    <hyperlink ref="V41" r:id="rId1117" xr:uid="{00000000-0004-0000-0200-00005C040000}"/>
    <hyperlink ref="V42" r:id="rId1118" xr:uid="{00000000-0004-0000-0200-00005D040000}"/>
    <hyperlink ref="V80" r:id="rId1119" xr:uid="{00000000-0004-0000-0200-00005E040000}"/>
    <hyperlink ref="W97" r:id="rId1120" xr:uid="{00000000-0004-0000-0200-00005F040000}"/>
    <hyperlink ref="V138" r:id="rId1121" xr:uid="{00000000-0004-0000-0200-000060040000}"/>
    <hyperlink ref="X654" r:id="rId1122" xr:uid="{00000000-0004-0000-0200-000061040000}"/>
    <hyperlink ref="X655" r:id="rId1123" xr:uid="{00000000-0004-0000-0200-000062040000}"/>
    <hyperlink ref="X656" r:id="rId1124" xr:uid="{00000000-0004-0000-0200-000063040000}"/>
    <hyperlink ref="X657" r:id="rId1125" xr:uid="{00000000-0004-0000-0200-000064040000}"/>
    <hyperlink ref="X658" r:id="rId1126" xr:uid="{00000000-0004-0000-0200-000065040000}"/>
    <hyperlink ref="X659" r:id="rId1127" xr:uid="{00000000-0004-0000-0200-000066040000}"/>
    <hyperlink ref="Y654" r:id="rId1128" xr:uid="{00000000-0004-0000-0200-000067040000}"/>
    <hyperlink ref="V695" r:id="rId1129" xr:uid="{00000000-0004-0000-0200-000068040000}"/>
    <hyperlink ref="AB695" r:id="rId1130" xr:uid="{00000000-0004-0000-0200-000069040000}"/>
    <hyperlink ref="W914" r:id="rId1131" xr:uid="{00000000-0004-0000-0200-00006A040000}"/>
    <hyperlink ref="Y914" r:id="rId1132" xr:uid="{00000000-0004-0000-0200-00006B040000}"/>
    <hyperlink ref="Y915" r:id="rId1133" xr:uid="{00000000-0004-0000-0200-00006C040000}"/>
    <hyperlink ref="Y916" r:id="rId1134" xr:uid="{00000000-0004-0000-0200-00006D040000}"/>
    <hyperlink ref="Y917" r:id="rId1135" xr:uid="{00000000-0004-0000-0200-00006E040000}"/>
    <hyperlink ref="V924" r:id="rId1136" xr:uid="{00000000-0004-0000-0200-00006F040000}"/>
    <hyperlink ref="AB924" r:id="rId1137" xr:uid="{00000000-0004-0000-0200-000070040000}"/>
    <hyperlink ref="V925" r:id="rId1138" xr:uid="{00000000-0004-0000-0200-000071040000}"/>
    <hyperlink ref="V926" r:id="rId1139" xr:uid="{00000000-0004-0000-0200-000072040000}"/>
    <hyperlink ref="V990" r:id="rId1140" xr:uid="{00000000-0004-0000-0200-000073040000}"/>
    <hyperlink ref="W990" r:id="rId1141" xr:uid="{00000000-0004-0000-0200-000074040000}"/>
    <hyperlink ref="W989" r:id="rId1142" xr:uid="{00000000-0004-0000-0200-000075040000}"/>
    <hyperlink ref="V991" r:id="rId1143" xr:uid="{00000000-0004-0000-0200-000076040000}"/>
    <hyperlink ref="AB1006" r:id="rId1144" xr:uid="{00000000-0004-0000-0200-000077040000}"/>
    <hyperlink ref="V1006" r:id="rId1145" xr:uid="{00000000-0004-0000-0200-000078040000}"/>
    <hyperlink ref="W1006" r:id="rId1146" xr:uid="{00000000-0004-0000-0200-000079040000}"/>
    <hyperlink ref="X1006" r:id="rId1147" xr:uid="{00000000-0004-0000-0200-00007A040000}"/>
    <hyperlink ref="Y1006" r:id="rId1148" xr:uid="{00000000-0004-0000-0200-00007B040000}"/>
    <hyperlink ref="V1009" r:id="rId1149" xr:uid="{00000000-0004-0000-0200-00007C040000}"/>
    <hyperlink ref="W1009" r:id="rId1150" xr:uid="{00000000-0004-0000-0200-00007D040000}"/>
    <hyperlink ref="V1010" r:id="rId1151" xr:uid="{00000000-0004-0000-0200-00007E040000}"/>
    <hyperlink ref="W1010" r:id="rId1152" xr:uid="{00000000-0004-0000-0200-00007F040000}"/>
    <hyperlink ref="W1020" r:id="rId1153" xr:uid="{00000000-0004-0000-0200-000080040000}"/>
    <hyperlink ref="V1021" r:id="rId1154" xr:uid="{00000000-0004-0000-0200-000081040000}"/>
    <hyperlink ref="V1022" r:id="rId1155" display="https://www.bbc.com/news/uk-61990479 " xr:uid="{00000000-0004-0000-0200-000082040000}"/>
    <hyperlink ref="V1023" r:id="rId1156" display="https://www.bbc.com/news/uk-61990479 " xr:uid="{00000000-0004-0000-0200-000083040000}"/>
    <hyperlink ref="V1020" r:id="rId1157" xr:uid="{00000000-0004-0000-0200-000084040000}"/>
    <hyperlink ref="X1020" r:id="rId1158" xr:uid="{00000000-0004-0000-0200-000085040000}"/>
    <hyperlink ref="X1021" r:id="rId1159" xr:uid="{00000000-0004-0000-0200-000086040000}"/>
    <hyperlink ref="AB1037" r:id="rId1160" xr:uid="{00000000-0004-0000-0200-000087040000}"/>
    <hyperlink ref="V1038" r:id="rId1161" xr:uid="{00000000-0004-0000-0200-000088040000}"/>
    <hyperlink ref="V227" r:id="rId1162" xr:uid="{00000000-0004-0000-0200-000089040000}"/>
    <hyperlink ref="W227" r:id="rId1163" xr:uid="{00000000-0004-0000-0200-00008A040000}"/>
    <hyperlink ref="X227" r:id="rId1164" xr:uid="{00000000-0004-0000-0200-00008B040000}"/>
    <hyperlink ref="Y227" r:id="rId1165" xr:uid="{00000000-0004-0000-0200-00008C040000}"/>
    <hyperlink ref="V228" r:id="rId1166" xr:uid="{00000000-0004-0000-0200-00008D040000}"/>
    <hyperlink ref="V992" r:id="rId1167" xr:uid="{00000000-0004-0000-0200-00008E040000}"/>
    <hyperlink ref="AB992" r:id="rId1168" xr:uid="{00000000-0004-0000-0200-00008F040000}"/>
    <hyperlink ref="V194" r:id="rId1169" xr:uid="{00000000-0004-0000-0200-000090040000}"/>
    <hyperlink ref="V1217" r:id="rId1170" xr:uid="{00000000-0004-0000-0200-000091040000}"/>
    <hyperlink ref="V1250" r:id="rId1171" xr:uid="{00000000-0004-0000-0200-000092040000}"/>
    <hyperlink ref="V1284" r:id="rId1172" location=":~:text=OCTOBER%204%2C%202022&amp;text=Pursuant%20to%20a%20delegation%20of,U.S.%20Department%20of%20Defense%20inventories." xr:uid="{00000000-0004-0000-0200-000093040000}"/>
    <hyperlink ref="V1289" r:id="rId1173" xr:uid="{00000000-0004-0000-0200-000094040000}"/>
    <hyperlink ref="V1298" r:id="rId1174" xr:uid="{00000000-0004-0000-0200-000095040000}"/>
    <hyperlink ref="V1305" r:id="rId1175" xr:uid="{00000000-0004-0000-0200-000096040000}"/>
    <hyperlink ref="V1290:V1297" r:id="rId1176" display="https://www.defense.gov/News/Releases/Release/Article/3189571/725-million-in-additional-security-assistance-for-ukraine/" xr:uid="{00000000-0004-0000-0200-000097040000}"/>
    <hyperlink ref="V1285:V1288" r:id="rId1177" location=":~:text=OCTOBER%204%2C%202022&amp;text=Pursuant%20to%20a%20delegation%20of,U.S.%20Department%20of%20Defense%20inventories." display="https://ua.usembassy.gov/625-million-in-additional-u-s-military-assistance-for-ukraine/#:~:text=OCTOBER%204%2C%202022&amp;text=Pursuant%20to%20a%20delegation%20of,U.S.%20Department%20of%20Defense%20inventories." xr:uid="{00000000-0004-0000-0200-000098040000}"/>
    <hyperlink ref="V1299:V1304" r:id="rId1178" display="https://www.defense.gov/News/Releases/Release/Article/3203509/275-million-in-additional-presidential-drawdown-security-assistance-for-ukraine/" xr:uid="{00000000-0004-0000-0200-000099040000}"/>
    <hyperlink ref="V1306:V1317" r:id="rId1179" display="https://www.defense.gov/News/Releases/Release/Article/3216287/400-million-in-additional-assistance-for-ukraine/" xr:uid="{00000000-0004-0000-0200-00009A040000}"/>
    <hyperlink ref="W370" r:id="rId1180" xr:uid="{00000000-0004-0000-0200-00009B040000}"/>
    <hyperlink ref="W371:W372" r:id="rId1181" display="https://www.lemonde.fr/en/international/article/2022/10/11/what-weapons-is-france-sending-to-ukraine_5999916_4.html" xr:uid="{00000000-0004-0000-0200-00009C040000}"/>
    <hyperlink ref="V215" r:id="rId1182" xr:uid="{00000000-0004-0000-0200-00009D040000}"/>
    <hyperlink ref="V296" r:id="rId1183" xr:uid="{00000000-0004-0000-0200-00009E040000}"/>
    <hyperlink ref="AB1015" r:id="rId1184" xr:uid="{00000000-0004-0000-0200-00009F040000}"/>
    <hyperlink ref="AB612" r:id="rId1185" xr:uid="{00000000-0004-0000-0200-0000A0040000}"/>
    <hyperlink ref="V43" r:id="rId1186" xr:uid="{00000000-0004-0000-0200-0000A1040000}"/>
    <hyperlink ref="V44" r:id="rId1187" xr:uid="{00000000-0004-0000-0200-0000A2040000}"/>
    <hyperlink ref="W654" r:id="rId1188" xr:uid="{00000000-0004-0000-0200-0000A3040000}"/>
    <hyperlink ref="W209" r:id="rId1189" xr:uid="{00000000-0004-0000-0200-0000A4040000}"/>
    <hyperlink ref="W695" r:id="rId1190" xr:uid="{00000000-0004-0000-0200-0000A5040000}"/>
    <hyperlink ref="V914" r:id="rId1191" xr:uid="{00000000-0004-0000-0200-0000A6040000}"/>
    <hyperlink ref="W915" r:id="rId1192" xr:uid="{00000000-0004-0000-0200-0000A7040000}"/>
    <hyperlink ref="V915" r:id="rId1193" xr:uid="{00000000-0004-0000-0200-0000A8040000}"/>
    <hyperlink ref="W916" r:id="rId1194" xr:uid="{00000000-0004-0000-0200-0000A9040000}"/>
    <hyperlink ref="V916" r:id="rId1195" xr:uid="{00000000-0004-0000-0200-0000AA040000}"/>
    <hyperlink ref="W917" r:id="rId1196" xr:uid="{00000000-0004-0000-0200-0000AB040000}"/>
    <hyperlink ref="V917" r:id="rId1197" xr:uid="{00000000-0004-0000-0200-0000AC040000}"/>
    <hyperlink ref="X917" r:id="rId1198" xr:uid="{00000000-0004-0000-0200-0000AD040000}"/>
    <hyperlink ref="X916" r:id="rId1199" xr:uid="{00000000-0004-0000-0200-0000AE040000}"/>
    <hyperlink ref="X915" r:id="rId1200" xr:uid="{00000000-0004-0000-0200-0000AF040000}"/>
    <hyperlink ref="X914" r:id="rId1201" xr:uid="{00000000-0004-0000-0200-0000B0040000}"/>
    <hyperlink ref="Y215" r:id="rId1202" xr:uid="{00000000-0004-0000-0200-0000B1040000}"/>
    <hyperlink ref="Y216:Y223" r:id="rId1203" display="https://twitter.com/kyivindependent/status/1520462556338569216?lang=en" xr:uid="{00000000-0004-0000-0200-0000B2040000}"/>
    <hyperlink ref="Y606" r:id="rId1204" xr:uid="{00000000-0004-0000-0200-0000B3040000}"/>
    <hyperlink ref="Y607" r:id="rId1205" xr:uid="{00000000-0004-0000-0200-0000B4040000}"/>
    <hyperlink ref="Y608" r:id="rId1206" xr:uid="{00000000-0004-0000-0200-0000B5040000}"/>
    <hyperlink ref="Y609" r:id="rId1207" xr:uid="{00000000-0004-0000-0200-0000B6040000}"/>
    <hyperlink ref="V191" r:id="rId1208" xr:uid="{00000000-0004-0000-0200-0000B7040000}"/>
    <hyperlink ref="W606" r:id="rId1209" xr:uid="{00000000-0004-0000-0200-0000B8040000}"/>
    <hyperlink ref="V257" r:id="rId1210" xr:uid="{00000000-0004-0000-0200-0000B9040000}"/>
    <hyperlink ref="V258" r:id="rId1211" xr:uid="{00000000-0004-0000-0200-0000BA040000}"/>
    <hyperlink ref="W257" r:id="rId1212" xr:uid="{00000000-0004-0000-0200-0000BB040000}"/>
    <hyperlink ref="W258" r:id="rId1213" xr:uid="{00000000-0004-0000-0200-0000BC040000}"/>
    <hyperlink ref="V259" r:id="rId1214" xr:uid="{00000000-0004-0000-0200-0000BD040000}"/>
    <hyperlink ref="V260" r:id="rId1215" xr:uid="{00000000-0004-0000-0200-0000BE040000}"/>
    <hyperlink ref="V261" r:id="rId1216" xr:uid="{00000000-0004-0000-0200-0000BF040000}"/>
    <hyperlink ref="V262" r:id="rId1217" xr:uid="{00000000-0004-0000-0200-0000C0040000}"/>
    <hyperlink ref="X259" r:id="rId1218" xr:uid="{00000000-0004-0000-0200-0000C1040000}"/>
    <hyperlink ref="X260" r:id="rId1219" xr:uid="{00000000-0004-0000-0200-0000C2040000}"/>
    <hyperlink ref="X261" r:id="rId1220" xr:uid="{00000000-0004-0000-0200-0000C3040000}"/>
    <hyperlink ref="X262" r:id="rId1221" xr:uid="{00000000-0004-0000-0200-0000C4040000}"/>
    <hyperlink ref="Y259" r:id="rId1222" xr:uid="{00000000-0004-0000-0200-0000C5040000}"/>
    <hyperlink ref="Y260" r:id="rId1223" xr:uid="{00000000-0004-0000-0200-0000C6040000}"/>
    <hyperlink ref="Y261" r:id="rId1224" xr:uid="{00000000-0004-0000-0200-0000C7040000}"/>
    <hyperlink ref="Y262" r:id="rId1225" xr:uid="{00000000-0004-0000-0200-0000C8040000}"/>
    <hyperlink ref="X257" r:id="rId1226" xr:uid="{00000000-0004-0000-0200-0000C9040000}"/>
    <hyperlink ref="X258" r:id="rId1227" xr:uid="{00000000-0004-0000-0200-0000CA040000}"/>
    <hyperlink ref="W259" r:id="rId1228" xr:uid="{00000000-0004-0000-0200-0000CB040000}"/>
    <hyperlink ref="W260" r:id="rId1229" xr:uid="{00000000-0004-0000-0200-0000CC040000}"/>
    <hyperlink ref="W261" r:id="rId1230" xr:uid="{00000000-0004-0000-0200-0000CD040000}"/>
    <hyperlink ref="W262" r:id="rId1231" xr:uid="{00000000-0004-0000-0200-0000CE040000}"/>
    <hyperlink ref="Y918" r:id="rId1232" xr:uid="{00000000-0004-0000-0200-0000CF040000}"/>
    <hyperlink ref="W918" r:id="rId1233" xr:uid="{00000000-0004-0000-0200-0000D0040000}"/>
    <hyperlink ref="V918" r:id="rId1234" xr:uid="{00000000-0004-0000-0200-0000D1040000}"/>
    <hyperlink ref="X918" r:id="rId1235" xr:uid="{00000000-0004-0000-0200-0000D2040000}"/>
    <hyperlink ref="V1403" r:id="rId1236" xr:uid="{00000000-0004-0000-0200-0000D3040000}"/>
    <hyperlink ref="W1403" r:id="rId1237" xr:uid="{00000000-0004-0000-0200-0000D4040000}"/>
    <hyperlink ref="V1392" r:id="rId1238" xr:uid="{00000000-0004-0000-0200-0000D5040000}"/>
    <hyperlink ref="V374" r:id="rId1239" xr:uid="{00000000-0004-0000-0200-0000D6040000}"/>
    <hyperlink ref="X374" r:id="rId1240" xr:uid="{00000000-0004-0000-0200-0000D7040000}"/>
    <hyperlink ref="V373" r:id="rId1241" xr:uid="{00000000-0004-0000-0200-0000D8040000}"/>
    <hyperlink ref="W373" r:id="rId1242" xr:uid="{00000000-0004-0000-0200-0000D9040000}"/>
    <hyperlink ref="Y374" r:id="rId1243" xr:uid="{00000000-0004-0000-0200-0000DA040000}"/>
    <hyperlink ref="W375" r:id="rId1244" xr:uid="{00000000-0004-0000-0200-0000DB040000}"/>
    <hyperlink ref="V375" r:id="rId1245" xr:uid="{00000000-0004-0000-0200-0000DC040000}"/>
    <hyperlink ref="X375" r:id="rId1246" xr:uid="{00000000-0004-0000-0200-0000DD040000}"/>
    <hyperlink ref="Y375" r:id="rId1247" xr:uid="{00000000-0004-0000-0200-0000DE040000}"/>
    <hyperlink ref="W376" r:id="rId1248" xr:uid="{00000000-0004-0000-0200-0000DF040000}"/>
    <hyperlink ref="V376" r:id="rId1249" xr:uid="{00000000-0004-0000-0200-0000E0040000}"/>
    <hyperlink ref="X376" r:id="rId1250" xr:uid="{00000000-0004-0000-0200-0000E1040000}"/>
    <hyperlink ref="Y376" r:id="rId1251" xr:uid="{00000000-0004-0000-0200-0000E2040000}"/>
    <hyperlink ref="W377" r:id="rId1252" xr:uid="{00000000-0004-0000-0200-0000E3040000}"/>
    <hyperlink ref="V377" r:id="rId1253" xr:uid="{00000000-0004-0000-0200-0000E4040000}"/>
    <hyperlink ref="X377" r:id="rId1254" xr:uid="{00000000-0004-0000-0200-0000E5040000}"/>
    <hyperlink ref="Y377" r:id="rId1255" xr:uid="{00000000-0004-0000-0200-0000E6040000}"/>
    <hyperlink ref="X372" r:id="rId1256" xr:uid="{00000000-0004-0000-0200-0000E7040000}"/>
    <hyperlink ref="X371" r:id="rId1257" xr:uid="{00000000-0004-0000-0200-0000E8040000}"/>
    <hyperlink ref="X370" r:id="rId1258" xr:uid="{00000000-0004-0000-0200-0000E9040000}"/>
    <hyperlink ref="AB372" r:id="rId1259" xr:uid="{00000000-0004-0000-0200-0000EA040000}"/>
    <hyperlink ref="V793" r:id="rId1260" xr:uid="{00000000-0004-0000-0200-0000EB040000}"/>
    <hyperlink ref="V791" r:id="rId1261" xr:uid="{00000000-0004-0000-0200-0000EC040000}"/>
    <hyperlink ref="V792" r:id="rId1262" xr:uid="{00000000-0004-0000-0200-0000ED040000}"/>
    <hyperlink ref="V307" r:id="rId1263" xr:uid="{00000000-0004-0000-0200-0000EE040000}"/>
    <hyperlink ref="AB304" r:id="rId1264" location="35b98872" xr:uid="{00000000-0004-0000-0200-0000EF040000}"/>
    <hyperlink ref="AB305" r:id="rId1265" location="35b98872" xr:uid="{00000000-0004-0000-0200-0000F0040000}"/>
    <hyperlink ref="AB308" r:id="rId1266" location="35b98872" xr:uid="{00000000-0004-0000-0200-0000F1040000}"/>
    <hyperlink ref="AB1254" r:id="rId1267" xr:uid="{00000000-0004-0000-0200-0000F2040000}"/>
    <hyperlink ref="AB1258" r:id="rId1268" xr:uid="{00000000-0004-0000-0200-0000F3040000}"/>
    <hyperlink ref="V1397" r:id="rId1269" xr:uid="{00000000-0004-0000-0200-0000F4040000}"/>
    <hyperlink ref="V97" r:id="rId1270" xr:uid="{00000000-0004-0000-0200-0000F5040000}"/>
    <hyperlink ref="V1072" r:id="rId1271" xr:uid="{00000000-0004-0000-0200-0000F6040000}"/>
    <hyperlink ref="W1072" r:id="rId1272" xr:uid="{00000000-0004-0000-0200-0000F7040000}"/>
    <hyperlink ref="X1072" r:id="rId1273" xr:uid="{00000000-0004-0000-0200-0000F8040000}"/>
    <hyperlink ref="V783" r:id="rId1274" xr:uid="{00000000-0004-0000-0200-0000F9040000}"/>
    <hyperlink ref="W788" r:id="rId1275" xr:uid="{00000000-0004-0000-0200-0000FA040000}"/>
    <hyperlink ref="V788" r:id="rId1276" xr:uid="{00000000-0004-0000-0200-0000FB040000}"/>
    <hyperlink ref="W787" r:id="rId1277" xr:uid="{00000000-0004-0000-0200-0000FC040000}"/>
    <hyperlink ref="V784" r:id="rId1278" xr:uid="{00000000-0004-0000-0200-0000FD040000}"/>
    <hyperlink ref="AB655" r:id="rId1279" xr:uid="{00000000-0004-0000-0200-0000FE040000}"/>
    <hyperlink ref="AB656" r:id="rId1280" xr:uid="{00000000-0004-0000-0200-0000FF040000}"/>
    <hyperlink ref="AB657" r:id="rId1281" xr:uid="{00000000-0004-0000-0200-000000050000}"/>
    <hyperlink ref="AB645" r:id="rId1282" xr:uid="{00000000-0004-0000-0200-000001050000}"/>
    <hyperlink ref="AB646" r:id="rId1283" xr:uid="{00000000-0004-0000-0200-000002050000}"/>
    <hyperlink ref="W717" r:id="rId1284" xr:uid="{00000000-0004-0000-0200-000003050000}"/>
    <hyperlink ref="V756" r:id="rId1285" xr:uid="{00000000-0004-0000-0200-000004050000}"/>
    <hyperlink ref="V757:V761" r:id="rId1286" display="https://www.regjeringen.no/en/topics/foreign-affairs/humanitarian-efforts/neighbour_support/id2908141/" xr:uid="{00000000-0004-0000-0200-000005050000}"/>
    <hyperlink ref="W756" r:id="rId1287" xr:uid="{00000000-0004-0000-0200-000006050000}"/>
    <hyperlink ref="W757:W761" r:id="rId1288" display="https://www.regjeringen.no/en/aktuelt/norway-to-increase-support-to-ukraine-and-provide-military-equipment/id2902406/" xr:uid="{00000000-0004-0000-0200-000007050000}"/>
    <hyperlink ref="AB914" r:id="rId1289" xr:uid="{00000000-0004-0000-0200-000008050000}"/>
    <hyperlink ref="AB915" r:id="rId1290" xr:uid="{00000000-0004-0000-0200-000009050000}"/>
    <hyperlink ref="AB916" r:id="rId1291" xr:uid="{00000000-0004-0000-0200-00000A050000}"/>
    <hyperlink ref="AB917" r:id="rId1292" xr:uid="{00000000-0004-0000-0200-00000B050000}"/>
    <hyperlink ref="AB918" r:id="rId1293" xr:uid="{00000000-0004-0000-0200-00000C050000}"/>
    <hyperlink ref="AB919" r:id="rId1294" xr:uid="{00000000-0004-0000-0200-00000D050000}"/>
    <hyperlink ref="AB920" r:id="rId1295" xr:uid="{00000000-0004-0000-0200-00000E050000}"/>
    <hyperlink ref="AB921" r:id="rId1296" xr:uid="{00000000-0004-0000-0200-00000F050000}"/>
    <hyperlink ref="AB922" r:id="rId1297" xr:uid="{00000000-0004-0000-0200-000010050000}"/>
    <hyperlink ref="AB923" r:id="rId1298" xr:uid="{00000000-0004-0000-0200-000011050000}"/>
    <hyperlink ref="AB925" r:id="rId1299" xr:uid="{00000000-0004-0000-0200-000012050000}"/>
    <hyperlink ref="AB926" r:id="rId1300" xr:uid="{00000000-0004-0000-0200-000013050000}"/>
    <hyperlink ref="W951" r:id="rId1301" xr:uid="{00000000-0004-0000-0200-000014050000}"/>
    <hyperlink ref="W956" r:id="rId1302" xr:uid="{00000000-0004-0000-0200-000015050000}"/>
    <hyperlink ref="X989" r:id="rId1303" xr:uid="{00000000-0004-0000-0200-000016050000}"/>
    <hyperlink ref="AB1009" r:id="rId1304" xr:uid="{00000000-0004-0000-0200-000017050000}"/>
    <hyperlink ref="AB1010" r:id="rId1305" xr:uid="{00000000-0004-0000-0200-000018050000}"/>
    <hyperlink ref="W1021" r:id="rId1306" xr:uid="{00000000-0004-0000-0200-000019050000}"/>
    <hyperlink ref="W1022:W1025" r:id="rId1307" display="https://www.gov.uk/government/news/uk-to-send-scores-of-artillery-guns-and-hundreds-of-drones-to-ukraine" xr:uid="{00000000-0004-0000-0200-00001A050000}"/>
    <hyperlink ref="AB1020" r:id="rId1308" xr:uid="{00000000-0004-0000-0200-00001B050000}"/>
    <hyperlink ref="AB1021" r:id="rId1309" xr:uid="{00000000-0004-0000-0200-00001C050000}"/>
    <hyperlink ref="AB1022" r:id="rId1310" xr:uid="{00000000-0004-0000-0200-00001D050000}"/>
    <hyperlink ref="AB1023" r:id="rId1311" xr:uid="{00000000-0004-0000-0200-00001E050000}"/>
    <hyperlink ref="Y1396" r:id="rId1312" xr:uid="{00000000-0004-0000-0200-00001F050000}"/>
    <hyperlink ref="V46" r:id="rId1313" xr:uid="{00000000-0004-0000-0200-000020050000}"/>
    <hyperlink ref="V45" r:id="rId1314" xr:uid="{00000000-0004-0000-0200-000021050000}"/>
    <hyperlink ref="W45" r:id="rId1315" xr:uid="{00000000-0004-0000-0200-000022050000}"/>
    <hyperlink ref="V52" r:id="rId1316" xr:uid="{00000000-0004-0000-0200-000023050000}"/>
    <hyperlink ref="W52" r:id="rId1317" xr:uid="{00000000-0004-0000-0200-000024050000}"/>
    <hyperlink ref="V77" r:id="rId1318" xr:uid="{00000000-0004-0000-0200-000025050000}"/>
    <hyperlink ref="W77" r:id="rId1319" xr:uid="{00000000-0004-0000-0200-000026050000}"/>
    <hyperlink ref="V78" r:id="rId1320" xr:uid="{00000000-0004-0000-0200-000027050000}"/>
    <hyperlink ref="W78" r:id="rId1321" xr:uid="{00000000-0004-0000-0200-000028050000}"/>
    <hyperlink ref="V79" r:id="rId1322" location=":~:text=So%20far%2C%20Belgium%20has%20allocated,and%20the%20battle%20against%20impunity" xr:uid="{00000000-0004-0000-0200-000029050000}"/>
    <hyperlink ref="V57" r:id="rId1323" xr:uid="{00000000-0004-0000-0200-00002A050000}"/>
    <hyperlink ref="W57" r:id="rId1324" xr:uid="{00000000-0004-0000-0200-00002B050000}"/>
    <hyperlink ref="X57" r:id="rId1325" location=":~:text=So%20far%2C%20Belgium%20has%20allocated,and%20the%20battle%20against%20impunity" xr:uid="{00000000-0004-0000-0200-00002C050000}"/>
    <hyperlink ref="W104" r:id="rId1326" xr:uid="{00000000-0004-0000-0200-00002D050000}"/>
    <hyperlink ref="V104" r:id="rId1327" xr:uid="{00000000-0004-0000-0200-00002E050000}"/>
    <hyperlink ref="X104" r:id="rId1328" xr:uid="{00000000-0004-0000-0200-00002F050000}"/>
    <hyperlink ref="V136" r:id="rId1329" xr:uid="{00000000-0004-0000-0200-000030050000}"/>
    <hyperlink ref="W136" r:id="rId1330" xr:uid="{00000000-0004-0000-0200-000031050000}"/>
    <hyperlink ref="V137" r:id="rId1331" xr:uid="{00000000-0004-0000-0200-000032050000}"/>
    <hyperlink ref="W137" r:id="rId1332" xr:uid="{00000000-0004-0000-0200-000033050000}"/>
    <hyperlink ref="V624" r:id="rId1333" xr:uid="{00000000-0004-0000-0200-000034050000}"/>
    <hyperlink ref="W624" r:id="rId1334" xr:uid="{00000000-0004-0000-0200-000035050000}"/>
    <hyperlink ref="V623" r:id="rId1335" xr:uid="{00000000-0004-0000-0200-000036050000}"/>
    <hyperlink ref="V661" r:id="rId1336" xr:uid="{00000000-0004-0000-0200-000037050000}"/>
    <hyperlink ref="AB661" r:id="rId1337" xr:uid="{00000000-0004-0000-0200-000038050000}"/>
    <hyperlink ref="W660" r:id="rId1338" xr:uid="{00000000-0004-0000-0200-000039050000}"/>
    <hyperlink ref="X660" r:id="rId1339" xr:uid="{00000000-0004-0000-0200-00003A050000}"/>
    <hyperlink ref="V662" r:id="rId1340" xr:uid="{00000000-0004-0000-0200-00003B050000}"/>
    <hyperlink ref="AB662" r:id="rId1341" xr:uid="{00000000-0004-0000-0200-00003C050000}"/>
    <hyperlink ref="W662" r:id="rId1342" xr:uid="{00000000-0004-0000-0200-00003D050000}"/>
    <hyperlink ref="AB663" r:id="rId1343" xr:uid="{00000000-0004-0000-0200-00003E050000}"/>
    <hyperlink ref="V663" r:id="rId1344" xr:uid="{00000000-0004-0000-0200-00003F050000}"/>
    <hyperlink ref="W669" r:id="rId1345" xr:uid="{00000000-0004-0000-0200-000040050000}"/>
    <hyperlink ref="X669" r:id="rId1346" xr:uid="{00000000-0004-0000-0200-000041050000}"/>
    <hyperlink ref="W670" r:id="rId1347" display="https://www.delfi.lt/en/politics/lithuania-provides-eur-5-mln-to-help-ukraine-rebuild-energy-infrastructure.d?id=91786261" xr:uid="{00000000-0004-0000-0200-000042050000}"/>
    <hyperlink ref="X670" r:id="rId1348" display="https://twitter.com/a_anusauskas/status/1596869391974813698" xr:uid="{00000000-0004-0000-0200-000043050000}"/>
    <hyperlink ref="X672" r:id="rId1349" xr:uid="{00000000-0004-0000-0200-000044050000}"/>
    <hyperlink ref="W673" r:id="rId1350" xr:uid="{00000000-0004-0000-0200-000045050000}"/>
    <hyperlink ref="X673" r:id="rId1351" xr:uid="{00000000-0004-0000-0200-000046050000}"/>
    <hyperlink ref="V673:V675" r:id="rId1352" display="https://delano.lu/article/luxembourg-gives-50m-in-milita" xr:uid="{00000000-0004-0000-0200-000047050000}"/>
    <hyperlink ref="AB673" r:id="rId1353" xr:uid="{00000000-0004-0000-0200-000048050000}"/>
    <hyperlink ref="Y673" r:id="rId1354" xr:uid="{00000000-0004-0000-0200-000049050000}"/>
    <hyperlink ref="Y674:Y693" r:id="rId1355" display="https://twitter.com/Defense_lu/status/1598610977364115462?t=6bU22e0y0z-S3WKot0R3BA&amp;s=19" xr:uid="{00000000-0004-0000-0200-00004A050000}"/>
    <hyperlink ref="AB694" r:id="rId1356" xr:uid="{00000000-0004-0000-0200-00004B050000}"/>
    <hyperlink ref="W694" r:id="rId1357" xr:uid="{00000000-0004-0000-0200-00004C050000}"/>
    <hyperlink ref="V723" r:id="rId1358" xr:uid="{00000000-0004-0000-0200-00004D050000}"/>
    <hyperlink ref="W723" r:id="rId1359" xr:uid="{00000000-0004-0000-0200-00004E050000}"/>
    <hyperlink ref="V724" r:id="rId1360" xr:uid="{00000000-0004-0000-0200-00004F050000}"/>
    <hyperlink ref="W724" r:id="rId1361" xr:uid="{00000000-0004-0000-0200-000050050000}"/>
    <hyperlink ref="W725" r:id="rId1362" xr:uid="{00000000-0004-0000-0200-000051050000}"/>
    <hyperlink ref="AB721" r:id="rId1363" xr:uid="{00000000-0004-0000-0200-000052050000}"/>
    <hyperlink ref="AB722" r:id="rId1364" xr:uid="{00000000-0004-0000-0200-000053050000}"/>
    <hyperlink ref="AB725" r:id="rId1365" xr:uid="{00000000-0004-0000-0200-000054050000}"/>
    <hyperlink ref="V733" r:id="rId1366" display="https://twitter.com/LSchreinemacher/status/1580222344538169346?ref_src=twsrc%5Etfw%7Ctwcamp%5Etweetembed%7Ctwterm%5E1580222344538169346%7Ctwgr%5Eda5480de56b54594938272c57ded09082863f933%7Ctwcon%5Es1_&amp;ref_url=https%3A%2F%2Fwww.eurointegration.com.ua%2Fnews%2F2022%2F10%2F13%2F7148653%2F" xr:uid="{00000000-0004-0000-0200-000055050000}"/>
    <hyperlink ref="W733" r:id="rId1367" xr:uid="{00000000-0004-0000-0200-000056050000}"/>
    <hyperlink ref="W734" r:id="rId1368" display="https://twitter.com/LSchreinemacher/status/1591089465719926784" xr:uid="{00000000-0004-0000-0200-000057050000}"/>
    <hyperlink ref="X733" r:id="rId1369" xr:uid="{00000000-0004-0000-0200-000058050000}"/>
    <hyperlink ref="W932" r:id="rId1370" display="https://ua.interfax.com.ua/news/general/844172.html" xr:uid="{00000000-0004-0000-0200-000059050000}"/>
    <hyperlink ref="V932" r:id="rId1371" xr:uid="{00000000-0004-0000-0200-00005A050000}"/>
    <hyperlink ref="W1039" r:id="rId1372" xr:uid="{00000000-0004-0000-0200-00005B050000}"/>
    <hyperlink ref="W1040" r:id="rId1373" xr:uid="{00000000-0004-0000-0200-00005C050000}"/>
    <hyperlink ref="V90" r:id="rId1374" xr:uid="{00000000-0004-0000-0200-00005D050000}"/>
    <hyperlink ref="X90" r:id="rId1375" xr:uid="{00000000-0004-0000-0200-00005E050000}"/>
    <hyperlink ref="W90" r:id="rId1376" xr:uid="{00000000-0004-0000-0200-00005F050000}"/>
    <hyperlink ref="V153" r:id="rId1377" xr:uid="{00000000-0004-0000-0200-000060050000}"/>
    <hyperlink ref="V154" r:id="rId1378" xr:uid="{00000000-0004-0000-0200-000061050000}"/>
    <hyperlink ref="W153" r:id="rId1379" xr:uid="{00000000-0004-0000-0200-000062050000}"/>
    <hyperlink ref="V196" r:id="rId1380" xr:uid="{00000000-0004-0000-0200-000063050000}"/>
    <hyperlink ref="W196" r:id="rId1381" xr:uid="{00000000-0004-0000-0200-000064050000}"/>
    <hyperlink ref="X196" r:id="rId1382" xr:uid="{00000000-0004-0000-0200-000065050000}"/>
    <hyperlink ref="V263" r:id="rId1383" xr:uid="{00000000-0004-0000-0200-000066050000}"/>
    <hyperlink ref="W263" r:id="rId1384" xr:uid="{00000000-0004-0000-0200-000067050000}"/>
    <hyperlink ref="X263" r:id="rId1385" xr:uid="{00000000-0004-0000-0200-000068050000}"/>
    <hyperlink ref="V264" r:id="rId1386" xr:uid="{00000000-0004-0000-0200-000069050000}"/>
    <hyperlink ref="V265:V268" r:id="rId1387" display="https://kaitseministeerium.ee/et/uudised/eesti-saadab-ukrainale-taas-sojavarustust" xr:uid="{00000000-0004-0000-0200-00006A050000}"/>
    <hyperlink ref="W264" r:id="rId1388" xr:uid="{00000000-0004-0000-0200-00006B050000}"/>
    <hyperlink ref="W265:W268" r:id="rId1389" display="https://news.err.ee/1608829969/estonia-sends-more-military-equipment-to-ukraine" xr:uid="{00000000-0004-0000-0200-00006C050000}"/>
    <hyperlink ref="X264" r:id="rId1390" xr:uid="{00000000-0004-0000-0200-00006D050000}"/>
    <hyperlink ref="X265:X268" r:id="rId1391" display="https://kyivindependent.com/news-feed/estonia-to-send-ukraine-new-military-aid-package" xr:uid="{00000000-0004-0000-0200-00006E050000}"/>
    <hyperlink ref="Y264" r:id="rId1392" xr:uid="{00000000-0004-0000-0200-00006F050000}"/>
    <hyperlink ref="Y265:Y268" r:id="rId1393" display="https://english.nv.ua/nation/estonia-approves-new-military-aid-package-for-ukraine-news-50292956.html" xr:uid="{00000000-0004-0000-0200-000070050000}"/>
    <hyperlink ref="V359" r:id="rId1394" xr:uid="{00000000-0004-0000-0200-000071050000}"/>
    <hyperlink ref="V360" r:id="rId1395" xr:uid="{00000000-0004-0000-0200-000072050000}"/>
    <hyperlink ref="Y359" r:id="rId1396" xr:uid="{00000000-0004-0000-0200-000073050000}"/>
    <hyperlink ref="W360" r:id="rId1397" display="https://twitter.com/EmmanuelMacron/status/1602661511700389888?ref_src=twsrc%5Etfw%7Ctwcamp%5Etweetembed%7Ctwterm%5E1602661511700389888%7Ctwgr%5E339bcba22bc63bfdb282e6d9427211ad1ddf282a%7Ctwcon%5Es1_&amp;ref_url=https%3A%2F%2Fwww.elysee.fr%2Femmanuel-macron%2F2022%2F12%2F13%2Fsolidaires-du-peuple-ukrainien" xr:uid="{00000000-0004-0000-0200-000074050000}"/>
    <hyperlink ref="AB375" r:id="rId1398" xr:uid="{00000000-0004-0000-0200-000075050000}"/>
    <hyperlink ref="V378" r:id="rId1399" xr:uid="{00000000-0004-0000-0200-000076050000}"/>
    <hyperlink ref="V379" r:id="rId1400" xr:uid="{00000000-0004-0000-0200-000077050000}"/>
    <hyperlink ref="W378" r:id="rId1401" xr:uid="{00000000-0004-0000-0200-000078050000}"/>
    <hyperlink ref="W379" r:id="rId1402" xr:uid="{00000000-0004-0000-0200-000079050000}"/>
    <hyperlink ref="X378" r:id="rId1403" xr:uid="{00000000-0004-0000-0200-00007A050000}"/>
    <hyperlink ref="X379" r:id="rId1404" xr:uid="{00000000-0004-0000-0200-00007B050000}"/>
    <hyperlink ref="Y378" r:id="rId1405" xr:uid="{00000000-0004-0000-0200-00007C050000}"/>
    <hyperlink ref="Y379" r:id="rId1406" xr:uid="{00000000-0004-0000-0200-00007D050000}"/>
    <hyperlink ref="V579" r:id="rId1407" xr:uid="{00000000-0004-0000-0200-00007E050000}"/>
    <hyperlink ref="W579" r:id="rId1408" xr:uid="{00000000-0004-0000-0200-00007F050000}"/>
    <hyperlink ref="V592" r:id="rId1409" xr:uid="{00000000-0004-0000-0200-000080050000}"/>
    <hyperlink ref="W592" r:id="rId1410" xr:uid="{00000000-0004-0000-0200-000081050000}"/>
    <hyperlink ref="X592" r:id="rId1411" xr:uid="{00000000-0004-0000-0200-000082050000}"/>
    <hyperlink ref="V701" r:id="rId1412" xr:uid="{00000000-0004-0000-0200-000083050000}"/>
    <hyperlink ref="W701" r:id="rId1413" xr:uid="{00000000-0004-0000-0200-000084050000}"/>
    <hyperlink ref="V814" r:id="rId1414" xr:uid="{00000000-0004-0000-0200-000085050000}"/>
    <hyperlink ref="V815:V816" r:id="rId1415" display="https://www.lusa.pt/article/39993895/portugal-ukraine-aid-to-include-generators-haters-led-bulbs" xr:uid="{00000000-0004-0000-0200-000086050000}"/>
    <hyperlink ref="W814" r:id="rId1416" xr:uid="{00000000-0004-0000-0200-000087050000}"/>
    <hyperlink ref="W815:W816" r:id="rId1417" display="https://www.euractiv.com/section/politics/news/portugal-helps-ukraine-keep-heat-and-lights-on/" xr:uid="{00000000-0004-0000-0200-000088050000}"/>
    <hyperlink ref="W853" r:id="rId1418" xr:uid="{00000000-0004-0000-0200-000089050000}"/>
    <hyperlink ref="X853" r:id="rId1419" xr:uid="{00000000-0004-0000-0200-00008A050000}"/>
    <hyperlink ref="V868" r:id="rId1420" xr:uid="{00000000-0004-0000-0200-00008B050000}"/>
    <hyperlink ref="V869:V872" r:id="rId1421" display="https://spectator.sme.sk/c/23092666/slovaka-will-provide-winter-package-for-ukraine.html" xr:uid="{00000000-0004-0000-0200-00008C050000}"/>
    <hyperlink ref="W868" r:id="rId1422" xr:uid="{00000000-0004-0000-0200-00008D050000}"/>
    <hyperlink ref="W869:W872" r:id="rId1423" display="https://kyivindependent.com/news-feed/slovakia-considers-producing-ammunition-for-ukraine" xr:uid="{00000000-0004-0000-0200-00008E050000}"/>
    <hyperlink ref="X868" r:id="rId1424" xr:uid="{00000000-0004-0000-0200-00008F050000}"/>
    <hyperlink ref="X869:X872" r:id="rId1425" display="https://www.eurointegration.com.ua/news/2022/12/8/7152129/" xr:uid="{00000000-0004-0000-0200-000090050000}"/>
    <hyperlink ref="AB867" r:id="rId1426" xr:uid="{00000000-0004-0000-0200-000091050000}"/>
    <hyperlink ref="Y867" r:id="rId1427" xr:uid="{00000000-0004-0000-0200-000092050000}"/>
    <hyperlink ref="V214" r:id="rId1428" xr:uid="{00000000-0004-0000-0200-000093050000}"/>
    <hyperlink ref="V295" r:id="rId1429" xr:uid="{00000000-0004-0000-0200-000094050000}"/>
    <hyperlink ref="V309" r:id="rId1430" location="3010ecd4" xr:uid="{00000000-0004-0000-0200-000095050000}"/>
    <hyperlink ref="W309" r:id="rId1431" xr:uid="{00000000-0004-0000-0200-000096050000}"/>
    <hyperlink ref="AB309" r:id="rId1432" xr:uid="{00000000-0004-0000-0200-000097050000}"/>
    <hyperlink ref="V600" r:id="rId1433" xr:uid="{00000000-0004-0000-0200-000098050000}"/>
    <hyperlink ref="W600" r:id="rId1434" xr:uid="{00000000-0004-0000-0200-000099050000}"/>
    <hyperlink ref="V601" r:id="rId1435" xr:uid="{00000000-0004-0000-0200-00009A050000}"/>
    <hyperlink ref="W601" r:id="rId1436" xr:uid="{00000000-0004-0000-0200-00009B050000}"/>
    <hyperlink ref="X601" r:id="rId1437" xr:uid="{00000000-0004-0000-0200-00009C050000}"/>
    <hyperlink ref="Y741" r:id="rId1438" xr:uid="{00000000-0004-0000-0200-00009D050000}"/>
    <hyperlink ref="V777" r:id="rId1439" xr:uid="{00000000-0004-0000-0200-00009E050000}"/>
    <hyperlink ref="V778" r:id="rId1440" xr:uid="{00000000-0004-0000-0200-00009F050000}"/>
    <hyperlink ref="V779" r:id="rId1441" xr:uid="{00000000-0004-0000-0200-0000A0050000}"/>
    <hyperlink ref="V836" r:id="rId1442" xr:uid="{00000000-0004-0000-0200-0000A1050000}"/>
    <hyperlink ref="W836" r:id="rId1443" xr:uid="{00000000-0004-0000-0200-0000A2050000}"/>
    <hyperlink ref="AB952" r:id="rId1444" xr:uid="{00000000-0004-0000-0200-0000A3050000}"/>
    <hyperlink ref="V1062" r:id="rId1445" xr:uid="{00000000-0004-0000-0200-0000A4050000}"/>
    <hyperlink ref="V1063" r:id="rId1446" xr:uid="{00000000-0004-0000-0200-0000A5050000}"/>
    <hyperlink ref="V1071" r:id="rId1447" xr:uid="{00000000-0004-0000-0200-0000A6050000}"/>
    <hyperlink ref="V1383" r:id="rId1448" xr:uid="{00000000-0004-0000-0200-0000A7050000}"/>
    <hyperlink ref="V1384" r:id="rId1449" xr:uid="{00000000-0004-0000-0200-0000A8050000}"/>
    <hyperlink ref="V1386" r:id="rId1450" xr:uid="{00000000-0004-0000-0200-0000A9050000}"/>
    <hyperlink ref="V1318" r:id="rId1451" xr:uid="{00000000-0004-0000-0200-0000AA050000}"/>
    <hyperlink ref="V1329" r:id="rId1452" xr:uid="{00000000-0004-0000-0200-0000AB050000}"/>
    <hyperlink ref="V1333" r:id="rId1453" location=":~:text=The%20Presidential%20Drawdown%20is%20the,has%20authorized%20since%20August%202021" xr:uid="{00000000-0004-0000-0200-0000AC050000}"/>
    <hyperlink ref="V1377" r:id="rId1454" location=":~:text=The%20Presidential%20Drawdown%20is%20the,has%20authorized%20since%20August%202021" xr:uid="{00000000-0004-0000-0200-0000AD050000}"/>
    <hyperlink ref="V388" r:id="rId1455" xr:uid="{00000000-0004-0000-0200-0000AE050000}"/>
    <hyperlink ref="W388" r:id="rId1456" xr:uid="{00000000-0004-0000-0200-0000AF050000}"/>
    <hyperlink ref="V1319" r:id="rId1457" xr:uid="{00000000-0004-0000-0200-0000B0050000}"/>
    <hyperlink ref="V1320" r:id="rId1458" xr:uid="{00000000-0004-0000-0200-0000B1050000}"/>
    <hyperlink ref="V1321" r:id="rId1459" xr:uid="{00000000-0004-0000-0200-0000B2050000}"/>
    <hyperlink ref="V1322" r:id="rId1460" xr:uid="{00000000-0004-0000-0200-0000B3050000}"/>
    <hyperlink ref="V1323" r:id="rId1461" xr:uid="{00000000-0004-0000-0200-0000B4050000}"/>
    <hyperlink ref="V1324" r:id="rId1462" xr:uid="{00000000-0004-0000-0200-0000B5050000}"/>
    <hyperlink ref="V1325" r:id="rId1463" xr:uid="{00000000-0004-0000-0200-0000B6050000}"/>
    <hyperlink ref="V1326" r:id="rId1464" xr:uid="{00000000-0004-0000-0200-0000B7050000}"/>
    <hyperlink ref="V1327" r:id="rId1465" xr:uid="{00000000-0004-0000-0200-0000B8050000}"/>
    <hyperlink ref="V1328" r:id="rId1466" xr:uid="{00000000-0004-0000-0200-0000B9050000}"/>
    <hyperlink ref="V1330" r:id="rId1467" xr:uid="{00000000-0004-0000-0200-0000BA050000}"/>
    <hyperlink ref="V1331" r:id="rId1468" xr:uid="{00000000-0004-0000-0200-0000BB050000}"/>
    <hyperlink ref="V1332" r:id="rId1469" xr:uid="{00000000-0004-0000-0200-0000BC050000}"/>
    <hyperlink ref="V807" r:id="rId1470" xr:uid="{00000000-0004-0000-0200-0000BD050000}"/>
    <hyperlink ref="W807" r:id="rId1471" xr:uid="{00000000-0004-0000-0200-0000BE050000}"/>
    <hyperlink ref="X807" r:id="rId1472" xr:uid="{00000000-0004-0000-0200-0000BF050000}"/>
    <hyperlink ref="AB807" r:id="rId1473" xr:uid="{00000000-0004-0000-0200-0000C0050000}"/>
    <hyperlink ref="V808" r:id="rId1474" xr:uid="{00000000-0004-0000-0200-0000C1050000}"/>
    <hyperlink ref="AB808" r:id="rId1475" xr:uid="{00000000-0004-0000-0200-0000C2050000}"/>
    <hyperlink ref="V806" r:id="rId1476" xr:uid="{00000000-0004-0000-0200-0000C3050000}"/>
    <hyperlink ref="AB806" r:id="rId1477" xr:uid="{00000000-0004-0000-0200-0000C4050000}"/>
    <hyperlink ref="V804" r:id="rId1478" location=":~:text=Poland%20has%20sent%20at%20least,escalating%20fight%20for%20its%20east" xr:uid="{00000000-0004-0000-0200-0000C5050000}"/>
    <hyperlink ref="V809" r:id="rId1479" xr:uid="{00000000-0004-0000-0200-0000C6050000}"/>
    <hyperlink ref="AB809" r:id="rId1480" xr:uid="{00000000-0004-0000-0200-0000C7050000}"/>
    <hyperlink ref="W808" r:id="rId1481" xr:uid="{00000000-0004-0000-0200-0000C8050000}"/>
    <hyperlink ref="V1334:V1349" r:id="rId1482" location=":~:text=The%20Presidential%20Drawdown%20is%20the,has%20authorized%20since%20August%202021" display="https://www.defense.gov/News/Releases/Release/Article/3252782/185-billion-in-additional-security-assistance-for-ukraine/#:~:text=The%20Presidential%20Drawdown%20is%20the,has%20authorized%20since%20August%202021." xr:uid="{00000000-0004-0000-0200-0000C9050000}"/>
    <hyperlink ref="V1350" r:id="rId1483" location=":~:text=The%20Presidential%20Drawdown%20is%20the,has%20authorized%20since%20August%202021" xr:uid="{00000000-0004-0000-0200-0000CA050000}"/>
    <hyperlink ref="V1378:V1381" r:id="rId1484" location=":~:text=The%20Presidential%20Drawdown%20is%20the,has%20authorized%20since%20August%202021" display="https://www.defense.gov/News/Releases/Release/Article/3252782/185-billion-in-additional-security-assistance-for-ukraine/#:~:text=The%20Presidential%20Drawdown%20is%20the,has%20authorized%20since%20August%202021." xr:uid="{00000000-0004-0000-0200-0000CB050000}"/>
    <hyperlink ref="W554" r:id="rId1485" xr:uid="{00000000-0004-0000-0200-0000CC050000}"/>
    <hyperlink ref="V555" r:id="rId1486" xr:uid="{00000000-0004-0000-0200-0000CD050000}"/>
    <hyperlink ref="V554" r:id="rId1487" xr:uid="{00000000-0004-0000-0200-0000CE050000}"/>
    <hyperlink ref="AB539" r:id="rId1488" xr:uid="{00000000-0004-0000-0200-0000CF050000}"/>
    <hyperlink ref="Y557" r:id="rId1489" xr:uid="{00000000-0004-0000-0200-0000D0050000}"/>
    <hyperlink ref="X557" r:id="rId1490" xr:uid="{00000000-0004-0000-0200-0000D1050000}"/>
    <hyperlink ref="V531" r:id="rId1491" xr:uid="{00000000-0004-0000-0200-0000D2050000}"/>
    <hyperlink ref="W539" r:id="rId1492" xr:uid="{00000000-0004-0000-0200-0000D3050000}"/>
    <hyperlink ref="AB557" r:id="rId1493" display="https://twitter.com/IndiainUkraine/status/1569230165460537344?ref_src=twsrc%5Etfw%7Ctwcamp%5Etweetembed%7Ctwterm%5E1569230165460537344%7Ctwgr%5E0194295d916b4923f831841754378e309799059f%7Ctwcon%5Es1_&amp;ref_url=https%3A%2F%2Fwww.livemint.com%2Fnews%2Fworld%2Findia-sends-7-725-kilograms-of-humanitarian-aid-to-ukraine-amid-war-read-here-11662994122487.html" xr:uid="{00000000-0004-0000-0200-0000D4050000}"/>
    <hyperlink ref="W557" r:id="rId1494" xr:uid="{00000000-0004-0000-0200-0000D5050000}"/>
    <hyperlink ref="V557" r:id="rId1495" display="https://twitter.com/IndiainUkraine/status/1569230165460537344?ref_src=twsrc%5Etfw%7Ctwcamp%5Etweetembed%7Ctwterm%5E1569230165460537344%7Ctwgr%5E0194295d916b4923f831841754378e309799059f%7Ctwcon%5Es1_&amp;ref_url=https%3A%2F%2Fwww.livemint.com%2Fnews%2Fworld%2Findia-sends-7-725-kilograms-of-humanitarian-aid-to-ukraine-amid-war-read-here-11662994122487.html" xr:uid="{00000000-0004-0000-0200-0000D6050000}"/>
    <hyperlink ref="V539" r:id="rId1496" xr:uid="{00000000-0004-0000-0200-0000D7050000}"/>
    <hyperlink ref="Y556" r:id="rId1497" xr:uid="{00000000-0004-0000-0200-0000D8050000}"/>
    <hyperlink ref="W556" r:id="rId1498" xr:uid="{00000000-0004-0000-0200-0000D9050000}"/>
    <hyperlink ref="X556" r:id="rId1499" xr:uid="{00000000-0004-0000-0200-0000DA050000}"/>
    <hyperlink ref="V551:V553" r:id="rId1500" display="https://www.youtube.com/watch?v=vzENx6dTpqY" xr:uid="{00000000-0004-0000-0200-0000DB050000}"/>
    <hyperlink ref="V550" r:id="rId1501" xr:uid="{00000000-0004-0000-0200-0000DC050000}"/>
    <hyperlink ref="V548" r:id="rId1502" xr:uid="{00000000-0004-0000-0200-0000DD050000}"/>
    <hyperlink ref="W532:W538" r:id="rId1503" display="https://www.armyrecognition.com/defense_news_june_2022_global_security_army_industry/greece_to_donate_bmp-1p_tracked_armored_ifvs_to_ukraine_in_exchange_for_german_marder_1a3/1a5_ifvs.html" xr:uid="{00000000-0004-0000-0200-0000DE050000}"/>
    <hyperlink ref="W536" r:id="rId1504" display="https://www.ekathimerini.com/news/1179620/greek-role-within-nato-is-upgraded/" xr:uid="{00000000-0004-0000-0200-0000DF050000}"/>
    <hyperlink ref="X536" r:id="rId1505" display="https://twitter.com/visegrad24/status/1504145180647170060?cxt=HHwWmIC58dGE5t8pAAAA" xr:uid="{00000000-0004-0000-0200-0000E0050000}"/>
    <hyperlink ref="V536" r:id="rId1506" display="https://www.stripes.com/theaters/us/2022-05-23/ukraine-russia-war-military-weapons-6104132.html" xr:uid="{00000000-0004-0000-0200-0000E1050000}"/>
    <hyperlink ref="X532:X538" r:id="rId1507" display="https://twitter.com/visegrad24/status/1533567105110507521" xr:uid="{00000000-0004-0000-0200-0000E2050000}"/>
    <hyperlink ref="W532" r:id="rId1508" display="https://www.republicworld.com/world-news/russia-ukraine-crisis/greece-delivered-unbelievable-amount-of-military-equipment-to-ukraine-report-articleshow.html+" xr:uid="{00000000-0004-0000-0200-0000E3050000}"/>
    <hyperlink ref="AB529" r:id="rId1509" xr:uid="{00000000-0004-0000-0200-0000E4050000}"/>
    <hyperlink ref="W529:W531" r:id="rId1510" display="https://twitter.com/visegrad24/status/1504145180647170060?cxt=HHwWmIC58dGE5t8pAAAA" xr:uid="{00000000-0004-0000-0200-0000E5050000}"/>
    <hyperlink ref="AB531" r:id="rId1511" location=":~:text=Greece%20sent%20Ukraine%20military%20equipment%20compatible%20with%20that,rocket%20launchers%2C%20aligning%20itself%20with%20NATO%E2%80%99s%20indirect%20assistance.?msclkid=6dac7726ab8911ec980d9386f90d3180" display="https://www.thenationalherald.com/russias-ukraine-invasion-sees-greece-taking-bigger-nato-role/#:~:text=Greece%20sent%20Ukraine%20military%20equipment%20compatible%20with%20that,rocket%20launchers%2C%20aligning%20itself%20with%20NATO%E2%80%99s%20indirect%20assistance.?msclkid=6dac7726ab8911ec980d9386f90d3180" xr:uid="{00000000-0004-0000-0200-0000E6050000}"/>
    <hyperlink ref="V529" r:id="rId1512" display="https://www.stripes.com/theaters/us/2022-05-23/ukraine-russia-war-military-weapons-6104132.html" xr:uid="{00000000-0004-0000-0200-0000E7050000}"/>
    <hyperlink ref="V543:V546" r:id="rId1513" display="https://abouthungary.hu/news-in-brief/hungary-to-make-another-shipment-of-humanitarian-aid-to-ukraine?msclkid=ca53d542ab8b11ec95fbf81dabb45ae9" xr:uid="{00000000-0004-0000-0200-0000E8050000}"/>
    <hyperlink ref="V540:V542" r:id="rId1514" display="https://telex.hu/kulfold/2022/02/27/magyarorszag-100-ezer-liter-uzemanyagot-adomanyozott-karpataljanak" xr:uid="{00000000-0004-0000-0200-0000E9050000}"/>
    <hyperlink ref="V560:V562" r:id="rId1515" display="https://www.gov.ie/en/press-release/b80b7-government-ministers-announce-irish-support-for-ukrainian-health-service/?msclkid=07ab0901b05a11ec8239ca04bfcdbb9d" xr:uid="{00000000-0004-0000-0200-0000EA050000}"/>
    <hyperlink ref="V523" r:id="rId1516" xr:uid="{00000000-0004-0000-0200-0000EB050000}"/>
    <hyperlink ref="V525" r:id="rId1517" location=":~:text=humanitarian%20aid%20with-,medical%2C%20pharmaceutical%20and%20first%20aid%20material,-.%20The%20humanitarian%20aid" xr:uid="{00000000-0004-0000-0200-0000EC050000}"/>
    <hyperlink ref="V527" r:id="rId1518" location=":~:text=On%203%20April%202022%2C%20Greek%20Minister%20of%20Foreign,relief%20to%20the%20city%E2%80%99s%20population%2C%20including%20Greek%20diaspora" xr:uid="{00000000-0004-0000-0200-0000ED050000}"/>
    <hyperlink ref="V528" r:id="rId1519" display="https://www.mfa.gr/en/current-affairs/statements-speeches/delivery-of-greek-humanitarian-aid-to-the-ukrainian-people-including-diaspora-greeks-in-odessa-11042022-and-departure-of-the-4th-humanitarian-mission-of-the-hellenic-red-cross-to-ukraine-odessa-12042022.html" xr:uid="{00000000-0004-0000-0200-0000EE050000}"/>
    <hyperlink ref="W527" r:id="rId1520" xr:uid="{00000000-0004-0000-0200-0000EF050000}"/>
    <hyperlink ref="V526" r:id="rId1521" display="https://twitter.com/PrimeministerGR/status/1504800257447706626?ref_src=twsrc%5Etfw%7Ctwcamp%5Etweetembed%7Ctwterm%5E1504800257447706626%7Ctwgr%5E%7Ctwcon%5Es1_&amp;ref_url=https%3A%2F%2Fwww.keeptalkinggreece.com%2F2022%2F03%2F18%2Fgreece-rebuild-maternity-hospital-mariupol%2F" xr:uid="{00000000-0004-0000-0200-0000F0050000}"/>
    <hyperlink ref="W526" r:id="rId1522" xr:uid="{00000000-0004-0000-0200-0000F1050000}"/>
    <hyperlink ref="V566" r:id="rId1523" xr:uid="{00000000-0004-0000-0200-0000F2050000}"/>
    <hyperlink ref="V565" r:id="rId1524" xr:uid="{00000000-0004-0000-0200-0000F3050000}"/>
    <hyperlink ref="V564" r:id="rId1525" xr:uid="{00000000-0004-0000-0200-0000F4050000}"/>
    <hyperlink ref="V563" r:id="rId1526" xr:uid="{00000000-0004-0000-0200-0000F5050000}"/>
    <hyperlink ref="V558" r:id="rId1527" location=":~:text=The%20Irish%20government%20is%20to%20provide%20%E2%82%AC10%20million,to%20coordinate%20a%20response%20to%20the%20Russian%20invasion." display="https://www.irishtimes.com/news/ireland/irish-news/irish-government-provides-10-million-in-humanitarian-support-for-ukraine-1.4810982#:~:text=The%20Irish%20government%20is%20to%20provide%20%E2%82%AC10%20million,to%20coordinate%20a%20response%20to%20the%20Russian%20invasion." xr:uid="{00000000-0004-0000-0200-0000F6050000}"/>
    <hyperlink ref="V549" r:id="rId1528" xr:uid="{00000000-0004-0000-0200-0000F7050000}"/>
    <hyperlink ref="W547" r:id="rId1529" xr:uid="{00000000-0004-0000-0200-0000F8050000}"/>
    <hyperlink ref="W560:W562" r:id="rId1530" display="https://www.irishtimes.com/news/health/thousands-of-blood-bags-and-protective-suits-among-irish-aid-sent-to-ukraine-1.4824403" xr:uid="{00000000-0004-0000-0200-0000F9050000}"/>
    <hyperlink ref="W543:W546" r:id="rId1531" display="https://dailynewshungary.com/hungary-to-send-shipment-of-medical-equipment-to-ukraine/" xr:uid="{00000000-0004-0000-0200-0000FA050000}"/>
    <hyperlink ref="W540:W542" r:id="rId1532" display="https://www.karpatinfo.net/2022/2/27/szijjarto-magyarorszag-szerepet-vallal-humanitarius-katasztrofa-enyhiteseben-200055995" xr:uid="{00000000-0004-0000-0200-0000FB050000}"/>
    <hyperlink ref="W559" r:id="rId1533" xr:uid="{00000000-0004-0000-0200-0000FC050000}"/>
    <hyperlink ref="V560" r:id="rId1534" xr:uid="{00000000-0004-0000-0200-0000FD050000}"/>
    <hyperlink ref="V559" r:id="rId1535" xr:uid="{00000000-0004-0000-0200-0000FE050000}"/>
    <hyperlink ref="V547" r:id="rId1536" xr:uid="{00000000-0004-0000-0200-0000FF050000}"/>
    <hyperlink ref="V540" r:id="rId1537" xr:uid="{00000000-0004-0000-0200-000000060000}"/>
    <hyperlink ref="V543" r:id="rId1538" xr:uid="{00000000-0004-0000-0200-000001060000}"/>
    <hyperlink ref="V521" r:id="rId1539" xr:uid="{00000000-0004-0000-0200-000002060000}"/>
    <hyperlink ref="W521" r:id="rId1540" xr:uid="{00000000-0004-0000-0200-000003060000}"/>
    <hyperlink ref="X521" r:id="rId1541" xr:uid="{00000000-0004-0000-0200-000004060000}"/>
    <hyperlink ref="Y521" r:id="rId1542" xr:uid="{00000000-0004-0000-0200-000005060000}"/>
    <hyperlink ref="V392" r:id="rId1543" xr:uid="{00000000-0004-0000-0200-000006060000}"/>
    <hyperlink ref="V393:V446" r:id="rId1544" display="https://www.bundesregierung.de/resource/blob/975226/2155792/c3dbab706421f63d3d612091e7ecad4c/2022-12-27-unterstuetzung-ukraine-breg-data.pdf?download=1%20Guten" xr:uid="{00000000-0004-0000-0200-000007060000}"/>
    <hyperlink ref="W392" r:id="rId1545" xr:uid="{00000000-0004-0000-0200-000008060000}"/>
    <hyperlink ref="W393:W446" r:id="rId1546" display="https://www.bundesregierung.de/breg-en/news/military-support-ukraine-2054992" xr:uid="{00000000-0004-0000-0200-000009060000}"/>
    <hyperlink ref="V454" r:id="rId1547" xr:uid="{00000000-0004-0000-0200-00000A060000}"/>
    <hyperlink ref="V455:V515" r:id="rId1548" display="https://www.bundesregierung.de/resource/blob/975226/2155792/c3dbab706421f63d3d612091e7ecad4c/2022-12-27-unterstuetzung-ukraine-breg-data.pdf?download=1%20Guten" xr:uid="{00000000-0004-0000-0200-00000B060000}"/>
    <hyperlink ref="W454" r:id="rId1549" display="https://www.bundesregierung.de/breg-en/news/military-support-ukraine-2054992" xr:uid="{00000000-0004-0000-0200-00000C060000}"/>
    <hyperlink ref="W455:W515" r:id="rId1550" display="https://www.bundesregierung.de/breg-en/news/military-support-ukraine-2054992" xr:uid="{00000000-0004-0000-0200-00000D060000}"/>
    <hyperlink ref="V391" r:id="rId1551" xr:uid="{00000000-0004-0000-0200-00000E060000}"/>
    <hyperlink ref="W391" r:id="rId1552" display="https://www.bundesregierung.de/breg-en/news/military-support-ukraine-2054992" xr:uid="{00000000-0004-0000-0200-00000F060000}"/>
    <hyperlink ref="AB391" r:id="rId1553" display="https://www.bundesregierung.de/breg-en/news/military-support-ukraine-2054992" xr:uid="{00000000-0004-0000-0200-000010060000}"/>
    <hyperlink ref="AB392:AB515" r:id="rId1554" display="https://www.bundesregierung.de/breg-en/news/military-support-ukraine-2054992" xr:uid="{00000000-0004-0000-0200-000011060000}"/>
    <hyperlink ref="V447:V453" r:id="rId1555" display="https://www.bundesregierung.de/resource/blob/975226/2155792/c3dbab706421f63d3d612091e7ecad4c/2022-12-27-unterstuetzung-ukraine-breg-data.pdf?download=1%20Guten" xr:uid="{00000000-0004-0000-0200-000012060000}"/>
    <hyperlink ref="W447:W453" r:id="rId1556" display="https://www.bundesregierung.de/breg-en/news/military-support-ukraine-2054992" xr:uid="{00000000-0004-0000-0200-000013060000}"/>
    <hyperlink ref="V516" r:id="rId1557" display="https://www.bundesregierung.de/breg-en/news/military-support-ukraine-2054992" xr:uid="{00000000-0004-0000-0200-000014060000}"/>
    <hyperlink ref="V517:V520" r:id="rId1558" display="https://www.bundesregierung.de/breg-en/news/military-support-ukraine-2054992" xr:uid="{00000000-0004-0000-0200-000015060000}"/>
    <hyperlink ref="AB515:AB520" r:id="rId1559" display="https://www.bundesregierung.de/breg-en/news/military-support-ukraine-2054992" xr:uid="{00000000-0004-0000-0200-000016060000}"/>
    <hyperlink ref="V380" r:id="rId1560" xr:uid="{00000000-0004-0000-0200-000017060000}"/>
    <hyperlink ref="W380" r:id="rId1561" xr:uid="{00000000-0004-0000-0200-000018060000}"/>
    <hyperlink ref="X380" r:id="rId1562" xr:uid="{00000000-0004-0000-0200-000019060000}"/>
    <hyperlink ref="V384" r:id="rId1563" xr:uid="{00000000-0004-0000-0200-00001A060000}"/>
    <hyperlink ref="W385" r:id="rId1564" xr:uid="{00000000-0004-0000-0200-00001B060000}"/>
    <hyperlink ref="V385" r:id="rId1565" xr:uid="{00000000-0004-0000-0200-00001C060000}"/>
    <hyperlink ref="V386" r:id="rId1566" xr:uid="{00000000-0004-0000-0200-00001D060000}"/>
    <hyperlink ref="V387" r:id="rId1567" xr:uid="{00000000-0004-0000-0200-00001E060000}"/>
    <hyperlink ref="W387" r:id="rId1568" xr:uid="{00000000-0004-0000-0200-00001F060000}"/>
    <hyperlink ref="V389" r:id="rId1569" xr:uid="{00000000-0004-0000-0200-000020060000}"/>
    <hyperlink ref="W389" r:id="rId1570" xr:uid="{00000000-0004-0000-0200-000021060000}"/>
    <hyperlink ref="W522" r:id="rId1571" xr:uid="{00000000-0004-0000-0200-000022060000}"/>
    <hyperlink ref="V524" r:id="rId1572" xr:uid="{00000000-0004-0000-0200-000023060000}"/>
    <hyperlink ref="W524" r:id="rId1573" xr:uid="{00000000-0004-0000-0200-000024060000}"/>
    <hyperlink ref="X524" r:id="rId1574" xr:uid="{00000000-0004-0000-0200-000025060000}"/>
    <hyperlink ref="W1041" r:id="rId1575" xr:uid="{00000000-0004-0000-0200-000026060000}"/>
    <hyperlink ref="W1042" r:id="rId1576" xr:uid="{00000000-0004-0000-0200-000027060000}"/>
    <hyperlink ref="W1043" r:id="rId1577" xr:uid="{00000000-0004-0000-0200-000028060000}"/>
    <hyperlink ref="W1044" r:id="rId1578" xr:uid="{00000000-0004-0000-0200-000029060000}"/>
    <hyperlink ref="W1045" r:id="rId1579" xr:uid="{00000000-0004-0000-0200-00002A060000}"/>
    <hyperlink ref="W1046" r:id="rId1580" xr:uid="{00000000-0004-0000-0200-00002B060000}"/>
    <hyperlink ref="W1047" r:id="rId1581" xr:uid="{00000000-0004-0000-0200-00002C060000}"/>
    <hyperlink ref="W1048" r:id="rId1582" xr:uid="{00000000-0004-0000-0200-00002D060000}"/>
    <hyperlink ref="W1049" r:id="rId1583" xr:uid="{00000000-0004-0000-0200-00002E060000}"/>
    <hyperlink ref="W1050" r:id="rId1584" xr:uid="{00000000-0004-0000-0200-00002F060000}"/>
    <hyperlink ref="V1033" r:id="rId1585" xr:uid="{00000000-0004-0000-0200-000030060000}"/>
    <hyperlink ref="AB253" r:id="rId1586" xr:uid="{00000000-0004-0000-0200-000031060000}"/>
    <hyperlink ref="AB259" r:id="rId1587" xr:uid="{00000000-0004-0000-0200-000032060000}"/>
    <hyperlink ref="X1058" r:id="rId1588" xr:uid="{00000000-0004-0000-0200-000033060000}"/>
    <hyperlink ref="V1059" r:id="rId1589" xr:uid="{00000000-0004-0000-0200-000034060000}"/>
    <hyperlink ref="W1059" r:id="rId1590" xr:uid="{00000000-0004-0000-0200-000035060000}"/>
    <hyperlink ref="X1059" r:id="rId1591" display="https://mof.gov.ua/uk/news/ukraine_will_receive_usd_500_million_from_the_uk_through_the_world_bank_project-3781" xr:uid="{00000000-0004-0000-0200-000036060000}"/>
    <hyperlink ref="AB257:AB258" r:id="rId1592" display="https://news.err.ee/1608793648/estonia-s-total-military-aid-to-ukraine-to-date-approaching-300-million" xr:uid="{00000000-0004-0000-0200-000037060000}"/>
    <hyperlink ref="AB79" r:id="rId1593" location=":~:text=So%20far%2C%20Belgium%20has%20allocated,and%20the%20battle%20against%20impunity" xr:uid="{00000000-0004-0000-0200-000038060000}"/>
    <hyperlink ref="AB65:AB78" r:id="rId1594" location=":~:text=So%20far%2C%20Belgium%20has%20allocated,and%20the%20battle%20against%20impunity" display="https://diplomatie.belgium.be/en/policy/policy-areas/highlighted/civilian-aid-ukraine-overview#:~:text=So%20far%2C%20Belgium%20has%20allocated,and%20the%20battle%20against%20impunity" xr:uid="{00000000-0004-0000-0200-000039060000}"/>
    <hyperlink ref="V132" r:id="rId1595" xr:uid="{00000000-0004-0000-0200-00003A060000}"/>
    <hyperlink ref="W132" r:id="rId1596" display="https://twitter.com/KyivIndependent/status/1542585476414070786?ref_src=twsrc%5Etfw%7Ctwcamp%5Etweetembed%7Ctwterm%5E1542585476414070786%7Ctwgr%5E%7Ctwcon%5Es1_&amp;ref_url=https%3A%2F%2Fwww.republicworld.com%2Fworld-news%2Frussia-ukraine-crisis%2Fcanadas-pm-pledges-to-deliver-dozens-of-brand-new-armoured-personnel-carriers-to-ukraine-articleshow.html" xr:uid="{00000000-0004-0000-0200-00003B060000}"/>
    <hyperlink ref="AB132" r:id="rId1597" xr:uid="{00000000-0004-0000-0200-00003C060000}"/>
    <hyperlink ref="AB131" r:id="rId1598" xr:uid="{00000000-0004-0000-0200-00003D060000}"/>
    <hyperlink ref="AB190" r:id="rId1599" xr:uid="{00000000-0004-0000-0200-00003E060000}"/>
    <hyperlink ref="AB191" r:id="rId1600" xr:uid="{00000000-0004-0000-0200-00003F060000}"/>
    <hyperlink ref="W1383" r:id="rId1601" xr:uid="{00000000-0004-0000-0200-000040060000}"/>
    <hyperlink ref="AB374" r:id="rId1602" xr:uid="{00000000-0004-0000-0200-000041060000}"/>
    <hyperlink ref="AB532" r:id="rId1603" xr:uid="{00000000-0004-0000-0200-000042060000}"/>
    <hyperlink ref="AB533" r:id="rId1604" xr:uid="{00000000-0004-0000-0200-000043060000}"/>
    <hyperlink ref="AB534" r:id="rId1605" xr:uid="{00000000-0004-0000-0200-000044060000}"/>
    <hyperlink ref="AB535" r:id="rId1606" xr:uid="{00000000-0004-0000-0200-000045060000}"/>
    <hyperlink ref="AB536" r:id="rId1607" xr:uid="{00000000-0004-0000-0200-000046060000}"/>
    <hyperlink ref="AB537" r:id="rId1608" xr:uid="{00000000-0004-0000-0200-000047060000}"/>
    <hyperlink ref="AB538" r:id="rId1609" xr:uid="{00000000-0004-0000-0200-000048060000}"/>
    <hyperlink ref="AB642" r:id="rId1610" xr:uid="{00000000-0004-0000-0200-000049060000}"/>
    <hyperlink ref="AB643" r:id="rId1611" xr:uid="{00000000-0004-0000-0200-00004A060000}"/>
    <hyperlink ref="X641" r:id="rId1612" display="https://twitter.com/Lithuanian_MoD/status/1529371608766468097?ref_src=twsrc%5Etfw%7Ctwcamp%5Etweetembed%7Ctwterm%5E1529371608766468097%7Ctwgr%5E%7Ctwcon%5Es1_&amp;ref_url=https%3A%2F%2Fwww.republicworld.com%2Fworld-news%2Frussia-ukraine-crisis%2Frussia-ukraine-war-lithuania-to-send-armoured-personnel-carriers-in-military-aid-to-kyiv-articleshow.html" xr:uid="{00000000-0004-0000-0200-00004B060000}"/>
    <hyperlink ref="AB647" r:id="rId1613" xr:uid="{00000000-0004-0000-0200-00004C060000}"/>
    <hyperlink ref="AB648" r:id="rId1614" xr:uid="{00000000-0004-0000-0200-00004D060000}"/>
    <hyperlink ref="AB649" r:id="rId1615" xr:uid="{00000000-0004-0000-0200-00004E060000}"/>
    <hyperlink ref="AB650" r:id="rId1616" xr:uid="{00000000-0004-0000-0200-00004F060000}"/>
    <hyperlink ref="AB651" r:id="rId1617" display="https://twitter.com/Lithuanian_MoD/status/1567446474312540160?ref_src=twsrc%5Etfw%7Ctwcamp%5Etweetembed%7Ctwterm%5E1567446474312540160%7Ctwgr%5E4672a6b5ec4c4f6cf0f7166371f51fb78182c17f%7Ctwcon%5Es1_&amp;ref_url=https%3A%2F%2Fwww.eurointegration.com.ua%2Fnews%2F2022%2F09%2F7%2F7146332%2F" xr:uid="{00000000-0004-0000-0200-000050060000}"/>
    <hyperlink ref="AB652" r:id="rId1618" display="https://twitter.com/Lithuanian_MoD/status/1567446474312540160?ref_src=twsrc%5Etfw%7Ctwcamp%5Etweetembed%7Ctwterm%5E1567446474312540160%7Ctwgr%5E4672a6b5ec4c4f6cf0f7166371f51fb78182c17f%7Ctwcon%5Es1_&amp;ref_url=https%3A%2F%2Fwww.eurointegration.com.ua%2Fnews%2F2022%2F09%2F7%2F7146332%2F" xr:uid="{00000000-0004-0000-0200-000051060000}"/>
    <hyperlink ref="V25" r:id="rId1619" xr:uid="{00000000-0004-0000-0200-000052060000}"/>
    <hyperlink ref="W25" r:id="rId1620" xr:uid="{00000000-0004-0000-0200-000053060000}"/>
    <hyperlink ref="V5" r:id="rId1621" xr:uid="{00000000-0004-0000-0200-000054060000}"/>
    <hyperlink ref="W5" r:id="rId1622" xr:uid="{00000000-0004-0000-0200-000055060000}"/>
    <hyperlink ref="V229" r:id="rId1623" location=":~:text=COPENHAGEN%2C%20Dec%2021%20(Reuters),Defence%20Ministry%20said%20on%20Wednesday." xr:uid="{00000000-0004-0000-0200-000056060000}"/>
    <hyperlink ref="W229" r:id="rId1624" xr:uid="{00000000-0004-0000-0200-000057060000}"/>
    <hyperlink ref="V230" r:id="rId1625" location=":~:text=COPENHAGEN%2C%20Dec%2021%20(Reuters),Defence%20Ministry%20said%20on%20Wednesday." xr:uid="{00000000-0004-0000-0200-000058060000}"/>
    <hyperlink ref="W230" r:id="rId1626" xr:uid="{00000000-0004-0000-0200-000059060000}"/>
    <hyperlink ref="V953" r:id="rId1627" xr:uid="{00000000-0004-0000-0200-00005A060000}"/>
    <hyperlink ref="V310" r:id="rId1628" xr:uid="{00000000-0004-0000-0200-00005B060000}"/>
    <hyperlink ref="V620" r:id="rId1629" xr:uid="{00000000-0004-0000-0200-00005C060000}"/>
    <hyperlink ref="V621" r:id="rId1630" xr:uid="{00000000-0004-0000-0200-00005D060000}"/>
    <hyperlink ref="V622" r:id="rId1631" xr:uid="{00000000-0004-0000-0200-00005E060000}"/>
    <hyperlink ref="V652" r:id="rId1632" xr:uid="{00000000-0004-0000-0200-00005F060000}"/>
    <hyperlink ref="V660" r:id="rId1633" xr:uid="{00000000-0004-0000-0200-000060060000}"/>
    <hyperlink ref="V619" r:id="rId1634" xr:uid="{00000000-0004-0000-0200-000061060000}"/>
    <hyperlink ref="W663" r:id="rId1635" xr:uid="{00000000-0004-0000-0200-000062060000}"/>
    <hyperlink ref="V672" r:id="rId1636" xr:uid="{00000000-0004-0000-0200-000063060000}"/>
    <hyperlink ref="W672" r:id="rId1637" xr:uid="{00000000-0004-0000-0200-000064060000}"/>
    <hyperlink ref="V694" r:id="rId1638" xr:uid="{00000000-0004-0000-0200-000065060000}"/>
    <hyperlink ref="X674:X693" r:id="rId1639" display="https://delano.lu/article/zelenskyy-thanks-luxembourg-fo" xr:uid="{00000000-0004-0000-0200-000066060000}"/>
    <hyperlink ref="W675" r:id="rId1640" xr:uid="{00000000-0004-0000-0200-000067060000}"/>
    <hyperlink ref="W674" r:id="rId1641" xr:uid="{00000000-0004-0000-0200-000068060000}"/>
    <hyperlink ref="W676" r:id="rId1642" xr:uid="{00000000-0004-0000-0200-000069060000}"/>
    <hyperlink ref="W677:W693" r:id="rId1643" display="https://delano.lu/article/luxembourg-delivering-substant" xr:uid="{00000000-0004-0000-0200-00006A060000}"/>
    <hyperlink ref="W722" r:id="rId1644" xr:uid="{00000000-0004-0000-0200-00006B060000}"/>
    <hyperlink ref="X721" r:id="rId1645" xr:uid="{00000000-0004-0000-0200-00006C060000}"/>
    <hyperlink ref="V725" r:id="rId1646" xr:uid="{00000000-0004-0000-0200-00006D060000}"/>
    <hyperlink ref="V734" r:id="rId1647" xr:uid="{00000000-0004-0000-0200-00006E060000}"/>
    <hyperlink ref="V133" r:id="rId1648" xr:uid="{00000000-0004-0000-0200-00006F060000}"/>
    <hyperlink ref="V134:V135" r:id="rId1649" display="https://www.canada.ca/en/department-national-defence/campaigns/canadian-military-support-to-ukraine.html" xr:uid="{00000000-0004-0000-0200-000070060000}"/>
    <hyperlink ref="V1039" r:id="rId1650" xr:uid="{00000000-0004-0000-0200-000071060000}"/>
    <hyperlink ref="V1040" r:id="rId1651" xr:uid="{00000000-0004-0000-0200-000072060000}"/>
    <hyperlink ref="V1041" r:id="rId1652" xr:uid="{00000000-0004-0000-0200-000073060000}"/>
    <hyperlink ref="V1042:V1050" r:id="rId1653" display="https://www.gov.uk/government/news/pm-accelerates-ukraine-support-ahead-of-anniversary-of-putins-war" xr:uid="{00000000-0004-0000-0200-000074060000}"/>
    <hyperlink ref="V1393" r:id="rId1654" xr:uid="{00000000-0004-0000-0200-000075060000}"/>
    <hyperlink ref="Y90" r:id="rId1655" xr:uid="{00000000-0004-0000-0200-000076060000}"/>
    <hyperlink ref="V84" r:id="rId1656" xr:uid="{00000000-0004-0000-0200-000077060000}"/>
    <hyperlink ref="V85:V88" r:id="rId1657" display="https://www.mod.bg/bg/news.php?&amp;fn_page=2" xr:uid="{00000000-0004-0000-0200-000078060000}"/>
    <hyperlink ref="W84" r:id="rId1658" xr:uid="{00000000-0004-0000-0200-000079060000}"/>
    <hyperlink ref="W85:W88" r:id="rId1659" display="https://www.investor.bg/a/527-svyat/366246-balgariya-e-otpusnala-na-ukrayna-pomosht-za-448-mln-lv-ot-nachaloto-na-voynata" xr:uid="{00000000-0004-0000-0200-00007A060000}"/>
    <hyperlink ref="AB84" r:id="rId1660" xr:uid="{00000000-0004-0000-0200-00007B060000}"/>
    <hyperlink ref="AB85:AB88" r:id="rId1661" display="https://www.mod.bg/bg/news.php?&amp;fn_page=2" xr:uid="{00000000-0004-0000-0200-00007C060000}"/>
    <hyperlink ref="V146" r:id="rId1662" xr:uid="{00000000-0004-0000-0200-00007D060000}"/>
    <hyperlink ref="W146" r:id="rId1663" xr:uid="{00000000-0004-0000-0200-00007E060000}"/>
    <hyperlink ref="V696" r:id="rId1664" xr:uid="{00000000-0004-0000-0200-00007F060000}"/>
    <hyperlink ref="AB696" r:id="rId1665" xr:uid="{00000000-0004-0000-0200-000080060000}"/>
    <hyperlink ref="W696" r:id="rId1666" xr:uid="{00000000-0004-0000-0200-000081060000}"/>
    <hyperlink ref="V721" r:id="rId1667" xr:uid="{00000000-0004-0000-0200-000082060000}"/>
    <hyperlink ref="W721" r:id="rId1668" xr:uid="{00000000-0004-0000-0200-000083060000}"/>
    <hyperlink ref="AB1040" r:id="rId1669" xr:uid="{00000000-0004-0000-0200-000084060000}"/>
    <hyperlink ref="AB1039" r:id="rId1670" xr:uid="{00000000-0004-0000-0200-000085060000}"/>
    <hyperlink ref="V889" r:id="rId1671" xr:uid="{00000000-0004-0000-0200-000086060000}"/>
    <hyperlink ref="V888" r:id="rId1672" xr:uid="{00000000-0004-0000-0200-000087060000}"/>
    <hyperlink ref="AB896" r:id="rId1673" xr:uid="{00000000-0004-0000-0200-000088060000}"/>
    <hyperlink ref="AB927" r:id="rId1674" xr:uid="{00000000-0004-0000-0200-000089060000}"/>
    <hyperlink ref="AB928" r:id="rId1675" xr:uid="{00000000-0004-0000-0200-00008A060000}"/>
    <hyperlink ref="AB929" r:id="rId1676" xr:uid="{00000000-0004-0000-0200-00008B060000}"/>
    <hyperlink ref="V945" r:id="rId1677" xr:uid="{00000000-0004-0000-0200-00008C060000}"/>
    <hyperlink ref="V946" r:id="rId1678" xr:uid="{00000000-0004-0000-0200-00008D060000}"/>
    <hyperlink ref="V947" r:id="rId1679" xr:uid="{00000000-0004-0000-0200-00008E060000}"/>
    <hyperlink ref="V890" r:id="rId1680" xr:uid="{00000000-0004-0000-0200-00008F060000}"/>
    <hyperlink ref="W890" r:id="rId1681" xr:uid="{00000000-0004-0000-0200-000090060000}"/>
    <hyperlink ref="X890" r:id="rId1682" location=":~:text=Slovenia%20has%20also%20pledged%20%E2%82%AC,countries%20in%20Africa%20and%20Asia" xr:uid="{00000000-0004-0000-0200-000091060000}"/>
    <hyperlink ref="AB890" r:id="rId1683" xr:uid="{00000000-0004-0000-0200-000092060000}"/>
    <hyperlink ref="V891" r:id="rId1684" xr:uid="{00000000-0004-0000-0200-000093060000}"/>
    <hyperlink ref="W891" r:id="rId1685" xr:uid="{00000000-0004-0000-0200-000094060000}"/>
    <hyperlink ref="Y853" r:id="rId1686" xr:uid="{00000000-0004-0000-0200-000095060000}"/>
    <hyperlink ref="V853" r:id="rId1687" xr:uid="{00000000-0004-0000-0200-000096060000}"/>
    <hyperlink ref="V854:V856" r:id="rId1688" display="https://www.ukrainianworldcongress.org/slovakia-approves-a-new-package-of-military-aid-to-ukraine/" xr:uid="{00000000-0004-0000-0200-000097060000}"/>
    <hyperlink ref="V357" r:id="rId1689" xr:uid="{00000000-0004-0000-0200-000098060000}"/>
    <hyperlink ref="W356" r:id="rId1690" xr:uid="{00000000-0004-0000-0200-000099060000}"/>
    <hyperlink ref="W357" r:id="rId1691" xr:uid="{00000000-0004-0000-0200-00009A060000}"/>
    <hyperlink ref="AB357" r:id="rId1692" xr:uid="{00000000-0004-0000-0200-00009B060000}"/>
    <hyperlink ref="W359" r:id="rId1693" xr:uid="{00000000-0004-0000-0200-00009C060000}"/>
    <hyperlink ref="X359" r:id="rId1694" xr:uid="{00000000-0004-0000-0200-00009D060000}"/>
    <hyperlink ref="V358" r:id="rId1695" xr:uid="{00000000-0004-0000-0200-00009E060000}"/>
    <hyperlink ref="W358" r:id="rId1696" xr:uid="{00000000-0004-0000-0200-00009F060000}"/>
    <hyperlink ref="X358" r:id="rId1697" xr:uid="{00000000-0004-0000-0200-0000A0060000}"/>
    <hyperlink ref="Y358" r:id="rId1698" xr:uid="{00000000-0004-0000-0200-0000A1060000}"/>
    <hyperlink ref="V363" r:id="rId1699" xr:uid="{00000000-0004-0000-0200-0000A2060000}"/>
    <hyperlink ref="W363" r:id="rId1700" xr:uid="{00000000-0004-0000-0200-0000A3060000}"/>
    <hyperlink ref="X363" r:id="rId1701" xr:uid="{00000000-0004-0000-0200-0000A4060000}"/>
    <hyperlink ref="Y363" r:id="rId1702" xr:uid="{00000000-0004-0000-0200-0000A5060000}"/>
    <hyperlink ref="AB363" r:id="rId1703" xr:uid="{00000000-0004-0000-0200-0000A6060000}"/>
    <hyperlink ref="Y344" r:id="rId1704" xr:uid="{00000000-0004-0000-0200-0000A7060000}"/>
    <hyperlink ref="Y346:Y355" r:id="rId1705" display="https://ua.ambafrance.org/Dostavka-1000-t-francuz-koyi-gumaniitarnoyi-dopomogi-ukrayins-kim-adresatam-v" xr:uid="{00000000-0004-0000-0200-0000A8060000}"/>
    <hyperlink ref="AB344" r:id="rId1706" xr:uid="{00000000-0004-0000-0200-0000A9060000}"/>
    <hyperlink ref="AB346:AB355" r:id="rId1707" display="https://ua.ambafrance.org/Dostavka-1000-t-francuz-koyi-gumaniitarnoyi-dopomogi-ukrayins-kim-adresatam-v" xr:uid="{00000000-0004-0000-0200-0000AA060000}"/>
    <hyperlink ref="V345" r:id="rId1708" xr:uid="{00000000-0004-0000-0200-0000AB060000}"/>
    <hyperlink ref="W345" r:id="rId1709" xr:uid="{00000000-0004-0000-0200-0000AC060000}"/>
    <hyperlink ref="X345" r:id="rId1710" xr:uid="{00000000-0004-0000-0200-0000AD060000}"/>
    <hyperlink ref="W345" r:id="rId1711" xr:uid="{00000000-0004-0000-0200-0000AE060000}"/>
    <hyperlink ref="Y345" r:id="rId1712" xr:uid="{00000000-0004-0000-0200-0000AF060000}"/>
    <hyperlink ref="AB345" r:id="rId1713" xr:uid="{00000000-0004-0000-0200-0000B0060000}"/>
    <hyperlink ref="V817" r:id="rId1714" xr:uid="{00000000-0004-0000-0200-0000B1060000}"/>
    <hyperlink ref="Y592" r:id="rId1715" xr:uid="{00000000-0004-0000-0200-0000B2060000}"/>
    <hyperlink ref="V390" r:id="rId1716" xr:uid="{00000000-0004-0000-0200-0000B3060000}"/>
    <hyperlink ref="W390" r:id="rId1717" xr:uid="{00000000-0004-0000-0200-0000B4060000}"/>
    <hyperlink ref="W1384" r:id="rId1718" xr:uid="{00000000-0004-0000-0200-0000B5060000}"/>
    <hyperlink ref="W1062" r:id="rId1719" xr:uid="{00000000-0004-0000-0200-0000B6060000}"/>
    <hyperlink ref="V1283" r:id="rId1720" xr:uid="{00000000-0004-0000-0200-0000B7060000}"/>
    <hyperlink ref="W1283" r:id="rId1721" xr:uid="{00000000-0004-0000-0200-0000B8060000}"/>
    <hyperlink ref="V1352" r:id="rId1722" xr:uid="{00000000-0004-0000-0200-0000B9060000}"/>
    <hyperlink ref="V1353:V1374" r:id="rId1723" display="https://www.defense.gov/News/Releases/Release/Article/3261263/more-than-3-billion-in-additional-security-assistance-for-ukraine/" xr:uid="{00000000-0004-0000-0200-0000BA060000}"/>
    <hyperlink ref="V1061" r:id="rId1724" xr:uid="{00000000-0004-0000-0200-0000BB060000}"/>
    <hyperlink ref="V1069" r:id="rId1725" xr:uid="{00000000-0004-0000-0200-0000BC060000}"/>
    <hyperlink ref="W1073" r:id="rId1726" xr:uid="{00000000-0004-0000-0200-0000BD060000}"/>
    <hyperlink ref="X1073" r:id="rId1727" xr:uid="{00000000-0004-0000-0200-0000BE060000}"/>
    <hyperlink ref="Y1073" r:id="rId1728" xr:uid="{00000000-0004-0000-0200-0000BF060000}"/>
    <hyperlink ref="W1074" r:id="rId1729" xr:uid="{00000000-0004-0000-0200-0000C0060000}"/>
    <hyperlink ref="W1075" r:id="rId1730" xr:uid="{00000000-0004-0000-0200-0000C1060000}"/>
    <hyperlink ref="W1076" r:id="rId1731" xr:uid="{00000000-0004-0000-0200-0000C2060000}"/>
    <hyperlink ref="W1077" r:id="rId1732" xr:uid="{00000000-0004-0000-0200-0000C3060000}"/>
    <hyperlink ref="W1078" r:id="rId1733" xr:uid="{00000000-0004-0000-0200-0000C4060000}"/>
    <hyperlink ref="W1079" r:id="rId1734" xr:uid="{00000000-0004-0000-0200-0000C5060000}"/>
    <hyperlink ref="W1080" r:id="rId1735" xr:uid="{00000000-0004-0000-0200-0000C6060000}"/>
    <hyperlink ref="W1081" r:id="rId1736" xr:uid="{00000000-0004-0000-0200-0000C7060000}"/>
    <hyperlink ref="W1082" r:id="rId1737" xr:uid="{00000000-0004-0000-0200-0000C8060000}"/>
    <hyperlink ref="W1083" r:id="rId1738" xr:uid="{00000000-0004-0000-0200-0000C9060000}"/>
    <hyperlink ref="W1084" r:id="rId1739" xr:uid="{00000000-0004-0000-0200-0000CA060000}"/>
    <hyperlink ref="W1085" r:id="rId1740" xr:uid="{00000000-0004-0000-0200-0000CB060000}"/>
    <hyperlink ref="W1086" r:id="rId1741" xr:uid="{00000000-0004-0000-0200-0000CC060000}"/>
    <hyperlink ref="W1087" r:id="rId1742" xr:uid="{00000000-0004-0000-0200-0000CD060000}"/>
    <hyperlink ref="W1088" r:id="rId1743" xr:uid="{00000000-0004-0000-0200-0000CE060000}"/>
    <hyperlink ref="W1089" r:id="rId1744" xr:uid="{00000000-0004-0000-0200-0000CF060000}"/>
    <hyperlink ref="W1090" r:id="rId1745" xr:uid="{00000000-0004-0000-0200-0000D0060000}"/>
    <hyperlink ref="W1091" r:id="rId1746" xr:uid="{00000000-0004-0000-0200-0000D1060000}"/>
    <hyperlink ref="W1092" r:id="rId1747" xr:uid="{00000000-0004-0000-0200-0000D2060000}"/>
    <hyperlink ref="W1093" r:id="rId1748" xr:uid="{00000000-0004-0000-0200-0000D3060000}"/>
    <hyperlink ref="W1094" r:id="rId1749" xr:uid="{00000000-0004-0000-0200-0000D4060000}"/>
    <hyperlink ref="W1095" r:id="rId1750" xr:uid="{00000000-0004-0000-0200-0000D5060000}"/>
    <hyperlink ref="W1096" r:id="rId1751" xr:uid="{00000000-0004-0000-0200-0000D6060000}"/>
    <hyperlink ref="W1097" r:id="rId1752" xr:uid="{00000000-0004-0000-0200-0000D7060000}"/>
    <hyperlink ref="W1098" r:id="rId1753" xr:uid="{00000000-0004-0000-0200-0000D8060000}"/>
    <hyperlink ref="W1099" r:id="rId1754" xr:uid="{00000000-0004-0000-0200-0000D9060000}"/>
    <hyperlink ref="W1100" r:id="rId1755" xr:uid="{00000000-0004-0000-0200-0000DA060000}"/>
    <hyperlink ref="W1101" r:id="rId1756" xr:uid="{00000000-0004-0000-0200-0000DB060000}"/>
    <hyperlink ref="W1102" r:id="rId1757" xr:uid="{00000000-0004-0000-0200-0000DC060000}"/>
    <hyperlink ref="W1103" r:id="rId1758" xr:uid="{00000000-0004-0000-0200-0000DD060000}"/>
    <hyperlink ref="W1104" r:id="rId1759" xr:uid="{00000000-0004-0000-0200-0000DE060000}"/>
    <hyperlink ref="W1105" r:id="rId1760" xr:uid="{00000000-0004-0000-0200-0000DF060000}"/>
    <hyperlink ref="W1106" r:id="rId1761" xr:uid="{00000000-0004-0000-0200-0000E0060000}"/>
    <hyperlink ref="W1107" r:id="rId1762" xr:uid="{00000000-0004-0000-0200-0000E1060000}"/>
    <hyperlink ref="W1108" r:id="rId1763" xr:uid="{00000000-0004-0000-0200-0000E2060000}"/>
    <hyperlink ref="W1109" r:id="rId1764" xr:uid="{00000000-0004-0000-0200-0000E3060000}"/>
    <hyperlink ref="W1110" r:id="rId1765" xr:uid="{00000000-0004-0000-0200-0000E4060000}"/>
    <hyperlink ref="W1111" r:id="rId1766" xr:uid="{00000000-0004-0000-0200-0000E5060000}"/>
    <hyperlink ref="W1112" r:id="rId1767" xr:uid="{00000000-0004-0000-0200-0000E6060000}"/>
    <hyperlink ref="W1113" r:id="rId1768" xr:uid="{00000000-0004-0000-0200-0000E7060000}"/>
    <hyperlink ref="W1114" r:id="rId1769" xr:uid="{00000000-0004-0000-0200-0000E8060000}"/>
    <hyperlink ref="W1115" r:id="rId1770" xr:uid="{00000000-0004-0000-0200-0000E9060000}"/>
    <hyperlink ref="W1116" r:id="rId1771" xr:uid="{00000000-0004-0000-0200-0000EA060000}"/>
    <hyperlink ref="W1117" r:id="rId1772" xr:uid="{00000000-0004-0000-0200-0000EB060000}"/>
    <hyperlink ref="W1118" r:id="rId1773" xr:uid="{00000000-0004-0000-0200-0000EC060000}"/>
    <hyperlink ref="W1119" r:id="rId1774" xr:uid="{00000000-0004-0000-0200-0000ED060000}"/>
    <hyperlink ref="W1120" r:id="rId1775" xr:uid="{00000000-0004-0000-0200-0000EE060000}"/>
    <hyperlink ref="W1121" r:id="rId1776" xr:uid="{00000000-0004-0000-0200-0000EF060000}"/>
    <hyperlink ref="W1122" r:id="rId1777" xr:uid="{00000000-0004-0000-0200-0000F0060000}"/>
    <hyperlink ref="W1123" r:id="rId1778" xr:uid="{00000000-0004-0000-0200-0000F1060000}"/>
    <hyperlink ref="W1124" r:id="rId1779" xr:uid="{00000000-0004-0000-0200-0000F2060000}"/>
    <hyperlink ref="W1125" r:id="rId1780" xr:uid="{00000000-0004-0000-0200-0000F3060000}"/>
    <hyperlink ref="W1126" r:id="rId1781" xr:uid="{00000000-0004-0000-0200-0000F4060000}"/>
    <hyperlink ref="W1127" r:id="rId1782" xr:uid="{00000000-0004-0000-0200-0000F5060000}"/>
    <hyperlink ref="W1128" r:id="rId1783" xr:uid="{00000000-0004-0000-0200-0000F6060000}"/>
    <hyperlink ref="W1129" r:id="rId1784" xr:uid="{00000000-0004-0000-0200-0000F7060000}"/>
    <hyperlink ref="W1130" r:id="rId1785" xr:uid="{00000000-0004-0000-0200-0000F8060000}"/>
    <hyperlink ref="W1131" r:id="rId1786" xr:uid="{00000000-0004-0000-0200-0000F9060000}"/>
    <hyperlink ref="W1132" r:id="rId1787" xr:uid="{00000000-0004-0000-0200-0000FA060000}"/>
    <hyperlink ref="W1133" r:id="rId1788" xr:uid="{00000000-0004-0000-0200-0000FB060000}"/>
    <hyperlink ref="W1134" r:id="rId1789" xr:uid="{00000000-0004-0000-0200-0000FC060000}"/>
    <hyperlink ref="W1135" r:id="rId1790" xr:uid="{00000000-0004-0000-0200-0000FD060000}"/>
    <hyperlink ref="W1136" r:id="rId1791" xr:uid="{00000000-0004-0000-0200-0000FE060000}"/>
    <hyperlink ref="W1137" r:id="rId1792" xr:uid="{00000000-0004-0000-0200-0000FF060000}"/>
    <hyperlink ref="W1138" r:id="rId1793" xr:uid="{00000000-0004-0000-0200-000000070000}"/>
    <hyperlink ref="W1139" r:id="rId1794" xr:uid="{00000000-0004-0000-0200-000001070000}"/>
    <hyperlink ref="W1140" r:id="rId1795" xr:uid="{00000000-0004-0000-0200-000002070000}"/>
    <hyperlink ref="W1141" r:id="rId1796" xr:uid="{00000000-0004-0000-0200-000003070000}"/>
    <hyperlink ref="W1142" r:id="rId1797" xr:uid="{00000000-0004-0000-0200-000004070000}"/>
    <hyperlink ref="W1143" r:id="rId1798" xr:uid="{00000000-0004-0000-0200-000005070000}"/>
    <hyperlink ref="W1144" r:id="rId1799" xr:uid="{00000000-0004-0000-0200-000006070000}"/>
    <hyperlink ref="W1145" r:id="rId1800" xr:uid="{00000000-0004-0000-0200-000007070000}"/>
    <hyperlink ref="W1146" r:id="rId1801" xr:uid="{00000000-0004-0000-0200-000008070000}"/>
    <hyperlink ref="W1147" r:id="rId1802" xr:uid="{00000000-0004-0000-0200-000009070000}"/>
    <hyperlink ref="W1148" r:id="rId1803" xr:uid="{00000000-0004-0000-0200-00000A070000}"/>
    <hyperlink ref="W1149" r:id="rId1804" xr:uid="{00000000-0004-0000-0200-00000B070000}"/>
    <hyperlink ref="W1150" r:id="rId1805" xr:uid="{00000000-0004-0000-0200-00000C070000}"/>
    <hyperlink ref="W1151" r:id="rId1806" xr:uid="{00000000-0004-0000-0200-00000D070000}"/>
    <hyperlink ref="W1152" r:id="rId1807" xr:uid="{00000000-0004-0000-0200-00000E070000}"/>
    <hyperlink ref="W1153" r:id="rId1808" xr:uid="{00000000-0004-0000-0200-00000F070000}"/>
    <hyperlink ref="W1154" r:id="rId1809" xr:uid="{00000000-0004-0000-0200-000010070000}"/>
    <hyperlink ref="W1155" r:id="rId1810" xr:uid="{00000000-0004-0000-0200-000011070000}"/>
    <hyperlink ref="W1156" r:id="rId1811" xr:uid="{00000000-0004-0000-0200-000012070000}"/>
    <hyperlink ref="W1157" r:id="rId1812" xr:uid="{00000000-0004-0000-0200-000013070000}"/>
    <hyperlink ref="W1158" r:id="rId1813" xr:uid="{00000000-0004-0000-0200-000014070000}"/>
    <hyperlink ref="W1159" r:id="rId1814" xr:uid="{00000000-0004-0000-0200-000015070000}"/>
    <hyperlink ref="W1160" r:id="rId1815" xr:uid="{00000000-0004-0000-0200-000016070000}"/>
    <hyperlink ref="W1161" r:id="rId1816" xr:uid="{00000000-0004-0000-0200-000017070000}"/>
    <hyperlink ref="W1162" r:id="rId1817" xr:uid="{00000000-0004-0000-0200-000018070000}"/>
    <hyperlink ref="W1163" r:id="rId1818" xr:uid="{00000000-0004-0000-0200-000019070000}"/>
    <hyperlink ref="W1164" r:id="rId1819" xr:uid="{00000000-0004-0000-0200-00001A070000}"/>
    <hyperlink ref="W1165" r:id="rId1820" xr:uid="{00000000-0004-0000-0200-00001B070000}"/>
    <hyperlink ref="W1166" r:id="rId1821" xr:uid="{00000000-0004-0000-0200-00001C070000}"/>
    <hyperlink ref="W1167" r:id="rId1822" xr:uid="{00000000-0004-0000-0200-00001D070000}"/>
    <hyperlink ref="W1168" r:id="rId1823" xr:uid="{00000000-0004-0000-0200-00001E070000}"/>
    <hyperlink ref="W1169" r:id="rId1824" xr:uid="{00000000-0004-0000-0200-00001F070000}"/>
    <hyperlink ref="W1170" r:id="rId1825" xr:uid="{00000000-0004-0000-0200-000020070000}"/>
    <hyperlink ref="W1171" r:id="rId1826" xr:uid="{00000000-0004-0000-0200-000021070000}"/>
    <hyperlink ref="W1172" r:id="rId1827" xr:uid="{00000000-0004-0000-0200-000022070000}"/>
    <hyperlink ref="W1173" r:id="rId1828" xr:uid="{00000000-0004-0000-0200-000023070000}"/>
    <hyperlink ref="W1174" r:id="rId1829" xr:uid="{00000000-0004-0000-0200-000024070000}"/>
    <hyperlink ref="W1175" r:id="rId1830" xr:uid="{00000000-0004-0000-0200-000025070000}"/>
    <hyperlink ref="W1176" r:id="rId1831" xr:uid="{00000000-0004-0000-0200-000026070000}"/>
    <hyperlink ref="W1177" r:id="rId1832" xr:uid="{00000000-0004-0000-0200-000027070000}"/>
    <hyperlink ref="W1178" r:id="rId1833" xr:uid="{00000000-0004-0000-0200-000028070000}"/>
    <hyperlink ref="W1179" r:id="rId1834" xr:uid="{00000000-0004-0000-0200-000029070000}"/>
    <hyperlink ref="W1180" r:id="rId1835" xr:uid="{00000000-0004-0000-0200-00002A070000}"/>
    <hyperlink ref="W1181" r:id="rId1836" xr:uid="{00000000-0004-0000-0200-00002B070000}"/>
    <hyperlink ref="W1182" r:id="rId1837" xr:uid="{00000000-0004-0000-0200-00002C070000}"/>
    <hyperlink ref="W1183" r:id="rId1838" xr:uid="{00000000-0004-0000-0200-00002D070000}"/>
    <hyperlink ref="W1184" r:id="rId1839" xr:uid="{00000000-0004-0000-0200-00002E070000}"/>
    <hyperlink ref="W1185" r:id="rId1840" xr:uid="{00000000-0004-0000-0200-00002F070000}"/>
    <hyperlink ref="W1186" r:id="rId1841" xr:uid="{00000000-0004-0000-0200-000030070000}"/>
    <hyperlink ref="W1187" r:id="rId1842" xr:uid="{00000000-0004-0000-0200-000031070000}"/>
    <hyperlink ref="W1188" r:id="rId1843" xr:uid="{00000000-0004-0000-0200-000032070000}"/>
    <hyperlink ref="W1189" r:id="rId1844" xr:uid="{00000000-0004-0000-0200-000033070000}"/>
    <hyperlink ref="W1190" r:id="rId1845" xr:uid="{00000000-0004-0000-0200-000034070000}"/>
    <hyperlink ref="W1191" r:id="rId1846" xr:uid="{00000000-0004-0000-0200-000035070000}"/>
    <hyperlink ref="W1192" r:id="rId1847" xr:uid="{00000000-0004-0000-0200-000036070000}"/>
    <hyperlink ref="W1193" r:id="rId1848" xr:uid="{00000000-0004-0000-0200-000037070000}"/>
    <hyperlink ref="W1194" r:id="rId1849" xr:uid="{00000000-0004-0000-0200-000038070000}"/>
    <hyperlink ref="W1195" r:id="rId1850" xr:uid="{00000000-0004-0000-0200-000039070000}"/>
    <hyperlink ref="W1196" r:id="rId1851" xr:uid="{00000000-0004-0000-0200-00003A070000}"/>
    <hyperlink ref="W1197" r:id="rId1852" xr:uid="{00000000-0004-0000-0200-00003B070000}"/>
    <hyperlink ref="W1198" r:id="rId1853" xr:uid="{00000000-0004-0000-0200-00003C070000}"/>
    <hyperlink ref="W1199" r:id="rId1854" xr:uid="{00000000-0004-0000-0200-00003D070000}"/>
    <hyperlink ref="W1200" r:id="rId1855" xr:uid="{00000000-0004-0000-0200-00003E070000}"/>
    <hyperlink ref="W1201" r:id="rId1856" xr:uid="{00000000-0004-0000-0200-00003F070000}"/>
    <hyperlink ref="W1202" r:id="rId1857" xr:uid="{00000000-0004-0000-0200-000040070000}"/>
    <hyperlink ref="W1203" r:id="rId1858" xr:uid="{00000000-0004-0000-0200-000041070000}"/>
    <hyperlink ref="W1204" r:id="rId1859" xr:uid="{00000000-0004-0000-0200-000042070000}"/>
    <hyperlink ref="W1205" r:id="rId1860" xr:uid="{00000000-0004-0000-0200-000043070000}"/>
    <hyperlink ref="W1206" r:id="rId1861" xr:uid="{00000000-0004-0000-0200-000044070000}"/>
    <hyperlink ref="W1207" r:id="rId1862" xr:uid="{00000000-0004-0000-0200-000045070000}"/>
    <hyperlink ref="W1208" r:id="rId1863" xr:uid="{00000000-0004-0000-0200-000046070000}"/>
    <hyperlink ref="W1209" r:id="rId1864" xr:uid="{00000000-0004-0000-0200-000047070000}"/>
    <hyperlink ref="W1210" r:id="rId1865" xr:uid="{00000000-0004-0000-0200-000048070000}"/>
    <hyperlink ref="W1211" r:id="rId1866" xr:uid="{00000000-0004-0000-0200-000049070000}"/>
    <hyperlink ref="W1212" r:id="rId1867" xr:uid="{00000000-0004-0000-0200-00004A070000}"/>
    <hyperlink ref="W1213" r:id="rId1868" xr:uid="{00000000-0004-0000-0200-00004B070000}"/>
    <hyperlink ref="W1214" r:id="rId1869" xr:uid="{00000000-0004-0000-0200-00004C070000}"/>
    <hyperlink ref="W1215" r:id="rId1870" xr:uid="{00000000-0004-0000-0200-00004D070000}"/>
    <hyperlink ref="X1074" r:id="rId1871" xr:uid="{00000000-0004-0000-0200-00004E070000}"/>
    <hyperlink ref="X1075" r:id="rId1872" xr:uid="{00000000-0004-0000-0200-00004F070000}"/>
    <hyperlink ref="X1076" r:id="rId1873" xr:uid="{00000000-0004-0000-0200-000050070000}"/>
    <hyperlink ref="X1077" r:id="rId1874" xr:uid="{00000000-0004-0000-0200-000051070000}"/>
    <hyperlink ref="X1078" r:id="rId1875" xr:uid="{00000000-0004-0000-0200-000052070000}"/>
    <hyperlink ref="X1079" r:id="rId1876" xr:uid="{00000000-0004-0000-0200-000053070000}"/>
    <hyperlink ref="X1080" r:id="rId1877" xr:uid="{00000000-0004-0000-0200-000054070000}"/>
    <hyperlink ref="X1081" r:id="rId1878" xr:uid="{00000000-0004-0000-0200-000055070000}"/>
    <hyperlink ref="X1082" r:id="rId1879" xr:uid="{00000000-0004-0000-0200-000056070000}"/>
    <hyperlink ref="X1083" r:id="rId1880" xr:uid="{00000000-0004-0000-0200-000057070000}"/>
    <hyperlink ref="X1084" r:id="rId1881" xr:uid="{00000000-0004-0000-0200-000058070000}"/>
    <hyperlink ref="X1085" r:id="rId1882" xr:uid="{00000000-0004-0000-0200-000059070000}"/>
    <hyperlink ref="X1086" r:id="rId1883" xr:uid="{00000000-0004-0000-0200-00005A070000}"/>
    <hyperlink ref="X1087" r:id="rId1884" xr:uid="{00000000-0004-0000-0200-00005B070000}"/>
    <hyperlink ref="X1088" r:id="rId1885" xr:uid="{00000000-0004-0000-0200-00005C070000}"/>
    <hyperlink ref="X1089" r:id="rId1886" xr:uid="{00000000-0004-0000-0200-00005D070000}"/>
    <hyperlink ref="X1090" r:id="rId1887" xr:uid="{00000000-0004-0000-0200-00005E070000}"/>
    <hyperlink ref="X1091" r:id="rId1888" xr:uid="{00000000-0004-0000-0200-00005F070000}"/>
    <hyperlink ref="X1092" r:id="rId1889" xr:uid="{00000000-0004-0000-0200-000060070000}"/>
    <hyperlink ref="X1093" r:id="rId1890" xr:uid="{00000000-0004-0000-0200-000061070000}"/>
    <hyperlink ref="X1094" r:id="rId1891" xr:uid="{00000000-0004-0000-0200-000062070000}"/>
    <hyperlink ref="X1095" r:id="rId1892" xr:uid="{00000000-0004-0000-0200-000063070000}"/>
    <hyperlink ref="X1096" r:id="rId1893" xr:uid="{00000000-0004-0000-0200-000064070000}"/>
    <hyperlink ref="X1097" r:id="rId1894" xr:uid="{00000000-0004-0000-0200-000065070000}"/>
    <hyperlink ref="X1098" r:id="rId1895" xr:uid="{00000000-0004-0000-0200-000066070000}"/>
    <hyperlink ref="X1099" r:id="rId1896" xr:uid="{00000000-0004-0000-0200-000067070000}"/>
    <hyperlink ref="X1100" r:id="rId1897" xr:uid="{00000000-0004-0000-0200-000068070000}"/>
    <hyperlink ref="X1101" r:id="rId1898" xr:uid="{00000000-0004-0000-0200-000069070000}"/>
    <hyperlink ref="X1102" r:id="rId1899" xr:uid="{00000000-0004-0000-0200-00006A070000}"/>
    <hyperlink ref="X1103" r:id="rId1900" xr:uid="{00000000-0004-0000-0200-00006B070000}"/>
    <hyperlink ref="X1104" r:id="rId1901" xr:uid="{00000000-0004-0000-0200-00006C070000}"/>
    <hyperlink ref="X1105" r:id="rId1902" xr:uid="{00000000-0004-0000-0200-00006D070000}"/>
    <hyperlink ref="X1106" r:id="rId1903" xr:uid="{00000000-0004-0000-0200-00006E070000}"/>
    <hyperlink ref="X1107" r:id="rId1904" xr:uid="{00000000-0004-0000-0200-00006F070000}"/>
    <hyperlink ref="X1108" r:id="rId1905" xr:uid="{00000000-0004-0000-0200-000070070000}"/>
    <hyperlink ref="X1109" r:id="rId1906" xr:uid="{00000000-0004-0000-0200-000071070000}"/>
    <hyperlink ref="X1110" r:id="rId1907" xr:uid="{00000000-0004-0000-0200-000072070000}"/>
    <hyperlink ref="X1111" r:id="rId1908" xr:uid="{00000000-0004-0000-0200-000073070000}"/>
    <hyperlink ref="X1112" r:id="rId1909" xr:uid="{00000000-0004-0000-0200-000074070000}"/>
    <hyperlink ref="X1113" r:id="rId1910" xr:uid="{00000000-0004-0000-0200-000075070000}"/>
    <hyperlink ref="X1114" r:id="rId1911" xr:uid="{00000000-0004-0000-0200-000076070000}"/>
    <hyperlink ref="X1115" r:id="rId1912" xr:uid="{00000000-0004-0000-0200-000077070000}"/>
    <hyperlink ref="X1116" r:id="rId1913" xr:uid="{00000000-0004-0000-0200-000078070000}"/>
    <hyperlink ref="X1117" r:id="rId1914" xr:uid="{00000000-0004-0000-0200-000079070000}"/>
    <hyperlink ref="X1118" r:id="rId1915" xr:uid="{00000000-0004-0000-0200-00007A070000}"/>
    <hyperlink ref="X1119" r:id="rId1916" xr:uid="{00000000-0004-0000-0200-00007B070000}"/>
    <hyperlink ref="X1120" r:id="rId1917" xr:uid="{00000000-0004-0000-0200-00007C070000}"/>
    <hyperlink ref="X1121" r:id="rId1918" xr:uid="{00000000-0004-0000-0200-00007D070000}"/>
    <hyperlink ref="X1122" r:id="rId1919" xr:uid="{00000000-0004-0000-0200-00007E070000}"/>
    <hyperlink ref="X1123" r:id="rId1920" xr:uid="{00000000-0004-0000-0200-00007F070000}"/>
    <hyperlink ref="X1124" r:id="rId1921" xr:uid="{00000000-0004-0000-0200-000080070000}"/>
    <hyperlink ref="X1125" r:id="rId1922" xr:uid="{00000000-0004-0000-0200-000081070000}"/>
    <hyperlink ref="X1126" r:id="rId1923" xr:uid="{00000000-0004-0000-0200-000082070000}"/>
    <hyperlink ref="X1127" r:id="rId1924" xr:uid="{00000000-0004-0000-0200-000083070000}"/>
    <hyperlink ref="X1128" r:id="rId1925" xr:uid="{00000000-0004-0000-0200-000084070000}"/>
    <hyperlink ref="X1129" r:id="rId1926" xr:uid="{00000000-0004-0000-0200-000085070000}"/>
    <hyperlink ref="X1130" r:id="rId1927" xr:uid="{00000000-0004-0000-0200-000086070000}"/>
    <hyperlink ref="X1131" r:id="rId1928" xr:uid="{00000000-0004-0000-0200-000087070000}"/>
    <hyperlink ref="X1132" r:id="rId1929" xr:uid="{00000000-0004-0000-0200-000088070000}"/>
    <hyperlink ref="X1133" r:id="rId1930" xr:uid="{00000000-0004-0000-0200-000089070000}"/>
    <hyperlink ref="X1134" r:id="rId1931" xr:uid="{00000000-0004-0000-0200-00008A070000}"/>
    <hyperlink ref="X1135" r:id="rId1932" xr:uid="{00000000-0004-0000-0200-00008B070000}"/>
    <hyperlink ref="X1136" r:id="rId1933" xr:uid="{00000000-0004-0000-0200-00008C070000}"/>
    <hyperlink ref="X1137" r:id="rId1934" xr:uid="{00000000-0004-0000-0200-00008D070000}"/>
    <hyperlink ref="X1138" r:id="rId1935" xr:uid="{00000000-0004-0000-0200-00008E070000}"/>
    <hyperlink ref="X1139" r:id="rId1936" xr:uid="{00000000-0004-0000-0200-00008F070000}"/>
    <hyperlink ref="X1140" r:id="rId1937" xr:uid="{00000000-0004-0000-0200-000090070000}"/>
    <hyperlink ref="X1141" r:id="rId1938" xr:uid="{00000000-0004-0000-0200-000091070000}"/>
    <hyperlink ref="X1142" r:id="rId1939" xr:uid="{00000000-0004-0000-0200-000092070000}"/>
    <hyperlink ref="X1143" r:id="rId1940" xr:uid="{00000000-0004-0000-0200-000093070000}"/>
    <hyperlink ref="X1144" r:id="rId1941" xr:uid="{00000000-0004-0000-0200-000094070000}"/>
    <hyperlink ref="X1145" r:id="rId1942" xr:uid="{00000000-0004-0000-0200-000095070000}"/>
    <hyperlink ref="X1146" r:id="rId1943" xr:uid="{00000000-0004-0000-0200-000096070000}"/>
    <hyperlink ref="X1147" r:id="rId1944" xr:uid="{00000000-0004-0000-0200-000097070000}"/>
    <hyperlink ref="X1148" r:id="rId1945" xr:uid="{00000000-0004-0000-0200-000098070000}"/>
    <hyperlink ref="X1149" r:id="rId1946" xr:uid="{00000000-0004-0000-0200-000099070000}"/>
    <hyperlink ref="X1150" r:id="rId1947" xr:uid="{00000000-0004-0000-0200-00009A070000}"/>
    <hyperlink ref="X1151" r:id="rId1948" xr:uid="{00000000-0004-0000-0200-00009B070000}"/>
    <hyperlink ref="X1152" r:id="rId1949" xr:uid="{00000000-0004-0000-0200-00009C070000}"/>
    <hyperlink ref="X1153" r:id="rId1950" xr:uid="{00000000-0004-0000-0200-00009D070000}"/>
    <hyperlink ref="X1154" r:id="rId1951" xr:uid="{00000000-0004-0000-0200-00009E070000}"/>
    <hyperlink ref="X1155" r:id="rId1952" xr:uid="{00000000-0004-0000-0200-00009F070000}"/>
    <hyperlink ref="X1156" r:id="rId1953" xr:uid="{00000000-0004-0000-0200-0000A0070000}"/>
    <hyperlink ref="X1157" r:id="rId1954" xr:uid="{00000000-0004-0000-0200-0000A1070000}"/>
    <hyperlink ref="X1158" r:id="rId1955" xr:uid="{00000000-0004-0000-0200-0000A2070000}"/>
    <hyperlink ref="X1159" r:id="rId1956" xr:uid="{00000000-0004-0000-0200-0000A3070000}"/>
    <hyperlink ref="X1160" r:id="rId1957" xr:uid="{00000000-0004-0000-0200-0000A4070000}"/>
    <hyperlink ref="X1161" r:id="rId1958" xr:uid="{00000000-0004-0000-0200-0000A5070000}"/>
    <hyperlink ref="X1162" r:id="rId1959" xr:uid="{00000000-0004-0000-0200-0000A6070000}"/>
    <hyperlink ref="X1163" r:id="rId1960" xr:uid="{00000000-0004-0000-0200-0000A7070000}"/>
    <hyperlink ref="X1164" r:id="rId1961" xr:uid="{00000000-0004-0000-0200-0000A8070000}"/>
    <hyperlink ref="X1165" r:id="rId1962" xr:uid="{00000000-0004-0000-0200-0000A9070000}"/>
    <hyperlink ref="X1166" r:id="rId1963" xr:uid="{00000000-0004-0000-0200-0000AA070000}"/>
    <hyperlink ref="X1167" r:id="rId1964" xr:uid="{00000000-0004-0000-0200-0000AB070000}"/>
    <hyperlink ref="X1168" r:id="rId1965" xr:uid="{00000000-0004-0000-0200-0000AC070000}"/>
    <hyperlink ref="X1169" r:id="rId1966" xr:uid="{00000000-0004-0000-0200-0000AD070000}"/>
    <hyperlink ref="X1170" r:id="rId1967" xr:uid="{00000000-0004-0000-0200-0000AE070000}"/>
    <hyperlink ref="X1171" r:id="rId1968" xr:uid="{00000000-0004-0000-0200-0000AF070000}"/>
    <hyperlink ref="X1172" r:id="rId1969" xr:uid="{00000000-0004-0000-0200-0000B0070000}"/>
    <hyperlink ref="X1173" r:id="rId1970" xr:uid="{00000000-0004-0000-0200-0000B1070000}"/>
    <hyperlink ref="X1174" r:id="rId1971" xr:uid="{00000000-0004-0000-0200-0000B2070000}"/>
    <hyperlink ref="X1175" r:id="rId1972" xr:uid="{00000000-0004-0000-0200-0000B3070000}"/>
    <hyperlink ref="X1176" r:id="rId1973" xr:uid="{00000000-0004-0000-0200-0000B4070000}"/>
    <hyperlink ref="X1177" r:id="rId1974" xr:uid="{00000000-0004-0000-0200-0000B5070000}"/>
    <hyperlink ref="X1178" r:id="rId1975" xr:uid="{00000000-0004-0000-0200-0000B6070000}"/>
    <hyperlink ref="X1179" r:id="rId1976" xr:uid="{00000000-0004-0000-0200-0000B7070000}"/>
    <hyperlink ref="X1180" r:id="rId1977" xr:uid="{00000000-0004-0000-0200-0000B8070000}"/>
    <hyperlink ref="X1181" r:id="rId1978" xr:uid="{00000000-0004-0000-0200-0000B9070000}"/>
    <hyperlink ref="X1182" r:id="rId1979" xr:uid="{00000000-0004-0000-0200-0000BA070000}"/>
    <hyperlink ref="X1183" r:id="rId1980" xr:uid="{00000000-0004-0000-0200-0000BB070000}"/>
    <hyperlink ref="X1184" r:id="rId1981" xr:uid="{00000000-0004-0000-0200-0000BC070000}"/>
    <hyperlink ref="X1185" r:id="rId1982" xr:uid="{00000000-0004-0000-0200-0000BD070000}"/>
    <hyperlink ref="X1186" r:id="rId1983" xr:uid="{00000000-0004-0000-0200-0000BE070000}"/>
    <hyperlink ref="X1187" r:id="rId1984" xr:uid="{00000000-0004-0000-0200-0000BF070000}"/>
    <hyperlink ref="X1188" r:id="rId1985" xr:uid="{00000000-0004-0000-0200-0000C0070000}"/>
    <hyperlink ref="X1189" r:id="rId1986" xr:uid="{00000000-0004-0000-0200-0000C1070000}"/>
    <hyperlink ref="X1190" r:id="rId1987" xr:uid="{00000000-0004-0000-0200-0000C2070000}"/>
    <hyperlink ref="X1191" r:id="rId1988" xr:uid="{00000000-0004-0000-0200-0000C3070000}"/>
    <hyperlink ref="X1192" r:id="rId1989" xr:uid="{00000000-0004-0000-0200-0000C4070000}"/>
    <hyperlink ref="X1193" r:id="rId1990" xr:uid="{00000000-0004-0000-0200-0000C5070000}"/>
    <hyperlink ref="X1194" r:id="rId1991" xr:uid="{00000000-0004-0000-0200-0000C6070000}"/>
    <hyperlink ref="X1195" r:id="rId1992" xr:uid="{00000000-0004-0000-0200-0000C7070000}"/>
    <hyperlink ref="X1196" r:id="rId1993" xr:uid="{00000000-0004-0000-0200-0000C8070000}"/>
    <hyperlink ref="X1197" r:id="rId1994" xr:uid="{00000000-0004-0000-0200-0000C9070000}"/>
    <hyperlink ref="X1198" r:id="rId1995" xr:uid="{00000000-0004-0000-0200-0000CA070000}"/>
    <hyperlink ref="X1199" r:id="rId1996" xr:uid="{00000000-0004-0000-0200-0000CB070000}"/>
    <hyperlink ref="X1200" r:id="rId1997" xr:uid="{00000000-0004-0000-0200-0000CC070000}"/>
    <hyperlink ref="X1201" r:id="rId1998" xr:uid="{00000000-0004-0000-0200-0000CD070000}"/>
    <hyperlink ref="X1202" r:id="rId1999" xr:uid="{00000000-0004-0000-0200-0000CE070000}"/>
    <hyperlink ref="X1203" r:id="rId2000" xr:uid="{00000000-0004-0000-0200-0000CF070000}"/>
    <hyperlink ref="X1204" r:id="rId2001" xr:uid="{00000000-0004-0000-0200-0000D0070000}"/>
    <hyperlink ref="X1205" r:id="rId2002" xr:uid="{00000000-0004-0000-0200-0000D1070000}"/>
    <hyperlink ref="X1206" r:id="rId2003" xr:uid="{00000000-0004-0000-0200-0000D2070000}"/>
    <hyperlink ref="X1207" r:id="rId2004" xr:uid="{00000000-0004-0000-0200-0000D3070000}"/>
    <hyperlink ref="X1208" r:id="rId2005" xr:uid="{00000000-0004-0000-0200-0000D4070000}"/>
    <hyperlink ref="X1209" r:id="rId2006" xr:uid="{00000000-0004-0000-0200-0000D5070000}"/>
    <hyperlink ref="X1210" r:id="rId2007" xr:uid="{00000000-0004-0000-0200-0000D6070000}"/>
    <hyperlink ref="X1211" r:id="rId2008" xr:uid="{00000000-0004-0000-0200-0000D7070000}"/>
    <hyperlink ref="X1212" r:id="rId2009" xr:uid="{00000000-0004-0000-0200-0000D8070000}"/>
    <hyperlink ref="X1213" r:id="rId2010" xr:uid="{00000000-0004-0000-0200-0000D9070000}"/>
    <hyperlink ref="X1214" r:id="rId2011" xr:uid="{00000000-0004-0000-0200-0000DA070000}"/>
    <hyperlink ref="X1215" r:id="rId2012" xr:uid="{00000000-0004-0000-0200-0000DB070000}"/>
    <hyperlink ref="Y1074" r:id="rId2013" display="https://crsreports.congress.gov/product/pdf/IF/IF12040" xr:uid="{00000000-0004-0000-0200-0000DC070000}"/>
    <hyperlink ref="Y1075" r:id="rId2014" display="https://crsreports.congress.gov/product/pdf/IF/IF12040" xr:uid="{00000000-0004-0000-0200-0000DD070000}"/>
    <hyperlink ref="Y1076" r:id="rId2015" display="https://crsreports.congress.gov/product/pdf/IF/IF12040" xr:uid="{00000000-0004-0000-0200-0000DE070000}"/>
    <hyperlink ref="Y1077" r:id="rId2016" display="https://crsreports.congress.gov/product/pdf/IF/IF12040" xr:uid="{00000000-0004-0000-0200-0000DF070000}"/>
    <hyperlink ref="Y1078" r:id="rId2017" display="https://crsreports.congress.gov/product/pdf/IF/IF12040" xr:uid="{00000000-0004-0000-0200-0000E0070000}"/>
    <hyperlink ref="Y1079" r:id="rId2018" display="https://crsreports.congress.gov/product/pdf/IF/IF12040" xr:uid="{00000000-0004-0000-0200-0000E1070000}"/>
    <hyperlink ref="Y1080" r:id="rId2019" display="https://crsreports.congress.gov/product/pdf/IF/IF12040" xr:uid="{00000000-0004-0000-0200-0000E2070000}"/>
    <hyperlink ref="Y1081" r:id="rId2020" display="https://crsreports.congress.gov/product/pdf/IF/IF12040" xr:uid="{00000000-0004-0000-0200-0000E3070000}"/>
    <hyperlink ref="Y1082" r:id="rId2021" display="https://crsreports.congress.gov/product/pdf/IF/IF12040" xr:uid="{00000000-0004-0000-0200-0000E4070000}"/>
    <hyperlink ref="Y1083" r:id="rId2022" display="https://crsreports.congress.gov/product/pdf/IF/IF12040" xr:uid="{00000000-0004-0000-0200-0000E5070000}"/>
    <hyperlink ref="Y1084" r:id="rId2023" display="https://crsreports.congress.gov/product/pdf/IF/IF12040" xr:uid="{00000000-0004-0000-0200-0000E6070000}"/>
    <hyperlink ref="Y1085" r:id="rId2024" display="https://crsreports.congress.gov/product/pdf/IF/IF12040" xr:uid="{00000000-0004-0000-0200-0000E7070000}"/>
    <hyperlink ref="Y1086" r:id="rId2025" display="https://crsreports.congress.gov/product/pdf/IF/IF12040" xr:uid="{00000000-0004-0000-0200-0000E8070000}"/>
    <hyperlink ref="Y1087" r:id="rId2026" display="https://crsreports.congress.gov/product/pdf/IF/IF12040" xr:uid="{00000000-0004-0000-0200-0000E9070000}"/>
    <hyperlink ref="Y1088" r:id="rId2027" display="https://crsreports.congress.gov/product/pdf/IF/IF12040" xr:uid="{00000000-0004-0000-0200-0000EA070000}"/>
    <hyperlink ref="Y1089" r:id="rId2028" display="https://crsreports.congress.gov/product/pdf/IF/IF12040" xr:uid="{00000000-0004-0000-0200-0000EB070000}"/>
    <hyperlink ref="Y1090" r:id="rId2029" display="https://crsreports.congress.gov/product/pdf/IF/IF12040" xr:uid="{00000000-0004-0000-0200-0000EC070000}"/>
    <hyperlink ref="Y1091" r:id="rId2030" display="https://crsreports.congress.gov/product/pdf/IF/IF12040" xr:uid="{00000000-0004-0000-0200-0000ED070000}"/>
    <hyperlink ref="Y1092" r:id="rId2031" display="https://crsreports.congress.gov/product/pdf/IF/IF12040" xr:uid="{00000000-0004-0000-0200-0000EE070000}"/>
    <hyperlink ref="Y1093" r:id="rId2032" display="https://crsreports.congress.gov/product/pdf/IF/IF12040" xr:uid="{00000000-0004-0000-0200-0000EF070000}"/>
    <hyperlink ref="Y1094" r:id="rId2033" display="https://crsreports.congress.gov/product/pdf/IF/IF12040" xr:uid="{00000000-0004-0000-0200-0000F0070000}"/>
    <hyperlink ref="Y1095" r:id="rId2034" display="https://crsreports.congress.gov/product/pdf/IF/IF12040" xr:uid="{00000000-0004-0000-0200-0000F1070000}"/>
    <hyperlink ref="Y1096" r:id="rId2035" display="https://crsreports.congress.gov/product/pdf/IF/IF12040" xr:uid="{00000000-0004-0000-0200-0000F2070000}"/>
    <hyperlink ref="Y1097" r:id="rId2036" display="https://crsreports.congress.gov/product/pdf/IF/IF12040" xr:uid="{00000000-0004-0000-0200-0000F3070000}"/>
    <hyperlink ref="Y1098" r:id="rId2037" display="https://crsreports.congress.gov/product/pdf/IF/IF12040" xr:uid="{00000000-0004-0000-0200-0000F4070000}"/>
    <hyperlink ref="Y1099" r:id="rId2038" display="https://crsreports.congress.gov/product/pdf/IF/IF12040" xr:uid="{00000000-0004-0000-0200-0000F5070000}"/>
    <hyperlink ref="Y1100" r:id="rId2039" display="https://crsreports.congress.gov/product/pdf/IF/IF12040" xr:uid="{00000000-0004-0000-0200-0000F6070000}"/>
    <hyperlink ref="Y1101" r:id="rId2040" display="https://crsreports.congress.gov/product/pdf/IF/IF12040" xr:uid="{00000000-0004-0000-0200-0000F7070000}"/>
    <hyperlink ref="Y1102" r:id="rId2041" display="https://crsreports.congress.gov/product/pdf/IF/IF12040" xr:uid="{00000000-0004-0000-0200-0000F8070000}"/>
    <hyperlink ref="Y1103" r:id="rId2042" display="https://crsreports.congress.gov/product/pdf/IF/IF12040" xr:uid="{00000000-0004-0000-0200-0000F9070000}"/>
    <hyperlink ref="Y1104" r:id="rId2043" display="https://crsreports.congress.gov/product/pdf/IF/IF12040" xr:uid="{00000000-0004-0000-0200-0000FA070000}"/>
    <hyperlink ref="Y1105" r:id="rId2044" display="https://crsreports.congress.gov/product/pdf/IF/IF12040" xr:uid="{00000000-0004-0000-0200-0000FB070000}"/>
    <hyperlink ref="Y1106" r:id="rId2045" display="https://crsreports.congress.gov/product/pdf/IF/IF12040" xr:uid="{00000000-0004-0000-0200-0000FC070000}"/>
    <hyperlink ref="Y1107" r:id="rId2046" display="https://crsreports.congress.gov/product/pdf/IF/IF12040" xr:uid="{00000000-0004-0000-0200-0000FD070000}"/>
    <hyperlink ref="Y1108" r:id="rId2047" display="https://crsreports.congress.gov/product/pdf/IF/IF12040" xr:uid="{00000000-0004-0000-0200-0000FE070000}"/>
    <hyperlink ref="Y1109" r:id="rId2048" display="https://crsreports.congress.gov/product/pdf/IF/IF12040" xr:uid="{00000000-0004-0000-0200-0000FF070000}"/>
    <hyperlink ref="Y1110" r:id="rId2049" display="https://crsreports.congress.gov/product/pdf/IF/IF12040" xr:uid="{00000000-0004-0000-0200-000000080000}"/>
    <hyperlink ref="Y1111" r:id="rId2050" display="https://crsreports.congress.gov/product/pdf/IF/IF12040" xr:uid="{00000000-0004-0000-0200-000001080000}"/>
    <hyperlink ref="Y1112" r:id="rId2051" display="https://crsreports.congress.gov/product/pdf/IF/IF12040" xr:uid="{00000000-0004-0000-0200-000002080000}"/>
    <hyperlink ref="Y1113" r:id="rId2052" display="https://crsreports.congress.gov/product/pdf/IF/IF12040" xr:uid="{00000000-0004-0000-0200-000003080000}"/>
    <hyperlink ref="Y1114" r:id="rId2053" display="https://crsreports.congress.gov/product/pdf/IF/IF12040" xr:uid="{00000000-0004-0000-0200-000004080000}"/>
    <hyperlink ref="Y1115" r:id="rId2054" display="https://crsreports.congress.gov/product/pdf/IF/IF12040" xr:uid="{00000000-0004-0000-0200-000005080000}"/>
    <hyperlink ref="Y1116" r:id="rId2055" display="https://crsreports.congress.gov/product/pdf/IF/IF12040" xr:uid="{00000000-0004-0000-0200-000006080000}"/>
    <hyperlink ref="Y1117" r:id="rId2056" display="https://crsreports.congress.gov/product/pdf/IF/IF12040" xr:uid="{00000000-0004-0000-0200-000007080000}"/>
    <hyperlink ref="Y1118" r:id="rId2057" display="https://crsreports.congress.gov/product/pdf/IF/IF12040" xr:uid="{00000000-0004-0000-0200-000008080000}"/>
    <hyperlink ref="Y1119" r:id="rId2058" display="https://crsreports.congress.gov/product/pdf/IF/IF12040" xr:uid="{00000000-0004-0000-0200-000009080000}"/>
    <hyperlink ref="Y1120" r:id="rId2059" display="https://crsreports.congress.gov/product/pdf/IF/IF12040" xr:uid="{00000000-0004-0000-0200-00000A080000}"/>
    <hyperlink ref="Y1121" r:id="rId2060" display="https://crsreports.congress.gov/product/pdf/IF/IF12040" xr:uid="{00000000-0004-0000-0200-00000B080000}"/>
    <hyperlink ref="Y1122" r:id="rId2061" display="https://crsreports.congress.gov/product/pdf/IF/IF12040" xr:uid="{00000000-0004-0000-0200-00000C080000}"/>
    <hyperlink ref="Y1123" r:id="rId2062" display="https://crsreports.congress.gov/product/pdf/IF/IF12040" xr:uid="{00000000-0004-0000-0200-00000D080000}"/>
    <hyperlink ref="Y1124" r:id="rId2063" display="https://crsreports.congress.gov/product/pdf/IF/IF12040" xr:uid="{00000000-0004-0000-0200-00000E080000}"/>
    <hyperlink ref="Y1125" r:id="rId2064" display="https://crsreports.congress.gov/product/pdf/IF/IF12040" xr:uid="{00000000-0004-0000-0200-00000F080000}"/>
    <hyperlink ref="Y1126" r:id="rId2065" display="https://crsreports.congress.gov/product/pdf/IF/IF12040" xr:uid="{00000000-0004-0000-0200-000010080000}"/>
    <hyperlink ref="Y1127" r:id="rId2066" display="https://crsreports.congress.gov/product/pdf/IF/IF12040" xr:uid="{00000000-0004-0000-0200-000011080000}"/>
    <hyperlink ref="Y1128" r:id="rId2067" display="https://crsreports.congress.gov/product/pdf/IF/IF12040" xr:uid="{00000000-0004-0000-0200-000012080000}"/>
    <hyperlink ref="Y1129" r:id="rId2068" display="https://crsreports.congress.gov/product/pdf/IF/IF12040" xr:uid="{00000000-0004-0000-0200-000013080000}"/>
    <hyperlink ref="Y1130" r:id="rId2069" display="https://crsreports.congress.gov/product/pdf/IF/IF12040" xr:uid="{00000000-0004-0000-0200-000014080000}"/>
    <hyperlink ref="Y1131" r:id="rId2070" display="https://crsreports.congress.gov/product/pdf/IF/IF12040" xr:uid="{00000000-0004-0000-0200-000015080000}"/>
    <hyperlink ref="Y1132" r:id="rId2071" display="https://crsreports.congress.gov/product/pdf/IF/IF12040" xr:uid="{00000000-0004-0000-0200-000016080000}"/>
    <hyperlink ref="Y1133" r:id="rId2072" display="https://crsreports.congress.gov/product/pdf/IF/IF12040" xr:uid="{00000000-0004-0000-0200-000017080000}"/>
    <hyperlink ref="Y1134" r:id="rId2073" display="https://crsreports.congress.gov/product/pdf/IF/IF12040" xr:uid="{00000000-0004-0000-0200-000018080000}"/>
    <hyperlink ref="Y1135" r:id="rId2074" display="https://crsreports.congress.gov/product/pdf/IF/IF12040" xr:uid="{00000000-0004-0000-0200-000019080000}"/>
    <hyperlink ref="Y1136" r:id="rId2075" display="https://crsreports.congress.gov/product/pdf/IF/IF12040" xr:uid="{00000000-0004-0000-0200-00001A080000}"/>
    <hyperlink ref="Y1137" r:id="rId2076" display="https://crsreports.congress.gov/product/pdf/IF/IF12040" xr:uid="{00000000-0004-0000-0200-00001B080000}"/>
    <hyperlink ref="Y1138" r:id="rId2077" display="https://crsreports.congress.gov/product/pdf/IF/IF12040" xr:uid="{00000000-0004-0000-0200-00001C080000}"/>
    <hyperlink ref="Y1139" r:id="rId2078" display="https://crsreports.congress.gov/product/pdf/IF/IF12040" xr:uid="{00000000-0004-0000-0200-00001D080000}"/>
    <hyperlink ref="Y1140" r:id="rId2079" display="https://crsreports.congress.gov/product/pdf/IF/IF12040" xr:uid="{00000000-0004-0000-0200-00001E080000}"/>
    <hyperlink ref="Y1141" r:id="rId2080" display="https://crsreports.congress.gov/product/pdf/IF/IF12040" xr:uid="{00000000-0004-0000-0200-00001F080000}"/>
    <hyperlink ref="Y1142" r:id="rId2081" display="https://crsreports.congress.gov/product/pdf/IF/IF12040" xr:uid="{00000000-0004-0000-0200-000020080000}"/>
    <hyperlink ref="Y1143" r:id="rId2082" display="https://crsreports.congress.gov/product/pdf/IF/IF12040" xr:uid="{00000000-0004-0000-0200-000021080000}"/>
    <hyperlink ref="Y1144" r:id="rId2083" display="https://crsreports.congress.gov/product/pdf/IF/IF12040" xr:uid="{00000000-0004-0000-0200-000022080000}"/>
    <hyperlink ref="Y1145" r:id="rId2084" display="https://crsreports.congress.gov/product/pdf/IF/IF12040" xr:uid="{00000000-0004-0000-0200-000023080000}"/>
    <hyperlink ref="Y1146" r:id="rId2085" display="https://crsreports.congress.gov/product/pdf/IF/IF12040" xr:uid="{00000000-0004-0000-0200-000024080000}"/>
    <hyperlink ref="Y1147" r:id="rId2086" display="https://crsreports.congress.gov/product/pdf/IF/IF12040" xr:uid="{00000000-0004-0000-0200-000025080000}"/>
    <hyperlink ref="Y1148" r:id="rId2087" display="https://crsreports.congress.gov/product/pdf/IF/IF12040" xr:uid="{00000000-0004-0000-0200-000026080000}"/>
    <hyperlink ref="Y1149" r:id="rId2088" display="https://crsreports.congress.gov/product/pdf/IF/IF12040" xr:uid="{00000000-0004-0000-0200-000027080000}"/>
    <hyperlink ref="Y1150" r:id="rId2089" display="https://crsreports.congress.gov/product/pdf/IF/IF12040" xr:uid="{00000000-0004-0000-0200-000028080000}"/>
    <hyperlink ref="Y1151" r:id="rId2090" display="https://crsreports.congress.gov/product/pdf/IF/IF12040" xr:uid="{00000000-0004-0000-0200-000029080000}"/>
    <hyperlink ref="Y1152" r:id="rId2091" display="https://crsreports.congress.gov/product/pdf/IF/IF12040" xr:uid="{00000000-0004-0000-0200-00002A080000}"/>
    <hyperlink ref="Y1153" r:id="rId2092" display="https://crsreports.congress.gov/product/pdf/IF/IF12040" xr:uid="{00000000-0004-0000-0200-00002B080000}"/>
    <hyperlink ref="Y1154" r:id="rId2093" display="https://crsreports.congress.gov/product/pdf/IF/IF12040" xr:uid="{00000000-0004-0000-0200-00002C080000}"/>
    <hyperlink ref="Y1155" r:id="rId2094" display="https://crsreports.congress.gov/product/pdf/IF/IF12040" xr:uid="{00000000-0004-0000-0200-00002D080000}"/>
    <hyperlink ref="Y1156" r:id="rId2095" display="https://crsreports.congress.gov/product/pdf/IF/IF12040" xr:uid="{00000000-0004-0000-0200-00002E080000}"/>
    <hyperlink ref="Y1157" r:id="rId2096" display="https://crsreports.congress.gov/product/pdf/IF/IF12040" xr:uid="{00000000-0004-0000-0200-00002F080000}"/>
    <hyperlink ref="Y1158" r:id="rId2097" display="https://crsreports.congress.gov/product/pdf/IF/IF12040" xr:uid="{00000000-0004-0000-0200-000030080000}"/>
    <hyperlink ref="Y1159" r:id="rId2098" display="https://crsreports.congress.gov/product/pdf/IF/IF12040" xr:uid="{00000000-0004-0000-0200-000031080000}"/>
    <hyperlink ref="Y1160" r:id="rId2099" display="https://crsreports.congress.gov/product/pdf/IF/IF12040" xr:uid="{00000000-0004-0000-0200-000032080000}"/>
    <hyperlink ref="Y1161" r:id="rId2100" display="https://crsreports.congress.gov/product/pdf/IF/IF12040" xr:uid="{00000000-0004-0000-0200-000033080000}"/>
    <hyperlink ref="Y1162" r:id="rId2101" display="https://crsreports.congress.gov/product/pdf/IF/IF12040" xr:uid="{00000000-0004-0000-0200-000034080000}"/>
    <hyperlink ref="Y1163" r:id="rId2102" display="https://crsreports.congress.gov/product/pdf/IF/IF12040" xr:uid="{00000000-0004-0000-0200-000035080000}"/>
    <hyperlink ref="Y1164" r:id="rId2103" display="https://crsreports.congress.gov/product/pdf/IF/IF12040" xr:uid="{00000000-0004-0000-0200-000036080000}"/>
    <hyperlink ref="Y1165" r:id="rId2104" display="https://crsreports.congress.gov/product/pdf/IF/IF12040" xr:uid="{00000000-0004-0000-0200-000037080000}"/>
    <hyperlink ref="Y1166" r:id="rId2105" display="https://crsreports.congress.gov/product/pdf/IF/IF12040" xr:uid="{00000000-0004-0000-0200-000038080000}"/>
    <hyperlink ref="Y1167" r:id="rId2106" display="https://crsreports.congress.gov/product/pdf/IF/IF12040" xr:uid="{00000000-0004-0000-0200-000039080000}"/>
    <hyperlink ref="Y1168" r:id="rId2107" display="https://crsreports.congress.gov/product/pdf/IF/IF12040" xr:uid="{00000000-0004-0000-0200-00003A080000}"/>
    <hyperlink ref="Y1169" r:id="rId2108" display="https://crsreports.congress.gov/product/pdf/IF/IF12040" xr:uid="{00000000-0004-0000-0200-00003B080000}"/>
    <hyperlink ref="Y1170" r:id="rId2109" display="https://crsreports.congress.gov/product/pdf/IF/IF12040" xr:uid="{00000000-0004-0000-0200-00003C080000}"/>
    <hyperlink ref="Y1171" r:id="rId2110" display="https://crsreports.congress.gov/product/pdf/IF/IF12040" xr:uid="{00000000-0004-0000-0200-00003D080000}"/>
    <hyperlink ref="Y1172" r:id="rId2111" display="https://crsreports.congress.gov/product/pdf/IF/IF12040" xr:uid="{00000000-0004-0000-0200-00003E080000}"/>
    <hyperlink ref="Y1173" r:id="rId2112" display="https://crsreports.congress.gov/product/pdf/IF/IF12040" xr:uid="{00000000-0004-0000-0200-00003F080000}"/>
    <hyperlink ref="Y1174" r:id="rId2113" display="https://crsreports.congress.gov/product/pdf/IF/IF12040" xr:uid="{00000000-0004-0000-0200-000040080000}"/>
    <hyperlink ref="Y1175" r:id="rId2114" display="https://crsreports.congress.gov/product/pdf/IF/IF12040" xr:uid="{00000000-0004-0000-0200-000041080000}"/>
    <hyperlink ref="Y1176" r:id="rId2115" display="https://crsreports.congress.gov/product/pdf/IF/IF12040" xr:uid="{00000000-0004-0000-0200-000042080000}"/>
    <hyperlink ref="Y1177" r:id="rId2116" display="https://crsreports.congress.gov/product/pdf/IF/IF12040" xr:uid="{00000000-0004-0000-0200-000043080000}"/>
    <hyperlink ref="Y1178" r:id="rId2117" display="https://crsreports.congress.gov/product/pdf/IF/IF12040" xr:uid="{00000000-0004-0000-0200-000044080000}"/>
    <hyperlink ref="Y1179" r:id="rId2118" display="https://crsreports.congress.gov/product/pdf/IF/IF12040" xr:uid="{00000000-0004-0000-0200-000045080000}"/>
    <hyperlink ref="Y1180" r:id="rId2119" display="https://crsreports.congress.gov/product/pdf/IF/IF12040" xr:uid="{00000000-0004-0000-0200-000046080000}"/>
    <hyperlink ref="Y1181" r:id="rId2120" display="https://crsreports.congress.gov/product/pdf/IF/IF12040" xr:uid="{00000000-0004-0000-0200-000047080000}"/>
    <hyperlink ref="Y1182" r:id="rId2121" display="https://crsreports.congress.gov/product/pdf/IF/IF12040" xr:uid="{00000000-0004-0000-0200-000048080000}"/>
    <hyperlink ref="Y1183" r:id="rId2122" display="https://crsreports.congress.gov/product/pdf/IF/IF12040" xr:uid="{00000000-0004-0000-0200-000049080000}"/>
    <hyperlink ref="Y1184" r:id="rId2123" display="https://crsreports.congress.gov/product/pdf/IF/IF12040" xr:uid="{00000000-0004-0000-0200-00004A080000}"/>
    <hyperlink ref="Y1185" r:id="rId2124" display="https://crsreports.congress.gov/product/pdf/IF/IF12040" xr:uid="{00000000-0004-0000-0200-00004B080000}"/>
    <hyperlink ref="Y1186" r:id="rId2125" display="https://crsreports.congress.gov/product/pdf/IF/IF12040" xr:uid="{00000000-0004-0000-0200-00004C080000}"/>
    <hyperlink ref="Y1187" r:id="rId2126" display="https://crsreports.congress.gov/product/pdf/IF/IF12040" xr:uid="{00000000-0004-0000-0200-00004D080000}"/>
    <hyperlink ref="Y1188" r:id="rId2127" display="https://crsreports.congress.gov/product/pdf/IF/IF12040" xr:uid="{00000000-0004-0000-0200-00004E080000}"/>
    <hyperlink ref="Y1189" r:id="rId2128" display="https://crsreports.congress.gov/product/pdf/IF/IF12040" xr:uid="{00000000-0004-0000-0200-00004F080000}"/>
    <hyperlink ref="Y1190" r:id="rId2129" display="https://crsreports.congress.gov/product/pdf/IF/IF12040" xr:uid="{00000000-0004-0000-0200-000050080000}"/>
    <hyperlink ref="Y1191" r:id="rId2130" display="https://crsreports.congress.gov/product/pdf/IF/IF12040" xr:uid="{00000000-0004-0000-0200-000051080000}"/>
    <hyperlink ref="Y1192" r:id="rId2131" display="https://crsreports.congress.gov/product/pdf/IF/IF12040" xr:uid="{00000000-0004-0000-0200-000052080000}"/>
    <hyperlink ref="Y1193" r:id="rId2132" display="https://crsreports.congress.gov/product/pdf/IF/IF12040" xr:uid="{00000000-0004-0000-0200-000053080000}"/>
    <hyperlink ref="Y1194" r:id="rId2133" display="https://crsreports.congress.gov/product/pdf/IF/IF12040" xr:uid="{00000000-0004-0000-0200-000054080000}"/>
    <hyperlink ref="Y1195" r:id="rId2134" display="https://crsreports.congress.gov/product/pdf/IF/IF12040" xr:uid="{00000000-0004-0000-0200-000055080000}"/>
    <hyperlink ref="Y1196" r:id="rId2135" display="https://crsreports.congress.gov/product/pdf/IF/IF12040" xr:uid="{00000000-0004-0000-0200-000056080000}"/>
    <hyperlink ref="Y1197" r:id="rId2136" display="https://crsreports.congress.gov/product/pdf/IF/IF12040" xr:uid="{00000000-0004-0000-0200-000057080000}"/>
    <hyperlink ref="Y1198" r:id="rId2137" display="https://crsreports.congress.gov/product/pdf/IF/IF12040" xr:uid="{00000000-0004-0000-0200-000058080000}"/>
    <hyperlink ref="Y1199" r:id="rId2138" display="https://crsreports.congress.gov/product/pdf/IF/IF12040" xr:uid="{00000000-0004-0000-0200-000059080000}"/>
    <hyperlink ref="Y1200" r:id="rId2139" display="https://crsreports.congress.gov/product/pdf/IF/IF12040" xr:uid="{00000000-0004-0000-0200-00005A080000}"/>
    <hyperlink ref="Y1201" r:id="rId2140" display="https://crsreports.congress.gov/product/pdf/IF/IF12040" xr:uid="{00000000-0004-0000-0200-00005B080000}"/>
    <hyperlink ref="Y1202" r:id="rId2141" display="https://crsreports.congress.gov/product/pdf/IF/IF12040" xr:uid="{00000000-0004-0000-0200-00005C080000}"/>
    <hyperlink ref="Y1203" r:id="rId2142" display="https://crsreports.congress.gov/product/pdf/IF/IF12040" xr:uid="{00000000-0004-0000-0200-00005D080000}"/>
    <hyperlink ref="Y1204" r:id="rId2143" display="https://crsreports.congress.gov/product/pdf/IF/IF12040" xr:uid="{00000000-0004-0000-0200-00005E080000}"/>
    <hyperlink ref="Y1205" r:id="rId2144" display="https://crsreports.congress.gov/product/pdf/IF/IF12040" xr:uid="{00000000-0004-0000-0200-00005F080000}"/>
    <hyperlink ref="Y1206" r:id="rId2145" display="https://crsreports.congress.gov/product/pdf/IF/IF12040" xr:uid="{00000000-0004-0000-0200-000060080000}"/>
    <hyperlink ref="Y1207" r:id="rId2146" display="https://crsreports.congress.gov/product/pdf/IF/IF12040" xr:uid="{00000000-0004-0000-0200-000061080000}"/>
    <hyperlink ref="Y1208" r:id="rId2147" display="https://crsreports.congress.gov/product/pdf/IF/IF12040" xr:uid="{00000000-0004-0000-0200-000062080000}"/>
    <hyperlink ref="Y1209" r:id="rId2148" display="https://crsreports.congress.gov/product/pdf/IF/IF12040" xr:uid="{00000000-0004-0000-0200-000063080000}"/>
    <hyperlink ref="Y1210" r:id="rId2149" display="https://crsreports.congress.gov/product/pdf/IF/IF12040" xr:uid="{00000000-0004-0000-0200-000064080000}"/>
    <hyperlink ref="Y1211" r:id="rId2150" display="https://crsreports.congress.gov/product/pdf/IF/IF12040" xr:uid="{00000000-0004-0000-0200-000065080000}"/>
    <hyperlink ref="Y1212" r:id="rId2151" display="https://crsreports.congress.gov/product/pdf/IF/IF12040" xr:uid="{00000000-0004-0000-0200-000066080000}"/>
    <hyperlink ref="Y1213" r:id="rId2152" display="https://crsreports.congress.gov/product/pdf/IF/IF12040" xr:uid="{00000000-0004-0000-0200-000067080000}"/>
    <hyperlink ref="Y1214" r:id="rId2153" display="https://crsreports.congress.gov/product/pdf/IF/IF12040" xr:uid="{00000000-0004-0000-0200-000068080000}"/>
    <hyperlink ref="Y1215" r:id="rId2154" display="https://crsreports.congress.gov/product/pdf/IF/IF12040" xr:uid="{00000000-0004-0000-0200-000069080000}"/>
    <hyperlink ref="AB1072" r:id="rId2155" xr:uid="{00000000-0004-0000-0200-00006A080000}"/>
    <hyperlink ref="AB1073:AB1215" r:id="rId2156" display="https://crsreports.congress.gov/product/pdf/IF/IF12040" xr:uid="{00000000-0004-0000-0200-00006B080000}"/>
    <hyperlink ref="V1070" r:id="rId2157" xr:uid="{00000000-0004-0000-0200-00006C080000}"/>
    <hyperlink ref="X1062" r:id="rId2158" xr:uid="{00000000-0004-0000-0200-00006D080000}"/>
    <hyperlink ref="V1064" r:id="rId2159" xr:uid="{00000000-0004-0000-0200-00006E080000}"/>
    <hyperlink ref="W1064" r:id="rId2160" xr:uid="{00000000-0004-0000-0200-00006F080000}"/>
    <hyperlink ref="X1064" r:id="rId2161" xr:uid="{00000000-0004-0000-0200-000070080000}"/>
    <hyperlink ref="V1065" r:id="rId2162" xr:uid="{00000000-0004-0000-0200-000071080000}"/>
    <hyperlink ref="W1065" r:id="rId2163" xr:uid="{00000000-0004-0000-0200-000072080000}"/>
    <hyperlink ref="X1065" r:id="rId2164" xr:uid="{00000000-0004-0000-0200-000073080000}"/>
    <hyperlink ref="V1066" r:id="rId2165" xr:uid="{00000000-0004-0000-0200-000074080000}"/>
    <hyperlink ref="W1066" r:id="rId2166" xr:uid="{00000000-0004-0000-0200-000075080000}"/>
    <hyperlink ref="X1066" r:id="rId2167" xr:uid="{00000000-0004-0000-0200-000076080000}"/>
    <hyperlink ref="V1067" r:id="rId2168" xr:uid="{00000000-0004-0000-0200-000077080000}"/>
    <hyperlink ref="W1067" r:id="rId2169" xr:uid="{00000000-0004-0000-0200-000078080000}"/>
    <hyperlink ref="X1067" r:id="rId2170" xr:uid="{00000000-0004-0000-0200-000079080000}"/>
    <hyperlink ref="V1068" r:id="rId2171" xr:uid="{00000000-0004-0000-0200-00007A080000}"/>
    <hyperlink ref="W1068" r:id="rId2172" xr:uid="{00000000-0004-0000-0200-00007B080000}"/>
    <hyperlink ref="X1068" r:id="rId2173" xr:uid="{00000000-0004-0000-0200-00007C080000}"/>
    <hyperlink ref="X1283" r:id="rId2174" xr:uid="{00000000-0004-0000-0200-00007D080000}"/>
    <hyperlink ref="X1351" r:id="rId2175" xr:uid="{00000000-0004-0000-0200-00007E080000}"/>
    <hyperlink ref="V1351" r:id="rId2176" xr:uid="{00000000-0004-0000-0200-00007F080000}"/>
    <hyperlink ref="W1351" r:id="rId2177" xr:uid="{00000000-0004-0000-0200-000080080000}"/>
    <hyperlink ref="W1284" r:id="rId2178" xr:uid="{00000000-0004-0000-0200-000081080000}"/>
    <hyperlink ref="X1284" r:id="rId2179" xr:uid="{00000000-0004-0000-0200-000082080000}"/>
    <hyperlink ref="Y1284" r:id="rId2180" xr:uid="{00000000-0004-0000-0200-000083080000}"/>
    <hyperlink ref="W1285" r:id="rId2181" xr:uid="{00000000-0004-0000-0200-000084080000}"/>
    <hyperlink ref="W1286" r:id="rId2182" xr:uid="{00000000-0004-0000-0200-000085080000}"/>
    <hyperlink ref="W1287" r:id="rId2183" xr:uid="{00000000-0004-0000-0200-000086080000}"/>
    <hyperlink ref="W1288" r:id="rId2184" xr:uid="{00000000-0004-0000-0200-000087080000}"/>
    <hyperlink ref="W1289" r:id="rId2185" xr:uid="{00000000-0004-0000-0200-000088080000}"/>
    <hyperlink ref="W1290" r:id="rId2186" xr:uid="{00000000-0004-0000-0200-000089080000}"/>
    <hyperlink ref="W1291" r:id="rId2187" xr:uid="{00000000-0004-0000-0200-00008A080000}"/>
    <hyperlink ref="W1292" r:id="rId2188" xr:uid="{00000000-0004-0000-0200-00008B080000}"/>
    <hyperlink ref="W1293" r:id="rId2189" xr:uid="{00000000-0004-0000-0200-00008C080000}"/>
    <hyperlink ref="W1294" r:id="rId2190" xr:uid="{00000000-0004-0000-0200-00008D080000}"/>
    <hyperlink ref="W1295" r:id="rId2191" xr:uid="{00000000-0004-0000-0200-00008E080000}"/>
    <hyperlink ref="W1296" r:id="rId2192" xr:uid="{00000000-0004-0000-0200-00008F080000}"/>
    <hyperlink ref="W1297" r:id="rId2193" xr:uid="{00000000-0004-0000-0200-000090080000}"/>
    <hyperlink ref="W1298" r:id="rId2194" xr:uid="{00000000-0004-0000-0200-000091080000}"/>
    <hyperlink ref="W1299" r:id="rId2195" xr:uid="{00000000-0004-0000-0200-000092080000}"/>
    <hyperlink ref="W1300" r:id="rId2196" xr:uid="{00000000-0004-0000-0200-000093080000}"/>
    <hyperlink ref="W1301" r:id="rId2197" xr:uid="{00000000-0004-0000-0200-000094080000}"/>
    <hyperlink ref="W1302" r:id="rId2198" xr:uid="{00000000-0004-0000-0200-000095080000}"/>
    <hyperlink ref="W1303" r:id="rId2199" xr:uid="{00000000-0004-0000-0200-000096080000}"/>
    <hyperlink ref="W1304" r:id="rId2200" xr:uid="{00000000-0004-0000-0200-000097080000}"/>
    <hyperlink ref="W1305" r:id="rId2201" xr:uid="{00000000-0004-0000-0200-000098080000}"/>
    <hyperlink ref="W1306" r:id="rId2202" xr:uid="{00000000-0004-0000-0200-000099080000}"/>
    <hyperlink ref="W1307" r:id="rId2203" xr:uid="{00000000-0004-0000-0200-00009A080000}"/>
    <hyperlink ref="W1308" r:id="rId2204" xr:uid="{00000000-0004-0000-0200-00009B080000}"/>
    <hyperlink ref="W1309" r:id="rId2205" xr:uid="{00000000-0004-0000-0200-00009C080000}"/>
    <hyperlink ref="W1310" r:id="rId2206" xr:uid="{00000000-0004-0000-0200-00009D080000}"/>
    <hyperlink ref="W1311" r:id="rId2207" xr:uid="{00000000-0004-0000-0200-00009E080000}"/>
    <hyperlink ref="W1312" r:id="rId2208" xr:uid="{00000000-0004-0000-0200-00009F080000}"/>
    <hyperlink ref="W1313" r:id="rId2209" xr:uid="{00000000-0004-0000-0200-0000A0080000}"/>
    <hyperlink ref="W1314" r:id="rId2210" xr:uid="{00000000-0004-0000-0200-0000A1080000}"/>
    <hyperlink ref="W1315" r:id="rId2211" xr:uid="{00000000-0004-0000-0200-0000A2080000}"/>
    <hyperlink ref="W1316" r:id="rId2212" xr:uid="{00000000-0004-0000-0200-0000A3080000}"/>
    <hyperlink ref="W1317" r:id="rId2213" xr:uid="{00000000-0004-0000-0200-0000A4080000}"/>
    <hyperlink ref="W1318" r:id="rId2214" xr:uid="{00000000-0004-0000-0200-0000A5080000}"/>
    <hyperlink ref="W1319" r:id="rId2215" xr:uid="{00000000-0004-0000-0200-0000A6080000}"/>
    <hyperlink ref="W1320" r:id="rId2216" xr:uid="{00000000-0004-0000-0200-0000A7080000}"/>
    <hyperlink ref="W1321" r:id="rId2217" xr:uid="{00000000-0004-0000-0200-0000A8080000}"/>
    <hyperlink ref="W1322" r:id="rId2218" xr:uid="{00000000-0004-0000-0200-0000A9080000}"/>
    <hyperlink ref="W1323" r:id="rId2219" xr:uid="{00000000-0004-0000-0200-0000AA080000}"/>
    <hyperlink ref="W1324" r:id="rId2220" xr:uid="{00000000-0004-0000-0200-0000AB080000}"/>
    <hyperlink ref="W1325" r:id="rId2221" xr:uid="{00000000-0004-0000-0200-0000AC080000}"/>
    <hyperlink ref="W1326" r:id="rId2222" xr:uid="{00000000-0004-0000-0200-0000AD080000}"/>
    <hyperlink ref="W1327" r:id="rId2223" xr:uid="{00000000-0004-0000-0200-0000AE080000}"/>
    <hyperlink ref="W1328" r:id="rId2224" xr:uid="{00000000-0004-0000-0200-0000AF080000}"/>
    <hyperlink ref="W1329" r:id="rId2225" xr:uid="{00000000-0004-0000-0200-0000B0080000}"/>
    <hyperlink ref="W1330" r:id="rId2226" xr:uid="{00000000-0004-0000-0200-0000B1080000}"/>
    <hyperlink ref="W1331" r:id="rId2227" xr:uid="{00000000-0004-0000-0200-0000B2080000}"/>
    <hyperlink ref="W1332" r:id="rId2228" xr:uid="{00000000-0004-0000-0200-0000B3080000}"/>
    <hyperlink ref="W1333" r:id="rId2229" xr:uid="{00000000-0004-0000-0200-0000B4080000}"/>
    <hyperlink ref="W1334" r:id="rId2230" xr:uid="{00000000-0004-0000-0200-0000B5080000}"/>
    <hyperlink ref="W1335" r:id="rId2231" xr:uid="{00000000-0004-0000-0200-0000B6080000}"/>
    <hyperlink ref="W1336" r:id="rId2232" xr:uid="{00000000-0004-0000-0200-0000B7080000}"/>
    <hyperlink ref="W1337" r:id="rId2233" xr:uid="{00000000-0004-0000-0200-0000B8080000}"/>
    <hyperlink ref="W1338" r:id="rId2234" xr:uid="{00000000-0004-0000-0200-0000B9080000}"/>
    <hyperlink ref="W1339" r:id="rId2235" xr:uid="{00000000-0004-0000-0200-0000BA080000}"/>
    <hyperlink ref="W1340" r:id="rId2236" xr:uid="{00000000-0004-0000-0200-0000BB080000}"/>
    <hyperlink ref="W1341" r:id="rId2237" xr:uid="{00000000-0004-0000-0200-0000BC080000}"/>
    <hyperlink ref="W1342" r:id="rId2238" xr:uid="{00000000-0004-0000-0200-0000BD080000}"/>
    <hyperlink ref="W1343" r:id="rId2239" xr:uid="{00000000-0004-0000-0200-0000BE080000}"/>
    <hyperlink ref="W1344" r:id="rId2240" xr:uid="{00000000-0004-0000-0200-0000BF080000}"/>
    <hyperlink ref="W1345" r:id="rId2241" xr:uid="{00000000-0004-0000-0200-0000C0080000}"/>
    <hyperlink ref="W1346" r:id="rId2242" xr:uid="{00000000-0004-0000-0200-0000C1080000}"/>
    <hyperlink ref="W1347" r:id="rId2243" xr:uid="{00000000-0004-0000-0200-0000C2080000}"/>
    <hyperlink ref="W1348" r:id="rId2244" xr:uid="{00000000-0004-0000-0200-0000C3080000}"/>
    <hyperlink ref="W1349" r:id="rId2245" xr:uid="{00000000-0004-0000-0200-0000C4080000}"/>
    <hyperlink ref="W1350" r:id="rId2246" xr:uid="{00000000-0004-0000-0200-0000C5080000}"/>
    <hyperlink ref="X1285" r:id="rId2247" xr:uid="{00000000-0004-0000-0200-0000C6080000}"/>
    <hyperlink ref="X1286" r:id="rId2248" xr:uid="{00000000-0004-0000-0200-0000C7080000}"/>
    <hyperlink ref="X1287" r:id="rId2249" xr:uid="{00000000-0004-0000-0200-0000C8080000}"/>
    <hyperlink ref="X1288" r:id="rId2250" xr:uid="{00000000-0004-0000-0200-0000C9080000}"/>
    <hyperlink ref="X1289" r:id="rId2251" xr:uid="{00000000-0004-0000-0200-0000CA080000}"/>
    <hyperlink ref="X1290" r:id="rId2252" xr:uid="{00000000-0004-0000-0200-0000CB080000}"/>
    <hyperlink ref="X1291" r:id="rId2253" xr:uid="{00000000-0004-0000-0200-0000CC080000}"/>
    <hyperlink ref="X1292" r:id="rId2254" xr:uid="{00000000-0004-0000-0200-0000CD080000}"/>
    <hyperlink ref="X1293" r:id="rId2255" xr:uid="{00000000-0004-0000-0200-0000CE080000}"/>
    <hyperlink ref="X1294" r:id="rId2256" xr:uid="{00000000-0004-0000-0200-0000CF080000}"/>
    <hyperlink ref="X1295" r:id="rId2257" xr:uid="{00000000-0004-0000-0200-0000D0080000}"/>
    <hyperlink ref="X1296" r:id="rId2258" xr:uid="{00000000-0004-0000-0200-0000D1080000}"/>
    <hyperlink ref="X1297" r:id="rId2259" xr:uid="{00000000-0004-0000-0200-0000D2080000}"/>
    <hyperlink ref="X1298" r:id="rId2260" xr:uid="{00000000-0004-0000-0200-0000D3080000}"/>
    <hyperlink ref="X1299" r:id="rId2261" xr:uid="{00000000-0004-0000-0200-0000D4080000}"/>
    <hyperlink ref="X1300" r:id="rId2262" xr:uid="{00000000-0004-0000-0200-0000D5080000}"/>
    <hyperlink ref="X1301" r:id="rId2263" xr:uid="{00000000-0004-0000-0200-0000D6080000}"/>
    <hyperlink ref="X1302" r:id="rId2264" xr:uid="{00000000-0004-0000-0200-0000D7080000}"/>
    <hyperlink ref="X1303" r:id="rId2265" xr:uid="{00000000-0004-0000-0200-0000D8080000}"/>
    <hyperlink ref="X1304" r:id="rId2266" xr:uid="{00000000-0004-0000-0200-0000D9080000}"/>
    <hyperlink ref="X1305" r:id="rId2267" xr:uid="{00000000-0004-0000-0200-0000DA080000}"/>
    <hyperlink ref="X1306" r:id="rId2268" xr:uid="{00000000-0004-0000-0200-0000DB080000}"/>
    <hyperlink ref="X1307" r:id="rId2269" xr:uid="{00000000-0004-0000-0200-0000DC080000}"/>
    <hyperlink ref="X1308" r:id="rId2270" xr:uid="{00000000-0004-0000-0200-0000DD080000}"/>
    <hyperlink ref="X1309" r:id="rId2271" xr:uid="{00000000-0004-0000-0200-0000DE080000}"/>
    <hyperlink ref="X1310" r:id="rId2272" xr:uid="{00000000-0004-0000-0200-0000DF080000}"/>
    <hyperlink ref="X1311" r:id="rId2273" xr:uid="{00000000-0004-0000-0200-0000E0080000}"/>
    <hyperlink ref="X1312" r:id="rId2274" xr:uid="{00000000-0004-0000-0200-0000E1080000}"/>
    <hyperlink ref="X1313" r:id="rId2275" xr:uid="{00000000-0004-0000-0200-0000E2080000}"/>
    <hyperlink ref="X1314" r:id="rId2276" xr:uid="{00000000-0004-0000-0200-0000E3080000}"/>
    <hyperlink ref="X1315" r:id="rId2277" xr:uid="{00000000-0004-0000-0200-0000E4080000}"/>
    <hyperlink ref="X1316" r:id="rId2278" xr:uid="{00000000-0004-0000-0200-0000E5080000}"/>
    <hyperlink ref="X1317" r:id="rId2279" xr:uid="{00000000-0004-0000-0200-0000E6080000}"/>
    <hyperlink ref="X1318" r:id="rId2280" xr:uid="{00000000-0004-0000-0200-0000E7080000}"/>
    <hyperlink ref="X1319" r:id="rId2281" xr:uid="{00000000-0004-0000-0200-0000E8080000}"/>
    <hyperlink ref="X1320" r:id="rId2282" xr:uid="{00000000-0004-0000-0200-0000E9080000}"/>
    <hyperlink ref="X1321" r:id="rId2283" xr:uid="{00000000-0004-0000-0200-0000EA080000}"/>
    <hyperlink ref="X1322" r:id="rId2284" xr:uid="{00000000-0004-0000-0200-0000EB080000}"/>
    <hyperlink ref="X1323" r:id="rId2285" xr:uid="{00000000-0004-0000-0200-0000EC080000}"/>
    <hyperlink ref="X1324" r:id="rId2286" xr:uid="{00000000-0004-0000-0200-0000ED080000}"/>
    <hyperlink ref="X1325" r:id="rId2287" xr:uid="{00000000-0004-0000-0200-0000EE080000}"/>
    <hyperlink ref="X1326" r:id="rId2288" xr:uid="{00000000-0004-0000-0200-0000EF080000}"/>
    <hyperlink ref="X1327" r:id="rId2289" xr:uid="{00000000-0004-0000-0200-0000F0080000}"/>
    <hyperlink ref="X1328" r:id="rId2290" xr:uid="{00000000-0004-0000-0200-0000F1080000}"/>
    <hyperlink ref="X1329" r:id="rId2291" xr:uid="{00000000-0004-0000-0200-0000F2080000}"/>
    <hyperlink ref="X1330" r:id="rId2292" xr:uid="{00000000-0004-0000-0200-0000F3080000}"/>
    <hyperlink ref="X1331" r:id="rId2293" xr:uid="{00000000-0004-0000-0200-0000F4080000}"/>
    <hyperlink ref="X1332" r:id="rId2294" xr:uid="{00000000-0004-0000-0200-0000F5080000}"/>
    <hyperlink ref="X1333" r:id="rId2295" xr:uid="{00000000-0004-0000-0200-0000F6080000}"/>
    <hyperlink ref="X1334" r:id="rId2296" xr:uid="{00000000-0004-0000-0200-0000F7080000}"/>
    <hyperlink ref="X1335" r:id="rId2297" xr:uid="{00000000-0004-0000-0200-0000F8080000}"/>
    <hyperlink ref="X1336" r:id="rId2298" xr:uid="{00000000-0004-0000-0200-0000F9080000}"/>
    <hyperlink ref="X1337" r:id="rId2299" xr:uid="{00000000-0004-0000-0200-0000FA080000}"/>
    <hyperlink ref="X1338" r:id="rId2300" xr:uid="{00000000-0004-0000-0200-0000FB080000}"/>
    <hyperlink ref="X1339" r:id="rId2301" xr:uid="{00000000-0004-0000-0200-0000FC080000}"/>
    <hyperlink ref="X1340" r:id="rId2302" xr:uid="{00000000-0004-0000-0200-0000FD080000}"/>
    <hyperlink ref="X1341" r:id="rId2303" xr:uid="{00000000-0004-0000-0200-0000FE080000}"/>
    <hyperlink ref="X1342" r:id="rId2304" xr:uid="{00000000-0004-0000-0200-0000FF080000}"/>
    <hyperlink ref="X1343" r:id="rId2305" xr:uid="{00000000-0004-0000-0200-000000090000}"/>
    <hyperlink ref="X1344" r:id="rId2306" xr:uid="{00000000-0004-0000-0200-000001090000}"/>
    <hyperlink ref="X1345" r:id="rId2307" xr:uid="{00000000-0004-0000-0200-000002090000}"/>
    <hyperlink ref="X1346" r:id="rId2308" xr:uid="{00000000-0004-0000-0200-000003090000}"/>
    <hyperlink ref="X1347" r:id="rId2309" xr:uid="{00000000-0004-0000-0200-000004090000}"/>
    <hyperlink ref="X1348" r:id="rId2310" xr:uid="{00000000-0004-0000-0200-000005090000}"/>
    <hyperlink ref="X1349" r:id="rId2311" xr:uid="{00000000-0004-0000-0200-000006090000}"/>
    <hyperlink ref="X1350" r:id="rId2312" xr:uid="{00000000-0004-0000-0200-000007090000}"/>
    <hyperlink ref="Y1285" r:id="rId2313" display="https://crsreports.congress.gov/product/pdf/IF/IF12040" xr:uid="{00000000-0004-0000-0200-000008090000}"/>
    <hyperlink ref="Y1286" r:id="rId2314" display="https://crsreports.congress.gov/product/pdf/IF/IF12040" xr:uid="{00000000-0004-0000-0200-000009090000}"/>
    <hyperlink ref="Y1287" r:id="rId2315" display="https://crsreports.congress.gov/product/pdf/IF/IF12040" xr:uid="{00000000-0004-0000-0200-00000A090000}"/>
    <hyperlink ref="Y1288" r:id="rId2316" display="https://crsreports.congress.gov/product/pdf/IF/IF12040" xr:uid="{00000000-0004-0000-0200-00000B090000}"/>
    <hyperlink ref="Y1289" r:id="rId2317" display="https://crsreports.congress.gov/product/pdf/IF/IF12040" xr:uid="{00000000-0004-0000-0200-00000C090000}"/>
    <hyperlink ref="Y1290" r:id="rId2318" display="https://crsreports.congress.gov/product/pdf/IF/IF12040" xr:uid="{00000000-0004-0000-0200-00000D090000}"/>
    <hyperlink ref="Y1291" r:id="rId2319" display="https://crsreports.congress.gov/product/pdf/IF/IF12040" xr:uid="{00000000-0004-0000-0200-00000E090000}"/>
    <hyperlink ref="Y1292" r:id="rId2320" display="https://crsreports.congress.gov/product/pdf/IF/IF12040" xr:uid="{00000000-0004-0000-0200-00000F090000}"/>
    <hyperlink ref="Y1293" r:id="rId2321" display="https://crsreports.congress.gov/product/pdf/IF/IF12040" xr:uid="{00000000-0004-0000-0200-000010090000}"/>
    <hyperlink ref="Y1294" r:id="rId2322" display="https://crsreports.congress.gov/product/pdf/IF/IF12040" xr:uid="{00000000-0004-0000-0200-000011090000}"/>
    <hyperlink ref="Y1295" r:id="rId2323" display="https://crsreports.congress.gov/product/pdf/IF/IF12040" xr:uid="{00000000-0004-0000-0200-000012090000}"/>
    <hyperlink ref="Y1296" r:id="rId2324" display="https://crsreports.congress.gov/product/pdf/IF/IF12040" xr:uid="{00000000-0004-0000-0200-000013090000}"/>
    <hyperlink ref="Y1297" r:id="rId2325" display="https://crsreports.congress.gov/product/pdf/IF/IF12040" xr:uid="{00000000-0004-0000-0200-000014090000}"/>
    <hyperlink ref="Y1298" r:id="rId2326" display="https://crsreports.congress.gov/product/pdf/IF/IF12040" xr:uid="{00000000-0004-0000-0200-000015090000}"/>
    <hyperlink ref="Y1299" r:id="rId2327" display="https://crsreports.congress.gov/product/pdf/IF/IF12040" xr:uid="{00000000-0004-0000-0200-000016090000}"/>
    <hyperlink ref="Y1300" r:id="rId2328" display="https://crsreports.congress.gov/product/pdf/IF/IF12040" xr:uid="{00000000-0004-0000-0200-000017090000}"/>
    <hyperlink ref="Y1301" r:id="rId2329" display="https://crsreports.congress.gov/product/pdf/IF/IF12040" xr:uid="{00000000-0004-0000-0200-000018090000}"/>
    <hyperlink ref="Y1302" r:id="rId2330" display="https://crsreports.congress.gov/product/pdf/IF/IF12040" xr:uid="{00000000-0004-0000-0200-000019090000}"/>
    <hyperlink ref="Y1303" r:id="rId2331" display="https://crsreports.congress.gov/product/pdf/IF/IF12040" xr:uid="{00000000-0004-0000-0200-00001A090000}"/>
    <hyperlink ref="Y1304" r:id="rId2332" display="https://crsreports.congress.gov/product/pdf/IF/IF12040" xr:uid="{00000000-0004-0000-0200-00001B090000}"/>
    <hyperlink ref="Y1305" r:id="rId2333" display="https://crsreports.congress.gov/product/pdf/IF/IF12040" xr:uid="{00000000-0004-0000-0200-00001C090000}"/>
    <hyperlink ref="Y1306" r:id="rId2334" display="https://crsreports.congress.gov/product/pdf/IF/IF12040" xr:uid="{00000000-0004-0000-0200-00001D090000}"/>
    <hyperlink ref="Y1307" r:id="rId2335" display="https://crsreports.congress.gov/product/pdf/IF/IF12040" xr:uid="{00000000-0004-0000-0200-00001E090000}"/>
    <hyperlink ref="Y1308" r:id="rId2336" display="https://crsreports.congress.gov/product/pdf/IF/IF12040" xr:uid="{00000000-0004-0000-0200-00001F090000}"/>
    <hyperlink ref="Y1309" r:id="rId2337" display="https://crsreports.congress.gov/product/pdf/IF/IF12040" xr:uid="{00000000-0004-0000-0200-000020090000}"/>
    <hyperlink ref="Y1310" r:id="rId2338" display="https://crsreports.congress.gov/product/pdf/IF/IF12040" xr:uid="{00000000-0004-0000-0200-000021090000}"/>
    <hyperlink ref="Y1311" r:id="rId2339" display="https://crsreports.congress.gov/product/pdf/IF/IF12040" xr:uid="{00000000-0004-0000-0200-000022090000}"/>
    <hyperlink ref="Y1312" r:id="rId2340" display="https://crsreports.congress.gov/product/pdf/IF/IF12040" xr:uid="{00000000-0004-0000-0200-000023090000}"/>
    <hyperlink ref="Y1313" r:id="rId2341" display="https://crsreports.congress.gov/product/pdf/IF/IF12040" xr:uid="{00000000-0004-0000-0200-000024090000}"/>
    <hyperlink ref="Y1314" r:id="rId2342" display="https://crsreports.congress.gov/product/pdf/IF/IF12040" xr:uid="{00000000-0004-0000-0200-000025090000}"/>
    <hyperlink ref="Y1315" r:id="rId2343" display="https://crsreports.congress.gov/product/pdf/IF/IF12040" xr:uid="{00000000-0004-0000-0200-000026090000}"/>
    <hyperlink ref="Y1316" r:id="rId2344" display="https://crsreports.congress.gov/product/pdf/IF/IF12040" xr:uid="{00000000-0004-0000-0200-000027090000}"/>
    <hyperlink ref="Y1317" r:id="rId2345" display="https://crsreports.congress.gov/product/pdf/IF/IF12040" xr:uid="{00000000-0004-0000-0200-000028090000}"/>
    <hyperlink ref="Y1318" r:id="rId2346" display="https://crsreports.congress.gov/product/pdf/IF/IF12040" xr:uid="{00000000-0004-0000-0200-000029090000}"/>
    <hyperlink ref="Y1319" r:id="rId2347" display="https://crsreports.congress.gov/product/pdf/IF/IF12040" xr:uid="{00000000-0004-0000-0200-00002A090000}"/>
    <hyperlink ref="Y1320" r:id="rId2348" display="https://crsreports.congress.gov/product/pdf/IF/IF12040" xr:uid="{00000000-0004-0000-0200-00002B090000}"/>
    <hyperlink ref="Y1321" r:id="rId2349" display="https://crsreports.congress.gov/product/pdf/IF/IF12040" xr:uid="{00000000-0004-0000-0200-00002C090000}"/>
    <hyperlink ref="Y1322" r:id="rId2350" display="https://crsreports.congress.gov/product/pdf/IF/IF12040" xr:uid="{00000000-0004-0000-0200-00002D090000}"/>
    <hyperlink ref="Y1323" r:id="rId2351" display="https://crsreports.congress.gov/product/pdf/IF/IF12040" xr:uid="{00000000-0004-0000-0200-00002E090000}"/>
    <hyperlink ref="Y1324" r:id="rId2352" display="https://crsreports.congress.gov/product/pdf/IF/IF12040" xr:uid="{00000000-0004-0000-0200-00002F090000}"/>
    <hyperlink ref="Y1325" r:id="rId2353" display="https://crsreports.congress.gov/product/pdf/IF/IF12040" xr:uid="{00000000-0004-0000-0200-000030090000}"/>
    <hyperlink ref="Y1326" r:id="rId2354" display="https://crsreports.congress.gov/product/pdf/IF/IF12040" xr:uid="{00000000-0004-0000-0200-000031090000}"/>
    <hyperlink ref="Y1327" r:id="rId2355" display="https://crsreports.congress.gov/product/pdf/IF/IF12040" xr:uid="{00000000-0004-0000-0200-000032090000}"/>
    <hyperlink ref="Y1328" r:id="rId2356" display="https://crsreports.congress.gov/product/pdf/IF/IF12040" xr:uid="{00000000-0004-0000-0200-000033090000}"/>
    <hyperlink ref="Y1329" r:id="rId2357" display="https://crsreports.congress.gov/product/pdf/IF/IF12040" xr:uid="{00000000-0004-0000-0200-000034090000}"/>
    <hyperlink ref="Y1330" r:id="rId2358" display="https://crsreports.congress.gov/product/pdf/IF/IF12040" xr:uid="{00000000-0004-0000-0200-000035090000}"/>
    <hyperlink ref="Y1331" r:id="rId2359" display="https://crsreports.congress.gov/product/pdf/IF/IF12040" xr:uid="{00000000-0004-0000-0200-000036090000}"/>
    <hyperlink ref="Y1332" r:id="rId2360" display="https://crsreports.congress.gov/product/pdf/IF/IF12040" xr:uid="{00000000-0004-0000-0200-000037090000}"/>
    <hyperlink ref="Y1333" r:id="rId2361" display="https://crsreports.congress.gov/product/pdf/IF/IF12040" xr:uid="{00000000-0004-0000-0200-000038090000}"/>
    <hyperlink ref="Y1334" r:id="rId2362" display="https://crsreports.congress.gov/product/pdf/IF/IF12040" xr:uid="{00000000-0004-0000-0200-000039090000}"/>
    <hyperlink ref="Y1335" r:id="rId2363" display="https://crsreports.congress.gov/product/pdf/IF/IF12040" xr:uid="{00000000-0004-0000-0200-00003A090000}"/>
    <hyperlink ref="Y1336" r:id="rId2364" display="https://crsreports.congress.gov/product/pdf/IF/IF12040" xr:uid="{00000000-0004-0000-0200-00003B090000}"/>
    <hyperlink ref="Y1337" r:id="rId2365" display="https://crsreports.congress.gov/product/pdf/IF/IF12040" xr:uid="{00000000-0004-0000-0200-00003C090000}"/>
    <hyperlink ref="Y1338" r:id="rId2366" display="https://crsreports.congress.gov/product/pdf/IF/IF12040" xr:uid="{00000000-0004-0000-0200-00003D090000}"/>
    <hyperlink ref="Y1339" r:id="rId2367" display="https://crsreports.congress.gov/product/pdf/IF/IF12040" xr:uid="{00000000-0004-0000-0200-00003E090000}"/>
    <hyperlink ref="Y1340" r:id="rId2368" display="https://crsreports.congress.gov/product/pdf/IF/IF12040" xr:uid="{00000000-0004-0000-0200-00003F090000}"/>
    <hyperlink ref="Y1341" r:id="rId2369" display="https://crsreports.congress.gov/product/pdf/IF/IF12040" xr:uid="{00000000-0004-0000-0200-000040090000}"/>
    <hyperlink ref="Y1342" r:id="rId2370" display="https://crsreports.congress.gov/product/pdf/IF/IF12040" xr:uid="{00000000-0004-0000-0200-000041090000}"/>
    <hyperlink ref="Y1343" r:id="rId2371" display="https://crsreports.congress.gov/product/pdf/IF/IF12040" xr:uid="{00000000-0004-0000-0200-000042090000}"/>
    <hyperlink ref="Y1344" r:id="rId2372" display="https://crsreports.congress.gov/product/pdf/IF/IF12040" xr:uid="{00000000-0004-0000-0200-000043090000}"/>
    <hyperlink ref="Y1345" r:id="rId2373" display="https://crsreports.congress.gov/product/pdf/IF/IF12040" xr:uid="{00000000-0004-0000-0200-000044090000}"/>
    <hyperlink ref="Y1346" r:id="rId2374" display="https://crsreports.congress.gov/product/pdf/IF/IF12040" xr:uid="{00000000-0004-0000-0200-000045090000}"/>
    <hyperlink ref="Y1347" r:id="rId2375" display="https://crsreports.congress.gov/product/pdf/IF/IF12040" xr:uid="{00000000-0004-0000-0200-000046090000}"/>
    <hyperlink ref="Y1348" r:id="rId2376" display="https://crsreports.congress.gov/product/pdf/IF/IF12040" xr:uid="{00000000-0004-0000-0200-000047090000}"/>
    <hyperlink ref="Y1349" r:id="rId2377" display="https://crsreports.congress.gov/product/pdf/IF/IF12040" xr:uid="{00000000-0004-0000-0200-000048090000}"/>
    <hyperlink ref="Y1350" r:id="rId2378" display="https://crsreports.congress.gov/product/pdf/IF/IF12040" xr:uid="{00000000-0004-0000-0200-000049090000}"/>
    <hyperlink ref="Y1352" r:id="rId2379" xr:uid="{00000000-0004-0000-0200-00004A090000}"/>
    <hyperlink ref="W1352" r:id="rId2380" xr:uid="{00000000-0004-0000-0200-00004B090000}"/>
    <hyperlink ref="X1352" r:id="rId2381" xr:uid="{00000000-0004-0000-0200-00004C090000}"/>
    <hyperlink ref="Y1353" r:id="rId2382" display="https://crsreports.congress.gov/product/pdf/IF/IF12040" xr:uid="{00000000-0004-0000-0200-00004D090000}"/>
    <hyperlink ref="Y1354" r:id="rId2383" display="https://crsreports.congress.gov/product/pdf/IF/IF12040" xr:uid="{00000000-0004-0000-0200-00004E090000}"/>
    <hyperlink ref="Y1355" r:id="rId2384" display="https://crsreports.congress.gov/product/pdf/IF/IF12040" xr:uid="{00000000-0004-0000-0200-00004F090000}"/>
    <hyperlink ref="Y1356" r:id="rId2385" display="https://crsreports.congress.gov/product/pdf/IF/IF12040" xr:uid="{00000000-0004-0000-0200-000050090000}"/>
    <hyperlink ref="Y1357" r:id="rId2386" display="https://crsreports.congress.gov/product/pdf/IF/IF12040" xr:uid="{00000000-0004-0000-0200-000051090000}"/>
    <hyperlink ref="Y1358" r:id="rId2387" display="https://crsreports.congress.gov/product/pdf/IF/IF12040" xr:uid="{00000000-0004-0000-0200-000052090000}"/>
    <hyperlink ref="Y1359" r:id="rId2388" display="https://crsreports.congress.gov/product/pdf/IF/IF12040" xr:uid="{00000000-0004-0000-0200-000053090000}"/>
    <hyperlink ref="Y1360" r:id="rId2389" display="https://crsreports.congress.gov/product/pdf/IF/IF12040" xr:uid="{00000000-0004-0000-0200-000054090000}"/>
    <hyperlink ref="Y1361" r:id="rId2390" display="https://crsreports.congress.gov/product/pdf/IF/IF12040" xr:uid="{00000000-0004-0000-0200-000055090000}"/>
    <hyperlink ref="Y1362" r:id="rId2391" display="https://crsreports.congress.gov/product/pdf/IF/IF12040" xr:uid="{00000000-0004-0000-0200-000056090000}"/>
    <hyperlink ref="Y1363" r:id="rId2392" display="https://crsreports.congress.gov/product/pdf/IF/IF12040" xr:uid="{00000000-0004-0000-0200-000057090000}"/>
    <hyperlink ref="Y1364" r:id="rId2393" display="https://crsreports.congress.gov/product/pdf/IF/IF12040" xr:uid="{00000000-0004-0000-0200-000058090000}"/>
    <hyperlink ref="Y1365" r:id="rId2394" display="https://crsreports.congress.gov/product/pdf/IF/IF12040" xr:uid="{00000000-0004-0000-0200-000059090000}"/>
    <hyperlink ref="Y1366" r:id="rId2395" display="https://crsreports.congress.gov/product/pdf/IF/IF12040" xr:uid="{00000000-0004-0000-0200-00005A090000}"/>
    <hyperlink ref="Y1367" r:id="rId2396" display="https://crsreports.congress.gov/product/pdf/IF/IF12040" xr:uid="{00000000-0004-0000-0200-00005B090000}"/>
    <hyperlink ref="Y1368" r:id="rId2397" display="https://crsreports.congress.gov/product/pdf/IF/IF12040" xr:uid="{00000000-0004-0000-0200-00005C090000}"/>
    <hyperlink ref="Y1369" r:id="rId2398" display="https://crsreports.congress.gov/product/pdf/IF/IF12040" xr:uid="{00000000-0004-0000-0200-00005D090000}"/>
    <hyperlink ref="Y1370" r:id="rId2399" display="https://crsreports.congress.gov/product/pdf/IF/IF12040" xr:uid="{00000000-0004-0000-0200-00005E090000}"/>
    <hyperlink ref="Y1371" r:id="rId2400" display="https://crsreports.congress.gov/product/pdf/IF/IF12040" xr:uid="{00000000-0004-0000-0200-00005F090000}"/>
    <hyperlink ref="Y1372" r:id="rId2401" display="https://crsreports.congress.gov/product/pdf/IF/IF12040" xr:uid="{00000000-0004-0000-0200-000060090000}"/>
    <hyperlink ref="Y1373" r:id="rId2402" display="https://crsreports.congress.gov/product/pdf/IF/IF12040" xr:uid="{00000000-0004-0000-0200-000061090000}"/>
    <hyperlink ref="Y1374" r:id="rId2403" display="https://crsreports.congress.gov/product/pdf/IF/IF12040" xr:uid="{00000000-0004-0000-0200-000062090000}"/>
    <hyperlink ref="W1353" r:id="rId2404" xr:uid="{00000000-0004-0000-0200-000063090000}"/>
    <hyperlink ref="W1354" r:id="rId2405" xr:uid="{00000000-0004-0000-0200-000064090000}"/>
    <hyperlink ref="W1355" r:id="rId2406" xr:uid="{00000000-0004-0000-0200-000065090000}"/>
    <hyperlink ref="W1356" r:id="rId2407" xr:uid="{00000000-0004-0000-0200-000066090000}"/>
    <hyperlink ref="W1357" r:id="rId2408" xr:uid="{00000000-0004-0000-0200-000067090000}"/>
    <hyperlink ref="W1358" r:id="rId2409" xr:uid="{00000000-0004-0000-0200-000068090000}"/>
    <hyperlink ref="W1359" r:id="rId2410" xr:uid="{00000000-0004-0000-0200-000069090000}"/>
    <hyperlink ref="W1360" r:id="rId2411" xr:uid="{00000000-0004-0000-0200-00006A090000}"/>
    <hyperlink ref="W1361" r:id="rId2412" xr:uid="{00000000-0004-0000-0200-00006B090000}"/>
    <hyperlink ref="W1362" r:id="rId2413" xr:uid="{00000000-0004-0000-0200-00006C090000}"/>
    <hyperlink ref="W1363" r:id="rId2414" xr:uid="{00000000-0004-0000-0200-00006D090000}"/>
    <hyperlink ref="W1364" r:id="rId2415" xr:uid="{00000000-0004-0000-0200-00006E090000}"/>
    <hyperlink ref="W1365" r:id="rId2416" xr:uid="{00000000-0004-0000-0200-00006F090000}"/>
    <hyperlink ref="W1366" r:id="rId2417" xr:uid="{00000000-0004-0000-0200-000070090000}"/>
    <hyperlink ref="W1367" r:id="rId2418" xr:uid="{00000000-0004-0000-0200-000071090000}"/>
    <hyperlink ref="W1368" r:id="rId2419" xr:uid="{00000000-0004-0000-0200-000072090000}"/>
    <hyperlink ref="W1369" r:id="rId2420" xr:uid="{00000000-0004-0000-0200-000073090000}"/>
    <hyperlink ref="W1370" r:id="rId2421" xr:uid="{00000000-0004-0000-0200-000074090000}"/>
    <hyperlink ref="W1371" r:id="rId2422" xr:uid="{00000000-0004-0000-0200-000075090000}"/>
    <hyperlink ref="W1372" r:id="rId2423" xr:uid="{00000000-0004-0000-0200-000076090000}"/>
    <hyperlink ref="W1373" r:id="rId2424" xr:uid="{00000000-0004-0000-0200-000077090000}"/>
    <hyperlink ref="W1374" r:id="rId2425" xr:uid="{00000000-0004-0000-0200-000078090000}"/>
    <hyperlink ref="X1353" r:id="rId2426" xr:uid="{00000000-0004-0000-0200-000079090000}"/>
    <hyperlink ref="X1354" r:id="rId2427" xr:uid="{00000000-0004-0000-0200-00007A090000}"/>
    <hyperlink ref="X1355" r:id="rId2428" xr:uid="{00000000-0004-0000-0200-00007B090000}"/>
    <hyperlink ref="X1356" r:id="rId2429" xr:uid="{00000000-0004-0000-0200-00007C090000}"/>
    <hyperlink ref="X1357" r:id="rId2430" xr:uid="{00000000-0004-0000-0200-00007D090000}"/>
    <hyperlink ref="X1358" r:id="rId2431" xr:uid="{00000000-0004-0000-0200-00007E090000}"/>
    <hyperlink ref="X1359" r:id="rId2432" xr:uid="{00000000-0004-0000-0200-00007F090000}"/>
    <hyperlink ref="X1360" r:id="rId2433" xr:uid="{00000000-0004-0000-0200-000080090000}"/>
    <hyperlink ref="X1361" r:id="rId2434" xr:uid="{00000000-0004-0000-0200-000081090000}"/>
    <hyperlink ref="X1362" r:id="rId2435" xr:uid="{00000000-0004-0000-0200-000082090000}"/>
    <hyperlink ref="X1363" r:id="rId2436" xr:uid="{00000000-0004-0000-0200-000083090000}"/>
    <hyperlink ref="X1364" r:id="rId2437" xr:uid="{00000000-0004-0000-0200-000084090000}"/>
    <hyperlink ref="X1365" r:id="rId2438" xr:uid="{00000000-0004-0000-0200-000085090000}"/>
    <hyperlink ref="X1366" r:id="rId2439" xr:uid="{00000000-0004-0000-0200-000086090000}"/>
    <hyperlink ref="X1367" r:id="rId2440" xr:uid="{00000000-0004-0000-0200-000087090000}"/>
    <hyperlink ref="X1368" r:id="rId2441" xr:uid="{00000000-0004-0000-0200-000088090000}"/>
    <hyperlink ref="X1369" r:id="rId2442" xr:uid="{00000000-0004-0000-0200-000089090000}"/>
    <hyperlink ref="X1370" r:id="rId2443" xr:uid="{00000000-0004-0000-0200-00008A090000}"/>
    <hyperlink ref="X1371" r:id="rId2444" xr:uid="{00000000-0004-0000-0200-00008B090000}"/>
    <hyperlink ref="X1372" r:id="rId2445" xr:uid="{00000000-0004-0000-0200-00008C090000}"/>
    <hyperlink ref="X1373" r:id="rId2446" xr:uid="{00000000-0004-0000-0200-00008D090000}"/>
    <hyperlink ref="X1374" r:id="rId2447" xr:uid="{00000000-0004-0000-0200-00008E090000}"/>
    <hyperlink ref="V1385" r:id="rId2448" xr:uid="{00000000-0004-0000-0200-00008F090000}"/>
    <hyperlink ref="V1228" r:id="rId2449" xr:uid="{00000000-0004-0000-0200-000090090000}"/>
    <hyperlink ref="W1385" r:id="rId2450" xr:uid="{00000000-0004-0000-0200-000091090000}"/>
    <hyperlink ref="W1386" r:id="rId2451" xr:uid="{00000000-0004-0000-0200-000092090000}"/>
    <hyperlink ref="V1216" r:id="rId2452" xr:uid="{00000000-0004-0000-0200-000093090000}"/>
    <hyperlink ref="W1216" r:id="rId2453" xr:uid="{00000000-0004-0000-0200-000094090000}"/>
    <hyperlink ref="X1216" r:id="rId2454" display="https://crsreports.congress.gov/product/pdf/IF/IF12040" xr:uid="{00000000-0004-0000-0200-000095090000}"/>
    <hyperlink ref="W1217" r:id="rId2455" xr:uid="{00000000-0004-0000-0200-000096090000}"/>
    <hyperlink ref="X1217" r:id="rId2456" xr:uid="{00000000-0004-0000-0200-000097090000}"/>
    <hyperlink ref="Y1217" r:id="rId2457" display="https://crsreports.congress.gov/product/pdf/IF/IF12040" xr:uid="{00000000-0004-0000-0200-000098090000}"/>
    <hyperlink ref="W1218" r:id="rId2458" xr:uid="{00000000-0004-0000-0200-000099090000}"/>
    <hyperlink ref="W1219" r:id="rId2459" xr:uid="{00000000-0004-0000-0200-00009A090000}"/>
    <hyperlink ref="W1220" r:id="rId2460" xr:uid="{00000000-0004-0000-0200-00009B090000}"/>
    <hyperlink ref="W1221" r:id="rId2461" xr:uid="{00000000-0004-0000-0200-00009C090000}"/>
    <hyperlink ref="W1222" r:id="rId2462" xr:uid="{00000000-0004-0000-0200-00009D090000}"/>
    <hyperlink ref="W1223" r:id="rId2463" xr:uid="{00000000-0004-0000-0200-00009E090000}"/>
    <hyperlink ref="W1224" r:id="rId2464" xr:uid="{00000000-0004-0000-0200-00009F090000}"/>
    <hyperlink ref="W1225" r:id="rId2465" xr:uid="{00000000-0004-0000-0200-0000A0090000}"/>
    <hyperlink ref="W1226" r:id="rId2466" xr:uid="{00000000-0004-0000-0200-0000A1090000}"/>
    <hyperlink ref="W1227" r:id="rId2467" xr:uid="{00000000-0004-0000-0200-0000A2090000}"/>
    <hyperlink ref="W1228" r:id="rId2468" xr:uid="{00000000-0004-0000-0200-0000A3090000}"/>
    <hyperlink ref="W1229" r:id="rId2469" xr:uid="{00000000-0004-0000-0200-0000A4090000}"/>
    <hyperlink ref="W1230" r:id="rId2470" xr:uid="{00000000-0004-0000-0200-0000A5090000}"/>
    <hyperlink ref="W1231" r:id="rId2471" xr:uid="{00000000-0004-0000-0200-0000A6090000}"/>
    <hyperlink ref="W1232" r:id="rId2472" xr:uid="{00000000-0004-0000-0200-0000A7090000}"/>
    <hyperlink ref="W1233" r:id="rId2473" xr:uid="{00000000-0004-0000-0200-0000A8090000}"/>
    <hyperlink ref="X1218" r:id="rId2474" xr:uid="{00000000-0004-0000-0200-0000A9090000}"/>
    <hyperlink ref="X1219" r:id="rId2475" xr:uid="{00000000-0004-0000-0200-0000AA090000}"/>
    <hyperlink ref="X1220" r:id="rId2476" xr:uid="{00000000-0004-0000-0200-0000AB090000}"/>
    <hyperlink ref="X1221" r:id="rId2477" xr:uid="{00000000-0004-0000-0200-0000AC090000}"/>
    <hyperlink ref="X1222" r:id="rId2478" xr:uid="{00000000-0004-0000-0200-0000AD090000}"/>
    <hyperlink ref="X1223" r:id="rId2479" xr:uid="{00000000-0004-0000-0200-0000AE090000}"/>
    <hyperlink ref="X1224" r:id="rId2480" xr:uid="{00000000-0004-0000-0200-0000AF090000}"/>
    <hyperlink ref="X1225" r:id="rId2481" xr:uid="{00000000-0004-0000-0200-0000B0090000}"/>
    <hyperlink ref="X1226" r:id="rId2482" xr:uid="{00000000-0004-0000-0200-0000B1090000}"/>
    <hyperlink ref="X1227" r:id="rId2483" xr:uid="{00000000-0004-0000-0200-0000B2090000}"/>
    <hyperlink ref="X1228" r:id="rId2484" xr:uid="{00000000-0004-0000-0200-0000B3090000}"/>
    <hyperlink ref="X1229" r:id="rId2485" xr:uid="{00000000-0004-0000-0200-0000B4090000}"/>
    <hyperlink ref="X1230" r:id="rId2486" xr:uid="{00000000-0004-0000-0200-0000B5090000}"/>
    <hyperlink ref="X1231" r:id="rId2487" xr:uid="{00000000-0004-0000-0200-0000B6090000}"/>
    <hyperlink ref="X1232" r:id="rId2488" xr:uid="{00000000-0004-0000-0200-0000B7090000}"/>
    <hyperlink ref="X1233" r:id="rId2489" xr:uid="{00000000-0004-0000-0200-0000B8090000}"/>
    <hyperlink ref="Y1218" r:id="rId2490" display="https://crsreports.congress.gov/product/pdf/IF/IF12040" xr:uid="{00000000-0004-0000-0200-0000B9090000}"/>
    <hyperlink ref="Y1219" r:id="rId2491" display="https://crsreports.congress.gov/product/pdf/IF/IF12040" xr:uid="{00000000-0004-0000-0200-0000BA090000}"/>
    <hyperlink ref="Y1220" r:id="rId2492" display="https://crsreports.congress.gov/product/pdf/IF/IF12040" xr:uid="{00000000-0004-0000-0200-0000BB090000}"/>
    <hyperlink ref="Y1221" r:id="rId2493" display="https://crsreports.congress.gov/product/pdf/IF/IF12040" xr:uid="{00000000-0004-0000-0200-0000BC090000}"/>
    <hyperlink ref="Y1222" r:id="rId2494" display="https://crsreports.congress.gov/product/pdf/IF/IF12040" xr:uid="{00000000-0004-0000-0200-0000BD090000}"/>
    <hyperlink ref="Y1223" r:id="rId2495" display="https://crsreports.congress.gov/product/pdf/IF/IF12040" xr:uid="{00000000-0004-0000-0200-0000BE090000}"/>
    <hyperlink ref="Y1224" r:id="rId2496" display="https://crsreports.congress.gov/product/pdf/IF/IF12040" xr:uid="{00000000-0004-0000-0200-0000BF090000}"/>
    <hyperlink ref="Y1225" r:id="rId2497" display="https://crsreports.congress.gov/product/pdf/IF/IF12040" xr:uid="{00000000-0004-0000-0200-0000C0090000}"/>
    <hyperlink ref="Y1226" r:id="rId2498" display="https://crsreports.congress.gov/product/pdf/IF/IF12040" xr:uid="{00000000-0004-0000-0200-0000C1090000}"/>
    <hyperlink ref="Y1227" r:id="rId2499" display="https://crsreports.congress.gov/product/pdf/IF/IF12040" xr:uid="{00000000-0004-0000-0200-0000C2090000}"/>
    <hyperlink ref="Y1228" r:id="rId2500" display="https://crsreports.congress.gov/product/pdf/IF/IF12040" xr:uid="{00000000-0004-0000-0200-0000C3090000}"/>
    <hyperlink ref="Y1229" r:id="rId2501" display="https://crsreports.congress.gov/product/pdf/IF/IF12040" xr:uid="{00000000-0004-0000-0200-0000C4090000}"/>
    <hyperlink ref="Y1230" r:id="rId2502" display="https://crsreports.congress.gov/product/pdf/IF/IF12040" xr:uid="{00000000-0004-0000-0200-0000C5090000}"/>
    <hyperlink ref="Y1231" r:id="rId2503" display="https://crsreports.congress.gov/product/pdf/IF/IF12040" xr:uid="{00000000-0004-0000-0200-0000C6090000}"/>
    <hyperlink ref="Y1232" r:id="rId2504" display="https://crsreports.congress.gov/product/pdf/IF/IF12040" xr:uid="{00000000-0004-0000-0200-0000C7090000}"/>
    <hyperlink ref="Y1233" r:id="rId2505" display="https://crsreports.congress.gov/product/pdf/IF/IF12040" xr:uid="{00000000-0004-0000-0200-0000C8090000}"/>
    <hyperlink ref="X1234" r:id="rId2506" xr:uid="{00000000-0004-0000-0200-0000C9090000}"/>
    <hyperlink ref="V1234" r:id="rId2507" location=":~:text=Through%20USAI%2C%20DoD%20will%20provide,repel%20Russia's%20war%20of%20choice" xr:uid="{00000000-0004-0000-0200-0000CA090000}"/>
    <hyperlink ref="W1234" r:id="rId2508" xr:uid="{00000000-0004-0000-0200-0000CB090000}"/>
    <hyperlink ref="X1234" r:id="rId2509" xr:uid="{00000000-0004-0000-0200-0000CC090000}"/>
    <hyperlink ref="V1234" r:id="rId2510" xr:uid="{00000000-0004-0000-0200-0000CD090000}"/>
    <hyperlink ref="W1234" r:id="rId2511" xr:uid="{00000000-0004-0000-0200-0000CE090000}"/>
    <hyperlink ref="V578" r:id="rId2512" xr:uid="{00000000-0004-0000-0200-0000CF090000}"/>
    <hyperlink ref="W578" r:id="rId2513" xr:uid="{00000000-0004-0000-0200-0000D0090000}"/>
    <hyperlink ref="X578" r:id="rId2514" xr:uid="{00000000-0004-0000-0200-0000D1090000}"/>
    <hyperlink ref="V1280:V1282" r:id="rId2515" display="https://www.defense.gov/News/Releases/Release/Article/3210297/400-million-in-additional-security-assistance-for-ukraine/" xr:uid="{00000000-0004-0000-0200-0000D2090000}"/>
    <hyperlink ref="V1233" r:id="rId2516" xr:uid="{00000000-0004-0000-0200-0000D3090000}"/>
    <hyperlink ref="Y1235" r:id="rId2517" xr:uid="{00000000-0004-0000-0200-0000D4090000}"/>
    <hyperlink ref="W1235" r:id="rId2518" location=":~:text=Through%20USAI%2C%20DoD%20will%20provide,repel%20Russia's%20war%20of%20choice" xr:uid="{00000000-0004-0000-0200-0000D5090000}"/>
    <hyperlink ref="X1235" r:id="rId2519" xr:uid="{00000000-0004-0000-0200-0000D6090000}"/>
    <hyperlink ref="Y1235" r:id="rId2520" xr:uid="{00000000-0004-0000-0200-0000D7090000}"/>
    <hyperlink ref="W1235" r:id="rId2521" xr:uid="{00000000-0004-0000-0200-0000D8090000}"/>
    <hyperlink ref="X1235" r:id="rId2522" xr:uid="{00000000-0004-0000-0200-0000D9090000}"/>
    <hyperlink ref="X1236" r:id="rId2523" display="https://www.19fortyfive.com/2022/04/switchblade-the-drone-giving-ukraine-a-big-edge-against-russia/" xr:uid="{00000000-0004-0000-0200-0000DA090000}"/>
    <hyperlink ref="X1237" r:id="rId2524" display="https://www.19fortyfive.com/2022/04/switchblade-the-drone-giving-ukraine-a-big-edge-against-russia/" xr:uid="{00000000-0004-0000-0200-0000DB090000}"/>
    <hyperlink ref="X1238" r:id="rId2525" display="https://www.19fortyfive.com/2022/04/switchblade-the-drone-giving-ukraine-a-big-edge-against-russia/" xr:uid="{00000000-0004-0000-0200-0000DC090000}"/>
    <hyperlink ref="X1239" r:id="rId2526" display="https://www.19fortyfive.com/2022/04/switchblade-the-drone-giving-ukraine-a-big-edge-against-russia/" xr:uid="{00000000-0004-0000-0200-0000DD090000}"/>
    <hyperlink ref="X1240" r:id="rId2527" display="https://www.19fortyfive.com/2022/04/switchblade-the-drone-giving-ukraine-a-big-edge-against-russia/" xr:uid="{00000000-0004-0000-0200-0000DE090000}"/>
    <hyperlink ref="X1241" r:id="rId2528" display="https://www.19fortyfive.com/2022/04/switchblade-the-drone-giving-ukraine-a-big-edge-against-russia/" xr:uid="{00000000-0004-0000-0200-0000DF090000}"/>
    <hyperlink ref="X1242" r:id="rId2529" display="https://www.19fortyfive.com/2022/04/switchblade-the-drone-giving-ukraine-a-big-edge-against-russia/" xr:uid="{00000000-0004-0000-0200-0000E0090000}"/>
    <hyperlink ref="X1243" r:id="rId2530" display="https://www.19fortyfive.com/2022/04/switchblade-the-drone-giving-ukraine-a-big-edge-against-russia/" xr:uid="{00000000-0004-0000-0200-0000E1090000}"/>
    <hyperlink ref="X1244" r:id="rId2531" display="https://www.19fortyfive.com/2022/04/switchblade-the-drone-giving-ukraine-a-big-edge-against-russia/" xr:uid="{00000000-0004-0000-0200-0000E2090000}"/>
    <hyperlink ref="X1245" r:id="rId2532" display="https://www.19fortyfive.com/2022/04/switchblade-the-drone-giving-ukraine-a-big-edge-against-russia/" xr:uid="{00000000-0004-0000-0200-0000E3090000}"/>
    <hyperlink ref="X1246" r:id="rId2533" display="https://www.19fortyfive.com/2022/04/switchblade-the-drone-giving-ukraine-a-big-edge-against-russia/" xr:uid="{00000000-0004-0000-0200-0000E4090000}"/>
    <hyperlink ref="X1247" r:id="rId2534" display="https://www.19fortyfive.com/2022/04/switchblade-the-drone-giving-ukraine-a-big-edge-against-russia/" xr:uid="{00000000-0004-0000-0200-0000E5090000}"/>
    <hyperlink ref="X1248" r:id="rId2535" display="https://www.19fortyfive.com/2022/04/switchblade-the-drone-giving-ukraine-a-big-edge-against-russia/" xr:uid="{00000000-0004-0000-0200-0000E6090000}"/>
    <hyperlink ref="X1249" r:id="rId2536" display="https://www.19fortyfive.com/2022/04/switchblade-the-drone-giving-ukraine-a-big-edge-against-russia/" xr:uid="{00000000-0004-0000-0200-0000E7090000}"/>
    <hyperlink ref="X1250" r:id="rId2537" display="https://www.19fortyfive.com/2022/04/switchblade-the-drone-giving-ukraine-a-big-edge-against-russia/" xr:uid="{00000000-0004-0000-0200-0000E8090000}"/>
    <hyperlink ref="X1251" r:id="rId2538" display="https://www.19fortyfive.com/2022/04/switchblade-the-drone-giving-ukraine-a-big-edge-against-russia/" xr:uid="{00000000-0004-0000-0200-0000E9090000}"/>
    <hyperlink ref="X1252" r:id="rId2539" display="https://www.19fortyfive.com/2022/04/switchblade-the-drone-giving-ukraine-a-big-edge-against-russia/" xr:uid="{00000000-0004-0000-0200-0000EA090000}"/>
    <hyperlink ref="X1253" r:id="rId2540" display="https://www.19fortyfive.com/2022/04/switchblade-the-drone-giving-ukraine-a-big-edge-against-russia/" xr:uid="{00000000-0004-0000-0200-0000EB090000}"/>
    <hyperlink ref="X1254" r:id="rId2541" display="https://www.19fortyfive.com/2022/04/switchblade-the-drone-giving-ukraine-a-big-edge-against-russia/" xr:uid="{00000000-0004-0000-0200-0000EC090000}"/>
    <hyperlink ref="X1255" r:id="rId2542" display="https://www.19fortyfive.com/2022/04/switchblade-the-drone-giving-ukraine-a-big-edge-against-russia/" xr:uid="{00000000-0004-0000-0200-0000ED090000}"/>
    <hyperlink ref="X1256" r:id="rId2543" display="https://www.19fortyfive.com/2022/04/switchblade-the-drone-giving-ukraine-a-big-edge-against-russia/" xr:uid="{00000000-0004-0000-0200-0000EE090000}"/>
    <hyperlink ref="X1257" r:id="rId2544" display="https://www.19fortyfive.com/2022/04/switchblade-the-drone-giving-ukraine-a-big-edge-against-russia/" xr:uid="{00000000-0004-0000-0200-0000EF090000}"/>
    <hyperlink ref="X1258" r:id="rId2545" display="https://www.19fortyfive.com/2022/04/switchblade-the-drone-giving-ukraine-a-big-edge-against-russia/" xr:uid="{00000000-0004-0000-0200-0000F0090000}"/>
    <hyperlink ref="X1259" r:id="rId2546" display="https://www.19fortyfive.com/2022/04/switchblade-the-drone-giving-ukraine-a-big-edge-against-russia/" xr:uid="{00000000-0004-0000-0200-0000F1090000}"/>
    <hyperlink ref="X1260" r:id="rId2547" display="https://www.19fortyfive.com/2022/04/switchblade-the-drone-giving-ukraine-a-big-edge-against-russia/" xr:uid="{00000000-0004-0000-0200-0000F2090000}"/>
    <hyperlink ref="X1261" r:id="rId2548" display="https://www.19fortyfive.com/2022/04/switchblade-the-drone-giving-ukraine-a-big-edge-against-russia/" xr:uid="{00000000-0004-0000-0200-0000F3090000}"/>
    <hyperlink ref="X1262" r:id="rId2549" display="https://www.19fortyfive.com/2022/04/switchblade-the-drone-giving-ukraine-a-big-edge-against-russia/" xr:uid="{00000000-0004-0000-0200-0000F4090000}"/>
    <hyperlink ref="X1263" r:id="rId2550" display="https://www.19fortyfive.com/2022/04/switchblade-the-drone-giving-ukraine-a-big-edge-against-russia/" xr:uid="{00000000-0004-0000-0200-0000F5090000}"/>
    <hyperlink ref="X1264" r:id="rId2551" display="https://www.19fortyfive.com/2022/04/switchblade-the-drone-giving-ukraine-a-big-edge-against-russia/" xr:uid="{00000000-0004-0000-0200-0000F6090000}"/>
    <hyperlink ref="X1265" r:id="rId2552" display="https://www.19fortyfive.com/2022/04/switchblade-the-drone-giving-ukraine-a-big-edge-against-russia/" xr:uid="{00000000-0004-0000-0200-0000F7090000}"/>
    <hyperlink ref="X1266" r:id="rId2553" display="https://www.19fortyfive.com/2022/04/switchblade-the-drone-giving-ukraine-a-big-edge-against-russia/" xr:uid="{00000000-0004-0000-0200-0000F8090000}"/>
    <hyperlink ref="X1267" r:id="rId2554" display="https://www.19fortyfive.com/2022/04/switchblade-the-drone-giving-ukraine-a-big-edge-against-russia/" xr:uid="{00000000-0004-0000-0200-0000F9090000}"/>
    <hyperlink ref="X1268" r:id="rId2555" display="https://www.19fortyfive.com/2022/04/switchblade-the-drone-giving-ukraine-a-big-edge-against-russia/" xr:uid="{00000000-0004-0000-0200-0000FA090000}"/>
    <hyperlink ref="X1269" r:id="rId2556" display="https://www.19fortyfive.com/2022/04/switchblade-the-drone-giving-ukraine-a-big-edge-against-russia/" xr:uid="{00000000-0004-0000-0200-0000FB090000}"/>
    <hyperlink ref="X1270" r:id="rId2557" display="https://www.19fortyfive.com/2022/04/switchblade-the-drone-giving-ukraine-a-big-edge-against-russia/" xr:uid="{00000000-0004-0000-0200-0000FC090000}"/>
    <hyperlink ref="X1271" r:id="rId2558" display="https://www.19fortyfive.com/2022/04/switchblade-the-drone-giving-ukraine-a-big-edge-against-russia/" xr:uid="{00000000-0004-0000-0200-0000FD090000}"/>
    <hyperlink ref="X1272" r:id="rId2559" display="https://www.19fortyfive.com/2022/04/switchblade-the-drone-giving-ukraine-a-big-edge-against-russia/" xr:uid="{00000000-0004-0000-0200-0000FE090000}"/>
    <hyperlink ref="X1273" r:id="rId2560" display="https://www.19fortyfive.com/2022/04/switchblade-the-drone-giving-ukraine-a-big-edge-against-russia/" xr:uid="{00000000-0004-0000-0200-0000FF090000}"/>
    <hyperlink ref="X1274" r:id="rId2561" display="https://www.19fortyfive.com/2022/04/switchblade-the-drone-giving-ukraine-a-big-edge-against-russia/" xr:uid="{00000000-0004-0000-0200-0000000A0000}"/>
    <hyperlink ref="X1275" r:id="rId2562" display="https://www.19fortyfive.com/2022/04/switchblade-the-drone-giving-ukraine-a-big-edge-against-russia/" xr:uid="{00000000-0004-0000-0200-0000010A0000}"/>
    <hyperlink ref="X1276" r:id="rId2563" display="https://www.19fortyfive.com/2022/04/switchblade-the-drone-giving-ukraine-a-big-edge-against-russia/" xr:uid="{00000000-0004-0000-0200-0000020A0000}"/>
    <hyperlink ref="X1277" r:id="rId2564" display="https://www.19fortyfive.com/2022/04/switchblade-the-drone-giving-ukraine-a-big-edge-against-russia/" xr:uid="{00000000-0004-0000-0200-0000030A0000}"/>
    <hyperlink ref="X1278" r:id="rId2565" display="https://www.19fortyfive.com/2022/04/switchblade-the-drone-giving-ukraine-a-big-edge-against-russia/" xr:uid="{00000000-0004-0000-0200-0000040A0000}"/>
    <hyperlink ref="X1279" r:id="rId2566" display="https://www.19fortyfive.com/2022/04/switchblade-the-drone-giving-ukraine-a-big-edge-against-russia/" xr:uid="{00000000-0004-0000-0200-0000050A0000}"/>
    <hyperlink ref="X1280" r:id="rId2567" display="https://www.19fortyfive.com/2022/04/switchblade-the-drone-giving-ukraine-a-big-edge-against-russia/" xr:uid="{00000000-0004-0000-0200-0000060A0000}"/>
    <hyperlink ref="X1281" r:id="rId2568" display="https://www.19fortyfive.com/2022/04/switchblade-the-drone-giving-ukraine-a-big-edge-against-russia/" xr:uid="{00000000-0004-0000-0200-0000070A0000}"/>
    <hyperlink ref="X1282" r:id="rId2569" display="https://www.19fortyfive.com/2022/04/switchblade-the-drone-giving-ukraine-a-big-edge-against-russia/" xr:uid="{00000000-0004-0000-0200-0000080A0000}"/>
    <hyperlink ref="W1236" r:id="rId2570" display="https://www.whitehouse.gov/briefing-room/press-briefings/2022/04/04/press-briefing-by-press-secretary-jen-psaki-and-national-security-advisor-jake-sullivan/" xr:uid="{00000000-0004-0000-0200-0000090A0000}"/>
    <hyperlink ref="W1237" r:id="rId2571" display="https://www.whitehouse.gov/briefing-room/press-briefings/2022/04/04/press-briefing-by-press-secretary-jen-psaki-and-national-security-advisor-jake-sullivan/" xr:uid="{00000000-0004-0000-0200-00000A0A0000}"/>
    <hyperlink ref="W1238" r:id="rId2572" display="https://www.whitehouse.gov/briefing-room/press-briefings/2022/04/04/press-briefing-by-press-secretary-jen-psaki-and-national-security-advisor-jake-sullivan/" xr:uid="{00000000-0004-0000-0200-00000B0A0000}"/>
    <hyperlink ref="W1239" r:id="rId2573" display="https://www.whitehouse.gov/briefing-room/press-briefings/2022/04/04/press-briefing-by-press-secretary-jen-psaki-and-national-security-advisor-jake-sullivan/" xr:uid="{00000000-0004-0000-0200-00000C0A0000}"/>
    <hyperlink ref="W1240" r:id="rId2574" display="https://www.whitehouse.gov/briefing-room/press-briefings/2022/04/04/press-briefing-by-press-secretary-jen-psaki-and-national-security-advisor-jake-sullivan/" xr:uid="{00000000-0004-0000-0200-00000D0A0000}"/>
    <hyperlink ref="W1241" r:id="rId2575" display="https://www.whitehouse.gov/briefing-room/press-briefings/2022/04/04/press-briefing-by-press-secretary-jen-psaki-and-national-security-advisor-jake-sullivan/" xr:uid="{00000000-0004-0000-0200-00000E0A0000}"/>
    <hyperlink ref="W1242" r:id="rId2576" display="https://www.whitehouse.gov/briefing-room/press-briefings/2022/04/04/press-briefing-by-press-secretary-jen-psaki-and-national-security-advisor-jake-sullivan/" xr:uid="{00000000-0004-0000-0200-00000F0A0000}"/>
    <hyperlink ref="W1243" r:id="rId2577" display="https://www.whitehouse.gov/briefing-room/press-briefings/2022/04/04/press-briefing-by-press-secretary-jen-psaki-and-national-security-advisor-jake-sullivan/" xr:uid="{00000000-0004-0000-0200-0000100A0000}"/>
    <hyperlink ref="W1244" r:id="rId2578" display="https://www.whitehouse.gov/briefing-room/press-briefings/2022/04/04/press-briefing-by-press-secretary-jen-psaki-and-national-security-advisor-jake-sullivan/" xr:uid="{00000000-0004-0000-0200-0000110A0000}"/>
    <hyperlink ref="W1245" r:id="rId2579" display="https://www.whitehouse.gov/briefing-room/press-briefings/2022/04/04/press-briefing-by-press-secretary-jen-psaki-and-national-security-advisor-jake-sullivan/" xr:uid="{00000000-0004-0000-0200-0000120A0000}"/>
    <hyperlink ref="W1246" r:id="rId2580" display="https://www.whitehouse.gov/briefing-room/press-briefings/2022/04/04/press-briefing-by-press-secretary-jen-psaki-and-national-security-advisor-jake-sullivan/" xr:uid="{00000000-0004-0000-0200-0000130A0000}"/>
    <hyperlink ref="W1247" r:id="rId2581" display="https://www.whitehouse.gov/briefing-room/press-briefings/2022/04/04/press-briefing-by-press-secretary-jen-psaki-and-national-security-advisor-jake-sullivan/" xr:uid="{00000000-0004-0000-0200-0000140A0000}"/>
    <hyperlink ref="W1248" r:id="rId2582" display="https://www.whitehouse.gov/briefing-room/press-briefings/2022/04/04/press-briefing-by-press-secretary-jen-psaki-and-national-security-advisor-jake-sullivan/" xr:uid="{00000000-0004-0000-0200-0000150A0000}"/>
    <hyperlink ref="W1249" r:id="rId2583" display="https://www.whitehouse.gov/briefing-room/press-briefings/2022/04/04/press-briefing-by-press-secretary-jen-psaki-and-national-security-advisor-jake-sullivan/" xr:uid="{00000000-0004-0000-0200-0000160A0000}"/>
    <hyperlink ref="W1250" r:id="rId2584" display="https://www.whitehouse.gov/briefing-room/press-briefings/2022/04/04/press-briefing-by-press-secretary-jen-psaki-and-national-security-advisor-jake-sullivan/" xr:uid="{00000000-0004-0000-0200-0000170A0000}"/>
    <hyperlink ref="W1251" r:id="rId2585" display="https://www.whitehouse.gov/briefing-room/press-briefings/2022/04/04/press-briefing-by-press-secretary-jen-psaki-and-national-security-advisor-jake-sullivan/" xr:uid="{00000000-0004-0000-0200-0000180A0000}"/>
    <hyperlink ref="W1252" r:id="rId2586" display="https://www.whitehouse.gov/briefing-room/press-briefings/2022/04/04/press-briefing-by-press-secretary-jen-psaki-and-national-security-advisor-jake-sullivan/" xr:uid="{00000000-0004-0000-0200-0000190A0000}"/>
    <hyperlink ref="W1253" r:id="rId2587" display="https://www.whitehouse.gov/briefing-room/press-briefings/2022/04/04/press-briefing-by-press-secretary-jen-psaki-and-national-security-advisor-jake-sullivan/" xr:uid="{00000000-0004-0000-0200-00001A0A0000}"/>
    <hyperlink ref="W1254" r:id="rId2588" display="https://www.whitehouse.gov/briefing-room/press-briefings/2022/04/04/press-briefing-by-press-secretary-jen-psaki-and-national-security-advisor-jake-sullivan/" xr:uid="{00000000-0004-0000-0200-00001B0A0000}"/>
    <hyperlink ref="W1255" r:id="rId2589" display="https://www.whitehouse.gov/briefing-room/press-briefings/2022/04/04/press-briefing-by-press-secretary-jen-psaki-and-national-security-advisor-jake-sullivan/" xr:uid="{00000000-0004-0000-0200-00001C0A0000}"/>
    <hyperlink ref="W1256" r:id="rId2590" display="https://www.whitehouse.gov/briefing-room/press-briefings/2022/04/04/press-briefing-by-press-secretary-jen-psaki-and-national-security-advisor-jake-sullivan/" xr:uid="{00000000-0004-0000-0200-00001D0A0000}"/>
    <hyperlink ref="W1257" r:id="rId2591" display="https://www.whitehouse.gov/briefing-room/press-briefings/2022/04/04/press-briefing-by-press-secretary-jen-psaki-and-national-security-advisor-jake-sullivan/" xr:uid="{00000000-0004-0000-0200-00001E0A0000}"/>
    <hyperlink ref="W1258" r:id="rId2592" display="https://www.whitehouse.gov/briefing-room/press-briefings/2022/04/04/press-briefing-by-press-secretary-jen-psaki-and-national-security-advisor-jake-sullivan/" xr:uid="{00000000-0004-0000-0200-00001F0A0000}"/>
    <hyperlink ref="W1259" r:id="rId2593" display="https://www.whitehouse.gov/briefing-room/press-briefings/2022/04/04/press-briefing-by-press-secretary-jen-psaki-and-national-security-advisor-jake-sullivan/" xr:uid="{00000000-0004-0000-0200-0000200A0000}"/>
    <hyperlink ref="W1260" r:id="rId2594" display="https://www.whitehouse.gov/briefing-room/press-briefings/2022/04/04/press-briefing-by-press-secretary-jen-psaki-and-national-security-advisor-jake-sullivan/" xr:uid="{00000000-0004-0000-0200-0000210A0000}"/>
    <hyperlink ref="W1261" r:id="rId2595" display="https://www.whitehouse.gov/briefing-room/press-briefings/2022/04/04/press-briefing-by-press-secretary-jen-psaki-and-national-security-advisor-jake-sullivan/" xr:uid="{00000000-0004-0000-0200-0000220A0000}"/>
    <hyperlink ref="W1262" r:id="rId2596" display="https://www.whitehouse.gov/briefing-room/press-briefings/2022/04/04/press-briefing-by-press-secretary-jen-psaki-and-national-security-advisor-jake-sullivan/" xr:uid="{00000000-0004-0000-0200-0000230A0000}"/>
    <hyperlink ref="W1263" r:id="rId2597" display="https://www.whitehouse.gov/briefing-room/press-briefings/2022/04/04/press-briefing-by-press-secretary-jen-psaki-and-national-security-advisor-jake-sullivan/" xr:uid="{00000000-0004-0000-0200-0000240A0000}"/>
    <hyperlink ref="W1264" r:id="rId2598" display="https://www.whitehouse.gov/briefing-room/press-briefings/2022/04/04/press-briefing-by-press-secretary-jen-psaki-and-national-security-advisor-jake-sullivan/" xr:uid="{00000000-0004-0000-0200-0000250A0000}"/>
    <hyperlink ref="W1265" r:id="rId2599" display="https://www.whitehouse.gov/briefing-room/press-briefings/2022/04/04/press-briefing-by-press-secretary-jen-psaki-and-national-security-advisor-jake-sullivan/" xr:uid="{00000000-0004-0000-0200-0000260A0000}"/>
    <hyperlink ref="W1266" r:id="rId2600" display="https://www.whitehouse.gov/briefing-room/press-briefings/2022/04/04/press-briefing-by-press-secretary-jen-psaki-and-national-security-advisor-jake-sullivan/" xr:uid="{00000000-0004-0000-0200-0000270A0000}"/>
    <hyperlink ref="W1267" r:id="rId2601" display="https://www.whitehouse.gov/briefing-room/press-briefings/2022/04/04/press-briefing-by-press-secretary-jen-psaki-and-national-security-advisor-jake-sullivan/" xr:uid="{00000000-0004-0000-0200-0000280A0000}"/>
    <hyperlink ref="W1268" r:id="rId2602" display="https://www.whitehouse.gov/briefing-room/press-briefings/2022/04/04/press-briefing-by-press-secretary-jen-psaki-and-national-security-advisor-jake-sullivan/" xr:uid="{00000000-0004-0000-0200-0000290A0000}"/>
    <hyperlink ref="W1269" r:id="rId2603" display="https://www.whitehouse.gov/briefing-room/press-briefings/2022/04/04/press-briefing-by-press-secretary-jen-psaki-and-national-security-advisor-jake-sullivan/" xr:uid="{00000000-0004-0000-0200-00002A0A0000}"/>
    <hyperlink ref="W1270" r:id="rId2604" display="https://www.whitehouse.gov/briefing-room/press-briefings/2022/04/04/press-briefing-by-press-secretary-jen-psaki-and-national-security-advisor-jake-sullivan/" xr:uid="{00000000-0004-0000-0200-00002B0A0000}"/>
    <hyperlink ref="W1271" r:id="rId2605" display="https://www.whitehouse.gov/briefing-room/press-briefings/2022/04/04/press-briefing-by-press-secretary-jen-psaki-and-national-security-advisor-jake-sullivan/" xr:uid="{00000000-0004-0000-0200-00002C0A0000}"/>
    <hyperlink ref="W1272" r:id="rId2606" display="https://www.whitehouse.gov/briefing-room/press-briefings/2022/04/04/press-briefing-by-press-secretary-jen-psaki-and-national-security-advisor-jake-sullivan/" xr:uid="{00000000-0004-0000-0200-00002D0A0000}"/>
    <hyperlink ref="W1273" r:id="rId2607" display="https://www.whitehouse.gov/briefing-room/press-briefings/2022/04/04/press-briefing-by-press-secretary-jen-psaki-and-national-security-advisor-jake-sullivan/" xr:uid="{00000000-0004-0000-0200-00002E0A0000}"/>
    <hyperlink ref="W1274" r:id="rId2608" display="https://www.whitehouse.gov/briefing-room/press-briefings/2022/04/04/press-briefing-by-press-secretary-jen-psaki-and-national-security-advisor-jake-sullivan/" xr:uid="{00000000-0004-0000-0200-00002F0A0000}"/>
    <hyperlink ref="W1275" r:id="rId2609" display="https://www.whitehouse.gov/briefing-room/press-briefings/2022/04/04/press-briefing-by-press-secretary-jen-psaki-and-national-security-advisor-jake-sullivan/" xr:uid="{00000000-0004-0000-0200-0000300A0000}"/>
    <hyperlink ref="W1276" r:id="rId2610" display="https://www.whitehouse.gov/briefing-room/press-briefings/2022/04/04/press-briefing-by-press-secretary-jen-psaki-and-national-security-advisor-jake-sullivan/" xr:uid="{00000000-0004-0000-0200-0000310A0000}"/>
    <hyperlink ref="W1277" r:id="rId2611" display="https://www.whitehouse.gov/briefing-room/press-briefings/2022/04/04/press-briefing-by-press-secretary-jen-psaki-and-national-security-advisor-jake-sullivan/" xr:uid="{00000000-0004-0000-0200-0000320A0000}"/>
    <hyperlink ref="W1278" r:id="rId2612" display="https://www.whitehouse.gov/briefing-room/press-briefings/2022/04/04/press-briefing-by-press-secretary-jen-psaki-and-national-security-advisor-jake-sullivan/" xr:uid="{00000000-0004-0000-0200-0000330A0000}"/>
    <hyperlink ref="W1279" r:id="rId2613" display="https://www.whitehouse.gov/briefing-room/press-briefings/2022/04/04/press-briefing-by-press-secretary-jen-psaki-and-national-security-advisor-jake-sullivan/" xr:uid="{00000000-0004-0000-0200-0000340A0000}"/>
    <hyperlink ref="W1280" r:id="rId2614" display="https://www.whitehouse.gov/briefing-room/press-briefings/2022/04/04/press-briefing-by-press-secretary-jen-psaki-and-national-security-advisor-jake-sullivan/" xr:uid="{00000000-0004-0000-0200-0000350A0000}"/>
    <hyperlink ref="W1281" r:id="rId2615" display="https://www.whitehouse.gov/briefing-room/press-briefings/2022/04/04/press-briefing-by-press-secretary-jen-psaki-and-national-security-advisor-jake-sullivan/" xr:uid="{00000000-0004-0000-0200-0000360A0000}"/>
    <hyperlink ref="W1282" r:id="rId2616" display="https://www.whitehouse.gov/briefing-room/press-briefings/2022/04/04/press-briefing-by-press-secretary-jen-psaki-and-national-security-advisor-jake-sullivan/" xr:uid="{00000000-0004-0000-0200-0000370A0000}"/>
    <hyperlink ref="Y1236" r:id="rId2617" xr:uid="{00000000-0004-0000-0200-0000380A0000}"/>
    <hyperlink ref="Y1237" r:id="rId2618" xr:uid="{00000000-0004-0000-0200-0000390A0000}"/>
    <hyperlink ref="Y1238" r:id="rId2619" xr:uid="{00000000-0004-0000-0200-00003A0A0000}"/>
    <hyperlink ref="Y1239" r:id="rId2620" xr:uid="{00000000-0004-0000-0200-00003B0A0000}"/>
    <hyperlink ref="Y1240" r:id="rId2621" xr:uid="{00000000-0004-0000-0200-00003C0A0000}"/>
    <hyperlink ref="Y1241" r:id="rId2622" xr:uid="{00000000-0004-0000-0200-00003D0A0000}"/>
    <hyperlink ref="Y1242" r:id="rId2623" xr:uid="{00000000-0004-0000-0200-00003E0A0000}"/>
    <hyperlink ref="Y1243" r:id="rId2624" xr:uid="{00000000-0004-0000-0200-00003F0A0000}"/>
    <hyperlink ref="Y1244" r:id="rId2625" xr:uid="{00000000-0004-0000-0200-0000400A0000}"/>
    <hyperlink ref="Y1245" r:id="rId2626" xr:uid="{00000000-0004-0000-0200-0000410A0000}"/>
    <hyperlink ref="Y1246" r:id="rId2627" xr:uid="{00000000-0004-0000-0200-0000420A0000}"/>
    <hyperlink ref="Y1247" r:id="rId2628" xr:uid="{00000000-0004-0000-0200-0000430A0000}"/>
    <hyperlink ref="Y1248" r:id="rId2629" xr:uid="{00000000-0004-0000-0200-0000440A0000}"/>
    <hyperlink ref="Y1249" r:id="rId2630" xr:uid="{00000000-0004-0000-0200-0000450A0000}"/>
    <hyperlink ref="Y1250" r:id="rId2631" xr:uid="{00000000-0004-0000-0200-0000460A0000}"/>
    <hyperlink ref="Y1251" r:id="rId2632" xr:uid="{00000000-0004-0000-0200-0000470A0000}"/>
    <hyperlink ref="Y1252" r:id="rId2633" xr:uid="{00000000-0004-0000-0200-0000480A0000}"/>
    <hyperlink ref="Y1253" r:id="rId2634" xr:uid="{00000000-0004-0000-0200-0000490A0000}"/>
    <hyperlink ref="Y1254" r:id="rId2635" xr:uid="{00000000-0004-0000-0200-00004A0A0000}"/>
    <hyperlink ref="Y1255" r:id="rId2636" xr:uid="{00000000-0004-0000-0200-00004B0A0000}"/>
    <hyperlink ref="Y1256" r:id="rId2637" xr:uid="{00000000-0004-0000-0200-00004C0A0000}"/>
    <hyperlink ref="Y1257" r:id="rId2638" xr:uid="{00000000-0004-0000-0200-00004D0A0000}"/>
    <hyperlink ref="Y1258" r:id="rId2639" xr:uid="{00000000-0004-0000-0200-00004E0A0000}"/>
    <hyperlink ref="Y1259" r:id="rId2640" xr:uid="{00000000-0004-0000-0200-00004F0A0000}"/>
    <hyperlink ref="Y1260" r:id="rId2641" xr:uid="{00000000-0004-0000-0200-0000500A0000}"/>
    <hyperlink ref="Y1261" r:id="rId2642" xr:uid="{00000000-0004-0000-0200-0000510A0000}"/>
    <hyperlink ref="Y1262" r:id="rId2643" xr:uid="{00000000-0004-0000-0200-0000520A0000}"/>
    <hyperlink ref="Y1263" r:id="rId2644" xr:uid="{00000000-0004-0000-0200-0000530A0000}"/>
    <hyperlink ref="Y1264" r:id="rId2645" xr:uid="{00000000-0004-0000-0200-0000540A0000}"/>
    <hyperlink ref="Y1265" r:id="rId2646" xr:uid="{00000000-0004-0000-0200-0000550A0000}"/>
    <hyperlink ref="Y1266" r:id="rId2647" xr:uid="{00000000-0004-0000-0200-0000560A0000}"/>
    <hyperlink ref="Y1267" r:id="rId2648" xr:uid="{00000000-0004-0000-0200-0000570A0000}"/>
    <hyperlink ref="Y1268" r:id="rId2649" xr:uid="{00000000-0004-0000-0200-0000580A0000}"/>
    <hyperlink ref="Y1269" r:id="rId2650" xr:uid="{00000000-0004-0000-0200-0000590A0000}"/>
    <hyperlink ref="Y1270" r:id="rId2651" xr:uid="{00000000-0004-0000-0200-00005A0A0000}"/>
    <hyperlink ref="Y1271" r:id="rId2652" xr:uid="{00000000-0004-0000-0200-00005B0A0000}"/>
    <hyperlink ref="Y1272" r:id="rId2653" xr:uid="{00000000-0004-0000-0200-00005C0A0000}"/>
    <hyperlink ref="Y1273" r:id="rId2654" xr:uid="{00000000-0004-0000-0200-00005D0A0000}"/>
    <hyperlink ref="Y1274" r:id="rId2655" xr:uid="{00000000-0004-0000-0200-00005E0A0000}"/>
    <hyperlink ref="Y1275" r:id="rId2656" xr:uid="{00000000-0004-0000-0200-00005F0A0000}"/>
    <hyperlink ref="Y1276" r:id="rId2657" xr:uid="{00000000-0004-0000-0200-0000600A0000}"/>
    <hyperlink ref="Y1277" r:id="rId2658" xr:uid="{00000000-0004-0000-0200-0000610A0000}"/>
    <hyperlink ref="Y1278" r:id="rId2659" xr:uid="{00000000-0004-0000-0200-0000620A0000}"/>
    <hyperlink ref="Y1279" r:id="rId2660" xr:uid="{00000000-0004-0000-0200-0000630A0000}"/>
    <hyperlink ref="Y1280" r:id="rId2661" xr:uid="{00000000-0004-0000-0200-0000640A0000}"/>
    <hyperlink ref="Y1281" r:id="rId2662" xr:uid="{00000000-0004-0000-0200-0000650A0000}"/>
    <hyperlink ref="Y1282" r:id="rId2663" xr:uid="{00000000-0004-0000-0200-0000660A0000}"/>
    <hyperlink ref="W1236" r:id="rId2664" location=":~:text=Through%20USAI%2C%20DoD%20will%20provide,repel%20Russia's%20war%20of%20choice" xr:uid="{00000000-0004-0000-0200-0000670A0000}"/>
    <hyperlink ref="W1237" r:id="rId2665" location=":~:text=Through%20USAI%2C%20DoD%20will%20provide,repel%20Russia's%20war%20of%20choice" xr:uid="{00000000-0004-0000-0200-0000680A0000}"/>
    <hyperlink ref="W1238" r:id="rId2666" location=":~:text=Through%20USAI%2C%20DoD%20will%20provide,repel%20Russia's%20war%20of%20choice" xr:uid="{00000000-0004-0000-0200-0000690A0000}"/>
    <hyperlink ref="W1239" r:id="rId2667" location=":~:text=Through%20USAI%2C%20DoD%20will%20provide,repel%20Russia's%20war%20of%20choice" xr:uid="{00000000-0004-0000-0200-00006A0A0000}"/>
    <hyperlink ref="W1240" r:id="rId2668" location=":~:text=Through%20USAI%2C%20DoD%20will%20provide,repel%20Russia's%20war%20of%20choice" xr:uid="{00000000-0004-0000-0200-00006B0A0000}"/>
    <hyperlink ref="W1241" r:id="rId2669" location=":~:text=Through%20USAI%2C%20DoD%20will%20provide,repel%20Russia's%20war%20of%20choice" xr:uid="{00000000-0004-0000-0200-00006C0A0000}"/>
    <hyperlink ref="W1242" r:id="rId2670" location=":~:text=Through%20USAI%2C%20DoD%20will%20provide,repel%20Russia's%20war%20of%20choice" xr:uid="{00000000-0004-0000-0200-00006D0A0000}"/>
    <hyperlink ref="W1243" r:id="rId2671" location=":~:text=Through%20USAI%2C%20DoD%20will%20provide,repel%20Russia's%20war%20of%20choice" xr:uid="{00000000-0004-0000-0200-00006E0A0000}"/>
    <hyperlink ref="W1244" r:id="rId2672" location=":~:text=Through%20USAI%2C%20DoD%20will%20provide,repel%20Russia's%20war%20of%20choice" xr:uid="{00000000-0004-0000-0200-00006F0A0000}"/>
    <hyperlink ref="W1245" r:id="rId2673" location=":~:text=Through%20USAI%2C%20DoD%20will%20provide,repel%20Russia's%20war%20of%20choice" xr:uid="{00000000-0004-0000-0200-0000700A0000}"/>
    <hyperlink ref="W1246" r:id="rId2674" location=":~:text=Through%20USAI%2C%20DoD%20will%20provide,repel%20Russia's%20war%20of%20choice" xr:uid="{00000000-0004-0000-0200-0000710A0000}"/>
    <hyperlink ref="W1247" r:id="rId2675" location=":~:text=Through%20USAI%2C%20DoD%20will%20provide,repel%20Russia's%20war%20of%20choice" xr:uid="{00000000-0004-0000-0200-0000720A0000}"/>
    <hyperlink ref="W1248" r:id="rId2676" location=":~:text=Through%20USAI%2C%20DoD%20will%20provide,repel%20Russia's%20war%20of%20choice" xr:uid="{00000000-0004-0000-0200-0000730A0000}"/>
    <hyperlink ref="W1249" r:id="rId2677" location=":~:text=Through%20USAI%2C%20DoD%20will%20provide,repel%20Russia's%20war%20of%20choice" xr:uid="{00000000-0004-0000-0200-0000740A0000}"/>
    <hyperlink ref="W1250" r:id="rId2678" location=":~:text=Through%20USAI%2C%20DoD%20will%20provide,repel%20Russia's%20war%20of%20choice" xr:uid="{00000000-0004-0000-0200-0000750A0000}"/>
    <hyperlink ref="W1251" r:id="rId2679" location=":~:text=Through%20USAI%2C%20DoD%20will%20provide,repel%20Russia's%20war%20of%20choice" xr:uid="{00000000-0004-0000-0200-0000760A0000}"/>
    <hyperlink ref="W1252" r:id="rId2680" location=":~:text=Through%20USAI%2C%20DoD%20will%20provide,repel%20Russia's%20war%20of%20choice" xr:uid="{00000000-0004-0000-0200-0000770A0000}"/>
    <hyperlink ref="W1253" r:id="rId2681" location=":~:text=Through%20USAI%2C%20DoD%20will%20provide,repel%20Russia's%20war%20of%20choice" xr:uid="{00000000-0004-0000-0200-0000780A0000}"/>
    <hyperlink ref="W1254" r:id="rId2682" location=":~:text=Through%20USAI%2C%20DoD%20will%20provide,repel%20Russia's%20war%20of%20choice" xr:uid="{00000000-0004-0000-0200-0000790A0000}"/>
    <hyperlink ref="W1255" r:id="rId2683" location=":~:text=Through%20USAI%2C%20DoD%20will%20provide,repel%20Russia's%20war%20of%20choice" xr:uid="{00000000-0004-0000-0200-00007A0A0000}"/>
    <hyperlink ref="W1256" r:id="rId2684" location=":~:text=Through%20USAI%2C%20DoD%20will%20provide,repel%20Russia's%20war%20of%20choice" xr:uid="{00000000-0004-0000-0200-00007B0A0000}"/>
    <hyperlink ref="W1257" r:id="rId2685" location=":~:text=Through%20USAI%2C%20DoD%20will%20provide,repel%20Russia's%20war%20of%20choice" xr:uid="{00000000-0004-0000-0200-00007C0A0000}"/>
    <hyperlink ref="W1258" r:id="rId2686" location=":~:text=Through%20USAI%2C%20DoD%20will%20provide,repel%20Russia's%20war%20of%20choice" xr:uid="{00000000-0004-0000-0200-00007D0A0000}"/>
    <hyperlink ref="W1259" r:id="rId2687" location=":~:text=Through%20USAI%2C%20DoD%20will%20provide,repel%20Russia's%20war%20of%20choice" xr:uid="{00000000-0004-0000-0200-00007E0A0000}"/>
    <hyperlink ref="W1260" r:id="rId2688" location=":~:text=Through%20USAI%2C%20DoD%20will%20provide,repel%20Russia's%20war%20of%20choice" xr:uid="{00000000-0004-0000-0200-00007F0A0000}"/>
    <hyperlink ref="W1261" r:id="rId2689" location=":~:text=Through%20USAI%2C%20DoD%20will%20provide,repel%20Russia's%20war%20of%20choice" xr:uid="{00000000-0004-0000-0200-0000800A0000}"/>
    <hyperlink ref="W1262" r:id="rId2690" location=":~:text=Through%20USAI%2C%20DoD%20will%20provide,repel%20Russia's%20war%20of%20choice" xr:uid="{00000000-0004-0000-0200-0000810A0000}"/>
    <hyperlink ref="W1263" r:id="rId2691" location=":~:text=Through%20USAI%2C%20DoD%20will%20provide,repel%20Russia's%20war%20of%20choice" xr:uid="{00000000-0004-0000-0200-0000820A0000}"/>
    <hyperlink ref="W1264" r:id="rId2692" location=":~:text=Through%20USAI%2C%20DoD%20will%20provide,repel%20Russia's%20war%20of%20choice" xr:uid="{00000000-0004-0000-0200-0000830A0000}"/>
    <hyperlink ref="W1265" r:id="rId2693" location=":~:text=Through%20USAI%2C%20DoD%20will%20provide,repel%20Russia's%20war%20of%20choice" xr:uid="{00000000-0004-0000-0200-0000840A0000}"/>
    <hyperlink ref="W1266" r:id="rId2694" location=":~:text=Through%20USAI%2C%20DoD%20will%20provide,repel%20Russia's%20war%20of%20choice" xr:uid="{00000000-0004-0000-0200-0000850A0000}"/>
    <hyperlink ref="W1267" r:id="rId2695" location=":~:text=Through%20USAI%2C%20DoD%20will%20provide,repel%20Russia's%20war%20of%20choice" xr:uid="{00000000-0004-0000-0200-0000860A0000}"/>
    <hyperlink ref="W1268" r:id="rId2696" location=":~:text=Through%20USAI%2C%20DoD%20will%20provide,repel%20Russia's%20war%20of%20choice" xr:uid="{00000000-0004-0000-0200-0000870A0000}"/>
    <hyperlink ref="W1269" r:id="rId2697" location=":~:text=Through%20USAI%2C%20DoD%20will%20provide,repel%20Russia's%20war%20of%20choice" xr:uid="{00000000-0004-0000-0200-0000880A0000}"/>
    <hyperlink ref="W1270" r:id="rId2698" location=":~:text=Through%20USAI%2C%20DoD%20will%20provide,repel%20Russia's%20war%20of%20choice" xr:uid="{00000000-0004-0000-0200-0000890A0000}"/>
    <hyperlink ref="W1271" r:id="rId2699" location=":~:text=Through%20USAI%2C%20DoD%20will%20provide,repel%20Russia's%20war%20of%20choice" xr:uid="{00000000-0004-0000-0200-00008A0A0000}"/>
    <hyperlink ref="W1272" r:id="rId2700" location=":~:text=Through%20USAI%2C%20DoD%20will%20provide,repel%20Russia's%20war%20of%20choice" xr:uid="{00000000-0004-0000-0200-00008B0A0000}"/>
    <hyperlink ref="W1273" r:id="rId2701" location=":~:text=Through%20USAI%2C%20DoD%20will%20provide,repel%20Russia's%20war%20of%20choice" xr:uid="{00000000-0004-0000-0200-00008C0A0000}"/>
    <hyperlink ref="W1274" r:id="rId2702" location=":~:text=Through%20USAI%2C%20DoD%20will%20provide,repel%20Russia's%20war%20of%20choice" xr:uid="{00000000-0004-0000-0200-00008D0A0000}"/>
    <hyperlink ref="W1275" r:id="rId2703" location=":~:text=Through%20USAI%2C%20DoD%20will%20provide,repel%20Russia's%20war%20of%20choice" xr:uid="{00000000-0004-0000-0200-00008E0A0000}"/>
    <hyperlink ref="W1276" r:id="rId2704" location=":~:text=Through%20USAI%2C%20DoD%20will%20provide,repel%20Russia's%20war%20of%20choice" xr:uid="{00000000-0004-0000-0200-00008F0A0000}"/>
    <hyperlink ref="W1277" r:id="rId2705" location=":~:text=Through%20USAI%2C%20DoD%20will%20provide,repel%20Russia's%20war%20of%20choice" xr:uid="{00000000-0004-0000-0200-0000900A0000}"/>
    <hyperlink ref="W1278" r:id="rId2706" location=":~:text=Through%20USAI%2C%20DoD%20will%20provide,repel%20Russia's%20war%20of%20choice" xr:uid="{00000000-0004-0000-0200-0000910A0000}"/>
    <hyperlink ref="W1279" r:id="rId2707" location=":~:text=Through%20USAI%2C%20DoD%20will%20provide,repel%20Russia's%20war%20of%20choice" xr:uid="{00000000-0004-0000-0200-0000920A0000}"/>
    <hyperlink ref="W1280" r:id="rId2708" location=":~:text=Through%20USAI%2C%20DoD%20will%20provide,repel%20Russia's%20war%20of%20choice" xr:uid="{00000000-0004-0000-0200-0000930A0000}"/>
    <hyperlink ref="W1281" r:id="rId2709" location=":~:text=Through%20USAI%2C%20DoD%20will%20provide,repel%20Russia's%20war%20of%20choice" xr:uid="{00000000-0004-0000-0200-0000940A0000}"/>
    <hyperlink ref="W1282" r:id="rId2710" location=":~:text=Through%20USAI%2C%20DoD%20will%20provide,repel%20Russia's%20war%20of%20choice" xr:uid="{00000000-0004-0000-0200-0000950A0000}"/>
    <hyperlink ref="X1236" r:id="rId2711" xr:uid="{00000000-0004-0000-0200-0000960A0000}"/>
    <hyperlink ref="X1237" r:id="rId2712" xr:uid="{00000000-0004-0000-0200-0000970A0000}"/>
    <hyperlink ref="X1238" r:id="rId2713" xr:uid="{00000000-0004-0000-0200-0000980A0000}"/>
    <hyperlink ref="X1239" r:id="rId2714" xr:uid="{00000000-0004-0000-0200-0000990A0000}"/>
    <hyperlink ref="X1240" r:id="rId2715" xr:uid="{00000000-0004-0000-0200-00009A0A0000}"/>
    <hyperlink ref="X1241" r:id="rId2716" xr:uid="{00000000-0004-0000-0200-00009B0A0000}"/>
    <hyperlink ref="X1242" r:id="rId2717" xr:uid="{00000000-0004-0000-0200-00009C0A0000}"/>
    <hyperlink ref="X1243" r:id="rId2718" xr:uid="{00000000-0004-0000-0200-00009D0A0000}"/>
    <hyperlink ref="X1244" r:id="rId2719" xr:uid="{00000000-0004-0000-0200-00009E0A0000}"/>
    <hyperlink ref="X1245" r:id="rId2720" xr:uid="{00000000-0004-0000-0200-00009F0A0000}"/>
    <hyperlink ref="X1246" r:id="rId2721" xr:uid="{00000000-0004-0000-0200-0000A00A0000}"/>
    <hyperlink ref="X1247" r:id="rId2722" xr:uid="{00000000-0004-0000-0200-0000A10A0000}"/>
    <hyperlink ref="X1248" r:id="rId2723" xr:uid="{00000000-0004-0000-0200-0000A20A0000}"/>
    <hyperlink ref="X1249" r:id="rId2724" xr:uid="{00000000-0004-0000-0200-0000A30A0000}"/>
    <hyperlink ref="X1250" r:id="rId2725" xr:uid="{00000000-0004-0000-0200-0000A40A0000}"/>
    <hyperlink ref="X1251" r:id="rId2726" xr:uid="{00000000-0004-0000-0200-0000A50A0000}"/>
    <hyperlink ref="X1252" r:id="rId2727" xr:uid="{00000000-0004-0000-0200-0000A60A0000}"/>
    <hyperlink ref="X1253" r:id="rId2728" xr:uid="{00000000-0004-0000-0200-0000A70A0000}"/>
    <hyperlink ref="X1254" r:id="rId2729" xr:uid="{00000000-0004-0000-0200-0000A80A0000}"/>
    <hyperlink ref="X1255" r:id="rId2730" xr:uid="{00000000-0004-0000-0200-0000A90A0000}"/>
    <hyperlink ref="X1256" r:id="rId2731" xr:uid="{00000000-0004-0000-0200-0000AA0A0000}"/>
    <hyperlink ref="X1257" r:id="rId2732" xr:uid="{00000000-0004-0000-0200-0000AB0A0000}"/>
    <hyperlink ref="X1258" r:id="rId2733" xr:uid="{00000000-0004-0000-0200-0000AC0A0000}"/>
    <hyperlink ref="X1259" r:id="rId2734" xr:uid="{00000000-0004-0000-0200-0000AD0A0000}"/>
    <hyperlink ref="X1260" r:id="rId2735" xr:uid="{00000000-0004-0000-0200-0000AE0A0000}"/>
    <hyperlink ref="X1261" r:id="rId2736" xr:uid="{00000000-0004-0000-0200-0000AF0A0000}"/>
    <hyperlink ref="X1262" r:id="rId2737" xr:uid="{00000000-0004-0000-0200-0000B00A0000}"/>
    <hyperlink ref="X1263" r:id="rId2738" xr:uid="{00000000-0004-0000-0200-0000B10A0000}"/>
    <hyperlink ref="X1264" r:id="rId2739" xr:uid="{00000000-0004-0000-0200-0000B20A0000}"/>
    <hyperlink ref="X1265" r:id="rId2740" xr:uid="{00000000-0004-0000-0200-0000B30A0000}"/>
    <hyperlink ref="X1266" r:id="rId2741" xr:uid="{00000000-0004-0000-0200-0000B40A0000}"/>
    <hyperlink ref="X1267" r:id="rId2742" xr:uid="{00000000-0004-0000-0200-0000B50A0000}"/>
    <hyperlink ref="X1268" r:id="rId2743" xr:uid="{00000000-0004-0000-0200-0000B60A0000}"/>
    <hyperlink ref="X1269" r:id="rId2744" xr:uid="{00000000-0004-0000-0200-0000B70A0000}"/>
    <hyperlink ref="X1270" r:id="rId2745" xr:uid="{00000000-0004-0000-0200-0000B80A0000}"/>
    <hyperlink ref="X1271" r:id="rId2746" xr:uid="{00000000-0004-0000-0200-0000B90A0000}"/>
    <hyperlink ref="X1272" r:id="rId2747" xr:uid="{00000000-0004-0000-0200-0000BA0A0000}"/>
    <hyperlink ref="X1273" r:id="rId2748" xr:uid="{00000000-0004-0000-0200-0000BB0A0000}"/>
    <hyperlink ref="X1274" r:id="rId2749" xr:uid="{00000000-0004-0000-0200-0000BC0A0000}"/>
    <hyperlink ref="X1275" r:id="rId2750" xr:uid="{00000000-0004-0000-0200-0000BD0A0000}"/>
    <hyperlink ref="X1276" r:id="rId2751" xr:uid="{00000000-0004-0000-0200-0000BE0A0000}"/>
    <hyperlink ref="X1277" r:id="rId2752" xr:uid="{00000000-0004-0000-0200-0000BF0A0000}"/>
    <hyperlink ref="X1278" r:id="rId2753" xr:uid="{00000000-0004-0000-0200-0000C00A0000}"/>
    <hyperlink ref="X1279" r:id="rId2754" xr:uid="{00000000-0004-0000-0200-0000C10A0000}"/>
    <hyperlink ref="X1280" r:id="rId2755" xr:uid="{00000000-0004-0000-0200-0000C20A0000}"/>
    <hyperlink ref="X1281" r:id="rId2756" xr:uid="{00000000-0004-0000-0200-0000C30A0000}"/>
    <hyperlink ref="X1282" r:id="rId2757" xr:uid="{00000000-0004-0000-0200-0000C40A0000}"/>
    <hyperlink ref="Y1236" r:id="rId2758" display="https://crsreports.congress.gov/product/pdf/IF/IF12040" xr:uid="{00000000-0004-0000-0200-0000C50A0000}"/>
    <hyperlink ref="Y1237" r:id="rId2759" display="https://crsreports.congress.gov/product/pdf/IF/IF12040" xr:uid="{00000000-0004-0000-0200-0000C60A0000}"/>
    <hyperlink ref="Y1238" r:id="rId2760" display="https://crsreports.congress.gov/product/pdf/IF/IF12040" xr:uid="{00000000-0004-0000-0200-0000C70A0000}"/>
    <hyperlink ref="Y1239" r:id="rId2761" display="https://crsreports.congress.gov/product/pdf/IF/IF12040" xr:uid="{00000000-0004-0000-0200-0000C80A0000}"/>
    <hyperlink ref="Y1240" r:id="rId2762" display="https://crsreports.congress.gov/product/pdf/IF/IF12040" xr:uid="{00000000-0004-0000-0200-0000C90A0000}"/>
    <hyperlink ref="Y1241" r:id="rId2763" display="https://crsreports.congress.gov/product/pdf/IF/IF12040" xr:uid="{00000000-0004-0000-0200-0000CA0A0000}"/>
    <hyperlink ref="Y1242" r:id="rId2764" display="https://crsreports.congress.gov/product/pdf/IF/IF12040" xr:uid="{00000000-0004-0000-0200-0000CB0A0000}"/>
    <hyperlink ref="Y1243" r:id="rId2765" display="https://crsreports.congress.gov/product/pdf/IF/IF12040" xr:uid="{00000000-0004-0000-0200-0000CC0A0000}"/>
    <hyperlink ref="Y1244" r:id="rId2766" display="https://crsreports.congress.gov/product/pdf/IF/IF12040" xr:uid="{00000000-0004-0000-0200-0000CD0A0000}"/>
    <hyperlink ref="Y1245" r:id="rId2767" display="https://crsreports.congress.gov/product/pdf/IF/IF12040" xr:uid="{00000000-0004-0000-0200-0000CE0A0000}"/>
    <hyperlink ref="Y1246" r:id="rId2768" display="https://crsreports.congress.gov/product/pdf/IF/IF12040" xr:uid="{00000000-0004-0000-0200-0000CF0A0000}"/>
    <hyperlink ref="Y1247" r:id="rId2769" display="https://crsreports.congress.gov/product/pdf/IF/IF12040" xr:uid="{00000000-0004-0000-0200-0000D00A0000}"/>
    <hyperlink ref="Y1248" r:id="rId2770" display="https://crsreports.congress.gov/product/pdf/IF/IF12040" xr:uid="{00000000-0004-0000-0200-0000D10A0000}"/>
    <hyperlink ref="Y1249" r:id="rId2771" display="https://crsreports.congress.gov/product/pdf/IF/IF12040" xr:uid="{00000000-0004-0000-0200-0000D20A0000}"/>
    <hyperlink ref="Y1250" r:id="rId2772" display="https://crsreports.congress.gov/product/pdf/IF/IF12040" xr:uid="{00000000-0004-0000-0200-0000D30A0000}"/>
    <hyperlink ref="Y1251" r:id="rId2773" display="https://crsreports.congress.gov/product/pdf/IF/IF12040" xr:uid="{00000000-0004-0000-0200-0000D40A0000}"/>
    <hyperlink ref="Y1252" r:id="rId2774" display="https://crsreports.congress.gov/product/pdf/IF/IF12040" xr:uid="{00000000-0004-0000-0200-0000D50A0000}"/>
    <hyperlink ref="Y1253" r:id="rId2775" display="https://crsreports.congress.gov/product/pdf/IF/IF12040" xr:uid="{00000000-0004-0000-0200-0000D60A0000}"/>
    <hyperlink ref="Y1254" r:id="rId2776" display="https://crsreports.congress.gov/product/pdf/IF/IF12040" xr:uid="{00000000-0004-0000-0200-0000D70A0000}"/>
    <hyperlink ref="Y1255" r:id="rId2777" display="https://crsreports.congress.gov/product/pdf/IF/IF12040" xr:uid="{00000000-0004-0000-0200-0000D80A0000}"/>
    <hyperlink ref="Y1256" r:id="rId2778" display="https://crsreports.congress.gov/product/pdf/IF/IF12040" xr:uid="{00000000-0004-0000-0200-0000D90A0000}"/>
    <hyperlink ref="Y1257" r:id="rId2779" display="https://crsreports.congress.gov/product/pdf/IF/IF12040" xr:uid="{00000000-0004-0000-0200-0000DA0A0000}"/>
    <hyperlink ref="Y1258" r:id="rId2780" display="https://crsreports.congress.gov/product/pdf/IF/IF12040" xr:uid="{00000000-0004-0000-0200-0000DB0A0000}"/>
    <hyperlink ref="Y1259" r:id="rId2781" display="https://crsreports.congress.gov/product/pdf/IF/IF12040" xr:uid="{00000000-0004-0000-0200-0000DC0A0000}"/>
    <hyperlink ref="Y1260" r:id="rId2782" display="https://crsreports.congress.gov/product/pdf/IF/IF12040" xr:uid="{00000000-0004-0000-0200-0000DD0A0000}"/>
    <hyperlink ref="Y1261" r:id="rId2783" display="https://crsreports.congress.gov/product/pdf/IF/IF12040" xr:uid="{00000000-0004-0000-0200-0000DE0A0000}"/>
    <hyperlink ref="Y1262" r:id="rId2784" display="https://crsreports.congress.gov/product/pdf/IF/IF12040" xr:uid="{00000000-0004-0000-0200-0000DF0A0000}"/>
    <hyperlink ref="Y1263" r:id="rId2785" display="https://crsreports.congress.gov/product/pdf/IF/IF12040" xr:uid="{00000000-0004-0000-0200-0000E00A0000}"/>
    <hyperlink ref="Y1264" r:id="rId2786" display="https://crsreports.congress.gov/product/pdf/IF/IF12040" xr:uid="{00000000-0004-0000-0200-0000E10A0000}"/>
    <hyperlink ref="Y1265" r:id="rId2787" display="https://crsreports.congress.gov/product/pdf/IF/IF12040" xr:uid="{00000000-0004-0000-0200-0000E20A0000}"/>
    <hyperlink ref="Y1266" r:id="rId2788" display="https://crsreports.congress.gov/product/pdf/IF/IF12040" xr:uid="{00000000-0004-0000-0200-0000E30A0000}"/>
    <hyperlink ref="Y1267" r:id="rId2789" display="https://crsreports.congress.gov/product/pdf/IF/IF12040" xr:uid="{00000000-0004-0000-0200-0000E40A0000}"/>
    <hyperlink ref="Y1268" r:id="rId2790" display="https://crsreports.congress.gov/product/pdf/IF/IF12040" xr:uid="{00000000-0004-0000-0200-0000E50A0000}"/>
    <hyperlink ref="Y1269" r:id="rId2791" display="https://crsreports.congress.gov/product/pdf/IF/IF12040" xr:uid="{00000000-0004-0000-0200-0000E60A0000}"/>
    <hyperlink ref="Y1270" r:id="rId2792" display="https://crsreports.congress.gov/product/pdf/IF/IF12040" xr:uid="{00000000-0004-0000-0200-0000E70A0000}"/>
    <hyperlink ref="Y1271" r:id="rId2793" display="https://crsreports.congress.gov/product/pdf/IF/IF12040" xr:uid="{00000000-0004-0000-0200-0000E80A0000}"/>
    <hyperlink ref="Y1272" r:id="rId2794" display="https://crsreports.congress.gov/product/pdf/IF/IF12040" xr:uid="{00000000-0004-0000-0200-0000E90A0000}"/>
    <hyperlink ref="Y1273" r:id="rId2795" display="https://crsreports.congress.gov/product/pdf/IF/IF12040" xr:uid="{00000000-0004-0000-0200-0000EA0A0000}"/>
    <hyperlink ref="Y1274" r:id="rId2796" display="https://crsreports.congress.gov/product/pdf/IF/IF12040" xr:uid="{00000000-0004-0000-0200-0000EB0A0000}"/>
    <hyperlink ref="Y1275" r:id="rId2797" display="https://crsreports.congress.gov/product/pdf/IF/IF12040" xr:uid="{00000000-0004-0000-0200-0000EC0A0000}"/>
    <hyperlink ref="Y1276" r:id="rId2798" display="https://crsreports.congress.gov/product/pdf/IF/IF12040" xr:uid="{00000000-0004-0000-0200-0000ED0A0000}"/>
    <hyperlink ref="Y1277" r:id="rId2799" display="https://crsreports.congress.gov/product/pdf/IF/IF12040" xr:uid="{00000000-0004-0000-0200-0000EE0A0000}"/>
    <hyperlink ref="Y1278" r:id="rId2800" display="https://crsreports.congress.gov/product/pdf/IF/IF12040" xr:uid="{00000000-0004-0000-0200-0000EF0A0000}"/>
    <hyperlink ref="Y1279" r:id="rId2801" display="https://crsreports.congress.gov/product/pdf/IF/IF12040" xr:uid="{00000000-0004-0000-0200-0000F00A0000}"/>
    <hyperlink ref="Y1280" r:id="rId2802" display="https://crsreports.congress.gov/product/pdf/IF/IF12040" xr:uid="{00000000-0004-0000-0200-0000F10A0000}"/>
    <hyperlink ref="Y1281" r:id="rId2803" display="https://crsreports.congress.gov/product/pdf/IF/IF12040" xr:uid="{00000000-0004-0000-0200-0000F20A0000}"/>
    <hyperlink ref="Y1282" r:id="rId2804" display="https://crsreports.congress.gov/product/pdf/IF/IF12040" xr:uid="{00000000-0004-0000-0200-0000F30A0000}"/>
    <hyperlink ref="W1236" r:id="rId2805" xr:uid="{00000000-0004-0000-0200-0000F40A0000}"/>
    <hyperlink ref="W1237" r:id="rId2806" xr:uid="{00000000-0004-0000-0200-0000F50A0000}"/>
    <hyperlink ref="W1238" r:id="rId2807" xr:uid="{00000000-0004-0000-0200-0000F60A0000}"/>
    <hyperlink ref="W1239" r:id="rId2808" xr:uid="{00000000-0004-0000-0200-0000F70A0000}"/>
    <hyperlink ref="W1240" r:id="rId2809" xr:uid="{00000000-0004-0000-0200-0000F80A0000}"/>
    <hyperlink ref="W1241" r:id="rId2810" xr:uid="{00000000-0004-0000-0200-0000F90A0000}"/>
    <hyperlink ref="W1242" r:id="rId2811" xr:uid="{00000000-0004-0000-0200-0000FA0A0000}"/>
    <hyperlink ref="W1243" r:id="rId2812" xr:uid="{00000000-0004-0000-0200-0000FB0A0000}"/>
    <hyperlink ref="W1244" r:id="rId2813" xr:uid="{00000000-0004-0000-0200-0000FC0A0000}"/>
    <hyperlink ref="W1245" r:id="rId2814" xr:uid="{00000000-0004-0000-0200-0000FD0A0000}"/>
    <hyperlink ref="W1246" r:id="rId2815" xr:uid="{00000000-0004-0000-0200-0000FE0A0000}"/>
    <hyperlink ref="W1247" r:id="rId2816" xr:uid="{00000000-0004-0000-0200-0000FF0A0000}"/>
    <hyperlink ref="W1248" r:id="rId2817" xr:uid="{00000000-0004-0000-0200-0000000B0000}"/>
    <hyperlink ref="W1249" r:id="rId2818" xr:uid="{00000000-0004-0000-0200-0000010B0000}"/>
    <hyperlink ref="W1250" r:id="rId2819" xr:uid="{00000000-0004-0000-0200-0000020B0000}"/>
    <hyperlink ref="W1251" r:id="rId2820" xr:uid="{00000000-0004-0000-0200-0000030B0000}"/>
    <hyperlink ref="W1252" r:id="rId2821" xr:uid="{00000000-0004-0000-0200-0000040B0000}"/>
    <hyperlink ref="W1253" r:id="rId2822" xr:uid="{00000000-0004-0000-0200-0000050B0000}"/>
    <hyperlink ref="W1254" r:id="rId2823" xr:uid="{00000000-0004-0000-0200-0000060B0000}"/>
    <hyperlink ref="W1255" r:id="rId2824" xr:uid="{00000000-0004-0000-0200-0000070B0000}"/>
    <hyperlink ref="W1256" r:id="rId2825" xr:uid="{00000000-0004-0000-0200-0000080B0000}"/>
    <hyperlink ref="W1257" r:id="rId2826" xr:uid="{00000000-0004-0000-0200-0000090B0000}"/>
    <hyperlink ref="W1258" r:id="rId2827" xr:uid="{00000000-0004-0000-0200-00000A0B0000}"/>
    <hyperlink ref="W1259" r:id="rId2828" xr:uid="{00000000-0004-0000-0200-00000B0B0000}"/>
    <hyperlink ref="W1260" r:id="rId2829" xr:uid="{00000000-0004-0000-0200-00000C0B0000}"/>
    <hyperlink ref="W1261" r:id="rId2830" xr:uid="{00000000-0004-0000-0200-00000D0B0000}"/>
    <hyperlink ref="W1262" r:id="rId2831" xr:uid="{00000000-0004-0000-0200-00000E0B0000}"/>
    <hyperlink ref="W1263" r:id="rId2832" xr:uid="{00000000-0004-0000-0200-00000F0B0000}"/>
    <hyperlink ref="W1264" r:id="rId2833" xr:uid="{00000000-0004-0000-0200-0000100B0000}"/>
    <hyperlink ref="W1265" r:id="rId2834" xr:uid="{00000000-0004-0000-0200-0000110B0000}"/>
    <hyperlink ref="W1266" r:id="rId2835" xr:uid="{00000000-0004-0000-0200-0000120B0000}"/>
    <hyperlink ref="W1267" r:id="rId2836" xr:uid="{00000000-0004-0000-0200-0000130B0000}"/>
    <hyperlink ref="W1268" r:id="rId2837" xr:uid="{00000000-0004-0000-0200-0000140B0000}"/>
    <hyperlink ref="W1269" r:id="rId2838" xr:uid="{00000000-0004-0000-0200-0000150B0000}"/>
    <hyperlink ref="W1270" r:id="rId2839" xr:uid="{00000000-0004-0000-0200-0000160B0000}"/>
    <hyperlink ref="W1271" r:id="rId2840" xr:uid="{00000000-0004-0000-0200-0000170B0000}"/>
    <hyperlink ref="W1272" r:id="rId2841" xr:uid="{00000000-0004-0000-0200-0000180B0000}"/>
    <hyperlink ref="W1273" r:id="rId2842" xr:uid="{00000000-0004-0000-0200-0000190B0000}"/>
    <hyperlink ref="W1274" r:id="rId2843" xr:uid="{00000000-0004-0000-0200-00001A0B0000}"/>
    <hyperlink ref="W1275" r:id="rId2844" xr:uid="{00000000-0004-0000-0200-00001B0B0000}"/>
    <hyperlink ref="W1276" r:id="rId2845" xr:uid="{00000000-0004-0000-0200-00001C0B0000}"/>
    <hyperlink ref="W1277" r:id="rId2846" xr:uid="{00000000-0004-0000-0200-00001D0B0000}"/>
    <hyperlink ref="W1278" r:id="rId2847" xr:uid="{00000000-0004-0000-0200-00001E0B0000}"/>
    <hyperlink ref="W1279" r:id="rId2848" xr:uid="{00000000-0004-0000-0200-00001F0B0000}"/>
    <hyperlink ref="W1280" r:id="rId2849" xr:uid="{00000000-0004-0000-0200-0000200B0000}"/>
    <hyperlink ref="W1281" r:id="rId2850" xr:uid="{00000000-0004-0000-0200-0000210B0000}"/>
    <hyperlink ref="W1282" r:id="rId2851" xr:uid="{00000000-0004-0000-0200-0000220B0000}"/>
    <hyperlink ref="X1236" r:id="rId2852" xr:uid="{00000000-0004-0000-0200-0000230B0000}"/>
    <hyperlink ref="X1237" r:id="rId2853" xr:uid="{00000000-0004-0000-0200-0000240B0000}"/>
    <hyperlink ref="X1238" r:id="rId2854" xr:uid="{00000000-0004-0000-0200-0000250B0000}"/>
    <hyperlink ref="X1239" r:id="rId2855" xr:uid="{00000000-0004-0000-0200-0000260B0000}"/>
    <hyperlink ref="X1240" r:id="rId2856" xr:uid="{00000000-0004-0000-0200-0000270B0000}"/>
    <hyperlink ref="X1241" r:id="rId2857" xr:uid="{00000000-0004-0000-0200-0000280B0000}"/>
    <hyperlink ref="X1242" r:id="rId2858" xr:uid="{00000000-0004-0000-0200-0000290B0000}"/>
    <hyperlink ref="X1243" r:id="rId2859" xr:uid="{00000000-0004-0000-0200-00002A0B0000}"/>
    <hyperlink ref="X1244" r:id="rId2860" xr:uid="{00000000-0004-0000-0200-00002B0B0000}"/>
    <hyperlink ref="X1245" r:id="rId2861" xr:uid="{00000000-0004-0000-0200-00002C0B0000}"/>
    <hyperlink ref="X1246" r:id="rId2862" xr:uid="{00000000-0004-0000-0200-00002D0B0000}"/>
    <hyperlink ref="X1247" r:id="rId2863" xr:uid="{00000000-0004-0000-0200-00002E0B0000}"/>
    <hyperlink ref="X1248" r:id="rId2864" xr:uid="{00000000-0004-0000-0200-00002F0B0000}"/>
    <hyperlink ref="X1249" r:id="rId2865" xr:uid="{00000000-0004-0000-0200-0000300B0000}"/>
    <hyperlink ref="X1250" r:id="rId2866" xr:uid="{00000000-0004-0000-0200-0000310B0000}"/>
    <hyperlink ref="X1251" r:id="rId2867" xr:uid="{00000000-0004-0000-0200-0000320B0000}"/>
    <hyperlink ref="X1252" r:id="rId2868" xr:uid="{00000000-0004-0000-0200-0000330B0000}"/>
    <hyperlink ref="X1253" r:id="rId2869" xr:uid="{00000000-0004-0000-0200-0000340B0000}"/>
    <hyperlink ref="X1254" r:id="rId2870" xr:uid="{00000000-0004-0000-0200-0000350B0000}"/>
    <hyperlink ref="X1255" r:id="rId2871" xr:uid="{00000000-0004-0000-0200-0000360B0000}"/>
    <hyperlink ref="X1256" r:id="rId2872" xr:uid="{00000000-0004-0000-0200-0000370B0000}"/>
    <hyperlink ref="X1257" r:id="rId2873" xr:uid="{00000000-0004-0000-0200-0000380B0000}"/>
    <hyperlink ref="X1258" r:id="rId2874" xr:uid="{00000000-0004-0000-0200-0000390B0000}"/>
    <hyperlink ref="X1259" r:id="rId2875" xr:uid="{00000000-0004-0000-0200-00003A0B0000}"/>
    <hyperlink ref="X1260" r:id="rId2876" xr:uid="{00000000-0004-0000-0200-00003B0B0000}"/>
    <hyperlink ref="X1261" r:id="rId2877" xr:uid="{00000000-0004-0000-0200-00003C0B0000}"/>
    <hyperlink ref="X1262" r:id="rId2878" xr:uid="{00000000-0004-0000-0200-00003D0B0000}"/>
    <hyperlink ref="X1263" r:id="rId2879" xr:uid="{00000000-0004-0000-0200-00003E0B0000}"/>
    <hyperlink ref="X1264" r:id="rId2880" xr:uid="{00000000-0004-0000-0200-00003F0B0000}"/>
    <hyperlink ref="X1265" r:id="rId2881" xr:uid="{00000000-0004-0000-0200-0000400B0000}"/>
    <hyperlink ref="X1266" r:id="rId2882" xr:uid="{00000000-0004-0000-0200-0000410B0000}"/>
    <hyperlink ref="X1267" r:id="rId2883" xr:uid="{00000000-0004-0000-0200-0000420B0000}"/>
    <hyperlink ref="X1268" r:id="rId2884" xr:uid="{00000000-0004-0000-0200-0000430B0000}"/>
    <hyperlink ref="X1269" r:id="rId2885" xr:uid="{00000000-0004-0000-0200-0000440B0000}"/>
    <hyperlink ref="X1270" r:id="rId2886" xr:uid="{00000000-0004-0000-0200-0000450B0000}"/>
    <hyperlink ref="X1271" r:id="rId2887" xr:uid="{00000000-0004-0000-0200-0000460B0000}"/>
    <hyperlink ref="X1272" r:id="rId2888" xr:uid="{00000000-0004-0000-0200-0000470B0000}"/>
    <hyperlink ref="X1273" r:id="rId2889" xr:uid="{00000000-0004-0000-0200-0000480B0000}"/>
    <hyperlink ref="X1274" r:id="rId2890" xr:uid="{00000000-0004-0000-0200-0000490B0000}"/>
    <hyperlink ref="X1275" r:id="rId2891" xr:uid="{00000000-0004-0000-0200-00004A0B0000}"/>
    <hyperlink ref="X1276" r:id="rId2892" xr:uid="{00000000-0004-0000-0200-00004B0B0000}"/>
    <hyperlink ref="X1277" r:id="rId2893" xr:uid="{00000000-0004-0000-0200-00004C0B0000}"/>
    <hyperlink ref="X1278" r:id="rId2894" xr:uid="{00000000-0004-0000-0200-00004D0B0000}"/>
    <hyperlink ref="X1279" r:id="rId2895" xr:uid="{00000000-0004-0000-0200-00004E0B0000}"/>
    <hyperlink ref="X1280" r:id="rId2896" xr:uid="{00000000-0004-0000-0200-00004F0B0000}"/>
    <hyperlink ref="X1281" r:id="rId2897" xr:uid="{00000000-0004-0000-0200-0000500B0000}"/>
    <hyperlink ref="X1282" r:id="rId2898" xr:uid="{00000000-0004-0000-0200-0000510B0000}"/>
    <hyperlink ref="V1375" r:id="rId2899" xr:uid="{00000000-0004-0000-0200-0000520B0000}"/>
    <hyperlink ref="W1375" r:id="rId2900" xr:uid="{00000000-0004-0000-0200-0000530B0000}"/>
    <hyperlink ref="X1375" r:id="rId2901" xr:uid="{00000000-0004-0000-0200-0000540B0000}"/>
    <hyperlink ref="V1376" r:id="rId2902" xr:uid="{00000000-0004-0000-0200-0000550B0000}"/>
    <hyperlink ref="W1376" r:id="rId2903" xr:uid="{00000000-0004-0000-0200-0000560B0000}"/>
    <hyperlink ref="X1376" r:id="rId2904" display="https://crsreports.congress.gov/product/pdf/IF/IF12040" xr:uid="{00000000-0004-0000-0200-0000570B0000}"/>
    <hyperlink ref="W1377" r:id="rId2905" xr:uid="{00000000-0004-0000-0200-0000580B0000}"/>
    <hyperlink ref="X1377" r:id="rId2906" xr:uid="{00000000-0004-0000-0200-0000590B0000}"/>
    <hyperlink ref="Y1377" r:id="rId2907" display="https://crsreports.congress.gov/product/pdf/IF/IF12040" xr:uid="{00000000-0004-0000-0200-00005A0B0000}"/>
    <hyperlink ref="W1378" r:id="rId2908" xr:uid="{00000000-0004-0000-0200-00005B0B0000}"/>
    <hyperlink ref="W1379" r:id="rId2909" xr:uid="{00000000-0004-0000-0200-00005C0B0000}"/>
    <hyperlink ref="W1380" r:id="rId2910" xr:uid="{00000000-0004-0000-0200-00005D0B0000}"/>
    <hyperlink ref="W1381" r:id="rId2911" xr:uid="{00000000-0004-0000-0200-00005E0B0000}"/>
    <hyperlink ref="X1378" r:id="rId2912" xr:uid="{00000000-0004-0000-0200-00005F0B0000}"/>
    <hyperlink ref="X1379" r:id="rId2913" xr:uid="{00000000-0004-0000-0200-0000600B0000}"/>
    <hyperlink ref="X1380" r:id="rId2914" xr:uid="{00000000-0004-0000-0200-0000610B0000}"/>
    <hyperlink ref="X1381" r:id="rId2915" xr:uid="{00000000-0004-0000-0200-0000620B0000}"/>
    <hyperlink ref="Y1378" r:id="rId2916" display="https://crsreports.congress.gov/product/pdf/IF/IF12040" xr:uid="{00000000-0004-0000-0200-0000630B0000}"/>
    <hyperlink ref="Y1379" r:id="rId2917" display="https://crsreports.congress.gov/product/pdf/IF/IF12040" xr:uid="{00000000-0004-0000-0200-0000640B0000}"/>
    <hyperlink ref="Y1380" r:id="rId2918" display="https://crsreports.congress.gov/product/pdf/IF/IF12040" xr:uid="{00000000-0004-0000-0200-0000650B0000}"/>
    <hyperlink ref="Y1381" r:id="rId2919" display="https://crsreports.congress.gov/product/pdf/IF/IF12040" xr:uid="{00000000-0004-0000-0200-0000660B0000}"/>
    <hyperlink ref="X1382" r:id="rId2920" xr:uid="{00000000-0004-0000-0200-0000670B0000}"/>
    <hyperlink ref="W1382" r:id="rId2921" xr:uid="{00000000-0004-0000-0200-0000680B0000}"/>
    <hyperlink ref="V1382" r:id="rId2922" xr:uid="{00000000-0004-0000-0200-0000690B0000}"/>
    <hyperlink ref="X964" r:id="rId2923" xr:uid="{00000000-0004-0000-0200-00006A0B0000}"/>
    <hyperlink ref="V965" r:id="rId2924" xr:uid="{00000000-0004-0000-0200-00006B0B0000}"/>
    <hyperlink ref="V966" r:id="rId2925" xr:uid="{00000000-0004-0000-0200-00006C0B0000}"/>
    <hyperlink ref="V967" r:id="rId2926" xr:uid="{00000000-0004-0000-0200-00006D0B0000}"/>
    <hyperlink ref="W965" r:id="rId2927" xr:uid="{00000000-0004-0000-0200-00006E0B0000}"/>
    <hyperlink ref="W966" r:id="rId2928" xr:uid="{00000000-0004-0000-0200-00006F0B0000}"/>
    <hyperlink ref="W967" r:id="rId2929" xr:uid="{00000000-0004-0000-0200-0000700B0000}"/>
    <hyperlink ref="X1009" r:id="rId2930" xr:uid="{00000000-0004-0000-0200-0000710B0000}"/>
    <hyperlink ref="X1010" r:id="rId2931" xr:uid="{00000000-0004-0000-0200-0000720B0000}"/>
    <hyperlink ref="AB530" r:id="rId2932" location=":~:text=Greece%20sent%20Ukraine%20military%20equipment%20compatible%20with%20that,rocket%20launchers%2C%20aligning%20itself%20with%20NATO%E2%80%99s%20indirect%20assistance.?msclkid=6dac7726ab8911ec980d9386f90d3180" display="https://www.thenationalherald.com/russias-ukraine-invasion-sees-greece-taking-bigger-nato-role/#:~:text=Greece%20sent%20Ukraine%20military%20equipment%20compatible%20with%20that,rocket%20launchers%2C%20aligning%20itself%20with%20NATO%E2%80%99s%20indirect%20assistance.?msclkid=6dac7726ab8911ec980d9386f90d3180" xr:uid="{00000000-0004-0000-0200-0000730B0000}"/>
    <hyperlink ref="V106" r:id="rId2933" xr:uid="{00000000-0004-0000-0200-0000740B0000}"/>
    <hyperlink ref="W106" r:id="rId2934" xr:uid="{00000000-0004-0000-0200-0000750B0000}"/>
    <hyperlink ref="Y362" r:id="rId2935" xr:uid="{00000000-0004-0000-0200-0000760B0000}"/>
    <hyperlink ref="V185" r:id="rId2936" xr:uid="{00000000-0004-0000-0200-0000770B0000}"/>
    <hyperlink ref="X185" r:id="rId2937" xr:uid="{00000000-0004-0000-0200-0000780B0000}"/>
    <hyperlink ref="V361" r:id="rId2938" xr:uid="{00000000-0004-0000-0200-0000790B0000}"/>
    <hyperlink ref="W361" r:id="rId2939" xr:uid="{00000000-0004-0000-0200-00007A0B0000}"/>
    <hyperlink ref="V364" r:id="rId2940" xr:uid="{00000000-0004-0000-0200-00007B0B0000}"/>
    <hyperlink ref="V365" r:id="rId2941" xr:uid="{00000000-0004-0000-0200-00007C0B0000}"/>
    <hyperlink ref="W364" r:id="rId2942" xr:uid="{00000000-0004-0000-0200-00007D0B0000}"/>
    <hyperlink ref="W365" r:id="rId2943" xr:uid="{00000000-0004-0000-0200-00007E0B0000}"/>
    <hyperlink ref="AB370" r:id="rId2944" xr:uid="{00000000-0004-0000-0200-00007F0B0000}"/>
    <hyperlink ref="V595" r:id="rId2945" xr:uid="{00000000-0004-0000-0200-0000800B0000}"/>
    <hyperlink ref="W595" r:id="rId2946" xr:uid="{00000000-0004-0000-0200-0000810B0000}"/>
    <hyperlink ref="V596" r:id="rId2947" xr:uid="{00000000-0004-0000-0200-0000820B0000}"/>
    <hyperlink ref="W596" r:id="rId2948" xr:uid="{00000000-0004-0000-0200-0000830B0000}"/>
  </hyperlinks>
  <pageMargins left="0.7" right="0.7" top="0.75" bottom="0.75" header="0.3" footer="0.3"/>
  <pageSetup paperSize="8" fitToWidth="0" fitToHeight="0" orientation="portrait" horizontalDpi="4294967293" r:id="rId2949"/>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D9E1F2"/>
  </sheetPr>
  <dimension ref="B1:O58"/>
  <sheetViews>
    <sheetView showGridLines="0" zoomScaleNormal="100" workbookViewId="0"/>
  </sheetViews>
  <sheetFormatPr baseColWidth="10" defaultColWidth="8.59765625" defaultRowHeight="15.9" customHeight="1" x14ac:dyDescent="0.3"/>
  <cols>
    <col min="1" max="1" width="8.59765625" style="24" customWidth="1"/>
    <col min="2" max="2" width="33.5" style="24" customWidth="1"/>
    <col min="3" max="3" width="34.3984375" style="384" bestFit="1" customWidth="1"/>
    <col min="4" max="4" width="40.8984375" style="115" customWidth="1"/>
    <col min="5" max="5" width="51.8984375" style="385" bestFit="1" customWidth="1"/>
    <col min="6" max="6" width="45.09765625" style="129" bestFit="1" customWidth="1"/>
    <col min="7" max="7" width="41" style="385" customWidth="1"/>
    <col min="8" max="8" width="24.3984375" style="172" bestFit="1" customWidth="1"/>
    <col min="9" max="11" width="8.59765625" style="172" customWidth="1"/>
    <col min="12" max="12" width="8.59765625" style="24" customWidth="1"/>
    <col min="13" max="16384" width="8.59765625" style="24"/>
  </cols>
  <sheetData>
    <row r="1" spans="2:15" s="35" customFormat="1" ht="15.9" customHeight="1" x14ac:dyDescent="0.3">
      <c r="B1" s="39"/>
      <c r="C1" s="148"/>
      <c r="D1" s="148"/>
      <c r="E1" s="148"/>
      <c r="F1" s="148"/>
      <c r="G1" s="39"/>
      <c r="H1" s="39"/>
    </row>
    <row r="2" spans="2:15" s="39" customFormat="1" ht="24.75" customHeight="1" x14ac:dyDescent="0.35">
      <c r="B2" s="415" t="s">
        <v>3761</v>
      </c>
    </row>
    <row r="3" spans="2:15" s="116" customFormat="1" ht="15.9" customHeight="1" x14ac:dyDescent="0.3">
      <c r="C3" s="39"/>
    </row>
    <row r="4" spans="2:15" s="116" customFormat="1" ht="15.9" customHeight="1" x14ac:dyDescent="0.25">
      <c r="B4" s="1201" t="s">
        <v>3762</v>
      </c>
      <c r="C4" s="1201"/>
      <c r="D4" s="1201"/>
      <c r="E4" s="1201"/>
      <c r="F4" s="1201"/>
      <c r="G4" s="1201"/>
    </row>
    <row r="5" spans="2:15" s="116" customFormat="1" ht="15.9" customHeight="1" x14ac:dyDescent="0.25">
      <c r="B5" s="1201"/>
      <c r="C5" s="1201"/>
      <c r="D5" s="1201"/>
      <c r="E5" s="1201"/>
      <c r="F5" s="1201"/>
      <c r="G5" s="1201"/>
    </row>
    <row r="6" spans="2:15" s="116" customFormat="1" ht="15.9" customHeight="1" x14ac:dyDescent="0.25">
      <c r="B6" s="1201"/>
      <c r="C6" s="1201"/>
      <c r="D6" s="1201"/>
      <c r="E6" s="1201"/>
      <c r="F6" s="1201"/>
      <c r="G6" s="1201"/>
    </row>
    <row r="7" spans="2:15" s="116" customFormat="1" ht="15.9" customHeight="1" x14ac:dyDescent="0.25">
      <c r="B7" s="1201"/>
      <c r="C7" s="1201"/>
      <c r="D7" s="1201"/>
      <c r="E7" s="1201"/>
      <c r="F7" s="1201"/>
      <c r="G7" s="1201"/>
    </row>
    <row r="8" spans="2:15" s="116" customFormat="1" ht="15.9" customHeight="1" x14ac:dyDescent="0.25">
      <c r="B8" s="1201"/>
      <c r="C8" s="1201"/>
      <c r="D8" s="1201"/>
      <c r="E8" s="1201"/>
      <c r="F8" s="1201"/>
      <c r="G8" s="1201"/>
    </row>
    <row r="9" spans="2:15" s="116" customFormat="1" ht="21" customHeight="1" x14ac:dyDescent="0.25">
      <c r="B9" s="1201"/>
      <c r="C9" s="1201"/>
      <c r="D9" s="1201"/>
      <c r="E9" s="1201"/>
      <c r="F9" s="1201"/>
      <c r="G9" s="1201"/>
    </row>
    <row r="11" spans="2:15" s="352" customFormat="1" ht="21.75" customHeight="1" x14ac:dyDescent="0.35">
      <c r="B11" s="1143" t="s">
        <v>3499</v>
      </c>
      <c r="C11" s="306" t="s">
        <v>3763</v>
      </c>
      <c r="D11" s="306" t="s">
        <v>3764</v>
      </c>
      <c r="E11" s="307" t="s">
        <v>3765</v>
      </c>
      <c r="F11" s="306" t="s">
        <v>3766</v>
      </c>
      <c r="G11" s="307" t="s">
        <v>3767</v>
      </c>
      <c r="H11" s="1144" t="s">
        <v>3533</v>
      </c>
      <c r="K11" s="605" t="s">
        <v>3768</v>
      </c>
    </row>
    <row r="12" spans="2:15" s="352" customFormat="1" ht="24.75" customHeight="1" x14ac:dyDescent="0.3">
      <c r="B12" s="308"/>
      <c r="C12" s="309" t="s">
        <v>3769</v>
      </c>
      <c r="D12" s="309" t="s">
        <v>3770</v>
      </c>
      <c r="E12" s="310" t="s">
        <v>3771</v>
      </c>
      <c r="F12" s="309" t="s">
        <v>3772</v>
      </c>
      <c r="G12" s="310" t="s">
        <v>3773</v>
      </c>
      <c r="H12" s="311"/>
    </row>
    <row r="13" spans="2:15" ht="15.9" customHeight="1" x14ac:dyDescent="0.3">
      <c r="B13" s="2" t="s">
        <v>2792</v>
      </c>
      <c r="C13" s="314">
        <f>VLOOKUP(B13,'Data Transparency Index'!B:H,2,0)</f>
        <v>1</v>
      </c>
      <c r="D13" s="183">
        <f>VLOOKUP(B13,'Data Transparency Index'!B:H,3,0)</f>
        <v>1</v>
      </c>
      <c r="E13" s="315">
        <f>VLOOKUP(B13,'Data Transparency Index'!B:H,4,0)</f>
        <v>1</v>
      </c>
      <c r="F13" s="316">
        <f>VLOOKUP(B13,'Data Transparency Index'!B:H,5,0)</f>
        <v>1</v>
      </c>
      <c r="G13" s="315">
        <f>VLOOKUP(B13,'Data Transparency Index'!B:H,6,0)</f>
        <v>1</v>
      </c>
      <c r="H13" s="270">
        <f>VLOOKUP(B13,'Data Transparency Index'!B:H,7,0)</f>
        <v>5</v>
      </c>
      <c r="I13" s="173"/>
      <c r="J13" s="173"/>
      <c r="K13" s="173"/>
    </row>
    <row r="14" spans="2:15" ht="15.9" customHeight="1" x14ac:dyDescent="0.3">
      <c r="B14" s="24" t="s">
        <v>856</v>
      </c>
      <c r="C14" s="314">
        <f>VLOOKUP(B14,'Data Transparency Index'!B:H,2,0)</f>
        <v>1</v>
      </c>
      <c r="D14" s="183">
        <f>VLOOKUP(B14,'Data Transparency Index'!B:H,3,0)</f>
        <v>1</v>
      </c>
      <c r="E14" s="315">
        <f>VLOOKUP(B14,'Data Transparency Index'!B:H,4,0)</f>
        <v>1</v>
      </c>
      <c r="F14" s="316">
        <f>VLOOKUP(B14,'Data Transparency Index'!B:H,5,0)</f>
        <v>1</v>
      </c>
      <c r="G14" s="315">
        <f>VLOOKUP(B14,'Data Transparency Index'!B:H,6,0)</f>
        <v>0.6875</v>
      </c>
      <c r="H14" s="270">
        <f>VLOOKUP(B14,'Data Transparency Index'!B:H,7,0)</f>
        <v>4.6875</v>
      </c>
      <c r="I14" s="173"/>
      <c r="J14" s="173"/>
      <c r="K14" s="173"/>
      <c r="L14" s="387"/>
      <c r="M14" s="387"/>
      <c r="N14" s="387"/>
      <c r="O14" s="387"/>
    </row>
    <row r="15" spans="2:15" ht="15.9" customHeight="1" x14ac:dyDescent="0.3">
      <c r="B15" s="24" t="s">
        <v>3038</v>
      </c>
      <c r="C15" s="314">
        <f>VLOOKUP(B15,'Data Transparency Index'!B:H,2,0)</f>
        <v>1</v>
      </c>
      <c r="D15" s="183">
        <f>VLOOKUP(B15,'Data Transparency Index'!B:H,3,0)</f>
        <v>1</v>
      </c>
      <c r="E15" s="315">
        <f>VLOOKUP(B15,'Data Transparency Index'!B:H,4,0)</f>
        <v>1</v>
      </c>
      <c r="F15" s="316">
        <f>VLOOKUP(B15,'Data Transparency Index'!B:H,5,0)</f>
        <v>1</v>
      </c>
      <c r="G15" s="315">
        <f>VLOOKUP(B15,'Data Transparency Index'!B:H,6,0)</f>
        <v>0.61414790996784574</v>
      </c>
      <c r="H15" s="270">
        <f>VLOOKUP(B15,'Data Transparency Index'!B:H,7,0)</f>
        <v>4.614147909967846</v>
      </c>
      <c r="I15" s="173"/>
      <c r="J15" s="173"/>
      <c r="K15" s="173"/>
    </row>
    <row r="16" spans="2:15" ht="15.9" customHeight="1" x14ac:dyDescent="0.3">
      <c r="B16" s="24" t="s">
        <v>2715</v>
      </c>
      <c r="C16" s="314">
        <f>VLOOKUP(B16,'Data Transparency Index'!B:H,2,0)</f>
        <v>1</v>
      </c>
      <c r="D16" s="183">
        <f>VLOOKUP(B16,'Data Transparency Index'!B:H,3,0)</f>
        <v>1</v>
      </c>
      <c r="E16" s="315">
        <f>VLOOKUP(B16,'Data Transparency Index'!B:H,4,0)</f>
        <v>0.84</v>
      </c>
      <c r="F16" s="316">
        <f>VLOOKUP(B16,'Data Transparency Index'!B:H,5,0)</f>
        <v>0.96</v>
      </c>
      <c r="G16" s="315">
        <f>VLOOKUP(B16,'Data Transparency Index'!B:H,6,0)</f>
        <v>0.72727272727272729</v>
      </c>
      <c r="H16" s="270">
        <f>VLOOKUP(B16,'Data Transparency Index'!B:H,7,0)</f>
        <v>4.5272727272727273</v>
      </c>
      <c r="I16" s="173"/>
      <c r="J16" s="173"/>
      <c r="K16" s="173"/>
      <c r="L16" s="387"/>
      <c r="M16" s="387"/>
      <c r="N16" s="387"/>
      <c r="O16" s="387"/>
    </row>
    <row r="17" spans="2:15" ht="15.9" customHeight="1" x14ac:dyDescent="0.3">
      <c r="B17" s="24" t="s">
        <v>2076</v>
      </c>
      <c r="C17" s="314">
        <f>VLOOKUP(B17,'Data Transparency Index'!B:H,2,0)</f>
        <v>1</v>
      </c>
      <c r="D17" s="183">
        <f>VLOOKUP(B17,'Data Transparency Index'!B:H,3,0)</f>
        <v>1</v>
      </c>
      <c r="E17" s="315">
        <f>VLOOKUP(B17,'Data Transparency Index'!B:H,4,0)</f>
        <v>0.77777777777777779</v>
      </c>
      <c r="F17" s="316">
        <f>VLOOKUP(B17,'Data Transparency Index'!B:H,5,0)</f>
        <v>0.86111111111111116</v>
      </c>
      <c r="G17" s="315">
        <f>VLOOKUP(B17,'Data Transparency Index'!B:H,6,0)</f>
        <v>0.82608695652173914</v>
      </c>
      <c r="H17" s="270">
        <f>VLOOKUP(B17,'Data Transparency Index'!B:H,7,0)</f>
        <v>4.4649758454106276</v>
      </c>
      <c r="I17" s="173"/>
      <c r="J17" s="173"/>
      <c r="K17" s="173"/>
      <c r="L17" s="387"/>
      <c r="M17" s="387"/>
      <c r="N17" s="387"/>
      <c r="O17" s="387"/>
    </row>
    <row r="18" spans="2:15" ht="15.9" customHeight="1" x14ac:dyDescent="0.3">
      <c r="B18" s="2" t="s">
        <v>255</v>
      </c>
      <c r="C18" s="314">
        <f>VLOOKUP(B18,'Data Transparency Index'!B:H,2,0)</f>
        <v>1</v>
      </c>
      <c r="D18" s="183">
        <f>VLOOKUP(B18,'Data Transparency Index'!B:H,3,0)</f>
        <v>1</v>
      </c>
      <c r="E18" s="315">
        <f>VLOOKUP(B18,'Data Transparency Index'!B:H,4,0)</f>
        <v>0.96</v>
      </c>
      <c r="F18" s="316">
        <f>VLOOKUP(B18,'Data Transparency Index'!B:H,5,0)</f>
        <v>1</v>
      </c>
      <c r="G18" s="315">
        <f>VLOOKUP(B18,'Data Transparency Index'!B:H,6,0)</f>
        <v>0.5</v>
      </c>
      <c r="H18" s="270">
        <f>VLOOKUP(B18,'Data Transparency Index'!B:H,7,0)</f>
        <v>4.46</v>
      </c>
      <c r="I18" s="173"/>
      <c r="J18" s="173"/>
      <c r="K18" s="173"/>
      <c r="L18" s="387"/>
      <c r="M18" s="387"/>
      <c r="N18" s="387"/>
      <c r="O18" s="387"/>
    </row>
    <row r="19" spans="2:15" ht="15.9" customHeight="1" x14ac:dyDescent="0.3">
      <c r="B19" s="24" t="s">
        <v>1025</v>
      </c>
      <c r="C19" s="314">
        <f>VLOOKUP(B19,'Data Transparency Index'!B:H,2,0)</f>
        <v>1</v>
      </c>
      <c r="D19" s="183">
        <f>VLOOKUP(B19,'Data Transparency Index'!B:H,3,0)</f>
        <v>1</v>
      </c>
      <c r="E19" s="315">
        <f>VLOOKUP(B19,'Data Transparency Index'!B:H,4,0)</f>
        <v>0.47368421052631576</v>
      </c>
      <c r="F19" s="316">
        <f>VLOOKUP(B19,'Data Transparency Index'!B:H,5,0)</f>
        <v>0.94736842105263153</v>
      </c>
      <c r="G19" s="315">
        <f>VLOOKUP(B19,'Data Transparency Index'!B:H,6,0)</f>
        <v>1</v>
      </c>
      <c r="H19" s="270">
        <f>VLOOKUP(B19,'Data Transparency Index'!B:H,7,0)</f>
        <v>4.4210526315789469</v>
      </c>
      <c r="I19" s="173"/>
      <c r="J19" s="173"/>
      <c r="K19" s="173"/>
    </row>
    <row r="20" spans="2:15" ht="15.9" customHeight="1" x14ac:dyDescent="0.3">
      <c r="B20" s="24" t="s">
        <v>517</v>
      </c>
      <c r="C20" s="314">
        <f>VLOOKUP(B20,'Data Transparency Index'!B:H,2,0)</f>
        <v>1</v>
      </c>
      <c r="D20" s="183">
        <f>VLOOKUP(B20,'Data Transparency Index'!B:H,3,0)</f>
        <v>1</v>
      </c>
      <c r="E20" s="315">
        <f>VLOOKUP(B20,'Data Transparency Index'!B:H,4,0)</f>
        <v>0.79166666666666663</v>
      </c>
      <c r="F20" s="316">
        <f>VLOOKUP(B20,'Data Transparency Index'!B:H,5,0)</f>
        <v>0.9375</v>
      </c>
      <c r="G20" s="315">
        <f>VLOOKUP(B20,'Data Transparency Index'!B:H,6,0)</f>
        <v>0.59375</v>
      </c>
      <c r="H20" s="270">
        <f>VLOOKUP(B20,'Data Transparency Index'!B:H,7,0)</f>
        <v>4.3229166666666661</v>
      </c>
      <c r="I20" s="173"/>
      <c r="J20" s="173"/>
      <c r="K20" s="173"/>
    </row>
    <row r="21" spans="2:15" ht="15.9" customHeight="1" x14ac:dyDescent="0.3">
      <c r="B21" s="2" t="s">
        <v>2168</v>
      </c>
      <c r="C21" s="314">
        <f>VLOOKUP(B21,'Data Transparency Index'!B:H,2,0)</f>
        <v>1</v>
      </c>
      <c r="D21" s="183">
        <f>VLOOKUP(B21,'Data Transparency Index'!B:H,3,0)</f>
        <v>1</v>
      </c>
      <c r="E21" s="315">
        <f>VLOOKUP(B21,'Data Transparency Index'!B:H,4,0)</f>
        <v>0.53846153846153844</v>
      </c>
      <c r="F21" s="316">
        <f>VLOOKUP(B21,'Data Transparency Index'!B:H,5,0)</f>
        <v>0.92307692307692313</v>
      </c>
      <c r="G21" s="315">
        <f>VLOOKUP(B21,'Data Transparency Index'!B:H,6,0)</f>
        <v>0.85714285714285721</v>
      </c>
      <c r="H21" s="270">
        <f>VLOOKUP(B21,'Data Transparency Index'!B:H,7,0)</f>
        <v>4.3186813186813193</v>
      </c>
      <c r="I21" s="173"/>
      <c r="J21" s="173"/>
      <c r="K21" s="173"/>
    </row>
    <row r="22" spans="2:15" ht="15.9" customHeight="1" x14ac:dyDescent="0.3">
      <c r="B22" s="24" t="s">
        <v>1701</v>
      </c>
      <c r="C22" s="314">
        <f>VLOOKUP(B22,'Data Transparency Index'!B:H,2,0)</f>
        <v>1</v>
      </c>
      <c r="D22" s="183">
        <f>VLOOKUP(B22,'Data Transparency Index'!B:H,3,0)</f>
        <v>1</v>
      </c>
      <c r="E22" s="315">
        <f>VLOOKUP(B22,'Data Transparency Index'!B:H,4,0)</f>
        <v>0.36363636363636365</v>
      </c>
      <c r="F22" s="316">
        <f>VLOOKUP(B22,'Data Transparency Index'!B:H,5,0)</f>
        <v>0.72727272727272729</v>
      </c>
      <c r="G22" s="315">
        <f>VLOOKUP(B22,'Data Transparency Index'!B:H,6,0)</f>
        <v>1</v>
      </c>
      <c r="H22" s="270">
        <f>VLOOKUP(B22,'Data Transparency Index'!B:H,7,0)</f>
        <v>4.0909090909090908</v>
      </c>
      <c r="I22" s="173"/>
      <c r="J22" s="173"/>
      <c r="K22" s="173"/>
    </row>
    <row r="23" spans="2:15" ht="15.9" customHeight="1" x14ac:dyDescent="0.3">
      <c r="B23" s="2" t="s">
        <v>2206</v>
      </c>
      <c r="C23" s="314">
        <f>VLOOKUP(B23,'Data Transparency Index'!B:H,2,0)</f>
        <v>1</v>
      </c>
      <c r="D23" s="183">
        <f>VLOOKUP(B23,'Data Transparency Index'!B:H,3,0)</f>
        <v>1</v>
      </c>
      <c r="E23" s="315">
        <f>VLOOKUP(B23,'Data Transparency Index'!B:H,4,0)</f>
        <v>0.31578947368421051</v>
      </c>
      <c r="F23" s="316">
        <f>VLOOKUP(B23,'Data Transparency Index'!B:H,5,0)</f>
        <v>1</v>
      </c>
      <c r="G23" s="315">
        <f>VLOOKUP(B23,'Data Transparency Index'!B:H,6,0)</f>
        <v>0.61538461538461542</v>
      </c>
      <c r="H23" s="270">
        <f>VLOOKUP(B23,'Data Transparency Index'!B:H,7,0)</f>
        <v>3.931174089068826</v>
      </c>
      <c r="I23" s="173"/>
      <c r="J23" s="173"/>
      <c r="K23" s="173"/>
    </row>
    <row r="24" spans="2:15" ht="15.9" customHeight="1" x14ac:dyDescent="0.3">
      <c r="B24" s="24" t="s">
        <v>937</v>
      </c>
      <c r="C24" s="314">
        <f>VLOOKUP(B24,'Data Transparency Index'!B:H,2,0)</f>
        <v>1</v>
      </c>
      <c r="D24" s="183">
        <f>VLOOKUP(B24,'Data Transparency Index'!B:H,3,0)</f>
        <v>1</v>
      </c>
      <c r="E24" s="315">
        <f>VLOOKUP(B24,'Data Transparency Index'!B:H,4,0)</f>
        <v>0.7857142857142857</v>
      </c>
      <c r="F24" s="316">
        <f>VLOOKUP(B24,'Data Transparency Index'!B:H,5,0)</f>
        <v>0.97619047619047616</v>
      </c>
      <c r="G24" s="315">
        <f>VLOOKUP(B24,'Data Transparency Index'!B:H,6,0)</f>
        <v>0.13888888888888884</v>
      </c>
      <c r="H24" s="270">
        <f>VLOOKUP(B24,'Data Transparency Index'!B:H,7,0)</f>
        <v>3.9007936507936507</v>
      </c>
      <c r="I24" s="173"/>
      <c r="J24" s="173"/>
      <c r="K24" s="173"/>
    </row>
    <row r="25" spans="2:15" ht="15.9" customHeight="1" x14ac:dyDescent="0.3">
      <c r="B25" s="24" t="s">
        <v>1288</v>
      </c>
      <c r="C25" s="314">
        <f>VLOOKUP(B25,'Data Transparency Index'!B:H,2,0)</f>
        <v>1</v>
      </c>
      <c r="D25" s="183">
        <f>VLOOKUP(B25,'Data Transparency Index'!B:H,3,0)</f>
        <v>0</v>
      </c>
      <c r="E25" s="315">
        <f>VLOOKUP(B25,'Data Transparency Index'!B:H,4,0)</f>
        <v>0.96551724137931039</v>
      </c>
      <c r="F25" s="316">
        <f>VLOOKUP(B25,'Data Transparency Index'!B:H,5,0)</f>
        <v>0.97241379310344822</v>
      </c>
      <c r="G25" s="315">
        <f>VLOOKUP(B25,'Data Transparency Index'!B:H,6,0)</f>
        <v>0.89312977099236646</v>
      </c>
      <c r="H25" s="270">
        <f>VLOOKUP(B25,'Data Transparency Index'!B:H,7,0)</f>
        <v>3.8310608054751252</v>
      </c>
      <c r="I25" s="173"/>
      <c r="J25" s="173"/>
      <c r="K25" s="173"/>
    </row>
    <row r="26" spans="2:15" ht="15.9" customHeight="1" x14ac:dyDescent="0.3">
      <c r="B26" s="37" t="s">
        <v>3426</v>
      </c>
      <c r="C26" s="314">
        <f>VLOOKUP(B26,'Data Transparency Index'!B:H,2,0)</f>
        <v>1</v>
      </c>
      <c r="D26" s="183">
        <f>VLOOKUP(B26,'Data Transparency Index'!B:H,3,0)</f>
        <v>0</v>
      </c>
      <c r="E26" s="315">
        <f>VLOOKUP(B26,'Data Transparency Index'!B:H,4,0)</f>
        <v>0.90909090909090906</v>
      </c>
      <c r="F26" s="316">
        <f>VLOOKUP(B26,'Data Transparency Index'!B:H,5,0)</f>
        <v>0.90909090909090906</v>
      </c>
      <c r="G26" s="315">
        <f>VLOOKUP(B26,'Data Transparency Index'!B:H,6,0)</f>
        <v>1</v>
      </c>
      <c r="H26" s="270">
        <f>VLOOKUP(B26,'Data Transparency Index'!B:H,7,0)</f>
        <v>3.8181818181818183</v>
      </c>
      <c r="I26" s="173"/>
      <c r="J26" s="173"/>
      <c r="K26" s="173"/>
    </row>
    <row r="27" spans="2:15" ht="15.9" customHeight="1" x14ac:dyDescent="0.3">
      <c r="B27" s="24" t="s">
        <v>1919</v>
      </c>
      <c r="C27" s="314">
        <f>VLOOKUP(B27,'Data Transparency Index'!B:H,2,0)</f>
        <v>1</v>
      </c>
      <c r="D27" s="183">
        <f>VLOOKUP(B27,'Data Transparency Index'!B:H,3,0)</f>
        <v>1</v>
      </c>
      <c r="E27" s="315">
        <f>VLOOKUP(B27,'Data Transparency Index'!B:H,4,0)</f>
        <v>0.69444444444444442</v>
      </c>
      <c r="F27" s="316">
        <f>VLOOKUP(B27,'Data Transparency Index'!B:H,5,0)</f>
        <v>0.69444444444444442</v>
      </c>
      <c r="G27" s="315">
        <f>VLOOKUP(B27,'Data Transparency Index'!B:H,6,0)</f>
        <v>0.39130434782608692</v>
      </c>
      <c r="H27" s="270">
        <f>VLOOKUP(B27,'Data Transparency Index'!B:H,7,0)</f>
        <v>3.7801932367149762</v>
      </c>
      <c r="I27" s="173"/>
      <c r="J27" s="173"/>
      <c r="K27" s="173"/>
    </row>
    <row r="28" spans="2:15" ht="15.9" customHeight="1" x14ac:dyDescent="0.3">
      <c r="B28" s="24" t="s">
        <v>2066</v>
      </c>
      <c r="C28" s="314">
        <f>VLOOKUP(B28,'Data Transparency Index'!B:H,2,0)</f>
        <v>1</v>
      </c>
      <c r="D28" s="183">
        <f>VLOOKUP(B28,'Data Transparency Index'!B:H,3,0)</f>
        <v>0</v>
      </c>
      <c r="E28" s="315">
        <f>VLOOKUP(B28,'Data Transparency Index'!B:H,4,0)</f>
        <v>1</v>
      </c>
      <c r="F28" s="316">
        <f>VLOOKUP(B28,'Data Transparency Index'!B:H,5,0)</f>
        <v>0.5</v>
      </c>
      <c r="G28" s="315">
        <f>VLOOKUP(B28,'Data Transparency Index'!B:H,6,0)</f>
        <v>1</v>
      </c>
      <c r="H28" s="270">
        <f>VLOOKUP(B28,'Data Transparency Index'!B:H,7,0)</f>
        <v>3.5</v>
      </c>
      <c r="I28" s="173"/>
      <c r="J28" s="173"/>
      <c r="K28" s="173"/>
    </row>
    <row r="29" spans="2:15" ht="15.9" customHeight="1" x14ac:dyDescent="0.3">
      <c r="B29" s="24" t="s">
        <v>1804</v>
      </c>
      <c r="C29" s="314">
        <f>VLOOKUP(B29,'Data Transparency Index'!B:H,2,0)</f>
        <v>1</v>
      </c>
      <c r="D29" s="183">
        <f>VLOOKUP(B29,'Data Transparency Index'!B:H,3,0)</f>
        <v>1</v>
      </c>
      <c r="E29" s="315">
        <f>VLOOKUP(B29,'Data Transparency Index'!B:H,4,0)</f>
        <v>0.45454545454545453</v>
      </c>
      <c r="F29" s="316">
        <f>VLOOKUP(B29,'Data Transparency Index'!B:H,5,0)</f>
        <v>0.68181818181818177</v>
      </c>
      <c r="G29" s="315">
        <f>VLOOKUP(B29,'Data Transparency Index'!B:H,6,0)</f>
        <v>0.25</v>
      </c>
      <c r="H29" s="270">
        <f>VLOOKUP(B29,'Data Transparency Index'!B:H,7,0)</f>
        <v>3.3863636363636362</v>
      </c>
      <c r="I29" s="173"/>
      <c r="J29" s="173"/>
      <c r="K29" s="173"/>
    </row>
    <row r="30" spans="2:15" ht="15.9" customHeight="1" x14ac:dyDescent="0.3">
      <c r="B30" s="24" t="s">
        <v>344</v>
      </c>
      <c r="C30" s="314">
        <f>VLOOKUP(B30,'Data Transparency Index'!B:H,2,0)</f>
        <v>1</v>
      </c>
      <c r="D30" s="183">
        <f>VLOOKUP(B30,'Data Transparency Index'!B:H,3,0)</f>
        <v>0</v>
      </c>
      <c r="E30" s="315">
        <f>VLOOKUP(B30,'Data Transparency Index'!B:H,4,0)</f>
        <v>0.38461538461538464</v>
      </c>
      <c r="F30" s="316">
        <f>VLOOKUP(B30,'Data Transparency Index'!B:H,5,0)</f>
        <v>1</v>
      </c>
      <c r="G30" s="315">
        <f>VLOOKUP(B30,'Data Transparency Index'!B:H,6,0)</f>
        <v>1</v>
      </c>
      <c r="H30" s="270">
        <f>VLOOKUP(B30,'Data Transparency Index'!B:H,7,0)</f>
        <v>3.3846153846153846</v>
      </c>
      <c r="I30" s="173"/>
      <c r="J30" s="173"/>
      <c r="K30" s="173"/>
    </row>
    <row r="31" spans="2:15" ht="15.9" customHeight="1" x14ac:dyDescent="0.3">
      <c r="B31" s="24" t="s">
        <v>413</v>
      </c>
      <c r="C31" s="314">
        <f>VLOOKUP(B31,'Data Transparency Index'!B:H,2,0)</f>
        <v>0</v>
      </c>
      <c r="D31" s="183">
        <f>VLOOKUP(B31,'Data Transparency Index'!B:H,3,0)</f>
        <v>1</v>
      </c>
      <c r="E31" s="315">
        <f>VLOOKUP(B31,'Data Transparency Index'!B:H,4,0)</f>
        <v>1</v>
      </c>
      <c r="F31" s="316">
        <f>VLOOKUP(B31,'Data Transparency Index'!B:H,5,0)</f>
        <v>0.75</v>
      </c>
      <c r="G31" s="315">
        <f>VLOOKUP(B31,'Data Transparency Index'!B:H,6,0)</f>
        <v>0.4</v>
      </c>
      <c r="H31" s="270">
        <f>VLOOKUP(B31,'Data Transparency Index'!B:H,7,0)</f>
        <v>3.15</v>
      </c>
      <c r="I31" s="173"/>
      <c r="J31" s="173"/>
      <c r="K31" s="173"/>
    </row>
    <row r="32" spans="2:15" ht="15.9" customHeight="1" x14ac:dyDescent="0.3">
      <c r="B32" s="24" t="s">
        <v>2864</v>
      </c>
      <c r="C32" s="314">
        <f>VLOOKUP(B32,'Data Transparency Index'!B:H,2,0)</f>
        <v>1</v>
      </c>
      <c r="D32" s="183">
        <f>VLOOKUP(B32,'Data Transparency Index'!B:H,3,0)</f>
        <v>0</v>
      </c>
      <c r="E32" s="315">
        <f>VLOOKUP(B32,'Data Transparency Index'!B:H,4,0)</f>
        <v>0.59459459459459463</v>
      </c>
      <c r="F32" s="316">
        <f>VLOOKUP(B32,'Data Transparency Index'!B:H,5,0)</f>
        <v>0.82432432432432434</v>
      </c>
      <c r="G32" s="315">
        <f>VLOOKUP(B32,'Data Transparency Index'!B:H,6,0)</f>
        <v>0.70175438596491224</v>
      </c>
      <c r="H32" s="270">
        <f>VLOOKUP(B32,'Data Transparency Index'!B:H,7,0)</f>
        <v>3.1206733048838315</v>
      </c>
      <c r="I32" s="173"/>
      <c r="J32" s="173"/>
      <c r="K32" s="173"/>
    </row>
    <row r="33" spans="2:11" ht="15.9" customHeight="1" x14ac:dyDescent="0.3">
      <c r="B33" s="24" t="s">
        <v>2024</v>
      </c>
      <c r="C33" s="314">
        <f>VLOOKUP(B33,'Data Transparency Index'!B:H,2,0)</f>
        <v>0</v>
      </c>
      <c r="D33" s="183">
        <f>VLOOKUP(B33,'Data Transparency Index'!B:H,3,0)</f>
        <v>0</v>
      </c>
      <c r="E33" s="315">
        <f>VLOOKUP(B33,'Data Transparency Index'!B:H,4,0)</f>
        <v>0.92592592592592593</v>
      </c>
      <c r="F33" s="316">
        <f>VLOOKUP(B33,'Data Transparency Index'!B:H,5,0)</f>
        <v>1</v>
      </c>
      <c r="G33" s="315">
        <f>VLOOKUP(B33,'Data Transparency Index'!B:H,6,0)</f>
        <v>1</v>
      </c>
      <c r="H33" s="270">
        <f>VLOOKUP(B33,'Data Transparency Index'!B:H,7,0)</f>
        <v>2.925925925925926</v>
      </c>
      <c r="I33" s="173"/>
      <c r="J33" s="173"/>
      <c r="K33" s="173"/>
    </row>
    <row r="34" spans="2:11" ht="15.9" customHeight="1" x14ac:dyDescent="0.3">
      <c r="B34" s="24" t="s">
        <v>696</v>
      </c>
      <c r="C34" s="314">
        <f>VLOOKUP(B34,'Data Transparency Index'!B:H,2,0)</f>
        <v>0</v>
      </c>
      <c r="D34" s="183">
        <f>VLOOKUP(B34,'Data Transparency Index'!B:H,3,0)</f>
        <v>0</v>
      </c>
      <c r="E34" s="315">
        <f>VLOOKUP(B34,'Data Transparency Index'!B:H,4,0)</f>
        <v>1</v>
      </c>
      <c r="F34" s="316">
        <f>VLOOKUP(B34,'Data Transparency Index'!B:H,5,0)</f>
        <v>0.875</v>
      </c>
      <c r="G34" s="315">
        <f>VLOOKUP(B34,'Data Transparency Index'!B:H,6,0)</f>
        <v>1</v>
      </c>
      <c r="H34" s="270">
        <f>VLOOKUP(B34,'Data Transparency Index'!B:H,7,0)</f>
        <v>2.875</v>
      </c>
      <c r="I34" s="173"/>
      <c r="J34" s="173"/>
      <c r="K34" s="173"/>
    </row>
    <row r="35" spans="2:11" ht="15.9" customHeight="1" x14ac:dyDescent="0.3">
      <c r="B35" s="2" t="s">
        <v>2424</v>
      </c>
      <c r="C35" s="314">
        <f>VLOOKUP(B35,'Data Transparency Index'!B:H,2,0)</f>
        <v>1</v>
      </c>
      <c r="D35" s="183">
        <f>VLOOKUP(B35,'Data Transparency Index'!B:H,3,0)</f>
        <v>0</v>
      </c>
      <c r="E35" s="315">
        <f>VLOOKUP(B35,'Data Transparency Index'!B:H,4,0)</f>
        <v>1</v>
      </c>
      <c r="F35" s="316">
        <f>VLOOKUP(B35,'Data Transparency Index'!B:H,5,0)</f>
        <v>0.36363636363636365</v>
      </c>
      <c r="G35" s="315">
        <f>VLOOKUP(B35,'Data Transparency Index'!B:H,6,0)</f>
        <v>0.33333333333333337</v>
      </c>
      <c r="H35" s="270">
        <f>VLOOKUP(B35,'Data Transparency Index'!B:H,7,0)</f>
        <v>2.6969696969696972</v>
      </c>
      <c r="I35" s="173"/>
      <c r="J35" s="173"/>
      <c r="K35" s="173"/>
    </row>
    <row r="36" spans="2:11" ht="15.9" customHeight="1" x14ac:dyDescent="0.3">
      <c r="B36" s="24" t="s">
        <v>1730</v>
      </c>
      <c r="C36" s="314">
        <f>VLOOKUP(B36,'Data Transparency Index'!B:H,2,0)</f>
        <v>1</v>
      </c>
      <c r="D36" s="183">
        <f>VLOOKUP(B36,'Data Transparency Index'!B:H,3,0)</f>
        <v>0</v>
      </c>
      <c r="E36" s="315">
        <f>VLOOKUP(B36,'Data Transparency Index'!B:H,4,0)</f>
        <v>0.23076923076923078</v>
      </c>
      <c r="F36" s="316">
        <f>VLOOKUP(B36,'Data Transparency Index'!B:H,5,0)</f>
        <v>0.73076923076923073</v>
      </c>
      <c r="G36" s="315">
        <f>VLOOKUP(B36,'Data Transparency Index'!B:H,6,0)</f>
        <v>0.69230769230769229</v>
      </c>
      <c r="H36" s="270">
        <f>VLOOKUP(B36,'Data Transparency Index'!B:H,7,0)</f>
        <v>2.6538461538461542</v>
      </c>
      <c r="I36" s="173"/>
      <c r="J36" s="173"/>
      <c r="K36" s="173"/>
    </row>
    <row r="37" spans="2:11" ht="15.9" customHeight="1" x14ac:dyDescent="0.3">
      <c r="B37" s="24" t="s">
        <v>664</v>
      </c>
      <c r="C37" s="314">
        <f>VLOOKUP(B37,'Data Transparency Index'!B:H,2,0)</f>
        <v>0</v>
      </c>
      <c r="D37" s="183">
        <f>VLOOKUP(B37,'Data Transparency Index'!B:H,3,0)</f>
        <v>0</v>
      </c>
      <c r="E37" s="315">
        <f>VLOOKUP(B37,'Data Transparency Index'!B:H,4,0)</f>
        <v>1</v>
      </c>
      <c r="F37" s="316">
        <f>VLOOKUP(B37,'Data Transparency Index'!B:H,5,0)</f>
        <v>0.83333333333333337</v>
      </c>
      <c r="G37" s="315">
        <f>VLOOKUP(B37,'Data Transparency Index'!B:H,6,0)</f>
        <v>0.5</v>
      </c>
      <c r="H37" s="270">
        <f>VLOOKUP(B37,'Data Transparency Index'!B:H,7,0)</f>
        <v>2.3333333333333335</v>
      </c>
      <c r="I37" s="173"/>
      <c r="J37" s="173"/>
      <c r="K37" s="173"/>
    </row>
    <row r="38" spans="2:11" ht="15.9" customHeight="1" x14ac:dyDescent="0.3">
      <c r="B38" s="24" t="s">
        <v>480</v>
      </c>
      <c r="C38" s="314">
        <f>VLOOKUP(B38,'Data Transparency Index'!B:H,2,0)</f>
        <v>0</v>
      </c>
      <c r="D38" s="183">
        <f>VLOOKUP(B38,'Data Transparency Index'!B:H,3,0)</f>
        <v>0</v>
      </c>
      <c r="E38" s="315">
        <f>VLOOKUP(B38,'Data Transparency Index'!B:H,4,0)</f>
        <v>0.7</v>
      </c>
      <c r="F38" s="316">
        <f>VLOOKUP(B38,'Data Transparency Index'!B:H,5,0)</f>
        <v>0.6</v>
      </c>
      <c r="G38" s="315">
        <f>VLOOKUP(B38,'Data Transparency Index'!B:H,6,0)</f>
        <v>1</v>
      </c>
      <c r="H38" s="270">
        <f>VLOOKUP(B38,'Data Transparency Index'!B:H,7,0)</f>
        <v>2.2999999999999998</v>
      </c>
      <c r="I38" s="173"/>
      <c r="J38" s="173"/>
      <c r="K38" s="173"/>
    </row>
    <row r="39" spans="2:11" ht="15.9" customHeight="1" x14ac:dyDescent="0.3">
      <c r="B39" s="24" t="s">
        <v>716</v>
      </c>
      <c r="C39" s="314">
        <f>VLOOKUP(B39,'Data Transparency Index'!B:H,2,0)</f>
        <v>0</v>
      </c>
      <c r="D39" s="183">
        <f>VLOOKUP(B39,'Data Transparency Index'!B:H,3,0)</f>
        <v>0</v>
      </c>
      <c r="E39" s="315">
        <f>VLOOKUP(B39,'Data Transparency Index'!B:H,4,0)</f>
        <v>0.78431372549019607</v>
      </c>
      <c r="F39" s="316">
        <f>VLOOKUP(B39,'Data Transparency Index'!B:H,5,0)</f>
        <v>0.45098039215686275</v>
      </c>
      <c r="G39" s="315">
        <f>VLOOKUP(B39,'Data Transparency Index'!B:H,6,0)</f>
        <v>0.97499999999999998</v>
      </c>
      <c r="H39" s="270">
        <f>VLOOKUP(B39,'Data Transparency Index'!B:H,7,0)</f>
        <v>2.210294117647059</v>
      </c>
      <c r="I39" s="173"/>
      <c r="J39" s="173"/>
      <c r="K39" s="173"/>
    </row>
    <row r="40" spans="2:11" ht="15.9" customHeight="1" x14ac:dyDescent="0.3">
      <c r="B40" s="24" t="s">
        <v>1861</v>
      </c>
      <c r="C40" s="314">
        <f>VLOOKUP(B40,'Data Transparency Index'!B:H,2,0)</f>
        <v>0</v>
      </c>
      <c r="D40" s="183">
        <f>VLOOKUP(B40,'Data Transparency Index'!B:H,3,0)</f>
        <v>0</v>
      </c>
      <c r="E40" s="315">
        <f>VLOOKUP(B40,'Data Transparency Index'!B:H,4,0)</f>
        <v>0.85</v>
      </c>
      <c r="F40" s="316">
        <f>VLOOKUP(B40,'Data Transparency Index'!B:H,5,0)</f>
        <v>0.95</v>
      </c>
      <c r="G40" s="315">
        <f>VLOOKUP(B40,'Data Transparency Index'!B:H,6,0)</f>
        <v>0.4</v>
      </c>
      <c r="H40" s="270">
        <f>VLOOKUP(B40,'Data Transparency Index'!B:H,7,0)</f>
        <v>2.1999999999999997</v>
      </c>
      <c r="I40" s="173"/>
      <c r="J40" s="173"/>
      <c r="K40" s="173"/>
    </row>
    <row r="41" spans="2:11" ht="15.9" customHeight="1" x14ac:dyDescent="0.3">
      <c r="B41" s="24" t="s">
        <v>1131</v>
      </c>
      <c r="C41" s="314">
        <f>VLOOKUP(B41,'Data Transparency Index'!B:H,2,0)</f>
        <v>0</v>
      </c>
      <c r="D41" s="183">
        <f>VLOOKUP(B41,'Data Transparency Index'!B:H,3,0)</f>
        <v>0</v>
      </c>
      <c r="E41" s="315">
        <f>VLOOKUP(B41,'Data Transparency Index'!B:H,4,0)</f>
        <v>0.44776119402985076</v>
      </c>
      <c r="F41" s="316">
        <f>VLOOKUP(B41,'Data Transparency Index'!B:H,5,0)</f>
        <v>0.88059701492537312</v>
      </c>
      <c r="G41" s="315">
        <f>VLOOKUP(B41,'Data Transparency Index'!B:H,6,0)</f>
        <v>0.7857142857142857</v>
      </c>
      <c r="H41" s="270">
        <f>VLOOKUP(B41,'Data Transparency Index'!B:H,7,0)</f>
        <v>2.1140724946695095</v>
      </c>
      <c r="I41" s="173"/>
      <c r="J41" s="173"/>
      <c r="K41" s="173"/>
    </row>
    <row r="42" spans="2:11" ht="15.9" customHeight="1" x14ac:dyDescent="0.3">
      <c r="B42" s="24" t="s">
        <v>2840</v>
      </c>
      <c r="C42" s="314">
        <f>VLOOKUP(B42,'Data Transparency Index'!B:H,2,0)</f>
        <v>0</v>
      </c>
      <c r="D42" s="183">
        <f>VLOOKUP(B42,'Data Transparency Index'!B:H,3,0)</f>
        <v>0</v>
      </c>
      <c r="E42" s="315">
        <f>VLOOKUP(B42,'Data Transparency Index'!B:H,4,0)</f>
        <v>1</v>
      </c>
      <c r="F42" s="316">
        <f>VLOOKUP(B42,'Data Transparency Index'!B:H,5,0)</f>
        <v>0.1111111111111111</v>
      </c>
      <c r="G42" s="315">
        <f>VLOOKUP(B42,'Data Transparency Index'!B:H,6,0)</f>
        <v>1</v>
      </c>
      <c r="H42" s="270">
        <f>VLOOKUP(B42,'Data Transparency Index'!B:H,7,0)</f>
        <v>2.1111111111111112</v>
      </c>
      <c r="I42" s="173"/>
      <c r="J42" s="173"/>
      <c r="K42" s="173"/>
    </row>
    <row r="43" spans="2:11" ht="15.9" customHeight="1" x14ac:dyDescent="0.3">
      <c r="B43" s="24" t="s">
        <v>2489</v>
      </c>
      <c r="C43" s="314">
        <f>VLOOKUP(B43,'Data Transparency Index'!B:H,2,0)</f>
        <v>0</v>
      </c>
      <c r="D43" s="183">
        <f>VLOOKUP(B43,'Data Transparency Index'!B:H,3,0)</f>
        <v>0</v>
      </c>
      <c r="E43" s="315">
        <f>VLOOKUP(B43,'Data Transparency Index'!B:H,4,0)</f>
        <v>0.76190476190476186</v>
      </c>
      <c r="F43" s="316">
        <f>VLOOKUP(B43,'Data Transparency Index'!B:H,5,0)</f>
        <v>0.5714285714285714</v>
      </c>
      <c r="G43" s="315">
        <f>VLOOKUP(B43,'Data Transparency Index'!B:H,6,0)</f>
        <v>0.66666666666666674</v>
      </c>
      <c r="H43" s="270">
        <f>VLOOKUP(B43,'Data Transparency Index'!B:H,7,0)</f>
        <v>2</v>
      </c>
      <c r="I43" s="173"/>
      <c r="J43" s="173"/>
      <c r="K43" s="173"/>
    </row>
    <row r="44" spans="2:11" ht="15.9" customHeight="1" x14ac:dyDescent="0.3">
      <c r="B44" s="24" t="s">
        <v>656</v>
      </c>
      <c r="C44" s="314">
        <f>VLOOKUP(B44,'Data Transparency Index'!B:H,2,0)</f>
        <v>0</v>
      </c>
      <c r="D44" s="183">
        <f>VLOOKUP(B44,'Data Transparency Index'!B:H,3,0)</f>
        <v>0</v>
      </c>
      <c r="E44" s="315">
        <f>VLOOKUP(B44,'Data Transparency Index'!B:H,4,0)</f>
        <v>1</v>
      </c>
      <c r="F44" s="316">
        <f>VLOOKUP(B44,'Data Transparency Index'!B:H,5,0)</f>
        <v>0</v>
      </c>
      <c r="G44" s="315">
        <f>VLOOKUP(B44,'Data Transparency Index'!B:H,6,0)</f>
        <v>1</v>
      </c>
      <c r="H44" s="270">
        <f>VLOOKUP(B44,'Data Transparency Index'!B:H,7,0)</f>
        <v>2</v>
      </c>
      <c r="I44" s="173"/>
      <c r="J44" s="173"/>
      <c r="K44" s="173"/>
    </row>
    <row r="45" spans="2:11" ht="15.9" customHeight="1" x14ac:dyDescent="0.3">
      <c r="B45" s="24" t="s">
        <v>1646</v>
      </c>
      <c r="C45" s="314">
        <f>VLOOKUP(B45,'Data Transparency Index'!B:H,2,0)</f>
        <v>0</v>
      </c>
      <c r="D45" s="183">
        <f>VLOOKUP(B45,'Data Transparency Index'!B:H,3,0)</f>
        <v>0</v>
      </c>
      <c r="E45" s="315">
        <f>VLOOKUP(B45,'Data Transparency Index'!B:H,4,0)</f>
        <v>0.375</v>
      </c>
      <c r="F45" s="316">
        <f>VLOOKUP(B45,'Data Transparency Index'!B:H,5,0)</f>
        <v>0.625</v>
      </c>
      <c r="G45" s="315">
        <f>VLOOKUP(B45,'Data Transparency Index'!B:H,6,0)</f>
        <v>1</v>
      </c>
      <c r="H45" s="270">
        <f>VLOOKUP(B45,'Data Transparency Index'!B:H,7,0)</f>
        <v>2</v>
      </c>
      <c r="I45" s="173"/>
      <c r="J45" s="173"/>
      <c r="K45" s="173"/>
    </row>
    <row r="46" spans="2:11" ht="15.9" customHeight="1" x14ac:dyDescent="0.3">
      <c r="B46" s="24" t="s">
        <v>1687</v>
      </c>
      <c r="C46" s="314">
        <f>VLOOKUP(B46,'Data Transparency Index'!B:H,2,0)</f>
        <v>0</v>
      </c>
      <c r="D46" s="183">
        <f>VLOOKUP(B46,'Data Transparency Index'!B:H,3,0)</f>
        <v>0</v>
      </c>
      <c r="E46" s="315">
        <f>VLOOKUP(B46,'Data Transparency Index'!B:H,4,0)</f>
        <v>0</v>
      </c>
      <c r="F46" s="316">
        <f>VLOOKUP(B46,'Data Transparency Index'!B:H,5,0)</f>
        <v>1</v>
      </c>
      <c r="G46" s="315">
        <f>VLOOKUP(B46,'Data Transparency Index'!B:H,6,0)</f>
        <v>1</v>
      </c>
      <c r="H46" s="270">
        <f>VLOOKUP(B46,'Data Transparency Index'!B:H,7,0)</f>
        <v>2</v>
      </c>
      <c r="I46" s="173"/>
      <c r="J46" s="173"/>
      <c r="K46" s="173"/>
    </row>
    <row r="47" spans="2:11" ht="15.9" customHeight="1" x14ac:dyDescent="0.3">
      <c r="B47" s="24" t="s">
        <v>2547</v>
      </c>
      <c r="C47" s="314">
        <f>VLOOKUP(B47,'Data Transparency Index'!B:H,2,0)</f>
        <v>0</v>
      </c>
      <c r="D47" s="183">
        <f>VLOOKUP(B47,'Data Transparency Index'!B:H,3,0)</f>
        <v>0</v>
      </c>
      <c r="E47" s="315">
        <f>VLOOKUP(B47,'Data Transparency Index'!B:H,4,0)</f>
        <v>0.83333333333333337</v>
      </c>
      <c r="F47" s="316">
        <f>VLOOKUP(B47,'Data Transparency Index'!B:H,5,0)</f>
        <v>0.58333333333333337</v>
      </c>
      <c r="G47" s="315">
        <f>VLOOKUP(B47,'Data Transparency Index'!B:H,6,0)</f>
        <v>0.4</v>
      </c>
      <c r="H47" s="270">
        <f>VLOOKUP(B47,'Data Transparency Index'!B:H,7,0)</f>
        <v>1.8166666666666669</v>
      </c>
      <c r="I47" s="173"/>
      <c r="J47" s="173"/>
      <c r="K47" s="173"/>
    </row>
    <row r="48" spans="2:11" ht="15.9" customHeight="1" x14ac:dyDescent="0.3">
      <c r="B48" s="2" t="s">
        <v>2820</v>
      </c>
      <c r="C48" s="314">
        <f>VLOOKUP(B48,'Data Transparency Index'!B:H,2,0)</f>
        <v>0</v>
      </c>
      <c r="D48" s="183">
        <f>VLOOKUP(B48,'Data Transparency Index'!B:H,3,0)</f>
        <v>0</v>
      </c>
      <c r="E48" s="315">
        <f>VLOOKUP(B48,'Data Transparency Index'!B:H,4,0)</f>
        <v>0</v>
      </c>
      <c r="F48" s="316">
        <f>VLOOKUP(B48,'Data Transparency Index'!B:H,5,0)</f>
        <v>0.77777777777777779</v>
      </c>
      <c r="G48" s="315">
        <f>VLOOKUP(B48,'Data Transparency Index'!B:H,6,0)</f>
        <v>1</v>
      </c>
      <c r="H48" s="270">
        <f>VLOOKUP(B48,'Data Transparency Index'!B:H,7,0)</f>
        <v>1.7777777777777777</v>
      </c>
      <c r="I48" s="173"/>
      <c r="J48" s="173"/>
      <c r="K48" s="173"/>
    </row>
    <row r="49" spans="2:11" ht="15.9" customHeight="1" x14ac:dyDescent="0.3">
      <c r="B49" s="24" t="s">
        <v>2303</v>
      </c>
      <c r="C49" s="314">
        <f>VLOOKUP(B49,'Data Transparency Index'!B:H,2,0)</f>
        <v>0</v>
      </c>
      <c r="D49" s="183">
        <f>VLOOKUP(B49,'Data Transparency Index'!B:H,3,0)</f>
        <v>0</v>
      </c>
      <c r="E49" s="315">
        <f>VLOOKUP(B49,'Data Transparency Index'!B:H,4,0)</f>
        <v>0.65217391304347827</v>
      </c>
      <c r="F49" s="316">
        <f>VLOOKUP(B49,'Data Transparency Index'!B:H,5,0)</f>
        <v>0.43478260869565216</v>
      </c>
      <c r="G49" s="315">
        <f>VLOOKUP(B49,'Data Transparency Index'!B:H,6,0)</f>
        <v>0.6875</v>
      </c>
      <c r="H49" s="270">
        <f>VLOOKUP(B49,'Data Transparency Index'!B:H,7,0)</f>
        <v>1.7744565217391304</v>
      </c>
      <c r="I49" s="173"/>
      <c r="J49" s="173"/>
      <c r="K49" s="173"/>
    </row>
    <row r="50" spans="2:11" ht="15.9" customHeight="1" x14ac:dyDescent="0.3">
      <c r="B50" s="24" t="s">
        <v>2460</v>
      </c>
      <c r="C50" s="314">
        <f>VLOOKUP(B50,'Data Transparency Index'!B:H,2,0)</f>
        <v>0</v>
      </c>
      <c r="D50" s="183">
        <f>VLOOKUP(B50,'Data Transparency Index'!B:H,3,0)</f>
        <v>0</v>
      </c>
      <c r="E50" s="315">
        <f>VLOOKUP(B50,'Data Transparency Index'!B:H,4,0)</f>
        <v>0.33333333333333331</v>
      </c>
      <c r="F50" s="316">
        <f>VLOOKUP(B50,'Data Transparency Index'!B:H,5,0)</f>
        <v>0.77777777777777779</v>
      </c>
      <c r="G50" s="315">
        <f>VLOOKUP(B50,'Data Transparency Index'!B:H,6,0)</f>
        <v>0.5</v>
      </c>
      <c r="H50" s="270">
        <f>VLOOKUP(B50,'Data Transparency Index'!B:H,7,0)</f>
        <v>1.6111111111111112</v>
      </c>
      <c r="I50" s="173"/>
      <c r="J50" s="173"/>
      <c r="K50" s="173"/>
    </row>
    <row r="51" spans="2:11" ht="15.9" customHeight="1" x14ac:dyDescent="0.3">
      <c r="B51" s="24" t="s">
        <v>1606</v>
      </c>
      <c r="C51" s="314">
        <f>VLOOKUP(B51,'Data Transparency Index'!B:H,2,0)</f>
        <v>0</v>
      </c>
      <c r="D51" s="183">
        <f>VLOOKUP(B51,'Data Transparency Index'!B:H,3,0)</f>
        <v>0</v>
      </c>
      <c r="E51" s="315">
        <f>VLOOKUP(B51,'Data Transparency Index'!B:H,4,0)</f>
        <v>0</v>
      </c>
      <c r="F51" s="316">
        <f>VLOOKUP(B51,'Data Transparency Index'!B:H,5,0)</f>
        <v>0.53333333333333333</v>
      </c>
      <c r="G51" s="315">
        <f>VLOOKUP(B51,'Data Transparency Index'!B:H,6,0)</f>
        <v>1</v>
      </c>
      <c r="H51" s="270">
        <f>VLOOKUP(B51,'Data Transparency Index'!B:H,7,0)</f>
        <v>1.5333333333333332</v>
      </c>
      <c r="I51" s="173"/>
      <c r="J51" s="173"/>
      <c r="K51" s="173"/>
    </row>
    <row r="52" spans="2:11" ht="15.9" customHeight="1" x14ac:dyDescent="0.3">
      <c r="B52" s="24" t="s">
        <v>2615</v>
      </c>
      <c r="C52" s="314">
        <f>VLOOKUP(B52,'Data Transparency Index'!B:H,2,0)</f>
        <v>0</v>
      </c>
      <c r="D52" s="183">
        <f>VLOOKUP(B52,'Data Transparency Index'!B:H,3,0)</f>
        <v>0</v>
      </c>
      <c r="E52" s="315">
        <f>VLOOKUP(B52,'Data Transparency Index'!B:H,4,0)</f>
        <v>0.19444444444444445</v>
      </c>
      <c r="F52" s="316">
        <f>VLOOKUP(B52,'Data Transparency Index'!B:H,5,0)</f>
        <v>0.52777777777777779</v>
      </c>
      <c r="G52" s="315">
        <f>VLOOKUP(B52,'Data Transparency Index'!B:H,6,0)</f>
        <v>0.73076923076923084</v>
      </c>
      <c r="H52" s="270">
        <f>VLOOKUP(B52,'Data Transparency Index'!B:H,7,0)</f>
        <v>1.4529914529914532</v>
      </c>
      <c r="I52" s="173"/>
      <c r="J52" s="173"/>
      <c r="K52" s="173"/>
    </row>
    <row r="53" spans="2:11" ht="15.9" customHeight="1" x14ac:dyDescent="0.3">
      <c r="B53" s="319" t="s">
        <v>2370</v>
      </c>
      <c r="C53" s="924">
        <f>VLOOKUP(B53,'Data Transparency Index'!B:H,2,0)</f>
        <v>0</v>
      </c>
      <c r="D53" s="321">
        <f>VLOOKUP(B53,'Data Transparency Index'!B:H,3,0)</f>
        <v>0</v>
      </c>
      <c r="E53" s="322">
        <f>VLOOKUP(B53,'Data Transparency Index'!B:H,4,0)</f>
        <v>0.2</v>
      </c>
      <c r="F53" s="323">
        <f>VLOOKUP(B53,'Data Transparency Index'!B:H,5,0)</f>
        <v>0.55000000000000004</v>
      </c>
      <c r="G53" s="322">
        <f>VLOOKUP(B53,'Data Transparency Index'!B:H,6,0)</f>
        <v>0.46153846153846156</v>
      </c>
      <c r="H53" s="272">
        <f>VLOOKUP(B53,'Data Transparency Index'!B:H,7,0)</f>
        <v>1.2115384615384617</v>
      </c>
      <c r="I53" s="173"/>
      <c r="J53" s="173"/>
      <c r="K53" s="173"/>
    </row>
    <row r="54" spans="2:11" ht="15.9" customHeight="1" x14ac:dyDescent="0.3">
      <c r="C54" s="316"/>
      <c r="D54" s="270"/>
      <c r="E54" s="339"/>
      <c r="F54" s="316"/>
      <c r="G54" s="339"/>
      <c r="H54" s="623"/>
    </row>
    <row r="55" spans="2:11" ht="15.9" customHeight="1" x14ac:dyDescent="0.3">
      <c r="C55" s="624"/>
      <c r="D55" s="270"/>
      <c r="E55" s="339"/>
      <c r="F55" s="316"/>
      <c r="G55" s="339"/>
      <c r="H55" s="623"/>
    </row>
    <row r="56" spans="2:11" ht="15.9" customHeight="1" x14ac:dyDescent="0.35">
      <c r="B56" s="324" t="s">
        <v>3535</v>
      </c>
      <c r="C56" s="325">
        <f>SUM(C13:C53)/40</f>
        <v>0.52500000000000002</v>
      </c>
      <c r="D56" s="325">
        <f>SUM(D13:D53)/40</f>
        <v>0.375</v>
      </c>
      <c r="E56" s="325">
        <f>SUM(E13:E53)/41</f>
        <v>0.66191459042467826</v>
      </c>
      <c r="F56" s="325">
        <f>SUM(F13:F53)/41</f>
        <v>0.75222560823272377</v>
      </c>
      <c r="G56" s="325">
        <f>SUM(G13:G53)/41</f>
        <v>0.73973639342174902</v>
      </c>
      <c r="H56" s="325">
        <f>SUM(H13:H53)/41</f>
        <v>3.0319253725669566</v>
      </c>
      <c r="I56" s="388"/>
      <c r="J56" s="388"/>
      <c r="K56" s="388"/>
    </row>
    <row r="57" spans="2:11" s="389" customFormat="1" ht="15.9" customHeight="1" x14ac:dyDescent="0.3">
      <c r="B57" s="326" t="s">
        <v>3774</v>
      </c>
      <c r="C57" s="327">
        <f>COUNTIF(C13:C53,0)</f>
        <v>20</v>
      </c>
      <c r="D57" s="327">
        <f>COUNTIF(D13:D53,0)</f>
        <v>26</v>
      </c>
      <c r="E57" s="327">
        <f>COUNTIF(E13:E53,1)</f>
        <v>10</v>
      </c>
      <c r="F57" s="327">
        <f>COUNTIF(F13:F53,1)</f>
        <v>8</v>
      </c>
      <c r="G57" s="327">
        <f>COUNTIF(G13:G53,1)</f>
        <v>15</v>
      </c>
      <c r="H57" s="327">
        <f>COUNTIF(H13:H53,5)</f>
        <v>1</v>
      </c>
      <c r="I57" s="390"/>
      <c r="J57" s="390"/>
      <c r="K57" s="390"/>
    </row>
    <row r="58" spans="2:11" ht="15.9" customHeight="1" x14ac:dyDescent="0.3">
      <c r="B58" s="619" t="s">
        <v>3775</v>
      </c>
      <c r="C58" s="328">
        <f>C57/40</f>
        <v>0.5</v>
      </c>
      <c r="D58" s="328">
        <f>D57/40</f>
        <v>0.65</v>
      </c>
      <c r="E58" s="328">
        <f>E57/41</f>
        <v>0.24390243902439024</v>
      </c>
      <c r="F58" s="328">
        <f>F57/41</f>
        <v>0.1951219512195122</v>
      </c>
      <c r="G58" s="328">
        <f>G57/41</f>
        <v>0.36585365853658536</v>
      </c>
      <c r="H58" s="328">
        <f>H57/41</f>
        <v>2.4390243902439025E-2</v>
      </c>
      <c r="I58" s="129"/>
      <c r="J58" s="129"/>
      <c r="K58" s="129"/>
    </row>
  </sheetData>
  <sortState ref="B13:H53">
    <sortCondition descending="1" ref="H13"/>
  </sortState>
  <mergeCells count="1">
    <mergeCell ref="B4:G9"/>
  </mergeCells>
  <pageMargins left="0.7" right="0.7" top="0.75" bottom="0.75" header="0.3" footer="0.3"/>
  <pageSetup paperSize="9" orientation="portrait"/>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D9E1F2"/>
  </sheetPr>
  <dimension ref="A1:P58"/>
  <sheetViews>
    <sheetView showGridLines="0" zoomScaleNormal="100" workbookViewId="0"/>
  </sheetViews>
  <sheetFormatPr baseColWidth="10" defaultColWidth="8.59765625" defaultRowHeight="15.9" customHeight="1" x14ac:dyDescent="0.3"/>
  <cols>
    <col min="1" max="1" width="8.59765625" style="2" customWidth="1"/>
    <col min="2" max="2" width="25.5" style="40" customWidth="1"/>
    <col min="3" max="3" width="27.8984375" style="49" bestFit="1" customWidth="1"/>
    <col min="4" max="4" width="73.09765625" style="49" customWidth="1"/>
    <col min="5" max="5" width="33.09765625" style="49" bestFit="1" customWidth="1"/>
    <col min="6" max="6" width="13.59765625" style="40" customWidth="1"/>
    <col min="7" max="16384" width="8.59765625" style="40"/>
  </cols>
  <sheetData>
    <row r="1" spans="1:7" s="35" customFormat="1" ht="15.9" customHeight="1" x14ac:dyDescent="0.3">
      <c r="B1" s="39"/>
      <c r="C1" s="148"/>
      <c r="D1" s="148"/>
      <c r="E1" s="148"/>
    </row>
    <row r="2" spans="1:7" s="643" customFormat="1" ht="24.75" customHeight="1" x14ac:dyDescent="0.3">
      <c r="A2" s="639"/>
      <c r="B2" s="439" t="s">
        <v>3776</v>
      </c>
      <c r="C2" s="642"/>
      <c r="D2" s="642"/>
      <c r="E2" s="642"/>
    </row>
    <row r="3" spans="1:7" s="43" customFormat="1" ht="15.9" customHeight="1" x14ac:dyDescent="0.35">
      <c r="A3" s="35"/>
      <c r="B3" s="411"/>
      <c r="C3" s="147"/>
      <c r="D3" s="147"/>
      <c r="E3" s="147"/>
    </row>
    <row r="4" spans="1:7" s="43" customFormat="1" ht="15.9" customHeight="1" x14ac:dyDescent="0.3">
      <c r="A4" s="35"/>
      <c r="B4" s="1203" t="s">
        <v>3777</v>
      </c>
      <c r="C4" s="1203"/>
      <c r="D4" s="1203"/>
      <c r="E4" s="443"/>
    </row>
    <row r="5" spans="1:7" s="43" customFormat="1" ht="15.9" customHeight="1" x14ac:dyDescent="0.3">
      <c r="A5" s="35"/>
      <c r="B5" s="1203"/>
      <c r="C5" s="1203"/>
      <c r="D5" s="1203"/>
      <c r="E5" s="443"/>
    </row>
    <row r="6" spans="1:7" s="43" customFormat="1" ht="15.9" customHeight="1" x14ac:dyDescent="0.3">
      <c r="A6" s="35"/>
      <c r="B6" s="1203"/>
      <c r="C6" s="1203"/>
      <c r="D6" s="1203"/>
      <c r="E6" s="443"/>
    </row>
    <row r="7" spans="1:7" s="43" customFormat="1" ht="15.9" customHeight="1" x14ac:dyDescent="0.3">
      <c r="A7" s="35"/>
      <c r="B7" s="1203"/>
      <c r="C7" s="1203"/>
      <c r="D7" s="1203"/>
      <c r="E7" s="443"/>
    </row>
    <row r="8" spans="1:7" s="43" customFormat="1" ht="15.9" customHeight="1" x14ac:dyDescent="0.35">
      <c r="A8" s="35"/>
      <c r="B8" s="1203"/>
      <c r="C8" s="1203"/>
      <c r="D8" s="1203"/>
      <c r="E8" s="443"/>
      <c r="G8" s="167"/>
    </row>
    <row r="9" spans="1:7" s="43" customFormat="1" ht="15.9" customHeight="1" x14ac:dyDescent="0.35">
      <c r="A9" s="35"/>
      <c r="B9" s="1203"/>
      <c r="C9" s="1203"/>
      <c r="D9" s="1203"/>
      <c r="E9" s="443"/>
      <c r="G9" s="167"/>
    </row>
    <row r="11" spans="1:7" ht="24.75" customHeight="1" x14ac:dyDescent="0.3">
      <c r="B11" s="413" t="s">
        <v>3499</v>
      </c>
      <c r="C11" s="500" t="s">
        <v>3504</v>
      </c>
      <c r="D11" s="501" t="s">
        <v>3778</v>
      </c>
      <c r="E11" s="500" t="s">
        <v>3779</v>
      </c>
      <c r="F11" s="41"/>
      <c r="G11" s="649" t="s">
        <v>3780</v>
      </c>
    </row>
    <row r="12" spans="1:7" ht="15.9" customHeight="1" x14ac:dyDescent="0.3">
      <c r="B12" s="37" t="s">
        <v>937</v>
      </c>
      <c r="C12" s="49">
        <f>VLOOKUP(B12,'Country Summary'!B:J,9,0)</f>
        <v>1.0714702516680921</v>
      </c>
      <c r="D12" s="49">
        <f>VLOOKUP(B12,'Country Summary'!B:O,14,0)</f>
        <v>0.23106711849871622</v>
      </c>
      <c r="E12" s="49">
        <f>VLOOKUP(B12,'Country Summary'!B:Q,16,0)</f>
        <v>1.3025373701668084</v>
      </c>
    </row>
    <row r="13" spans="1:7" ht="15.9" customHeight="1" x14ac:dyDescent="0.3">
      <c r="B13" s="37" t="s">
        <v>1861</v>
      </c>
      <c r="C13" s="49">
        <f>VLOOKUP(B13,'Country Summary'!B:J,9,0)</f>
        <v>0.97530930817809547</v>
      </c>
      <c r="D13" s="49">
        <f>VLOOKUP(B13,'Country Summary'!B:O,14,0)</f>
        <v>0.21813826848953735</v>
      </c>
      <c r="E13" s="49">
        <f>VLOOKUP(B13,'Country Summary'!B:Q,16,0)</f>
        <v>1.1934475766676329</v>
      </c>
    </row>
    <row r="14" spans="1:7" ht="15.9" customHeight="1" x14ac:dyDescent="0.3">
      <c r="B14" s="37" t="s">
        <v>2303</v>
      </c>
      <c r="C14" s="49">
        <f>VLOOKUP(B14,'Country Summary'!B:J,9,0)</f>
        <v>0.62629240486194215</v>
      </c>
      <c r="D14" s="49">
        <f>VLOOKUP(B14,'Country Summary'!B:O,14,0)</f>
        <v>0.25681325336297217</v>
      </c>
      <c r="E14" s="49">
        <f>VLOOKUP(B14,'Country Summary'!B:Q,16,0)</f>
        <v>0.88310565822491438</v>
      </c>
    </row>
    <row r="15" spans="1:7" ht="15.9" customHeight="1" x14ac:dyDescent="0.3">
      <c r="B15" s="37" t="s">
        <v>1919</v>
      </c>
      <c r="C15" s="49">
        <f>VLOOKUP(B15,'Country Summary'!B:J,9,0)</f>
        <v>0.65175917502903802</v>
      </c>
      <c r="D15" s="49">
        <f>VLOOKUP(B15,'Country Summary'!B:O,14,0)</f>
        <v>0.20849774929901219</v>
      </c>
      <c r="E15" s="49">
        <f>VLOOKUP(B15,'Country Summary'!B:Q,16,0)</f>
        <v>0.86025692432805023</v>
      </c>
    </row>
    <row r="16" spans="1:7" ht="15.9" customHeight="1" x14ac:dyDescent="0.3">
      <c r="B16" s="40" t="s">
        <v>480</v>
      </c>
      <c r="C16" s="49">
        <f>VLOOKUP(B16,'Country Summary'!B:J,9,0)</f>
        <v>0.36056136389535975</v>
      </c>
      <c r="D16" s="49">
        <f>VLOOKUP(B16,'Country Summary'!B:O,14,0)</f>
        <v>0.30850272607156165</v>
      </c>
      <c r="E16" s="49">
        <f>VLOOKUP(B16,'Country Summary'!B:Q,16,0)</f>
        <v>0.66906408996692135</v>
      </c>
    </row>
    <row r="17" spans="2:5" ht="15.9" customHeight="1" x14ac:dyDescent="0.3">
      <c r="B17" s="37" t="s">
        <v>2489</v>
      </c>
      <c r="C17" s="49">
        <f>VLOOKUP(B17,'Country Summary'!B:J,9,0)</f>
        <v>0.22369549234134833</v>
      </c>
      <c r="D17" s="49">
        <f>VLOOKUP(B17,'Country Summary'!B:O,14,0)</f>
        <v>0.30426408224138396</v>
      </c>
      <c r="E17" s="49">
        <f>VLOOKUP(B17,'Country Summary'!B:Q,16,0)</f>
        <v>0.52795957458273235</v>
      </c>
    </row>
    <row r="18" spans="2:5" ht="15.9" customHeight="1" x14ac:dyDescent="0.3">
      <c r="B18" s="37" t="s">
        <v>856</v>
      </c>
      <c r="C18" s="49">
        <f>VLOOKUP(B18,'Country Summary'!B:J,9,0)</f>
        <v>0.2122186724732939</v>
      </c>
      <c r="D18" s="49">
        <f>VLOOKUP(B18,'Country Summary'!B:O,14,0)</f>
        <v>0.2614546729905553</v>
      </c>
      <c r="E18" s="49">
        <f>VLOOKUP(B18,'Country Summary'!B:Q,16,0)</f>
        <v>0.47367334546384926</v>
      </c>
    </row>
    <row r="19" spans="2:5" ht="15.9" customHeight="1" x14ac:dyDescent="0.3">
      <c r="B19" s="37" t="s">
        <v>2076</v>
      </c>
      <c r="C19" s="49">
        <f>VLOOKUP(B19,'Country Summary'!B:J,9,0)</f>
        <v>0.16304488604120476</v>
      </c>
      <c r="D19" s="49">
        <f>VLOOKUP(B19,'Country Summary'!B:O,14,0)</f>
        <v>0.30408420273971132</v>
      </c>
      <c r="E19" s="49">
        <f>VLOOKUP(B19,'Country Summary'!B:Q,16,0)</f>
        <v>0.46712908878091608</v>
      </c>
    </row>
    <row r="20" spans="2:5" ht="15.9" customHeight="1" x14ac:dyDescent="0.3">
      <c r="B20" s="37" t="s">
        <v>716</v>
      </c>
      <c r="C20" s="49">
        <f>VLOOKUP(B20,'Country Summary'!B:J,9,0)</f>
        <v>0.24401173304736024</v>
      </c>
      <c r="D20" s="49">
        <f>VLOOKUP(B20,'Country Summary'!B:O,14,0)</f>
        <v>0.2159708895866066</v>
      </c>
      <c r="E20" s="49">
        <f>VLOOKUP(B20,'Country Summary'!B:Q,16,0)</f>
        <v>0.45998262263396689</v>
      </c>
    </row>
    <row r="21" spans="2:5" ht="15.9" customHeight="1" x14ac:dyDescent="0.3">
      <c r="B21" s="37" t="s">
        <v>2370</v>
      </c>
      <c r="C21" s="49">
        <f>VLOOKUP(B21,'Country Summary'!B:J,9,0)</f>
        <v>0.21250619097011536</v>
      </c>
      <c r="D21" s="49">
        <f>VLOOKUP(B21,'Country Summary'!B:O,14,0)</f>
        <v>0.22820961948992199</v>
      </c>
      <c r="E21" s="49">
        <f>VLOOKUP(B21,'Country Summary'!B:Q,16,0)</f>
        <v>0.44071581046003738</v>
      </c>
    </row>
    <row r="22" spans="2:5" ht="15.9" customHeight="1" x14ac:dyDescent="0.3">
      <c r="B22" s="37" t="s">
        <v>344</v>
      </c>
      <c r="C22" s="49">
        <f>VLOOKUP(B22,'Country Summary'!B:J,9,0)</f>
        <v>0.15156942553252337</v>
      </c>
      <c r="D22" s="49">
        <f>VLOOKUP(B22,'Country Summary'!B:O,14,0)</f>
        <v>0.24613713349178065</v>
      </c>
      <c r="E22" s="49">
        <f>VLOOKUP(B22,'Country Summary'!B:Q,16,0)</f>
        <v>0.39770655902430402</v>
      </c>
    </row>
    <row r="23" spans="2:5" ht="15.9" customHeight="1" x14ac:dyDescent="0.3">
      <c r="B23" s="37" t="s">
        <v>2715</v>
      </c>
      <c r="C23" s="49">
        <f>VLOOKUP(B23,'Country Summary'!B:J,9,0)</f>
        <v>0.1560201905102156</v>
      </c>
      <c r="D23" s="49">
        <f>VLOOKUP(B23,'Country Summary'!B:O,14,0)</f>
        <v>0.22913143515945184</v>
      </c>
      <c r="E23" s="49">
        <f>VLOOKUP(B23,'Country Summary'!B:Q,16,0)</f>
        <v>0.38515162566966743</v>
      </c>
    </row>
    <row r="24" spans="2:5" ht="15.9" customHeight="1" x14ac:dyDescent="0.3">
      <c r="B24" s="37" t="s">
        <v>1606</v>
      </c>
      <c r="C24" s="49">
        <f>VLOOKUP(B24,'Country Summary'!B:J,9,0)</f>
        <v>0.10158985634034334</v>
      </c>
      <c r="D24" s="49">
        <f>VLOOKUP(B24,'Country Summary'!B:O,14,0)</f>
        <v>0.27636155913822197</v>
      </c>
      <c r="E24" s="49">
        <f>VLOOKUP(B24,'Country Summary'!B:Q,16,0)</f>
        <v>0.37795141547856531</v>
      </c>
    </row>
    <row r="25" spans="2:5" ht="15.9" customHeight="1" x14ac:dyDescent="0.3">
      <c r="B25" s="37" t="s">
        <v>3038</v>
      </c>
      <c r="C25" s="49">
        <f>VLOOKUP(B25,'Country Summary'!B:J,9,0)</f>
        <v>0.36670361752930236</v>
      </c>
      <c r="D25" s="49">
        <f>VLOOKUP(B25,'Country Summary'!B:O,14,0)</f>
        <v>0</v>
      </c>
      <c r="E25" s="49">
        <f>VLOOKUP(B25,'Country Summary'!B:Q,16,0)</f>
        <v>0.36670361752930236</v>
      </c>
    </row>
    <row r="26" spans="2:5" ht="15.9" customHeight="1" x14ac:dyDescent="0.3">
      <c r="B26" s="37" t="s">
        <v>2547</v>
      </c>
      <c r="C26" s="49">
        <f>VLOOKUP(B26,'Country Summary'!B:J,9,0)</f>
        <v>0.12092412980552034</v>
      </c>
      <c r="D26" s="49">
        <f>VLOOKUP(B26,'Country Summary'!B:O,14,0)</f>
        <v>0.24305855892359984</v>
      </c>
      <c r="E26" s="49">
        <f>VLOOKUP(B26,'Country Summary'!B:Q,16,0)</f>
        <v>0.36398268872912021</v>
      </c>
    </row>
    <row r="27" spans="2:5" ht="15.9" customHeight="1" x14ac:dyDescent="0.3">
      <c r="B27" s="37" t="s">
        <v>1288</v>
      </c>
      <c r="C27" s="49">
        <f>VLOOKUP(B27,'Country Summary'!B:J,9,0)</f>
        <v>0.16791640519043149</v>
      </c>
      <c r="D27" s="49">
        <f>VLOOKUP(B27,'Country Summary'!B:O,14,0)</f>
        <v>0.19599789279104377</v>
      </c>
      <c r="E27" s="49">
        <f>VLOOKUP(B27,'Country Summary'!B:Q,16,0)</f>
        <v>0.36391429798147529</v>
      </c>
    </row>
    <row r="28" spans="2:5" ht="15.9" customHeight="1" x14ac:dyDescent="0.3">
      <c r="B28" s="37" t="s">
        <v>1025</v>
      </c>
      <c r="C28" s="49">
        <f>VLOOKUP(B28,'Country Summary'!B:J,9,0)</f>
        <v>0.13218725299739614</v>
      </c>
      <c r="D28" s="49">
        <f>VLOOKUP(B28,'Country Summary'!B:O,14,0)</f>
        <v>0.23161638274785495</v>
      </c>
      <c r="E28" s="49">
        <f>VLOOKUP(B28,'Country Summary'!B:Q,16,0)</f>
        <v>0.3638036357452511</v>
      </c>
    </row>
    <row r="29" spans="2:5" ht="15.9" customHeight="1" x14ac:dyDescent="0.3">
      <c r="B29" s="37" t="s">
        <v>2615</v>
      </c>
      <c r="C29" s="49">
        <f>VLOOKUP(B29,'Country Summary'!B:J,9,0)</f>
        <v>3.1743111359855275E-2</v>
      </c>
      <c r="D29" s="49">
        <f>VLOOKUP(B29,'Country Summary'!B:O,14,0)</f>
        <v>0.33093631258771833</v>
      </c>
      <c r="E29" s="49">
        <f>VLOOKUP(B29,'Country Summary'!B:Q,16,0)</f>
        <v>0.36267942394757358</v>
      </c>
    </row>
    <row r="30" spans="2:5" ht="15.9" customHeight="1" x14ac:dyDescent="0.3">
      <c r="B30" s="40" t="s">
        <v>2206</v>
      </c>
      <c r="C30" s="49">
        <f>VLOOKUP(B30,'Country Summary'!B:J,9,0)</f>
        <v>0.35881458597507954</v>
      </c>
      <c r="D30" s="49">
        <f>VLOOKUP(B30,'Country Summary'!B:O,14,0)</f>
        <v>0</v>
      </c>
      <c r="E30" s="49">
        <f>VLOOKUP(B30,'Country Summary'!B:Q,16,0)</f>
        <v>0.35881458597507954</v>
      </c>
    </row>
    <row r="31" spans="2:5" ht="15.9" customHeight="1" x14ac:dyDescent="0.3">
      <c r="B31" s="37" t="s">
        <v>2864</v>
      </c>
      <c r="C31" s="49">
        <f>VLOOKUP(B31,'Country Summary'!B:J,9,0)</f>
        <v>0.31603739506644191</v>
      </c>
      <c r="D31" s="49">
        <f>VLOOKUP(B31,'Country Summary'!B:O,14,0)</f>
        <v>0</v>
      </c>
      <c r="E31" s="49">
        <f>VLOOKUP(B31,'Country Summary'!B:Q,16,0)</f>
        <v>0.31603739506644191</v>
      </c>
    </row>
    <row r="32" spans="2:5" ht="15.9" customHeight="1" x14ac:dyDescent="0.3">
      <c r="B32" s="37" t="s">
        <v>664</v>
      </c>
      <c r="C32" s="49">
        <f>VLOOKUP(B32,'Country Summary'!B:J,9,0)</f>
        <v>4.751612804745621E-2</v>
      </c>
      <c r="D32" s="49">
        <f>VLOOKUP(B32,'Country Summary'!B:O,14,0)</f>
        <v>0.26758588416939416</v>
      </c>
      <c r="E32" s="49">
        <f>VLOOKUP(B32,'Country Summary'!B:Q,16,0)</f>
        <v>0.31510201221685036</v>
      </c>
    </row>
    <row r="33" spans="2:5" ht="15.9" customHeight="1" x14ac:dyDescent="0.3">
      <c r="B33" s="37" t="s">
        <v>1131</v>
      </c>
      <c r="C33" s="49">
        <f>VLOOKUP(B33,'Country Summary'!B:J,9,0)</f>
        <v>6.6849255151842313E-2</v>
      </c>
      <c r="D33" s="49">
        <f>VLOOKUP(B33,'Country Summary'!B:O,14,0)</f>
        <v>0.23883021799068327</v>
      </c>
      <c r="E33" s="49">
        <f>VLOOKUP(B33,'Country Summary'!B:Q,16,0)</f>
        <v>0.30567947314252558</v>
      </c>
    </row>
    <row r="34" spans="2:5" ht="15.9" customHeight="1" x14ac:dyDescent="0.3">
      <c r="B34" s="37" t="s">
        <v>1646</v>
      </c>
      <c r="C34" s="49">
        <f>VLOOKUP(B34,'Country Summary'!B:J,9,0)</f>
        <v>3.1865036188883679E-2</v>
      </c>
      <c r="D34" s="49">
        <f>VLOOKUP(B34,'Country Summary'!B:O,14,0)</f>
        <v>0.27100087153601654</v>
      </c>
      <c r="E34" s="49">
        <f>VLOOKUP(B34,'Country Summary'!B:Q,16,0)</f>
        <v>0.30286590772490024</v>
      </c>
    </row>
    <row r="35" spans="2:5" ht="15.9" customHeight="1" x14ac:dyDescent="0.3">
      <c r="B35" s="37" t="s">
        <v>1730</v>
      </c>
      <c r="C35" s="49">
        <f>VLOOKUP(B35,'Country Summary'!B:J,9,0)</f>
        <v>5.6879145193287982E-2</v>
      </c>
      <c r="D35" s="49">
        <f>VLOOKUP(B35,'Country Summary'!B:O,14,0)</f>
        <v>0.24564180977078928</v>
      </c>
      <c r="E35" s="49">
        <f>VLOOKUP(B35,'Country Summary'!B:Q,16,0)</f>
        <v>0.30252095496407727</v>
      </c>
    </row>
    <row r="36" spans="2:5" ht="15.9" customHeight="1" x14ac:dyDescent="0.3">
      <c r="B36" s="37" t="s">
        <v>413</v>
      </c>
      <c r="C36" s="49">
        <f>VLOOKUP(B36,'Country Summary'!B:J,9,0)</f>
        <v>4.9236359339854457E-2</v>
      </c>
      <c r="D36" s="49">
        <f>VLOOKUP(B36,'Country Summary'!B:O,14,0)</f>
        <v>0.25261415241110075</v>
      </c>
      <c r="E36" s="49">
        <f>VLOOKUP(B36,'Country Summary'!B:Q,16,0)</f>
        <v>0.30185051175095517</v>
      </c>
    </row>
    <row r="37" spans="2:5" ht="15.9" customHeight="1" x14ac:dyDescent="0.3">
      <c r="B37" s="37" t="s">
        <v>2024</v>
      </c>
      <c r="C37" s="49">
        <f>VLOOKUP(B37,'Country Summary'!B:J,9,0)</f>
        <v>0.11308310906433033</v>
      </c>
      <c r="D37" s="49">
        <f>VLOOKUP(B37,'Country Summary'!B:O,14,0)</f>
        <v>0.15563589871911321</v>
      </c>
      <c r="E37" s="49">
        <f>VLOOKUP(B37,'Country Summary'!B:Q,16,0)</f>
        <v>0.26871900778344354</v>
      </c>
    </row>
    <row r="38" spans="2:5" ht="15.9" customHeight="1" x14ac:dyDescent="0.3">
      <c r="B38" s="37" t="s">
        <v>517</v>
      </c>
      <c r="C38" s="49">
        <f>VLOOKUP(B38,'Country Summary'!B:J,9,0)</f>
        <v>0.25632117619333006</v>
      </c>
      <c r="D38" s="49">
        <f>VLOOKUP(B38,'Country Summary'!B:O,14,0)</f>
        <v>0</v>
      </c>
      <c r="E38" s="49">
        <f>VLOOKUP(B38,'Country Summary'!B:Q,16,0)</f>
        <v>0.25632117619333006</v>
      </c>
    </row>
    <row r="39" spans="2:5" ht="15.9" customHeight="1" x14ac:dyDescent="0.3">
      <c r="B39" s="37" t="s">
        <v>696</v>
      </c>
      <c r="C39" s="49">
        <f>VLOOKUP(B39,'Country Summary'!B:J,9,0)</f>
        <v>1.2798296810786326E-2</v>
      </c>
      <c r="D39" s="49">
        <f>VLOOKUP(B39,'Country Summary'!B:O,14,0)</f>
        <v>0.23160702676227576</v>
      </c>
      <c r="E39" s="49">
        <f>VLOOKUP(B39,'Country Summary'!B:Q,16,0)</f>
        <v>0.24440532357306205</v>
      </c>
    </row>
    <row r="40" spans="2:5" ht="15.9" customHeight="1" x14ac:dyDescent="0.3">
      <c r="B40" s="37" t="s">
        <v>2460</v>
      </c>
      <c r="C40" s="49">
        <f>VLOOKUP(B40,'Country Summary'!B:J,9,0)</f>
        <v>4.5117974874776083E-3</v>
      </c>
      <c r="D40" s="49">
        <f>VLOOKUP(B40,'Country Summary'!B:O,14,0)</f>
        <v>0.23569846946103734</v>
      </c>
      <c r="E40" s="49">
        <f>VLOOKUP(B40,'Country Summary'!B:Q,16,0)</f>
        <v>0.24021026694851494</v>
      </c>
    </row>
    <row r="41" spans="2:5" ht="15.9" customHeight="1" x14ac:dyDescent="0.3">
      <c r="B41" s="37" t="s">
        <v>2066</v>
      </c>
      <c r="C41" s="49">
        <f>VLOOKUP(B41,'Country Summary'!B:J,9,0)</f>
        <v>1.2186479766347293E-2</v>
      </c>
      <c r="D41" s="49">
        <f>VLOOKUP(B41,'Country Summary'!B:O,14,0)</f>
        <v>0.20506521629879182</v>
      </c>
      <c r="E41" s="49">
        <f>VLOOKUP(B41,'Country Summary'!B:Q,16,0)</f>
        <v>0.21725169606513911</v>
      </c>
    </row>
    <row r="42" spans="2:5" ht="15.9" customHeight="1" x14ac:dyDescent="0.3">
      <c r="B42" s="37" t="s">
        <v>1701</v>
      </c>
      <c r="C42" s="49">
        <f>VLOOKUP(B42,'Country Summary'!B:J,9,0)</f>
        <v>1.6901668275066981E-2</v>
      </c>
      <c r="D42" s="49">
        <f>VLOOKUP(B42,'Country Summary'!B:O,14,0)</f>
        <v>0.16832675507869263</v>
      </c>
      <c r="E42" s="49">
        <f>VLOOKUP(B42,'Country Summary'!B:Q,16,0)</f>
        <v>0.18522842335375961</v>
      </c>
    </row>
    <row r="43" spans="2:5" ht="15.9" customHeight="1" x14ac:dyDescent="0.3">
      <c r="B43" s="40" t="s">
        <v>255</v>
      </c>
      <c r="C43" s="49">
        <f>VLOOKUP(B43,'Country Summary'!B:J,9,0)</f>
        <v>3.3783675894588923E-2</v>
      </c>
      <c r="D43" s="49">
        <f>VLOOKUP(B43,'Country Summary'!B:O,14,0)</f>
        <v>0</v>
      </c>
      <c r="E43" s="49">
        <f>VLOOKUP(B43,'Country Summary'!B:Q,16,0)</f>
        <v>3.3783675894588923E-2</v>
      </c>
    </row>
    <row r="44" spans="2:5" ht="15.9" customHeight="1" x14ac:dyDescent="0.3">
      <c r="B44" s="40" t="s">
        <v>2792</v>
      </c>
      <c r="C44" s="49">
        <f>VLOOKUP(B44,'Country Summary'!B:J,9,0)</f>
        <v>3.3774324203310994E-2</v>
      </c>
      <c r="D44" s="49">
        <f>VLOOKUP(B44,'Country Summary'!B:O,14,0)</f>
        <v>0</v>
      </c>
      <c r="E44" s="49">
        <f>VLOOKUP(B44,'Country Summary'!B:Q,16,0)</f>
        <v>3.3774324203310994E-2</v>
      </c>
    </row>
    <row r="45" spans="2:5" ht="15.9" customHeight="1" x14ac:dyDescent="0.3">
      <c r="B45" s="37" t="s">
        <v>1804</v>
      </c>
      <c r="C45" s="49">
        <f>VLOOKUP(B45,'Country Summary'!B:J,9,0)</f>
        <v>2.1834816145528613E-2</v>
      </c>
      <c r="D45" s="49">
        <f>VLOOKUP(B45,'Country Summary'!B:O,14,0)</f>
        <v>0</v>
      </c>
      <c r="E45" s="49">
        <f>VLOOKUP(B45,'Country Summary'!B:Q,16,0)</f>
        <v>2.1834816145528613E-2</v>
      </c>
    </row>
    <row r="46" spans="2:5" ht="15.9" customHeight="1" x14ac:dyDescent="0.3">
      <c r="B46" s="40" t="s">
        <v>2840</v>
      </c>
      <c r="C46" s="49">
        <f>VLOOKUP(B46,'Country Summary'!B:J,9,0)</f>
        <v>1.1189738764522157E-2</v>
      </c>
      <c r="D46" s="52">
        <f>VLOOKUP(B46,'Country Summary'!B:O,14,0)</f>
        <v>0</v>
      </c>
      <c r="E46" s="52">
        <f>VLOOKUP(B46,'Country Summary'!B:Q,16,0)</f>
        <v>1.1189738764522157E-2</v>
      </c>
    </row>
    <row r="47" spans="2:5" ht="15.9" customHeight="1" x14ac:dyDescent="0.3">
      <c r="B47" s="40" t="s">
        <v>2168</v>
      </c>
      <c r="C47" s="49">
        <f>VLOOKUP(B47,'Country Summary'!B:J,9,0)</f>
        <v>1.033595062238561E-2</v>
      </c>
      <c r="D47" s="49">
        <f>VLOOKUP(B47,'Country Summary'!B:O,14,0)</f>
        <v>0</v>
      </c>
      <c r="E47" s="49">
        <f>VLOOKUP(B47,'Country Summary'!B:Q,16,0)</f>
        <v>1.033595062238561E-2</v>
      </c>
    </row>
    <row r="48" spans="2:5" ht="15.9" customHeight="1" x14ac:dyDescent="0.3">
      <c r="B48" s="40" t="s">
        <v>2820</v>
      </c>
      <c r="C48" s="49">
        <f>VLOOKUP(B48,'Country Summary'!B:J,9,0)</f>
        <v>8.9827208669556458E-3</v>
      </c>
      <c r="D48" s="49">
        <f>VLOOKUP(B48,'Country Summary'!B:O,14,0)</f>
        <v>0</v>
      </c>
      <c r="E48" s="49">
        <f>VLOOKUP(B48,'Country Summary'!B:Q,16,0)</f>
        <v>8.9827208669556458E-3</v>
      </c>
    </row>
    <row r="49" spans="2:16" ht="15.9" customHeight="1" x14ac:dyDescent="0.3">
      <c r="B49" s="40" t="s">
        <v>2424</v>
      </c>
      <c r="C49" s="49">
        <f>VLOOKUP(B49,'Country Summary'!B:J,9,0)</f>
        <v>6.323967606692558E-3</v>
      </c>
      <c r="D49" s="49">
        <f>VLOOKUP(B49,'Country Summary'!B:O,14,0)</f>
        <v>0</v>
      </c>
      <c r="E49" s="49">
        <f>VLOOKUP(B49,'Country Summary'!B:Q,16,0)</f>
        <v>6.323967606692558E-3</v>
      </c>
    </row>
    <row r="50" spans="2:16" ht="15.9" customHeight="1" x14ac:dyDescent="0.3">
      <c r="B50" s="40" t="s">
        <v>1687</v>
      </c>
      <c r="C50" s="49">
        <f>VLOOKUP(B50,'Country Summary'!B:J,9,0)</f>
        <v>7.3198138435895518E-5</v>
      </c>
      <c r="D50" s="52">
        <f>VLOOKUP(B50,'Country Summary'!B:O,14,0)</f>
        <v>0</v>
      </c>
      <c r="E50" s="52">
        <f>VLOOKUP(B50,'Country Summary'!B:Q,16,0)</f>
        <v>7.3198138435895518E-5</v>
      </c>
      <c r="F50" s="50"/>
      <c r="G50" s="50"/>
      <c r="H50" s="50"/>
      <c r="I50" s="50"/>
      <c r="J50" s="50"/>
      <c r="K50" s="50"/>
      <c r="L50" s="50"/>
      <c r="M50" s="50"/>
      <c r="N50" s="50"/>
      <c r="O50" s="50"/>
    </row>
    <row r="51" spans="2:16" ht="15.9" customHeight="1" x14ac:dyDescent="0.3">
      <c r="B51" s="46" t="s">
        <v>656</v>
      </c>
      <c r="C51" s="51">
        <f>VLOOKUP(B51,'Country Summary'!B:J,9,0)</f>
        <v>1.4848696966057873E-5</v>
      </c>
      <c r="D51" s="53">
        <f>VLOOKUP(B51,'Country Summary'!B:O,14,0)</f>
        <v>0</v>
      </c>
      <c r="E51" s="53">
        <f>VLOOKUP(B51,'Country Summary'!B:Q,16,0)</f>
        <v>1.4848696966057873E-5</v>
      </c>
      <c r="F51" s="50"/>
      <c r="G51" s="50"/>
      <c r="H51" s="50"/>
      <c r="I51" s="50"/>
      <c r="J51" s="1202"/>
      <c r="K51" s="1202"/>
      <c r="L51" s="1202"/>
      <c r="M51" s="1202"/>
      <c r="N51" s="1202"/>
      <c r="O51" s="1202"/>
      <c r="P51" s="1202"/>
    </row>
    <row r="52" spans="2:16" ht="15.9" customHeight="1" x14ac:dyDescent="0.3">
      <c r="F52" s="50"/>
      <c r="G52" s="50"/>
      <c r="H52" s="50"/>
      <c r="I52" s="50"/>
      <c r="J52" s="1202"/>
      <c r="K52" s="1202"/>
      <c r="L52" s="1202"/>
      <c r="M52" s="1202"/>
      <c r="N52" s="1202"/>
      <c r="O52" s="1202"/>
      <c r="P52" s="1202"/>
    </row>
    <row r="53" spans="2:16" ht="15.9" customHeight="1" x14ac:dyDescent="0.3">
      <c r="F53" s="50"/>
      <c r="G53" s="50"/>
      <c r="H53" s="50"/>
      <c r="I53" s="50"/>
      <c r="J53" s="1202"/>
      <c r="K53" s="1202"/>
      <c r="L53" s="1202"/>
      <c r="M53" s="1202"/>
      <c r="N53" s="1202"/>
      <c r="O53" s="1202"/>
      <c r="P53" s="1202"/>
    </row>
    <row r="54" spans="2:16" ht="15.9" customHeight="1" x14ac:dyDescent="0.3">
      <c r="C54" s="52"/>
      <c r="D54" s="52"/>
      <c r="E54" s="52"/>
      <c r="F54" s="50"/>
      <c r="G54" s="50"/>
      <c r="H54" s="50"/>
      <c r="I54" s="50"/>
      <c r="J54" s="1202"/>
      <c r="K54" s="1202"/>
      <c r="L54" s="1202"/>
      <c r="M54" s="1202"/>
      <c r="N54" s="1202"/>
      <c r="O54" s="1202"/>
      <c r="P54" s="1202"/>
    </row>
    <row r="55" spans="2:16" ht="15.9" customHeight="1" x14ac:dyDescent="0.3">
      <c r="F55" s="50"/>
      <c r="G55" s="50"/>
      <c r="H55" s="50"/>
      <c r="I55" s="50"/>
      <c r="J55" s="1202"/>
      <c r="K55" s="1202"/>
      <c r="L55" s="1202"/>
      <c r="M55" s="1202"/>
      <c r="N55" s="1202"/>
      <c r="O55" s="1202"/>
      <c r="P55" s="1202"/>
    </row>
    <row r="56" spans="2:16" ht="15.9" customHeight="1" x14ac:dyDescent="0.3">
      <c r="F56" s="50"/>
      <c r="G56" s="50"/>
      <c r="H56" s="50"/>
      <c r="I56" s="50"/>
      <c r="J56" s="1202"/>
      <c r="K56" s="1202"/>
      <c r="L56" s="1202"/>
      <c r="M56" s="1202"/>
      <c r="N56" s="1202"/>
      <c r="O56" s="1202"/>
      <c r="P56" s="1202"/>
    </row>
    <row r="57" spans="2:16" ht="15.9" customHeight="1" x14ac:dyDescent="0.3">
      <c r="F57" s="50"/>
      <c r="G57" s="50"/>
      <c r="H57" s="50"/>
      <c r="I57" s="50"/>
      <c r="J57" s="50"/>
      <c r="K57" s="50"/>
      <c r="L57" s="50"/>
      <c r="M57" s="50"/>
      <c r="N57" s="50"/>
      <c r="O57" s="50"/>
    </row>
    <row r="58" spans="2:16" ht="15.9" customHeight="1" x14ac:dyDescent="0.3">
      <c r="F58" s="50"/>
      <c r="G58" s="50"/>
      <c r="H58" s="50"/>
      <c r="I58" s="50"/>
      <c r="J58" s="50"/>
      <c r="K58" s="50"/>
      <c r="L58" s="50"/>
      <c r="M58" s="50"/>
      <c r="N58" s="50"/>
      <c r="O58" s="50"/>
    </row>
  </sheetData>
  <sortState ref="B12:E51">
    <sortCondition descending="1" ref="E12"/>
  </sortState>
  <mergeCells count="2">
    <mergeCell ref="J51:P56"/>
    <mergeCell ref="B4:D9"/>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D9E1F2"/>
  </sheetPr>
  <dimension ref="A1:V39"/>
  <sheetViews>
    <sheetView showGridLines="0" zoomScaleNormal="100" workbookViewId="0"/>
  </sheetViews>
  <sheetFormatPr baseColWidth="10" defaultColWidth="11.5" defaultRowHeight="15.9" customHeight="1" x14ac:dyDescent="0.3"/>
  <cols>
    <col min="1" max="1" width="8.59765625" style="2" customWidth="1"/>
    <col min="2" max="2" width="36.59765625" style="735" customWidth="1"/>
    <col min="3" max="3" width="26.3984375" style="782" customWidth="1"/>
    <col min="4" max="4" width="47.5" style="735" customWidth="1"/>
    <col min="5" max="5" width="39.3984375" style="735" customWidth="1"/>
    <col min="6" max="6" width="38.59765625" style="735" customWidth="1"/>
    <col min="7" max="7" width="31.8984375" style="735" customWidth="1"/>
    <col min="8" max="8" width="49.09765625" style="735" customWidth="1"/>
    <col min="9" max="13" width="13.59765625" style="735" customWidth="1"/>
    <col min="14" max="14" width="66.5" style="735" bestFit="1" customWidth="1"/>
    <col min="15" max="15" width="44.5" style="735" bestFit="1" customWidth="1"/>
    <col min="16" max="18" width="42" style="735" bestFit="1" customWidth="1"/>
    <col min="19" max="19" width="11.5" style="735" customWidth="1"/>
    <col min="20" max="16384" width="11.5" style="735"/>
  </cols>
  <sheetData>
    <row r="1" spans="1:22" ht="15.9" customHeight="1" x14ac:dyDescent="0.3">
      <c r="A1" s="735"/>
    </row>
    <row r="2" spans="1:22" s="790" customFormat="1" ht="24.75" customHeight="1" x14ac:dyDescent="0.3">
      <c r="A2" s="787"/>
      <c r="B2" s="788" t="s">
        <v>3781</v>
      </c>
      <c r="C2" s="789"/>
    </row>
    <row r="3" spans="1:22" s="737" customFormat="1" ht="15.9" customHeight="1" x14ac:dyDescent="0.35">
      <c r="A3" s="735"/>
      <c r="B3" s="738"/>
      <c r="C3" s="783"/>
      <c r="D3" s="739"/>
      <c r="E3" s="739"/>
      <c r="F3" s="739"/>
      <c r="G3" s="739"/>
      <c r="H3" s="739"/>
      <c r="I3" s="739"/>
      <c r="J3" s="739"/>
      <c r="K3" s="739"/>
      <c r="L3" s="739"/>
      <c r="M3" s="739"/>
    </row>
    <row r="4" spans="1:22" s="747" customFormat="1" ht="15.9" customHeight="1" x14ac:dyDescent="0.35">
      <c r="A4" s="735"/>
      <c r="B4" s="1177" t="s">
        <v>3782</v>
      </c>
      <c r="C4" s="1177"/>
      <c r="D4" s="1177"/>
      <c r="E4" s="443"/>
      <c r="F4" s="443"/>
      <c r="G4" s="443"/>
      <c r="H4" s="443"/>
      <c r="I4" s="443"/>
      <c r="J4" s="443"/>
      <c r="K4" s="443"/>
      <c r="L4" s="443"/>
      <c r="M4" s="443"/>
      <c r="N4" s="443"/>
      <c r="P4" s="753"/>
    </row>
    <row r="5" spans="1:22" s="747" customFormat="1" ht="15.9" customHeight="1" x14ac:dyDescent="0.35">
      <c r="A5" s="735"/>
      <c r="B5" s="1177"/>
      <c r="C5" s="1177"/>
      <c r="D5" s="1177"/>
      <c r="E5" s="443"/>
      <c r="F5" s="443"/>
      <c r="G5" s="443"/>
      <c r="H5" s="443"/>
      <c r="I5" s="443"/>
      <c r="J5" s="443"/>
      <c r="K5" s="443"/>
      <c r="L5" s="443"/>
      <c r="M5" s="443"/>
      <c r="N5" s="443"/>
      <c r="P5" s="753"/>
    </row>
    <row r="6" spans="1:22" s="747" customFormat="1" ht="15.9" customHeight="1" x14ac:dyDescent="0.35">
      <c r="A6" s="735"/>
      <c r="B6" s="1177"/>
      <c r="C6" s="1177"/>
      <c r="D6" s="1177"/>
      <c r="E6" s="443"/>
      <c r="F6" s="443"/>
      <c r="G6" s="443"/>
      <c r="H6" s="443"/>
      <c r="I6" s="443"/>
      <c r="J6" s="443"/>
      <c r="K6" s="443"/>
      <c r="L6" s="443"/>
      <c r="M6" s="443"/>
      <c r="N6" s="443"/>
      <c r="P6" s="753"/>
    </row>
    <row r="7" spans="1:22" s="747" customFormat="1" ht="15.9" customHeight="1" x14ac:dyDescent="0.35">
      <c r="A7" s="735"/>
      <c r="B7" s="1177"/>
      <c r="C7" s="1177"/>
      <c r="D7" s="1177"/>
      <c r="E7" s="443"/>
      <c r="F7" s="443"/>
      <c r="G7" s="443"/>
      <c r="H7" s="443"/>
      <c r="I7" s="443"/>
      <c r="J7" s="443"/>
      <c r="K7" s="443"/>
      <c r="L7" s="443"/>
      <c r="M7" s="443"/>
      <c r="N7" s="443"/>
      <c r="P7" s="753"/>
    </row>
    <row r="8" spans="1:22" s="747" customFormat="1" ht="15.9" customHeight="1" x14ac:dyDescent="0.35">
      <c r="A8" s="735"/>
      <c r="B8" s="1177"/>
      <c r="C8" s="1177"/>
      <c r="D8" s="1177"/>
      <c r="E8" s="443"/>
      <c r="F8" s="443"/>
      <c r="G8" s="443"/>
      <c r="H8" s="443"/>
      <c r="I8" s="443"/>
      <c r="J8" s="443"/>
      <c r="K8" s="443"/>
      <c r="L8" s="443"/>
      <c r="M8" s="443"/>
      <c r="N8" s="443"/>
      <c r="P8" s="753"/>
    </row>
    <row r="9" spans="1:22" s="747" customFormat="1" ht="15.9" customHeight="1" x14ac:dyDescent="0.35">
      <c r="A9" s="735"/>
      <c r="B9" s="1177"/>
      <c r="C9" s="1177"/>
      <c r="D9" s="1177"/>
      <c r="E9" s="443"/>
      <c r="F9" s="443"/>
      <c r="G9" s="443"/>
      <c r="H9" s="443"/>
      <c r="I9" s="443"/>
      <c r="J9" s="443"/>
      <c r="K9" s="443"/>
      <c r="L9" s="443"/>
      <c r="M9" s="443"/>
      <c r="N9" s="443"/>
      <c r="P9" s="753"/>
    </row>
    <row r="11" spans="1:22" s="744" customFormat="1" ht="24.75" customHeight="1" x14ac:dyDescent="0.3">
      <c r="A11" s="417"/>
      <c r="B11" s="740" t="s">
        <v>3658</v>
      </c>
      <c r="C11" s="741" t="s">
        <v>3783</v>
      </c>
      <c r="D11" s="741" t="s">
        <v>3784</v>
      </c>
      <c r="E11" s="741" t="s">
        <v>3785</v>
      </c>
      <c r="F11" s="741" t="s">
        <v>3786</v>
      </c>
      <c r="G11" s="741" t="s">
        <v>3787</v>
      </c>
      <c r="H11" s="741" t="s">
        <v>3788</v>
      </c>
      <c r="I11" s="787"/>
      <c r="J11" s="743" t="s">
        <v>3789</v>
      </c>
      <c r="M11" s="745"/>
      <c r="N11" s="745"/>
      <c r="O11" s="745"/>
      <c r="P11" s="745"/>
      <c r="Q11" s="745"/>
      <c r="R11" s="745"/>
      <c r="S11" s="745"/>
      <c r="T11" s="745"/>
      <c r="U11" s="745"/>
      <c r="V11" s="745"/>
    </row>
    <row r="12" spans="1:22" ht="15.9" customHeight="1" x14ac:dyDescent="0.3">
      <c r="B12" s="37" t="s">
        <v>3664</v>
      </c>
      <c r="C12" s="784">
        <f>SUM('Comm per Month (Mil in-kind)'!F54)</f>
        <v>0.62224593356392921</v>
      </c>
      <c r="D12" s="746">
        <f>SUMIFS('Comm per Month (Mil in-kind)'!$F:$F,'Comm per Month (Mil in-kind)'!$D:$D,1)</f>
        <v>0.16224952372025275</v>
      </c>
      <c r="E12" s="746">
        <f>SUMIFS('Comm per Month (Mil in-kind)'!$F:$F,'Comm per Month (Mil in-kind)'!$C:$C,1)</f>
        <v>0.45999640984367646</v>
      </c>
      <c r="F12" s="746">
        <f>SUMIFS('Comm per Month (Mil in-kind)'!$F:$F,'Comm per Month (Mil in-kind)'!$C:$C,0, 'Comm per Month (Mil in-kind)'!$D:$D,0 )</f>
        <v>0</v>
      </c>
      <c r="G12" s="746">
        <f>SUMIFS('Comm per Month (Mil in-kind)'!$F:$F,'Comm per Month (Mil in-kind)'!$B:$B,"United States")</f>
        <v>0</v>
      </c>
      <c r="H12" s="746">
        <f t="shared" ref="H12:H22" si="0">D12-G12</f>
        <v>0.16224952372025275</v>
      </c>
      <c r="I12" s="746"/>
    </row>
    <row r="13" spans="1:22" ht="15.9" customHeight="1" x14ac:dyDescent="0.3">
      <c r="B13" s="37" t="s">
        <v>3665</v>
      </c>
      <c r="C13" s="784">
        <f>SUM('Comm per Month (Mil in-kind)'!G54)</f>
        <v>9.572067284232217</v>
      </c>
      <c r="D13" s="746">
        <f>SUMIFS('Comm per Month (Mil in-kind)'!$G:$G,'Comm per Month (Mil in-kind)'!$D:$D,1)</f>
        <v>9.3209287346101455</v>
      </c>
      <c r="E13" s="746">
        <f>SUMIFS('Comm per Month (Mil in-kind)'!$G:$G,'Comm per Month (Mil in-kind)'!$C:$C,1)</f>
        <v>0.17201558096937641</v>
      </c>
      <c r="F13" s="746">
        <f>SUMIFS('Comm per Month (Mil in-kind)'!$G:$G,'Comm per Month (Mil in-kind)'!$C:$C,0, 'Comm per Month (Mil in-kind)'!$D:$D,0 )</f>
        <v>7.9122968652694789E-2</v>
      </c>
      <c r="G13" s="746">
        <f>SUMIFS('Comm per Month (Mil in-kind)'!$G:$G,'Comm per Month (Mil in-kind)'!$B:$B,"United States")</f>
        <v>8.5952380952380949</v>
      </c>
      <c r="H13" s="746">
        <f t="shared" si="0"/>
        <v>0.72569063937205058</v>
      </c>
      <c r="I13" s="746"/>
      <c r="J13" s="748"/>
      <c r="K13" s="748"/>
      <c r="L13" s="748"/>
      <c r="M13" s="748"/>
      <c r="N13" s="748"/>
    </row>
    <row r="14" spans="1:22" ht="15.9" customHeight="1" x14ac:dyDescent="0.3">
      <c r="B14" s="37" t="s">
        <v>3666</v>
      </c>
      <c r="C14" s="784">
        <f>SUM('Comm per Month (Mil in-kind)'!H54)</f>
        <v>11.074642380560455</v>
      </c>
      <c r="D14" s="746">
        <f>SUMIFS('Comm per Month (Mil in-kind)'!$H:$H,'Comm per Month (Mil in-kind)'!$D:$D,1)</f>
        <v>8.0935281392432241</v>
      </c>
      <c r="E14" s="746">
        <f>SUMIFS('Comm per Month (Mil in-kind)'!$H:$H,'Comm per Month (Mil in-kind)'!$C:$C,1)</f>
        <v>2.9107872850811987</v>
      </c>
      <c r="F14" s="746">
        <f>SUMIFS('Comm per Month (Mil in-kind)'!$H:$H,'Comm per Month (Mil in-kind)'!$C:$C,0, 'Comm per Month (Mil in-kind)'!$D:$D,0 )</f>
        <v>7.0326956236031454E-2</v>
      </c>
      <c r="G14" s="746">
        <f>SUMIFS('Comm per Month (Mil in-kind)'!$H:$H,'Comm per Month (Mil in-kind)'!$B:$B,"United States")</f>
        <v>7.4733333333333327</v>
      </c>
      <c r="H14" s="746">
        <f t="shared" si="0"/>
        <v>0.6201948059098914</v>
      </c>
      <c r="I14" s="746"/>
      <c r="L14" s="30"/>
    </row>
    <row r="15" spans="1:22" ht="15.9" customHeight="1" x14ac:dyDescent="0.3">
      <c r="B15" s="37" t="s">
        <v>3667</v>
      </c>
      <c r="C15" s="784">
        <f>SUM('Comm per Month (Mil in-kind)'!I54)</f>
        <v>2.2356322470445265</v>
      </c>
      <c r="D15" s="746">
        <f>SUMIFS('Comm per Month (Mil in-kind)'!$I:$I,'Comm per Month (Mil in-kind)'!$D:$D,1)</f>
        <v>1.543284539369133</v>
      </c>
      <c r="E15" s="746">
        <f>SUMIFS('Comm per Month (Mil in-kind)'!$I:$I,'Comm per Month (Mil in-kind)'!$C:$C,1)</f>
        <v>0.65179621460891923</v>
      </c>
      <c r="F15" s="746">
        <f>SUMIFS('Comm per Month (Mil in-kind)'!$I:$I,'Comm per Month (Mil in-kind)'!$C:$C,0, 'Comm per Month (Mil in-kind)'!$D:$D,0 )</f>
        <v>4.0551493066474292E-2</v>
      </c>
      <c r="G15" s="746">
        <f>SUMIFS('Comm per Month (Mil in-kind)'!$I:$I,'Comm per Month (Mil in-kind)'!$B:$B,"United States")</f>
        <v>0</v>
      </c>
      <c r="H15" s="746">
        <f t="shared" si="0"/>
        <v>1.543284539369133</v>
      </c>
      <c r="I15" s="746"/>
      <c r="L15" s="30"/>
    </row>
    <row r="16" spans="1:22" ht="15.9" customHeight="1" x14ac:dyDescent="0.3">
      <c r="B16" s="37" t="s">
        <v>3668</v>
      </c>
      <c r="C16" s="784">
        <f>SUM('Comm per Month (Mil in-kind)'!J54)</f>
        <v>3.6185803719676484</v>
      </c>
      <c r="D16" s="746">
        <f>SUMIFS('Comm per Month (Mil in-kind)'!$J:$J,'Comm per Month (Mil in-kind)'!$D:$D,1)</f>
        <v>1.4049445012644997</v>
      </c>
      <c r="E16" s="746">
        <f>SUMIFS('Comm per Month (Mil in-kind)'!$J:$J,'Comm per Month (Mil in-kind)'!$C:$C,1)</f>
        <v>2.2136358707031487</v>
      </c>
      <c r="F16" s="746">
        <f>SUMIFS('Comm per Month (Mil in-kind)'!$J:$J,'Comm per Month (Mil in-kind)'!$C:$C,0, 'Comm per Month (Mil in-kind)'!$D:$D,0 )</f>
        <v>0</v>
      </c>
      <c r="G16" s="746">
        <f>SUMIFS('Comm per Month (Mil in-kind)'!$J:$J,'Comm per Month (Mil in-kind)'!$B:$B,"United States")</f>
        <v>0</v>
      </c>
      <c r="H16" s="746">
        <f t="shared" si="0"/>
        <v>1.4049445012644997</v>
      </c>
      <c r="I16" s="746"/>
      <c r="L16" s="30"/>
    </row>
    <row r="17" spans="2:9" ht="15.9" customHeight="1" x14ac:dyDescent="0.3">
      <c r="B17" s="37" t="s">
        <v>3669</v>
      </c>
      <c r="C17" s="784">
        <f>SUM('Comm per Month (Mil in-kind)'!K54)</f>
        <v>0.70433073368698385</v>
      </c>
      <c r="D17" s="746">
        <f>SUMIFS('Comm per Month (Mil in-kind)'!$K:$K,'Comm per Month (Mil in-kind)'!$D:$D,1)</f>
        <v>1.5831498399999998E-2</v>
      </c>
      <c r="E17" s="746">
        <f>SUMIFS('Comm per Month (Mil in-kind)'!$K:$K,'Comm per Month (Mil in-kind)'!$C:$C,1)</f>
        <v>0.63702959913522939</v>
      </c>
      <c r="F17" s="746">
        <f>SUMIFS('Comm per Month (Mil in-kind)'!$K:$K,'Comm per Month (Mil in-kind)'!$C:$C,0, 'Comm per Month (Mil in-kind)'!$D:$D,0 )</f>
        <v>5.1469636151754497E-2</v>
      </c>
      <c r="G17" s="746">
        <f>SUMIFS('Comm per Month (Mil in-kind)'!$K:$K,'Comm per Month (Mil in-kind)'!$B:$B,"United States")</f>
        <v>0</v>
      </c>
      <c r="H17" s="746">
        <f t="shared" si="0"/>
        <v>1.5831498399999998E-2</v>
      </c>
      <c r="I17" s="746"/>
    </row>
    <row r="18" spans="2:9" ht="15.9" customHeight="1" x14ac:dyDescent="0.3">
      <c r="B18" s="37" t="s">
        <v>3670</v>
      </c>
      <c r="C18" s="784">
        <f>SUM('Comm per Month (Mil in-kind)'!L54)</f>
        <v>0.43619938468811659</v>
      </c>
      <c r="D18" s="746">
        <f>SUMIFS('Comm per Month (Mil in-kind)'!$L:$L,'Comm per Month (Mil in-kind)'!$D:$D,1)</f>
        <v>0.18168904761904761</v>
      </c>
      <c r="E18" s="746">
        <f>SUMIFS('Comm per Month (Mil in-kind)'!$L:$L,'Comm per Month (Mil in-kind)'!$C:$C,1)</f>
        <v>0.25444176564049759</v>
      </c>
      <c r="F18" s="746">
        <f>SUMIFS('Comm per Month (Mil in-kind)'!$L:$L,'Comm per Month (Mil in-kind)'!$C:$C,0, 'Comm per Month (Mil in-kind)'!$D:$D,0 )</f>
        <v>6.8571428571428567E-5</v>
      </c>
      <c r="G18" s="746">
        <f>SUMIFS('Comm per Month (Mil in-kind)'!$L:$L,'Comm per Month (Mil in-kind)'!$B:$B,"United States")</f>
        <v>0</v>
      </c>
      <c r="H18" s="746">
        <f t="shared" si="0"/>
        <v>0.18168904761904761</v>
      </c>
      <c r="I18" s="746"/>
    </row>
    <row r="19" spans="2:9" ht="15.9" customHeight="1" x14ac:dyDescent="0.3">
      <c r="B19" s="37" t="s">
        <v>3671</v>
      </c>
      <c r="C19" s="784">
        <f>SUM('Comm per Month (Mil in-kind)'!M54)</f>
        <v>6.6306941633958676</v>
      </c>
      <c r="D19" s="746">
        <f>SUMIFS('Comm per Month (Mil in-kind)'!$M:$M,'Comm per Month (Mil in-kind)'!$D:$D,1)</f>
        <v>6.3951375238095238</v>
      </c>
      <c r="E19" s="746">
        <f>SUMIFS('Comm per Month (Mil in-kind)'!$M:$M,'Comm per Month (Mil in-kind)'!$C:$C,1)</f>
        <v>0.23555663958634362</v>
      </c>
      <c r="F19" s="746">
        <f>SUMIFS('Comm per Month (Mil in-kind)'!$M:$M,'Comm per Month (Mil in-kind)'!$C:$C,0, 'Comm per Month (Mil in-kind)'!$D:$D,0 )</f>
        <v>0</v>
      </c>
      <c r="G19" s="746">
        <f>SUMIFS('Comm per Month (Mil in-kind)'!$M:$M,'Comm per Month (Mil in-kind)'!$B:$B,"United States")</f>
        <v>6.3809523809523814</v>
      </c>
      <c r="H19" s="746">
        <f t="shared" si="0"/>
        <v>1.4185142857142452E-2</v>
      </c>
      <c r="I19" s="746"/>
    </row>
    <row r="20" spans="2:9" ht="15.9" customHeight="1" x14ac:dyDescent="0.3">
      <c r="B20" s="37" t="s">
        <v>3672</v>
      </c>
      <c r="C20" s="784">
        <f>SUM('Comm per Month (Mil in-kind)'!N54)</f>
        <v>0.91897030517592238</v>
      </c>
      <c r="D20" s="746">
        <f>SUMIFS('Comm per Month (Mil in-kind)'!$N:$N,'Comm per Month (Mil in-kind)'!$D:$D,1)</f>
        <v>0.34199883377706225</v>
      </c>
      <c r="E20" s="746">
        <f>SUMIFS('Comm per Month (Mil in-kind)'!$N:$N,'Comm per Month (Mil in-kind)'!$C:$C,1)</f>
        <v>0.45655194530796278</v>
      </c>
      <c r="F20" s="746">
        <f>SUMIFS('Comm per Month (Mil in-kind)'!$N:$N,'Comm per Month (Mil in-kind)'!$C:$C,0, 'Comm per Month (Mil in-kind)'!$D:$D,0 )</f>
        <v>0.12041952609089732</v>
      </c>
      <c r="G20" s="746">
        <f>SUMIFS('Comm per Month (Mil in-kind)'!$N:$N,'Comm per Month (Mil in-kind)'!$B:$B,"United States")</f>
        <v>0</v>
      </c>
      <c r="H20" s="746">
        <f t="shared" si="0"/>
        <v>0.34199883377706225</v>
      </c>
      <c r="I20" s="746"/>
    </row>
    <row r="21" spans="2:9" ht="15.9" customHeight="1" x14ac:dyDescent="0.3">
      <c r="B21" s="37" t="s">
        <v>3673</v>
      </c>
      <c r="C21" s="784">
        <f>SUM('Comm per Month (Mil in-kind)'!O54)</f>
        <v>1.0497003474106621</v>
      </c>
      <c r="D21" s="746">
        <f>SUMIFS('Comm per Month (Mil in-kind)'!$O:$O,'Comm per Month (Mil in-kind)'!$D:$D,1)</f>
        <v>0.46146161525451146</v>
      </c>
      <c r="E21" s="746">
        <f>SUMIFS('Comm per Month (Mil in-kind)'!$O:$O,'Comm per Month (Mil in-kind)'!$C:$C,1)</f>
        <v>0.58712615096779375</v>
      </c>
      <c r="F21" s="746">
        <f>SUMIFS('Comm per Month (Mil in-kind)'!$O:$O,'Comm per Month (Mil in-kind)'!$C:$C,0, 'Comm per Month (Mil in-kind)'!$D:$D,0 )</f>
        <v>1.1125811883569881E-3</v>
      </c>
      <c r="G21" s="746">
        <f>SUMIFS('Comm per Month (Mil in-kind)'!$O:$O,'Comm per Month (Mil in-kind)'!$B:$B,"United States")</f>
        <v>0</v>
      </c>
      <c r="H21" s="746">
        <f t="shared" si="0"/>
        <v>0.46146161525451146</v>
      </c>
      <c r="I21" s="746"/>
    </row>
    <row r="22" spans="2:9" ht="15.9" customHeight="1" x14ac:dyDescent="0.3">
      <c r="B22" s="37" t="s">
        <v>3674</v>
      </c>
      <c r="C22" s="784">
        <f>SUM('Comm per Month (Mil in-kind)'!P54)</f>
        <v>22.868229312151332</v>
      </c>
      <c r="D22" s="746">
        <f>SUMIFS('Comm per Month (Mil in-kind)'!$P:$P,'Comm per Month (Mil in-kind)'!$D:$D,1)</f>
        <v>21.915491140530509</v>
      </c>
      <c r="E22" s="746">
        <f>SUMIFS('Comm per Month (Mil in-kind)'!$P:$P,'Comm per Month (Mil in-kind)'!$C:$C,1)</f>
        <v>0.9527381716208202</v>
      </c>
      <c r="F22" s="746">
        <f>SUMIFS('Comm per Month (Mil in-kind)'!$P:$P,'Comm per Month (Mil in-kind)'!$C:$C,0, 'Comm per Month (Mil in-kind)'!$D:$D,0 )</f>
        <v>0</v>
      </c>
      <c r="G22" s="746">
        <f>SUMIFS('Comm per Month (Mil in-kind)'!$P:$P,'Comm per Month (Mil in-kind)'!$B:$B,"United States")</f>
        <v>21.888571428571428</v>
      </c>
      <c r="H22" s="746">
        <f t="shared" si="0"/>
        <v>2.6919711959081383E-2</v>
      </c>
      <c r="I22" s="746"/>
    </row>
    <row r="23" spans="2:9" ht="15.9" customHeight="1" x14ac:dyDescent="0.3">
      <c r="B23" s="278" t="s">
        <v>3675</v>
      </c>
      <c r="C23" s="785">
        <f t="shared" ref="C23:H23" si="1">SUM(C12:C22)</f>
        <v>59.731292463877665</v>
      </c>
      <c r="D23" s="785">
        <f t="shared" si="1"/>
        <v>49.836545097597906</v>
      </c>
      <c r="E23" s="785">
        <f t="shared" si="1"/>
        <v>9.5316756334649675</v>
      </c>
      <c r="F23" s="785">
        <f t="shared" si="1"/>
        <v>0.36307173281478078</v>
      </c>
      <c r="G23" s="785">
        <f t="shared" si="1"/>
        <v>44.338095238095235</v>
      </c>
      <c r="H23" s="785">
        <f t="shared" si="1"/>
        <v>5.4984498595026716</v>
      </c>
      <c r="I23" s="750"/>
    </row>
    <row r="24" spans="2:9" ht="15.9" customHeight="1" x14ac:dyDescent="0.3">
      <c r="B24" s="748"/>
      <c r="C24" s="786"/>
      <c r="D24" s="750"/>
      <c r="E24" s="750"/>
      <c r="G24" s="746"/>
      <c r="H24" s="746"/>
      <c r="I24" s="746"/>
    </row>
    <row r="25" spans="2:9" ht="15.9" customHeight="1" x14ac:dyDescent="0.3">
      <c r="D25" s="750"/>
      <c r="E25" s="750"/>
    </row>
    <row r="39" spans="14:14" ht="15.9" customHeight="1" x14ac:dyDescent="0.3">
      <c r="N39" s="751"/>
    </row>
  </sheetData>
  <mergeCells count="1">
    <mergeCell ref="B4:D9"/>
  </mergeCells>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D9E1F2"/>
  </sheetPr>
  <dimension ref="A1:V48"/>
  <sheetViews>
    <sheetView showGridLines="0" zoomScaleNormal="100" workbookViewId="0"/>
  </sheetViews>
  <sheetFormatPr baseColWidth="10" defaultColWidth="11.5" defaultRowHeight="15.75" customHeight="1" x14ac:dyDescent="0.3"/>
  <cols>
    <col min="1" max="1" width="8.59765625" style="2" customWidth="1"/>
    <col min="2" max="2" width="22.09765625" style="775" customWidth="1"/>
    <col min="3" max="3" width="18.09765625" style="779" customWidth="1"/>
    <col min="4" max="4" width="37.59765625" style="757" bestFit="1" customWidth="1"/>
    <col min="5" max="5" width="48.09765625" style="757" bestFit="1" customWidth="1"/>
    <col min="6" max="6" width="40.09765625" style="757" bestFit="1" customWidth="1"/>
    <col min="7" max="7" width="32" style="757" bestFit="1" customWidth="1"/>
    <col min="8" max="8" width="17.8984375" style="757" bestFit="1" customWidth="1"/>
    <col min="9" max="9" width="13.59765625" style="757" customWidth="1"/>
    <col min="10" max="10" width="66.5" style="757" bestFit="1" customWidth="1"/>
    <col min="11" max="11" width="44.5" style="757" bestFit="1" customWidth="1"/>
    <col min="12" max="14" width="42" style="757" bestFit="1" customWidth="1"/>
    <col min="15" max="15" width="11.5" style="757" customWidth="1"/>
    <col min="16" max="16384" width="11.5" style="757"/>
  </cols>
  <sheetData>
    <row r="1" spans="1:22" ht="15.6" x14ac:dyDescent="0.3">
      <c r="A1" s="756"/>
    </row>
    <row r="2" spans="1:22" s="759" customFormat="1" ht="24.75" customHeight="1" x14ac:dyDescent="0.35">
      <c r="A2" s="756"/>
      <c r="B2" s="776" t="s">
        <v>3790</v>
      </c>
      <c r="C2" s="780"/>
      <c r="D2" s="758"/>
      <c r="E2" s="758"/>
      <c r="F2" s="757"/>
      <c r="G2" s="757"/>
      <c r="H2" s="757"/>
      <c r="I2" s="757"/>
    </row>
    <row r="3" spans="1:22" s="759" customFormat="1" ht="15.9" customHeight="1" x14ac:dyDescent="0.3">
      <c r="A3" s="756"/>
      <c r="B3" s="777"/>
      <c r="C3" s="781"/>
      <c r="D3" s="760"/>
      <c r="E3" s="760"/>
      <c r="F3" s="757"/>
      <c r="G3" s="757"/>
      <c r="H3" s="757"/>
      <c r="I3" s="757"/>
    </row>
    <row r="4" spans="1:22" s="761" customFormat="1" ht="15.9" customHeight="1" x14ac:dyDescent="0.35">
      <c r="A4" s="756"/>
      <c r="B4" s="1177" t="s">
        <v>3791</v>
      </c>
      <c r="C4" s="1177"/>
      <c r="D4" s="1177"/>
      <c r="E4" s="1177"/>
      <c r="F4" s="443"/>
      <c r="G4" s="443"/>
      <c r="H4" s="443"/>
      <c r="I4" s="443"/>
      <c r="J4" s="443"/>
      <c r="L4" s="762"/>
    </row>
    <row r="5" spans="1:22" s="761" customFormat="1" ht="15.9" customHeight="1" x14ac:dyDescent="0.35">
      <c r="A5" s="756"/>
      <c r="B5" s="1177"/>
      <c r="C5" s="1177"/>
      <c r="D5" s="1177"/>
      <c r="E5" s="1177"/>
      <c r="F5" s="443"/>
      <c r="G5" s="443"/>
      <c r="H5" s="443"/>
      <c r="I5" s="443"/>
      <c r="J5" s="443"/>
      <c r="L5" s="762"/>
    </row>
    <row r="6" spans="1:22" s="761" customFormat="1" ht="15.9" customHeight="1" x14ac:dyDescent="0.35">
      <c r="A6" s="756"/>
      <c r="B6" s="1177"/>
      <c r="C6" s="1177"/>
      <c r="D6" s="1177"/>
      <c r="E6" s="1177"/>
      <c r="F6" s="443"/>
      <c r="G6" s="443"/>
      <c r="H6" s="443"/>
      <c r="I6" s="443"/>
      <c r="J6" s="443"/>
      <c r="L6" s="762"/>
    </row>
    <row r="7" spans="1:22" s="761" customFormat="1" ht="15.9" customHeight="1" x14ac:dyDescent="0.35">
      <c r="A7" s="756"/>
      <c r="B7" s="1177"/>
      <c r="C7" s="1177"/>
      <c r="D7" s="1177"/>
      <c r="E7" s="1177"/>
      <c r="F7" s="443"/>
      <c r="G7" s="443"/>
      <c r="H7" s="443"/>
      <c r="I7" s="443"/>
      <c r="J7" s="443"/>
      <c r="L7" s="762"/>
    </row>
    <row r="8" spans="1:22" s="761" customFormat="1" ht="15.9" customHeight="1" x14ac:dyDescent="0.35">
      <c r="A8" s="756"/>
      <c r="B8" s="1177"/>
      <c r="C8" s="1177"/>
      <c r="D8" s="1177"/>
      <c r="E8" s="1177"/>
      <c r="F8" s="443"/>
      <c r="G8" s="443"/>
      <c r="H8" s="443"/>
      <c r="I8" s="443"/>
      <c r="J8" s="443"/>
      <c r="L8" s="762"/>
    </row>
    <row r="9" spans="1:22" s="761" customFormat="1" ht="15.9" customHeight="1" x14ac:dyDescent="0.35">
      <c r="A9" s="756"/>
      <c r="B9" s="1177"/>
      <c r="C9" s="1177"/>
      <c r="D9" s="1177"/>
      <c r="E9" s="1177"/>
      <c r="F9" s="443"/>
      <c r="G9" s="443"/>
      <c r="H9" s="443"/>
      <c r="I9" s="443"/>
      <c r="J9" s="443"/>
      <c r="L9" s="762"/>
    </row>
    <row r="10" spans="1:22" ht="16.5" customHeight="1" x14ac:dyDescent="0.3">
      <c r="I10" s="767"/>
    </row>
    <row r="11" spans="1:22" s="764" customFormat="1" ht="24.75" customHeight="1" x14ac:dyDescent="0.3">
      <c r="A11" s="11"/>
      <c r="B11" s="778" t="s">
        <v>3658</v>
      </c>
      <c r="C11" s="771" t="s">
        <v>3684</v>
      </c>
      <c r="D11" s="771" t="s">
        <v>3785</v>
      </c>
      <c r="E11" s="771" t="s">
        <v>3784</v>
      </c>
      <c r="F11" s="771" t="s">
        <v>3786</v>
      </c>
      <c r="G11" s="771" t="s">
        <v>3787</v>
      </c>
      <c r="H11" s="771" t="s">
        <v>3783</v>
      </c>
      <c r="I11" s="767"/>
      <c r="J11" s="763" t="s">
        <v>3792</v>
      </c>
      <c r="M11" s="765"/>
      <c r="N11" s="765"/>
      <c r="O11" s="765"/>
      <c r="P11" s="765"/>
      <c r="Q11" s="765"/>
      <c r="R11" s="765"/>
      <c r="S11" s="765"/>
      <c r="T11" s="765"/>
      <c r="U11" s="765"/>
      <c r="V11" s="765"/>
    </row>
    <row r="12" spans="1:22" ht="15.6" x14ac:dyDescent="0.3">
      <c r="A12" s="860">
        <v>2</v>
      </c>
      <c r="B12" s="1207" t="s">
        <v>3664</v>
      </c>
      <c r="C12" s="493" t="s">
        <v>3595</v>
      </c>
      <c r="D12" s="767">
        <f>SUMIFS('Bilateral Assistance, MAIN DATA'!$M:$M,'Bilateral Assistance, MAIN DATA'!$AH:$AH,A12,'Bilateral Assistance, MAIN DATA'!$AX:$AX,1,'Bilateral Assistance, MAIN DATA'!$AO:$AO,"122mm MLRS")+SUMIFS('Bilateral Assistance, MAIN DATA'!$M:$M,'Bilateral Assistance, MAIN DATA'!$AH:$AH,A12,'Bilateral Assistance, MAIN DATA'!$AX:$AX,1,'Bilateral Assistance, MAIN DATA'!$AO:$AO,"127mm MLRS")+SUMIFS('Bilateral Assistance, MAIN DATA'!$M:$M,'Bilateral Assistance, MAIN DATA'!$AH:$AH,A12,'Bilateral Assistance, MAIN DATA'!$AX:$AX,1,'Bilateral Assistance, MAIN DATA'!$AO:$AO,"227mm MLRS")</f>
        <v>0</v>
      </c>
      <c r="E12" s="767">
        <f>SUMIFS('Bilateral Assistance, MAIN DATA'!$M:$M,'Bilateral Assistance, MAIN DATA'!$AH:$AH,A12,'Bilateral Assistance, MAIN DATA'!$AX:$AX,0, 'Bilateral Assistance, MAIN DATA'!$AW:$AW,1,'Bilateral Assistance, MAIN DATA'!$AO:$AO,"122mm MLRS")+SUMIFS('Bilateral Assistance, MAIN DATA'!$M:$M,'Bilateral Assistance, MAIN DATA'!$AH:$AH,A12,'Bilateral Assistance, MAIN DATA'!$AX:$AX,0, 'Bilateral Assistance, MAIN DATA'!$AW:$AW,1,'Bilateral Assistance, MAIN DATA'!$AO:$AO,"127mm MLRS")+SUMIFS('Bilateral Assistance, MAIN DATA'!$M:$M,'Bilateral Assistance, MAIN DATA'!$AH:$AH,A12,'Bilateral Assistance, MAIN DATA'!$AX:$AX,0, 'Bilateral Assistance, MAIN DATA'!$AW:$AW,1,'Bilateral Assistance, MAIN DATA'!$AO:$AO,"227mm MLRS")</f>
        <v>0</v>
      </c>
      <c r="F12" s="767">
        <f>SUMIFS('Bilateral Assistance, MAIN DATA'!$M:$M,'Bilateral Assistance, MAIN DATA'!$AH:$AH,A12,'Bilateral Assistance, MAIN DATA'!$AX:$AX,0, 'Bilateral Assistance, MAIN DATA'!$AW:$AW,0,'Bilateral Assistance, MAIN DATA'!$AO:$AO,"122mm MLRS")+SUMIFS('Bilateral Assistance, MAIN DATA'!$M:$M,'Bilateral Assistance, MAIN DATA'!$AH:$AH,A12,'Bilateral Assistance, MAIN DATA'!$AX:$AX,0, 'Bilateral Assistance, MAIN DATA'!$AW:$AW,0,'Bilateral Assistance, MAIN DATA'!$AO:$AO,"127mm MLRS")+SUMIFS('Bilateral Assistance, MAIN DATA'!$M:$M,'Bilateral Assistance, MAIN DATA'!$AH:$AH,A12,'Bilateral Assistance, MAIN DATA'!$AX:$AX,0, 'Bilateral Assistance, MAIN DATA'!$AW:$AW,0,'Bilateral Assistance, MAIN DATA'!$AO:$AO,"227mm MLRS")</f>
        <v>0</v>
      </c>
      <c r="G12" s="767">
        <f>(SUMIFS('Bilateral Assistance, MAIN DATA'!$M:$M,'Bilateral Assistance, MAIN DATA'!$AH:$AH,A12,'Bilateral Assistance, MAIN DATA'!$AO:$AO,"122mm MLRS", 'Bilateral Assistance, MAIN DATA'!$B:$B, "United States")+SUMIFS('Bilateral Assistance, MAIN DATA'!$M:$M,'Bilateral Assistance, MAIN DATA'!$AH:$AH,A12,'Bilateral Assistance, MAIN DATA'!$AO:$AO,"127mm MLRS", 'Bilateral Assistance, MAIN DATA'!$B:$B, "United States")+SUMIFS('Bilateral Assistance, MAIN DATA'!$M:$M,'Bilateral Assistance, MAIN DATA'!$AH:$AH,A12,'Bilateral Assistance, MAIN DATA'!$AO:$AO,"227mm MLRS", 'Bilateral Assistance, MAIN DATA'!$B:$B, "United States"))</f>
        <v>0</v>
      </c>
      <c r="H12" s="767">
        <f>SUMIFS('Bilateral Assistance, MAIN DATA'!$M:$M,'Bilateral Assistance, MAIN DATA'!$AH:$AH,A12,'Bilateral Assistance, MAIN DATA'!$AO:$AO,"122mm MLRS")+SUMIFS('Bilateral Assistance, MAIN DATA'!$M:$M,'Bilateral Assistance, MAIN DATA'!$AH:$AH,A12,'Bilateral Assistance, MAIN DATA'!$AO:$AO,"127mm MLRS")+SUMIFS('Bilateral Assistance, MAIN DATA'!$M:$M,'Bilateral Assistance, MAIN DATA'!$AH:$AH,A12,'Bilateral Assistance, MAIN DATA'!$AO:$AO,"227mm MLRS")</f>
        <v>0</v>
      </c>
      <c r="I12" s="767"/>
    </row>
    <row r="13" spans="1:22" ht="15.6" x14ac:dyDescent="0.3">
      <c r="A13" s="860">
        <v>2</v>
      </c>
      <c r="B13" s="1207"/>
      <c r="C13" s="493" t="s">
        <v>3793</v>
      </c>
      <c r="D13" s="767">
        <f>SUMIFS('Bilateral Assistance, MAIN DATA'!$M:$M,'Bilateral Assistance, MAIN DATA'!$AH:$AH,A12,'Bilateral Assistance, MAIN DATA'!$AX:$AX,1,'Bilateral Assistance, MAIN DATA'!$AO:$AO,"155mm howitzer")</f>
        <v>0</v>
      </c>
      <c r="E13" s="767">
        <f>SUMIFS('Bilateral Assistance, MAIN DATA'!$M:$M,'Bilateral Assistance, MAIN DATA'!$AH:$AH,A12,'Bilateral Assistance, MAIN DATA'!$AX:$AX,0, 'Bilateral Assistance, MAIN DATA'!$AW:$AW,1,'Bilateral Assistance, MAIN DATA'!$AO:$AO,"155mm howitzer")</f>
        <v>0</v>
      </c>
      <c r="F13" s="767">
        <f>SUMIFS('Bilateral Assistance, MAIN DATA'!$M:$M,'Bilateral Assistance, MAIN DATA'!$AH:$AH,A12,'Bilateral Assistance, MAIN DATA'!$AX:$AX,0, 'Bilateral Assistance, MAIN DATA'!$AW:$AW,0,'Bilateral Assistance, MAIN DATA'!$AO:$AO,"155mm howitzer")</f>
        <v>0</v>
      </c>
      <c r="G13" s="767">
        <f>SUMIFS('Bilateral Assistance, MAIN DATA'!$M:$M,'Bilateral Assistance, MAIN DATA'!$AH:$AH,A12,'Bilateral Assistance, MAIN DATA'!$AO:$AO,"155mm howitzer", 'Bilateral Assistance, MAIN DATA'!$B:$B, "United States")</f>
        <v>0</v>
      </c>
      <c r="H13" s="767">
        <f>SUMIFS('Bilateral Assistance, MAIN DATA'!$M:$M,'Bilateral Assistance, MAIN DATA'!$AH:$AH,A12,'Bilateral Assistance, MAIN DATA'!$AO:$AO,"155mm howitzer")</f>
        <v>0</v>
      </c>
      <c r="I13" s="767"/>
    </row>
    <row r="14" spans="1:22" ht="15.6" x14ac:dyDescent="0.3">
      <c r="A14" s="860">
        <v>2</v>
      </c>
      <c r="B14" s="1207"/>
      <c r="C14" s="493" t="s">
        <v>3646</v>
      </c>
      <c r="D14" s="767">
        <f>SUMIFS('Bilateral Assistance, MAIN DATA'!$M:$M,'Bilateral Assistance, MAIN DATA'!$AH:$AH,A12,'Bilateral Assistance, MAIN DATA'!$AX:$AX,1,'Bilateral Assistance, MAIN DATA'!$AO:$AO,"Main battle tank (MBT)")</f>
        <v>0</v>
      </c>
      <c r="E14" s="767">
        <f>SUMIFS('Bilateral Assistance, MAIN DATA'!$M:$M,'Bilateral Assistance, MAIN DATA'!$AH:$AH,A12,'Bilateral Assistance, MAIN DATA'!$AX:$AX,0, 'Bilateral Assistance, MAIN DATA'!$AW:$AW,1,'Bilateral Assistance, MAIN DATA'!$AO:$AO,"Main battle tank (MBT)")</f>
        <v>0</v>
      </c>
      <c r="F14" s="767">
        <f>SUMIFS('Bilateral Assistance, MAIN DATA'!$M:$M,'Bilateral Assistance, MAIN DATA'!$AH:$AH,A12,'Bilateral Assistance, MAIN DATA'!$AX:$AX,0, 'Bilateral Assistance, MAIN DATA'!$AW:$AW,0,'Bilateral Assistance, MAIN DATA'!$AO:$AO,"Main battle tank (MBT)")</f>
        <v>0</v>
      </c>
      <c r="G14" s="767">
        <f>SUMIFS('Bilateral Assistance, MAIN DATA'!$M:$M,'Bilateral Assistance, MAIN DATA'!$AH:$AH,A12,'Bilateral Assistance, MAIN DATA'!$AO:$AO,"Main battle tank (MBT)", 'Bilateral Assistance, MAIN DATA'!$B:$B, "United States")</f>
        <v>0</v>
      </c>
      <c r="H14" s="767">
        <f>SUMIFS('Bilateral Assistance, MAIN DATA'!$M:$M,'Bilateral Assistance, MAIN DATA'!$AH:$AH,A12,'Bilateral Assistance, MAIN DATA'!$AO:$AO,"Main battle tank (MBT)")</f>
        <v>0</v>
      </c>
      <c r="I14" s="767"/>
    </row>
    <row r="15" spans="1:22" ht="15.6" x14ac:dyDescent="0.3">
      <c r="A15" s="860">
        <v>3</v>
      </c>
      <c r="B15" s="1207" t="s">
        <v>3665</v>
      </c>
      <c r="C15" s="493" t="s">
        <v>3595</v>
      </c>
      <c r="D15" s="767">
        <f>SUMIFS('Bilateral Assistance, MAIN DATA'!$M:$M,'Bilateral Assistance, MAIN DATA'!$AH:$AH,A15,'Bilateral Assistance, MAIN DATA'!$AX:$AX,1,'Bilateral Assistance, MAIN DATA'!$AO:$AO,"122mm MLRS")+SUMIFS('Bilateral Assistance, MAIN DATA'!$M:$M,'Bilateral Assistance, MAIN DATA'!$AH:$AH,A15,'Bilateral Assistance, MAIN DATA'!$AX:$AX,1,'Bilateral Assistance, MAIN DATA'!$AO:$AO,"127mm MLRS")+SUMIFS('Bilateral Assistance, MAIN DATA'!$M:$M,'Bilateral Assistance, MAIN DATA'!$AH:$AH,A15,'Bilateral Assistance, MAIN DATA'!$AX:$AX,1,'Bilateral Assistance, MAIN DATA'!$AO:$AO,"227mm MLRS")</f>
        <v>0</v>
      </c>
      <c r="E15" s="767">
        <f>SUMIFS('Bilateral Assistance, MAIN DATA'!$M:$M,'Bilateral Assistance, MAIN DATA'!$AH:$AH,A15,'Bilateral Assistance, MAIN DATA'!$AX:$AX,0, 'Bilateral Assistance, MAIN DATA'!$AW:$AW,1,'Bilateral Assistance, MAIN DATA'!$AO:$AO,"122mm MLRS")+SUMIFS('Bilateral Assistance, MAIN DATA'!$M:$M,'Bilateral Assistance, MAIN DATA'!$AH:$AH,A15,'Bilateral Assistance, MAIN DATA'!$AX:$AX,0, 'Bilateral Assistance, MAIN DATA'!$AW:$AW,1,'Bilateral Assistance, MAIN DATA'!$AO:$AO,"127mm MLRS")+SUMIFS('Bilateral Assistance, MAIN DATA'!$M:$M,'Bilateral Assistance, MAIN DATA'!$AH:$AH,A15,'Bilateral Assistance, MAIN DATA'!$AX:$AX,0, 'Bilateral Assistance, MAIN DATA'!$AW:$AW,1,'Bilateral Assistance, MAIN DATA'!$AO:$AO,"227mm MLRS")</f>
        <v>0</v>
      </c>
      <c r="F15" s="767">
        <f>SUMIFS('Bilateral Assistance, MAIN DATA'!$M:$M,'Bilateral Assistance, MAIN DATA'!$AH:$AH,A15,'Bilateral Assistance, MAIN DATA'!$AX:$AX,0, 'Bilateral Assistance, MAIN DATA'!$AW:$AW,0,'Bilateral Assistance, MAIN DATA'!$AO:$AO,"122mm MLRS")+SUMIFS('Bilateral Assistance, MAIN DATA'!$M:$M,'Bilateral Assistance, MAIN DATA'!$AH:$AH,A15,'Bilateral Assistance, MAIN DATA'!$AX:$AX,0, 'Bilateral Assistance, MAIN DATA'!$AW:$AW,0,'Bilateral Assistance, MAIN DATA'!$AO:$AO,"127mm MLRS")+SUMIFS('Bilateral Assistance, MAIN DATA'!$M:$M,'Bilateral Assistance, MAIN DATA'!$AH:$AH,A15,'Bilateral Assistance, MAIN DATA'!$AX:$AX,0, 'Bilateral Assistance, MAIN DATA'!$AW:$AW,0,'Bilateral Assistance, MAIN DATA'!$AO:$AO,"227mm MLRS")</f>
        <v>0</v>
      </c>
      <c r="G15" s="767">
        <f>(SUMIFS('Bilateral Assistance, MAIN DATA'!$M:$M,'Bilateral Assistance, MAIN DATA'!$AH:$AH,A15,'Bilateral Assistance, MAIN DATA'!$AO:$AO,"122mm MLRS", 'Bilateral Assistance, MAIN DATA'!$B:$B, "United States")+SUMIFS('Bilateral Assistance, MAIN DATA'!$M:$M,'Bilateral Assistance, MAIN DATA'!$AH:$AH,A15,'Bilateral Assistance, MAIN DATA'!$AO:$AO,"127mm MLRS", 'Bilateral Assistance, MAIN DATA'!$B:$B, "United States")+SUMIFS('Bilateral Assistance, MAIN DATA'!$M:$M,'Bilateral Assistance, MAIN DATA'!$AH:$AH,A15,'Bilateral Assistance, MAIN DATA'!$AO:$AO,"227mm MLRS", 'Bilateral Assistance, MAIN DATA'!$B:$B, "United States"))</f>
        <v>0</v>
      </c>
      <c r="H15" s="767">
        <f>SUMIFS('Bilateral Assistance, MAIN DATA'!$M:$M,'Bilateral Assistance, MAIN DATA'!$AH:$AH,A15,'Bilateral Assistance, MAIN DATA'!$AO:$AO,"122mm MLRS")+SUMIFS('Bilateral Assistance, MAIN DATA'!$M:$M,'Bilateral Assistance, MAIN DATA'!$AH:$AH,A15,'Bilateral Assistance, MAIN DATA'!$AO:$AO,"127mm MLRS")+SUMIFS('Bilateral Assistance, MAIN DATA'!$M:$M,'Bilateral Assistance, MAIN DATA'!$AH:$AH,A15,'Bilateral Assistance, MAIN DATA'!$AO:$AO,"227mm MLRS")</f>
        <v>0</v>
      </c>
      <c r="I15" s="767"/>
      <c r="J15" s="766"/>
      <c r="K15" s="766"/>
      <c r="L15" s="766"/>
      <c r="M15" s="766"/>
      <c r="N15" s="766"/>
    </row>
    <row r="16" spans="1:22" ht="15.6" x14ac:dyDescent="0.3">
      <c r="A16" s="860">
        <v>3</v>
      </c>
      <c r="B16" s="1207"/>
      <c r="C16" s="493" t="s">
        <v>3793</v>
      </c>
      <c r="D16" s="767">
        <f>SUMIFS('Bilateral Assistance, MAIN DATA'!$M:$M,'Bilateral Assistance, MAIN DATA'!$AH:$AH,A15,'Bilateral Assistance, MAIN DATA'!$AX:$AX,1,'Bilateral Assistance, MAIN DATA'!$AO:$AO,"155mm howitzer")</f>
        <v>0</v>
      </c>
      <c r="E16" s="767">
        <f>SUMIFS('Bilateral Assistance, MAIN DATA'!$M:$M,'Bilateral Assistance, MAIN DATA'!$AH:$AH,A15,'Bilateral Assistance, MAIN DATA'!$AX:$AX,0, 'Bilateral Assistance, MAIN DATA'!$AW:$AW,1,'Bilateral Assistance, MAIN DATA'!$AO:$AO,"155mm howitzer")</f>
        <v>0</v>
      </c>
      <c r="F16" s="767">
        <f>SUMIFS('Bilateral Assistance, MAIN DATA'!$M:$M,'Bilateral Assistance, MAIN DATA'!$AH:$AH,A15,'Bilateral Assistance, MAIN DATA'!$AX:$AX,0, 'Bilateral Assistance, MAIN DATA'!$AW:$AW,0,'Bilateral Assistance, MAIN DATA'!$AO:$AO,"155mm howitzer")</f>
        <v>0</v>
      </c>
      <c r="G16" s="767">
        <f>SUMIFS('Bilateral Assistance, MAIN DATA'!$M:$M,'Bilateral Assistance, MAIN DATA'!$AH:$AH,A15,'Bilateral Assistance, MAIN DATA'!$AO:$AO,"155mm howitzer", 'Bilateral Assistance, MAIN DATA'!$B:$B, "United States")</f>
        <v>0</v>
      </c>
      <c r="H16" s="767">
        <f>SUMIFS('Bilateral Assistance, MAIN DATA'!$M:$M,'Bilateral Assistance, MAIN DATA'!$AH:$AH,A15,'Bilateral Assistance, MAIN DATA'!$AO:$AO,"155mm howitzer")</f>
        <v>0</v>
      </c>
      <c r="I16" s="767"/>
      <c r="J16" s="766"/>
      <c r="K16" s="766"/>
      <c r="L16" s="766"/>
      <c r="M16" s="766"/>
      <c r="N16" s="766"/>
    </row>
    <row r="17" spans="1:14" ht="15.6" x14ac:dyDescent="0.3">
      <c r="A17" s="860">
        <v>3</v>
      </c>
      <c r="B17" s="1207"/>
      <c r="C17" s="493" t="s">
        <v>3646</v>
      </c>
      <c r="D17" s="767">
        <f>SUMIFS('Bilateral Assistance, MAIN DATA'!$M:$M,'Bilateral Assistance, MAIN DATA'!$AH:$AH,A15,'Bilateral Assistance, MAIN DATA'!$AX:$AX,1,'Bilateral Assistance, MAIN DATA'!$AO:$AO,"Main battle tank (MBT)")</f>
        <v>0</v>
      </c>
      <c r="E17" s="767">
        <f>SUMIFS('Bilateral Assistance, MAIN DATA'!$M:$M,'Bilateral Assistance, MAIN DATA'!$AH:$AH,A15,'Bilateral Assistance, MAIN DATA'!$AX:$AX,0, 'Bilateral Assistance, MAIN DATA'!$AW:$AW,1,'Bilateral Assistance, MAIN DATA'!$AO:$AO,"Main battle tank (MBT)")</f>
        <v>0</v>
      </c>
      <c r="F17" s="767">
        <f>SUMIFS('Bilateral Assistance, MAIN DATA'!$M:$M,'Bilateral Assistance, MAIN DATA'!$AH:$AH,A15,'Bilateral Assistance, MAIN DATA'!$AX:$AX,0, 'Bilateral Assistance, MAIN DATA'!$AW:$AW,0,'Bilateral Assistance, MAIN DATA'!$AO:$AO,"Main battle tank (MBT)")</f>
        <v>0</v>
      </c>
      <c r="G17" s="767">
        <f>SUMIFS('Bilateral Assistance, MAIN DATA'!$M:$M,'Bilateral Assistance, MAIN DATA'!$AH:$AH,A15,'Bilateral Assistance, MAIN DATA'!$AO:$AO,"Main battle tank (MBT)", 'Bilateral Assistance, MAIN DATA'!$B:$B, "United States")</f>
        <v>0</v>
      </c>
      <c r="H17" s="767">
        <f>SUMIFS('Bilateral Assistance, MAIN DATA'!$M:$M,'Bilateral Assistance, MAIN DATA'!$AH:$AH,A15,'Bilateral Assistance, MAIN DATA'!$AO:$AO,"Main battle tank (MBT)")</f>
        <v>0</v>
      </c>
      <c r="I17" s="767"/>
      <c r="J17" s="766"/>
      <c r="K17" s="766"/>
      <c r="L17" s="766"/>
      <c r="M17" s="766"/>
      <c r="N17" s="766"/>
    </row>
    <row r="18" spans="1:14" ht="15.6" x14ac:dyDescent="0.3">
      <c r="A18" s="860">
        <v>4</v>
      </c>
      <c r="B18" s="1207" t="s">
        <v>3666</v>
      </c>
      <c r="C18" s="493" t="s">
        <v>3595</v>
      </c>
      <c r="D18" s="767">
        <f>SUMIFS('Bilateral Assistance, MAIN DATA'!$M:$M,'Bilateral Assistance, MAIN DATA'!$AH:$AH,A18,'Bilateral Assistance, MAIN DATA'!$AX:$AX,1,'Bilateral Assistance, MAIN DATA'!$AO:$AO,"122mm MLRS")+SUMIFS('Bilateral Assistance, MAIN DATA'!$M:$M,'Bilateral Assistance, MAIN DATA'!$AH:$AH,A18,'Bilateral Assistance, MAIN DATA'!$AX:$AX,1,'Bilateral Assistance, MAIN DATA'!$AO:$AO,"127mm MLRS")+SUMIFS('Bilateral Assistance, MAIN DATA'!$M:$M,'Bilateral Assistance, MAIN DATA'!$AH:$AH,A18,'Bilateral Assistance, MAIN DATA'!$AX:$AX,1,'Bilateral Assistance, MAIN DATA'!$AO:$AO,"227mm MLRS")</f>
        <v>20</v>
      </c>
      <c r="E18" s="767">
        <f>SUMIFS('Bilateral Assistance, MAIN DATA'!$M:$M,'Bilateral Assistance, MAIN DATA'!$AH:$AH,A18,'Bilateral Assistance, MAIN DATA'!$AX:$AX,0, 'Bilateral Assistance, MAIN DATA'!$AW:$AW,1,'Bilateral Assistance, MAIN DATA'!$AO:$AO,"122mm MLRS")+SUMIFS('Bilateral Assistance, MAIN DATA'!$M:$M,'Bilateral Assistance, MAIN DATA'!$AH:$AH,A18,'Bilateral Assistance, MAIN DATA'!$AX:$AX,0, 'Bilateral Assistance, MAIN DATA'!$AW:$AW,1,'Bilateral Assistance, MAIN DATA'!$AO:$AO,"127mm MLRS")+SUMIFS('Bilateral Assistance, MAIN DATA'!$M:$M,'Bilateral Assistance, MAIN DATA'!$AH:$AH,A18,'Bilateral Assistance, MAIN DATA'!$AX:$AX,0, 'Bilateral Assistance, MAIN DATA'!$AW:$AW,1,'Bilateral Assistance, MAIN DATA'!$AO:$AO,"227mm MLRS")</f>
        <v>0</v>
      </c>
      <c r="F18" s="767">
        <f>SUMIFS('Bilateral Assistance, MAIN DATA'!$M:$M,'Bilateral Assistance, MAIN DATA'!$AH:$AH,A18,'Bilateral Assistance, MAIN DATA'!$AX:$AX,0, 'Bilateral Assistance, MAIN DATA'!$AW:$AW,0,'Bilateral Assistance, MAIN DATA'!$AO:$AO,"122mm MLRS")+SUMIFS('Bilateral Assistance, MAIN DATA'!$M:$M,'Bilateral Assistance, MAIN DATA'!$AH:$AH,A18,'Bilateral Assistance, MAIN DATA'!$AX:$AX,0, 'Bilateral Assistance, MAIN DATA'!$AW:$AW,0,'Bilateral Assistance, MAIN DATA'!$AO:$AO,"127mm MLRS")+SUMIFS('Bilateral Assistance, MAIN DATA'!$M:$M,'Bilateral Assistance, MAIN DATA'!$AH:$AH,A18,'Bilateral Assistance, MAIN DATA'!$AX:$AX,0, 'Bilateral Assistance, MAIN DATA'!$AW:$AW,0,'Bilateral Assistance, MAIN DATA'!$AO:$AO,"227mm MLRS")</f>
        <v>0</v>
      </c>
      <c r="G18" s="767">
        <f>(SUMIFS('Bilateral Assistance, MAIN DATA'!$M:$M,'Bilateral Assistance, MAIN DATA'!$AH:$AH,A18,'Bilateral Assistance, MAIN DATA'!$AO:$AO,"122mm MLRS", 'Bilateral Assistance, MAIN DATA'!$B:$B, "United States")+SUMIFS('Bilateral Assistance, MAIN DATA'!$M:$M,'Bilateral Assistance, MAIN DATA'!$AH:$AH,A18,'Bilateral Assistance, MAIN DATA'!$AO:$AO,"127mm MLRS", 'Bilateral Assistance, MAIN DATA'!$B:$B, "United States")+SUMIFS('Bilateral Assistance, MAIN DATA'!$M:$M,'Bilateral Assistance, MAIN DATA'!$AH:$AH,A18,'Bilateral Assistance, MAIN DATA'!$AO:$AO,"227mm MLRS", 'Bilateral Assistance, MAIN DATA'!$B:$B, "United States"))</f>
        <v>0</v>
      </c>
      <c r="H18" s="767">
        <f>SUMIFS('Bilateral Assistance, MAIN DATA'!$M:$M,'Bilateral Assistance, MAIN DATA'!$AH:$AH,A18,'Bilateral Assistance, MAIN DATA'!$AO:$AO,"122mm MLRS")+SUMIFS('Bilateral Assistance, MAIN DATA'!$M:$M,'Bilateral Assistance, MAIN DATA'!$AH:$AH,A18,'Bilateral Assistance, MAIN DATA'!$AO:$AO,"127mm MLRS")+SUMIFS('Bilateral Assistance, MAIN DATA'!$M:$M,'Bilateral Assistance, MAIN DATA'!$AH:$AH,A18,'Bilateral Assistance, MAIN DATA'!$AO:$AO,"227mm MLRS")</f>
        <v>20</v>
      </c>
      <c r="I18" s="767"/>
      <c r="L18" s="30"/>
    </row>
    <row r="19" spans="1:14" ht="15.6" x14ac:dyDescent="0.3">
      <c r="A19" s="860">
        <v>4</v>
      </c>
      <c r="B19" s="1207"/>
      <c r="C19" s="493" t="s">
        <v>3793</v>
      </c>
      <c r="D19" s="767">
        <f>SUMIFS('Bilateral Assistance, MAIN DATA'!$M:$M,'Bilateral Assistance, MAIN DATA'!$AH:$AH,A18,'Bilateral Assistance, MAIN DATA'!$AX:$AX,1,'Bilateral Assistance, MAIN DATA'!$AO:$AO,"155mm howitzer")</f>
        <v>24</v>
      </c>
      <c r="E19" s="767">
        <f>SUMIFS('Bilateral Assistance, MAIN DATA'!$M:$M,'Bilateral Assistance, MAIN DATA'!$AH:$AH,A18,'Bilateral Assistance, MAIN DATA'!$AX:$AX,0, 'Bilateral Assistance, MAIN DATA'!$AW:$AW,1,'Bilateral Assistance, MAIN DATA'!$AO:$AO,"155mm howitzer")</f>
        <v>94</v>
      </c>
      <c r="F19" s="767">
        <f>SUMIFS('Bilateral Assistance, MAIN DATA'!$M:$M,'Bilateral Assistance, MAIN DATA'!$AH:$AH,A18,'Bilateral Assistance, MAIN DATA'!$AX:$AX,0, 'Bilateral Assistance, MAIN DATA'!$AW:$AW,0,'Bilateral Assistance, MAIN DATA'!$AO:$AO,"155mm howitzer")</f>
        <v>6</v>
      </c>
      <c r="G19" s="767">
        <f>SUMIFS('Bilateral Assistance, MAIN DATA'!$M:$M,'Bilateral Assistance, MAIN DATA'!$AH:$AH,A18,'Bilateral Assistance, MAIN DATA'!$AO:$AO,"155mm howitzer", 'Bilateral Assistance, MAIN DATA'!$B:$B, "United States")</f>
        <v>90</v>
      </c>
      <c r="H19" s="767">
        <f>SUMIFS('Bilateral Assistance, MAIN DATA'!$M:$M,'Bilateral Assistance, MAIN DATA'!$AH:$AH,A18,'Bilateral Assistance, MAIN DATA'!$AO:$AO,"155mm howitzer")</f>
        <v>124</v>
      </c>
      <c r="I19" s="767"/>
      <c r="L19" s="30"/>
    </row>
    <row r="20" spans="1:14" ht="15.6" x14ac:dyDescent="0.3">
      <c r="A20" s="860">
        <v>4</v>
      </c>
      <c r="B20" s="1207"/>
      <c r="C20" s="493" t="s">
        <v>3646</v>
      </c>
      <c r="D20" s="767">
        <f>SUMIFS('Bilateral Assistance, MAIN DATA'!$M:$M,'Bilateral Assistance, MAIN DATA'!$AH:$AH,A18,'Bilateral Assistance, MAIN DATA'!$AX:$AX,1,'Bilateral Assistance, MAIN DATA'!$AO:$AO,"Main battle tank (MBT)")</f>
        <v>280</v>
      </c>
      <c r="E20" s="767">
        <f>SUMIFS('Bilateral Assistance, MAIN DATA'!$M:$M,'Bilateral Assistance, MAIN DATA'!$AH:$AH,A18,'Bilateral Assistance, MAIN DATA'!$AX:$AX,0, 'Bilateral Assistance, MAIN DATA'!$AW:$AW,1,'Bilateral Assistance, MAIN DATA'!$AO:$AO,"Main battle tank (MBT)")</f>
        <v>0</v>
      </c>
      <c r="F20" s="767">
        <f>SUMIFS('Bilateral Assistance, MAIN DATA'!$M:$M,'Bilateral Assistance, MAIN DATA'!$AH:$AH,A18,'Bilateral Assistance, MAIN DATA'!$AX:$AX,0, 'Bilateral Assistance, MAIN DATA'!$AW:$AW,0,'Bilateral Assistance, MAIN DATA'!$AO:$AO,"Main battle tank (MBT)")</f>
        <v>0</v>
      </c>
      <c r="G20" s="767">
        <f>SUMIFS('Bilateral Assistance, MAIN DATA'!$M:$M,'Bilateral Assistance, MAIN DATA'!$AH:$AH,A18,'Bilateral Assistance, MAIN DATA'!$AO:$AO,"Main battle tank (MBT)", 'Bilateral Assistance, MAIN DATA'!$B:$B, "United States")</f>
        <v>0</v>
      </c>
      <c r="H20" s="767">
        <f>SUMIFS('Bilateral Assistance, MAIN DATA'!$M:$M,'Bilateral Assistance, MAIN DATA'!$AH:$AH,A18,'Bilateral Assistance, MAIN DATA'!$AO:$AO,"Main battle tank (MBT)")</f>
        <v>280</v>
      </c>
      <c r="I20" s="767"/>
      <c r="L20" s="30"/>
    </row>
    <row r="21" spans="1:14" ht="15.6" x14ac:dyDescent="0.3">
      <c r="A21" s="860">
        <v>5</v>
      </c>
      <c r="B21" s="1207" t="s">
        <v>3667</v>
      </c>
      <c r="C21" s="493" t="s">
        <v>3595</v>
      </c>
      <c r="D21" s="767">
        <f>SUMIFS('Bilateral Assistance, MAIN DATA'!$M:$M,'Bilateral Assistance, MAIN DATA'!$AH:$AH,A21,'Bilateral Assistance, MAIN DATA'!$AX:$AX,1,'Bilateral Assistance, MAIN DATA'!$AO:$AO,"122mm MLRS")+SUMIFS('Bilateral Assistance, MAIN DATA'!$M:$M,'Bilateral Assistance, MAIN DATA'!$AH:$AH,A21,'Bilateral Assistance, MAIN DATA'!$AX:$AX,1,'Bilateral Assistance, MAIN DATA'!$AO:$AO,"127mm MLRS")+SUMIFS('Bilateral Assistance, MAIN DATA'!$M:$M,'Bilateral Assistance, MAIN DATA'!$AH:$AH,A21,'Bilateral Assistance, MAIN DATA'!$AX:$AX,1,'Bilateral Assistance, MAIN DATA'!$AO:$AO,"227mm MLRS")</f>
        <v>0</v>
      </c>
      <c r="E21" s="767">
        <f>SUMIFS('Bilateral Assistance, MAIN DATA'!$M:$M,'Bilateral Assistance, MAIN DATA'!$AH:$AH,A21,'Bilateral Assistance, MAIN DATA'!$AX:$AX,0, 'Bilateral Assistance, MAIN DATA'!$AW:$AW,1,'Bilateral Assistance, MAIN DATA'!$AO:$AO,"122mm MLRS")+SUMIFS('Bilateral Assistance, MAIN DATA'!$M:$M,'Bilateral Assistance, MAIN DATA'!$AH:$AH,A21,'Bilateral Assistance, MAIN DATA'!$AX:$AX,0, 'Bilateral Assistance, MAIN DATA'!$AW:$AW,1,'Bilateral Assistance, MAIN DATA'!$AO:$AO,"127mm MLRS")+SUMIFS('Bilateral Assistance, MAIN DATA'!$M:$M,'Bilateral Assistance, MAIN DATA'!$AH:$AH,A21,'Bilateral Assistance, MAIN DATA'!$AX:$AX,0, 'Bilateral Assistance, MAIN DATA'!$AW:$AW,1,'Bilateral Assistance, MAIN DATA'!$AO:$AO,"227mm MLRS")</f>
        <v>0</v>
      </c>
      <c r="F21" s="767">
        <f>SUMIFS('Bilateral Assistance, MAIN DATA'!$M:$M,'Bilateral Assistance, MAIN DATA'!$AH:$AH,A21,'Bilateral Assistance, MAIN DATA'!$AX:$AX,0, 'Bilateral Assistance, MAIN DATA'!$AW:$AW,0,'Bilateral Assistance, MAIN DATA'!$AO:$AO,"122mm MLRS")+SUMIFS('Bilateral Assistance, MAIN DATA'!$M:$M,'Bilateral Assistance, MAIN DATA'!$AH:$AH,A21,'Bilateral Assistance, MAIN DATA'!$AX:$AX,0, 'Bilateral Assistance, MAIN DATA'!$AW:$AW,0,'Bilateral Assistance, MAIN DATA'!$AO:$AO,"127mm MLRS")+SUMIFS('Bilateral Assistance, MAIN DATA'!$M:$M,'Bilateral Assistance, MAIN DATA'!$AH:$AH,A21,'Bilateral Assistance, MAIN DATA'!$AX:$AX,0, 'Bilateral Assistance, MAIN DATA'!$AW:$AW,0,'Bilateral Assistance, MAIN DATA'!$AO:$AO,"227mm MLRS")</f>
        <v>0</v>
      </c>
      <c r="G21" s="767">
        <f>(SUMIFS('Bilateral Assistance, MAIN DATA'!$M:$M,'Bilateral Assistance, MAIN DATA'!$AH:$AH,A21,'Bilateral Assistance, MAIN DATA'!$AO:$AO,"122mm MLRS", 'Bilateral Assistance, MAIN DATA'!$B:$B, "United States")+SUMIFS('Bilateral Assistance, MAIN DATA'!$M:$M,'Bilateral Assistance, MAIN DATA'!$AH:$AH,A21,'Bilateral Assistance, MAIN DATA'!$AO:$AO,"127mm MLRS", 'Bilateral Assistance, MAIN DATA'!$B:$B, "United States")+SUMIFS('Bilateral Assistance, MAIN DATA'!$M:$M,'Bilateral Assistance, MAIN DATA'!$AH:$AH,A21,'Bilateral Assistance, MAIN DATA'!$AO:$AO,"227mm MLRS", 'Bilateral Assistance, MAIN DATA'!$B:$B, "United States"))</f>
        <v>0</v>
      </c>
      <c r="H21" s="767">
        <f>SUMIFS('Bilateral Assistance, MAIN DATA'!$M:$M,'Bilateral Assistance, MAIN DATA'!$AH:$AH,A21,'Bilateral Assistance, MAIN DATA'!$AO:$AO,"122mm MLRS")+SUMIFS('Bilateral Assistance, MAIN DATA'!$M:$M,'Bilateral Assistance, MAIN DATA'!$AH:$AH,A21,'Bilateral Assistance, MAIN DATA'!$AO:$AO,"127mm MLRS")+SUMIFS('Bilateral Assistance, MAIN DATA'!$M:$M,'Bilateral Assistance, MAIN DATA'!$AH:$AH,A21,'Bilateral Assistance, MAIN DATA'!$AO:$AO,"227mm MLRS")</f>
        <v>0</v>
      </c>
      <c r="I21" s="767"/>
      <c r="L21" s="30"/>
    </row>
    <row r="22" spans="1:14" ht="15.6" x14ac:dyDescent="0.3">
      <c r="A22" s="860">
        <v>5</v>
      </c>
      <c r="B22" s="1207"/>
      <c r="C22" s="493" t="s">
        <v>3793</v>
      </c>
      <c r="D22" s="767">
        <f>SUMIFS('Bilateral Assistance, MAIN DATA'!$M:$M,'Bilateral Assistance, MAIN DATA'!$AH:$AH,A21,'Bilateral Assistance, MAIN DATA'!$AX:$AX,1,'Bilateral Assistance, MAIN DATA'!$AO:$AO,"155mm howitzer")</f>
        <v>5</v>
      </c>
      <c r="E22" s="767">
        <f>SUMIFS('Bilateral Assistance, MAIN DATA'!$M:$M,'Bilateral Assistance, MAIN DATA'!$AH:$AH,A21,'Bilateral Assistance, MAIN DATA'!$AX:$AX,0, 'Bilateral Assistance, MAIN DATA'!$AW:$AW,1,'Bilateral Assistance, MAIN DATA'!$AO:$AO,"155mm howitzer")</f>
        <v>18</v>
      </c>
      <c r="F22" s="767">
        <f>SUMIFS('Bilateral Assistance, MAIN DATA'!$M:$M,'Bilateral Assistance, MAIN DATA'!$AH:$AH,A21,'Bilateral Assistance, MAIN DATA'!$AX:$AX,0, 'Bilateral Assistance, MAIN DATA'!$AW:$AW,0,'Bilateral Assistance, MAIN DATA'!$AO:$AO,"155mm howitzer")</f>
        <v>0</v>
      </c>
      <c r="G22" s="767">
        <f>SUMIFS('Bilateral Assistance, MAIN DATA'!$M:$M,'Bilateral Assistance, MAIN DATA'!$AH:$AH,A21,'Bilateral Assistance, MAIN DATA'!$AO:$AO,"155mm howitzer", 'Bilateral Assistance, MAIN DATA'!$B:$B, "United States")</f>
        <v>18</v>
      </c>
      <c r="H22" s="767">
        <f>SUMIFS('Bilateral Assistance, MAIN DATA'!$M:$M,'Bilateral Assistance, MAIN DATA'!$AH:$AH,A21,'Bilateral Assistance, MAIN DATA'!$AO:$AO,"155mm howitzer")</f>
        <v>23</v>
      </c>
      <c r="I22" s="767"/>
      <c r="L22" s="30"/>
    </row>
    <row r="23" spans="1:14" ht="15.6" x14ac:dyDescent="0.3">
      <c r="A23" s="860">
        <v>5</v>
      </c>
      <c r="B23" s="1207"/>
      <c r="C23" s="493" t="s">
        <v>3646</v>
      </c>
      <c r="D23" s="767">
        <f>SUMIFS('Bilateral Assistance, MAIN DATA'!$M:$M,'Bilateral Assistance, MAIN DATA'!$AH:$AH,A21,'Bilateral Assistance, MAIN DATA'!$AX:$AX,1,'Bilateral Assistance, MAIN DATA'!$AO:$AO,"Main battle tank (MBT)")</f>
        <v>0</v>
      </c>
      <c r="E23" s="767">
        <f>SUMIFS('Bilateral Assistance, MAIN DATA'!$M:$M,'Bilateral Assistance, MAIN DATA'!$AH:$AH,A21,'Bilateral Assistance, MAIN DATA'!$AX:$AX,0, 'Bilateral Assistance, MAIN DATA'!$AW:$AW,1,'Bilateral Assistance, MAIN DATA'!$AO:$AO,"Main battle tank (MBT)")</f>
        <v>0</v>
      </c>
      <c r="F23" s="767">
        <f>SUMIFS('Bilateral Assistance, MAIN DATA'!$M:$M,'Bilateral Assistance, MAIN DATA'!$AH:$AH,A21,'Bilateral Assistance, MAIN DATA'!$AX:$AX,0, 'Bilateral Assistance, MAIN DATA'!$AW:$AW,0,'Bilateral Assistance, MAIN DATA'!$AO:$AO,"Main battle tank (MBT)")</f>
        <v>0</v>
      </c>
      <c r="G23" s="767">
        <f>SUMIFS('Bilateral Assistance, MAIN DATA'!$M:$M,'Bilateral Assistance, MAIN DATA'!$AH:$AH,A21,'Bilateral Assistance, MAIN DATA'!$AO:$AO,"Main battle tank (MBT)", 'Bilateral Assistance, MAIN DATA'!$B:$B, "United States")</f>
        <v>0</v>
      </c>
      <c r="H23" s="767">
        <f>SUMIFS('Bilateral Assistance, MAIN DATA'!$M:$M,'Bilateral Assistance, MAIN DATA'!$AH:$AH,A21,'Bilateral Assistance, MAIN DATA'!$AO:$AO,"Main battle tank (MBT)")</f>
        <v>0</v>
      </c>
      <c r="I23" s="767"/>
      <c r="L23" s="30"/>
    </row>
    <row r="24" spans="1:14" ht="15.6" x14ac:dyDescent="0.3">
      <c r="A24" s="860">
        <v>6</v>
      </c>
      <c r="B24" s="1207" t="s">
        <v>3668</v>
      </c>
      <c r="C24" s="493" t="s">
        <v>3595</v>
      </c>
      <c r="D24" s="767">
        <f>SUMIFS('Bilateral Assistance, MAIN DATA'!$M:$M,'Bilateral Assistance, MAIN DATA'!$AH:$AH,A24,'Bilateral Assistance, MAIN DATA'!$AX:$AX,1,'Bilateral Assistance, MAIN DATA'!$AO:$AO,"122mm MLRS")+SUMIFS('Bilateral Assistance, MAIN DATA'!$M:$M,'Bilateral Assistance, MAIN DATA'!$AH:$AH,A24,'Bilateral Assistance, MAIN DATA'!$AX:$AX,1,'Bilateral Assistance, MAIN DATA'!$AO:$AO,"127mm MLRS")+SUMIFS('Bilateral Assistance, MAIN DATA'!$M:$M,'Bilateral Assistance, MAIN DATA'!$AH:$AH,A24,'Bilateral Assistance, MAIN DATA'!$AX:$AX,1,'Bilateral Assistance, MAIN DATA'!$AO:$AO,"227mm MLRS")</f>
        <v>3</v>
      </c>
      <c r="E24" s="767">
        <f>SUMIFS('Bilateral Assistance, MAIN DATA'!$M:$M,'Bilateral Assistance, MAIN DATA'!$AH:$AH,A24,'Bilateral Assistance, MAIN DATA'!$AX:$AX,0, 'Bilateral Assistance, MAIN DATA'!$AW:$AW,1,'Bilateral Assistance, MAIN DATA'!$AO:$AO,"122mm MLRS")+SUMIFS('Bilateral Assistance, MAIN DATA'!$M:$M,'Bilateral Assistance, MAIN DATA'!$AH:$AH,A24,'Bilateral Assistance, MAIN DATA'!$AX:$AX,0, 'Bilateral Assistance, MAIN DATA'!$AW:$AW,1,'Bilateral Assistance, MAIN DATA'!$AO:$AO,"127mm MLRS")+SUMIFS('Bilateral Assistance, MAIN DATA'!$M:$M,'Bilateral Assistance, MAIN DATA'!$AH:$AH,A24,'Bilateral Assistance, MAIN DATA'!$AX:$AX,0, 'Bilateral Assistance, MAIN DATA'!$AW:$AW,1,'Bilateral Assistance, MAIN DATA'!$AO:$AO,"227mm MLRS")</f>
        <v>14</v>
      </c>
      <c r="F24" s="767">
        <f>SUMIFS('Bilateral Assistance, MAIN DATA'!$M:$M,'Bilateral Assistance, MAIN DATA'!$AH:$AH,A24,'Bilateral Assistance, MAIN DATA'!$AX:$AX,0, 'Bilateral Assistance, MAIN DATA'!$AW:$AW,0,'Bilateral Assistance, MAIN DATA'!$AO:$AO,"122mm MLRS")+SUMIFS('Bilateral Assistance, MAIN DATA'!$M:$M,'Bilateral Assistance, MAIN DATA'!$AH:$AH,A24,'Bilateral Assistance, MAIN DATA'!$AX:$AX,0, 'Bilateral Assistance, MAIN DATA'!$AW:$AW,0,'Bilateral Assistance, MAIN DATA'!$AO:$AO,"127mm MLRS")+SUMIFS('Bilateral Assistance, MAIN DATA'!$M:$M,'Bilateral Assistance, MAIN DATA'!$AH:$AH,A24,'Bilateral Assistance, MAIN DATA'!$AX:$AX,0, 'Bilateral Assistance, MAIN DATA'!$AW:$AW,0,'Bilateral Assistance, MAIN DATA'!$AO:$AO,"227mm MLRS")</f>
        <v>0</v>
      </c>
      <c r="G24" s="767">
        <f>(SUMIFS('Bilateral Assistance, MAIN DATA'!$M:$M,'Bilateral Assistance, MAIN DATA'!$AH:$AH,A24,'Bilateral Assistance, MAIN DATA'!$AO:$AO,"122mm MLRS", 'Bilateral Assistance, MAIN DATA'!$B:$B, "United States")+SUMIFS('Bilateral Assistance, MAIN DATA'!$M:$M,'Bilateral Assistance, MAIN DATA'!$AH:$AH,A24,'Bilateral Assistance, MAIN DATA'!$AO:$AO,"127mm MLRS", 'Bilateral Assistance, MAIN DATA'!$B:$B, "United States")+SUMIFS('Bilateral Assistance, MAIN DATA'!$M:$M,'Bilateral Assistance, MAIN DATA'!$AH:$AH,A24,'Bilateral Assistance, MAIN DATA'!$AO:$AO,"227mm MLRS", 'Bilateral Assistance, MAIN DATA'!$B:$B, "United States"))</f>
        <v>8</v>
      </c>
      <c r="H24" s="767">
        <f>SUMIFS('Bilateral Assistance, MAIN DATA'!$M:$M,'Bilateral Assistance, MAIN DATA'!$AH:$AH,A24,'Bilateral Assistance, MAIN DATA'!$AO:$AO,"122mm MLRS")+SUMIFS('Bilateral Assistance, MAIN DATA'!$M:$M,'Bilateral Assistance, MAIN DATA'!$AH:$AH,A24,'Bilateral Assistance, MAIN DATA'!$AO:$AO,"127mm MLRS")+SUMIFS('Bilateral Assistance, MAIN DATA'!$M:$M,'Bilateral Assistance, MAIN DATA'!$AH:$AH,A24,'Bilateral Assistance, MAIN DATA'!$AO:$AO,"227mm MLRS")</f>
        <v>17</v>
      </c>
      <c r="I24" s="767"/>
      <c r="L24" s="30"/>
    </row>
    <row r="25" spans="1:14" ht="15.6" x14ac:dyDescent="0.3">
      <c r="A25" s="860">
        <v>6</v>
      </c>
      <c r="B25" s="1207"/>
      <c r="C25" s="493" t="s">
        <v>3793</v>
      </c>
      <c r="D25" s="767">
        <f>SUMIFS('Bilateral Assistance, MAIN DATA'!$M:$M,'Bilateral Assistance, MAIN DATA'!$AH:$AH,A24,'Bilateral Assistance, MAIN DATA'!$AX:$AX,1,'Bilateral Assistance, MAIN DATA'!$AO:$AO,"155mm howitzer")</f>
        <v>27</v>
      </c>
      <c r="E25" s="767">
        <f>SUMIFS('Bilateral Assistance, MAIN DATA'!$M:$M,'Bilateral Assistance, MAIN DATA'!$AH:$AH,A24,'Bilateral Assistance, MAIN DATA'!$AX:$AX,0, 'Bilateral Assistance, MAIN DATA'!$AW:$AW,1,'Bilateral Assistance, MAIN DATA'!$AO:$AO,"155mm howitzer")</f>
        <v>41</v>
      </c>
      <c r="F25" s="767">
        <f>SUMIFS('Bilateral Assistance, MAIN DATA'!$M:$M,'Bilateral Assistance, MAIN DATA'!$AH:$AH,A24,'Bilateral Assistance, MAIN DATA'!$AX:$AX,0, 'Bilateral Assistance, MAIN DATA'!$AW:$AW,0,'Bilateral Assistance, MAIN DATA'!$AO:$AO,"155mm howitzer")</f>
        <v>0</v>
      </c>
      <c r="G25" s="767">
        <f>SUMIFS('Bilateral Assistance, MAIN DATA'!$M:$M,'Bilateral Assistance, MAIN DATA'!$AH:$AH,A24,'Bilateral Assistance, MAIN DATA'!$AO:$AO,"155mm howitzer", 'Bilateral Assistance, MAIN DATA'!$B:$B, "United States")</f>
        <v>18</v>
      </c>
      <c r="H25" s="767">
        <f>SUMIFS('Bilateral Assistance, MAIN DATA'!$M:$M,'Bilateral Assistance, MAIN DATA'!$AH:$AH,A24,'Bilateral Assistance, MAIN DATA'!$AO:$AO,"155mm howitzer")</f>
        <v>68</v>
      </c>
      <c r="I25" s="767"/>
      <c r="L25" s="30"/>
    </row>
    <row r="26" spans="1:14" ht="15.6" x14ac:dyDescent="0.3">
      <c r="A26" s="860">
        <v>6</v>
      </c>
      <c r="B26" s="1207"/>
      <c r="C26" s="493" t="s">
        <v>3646</v>
      </c>
      <c r="D26" s="767">
        <f>SUMIFS('Bilateral Assistance, MAIN DATA'!$M:$M,'Bilateral Assistance, MAIN DATA'!$AH:$AH,A24,'Bilateral Assistance, MAIN DATA'!$AX:$AX,1,'Bilateral Assistance, MAIN DATA'!$AO:$AO,"Main battle tank (MBT)")</f>
        <v>0</v>
      </c>
      <c r="E26" s="767">
        <f>SUMIFS('Bilateral Assistance, MAIN DATA'!$M:$M,'Bilateral Assistance, MAIN DATA'!$AH:$AH,A24,'Bilateral Assistance, MAIN DATA'!$AX:$AX,0, 'Bilateral Assistance, MAIN DATA'!$AW:$AW,1,'Bilateral Assistance, MAIN DATA'!$AO:$AO,"Main battle tank (MBT)")</f>
        <v>0</v>
      </c>
      <c r="F26" s="767">
        <f>SUMIFS('Bilateral Assistance, MAIN DATA'!$M:$M,'Bilateral Assistance, MAIN DATA'!$AH:$AH,A24,'Bilateral Assistance, MAIN DATA'!$AX:$AX,0, 'Bilateral Assistance, MAIN DATA'!$AW:$AW,0,'Bilateral Assistance, MAIN DATA'!$AO:$AO,"Main battle tank (MBT)")</f>
        <v>0</v>
      </c>
      <c r="G26" s="767">
        <f>SUMIFS('Bilateral Assistance, MAIN DATA'!$M:$M,'Bilateral Assistance, MAIN DATA'!$AH:$AH,A24,'Bilateral Assistance, MAIN DATA'!$AO:$AO,"Main battle tank (MBT)", 'Bilateral Assistance, MAIN DATA'!$B:$B, "United States")</f>
        <v>0</v>
      </c>
      <c r="H26" s="767">
        <f>SUMIFS('Bilateral Assistance, MAIN DATA'!$M:$M,'Bilateral Assistance, MAIN DATA'!$AH:$AH,A24,'Bilateral Assistance, MAIN DATA'!$AO:$AO,"Main battle tank (MBT)")</f>
        <v>0</v>
      </c>
      <c r="I26" s="767"/>
      <c r="L26" s="30"/>
    </row>
    <row r="27" spans="1:14" ht="15.6" x14ac:dyDescent="0.3">
      <c r="A27" s="860">
        <v>7</v>
      </c>
      <c r="B27" s="1207" t="s">
        <v>3669</v>
      </c>
      <c r="C27" s="493" t="s">
        <v>3595</v>
      </c>
      <c r="D27" s="767">
        <f>SUMIFS('Bilateral Assistance, MAIN DATA'!$M:$M,'Bilateral Assistance, MAIN DATA'!$AH:$AH,A27,'Bilateral Assistance, MAIN DATA'!$AX:$AX,1,'Bilateral Assistance, MAIN DATA'!$AO:$AO,"122mm MLRS")+SUMIFS('Bilateral Assistance, MAIN DATA'!$M:$M,'Bilateral Assistance, MAIN DATA'!$AH:$AH,A27,'Bilateral Assistance, MAIN DATA'!$AX:$AX,1,'Bilateral Assistance, MAIN DATA'!$AO:$AO,"127mm MLRS")+SUMIFS('Bilateral Assistance, MAIN DATA'!$M:$M,'Bilateral Assistance, MAIN DATA'!$AH:$AH,A27,'Bilateral Assistance, MAIN DATA'!$AX:$AX,1,'Bilateral Assistance, MAIN DATA'!$AO:$AO,"227mm MLRS")</f>
        <v>0</v>
      </c>
      <c r="E27" s="767">
        <f>SUMIFS('Bilateral Assistance, MAIN DATA'!$M:$M,'Bilateral Assistance, MAIN DATA'!$AH:$AH,A27,'Bilateral Assistance, MAIN DATA'!$AX:$AX,0, 'Bilateral Assistance, MAIN DATA'!$AW:$AW,1,'Bilateral Assistance, MAIN DATA'!$AO:$AO,"122mm MLRS")+SUMIFS('Bilateral Assistance, MAIN DATA'!$M:$M,'Bilateral Assistance, MAIN DATA'!$AH:$AH,A27,'Bilateral Assistance, MAIN DATA'!$AX:$AX,0, 'Bilateral Assistance, MAIN DATA'!$AW:$AW,1,'Bilateral Assistance, MAIN DATA'!$AO:$AO,"127mm MLRS")+SUMIFS('Bilateral Assistance, MAIN DATA'!$M:$M,'Bilateral Assistance, MAIN DATA'!$AH:$AH,A27,'Bilateral Assistance, MAIN DATA'!$AX:$AX,0, 'Bilateral Assistance, MAIN DATA'!$AW:$AW,1,'Bilateral Assistance, MAIN DATA'!$AO:$AO,"227mm MLRS")</f>
        <v>8</v>
      </c>
      <c r="F27" s="767">
        <f>SUMIFS('Bilateral Assistance, MAIN DATA'!$M:$M,'Bilateral Assistance, MAIN DATA'!$AH:$AH,A27,'Bilateral Assistance, MAIN DATA'!$AX:$AX,0, 'Bilateral Assistance, MAIN DATA'!$AW:$AW,0,'Bilateral Assistance, MAIN DATA'!$AO:$AO,"122mm MLRS")+SUMIFS('Bilateral Assistance, MAIN DATA'!$M:$M,'Bilateral Assistance, MAIN DATA'!$AH:$AH,A27,'Bilateral Assistance, MAIN DATA'!$AX:$AX,0, 'Bilateral Assistance, MAIN DATA'!$AW:$AW,0,'Bilateral Assistance, MAIN DATA'!$AO:$AO,"127mm MLRS")+SUMIFS('Bilateral Assistance, MAIN DATA'!$M:$M,'Bilateral Assistance, MAIN DATA'!$AH:$AH,A27,'Bilateral Assistance, MAIN DATA'!$AX:$AX,0, 'Bilateral Assistance, MAIN DATA'!$AW:$AW,0,'Bilateral Assistance, MAIN DATA'!$AO:$AO,"227mm MLRS")</f>
        <v>0</v>
      </c>
      <c r="G27" s="767">
        <f>(SUMIFS('Bilateral Assistance, MAIN DATA'!$M:$M,'Bilateral Assistance, MAIN DATA'!$AH:$AH,A27,'Bilateral Assistance, MAIN DATA'!$AO:$AO,"122mm MLRS", 'Bilateral Assistance, MAIN DATA'!$B:$B, "United States")+SUMIFS('Bilateral Assistance, MAIN DATA'!$M:$M,'Bilateral Assistance, MAIN DATA'!$AH:$AH,A27,'Bilateral Assistance, MAIN DATA'!$AO:$AO,"127mm MLRS", 'Bilateral Assistance, MAIN DATA'!$B:$B, "United States")+SUMIFS('Bilateral Assistance, MAIN DATA'!$M:$M,'Bilateral Assistance, MAIN DATA'!$AH:$AH,A27,'Bilateral Assistance, MAIN DATA'!$AO:$AO,"227mm MLRS", 'Bilateral Assistance, MAIN DATA'!$B:$B, "United States"))</f>
        <v>8</v>
      </c>
      <c r="H27" s="767">
        <f>SUMIFS('Bilateral Assistance, MAIN DATA'!$M:$M,'Bilateral Assistance, MAIN DATA'!$AH:$AH,A27,'Bilateral Assistance, MAIN DATA'!$AO:$AO,"122mm MLRS")+SUMIFS('Bilateral Assistance, MAIN DATA'!$M:$M,'Bilateral Assistance, MAIN DATA'!$AH:$AH,A27,'Bilateral Assistance, MAIN DATA'!$AO:$AO,"127mm MLRS")+SUMIFS('Bilateral Assistance, MAIN DATA'!$M:$M,'Bilateral Assistance, MAIN DATA'!$AH:$AH,A27,'Bilateral Assistance, MAIN DATA'!$AO:$AO,"227mm MLRS")</f>
        <v>8</v>
      </c>
      <c r="I27" s="767"/>
    </row>
    <row r="28" spans="1:14" ht="15.6" x14ac:dyDescent="0.3">
      <c r="A28" s="860">
        <v>7</v>
      </c>
      <c r="B28" s="1207"/>
      <c r="C28" s="493" t="s">
        <v>3793</v>
      </c>
      <c r="D28" s="767">
        <f>SUMIFS('Bilateral Assistance, MAIN DATA'!$M:$M,'Bilateral Assistance, MAIN DATA'!$AH:$AH,A27,'Bilateral Assistance, MAIN DATA'!$AX:$AX,1,'Bilateral Assistance, MAIN DATA'!$AO:$AO,"155mm howitzer")</f>
        <v>3</v>
      </c>
      <c r="E28" s="767">
        <f>SUMIFS('Bilateral Assistance, MAIN DATA'!$M:$M,'Bilateral Assistance, MAIN DATA'!$AH:$AH,A27,'Bilateral Assistance, MAIN DATA'!$AX:$AX,0, 'Bilateral Assistance, MAIN DATA'!$AW:$AW,1,'Bilateral Assistance, MAIN DATA'!$AO:$AO,"155mm howitzer")</f>
        <v>0</v>
      </c>
      <c r="F28" s="767">
        <f>SUMIFS('Bilateral Assistance, MAIN DATA'!$M:$M,'Bilateral Assistance, MAIN DATA'!$AH:$AH,A27,'Bilateral Assistance, MAIN DATA'!$AX:$AX,0, 'Bilateral Assistance, MAIN DATA'!$AW:$AW,0,'Bilateral Assistance, MAIN DATA'!$AO:$AO,"155mm howitzer")</f>
        <v>0</v>
      </c>
      <c r="G28" s="767">
        <f>SUMIFS('Bilateral Assistance, MAIN DATA'!$M:$M,'Bilateral Assistance, MAIN DATA'!$AH:$AH,A27,'Bilateral Assistance, MAIN DATA'!$AO:$AO,"155mm howitzer", 'Bilateral Assistance, MAIN DATA'!$B:$B, "United States")</f>
        <v>0</v>
      </c>
      <c r="H28" s="767">
        <f>SUMIFS('Bilateral Assistance, MAIN DATA'!$M:$M,'Bilateral Assistance, MAIN DATA'!$AH:$AH,A27,'Bilateral Assistance, MAIN DATA'!$AO:$AO,"155mm howitzer")</f>
        <v>3</v>
      </c>
      <c r="I28" s="767"/>
    </row>
    <row r="29" spans="1:14" ht="15.6" x14ac:dyDescent="0.3">
      <c r="A29" s="860">
        <v>7</v>
      </c>
      <c r="B29" s="1207"/>
      <c r="C29" s="493" t="s">
        <v>3646</v>
      </c>
      <c r="D29" s="767">
        <f>SUMIFS('Bilateral Assistance, MAIN DATA'!$M:$M,'Bilateral Assistance, MAIN DATA'!$AH:$AH,A27,'Bilateral Assistance, MAIN DATA'!$AX:$AX,1,'Bilateral Assistance, MAIN DATA'!$AO:$AO,"Main battle tank (MBT)")</f>
        <v>60</v>
      </c>
      <c r="E29" s="767">
        <f>SUMIFS('Bilateral Assistance, MAIN DATA'!$M:$M,'Bilateral Assistance, MAIN DATA'!$AH:$AH,A27,'Bilateral Assistance, MAIN DATA'!$AX:$AX,0, 'Bilateral Assistance, MAIN DATA'!$AW:$AW,1,'Bilateral Assistance, MAIN DATA'!$AO:$AO,"Main battle tank (MBT)")</f>
        <v>0</v>
      </c>
      <c r="F29" s="767">
        <f>SUMIFS('Bilateral Assistance, MAIN DATA'!$M:$M,'Bilateral Assistance, MAIN DATA'!$AH:$AH,A27,'Bilateral Assistance, MAIN DATA'!$AX:$AX,0, 'Bilateral Assistance, MAIN DATA'!$AW:$AW,0,'Bilateral Assistance, MAIN DATA'!$AO:$AO,"Main battle tank (MBT)")</f>
        <v>0</v>
      </c>
      <c r="G29" s="767">
        <f>SUMIFS('Bilateral Assistance, MAIN DATA'!$M:$M,'Bilateral Assistance, MAIN DATA'!$AH:$AH,A27,'Bilateral Assistance, MAIN DATA'!$AO:$AO,"Main battle tank (MBT)", 'Bilateral Assistance, MAIN DATA'!$B:$B, "United States")</f>
        <v>0</v>
      </c>
      <c r="H29" s="767">
        <f>SUMIFS('Bilateral Assistance, MAIN DATA'!$M:$M,'Bilateral Assistance, MAIN DATA'!$AH:$AH,A27,'Bilateral Assistance, MAIN DATA'!$AO:$AO,"Main battle tank (MBT)")</f>
        <v>60</v>
      </c>
      <c r="I29" s="767"/>
    </row>
    <row r="30" spans="1:14" ht="15.6" x14ac:dyDescent="0.3">
      <c r="A30" s="860">
        <v>8</v>
      </c>
      <c r="B30" s="1207" t="s">
        <v>3670</v>
      </c>
      <c r="C30" s="493" t="s">
        <v>3595</v>
      </c>
      <c r="D30" s="767">
        <f>SUMIFS('Bilateral Assistance, MAIN DATA'!$M:$M,'Bilateral Assistance, MAIN DATA'!$AH:$AH,A30,'Bilateral Assistance, MAIN DATA'!$AX:$AX,1,'Bilateral Assistance, MAIN DATA'!$AO:$AO,"122mm MLRS")+SUMIFS('Bilateral Assistance, MAIN DATA'!$M:$M,'Bilateral Assistance, MAIN DATA'!$AH:$AH,A30,'Bilateral Assistance, MAIN DATA'!$AX:$AX,1,'Bilateral Assistance, MAIN DATA'!$AO:$AO,"127mm MLRS")+SUMIFS('Bilateral Assistance, MAIN DATA'!$M:$M,'Bilateral Assistance, MAIN DATA'!$AH:$AH,A30,'Bilateral Assistance, MAIN DATA'!$AX:$AX,1,'Bilateral Assistance, MAIN DATA'!$AO:$AO,"227mm MLRS")</f>
        <v>0</v>
      </c>
      <c r="E30" s="767">
        <f>SUMIFS('Bilateral Assistance, MAIN DATA'!$M:$M,'Bilateral Assistance, MAIN DATA'!$AH:$AH,A30,'Bilateral Assistance, MAIN DATA'!$AX:$AX,0, 'Bilateral Assistance, MAIN DATA'!$AW:$AW,1,'Bilateral Assistance, MAIN DATA'!$AO:$AO,"122mm MLRS")+SUMIFS('Bilateral Assistance, MAIN DATA'!$M:$M,'Bilateral Assistance, MAIN DATA'!$AH:$AH,A30,'Bilateral Assistance, MAIN DATA'!$AX:$AX,0, 'Bilateral Assistance, MAIN DATA'!$AW:$AW,1,'Bilateral Assistance, MAIN DATA'!$AO:$AO,"127mm MLRS")+SUMIFS('Bilateral Assistance, MAIN DATA'!$M:$M,'Bilateral Assistance, MAIN DATA'!$AH:$AH,A30,'Bilateral Assistance, MAIN DATA'!$AX:$AX,0, 'Bilateral Assistance, MAIN DATA'!$AW:$AW,1,'Bilateral Assistance, MAIN DATA'!$AO:$AO,"227mm MLRS")</f>
        <v>3</v>
      </c>
      <c r="F30" s="767">
        <f>SUMIFS('Bilateral Assistance, MAIN DATA'!$M:$M,'Bilateral Assistance, MAIN DATA'!$AH:$AH,A30,'Bilateral Assistance, MAIN DATA'!$AX:$AX,0, 'Bilateral Assistance, MAIN DATA'!$AW:$AW,0,'Bilateral Assistance, MAIN DATA'!$AO:$AO,"122mm MLRS")+SUMIFS('Bilateral Assistance, MAIN DATA'!$M:$M,'Bilateral Assistance, MAIN DATA'!$AH:$AH,A30,'Bilateral Assistance, MAIN DATA'!$AX:$AX,0, 'Bilateral Assistance, MAIN DATA'!$AW:$AW,0,'Bilateral Assistance, MAIN DATA'!$AO:$AO,"127mm MLRS")+SUMIFS('Bilateral Assistance, MAIN DATA'!$M:$M,'Bilateral Assistance, MAIN DATA'!$AH:$AH,A30,'Bilateral Assistance, MAIN DATA'!$AX:$AX,0, 'Bilateral Assistance, MAIN DATA'!$AW:$AW,0,'Bilateral Assistance, MAIN DATA'!$AO:$AO,"227mm MLRS")</f>
        <v>0</v>
      </c>
      <c r="G30" s="767">
        <f>(SUMIFS('Bilateral Assistance, MAIN DATA'!$M:$M,'Bilateral Assistance, MAIN DATA'!$AH:$AH,A30,'Bilateral Assistance, MAIN DATA'!$AO:$AO,"122mm MLRS", 'Bilateral Assistance, MAIN DATA'!$B:$B, "United States")+SUMIFS('Bilateral Assistance, MAIN DATA'!$M:$M,'Bilateral Assistance, MAIN DATA'!$AH:$AH,A30,'Bilateral Assistance, MAIN DATA'!$AO:$AO,"127mm MLRS", 'Bilateral Assistance, MAIN DATA'!$B:$B, "United States")+SUMIFS('Bilateral Assistance, MAIN DATA'!$M:$M,'Bilateral Assistance, MAIN DATA'!$AH:$AH,A30,'Bilateral Assistance, MAIN DATA'!$AO:$AO,"227mm MLRS", 'Bilateral Assistance, MAIN DATA'!$B:$B, "United States"))</f>
        <v>0</v>
      </c>
      <c r="H30" s="767">
        <f>SUMIFS('Bilateral Assistance, MAIN DATA'!$M:$M,'Bilateral Assistance, MAIN DATA'!$AH:$AH,A30,'Bilateral Assistance, MAIN DATA'!$AO:$AO,"122mm MLRS")+SUMIFS('Bilateral Assistance, MAIN DATA'!$M:$M,'Bilateral Assistance, MAIN DATA'!$AH:$AH,A30,'Bilateral Assistance, MAIN DATA'!$AO:$AO,"127mm MLRS")+SUMIFS('Bilateral Assistance, MAIN DATA'!$M:$M,'Bilateral Assistance, MAIN DATA'!$AH:$AH,A30,'Bilateral Assistance, MAIN DATA'!$AO:$AO,"227mm MLRS")</f>
        <v>3</v>
      </c>
      <c r="I30" s="767"/>
    </row>
    <row r="31" spans="1:14" ht="15.6" x14ac:dyDescent="0.3">
      <c r="A31" s="860">
        <v>8</v>
      </c>
      <c r="B31" s="1207"/>
      <c r="C31" s="493" t="s">
        <v>3793</v>
      </c>
      <c r="D31" s="767">
        <f>SUMIFS('Bilateral Assistance, MAIN DATA'!$M:$M,'Bilateral Assistance, MAIN DATA'!$AH:$AH,A30,'Bilateral Assistance, MAIN DATA'!$AX:$AX,1,'Bilateral Assistance, MAIN DATA'!$AO:$AO,"155mm howitzer")</f>
        <v>11</v>
      </c>
      <c r="E31" s="767">
        <f>SUMIFS('Bilateral Assistance, MAIN DATA'!$M:$M,'Bilateral Assistance, MAIN DATA'!$AH:$AH,A30,'Bilateral Assistance, MAIN DATA'!$AX:$AX,0, 'Bilateral Assistance, MAIN DATA'!$AW:$AW,1,'Bilateral Assistance, MAIN DATA'!$AO:$AO,"155mm howitzer")</f>
        <v>0</v>
      </c>
      <c r="F31" s="767">
        <f>SUMIFS('Bilateral Assistance, MAIN DATA'!$M:$M,'Bilateral Assistance, MAIN DATA'!$AH:$AH,A30,'Bilateral Assistance, MAIN DATA'!$AX:$AX,0, 'Bilateral Assistance, MAIN DATA'!$AW:$AW,0,'Bilateral Assistance, MAIN DATA'!$AO:$AO,"155mm howitzer")</f>
        <v>0</v>
      </c>
      <c r="G31" s="767">
        <f>SUMIFS('Bilateral Assistance, MAIN DATA'!$M:$M,'Bilateral Assistance, MAIN DATA'!$AH:$AH,A30,'Bilateral Assistance, MAIN DATA'!$AO:$AO,"155mm howitzer", 'Bilateral Assistance, MAIN DATA'!$B:$B, "United States")</f>
        <v>0</v>
      </c>
      <c r="H31" s="767">
        <f>SUMIFS('Bilateral Assistance, MAIN DATA'!$M:$M,'Bilateral Assistance, MAIN DATA'!$AH:$AH,A30,'Bilateral Assistance, MAIN DATA'!$AO:$AO,"155mm howitzer")</f>
        <v>11</v>
      </c>
      <c r="I31" s="767"/>
    </row>
    <row r="32" spans="1:14" ht="15.6" x14ac:dyDescent="0.3">
      <c r="A32" s="860">
        <v>8</v>
      </c>
      <c r="B32" s="1207"/>
      <c r="C32" s="493" t="s">
        <v>3646</v>
      </c>
      <c r="D32" s="767">
        <f>SUMIFS('Bilateral Assistance, MAIN DATA'!$M:$M,'Bilateral Assistance, MAIN DATA'!$AH:$AH,A30,'Bilateral Assistance, MAIN DATA'!$AX:$AX,1,'Bilateral Assistance, MAIN DATA'!$AO:$AO,"Main battle tank (MBT)")</f>
        <v>0</v>
      </c>
      <c r="E32" s="767">
        <f>SUMIFS('Bilateral Assistance, MAIN DATA'!$M:$M,'Bilateral Assistance, MAIN DATA'!$AH:$AH,A30,'Bilateral Assistance, MAIN DATA'!$AX:$AX,0, 'Bilateral Assistance, MAIN DATA'!$AW:$AW,1,'Bilateral Assistance, MAIN DATA'!$AO:$AO,"Main battle tank (MBT)")</f>
        <v>0</v>
      </c>
      <c r="F32" s="767">
        <f>SUMIFS('Bilateral Assistance, MAIN DATA'!$M:$M,'Bilateral Assistance, MAIN DATA'!$AH:$AH,A30,'Bilateral Assistance, MAIN DATA'!$AX:$AX,0, 'Bilateral Assistance, MAIN DATA'!$AW:$AW,0,'Bilateral Assistance, MAIN DATA'!$AO:$AO,"Main battle tank (MBT)")</f>
        <v>0</v>
      </c>
      <c r="G32" s="767">
        <f>SUMIFS('Bilateral Assistance, MAIN DATA'!$M:$M,'Bilateral Assistance, MAIN DATA'!$AH:$AH,A30,'Bilateral Assistance, MAIN DATA'!$AO:$AO,"Main battle tank (MBT)", 'Bilateral Assistance, MAIN DATA'!$B:$B, "United States")</f>
        <v>0</v>
      </c>
      <c r="H32" s="767">
        <f>SUMIFS('Bilateral Assistance, MAIN DATA'!$M:$M,'Bilateral Assistance, MAIN DATA'!$AH:$AH,A30,'Bilateral Assistance, MAIN DATA'!$AO:$AO,"Main battle tank (MBT)")</f>
        <v>0</v>
      </c>
      <c r="I32" s="767"/>
    </row>
    <row r="33" spans="1:9" ht="15.6" x14ac:dyDescent="0.3">
      <c r="A33" s="860">
        <v>9</v>
      </c>
      <c r="B33" s="1207" t="s">
        <v>3671</v>
      </c>
      <c r="C33" s="493" t="s">
        <v>3595</v>
      </c>
      <c r="D33" s="767">
        <f>SUMIFS('Bilateral Assistance, MAIN DATA'!$M:$M,'Bilateral Assistance, MAIN DATA'!$AH:$AH,A33,'Bilateral Assistance, MAIN DATA'!$AX:$AX,1,'Bilateral Assistance, MAIN DATA'!$AO:$AO,"122mm MLRS")+SUMIFS('Bilateral Assistance, MAIN DATA'!$M:$M,'Bilateral Assistance, MAIN DATA'!$AH:$AH,A33,'Bilateral Assistance, MAIN DATA'!$AX:$AX,1,'Bilateral Assistance, MAIN DATA'!$AO:$AO,"127mm MLRS")+SUMIFS('Bilateral Assistance, MAIN DATA'!$M:$M,'Bilateral Assistance, MAIN DATA'!$AH:$AH,A33,'Bilateral Assistance, MAIN DATA'!$AX:$AX,1,'Bilateral Assistance, MAIN DATA'!$AO:$AO,"227mm MLRS")</f>
        <v>2</v>
      </c>
      <c r="E33" s="767">
        <f>SUMIFS('Bilateral Assistance, MAIN DATA'!$M:$M,'Bilateral Assistance, MAIN DATA'!$AH:$AH,A33,'Bilateral Assistance, MAIN DATA'!$AX:$AX,0, 'Bilateral Assistance, MAIN DATA'!$AW:$AW,1,'Bilateral Assistance, MAIN DATA'!$AO:$AO,"122mm MLRS")+SUMIFS('Bilateral Assistance, MAIN DATA'!$M:$M,'Bilateral Assistance, MAIN DATA'!$AH:$AH,A33,'Bilateral Assistance, MAIN DATA'!$AX:$AX,0, 'Bilateral Assistance, MAIN DATA'!$AW:$AW,1,'Bilateral Assistance, MAIN DATA'!$AO:$AO,"127mm MLRS")+SUMIFS('Bilateral Assistance, MAIN DATA'!$M:$M,'Bilateral Assistance, MAIN DATA'!$AH:$AH,A33,'Bilateral Assistance, MAIN DATA'!$AX:$AX,0, 'Bilateral Assistance, MAIN DATA'!$AW:$AW,1,'Bilateral Assistance, MAIN DATA'!$AO:$AO,"227mm MLRS")</f>
        <v>18</v>
      </c>
      <c r="F33" s="767">
        <f>SUMIFS('Bilateral Assistance, MAIN DATA'!$M:$M,'Bilateral Assistance, MAIN DATA'!$AH:$AH,A33,'Bilateral Assistance, MAIN DATA'!$AX:$AX,0, 'Bilateral Assistance, MAIN DATA'!$AW:$AW,0,'Bilateral Assistance, MAIN DATA'!$AO:$AO,"122mm MLRS")+SUMIFS('Bilateral Assistance, MAIN DATA'!$M:$M,'Bilateral Assistance, MAIN DATA'!$AH:$AH,A33,'Bilateral Assistance, MAIN DATA'!$AX:$AX,0, 'Bilateral Assistance, MAIN DATA'!$AW:$AW,0,'Bilateral Assistance, MAIN DATA'!$AO:$AO,"127mm MLRS")+SUMIFS('Bilateral Assistance, MAIN DATA'!$M:$M,'Bilateral Assistance, MAIN DATA'!$AH:$AH,A33,'Bilateral Assistance, MAIN DATA'!$AX:$AX,0, 'Bilateral Assistance, MAIN DATA'!$AW:$AW,0,'Bilateral Assistance, MAIN DATA'!$AO:$AO,"227mm MLRS")</f>
        <v>0</v>
      </c>
      <c r="G33" s="767">
        <f>(SUMIFS('Bilateral Assistance, MAIN DATA'!$M:$M,'Bilateral Assistance, MAIN DATA'!$AH:$AH,A33,'Bilateral Assistance, MAIN DATA'!$AO:$AO,"122mm MLRS", 'Bilateral Assistance, MAIN DATA'!$B:$B, "United States")+SUMIFS('Bilateral Assistance, MAIN DATA'!$M:$M,'Bilateral Assistance, MAIN DATA'!$AH:$AH,A33,'Bilateral Assistance, MAIN DATA'!$AO:$AO,"127mm MLRS", 'Bilateral Assistance, MAIN DATA'!$B:$B, "United States")+SUMIFS('Bilateral Assistance, MAIN DATA'!$M:$M,'Bilateral Assistance, MAIN DATA'!$AH:$AH,A33,'Bilateral Assistance, MAIN DATA'!$AO:$AO,"227mm MLRS", 'Bilateral Assistance, MAIN DATA'!$B:$B, "United States"))</f>
        <v>18</v>
      </c>
      <c r="H33" s="767">
        <f>SUMIFS('Bilateral Assistance, MAIN DATA'!$M:$M,'Bilateral Assistance, MAIN DATA'!$AH:$AH,A33,'Bilateral Assistance, MAIN DATA'!$AO:$AO,"122mm MLRS")+SUMIFS('Bilateral Assistance, MAIN DATA'!$M:$M,'Bilateral Assistance, MAIN DATA'!$AH:$AH,A33,'Bilateral Assistance, MAIN DATA'!$AO:$AO,"127mm MLRS")+SUMIFS('Bilateral Assistance, MAIN DATA'!$M:$M,'Bilateral Assistance, MAIN DATA'!$AH:$AH,A33,'Bilateral Assistance, MAIN DATA'!$AO:$AO,"227mm MLRS")</f>
        <v>20</v>
      </c>
      <c r="I33" s="767"/>
    </row>
    <row r="34" spans="1:9" ht="15.6" x14ac:dyDescent="0.3">
      <c r="A34" s="860">
        <v>9</v>
      </c>
      <c r="B34" s="1207"/>
      <c r="C34" s="493" t="s">
        <v>3793</v>
      </c>
      <c r="D34" s="767">
        <f>SUMIFS('Bilateral Assistance, MAIN DATA'!$M:$M,'Bilateral Assistance, MAIN DATA'!$AH:$AH,A33,'Bilateral Assistance, MAIN DATA'!$AX:$AX,1,'Bilateral Assistance, MAIN DATA'!$AO:$AO,"155mm howitzer")</f>
        <v>4</v>
      </c>
      <c r="E34" s="767">
        <f>SUMIFS('Bilateral Assistance, MAIN DATA'!$M:$M,'Bilateral Assistance, MAIN DATA'!$AH:$AH,A33,'Bilateral Assistance, MAIN DATA'!$AX:$AX,0, 'Bilateral Assistance, MAIN DATA'!$AW:$AW,1,'Bilateral Assistance, MAIN DATA'!$AO:$AO,"155mm howitzer")</f>
        <v>0</v>
      </c>
      <c r="F34" s="767">
        <f>SUMIFS('Bilateral Assistance, MAIN DATA'!$M:$M,'Bilateral Assistance, MAIN DATA'!$AH:$AH,A33,'Bilateral Assistance, MAIN DATA'!$AX:$AX,0, 'Bilateral Assistance, MAIN DATA'!$AW:$AW,0,'Bilateral Assistance, MAIN DATA'!$AO:$AO,"155mm howitzer")</f>
        <v>0</v>
      </c>
      <c r="G34" s="767">
        <f>SUMIFS('Bilateral Assistance, MAIN DATA'!$M:$M,'Bilateral Assistance, MAIN DATA'!$AH:$AH,A33,'Bilateral Assistance, MAIN DATA'!$AO:$AO,"155mm howitzer", 'Bilateral Assistance, MAIN DATA'!$B:$B, "United States")</f>
        <v>0</v>
      </c>
      <c r="H34" s="767">
        <f>SUMIFS('Bilateral Assistance, MAIN DATA'!$M:$M,'Bilateral Assistance, MAIN DATA'!$AH:$AH,A33,'Bilateral Assistance, MAIN DATA'!$AO:$AO,"155mm howitzer")</f>
        <v>4</v>
      </c>
      <c r="I34" s="767"/>
    </row>
    <row r="35" spans="1:9" ht="15.6" x14ac:dyDescent="0.3">
      <c r="A35" s="860">
        <v>9</v>
      </c>
      <c r="B35" s="1207"/>
      <c r="C35" s="493" t="s">
        <v>3646</v>
      </c>
      <c r="D35" s="767">
        <f>SUMIFS('Bilateral Assistance, MAIN DATA'!$M:$M,'Bilateral Assistance, MAIN DATA'!$AH:$AH,A33,'Bilateral Assistance, MAIN DATA'!$AX:$AX,1,'Bilateral Assistance, MAIN DATA'!$AO:$AO,"Main battle tank (MBT)")</f>
        <v>28</v>
      </c>
      <c r="E35" s="767">
        <f>SUMIFS('Bilateral Assistance, MAIN DATA'!$M:$M,'Bilateral Assistance, MAIN DATA'!$AH:$AH,A33,'Bilateral Assistance, MAIN DATA'!$AX:$AX,0, 'Bilateral Assistance, MAIN DATA'!$AW:$AW,1,'Bilateral Assistance, MAIN DATA'!$AO:$AO,"Main battle tank (MBT)")</f>
        <v>0</v>
      </c>
      <c r="F35" s="767">
        <f>SUMIFS('Bilateral Assistance, MAIN DATA'!$M:$M,'Bilateral Assistance, MAIN DATA'!$AH:$AH,A33,'Bilateral Assistance, MAIN DATA'!$AX:$AX,0, 'Bilateral Assistance, MAIN DATA'!$AW:$AW,0,'Bilateral Assistance, MAIN DATA'!$AO:$AO,"Main battle tank (MBT)")</f>
        <v>0</v>
      </c>
      <c r="G35" s="767">
        <f>SUMIFS('Bilateral Assistance, MAIN DATA'!$M:$M,'Bilateral Assistance, MAIN DATA'!$AH:$AH,A33,'Bilateral Assistance, MAIN DATA'!$AO:$AO,"Main battle tank (MBT)", 'Bilateral Assistance, MAIN DATA'!$B:$B, "United States")</f>
        <v>0</v>
      </c>
      <c r="H35" s="767">
        <f>SUMIFS('Bilateral Assistance, MAIN DATA'!$M:$M,'Bilateral Assistance, MAIN DATA'!$AH:$AH,A33,'Bilateral Assistance, MAIN DATA'!$AO:$AO,"Main battle tank (MBT)")</f>
        <v>28</v>
      </c>
      <c r="I35" s="767"/>
    </row>
    <row r="36" spans="1:9" ht="15.6" x14ac:dyDescent="0.3">
      <c r="A36" s="860">
        <v>10</v>
      </c>
      <c r="B36" s="1207" t="s">
        <v>3672</v>
      </c>
      <c r="C36" s="493" t="s">
        <v>3595</v>
      </c>
      <c r="D36" s="767">
        <f>SUMIFS('Bilateral Assistance, MAIN DATA'!$M:$M,'Bilateral Assistance, MAIN DATA'!$AH:$AH,A36,'Bilateral Assistance, MAIN DATA'!$AX:$AX,1,'Bilateral Assistance, MAIN DATA'!$AO:$AO,"122mm MLRS")+SUMIFS('Bilateral Assistance, MAIN DATA'!$M:$M,'Bilateral Assistance, MAIN DATA'!$AH:$AH,A36,'Bilateral Assistance, MAIN DATA'!$AX:$AX,1,'Bilateral Assistance, MAIN DATA'!$AO:$AO,"127mm MLRS")+SUMIFS('Bilateral Assistance, MAIN DATA'!$M:$M,'Bilateral Assistance, MAIN DATA'!$AH:$AH,A36,'Bilateral Assistance, MAIN DATA'!$AX:$AX,1,'Bilateral Assistance, MAIN DATA'!$AO:$AO,"227mm MLRS")</f>
        <v>2</v>
      </c>
      <c r="E36" s="767">
        <f>SUMIFS('Bilateral Assistance, MAIN DATA'!$M:$M,'Bilateral Assistance, MAIN DATA'!$AH:$AH,A36,'Bilateral Assistance, MAIN DATA'!$AX:$AX,0, 'Bilateral Assistance, MAIN DATA'!$AW:$AW,1,'Bilateral Assistance, MAIN DATA'!$AO:$AO,"122mm MLRS")+SUMIFS('Bilateral Assistance, MAIN DATA'!$M:$M,'Bilateral Assistance, MAIN DATA'!$AH:$AH,A36,'Bilateral Assistance, MAIN DATA'!$AX:$AX,0, 'Bilateral Assistance, MAIN DATA'!$AW:$AW,1,'Bilateral Assistance, MAIN DATA'!$AO:$AO,"127mm MLRS")+SUMIFS('Bilateral Assistance, MAIN DATA'!$M:$M,'Bilateral Assistance, MAIN DATA'!$AH:$AH,A36,'Bilateral Assistance, MAIN DATA'!$AX:$AX,0, 'Bilateral Assistance, MAIN DATA'!$AW:$AW,1,'Bilateral Assistance, MAIN DATA'!$AO:$AO,"227mm MLRS")</f>
        <v>4</v>
      </c>
      <c r="F36" s="767">
        <f>SUMIFS('Bilateral Assistance, MAIN DATA'!$M:$M,'Bilateral Assistance, MAIN DATA'!$AH:$AH,A36,'Bilateral Assistance, MAIN DATA'!$AX:$AX,0, 'Bilateral Assistance, MAIN DATA'!$AW:$AW,0,'Bilateral Assistance, MAIN DATA'!$AO:$AO,"122mm MLRS")+SUMIFS('Bilateral Assistance, MAIN DATA'!$M:$M,'Bilateral Assistance, MAIN DATA'!$AH:$AH,A36,'Bilateral Assistance, MAIN DATA'!$AX:$AX,0, 'Bilateral Assistance, MAIN DATA'!$AW:$AW,0,'Bilateral Assistance, MAIN DATA'!$AO:$AO,"127mm MLRS")+SUMIFS('Bilateral Assistance, MAIN DATA'!$M:$M,'Bilateral Assistance, MAIN DATA'!$AH:$AH,A36,'Bilateral Assistance, MAIN DATA'!$AX:$AX,0, 'Bilateral Assistance, MAIN DATA'!$AW:$AW,0,'Bilateral Assistance, MAIN DATA'!$AO:$AO,"227mm MLRS")</f>
        <v>0</v>
      </c>
      <c r="G36" s="767">
        <f>(SUMIFS('Bilateral Assistance, MAIN DATA'!$M:$M,'Bilateral Assistance, MAIN DATA'!$AH:$AH,A36,'Bilateral Assistance, MAIN DATA'!$AO:$AO,"122mm MLRS", 'Bilateral Assistance, MAIN DATA'!$B:$B, "United States")+SUMIFS('Bilateral Assistance, MAIN DATA'!$M:$M,'Bilateral Assistance, MAIN DATA'!$AH:$AH,A36,'Bilateral Assistance, MAIN DATA'!$AO:$AO,"127mm MLRS", 'Bilateral Assistance, MAIN DATA'!$B:$B, "United States")+SUMIFS('Bilateral Assistance, MAIN DATA'!$M:$M,'Bilateral Assistance, MAIN DATA'!$AH:$AH,A36,'Bilateral Assistance, MAIN DATA'!$AO:$AO,"227mm MLRS", 'Bilateral Assistance, MAIN DATA'!$B:$B, "United States"))</f>
        <v>4</v>
      </c>
      <c r="H36" s="767">
        <f>SUMIFS('Bilateral Assistance, MAIN DATA'!$M:$M,'Bilateral Assistance, MAIN DATA'!$AH:$AH,A36,'Bilateral Assistance, MAIN DATA'!$AO:$AO,"122mm MLRS")+SUMIFS('Bilateral Assistance, MAIN DATA'!$M:$M,'Bilateral Assistance, MAIN DATA'!$AH:$AH,A36,'Bilateral Assistance, MAIN DATA'!$AO:$AO,"127mm MLRS")+SUMIFS('Bilateral Assistance, MAIN DATA'!$M:$M,'Bilateral Assistance, MAIN DATA'!$AH:$AH,A36,'Bilateral Assistance, MAIN DATA'!$AO:$AO,"227mm MLRS")</f>
        <v>6</v>
      </c>
      <c r="I36" s="767"/>
    </row>
    <row r="37" spans="1:9" ht="15.6" x14ac:dyDescent="0.3">
      <c r="A37" s="860">
        <v>10</v>
      </c>
      <c r="B37" s="1207"/>
      <c r="C37" s="493" t="s">
        <v>3793</v>
      </c>
      <c r="D37" s="767">
        <f>SUMIFS('Bilateral Assistance, MAIN DATA'!$M:$M,'Bilateral Assistance, MAIN DATA'!$AH:$AH,A36,'Bilateral Assistance, MAIN DATA'!$AX:$AX,1,'Bilateral Assistance, MAIN DATA'!$AO:$AO,"155mm howitzer")</f>
        <v>41</v>
      </c>
      <c r="E37" s="767">
        <f>SUMIFS('Bilateral Assistance, MAIN DATA'!$M:$M,'Bilateral Assistance, MAIN DATA'!$AH:$AH,A36,'Bilateral Assistance, MAIN DATA'!$AX:$AX,0, 'Bilateral Assistance, MAIN DATA'!$AW:$AW,1,'Bilateral Assistance, MAIN DATA'!$AO:$AO,"155mm howitzer")</f>
        <v>5</v>
      </c>
      <c r="F37" s="767">
        <f>SUMIFS('Bilateral Assistance, MAIN DATA'!$M:$M,'Bilateral Assistance, MAIN DATA'!$AH:$AH,A36,'Bilateral Assistance, MAIN DATA'!$AX:$AX,0, 'Bilateral Assistance, MAIN DATA'!$AW:$AW,0,'Bilateral Assistance, MAIN DATA'!$AO:$AO,"155mm howitzer")</f>
        <v>0</v>
      </c>
      <c r="G37" s="767">
        <f>SUMIFS('Bilateral Assistance, MAIN DATA'!$M:$M,'Bilateral Assistance, MAIN DATA'!$AH:$AH,A36,'Bilateral Assistance, MAIN DATA'!$AO:$AO,"155mm howitzer", 'Bilateral Assistance, MAIN DATA'!$B:$B, "United States")</f>
        <v>0</v>
      </c>
      <c r="H37" s="767">
        <f>SUMIFS('Bilateral Assistance, MAIN DATA'!$M:$M,'Bilateral Assistance, MAIN DATA'!$AH:$AH,A36,'Bilateral Assistance, MAIN DATA'!$AO:$AO,"155mm howitzer")</f>
        <v>46</v>
      </c>
      <c r="I37" s="767"/>
    </row>
    <row r="38" spans="1:9" ht="15.6" x14ac:dyDescent="0.3">
      <c r="A38" s="860">
        <v>10</v>
      </c>
      <c r="B38" s="1207"/>
      <c r="C38" s="493" t="s">
        <v>3646</v>
      </c>
      <c r="D38" s="767">
        <f>SUMIFS('Bilateral Assistance, MAIN DATA'!$M:$M,'Bilateral Assistance, MAIN DATA'!$AH:$AH,A36,'Bilateral Assistance, MAIN DATA'!$AX:$AX,1,'Bilateral Assistance, MAIN DATA'!$AO:$AO,"Main battle tank (MBT)")</f>
        <v>0</v>
      </c>
      <c r="E38" s="767">
        <f>SUMIFS('Bilateral Assistance, MAIN DATA'!$M:$M,'Bilateral Assistance, MAIN DATA'!$AH:$AH,A36,'Bilateral Assistance, MAIN DATA'!$AX:$AX,0, 'Bilateral Assistance, MAIN DATA'!$AW:$AW,1,'Bilateral Assistance, MAIN DATA'!$AO:$AO,"Main battle tank (MBT)")</f>
        <v>0</v>
      </c>
      <c r="F38" s="767">
        <f>SUMIFS('Bilateral Assistance, MAIN DATA'!$M:$M,'Bilateral Assistance, MAIN DATA'!$AH:$AH,A36,'Bilateral Assistance, MAIN DATA'!$AX:$AX,0, 'Bilateral Assistance, MAIN DATA'!$AW:$AW,0,'Bilateral Assistance, MAIN DATA'!$AO:$AO,"Main battle tank (MBT)")</f>
        <v>0</v>
      </c>
      <c r="G38" s="767">
        <f>SUMIFS('Bilateral Assistance, MAIN DATA'!$M:$M,'Bilateral Assistance, MAIN DATA'!$AH:$AH,A36,'Bilateral Assistance, MAIN DATA'!$AO:$AO,"Main battle tank (MBT)", 'Bilateral Assistance, MAIN DATA'!$B:$B, "United States")</f>
        <v>0</v>
      </c>
      <c r="H38" s="767">
        <f>SUMIFS('Bilateral Assistance, MAIN DATA'!$M:$M,'Bilateral Assistance, MAIN DATA'!$AH:$AH,A36,'Bilateral Assistance, MAIN DATA'!$AO:$AO,"Main battle tank (MBT)")</f>
        <v>0</v>
      </c>
      <c r="I38" s="767"/>
    </row>
    <row r="39" spans="1:9" ht="15.6" x14ac:dyDescent="0.3">
      <c r="A39" s="860">
        <v>11</v>
      </c>
      <c r="B39" s="1207" t="s">
        <v>3673</v>
      </c>
      <c r="C39" s="493" t="s">
        <v>3595</v>
      </c>
      <c r="D39" s="767">
        <f>SUMIFS('Bilateral Assistance, MAIN DATA'!$M:$M,'Bilateral Assistance, MAIN DATA'!$AH:$AH,A39,'Bilateral Assistance, MAIN DATA'!$AX:$AX,1,'Bilateral Assistance, MAIN DATA'!$AO:$AO,"122mm MLRS")+SUMIFS('Bilateral Assistance, MAIN DATA'!$M:$M,'Bilateral Assistance, MAIN DATA'!$AH:$AH,A39,'Bilateral Assistance, MAIN DATA'!$AX:$AX,1,'Bilateral Assistance, MAIN DATA'!$AO:$AO,"127mm MLRS")+SUMIFS('Bilateral Assistance, MAIN DATA'!$M:$M,'Bilateral Assistance, MAIN DATA'!$AH:$AH,A39,'Bilateral Assistance, MAIN DATA'!$AX:$AX,1,'Bilateral Assistance, MAIN DATA'!$AO:$AO,"227mm MLRS")</f>
        <v>2</v>
      </c>
      <c r="E39" s="767">
        <f>SUMIFS('Bilateral Assistance, MAIN DATA'!$M:$M,'Bilateral Assistance, MAIN DATA'!$AH:$AH,A39,'Bilateral Assistance, MAIN DATA'!$AX:$AX,0, 'Bilateral Assistance, MAIN DATA'!$AW:$AW,1,'Bilateral Assistance, MAIN DATA'!$AO:$AO,"122mm MLRS")+SUMIFS('Bilateral Assistance, MAIN DATA'!$M:$M,'Bilateral Assistance, MAIN DATA'!$AH:$AH,A39,'Bilateral Assistance, MAIN DATA'!$AX:$AX,0, 'Bilateral Assistance, MAIN DATA'!$AW:$AW,1,'Bilateral Assistance, MAIN DATA'!$AO:$AO,"127mm MLRS")+SUMIFS('Bilateral Assistance, MAIN DATA'!$M:$M,'Bilateral Assistance, MAIN DATA'!$AH:$AH,A39,'Bilateral Assistance, MAIN DATA'!$AX:$AX,0, 'Bilateral Assistance, MAIN DATA'!$AW:$AW,1,'Bilateral Assistance, MAIN DATA'!$AO:$AO,"227mm MLRS")</f>
        <v>0</v>
      </c>
      <c r="F39" s="767">
        <f>SUMIFS('Bilateral Assistance, MAIN DATA'!$M:$M,'Bilateral Assistance, MAIN DATA'!$AH:$AH,A39,'Bilateral Assistance, MAIN DATA'!$AX:$AX,0, 'Bilateral Assistance, MAIN DATA'!$AW:$AW,0,'Bilateral Assistance, MAIN DATA'!$AO:$AO,"122mm MLRS")+SUMIFS('Bilateral Assistance, MAIN DATA'!$M:$M,'Bilateral Assistance, MAIN DATA'!$AH:$AH,A39,'Bilateral Assistance, MAIN DATA'!$AX:$AX,0, 'Bilateral Assistance, MAIN DATA'!$AW:$AW,0,'Bilateral Assistance, MAIN DATA'!$AO:$AO,"127mm MLRS")+SUMIFS('Bilateral Assistance, MAIN DATA'!$M:$M,'Bilateral Assistance, MAIN DATA'!$AH:$AH,A39,'Bilateral Assistance, MAIN DATA'!$AX:$AX,0, 'Bilateral Assistance, MAIN DATA'!$AW:$AW,0,'Bilateral Assistance, MAIN DATA'!$AO:$AO,"227mm MLRS")</f>
        <v>0</v>
      </c>
      <c r="G39" s="767">
        <f>(SUMIFS('Bilateral Assistance, MAIN DATA'!$M:$M,'Bilateral Assistance, MAIN DATA'!$AH:$AH,A39,'Bilateral Assistance, MAIN DATA'!$AO:$AO,"122mm MLRS", 'Bilateral Assistance, MAIN DATA'!$B:$B, "United States")+SUMIFS('Bilateral Assistance, MAIN DATA'!$M:$M,'Bilateral Assistance, MAIN DATA'!$AH:$AH,A39,'Bilateral Assistance, MAIN DATA'!$AO:$AO,"127mm MLRS", 'Bilateral Assistance, MAIN DATA'!$B:$B, "United States")+SUMIFS('Bilateral Assistance, MAIN DATA'!$M:$M,'Bilateral Assistance, MAIN DATA'!$AH:$AH,A39,'Bilateral Assistance, MAIN DATA'!$AO:$AO,"227mm MLRS", 'Bilateral Assistance, MAIN DATA'!$B:$B, "United States"))</f>
        <v>0</v>
      </c>
      <c r="H39" s="767">
        <f>SUMIFS('Bilateral Assistance, MAIN DATA'!$M:$M,'Bilateral Assistance, MAIN DATA'!$AH:$AH,A39,'Bilateral Assistance, MAIN DATA'!$AO:$AO,"122mm MLRS")+SUMIFS('Bilateral Assistance, MAIN DATA'!$M:$M,'Bilateral Assistance, MAIN DATA'!$AH:$AH,A39,'Bilateral Assistance, MAIN DATA'!$AO:$AO,"127mm MLRS")+SUMIFS('Bilateral Assistance, MAIN DATA'!$M:$M,'Bilateral Assistance, MAIN DATA'!$AH:$AH,A39,'Bilateral Assistance, MAIN DATA'!$AO:$AO,"227mm MLRS")</f>
        <v>2</v>
      </c>
      <c r="I39" s="767"/>
    </row>
    <row r="40" spans="1:9" ht="15.6" x14ac:dyDescent="0.3">
      <c r="A40" s="860">
        <v>11</v>
      </c>
      <c r="B40" s="1207"/>
      <c r="C40" s="493" t="s">
        <v>3793</v>
      </c>
      <c r="D40" s="767">
        <f>SUMIFS('Bilateral Assistance, MAIN DATA'!$M:$M,'Bilateral Assistance, MAIN DATA'!$AH:$AH,A39,'Bilateral Assistance, MAIN DATA'!$AX:$AX,1,'Bilateral Assistance, MAIN DATA'!$AO:$AO,"155mm howitzer")</f>
        <v>6</v>
      </c>
      <c r="E40" s="767">
        <f>SUMIFS('Bilateral Assistance, MAIN DATA'!$M:$M,'Bilateral Assistance, MAIN DATA'!$AH:$AH,A39,'Bilateral Assistance, MAIN DATA'!$AX:$AX,0, 'Bilateral Assistance, MAIN DATA'!$AW:$AW,1,'Bilateral Assistance, MAIN DATA'!$AO:$AO,"155mm howitzer")</f>
        <v>0</v>
      </c>
      <c r="F40" s="767">
        <f>SUMIFS('Bilateral Assistance, MAIN DATA'!$M:$M,'Bilateral Assistance, MAIN DATA'!$AH:$AH,A39,'Bilateral Assistance, MAIN DATA'!$AX:$AX,0, 'Bilateral Assistance, MAIN DATA'!$AW:$AW,0,'Bilateral Assistance, MAIN DATA'!$AO:$AO,"155mm howitzer")</f>
        <v>0</v>
      </c>
      <c r="G40" s="767">
        <f>SUMIFS('Bilateral Assistance, MAIN DATA'!$M:$M,'Bilateral Assistance, MAIN DATA'!$AH:$AH,A39,'Bilateral Assistance, MAIN DATA'!$AO:$AO,"155mm howitzer", 'Bilateral Assistance, MAIN DATA'!$B:$B, "United States")</f>
        <v>0</v>
      </c>
      <c r="H40" s="767">
        <f>SUMIFS('Bilateral Assistance, MAIN DATA'!$M:$M,'Bilateral Assistance, MAIN DATA'!$AH:$AH,A39,'Bilateral Assistance, MAIN DATA'!$AO:$AO,"155mm howitzer")</f>
        <v>6</v>
      </c>
      <c r="I40" s="767"/>
    </row>
    <row r="41" spans="1:9" ht="15.6" x14ac:dyDescent="0.3">
      <c r="A41" s="860">
        <v>11</v>
      </c>
      <c r="B41" s="1207"/>
      <c r="C41" s="493" t="s">
        <v>3646</v>
      </c>
      <c r="D41" s="767">
        <f>SUMIFS('Bilateral Assistance, MAIN DATA'!$M:$M,'Bilateral Assistance, MAIN DATA'!$AH:$AH,A39,'Bilateral Assistance, MAIN DATA'!$AX:$AX,1,'Bilateral Assistance, MAIN DATA'!$AO:$AO,"Main battle tank (MBT)")</f>
        <v>90</v>
      </c>
      <c r="E41" s="767">
        <f>SUMIFS('Bilateral Assistance, MAIN DATA'!$M:$M,'Bilateral Assistance, MAIN DATA'!$AH:$AH,A39,'Bilateral Assistance, MAIN DATA'!$AX:$AX,0, 'Bilateral Assistance, MAIN DATA'!$AW:$AW,1,'Bilateral Assistance, MAIN DATA'!$AO:$AO,"Main battle tank (MBT)")</f>
        <v>0</v>
      </c>
      <c r="F41" s="767">
        <f>SUMIFS('Bilateral Assistance, MAIN DATA'!$M:$M,'Bilateral Assistance, MAIN DATA'!$AH:$AH,A39,'Bilateral Assistance, MAIN DATA'!$AX:$AX,0, 'Bilateral Assistance, MAIN DATA'!$AW:$AW,0,'Bilateral Assistance, MAIN DATA'!$AO:$AO,"Main battle tank (MBT)")</f>
        <v>0</v>
      </c>
      <c r="G41" s="767">
        <f>SUMIFS('Bilateral Assistance, MAIN DATA'!$M:$M,'Bilateral Assistance, MAIN DATA'!$AH:$AH,A39,'Bilateral Assistance, MAIN DATA'!$AO:$AO,"Main battle tank (MBT)", 'Bilateral Assistance, MAIN DATA'!$B:$B, "United States")</f>
        <v>0</v>
      </c>
      <c r="H41" s="767">
        <f>SUMIFS('Bilateral Assistance, MAIN DATA'!$M:$M,'Bilateral Assistance, MAIN DATA'!$AH:$AH,A39,'Bilateral Assistance, MAIN DATA'!$AO:$AO,"Main battle tank (MBT)")</f>
        <v>90</v>
      </c>
      <c r="I41" s="767"/>
    </row>
    <row r="42" spans="1:9" ht="15.6" x14ac:dyDescent="0.3">
      <c r="A42" s="860">
        <v>12</v>
      </c>
      <c r="B42" s="1207" t="s">
        <v>3674</v>
      </c>
      <c r="C42" s="493" t="s">
        <v>3595</v>
      </c>
      <c r="D42" s="767">
        <f>SUMIFS('Bilateral Assistance, MAIN DATA'!$M:$M,'Bilateral Assistance, MAIN DATA'!$AH:$AH,A42,'Bilateral Assistance, MAIN DATA'!$AX:$AX,1,'Bilateral Assistance, MAIN DATA'!$AO:$AO,"122mm MLRS")+SUMIFS('Bilateral Assistance, MAIN DATA'!$M:$M,'Bilateral Assistance, MAIN DATA'!$AH:$AH,A42,'Bilateral Assistance, MAIN DATA'!$AX:$AX,1,'Bilateral Assistance, MAIN DATA'!$AO:$AO,"127mm MLRS")+SUMIFS('Bilateral Assistance, MAIN DATA'!$M:$M,'Bilateral Assistance, MAIN DATA'!$AH:$AH,A42,'Bilateral Assistance, MAIN DATA'!$AX:$AX,1,'Bilateral Assistance, MAIN DATA'!$AO:$AO,"227mm MLRS")</f>
        <v>0</v>
      </c>
      <c r="E42" s="767">
        <f>SUMIFS('Bilateral Assistance, MAIN DATA'!$M:$M,'Bilateral Assistance, MAIN DATA'!$AH:$AH,A42,'Bilateral Assistance, MAIN DATA'!$AX:$AX,0, 'Bilateral Assistance, MAIN DATA'!$AW:$AW,1,'Bilateral Assistance, MAIN DATA'!$AO:$AO,"122mm MLRS")+SUMIFS('Bilateral Assistance, MAIN DATA'!$M:$M,'Bilateral Assistance, MAIN DATA'!$AH:$AH,A42,'Bilateral Assistance, MAIN DATA'!$AX:$AX,0, 'Bilateral Assistance, MAIN DATA'!$AW:$AW,1,'Bilateral Assistance, MAIN DATA'!$AO:$AO,"127mm MLRS")+SUMIFS('Bilateral Assistance, MAIN DATA'!$M:$M,'Bilateral Assistance, MAIN DATA'!$AH:$AH,A42,'Bilateral Assistance, MAIN DATA'!$AX:$AX,0, 'Bilateral Assistance, MAIN DATA'!$AW:$AW,1,'Bilateral Assistance, MAIN DATA'!$AO:$AO,"227mm MLRS")</f>
        <v>0</v>
      </c>
      <c r="F42" s="767">
        <f>SUMIFS('Bilateral Assistance, MAIN DATA'!$M:$M,'Bilateral Assistance, MAIN DATA'!$AH:$AH,A42,'Bilateral Assistance, MAIN DATA'!$AX:$AX,0, 'Bilateral Assistance, MAIN DATA'!$AW:$AW,0,'Bilateral Assistance, MAIN DATA'!$AO:$AO,"122mm MLRS")+SUMIFS('Bilateral Assistance, MAIN DATA'!$M:$M,'Bilateral Assistance, MAIN DATA'!$AH:$AH,A42,'Bilateral Assistance, MAIN DATA'!$AX:$AX,0, 'Bilateral Assistance, MAIN DATA'!$AW:$AW,0,'Bilateral Assistance, MAIN DATA'!$AO:$AO,"127mm MLRS")+SUMIFS('Bilateral Assistance, MAIN DATA'!$M:$M,'Bilateral Assistance, MAIN DATA'!$AH:$AH,A42,'Bilateral Assistance, MAIN DATA'!$AX:$AX,0, 'Bilateral Assistance, MAIN DATA'!$AW:$AW,0,'Bilateral Assistance, MAIN DATA'!$AO:$AO,"227mm MLRS")</f>
        <v>0</v>
      </c>
      <c r="G42" s="767">
        <f>(SUMIFS('Bilateral Assistance, MAIN DATA'!$M:$M,'Bilateral Assistance, MAIN DATA'!$AH:$AH,A42,'Bilateral Assistance, MAIN DATA'!$AO:$AO,"122mm MLRS", 'Bilateral Assistance, MAIN DATA'!$B:$B, "United States")+SUMIFS('Bilateral Assistance, MAIN DATA'!$M:$M,'Bilateral Assistance, MAIN DATA'!$AH:$AH,A42,'Bilateral Assistance, MAIN DATA'!$AO:$AO,"127mm MLRS", 'Bilateral Assistance, MAIN DATA'!$B:$B, "United States")+SUMIFS('Bilateral Assistance, MAIN DATA'!$M:$M,'Bilateral Assistance, MAIN DATA'!$AH:$AH,A42,'Bilateral Assistance, MAIN DATA'!$AO:$AO,"227mm MLRS", 'Bilateral Assistance, MAIN DATA'!$B:$B, "United States"))</f>
        <v>0</v>
      </c>
      <c r="H42" s="767">
        <f>SUMIFS('Bilateral Assistance, MAIN DATA'!$M:$M,'Bilateral Assistance, MAIN DATA'!$AH:$AH,A42,'Bilateral Assistance, MAIN DATA'!$AO:$AO,"122mm MLRS")+SUMIFS('Bilateral Assistance, MAIN DATA'!$M:$M,'Bilateral Assistance, MAIN DATA'!$AH:$AH,A42,'Bilateral Assistance, MAIN DATA'!$AO:$AO,"127mm MLRS")+SUMIFS('Bilateral Assistance, MAIN DATA'!$M:$M,'Bilateral Assistance, MAIN DATA'!$AH:$AH,A42,'Bilateral Assistance, MAIN DATA'!$AO:$AO,"227mm MLRS")</f>
        <v>0</v>
      </c>
      <c r="I42" s="767"/>
    </row>
    <row r="43" spans="1:9" ht="15.6" x14ac:dyDescent="0.3">
      <c r="A43" s="860">
        <v>12</v>
      </c>
      <c r="B43" s="1207"/>
      <c r="C43" s="493" t="s">
        <v>3793</v>
      </c>
      <c r="D43" s="767">
        <f>SUMIFS('Bilateral Assistance, MAIN DATA'!$M:$M,'Bilateral Assistance, MAIN DATA'!$AH:$AH,A42,'Bilateral Assistance, MAIN DATA'!$AX:$AX,1,'Bilateral Assistance, MAIN DATA'!$AO:$AO,"155mm howitzer")</f>
        <v>54</v>
      </c>
      <c r="E43" s="767">
        <f>SUMIFS('Bilateral Assistance, MAIN DATA'!$M:$M,'Bilateral Assistance, MAIN DATA'!$AH:$AH,A42,'Bilateral Assistance, MAIN DATA'!$AX:$AX,0, 'Bilateral Assistance, MAIN DATA'!$AW:$AW,1,'Bilateral Assistance, MAIN DATA'!$AO:$AO,"155mm howitzer")</f>
        <v>0</v>
      </c>
      <c r="F43" s="767">
        <f>SUMIFS('Bilateral Assistance, MAIN DATA'!$M:$M,'Bilateral Assistance, MAIN DATA'!$AH:$AH,A42,'Bilateral Assistance, MAIN DATA'!$AX:$AX,0, 'Bilateral Assistance, MAIN DATA'!$AW:$AW,0,'Bilateral Assistance, MAIN DATA'!$AO:$AO,"155mm howitzer")</f>
        <v>0</v>
      </c>
      <c r="G43" s="767">
        <f>SUMIFS('Bilateral Assistance, MAIN DATA'!$M:$M,'Bilateral Assistance, MAIN DATA'!$AH:$AH,A42,'Bilateral Assistance, MAIN DATA'!$AO:$AO,"155mm howitzer", 'Bilateral Assistance, MAIN DATA'!$B:$B, "United States")</f>
        <v>0</v>
      </c>
      <c r="H43" s="767">
        <f>SUMIFS('Bilateral Assistance, MAIN DATA'!$M:$M,'Bilateral Assistance, MAIN DATA'!$AH:$AH,A42,'Bilateral Assistance, MAIN DATA'!$AO:$AO,"155mm howitzer")</f>
        <v>54</v>
      </c>
      <c r="I43" s="767"/>
    </row>
    <row r="44" spans="1:9" ht="15.6" x14ac:dyDescent="0.3">
      <c r="A44" s="860">
        <v>12</v>
      </c>
      <c r="B44" s="1208"/>
      <c r="C44" s="878" t="s">
        <v>3646</v>
      </c>
      <c r="D44" s="879">
        <f>SUMIFS('Bilateral Assistance, MAIN DATA'!$M:$M,'Bilateral Assistance, MAIN DATA'!$AH:$AH,A42,'Bilateral Assistance, MAIN DATA'!$AX:$AX,1,'Bilateral Assistance, MAIN DATA'!$AO:$AO,"Main battle tank (MBT)")</f>
        <v>0</v>
      </c>
      <c r="E44" s="879">
        <f>SUMIFS('Bilateral Assistance, MAIN DATA'!$M:$M,'Bilateral Assistance, MAIN DATA'!$AH:$AH,A42,'Bilateral Assistance, MAIN DATA'!$AX:$AX,0, 'Bilateral Assistance, MAIN DATA'!$AW:$AW,1,'Bilateral Assistance, MAIN DATA'!$AO:$AO,"Main battle tank (MBT)")</f>
        <v>0</v>
      </c>
      <c r="F44" s="879">
        <f>SUMIFS('Bilateral Assistance, MAIN DATA'!$M:$M,'Bilateral Assistance, MAIN DATA'!$AH:$AH,A42,'Bilateral Assistance, MAIN DATA'!$AX:$AX,0, 'Bilateral Assistance, MAIN DATA'!$AW:$AW,0,'Bilateral Assistance, MAIN DATA'!$AO:$AO,"Main battle tank (MBT)")</f>
        <v>0</v>
      </c>
      <c r="G44" s="879">
        <f>SUMIFS('Bilateral Assistance, MAIN DATA'!$M:$M,'Bilateral Assistance, MAIN DATA'!$AH:$AH,A42,'Bilateral Assistance, MAIN DATA'!$AO:$AO,"Main battle tank (MBT)", 'Bilateral Assistance, MAIN DATA'!$B:$B, "United States")</f>
        <v>0</v>
      </c>
      <c r="H44" s="879">
        <f>SUMIFS('Bilateral Assistance, MAIN DATA'!$M:$M,'Bilateral Assistance, MAIN DATA'!$AH:$AH,A42,'Bilateral Assistance, MAIN DATA'!$AO:$AO,"Main battle tank (MBT)")</f>
        <v>0</v>
      </c>
      <c r="I44" s="767"/>
    </row>
    <row r="46" spans="1:9" ht="15.75" customHeight="1" x14ac:dyDescent="0.3">
      <c r="B46" s="1204" t="s">
        <v>3517</v>
      </c>
      <c r="C46" s="1020" t="s">
        <v>3595</v>
      </c>
      <c r="D46" s="1021" t="e">
        <f>SUM(#REF!,D12,D15,D18,D21,D24,D27,D30,D33,D36,D39,D42)</f>
        <v>#REF!</v>
      </c>
      <c r="E46" s="1021" t="e">
        <f>SUM(#REF!,E12,E15,E18,E21,E24,E27,E30,E33,E36,E39,E42)</f>
        <v>#REF!</v>
      </c>
      <c r="F46" s="1021" t="e">
        <f>SUM(#REF!,F12,F15,F18,F21,F24,F27,F30,F33,F36,F39,F42)</f>
        <v>#REF!</v>
      </c>
      <c r="G46" s="1021" t="e">
        <f>SUM(#REF!,G12,G15,G18,G21,G24,G27,G30,G33,G36,G39,G42)</f>
        <v>#REF!</v>
      </c>
      <c r="H46" s="1021" t="e">
        <f>SUM(#REF!,H12,H15,H18,H21,H24,H27,H30,H33,H36,H39,H42)</f>
        <v>#REF!</v>
      </c>
    </row>
    <row r="47" spans="1:9" ht="15.75" customHeight="1" x14ac:dyDescent="0.3">
      <c r="B47" s="1205"/>
      <c r="C47" s="493" t="s">
        <v>3793</v>
      </c>
      <c r="D47" s="767" t="e">
        <f>SUM(#REF!,D13,D16,D19,D22,D25,D28,D31,D34,D37,D40,D43)</f>
        <v>#REF!</v>
      </c>
      <c r="E47" s="767" t="e">
        <f>SUM(#REF!,E13,E16,E19,E22,E25,E28,E31,E34,E37,E40,E43)</f>
        <v>#REF!</v>
      </c>
      <c r="F47" s="767" t="e">
        <f>SUM(#REF!,F13,F16,F19,F22,F25,F28,F31,F34,F37,F40,F43)</f>
        <v>#REF!</v>
      </c>
      <c r="G47" s="767" t="e">
        <f>SUM(#REF!,G13,G16,G19,G22,G25,G28,G31,G34,G37,G40,G43)</f>
        <v>#REF!</v>
      </c>
      <c r="H47" s="767" t="e">
        <f>SUM(#REF!,H13,H16,H19,H22,H25,H28,H31,H34,H37,H40,H43)</f>
        <v>#REF!</v>
      </c>
    </row>
    <row r="48" spans="1:9" ht="15.75" customHeight="1" x14ac:dyDescent="0.3">
      <c r="B48" s="1206"/>
      <c r="C48" s="878" t="s">
        <v>3646</v>
      </c>
      <c r="D48" s="879" t="e">
        <f>SUM(#REF!,D14,D17,D20,D23,D26,D29,D32,D35,D38,D41,D44)</f>
        <v>#REF!</v>
      </c>
      <c r="E48" s="879" t="e">
        <f>SUM(#REF!,E14,E17,E20,E23,E26,E29,E32,E35,E38,E41,E44)</f>
        <v>#REF!</v>
      </c>
      <c r="F48" s="879" t="e">
        <f>SUM(#REF!,F14,F17,F20,F23,F26,F29,F32,F35,F38,F41,F44)</f>
        <v>#REF!</v>
      </c>
      <c r="G48" s="879" t="e">
        <f>SUM(#REF!,G14,G17,G20,G23,G26,G29,G32,G35,G38,G41,G44)</f>
        <v>#REF!</v>
      </c>
      <c r="H48" s="879" t="e">
        <f>SUM(#REF!,H14,H17,H20,H23,H26,H29,H32,H35,H38,H41,H44)</f>
        <v>#REF!</v>
      </c>
    </row>
  </sheetData>
  <mergeCells count="13">
    <mergeCell ref="B46:B48"/>
    <mergeCell ref="B4:E9"/>
    <mergeCell ref="B12:B14"/>
    <mergeCell ref="B15:B17"/>
    <mergeCell ref="B18:B20"/>
    <mergeCell ref="B21:B23"/>
    <mergeCell ref="B42:B44"/>
    <mergeCell ref="B24:B26"/>
    <mergeCell ref="B27:B29"/>
    <mergeCell ref="B30:B32"/>
    <mergeCell ref="B33:B35"/>
    <mergeCell ref="B36:B38"/>
    <mergeCell ref="B39:B41"/>
  </mergeCells>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D9E1F2"/>
  </sheetPr>
  <dimension ref="B1:U60"/>
  <sheetViews>
    <sheetView zoomScaleNormal="100" workbookViewId="0">
      <selection activeCell="C29" sqref="C29"/>
    </sheetView>
  </sheetViews>
  <sheetFormatPr baseColWidth="10" defaultColWidth="8.59765625" defaultRowHeight="15.9" customHeight="1" x14ac:dyDescent="0.3"/>
  <cols>
    <col min="1" max="1" width="8.59765625" style="2" customWidth="1"/>
    <col min="2" max="2" width="25.5" style="2" customWidth="1"/>
    <col min="3" max="4" width="18" style="2" customWidth="1"/>
    <col min="5" max="5" width="19.5" style="2" bestFit="1" customWidth="1"/>
    <col min="6" max="7" width="15.8984375" style="2" customWidth="1"/>
    <col min="8" max="16384" width="8.59765625" style="2"/>
  </cols>
  <sheetData>
    <row r="1" spans="2:13" s="1056" customFormat="1" ht="15.9" customHeight="1" x14ac:dyDescent="0.3">
      <c r="B1" s="1077"/>
      <c r="C1" s="1078"/>
      <c r="D1" s="1078"/>
      <c r="E1" s="1078"/>
      <c r="F1" s="1078"/>
      <c r="G1" s="1078"/>
    </row>
    <row r="2" spans="2:13" s="1080" customFormat="1" ht="24.75" customHeight="1" x14ac:dyDescent="0.3">
      <c r="B2" s="1079" t="s">
        <v>3794</v>
      </c>
    </row>
    <row r="3" spans="2:13" s="1058" customFormat="1" ht="15.9" customHeight="1" x14ac:dyDescent="0.25"/>
    <row r="4" spans="2:13" s="1058" customFormat="1" ht="15.9" customHeight="1" x14ac:dyDescent="0.25">
      <c r="B4" s="1188" t="s">
        <v>3795</v>
      </c>
      <c r="C4" s="1188"/>
      <c r="D4" s="1188"/>
      <c r="E4" s="1188"/>
      <c r="F4" s="1188"/>
      <c r="G4" s="1188"/>
      <c r="H4" s="1188"/>
      <c r="I4" s="1188"/>
      <c r="J4" s="1188"/>
      <c r="K4" s="1188"/>
      <c r="L4" s="1188"/>
      <c r="M4" s="1188"/>
    </row>
    <row r="5" spans="2:13" s="1058" customFormat="1" ht="15.9" customHeight="1" x14ac:dyDescent="0.25">
      <c r="B5" s="1188"/>
      <c r="C5" s="1188"/>
      <c r="D5" s="1188"/>
      <c r="E5" s="1188"/>
      <c r="F5" s="1188"/>
      <c r="G5" s="1188"/>
      <c r="H5" s="1188"/>
      <c r="I5" s="1188"/>
      <c r="J5" s="1188"/>
      <c r="K5" s="1188"/>
      <c r="L5" s="1188"/>
      <c r="M5" s="1188"/>
    </row>
    <row r="6" spans="2:13" s="1058" customFormat="1" ht="15.9" customHeight="1" x14ac:dyDescent="0.25">
      <c r="B6" s="1188"/>
      <c r="C6" s="1188"/>
      <c r="D6" s="1188"/>
      <c r="E6" s="1188"/>
      <c r="F6" s="1188"/>
      <c r="G6" s="1188"/>
      <c r="H6" s="1188"/>
      <c r="I6" s="1188"/>
      <c r="J6" s="1188"/>
      <c r="K6" s="1188"/>
      <c r="L6" s="1188"/>
      <c r="M6" s="1188"/>
    </row>
    <row r="7" spans="2:13" s="1058" customFormat="1" ht="15.9" customHeight="1" x14ac:dyDescent="0.25">
      <c r="B7" s="1188"/>
      <c r="C7" s="1188"/>
      <c r="D7" s="1188"/>
      <c r="E7" s="1188"/>
      <c r="F7" s="1188"/>
      <c r="G7" s="1188"/>
      <c r="H7" s="1188"/>
      <c r="I7" s="1188"/>
      <c r="J7" s="1188"/>
      <c r="K7" s="1188"/>
      <c r="L7" s="1188"/>
      <c r="M7" s="1188"/>
    </row>
    <row r="8" spans="2:13" s="1058" customFormat="1" ht="15.9" customHeight="1" x14ac:dyDescent="0.25">
      <c r="B8" s="1188"/>
      <c r="C8" s="1188"/>
      <c r="D8" s="1188"/>
      <c r="E8" s="1188"/>
      <c r="F8" s="1188"/>
      <c r="G8" s="1188"/>
      <c r="H8" s="1188"/>
      <c r="I8" s="1188"/>
      <c r="J8" s="1188"/>
      <c r="K8" s="1188"/>
      <c r="L8" s="1188"/>
      <c r="M8" s="1188"/>
    </row>
    <row r="9" spans="2:13" s="1058" customFormat="1" ht="15.9" customHeight="1" x14ac:dyDescent="0.25">
      <c r="B9" s="1188"/>
      <c r="C9" s="1188"/>
      <c r="D9" s="1188"/>
      <c r="E9" s="1188"/>
      <c r="F9" s="1188"/>
      <c r="G9" s="1188"/>
      <c r="H9" s="1188"/>
      <c r="I9" s="1188"/>
      <c r="J9" s="1188"/>
      <c r="K9" s="1188"/>
      <c r="L9" s="1188"/>
      <c r="M9" s="1188"/>
    </row>
    <row r="11" spans="2:13" s="11" customFormat="1" ht="24.75" customHeight="1" x14ac:dyDescent="0.3">
      <c r="B11" s="1081" t="s">
        <v>3796</v>
      </c>
      <c r="C11" s="1082" t="s">
        <v>3499</v>
      </c>
      <c r="D11" s="1083" t="s">
        <v>3797</v>
      </c>
      <c r="E11" s="1083" t="s">
        <v>3798</v>
      </c>
      <c r="F11" s="1083" t="s">
        <v>3606</v>
      </c>
      <c r="G11" s="25"/>
      <c r="H11" s="658" t="s">
        <v>3794</v>
      </c>
    </row>
    <row r="12" spans="2:13" ht="15.9" customHeight="1" x14ac:dyDescent="0.3">
      <c r="B12" s="1209" t="s">
        <v>3596</v>
      </c>
      <c r="C12" s="134" t="str">
        <f>'In-kind Military per Country'!J13</f>
        <v>Poland</v>
      </c>
      <c r="D12" s="134">
        <f>'In-kind Military per Country'!K13</f>
        <v>300</v>
      </c>
      <c r="E12" s="134">
        <f>'In-kind Military per Country'!L13</f>
        <v>300</v>
      </c>
      <c r="F12" s="135">
        <f t="shared" ref="F12:F15" si="0">D12-E12</f>
        <v>0</v>
      </c>
      <c r="G12" s="25"/>
      <c r="H12" s="34"/>
    </row>
    <row r="13" spans="2:13" ht="15.9" customHeight="1" x14ac:dyDescent="0.3">
      <c r="B13" s="1210"/>
      <c r="C13" s="2" t="str">
        <f>'In-kind Military per Country'!J14</f>
        <v>Czech Republic</v>
      </c>
      <c r="D13" s="2">
        <f>'In-kind Military per Country'!K14</f>
        <v>130</v>
      </c>
      <c r="E13" s="2">
        <f>'In-kind Military per Country'!L14</f>
        <v>40</v>
      </c>
      <c r="F13" s="25">
        <f t="shared" si="0"/>
        <v>90</v>
      </c>
      <c r="G13" s="25"/>
    </row>
    <row r="14" spans="2:13" ht="15.9" customHeight="1" x14ac:dyDescent="0.3">
      <c r="B14" s="1210"/>
      <c r="C14" s="2" t="str">
        <f>'In-kind Military per Country'!J15</f>
        <v>Slovenia</v>
      </c>
      <c r="D14" s="2">
        <f>'In-kind Military per Country'!K15</f>
        <v>28</v>
      </c>
      <c r="E14" s="2">
        <f>'In-kind Military per Country'!L15</f>
        <v>28</v>
      </c>
      <c r="F14" s="25">
        <f t="shared" si="0"/>
        <v>0</v>
      </c>
      <c r="G14" s="25"/>
    </row>
    <row r="15" spans="2:13" ht="15.9" customHeight="1" x14ac:dyDescent="0.3">
      <c r="B15" s="1211"/>
      <c r="C15" s="2" t="str">
        <f>'In-kind Military per Country'!J16</f>
        <v>United Kingdom</v>
      </c>
      <c r="D15" s="2">
        <f>'In-kind Military per Country'!K16</f>
        <v>14</v>
      </c>
      <c r="E15" s="2">
        <f>'In-kind Military per Country'!L16</f>
        <v>0</v>
      </c>
      <c r="F15" s="25">
        <f t="shared" si="0"/>
        <v>14</v>
      </c>
      <c r="G15" s="25"/>
    </row>
    <row r="16" spans="2:13" ht="15.9" customHeight="1" x14ac:dyDescent="0.3">
      <c r="B16" s="1209" t="s">
        <v>3799</v>
      </c>
      <c r="C16" s="134" t="str">
        <f>'In-kind Military per Country'!B13</f>
        <v>United States</v>
      </c>
      <c r="D16" s="134">
        <f>'In-kind Military per Country'!C13</f>
        <v>144</v>
      </c>
      <c r="E16" s="134">
        <f>'In-kind Military per Country'!D13</f>
        <v>126</v>
      </c>
      <c r="F16" s="135">
        <f>D16-E16</f>
        <v>18</v>
      </c>
      <c r="G16" s="25"/>
    </row>
    <row r="17" spans="2:7" ht="15.9" customHeight="1" x14ac:dyDescent="0.3">
      <c r="B17" s="1210"/>
      <c r="C17" s="2" t="str">
        <f>'In-kind Military per Country'!B14</f>
        <v>United Kingdom</v>
      </c>
      <c r="D17" s="2">
        <f>'In-kind Military per Country'!C14</f>
        <v>58</v>
      </c>
      <c r="E17" s="2">
        <f>'In-kind Military per Country'!D14</f>
        <v>28</v>
      </c>
      <c r="F17" s="25">
        <f t="shared" ref="F17:F20" si="1">D17-E17</f>
        <v>30</v>
      </c>
      <c r="G17" s="25"/>
    </row>
    <row r="18" spans="2:7" ht="15.9" customHeight="1" x14ac:dyDescent="0.3">
      <c r="B18" s="1210"/>
      <c r="C18" s="2" t="str">
        <f>'In-kind Military per Country'!B15</f>
        <v>Poland</v>
      </c>
      <c r="D18" s="2">
        <f>'In-kind Military per Country'!C15</f>
        <v>54</v>
      </c>
      <c r="E18" s="2">
        <f>'In-kind Military per Country'!D15</f>
        <v>54</v>
      </c>
      <c r="F18" s="25">
        <f t="shared" si="1"/>
        <v>0</v>
      </c>
      <c r="G18" s="25"/>
    </row>
    <row r="19" spans="2:7" ht="15.9" customHeight="1" x14ac:dyDescent="0.3">
      <c r="B19" s="1210"/>
      <c r="C19" s="2" t="str">
        <f>'In-kind Military per Country'!B16</f>
        <v>Germany</v>
      </c>
      <c r="D19" s="2">
        <f>'In-kind Military per Country'!C16</f>
        <v>37</v>
      </c>
      <c r="E19" s="2">
        <f>'In-kind Military per Country'!D16</f>
        <v>14</v>
      </c>
      <c r="F19" s="25">
        <f t="shared" si="1"/>
        <v>23</v>
      </c>
      <c r="G19" s="25"/>
    </row>
    <row r="20" spans="2:7" ht="15.9" customHeight="1" x14ac:dyDescent="0.3">
      <c r="B20" s="1211"/>
      <c r="C20" s="2" t="str">
        <f>'In-kind Military per Country'!B17</f>
        <v>Italy</v>
      </c>
      <c r="D20" s="2">
        <f>'In-kind Military per Country'!C17</f>
        <v>36</v>
      </c>
      <c r="E20" s="2">
        <f>'In-kind Military per Country'!D17</f>
        <v>0</v>
      </c>
      <c r="F20" s="25">
        <f t="shared" si="1"/>
        <v>36</v>
      </c>
      <c r="G20" s="25"/>
    </row>
    <row r="21" spans="2:7" ht="15.9" customHeight="1" x14ac:dyDescent="0.3">
      <c r="B21" s="1189" t="s">
        <v>3595</v>
      </c>
      <c r="C21" s="134" t="str">
        <f>'In-kind Military per Country'!F13</f>
        <v>United States</v>
      </c>
      <c r="D21" s="134">
        <f>'In-kind Military per Country'!G13</f>
        <v>38</v>
      </c>
      <c r="E21" s="134">
        <f>'In-kind Military per Country'!H13</f>
        <v>16</v>
      </c>
      <c r="F21" s="135">
        <f>D21-E21</f>
        <v>22</v>
      </c>
      <c r="G21" s="25"/>
    </row>
    <row r="22" spans="2:7" ht="15.9" customHeight="1" x14ac:dyDescent="0.3">
      <c r="B22" s="1190"/>
      <c r="C22" s="2" t="str">
        <f>'In-kind Military per Country'!F14</f>
        <v>Czech Republic</v>
      </c>
      <c r="D22" s="2">
        <f>'In-kind Military per Country'!G14</f>
        <v>20</v>
      </c>
      <c r="E22" s="2">
        <f>'In-kind Military per Country'!H14</f>
        <v>20</v>
      </c>
      <c r="F22" s="25">
        <f>D22-E22</f>
        <v>0</v>
      </c>
      <c r="G22" s="25"/>
    </row>
    <row r="23" spans="2:7" ht="15.9" customHeight="1" x14ac:dyDescent="0.3">
      <c r="B23" s="1190"/>
      <c r="C23" s="2" t="str">
        <f>'In-kind Military per Country'!F15</f>
        <v>United Kingdom</v>
      </c>
      <c r="D23" s="2">
        <f>'In-kind Military per Country'!G15</f>
        <v>6</v>
      </c>
      <c r="E23" s="2">
        <f>'In-kind Military per Country'!H15</f>
        <v>3</v>
      </c>
      <c r="F23" s="25">
        <f t="shared" ref="F23:F25" si="2">D23-E23</f>
        <v>3</v>
      </c>
      <c r="G23" s="25"/>
    </row>
    <row r="24" spans="2:7" ht="15.9" customHeight="1" x14ac:dyDescent="0.3">
      <c r="B24" s="1190"/>
      <c r="C24" s="2" t="str">
        <f>'In-kind Military per Country'!F16</f>
        <v>Germany</v>
      </c>
      <c r="D24" s="2">
        <f>'In-kind Military per Country'!G16</f>
        <v>5</v>
      </c>
      <c r="E24" s="2">
        <f>'In-kind Military per Country'!H16</f>
        <v>5</v>
      </c>
      <c r="F24" s="25">
        <f t="shared" si="2"/>
        <v>0</v>
      </c>
      <c r="G24" s="25"/>
    </row>
    <row r="25" spans="2:7" ht="15.9" customHeight="1" x14ac:dyDescent="0.3">
      <c r="B25" s="1191"/>
      <c r="C25" s="132" t="str">
        <f>'In-kind Military per Country'!F17</f>
        <v>Norway</v>
      </c>
      <c r="D25" s="132">
        <f>'In-kind Military per Country'!G17</f>
        <v>3</v>
      </c>
      <c r="E25" s="132">
        <f>'In-kind Military per Country'!H17</f>
        <v>3</v>
      </c>
      <c r="F25" s="133">
        <f t="shared" si="2"/>
        <v>0</v>
      </c>
      <c r="G25" s="25"/>
    </row>
    <row r="26" spans="2:7" ht="15.9" customHeight="1" x14ac:dyDescent="0.3">
      <c r="B26" s="768"/>
      <c r="F26" s="25"/>
      <c r="G26" s="25"/>
    </row>
    <row r="27" spans="2:7" ht="15.9" customHeight="1" x14ac:dyDescent="0.3">
      <c r="F27" s="25"/>
      <c r="G27" s="25"/>
    </row>
    <row r="28" spans="2:7" ht="15.9" customHeight="1" x14ac:dyDescent="0.3">
      <c r="F28" s="25"/>
      <c r="G28" s="25"/>
    </row>
    <row r="29" spans="2:7" ht="15.9" customHeight="1" x14ac:dyDescent="0.3">
      <c r="F29" s="25"/>
      <c r="G29" s="25"/>
    </row>
    <row r="30" spans="2:7" ht="15.9" customHeight="1" x14ac:dyDescent="0.3">
      <c r="G30" s="25"/>
    </row>
    <row r="31" spans="2:7" ht="15.9" customHeight="1" x14ac:dyDescent="0.3">
      <c r="G31" s="25"/>
    </row>
    <row r="32" spans="2:7" ht="15.9" customHeight="1" x14ac:dyDescent="0.3">
      <c r="G32" s="25"/>
    </row>
    <row r="33" spans="7:7" ht="15.9" customHeight="1" x14ac:dyDescent="0.3">
      <c r="G33" s="25"/>
    </row>
    <row r="34" spans="7:7" ht="15.9" customHeight="1" x14ac:dyDescent="0.3">
      <c r="G34" s="25"/>
    </row>
    <row r="52" spans="8:21" ht="15.9" customHeight="1" x14ac:dyDescent="0.3">
      <c r="H52" s="131"/>
      <c r="I52" s="131"/>
      <c r="J52" s="131"/>
      <c r="K52" s="131"/>
      <c r="L52" s="131"/>
      <c r="M52" s="131"/>
      <c r="N52" s="131"/>
      <c r="O52" s="131"/>
      <c r="P52" s="131"/>
      <c r="Q52" s="131"/>
      <c r="R52" s="131"/>
      <c r="S52" s="131"/>
      <c r="T52" s="131"/>
      <c r="U52" s="131"/>
    </row>
    <row r="53" spans="8:21" ht="15.9" customHeight="1" x14ac:dyDescent="0.3">
      <c r="H53" s="131"/>
      <c r="I53" s="131"/>
      <c r="J53" s="131"/>
      <c r="K53" s="131"/>
      <c r="L53" s="131"/>
      <c r="M53" s="131"/>
      <c r="N53" s="131"/>
      <c r="O53" s="131"/>
      <c r="P53" s="131"/>
      <c r="Q53" s="131"/>
      <c r="R53" s="131"/>
      <c r="S53" s="131"/>
      <c r="T53" s="131"/>
      <c r="U53" s="131"/>
    </row>
    <row r="54" spans="8:21" ht="15.9" customHeight="1" x14ac:dyDescent="0.3">
      <c r="H54" s="131"/>
      <c r="I54" s="131"/>
      <c r="J54" s="131"/>
      <c r="K54" s="131"/>
      <c r="L54" s="131"/>
      <c r="M54" s="131"/>
      <c r="N54" s="131"/>
      <c r="O54" s="131"/>
      <c r="P54" s="131"/>
      <c r="Q54" s="131"/>
      <c r="R54" s="131"/>
      <c r="S54" s="131"/>
      <c r="T54" s="131"/>
      <c r="U54" s="131"/>
    </row>
    <row r="55" spans="8:21" ht="15.9" customHeight="1" x14ac:dyDescent="0.3">
      <c r="H55" s="131"/>
      <c r="I55" s="131"/>
      <c r="J55" s="131"/>
      <c r="K55" s="131"/>
      <c r="L55" s="131"/>
      <c r="M55" s="131"/>
      <c r="N55" s="131"/>
      <c r="O55" s="131"/>
      <c r="P55" s="131"/>
      <c r="Q55" s="131"/>
      <c r="R55" s="131"/>
      <c r="S55" s="131"/>
      <c r="T55" s="131"/>
      <c r="U55" s="131"/>
    </row>
    <row r="56" spans="8:21" ht="15.9" customHeight="1" x14ac:dyDescent="0.3">
      <c r="H56" s="131"/>
      <c r="I56" s="131"/>
      <c r="J56" s="131"/>
      <c r="K56" s="131"/>
      <c r="L56" s="131"/>
      <c r="M56" s="131"/>
      <c r="N56" s="131"/>
      <c r="O56" s="131"/>
      <c r="P56" s="131"/>
      <c r="Q56" s="131"/>
      <c r="R56" s="131"/>
      <c r="S56" s="131"/>
      <c r="T56" s="131"/>
      <c r="U56" s="131"/>
    </row>
    <row r="57" spans="8:21" ht="15.9" customHeight="1" x14ac:dyDescent="0.3">
      <c r="H57" s="131"/>
      <c r="I57" s="131"/>
      <c r="J57" s="131"/>
      <c r="K57" s="131"/>
      <c r="L57" s="131"/>
      <c r="M57" s="131"/>
      <c r="N57" s="131"/>
      <c r="O57" s="131"/>
      <c r="P57" s="131"/>
      <c r="Q57" s="131"/>
      <c r="R57" s="131"/>
      <c r="S57" s="131"/>
      <c r="T57" s="131"/>
      <c r="U57" s="131"/>
    </row>
    <row r="58" spans="8:21" ht="15.9" customHeight="1" x14ac:dyDescent="0.3">
      <c r="H58" s="131"/>
      <c r="I58" s="131"/>
      <c r="J58" s="131"/>
      <c r="K58" s="131"/>
      <c r="L58" s="131"/>
      <c r="M58" s="131"/>
      <c r="N58" s="131"/>
      <c r="O58" s="131"/>
      <c r="P58" s="131"/>
      <c r="Q58" s="131"/>
      <c r="R58" s="131"/>
      <c r="S58" s="131"/>
      <c r="T58" s="131"/>
      <c r="U58" s="131"/>
    </row>
    <row r="59" spans="8:21" ht="15.9" customHeight="1" x14ac:dyDescent="0.3">
      <c r="H59" s="131"/>
      <c r="I59" s="131"/>
      <c r="J59" s="131"/>
      <c r="K59" s="131"/>
      <c r="L59" s="131"/>
      <c r="M59" s="131"/>
      <c r="N59" s="131"/>
      <c r="O59" s="131"/>
      <c r="P59" s="131"/>
      <c r="Q59" s="131"/>
      <c r="R59" s="131"/>
      <c r="S59" s="131"/>
      <c r="T59" s="131"/>
      <c r="U59" s="131"/>
    </row>
    <row r="60" spans="8:21" ht="15.9" customHeight="1" x14ac:dyDescent="0.3">
      <c r="H60" s="131"/>
      <c r="I60" s="131"/>
      <c r="J60" s="131"/>
      <c r="K60" s="131"/>
      <c r="L60" s="131"/>
      <c r="M60" s="131"/>
      <c r="N60" s="131"/>
      <c r="O60" s="131"/>
      <c r="P60" s="131"/>
      <c r="Q60" s="131"/>
      <c r="R60" s="131"/>
      <c r="S60" s="131"/>
      <c r="T60" s="131"/>
      <c r="U60" s="131"/>
    </row>
  </sheetData>
  <mergeCells count="4">
    <mergeCell ref="B4:M9"/>
    <mergeCell ref="B12:B15"/>
    <mergeCell ref="B16:B20"/>
    <mergeCell ref="B21:B25"/>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5" tint="0.59999389629810485"/>
  </sheetPr>
  <dimension ref="B1:O59"/>
  <sheetViews>
    <sheetView showGridLines="0" zoomScaleNormal="100" workbookViewId="0"/>
  </sheetViews>
  <sheetFormatPr baseColWidth="10" defaultColWidth="8.59765625" defaultRowHeight="15.9" customHeight="1" x14ac:dyDescent="0.3"/>
  <cols>
    <col min="1" max="1" width="8.59765625" style="24" customWidth="1"/>
    <col min="2" max="2" width="33.5" style="24" customWidth="1"/>
    <col min="3" max="3" width="34.3984375" style="384" bestFit="1" customWidth="1"/>
    <col min="4" max="4" width="40.8984375" style="115" customWidth="1"/>
    <col min="5" max="5" width="48.5" style="385" customWidth="1"/>
    <col min="6" max="6" width="44" style="129" customWidth="1"/>
    <col min="7" max="7" width="51.09765625" style="385" customWidth="1"/>
    <col min="8" max="8" width="24.3984375" style="172" bestFit="1" customWidth="1"/>
    <col min="9" max="11" width="8.59765625" style="172" customWidth="1"/>
    <col min="12" max="12" width="8.59765625" style="24" customWidth="1"/>
    <col min="13" max="16384" width="8.59765625" style="24"/>
  </cols>
  <sheetData>
    <row r="1" spans="2:15" s="35" customFormat="1" ht="15.9" customHeight="1" x14ac:dyDescent="0.3">
      <c r="B1" s="39"/>
      <c r="C1" s="148"/>
      <c r="D1" s="148"/>
      <c r="E1" s="148"/>
      <c r="F1" s="148"/>
      <c r="G1" s="39"/>
      <c r="H1" s="39"/>
    </row>
    <row r="2" spans="2:15" s="39" customFormat="1" ht="24.75" customHeight="1" x14ac:dyDescent="0.35">
      <c r="B2" s="415" t="s">
        <v>3800</v>
      </c>
    </row>
    <row r="3" spans="2:15" s="116" customFormat="1" ht="15.9" customHeight="1" x14ac:dyDescent="0.3">
      <c r="C3" s="39"/>
    </row>
    <row r="4" spans="2:15" s="116" customFormat="1" ht="15.9" customHeight="1" x14ac:dyDescent="0.25">
      <c r="B4" s="1212" t="s">
        <v>3801</v>
      </c>
      <c r="C4" s="1212"/>
      <c r="D4" s="1212"/>
      <c r="E4" s="1212"/>
      <c r="F4" s="1212"/>
      <c r="G4" s="1212"/>
    </row>
    <row r="5" spans="2:15" s="116" customFormat="1" ht="15.9" customHeight="1" x14ac:dyDescent="0.25">
      <c r="B5" s="1212"/>
      <c r="C5" s="1212"/>
      <c r="D5" s="1212"/>
      <c r="E5" s="1212"/>
      <c r="F5" s="1212"/>
      <c r="G5" s="1212"/>
    </row>
    <row r="6" spans="2:15" s="116" customFormat="1" ht="15.9" customHeight="1" x14ac:dyDescent="0.25">
      <c r="B6" s="1212"/>
      <c r="C6" s="1212"/>
      <c r="D6" s="1212"/>
      <c r="E6" s="1212"/>
      <c r="F6" s="1212"/>
      <c r="G6" s="1212"/>
    </row>
    <row r="7" spans="2:15" s="116" customFormat="1" ht="15.9" customHeight="1" x14ac:dyDescent="0.25">
      <c r="B7" s="1212"/>
      <c r="C7" s="1212"/>
      <c r="D7" s="1212"/>
      <c r="E7" s="1212"/>
      <c r="F7" s="1212"/>
      <c r="G7" s="1212"/>
    </row>
    <row r="8" spans="2:15" s="116" customFormat="1" ht="15.9" customHeight="1" x14ac:dyDescent="0.25">
      <c r="B8" s="1212"/>
      <c r="C8" s="1212"/>
      <c r="D8" s="1212"/>
      <c r="E8" s="1212"/>
      <c r="F8" s="1212"/>
      <c r="G8" s="1212"/>
    </row>
    <row r="9" spans="2:15" s="116" customFormat="1" ht="15.9" customHeight="1" x14ac:dyDescent="0.25">
      <c r="B9" s="1212"/>
      <c r="C9" s="1212"/>
      <c r="D9" s="1212"/>
      <c r="E9" s="1212"/>
      <c r="F9" s="1212"/>
      <c r="G9" s="1212"/>
    </row>
    <row r="11" spans="2:15" s="352" customFormat="1" ht="21.75" customHeight="1" x14ac:dyDescent="0.35">
      <c r="B11" s="1143" t="s">
        <v>3499</v>
      </c>
      <c r="C11" s="306" t="s">
        <v>3763</v>
      </c>
      <c r="D11" s="306" t="s">
        <v>3764</v>
      </c>
      <c r="E11" s="307" t="s">
        <v>3765</v>
      </c>
      <c r="F11" s="306" t="s">
        <v>3766</v>
      </c>
      <c r="G11" s="307" t="s">
        <v>3767</v>
      </c>
      <c r="H11" s="1144" t="s">
        <v>3533</v>
      </c>
      <c r="K11" s="605" t="s">
        <v>3802</v>
      </c>
    </row>
    <row r="12" spans="2:15" s="352" customFormat="1" ht="24.75" customHeight="1" x14ac:dyDescent="0.3">
      <c r="B12" s="308"/>
      <c r="C12" s="309" t="s">
        <v>3803</v>
      </c>
      <c r="D12" s="309" t="s">
        <v>3770</v>
      </c>
      <c r="E12" s="310" t="s">
        <v>3771</v>
      </c>
      <c r="F12" s="309" t="s">
        <v>3772</v>
      </c>
      <c r="G12" s="310" t="s">
        <v>3773</v>
      </c>
      <c r="H12" s="311"/>
    </row>
    <row r="13" spans="2:15" s="386" customFormat="1" ht="62.25" customHeight="1" x14ac:dyDescent="0.3">
      <c r="B13" s="312"/>
      <c r="C13" s="283" t="s">
        <v>3804</v>
      </c>
      <c r="D13" s="283" t="s">
        <v>3805</v>
      </c>
      <c r="E13" s="620" t="s">
        <v>3806</v>
      </c>
      <c r="F13" s="621" t="s">
        <v>3807</v>
      </c>
      <c r="G13" s="622" t="s">
        <v>3808</v>
      </c>
      <c r="H13" s="313" t="s">
        <v>3809</v>
      </c>
    </row>
    <row r="14" spans="2:15" ht="15.9" customHeight="1" x14ac:dyDescent="0.3">
      <c r="B14" s="2" t="s">
        <v>2792</v>
      </c>
      <c r="C14" s="314">
        <v>1</v>
      </c>
      <c r="D14" s="183">
        <v>1</v>
      </c>
      <c r="E14" s="315">
        <f>(COUNTIFS('Bilateral Assistance, MAIN DATA'!AE:AE,"Value is given by the source",'Bilateral Assistance, MAIN DATA'!B:B,'Data Transparency Index'!$B14)/COUNTIFS('Bilateral Assistance, MAIN DATA'!B:B,'Data Transparency Index'!$B14))</f>
        <v>1</v>
      </c>
      <c r="F14" s="316">
        <f>(SUMIFS('Bilateral Assistance, MAIN DATA'!AR:AR,'Bilateral Assistance, MAIN DATA'!B:B,'Data Transparency Index'!$B14)/COUNTIFS('Bilateral Assistance, MAIN DATA'!B:B,'Data Transparency Index'!$B14))</f>
        <v>1</v>
      </c>
      <c r="G14" s="315">
        <v>1</v>
      </c>
      <c r="H14" s="270">
        <f t="shared" ref="H14:H54" si="0">SUM(C14:G14)</f>
        <v>5</v>
      </c>
      <c r="I14" s="173"/>
      <c r="J14" s="173"/>
      <c r="K14" s="173"/>
    </row>
    <row r="15" spans="2:15" ht="15.9" customHeight="1" x14ac:dyDescent="0.3">
      <c r="B15" s="24" t="s">
        <v>856</v>
      </c>
      <c r="C15" s="317">
        <v>1</v>
      </c>
      <c r="D15" s="183">
        <v>1</v>
      </c>
      <c r="E15" s="315">
        <f>(COUNTIFS('Bilateral Assistance, MAIN DATA'!AE:AE,"Value is given by the source",'Bilateral Assistance, MAIN DATA'!B:B,'Data Transparency Index'!$B15)/COUNTIFS('Bilateral Assistance, MAIN DATA'!B:B,'Data Transparency Index'!$B15))</f>
        <v>1</v>
      </c>
      <c r="F15" s="316">
        <f>(SUMIFS('Bilateral Assistance, MAIN DATA'!AR:AR,'Bilateral Assistance, MAIN DATA'!B:B,'Data Transparency Index'!$B15)/COUNTIFS('Bilateral Assistance, MAIN DATA'!B:B,'Data Transparency Index'!$B15))</f>
        <v>1</v>
      </c>
      <c r="G15" s="315">
        <f>1-(COUNTIFS('Bilateral Assistance, MAIN DATA'!M:M,"undisclosed",'Bilateral Assistance, MAIN DATA'!B:B,'Data Transparency Index'!$B15,'Bilateral Assistance, MAIN DATA'!AS:AS,1,'Bilateral Assistance, MAIN DATA'!B:B,'Data Transparency Index'!$B15)/COUNTIFS('Bilateral Assistance, MAIN DATA'!B:B,'Data Transparency Index'!$B15,'Bilateral Assistance, MAIN DATA'!AS:AS,1))</f>
        <v>0.6875</v>
      </c>
      <c r="H15" s="270">
        <f t="shared" si="0"/>
        <v>4.6875</v>
      </c>
      <c r="I15" s="173"/>
      <c r="J15" s="173"/>
      <c r="K15" s="173"/>
      <c r="L15" s="387"/>
      <c r="M15" s="387"/>
      <c r="N15" s="387"/>
      <c r="O15" s="387"/>
    </row>
    <row r="16" spans="2:15" ht="15.9" customHeight="1" x14ac:dyDescent="0.3">
      <c r="B16" s="24" t="s">
        <v>3038</v>
      </c>
      <c r="C16" s="317">
        <v>1</v>
      </c>
      <c r="D16" s="183">
        <v>1</v>
      </c>
      <c r="E16" s="315">
        <f>(COUNTIFS('Bilateral Assistance, MAIN DATA'!AE:AE,"Value is given by the source",'Bilateral Assistance, MAIN DATA'!B:B,'Data Transparency Index'!$B16)/COUNTIFS('Bilateral Assistance, MAIN DATA'!B:B,'Data Transparency Index'!$B16))</f>
        <v>1</v>
      </c>
      <c r="F16" s="316">
        <f>(SUMIFS('Bilateral Assistance, MAIN DATA'!AR:AR,'Bilateral Assistance, MAIN DATA'!B:B,'Data Transparency Index'!$B16)/COUNTIFS('Bilateral Assistance, MAIN DATA'!B:B,'Data Transparency Index'!$B16))</f>
        <v>1</v>
      </c>
      <c r="G16" s="315">
        <f>1-(COUNTIFS('Bilateral Assistance, MAIN DATA'!M:M,"undisclosed",'Bilateral Assistance, MAIN DATA'!B:B,'Data Transparency Index'!$B16,'Bilateral Assistance, MAIN DATA'!AS:AS,1,'Bilateral Assistance, MAIN DATA'!B:B,'Data Transparency Index'!$B16)/COUNTIFS('Bilateral Assistance, MAIN DATA'!B:B,'Data Transparency Index'!$B16,'Bilateral Assistance, MAIN DATA'!AS:AS,1))</f>
        <v>0.61414790996784574</v>
      </c>
      <c r="H16" s="270">
        <f t="shared" si="0"/>
        <v>4.614147909967846</v>
      </c>
      <c r="I16" s="173"/>
      <c r="J16" s="173"/>
      <c r="K16" s="173"/>
    </row>
    <row r="17" spans="2:15" ht="15.9" customHeight="1" x14ac:dyDescent="0.3">
      <c r="B17" s="2" t="s">
        <v>255</v>
      </c>
      <c r="C17" s="314">
        <v>1</v>
      </c>
      <c r="D17" s="183">
        <v>1</v>
      </c>
      <c r="E17" s="315">
        <f>(COUNTIFS('Bilateral Assistance, MAIN DATA'!AE:AE,"Value is given by the source",'Bilateral Assistance, MAIN DATA'!B:B,'Data Transparency Index'!$B17)/COUNTIFS('Bilateral Assistance, MAIN DATA'!B:B,'Data Transparency Index'!$B17))</f>
        <v>0.96</v>
      </c>
      <c r="F17" s="316">
        <f>(SUMIFS('Bilateral Assistance, MAIN DATA'!AR:AR,'Bilateral Assistance, MAIN DATA'!B:B,'Data Transparency Index'!$B17)/COUNTIFS('Bilateral Assistance, MAIN DATA'!B:B,'Data Transparency Index'!$B17))</f>
        <v>1</v>
      </c>
      <c r="G17" s="315">
        <f>1-(COUNTIFS('Bilateral Assistance, MAIN DATA'!M:M,"undisclosed",'Bilateral Assistance, MAIN DATA'!B:B,'Data Transparency Index'!$B17,'Bilateral Assistance, MAIN DATA'!AS:AS,1,'Bilateral Assistance, MAIN DATA'!B:B,'Data Transparency Index'!$B17)/COUNTIFS('Bilateral Assistance, MAIN DATA'!B:B,'Data Transparency Index'!$B17,'Bilateral Assistance, MAIN DATA'!AS:AS,1))</f>
        <v>0.5</v>
      </c>
      <c r="H17" s="270">
        <f t="shared" si="0"/>
        <v>4.46</v>
      </c>
      <c r="I17" s="173"/>
      <c r="J17" s="173"/>
      <c r="K17" s="173"/>
      <c r="L17" s="387"/>
      <c r="M17" s="387"/>
      <c r="N17" s="387"/>
      <c r="O17" s="387"/>
    </row>
    <row r="18" spans="2:15" ht="15.9" customHeight="1" x14ac:dyDescent="0.3">
      <c r="B18" s="24" t="s">
        <v>2715</v>
      </c>
      <c r="C18" s="317">
        <v>1</v>
      </c>
      <c r="D18" s="183">
        <v>1</v>
      </c>
      <c r="E18" s="315">
        <f>(COUNTIFS('Bilateral Assistance, MAIN DATA'!AE:AE,"Value is given by the source",'Bilateral Assistance, MAIN DATA'!B:B,'Data Transparency Index'!$B18)/COUNTIFS('Bilateral Assistance, MAIN DATA'!B:B,'Data Transparency Index'!$B18))</f>
        <v>0.84</v>
      </c>
      <c r="F18" s="316">
        <f>(SUMIFS('Bilateral Assistance, MAIN DATA'!AR:AR,'Bilateral Assistance, MAIN DATA'!B:B,'Data Transparency Index'!$B18)/COUNTIFS('Bilateral Assistance, MAIN DATA'!B:B,'Data Transparency Index'!$B18))</f>
        <v>0.96</v>
      </c>
      <c r="G18" s="315">
        <f>1-(COUNTIFS('Bilateral Assistance, MAIN DATA'!M:M,"undisclosed",'Bilateral Assistance, MAIN DATA'!B:B,'Data Transparency Index'!$B18,'Bilateral Assistance, MAIN DATA'!AS:AS,1,'Bilateral Assistance, MAIN DATA'!B:B,'Data Transparency Index'!$B18)/COUNTIFS('Bilateral Assistance, MAIN DATA'!B:B,'Data Transparency Index'!$B18,'Bilateral Assistance, MAIN DATA'!AS:AS,1))</f>
        <v>0.72727272727272729</v>
      </c>
      <c r="H18" s="270">
        <f t="shared" si="0"/>
        <v>4.5272727272727273</v>
      </c>
      <c r="I18" s="173"/>
      <c r="J18" s="173"/>
      <c r="K18" s="173"/>
      <c r="L18" s="387"/>
      <c r="M18" s="387"/>
      <c r="N18" s="387"/>
      <c r="O18" s="387"/>
    </row>
    <row r="19" spans="2:15" ht="15.9" customHeight="1" x14ac:dyDescent="0.3">
      <c r="B19" s="24" t="s">
        <v>2076</v>
      </c>
      <c r="C19" s="317">
        <v>1</v>
      </c>
      <c r="D19" s="183">
        <v>1</v>
      </c>
      <c r="E19" s="315">
        <f>(COUNTIFS('Bilateral Assistance, MAIN DATA'!AE:AE,"Value is given by the source",'Bilateral Assistance, MAIN DATA'!B:B,'Data Transparency Index'!$B19)/COUNTIFS('Bilateral Assistance, MAIN DATA'!B:B,'Data Transparency Index'!$B19))</f>
        <v>0.77777777777777779</v>
      </c>
      <c r="F19" s="316">
        <f>(SUMIFS('Bilateral Assistance, MAIN DATA'!AR:AR,'Bilateral Assistance, MAIN DATA'!B:B,'Data Transparency Index'!$B19)/COUNTIFS('Bilateral Assistance, MAIN DATA'!B:B,'Data Transparency Index'!$B19))</f>
        <v>0.86111111111111116</v>
      </c>
      <c r="G19" s="315">
        <f>1-(COUNTIFS('Bilateral Assistance, MAIN DATA'!M:M,"undisclosed",'Bilateral Assistance, MAIN DATA'!B:B,'Data Transparency Index'!$B19,'Bilateral Assistance, MAIN DATA'!AS:AS,1,'Bilateral Assistance, MAIN DATA'!B:B,'Data Transparency Index'!$B19)/COUNTIFS('Bilateral Assistance, MAIN DATA'!B:B,'Data Transparency Index'!$B19,'Bilateral Assistance, MAIN DATA'!AS:AS,1))</f>
        <v>0.82608695652173914</v>
      </c>
      <c r="H19" s="270">
        <f t="shared" si="0"/>
        <v>4.4649758454106276</v>
      </c>
      <c r="I19" s="173"/>
      <c r="J19" s="173"/>
      <c r="K19" s="173"/>
      <c r="L19" s="387"/>
      <c r="M19" s="387"/>
      <c r="N19" s="387"/>
      <c r="O19" s="387"/>
    </row>
    <row r="20" spans="2:15" ht="15.9" customHeight="1" x14ac:dyDescent="0.3">
      <c r="B20" s="24" t="s">
        <v>1025</v>
      </c>
      <c r="C20" s="317">
        <v>1</v>
      </c>
      <c r="D20" s="183">
        <v>1</v>
      </c>
      <c r="E20" s="315">
        <f>(COUNTIFS('Bilateral Assistance, MAIN DATA'!AE:AE,"Value is given by the source",'Bilateral Assistance, MAIN DATA'!B:B,'Data Transparency Index'!$B20)/COUNTIFS('Bilateral Assistance, MAIN DATA'!B:B,'Data Transparency Index'!$B20))</f>
        <v>0.47368421052631576</v>
      </c>
      <c r="F20" s="316">
        <f>(SUMIFS('Bilateral Assistance, MAIN DATA'!AR:AR,'Bilateral Assistance, MAIN DATA'!B:B,'Data Transparency Index'!$B20)/COUNTIFS('Bilateral Assistance, MAIN DATA'!B:B,'Data Transparency Index'!$B20))</f>
        <v>0.94736842105263153</v>
      </c>
      <c r="G20" s="315">
        <f>1-(COUNTIFS('Bilateral Assistance, MAIN DATA'!M:M,"undisclosed",'Bilateral Assistance, MAIN DATA'!B:B,'Data Transparency Index'!$B20,'Bilateral Assistance, MAIN DATA'!AS:AS,1,'Bilateral Assistance, MAIN DATA'!B:B,'Data Transparency Index'!$B20)/COUNTIFS('Bilateral Assistance, MAIN DATA'!B:B,'Data Transparency Index'!$B20,'Bilateral Assistance, MAIN DATA'!AS:AS,1))</f>
        <v>1</v>
      </c>
      <c r="H20" s="270">
        <f t="shared" si="0"/>
        <v>4.4210526315789469</v>
      </c>
      <c r="I20" s="173"/>
      <c r="J20" s="173"/>
      <c r="K20" s="173"/>
    </row>
    <row r="21" spans="2:15" ht="15.9" customHeight="1" x14ac:dyDescent="0.3">
      <c r="B21" s="24" t="s">
        <v>517</v>
      </c>
      <c r="C21" s="314">
        <v>1</v>
      </c>
      <c r="D21" s="183">
        <v>1</v>
      </c>
      <c r="E21" s="315">
        <f>(COUNTIFS('Bilateral Assistance, MAIN DATA'!AE:AE,"Value is given by the source",'Bilateral Assistance, MAIN DATA'!B:B,'Data Transparency Index'!$B21)/COUNTIFS('Bilateral Assistance, MAIN DATA'!B:B,'Data Transparency Index'!$B21))</f>
        <v>0.79166666666666663</v>
      </c>
      <c r="F21" s="316">
        <f>(SUMIFS('Bilateral Assistance, MAIN DATA'!AR:AR,'Bilateral Assistance, MAIN DATA'!B:B,'Data Transparency Index'!$B21)/COUNTIFS('Bilateral Assistance, MAIN DATA'!B:B,'Data Transparency Index'!$B21))</f>
        <v>0.9375</v>
      </c>
      <c r="G21" s="315">
        <f>1-(COUNTIFS('Bilateral Assistance, MAIN DATA'!M:M,"undisclosed",'Bilateral Assistance, MAIN DATA'!B:B,'Data Transparency Index'!$B21,'Bilateral Assistance, MAIN DATA'!AS:AS,1,'Bilateral Assistance, MAIN DATA'!B:B,'Data Transparency Index'!$B21)/COUNTIFS('Bilateral Assistance, MAIN DATA'!B:B,'Data Transparency Index'!$B21,'Bilateral Assistance, MAIN DATA'!AS:AS,1))</f>
        <v>0.59375</v>
      </c>
      <c r="H21" s="270">
        <f t="shared" si="0"/>
        <v>4.3229166666666661</v>
      </c>
      <c r="I21" s="173"/>
      <c r="J21" s="173"/>
      <c r="K21" s="173"/>
    </row>
    <row r="22" spans="2:15" ht="15.9" customHeight="1" x14ac:dyDescent="0.3">
      <c r="B22" s="2" t="s">
        <v>2168</v>
      </c>
      <c r="C22" s="314">
        <v>1</v>
      </c>
      <c r="D22" s="183">
        <v>1</v>
      </c>
      <c r="E22" s="315">
        <f>(COUNTIFS('Bilateral Assistance, MAIN DATA'!AE:AE,"Value is given by the source",'Bilateral Assistance, MAIN DATA'!B:B,'Data Transparency Index'!$B22)/COUNTIFS('Bilateral Assistance, MAIN DATA'!B:B,'Data Transparency Index'!$B22))</f>
        <v>0.53846153846153844</v>
      </c>
      <c r="F22" s="316">
        <f>(SUMIFS('Bilateral Assistance, MAIN DATA'!AR:AR,'Bilateral Assistance, MAIN DATA'!B:B,'Data Transparency Index'!$B22)/COUNTIFS('Bilateral Assistance, MAIN DATA'!B:B,'Data Transparency Index'!$B22))</f>
        <v>0.92307692307692313</v>
      </c>
      <c r="G22" s="315">
        <f>1-(COUNTIFS('Bilateral Assistance, MAIN DATA'!M:M,"undisclosed",'Bilateral Assistance, MAIN DATA'!B:B,'Data Transparency Index'!$B22,'Bilateral Assistance, MAIN DATA'!AS:AS,1,'Bilateral Assistance, MAIN DATA'!B:B,'Data Transparency Index'!$B22)/COUNTIFS('Bilateral Assistance, MAIN DATA'!B:B,'Data Transparency Index'!$B22,'Bilateral Assistance, MAIN DATA'!AS:AS,1))</f>
        <v>0.85714285714285721</v>
      </c>
      <c r="H22" s="270">
        <f t="shared" si="0"/>
        <v>4.3186813186813193</v>
      </c>
      <c r="I22" s="173"/>
      <c r="J22" s="173"/>
      <c r="K22" s="173"/>
    </row>
    <row r="23" spans="2:15" ht="15.9" customHeight="1" x14ac:dyDescent="0.3">
      <c r="B23" s="24" t="s">
        <v>1701</v>
      </c>
      <c r="C23" s="318">
        <v>1</v>
      </c>
      <c r="D23" s="183">
        <v>1</v>
      </c>
      <c r="E23" s="315">
        <f>(COUNTIFS('Bilateral Assistance, MAIN DATA'!AE:AE,"Value is given by the source",'Bilateral Assistance, MAIN DATA'!B:B,'Data Transparency Index'!$B23)/COUNTIFS('Bilateral Assistance, MAIN DATA'!B:B,'Data Transparency Index'!$B23))</f>
        <v>0.36363636363636365</v>
      </c>
      <c r="F23" s="316">
        <f>(SUMIFS('Bilateral Assistance, MAIN DATA'!AR:AR,'Bilateral Assistance, MAIN DATA'!B:B,'Data Transparency Index'!$B23)/COUNTIFS('Bilateral Assistance, MAIN DATA'!B:B,'Data Transparency Index'!$B23))</f>
        <v>0.72727272727272729</v>
      </c>
      <c r="G23" s="315">
        <v>1</v>
      </c>
      <c r="H23" s="270">
        <f t="shared" si="0"/>
        <v>4.0909090909090908</v>
      </c>
      <c r="I23" s="173"/>
      <c r="J23" s="173"/>
      <c r="K23" s="173"/>
    </row>
    <row r="24" spans="2:15" ht="15.9" customHeight="1" x14ac:dyDescent="0.3">
      <c r="B24" s="2" t="s">
        <v>2206</v>
      </c>
      <c r="C24" s="314">
        <v>1</v>
      </c>
      <c r="D24" s="183">
        <v>1</v>
      </c>
      <c r="E24" s="315">
        <f>(COUNTIFS('Bilateral Assistance, MAIN DATA'!AE:AE,"Value is given by the source",'Bilateral Assistance, MAIN DATA'!B:B,'Data Transparency Index'!$B24)/COUNTIFS('Bilateral Assistance, MAIN DATA'!B:B,'Data Transparency Index'!$B24))</f>
        <v>0.31578947368421051</v>
      </c>
      <c r="F24" s="316">
        <f>(SUMIFS('Bilateral Assistance, MAIN DATA'!AR:AR,'Bilateral Assistance, MAIN DATA'!B:B,'Data Transparency Index'!$B24)/COUNTIFS('Bilateral Assistance, MAIN DATA'!B:B,'Data Transparency Index'!$B24))</f>
        <v>1</v>
      </c>
      <c r="G24" s="315">
        <f>1-(COUNTIFS('Bilateral Assistance, MAIN DATA'!M:M,"undisclosed",'Bilateral Assistance, MAIN DATA'!B:B,'Data Transparency Index'!$B24,'Bilateral Assistance, MAIN DATA'!AS:AS,1,'Bilateral Assistance, MAIN DATA'!B:B,'Data Transparency Index'!$B24)/COUNTIFS('Bilateral Assistance, MAIN DATA'!B:B,'Data Transparency Index'!$B24,'Bilateral Assistance, MAIN DATA'!AS:AS,1))</f>
        <v>0.61538461538461542</v>
      </c>
      <c r="H24" s="270">
        <f t="shared" si="0"/>
        <v>3.931174089068826</v>
      </c>
      <c r="I24" s="173"/>
      <c r="J24" s="173"/>
      <c r="K24" s="173"/>
    </row>
    <row r="25" spans="2:15" ht="15.9" customHeight="1" x14ac:dyDescent="0.3">
      <c r="B25" s="24" t="s">
        <v>937</v>
      </c>
      <c r="C25" s="317">
        <v>1</v>
      </c>
      <c r="D25" s="183">
        <v>1</v>
      </c>
      <c r="E25" s="315">
        <f>(COUNTIFS('Bilateral Assistance, MAIN DATA'!AE:AE,"Value is given by the source",'Bilateral Assistance, MAIN DATA'!B:B,'Data Transparency Index'!$B25)/COUNTIFS('Bilateral Assistance, MAIN DATA'!B:B,'Data Transparency Index'!$B25))</f>
        <v>0.7857142857142857</v>
      </c>
      <c r="F25" s="316">
        <f>(SUMIFS('Bilateral Assistance, MAIN DATA'!AR:AR,'Bilateral Assistance, MAIN DATA'!B:B,'Data Transparency Index'!$B25)/COUNTIFS('Bilateral Assistance, MAIN DATA'!B:B,'Data Transparency Index'!$B25))</f>
        <v>0.97619047619047616</v>
      </c>
      <c r="G25" s="315">
        <f>1-(COUNTIFS('Bilateral Assistance, MAIN DATA'!M:M,"undisclosed",'Bilateral Assistance, MAIN DATA'!B:B,'Data Transparency Index'!$B25,'Bilateral Assistance, MAIN DATA'!AS:AS,1,'Bilateral Assistance, MAIN DATA'!B:B,'Data Transparency Index'!$B25)/COUNTIFS('Bilateral Assistance, MAIN DATA'!B:B,'Data Transparency Index'!$B25,'Bilateral Assistance, MAIN DATA'!AS:AS,1))</f>
        <v>0.13888888888888884</v>
      </c>
      <c r="H25" s="270">
        <f t="shared" si="0"/>
        <v>3.9007936507936507</v>
      </c>
      <c r="I25" s="173"/>
      <c r="J25" s="173"/>
      <c r="K25" s="173"/>
    </row>
    <row r="26" spans="2:15" ht="15.9" customHeight="1" x14ac:dyDescent="0.3">
      <c r="B26" s="24" t="s">
        <v>1288</v>
      </c>
      <c r="C26" s="317">
        <v>1</v>
      </c>
      <c r="D26" s="183">
        <v>0</v>
      </c>
      <c r="E26" s="315">
        <f>(COUNTIFS('Bilateral Assistance, MAIN DATA'!AE:AE,"Value is given by the source",'Bilateral Assistance, MAIN DATA'!B:B,'Data Transparency Index'!$B26)/COUNTIFS('Bilateral Assistance, MAIN DATA'!B:B,'Data Transparency Index'!$B26))</f>
        <v>0.96551724137931039</v>
      </c>
      <c r="F26" s="316">
        <f>(SUMIFS('Bilateral Assistance, MAIN DATA'!AR:AR,'Bilateral Assistance, MAIN DATA'!B:B,'Data Transparency Index'!$B26)/COUNTIFS('Bilateral Assistance, MAIN DATA'!B:B,'Data Transparency Index'!$B26))</f>
        <v>0.97241379310344822</v>
      </c>
      <c r="G26" s="315">
        <f>1-(COUNTIFS('Bilateral Assistance, MAIN DATA'!M:M,"undisclosed",'Bilateral Assistance, MAIN DATA'!B:B,'Data Transparency Index'!$B26,'Bilateral Assistance, MAIN DATA'!AS:AS,1,'Bilateral Assistance, MAIN DATA'!B:B,'Data Transparency Index'!$B26)/COUNTIFS('Bilateral Assistance, MAIN DATA'!B:B,'Data Transparency Index'!$B26,'Bilateral Assistance, MAIN DATA'!AS:AS,1))</f>
        <v>0.89312977099236646</v>
      </c>
      <c r="H26" s="270">
        <f t="shared" si="0"/>
        <v>3.8310608054751252</v>
      </c>
      <c r="I26" s="173"/>
      <c r="J26" s="173"/>
      <c r="K26" s="173"/>
    </row>
    <row r="27" spans="2:15" ht="15.9" customHeight="1" x14ac:dyDescent="0.3">
      <c r="B27" s="37" t="s">
        <v>3426</v>
      </c>
      <c r="C27" s="314">
        <v>1</v>
      </c>
      <c r="D27" s="183">
        <v>0</v>
      </c>
      <c r="E27" s="315">
        <f>(COUNTIFS('Bilateral Assistance, MAIN DATA'!AE:AE,"Value is given by the source",'Bilateral Assistance, MAIN DATA'!B:B,'Data Transparency Index'!$B27)/COUNTIFS('Bilateral Assistance, MAIN DATA'!B:B,'Data Transparency Index'!$B27))</f>
        <v>0.90909090909090906</v>
      </c>
      <c r="F27" s="316">
        <f>(SUMIFS('Bilateral Assistance, MAIN DATA'!AR:AR,'Bilateral Assistance, MAIN DATA'!B:B,'Data Transparency Index'!$B27)/COUNTIFS('Bilateral Assistance, MAIN DATA'!B:B,'Data Transparency Index'!$B27))</f>
        <v>0.90909090909090906</v>
      </c>
      <c r="G27" s="315">
        <v>1</v>
      </c>
      <c r="H27" s="270">
        <f t="shared" si="0"/>
        <v>3.8181818181818183</v>
      </c>
      <c r="I27" s="173"/>
      <c r="J27" s="173"/>
      <c r="K27" s="173"/>
    </row>
    <row r="28" spans="2:15" ht="15.9" customHeight="1" x14ac:dyDescent="0.3">
      <c r="B28" s="24" t="s">
        <v>1919</v>
      </c>
      <c r="C28" s="317">
        <v>1</v>
      </c>
      <c r="D28" s="183">
        <v>1</v>
      </c>
      <c r="E28" s="315">
        <f>(COUNTIFS('Bilateral Assistance, MAIN DATA'!AE:AE,"Value is given by the source",'Bilateral Assistance, MAIN DATA'!B:B,'Data Transparency Index'!$B28)/COUNTIFS('Bilateral Assistance, MAIN DATA'!B:B,'Data Transparency Index'!$B28))</f>
        <v>0.69444444444444442</v>
      </c>
      <c r="F28" s="316">
        <f>(SUMIFS('Bilateral Assistance, MAIN DATA'!AR:AR,'Bilateral Assistance, MAIN DATA'!B:B,'Data Transparency Index'!$B28)/COUNTIFS('Bilateral Assistance, MAIN DATA'!B:B,'Data Transparency Index'!$B28))</f>
        <v>0.69444444444444442</v>
      </c>
      <c r="G28" s="315">
        <f>1-(COUNTIFS('Bilateral Assistance, MAIN DATA'!M:M,"undisclosed",'Bilateral Assistance, MAIN DATA'!B:B,'Data Transparency Index'!$B28,'Bilateral Assistance, MAIN DATA'!AS:AS,1,'Bilateral Assistance, MAIN DATA'!B:B,'Data Transparency Index'!$B28)/COUNTIFS('Bilateral Assistance, MAIN DATA'!B:B,'Data Transparency Index'!$B28,'Bilateral Assistance, MAIN DATA'!AS:AS,1))</f>
        <v>0.39130434782608692</v>
      </c>
      <c r="H28" s="270">
        <f t="shared" si="0"/>
        <v>3.7801932367149762</v>
      </c>
      <c r="I28" s="173"/>
      <c r="J28" s="173"/>
      <c r="K28" s="173"/>
    </row>
    <row r="29" spans="2:15" ht="15.9" customHeight="1" x14ac:dyDescent="0.3">
      <c r="B29" s="24" t="s">
        <v>2066</v>
      </c>
      <c r="C29" s="317">
        <v>1</v>
      </c>
      <c r="D29" s="183">
        <v>0</v>
      </c>
      <c r="E29" s="315">
        <f>(COUNTIFS('Bilateral Assistance, MAIN DATA'!AE:AE,"Value is given by the source",'Bilateral Assistance, MAIN DATA'!B:B,'Data Transparency Index'!$B29)/COUNTIFS('Bilateral Assistance, MAIN DATA'!B:B,'Data Transparency Index'!$B29))</f>
        <v>1</v>
      </c>
      <c r="F29" s="316">
        <f>(SUMIFS('Bilateral Assistance, MAIN DATA'!AR:AR,'Bilateral Assistance, MAIN DATA'!B:B,'Data Transparency Index'!$B29)/COUNTIFS('Bilateral Assistance, MAIN DATA'!B:B,'Data Transparency Index'!$B29))</f>
        <v>0.5</v>
      </c>
      <c r="G29" s="315">
        <v>1</v>
      </c>
      <c r="H29" s="270">
        <f t="shared" si="0"/>
        <v>3.5</v>
      </c>
      <c r="I29" s="173"/>
      <c r="J29" s="173"/>
      <c r="K29" s="173"/>
    </row>
    <row r="30" spans="2:15" ht="15.9" customHeight="1" x14ac:dyDescent="0.3">
      <c r="B30" s="24" t="s">
        <v>1804</v>
      </c>
      <c r="C30" s="317">
        <v>1</v>
      </c>
      <c r="D30" s="183">
        <v>1</v>
      </c>
      <c r="E30" s="315">
        <f>(COUNTIFS('Bilateral Assistance, MAIN DATA'!AE:AE,"Value is given by the source",'Bilateral Assistance, MAIN DATA'!B:B,'Data Transparency Index'!$B30)/COUNTIFS('Bilateral Assistance, MAIN DATA'!B:B,'Data Transparency Index'!$B30))</f>
        <v>0.45454545454545453</v>
      </c>
      <c r="F30" s="316">
        <f>(SUMIFS('Bilateral Assistance, MAIN DATA'!AR:AR,'Bilateral Assistance, MAIN DATA'!B:B,'Data Transparency Index'!$B30)/COUNTIFS('Bilateral Assistance, MAIN DATA'!B:B,'Data Transparency Index'!$B30))</f>
        <v>0.68181818181818177</v>
      </c>
      <c r="G30" s="315">
        <f>1-(COUNTIFS('Bilateral Assistance, MAIN DATA'!M:M,"undisclosed",'Bilateral Assistance, MAIN DATA'!B:B,'Data Transparency Index'!$B30,'Bilateral Assistance, MAIN DATA'!AS:AS,1,'Bilateral Assistance, MAIN DATA'!B:B,'Data Transparency Index'!$B30)/COUNTIFS('Bilateral Assistance, MAIN DATA'!B:B,'Data Transparency Index'!$B30,'Bilateral Assistance, MAIN DATA'!AS:AS,1))</f>
        <v>0.25</v>
      </c>
      <c r="H30" s="270">
        <f t="shared" si="0"/>
        <v>3.3863636363636362</v>
      </c>
      <c r="I30" s="173"/>
      <c r="J30" s="173"/>
      <c r="K30" s="173"/>
    </row>
    <row r="31" spans="2:15" ht="15.9" customHeight="1" x14ac:dyDescent="0.3">
      <c r="B31" s="24" t="s">
        <v>344</v>
      </c>
      <c r="C31" s="314">
        <v>1</v>
      </c>
      <c r="D31" s="183">
        <v>0</v>
      </c>
      <c r="E31" s="315">
        <f>(COUNTIFS('Bilateral Assistance, MAIN DATA'!AE:AE,"Value is given by the source",'Bilateral Assistance, MAIN DATA'!B:B,'Data Transparency Index'!$B31)/COUNTIFS('Bilateral Assistance, MAIN DATA'!B:B,'Data Transparency Index'!$B31))</f>
        <v>0.38461538461538464</v>
      </c>
      <c r="F31" s="316">
        <f>(SUMIFS('Bilateral Assistance, MAIN DATA'!AR:AR,'Bilateral Assistance, MAIN DATA'!B:B,'Data Transparency Index'!$B31)/COUNTIFS('Bilateral Assistance, MAIN DATA'!B:B,'Data Transparency Index'!$B31))</f>
        <v>1</v>
      </c>
      <c r="G31" s="315">
        <f>1-(COUNTIFS('Bilateral Assistance, MAIN DATA'!M:M,"undisclosed",'Bilateral Assistance, MAIN DATA'!B:B,'Data Transparency Index'!$B31,'Bilateral Assistance, MAIN DATA'!AS:AS,1,'Bilateral Assistance, MAIN DATA'!B:B,'Data Transparency Index'!$B31)/COUNTIFS('Bilateral Assistance, MAIN DATA'!B:B,'Data Transparency Index'!$B31,'Bilateral Assistance, MAIN DATA'!AS:AS,1))</f>
        <v>1</v>
      </c>
      <c r="H31" s="270">
        <f t="shared" si="0"/>
        <v>3.3846153846153846</v>
      </c>
      <c r="I31" s="173"/>
      <c r="J31" s="173"/>
      <c r="K31" s="173"/>
    </row>
    <row r="32" spans="2:15" ht="15.9" customHeight="1" x14ac:dyDescent="0.3">
      <c r="B32" s="24" t="s">
        <v>2864</v>
      </c>
      <c r="C32" s="317">
        <v>1</v>
      </c>
      <c r="D32" s="183">
        <v>0</v>
      </c>
      <c r="E32" s="315">
        <f>(COUNTIFS('Bilateral Assistance, MAIN DATA'!AE:AE,"Value is given by the source",'Bilateral Assistance, MAIN DATA'!B:B,'Data Transparency Index'!$B32)/COUNTIFS('Bilateral Assistance, MAIN DATA'!B:B,'Data Transparency Index'!$B32))</f>
        <v>0.59459459459459463</v>
      </c>
      <c r="F32" s="316">
        <f>(SUMIFS('Bilateral Assistance, MAIN DATA'!AR:AR,'Bilateral Assistance, MAIN DATA'!B:B,'Data Transparency Index'!$B32)/COUNTIFS('Bilateral Assistance, MAIN DATA'!B:B,'Data Transparency Index'!$B32))</f>
        <v>0.82432432432432434</v>
      </c>
      <c r="G32" s="315">
        <f>1-(COUNTIFS('Bilateral Assistance, MAIN DATA'!M:M,"undisclosed",'Bilateral Assistance, MAIN DATA'!B:B,'Data Transparency Index'!$B32,'Bilateral Assistance, MAIN DATA'!AS:AS,1,'Bilateral Assistance, MAIN DATA'!B:B,'Data Transparency Index'!$B32)/COUNTIFS('Bilateral Assistance, MAIN DATA'!B:B,'Data Transparency Index'!$B32,'Bilateral Assistance, MAIN DATA'!AS:AS,1))</f>
        <v>0.70175438596491224</v>
      </c>
      <c r="H32" s="270">
        <f t="shared" si="0"/>
        <v>3.1206733048838315</v>
      </c>
      <c r="I32" s="173"/>
      <c r="J32" s="173"/>
      <c r="K32" s="173"/>
    </row>
    <row r="33" spans="2:11" ht="15.9" customHeight="1" x14ac:dyDescent="0.3">
      <c r="B33" s="24" t="s">
        <v>2024</v>
      </c>
      <c r="C33" s="317">
        <v>0</v>
      </c>
      <c r="D33" s="183">
        <v>0</v>
      </c>
      <c r="E33" s="315">
        <f>(COUNTIFS('Bilateral Assistance, MAIN DATA'!AE:AE,"Value is given by the source",'Bilateral Assistance, MAIN DATA'!B:B,'Data Transparency Index'!$B33)/COUNTIFS('Bilateral Assistance, MAIN DATA'!B:B,'Data Transparency Index'!$B33))</f>
        <v>0.92592592592592593</v>
      </c>
      <c r="F33" s="316">
        <f>(SUMIFS('Bilateral Assistance, MAIN DATA'!AR:AR,'Bilateral Assistance, MAIN DATA'!B:B,'Data Transparency Index'!$B33)/COUNTIFS('Bilateral Assistance, MAIN DATA'!B:B,'Data Transparency Index'!$B33))</f>
        <v>1</v>
      </c>
      <c r="G33" s="315">
        <f>1-(COUNTIFS('Bilateral Assistance, MAIN DATA'!M:M,"undisclosed",'Bilateral Assistance, MAIN DATA'!B:B,'Data Transparency Index'!$B33,'Bilateral Assistance, MAIN DATA'!AS:AS,1,'Bilateral Assistance, MAIN DATA'!B:B,'Data Transparency Index'!$B33)/COUNTIFS('Bilateral Assistance, MAIN DATA'!B:B,'Data Transparency Index'!$B33,'Bilateral Assistance, MAIN DATA'!AS:AS,1))</f>
        <v>1</v>
      </c>
      <c r="H33" s="270">
        <f t="shared" si="0"/>
        <v>2.925925925925926</v>
      </c>
      <c r="I33" s="173"/>
      <c r="J33" s="173"/>
      <c r="K33" s="173"/>
    </row>
    <row r="34" spans="2:11" ht="15.9" customHeight="1" x14ac:dyDescent="0.3">
      <c r="B34" s="24" t="s">
        <v>696</v>
      </c>
      <c r="C34" s="317">
        <v>0</v>
      </c>
      <c r="D34" s="183">
        <v>0</v>
      </c>
      <c r="E34" s="315">
        <f>(COUNTIFS('Bilateral Assistance, MAIN DATA'!AE:AE,"Value is given by the source",'Bilateral Assistance, MAIN DATA'!B:B,'Data Transparency Index'!$B34)/COUNTIFS('Bilateral Assistance, MAIN DATA'!B:B,'Data Transparency Index'!$B34))</f>
        <v>1</v>
      </c>
      <c r="F34" s="316">
        <f>(SUMIFS('Bilateral Assistance, MAIN DATA'!AR:AR,'Bilateral Assistance, MAIN DATA'!B:B,'Data Transparency Index'!$B34)/COUNTIFS('Bilateral Assistance, MAIN DATA'!B:B,'Data Transparency Index'!$B34))</f>
        <v>0.875</v>
      </c>
      <c r="G34" s="315">
        <v>1</v>
      </c>
      <c r="H34" s="270">
        <f t="shared" si="0"/>
        <v>2.875</v>
      </c>
      <c r="I34" s="173"/>
      <c r="J34" s="173"/>
      <c r="K34" s="173"/>
    </row>
    <row r="35" spans="2:11" ht="15.9" customHeight="1" x14ac:dyDescent="0.3">
      <c r="B35" s="2" t="s">
        <v>2424</v>
      </c>
      <c r="C35" s="314">
        <v>1</v>
      </c>
      <c r="D35" s="183">
        <v>0</v>
      </c>
      <c r="E35" s="315">
        <f>(COUNTIFS('Bilateral Assistance, MAIN DATA'!AE:AE,"Value is given by the source",'Bilateral Assistance, MAIN DATA'!B:B,'Data Transparency Index'!$B35)/COUNTIFS('Bilateral Assistance, MAIN DATA'!B:B,'Data Transparency Index'!$B35))</f>
        <v>1</v>
      </c>
      <c r="F35" s="316">
        <f>(SUMIFS('Bilateral Assistance, MAIN DATA'!AR:AR,'Bilateral Assistance, MAIN DATA'!B:B,'Data Transparency Index'!$B35)/COUNTIFS('Bilateral Assistance, MAIN DATA'!B:B,'Data Transparency Index'!$B35))</f>
        <v>0.36363636363636365</v>
      </c>
      <c r="G35" s="315">
        <f>1-(COUNTIFS('Bilateral Assistance, MAIN DATA'!M:M,"undisclosed",'Bilateral Assistance, MAIN DATA'!B:B,'Data Transparency Index'!$B35,'Bilateral Assistance, MAIN DATA'!AS:AS,1,'Bilateral Assistance, MAIN DATA'!B:B,'Data Transparency Index'!$B35)/COUNTIFS('Bilateral Assistance, MAIN DATA'!B:B,'Data Transparency Index'!$B35,'Bilateral Assistance, MAIN DATA'!AS:AS,1))</f>
        <v>0.33333333333333337</v>
      </c>
      <c r="H35" s="270">
        <f t="shared" si="0"/>
        <v>2.6969696969696972</v>
      </c>
      <c r="I35" s="173"/>
      <c r="J35" s="173"/>
      <c r="K35" s="173"/>
    </row>
    <row r="36" spans="2:11" ht="15.9" customHeight="1" x14ac:dyDescent="0.3">
      <c r="B36" s="24" t="s">
        <v>413</v>
      </c>
      <c r="C36" s="314">
        <v>0</v>
      </c>
      <c r="D36" s="183">
        <v>1</v>
      </c>
      <c r="E36" s="315">
        <f>(COUNTIFS('Bilateral Assistance, MAIN DATA'!AE:AE,"Value is given by the source",'Bilateral Assistance, MAIN DATA'!B:B,'Data Transparency Index'!$B36)/COUNTIFS('Bilateral Assistance, MAIN DATA'!B:B,'Data Transparency Index'!$B36))</f>
        <v>1</v>
      </c>
      <c r="F36" s="316">
        <f>(SUMIFS('Bilateral Assistance, MAIN DATA'!AR:AR,'Bilateral Assistance, MAIN DATA'!B:B,'Data Transparency Index'!$B36)/COUNTIFS('Bilateral Assistance, MAIN DATA'!B:B,'Data Transparency Index'!$B36))</f>
        <v>0.75</v>
      </c>
      <c r="G36" s="315">
        <f>1-(COUNTIFS('Bilateral Assistance, MAIN DATA'!M:M,"undisclosed",'Bilateral Assistance, MAIN DATA'!B:B,'Data Transparency Index'!$B36,'Bilateral Assistance, MAIN DATA'!AS:AS,1,'Bilateral Assistance, MAIN DATA'!B:B,'Data Transparency Index'!$B36)/COUNTIFS('Bilateral Assistance, MAIN DATA'!B:B,'Data Transparency Index'!$B36,'Bilateral Assistance, MAIN DATA'!AS:AS,1))</f>
        <v>0.4</v>
      </c>
      <c r="H36" s="270">
        <f t="shared" si="0"/>
        <v>3.15</v>
      </c>
      <c r="I36" s="173"/>
      <c r="J36" s="173"/>
      <c r="K36" s="173"/>
    </row>
    <row r="37" spans="2:11" ht="15.9" customHeight="1" x14ac:dyDescent="0.3">
      <c r="B37" s="24" t="s">
        <v>1730</v>
      </c>
      <c r="C37" s="317">
        <v>1</v>
      </c>
      <c r="D37" s="183">
        <v>0</v>
      </c>
      <c r="E37" s="315">
        <f>(COUNTIFS('Bilateral Assistance, MAIN DATA'!AE:AE,"Value is given by the source",'Bilateral Assistance, MAIN DATA'!B:B,'Data Transparency Index'!$B37)/COUNTIFS('Bilateral Assistance, MAIN DATA'!B:B,'Data Transparency Index'!$B37))</f>
        <v>0.23076923076923078</v>
      </c>
      <c r="F37" s="316">
        <f>(SUMIFS('Bilateral Assistance, MAIN DATA'!AR:AR,'Bilateral Assistance, MAIN DATA'!B:B,'Data Transparency Index'!$B37)/COUNTIFS('Bilateral Assistance, MAIN DATA'!B:B,'Data Transparency Index'!$B37))</f>
        <v>0.73076923076923073</v>
      </c>
      <c r="G37" s="315">
        <f>1-(COUNTIFS('Bilateral Assistance, MAIN DATA'!M:M,"undisclosed",'Bilateral Assistance, MAIN DATA'!B:B,'Data Transparency Index'!$B37,'Bilateral Assistance, MAIN DATA'!AS:AS,1,'Bilateral Assistance, MAIN DATA'!B:B,'Data Transparency Index'!$B37)/COUNTIFS('Bilateral Assistance, MAIN DATA'!B:B,'Data Transparency Index'!$B37,'Bilateral Assistance, MAIN DATA'!AS:AS,1))</f>
        <v>0.69230769230769229</v>
      </c>
      <c r="H37" s="270">
        <f t="shared" si="0"/>
        <v>2.6538461538461542</v>
      </c>
      <c r="I37" s="173"/>
      <c r="J37" s="173"/>
      <c r="K37" s="173"/>
    </row>
    <row r="38" spans="2:11" ht="15.9" customHeight="1" x14ac:dyDescent="0.3">
      <c r="B38" s="24" t="s">
        <v>664</v>
      </c>
      <c r="C38" s="317">
        <v>0</v>
      </c>
      <c r="D38" s="183">
        <v>0</v>
      </c>
      <c r="E38" s="315">
        <f>(COUNTIFS('Bilateral Assistance, MAIN DATA'!AE:AE,"Value is given by the source",'Bilateral Assistance, MAIN DATA'!B:B,'Data Transparency Index'!$B38)/COUNTIFS('Bilateral Assistance, MAIN DATA'!B:B,'Data Transparency Index'!$B38))</f>
        <v>1</v>
      </c>
      <c r="F38" s="316">
        <f>(SUMIFS('Bilateral Assistance, MAIN DATA'!AR:AR,'Bilateral Assistance, MAIN DATA'!B:B,'Data Transparency Index'!$B38)/COUNTIFS('Bilateral Assistance, MAIN DATA'!B:B,'Data Transparency Index'!$B38))</f>
        <v>0.83333333333333337</v>
      </c>
      <c r="G38" s="315">
        <f>1-(COUNTIFS('Bilateral Assistance, MAIN DATA'!M:M,"undisclosed",'Bilateral Assistance, MAIN DATA'!B:B,'Data Transparency Index'!$B38,'Bilateral Assistance, MAIN DATA'!AS:AS,1,'Bilateral Assistance, MAIN DATA'!B:B,'Data Transparency Index'!$B38)/COUNTIFS('Bilateral Assistance, MAIN DATA'!B:B,'Data Transparency Index'!$B38,'Bilateral Assistance, MAIN DATA'!AS:AS,1))</f>
        <v>0.5</v>
      </c>
      <c r="H38" s="270">
        <f t="shared" si="0"/>
        <v>2.3333333333333335</v>
      </c>
      <c r="I38" s="173"/>
      <c r="J38" s="173"/>
      <c r="K38" s="173"/>
    </row>
    <row r="39" spans="2:11" ht="15.9" customHeight="1" x14ac:dyDescent="0.3">
      <c r="B39" s="24" t="s">
        <v>1861</v>
      </c>
      <c r="C39" s="317">
        <v>0</v>
      </c>
      <c r="D39" s="183">
        <v>0</v>
      </c>
      <c r="E39" s="315">
        <f>(COUNTIFS('Bilateral Assistance, MAIN DATA'!AE:AE,"Value is given by the source",'Bilateral Assistance, MAIN DATA'!B:B,'Data Transparency Index'!$B39)/COUNTIFS('Bilateral Assistance, MAIN DATA'!B:B,'Data Transparency Index'!$B39))</f>
        <v>0.85</v>
      </c>
      <c r="F39" s="316">
        <f>(SUMIFS('Bilateral Assistance, MAIN DATA'!AR:AR,'Bilateral Assistance, MAIN DATA'!B:B,'Data Transparency Index'!$B39)/COUNTIFS('Bilateral Assistance, MAIN DATA'!B:B,'Data Transparency Index'!$B39))</f>
        <v>0.95</v>
      </c>
      <c r="G39" s="315">
        <f>1-(COUNTIFS('Bilateral Assistance, MAIN DATA'!M:M,"undisclosed",'Bilateral Assistance, MAIN DATA'!B:B,'Data Transparency Index'!$B39,'Bilateral Assistance, MAIN DATA'!AS:AS,1,'Bilateral Assistance, MAIN DATA'!B:B,'Data Transparency Index'!$B39)/COUNTIFS('Bilateral Assistance, MAIN DATA'!B:B,'Data Transparency Index'!$B39,'Bilateral Assistance, MAIN DATA'!AS:AS,1))</f>
        <v>0.4</v>
      </c>
      <c r="H39" s="270">
        <f t="shared" si="0"/>
        <v>2.1999999999999997</v>
      </c>
      <c r="I39" s="173"/>
      <c r="J39" s="173"/>
      <c r="K39" s="173"/>
    </row>
    <row r="40" spans="2:11" ht="15.9" customHeight="1" x14ac:dyDescent="0.3">
      <c r="B40" s="24" t="s">
        <v>480</v>
      </c>
      <c r="C40" s="317">
        <v>0</v>
      </c>
      <c r="D40" s="183">
        <v>0</v>
      </c>
      <c r="E40" s="315">
        <f>(COUNTIFS('Bilateral Assistance, MAIN DATA'!AE:AE,"Value is given by the source",'Bilateral Assistance, MAIN DATA'!B:B,'Data Transparency Index'!$B40)/COUNTIFS('Bilateral Assistance, MAIN DATA'!B:B,'Data Transparency Index'!$B40))</f>
        <v>0.7</v>
      </c>
      <c r="F40" s="316">
        <f>(SUMIFS('Bilateral Assistance, MAIN DATA'!AR:AR,'Bilateral Assistance, MAIN DATA'!B:B,'Data Transparency Index'!$B40)/COUNTIFS('Bilateral Assistance, MAIN DATA'!B:B,'Data Transparency Index'!$B40))</f>
        <v>0.6</v>
      </c>
      <c r="G40" s="315">
        <f>1-(COUNTIFS('Bilateral Assistance, MAIN DATA'!M:M,"undisclosed",'Bilateral Assistance, MAIN DATA'!B:B,'Data Transparency Index'!$B40,'Bilateral Assistance, MAIN DATA'!AS:AS,1,'Bilateral Assistance, MAIN DATA'!B:B,'Data Transparency Index'!$B40)/COUNTIFS('Bilateral Assistance, MAIN DATA'!B:B,'Data Transparency Index'!$B40,'Bilateral Assistance, MAIN DATA'!AS:AS,1))</f>
        <v>1</v>
      </c>
      <c r="H40" s="270">
        <f t="shared" si="0"/>
        <v>2.2999999999999998</v>
      </c>
      <c r="I40" s="173"/>
      <c r="J40" s="173"/>
      <c r="K40" s="173"/>
    </row>
    <row r="41" spans="2:11" ht="15.9" customHeight="1" x14ac:dyDescent="0.3">
      <c r="B41" s="24" t="s">
        <v>716</v>
      </c>
      <c r="C41" s="317">
        <v>0</v>
      </c>
      <c r="D41" s="183">
        <v>0</v>
      </c>
      <c r="E41" s="315">
        <f>(COUNTIFS('Bilateral Assistance, MAIN DATA'!AE:AE,"Value is given by the source",'Bilateral Assistance, MAIN DATA'!B:B,'Data Transparency Index'!$B41)/COUNTIFS('Bilateral Assistance, MAIN DATA'!B:B,'Data Transparency Index'!$B41))</f>
        <v>0.78431372549019607</v>
      </c>
      <c r="F41" s="316">
        <f>(SUMIFS('Bilateral Assistance, MAIN DATA'!AR:AR,'Bilateral Assistance, MAIN DATA'!B:B,'Data Transparency Index'!$B41)/COUNTIFS('Bilateral Assistance, MAIN DATA'!B:B,'Data Transparency Index'!$B41))</f>
        <v>0.45098039215686275</v>
      </c>
      <c r="G41" s="315">
        <f>1-(COUNTIFS('Bilateral Assistance, MAIN DATA'!M:M,"undisclosed",'Bilateral Assistance, MAIN DATA'!B:B,'Data Transparency Index'!$B41,'Bilateral Assistance, MAIN DATA'!AS:AS,1,'Bilateral Assistance, MAIN DATA'!B:B,'Data Transparency Index'!$B41)/COUNTIFS('Bilateral Assistance, MAIN DATA'!B:B,'Data Transparency Index'!$B41,'Bilateral Assistance, MAIN DATA'!AS:AS,1))</f>
        <v>0.97499999999999998</v>
      </c>
      <c r="H41" s="270">
        <f t="shared" si="0"/>
        <v>2.210294117647059</v>
      </c>
      <c r="I41" s="173"/>
      <c r="J41" s="173"/>
      <c r="K41" s="173"/>
    </row>
    <row r="42" spans="2:11" ht="15.9" customHeight="1" x14ac:dyDescent="0.3">
      <c r="B42" s="24" t="s">
        <v>2460</v>
      </c>
      <c r="C42" s="317">
        <v>0</v>
      </c>
      <c r="D42" s="183">
        <v>0</v>
      </c>
      <c r="E42" s="315">
        <f>(COUNTIFS('Bilateral Assistance, MAIN DATA'!AE:AE,"Value is given by the source",'Bilateral Assistance, MAIN DATA'!B:B,'Data Transparency Index'!$B42)/COUNTIFS('Bilateral Assistance, MAIN DATA'!B:B,'Data Transparency Index'!$B42))</f>
        <v>0.33333333333333331</v>
      </c>
      <c r="F42" s="316">
        <f>(SUMIFS('Bilateral Assistance, MAIN DATA'!AR:AR,'Bilateral Assistance, MAIN DATA'!B:B,'Data Transparency Index'!$B42)/COUNTIFS('Bilateral Assistance, MAIN DATA'!B:B,'Data Transparency Index'!$B42))</f>
        <v>0.77777777777777779</v>
      </c>
      <c r="G42" s="315">
        <f>1-(COUNTIFS('Bilateral Assistance, MAIN DATA'!M:M,"undisclosed",'Bilateral Assistance, MAIN DATA'!B:B,'Data Transparency Index'!$B42,'Bilateral Assistance, MAIN DATA'!AS:AS,1,'Bilateral Assistance, MAIN DATA'!B:B,'Data Transparency Index'!$B42)/COUNTIFS('Bilateral Assistance, MAIN DATA'!B:B,'Data Transparency Index'!$B42,'Bilateral Assistance, MAIN DATA'!AS:AS,1))</f>
        <v>0.5</v>
      </c>
      <c r="H42" s="270">
        <f t="shared" si="0"/>
        <v>1.6111111111111112</v>
      </c>
      <c r="I42" s="173"/>
      <c r="J42" s="173"/>
      <c r="K42" s="173"/>
    </row>
    <row r="43" spans="2:11" ht="15.9" customHeight="1" x14ac:dyDescent="0.3">
      <c r="B43" s="24" t="s">
        <v>2840</v>
      </c>
      <c r="C43" s="317">
        <v>0</v>
      </c>
      <c r="D43" s="183">
        <v>0</v>
      </c>
      <c r="E43" s="315">
        <f>(COUNTIFS('Bilateral Assistance, MAIN DATA'!AE:AE,"Value is given by the source",'Bilateral Assistance, MAIN DATA'!B:B,'Data Transparency Index'!$B43)/COUNTIFS('Bilateral Assistance, MAIN DATA'!B:B,'Data Transparency Index'!$B43))</f>
        <v>1</v>
      </c>
      <c r="F43" s="316">
        <f>(SUMIFS('Bilateral Assistance, MAIN DATA'!AR:AR,'Bilateral Assistance, MAIN DATA'!B:B,'Data Transparency Index'!$B43)/COUNTIFS('Bilateral Assistance, MAIN DATA'!B:B,'Data Transparency Index'!$B43))</f>
        <v>0.1111111111111111</v>
      </c>
      <c r="G43" s="315">
        <v>1</v>
      </c>
      <c r="H43" s="270">
        <f t="shared" si="0"/>
        <v>2.1111111111111112</v>
      </c>
      <c r="I43" s="173"/>
      <c r="J43" s="173"/>
      <c r="K43" s="173"/>
    </row>
    <row r="44" spans="2:11" ht="15.9" customHeight="1" x14ac:dyDescent="0.3">
      <c r="B44" s="24" t="s">
        <v>1131</v>
      </c>
      <c r="C44" s="317">
        <v>0</v>
      </c>
      <c r="D44" s="183">
        <v>0</v>
      </c>
      <c r="E44" s="315">
        <f>(COUNTIFS('Bilateral Assistance, MAIN DATA'!AE:AE,"Value is given by the source",'Bilateral Assistance, MAIN DATA'!B:B,'Data Transparency Index'!$B44)/COUNTIFS('Bilateral Assistance, MAIN DATA'!B:B,'Data Transparency Index'!$B44))</f>
        <v>0.44776119402985076</v>
      </c>
      <c r="F44" s="316">
        <f>(SUMIFS('Bilateral Assistance, MAIN DATA'!AR:AR,'Bilateral Assistance, MAIN DATA'!B:B,'Data Transparency Index'!$B44)/COUNTIFS('Bilateral Assistance, MAIN DATA'!B:B,'Data Transparency Index'!$B44))</f>
        <v>0.88059701492537312</v>
      </c>
      <c r="G44" s="315">
        <f>1-(COUNTIFS('Bilateral Assistance, MAIN DATA'!M:M,"undisclosed",'Bilateral Assistance, MAIN DATA'!B:B,'Data Transparency Index'!$B44,'Bilateral Assistance, MAIN DATA'!AS:AS,1,'Bilateral Assistance, MAIN DATA'!B:B,'Data Transparency Index'!$B44)/COUNTIFS('Bilateral Assistance, MAIN DATA'!B:B,'Data Transparency Index'!$B44,'Bilateral Assistance, MAIN DATA'!AS:AS,1))</f>
        <v>0.7857142857142857</v>
      </c>
      <c r="H44" s="270">
        <f t="shared" si="0"/>
        <v>2.1140724946695095</v>
      </c>
      <c r="I44" s="173"/>
      <c r="J44" s="173"/>
      <c r="K44" s="173"/>
    </row>
    <row r="45" spans="2:11" ht="15.9" customHeight="1" x14ac:dyDescent="0.3">
      <c r="B45" s="24" t="s">
        <v>2489</v>
      </c>
      <c r="C45" s="317">
        <v>0</v>
      </c>
      <c r="D45" s="183">
        <v>0</v>
      </c>
      <c r="E45" s="315">
        <f>(COUNTIFS('Bilateral Assistance, MAIN DATA'!AE:AE,"Value is given by the source",'Bilateral Assistance, MAIN DATA'!B:B,'Data Transparency Index'!$B45)/COUNTIFS('Bilateral Assistance, MAIN DATA'!B:B,'Data Transparency Index'!$B45))</f>
        <v>0.76190476190476186</v>
      </c>
      <c r="F45" s="316">
        <f>(SUMIFS('Bilateral Assistance, MAIN DATA'!AR:AR,'Bilateral Assistance, MAIN DATA'!B:B,'Data Transparency Index'!$B45)/COUNTIFS('Bilateral Assistance, MAIN DATA'!B:B,'Data Transparency Index'!$B45))</f>
        <v>0.5714285714285714</v>
      </c>
      <c r="G45" s="315">
        <f>1-(COUNTIFS('Bilateral Assistance, MAIN DATA'!M:M,"undisclosed",'Bilateral Assistance, MAIN DATA'!B:B,'Data Transparency Index'!$B45,'Bilateral Assistance, MAIN DATA'!AS:AS,1,'Bilateral Assistance, MAIN DATA'!B:B,'Data Transparency Index'!$B45)/COUNTIFS('Bilateral Assistance, MAIN DATA'!B:B,'Data Transparency Index'!$B45,'Bilateral Assistance, MAIN DATA'!AS:AS,1))</f>
        <v>0.66666666666666674</v>
      </c>
      <c r="H45" s="270">
        <f t="shared" si="0"/>
        <v>2</v>
      </c>
      <c r="I45" s="173"/>
      <c r="J45" s="173"/>
      <c r="K45" s="173"/>
    </row>
    <row r="46" spans="2:11" ht="15.9" customHeight="1" x14ac:dyDescent="0.3">
      <c r="B46" s="24" t="s">
        <v>656</v>
      </c>
      <c r="C46" s="317">
        <v>0</v>
      </c>
      <c r="D46" s="183">
        <v>0</v>
      </c>
      <c r="E46" s="315">
        <f>(COUNTIFS('Bilateral Assistance, MAIN DATA'!AE:AE,"Value is given by the source",'Bilateral Assistance, MAIN DATA'!B:B,'Data Transparency Index'!$B46)/COUNTIFS('Bilateral Assistance, MAIN DATA'!B:B,'Data Transparency Index'!$B46))</f>
        <v>1</v>
      </c>
      <c r="F46" s="316">
        <f>(SUMIFS('Bilateral Assistance, MAIN DATA'!AR:AR,'Bilateral Assistance, MAIN DATA'!B:B,'Data Transparency Index'!$B46)/COUNTIFS('Bilateral Assistance, MAIN DATA'!B:B,'Data Transparency Index'!$B46))</f>
        <v>0</v>
      </c>
      <c r="G46" s="315">
        <v>1</v>
      </c>
      <c r="H46" s="270">
        <f t="shared" si="0"/>
        <v>2</v>
      </c>
      <c r="I46" s="173"/>
      <c r="J46" s="173"/>
      <c r="K46" s="173"/>
    </row>
    <row r="47" spans="2:11" ht="15.9" customHeight="1" x14ac:dyDescent="0.3">
      <c r="B47" s="24" t="s">
        <v>1646</v>
      </c>
      <c r="C47" s="317">
        <v>0</v>
      </c>
      <c r="D47" s="183">
        <v>0</v>
      </c>
      <c r="E47" s="315">
        <f>(COUNTIFS('Bilateral Assistance, MAIN DATA'!AE:AE,"Value is given by the source",'Bilateral Assistance, MAIN DATA'!B:B,'Data Transparency Index'!$B47)/COUNTIFS('Bilateral Assistance, MAIN DATA'!B:B,'Data Transparency Index'!$B47))</f>
        <v>0.375</v>
      </c>
      <c r="F47" s="316">
        <f>(SUMIFS('Bilateral Assistance, MAIN DATA'!AR:AR,'Bilateral Assistance, MAIN DATA'!B:B,'Data Transparency Index'!$B47)/COUNTIFS('Bilateral Assistance, MAIN DATA'!B:B,'Data Transparency Index'!$B47))</f>
        <v>0.625</v>
      </c>
      <c r="G47" s="315">
        <v>1</v>
      </c>
      <c r="H47" s="270">
        <f t="shared" si="0"/>
        <v>2</v>
      </c>
      <c r="I47" s="173"/>
      <c r="J47" s="173"/>
      <c r="K47" s="173"/>
    </row>
    <row r="48" spans="2:11" ht="15.9" customHeight="1" x14ac:dyDescent="0.3">
      <c r="B48" s="24" t="s">
        <v>1687</v>
      </c>
      <c r="C48" s="317">
        <v>0</v>
      </c>
      <c r="D48" s="183">
        <v>0</v>
      </c>
      <c r="E48" s="315">
        <f>(COUNTIFS('Bilateral Assistance, MAIN DATA'!AE:AE,"Value is given by the source",'Bilateral Assistance, MAIN DATA'!B:B,'Data Transparency Index'!$B48)/COUNTIFS('Bilateral Assistance, MAIN DATA'!B:B,'Data Transparency Index'!$B48))</f>
        <v>0</v>
      </c>
      <c r="F48" s="316">
        <f>(SUMIFS('Bilateral Assistance, MAIN DATA'!AR:AR,'Bilateral Assistance, MAIN DATA'!B:B,'Data Transparency Index'!$B48)/COUNTIFS('Bilateral Assistance, MAIN DATA'!B:B,'Data Transparency Index'!$B48))</f>
        <v>1</v>
      </c>
      <c r="G48" s="315">
        <v>1</v>
      </c>
      <c r="H48" s="270">
        <f t="shared" si="0"/>
        <v>2</v>
      </c>
      <c r="I48" s="173"/>
      <c r="J48" s="173"/>
      <c r="K48" s="173"/>
    </row>
    <row r="49" spans="2:11" ht="15.9" customHeight="1" x14ac:dyDescent="0.3">
      <c r="B49" s="24" t="s">
        <v>2547</v>
      </c>
      <c r="C49" s="318">
        <v>0</v>
      </c>
      <c r="D49" s="183">
        <v>0</v>
      </c>
      <c r="E49" s="315">
        <f>(COUNTIFS('Bilateral Assistance, MAIN DATA'!AE:AE,"Value is given by the source",'Bilateral Assistance, MAIN DATA'!B:B,'Data Transparency Index'!$B49)/COUNTIFS('Bilateral Assistance, MAIN DATA'!B:B,'Data Transparency Index'!$B49))</f>
        <v>0.83333333333333337</v>
      </c>
      <c r="F49" s="316">
        <f>(SUMIFS('Bilateral Assistance, MAIN DATA'!AR:AR,'Bilateral Assistance, MAIN DATA'!B:B,'Data Transparency Index'!$B49)/COUNTIFS('Bilateral Assistance, MAIN DATA'!B:B,'Data Transparency Index'!$B49))</f>
        <v>0.58333333333333337</v>
      </c>
      <c r="G49" s="315">
        <f>1-(COUNTIFS('Bilateral Assistance, MAIN DATA'!M:M,"undisclosed",'Bilateral Assistance, MAIN DATA'!B:B,'Data Transparency Index'!$B49,'Bilateral Assistance, MAIN DATA'!AS:AS,1,'Bilateral Assistance, MAIN DATA'!B:B,'Data Transparency Index'!$B49)/COUNTIFS('Bilateral Assistance, MAIN DATA'!B:B,'Data Transparency Index'!$B49,'Bilateral Assistance, MAIN DATA'!AS:AS,1))</f>
        <v>0.4</v>
      </c>
      <c r="H49" s="270">
        <f t="shared" si="0"/>
        <v>1.8166666666666669</v>
      </c>
      <c r="I49" s="173"/>
      <c r="J49" s="173"/>
      <c r="K49" s="173"/>
    </row>
    <row r="50" spans="2:11" ht="15.9" customHeight="1" x14ac:dyDescent="0.3">
      <c r="B50" s="2" t="s">
        <v>2820</v>
      </c>
      <c r="C50" s="314">
        <v>0</v>
      </c>
      <c r="D50" s="183">
        <v>0</v>
      </c>
      <c r="E50" s="315">
        <f>(COUNTIFS('Bilateral Assistance, MAIN DATA'!AE:AE,"Value is given by the source",'Bilateral Assistance, MAIN DATA'!B:B,'Data Transparency Index'!$B50)/COUNTIFS('Bilateral Assistance, MAIN DATA'!B:B,'Data Transparency Index'!$B50))</f>
        <v>0</v>
      </c>
      <c r="F50" s="316">
        <f>(SUMIFS('Bilateral Assistance, MAIN DATA'!AR:AR,'Bilateral Assistance, MAIN DATA'!B:B,'Data Transparency Index'!$B50)/COUNTIFS('Bilateral Assistance, MAIN DATA'!B:B,'Data Transparency Index'!$B50))</f>
        <v>0.77777777777777779</v>
      </c>
      <c r="G50" s="315">
        <f>1-(COUNTIFS('Bilateral Assistance, MAIN DATA'!M:M,"undisclosed",'Bilateral Assistance, MAIN DATA'!B:B,'Data Transparency Index'!$B50,'Bilateral Assistance, MAIN DATA'!AS:AS,1,'Bilateral Assistance, MAIN DATA'!B:B,'Data Transparency Index'!$B50)/COUNTIFS('Bilateral Assistance, MAIN DATA'!B:B,'Data Transparency Index'!$B50,'Bilateral Assistance, MAIN DATA'!AS:AS,1))</f>
        <v>1</v>
      </c>
      <c r="H50" s="270">
        <f t="shared" si="0"/>
        <v>1.7777777777777777</v>
      </c>
      <c r="I50" s="173"/>
      <c r="J50" s="173"/>
      <c r="K50" s="173"/>
    </row>
    <row r="51" spans="2:11" ht="15.9" customHeight="1" x14ac:dyDescent="0.3">
      <c r="B51" s="24" t="s">
        <v>2303</v>
      </c>
      <c r="C51" s="317">
        <v>0</v>
      </c>
      <c r="D51" s="183">
        <v>0</v>
      </c>
      <c r="E51" s="315">
        <f>(COUNTIFS('Bilateral Assistance, MAIN DATA'!AE:AE,"Value is given by the source",'Bilateral Assistance, MAIN DATA'!B:B,'Data Transparency Index'!$B51)/COUNTIFS('Bilateral Assistance, MAIN DATA'!B:B,'Data Transparency Index'!$B51))</f>
        <v>0.65217391304347827</v>
      </c>
      <c r="F51" s="316">
        <f>(SUMIFS('Bilateral Assistance, MAIN DATA'!AR:AR,'Bilateral Assistance, MAIN DATA'!B:B,'Data Transparency Index'!$B51)/COUNTIFS('Bilateral Assistance, MAIN DATA'!B:B,'Data Transparency Index'!$B51))</f>
        <v>0.43478260869565216</v>
      </c>
      <c r="G51" s="315">
        <f>1-(COUNTIFS('Bilateral Assistance, MAIN DATA'!M:M,"undisclosed",'Bilateral Assistance, MAIN DATA'!B:B,'Data Transparency Index'!$B51,'Bilateral Assistance, MAIN DATA'!AS:AS,1,'Bilateral Assistance, MAIN DATA'!B:B,'Data Transparency Index'!$B51)/COUNTIFS('Bilateral Assistance, MAIN DATA'!B:B,'Data Transparency Index'!$B51,'Bilateral Assistance, MAIN DATA'!AS:AS,1))</f>
        <v>0.6875</v>
      </c>
      <c r="H51" s="270">
        <f t="shared" si="0"/>
        <v>1.7744565217391304</v>
      </c>
      <c r="I51" s="173"/>
      <c r="J51" s="173"/>
      <c r="K51" s="173"/>
    </row>
    <row r="52" spans="2:11" ht="15.9" customHeight="1" x14ac:dyDescent="0.3">
      <c r="B52" s="24" t="s">
        <v>1606</v>
      </c>
      <c r="C52" s="317">
        <v>0</v>
      </c>
      <c r="D52" s="183">
        <v>0</v>
      </c>
      <c r="E52" s="315">
        <f>(COUNTIFS('Bilateral Assistance, MAIN DATA'!AE:AE,"Value is given by the source",'Bilateral Assistance, MAIN DATA'!B:B,'Data Transparency Index'!$B52)/COUNTIFS('Bilateral Assistance, MAIN DATA'!B:B,'Data Transparency Index'!$B52))</f>
        <v>0</v>
      </c>
      <c r="F52" s="316">
        <f>(SUMIFS('Bilateral Assistance, MAIN DATA'!AR:AR,'Bilateral Assistance, MAIN DATA'!B:B,'Data Transparency Index'!$B52)/COUNTIFS('Bilateral Assistance, MAIN DATA'!B:B,'Data Transparency Index'!$B52))</f>
        <v>0.53333333333333333</v>
      </c>
      <c r="G52" s="315">
        <f>1-(COUNTIFS('Bilateral Assistance, MAIN DATA'!M:M,"undisclosed",'Bilateral Assistance, MAIN DATA'!B:B,'Data Transparency Index'!$B52,'Bilateral Assistance, MAIN DATA'!AS:AS,1,'Bilateral Assistance, MAIN DATA'!B:B,'Data Transparency Index'!$B52)/COUNTIFS('Bilateral Assistance, MAIN DATA'!B:B,'Data Transparency Index'!$B52,'Bilateral Assistance, MAIN DATA'!AS:AS,1))</f>
        <v>1</v>
      </c>
      <c r="H52" s="270">
        <f t="shared" si="0"/>
        <v>1.5333333333333332</v>
      </c>
      <c r="I52" s="173"/>
      <c r="J52" s="173"/>
      <c r="K52" s="173"/>
    </row>
    <row r="53" spans="2:11" ht="15.9" customHeight="1" x14ac:dyDescent="0.3">
      <c r="B53" s="24" t="s">
        <v>2615</v>
      </c>
      <c r="C53" s="317">
        <v>0</v>
      </c>
      <c r="D53" s="183">
        <v>0</v>
      </c>
      <c r="E53" s="315">
        <f>(COUNTIFS('Bilateral Assistance, MAIN DATA'!AE:AE,"Value is given by the source",'Bilateral Assistance, MAIN DATA'!B:B,'Data Transparency Index'!$B53)/COUNTIFS('Bilateral Assistance, MAIN DATA'!B:B,'Data Transparency Index'!$B53))</f>
        <v>0.19444444444444445</v>
      </c>
      <c r="F53" s="316">
        <f>(SUMIFS('Bilateral Assistance, MAIN DATA'!AR:AR,'Bilateral Assistance, MAIN DATA'!B:B,'Data Transparency Index'!$B53)/COUNTIFS('Bilateral Assistance, MAIN DATA'!B:B,'Data Transparency Index'!$B53))</f>
        <v>0.52777777777777779</v>
      </c>
      <c r="G53" s="315">
        <f>1-(COUNTIFS('Bilateral Assistance, MAIN DATA'!M:M,"undisclosed",'Bilateral Assistance, MAIN DATA'!B:B,'Data Transparency Index'!$B53,'Bilateral Assistance, MAIN DATA'!AS:AS,1,'Bilateral Assistance, MAIN DATA'!B:B,'Data Transparency Index'!$B53)/COUNTIFS('Bilateral Assistance, MAIN DATA'!B:B,'Data Transparency Index'!$B53,'Bilateral Assistance, MAIN DATA'!AS:AS,1))</f>
        <v>0.73076923076923084</v>
      </c>
      <c r="H53" s="270">
        <f t="shared" si="0"/>
        <v>1.4529914529914532</v>
      </c>
      <c r="I53" s="173"/>
      <c r="J53" s="173"/>
      <c r="K53" s="173"/>
    </row>
    <row r="54" spans="2:11" ht="15.9" customHeight="1" x14ac:dyDescent="0.3">
      <c r="B54" s="319" t="s">
        <v>2370</v>
      </c>
      <c r="C54" s="320">
        <v>0</v>
      </c>
      <c r="D54" s="321">
        <v>0</v>
      </c>
      <c r="E54" s="322">
        <f>(COUNTIFS('Bilateral Assistance, MAIN DATA'!AE:AE,"Value is given by the source",'Bilateral Assistance, MAIN DATA'!B:B,'Data Transparency Index'!$B54)/COUNTIFS('Bilateral Assistance, MAIN DATA'!B:B,'Data Transparency Index'!$B54))</f>
        <v>0.2</v>
      </c>
      <c r="F54" s="323">
        <f>(SUMIFS('Bilateral Assistance, MAIN DATA'!AR:AR,'Bilateral Assistance, MAIN DATA'!B:B,'Data Transparency Index'!$B54)/COUNTIFS('Bilateral Assistance, MAIN DATA'!B:B,'Data Transparency Index'!$B54))</f>
        <v>0.55000000000000004</v>
      </c>
      <c r="G54" s="322">
        <f>1-(COUNTIFS('Bilateral Assistance, MAIN DATA'!M:M,"undisclosed",'Bilateral Assistance, MAIN DATA'!B:B,'Data Transparency Index'!$B54,'Bilateral Assistance, MAIN DATA'!AS:AS,1,'Bilateral Assistance, MAIN DATA'!B:B,'Data Transparency Index'!$B54)/COUNTIFS('Bilateral Assistance, MAIN DATA'!B:B,'Data Transparency Index'!$B54,'Bilateral Assistance, MAIN DATA'!AS:AS,1))</f>
        <v>0.46153846153846156</v>
      </c>
      <c r="H54" s="272">
        <f t="shared" si="0"/>
        <v>1.2115384615384617</v>
      </c>
      <c r="I54" s="173"/>
      <c r="J54" s="173"/>
      <c r="K54" s="173"/>
    </row>
    <row r="55" spans="2:11" ht="15.9" customHeight="1" x14ac:dyDescent="0.3">
      <c r="C55" s="316"/>
      <c r="D55" s="270"/>
      <c r="E55" s="339"/>
      <c r="F55" s="316"/>
      <c r="G55" s="339"/>
      <c r="H55" s="623"/>
    </row>
    <row r="56" spans="2:11" ht="15.9" customHeight="1" x14ac:dyDescent="0.3">
      <c r="C56" s="624"/>
      <c r="D56" s="270"/>
      <c r="E56" s="339"/>
      <c r="F56" s="316"/>
      <c r="G56" s="339"/>
      <c r="H56" s="623"/>
    </row>
    <row r="57" spans="2:11" ht="15.9" customHeight="1" x14ac:dyDescent="0.35">
      <c r="B57" s="324" t="s">
        <v>3535</v>
      </c>
      <c r="C57" s="325">
        <f>SUM(C14:C54)/40</f>
        <v>0.52500000000000002</v>
      </c>
      <c r="D57" s="325">
        <f>SUM(D14:D54)/40</f>
        <v>0.375</v>
      </c>
      <c r="E57" s="325">
        <f>SUM(E14:E54)/41</f>
        <v>0.66191459042467826</v>
      </c>
      <c r="F57" s="325">
        <f>SUM(F14:F54)/41</f>
        <v>0.75222560823272377</v>
      </c>
      <c r="G57" s="325">
        <f>SUM(G14:G54)/41</f>
        <v>0.73973639342174902</v>
      </c>
      <c r="H57" s="325">
        <f>SUM(H14:H54)/41</f>
        <v>3.0319253725669566</v>
      </c>
      <c r="I57" s="388"/>
      <c r="J57" s="388"/>
      <c r="K57" s="388"/>
    </row>
    <row r="58" spans="2:11" s="389" customFormat="1" ht="15.9" customHeight="1" x14ac:dyDescent="0.3">
      <c r="B58" s="326" t="s">
        <v>3774</v>
      </c>
      <c r="C58" s="327">
        <f>COUNTIF(C14:C54,0)</f>
        <v>20</v>
      </c>
      <c r="D58" s="327">
        <f>COUNTIF(D14:D54,0)</f>
        <v>26</v>
      </c>
      <c r="E58" s="327">
        <f>COUNTIF(E14:E54,1)</f>
        <v>10</v>
      </c>
      <c r="F58" s="327">
        <f>COUNTIF(F14:F54,1)</f>
        <v>8</v>
      </c>
      <c r="G58" s="327">
        <f>COUNTIF(G14:G54,1)</f>
        <v>15</v>
      </c>
      <c r="H58" s="327">
        <f>COUNTIF(H14:H54,5)</f>
        <v>1</v>
      </c>
      <c r="I58" s="390"/>
      <c r="J58" s="390"/>
      <c r="K58" s="390"/>
    </row>
    <row r="59" spans="2:11" ht="15.9" customHeight="1" x14ac:dyDescent="0.3">
      <c r="B59" s="619" t="s">
        <v>3775</v>
      </c>
      <c r="C59" s="328">
        <f>C58/40</f>
        <v>0.5</v>
      </c>
      <c r="D59" s="328">
        <f>D58/40</f>
        <v>0.65</v>
      </c>
      <c r="E59" s="328">
        <f>E58/41</f>
        <v>0.24390243902439024</v>
      </c>
      <c r="F59" s="328">
        <f>F58/41</f>
        <v>0.1951219512195122</v>
      </c>
      <c r="G59" s="328">
        <f>G58/41</f>
        <v>0.36585365853658536</v>
      </c>
      <c r="H59" s="328">
        <f>H58/41</f>
        <v>2.4390243902439025E-2</v>
      </c>
      <c r="I59" s="129"/>
      <c r="J59" s="129"/>
      <c r="K59" s="129"/>
    </row>
  </sheetData>
  <sortState ref="B13:H54">
    <sortCondition descending="1" ref="H13:H54"/>
  </sortState>
  <mergeCells count="1">
    <mergeCell ref="B4:G9"/>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5" tint="0.59999389629810485"/>
  </sheetPr>
  <dimension ref="B1:H56"/>
  <sheetViews>
    <sheetView showGridLines="0" zoomScaleNormal="100" workbookViewId="0"/>
  </sheetViews>
  <sheetFormatPr baseColWidth="10" defaultColWidth="8.59765625" defaultRowHeight="15.9" customHeight="1" x14ac:dyDescent="0.3"/>
  <cols>
    <col min="1" max="1" width="8.59765625" style="13" customWidth="1"/>
    <col min="2" max="2" width="25.5" style="13" customWidth="1"/>
    <col min="3" max="3" width="40" style="95" customWidth="1"/>
    <col min="4" max="4" width="32.5" style="34" customWidth="1"/>
    <col min="5" max="5" width="27" style="34" bestFit="1" customWidth="1"/>
    <col min="6" max="6" width="8.59765625" style="13" customWidth="1"/>
    <col min="7" max="16384" width="8.59765625" style="13"/>
  </cols>
  <sheetData>
    <row r="1" spans="2:8" s="35" customFormat="1" ht="15.9" customHeight="1" x14ac:dyDescent="0.3">
      <c r="B1" s="39"/>
      <c r="C1" s="148"/>
      <c r="D1" s="148"/>
      <c r="E1" s="148"/>
    </row>
    <row r="2" spans="2:8" s="39" customFormat="1" ht="24.75" customHeight="1" x14ac:dyDescent="0.35">
      <c r="B2" s="415" t="s">
        <v>3810</v>
      </c>
    </row>
    <row r="3" spans="2:8" s="116" customFormat="1" ht="15.9" customHeight="1" x14ac:dyDescent="0.25"/>
    <row r="4" spans="2:8" s="116" customFormat="1" ht="15.9" customHeight="1" x14ac:dyDescent="0.25">
      <c r="B4" s="1181" t="s">
        <v>3811</v>
      </c>
      <c r="C4" s="1181"/>
      <c r="D4" s="1181"/>
      <c r="E4" s="1181"/>
      <c r="F4" s="1181"/>
      <c r="G4" s="1181"/>
    </row>
    <row r="5" spans="2:8" s="116" customFormat="1" ht="15.9" customHeight="1" x14ac:dyDescent="0.25">
      <c r="B5" s="1181"/>
      <c r="C5" s="1181"/>
      <c r="D5" s="1181"/>
      <c r="E5" s="1181"/>
      <c r="F5" s="1181"/>
      <c r="G5" s="1181"/>
    </row>
    <row r="6" spans="2:8" s="116" customFormat="1" ht="15.9" customHeight="1" x14ac:dyDescent="0.25">
      <c r="B6" s="1181"/>
      <c r="C6" s="1181"/>
      <c r="D6" s="1181"/>
      <c r="E6" s="1181"/>
      <c r="F6" s="1181"/>
      <c r="G6" s="1181"/>
    </row>
    <row r="7" spans="2:8" s="116" customFormat="1" ht="15.9" customHeight="1" x14ac:dyDescent="0.25">
      <c r="B7" s="1181"/>
      <c r="C7" s="1181"/>
      <c r="D7" s="1181"/>
      <c r="E7" s="1181"/>
      <c r="F7" s="1181"/>
      <c r="G7" s="1181"/>
    </row>
    <row r="8" spans="2:8" s="116" customFormat="1" ht="15.9" customHeight="1" x14ac:dyDescent="0.25">
      <c r="B8" s="1181"/>
      <c r="C8" s="1181"/>
      <c r="D8" s="1181"/>
      <c r="E8" s="1181"/>
      <c r="F8" s="1181"/>
      <c r="G8" s="1181"/>
    </row>
    <row r="9" spans="2:8" s="116" customFormat="1" ht="15.9" customHeight="1" x14ac:dyDescent="0.25">
      <c r="B9" s="1181"/>
      <c r="C9" s="1181"/>
      <c r="D9" s="1181"/>
      <c r="E9" s="1181"/>
      <c r="F9" s="1181"/>
      <c r="G9" s="1181"/>
    </row>
    <row r="10" spans="2:8" ht="15.9" customHeight="1" x14ac:dyDescent="0.3">
      <c r="B10" s="24"/>
      <c r="C10" s="24"/>
      <c r="D10" s="96"/>
      <c r="E10" s="22"/>
      <c r="F10" s="24"/>
      <c r="G10" s="24"/>
      <c r="H10" s="24"/>
    </row>
    <row r="11" spans="2:8" ht="15.9" customHeight="1" x14ac:dyDescent="0.3">
      <c r="B11" s="82" t="s">
        <v>3812</v>
      </c>
      <c r="C11" s="97" t="s">
        <v>3813</v>
      </c>
      <c r="E11" s="84"/>
      <c r="F11" s="24"/>
      <c r="G11" s="24"/>
      <c r="H11" s="24"/>
    </row>
    <row r="12" spans="2:8" ht="15.9" customHeight="1" x14ac:dyDescent="0.3">
      <c r="B12" s="24"/>
      <c r="C12" s="82"/>
      <c r="D12" s="90"/>
      <c r="E12" s="84"/>
      <c r="F12" s="98"/>
      <c r="G12" s="98"/>
      <c r="H12" s="98"/>
    </row>
    <row r="13" spans="2:8" ht="24.75" customHeight="1" x14ac:dyDescent="0.3">
      <c r="B13" s="413" t="s">
        <v>3499</v>
      </c>
      <c r="C13" s="500" t="s">
        <v>3814</v>
      </c>
      <c r="D13" s="501" t="s">
        <v>3815</v>
      </c>
      <c r="E13" s="500" t="s">
        <v>3816</v>
      </c>
      <c r="F13" s="98"/>
      <c r="G13" s="98"/>
      <c r="H13" s="98"/>
    </row>
    <row r="14" spans="2:8" ht="15.9" customHeight="1" x14ac:dyDescent="0.3">
      <c r="B14" s="86" t="s">
        <v>344</v>
      </c>
      <c r="C14" s="614">
        <v>4097.3999999999996</v>
      </c>
      <c r="D14" s="611">
        <f t="shared" ref="D14:D53" si="0">C14/$C$41</f>
        <v>2.9301614113174564E-2</v>
      </c>
      <c r="E14" s="613">
        <f>D14*VLOOKUP("EU (Commission and Council)",'Country Summary'!B:G,6,0)</f>
        <v>0.87670429426618302</v>
      </c>
      <c r="F14" s="98"/>
      <c r="G14" s="98"/>
      <c r="H14" s="98"/>
    </row>
    <row r="15" spans="2:8" ht="15.9" customHeight="1" x14ac:dyDescent="0.3">
      <c r="B15" s="86" t="s">
        <v>413</v>
      </c>
      <c r="C15" s="614">
        <v>4881</v>
      </c>
      <c r="D15" s="611">
        <f t="shared" si="0"/>
        <v>3.4905349364573894E-2</v>
      </c>
      <c r="E15" s="613">
        <f>D15*VLOOKUP("EU (Commission and Council)",'Country Summary'!B:G,6,0)</f>
        <v>1.044368052988051</v>
      </c>
      <c r="F15" s="98"/>
      <c r="G15" s="98"/>
      <c r="H15" s="98"/>
    </row>
    <row r="16" spans="2:8" s="3" customFormat="1" ht="15.9" customHeight="1" x14ac:dyDescent="0.3">
      <c r="B16" s="86" t="s">
        <v>480</v>
      </c>
      <c r="C16" s="614">
        <v>877.4</v>
      </c>
      <c r="D16" s="611">
        <f t="shared" si="0"/>
        <v>6.2745243869037348E-3</v>
      </c>
      <c r="E16" s="613">
        <f>D16*VLOOKUP("EU (Commission and Council)",'Country Summary'!B:G,6,0)</f>
        <v>0.18773376965615976</v>
      </c>
      <c r="F16" s="100"/>
      <c r="G16" s="100"/>
      <c r="H16" s="100"/>
    </row>
    <row r="17" spans="2:8" ht="15.9" customHeight="1" x14ac:dyDescent="0.3">
      <c r="B17" s="86" t="s">
        <v>664</v>
      </c>
      <c r="C17" s="614">
        <v>585.79999999999995</v>
      </c>
      <c r="D17" s="611">
        <f t="shared" si="0"/>
        <v>4.1892140253569727E-3</v>
      </c>
      <c r="E17" s="613">
        <f>D17*VLOOKUP("EU (Commission and Council)",'Country Summary'!B:G,6,0)</f>
        <v>0.12534128363868063</v>
      </c>
      <c r="F17" s="24"/>
      <c r="G17" s="24"/>
      <c r="H17" s="24"/>
    </row>
    <row r="18" spans="2:8" ht="15.9" customHeight="1" x14ac:dyDescent="0.3">
      <c r="B18" s="86" t="s">
        <v>696</v>
      </c>
      <c r="C18" s="614">
        <v>219.3</v>
      </c>
      <c r="D18" s="611">
        <f t="shared" si="0"/>
        <v>1.5682735332208677E-3</v>
      </c>
      <c r="E18" s="613">
        <f>D18*VLOOKUP("EU (Commission and Council)",'Country Summary'!B:G,6,0)</f>
        <v>4.6922744113968365E-2</v>
      </c>
      <c r="F18" s="24"/>
      <c r="G18" s="24"/>
      <c r="H18" s="24"/>
    </row>
    <row r="19" spans="2:8" ht="15.9" customHeight="1" x14ac:dyDescent="0.3">
      <c r="B19" s="86" t="s">
        <v>716</v>
      </c>
      <c r="C19" s="614">
        <v>2052.3000000000002</v>
      </c>
      <c r="D19" s="611">
        <f t="shared" si="0"/>
        <v>1.467655162895206E-2</v>
      </c>
      <c r="E19" s="613">
        <f>D19*VLOOKUP("EU (Commission and Council)",'Country Summary'!B:G,6,0)</f>
        <v>0.43912242473824564</v>
      </c>
      <c r="F19" s="24"/>
      <c r="G19" s="24"/>
      <c r="H19" s="24"/>
    </row>
    <row r="20" spans="2:8" ht="15.9" customHeight="1" x14ac:dyDescent="0.3">
      <c r="B20" s="86" t="s">
        <v>856</v>
      </c>
      <c r="C20" s="614">
        <v>3550.1</v>
      </c>
      <c r="D20" s="611">
        <f t="shared" si="0"/>
        <v>2.5387723986718656E-2</v>
      </c>
      <c r="E20" s="613">
        <f>D20*VLOOKUP("EU (Commission and Council)",'Country Summary'!B:G,6,0)</f>
        <v>0.75960070168262217</v>
      </c>
      <c r="F20" s="24"/>
      <c r="G20" s="24"/>
      <c r="H20" s="24"/>
    </row>
    <row r="21" spans="2:8" ht="15.9" customHeight="1" x14ac:dyDescent="0.3">
      <c r="B21" s="86" t="s">
        <v>937</v>
      </c>
      <c r="C21" s="614">
        <v>278.3</v>
      </c>
      <c r="D21" s="611">
        <f t="shared" si="0"/>
        <v>1.9901984691991221E-3</v>
      </c>
      <c r="E21" s="613">
        <f>D21*VLOOKUP("EU (Commission and Council)",'Country Summary'!B:G,6,0)</f>
        <v>5.954673819843774E-2</v>
      </c>
      <c r="F21" s="24"/>
      <c r="G21" s="24"/>
      <c r="H21" s="24"/>
    </row>
    <row r="22" spans="2:8" ht="15.9" customHeight="1" x14ac:dyDescent="0.3">
      <c r="B22" s="86" t="s">
        <v>1025</v>
      </c>
      <c r="C22" s="614">
        <v>2380.1999999999998</v>
      </c>
      <c r="D22" s="611">
        <f t="shared" si="0"/>
        <v>1.7021453095176966E-2</v>
      </c>
      <c r="E22" s="613">
        <f>D22*VLOOKUP("EU (Commission and Council)",'Country Summary'!B:G,6,0)</f>
        <v>0.50928187660769486</v>
      </c>
      <c r="F22" s="24"/>
      <c r="G22" s="24"/>
      <c r="H22" s="24"/>
    </row>
    <row r="23" spans="2:8" ht="15.9" customHeight="1" x14ac:dyDescent="0.3">
      <c r="B23" s="86" t="s">
        <v>1131</v>
      </c>
      <c r="C23" s="614">
        <v>23689.4</v>
      </c>
      <c r="D23" s="611">
        <f t="shared" si="0"/>
        <v>0.16940929793836032</v>
      </c>
      <c r="E23" s="613">
        <f>D23*VLOOKUP("EU (Commission and Council)",'Country Summary'!B:G,6,0)</f>
        <v>5.0687261943157411</v>
      </c>
      <c r="F23" s="24"/>
      <c r="G23" s="24"/>
      <c r="H23" s="24"/>
    </row>
    <row r="24" spans="2:8" ht="15.9" customHeight="1" x14ac:dyDescent="0.3">
      <c r="B24" s="86" t="s">
        <v>1288</v>
      </c>
      <c r="C24" s="614">
        <v>28064.3</v>
      </c>
      <c r="D24" s="611">
        <f t="shared" si="0"/>
        <v>0.20069538950465293</v>
      </c>
      <c r="E24" s="613">
        <f>D24*VLOOKUP("EU (Commission and Council)",'Country Summary'!B:G,6,0)</f>
        <v>6.0048060539792161</v>
      </c>
      <c r="F24" s="24"/>
      <c r="G24" s="24"/>
      <c r="H24" s="24"/>
    </row>
    <row r="25" spans="2:8" ht="15.9" customHeight="1" x14ac:dyDescent="0.3">
      <c r="B25" s="86" t="s">
        <v>1606</v>
      </c>
      <c r="C25" s="614">
        <v>2009.2</v>
      </c>
      <c r="D25" s="611">
        <f t="shared" si="0"/>
        <v>1.4368331887584893E-2</v>
      </c>
      <c r="E25" s="613">
        <f>D25*VLOOKUP("EU (Commission and Council)",'Country Summary'!B:G,6,0)</f>
        <v>0.42990049007654002</v>
      </c>
      <c r="F25" s="24"/>
      <c r="G25" s="24"/>
      <c r="H25" s="24"/>
    </row>
    <row r="26" spans="2:8" ht="15.9" customHeight="1" x14ac:dyDescent="0.3">
      <c r="B26" s="86" t="s">
        <v>1646</v>
      </c>
      <c r="C26" s="614">
        <v>1654.5</v>
      </c>
      <c r="D26" s="611">
        <f t="shared" si="0"/>
        <v>1.1831776382644437E-2</v>
      </c>
      <c r="E26" s="613">
        <f>D26*VLOOKUP("EU (Commission and Council)",'Country Summary'!B:G,6,0)</f>
        <v>0.35400674936872156</v>
      </c>
      <c r="F26" s="24"/>
      <c r="G26" s="24"/>
      <c r="H26" s="24"/>
    </row>
    <row r="27" spans="2:8" ht="15.9" customHeight="1" x14ac:dyDescent="0.3">
      <c r="B27" s="86" t="s">
        <v>1701</v>
      </c>
      <c r="C27" s="614">
        <v>2819.5</v>
      </c>
      <c r="D27" s="611">
        <f t="shared" si="0"/>
        <v>2.016300605068963E-2</v>
      </c>
      <c r="E27" s="613">
        <f>D27*VLOOKUP("EU (Commission and Council)",'Country Summary'!B:G,6,0)</f>
        <v>0.60327714103663377</v>
      </c>
      <c r="F27" s="24"/>
      <c r="G27" s="24"/>
      <c r="H27" s="24"/>
    </row>
    <row r="28" spans="2:8" ht="15.9" customHeight="1" x14ac:dyDescent="0.3">
      <c r="B28" s="86" t="s">
        <v>1730</v>
      </c>
      <c r="C28" s="614">
        <v>17075.400000000001</v>
      </c>
      <c r="D28" s="611">
        <f t="shared" si="0"/>
        <v>0.12211079748818789</v>
      </c>
      <c r="E28" s="613">
        <f>D28*VLOOKUP("EU (Commission and Council)",'Country Summary'!B:G,6,0)</f>
        <v>3.6535550608465819</v>
      </c>
      <c r="F28" s="24"/>
      <c r="G28" s="24"/>
      <c r="H28" s="24"/>
    </row>
    <row r="29" spans="2:8" ht="15.9" customHeight="1" x14ac:dyDescent="0.3">
      <c r="B29" s="86" t="s">
        <v>1861</v>
      </c>
      <c r="C29" s="614">
        <v>285.10000000000002</v>
      </c>
      <c r="D29" s="611">
        <f t="shared" si="0"/>
        <v>2.0388271058881411E-3</v>
      </c>
      <c r="E29" s="613">
        <f>D29*VLOOKUP("EU (Commission and Council)",'Country Summary'!B:G,6,0)</f>
        <v>6.1001707008173187E-2</v>
      </c>
      <c r="F29" s="24"/>
      <c r="G29" s="24"/>
      <c r="H29" s="24"/>
    </row>
    <row r="30" spans="2:8" ht="15.9" customHeight="1" x14ac:dyDescent="0.3">
      <c r="B30" s="86" t="s">
        <v>1919</v>
      </c>
      <c r="C30" s="614">
        <v>456.5</v>
      </c>
      <c r="D30" s="611">
        <f t="shared" si="0"/>
        <v>3.2645548012554767E-3</v>
      </c>
      <c r="E30" s="613">
        <f>D30*VLOOKUP("EU (Commission and Council)",'Country Summary'!B:G,6,0)</f>
        <v>9.7675479653563865E-2</v>
      </c>
      <c r="F30" s="24"/>
      <c r="G30" s="24"/>
      <c r="H30" s="24"/>
    </row>
    <row r="31" spans="2:8" ht="15.9" customHeight="1" x14ac:dyDescent="0.3">
      <c r="B31" s="86" t="s">
        <v>2024</v>
      </c>
      <c r="C31" s="614">
        <v>447.5</v>
      </c>
      <c r="D31" s="611">
        <f t="shared" si="0"/>
        <v>3.2001933703435393E-3</v>
      </c>
      <c r="E31" s="613">
        <f>D31*VLOOKUP("EU (Commission and Council)",'Country Summary'!B:G,6,0)</f>
        <v>9.5749785640678695E-2</v>
      </c>
      <c r="F31" s="24"/>
      <c r="G31" s="24"/>
      <c r="H31" s="24"/>
    </row>
    <row r="32" spans="2:8" ht="15.9" customHeight="1" x14ac:dyDescent="0.3">
      <c r="B32" s="86" t="s">
        <v>2066</v>
      </c>
      <c r="C32" s="614">
        <v>116.5</v>
      </c>
      <c r="D32" s="611">
        <f t="shared" si="0"/>
        <v>8.331229668045192E-4</v>
      </c>
      <c r="E32" s="613">
        <f>D32*VLOOKUP("EU (Commission and Council)",'Country Summary'!B:G,6,0)</f>
        <v>2.4927039166791214E-2</v>
      </c>
      <c r="F32" s="24"/>
      <c r="G32" s="24"/>
      <c r="H32" s="24"/>
    </row>
    <row r="33" spans="2:8" ht="15.9" customHeight="1" x14ac:dyDescent="0.3">
      <c r="B33" s="86" t="s">
        <v>2076</v>
      </c>
      <c r="C33" s="614">
        <v>11040.3</v>
      </c>
      <c r="D33" s="611">
        <f t="shared" si="0"/>
        <v>7.8952167299673248E-2</v>
      </c>
      <c r="E33" s="613">
        <f>D33*VLOOKUP("EU (Commission and Council)",'Country Summary'!B:G,6,0)</f>
        <v>2.3622488456062238</v>
      </c>
      <c r="F33" s="24"/>
      <c r="G33" s="24"/>
      <c r="H33" s="24"/>
    </row>
    <row r="34" spans="2:8" ht="15.9" customHeight="1" x14ac:dyDescent="0.3">
      <c r="B34" s="86" t="s">
        <v>2303</v>
      </c>
      <c r="C34" s="614">
        <v>5845.8</v>
      </c>
      <c r="D34" s="611">
        <f t="shared" si="0"/>
        <v>4.1804894758333551E-2</v>
      </c>
      <c r="E34" s="613">
        <f>D34*VLOOKUP("EU (Commission and Council)",'Country Summary'!B:G,6,0)</f>
        <v>1.2508024511693399</v>
      </c>
      <c r="F34" s="24"/>
      <c r="G34" s="24"/>
      <c r="H34" s="24"/>
    </row>
    <row r="35" spans="2:8" ht="15.9" customHeight="1" x14ac:dyDescent="0.3">
      <c r="B35" s="86" t="s">
        <v>2370</v>
      </c>
      <c r="C35" s="614">
        <v>2024.1</v>
      </c>
      <c r="D35" s="611">
        <f t="shared" si="0"/>
        <v>1.4474885812094655E-2</v>
      </c>
      <c r="E35" s="613">
        <f>D35*VLOOKUP("EU (Commission and Council)",'Country Summary'!B:G,6,0)</f>
        <v>0.4330885834978721</v>
      </c>
      <c r="F35" s="24"/>
      <c r="G35" s="24"/>
      <c r="H35" s="24"/>
    </row>
    <row r="36" spans="2:8" ht="15.9" customHeight="1" x14ac:dyDescent="0.3">
      <c r="B36" s="86" t="s">
        <v>2460</v>
      </c>
      <c r="C36" s="614">
        <v>2318.3000000000002</v>
      </c>
      <c r="D36" s="611">
        <f t="shared" si="0"/>
        <v>1.6578789475904868E-2</v>
      </c>
      <c r="E36" s="613">
        <f>D36*VLOOKUP("EU (Commission and Council)",'Country Summary'!B:G,6,0)</f>
        <v>0.49603738111907369</v>
      </c>
      <c r="F36" s="24"/>
      <c r="G36" s="24"/>
      <c r="H36" s="24"/>
    </row>
    <row r="37" spans="2:8" ht="15.9" customHeight="1" x14ac:dyDescent="0.3">
      <c r="B37" s="86" t="s">
        <v>2489</v>
      </c>
      <c r="C37" s="614">
        <v>1298.5</v>
      </c>
      <c r="D37" s="611">
        <f t="shared" si="0"/>
        <v>9.2859242265722584E-3</v>
      </c>
      <c r="E37" s="613">
        <f>D37*VLOOKUP("EU (Commission and Council)",'Country Summary'!B:G,6,0)</f>
        <v>0.27783485285904197</v>
      </c>
      <c r="F37" s="24"/>
      <c r="G37" s="24"/>
      <c r="H37" s="24"/>
    </row>
    <row r="38" spans="2:8" ht="15.9" customHeight="1" x14ac:dyDescent="0.3">
      <c r="B38" s="86" t="s">
        <v>2547</v>
      </c>
      <c r="C38" s="614">
        <v>503.2</v>
      </c>
      <c r="D38" s="611">
        <f t="shared" si="0"/>
        <v>3.5985191149874168E-3</v>
      </c>
      <c r="E38" s="613">
        <f>D38*VLOOKUP("EU (Commission and Council)",'Country Summary'!B:G,6,0)</f>
        <v>0.10766769192042351</v>
      </c>
      <c r="F38" s="24"/>
      <c r="G38" s="24"/>
      <c r="H38" s="24"/>
    </row>
    <row r="39" spans="2:8" ht="15.9" customHeight="1" x14ac:dyDescent="0.3">
      <c r="B39" s="86" t="s">
        <v>2615</v>
      </c>
      <c r="C39" s="614">
        <v>16597.599999999999</v>
      </c>
      <c r="D39" s="611">
        <f t="shared" si="0"/>
        <v>0.11869392063377414</v>
      </c>
      <c r="E39" s="613">
        <f>D39*VLOOKUP("EU (Commission and Council)",'Country Summary'!B:G,6,0)</f>
        <v>3.5513221053625226</v>
      </c>
      <c r="F39" s="24"/>
      <c r="G39" s="24"/>
      <c r="H39" s="24"/>
    </row>
    <row r="40" spans="2:8" ht="15.9" customHeight="1" x14ac:dyDescent="0.3">
      <c r="B40" s="86" t="s">
        <v>2715</v>
      </c>
      <c r="C40" s="614">
        <v>4667.8</v>
      </c>
      <c r="D40" s="611">
        <f t="shared" si="0"/>
        <v>3.3380698578971114E-2</v>
      </c>
      <c r="E40" s="613">
        <f>D40*VLOOKUP("EU (Commission and Council)",'Country Summary'!B:G,6,0)</f>
        <v>0.99875050148281586</v>
      </c>
      <c r="F40" s="24"/>
      <c r="G40" s="24"/>
      <c r="H40" s="24"/>
    </row>
    <row r="41" spans="2:8" ht="15.9" customHeight="1" x14ac:dyDescent="0.3">
      <c r="B41" s="87" t="s">
        <v>3817</v>
      </c>
      <c r="C41" s="615">
        <f>SUM(C14:C40)</f>
        <v>139835.30000000002</v>
      </c>
      <c r="D41" s="612">
        <f t="shared" si="0"/>
        <v>1</v>
      </c>
      <c r="E41" s="728">
        <f>D41*VLOOKUP("EU (Commission and Council)",'Country Summary'!B:G,6,0)</f>
        <v>29.92</v>
      </c>
      <c r="F41" s="24"/>
      <c r="G41" s="24"/>
      <c r="H41" s="24"/>
    </row>
    <row r="42" spans="2:8" ht="15.9" customHeight="1" x14ac:dyDescent="0.3">
      <c r="B42" s="82" t="s">
        <v>3038</v>
      </c>
      <c r="C42" s="609">
        <v>0</v>
      </c>
      <c r="D42" s="611">
        <f t="shared" si="0"/>
        <v>0</v>
      </c>
      <c r="E42" s="613">
        <f>D42*VLOOKUP("EU (Commission and Council)",'Country Summary'!B:G,6,0)</f>
        <v>0</v>
      </c>
      <c r="F42" s="24"/>
      <c r="G42" s="24"/>
      <c r="H42" s="24"/>
    </row>
    <row r="43" spans="2:8" ht="15.9" customHeight="1" x14ac:dyDescent="0.3">
      <c r="B43" s="82" t="s">
        <v>517</v>
      </c>
      <c r="C43" s="610">
        <v>0</v>
      </c>
      <c r="D43" s="611">
        <f t="shared" si="0"/>
        <v>0</v>
      </c>
      <c r="E43" s="613">
        <f>D43*VLOOKUP("EU (Commission and Council)",'Country Summary'!B:G,6,0)</f>
        <v>0</v>
      </c>
      <c r="F43" s="24"/>
      <c r="G43" s="24"/>
      <c r="H43" s="24"/>
    </row>
    <row r="44" spans="2:8" ht="15.9" customHeight="1" x14ac:dyDescent="0.3">
      <c r="B44" s="82" t="s">
        <v>2864</v>
      </c>
      <c r="C44" s="610">
        <v>0</v>
      </c>
      <c r="D44" s="611">
        <f t="shared" si="0"/>
        <v>0</v>
      </c>
      <c r="E44" s="613">
        <f>D44*VLOOKUP("EU (Commission and Council)",'Country Summary'!B:G,6,0)</f>
        <v>0</v>
      </c>
      <c r="F44" s="24"/>
      <c r="G44" s="24"/>
      <c r="H44" s="24"/>
    </row>
    <row r="45" spans="2:8" ht="15.9" customHeight="1" x14ac:dyDescent="0.3">
      <c r="B45" s="82" t="s">
        <v>1804</v>
      </c>
      <c r="C45" s="610">
        <v>0</v>
      </c>
      <c r="D45" s="611">
        <f t="shared" si="0"/>
        <v>0</v>
      </c>
      <c r="E45" s="613">
        <f>D45*VLOOKUP("EU (Commission and Council)",'Country Summary'!B:G,6,0)</f>
        <v>0</v>
      </c>
      <c r="F45" s="24"/>
      <c r="G45" s="24"/>
      <c r="H45" s="24"/>
    </row>
    <row r="46" spans="2:8" ht="15.9" customHeight="1" x14ac:dyDescent="0.3">
      <c r="B46" s="82" t="s">
        <v>3818</v>
      </c>
      <c r="C46" s="610">
        <v>0</v>
      </c>
      <c r="D46" s="611">
        <f t="shared" si="0"/>
        <v>0</v>
      </c>
      <c r="E46" s="613">
        <f>D46*VLOOKUP("EU (Commission and Council)",'Country Summary'!B:G,6,0)</f>
        <v>0</v>
      </c>
      <c r="F46" s="24"/>
      <c r="G46" s="24"/>
      <c r="H46" s="24"/>
    </row>
    <row r="47" spans="2:8" ht="15.9" customHeight="1" x14ac:dyDescent="0.3">
      <c r="B47" s="24" t="s">
        <v>2820</v>
      </c>
      <c r="C47" s="610">
        <v>0</v>
      </c>
      <c r="D47" s="611">
        <f t="shared" si="0"/>
        <v>0</v>
      </c>
      <c r="E47" s="613">
        <f>D47*VLOOKUP("EU (Commission and Council)",'Country Summary'!B:G,6,0)</f>
        <v>0</v>
      </c>
      <c r="F47" s="24"/>
      <c r="G47" s="24"/>
      <c r="H47" s="24"/>
    </row>
    <row r="48" spans="2:8" ht="15.9" customHeight="1" x14ac:dyDescent="0.3">
      <c r="B48" s="24" t="s">
        <v>2792</v>
      </c>
      <c r="C48" s="610">
        <v>0</v>
      </c>
      <c r="D48" s="611">
        <f t="shared" si="0"/>
        <v>0</v>
      </c>
      <c r="E48" s="613">
        <f>D48*VLOOKUP("EU (Commission and Council)",'Country Summary'!B:G,6,0)</f>
        <v>0</v>
      </c>
      <c r="F48" s="24"/>
      <c r="G48" s="24"/>
      <c r="H48" s="24"/>
    </row>
    <row r="49" spans="2:8" ht="15.9" customHeight="1" x14ac:dyDescent="0.3">
      <c r="B49" s="24" t="s">
        <v>2206</v>
      </c>
      <c r="C49" s="610">
        <v>0</v>
      </c>
      <c r="D49" s="611">
        <f t="shared" si="0"/>
        <v>0</v>
      </c>
      <c r="E49" s="613">
        <f>D49*VLOOKUP("EU (Commission and Council)",'Country Summary'!B:G,6,0)</f>
        <v>0</v>
      </c>
      <c r="F49" s="24"/>
      <c r="G49" s="24"/>
      <c r="H49" s="24"/>
    </row>
    <row r="50" spans="2:8" ht="15.9" customHeight="1" x14ac:dyDescent="0.3">
      <c r="B50" s="24" t="s">
        <v>2168</v>
      </c>
      <c r="C50" s="610">
        <v>0</v>
      </c>
      <c r="D50" s="611">
        <f t="shared" si="0"/>
        <v>0</v>
      </c>
      <c r="E50" s="613">
        <f>D50*VLOOKUP("EU (Commission and Council)",'Country Summary'!B:G,6,0)</f>
        <v>0</v>
      </c>
      <c r="F50" s="24"/>
      <c r="G50" s="24"/>
      <c r="H50" s="24"/>
    </row>
    <row r="51" spans="2:8" ht="15.9" customHeight="1" x14ac:dyDescent="0.3">
      <c r="B51" s="24" t="s">
        <v>255</v>
      </c>
      <c r="C51" s="610">
        <v>0</v>
      </c>
      <c r="D51" s="611">
        <f t="shared" si="0"/>
        <v>0</v>
      </c>
      <c r="E51" s="613">
        <f>D51*VLOOKUP("EU (Commission and Council)",'Country Summary'!B:G,6,0)</f>
        <v>0</v>
      </c>
      <c r="F51" s="24"/>
      <c r="G51" s="24"/>
      <c r="H51" s="24"/>
    </row>
    <row r="52" spans="2:8" ht="15.9" customHeight="1" x14ac:dyDescent="0.3">
      <c r="B52" s="24" t="s">
        <v>2424</v>
      </c>
      <c r="C52" s="610">
        <v>0</v>
      </c>
      <c r="D52" s="611">
        <f t="shared" si="0"/>
        <v>0</v>
      </c>
      <c r="E52" s="613">
        <f>D52*VLOOKUP("EU (Commission and Council)",'Country Summary'!B:G,6,0)</f>
        <v>0</v>
      </c>
      <c r="F52" s="24"/>
      <c r="G52" s="24"/>
      <c r="H52" s="24"/>
    </row>
    <row r="53" spans="2:8" ht="15.9" customHeight="1" x14ac:dyDescent="0.3">
      <c r="B53" s="13" t="s">
        <v>3426</v>
      </c>
      <c r="C53" s="172">
        <v>0</v>
      </c>
      <c r="D53" s="611">
        <f t="shared" si="0"/>
        <v>0</v>
      </c>
      <c r="E53" s="613">
        <f>D53*VLOOKUP("EU (Commission and Council)",'Country Summary'!B:G,6,0)</f>
        <v>0</v>
      </c>
      <c r="F53" s="24"/>
      <c r="G53" s="24"/>
      <c r="H53" s="24"/>
    </row>
    <row r="54" spans="2:8" ht="15.9" customHeight="1" x14ac:dyDescent="0.3">
      <c r="B54" s="13" t="s">
        <v>656</v>
      </c>
      <c r="C54" s="172">
        <v>0</v>
      </c>
      <c r="D54" s="173">
        <v>0</v>
      </c>
      <c r="E54" s="613">
        <f>D54*VLOOKUP("EU (Commission and Council)",'Country Summary'!B:G,6,0)</f>
        <v>0</v>
      </c>
      <c r="F54" s="24"/>
      <c r="G54" s="24"/>
      <c r="H54" s="24"/>
    </row>
    <row r="55" spans="2:8" ht="15.9" customHeight="1" x14ac:dyDescent="0.3">
      <c r="B55" s="13" t="s">
        <v>2840</v>
      </c>
      <c r="C55" s="172">
        <v>0</v>
      </c>
      <c r="D55" s="173">
        <v>0</v>
      </c>
      <c r="E55" s="613">
        <f>D55*VLOOKUP("EU (Commission and Council)",'Country Summary'!B:G,6,0)</f>
        <v>0</v>
      </c>
      <c r="F55" s="24"/>
      <c r="G55" s="24"/>
      <c r="H55" s="24"/>
    </row>
    <row r="56" spans="2:8" ht="15.9" customHeight="1" x14ac:dyDescent="0.3">
      <c r="B56" s="13" t="s">
        <v>1687</v>
      </c>
      <c r="C56" s="172">
        <v>0</v>
      </c>
      <c r="D56" s="173">
        <v>0</v>
      </c>
      <c r="E56" s="613">
        <f>D56*VLOOKUP("EU (Commission and Council)",'Country Summary'!B:G,6,0)</f>
        <v>0</v>
      </c>
    </row>
  </sheetData>
  <mergeCells count="1">
    <mergeCell ref="B4:G9"/>
  </mergeCells>
  <hyperlinks>
    <hyperlink ref="C11" r:id="rId1" xr:uid="{00000000-0004-0000-2400-000000000000}"/>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5" tint="0.59999389629810485"/>
  </sheetPr>
  <dimension ref="B1:I56"/>
  <sheetViews>
    <sheetView showGridLines="0" zoomScaleNormal="100" workbookViewId="0"/>
  </sheetViews>
  <sheetFormatPr baseColWidth="10" defaultColWidth="8.59765625" defaultRowHeight="15.9" customHeight="1" x14ac:dyDescent="0.3"/>
  <cols>
    <col min="1" max="1" width="8.59765625" style="20" customWidth="1"/>
    <col min="2" max="2" width="25.5" style="20" customWidth="1"/>
    <col min="3" max="4" width="28.59765625" style="103" customWidth="1"/>
    <col min="5" max="7" width="28.59765625" style="20" customWidth="1"/>
    <col min="8" max="8" width="8.59765625" style="20" customWidth="1"/>
    <col min="9" max="16384" width="8.59765625" style="20"/>
  </cols>
  <sheetData>
    <row r="1" spans="2:9" s="35" customFormat="1" ht="15.9" customHeight="1" x14ac:dyDescent="0.3">
      <c r="B1" s="39"/>
      <c r="C1" s="148"/>
      <c r="D1" s="148"/>
      <c r="E1" s="148"/>
      <c r="F1" s="148"/>
      <c r="G1" s="39"/>
    </row>
    <row r="2" spans="2:9" s="39" customFormat="1" ht="24.75" customHeight="1" x14ac:dyDescent="0.35">
      <c r="B2" s="415" t="s">
        <v>3819</v>
      </c>
    </row>
    <row r="3" spans="2:9" s="116" customFormat="1" ht="15.9" customHeight="1" x14ac:dyDescent="0.25"/>
    <row r="4" spans="2:9" s="116" customFormat="1" ht="15.9" customHeight="1" x14ac:dyDescent="0.25">
      <c r="B4" s="1181" t="s">
        <v>3820</v>
      </c>
      <c r="C4" s="1181"/>
      <c r="D4" s="1181"/>
      <c r="E4" s="1181"/>
      <c r="F4" s="444"/>
      <c r="G4" s="444"/>
    </row>
    <row r="5" spans="2:9" s="116" customFormat="1" ht="15.9" customHeight="1" x14ac:dyDescent="0.25">
      <c r="B5" s="1181"/>
      <c r="C5" s="1181"/>
      <c r="D5" s="1181"/>
      <c r="E5" s="1181"/>
      <c r="F5" s="444"/>
      <c r="G5" s="444"/>
    </row>
    <row r="6" spans="2:9" s="116" customFormat="1" ht="15.9" customHeight="1" x14ac:dyDescent="0.25">
      <c r="B6" s="1181"/>
      <c r="C6" s="1181"/>
      <c r="D6" s="1181"/>
      <c r="E6" s="1181"/>
      <c r="F6" s="444"/>
      <c r="G6" s="444"/>
    </row>
    <row r="7" spans="2:9" s="116" customFormat="1" ht="15.9" customHeight="1" x14ac:dyDescent="0.25">
      <c r="B7" s="1181"/>
      <c r="C7" s="1181"/>
      <c r="D7" s="1181"/>
      <c r="E7" s="1181"/>
      <c r="F7" s="444"/>
      <c r="G7" s="444"/>
    </row>
    <row r="8" spans="2:9" s="116" customFormat="1" ht="15.9" customHeight="1" x14ac:dyDescent="0.25">
      <c r="B8" s="1181"/>
      <c r="C8" s="1181"/>
      <c r="D8" s="1181"/>
      <c r="E8" s="1181"/>
      <c r="F8" s="444"/>
      <c r="G8" s="444"/>
    </row>
    <row r="9" spans="2:9" s="116" customFormat="1" ht="15.9" customHeight="1" x14ac:dyDescent="0.25">
      <c r="B9" s="444"/>
      <c r="C9" s="444"/>
      <c r="D9" s="444"/>
      <c r="E9" s="444"/>
      <c r="F9" s="444"/>
      <c r="G9" s="444"/>
    </row>
    <row r="10" spans="2:9" ht="15.9" customHeight="1" x14ac:dyDescent="0.3">
      <c r="B10" s="23"/>
      <c r="C10" s="101"/>
      <c r="D10" s="101"/>
      <c r="E10" s="23"/>
      <c r="F10" s="23"/>
      <c r="G10" s="23"/>
      <c r="H10" s="23"/>
      <c r="I10" s="23"/>
    </row>
    <row r="11" spans="2:9" ht="15.9" customHeight="1" x14ac:dyDescent="0.3">
      <c r="B11" s="82" t="s">
        <v>3821</v>
      </c>
      <c r="C11" s="102" t="s">
        <v>3822</v>
      </c>
      <c r="F11" s="23"/>
      <c r="G11" s="23"/>
      <c r="H11" s="23"/>
      <c r="I11" s="23"/>
    </row>
    <row r="12" spans="2:9" ht="15.9" customHeight="1" x14ac:dyDescent="0.3">
      <c r="B12" s="24"/>
      <c r="C12" s="104"/>
      <c r="D12" s="105"/>
      <c r="E12" s="82"/>
      <c r="F12" s="106"/>
      <c r="G12" s="106"/>
      <c r="H12" s="106"/>
      <c r="I12" s="106"/>
    </row>
    <row r="13" spans="2:9" ht="24.75" customHeight="1" x14ac:dyDescent="0.3">
      <c r="B13" s="413" t="s">
        <v>3499</v>
      </c>
      <c r="C13" s="500" t="s">
        <v>3823</v>
      </c>
      <c r="D13" s="501" t="s">
        <v>3824</v>
      </c>
      <c r="E13" s="500" t="s">
        <v>3825</v>
      </c>
      <c r="F13" s="501" t="s">
        <v>3826</v>
      </c>
      <c r="G13" s="500" t="s">
        <v>3827</v>
      </c>
      <c r="H13" s="106"/>
      <c r="I13" s="106"/>
    </row>
    <row r="14" spans="2:9" ht="15.9" customHeight="1" x14ac:dyDescent="0.3">
      <c r="B14" s="86" t="s">
        <v>344</v>
      </c>
      <c r="C14" s="606">
        <v>431177954655.48126</v>
      </c>
      <c r="D14" s="398">
        <f>C14*VLOOKUP("USD",'Exchange Rates'!B:C,2,0)</f>
        <v>452736852388.25537</v>
      </c>
      <c r="E14" s="399">
        <f>D14/1000000000</f>
        <v>452.73685238825539</v>
      </c>
      <c r="F14" s="400">
        <f>E14/$E$41</f>
        <v>2.8122169019250347E-2</v>
      </c>
      <c r="G14" s="401">
        <f>F14*VLOOKUP("European Peace Facility",'Aggregates by Country Group'!B:F,5,0)</f>
        <v>8.7178723959676074E-2</v>
      </c>
      <c r="H14" s="106"/>
      <c r="I14" s="106"/>
    </row>
    <row r="15" spans="2:9" ht="15.9" customHeight="1" x14ac:dyDescent="0.3">
      <c r="B15" s="86" t="s">
        <v>413</v>
      </c>
      <c r="C15" s="606">
        <v>528771099613.82056</v>
      </c>
      <c r="D15" s="398">
        <f>C15*VLOOKUP("USD",'Exchange Rates'!B:C,2,0)</f>
        <v>555209654594.5116</v>
      </c>
      <c r="E15" s="399">
        <f t="shared" ref="E15:E52" si="0">D15/1000000000</f>
        <v>555.20965459451156</v>
      </c>
      <c r="F15" s="400">
        <f t="shared" ref="F15:F52" si="1">E15/$E$41</f>
        <v>3.4487362063109796E-2</v>
      </c>
      <c r="G15" s="401">
        <f>F15*VLOOKUP("European Peace Facility",'Aggregates by Country Group'!B:F,5,0)</f>
        <v>0.10691082239564037</v>
      </c>
      <c r="H15" s="106"/>
      <c r="I15" s="106"/>
    </row>
    <row r="16" spans="2:9" ht="15.9" customHeight="1" x14ac:dyDescent="0.3">
      <c r="B16" s="86" t="s">
        <v>480</v>
      </c>
      <c r="C16" s="606">
        <v>66791503467.314651</v>
      </c>
      <c r="D16" s="398">
        <f>C16*VLOOKUP("USD",'Exchange Rates'!B:C,2,0)</f>
        <v>70131078640.680389</v>
      </c>
      <c r="E16" s="399">
        <f t="shared" si="0"/>
        <v>70.131078640680386</v>
      </c>
      <c r="F16" s="400">
        <f t="shared" si="1"/>
        <v>4.3562569219441662E-3</v>
      </c>
      <c r="G16" s="401">
        <f>F16*VLOOKUP("European Peace Facility",'Aggregates by Country Group'!B:F,5,0)</f>
        <v>1.3504396458026915E-2</v>
      </c>
      <c r="H16" s="23"/>
      <c r="I16" s="23"/>
    </row>
    <row r="17" spans="2:9" ht="15.9" customHeight="1" x14ac:dyDescent="0.3">
      <c r="B17" s="86" t="s">
        <v>664</v>
      </c>
      <c r="C17" s="606">
        <v>58800071968.209152</v>
      </c>
      <c r="D17" s="398">
        <f>C17*VLOOKUP("USD",'Exchange Rates'!B:C,2,0)</f>
        <v>61740075566.619614</v>
      </c>
      <c r="E17" s="399">
        <f t="shared" si="0"/>
        <v>61.740075566619616</v>
      </c>
      <c r="F17" s="400">
        <f t="shared" si="1"/>
        <v>3.8350419922449559E-3</v>
      </c>
      <c r="G17" s="401">
        <f>F17*VLOOKUP("European Peace Facility",'Aggregates by Country Group'!B:F,5,0)</f>
        <v>1.1888630175959364E-2</v>
      </c>
      <c r="H17" s="23"/>
      <c r="I17" s="23"/>
    </row>
    <row r="18" spans="2:9" ht="15.9" customHeight="1" x14ac:dyDescent="0.3">
      <c r="B18" s="86" t="s">
        <v>696</v>
      </c>
      <c r="C18" s="606">
        <v>23639615034.821491</v>
      </c>
      <c r="D18" s="398">
        <f>C18*VLOOKUP("USD",'Exchange Rates'!B:C,2,0)</f>
        <v>24821595786.562569</v>
      </c>
      <c r="E18" s="399">
        <f t="shared" si="0"/>
        <v>24.821595786562568</v>
      </c>
      <c r="F18" s="400">
        <f t="shared" si="1"/>
        <v>1.5418164179809386E-3</v>
      </c>
      <c r="G18" s="401">
        <f>F18*VLOOKUP("European Peace Facility",'Aggregates by Country Group'!B:F,5,0)</f>
        <v>4.7796308957409094E-3</v>
      </c>
      <c r="H18" s="23"/>
      <c r="I18" s="23"/>
    </row>
    <row r="19" spans="2:9" ht="15.9" customHeight="1" x14ac:dyDescent="0.3">
      <c r="B19" s="86" t="s">
        <v>716</v>
      </c>
      <c r="C19" s="606">
        <v>236140225083.77783</v>
      </c>
      <c r="D19" s="398">
        <f>C19*VLOOKUP("USD",'Exchange Rates'!B:C,2,0)</f>
        <v>247947236337.96674</v>
      </c>
      <c r="E19" s="399">
        <f t="shared" si="0"/>
        <v>247.94723633796673</v>
      </c>
      <c r="F19" s="400">
        <f t="shared" si="1"/>
        <v>1.54014722931647E-2</v>
      </c>
      <c r="G19" s="401">
        <f>F19*VLOOKUP("European Peace Facility",'Aggregates by Country Group'!B:F,5,0)</f>
        <v>4.7744564108810575E-2</v>
      </c>
      <c r="H19" s="23"/>
      <c r="I19" s="23"/>
    </row>
    <row r="20" spans="2:9" ht="15.9" customHeight="1" x14ac:dyDescent="0.3">
      <c r="B20" s="86" t="s">
        <v>856</v>
      </c>
      <c r="C20" s="606">
        <v>367413962752.16309</v>
      </c>
      <c r="D20" s="398">
        <f>C20*VLOOKUP("USD",'Exchange Rates'!B:C,2,0)</f>
        <v>385784660889.77124</v>
      </c>
      <c r="E20" s="399">
        <f t="shared" si="0"/>
        <v>385.78466088977126</v>
      </c>
      <c r="F20" s="400">
        <f t="shared" si="1"/>
        <v>2.3963371617189269E-2</v>
      </c>
      <c r="G20" s="401">
        <f>F20*VLOOKUP("European Peace Facility",'Aggregates by Country Group'!B:F,5,0)</f>
        <v>7.4286452013286736E-2</v>
      </c>
      <c r="H20" s="23"/>
      <c r="I20" s="23"/>
    </row>
    <row r="21" spans="2:9" ht="15.9" customHeight="1" x14ac:dyDescent="0.3">
      <c r="B21" s="86" t="s">
        <v>937</v>
      </c>
      <c r="C21" s="607">
        <v>30879511970.059299</v>
      </c>
      <c r="D21" s="398">
        <f>C21*VLOOKUP("USD",'Exchange Rates'!B:C,2,0)</f>
        <v>32423487568.562267</v>
      </c>
      <c r="E21" s="399">
        <f t="shared" si="0"/>
        <v>32.423487568562265</v>
      </c>
      <c r="F21" s="400">
        <f t="shared" si="1"/>
        <v>2.0140149687101643E-3</v>
      </c>
      <c r="G21" s="401">
        <f>F21*VLOOKUP("European Peace Facility",'Aggregates by Country Group'!B:F,5,0)</f>
        <v>6.2434464030015095E-3</v>
      </c>
      <c r="H21" s="23"/>
      <c r="I21" s="23"/>
    </row>
    <row r="22" spans="2:9" ht="15.9" customHeight="1" x14ac:dyDescent="0.3">
      <c r="B22" s="86" t="s">
        <v>1025</v>
      </c>
      <c r="C22" s="606">
        <v>275386048317.31531</v>
      </c>
      <c r="D22" s="398">
        <f>C22*VLOOKUP("USD",'Exchange Rates'!B:C,2,0)</f>
        <v>289155350733.18109</v>
      </c>
      <c r="E22" s="399">
        <f>D22/1000000000</f>
        <v>289.15535073318108</v>
      </c>
      <c r="F22" s="400">
        <f t="shared" si="1"/>
        <v>1.7961152495634746E-2</v>
      </c>
      <c r="G22" s="401">
        <f>F22*VLOOKUP("European Peace Facility",'Aggregates by Country Group'!B:F,5,0)</f>
        <v>5.5679572736467717E-2</v>
      </c>
      <c r="H22" s="23"/>
      <c r="I22" s="23"/>
    </row>
    <row r="23" spans="2:9" ht="15.9" customHeight="1" x14ac:dyDescent="0.3">
      <c r="B23" s="86" t="s">
        <v>1131</v>
      </c>
      <c r="C23" s="606">
        <v>2661229723049.147</v>
      </c>
      <c r="D23" s="398">
        <f>C23*VLOOKUP("USD",'Exchange Rates'!B:C,2,0)</f>
        <v>2794291209201.6045</v>
      </c>
      <c r="E23" s="399">
        <f t="shared" si="0"/>
        <v>2794.2912092016045</v>
      </c>
      <c r="F23" s="400">
        <f t="shared" si="1"/>
        <v>0.17356998720038694</v>
      </c>
      <c r="G23" s="401">
        <f>F23*VLOOKUP("European Peace Facility",'Aggregates by Country Group'!B:F,5,0)</f>
        <v>0.53806696032119949</v>
      </c>
      <c r="H23" s="23"/>
      <c r="I23" s="23"/>
    </row>
    <row r="24" spans="2:9" ht="15.9" customHeight="1" x14ac:dyDescent="0.3">
      <c r="B24" s="86" t="s">
        <v>1288</v>
      </c>
      <c r="C24" s="606">
        <v>3951936643951.478</v>
      </c>
      <c r="D24" s="398">
        <f>C24*VLOOKUP("USD",'Exchange Rates'!B:C,2,0)</f>
        <v>4149533476149.0522</v>
      </c>
      <c r="E24" s="399">
        <f t="shared" si="0"/>
        <v>4149.5334761490521</v>
      </c>
      <c r="F24" s="400">
        <f t="shared" si="1"/>
        <v>0.25775211616134891</v>
      </c>
      <c r="G24" s="401">
        <f>F24*VLOOKUP("European Peace Facility",'Aggregates by Country Group'!B:F,5,0)</f>
        <v>0.79903156010018161</v>
      </c>
      <c r="H24" s="23"/>
      <c r="I24" s="23"/>
    </row>
    <row r="25" spans="2:9" ht="15.9" customHeight="1" x14ac:dyDescent="0.3">
      <c r="B25" s="86" t="s">
        <v>1606</v>
      </c>
      <c r="C25" s="606">
        <v>192106587090.27692</v>
      </c>
      <c r="D25" s="398">
        <f>C25*VLOOKUP("USD",'Exchange Rates'!B:C,2,0)</f>
        <v>201711916444.79077</v>
      </c>
      <c r="E25" s="399">
        <f t="shared" si="0"/>
        <v>201.71191644479077</v>
      </c>
      <c r="F25" s="400">
        <f t="shared" si="1"/>
        <v>1.2529522563788678E-2</v>
      </c>
      <c r="G25" s="401">
        <f>F25*VLOOKUP("European Peace Facility",'Aggregates by Country Group'!B:F,5,0)</f>
        <v>3.8841519947744901E-2</v>
      </c>
      <c r="H25" s="23"/>
      <c r="I25" s="23"/>
    </row>
    <row r="26" spans="2:9" ht="15.9" customHeight="1" x14ac:dyDescent="0.3">
      <c r="B26" s="86" t="s">
        <v>1646</v>
      </c>
      <c r="C26" s="606">
        <v>154926012804.36594</v>
      </c>
      <c r="D26" s="398">
        <f>C26*VLOOKUP("USD",'Exchange Rates'!B:C,2,0)</f>
        <v>162672313444.58423</v>
      </c>
      <c r="E26" s="399">
        <f t="shared" si="0"/>
        <v>162.67231344458423</v>
      </c>
      <c r="F26" s="400">
        <f t="shared" si="1"/>
        <v>1.0104541455613439E-2</v>
      </c>
      <c r="G26" s="401">
        <f>F26*VLOOKUP("European Peace Facility",'Aggregates by Country Group'!B:F,5,0)</f>
        <v>3.1324078512401661E-2</v>
      </c>
      <c r="H26" s="23"/>
      <c r="I26" s="23"/>
    </row>
    <row r="27" spans="2:9" ht="15.9" customHeight="1" x14ac:dyDescent="0.3">
      <c r="B27" s="86" t="s">
        <v>1701</v>
      </c>
      <c r="C27" s="606">
        <v>327793081263.3335</v>
      </c>
      <c r="D27" s="398">
        <f>C27*VLOOKUP("USD",'Exchange Rates'!B:C,2,0)</f>
        <v>344182735326.50018</v>
      </c>
      <c r="E27" s="399">
        <f t="shared" si="0"/>
        <v>344.18273532650016</v>
      </c>
      <c r="F27" s="400">
        <f t="shared" si="1"/>
        <v>2.1379229469173287E-2</v>
      </c>
      <c r="G27" s="401">
        <f>F27*VLOOKUP("European Peace Facility",'Aggregates by Country Group'!B:F,5,0)</f>
        <v>6.6275611354437186E-2</v>
      </c>
      <c r="H27" s="23"/>
      <c r="I27" s="23"/>
    </row>
    <row r="28" spans="2:9" ht="15.9" customHeight="1" x14ac:dyDescent="0.3">
      <c r="B28" s="86" t="s">
        <v>1730</v>
      </c>
      <c r="C28" s="606">
        <v>1923564827931.9722</v>
      </c>
      <c r="D28" s="398">
        <f>C28*VLOOKUP("USD",'Exchange Rates'!B:C,2,0)</f>
        <v>2019743069328.5708</v>
      </c>
      <c r="E28" s="399">
        <f t="shared" si="0"/>
        <v>2019.7430693285708</v>
      </c>
      <c r="F28" s="400">
        <f t="shared" si="1"/>
        <v>0.12545821192043743</v>
      </c>
      <c r="G28" s="401">
        <f>F28*VLOOKUP("European Peace Facility",'Aggregates by Country Group'!B:F,5,0)</f>
        <v>0.38892045695335609</v>
      </c>
      <c r="H28" s="23"/>
      <c r="I28" s="23"/>
    </row>
    <row r="29" spans="2:9" ht="15.9" customHeight="1" x14ac:dyDescent="0.3">
      <c r="B29" s="86" t="s">
        <v>1861</v>
      </c>
      <c r="C29" s="606">
        <v>34007378686.420918</v>
      </c>
      <c r="D29" s="398">
        <f>C29*VLOOKUP("USD",'Exchange Rates'!B:C,2,0)</f>
        <v>35707747620.741966</v>
      </c>
      <c r="E29" s="399">
        <f t="shared" si="0"/>
        <v>35.707747620741969</v>
      </c>
      <c r="F29" s="400">
        <f t="shared" si="1"/>
        <v>2.2180198245184642E-3</v>
      </c>
      <c r="G29" s="401">
        <f>F29*VLOOKUP("European Peace Facility",'Aggregates by Country Group'!B:F,5,0)</f>
        <v>6.8758614560072394E-3</v>
      </c>
      <c r="H29" s="23"/>
      <c r="I29" s="23"/>
    </row>
    <row r="30" spans="2:9" ht="15.9" customHeight="1" x14ac:dyDescent="0.3">
      <c r="B30" s="86" t="s">
        <v>1919</v>
      </c>
      <c r="C30" s="606">
        <v>54835297970.518791</v>
      </c>
      <c r="D30" s="398">
        <f>C30*VLOOKUP("USD",'Exchange Rates'!B:C,2,0)</f>
        <v>57577062869.044731</v>
      </c>
      <c r="E30" s="399">
        <f t="shared" si="0"/>
        <v>57.577062869044731</v>
      </c>
      <c r="F30" s="400">
        <f t="shared" si="1"/>
        <v>3.5764526017570629E-3</v>
      </c>
      <c r="G30" s="401">
        <f>F30*VLOOKUP("European Peace Facility",'Aggregates by Country Group'!B:F,5,0)</f>
        <v>1.1087003065446896E-2</v>
      </c>
      <c r="H30" s="23"/>
      <c r="I30" s="23"/>
    </row>
    <row r="31" spans="2:9" ht="15.9" customHeight="1" x14ac:dyDescent="0.3">
      <c r="B31" s="86" t="s">
        <v>2024</v>
      </c>
      <c r="C31" s="606">
        <v>51133898272.304619</v>
      </c>
      <c r="D31" s="398">
        <f>C31*VLOOKUP("USD",'Exchange Rates'!B:C,2,0)</f>
        <v>53690593185.919853</v>
      </c>
      <c r="E31" s="399">
        <f t="shared" si="0"/>
        <v>53.690593185919852</v>
      </c>
      <c r="F31" s="400">
        <f t="shared" si="1"/>
        <v>3.3350409368120126E-3</v>
      </c>
      <c r="G31" s="401">
        <f>F31*VLOOKUP("European Peace Facility",'Aggregates by Country Group'!B:F,5,0)</f>
        <v>1.0338626904117239E-2</v>
      </c>
      <c r="H31" s="23"/>
      <c r="I31" s="23"/>
    </row>
    <row r="32" spans="2:9" ht="15.9" customHeight="1" x14ac:dyDescent="0.3">
      <c r="B32" s="86" t="s">
        <v>2066</v>
      </c>
      <c r="C32" s="606">
        <v>13325768037.903536</v>
      </c>
      <c r="D32" s="398">
        <f>C32*VLOOKUP("USD",'Exchange Rates'!B:C,2,0)</f>
        <v>13992056439.798714</v>
      </c>
      <c r="E32" s="399">
        <f t="shared" si="0"/>
        <v>13.992056439798713</v>
      </c>
      <c r="F32" s="400">
        <f t="shared" si="1"/>
        <v>8.691295485472551E-4</v>
      </c>
      <c r="G32" s="401">
        <f>F32*VLOOKUP("European Peace Facility",'Aggregates by Country Group'!B:F,5,0)</f>
        <v>2.6943016004964907E-3</v>
      </c>
      <c r="H32" s="23"/>
      <c r="I32" s="23"/>
    </row>
    <row r="33" spans="2:9" ht="15.9" customHeight="1" x14ac:dyDescent="0.3">
      <c r="B33" s="86" t="s">
        <v>2076</v>
      </c>
      <c r="C33" s="606">
        <v>890764508900.16296</v>
      </c>
      <c r="D33" s="398">
        <f>C33*VLOOKUP("USD",'Exchange Rates'!B:C,2,0)</f>
        <v>935302734345.17114</v>
      </c>
      <c r="E33" s="399">
        <f t="shared" si="0"/>
        <v>935.30273434517119</v>
      </c>
      <c r="F33" s="400">
        <f t="shared" si="1"/>
        <v>5.8097195844939442E-2</v>
      </c>
      <c r="G33" s="401">
        <f>F33*VLOOKUP("European Peace Facility",'Aggregates by Country Group'!B:F,5,0)</f>
        <v>0.18010130711931227</v>
      </c>
      <c r="H33" s="23"/>
      <c r="I33" s="23"/>
    </row>
    <row r="34" spans="2:9" ht="15.9" customHeight="1" x14ac:dyDescent="0.3">
      <c r="B34" s="86" t="s">
        <v>2303</v>
      </c>
      <c r="C34" s="606">
        <v>578462141100.15442</v>
      </c>
      <c r="D34" s="398">
        <f>C34*VLOOKUP("USD",'Exchange Rates'!B:C,2,0)</f>
        <v>607385248155.16211</v>
      </c>
      <c r="E34" s="399">
        <f t="shared" si="0"/>
        <v>607.38524815516212</v>
      </c>
      <c r="F34" s="400">
        <f t="shared" si="1"/>
        <v>3.7728297394643215E-2</v>
      </c>
      <c r="G34" s="401">
        <f>F34*VLOOKUP("European Peace Facility",'Aggregates by Country Group'!B:F,5,0)</f>
        <v>0.11695772192339397</v>
      </c>
      <c r="H34" s="23"/>
      <c r="I34" s="23"/>
    </row>
    <row r="35" spans="2:9" ht="15.9" customHeight="1" x14ac:dyDescent="0.3">
      <c r="B35" s="86" t="s">
        <v>2370</v>
      </c>
      <c r="C35" s="606">
        <v>224554737087.76804</v>
      </c>
      <c r="D35" s="398">
        <f>C35*VLOOKUP("USD",'Exchange Rates'!B:C,2,0)</f>
        <v>235782473942.15643</v>
      </c>
      <c r="E35" s="399">
        <f t="shared" si="0"/>
        <v>235.78247394215643</v>
      </c>
      <c r="F35" s="400">
        <f t="shared" si="1"/>
        <v>1.4645846807036563E-2</v>
      </c>
      <c r="G35" s="401">
        <f>F35*VLOOKUP("European Peace Facility",'Aggregates by Country Group'!B:F,5,0)</f>
        <v>4.5402125101813344E-2</v>
      </c>
      <c r="H35" s="23"/>
      <c r="I35" s="23"/>
    </row>
    <row r="36" spans="2:9" ht="15.9" customHeight="1" x14ac:dyDescent="0.3">
      <c r="B36" s="86" t="s">
        <v>2460</v>
      </c>
      <c r="C36" s="606">
        <v>242701599782.81766</v>
      </c>
      <c r="D36" s="398">
        <f>C36*VLOOKUP("USD",'Exchange Rates'!B:C,2,0)</f>
        <v>254836679771.95856</v>
      </c>
      <c r="E36" s="399">
        <f t="shared" si="0"/>
        <v>254.83667977195856</v>
      </c>
      <c r="F36" s="400">
        <f t="shared" si="1"/>
        <v>1.582941645471736E-2</v>
      </c>
      <c r="G36" s="401">
        <f>F36*VLOOKUP("European Peace Facility",'Aggregates by Country Group'!B:F,5,0)</f>
        <v>4.9071191009623816E-2</v>
      </c>
      <c r="H36" s="23"/>
      <c r="I36" s="23"/>
    </row>
    <row r="37" spans="2:9" ht="15.9" customHeight="1" x14ac:dyDescent="0.3">
      <c r="B37" s="86" t="s">
        <v>2489</v>
      </c>
      <c r="C37" s="606">
        <v>103284085220.21864</v>
      </c>
      <c r="D37" s="398">
        <f>C37*VLOOKUP("USD",'Exchange Rates'!B:C,2,0)</f>
        <v>108448289481.22958</v>
      </c>
      <c r="E37" s="399">
        <f t="shared" si="0"/>
        <v>108.44828948122958</v>
      </c>
      <c r="F37" s="400">
        <f t="shared" si="1"/>
        <v>6.7363659718698964E-3</v>
      </c>
      <c r="G37" s="401">
        <f>F37*VLOOKUP("European Peace Facility",'Aggregates by Country Group'!B:F,5,0)</f>
        <v>2.088273451279668E-2</v>
      </c>
      <c r="H37" s="23"/>
      <c r="I37" s="23"/>
    </row>
    <row r="38" spans="2:9" ht="15.9" customHeight="1" x14ac:dyDescent="0.3">
      <c r="B38" s="86" t="s">
        <v>2547</v>
      </c>
      <c r="C38" s="606">
        <v>53268437066.224869</v>
      </c>
      <c r="D38" s="398">
        <f>C38*VLOOKUP("USD",'Exchange Rates'!B:C,2,0)</f>
        <v>55931858919.536118</v>
      </c>
      <c r="E38" s="399">
        <f t="shared" si="0"/>
        <v>55.931858919536118</v>
      </c>
      <c r="F38" s="400">
        <f t="shared" si="1"/>
        <v>3.4742592342519533E-3</v>
      </c>
      <c r="G38" s="401">
        <f>F38*VLOOKUP("European Peace Facility",'Aggregates by Country Group'!B:F,5,0)</f>
        <v>1.0770203626181056E-2</v>
      </c>
      <c r="H38" s="23"/>
      <c r="I38" s="23"/>
    </row>
    <row r="39" spans="2:9" ht="15.9" customHeight="1" x14ac:dyDescent="0.3">
      <c r="B39" s="86" t="s">
        <v>2615</v>
      </c>
      <c r="C39" s="606">
        <v>1295796575673.0425</v>
      </c>
      <c r="D39" s="398">
        <f>C39*VLOOKUP("USD",'Exchange Rates'!B:C,2,0)</f>
        <v>1360586404456.6946</v>
      </c>
      <c r="E39" s="399">
        <f t="shared" si="0"/>
        <v>1360.5864044566945</v>
      </c>
      <c r="F39" s="400">
        <f t="shared" si="1"/>
        <v>8.4514085013367157E-2</v>
      </c>
      <c r="G39" s="401">
        <f>F39*VLOOKUP("European Peace Facility",'Aggregates by Country Group'!B:F,5,0)</f>
        <v>0.26199366354143822</v>
      </c>
      <c r="H39" s="23"/>
      <c r="I39" s="23"/>
    </row>
    <row r="40" spans="2:9" ht="15.9" customHeight="1" x14ac:dyDescent="0.3">
      <c r="B40" s="86" t="s">
        <v>2715</v>
      </c>
      <c r="C40" s="606">
        <v>559623730597.23865</v>
      </c>
      <c r="D40" s="398">
        <f>C40*VLOOKUP("USD",'Exchange Rates'!B:C,2,0)</f>
        <v>587604917127.10059</v>
      </c>
      <c r="E40" s="399">
        <f t="shared" si="0"/>
        <v>587.60491712710063</v>
      </c>
      <c r="F40" s="400">
        <f t="shared" si="1"/>
        <v>3.6499623807561707E-2</v>
      </c>
      <c r="G40" s="401">
        <f>F40*VLOOKUP("European Peace Facility",'Aggregates by Country Group'!B:F,5,0)</f>
        <v>0.11314883380344129</v>
      </c>
      <c r="H40" s="23"/>
      <c r="I40" s="23"/>
    </row>
    <row r="41" spans="2:9" ht="15.9" customHeight="1" x14ac:dyDescent="0.3">
      <c r="B41" s="87" t="s">
        <v>3828</v>
      </c>
      <c r="C41" s="608">
        <v>15332315027348.314</v>
      </c>
      <c r="D41" s="402">
        <f>C41*VLOOKUP("USD",'Exchange Rates'!B:C,2,0)</f>
        <v>16098930778715.73</v>
      </c>
      <c r="E41" s="403">
        <f t="shared" si="0"/>
        <v>16098.93077871573</v>
      </c>
      <c r="F41" s="401">
        <f t="shared" si="1"/>
        <v>1</v>
      </c>
      <c r="G41" s="401">
        <f>F41*VLOOKUP("European Peace Facility",'Aggregates by Country Group'!B:F,5,0)</f>
        <v>3.1</v>
      </c>
      <c r="H41" s="23"/>
      <c r="I41" s="23"/>
    </row>
    <row r="42" spans="2:9" ht="15.9" customHeight="1" x14ac:dyDescent="0.3">
      <c r="B42" s="82" t="s">
        <v>3038</v>
      </c>
      <c r="C42" s="397"/>
      <c r="D42" s="398">
        <f>C42*VLOOKUP("USD",'Exchange Rates'!B:C,2,0)</f>
        <v>0</v>
      </c>
      <c r="E42" s="399">
        <f t="shared" si="0"/>
        <v>0</v>
      </c>
      <c r="F42" s="400">
        <f t="shared" si="1"/>
        <v>0</v>
      </c>
      <c r="G42" s="401">
        <f>F42*VLOOKUP("European Peace Facility",'Aggregates by Country Group'!B:F,5,0)</f>
        <v>0</v>
      </c>
      <c r="H42" s="23"/>
      <c r="I42" s="23"/>
    </row>
    <row r="43" spans="2:9" ht="15.9" customHeight="1" x14ac:dyDescent="0.3">
      <c r="B43" s="82" t="s">
        <v>517</v>
      </c>
      <c r="C43" s="397"/>
      <c r="D43" s="398">
        <f>C43*VLOOKUP("USD",'Exchange Rates'!B:C,2,0)</f>
        <v>0</v>
      </c>
      <c r="E43" s="399">
        <f t="shared" si="0"/>
        <v>0</v>
      </c>
      <c r="F43" s="400">
        <f t="shared" si="1"/>
        <v>0</v>
      </c>
      <c r="G43" s="401">
        <f>F43*VLOOKUP("European Peace Facility",'Aggregates by Country Group'!B:F,5,0)</f>
        <v>0</v>
      </c>
      <c r="H43" s="23"/>
      <c r="I43" s="23"/>
    </row>
    <row r="44" spans="2:9" ht="15.9" customHeight="1" x14ac:dyDescent="0.3">
      <c r="B44" s="82" t="s">
        <v>2864</v>
      </c>
      <c r="C44" s="397"/>
      <c r="D44" s="398">
        <f>C44*VLOOKUP("USD",'Exchange Rates'!B:C,2,0)</f>
        <v>0</v>
      </c>
      <c r="E44" s="399">
        <f t="shared" si="0"/>
        <v>0</v>
      </c>
      <c r="F44" s="400">
        <f t="shared" si="1"/>
        <v>0</v>
      </c>
      <c r="G44" s="401">
        <f>F44*VLOOKUP("European Peace Facility",'Aggregates by Country Group'!B:F,5,0)</f>
        <v>0</v>
      </c>
      <c r="H44" s="23"/>
      <c r="I44" s="23"/>
    </row>
    <row r="45" spans="2:9" ht="15.9" customHeight="1" x14ac:dyDescent="0.3">
      <c r="B45" s="82" t="s">
        <v>1804</v>
      </c>
      <c r="C45" s="397"/>
      <c r="D45" s="398">
        <f>C45*VLOOKUP("USD",'Exchange Rates'!B:C,2,0)</f>
        <v>0</v>
      </c>
      <c r="E45" s="399">
        <f t="shared" si="0"/>
        <v>0</v>
      </c>
      <c r="F45" s="400">
        <f t="shared" si="1"/>
        <v>0</v>
      </c>
      <c r="G45" s="401">
        <f>F45*VLOOKUP("European Peace Facility",'Aggregates by Country Group'!B:F,5,0)</f>
        <v>0</v>
      </c>
      <c r="H45" s="23"/>
      <c r="I45" s="23"/>
    </row>
    <row r="46" spans="2:9" ht="15.9" customHeight="1" x14ac:dyDescent="0.3">
      <c r="B46" s="82" t="s">
        <v>3818</v>
      </c>
      <c r="C46" s="397"/>
      <c r="D46" s="398">
        <f>C46*VLOOKUP("USD",'Exchange Rates'!B:C,2,0)</f>
        <v>0</v>
      </c>
      <c r="E46" s="399">
        <f t="shared" si="0"/>
        <v>0</v>
      </c>
      <c r="F46" s="400">
        <f t="shared" si="1"/>
        <v>0</v>
      </c>
      <c r="G46" s="401">
        <f>F46*VLOOKUP("European Peace Facility",'Aggregates by Country Group'!B:F,5,0)</f>
        <v>0</v>
      </c>
      <c r="H46" s="23"/>
      <c r="I46" s="23"/>
    </row>
    <row r="47" spans="2:9" ht="15.9" customHeight="1" x14ac:dyDescent="0.3">
      <c r="B47" s="23" t="s">
        <v>2820</v>
      </c>
      <c r="C47" s="397"/>
      <c r="D47" s="398">
        <f>C47*VLOOKUP("USD",'Exchange Rates'!B:C,2,0)</f>
        <v>0</v>
      </c>
      <c r="E47" s="399">
        <f t="shared" si="0"/>
        <v>0</v>
      </c>
      <c r="F47" s="400">
        <f t="shared" si="1"/>
        <v>0</v>
      </c>
      <c r="G47" s="401">
        <f>F47*VLOOKUP("European Peace Facility",'Aggregates by Country Group'!B:F,5,0)</f>
        <v>0</v>
      </c>
      <c r="H47" s="23"/>
      <c r="I47" s="23"/>
    </row>
    <row r="48" spans="2:9" ht="15.9" customHeight="1" x14ac:dyDescent="0.3">
      <c r="B48" s="23" t="s">
        <v>2792</v>
      </c>
      <c r="C48" s="397"/>
      <c r="D48" s="398">
        <f>C48*VLOOKUP("USD",'Exchange Rates'!B:C,2,0)</f>
        <v>0</v>
      </c>
      <c r="E48" s="399">
        <f t="shared" si="0"/>
        <v>0</v>
      </c>
      <c r="F48" s="400">
        <f t="shared" si="1"/>
        <v>0</v>
      </c>
      <c r="G48" s="401">
        <f>F48*VLOOKUP("European Peace Facility",'Aggregates by Country Group'!B:F,5,0)</f>
        <v>0</v>
      </c>
      <c r="H48" s="23"/>
      <c r="I48" s="23"/>
    </row>
    <row r="49" spans="2:9" ht="15.9" customHeight="1" x14ac:dyDescent="0.3">
      <c r="B49" s="23" t="s">
        <v>2206</v>
      </c>
      <c r="C49" s="397"/>
      <c r="D49" s="398">
        <f>C49*VLOOKUP("USD",'Exchange Rates'!B:C,2,0)</f>
        <v>0</v>
      </c>
      <c r="E49" s="399">
        <f t="shared" si="0"/>
        <v>0</v>
      </c>
      <c r="F49" s="400">
        <f t="shared" si="1"/>
        <v>0</v>
      </c>
      <c r="G49" s="401">
        <f>F49*VLOOKUP("European Peace Facility",'Aggregates by Country Group'!B:F,5,0)</f>
        <v>0</v>
      </c>
      <c r="H49" s="23"/>
      <c r="I49" s="23"/>
    </row>
    <row r="50" spans="2:9" ht="15.9" customHeight="1" x14ac:dyDescent="0.3">
      <c r="B50" s="23" t="s">
        <v>2168</v>
      </c>
      <c r="C50" s="397"/>
      <c r="D50" s="398">
        <f>C50*VLOOKUP("USD",'Exchange Rates'!B:C,2,0)</f>
        <v>0</v>
      </c>
      <c r="E50" s="399">
        <f t="shared" si="0"/>
        <v>0</v>
      </c>
      <c r="F50" s="400">
        <f t="shared" si="1"/>
        <v>0</v>
      </c>
      <c r="G50" s="401">
        <f>F50*VLOOKUP("European Peace Facility",'Aggregates by Country Group'!B:F,5,0)</f>
        <v>0</v>
      </c>
      <c r="H50" s="23"/>
      <c r="I50" s="23"/>
    </row>
    <row r="51" spans="2:9" ht="15.9" customHeight="1" x14ac:dyDescent="0.3">
      <c r="B51" s="23" t="s">
        <v>255</v>
      </c>
      <c r="C51" s="397"/>
      <c r="D51" s="398">
        <f>C51*VLOOKUP("USD",'Exchange Rates'!B:C,2,0)</f>
        <v>0</v>
      </c>
      <c r="E51" s="399">
        <f t="shared" si="0"/>
        <v>0</v>
      </c>
      <c r="F51" s="400">
        <f t="shared" si="1"/>
        <v>0</v>
      </c>
      <c r="G51" s="401">
        <f>F51*VLOOKUP("European Peace Facility",'Aggregates by Country Group'!B:F,5,0)</f>
        <v>0</v>
      </c>
      <c r="H51" s="23"/>
      <c r="I51" s="23"/>
    </row>
    <row r="52" spans="2:9" ht="15.9" customHeight="1" x14ac:dyDescent="0.3">
      <c r="B52" s="23" t="s">
        <v>2424</v>
      </c>
      <c r="C52" s="397"/>
      <c r="D52" s="398">
        <f>C52*VLOOKUP("USD",'Exchange Rates'!B:C,2,0)</f>
        <v>0</v>
      </c>
      <c r="E52" s="399">
        <f t="shared" si="0"/>
        <v>0</v>
      </c>
      <c r="F52" s="400">
        <f t="shared" si="1"/>
        <v>0</v>
      </c>
      <c r="G52" s="401">
        <f>F52*VLOOKUP("European Peace Facility",'Aggregates by Country Group'!B:F,5,0)</f>
        <v>0</v>
      </c>
      <c r="H52" s="23"/>
      <c r="I52" s="23"/>
    </row>
    <row r="53" spans="2:9" ht="15.9" customHeight="1" x14ac:dyDescent="0.3">
      <c r="B53" s="13" t="s">
        <v>3426</v>
      </c>
      <c r="C53" s="397"/>
      <c r="D53" s="398">
        <f>C53*VLOOKUP("USD",'Exchange Rates'!B:C,2,0)</f>
        <v>0</v>
      </c>
      <c r="E53" s="399">
        <f t="shared" ref="E53:E56" si="2">D53/1000000000</f>
        <v>0</v>
      </c>
      <c r="F53" s="400">
        <f t="shared" ref="F53:F56" si="3">E53/$E$41</f>
        <v>0</v>
      </c>
      <c r="G53" s="401">
        <f>F53*VLOOKUP("European Peace Facility",'Aggregates by Country Group'!B:F,5,0)</f>
        <v>0</v>
      </c>
      <c r="H53" s="23"/>
      <c r="I53" s="23"/>
    </row>
    <row r="54" spans="2:9" ht="15.9" customHeight="1" x14ac:dyDescent="0.3">
      <c r="B54" s="20" t="s">
        <v>656</v>
      </c>
      <c r="C54" s="404"/>
      <c r="D54" s="398">
        <f>C54*VLOOKUP("USD",'Exchange Rates'!B:C,2,0)</f>
        <v>0</v>
      </c>
      <c r="E54" s="399">
        <f t="shared" si="2"/>
        <v>0</v>
      </c>
      <c r="F54" s="400">
        <f t="shared" si="3"/>
        <v>0</v>
      </c>
      <c r="G54" s="401">
        <f>F54*VLOOKUP("European Peace Facility",'Aggregates by Country Group'!B:F,5,0)</f>
        <v>0</v>
      </c>
      <c r="H54" s="23"/>
      <c r="I54" s="23"/>
    </row>
    <row r="55" spans="2:9" ht="15.9" customHeight="1" x14ac:dyDescent="0.3">
      <c r="B55" s="20" t="s">
        <v>2840</v>
      </c>
      <c r="C55" s="404"/>
      <c r="D55" s="398">
        <f>C55*VLOOKUP("USD",'Exchange Rates'!B:C,2,0)</f>
        <v>0</v>
      </c>
      <c r="E55" s="399">
        <f t="shared" si="2"/>
        <v>0</v>
      </c>
      <c r="F55" s="400">
        <f t="shared" si="3"/>
        <v>0</v>
      </c>
      <c r="G55" s="401">
        <f>F55*VLOOKUP("European Peace Facility",'Aggregates by Country Group'!B:F,5,0)</f>
        <v>0</v>
      </c>
      <c r="H55" s="23"/>
      <c r="I55" s="23"/>
    </row>
    <row r="56" spans="2:9" ht="15.9" customHeight="1" x14ac:dyDescent="0.3">
      <c r="B56" s="20" t="s">
        <v>1687</v>
      </c>
      <c r="C56" s="404"/>
      <c r="D56" s="398">
        <f>C56*VLOOKUP("USD",'Exchange Rates'!B:C,2,0)</f>
        <v>0</v>
      </c>
      <c r="E56" s="399">
        <f t="shared" si="2"/>
        <v>0</v>
      </c>
      <c r="F56" s="400">
        <f t="shared" si="3"/>
        <v>0</v>
      </c>
      <c r="G56" s="401">
        <f>F56*VLOOKUP("European Peace Facility",'Aggregates by Country Group'!B:F,5,0)</f>
        <v>0</v>
      </c>
    </row>
  </sheetData>
  <mergeCells count="1">
    <mergeCell ref="B4:E8"/>
  </mergeCells>
  <hyperlinks>
    <hyperlink ref="C11" r:id="rId1" location="d1e1170-14-1  (Preamble, (19))" xr:uid="{00000000-0004-0000-2500-000000000000}"/>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5" tint="0.59999389629810485"/>
  </sheetPr>
  <dimension ref="B1:I56"/>
  <sheetViews>
    <sheetView showGridLines="0" zoomScaleNormal="100" workbookViewId="0"/>
  </sheetViews>
  <sheetFormatPr baseColWidth="10" defaultColWidth="8.59765625" defaultRowHeight="15.9" customHeight="1" x14ac:dyDescent="0.3"/>
  <cols>
    <col min="1" max="1" width="8.59765625" style="13" customWidth="1"/>
    <col min="2" max="3" width="40" style="13" bestFit="1" customWidth="1"/>
    <col min="4" max="4" width="21.8984375" style="95" customWidth="1"/>
    <col min="5" max="5" width="28" style="34" bestFit="1" customWidth="1"/>
    <col min="6" max="6" width="8.59765625" style="13" customWidth="1"/>
    <col min="7" max="16384" width="8.59765625" style="13"/>
  </cols>
  <sheetData>
    <row r="1" spans="2:9" s="35" customFormat="1" ht="15.9" customHeight="1" x14ac:dyDescent="0.3">
      <c r="B1" s="39"/>
      <c r="C1" s="148"/>
      <c r="D1" s="148"/>
      <c r="E1" s="148"/>
    </row>
    <row r="2" spans="2:9" s="39" customFormat="1" ht="24.75" customHeight="1" x14ac:dyDescent="0.35">
      <c r="B2" s="415" t="s">
        <v>3829</v>
      </c>
    </row>
    <row r="3" spans="2:9" s="116" customFormat="1" ht="15.9" customHeight="1" x14ac:dyDescent="0.25"/>
    <row r="4" spans="2:9" s="116" customFormat="1" ht="15.9" customHeight="1" x14ac:dyDescent="0.25">
      <c r="B4" s="1181" t="s">
        <v>3830</v>
      </c>
      <c r="C4" s="1181"/>
      <c r="D4" s="1181"/>
      <c r="E4" s="1181"/>
      <c r="F4" s="769"/>
      <c r="G4" s="769"/>
    </row>
    <row r="5" spans="2:9" s="116" customFormat="1" ht="15.9" customHeight="1" x14ac:dyDescent="0.25">
      <c r="B5" s="1181"/>
      <c r="C5" s="1181"/>
      <c r="D5" s="1181"/>
      <c r="E5" s="1181"/>
      <c r="F5" s="769"/>
      <c r="G5" s="769"/>
    </row>
    <row r="6" spans="2:9" s="116" customFormat="1" ht="15.9" customHeight="1" x14ac:dyDescent="0.25">
      <c r="B6" s="1181"/>
      <c r="C6" s="1181"/>
      <c r="D6" s="1181"/>
      <c r="E6" s="1181"/>
      <c r="F6" s="769"/>
      <c r="G6" s="769"/>
    </row>
    <row r="7" spans="2:9" s="116" customFormat="1" ht="15.9" customHeight="1" x14ac:dyDescent="0.25">
      <c r="B7" s="1181"/>
      <c r="C7" s="1181"/>
      <c r="D7" s="1181"/>
      <c r="E7" s="1181"/>
      <c r="F7" s="769"/>
      <c r="G7" s="769"/>
    </row>
    <row r="8" spans="2:9" s="116" customFormat="1" ht="15.9" customHeight="1" x14ac:dyDescent="0.25">
      <c r="B8" s="1181"/>
      <c r="C8" s="1181"/>
      <c r="D8" s="1181"/>
      <c r="E8" s="1181"/>
      <c r="F8" s="769"/>
      <c r="G8" s="769"/>
    </row>
    <row r="9" spans="2:9" s="116" customFormat="1" ht="15.9" customHeight="1" x14ac:dyDescent="0.25">
      <c r="B9" s="1181"/>
      <c r="C9" s="1181"/>
      <c r="D9" s="1181"/>
      <c r="E9" s="1181"/>
      <c r="F9" s="769"/>
      <c r="G9" s="769"/>
    </row>
    <row r="10" spans="2:9" ht="15.9" customHeight="1" x14ac:dyDescent="0.3">
      <c r="B10" s="24"/>
      <c r="C10" s="24"/>
      <c r="D10" s="96"/>
      <c r="E10" s="22"/>
      <c r="F10" s="24"/>
      <c r="G10" s="24"/>
      <c r="H10" s="24"/>
      <c r="I10" s="24"/>
    </row>
    <row r="11" spans="2:9" ht="15.9" customHeight="1" x14ac:dyDescent="0.3">
      <c r="B11" s="82" t="s">
        <v>3821</v>
      </c>
      <c r="C11" s="107" t="s">
        <v>3831</v>
      </c>
      <c r="F11" s="24"/>
      <c r="G11" s="24"/>
      <c r="H11" s="24"/>
      <c r="I11" s="24"/>
    </row>
    <row r="12" spans="2:9" ht="15.9" customHeight="1" x14ac:dyDescent="0.3">
      <c r="B12" s="85"/>
      <c r="C12" s="82"/>
      <c r="D12" s="99"/>
      <c r="E12" s="84"/>
      <c r="F12" s="98"/>
      <c r="G12" s="98"/>
      <c r="H12" s="98"/>
      <c r="I12" s="98"/>
    </row>
    <row r="13" spans="2:9" ht="24.75" customHeight="1" x14ac:dyDescent="0.3">
      <c r="B13" s="502" t="s">
        <v>3499</v>
      </c>
      <c r="C13" s="500" t="s">
        <v>3832</v>
      </c>
      <c r="D13" s="501" t="s">
        <v>3833</v>
      </c>
      <c r="E13" s="500" t="s">
        <v>3834</v>
      </c>
      <c r="F13" s="98"/>
      <c r="G13" s="98"/>
      <c r="H13" s="98"/>
      <c r="I13" s="98"/>
    </row>
    <row r="14" spans="2:9" ht="15.9" customHeight="1" x14ac:dyDescent="0.3">
      <c r="B14" s="86" t="s">
        <v>344</v>
      </c>
      <c r="C14" s="726">
        <v>6428994386</v>
      </c>
      <c r="D14" s="611">
        <f t="shared" ref="D14:D52" si="0">C14/$C$41</f>
        <v>2.5840465861099449E-2</v>
      </c>
      <c r="E14" s="728">
        <f>D14*VLOOKUP("European Investment Bank",'Aggregates by Country Group'!B:F,5,0)</f>
        <v>5.1745532886851645E-2</v>
      </c>
      <c r="F14" s="98"/>
      <c r="G14" s="98"/>
      <c r="H14" s="98"/>
      <c r="I14" s="98"/>
    </row>
    <row r="15" spans="2:9" ht="15.9" customHeight="1" x14ac:dyDescent="0.3">
      <c r="B15" s="86" t="s">
        <v>413</v>
      </c>
      <c r="C15" s="726">
        <v>12951115777</v>
      </c>
      <c r="D15" s="611">
        <f t="shared" si="0"/>
        <v>5.205524301397562E-2</v>
      </c>
      <c r="E15" s="728">
        <f>D15*VLOOKUP("European Investment Bank",'Aggregates by Country Group'!B:F,5,0)</f>
        <v>0.10424062413548618</v>
      </c>
      <c r="F15" s="98"/>
      <c r="G15" s="98"/>
      <c r="H15" s="98"/>
      <c r="I15" s="98"/>
    </row>
    <row r="16" spans="2:9" s="3" customFormat="1" ht="15.9" customHeight="1" x14ac:dyDescent="0.3">
      <c r="B16" s="86" t="s">
        <v>480</v>
      </c>
      <c r="C16" s="726">
        <v>510041217</v>
      </c>
      <c r="D16" s="611">
        <f t="shared" si="0"/>
        <v>2.050041089527577E-3</v>
      </c>
      <c r="E16" s="728">
        <f>D16*VLOOKUP("European Investment Bank",'Aggregates by Country Group'!B:F,5,0)</f>
        <v>4.105207281778973E-3</v>
      </c>
      <c r="F16" s="100"/>
      <c r="G16" s="100"/>
      <c r="H16" s="100"/>
      <c r="I16" s="100"/>
    </row>
    <row r="17" spans="2:9" ht="15.9" customHeight="1" x14ac:dyDescent="0.3">
      <c r="B17" s="86" t="s">
        <v>664</v>
      </c>
      <c r="C17" s="726">
        <v>1062312542</v>
      </c>
      <c r="D17" s="611">
        <f t="shared" si="0"/>
        <v>4.2698203369326716E-3</v>
      </c>
      <c r="E17" s="728">
        <f>D17*VLOOKUP("European Investment Bank",'Aggregates by Country Group'!B:F,5,0)</f>
        <v>8.5503152247076754E-3</v>
      </c>
      <c r="F17" s="24"/>
      <c r="G17" s="24"/>
      <c r="H17" s="24"/>
      <c r="I17" s="24"/>
    </row>
    <row r="18" spans="2:9" ht="15.9" customHeight="1" x14ac:dyDescent="0.3">
      <c r="B18" s="86" t="s">
        <v>696</v>
      </c>
      <c r="C18" s="726">
        <v>321508011</v>
      </c>
      <c r="D18" s="611">
        <f t="shared" si="0"/>
        <v>1.2922575885906966E-3</v>
      </c>
      <c r="E18" s="728">
        <f>D18*VLOOKUP("European Investment Bank",'Aggregates by Country Group'!B:F,5,0)</f>
        <v>2.5877458211528699E-3</v>
      </c>
      <c r="F18" s="24"/>
      <c r="G18" s="24"/>
      <c r="H18" s="24"/>
      <c r="I18" s="24"/>
    </row>
    <row r="19" spans="2:9" ht="15.9" customHeight="1" x14ac:dyDescent="0.3">
      <c r="B19" s="86" t="s">
        <v>716</v>
      </c>
      <c r="C19" s="726">
        <v>2206922328</v>
      </c>
      <c r="D19" s="611">
        <f t="shared" si="0"/>
        <v>8.8704232187491166E-3</v>
      </c>
      <c r="E19" s="728">
        <f>D19*VLOOKUP("European Investment Bank",'Aggregates by Country Group'!B:F,5,0)</f>
        <v>1.7763022495545105E-2</v>
      </c>
      <c r="F19" s="24"/>
      <c r="G19" s="24"/>
      <c r="H19" s="24"/>
      <c r="I19" s="24"/>
    </row>
    <row r="20" spans="2:9" ht="15.9" customHeight="1" x14ac:dyDescent="0.3">
      <c r="B20" s="86" t="s">
        <v>856</v>
      </c>
      <c r="C20" s="726">
        <v>6557521657</v>
      </c>
      <c r="D20" s="611">
        <f t="shared" si="0"/>
        <v>2.6357063692593618E-2</v>
      </c>
      <c r="E20" s="728">
        <f>D20*VLOOKUP("European Investment Bank",'Aggregates by Country Group'!B:F,5,0)</f>
        <v>5.2780020044418716E-2</v>
      </c>
      <c r="F20" s="24"/>
      <c r="G20" s="24"/>
      <c r="H20" s="24"/>
      <c r="I20" s="24"/>
    </row>
    <row r="21" spans="2:9" ht="15.9" customHeight="1" x14ac:dyDescent="0.3">
      <c r="B21" s="86" t="s">
        <v>937</v>
      </c>
      <c r="C21" s="726">
        <v>206248240</v>
      </c>
      <c r="D21" s="611">
        <f t="shared" si="0"/>
        <v>8.2898666333224046E-4</v>
      </c>
      <c r="E21" s="728">
        <f>D21*VLOOKUP("European Investment Bank",'Aggregates by Country Group'!B:F,5,0)</f>
        <v>1.6600457933228115E-3</v>
      </c>
      <c r="F21" s="24"/>
      <c r="G21" s="24"/>
      <c r="H21" s="24"/>
      <c r="I21" s="24"/>
    </row>
    <row r="22" spans="2:9" ht="15.9" customHeight="1" x14ac:dyDescent="0.3">
      <c r="B22" s="86" t="s">
        <v>1025</v>
      </c>
      <c r="C22" s="726">
        <v>3693702498</v>
      </c>
      <c r="D22" s="611">
        <f t="shared" si="0"/>
        <v>1.4846333278572373E-2</v>
      </c>
      <c r="E22" s="728">
        <f>D22*VLOOKUP("European Investment Bank",'Aggregates by Country Group'!B:F,5,0)</f>
        <v>2.9729782390341176E-2</v>
      </c>
      <c r="F22" s="24"/>
      <c r="G22" s="24"/>
      <c r="H22" s="24"/>
      <c r="I22" s="24"/>
    </row>
    <row r="23" spans="2:9" ht="15.9" customHeight="1" x14ac:dyDescent="0.3">
      <c r="B23" s="86" t="s">
        <v>1131</v>
      </c>
      <c r="C23" s="726">
        <v>46722369149</v>
      </c>
      <c r="D23" s="611">
        <f t="shared" si="0"/>
        <v>0.18779418871068534</v>
      </c>
      <c r="E23" s="728">
        <f>D23*VLOOKUP("European Investment Bank",'Aggregates by Country Group'!B:F,5,0)</f>
        <v>0.37605786289314741</v>
      </c>
      <c r="F23" s="24"/>
      <c r="G23" s="24"/>
      <c r="H23" s="24"/>
      <c r="I23" s="24"/>
    </row>
    <row r="24" spans="2:9" ht="15.9" customHeight="1" x14ac:dyDescent="0.3">
      <c r="B24" s="86" t="s">
        <v>1288</v>
      </c>
      <c r="C24" s="726">
        <v>46722369149</v>
      </c>
      <c r="D24" s="611">
        <f t="shared" si="0"/>
        <v>0.18779418871068534</v>
      </c>
      <c r="E24" s="728">
        <f>D24*VLOOKUP("European Investment Bank",'Aggregates by Country Group'!B:F,5,0)</f>
        <v>0.37605786289314741</v>
      </c>
      <c r="F24" s="24"/>
      <c r="G24" s="24"/>
      <c r="H24" s="24"/>
      <c r="I24" s="24"/>
    </row>
    <row r="25" spans="2:9" ht="15.9" customHeight="1" x14ac:dyDescent="0.3">
      <c r="B25" s="86" t="s">
        <v>1606</v>
      </c>
      <c r="C25" s="726">
        <v>3512961713</v>
      </c>
      <c r="D25" s="611">
        <f t="shared" si="0"/>
        <v>1.4119870350766542E-2</v>
      </c>
      <c r="E25" s="728">
        <f>D25*VLOOKUP("European Investment Bank",'Aggregates by Country Group'!B:F,5,0)</f>
        <v>2.827504037741E-2</v>
      </c>
      <c r="F25" s="24"/>
      <c r="G25" s="24"/>
      <c r="H25" s="24"/>
      <c r="I25" s="24"/>
    </row>
    <row r="26" spans="2:9" ht="15.9" customHeight="1" x14ac:dyDescent="0.3">
      <c r="B26" s="86" t="s">
        <v>1646</v>
      </c>
      <c r="C26" s="726">
        <v>2087849195</v>
      </c>
      <c r="D26" s="611">
        <f t="shared" si="0"/>
        <v>8.3918250051683071E-3</v>
      </c>
      <c r="E26" s="728">
        <f>D26*VLOOKUP("European Investment Bank",'Aggregates by Country Group'!B:F,5,0)</f>
        <v>1.6804629572849533E-2</v>
      </c>
      <c r="F26" s="24"/>
      <c r="G26" s="24"/>
      <c r="H26" s="24"/>
      <c r="I26" s="24"/>
    </row>
    <row r="27" spans="2:9" ht="15.9" customHeight="1" x14ac:dyDescent="0.3">
      <c r="B27" s="86" t="s">
        <v>1701</v>
      </c>
      <c r="C27" s="726">
        <v>1639379073</v>
      </c>
      <c r="D27" s="611">
        <f t="shared" si="0"/>
        <v>6.5892605321770095E-3</v>
      </c>
      <c r="E27" s="728">
        <f>D27*VLOOKUP("European Investment Bank",'Aggregates by Country Group'!B:F,5,0)</f>
        <v>1.3194994215684461E-2</v>
      </c>
      <c r="F27" s="24"/>
      <c r="G27" s="24"/>
      <c r="H27" s="24"/>
      <c r="I27" s="24"/>
    </row>
    <row r="28" spans="2:9" ht="15.9" customHeight="1" x14ac:dyDescent="0.3">
      <c r="B28" s="86" t="s">
        <v>1730</v>
      </c>
      <c r="C28" s="726">
        <v>46722369149</v>
      </c>
      <c r="D28" s="611">
        <f t="shared" si="0"/>
        <v>0.18779418871068534</v>
      </c>
      <c r="E28" s="728">
        <f>D28*VLOOKUP("European Investment Bank",'Aggregates by Country Group'!B:F,5,0)</f>
        <v>0.37605786289314741</v>
      </c>
      <c r="F28" s="24"/>
      <c r="G28" s="24"/>
      <c r="H28" s="24"/>
      <c r="I28" s="24"/>
    </row>
    <row r="29" spans="2:9" ht="15.9" customHeight="1" x14ac:dyDescent="0.3">
      <c r="B29" s="86" t="s">
        <v>1861</v>
      </c>
      <c r="C29" s="726">
        <v>267076094</v>
      </c>
      <c r="D29" s="611">
        <f t="shared" si="0"/>
        <v>1.0734759240654263E-3</v>
      </c>
      <c r="E29" s="728">
        <f>D29*VLOOKUP("European Investment Bank",'Aggregates by Country Group'!B:F,5,0)</f>
        <v>2.1496355379410164E-3</v>
      </c>
      <c r="F29" s="24"/>
      <c r="G29" s="24"/>
      <c r="H29" s="24"/>
      <c r="I29" s="24"/>
    </row>
    <row r="30" spans="2:9" ht="15.9" customHeight="1" x14ac:dyDescent="0.3">
      <c r="B30" s="86" t="s">
        <v>1919</v>
      </c>
      <c r="C30" s="726">
        <v>437633208</v>
      </c>
      <c r="D30" s="611">
        <f t="shared" si="0"/>
        <v>1.7590069755906977E-3</v>
      </c>
      <c r="E30" s="728">
        <f>D30*VLOOKUP("European Investment Bank",'Aggregates by Country Group'!B:F,5,0)</f>
        <v>3.5224114686203721E-3</v>
      </c>
      <c r="F30" s="24"/>
      <c r="G30" s="24"/>
      <c r="H30" s="24"/>
      <c r="I30" s="24"/>
    </row>
    <row r="31" spans="2:9" ht="15.9" customHeight="1" x14ac:dyDescent="0.3">
      <c r="B31" s="86" t="s">
        <v>2024</v>
      </c>
      <c r="C31" s="726">
        <v>327878318</v>
      </c>
      <c r="D31" s="611">
        <f t="shared" si="0"/>
        <v>1.3178621685101762E-3</v>
      </c>
      <c r="E31" s="728">
        <f>D31*VLOOKUP("European Investment Bank",'Aggregates by Country Group'!B:F,5,0)</f>
        <v>2.6390189924416279E-3</v>
      </c>
      <c r="F31" s="24"/>
      <c r="G31" s="24"/>
      <c r="H31" s="24"/>
      <c r="I31" s="24"/>
    </row>
    <row r="32" spans="2:9" ht="15.9" customHeight="1" x14ac:dyDescent="0.3">
      <c r="B32" s="86" t="s">
        <v>2066</v>
      </c>
      <c r="C32" s="726">
        <v>122381664</v>
      </c>
      <c r="D32" s="611">
        <f t="shared" si="0"/>
        <v>4.9189640257006498E-4</v>
      </c>
      <c r="E32" s="728">
        <f>D32*VLOOKUP("European Investment Bank",'Aggregates by Country Group'!B:F,5,0)</f>
        <v>9.8502254614655517E-4</v>
      </c>
      <c r="F32" s="24"/>
      <c r="G32" s="24"/>
      <c r="H32" s="24"/>
      <c r="I32" s="24"/>
    </row>
    <row r="33" spans="2:9" ht="15.9" customHeight="1" x14ac:dyDescent="0.3">
      <c r="B33" s="86" t="s">
        <v>2076</v>
      </c>
      <c r="C33" s="726">
        <v>12951115777</v>
      </c>
      <c r="D33" s="611">
        <f t="shared" si="0"/>
        <v>5.205524301397562E-2</v>
      </c>
      <c r="E33" s="728">
        <f>D33*VLOOKUP("European Investment Bank",'Aggregates by Country Group'!B:F,5,0)</f>
        <v>0.10424062413548618</v>
      </c>
      <c r="F33" s="24"/>
      <c r="G33" s="24"/>
      <c r="H33" s="24"/>
      <c r="I33" s="24"/>
    </row>
    <row r="34" spans="2:9" ht="15.9" customHeight="1" x14ac:dyDescent="0.3">
      <c r="B34" s="86" t="s">
        <v>2303</v>
      </c>
      <c r="C34" s="726">
        <v>11366679827</v>
      </c>
      <c r="D34" s="611">
        <f t="shared" si="0"/>
        <v>4.5686818869099775E-2</v>
      </c>
      <c r="E34" s="728">
        <f>D34*VLOOKUP("European Investment Bank",'Aggregates by Country Group'!B:F,5,0)</f>
        <v>9.1487854785372302E-2</v>
      </c>
      <c r="F34" s="24"/>
      <c r="G34" s="24"/>
      <c r="H34" s="24"/>
      <c r="I34" s="24"/>
    </row>
    <row r="35" spans="2:9" ht="15.9" customHeight="1" x14ac:dyDescent="0.3">
      <c r="B35" s="86" t="s">
        <v>2370</v>
      </c>
      <c r="C35" s="726">
        <v>2263904037</v>
      </c>
      <c r="D35" s="611">
        <f t="shared" si="0"/>
        <v>9.0994534243638587E-3</v>
      </c>
      <c r="E35" s="728">
        <f>D35*VLOOKUP("European Investment Bank",'Aggregates by Country Group'!B:F,5,0)</f>
        <v>1.8221655482288625E-2</v>
      </c>
      <c r="F35" s="24"/>
      <c r="G35" s="24"/>
      <c r="H35" s="24"/>
      <c r="I35" s="24"/>
    </row>
    <row r="36" spans="2:9" ht="15.9" customHeight="1" x14ac:dyDescent="0.3">
      <c r="B36" s="86" t="s">
        <v>2460</v>
      </c>
      <c r="C36" s="726">
        <v>1639379073</v>
      </c>
      <c r="D36" s="611">
        <f t="shared" si="0"/>
        <v>6.5892605321770095E-3</v>
      </c>
      <c r="E36" s="728">
        <f>D36*VLOOKUP("European Investment Bank",'Aggregates by Country Group'!B:F,5,0)</f>
        <v>1.3194994215684461E-2</v>
      </c>
      <c r="F36" s="24"/>
      <c r="G36" s="24"/>
      <c r="H36" s="24"/>
      <c r="I36" s="24"/>
    </row>
    <row r="37" spans="2:9" ht="15.9" customHeight="1" x14ac:dyDescent="0.3">
      <c r="B37" s="86" t="s">
        <v>2489</v>
      </c>
      <c r="C37" s="726">
        <v>751236149</v>
      </c>
      <c r="D37" s="611">
        <f t="shared" si="0"/>
        <v>3.0194912137629483E-3</v>
      </c>
      <c r="E37" s="728">
        <f>D37*VLOOKUP("European Investment Bank",'Aggregates by Country Group'!B:F,5,0)</f>
        <v>6.0465311555603042E-3</v>
      </c>
      <c r="F37" s="24"/>
      <c r="G37" s="24"/>
      <c r="H37" s="24"/>
      <c r="I37" s="24"/>
    </row>
    <row r="38" spans="2:9" ht="15.9" customHeight="1" x14ac:dyDescent="0.3">
      <c r="B38" s="86" t="s">
        <v>2547</v>
      </c>
      <c r="C38" s="726">
        <v>697455090</v>
      </c>
      <c r="D38" s="611">
        <f t="shared" si="0"/>
        <v>2.8033255841755909E-3</v>
      </c>
      <c r="E38" s="728">
        <f>D38*VLOOKUP("European Investment Bank",'Aggregates by Country Group'!B:F,5,0)</f>
        <v>5.6136594823116203E-3</v>
      </c>
      <c r="F38" s="24"/>
      <c r="G38" s="24"/>
      <c r="H38" s="24"/>
      <c r="I38" s="24"/>
    </row>
    <row r="39" spans="2:9" ht="15.9" customHeight="1" x14ac:dyDescent="0.3">
      <c r="B39" s="86" t="s">
        <v>2615</v>
      </c>
      <c r="C39" s="726">
        <v>28033421847</v>
      </c>
      <c r="D39" s="611">
        <f t="shared" si="0"/>
        <v>0.11267651466373563</v>
      </c>
      <c r="E39" s="728">
        <f>D39*VLOOKUP("European Investment Bank",'Aggregates by Country Group'!B:F,5,0)</f>
        <v>0.22563472061413059</v>
      </c>
      <c r="F39" s="24"/>
      <c r="G39" s="24"/>
      <c r="H39" s="24"/>
      <c r="I39" s="24"/>
    </row>
    <row r="40" spans="2:9" ht="15.9" customHeight="1" x14ac:dyDescent="0.3">
      <c r="B40" s="86" t="s">
        <v>2715</v>
      </c>
      <c r="C40" s="726">
        <v>8591781713</v>
      </c>
      <c r="D40" s="611">
        <f t="shared" si="0"/>
        <v>3.4533494464431949E-2</v>
      </c>
      <c r="E40" s="728">
        <f>D40*VLOOKUP("European Investment Bank",'Aggregates by Country Group'!B:F,5,0)</f>
        <v>6.9153322665024983E-2</v>
      </c>
      <c r="F40" s="24"/>
      <c r="G40" s="24"/>
      <c r="H40" s="24"/>
      <c r="I40" s="24"/>
    </row>
    <row r="41" spans="2:9" ht="15.9" customHeight="1" x14ac:dyDescent="0.3">
      <c r="B41" s="87" t="s">
        <v>3828</v>
      </c>
      <c r="C41" s="727">
        <v>248795606881</v>
      </c>
      <c r="D41" s="612">
        <f t="shared" si="0"/>
        <v>1</v>
      </c>
      <c r="E41" s="728">
        <f>D41*VLOOKUP("European Investment Bank",'Aggregates by Country Group'!B:F,5,0)</f>
        <v>2.0024999999999999</v>
      </c>
      <c r="F41" s="24"/>
      <c r="G41" s="24"/>
      <c r="H41" s="24"/>
      <c r="I41" s="24"/>
    </row>
    <row r="42" spans="2:9" ht="15.9" customHeight="1" x14ac:dyDescent="0.3">
      <c r="B42" s="82" t="s">
        <v>3038</v>
      </c>
      <c r="C42" s="610">
        <v>0</v>
      </c>
      <c r="D42" s="611">
        <f t="shared" si="0"/>
        <v>0</v>
      </c>
      <c r="E42" s="728">
        <f>D42*VLOOKUP("European Investment Bank",'Aggregates by Country Group'!B:F,5,0)</f>
        <v>0</v>
      </c>
      <c r="F42" s="24"/>
      <c r="G42" s="24"/>
      <c r="H42" s="24"/>
      <c r="I42" s="24"/>
    </row>
    <row r="43" spans="2:9" ht="15.9" customHeight="1" x14ac:dyDescent="0.3">
      <c r="B43" s="82" t="s">
        <v>517</v>
      </c>
      <c r="C43" s="610">
        <v>0</v>
      </c>
      <c r="D43" s="611">
        <f t="shared" si="0"/>
        <v>0</v>
      </c>
      <c r="E43" s="728">
        <f>D43*VLOOKUP("European Investment Bank",'Aggregates by Country Group'!B:F,5,0)</f>
        <v>0</v>
      </c>
      <c r="F43" s="24"/>
      <c r="G43" s="24"/>
      <c r="H43" s="24"/>
      <c r="I43" s="24"/>
    </row>
    <row r="44" spans="2:9" ht="15.9" customHeight="1" x14ac:dyDescent="0.3">
      <c r="B44" s="82" t="s">
        <v>2864</v>
      </c>
      <c r="C44" s="610">
        <v>0</v>
      </c>
      <c r="D44" s="611">
        <f t="shared" si="0"/>
        <v>0</v>
      </c>
      <c r="E44" s="728">
        <f>D44*VLOOKUP("European Investment Bank",'Aggregates by Country Group'!B:F,5,0)</f>
        <v>0</v>
      </c>
      <c r="F44" s="24"/>
      <c r="G44" s="24"/>
      <c r="H44" s="24"/>
      <c r="I44" s="24"/>
    </row>
    <row r="45" spans="2:9" ht="15.9" customHeight="1" x14ac:dyDescent="0.3">
      <c r="B45" s="82" t="s">
        <v>1804</v>
      </c>
      <c r="C45" s="610">
        <v>0</v>
      </c>
      <c r="D45" s="611">
        <f t="shared" si="0"/>
        <v>0</v>
      </c>
      <c r="E45" s="728">
        <f>D45*VLOOKUP("European Investment Bank",'Aggregates by Country Group'!B:F,5,0)</f>
        <v>0</v>
      </c>
      <c r="F45" s="24"/>
      <c r="G45" s="24"/>
      <c r="H45" s="24"/>
      <c r="I45" s="24"/>
    </row>
    <row r="46" spans="2:9" ht="15.9" customHeight="1" x14ac:dyDescent="0.3">
      <c r="B46" s="82" t="s">
        <v>3818</v>
      </c>
      <c r="C46" s="610">
        <v>0</v>
      </c>
      <c r="D46" s="611">
        <f t="shared" si="0"/>
        <v>0</v>
      </c>
      <c r="E46" s="728">
        <f>D46*VLOOKUP("European Investment Bank",'Aggregates by Country Group'!B:F,5,0)</f>
        <v>0</v>
      </c>
      <c r="F46" s="24"/>
      <c r="G46" s="24"/>
      <c r="H46" s="24"/>
      <c r="I46" s="24"/>
    </row>
    <row r="47" spans="2:9" ht="15.9" customHeight="1" x14ac:dyDescent="0.3">
      <c r="B47" s="24" t="s">
        <v>2820</v>
      </c>
      <c r="C47" s="610">
        <v>0</v>
      </c>
      <c r="D47" s="611">
        <f t="shared" si="0"/>
        <v>0</v>
      </c>
      <c r="E47" s="728">
        <f>D47*VLOOKUP("European Investment Bank",'Aggregates by Country Group'!B:F,5,0)</f>
        <v>0</v>
      </c>
      <c r="F47" s="24"/>
      <c r="G47" s="24"/>
      <c r="H47" s="24"/>
      <c r="I47" s="24"/>
    </row>
    <row r="48" spans="2:9" ht="15.9" customHeight="1" x14ac:dyDescent="0.3">
      <c r="B48" s="24" t="s">
        <v>2792</v>
      </c>
      <c r="C48" s="610">
        <v>0</v>
      </c>
      <c r="D48" s="611">
        <f t="shared" si="0"/>
        <v>0</v>
      </c>
      <c r="E48" s="728">
        <f>D48*VLOOKUP("European Investment Bank",'Aggregates by Country Group'!B:F,5,0)</f>
        <v>0</v>
      </c>
      <c r="F48" s="24"/>
      <c r="G48" s="24"/>
      <c r="H48" s="24"/>
      <c r="I48" s="24"/>
    </row>
    <row r="49" spans="2:9" ht="15.9" customHeight="1" x14ac:dyDescent="0.3">
      <c r="B49" s="24" t="s">
        <v>2206</v>
      </c>
      <c r="C49" s="610">
        <v>0</v>
      </c>
      <c r="D49" s="611">
        <f t="shared" si="0"/>
        <v>0</v>
      </c>
      <c r="E49" s="728">
        <f>D49*VLOOKUP("European Investment Bank",'Aggregates by Country Group'!B:F,5,0)</f>
        <v>0</v>
      </c>
      <c r="F49" s="24"/>
      <c r="G49" s="24"/>
      <c r="H49" s="24"/>
      <c r="I49" s="24"/>
    </row>
    <row r="50" spans="2:9" ht="15.9" customHeight="1" x14ac:dyDescent="0.3">
      <c r="B50" s="24" t="s">
        <v>2168</v>
      </c>
      <c r="C50" s="610">
        <v>0</v>
      </c>
      <c r="D50" s="611">
        <f t="shared" si="0"/>
        <v>0</v>
      </c>
      <c r="E50" s="728">
        <f>D50*VLOOKUP("European Investment Bank",'Aggregates by Country Group'!B:F,5,0)</f>
        <v>0</v>
      </c>
      <c r="F50" s="24"/>
      <c r="G50" s="24"/>
      <c r="H50" s="24"/>
      <c r="I50" s="24"/>
    </row>
    <row r="51" spans="2:9" ht="15.9" customHeight="1" x14ac:dyDescent="0.3">
      <c r="B51" s="24" t="s">
        <v>255</v>
      </c>
      <c r="C51" s="610">
        <v>0</v>
      </c>
      <c r="D51" s="611">
        <f t="shared" si="0"/>
        <v>0</v>
      </c>
      <c r="E51" s="728">
        <f>D51*VLOOKUP("European Investment Bank",'Aggregates by Country Group'!B:F,5,0)</f>
        <v>0</v>
      </c>
      <c r="F51" s="24"/>
      <c r="G51" s="24"/>
      <c r="H51" s="24"/>
      <c r="I51" s="24"/>
    </row>
    <row r="52" spans="2:9" ht="15.9" customHeight="1" x14ac:dyDescent="0.3">
      <c r="B52" s="24" t="s">
        <v>2424</v>
      </c>
      <c r="C52" s="610">
        <v>0</v>
      </c>
      <c r="D52" s="611">
        <f t="shared" si="0"/>
        <v>0</v>
      </c>
      <c r="E52" s="728">
        <f>D52*VLOOKUP("European Investment Bank",'Aggregates by Country Group'!B:F,5,0)</f>
        <v>0</v>
      </c>
      <c r="F52" s="24"/>
      <c r="G52" s="24"/>
      <c r="H52" s="24"/>
      <c r="I52" s="24"/>
    </row>
    <row r="53" spans="2:9" ht="15.9" customHeight="1" x14ac:dyDescent="0.3">
      <c r="B53" s="13" t="s">
        <v>3426</v>
      </c>
      <c r="C53" s="610">
        <v>0</v>
      </c>
      <c r="D53" s="611">
        <f t="shared" ref="D53:D56" si="1">C53/$C$41</f>
        <v>0</v>
      </c>
      <c r="E53" s="728">
        <f>D53*VLOOKUP("European Investment Bank",'Aggregates by Country Group'!B:F,5,0)</f>
        <v>0</v>
      </c>
      <c r="F53" s="24"/>
      <c r="G53" s="24"/>
      <c r="H53" s="24"/>
      <c r="I53" s="24"/>
    </row>
    <row r="54" spans="2:9" ht="15.9" customHeight="1" x14ac:dyDescent="0.3">
      <c r="B54" s="13" t="s">
        <v>656</v>
      </c>
      <c r="C54" s="610">
        <v>0</v>
      </c>
      <c r="D54" s="611">
        <f t="shared" si="1"/>
        <v>0</v>
      </c>
      <c r="E54" s="728">
        <f>D54*VLOOKUP("European Investment Bank",'Aggregates by Country Group'!B:F,5,0)</f>
        <v>0</v>
      </c>
      <c r="F54" s="24"/>
      <c r="G54" s="24"/>
      <c r="H54" s="24"/>
      <c r="I54" s="24"/>
    </row>
    <row r="55" spans="2:9" ht="15.9" customHeight="1" x14ac:dyDescent="0.3">
      <c r="B55" s="13" t="s">
        <v>2840</v>
      </c>
      <c r="C55" s="610">
        <v>0</v>
      </c>
      <c r="D55" s="611">
        <f t="shared" si="1"/>
        <v>0</v>
      </c>
      <c r="E55" s="728">
        <f>D55*VLOOKUP("European Investment Bank",'Aggregates by Country Group'!B:F,5,0)</f>
        <v>0</v>
      </c>
      <c r="F55" s="24"/>
      <c r="G55" s="24"/>
      <c r="H55" s="24"/>
      <c r="I55" s="24"/>
    </row>
    <row r="56" spans="2:9" ht="15.9" customHeight="1" x14ac:dyDescent="0.3">
      <c r="B56" s="13" t="s">
        <v>1687</v>
      </c>
      <c r="C56" s="610">
        <v>0</v>
      </c>
      <c r="D56" s="611">
        <f t="shared" si="1"/>
        <v>0</v>
      </c>
      <c r="E56" s="728">
        <f>D56*VLOOKUP("European Investment Bank",'Aggregates by Country Group'!B:F,5,0)</f>
        <v>0</v>
      </c>
    </row>
  </sheetData>
  <mergeCells count="1">
    <mergeCell ref="B4:E9"/>
  </mergeCells>
  <hyperlinks>
    <hyperlink ref="C11" r:id="rId1" xr:uid="{00000000-0004-0000-26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8CBAD"/>
  </sheetPr>
  <dimension ref="A1:AV1185"/>
  <sheetViews>
    <sheetView zoomScaleNormal="100" workbookViewId="0">
      <pane xSplit="1" ySplit="1" topLeftCell="B2" activePane="bottomRight" state="frozen"/>
      <selection pane="topRight" activeCell="B9" sqref="B9"/>
      <selection pane="bottomLeft" activeCell="B9" sqref="B9"/>
      <selection pane="bottomRight"/>
    </sheetView>
  </sheetViews>
  <sheetFormatPr baseColWidth="10" defaultColWidth="8.5" defaultRowHeight="15.9" customHeight="1" x14ac:dyDescent="0.3"/>
  <cols>
    <col min="1" max="1" width="8" style="17" customWidth="1"/>
    <col min="2" max="2" width="44.3984375" style="17" customWidth="1"/>
    <col min="3" max="3" width="18.5" style="174" customWidth="1"/>
    <col min="4" max="4" width="19.5" style="5" customWidth="1"/>
    <col min="5" max="5" width="52.5" style="5" customWidth="1"/>
    <col min="6" max="6" width="55" style="175" customWidth="1"/>
    <col min="7" max="7" width="53.3984375" style="17" customWidth="1"/>
    <col min="8" max="8" width="18.59765625" style="244" customWidth="1"/>
    <col min="9" max="9" width="29.5" style="244" customWidth="1"/>
    <col min="10" max="10" width="29.8984375" style="243" customWidth="1"/>
    <col min="11" max="11" width="19.5" style="243" bestFit="1" customWidth="1"/>
    <col min="12" max="12" width="16.59765625" style="243" customWidth="1"/>
    <col min="13" max="13" width="18.5" style="243" bestFit="1" customWidth="1"/>
    <col min="14" max="14" width="21.5" style="243" bestFit="1" customWidth="1"/>
    <col min="15" max="15" width="21" style="243" bestFit="1" customWidth="1"/>
    <col min="16" max="16" width="34.5" style="243" bestFit="1" customWidth="1"/>
    <col min="17" max="17" width="18.09765625" style="244" customWidth="1"/>
    <col min="18" max="18" width="25.5" style="243" bestFit="1" customWidth="1"/>
    <col min="19" max="19" width="22.5" style="243" customWidth="1"/>
    <col min="20" max="22" width="16.5" style="243" bestFit="1" customWidth="1"/>
    <col min="23" max="23" width="14.09765625" style="243" customWidth="1"/>
    <col min="24" max="25" width="8.5" style="243"/>
    <col min="26" max="26" width="13.5" style="243" bestFit="1" customWidth="1"/>
    <col min="27" max="28" width="8.5" style="243"/>
    <col min="29" max="29" width="8.5" style="235"/>
    <col min="30" max="16384" width="8.5" style="243"/>
  </cols>
  <sheetData>
    <row r="1" spans="1:48" s="213" customFormat="1" ht="15.9" customHeight="1" x14ac:dyDescent="0.3">
      <c r="A1" s="202" t="s">
        <v>204</v>
      </c>
      <c r="B1" s="697" t="s">
        <v>3835</v>
      </c>
      <c r="C1" s="537" t="s">
        <v>206</v>
      </c>
      <c r="D1" s="697" t="s">
        <v>207</v>
      </c>
      <c r="E1" s="202" t="s">
        <v>208</v>
      </c>
      <c r="F1" s="202" t="s">
        <v>209</v>
      </c>
      <c r="G1" s="205" t="s">
        <v>3836</v>
      </c>
      <c r="H1" s="204" t="s">
        <v>3837</v>
      </c>
      <c r="I1" s="205" t="s">
        <v>3838</v>
      </c>
      <c r="J1" s="206" t="s">
        <v>211</v>
      </c>
      <c r="K1" s="207" t="s">
        <v>210</v>
      </c>
      <c r="L1" s="208" t="s">
        <v>3839</v>
      </c>
      <c r="M1" s="538" t="s">
        <v>216</v>
      </c>
      <c r="N1" s="538" t="s">
        <v>218</v>
      </c>
      <c r="O1" s="729" t="s">
        <v>3840</v>
      </c>
      <c r="P1" s="730" t="s">
        <v>3841</v>
      </c>
      <c r="Q1" s="730" t="s">
        <v>3842</v>
      </c>
      <c r="R1" s="730" t="s">
        <v>221</v>
      </c>
      <c r="S1" s="731" t="s">
        <v>222</v>
      </c>
      <c r="T1" s="208" t="s">
        <v>224</v>
      </c>
      <c r="U1" s="202" t="s">
        <v>225</v>
      </c>
      <c r="V1" s="213" t="s">
        <v>226</v>
      </c>
      <c r="W1" s="213" t="s">
        <v>227</v>
      </c>
      <c r="Z1" s="202"/>
      <c r="AB1" s="214"/>
      <c r="AD1" s="215"/>
      <c r="AE1" s="215"/>
      <c r="AF1" s="215"/>
      <c r="AG1" s="215"/>
      <c r="AH1" s="215"/>
      <c r="AI1" s="215"/>
      <c r="AJ1" s="215"/>
      <c r="AK1" s="215"/>
      <c r="AL1" s="215"/>
      <c r="AM1" s="215"/>
    </row>
    <row r="2" spans="1:48" s="18" customFormat="1" ht="15.9" customHeight="1" x14ac:dyDescent="0.3">
      <c r="A2" s="17" t="s">
        <v>3843</v>
      </c>
      <c r="B2" s="17" t="s">
        <v>3528</v>
      </c>
      <c r="C2" s="174">
        <v>44629</v>
      </c>
      <c r="D2" s="5" t="s">
        <v>405</v>
      </c>
      <c r="E2" s="5" t="s">
        <v>3844</v>
      </c>
      <c r="F2" s="175" t="s">
        <v>3845</v>
      </c>
      <c r="G2" s="184" t="s">
        <v>260</v>
      </c>
      <c r="H2" s="233" t="s">
        <v>260</v>
      </c>
      <c r="I2" s="598" t="s">
        <v>260</v>
      </c>
      <c r="J2" s="233">
        <v>2000000000</v>
      </c>
      <c r="K2" s="599" t="s">
        <v>346</v>
      </c>
      <c r="L2" s="177" t="s">
        <v>260</v>
      </c>
      <c r="M2" s="226" t="s">
        <v>260</v>
      </c>
      <c r="N2" s="233" t="s">
        <v>260</v>
      </c>
      <c r="O2" s="178" t="s">
        <v>260</v>
      </c>
      <c r="P2" s="176" t="s">
        <v>260</v>
      </c>
      <c r="Q2" s="176" t="s">
        <v>260</v>
      </c>
      <c r="R2" s="176">
        <f>J2</f>
        <v>2000000000</v>
      </c>
      <c r="S2" s="176">
        <f>R2/VLOOKUP(K2,'Exchange Rates'!$B$11:$C$25,2,0)</f>
        <v>1904761904.7619047</v>
      </c>
      <c r="T2" s="177" t="s">
        <v>261</v>
      </c>
      <c r="U2" s="698" t="s">
        <v>3846</v>
      </c>
      <c r="V2" s="699" t="s">
        <v>3847</v>
      </c>
      <c r="W2" s="700" t="s">
        <v>3848</v>
      </c>
      <c r="X2" s="703" t="s">
        <v>260</v>
      </c>
      <c r="Y2" s="234"/>
      <c r="Z2" s="232"/>
      <c r="AA2" s="227"/>
      <c r="AB2" s="228"/>
      <c r="AC2" s="235"/>
      <c r="AD2" s="235"/>
      <c r="AE2" s="235"/>
      <c r="AF2" s="235"/>
      <c r="AG2" s="235"/>
      <c r="AH2" s="235"/>
      <c r="AI2" s="235"/>
      <c r="AJ2" s="181"/>
      <c r="AK2" s="181"/>
      <c r="AL2" s="181"/>
      <c r="AM2" s="181"/>
      <c r="AN2" s="182"/>
      <c r="AO2" s="182"/>
      <c r="AP2" s="179"/>
      <c r="AQ2" s="182"/>
      <c r="AS2" s="182"/>
      <c r="AT2" s="182"/>
      <c r="AU2" s="182"/>
      <c r="AV2" s="182"/>
    </row>
    <row r="3" spans="1:48" s="18" customFormat="1" ht="15.9" customHeight="1" x14ac:dyDescent="0.3">
      <c r="A3" s="17" t="s">
        <v>3849</v>
      </c>
      <c r="B3" s="17" t="s">
        <v>3528</v>
      </c>
      <c r="C3" s="174">
        <v>44858</v>
      </c>
      <c r="D3" s="5" t="s">
        <v>405</v>
      </c>
      <c r="E3" s="5" t="s">
        <v>821</v>
      </c>
      <c r="F3" s="175" t="s">
        <v>3850</v>
      </c>
      <c r="G3" s="17" t="s">
        <v>260</v>
      </c>
      <c r="H3" s="233" t="s">
        <v>260</v>
      </c>
      <c r="I3" s="598" t="s">
        <v>346</v>
      </c>
      <c r="J3" s="233">
        <v>1000000000</v>
      </c>
      <c r="K3" s="599" t="s">
        <v>346</v>
      </c>
      <c r="L3" s="177" t="s">
        <v>260</v>
      </c>
      <c r="M3" s="226" t="s">
        <v>260</v>
      </c>
      <c r="N3" s="233" t="s">
        <v>260</v>
      </c>
      <c r="O3" s="178" t="s">
        <v>260</v>
      </c>
      <c r="P3" s="176" t="s">
        <v>260</v>
      </c>
      <c r="Q3" s="176" t="s">
        <v>260</v>
      </c>
      <c r="R3" s="176">
        <v>1000000000</v>
      </c>
      <c r="S3" s="176">
        <f>R3/VLOOKUP(K3,'Exchange Rates'!$B$11:$C$25,2,0)</f>
        <v>952380952.38095236</v>
      </c>
      <c r="T3" s="177" t="s">
        <v>261</v>
      </c>
      <c r="U3" s="698" t="s">
        <v>3851</v>
      </c>
      <c r="V3" s="685" t="s">
        <v>260</v>
      </c>
      <c r="W3" s="702" t="s">
        <v>260</v>
      </c>
      <c r="X3" s="703" t="s">
        <v>260</v>
      </c>
      <c r="Y3" s="234"/>
      <c r="Z3" s="232"/>
      <c r="AA3" s="227"/>
      <c r="AB3" s="228"/>
      <c r="AC3" s="235"/>
      <c r="AD3" s="235"/>
      <c r="AE3" s="235"/>
      <c r="AF3" s="235"/>
      <c r="AG3" s="235"/>
      <c r="AH3" s="235"/>
      <c r="AI3" s="235"/>
      <c r="AJ3" s="181"/>
      <c r="AK3" s="181"/>
      <c r="AL3" s="181"/>
      <c r="AM3" s="181"/>
      <c r="AN3" s="182"/>
      <c r="AO3" s="182"/>
      <c r="AP3" s="179"/>
      <c r="AQ3" s="182"/>
      <c r="AS3" s="182"/>
      <c r="AT3" s="182"/>
      <c r="AU3" s="182"/>
      <c r="AV3" s="182"/>
    </row>
    <row r="4" spans="1:48" s="18" customFormat="1" ht="15.9" customHeight="1" x14ac:dyDescent="0.3">
      <c r="A4" s="17" t="s">
        <v>3852</v>
      </c>
      <c r="B4" s="17" t="s">
        <v>3527</v>
      </c>
      <c r="C4" s="174">
        <v>44629</v>
      </c>
      <c r="D4" s="5" t="s">
        <v>405</v>
      </c>
      <c r="E4" s="5" t="s">
        <v>821</v>
      </c>
      <c r="F4" s="175" t="s">
        <v>3853</v>
      </c>
      <c r="G4" s="184" t="s">
        <v>260</v>
      </c>
      <c r="H4" s="233" t="s">
        <v>260</v>
      </c>
      <c r="I4" s="598" t="s">
        <v>260</v>
      </c>
      <c r="J4" s="233">
        <v>1400000000</v>
      </c>
      <c r="K4" s="599" t="s">
        <v>346</v>
      </c>
      <c r="L4" s="177" t="s">
        <v>260</v>
      </c>
      <c r="M4" s="226" t="s">
        <v>260</v>
      </c>
      <c r="N4" s="233" t="s">
        <v>260</v>
      </c>
      <c r="O4" s="178" t="s">
        <v>260</v>
      </c>
      <c r="P4" s="176" t="s">
        <v>260</v>
      </c>
      <c r="Q4" s="176" t="s">
        <v>260</v>
      </c>
      <c r="R4" s="176">
        <f t="shared" ref="R4:R9" si="0">J4</f>
        <v>1400000000</v>
      </c>
      <c r="S4" s="176">
        <f>R4/VLOOKUP(K4,'Exchange Rates'!$B$11:$C$25,2,0)</f>
        <v>1333333333.3333333</v>
      </c>
      <c r="T4" s="177" t="s">
        <v>261</v>
      </c>
      <c r="U4" s="698" t="s">
        <v>3854</v>
      </c>
      <c r="V4" s="699" t="s">
        <v>3855</v>
      </c>
      <c r="W4" s="702" t="s">
        <v>260</v>
      </c>
      <c r="X4" s="703" t="s">
        <v>260</v>
      </c>
      <c r="Y4" s="234"/>
      <c r="Z4" s="232"/>
      <c r="AA4" s="227"/>
      <c r="AB4" s="228"/>
      <c r="AC4" s="235"/>
      <c r="AD4" s="235"/>
      <c r="AE4" s="235"/>
      <c r="AF4" s="235"/>
      <c r="AG4" s="235"/>
      <c r="AH4" s="235"/>
      <c r="AI4" s="235"/>
      <c r="AJ4" s="181"/>
      <c r="AK4" s="181"/>
      <c r="AL4" s="181"/>
      <c r="AM4" s="181"/>
      <c r="AN4" s="182"/>
      <c r="AO4" s="182"/>
      <c r="AP4" s="179"/>
      <c r="AQ4" s="182"/>
      <c r="AS4" s="182"/>
      <c r="AT4" s="182"/>
      <c r="AU4" s="182"/>
      <c r="AV4" s="182"/>
    </row>
    <row r="5" spans="1:48" s="18" customFormat="1" ht="15.9" customHeight="1" x14ac:dyDescent="0.3">
      <c r="A5" s="17" t="s">
        <v>3856</v>
      </c>
      <c r="B5" s="17" t="s">
        <v>3527</v>
      </c>
      <c r="C5" s="174">
        <v>44659</v>
      </c>
      <c r="D5" s="5" t="s">
        <v>405</v>
      </c>
      <c r="E5" s="5" t="s">
        <v>3857</v>
      </c>
      <c r="F5" s="175" t="s">
        <v>3858</v>
      </c>
      <c r="G5" s="184" t="s">
        <v>517</v>
      </c>
      <c r="H5" s="233">
        <v>1000000000</v>
      </c>
      <c r="I5" s="598" t="s">
        <v>520</v>
      </c>
      <c r="J5" s="233">
        <v>1000000000</v>
      </c>
      <c r="K5" s="599" t="s">
        <v>520</v>
      </c>
      <c r="L5" s="177" t="s">
        <v>260</v>
      </c>
      <c r="M5" s="226" t="s">
        <v>260</v>
      </c>
      <c r="N5" s="233" t="s">
        <v>260</v>
      </c>
      <c r="O5" s="178" t="s">
        <v>260</v>
      </c>
      <c r="P5" s="176" t="s">
        <v>260</v>
      </c>
      <c r="Q5" s="176" t="s">
        <v>260</v>
      </c>
      <c r="R5" s="176">
        <f t="shared" si="0"/>
        <v>1000000000</v>
      </c>
      <c r="S5" s="176">
        <f>R5/VLOOKUP(K5,'Exchange Rates'!$B$11:$C$25,2,0)</f>
        <v>699349604.86747324</v>
      </c>
      <c r="T5" s="177" t="s">
        <v>261</v>
      </c>
      <c r="U5" s="698" t="s">
        <v>3859</v>
      </c>
      <c r="V5" s="699" t="s">
        <v>3860</v>
      </c>
      <c r="W5" s="700" t="s">
        <v>3861</v>
      </c>
      <c r="X5" s="703" t="s">
        <v>260</v>
      </c>
      <c r="Y5" s="234"/>
      <c r="Z5" s="232"/>
      <c r="AA5" s="227"/>
      <c r="AB5" s="228"/>
      <c r="AC5" s="235"/>
      <c r="AD5" s="235"/>
      <c r="AE5" s="235"/>
      <c r="AF5" s="235"/>
      <c r="AG5" s="235"/>
      <c r="AH5" s="235"/>
      <c r="AI5" s="235"/>
      <c r="AJ5" s="181"/>
      <c r="AK5" s="181"/>
      <c r="AL5" s="181"/>
      <c r="AM5" s="181"/>
      <c r="AN5" s="182"/>
      <c r="AO5" s="182"/>
      <c r="AP5" s="179"/>
      <c r="AQ5" s="182"/>
      <c r="AS5" s="182"/>
      <c r="AT5" s="182"/>
      <c r="AU5" s="182"/>
      <c r="AV5" s="182"/>
    </row>
    <row r="6" spans="1:48" s="18" customFormat="1" ht="15.9" customHeight="1" x14ac:dyDescent="0.3">
      <c r="A6" s="17" t="s">
        <v>3862</v>
      </c>
      <c r="B6" s="17" t="s">
        <v>3527</v>
      </c>
      <c r="C6" s="174">
        <v>44841</v>
      </c>
      <c r="D6" s="5" t="s">
        <v>405</v>
      </c>
      <c r="E6" s="5" t="s">
        <v>821</v>
      </c>
      <c r="F6" s="175" t="s">
        <v>3863</v>
      </c>
      <c r="G6" s="184" t="s">
        <v>260</v>
      </c>
      <c r="H6" s="233">
        <v>1300000000</v>
      </c>
      <c r="I6" s="598" t="s">
        <v>346</v>
      </c>
      <c r="J6" s="233">
        <v>1300000000</v>
      </c>
      <c r="K6" s="599" t="s">
        <v>346</v>
      </c>
      <c r="L6" s="177" t="s">
        <v>260</v>
      </c>
      <c r="M6" s="226" t="s">
        <v>260</v>
      </c>
      <c r="N6" s="233" t="s">
        <v>260</v>
      </c>
      <c r="O6" s="178" t="s">
        <v>260</v>
      </c>
      <c r="P6" s="176" t="s">
        <v>260</v>
      </c>
      <c r="Q6" s="176" t="s">
        <v>260</v>
      </c>
      <c r="R6" s="176">
        <f t="shared" si="0"/>
        <v>1300000000</v>
      </c>
      <c r="S6" s="176">
        <f>R6/VLOOKUP(K6,'Exchange Rates'!$B$11:$C$25,2,0)</f>
        <v>1238095238.095238</v>
      </c>
      <c r="T6" s="177" t="s">
        <v>261</v>
      </c>
      <c r="U6" s="698" t="s">
        <v>3864</v>
      </c>
      <c r="V6" s="685" t="s">
        <v>260</v>
      </c>
      <c r="W6" s="701" t="s">
        <v>260</v>
      </c>
      <c r="X6" s="703" t="s">
        <v>260</v>
      </c>
      <c r="Y6" s="234"/>
      <c r="Z6" s="232"/>
      <c r="AA6" s="227"/>
      <c r="AB6" s="228"/>
      <c r="AC6" s="235"/>
      <c r="AD6" s="235"/>
      <c r="AE6" s="235"/>
      <c r="AF6" s="235"/>
      <c r="AG6" s="235"/>
      <c r="AH6" s="235"/>
      <c r="AI6" s="235"/>
      <c r="AJ6" s="181"/>
      <c r="AK6" s="181"/>
      <c r="AL6" s="181"/>
      <c r="AM6" s="181"/>
      <c r="AN6" s="182"/>
      <c r="AO6" s="182"/>
      <c r="AP6" s="179"/>
      <c r="AQ6" s="182"/>
      <c r="AS6" s="182"/>
      <c r="AT6" s="182"/>
      <c r="AU6" s="182"/>
      <c r="AV6" s="182"/>
    </row>
    <row r="7" spans="1:48" s="18" customFormat="1" ht="15.9" customHeight="1" x14ac:dyDescent="0.3">
      <c r="A7" s="5" t="s">
        <v>3865</v>
      </c>
      <c r="B7" s="5" t="s">
        <v>3529</v>
      </c>
      <c r="C7" s="174">
        <v>44616</v>
      </c>
      <c r="D7" s="5" t="s">
        <v>405</v>
      </c>
      <c r="E7" s="5" t="s">
        <v>3866</v>
      </c>
      <c r="F7" s="175" t="s">
        <v>3867</v>
      </c>
      <c r="G7" s="184" t="s">
        <v>260</v>
      </c>
      <c r="H7" s="233" t="s">
        <v>260</v>
      </c>
      <c r="I7" s="598" t="s">
        <v>260</v>
      </c>
      <c r="J7" s="233">
        <v>20000000</v>
      </c>
      <c r="K7" s="599" t="s">
        <v>346</v>
      </c>
      <c r="L7" s="177" t="s">
        <v>260</v>
      </c>
      <c r="M7" s="226" t="s">
        <v>260</v>
      </c>
      <c r="N7" s="233" t="s">
        <v>260</v>
      </c>
      <c r="O7" s="178" t="s">
        <v>260</v>
      </c>
      <c r="P7" s="176" t="s">
        <v>260</v>
      </c>
      <c r="Q7" s="176" t="s">
        <v>260</v>
      </c>
      <c r="R7" s="176">
        <f t="shared" si="0"/>
        <v>20000000</v>
      </c>
      <c r="S7" s="176">
        <f>R7/VLOOKUP(K7,'Exchange Rates'!$B$11:$C$25,2,0)</f>
        <v>19047619.047619049</v>
      </c>
      <c r="T7" s="177" t="s">
        <v>261</v>
      </c>
      <c r="U7" s="698" t="s">
        <v>3868</v>
      </c>
      <c r="V7" s="685" t="s">
        <v>260</v>
      </c>
      <c r="W7" s="701" t="s">
        <v>260</v>
      </c>
      <c r="X7" s="703" t="s">
        <v>260</v>
      </c>
      <c r="Y7" s="234"/>
      <c r="Z7" s="232"/>
      <c r="AA7" s="227"/>
      <c r="AB7" s="228"/>
      <c r="AC7" s="235"/>
      <c r="AD7" s="235"/>
      <c r="AE7" s="235"/>
      <c r="AF7" s="235"/>
      <c r="AG7" s="235"/>
      <c r="AH7" s="235"/>
      <c r="AI7" s="235"/>
      <c r="AJ7" s="181"/>
      <c r="AK7" s="181"/>
      <c r="AL7" s="181"/>
      <c r="AM7" s="181"/>
      <c r="AN7" s="182"/>
      <c r="AO7" s="182"/>
      <c r="AP7" s="179"/>
      <c r="AQ7" s="182"/>
      <c r="AS7" s="182"/>
      <c r="AT7" s="182"/>
      <c r="AU7" s="182"/>
      <c r="AV7" s="182"/>
    </row>
    <row r="8" spans="1:48" s="18" customFormat="1" ht="15.9" customHeight="1" x14ac:dyDescent="0.3">
      <c r="A8" s="5" t="s">
        <v>3869</v>
      </c>
      <c r="B8" s="5" t="s">
        <v>3529</v>
      </c>
      <c r="C8" s="174">
        <v>44621</v>
      </c>
      <c r="D8" s="5" t="s">
        <v>405</v>
      </c>
      <c r="E8" s="5" t="s">
        <v>362</v>
      </c>
      <c r="F8" s="175" t="s">
        <v>3870</v>
      </c>
      <c r="G8" s="184" t="s">
        <v>260</v>
      </c>
      <c r="H8" s="233" t="s">
        <v>260</v>
      </c>
      <c r="I8" s="598" t="s">
        <v>260</v>
      </c>
      <c r="J8" s="233">
        <v>20000000</v>
      </c>
      <c r="K8" s="599" t="s">
        <v>346</v>
      </c>
      <c r="L8" s="177" t="s">
        <v>260</v>
      </c>
      <c r="M8" s="226" t="s">
        <v>260</v>
      </c>
      <c r="N8" s="233" t="s">
        <v>260</v>
      </c>
      <c r="O8" s="178" t="s">
        <v>260</v>
      </c>
      <c r="P8" s="176" t="s">
        <v>260</v>
      </c>
      <c r="Q8" s="176" t="s">
        <v>260</v>
      </c>
      <c r="R8" s="176">
        <f t="shared" si="0"/>
        <v>20000000</v>
      </c>
      <c r="S8" s="176">
        <f>R8/VLOOKUP(K8,'Exchange Rates'!$B$11:$C$25,2,0)</f>
        <v>19047619.047619049</v>
      </c>
      <c r="T8" s="177" t="s">
        <v>261</v>
      </c>
      <c r="U8" s="698" t="s">
        <v>3868</v>
      </c>
      <c r="V8" s="685" t="s">
        <v>260</v>
      </c>
      <c r="W8" s="701" t="s">
        <v>260</v>
      </c>
      <c r="X8" s="703" t="s">
        <v>260</v>
      </c>
      <c r="Y8" s="234"/>
      <c r="Z8" s="232"/>
      <c r="AA8" s="227"/>
      <c r="AB8" s="228"/>
      <c r="AC8" s="235"/>
      <c r="AD8" s="235"/>
      <c r="AE8" s="235"/>
      <c r="AF8" s="235"/>
      <c r="AG8" s="235"/>
      <c r="AH8" s="235"/>
      <c r="AI8" s="235"/>
      <c r="AJ8" s="181"/>
      <c r="AK8" s="181"/>
      <c r="AL8" s="181"/>
      <c r="AM8" s="181"/>
      <c r="AN8" s="182"/>
      <c r="AO8" s="182"/>
      <c r="AP8" s="179"/>
      <c r="AQ8" s="182"/>
      <c r="AS8" s="182"/>
      <c r="AT8" s="182"/>
      <c r="AU8" s="182"/>
      <c r="AV8" s="182"/>
    </row>
    <row r="9" spans="1:48" s="18" customFormat="1" ht="15.9" customHeight="1" x14ac:dyDescent="0.3">
      <c r="A9" s="5" t="s">
        <v>3871</v>
      </c>
      <c r="B9" s="5" t="s">
        <v>3529</v>
      </c>
      <c r="C9" s="174">
        <v>44621</v>
      </c>
      <c r="D9" s="5" t="s">
        <v>405</v>
      </c>
      <c r="E9" s="5" t="s">
        <v>3866</v>
      </c>
      <c r="F9" s="175" t="s">
        <v>3872</v>
      </c>
      <c r="G9" s="184" t="s">
        <v>260</v>
      </c>
      <c r="H9" s="233" t="s">
        <v>260</v>
      </c>
      <c r="I9" s="598" t="s">
        <v>260</v>
      </c>
      <c r="J9" s="233">
        <v>18000000</v>
      </c>
      <c r="K9" s="599" t="s">
        <v>346</v>
      </c>
      <c r="L9" s="177" t="s">
        <v>260</v>
      </c>
      <c r="M9" s="226" t="s">
        <v>260</v>
      </c>
      <c r="N9" s="233" t="s">
        <v>260</v>
      </c>
      <c r="O9" s="178" t="s">
        <v>260</v>
      </c>
      <c r="P9" s="176" t="s">
        <v>260</v>
      </c>
      <c r="Q9" s="176" t="s">
        <v>260</v>
      </c>
      <c r="R9" s="176">
        <f t="shared" si="0"/>
        <v>18000000</v>
      </c>
      <c r="S9" s="176">
        <f>R9/VLOOKUP(K9,'Exchange Rates'!$B$11:$C$25,2,0)</f>
        <v>17142857.142857142</v>
      </c>
      <c r="T9" s="177" t="s">
        <v>261</v>
      </c>
      <c r="U9" s="698" t="s">
        <v>3868</v>
      </c>
      <c r="V9" s="699" t="s">
        <v>3873</v>
      </c>
      <c r="W9" s="701" t="s">
        <v>260</v>
      </c>
      <c r="X9" s="703" t="s">
        <v>260</v>
      </c>
      <c r="Y9" s="234"/>
      <c r="Z9" s="232"/>
      <c r="AA9" s="227"/>
      <c r="AB9" s="228"/>
      <c r="AC9" s="235"/>
      <c r="AD9" s="235"/>
      <c r="AE9" s="235"/>
      <c r="AF9" s="235"/>
      <c r="AG9" s="235"/>
      <c r="AH9" s="235"/>
      <c r="AI9" s="235"/>
      <c r="AJ9" s="181"/>
      <c r="AK9" s="181"/>
      <c r="AL9" s="181"/>
      <c r="AM9" s="181"/>
      <c r="AN9" s="182"/>
      <c r="AO9" s="182"/>
      <c r="AP9" s="179"/>
      <c r="AQ9" s="182"/>
      <c r="AS9" s="182"/>
      <c r="AT9" s="182"/>
      <c r="AU9" s="182"/>
      <c r="AV9" s="182"/>
    </row>
    <row r="10" spans="1:48" s="18" customFormat="1" ht="15.9" customHeight="1" x14ac:dyDescent="0.3">
      <c r="A10" s="5" t="s">
        <v>3874</v>
      </c>
      <c r="B10" s="5" t="s">
        <v>3530</v>
      </c>
      <c r="C10" s="174">
        <v>44627</v>
      </c>
      <c r="D10" s="5" t="s">
        <v>405</v>
      </c>
      <c r="E10" s="5" t="s">
        <v>3875</v>
      </c>
      <c r="F10" s="175" t="s">
        <v>3876</v>
      </c>
      <c r="G10" s="184" t="s">
        <v>3877</v>
      </c>
      <c r="H10" s="233">
        <v>350000000</v>
      </c>
      <c r="I10" s="598" t="s">
        <v>346</v>
      </c>
      <c r="J10" s="233">
        <v>489000000</v>
      </c>
      <c r="K10" s="599" t="s">
        <v>346</v>
      </c>
      <c r="L10" s="177" t="s">
        <v>260</v>
      </c>
      <c r="M10" s="226" t="s">
        <v>260</v>
      </c>
      <c r="N10" s="233" t="s">
        <v>260</v>
      </c>
      <c r="O10" s="178" t="s">
        <v>260</v>
      </c>
      <c r="P10" s="176" t="s">
        <v>260</v>
      </c>
      <c r="Q10" s="176" t="s">
        <v>260</v>
      </c>
      <c r="R10" s="176">
        <f t="shared" ref="R10:R24" si="1">J10</f>
        <v>489000000</v>
      </c>
      <c r="S10" s="176">
        <f>R10/VLOOKUP(K10,'Exchange Rates'!$B$11:$C$25,2,0)</f>
        <v>465714285.71428567</v>
      </c>
      <c r="T10" s="177" t="s">
        <v>261</v>
      </c>
      <c r="U10" s="698" t="s">
        <v>930</v>
      </c>
      <c r="V10" s="699" t="s">
        <v>3854</v>
      </c>
      <c r="W10" s="701" t="s">
        <v>260</v>
      </c>
      <c r="X10" s="703" t="s">
        <v>260</v>
      </c>
      <c r="Y10" s="234"/>
      <c r="Z10" s="232"/>
      <c r="AA10" s="227"/>
      <c r="AB10" s="228"/>
      <c r="AC10" s="235"/>
      <c r="AD10" s="235"/>
      <c r="AE10" s="235"/>
      <c r="AF10" s="235"/>
      <c r="AG10" s="235"/>
      <c r="AH10" s="235"/>
      <c r="AI10" s="235"/>
      <c r="AJ10" s="181"/>
      <c r="AK10" s="181"/>
      <c r="AL10" s="181"/>
      <c r="AM10" s="181"/>
      <c r="AN10" s="182"/>
      <c r="AO10" s="182"/>
      <c r="AP10" s="179"/>
      <c r="AQ10" s="182"/>
      <c r="AS10" s="182"/>
      <c r="AT10" s="182"/>
      <c r="AU10" s="182"/>
      <c r="AV10" s="182"/>
    </row>
    <row r="11" spans="1:48" s="18" customFormat="1" ht="15.9" customHeight="1" x14ac:dyDescent="0.3">
      <c r="A11" s="17" t="s">
        <v>3874</v>
      </c>
      <c r="B11" s="17" t="s">
        <v>3530</v>
      </c>
      <c r="C11" s="174">
        <v>44627</v>
      </c>
      <c r="D11" s="5" t="s">
        <v>405</v>
      </c>
      <c r="E11" s="5" t="s">
        <v>3875</v>
      </c>
      <c r="F11" s="175" t="s">
        <v>3876</v>
      </c>
      <c r="G11" s="184" t="s">
        <v>2076</v>
      </c>
      <c r="H11" s="233">
        <v>89000000</v>
      </c>
      <c r="I11" s="598" t="s">
        <v>346</v>
      </c>
      <c r="J11" s="233">
        <v>489000000</v>
      </c>
      <c r="K11" s="599" t="s">
        <v>346</v>
      </c>
      <c r="L11" s="177" t="s">
        <v>260</v>
      </c>
      <c r="M11" s="226" t="s">
        <v>260</v>
      </c>
      <c r="N11" s="233" t="s">
        <v>260</v>
      </c>
      <c r="O11" s="178" t="s">
        <v>260</v>
      </c>
      <c r="P11" s="176" t="s">
        <v>260</v>
      </c>
      <c r="Q11" s="176" t="s">
        <v>260</v>
      </c>
      <c r="R11" s="176">
        <f t="shared" si="1"/>
        <v>489000000</v>
      </c>
      <c r="S11" s="176" t="s">
        <v>260</v>
      </c>
      <c r="T11" s="177" t="s">
        <v>261</v>
      </c>
      <c r="U11" s="698" t="s">
        <v>930</v>
      </c>
      <c r="V11" s="699" t="s">
        <v>3854</v>
      </c>
      <c r="W11" s="701" t="s">
        <v>260</v>
      </c>
      <c r="X11" s="703" t="s">
        <v>260</v>
      </c>
      <c r="Y11" s="234"/>
      <c r="Z11" s="232"/>
      <c r="AA11" s="227"/>
      <c r="AB11" s="228"/>
      <c r="AC11" s="235"/>
      <c r="AD11" s="235"/>
      <c r="AE11" s="235"/>
      <c r="AF11" s="235"/>
      <c r="AG11" s="235"/>
      <c r="AH11" s="235"/>
      <c r="AI11" s="235"/>
      <c r="AJ11" s="181"/>
      <c r="AK11" s="181"/>
      <c r="AL11" s="181"/>
      <c r="AM11" s="181"/>
      <c r="AN11" s="182"/>
      <c r="AO11" s="182"/>
      <c r="AP11" s="179"/>
      <c r="AQ11" s="182"/>
      <c r="AS11" s="182"/>
      <c r="AT11" s="182"/>
      <c r="AU11" s="182"/>
      <c r="AV11" s="182"/>
    </row>
    <row r="12" spans="1:48" s="18" customFormat="1" ht="15.9" customHeight="1" x14ac:dyDescent="0.3">
      <c r="A12" s="5" t="s">
        <v>3874</v>
      </c>
      <c r="B12" s="5" t="s">
        <v>3530</v>
      </c>
      <c r="C12" s="174">
        <v>44627</v>
      </c>
      <c r="D12" s="5" t="s">
        <v>405</v>
      </c>
      <c r="E12" s="5" t="s">
        <v>3875</v>
      </c>
      <c r="F12" s="175" t="s">
        <v>3876</v>
      </c>
      <c r="G12" s="184" t="s">
        <v>2715</v>
      </c>
      <c r="H12" s="233">
        <v>50000000</v>
      </c>
      <c r="I12" s="598" t="s">
        <v>346</v>
      </c>
      <c r="J12" s="233">
        <v>489000000</v>
      </c>
      <c r="K12" s="599" t="s">
        <v>346</v>
      </c>
      <c r="L12" s="177" t="s">
        <v>260</v>
      </c>
      <c r="M12" s="226" t="s">
        <v>260</v>
      </c>
      <c r="N12" s="233" t="s">
        <v>260</v>
      </c>
      <c r="O12" s="178" t="s">
        <v>260</v>
      </c>
      <c r="P12" s="176" t="s">
        <v>260</v>
      </c>
      <c r="Q12" s="176" t="s">
        <v>260</v>
      </c>
      <c r="R12" s="176">
        <f t="shared" si="1"/>
        <v>489000000</v>
      </c>
      <c r="S12" s="176" t="s">
        <v>260</v>
      </c>
      <c r="T12" s="177" t="s">
        <v>261</v>
      </c>
      <c r="U12" s="698" t="s">
        <v>930</v>
      </c>
      <c r="V12" s="699" t="s">
        <v>3854</v>
      </c>
      <c r="W12" s="701" t="s">
        <v>260</v>
      </c>
      <c r="X12" s="703" t="s">
        <v>260</v>
      </c>
      <c r="Y12" s="234"/>
      <c r="Z12" s="232"/>
      <c r="AA12" s="227"/>
      <c r="AB12" s="228"/>
      <c r="AC12" s="235"/>
      <c r="AD12" s="235"/>
      <c r="AE12" s="235"/>
      <c r="AF12" s="235"/>
      <c r="AG12" s="235"/>
      <c r="AH12" s="235"/>
      <c r="AI12" s="235"/>
      <c r="AJ12" s="181"/>
      <c r="AK12" s="181"/>
      <c r="AL12" s="181"/>
      <c r="AM12" s="181"/>
      <c r="AN12" s="182"/>
      <c r="AO12" s="182"/>
      <c r="AP12" s="179"/>
      <c r="AQ12" s="182"/>
      <c r="AS12" s="182"/>
      <c r="AT12" s="182"/>
      <c r="AU12" s="182"/>
      <c r="AV12" s="182"/>
    </row>
    <row r="13" spans="1:48" s="18" customFormat="1" ht="15.9" customHeight="1" x14ac:dyDescent="0.3">
      <c r="A13" s="5" t="s">
        <v>3878</v>
      </c>
      <c r="B13" s="5" t="s">
        <v>3530</v>
      </c>
      <c r="C13" s="174">
        <v>44627</v>
      </c>
      <c r="D13" s="5" t="s">
        <v>405</v>
      </c>
      <c r="E13" s="5" t="s">
        <v>3879</v>
      </c>
      <c r="F13" s="175" t="s">
        <v>3880</v>
      </c>
      <c r="G13" s="184" t="s">
        <v>2864</v>
      </c>
      <c r="H13" s="233">
        <v>100000000</v>
      </c>
      <c r="I13" s="598" t="s">
        <v>346</v>
      </c>
      <c r="J13" s="233">
        <v>134000000</v>
      </c>
      <c r="K13" s="599" t="s">
        <v>346</v>
      </c>
      <c r="L13" s="177" t="s">
        <v>260</v>
      </c>
      <c r="M13" s="226" t="s">
        <v>260</v>
      </c>
      <c r="N13" s="233" t="s">
        <v>260</v>
      </c>
      <c r="O13" s="178" t="s">
        <v>260</v>
      </c>
      <c r="P13" s="176" t="s">
        <v>260</v>
      </c>
      <c r="Q13" s="176" t="s">
        <v>260</v>
      </c>
      <c r="R13" s="176">
        <f t="shared" si="1"/>
        <v>134000000</v>
      </c>
      <c r="S13" s="176">
        <f>R13/VLOOKUP(K13,'Exchange Rates'!$B$11:$C$25,2,0)</f>
        <v>127619047.61904761</v>
      </c>
      <c r="T13" s="177" t="s">
        <v>261</v>
      </c>
      <c r="U13" s="698" t="s">
        <v>930</v>
      </c>
      <c r="V13" s="699" t="s">
        <v>407</v>
      </c>
      <c r="W13" s="701" t="s">
        <v>260</v>
      </c>
      <c r="X13" s="703" t="s">
        <v>260</v>
      </c>
      <c r="Y13" s="234"/>
      <c r="Z13" s="232"/>
      <c r="AA13" s="227"/>
      <c r="AB13" s="228"/>
      <c r="AC13" s="235"/>
      <c r="AD13" s="235"/>
      <c r="AE13" s="235"/>
      <c r="AF13" s="235"/>
      <c r="AG13" s="235"/>
      <c r="AH13" s="235"/>
      <c r="AI13" s="235"/>
      <c r="AJ13" s="181"/>
      <c r="AK13" s="181"/>
      <c r="AL13" s="181"/>
      <c r="AM13" s="181"/>
      <c r="AN13" s="182"/>
      <c r="AO13" s="182"/>
      <c r="AP13" s="179"/>
      <c r="AQ13" s="182"/>
      <c r="AS13" s="182"/>
      <c r="AT13" s="182"/>
      <c r="AU13" s="182"/>
      <c r="AV13" s="182"/>
    </row>
    <row r="14" spans="1:48" s="18" customFormat="1" ht="15.9" customHeight="1" x14ac:dyDescent="0.3">
      <c r="A14" s="5" t="s">
        <v>3878</v>
      </c>
      <c r="B14" s="5" t="s">
        <v>3530</v>
      </c>
      <c r="C14" s="174">
        <v>44627</v>
      </c>
      <c r="D14" s="5" t="s">
        <v>405</v>
      </c>
      <c r="E14" s="5" t="s">
        <v>3879</v>
      </c>
      <c r="F14" s="175" t="s">
        <v>3880</v>
      </c>
      <c r="G14" s="184" t="s">
        <v>856</v>
      </c>
      <c r="H14" s="233">
        <v>22000000</v>
      </c>
      <c r="I14" s="598" t="s">
        <v>346</v>
      </c>
      <c r="J14" s="233">
        <v>134000000</v>
      </c>
      <c r="K14" s="599" t="s">
        <v>346</v>
      </c>
      <c r="L14" s="177" t="s">
        <v>260</v>
      </c>
      <c r="M14" s="226" t="s">
        <v>260</v>
      </c>
      <c r="N14" s="233" t="s">
        <v>260</v>
      </c>
      <c r="O14" s="178" t="s">
        <v>260</v>
      </c>
      <c r="P14" s="176" t="s">
        <v>260</v>
      </c>
      <c r="Q14" s="176" t="s">
        <v>260</v>
      </c>
      <c r="R14" s="176">
        <f t="shared" si="1"/>
        <v>134000000</v>
      </c>
      <c r="S14" s="176" t="s">
        <v>260</v>
      </c>
      <c r="T14" s="177" t="s">
        <v>261</v>
      </c>
      <c r="U14" s="698" t="s">
        <v>930</v>
      </c>
      <c r="V14" s="699" t="s">
        <v>407</v>
      </c>
      <c r="W14" s="701" t="s">
        <v>260</v>
      </c>
      <c r="X14" s="703" t="s">
        <v>260</v>
      </c>
      <c r="Y14" s="234"/>
      <c r="Z14" s="232"/>
      <c r="AA14" s="227"/>
      <c r="AB14" s="228"/>
      <c r="AC14" s="235"/>
      <c r="AD14" s="235"/>
      <c r="AE14" s="235"/>
      <c r="AF14" s="235"/>
      <c r="AG14" s="235"/>
      <c r="AH14" s="235"/>
      <c r="AI14" s="235"/>
      <c r="AJ14" s="181"/>
      <c r="AK14" s="181"/>
      <c r="AL14" s="181"/>
      <c r="AM14" s="181"/>
      <c r="AN14" s="182"/>
      <c r="AO14" s="182"/>
      <c r="AP14" s="179"/>
      <c r="AQ14" s="182"/>
      <c r="AS14" s="182"/>
      <c r="AT14" s="182"/>
      <c r="AU14" s="182"/>
      <c r="AV14" s="182"/>
    </row>
    <row r="15" spans="1:48" s="18" customFormat="1" ht="15.9" customHeight="1" x14ac:dyDescent="0.3">
      <c r="A15" s="5" t="s">
        <v>3878</v>
      </c>
      <c r="B15" s="5" t="s">
        <v>3530</v>
      </c>
      <c r="C15" s="174">
        <v>44627</v>
      </c>
      <c r="D15" s="5" t="s">
        <v>405</v>
      </c>
      <c r="E15" s="5" t="s">
        <v>3879</v>
      </c>
      <c r="F15" s="175" t="s">
        <v>3880</v>
      </c>
      <c r="G15" s="184" t="s">
        <v>3881</v>
      </c>
      <c r="H15" s="233">
        <v>12000000</v>
      </c>
      <c r="I15" s="598" t="s">
        <v>346</v>
      </c>
      <c r="J15" s="233">
        <v>134000000</v>
      </c>
      <c r="K15" s="599" t="s">
        <v>346</v>
      </c>
      <c r="L15" s="177" t="s">
        <v>260</v>
      </c>
      <c r="M15" s="226" t="s">
        <v>260</v>
      </c>
      <c r="N15" s="233" t="s">
        <v>260</v>
      </c>
      <c r="O15" s="178" t="s">
        <v>260</v>
      </c>
      <c r="P15" s="176" t="s">
        <v>260</v>
      </c>
      <c r="Q15" s="176" t="s">
        <v>260</v>
      </c>
      <c r="R15" s="176">
        <f t="shared" si="1"/>
        <v>134000000</v>
      </c>
      <c r="S15" s="176" t="s">
        <v>260</v>
      </c>
      <c r="T15" s="177" t="s">
        <v>261</v>
      </c>
      <c r="U15" s="698" t="s">
        <v>930</v>
      </c>
      <c r="V15" s="699" t="s">
        <v>407</v>
      </c>
      <c r="W15" s="701" t="s">
        <v>260</v>
      </c>
      <c r="X15" s="703" t="s">
        <v>260</v>
      </c>
      <c r="Y15" s="234"/>
      <c r="Z15" s="232"/>
      <c r="AA15" s="227"/>
      <c r="AB15" s="228"/>
      <c r="AC15" s="235"/>
      <c r="AD15" s="235"/>
      <c r="AE15" s="235"/>
      <c r="AF15" s="235"/>
      <c r="AG15" s="235"/>
      <c r="AH15" s="235"/>
      <c r="AI15" s="235"/>
      <c r="AJ15" s="181"/>
      <c r="AK15" s="181"/>
      <c r="AL15" s="181"/>
      <c r="AM15" s="181"/>
      <c r="AN15" s="182"/>
      <c r="AO15" s="182"/>
      <c r="AP15" s="179"/>
      <c r="AQ15" s="182"/>
      <c r="AS15" s="182"/>
      <c r="AT15" s="182"/>
      <c r="AU15" s="182"/>
      <c r="AV15" s="182"/>
    </row>
    <row r="16" spans="1:48" s="18" customFormat="1" ht="15.9" customHeight="1" x14ac:dyDescent="0.3">
      <c r="A16" s="5" t="s">
        <v>3878</v>
      </c>
      <c r="B16" s="5" t="s">
        <v>3530</v>
      </c>
      <c r="C16" s="174">
        <v>44627</v>
      </c>
      <c r="D16" s="5" t="s">
        <v>405</v>
      </c>
      <c r="E16" s="5" t="s">
        <v>3879</v>
      </c>
      <c r="F16" s="175" t="s">
        <v>3880</v>
      </c>
      <c r="G16" s="17" t="s">
        <v>1919</v>
      </c>
      <c r="H16" s="233">
        <v>4000000</v>
      </c>
      <c r="I16" s="598" t="s">
        <v>346</v>
      </c>
      <c r="J16" s="233">
        <v>134000000</v>
      </c>
      <c r="K16" s="599" t="s">
        <v>346</v>
      </c>
      <c r="L16" s="177" t="s">
        <v>260</v>
      </c>
      <c r="M16" s="226" t="s">
        <v>260</v>
      </c>
      <c r="N16" s="233" t="s">
        <v>260</v>
      </c>
      <c r="O16" s="178" t="s">
        <v>260</v>
      </c>
      <c r="P16" s="176" t="s">
        <v>260</v>
      </c>
      <c r="Q16" s="176" t="s">
        <v>260</v>
      </c>
      <c r="R16" s="176">
        <f t="shared" si="1"/>
        <v>134000000</v>
      </c>
      <c r="S16" s="176" t="s">
        <v>260</v>
      </c>
      <c r="T16" s="177" t="s">
        <v>261</v>
      </c>
      <c r="U16" s="698" t="s">
        <v>930</v>
      </c>
      <c r="V16" s="699" t="s">
        <v>407</v>
      </c>
      <c r="W16" s="701" t="s">
        <v>260</v>
      </c>
      <c r="X16" s="703" t="s">
        <v>260</v>
      </c>
      <c r="Y16" s="234"/>
      <c r="Z16" s="232"/>
      <c r="AA16" s="227"/>
      <c r="AB16" s="228"/>
      <c r="AC16" s="235"/>
      <c r="AD16" s="235"/>
      <c r="AE16" s="235"/>
      <c r="AF16" s="235"/>
      <c r="AG16" s="235"/>
      <c r="AH16" s="235"/>
      <c r="AI16" s="235"/>
      <c r="AJ16" s="181"/>
      <c r="AK16" s="181"/>
      <c r="AL16" s="181"/>
      <c r="AM16" s="181"/>
      <c r="AN16" s="182"/>
      <c r="AO16" s="182"/>
      <c r="AP16" s="179"/>
      <c r="AQ16" s="182"/>
      <c r="AS16" s="182"/>
      <c r="AT16" s="182"/>
      <c r="AU16" s="182"/>
      <c r="AV16" s="182"/>
    </row>
    <row r="17" spans="1:48" s="18" customFormat="1" ht="15.9" customHeight="1" x14ac:dyDescent="0.3">
      <c r="A17" s="5" t="s">
        <v>3878</v>
      </c>
      <c r="B17" s="5" t="s">
        <v>3530</v>
      </c>
      <c r="C17" s="174">
        <v>44627</v>
      </c>
      <c r="D17" s="5" t="s">
        <v>405</v>
      </c>
      <c r="E17" s="5" t="s">
        <v>3879</v>
      </c>
      <c r="F17" s="175" t="s">
        <v>3880</v>
      </c>
      <c r="G17" s="17" t="s">
        <v>3818</v>
      </c>
      <c r="H17" s="233">
        <v>4000000</v>
      </c>
      <c r="I17" s="598" t="s">
        <v>346</v>
      </c>
      <c r="J17" s="233">
        <v>134000000</v>
      </c>
      <c r="K17" s="599" t="s">
        <v>346</v>
      </c>
      <c r="L17" s="177" t="s">
        <v>260</v>
      </c>
      <c r="M17" s="226" t="s">
        <v>260</v>
      </c>
      <c r="N17" s="233" t="s">
        <v>260</v>
      </c>
      <c r="O17" s="178" t="s">
        <v>260</v>
      </c>
      <c r="P17" s="176" t="s">
        <v>260</v>
      </c>
      <c r="Q17" s="176" t="s">
        <v>260</v>
      </c>
      <c r="R17" s="176">
        <f t="shared" si="1"/>
        <v>134000000</v>
      </c>
      <c r="S17" s="176" t="s">
        <v>260</v>
      </c>
      <c r="T17" s="177" t="s">
        <v>261</v>
      </c>
      <c r="U17" s="698" t="s">
        <v>930</v>
      </c>
      <c r="V17" s="699" t="s">
        <v>407</v>
      </c>
      <c r="W17" s="701" t="s">
        <v>260</v>
      </c>
      <c r="X17" s="703" t="s">
        <v>260</v>
      </c>
      <c r="Y17" s="234"/>
      <c r="Z17" s="232"/>
      <c r="AA17" s="227"/>
      <c r="AB17" s="228"/>
      <c r="AC17" s="235"/>
      <c r="AD17" s="235"/>
      <c r="AE17" s="235"/>
      <c r="AF17" s="235"/>
      <c r="AG17" s="235"/>
      <c r="AH17" s="235"/>
      <c r="AI17" s="235"/>
      <c r="AJ17" s="181"/>
      <c r="AK17" s="181"/>
      <c r="AL17" s="181"/>
      <c r="AM17" s="181"/>
      <c r="AN17" s="182"/>
      <c r="AO17" s="182"/>
      <c r="AP17" s="179"/>
      <c r="AQ17" s="182"/>
      <c r="AS17" s="182"/>
      <c r="AT17" s="182"/>
      <c r="AU17" s="182"/>
      <c r="AV17" s="182"/>
    </row>
    <row r="18" spans="1:48" s="18" customFormat="1" ht="15.9" customHeight="1" x14ac:dyDescent="0.3">
      <c r="A18" s="19" t="s">
        <v>3878</v>
      </c>
      <c r="B18" s="19" t="s">
        <v>3530</v>
      </c>
      <c r="C18" s="174">
        <v>44627</v>
      </c>
      <c r="D18" s="19" t="s">
        <v>405</v>
      </c>
      <c r="E18" s="19" t="s">
        <v>3879</v>
      </c>
      <c r="F18" s="19" t="s">
        <v>3880</v>
      </c>
      <c r="G18" s="19" t="s">
        <v>344</v>
      </c>
      <c r="H18" s="233">
        <v>11000000</v>
      </c>
      <c r="I18" s="598" t="s">
        <v>346</v>
      </c>
      <c r="J18" s="233">
        <v>134000000</v>
      </c>
      <c r="K18" s="599" t="s">
        <v>346</v>
      </c>
      <c r="L18" s="177" t="s">
        <v>260</v>
      </c>
      <c r="M18" s="226" t="s">
        <v>260</v>
      </c>
      <c r="N18" s="233" t="s">
        <v>260</v>
      </c>
      <c r="O18" s="178" t="s">
        <v>260</v>
      </c>
      <c r="P18" s="176" t="s">
        <v>260</v>
      </c>
      <c r="Q18" s="176" t="s">
        <v>260</v>
      </c>
      <c r="R18" s="176">
        <f t="shared" si="1"/>
        <v>134000000</v>
      </c>
      <c r="S18" s="176" t="s">
        <v>260</v>
      </c>
      <c r="T18" s="177" t="s">
        <v>261</v>
      </c>
      <c r="U18" s="698" t="s">
        <v>930</v>
      </c>
      <c r="V18" s="699" t="s">
        <v>407</v>
      </c>
      <c r="W18" s="701" t="s">
        <v>260</v>
      </c>
      <c r="X18" s="703" t="s">
        <v>260</v>
      </c>
      <c r="Y18" s="234"/>
      <c r="Z18" s="232"/>
      <c r="AA18" s="227"/>
      <c r="AB18" s="228"/>
      <c r="AC18" s="235"/>
      <c r="AD18" s="235"/>
      <c r="AE18" s="235"/>
      <c r="AF18" s="235"/>
      <c r="AG18" s="235"/>
      <c r="AH18" s="235"/>
      <c r="AI18" s="235"/>
      <c r="AJ18" s="181"/>
      <c r="AK18" s="181"/>
      <c r="AL18" s="181"/>
      <c r="AM18" s="181"/>
      <c r="AN18" s="182"/>
      <c r="AO18" s="182"/>
      <c r="AP18" s="179"/>
      <c r="AQ18" s="182"/>
      <c r="AS18" s="182"/>
      <c r="AT18" s="182"/>
      <c r="AU18" s="182"/>
      <c r="AV18" s="182"/>
    </row>
    <row r="19" spans="1:48" s="18" customFormat="1" ht="15.9" customHeight="1" x14ac:dyDescent="0.3">
      <c r="A19" s="5" t="s">
        <v>3882</v>
      </c>
      <c r="B19" s="5" t="s">
        <v>3530</v>
      </c>
      <c r="C19" s="174">
        <v>44627</v>
      </c>
      <c r="D19" s="5" t="s">
        <v>405</v>
      </c>
      <c r="E19" s="5" t="s">
        <v>3883</v>
      </c>
      <c r="F19" s="175" t="s">
        <v>3884</v>
      </c>
      <c r="G19" s="17" t="s">
        <v>1804</v>
      </c>
      <c r="H19" s="233">
        <v>100000000</v>
      </c>
      <c r="I19" s="598" t="s">
        <v>346</v>
      </c>
      <c r="J19" s="233">
        <v>100000000</v>
      </c>
      <c r="K19" s="599" t="s">
        <v>346</v>
      </c>
      <c r="L19" s="177" t="s">
        <v>260</v>
      </c>
      <c r="M19" s="226" t="s">
        <v>260</v>
      </c>
      <c r="N19" s="233" t="s">
        <v>260</v>
      </c>
      <c r="O19" s="178" t="s">
        <v>260</v>
      </c>
      <c r="P19" s="176" t="s">
        <v>260</v>
      </c>
      <c r="Q19" s="176" t="s">
        <v>260</v>
      </c>
      <c r="R19" s="176">
        <f t="shared" si="1"/>
        <v>100000000</v>
      </c>
      <c r="S19" s="176">
        <f>R19/VLOOKUP(K19,'Exchange Rates'!$B$11:$C$25,2,0)</f>
        <v>95238095.238095239</v>
      </c>
      <c r="T19" s="177" t="s">
        <v>261</v>
      </c>
      <c r="U19" s="698" t="s">
        <v>930</v>
      </c>
      <c r="V19" s="685" t="s">
        <v>260</v>
      </c>
      <c r="W19" s="701" t="s">
        <v>260</v>
      </c>
      <c r="X19" s="703" t="s">
        <v>260</v>
      </c>
      <c r="Y19" s="234"/>
      <c r="Z19" s="232"/>
      <c r="AA19" s="227"/>
      <c r="AB19" s="228"/>
      <c r="AC19" s="235"/>
      <c r="AD19" s="235"/>
      <c r="AE19" s="235"/>
      <c r="AF19" s="235"/>
      <c r="AG19" s="235"/>
      <c r="AH19" s="235"/>
      <c r="AI19" s="235"/>
      <c r="AJ19" s="181"/>
      <c r="AK19" s="181"/>
      <c r="AL19" s="181"/>
      <c r="AM19" s="181"/>
      <c r="AN19" s="182"/>
      <c r="AO19" s="182"/>
      <c r="AP19" s="179"/>
      <c r="AQ19" s="182"/>
      <c r="AS19" s="182"/>
      <c r="AT19" s="182"/>
      <c r="AU19" s="182"/>
      <c r="AV19" s="182"/>
    </row>
    <row r="20" spans="1:48" s="18" customFormat="1" ht="15.9" customHeight="1" x14ac:dyDescent="0.3">
      <c r="A20" s="5" t="s">
        <v>3885</v>
      </c>
      <c r="B20" s="5" t="s">
        <v>3530</v>
      </c>
      <c r="C20" s="174">
        <v>44634</v>
      </c>
      <c r="D20" s="5" t="s">
        <v>405</v>
      </c>
      <c r="E20" s="5" t="s">
        <v>3886</v>
      </c>
      <c r="F20" s="175" t="s">
        <v>3887</v>
      </c>
      <c r="G20" s="17" t="s">
        <v>260</v>
      </c>
      <c r="H20" s="233" t="s">
        <v>260</v>
      </c>
      <c r="I20" s="598" t="s">
        <v>260</v>
      </c>
      <c r="J20" s="233">
        <v>200000000</v>
      </c>
      <c r="K20" s="599" t="s">
        <v>346</v>
      </c>
      <c r="L20" s="177" t="s">
        <v>260</v>
      </c>
      <c r="M20" s="226" t="s">
        <v>260</v>
      </c>
      <c r="N20" s="233" t="s">
        <v>260</v>
      </c>
      <c r="O20" s="178" t="s">
        <v>260</v>
      </c>
      <c r="P20" s="176" t="s">
        <v>260</v>
      </c>
      <c r="Q20" s="176" t="s">
        <v>260</v>
      </c>
      <c r="R20" s="176">
        <f t="shared" si="1"/>
        <v>200000000</v>
      </c>
      <c r="S20" s="176">
        <f>R20/VLOOKUP(K20,'Exchange Rates'!$B$11:$C$25,2,0)</f>
        <v>190476190.47619048</v>
      </c>
      <c r="T20" s="177" t="s">
        <v>261</v>
      </c>
      <c r="U20" s="698" t="s">
        <v>407</v>
      </c>
      <c r="V20" s="685" t="s">
        <v>260</v>
      </c>
      <c r="W20" s="701" t="s">
        <v>260</v>
      </c>
      <c r="X20" s="703" t="s">
        <v>260</v>
      </c>
      <c r="Y20" s="234"/>
      <c r="Z20" s="232"/>
      <c r="AA20" s="227"/>
      <c r="AB20" s="228"/>
      <c r="AC20" s="235"/>
      <c r="AD20" s="235"/>
      <c r="AE20" s="235"/>
      <c r="AF20" s="235"/>
      <c r="AG20" s="235"/>
      <c r="AH20" s="235"/>
      <c r="AI20" s="235"/>
      <c r="AJ20" s="181"/>
      <c r="AK20" s="181"/>
      <c r="AL20" s="181"/>
      <c r="AM20" s="181"/>
      <c r="AN20" s="182"/>
      <c r="AO20" s="182"/>
      <c r="AP20" s="179"/>
      <c r="AQ20" s="182"/>
      <c r="AS20" s="182"/>
      <c r="AT20" s="182"/>
      <c r="AU20" s="182"/>
      <c r="AV20" s="182"/>
    </row>
    <row r="21" spans="1:48" s="18" customFormat="1" ht="15.9" customHeight="1" x14ac:dyDescent="0.3">
      <c r="A21" s="5" t="s">
        <v>3888</v>
      </c>
      <c r="B21" s="5" t="s">
        <v>3530</v>
      </c>
      <c r="C21" s="174">
        <v>44663</v>
      </c>
      <c r="D21" s="5" t="s">
        <v>405</v>
      </c>
      <c r="E21" s="5" t="s">
        <v>3844</v>
      </c>
      <c r="F21" s="175" t="s">
        <v>3889</v>
      </c>
      <c r="G21" s="17" t="s">
        <v>260</v>
      </c>
      <c r="H21" s="233" t="s">
        <v>260</v>
      </c>
      <c r="I21" s="598" t="s">
        <v>260</v>
      </c>
      <c r="J21" s="233">
        <v>1490000000</v>
      </c>
      <c r="K21" s="599" t="s">
        <v>346</v>
      </c>
      <c r="L21" s="177" t="s">
        <v>260</v>
      </c>
      <c r="M21" s="226" t="s">
        <v>260</v>
      </c>
      <c r="N21" s="233" t="s">
        <v>260</v>
      </c>
      <c r="O21" s="178" t="s">
        <v>260</v>
      </c>
      <c r="P21" s="176" t="s">
        <v>260</v>
      </c>
      <c r="Q21" s="176" t="s">
        <v>260</v>
      </c>
      <c r="R21" s="176">
        <f t="shared" si="1"/>
        <v>1490000000</v>
      </c>
      <c r="S21" s="176">
        <f>R21/VLOOKUP(K21,'Exchange Rates'!$B$11:$C$25,2,0)</f>
        <v>1419047619.0476191</v>
      </c>
      <c r="T21" s="177" t="s">
        <v>261</v>
      </c>
      <c r="U21" s="698" t="s">
        <v>3890</v>
      </c>
      <c r="V21" s="699" t="s">
        <v>3891</v>
      </c>
      <c r="W21" s="700" t="s">
        <v>3892</v>
      </c>
      <c r="X21" s="703" t="s">
        <v>260</v>
      </c>
      <c r="Y21" s="234"/>
      <c r="Z21" s="232"/>
      <c r="AA21" s="227"/>
      <c r="AB21" s="228"/>
      <c r="AC21" s="235"/>
      <c r="AD21" s="235"/>
      <c r="AE21" s="235"/>
      <c r="AF21" s="235"/>
      <c r="AG21" s="235"/>
      <c r="AH21" s="235"/>
      <c r="AI21" s="235"/>
      <c r="AJ21" s="181"/>
      <c r="AK21" s="181"/>
      <c r="AL21" s="181"/>
      <c r="AM21" s="181"/>
      <c r="AN21" s="182"/>
      <c r="AO21" s="182"/>
      <c r="AP21" s="179"/>
      <c r="AQ21" s="182"/>
      <c r="AS21" s="182"/>
      <c r="AT21" s="182"/>
      <c r="AU21" s="182"/>
      <c r="AV21" s="182"/>
    </row>
    <row r="22" spans="1:48" s="18" customFormat="1" ht="15.9" customHeight="1" x14ac:dyDescent="0.3">
      <c r="A22" s="17" t="s">
        <v>3893</v>
      </c>
      <c r="B22" s="17" t="s">
        <v>3530</v>
      </c>
      <c r="C22" s="174">
        <v>44781</v>
      </c>
      <c r="D22" s="5" t="s">
        <v>405</v>
      </c>
      <c r="E22" s="5" t="s">
        <v>3844</v>
      </c>
      <c r="F22" s="175" t="s">
        <v>3894</v>
      </c>
      <c r="G22" s="17" t="s">
        <v>3038</v>
      </c>
      <c r="H22" s="233">
        <v>4500000000</v>
      </c>
      <c r="I22" s="598" t="s">
        <v>346</v>
      </c>
      <c r="J22" s="233">
        <v>4500000000</v>
      </c>
      <c r="K22" s="599" t="s">
        <v>346</v>
      </c>
      <c r="L22" s="177" t="s">
        <v>260</v>
      </c>
      <c r="M22" s="226" t="s">
        <v>260</v>
      </c>
      <c r="N22" s="233" t="s">
        <v>260</v>
      </c>
      <c r="O22" s="178" t="s">
        <v>260</v>
      </c>
      <c r="P22" s="176" t="s">
        <v>260</v>
      </c>
      <c r="Q22" s="176" t="s">
        <v>260</v>
      </c>
      <c r="R22" s="176">
        <f t="shared" si="1"/>
        <v>4500000000</v>
      </c>
      <c r="S22" s="176">
        <f>R22/VLOOKUP(K22,'Exchange Rates'!$B$11:$C$25,2,0)</f>
        <v>4285714285.7142854</v>
      </c>
      <c r="T22" s="177" t="s">
        <v>261</v>
      </c>
      <c r="U22" s="698" t="s">
        <v>3895</v>
      </c>
      <c r="V22" s="685" t="s">
        <v>260</v>
      </c>
      <c r="W22" s="701" t="s">
        <v>260</v>
      </c>
      <c r="X22" s="703" t="s">
        <v>260</v>
      </c>
      <c r="Y22" s="234"/>
      <c r="Z22" s="232"/>
      <c r="AA22" s="227"/>
      <c r="AB22" s="228"/>
      <c r="AC22" s="235"/>
      <c r="AD22" s="235"/>
      <c r="AE22" s="235"/>
      <c r="AF22" s="235"/>
      <c r="AG22" s="235"/>
      <c r="AH22" s="235"/>
      <c r="AI22" s="235"/>
      <c r="AJ22" s="181"/>
      <c r="AK22" s="181"/>
      <c r="AL22" s="181"/>
      <c r="AM22" s="181"/>
      <c r="AN22" s="182"/>
      <c r="AO22" s="182"/>
      <c r="AP22" s="179"/>
      <c r="AQ22" s="182"/>
      <c r="AS22" s="182"/>
      <c r="AT22" s="182"/>
      <c r="AU22" s="182"/>
      <c r="AV22" s="182"/>
    </row>
    <row r="23" spans="1:48" s="18" customFormat="1" ht="15.9" customHeight="1" x14ac:dyDescent="0.3">
      <c r="A23" s="17" t="s">
        <v>3896</v>
      </c>
      <c r="B23" s="17" t="s">
        <v>3530</v>
      </c>
      <c r="C23" s="174">
        <v>44834</v>
      </c>
      <c r="D23" s="5" t="s">
        <v>405</v>
      </c>
      <c r="E23" s="5" t="s">
        <v>3875</v>
      </c>
      <c r="F23" s="175" t="s">
        <v>3897</v>
      </c>
      <c r="G23" s="17" t="s">
        <v>2864</v>
      </c>
      <c r="H23" s="233">
        <v>500000000</v>
      </c>
      <c r="I23" s="598" t="s">
        <v>346</v>
      </c>
      <c r="J23" s="233">
        <v>530000000</v>
      </c>
      <c r="K23" s="599" t="s">
        <v>346</v>
      </c>
      <c r="L23" s="177" t="s">
        <v>260</v>
      </c>
      <c r="M23" s="226" t="s">
        <v>260</v>
      </c>
      <c r="N23" s="233" t="s">
        <v>260</v>
      </c>
      <c r="O23" s="178" t="s">
        <v>260</v>
      </c>
      <c r="P23" s="176" t="s">
        <v>260</v>
      </c>
      <c r="Q23" s="176" t="s">
        <v>260</v>
      </c>
      <c r="R23" s="176">
        <f t="shared" si="1"/>
        <v>530000000</v>
      </c>
      <c r="S23" s="176">
        <f>R23/VLOOKUP(K21,'Exchange Rates'!$B$11:$C$25,2,0)</f>
        <v>504761904.76190472</v>
      </c>
      <c r="T23" s="177" t="s">
        <v>261</v>
      </c>
      <c r="U23" s="698" t="s">
        <v>934</v>
      </c>
      <c r="V23" s="685" t="s">
        <v>260</v>
      </c>
      <c r="W23" s="701" t="s">
        <v>260</v>
      </c>
      <c r="X23" s="703" t="s">
        <v>260</v>
      </c>
      <c r="Y23" s="234"/>
      <c r="Z23" s="232"/>
      <c r="AA23" s="227"/>
      <c r="AB23" s="228"/>
      <c r="AC23" s="235"/>
      <c r="AD23" s="235"/>
      <c r="AE23" s="235"/>
      <c r="AF23" s="235"/>
      <c r="AG23" s="235"/>
      <c r="AH23" s="235"/>
      <c r="AI23" s="235"/>
      <c r="AJ23" s="181"/>
      <c r="AK23" s="181"/>
      <c r="AL23" s="181"/>
      <c r="AM23" s="181"/>
      <c r="AN23" s="182"/>
      <c r="AO23" s="182"/>
      <c r="AP23" s="179"/>
      <c r="AQ23" s="182"/>
      <c r="AS23" s="182"/>
      <c r="AT23" s="182"/>
      <c r="AU23" s="182"/>
      <c r="AV23" s="182"/>
    </row>
    <row r="24" spans="1:48" s="18" customFormat="1" ht="15.9" customHeight="1" x14ac:dyDescent="0.3">
      <c r="A24" s="5" t="s">
        <v>3896</v>
      </c>
      <c r="B24" s="5" t="s">
        <v>3530</v>
      </c>
      <c r="C24" s="174">
        <v>44834</v>
      </c>
      <c r="D24" s="5" t="s">
        <v>405</v>
      </c>
      <c r="E24" s="5" t="s">
        <v>3875</v>
      </c>
      <c r="F24" s="175" t="s">
        <v>3897</v>
      </c>
      <c r="G24" s="17" t="s">
        <v>856</v>
      </c>
      <c r="H24" s="233">
        <v>30000000</v>
      </c>
      <c r="I24" s="598" t="s">
        <v>346</v>
      </c>
      <c r="J24" s="233">
        <v>530000000</v>
      </c>
      <c r="K24" s="599" t="s">
        <v>346</v>
      </c>
      <c r="L24" s="177" t="s">
        <v>260</v>
      </c>
      <c r="M24" s="226" t="s">
        <v>260</v>
      </c>
      <c r="N24" s="233" t="s">
        <v>260</v>
      </c>
      <c r="O24" s="178" t="s">
        <v>260</v>
      </c>
      <c r="P24" s="176" t="s">
        <v>260</v>
      </c>
      <c r="Q24" s="176" t="s">
        <v>260</v>
      </c>
      <c r="R24" s="176">
        <f t="shared" si="1"/>
        <v>530000000</v>
      </c>
      <c r="S24" s="176" t="s">
        <v>260</v>
      </c>
      <c r="T24" s="177" t="s">
        <v>261</v>
      </c>
      <c r="U24" s="698" t="s">
        <v>934</v>
      </c>
      <c r="V24" s="685" t="s">
        <v>260</v>
      </c>
      <c r="W24" s="701" t="s">
        <v>260</v>
      </c>
      <c r="X24" s="703" t="s">
        <v>260</v>
      </c>
      <c r="Y24" s="234"/>
      <c r="Z24" s="232"/>
      <c r="AA24" s="227"/>
      <c r="AB24" s="228"/>
      <c r="AC24" s="235"/>
      <c r="AD24" s="235"/>
      <c r="AE24" s="235"/>
      <c r="AF24" s="235"/>
      <c r="AG24" s="235"/>
      <c r="AH24" s="235"/>
      <c r="AI24" s="235"/>
      <c r="AJ24" s="181"/>
      <c r="AK24" s="181"/>
      <c r="AL24" s="181"/>
      <c r="AM24" s="181"/>
      <c r="AN24" s="182"/>
      <c r="AO24" s="182"/>
      <c r="AP24" s="179"/>
      <c r="AQ24" s="182"/>
      <c r="AS24" s="182"/>
      <c r="AT24" s="182"/>
      <c r="AU24" s="182"/>
      <c r="AV24" s="182"/>
    </row>
    <row r="25" spans="1:48" ht="15.9" customHeight="1" x14ac:dyDescent="0.3">
      <c r="A25" s="5"/>
      <c r="B25" s="5"/>
      <c r="H25" s="290"/>
      <c r="I25" s="1139"/>
      <c r="J25" s="1139"/>
      <c r="K25" s="1139"/>
      <c r="L25" s="1139"/>
      <c r="M25" s="1139"/>
      <c r="N25" s="1139"/>
      <c r="O25" s="1139"/>
      <c r="P25" s="1139"/>
      <c r="Q25" s="1139"/>
      <c r="R25" s="1139"/>
      <c r="S25" s="1139"/>
      <c r="T25" s="1139"/>
      <c r="U25" s="1139"/>
      <c r="V25" s="1139"/>
      <c r="W25" s="1139"/>
    </row>
    <row r="26" spans="1:48" ht="15.9" customHeight="1" x14ac:dyDescent="0.3">
      <c r="A26" s="5"/>
      <c r="B26" s="5"/>
      <c r="H26" s="290"/>
      <c r="I26" s="1139"/>
      <c r="J26" s="1139"/>
      <c r="K26" s="1139"/>
      <c r="L26" s="1139"/>
      <c r="M26" s="1139"/>
      <c r="N26" s="1139"/>
      <c r="O26" s="1139"/>
      <c r="P26" s="1139"/>
      <c r="Q26" s="1139"/>
      <c r="R26" s="290"/>
      <c r="S26" s="1139"/>
      <c r="T26" s="1139"/>
      <c r="U26" s="1139"/>
      <c r="V26" s="1139"/>
      <c r="W26" s="1139"/>
    </row>
    <row r="27" spans="1:48" ht="15.9" customHeight="1" x14ac:dyDescent="0.3">
      <c r="A27" s="5"/>
      <c r="B27" s="5"/>
      <c r="H27" s="290"/>
      <c r="I27" s="1139"/>
      <c r="J27" s="1139"/>
      <c r="K27" s="1139"/>
      <c r="L27" s="1139"/>
      <c r="M27" s="1139"/>
      <c r="N27" s="1139"/>
      <c r="O27" s="1139"/>
      <c r="P27" s="1139"/>
      <c r="Q27" s="1139"/>
      <c r="R27" s="1139"/>
      <c r="S27" s="1139"/>
      <c r="T27" s="1139"/>
      <c r="U27" s="1139"/>
      <c r="V27" s="1139"/>
      <c r="W27" s="1139"/>
    </row>
    <row r="28" spans="1:48" ht="15.9" customHeight="1" x14ac:dyDescent="0.3">
      <c r="A28" s="5"/>
      <c r="B28" s="5"/>
      <c r="H28" s="290"/>
      <c r="I28" s="1139"/>
      <c r="J28" s="1139"/>
      <c r="K28" s="1139"/>
      <c r="L28" s="1139"/>
      <c r="M28" s="1139"/>
      <c r="N28" s="1139"/>
      <c r="O28" s="1139"/>
      <c r="P28" s="1139"/>
      <c r="Q28" s="1139"/>
      <c r="R28" s="1139"/>
      <c r="S28" s="1139"/>
      <c r="T28" s="1139"/>
      <c r="U28" s="1139"/>
      <c r="V28" s="1139"/>
      <c r="W28" s="1139"/>
    </row>
    <row r="29" spans="1:48" ht="15.9" customHeight="1" x14ac:dyDescent="0.3">
      <c r="A29" s="5"/>
      <c r="B29" s="5"/>
    </row>
    <row r="30" spans="1:48" ht="15.9" customHeight="1" x14ac:dyDescent="0.3">
      <c r="A30" s="5"/>
      <c r="B30" s="5"/>
    </row>
    <row r="31" spans="1:48" ht="15.9" customHeight="1" x14ac:dyDescent="0.3">
      <c r="A31" s="5"/>
      <c r="B31" s="5"/>
    </row>
    <row r="42" spans="1:2" ht="15.9" customHeight="1" x14ac:dyDescent="0.3">
      <c r="A42" s="5"/>
      <c r="B42" s="5"/>
    </row>
    <row r="43" spans="1:2" ht="15.9" customHeight="1" x14ac:dyDescent="0.3">
      <c r="A43" s="5"/>
      <c r="B43" s="5"/>
    </row>
    <row r="44" spans="1:2" ht="15.9" customHeight="1" x14ac:dyDescent="0.3">
      <c r="A44" s="5"/>
      <c r="B44" s="5"/>
    </row>
    <row r="45" spans="1:2" ht="15.9" customHeight="1" x14ac:dyDescent="0.3">
      <c r="A45" s="5"/>
      <c r="B45" s="5"/>
    </row>
    <row r="47" spans="1:2" ht="15.9" customHeight="1" x14ac:dyDescent="0.3">
      <c r="A47" s="5"/>
      <c r="B47" s="5"/>
    </row>
    <row r="48" spans="1:2" ht="15.9" customHeight="1" x14ac:dyDescent="0.3">
      <c r="A48" s="5"/>
      <c r="B48" s="5"/>
    </row>
    <row r="49" spans="1:7" ht="15.9" customHeight="1" x14ac:dyDescent="0.3">
      <c r="A49" s="5"/>
      <c r="B49" s="5"/>
    </row>
    <row r="54" spans="1:7" ht="15.9" customHeight="1" x14ac:dyDescent="0.3">
      <c r="A54" s="5"/>
      <c r="B54" s="5"/>
    </row>
    <row r="55" spans="1:7" ht="15.9" customHeight="1" x14ac:dyDescent="0.3">
      <c r="A55" s="5"/>
      <c r="B55" s="5"/>
    </row>
    <row r="56" spans="1:7" ht="15.9" customHeight="1" x14ac:dyDescent="0.3">
      <c r="A56" s="5"/>
      <c r="B56" s="5"/>
    </row>
    <row r="57" spans="1:7" ht="15.9" customHeight="1" x14ac:dyDescent="0.3">
      <c r="A57" s="5"/>
      <c r="B57" s="5"/>
    </row>
    <row r="58" spans="1:7" ht="15.9" customHeight="1" x14ac:dyDescent="0.3">
      <c r="A58" s="5"/>
      <c r="B58" s="5"/>
    </row>
    <row r="59" spans="1:7" ht="15.9" customHeight="1" x14ac:dyDescent="0.3">
      <c r="A59" s="5"/>
      <c r="B59" s="5"/>
      <c r="C59" s="198"/>
      <c r="D59" s="19"/>
      <c r="E59" s="19"/>
      <c r="F59" s="19"/>
      <c r="G59" s="19"/>
    </row>
    <row r="60" spans="1:7" ht="15.9" customHeight="1" x14ac:dyDescent="0.3">
      <c r="A60" s="5"/>
      <c r="B60" s="5"/>
      <c r="C60" s="198"/>
      <c r="D60" s="19"/>
      <c r="E60" s="19"/>
      <c r="F60" s="19"/>
      <c r="G60" s="19"/>
    </row>
    <row r="61" spans="1:7" ht="15.9" customHeight="1" x14ac:dyDescent="0.3">
      <c r="A61" s="5"/>
      <c r="B61" s="5"/>
      <c r="C61" s="198"/>
      <c r="D61" s="19"/>
      <c r="E61" s="19"/>
      <c r="F61" s="19"/>
      <c r="G61" s="19"/>
    </row>
    <row r="62" spans="1:7" ht="15.9" customHeight="1" x14ac:dyDescent="0.3">
      <c r="A62" s="5"/>
      <c r="B62" s="5"/>
      <c r="C62" s="198"/>
      <c r="D62" s="19"/>
      <c r="E62" s="19"/>
      <c r="F62" s="19"/>
      <c r="G62" s="19"/>
    </row>
    <row r="63" spans="1:7" ht="15.9" customHeight="1" x14ac:dyDescent="0.3">
      <c r="A63" s="5"/>
      <c r="B63" s="5"/>
      <c r="C63" s="198"/>
      <c r="D63" s="19"/>
      <c r="E63" s="19"/>
      <c r="F63" s="19"/>
      <c r="G63" s="19"/>
    </row>
    <row r="64" spans="1:7" ht="15.9" customHeight="1" x14ac:dyDescent="0.3">
      <c r="A64" s="5"/>
      <c r="B64" s="5"/>
      <c r="C64" s="198"/>
      <c r="D64" s="19"/>
      <c r="E64" s="19"/>
      <c r="F64" s="19"/>
      <c r="G64" s="19"/>
    </row>
    <row r="65" spans="1:7" ht="15.9" customHeight="1" x14ac:dyDescent="0.3">
      <c r="A65" s="5"/>
      <c r="B65" s="5"/>
      <c r="C65" s="198"/>
      <c r="D65" s="19"/>
      <c r="E65" s="19"/>
      <c r="F65" s="19"/>
      <c r="G65" s="19"/>
    </row>
    <row r="66" spans="1:7" ht="15.9" customHeight="1" x14ac:dyDescent="0.3">
      <c r="A66" s="5"/>
      <c r="B66" s="5"/>
      <c r="C66" s="198"/>
      <c r="D66" s="19"/>
      <c r="E66" s="19"/>
      <c r="F66" s="19"/>
      <c r="G66" s="19"/>
    </row>
    <row r="67" spans="1:7" ht="15.9" customHeight="1" x14ac:dyDescent="0.3">
      <c r="A67" s="5"/>
      <c r="B67" s="5"/>
      <c r="C67" s="198"/>
      <c r="D67" s="19"/>
      <c r="E67" s="19"/>
      <c r="F67" s="19"/>
      <c r="G67" s="19"/>
    </row>
    <row r="68" spans="1:7" ht="15.9" customHeight="1" x14ac:dyDescent="0.3">
      <c r="A68" s="5"/>
      <c r="B68" s="5"/>
      <c r="C68" s="198"/>
      <c r="D68" s="19"/>
      <c r="E68" s="19"/>
      <c r="F68" s="19"/>
      <c r="G68" s="19"/>
    </row>
    <row r="69" spans="1:7" ht="15.9" customHeight="1" x14ac:dyDescent="0.3">
      <c r="A69" s="5"/>
      <c r="B69" s="5"/>
      <c r="C69" s="198"/>
      <c r="D69" s="19"/>
      <c r="E69" s="19"/>
      <c r="F69" s="19"/>
      <c r="G69" s="19"/>
    </row>
    <row r="70" spans="1:7" ht="15.9" customHeight="1" x14ac:dyDescent="0.3">
      <c r="A70" s="5"/>
      <c r="B70" s="5"/>
      <c r="C70" s="198"/>
      <c r="D70" s="19"/>
      <c r="E70" s="19"/>
      <c r="F70" s="19"/>
      <c r="G70" s="19"/>
    </row>
    <row r="71" spans="1:7" ht="15.9" customHeight="1" x14ac:dyDescent="0.3">
      <c r="A71" s="5"/>
      <c r="B71" s="5"/>
      <c r="C71" s="198"/>
      <c r="D71" s="19"/>
      <c r="E71" s="19"/>
      <c r="F71" s="19"/>
      <c r="G71" s="19"/>
    </row>
    <row r="75" spans="1:7" ht="15.9" customHeight="1" x14ac:dyDescent="0.3">
      <c r="A75" s="5"/>
      <c r="B75" s="5"/>
    </row>
    <row r="76" spans="1:7" ht="15.9" customHeight="1" x14ac:dyDescent="0.3">
      <c r="A76" s="5"/>
      <c r="B76" s="5"/>
    </row>
    <row r="95" spans="1:2" ht="15.9" customHeight="1" x14ac:dyDescent="0.3">
      <c r="A95" s="5"/>
      <c r="B95" s="5"/>
    </row>
    <row r="96" spans="1:2" ht="15.9" customHeight="1" x14ac:dyDescent="0.3">
      <c r="A96" s="5"/>
      <c r="B96" s="5"/>
    </row>
    <row r="97" spans="1:7" ht="15.9" customHeight="1" x14ac:dyDescent="0.3">
      <c r="A97" s="5"/>
      <c r="B97" s="5"/>
    </row>
    <row r="98" spans="1:7" ht="15.9" customHeight="1" x14ac:dyDescent="0.3">
      <c r="A98" s="5"/>
      <c r="B98" s="5"/>
    </row>
    <row r="99" spans="1:7" ht="15.9" customHeight="1" x14ac:dyDescent="0.3">
      <c r="A99" s="5"/>
      <c r="B99" s="5"/>
    </row>
    <row r="100" spans="1:7" ht="15.9" customHeight="1" x14ac:dyDescent="0.3">
      <c r="A100" s="5"/>
      <c r="B100" s="5"/>
      <c r="G100" s="192"/>
    </row>
    <row r="101" spans="1:7" ht="15.9" customHeight="1" x14ac:dyDescent="0.3">
      <c r="A101" s="5"/>
      <c r="B101" s="5"/>
      <c r="G101" s="190"/>
    </row>
    <row r="102" spans="1:7" ht="15.9" customHeight="1" x14ac:dyDescent="0.3">
      <c r="A102" s="5"/>
      <c r="B102" s="5"/>
      <c r="G102" s="217"/>
    </row>
    <row r="103" spans="1:7" ht="15.9" customHeight="1" x14ac:dyDescent="0.3">
      <c r="A103" s="5"/>
      <c r="B103" s="5"/>
    </row>
    <row r="104" spans="1:7" ht="15.9" customHeight="1" x14ac:dyDescent="0.3">
      <c r="A104" s="5"/>
      <c r="B104" s="5"/>
    </row>
    <row r="106" spans="1:7" ht="15.9" customHeight="1" x14ac:dyDescent="0.3">
      <c r="A106" s="5"/>
      <c r="B106" s="5"/>
    </row>
    <row r="107" spans="1:7" ht="15.9" customHeight="1" x14ac:dyDescent="0.3">
      <c r="A107" s="5"/>
      <c r="B107" s="5"/>
    </row>
    <row r="108" spans="1:7" ht="15.9" customHeight="1" x14ac:dyDescent="0.3">
      <c r="A108" s="5"/>
      <c r="B108" s="5"/>
    </row>
    <row r="109" spans="1:7" ht="15.9" customHeight="1" x14ac:dyDescent="0.3">
      <c r="A109" s="5"/>
      <c r="B109" s="5"/>
    </row>
    <row r="110" spans="1:7" ht="15.9" customHeight="1" x14ac:dyDescent="0.3">
      <c r="A110" s="5"/>
      <c r="B110" s="5"/>
    </row>
    <row r="111" spans="1:7" ht="15.9" customHeight="1" x14ac:dyDescent="0.3">
      <c r="A111" s="5"/>
      <c r="B111" s="5"/>
    </row>
    <row r="112" spans="1:7" ht="15.9" customHeight="1" x14ac:dyDescent="0.3">
      <c r="A112" s="5"/>
      <c r="B112" s="5"/>
    </row>
    <row r="113" spans="1:7" ht="15.9" customHeight="1" x14ac:dyDescent="0.3">
      <c r="A113" s="5"/>
      <c r="B113" s="5"/>
    </row>
    <row r="114" spans="1:7" ht="15.9" customHeight="1" x14ac:dyDescent="0.3">
      <c r="A114" s="5"/>
      <c r="B114" s="5"/>
    </row>
    <row r="115" spans="1:7" ht="15.9" customHeight="1" x14ac:dyDescent="0.3">
      <c r="A115" s="5"/>
      <c r="B115" s="5"/>
    </row>
    <row r="116" spans="1:7" ht="15.9" customHeight="1" x14ac:dyDescent="0.3">
      <c r="A116" s="5"/>
      <c r="B116" s="5"/>
    </row>
    <row r="117" spans="1:7" ht="15.9" customHeight="1" x14ac:dyDescent="0.3">
      <c r="A117" s="5"/>
      <c r="B117" s="5"/>
    </row>
    <row r="118" spans="1:7" ht="15.9" customHeight="1" x14ac:dyDescent="0.3">
      <c r="A118" s="5"/>
      <c r="B118" s="5"/>
    </row>
    <row r="119" spans="1:7" ht="15.9" customHeight="1" x14ac:dyDescent="0.3">
      <c r="A119" s="5"/>
      <c r="B119" s="5"/>
    </row>
    <row r="120" spans="1:7" ht="15.9" customHeight="1" x14ac:dyDescent="0.3">
      <c r="A120" s="5"/>
      <c r="B120" s="5"/>
    </row>
    <row r="121" spans="1:7" ht="15.9" customHeight="1" x14ac:dyDescent="0.3">
      <c r="A121" s="5"/>
      <c r="B121" s="5"/>
      <c r="G121" s="156"/>
    </row>
    <row r="122" spans="1:7" ht="15.9" customHeight="1" x14ac:dyDescent="0.3">
      <c r="A122" s="5"/>
      <c r="B122" s="5"/>
    </row>
    <row r="123" spans="1:7" ht="15.9" customHeight="1" x14ac:dyDescent="0.3">
      <c r="A123" s="5"/>
      <c r="B123" s="5"/>
    </row>
    <row r="124" spans="1:7" ht="15.9" customHeight="1" x14ac:dyDescent="0.3">
      <c r="G124" s="185"/>
    </row>
    <row r="125" spans="1:7" ht="15.9" customHeight="1" x14ac:dyDescent="0.3">
      <c r="G125" s="185"/>
    </row>
    <row r="131" spans="1:7" ht="15.9" customHeight="1" x14ac:dyDescent="0.3">
      <c r="A131" s="5"/>
      <c r="B131" s="5"/>
    </row>
    <row r="132" spans="1:7" ht="15.9" customHeight="1" x14ac:dyDescent="0.3">
      <c r="A132" s="5"/>
      <c r="B132" s="5"/>
    </row>
    <row r="133" spans="1:7" ht="15.9" customHeight="1" x14ac:dyDescent="0.3">
      <c r="A133" s="5"/>
      <c r="B133" s="5"/>
    </row>
    <row r="134" spans="1:7" ht="15.9" customHeight="1" x14ac:dyDescent="0.3">
      <c r="A134" s="5"/>
      <c r="B134" s="5"/>
    </row>
    <row r="135" spans="1:7" ht="15.9" customHeight="1" x14ac:dyDescent="0.3">
      <c r="A135" s="5"/>
      <c r="B135" s="5"/>
    </row>
    <row r="137" spans="1:7" ht="15.9" customHeight="1" x14ac:dyDescent="0.3">
      <c r="G137" s="184"/>
    </row>
    <row r="138" spans="1:7" ht="15.9" customHeight="1" x14ac:dyDescent="0.3">
      <c r="A138" s="5"/>
      <c r="B138" s="5"/>
      <c r="D138" s="194"/>
      <c r="E138" s="194"/>
      <c r="G138" s="185"/>
    </row>
    <row r="139" spans="1:7" ht="15.9" customHeight="1" x14ac:dyDescent="0.3">
      <c r="A139" s="5"/>
      <c r="B139" s="5"/>
      <c r="G139" s="185"/>
    </row>
    <row r="140" spans="1:7" ht="15.9" customHeight="1" x14ac:dyDescent="0.3">
      <c r="A140" s="5"/>
      <c r="B140" s="5"/>
      <c r="G140" s="185"/>
    </row>
    <row r="141" spans="1:7" ht="15.9" customHeight="1" x14ac:dyDescent="0.3">
      <c r="A141" s="5"/>
      <c r="B141" s="5"/>
      <c r="G141" s="185"/>
    </row>
    <row r="142" spans="1:7" ht="15.9" customHeight="1" x14ac:dyDescent="0.3">
      <c r="A142" s="5"/>
      <c r="B142" s="5"/>
      <c r="G142" s="185"/>
    </row>
    <row r="143" spans="1:7" ht="15.9" customHeight="1" x14ac:dyDescent="0.3">
      <c r="A143" s="5"/>
      <c r="B143" s="5"/>
      <c r="G143" s="185"/>
    </row>
    <row r="144" spans="1:7" ht="15.9" customHeight="1" x14ac:dyDescent="0.3">
      <c r="A144" s="5"/>
      <c r="B144" s="5"/>
      <c r="G144" s="185"/>
    </row>
    <row r="145" spans="1:7" ht="15.9" customHeight="1" x14ac:dyDescent="0.3">
      <c r="A145" s="5"/>
      <c r="B145" s="5"/>
      <c r="G145" s="185"/>
    </row>
    <row r="146" spans="1:7" ht="15.9" customHeight="1" x14ac:dyDescent="0.3">
      <c r="A146" s="5"/>
      <c r="B146" s="5"/>
      <c r="G146" s="185"/>
    </row>
    <row r="147" spans="1:7" ht="15.9" customHeight="1" x14ac:dyDescent="0.3">
      <c r="A147" s="5"/>
      <c r="B147" s="5"/>
      <c r="G147" s="185"/>
    </row>
    <row r="148" spans="1:7" ht="15.9" customHeight="1" x14ac:dyDescent="0.3">
      <c r="A148" s="5"/>
      <c r="B148" s="5"/>
      <c r="G148" s="185"/>
    </row>
    <row r="149" spans="1:7" ht="15.9" customHeight="1" x14ac:dyDescent="0.3">
      <c r="A149" s="5"/>
      <c r="B149" s="5"/>
      <c r="G149" s="185"/>
    </row>
    <row r="150" spans="1:7" ht="15.9" customHeight="1" x14ac:dyDescent="0.3">
      <c r="A150" s="5"/>
      <c r="B150" s="5"/>
      <c r="D150" s="194"/>
      <c r="G150" s="184"/>
    </row>
    <row r="151" spans="1:7" ht="15.9" customHeight="1" x14ac:dyDescent="0.3">
      <c r="A151" s="5"/>
      <c r="B151" s="5"/>
      <c r="D151" s="194"/>
      <c r="G151" s="184"/>
    </row>
    <row r="152" spans="1:7" ht="15.9" customHeight="1" x14ac:dyDescent="0.3">
      <c r="A152" s="5"/>
      <c r="B152" s="5"/>
      <c r="D152" s="194"/>
      <c r="G152" s="184"/>
    </row>
    <row r="153" spans="1:7" ht="15.9" customHeight="1" x14ac:dyDescent="0.3">
      <c r="A153" s="5"/>
      <c r="B153" s="5"/>
      <c r="D153" s="194"/>
      <c r="G153" s="184"/>
    </row>
    <row r="154" spans="1:7" ht="15.9" customHeight="1" x14ac:dyDescent="0.3">
      <c r="A154" s="5"/>
      <c r="B154" s="5"/>
      <c r="D154" s="194"/>
      <c r="G154" s="184"/>
    </row>
    <row r="155" spans="1:7" ht="15.9" customHeight="1" x14ac:dyDescent="0.3">
      <c r="A155" s="5"/>
      <c r="B155" s="5"/>
      <c r="D155" s="194"/>
      <c r="G155" s="184"/>
    </row>
    <row r="156" spans="1:7" ht="15.9" customHeight="1" x14ac:dyDescent="0.3">
      <c r="G156" s="184"/>
    </row>
    <row r="157" spans="1:7" ht="15.9" customHeight="1" x14ac:dyDescent="0.3">
      <c r="G157" s="184"/>
    </row>
    <row r="158" spans="1:7" ht="15.9" customHeight="1" x14ac:dyDescent="0.3">
      <c r="G158" s="184"/>
    </row>
    <row r="159" spans="1:7" ht="15.9" customHeight="1" x14ac:dyDescent="0.3">
      <c r="G159" s="184"/>
    </row>
    <row r="160" spans="1:7" ht="15.9" customHeight="1" x14ac:dyDescent="0.3">
      <c r="G160" s="184"/>
    </row>
    <row r="161" spans="1:7" ht="15.9" customHeight="1" x14ac:dyDescent="0.3">
      <c r="G161" s="184"/>
    </row>
    <row r="162" spans="1:7" ht="15.9" customHeight="1" x14ac:dyDescent="0.3">
      <c r="G162" s="184"/>
    </row>
    <row r="163" spans="1:7" ht="15.9" customHeight="1" x14ac:dyDescent="0.3">
      <c r="G163" s="184"/>
    </row>
    <row r="164" spans="1:7" ht="15.9" customHeight="1" x14ac:dyDescent="0.3">
      <c r="G164" s="184"/>
    </row>
    <row r="166" spans="1:7" ht="15.9" customHeight="1" x14ac:dyDescent="0.3">
      <c r="A166" s="5"/>
      <c r="B166" s="5"/>
    </row>
    <row r="167" spans="1:7" ht="15.9" customHeight="1" x14ac:dyDescent="0.3">
      <c r="A167" s="5"/>
      <c r="B167" s="5"/>
    </row>
    <row r="169" spans="1:7" ht="15.9" customHeight="1" x14ac:dyDescent="0.3">
      <c r="A169" s="5"/>
      <c r="B169" s="5"/>
    </row>
    <row r="170" spans="1:7" ht="15.9" customHeight="1" x14ac:dyDescent="0.3">
      <c r="A170" s="5"/>
      <c r="B170" s="5"/>
    </row>
    <row r="179" spans="1:7" ht="15.9" customHeight="1" x14ac:dyDescent="0.3">
      <c r="G179" s="184"/>
    </row>
    <row r="180" spans="1:7" ht="15.9" customHeight="1" x14ac:dyDescent="0.3">
      <c r="G180" s="184"/>
    </row>
    <row r="185" spans="1:7" ht="15.9" customHeight="1" x14ac:dyDescent="0.3">
      <c r="A185" s="5"/>
      <c r="B185" s="5"/>
    </row>
    <row r="186" spans="1:7" ht="15.9" customHeight="1" x14ac:dyDescent="0.3">
      <c r="A186" s="5"/>
      <c r="B186" s="5"/>
    </row>
    <row r="195" spans="1:2" ht="15.9" customHeight="1" x14ac:dyDescent="0.3">
      <c r="A195" s="5"/>
      <c r="B195" s="5"/>
    </row>
    <row r="196" spans="1:2" ht="15.9" customHeight="1" x14ac:dyDescent="0.3">
      <c r="A196" s="5"/>
      <c r="B196" s="5"/>
    </row>
    <row r="197" spans="1:2" ht="15.9" customHeight="1" x14ac:dyDescent="0.3">
      <c r="A197" s="5"/>
      <c r="B197" s="5"/>
    </row>
    <row r="198" spans="1:2" ht="15.9" customHeight="1" x14ac:dyDescent="0.3">
      <c r="A198" s="5"/>
      <c r="B198" s="5"/>
    </row>
    <row r="199" spans="1:2" ht="15.9" customHeight="1" x14ac:dyDescent="0.3">
      <c r="A199" s="5"/>
      <c r="B199" s="5"/>
    </row>
    <row r="200" spans="1:2" ht="15.9" customHeight="1" x14ac:dyDescent="0.3">
      <c r="A200" s="5"/>
      <c r="B200" s="5"/>
    </row>
    <row r="201" spans="1:2" ht="15.9" customHeight="1" x14ac:dyDescent="0.3">
      <c r="A201" s="5"/>
      <c r="B201" s="5"/>
    </row>
    <row r="202" spans="1:2" ht="15.9" customHeight="1" x14ac:dyDescent="0.3">
      <c r="A202" s="5"/>
      <c r="B202" s="5"/>
    </row>
    <row r="203" spans="1:2" ht="15.9" customHeight="1" x14ac:dyDescent="0.3">
      <c r="A203" s="5"/>
      <c r="B203" s="5"/>
    </row>
    <row r="204" spans="1:2" ht="15.9" customHeight="1" x14ac:dyDescent="0.3">
      <c r="A204" s="5"/>
      <c r="B204" s="5"/>
    </row>
    <row r="205" spans="1:2" ht="15.9" customHeight="1" x14ac:dyDescent="0.3">
      <c r="A205" s="5"/>
      <c r="B205" s="5"/>
    </row>
    <row r="206" spans="1:2" ht="15.9" customHeight="1" x14ac:dyDescent="0.3">
      <c r="A206" s="5"/>
      <c r="B206" s="5"/>
    </row>
    <row r="207" spans="1:2" ht="15.9" customHeight="1" x14ac:dyDescent="0.3">
      <c r="A207" s="5"/>
      <c r="B207" s="5"/>
    </row>
    <row r="208" spans="1:2" ht="15.9" customHeight="1" x14ac:dyDescent="0.3">
      <c r="A208" s="5"/>
      <c r="B208" s="5"/>
    </row>
    <row r="211" spans="1:2" ht="15.9" customHeight="1" x14ac:dyDescent="0.3">
      <c r="A211" s="5"/>
      <c r="B211" s="5"/>
    </row>
    <row r="212" spans="1:2" ht="15.9" customHeight="1" x14ac:dyDescent="0.3">
      <c r="A212" s="5"/>
      <c r="B212" s="5"/>
    </row>
    <row r="213" spans="1:2" ht="15.9" customHeight="1" x14ac:dyDescent="0.3">
      <c r="A213" s="5"/>
      <c r="B213" s="5"/>
    </row>
    <row r="214" spans="1:2" ht="15.9" customHeight="1" x14ac:dyDescent="0.3">
      <c r="A214" s="5"/>
      <c r="B214" s="5"/>
    </row>
    <row r="215" spans="1:2" ht="15.9" customHeight="1" x14ac:dyDescent="0.3">
      <c r="A215" s="5"/>
      <c r="B215" s="5"/>
    </row>
    <row r="216" spans="1:2" ht="15.9" customHeight="1" x14ac:dyDescent="0.3">
      <c r="A216" s="5"/>
      <c r="B216" s="5"/>
    </row>
    <row r="217" spans="1:2" ht="15.9" customHeight="1" x14ac:dyDescent="0.3">
      <c r="A217" s="5"/>
      <c r="B217" s="5"/>
    </row>
    <row r="218" spans="1:2" ht="15.9" customHeight="1" x14ac:dyDescent="0.3">
      <c r="A218" s="5"/>
      <c r="B218" s="5"/>
    </row>
    <row r="219" spans="1:2" ht="15.9" customHeight="1" x14ac:dyDescent="0.3">
      <c r="A219" s="5"/>
      <c r="B219" s="5"/>
    </row>
    <row r="220" spans="1:2" ht="15.9" customHeight="1" x14ac:dyDescent="0.3">
      <c r="A220" s="5"/>
      <c r="B220" s="5"/>
    </row>
    <row r="221" spans="1:2" ht="15.9" customHeight="1" x14ac:dyDescent="0.3">
      <c r="A221" s="5"/>
      <c r="B221" s="5"/>
    </row>
    <row r="222" spans="1:2" ht="15.9" customHeight="1" x14ac:dyDescent="0.3">
      <c r="A222" s="5"/>
      <c r="B222" s="5"/>
    </row>
    <row r="223" spans="1:2" ht="15.9" customHeight="1" x14ac:dyDescent="0.3">
      <c r="A223" s="5"/>
      <c r="B223" s="5"/>
    </row>
    <row r="224" spans="1:2" ht="15.9" customHeight="1" x14ac:dyDescent="0.3">
      <c r="A224" s="5"/>
      <c r="B224" s="5"/>
    </row>
    <row r="225" spans="1:7" ht="15.9" customHeight="1" x14ac:dyDescent="0.3">
      <c r="A225" s="5"/>
      <c r="B225" s="5"/>
    </row>
    <row r="226" spans="1:7" ht="15.9" customHeight="1" x14ac:dyDescent="0.3">
      <c r="A226" s="5"/>
      <c r="B226" s="5"/>
    </row>
    <row r="227" spans="1:7" ht="15.9" customHeight="1" x14ac:dyDescent="0.3">
      <c r="A227" s="5"/>
      <c r="B227" s="5"/>
    </row>
    <row r="228" spans="1:7" ht="15.9" customHeight="1" x14ac:dyDescent="0.3">
      <c r="A228" s="5"/>
      <c r="B228" s="5"/>
    </row>
    <row r="229" spans="1:7" ht="15.9" customHeight="1" x14ac:dyDescent="0.3">
      <c r="A229" s="5"/>
      <c r="B229" s="5"/>
    </row>
    <row r="230" spans="1:7" ht="15.9" customHeight="1" x14ac:dyDescent="0.3">
      <c r="A230" s="5"/>
      <c r="B230" s="5"/>
    </row>
    <row r="232" spans="1:7" ht="15.9" customHeight="1" x14ac:dyDescent="0.25">
      <c r="G232" s="1"/>
    </row>
    <row r="233" spans="1:7" ht="15.9" customHeight="1" x14ac:dyDescent="0.25">
      <c r="G233" s="1"/>
    </row>
    <row r="234" spans="1:7" ht="15.9" customHeight="1" x14ac:dyDescent="0.25">
      <c r="G234" s="1"/>
    </row>
    <row r="235" spans="1:7" ht="15.9" customHeight="1" x14ac:dyDescent="0.25">
      <c r="G235" s="1"/>
    </row>
    <row r="236" spans="1:7" ht="15.9" customHeight="1" x14ac:dyDescent="0.25">
      <c r="G236" s="1"/>
    </row>
    <row r="237" spans="1:7" ht="15.9" customHeight="1" x14ac:dyDescent="0.3">
      <c r="G237" s="19"/>
    </row>
    <row r="238" spans="1:7" ht="15.9" customHeight="1" x14ac:dyDescent="0.3">
      <c r="G238" s="158"/>
    </row>
    <row r="239" spans="1:7" ht="15.9" customHeight="1" x14ac:dyDescent="0.3">
      <c r="G239" s="19"/>
    </row>
    <row r="240" spans="1:7" ht="15.9" customHeight="1" x14ac:dyDescent="0.3">
      <c r="G240" s="19"/>
    </row>
    <row r="241" spans="1:7" ht="15.9" customHeight="1" x14ac:dyDescent="0.3">
      <c r="G241" s="185"/>
    </row>
    <row r="246" spans="1:7" ht="15.9" customHeight="1" x14ac:dyDescent="0.3">
      <c r="G246" s="155"/>
    </row>
    <row r="249" spans="1:7" ht="15.9" customHeight="1" x14ac:dyDescent="0.3">
      <c r="A249" s="5"/>
      <c r="B249" s="5"/>
    </row>
    <row r="250" spans="1:7" ht="15.9" customHeight="1" x14ac:dyDescent="0.3">
      <c r="A250" s="5"/>
      <c r="B250" s="5"/>
    </row>
    <row r="251" spans="1:7" ht="15.9" customHeight="1" x14ac:dyDescent="0.3">
      <c r="A251" s="5"/>
      <c r="B251" s="5"/>
    </row>
    <row r="267" spans="1:2" ht="15.9" customHeight="1" x14ac:dyDescent="0.3">
      <c r="A267" s="5"/>
      <c r="B267" s="5"/>
    </row>
    <row r="268" spans="1:2" ht="15.9" customHeight="1" x14ac:dyDescent="0.3">
      <c r="A268" s="5"/>
      <c r="B268" s="5"/>
    </row>
    <row r="269" spans="1:2" ht="15.9" customHeight="1" x14ac:dyDescent="0.3">
      <c r="A269" s="5"/>
      <c r="B269" s="5"/>
    </row>
    <row r="270" spans="1:2" ht="15.9" customHeight="1" x14ac:dyDescent="0.3">
      <c r="A270" s="5"/>
      <c r="B270" s="5"/>
    </row>
    <row r="271" spans="1:2" ht="15.9" customHeight="1" x14ac:dyDescent="0.3">
      <c r="A271" s="5"/>
      <c r="B271" s="5"/>
    </row>
    <row r="272" spans="1:2" ht="15.9" customHeight="1" x14ac:dyDescent="0.3">
      <c r="A272" s="5"/>
      <c r="B272" s="5"/>
    </row>
    <row r="273" spans="1:2" ht="15.9" customHeight="1" x14ac:dyDescent="0.3">
      <c r="A273" s="5"/>
      <c r="B273" s="5"/>
    </row>
    <row r="282" spans="1:2" ht="15.9" customHeight="1" x14ac:dyDescent="0.3">
      <c r="A282" s="5"/>
      <c r="B282" s="5"/>
    </row>
    <row r="283" spans="1:2" ht="15.9" customHeight="1" x14ac:dyDescent="0.3">
      <c r="A283" s="5"/>
      <c r="B283" s="5"/>
    </row>
    <row r="284" spans="1:2" ht="15.9" customHeight="1" x14ac:dyDescent="0.3">
      <c r="A284" s="5"/>
      <c r="B284" s="5"/>
    </row>
    <row r="285" spans="1:2" ht="15.9" customHeight="1" x14ac:dyDescent="0.3">
      <c r="A285" s="5"/>
      <c r="B285" s="5"/>
    </row>
    <row r="286" spans="1:2" ht="15.9" customHeight="1" x14ac:dyDescent="0.3">
      <c r="A286" s="5"/>
      <c r="B286" s="5"/>
    </row>
    <row r="287" spans="1:2" ht="15.9" customHeight="1" x14ac:dyDescent="0.3">
      <c r="A287" s="5"/>
      <c r="B287" s="5"/>
    </row>
    <row r="289" spans="1:7" ht="15.9" customHeight="1" x14ac:dyDescent="0.3">
      <c r="A289" s="5"/>
      <c r="B289" s="5"/>
    </row>
    <row r="290" spans="1:7" ht="15.9" customHeight="1" x14ac:dyDescent="0.3">
      <c r="A290" s="5"/>
      <c r="B290" s="5"/>
    </row>
    <row r="291" spans="1:7" ht="15.9" customHeight="1" x14ac:dyDescent="0.3">
      <c r="A291" s="5"/>
      <c r="B291" s="5"/>
    </row>
    <row r="292" spans="1:7" ht="15.9" customHeight="1" x14ac:dyDescent="0.3">
      <c r="A292" s="5"/>
      <c r="B292" s="5"/>
    </row>
    <row r="293" spans="1:7" ht="15.9" customHeight="1" x14ac:dyDescent="0.3">
      <c r="A293" s="5"/>
      <c r="B293" s="5"/>
    </row>
    <row r="294" spans="1:7" ht="15.9" customHeight="1" x14ac:dyDescent="0.3">
      <c r="A294" s="5"/>
      <c r="B294" s="5"/>
    </row>
    <row r="295" spans="1:7" ht="15.9" customHeight="1" x14ac:dyDescent="0.3">
      <c r="A295" s="5"/>
      <c r="B295" s="5"/>
    </row>
    <row r="296" spans="1:7" ht="15.9" customHeight="1" x14ac:dyDescent="0.3">
      <c r="A296" s="5"/>
      <c r="B296" s="5"/>
    </row>
    <row r="297" spans="1:7" ht="15.9" customHeight="1" x14ac:dyDescent="0.3">
      <c r="A297" s="5"/>
      <c r="B297" s="5"/>
    </row>
    <row r="298" spans="1:7" ht="15.9" customHeight="1" x14ac:dyDescent="0.3">
      <c r="A298" s="5"/>
      <c r="B298" s="5"/>
      <c r="G298" s="156"/>
    </row>
    <row r="309" spans="7:7" ht="15.9" customHeight="1" x14ac:dyDescent="0.3">
      <c r="G309" s="186"/>
    </row>
    <row r="313" spans="7:7" ht="15.9" customHeight="1" x14ac:dyDescent="0.3">
      <c r="G313" s="19"/>
    </row>
    <row r="314" spans="7:7" ht="15.9" customHeight="1" x14ac:dyDescent="0.3">
      <c r="G314" s="19"/>
    </row>
    <row r="315" spans="7:7" ht="15.9" customHeight="1" x14ac:dyDescent="0.3">
      <c r="G315" s="19"/>
    </row>
    <row r="316" spans="7:7" ht="15.9" customHeight="1" x14ac:dyDescent="0.3">
      <c r="G316" s="19"/>
    </row>
    <row r="317" spans="7:7" ht="15.9" customHeight="1" x14ac:dyDescent="0.3">
      <c r="G317" s="19"/>
    </row>
    <row r="318" spans="7:7" ht="15.9" customHeight="1" x14ac:dyDescent="0.3">
      <c r="G318" s="19"/>
    </row>
    <row r="319" spans="7:7" ht="15.9" customHeight="1" x14ac:dyDescent="0.3">
      <c r="G319" s="19"/>
    </row>
    <row r="320" spans="7:7" ht="15.9" customHeight="1" x14ac:dyDescent="0.3">
      <c r="G320" s="19"/>
    </row>
    <row r="321" spans="1:7" ht="15.9" customHeight="1" x14ac:dyDescent="0.3">
      <c r="G321" s="19"/>
    </row>
    <row r="322" spans="1:7" ht="15.9" customHeight="1" x14ac:dyDescent="0.3">
      <c r="G322" s="19"/>
    </row>
    <row r="323" spans="1:7" ht="15.9" customHeight="1" x14ac:dyDescent="0.3">
      <c r="A323" s="19"/>
      <c r="B323" s="19"/>
      <c r="D323" s="19"/>
      <c r="E323" s="19"/>
      <c r="G323" s="19"/>
    </row>
    <row r="324" spans="1:7" ht="15.9" customHeight="1" x14ac:dyDescent="0.3">
      <c r="A324" s="19"/>
      <c r="B324" s="19"/>
      <c r="D324" s="19"/>
      <c r="E324" s="19"/>
      <c r="G324" s="19"/>
    </row>
    <row r="332" spans="1:7" ht="15.9" customHeight="1" x14ac:dyDescent="0.3">
      <c r="A332" s="5"/>
      <c r="B332" s="5"/>
    </row>
    <row r="333" spans="1:7" ht="15.9" customHeight="1" x14ac:dyDescent="0.3">
      <c r="A333" s="5"/>
      <c r="B333" s="5"/>
      <c r="G333" s="156"/>
    </row>
    <row r="334" spans="1:7" ht="15.9" customHeight="1" x14ac:dyDescent="0.3">
      <c r="A334" s="5"/>
      <c r="B334" s="5"/>
    </row>
    <row r="335" spans="1:7" ht="15.9" customHeight="1" x14ac:dyDescent="0.3">
      <c r="A335" s="5"/>
      <c r="B335" s="5"/>
    </row>
    <row r="336" spans="1:7" ht="15.9" customHeight="1" x14ac:dyDescent="0.3">
      <c r="A336" s="5"/>
      <c r="B336" s="5"/>
      <c r="F336" s="1139"/>
    </row>
    <row r="337" spans="1:7" ht="15.9" customHeight="1" x14ac:dyDescent="0.3">
      <c r="A337" s="5"/>
      <c r="B337" s="5"/>
      <c r="F337" s="1139"/>
    </row>
    <row r="338" spans="1:7" ht="15.9" customHeight="1" x14ac:dyDescent="0.3">
      <c r="A338" s="5"/>
      <c r="B338" s="5"/>
      <c r="F338" s="1139"/>
    </row>
    <row r="339" spans="1:7" ht="15.9" customHeight="1" x14ac:dyDescent="0.3">
      <c r="A339" s="5"/>
      <c r="B339" s="5"/>
      <c r="F339" s="1139"/>
    </row>
    <row r="340" spans="1:7" ht="15.9" customHeight="1" x14ac:dyDescent="0.3">
      <c r="G340" s="184"/>
    </row>
    <row r="341" spans="1:7" ht="15.9" customHeight="1" x14ac:dyDescent="0.3">
      <c r="G341" s="184"/>
    </row>
    <row r="346" spans="1:7" ht="15.9" customHeight="1" x14ac:dyDescent="0.3">
      <c r="A346" s="5"/>
      <c r="B346" s="5"/>
      <c r="F346" s="1139"/>
      <c r="G346" s="185"/>
    </row>
    <row r="347" spans="1:7" ht="15.9" customHeight="1" x14ac:dyDescent="0.3">
      <c r="A347" s="5"/>
      <c r="B347" s="5"/>
      <c r="F347" s="1139"/>
      <c r="G347" s="185"/>
    </row>
    <row r="348" spans="1:7" ht="15.9" customHeight="1" x14ac:dyDescent="0.3">
      <c r="A348" s="5"/>
      <c r="B348" s="5"/>
      <c r="F348" s="1139"/>
      <c r="G348" s="185"/>
    </row>
    <row r="349" spans="1:7" ht="15.9" customHeight="1" x14ac:dyDescent="0.3">
      <c r="A349" s="5"/>
      <c r="B349" s="5"/>
      <c r="F349" s="1139"/>
      <c r="G349" s="185"/>
    </row>
    <row r="350" spans="1:7" ht="15.9" customHeight="1" x14ac:dyDescent="0.3">
      <c r="A350" s="5"/>
      <c r="B350" s="5"/>
      <c r="F350" s="1139"/>
      <c r="G350" s="185"/>
    </row>
    <row r="351" spans="1:7" ht="15.9" customHeight="1" x14ac:dyDescent="0.3">
      <c r="A351" s="5"/>
      <c r="B351" s="5"/>
      <c r="F351" s="1139"/>
      <c r="G351" s="185"/>
    </row>
    <row r="352" spans="1:7" ht="15.9" customHeight="1" x14ac:dyDescent="0.3">
      <c r="A352" s="5"/>
      <c r="B352" s="5"/>
      <c r="F352" s="1139"/>
      <c r="G352" s="185"/>
    </row>
    <row r="353" spans="1:7" ht="15.9" customHeight="1" x14ac:dyDescent="0.3">
      <c r="A353" s="5"/>
      <c r="B353" s="5"/>
      <c r="F353" s="1139"/>
      <c r="G353" s="185"/>
    </row>
    <row r="354" spans="1:7" ht="15.9" customHeight="1" x14ac:dyDescent="0.3">
      <c r="A354" s="5"/>
      <c r="B354" s="5"/>
      <c r="F354" s="1139"/>
      <c r="G354" s="185"/>
    </row>
    <row r="355" spans="1:7" ht="15.9" customHeight="1" x14ac:dyDescent="0.3">
      <c r="A355" s="5"/>
      <c r="B355" s="5"/>
      <c r="F355" s="1139"/>
      <c r="G355" s="185"/>
    </row>
    <row r="356" spans="1:7" ht="15.9" customHeight="1" x14ac:dyDescent="0.3">
      <c r="A356" s="5"/>
      <c r="B356" s="5"/>
      <c r="F356" s="1139"/>
      <c r="G356" s="185"/>
    </row>
    <row r="357" spans="1:7" ht="15.9" customHeight="1" x14ac:dyDescent="0.3">
      <c r="A357" s="5"/>
      <c r="B357" s="5"/>
      <c r="F357" s="1139"/>
      <c r="G357" s="185"/>
    </row>
    <row r="358" spans="1:7" ht="15.9" customHeight="1" x14ac:dyDescent="0.3">
      <c r="A358" s="5"/>
      <c r="B358" s="5"/>
      <c r="F358" s="1139"/>
      <c r="G358" s="185"/>
    </row>
    <row r="359" spans="1:7" ht="15.9" customHeight="1" x14ac:dyDescent="0.3">
      <c r="A359" s="5"/>
      <c r="B359" s="5"/>
      <c r="F359" s="1139"/>
      <c r="G359" s="185"/>
    </row>
    <row r="360" spans="1:7" ht="15.9" customHeight="1" x14ac:dyDescent="0.3">
      <c r="A360" s="5"/>
      <c r="B360" s="5"/>
      <c r="F360" s="1139"/>
      <c r="G360" s="185"/>
    </row>
    <row r="361" spans="1:7" ht="15.9" customHeight="1" x14ac:dyDescent="0.3">
      <c r="A361" s="5"/>
      <c r="B361" s="5"/>
      <c r="F361" s="1139"/>
      <c r="G361" s="185"/>
    </row>
    <row r="362" spans="1:7" ht="15.9" customHeight="1" x14ac:dyDescent="0.3">
      <c r="A362" s="5"/>
      <c r="B362" s="5"/>
      <c r="F362" s="1139"/>
      <c r="G362" s="185"/>
    </row>
    <row r="363" spans="1:7" ht="15.9" customHeight="1" x14ac:dyDescent="0.3">
      <c r="A363" s="5"/>
      <c r="B363" s="5"/>
      <c r="F363" s="1139"/>
      <c r="G363" s="185"/>
    </row>
    <row r="364" spans="1:7" ht="15.9" customHeight="1" x14ac:dyDescent="0.3">
      <c r="A364" s="5"/>
      <c r="B364" s="5"/>
      <c r="F364" s="1139"/>
      <c r="G364" s="185"/>
    </row>
    <row r="365" spans="1:7" ht="15.9" customHeight="1" x14ac:dyDescent="0.3">
      <c r="A365" s="5"/>
      <c r="B365" s="5"/>
      <c r="F365" s="1139"/>
      <c r="G365" s="185"/>
    </row>
    <row r="366" spans="1:7" ht="15.9" customHeight="1" x14ac:dyDescent="0.3">
      <c r="A366" s="5"/>
      <c r="B366" s="5"/>
      <c r="F366" s="1139"/>
      <c r="G366" s="185"/>
    </row>
    <row r="367" spans="1:7" ht="15.9" customHeight="1" x14ac:dyDescent="0.3">
      <c r="A367" s="5"/>
      <c r="B367" s="5"/>
      <c r="F367" s="1139"/>
      <c r="G367" s="185"/>
    </row>
    <row r="368" spans="1:7" ht="15.9" customHeight="1" x14ac:dyDescent="0.3">
      <c r="A368" s="5"/>
      <c r="B368" s="5"/>
      <c r="F368" s="1139"/>
      <c r="G368" s="185"/>
    </row>
    <row r="369" spans="1:7" ht="15.9" customHeight="1" x14ac:dyDescent="0.3">
      <c r="A369" s="5"/>
      <c r="B369" s="5"/>
      <c r="F369" s="1139"/>
      <c r="G369" s="185"/>
    </row>
    <row r="370" spans="1:7" ht="15.9" customHeight="1" x14ac:dyDescent="0.3">
      <c r="A370" s="5"/>
      <c r="B370" s="5"/>
      <c r="F370" s="1139"/>
      <c r="G370" s="185"/>
    </row>
    <row r="371" spans="1:7" ht="15.9" customHeight="1" x14ac:dyDescent="0.3">
      <c r="A371" s="5"/>
      <c r="B371" s="5"/>
      <c r="F371" s="1139"/>
      <c r="G371" s="185"/>
    </row>
    <row r="372" spans="1:7" ht="15.9" customHeight="1" x14ac:dyDescent="0.3">
      <c r="A372" s="5"/>
      <c r="B372" s="5"/>
      <c r="F372" s="1139"/>
      <c r="G372" s="185"/>
    </row>
    <row r="373" spans="1:7" ht="15.9" customHeight="1" x14ac:dyDescent="0.3">
      <c r="A373" s="5"/>
      <c r="B373" s="5"/>
      <c r="F373" s="1139"/>
      <c r="G373" s="185"/>
    </row>
    <row r="374" spans="1:7" ht="15.9" customHeight="1" x14ac:dyDescent="0.3">
      <c r="A374" s="5"/>
      <c r="B374" s="5"/>
      <c r="F374" s="1139"/>
      <c r="G374" s="185"/>
    </row>
    <row r="375" spans="1:7" ht="15.9" customHeight="1" x14ac:dyDescent="0.3">
      <c r="A375" s="5"/>
      <c r="B375" s="5"/>
      <c r="F375" s="1139"/>
      <c r="G375" s="185"/>
    </row>
    <row r="376" spans="1:7" ht="15.9" customHeight="1" x14ac:dyDescent="0.3">
      <c r="A376" s="5"/>
      <c r="B376" s="5"/>
      <c r="F376" s="1139"/>
      <c r="G376" s="185"/>
    </row>
    <row r="377" spans="1:7" ht="15.9" customHeight="1" x14ac:dyDescent="0.3">
      <c r="A377" s="5"/>
      <c r="B377" s="5"/>
      <c r="F377" s="1139"/>
      <c r="G377" s="185"/>
    </row>
    <row r="378" spans="1:7" ht="15.9" customHeight="1" x14ac:dyDescent="0.3">
      <c r="A378" s="5"/>
      <c r="B378" s="5"/>
      <c r="F378" s="1139"/>
      <c r="G378" s="185"/>
    </row>
    <row r="379" spans="1:7" ht="15.9" customHeight="1" x14ac:dyDescent="0.3">
      <c r="A379" s="5"/>
      <c r="B379" s="5"/>
      <c r="F379" s="1139"/>
      <c r="G379" s="185"/>
    </row>
    <row r="380" spans="1:7" ht="15.9" customHeight="1" x14ac:dyDescent="0.3">
      <c r="A380" s="5"/>
      <c r="B380" s="5"/>
      <c r="F380" s="1139"/>
      <c r="G380" s="185"/>
    </row>
    <row r="381" spans="1:7" ht="15.9" customHeight="1" x14ac:dyDescent="0.3">
      <c r="A381" s="5"/>
      <c r="B381" s="5"/>
      <c r="F381" s="1139"/>
      <c r="G381" s="185"/>
    </row>
    <row r="382" spans="1:7" ht="15.9" customHeight="1" x14ac:dyDescent="0.3">
      <c r="A382" s="5"/>
      <c r="B382" s="5"/>
      <c r="F382" s="1139"/>
      <c r="G382" s="185"/>
    </row>
    <row r="383" spans="1:7" ht="15.9" customHeight="1" x14ac:dyDescent="0.3">
      <c r="A383" s="5"/>
      <c r="B383" s="5"/>
      <c r="F383" s="1139"/>
      <c r="G383" s="185"/>
    </row>
    <row r="384" spans="1:7" ht="15.9" customHeight="1" x14ac:dyDescent="0.3">
      <c r="A384" s="5"/>
      <c r="B384" s="5"/>
      <c r="F384" s="1139"/>
      <c r="G384" s="185"/>
    </row>
    <row r="385" spans="1:7" ht="15.9" customHeight="1" x14ac:dyDescent="0.3">
      <c r="A385" s="5"/>
      <c r="B385" s="5"/>
      <c r="F385" s="1139"/>
      <c r="G385" s="185"/>
    </row>
    <row r="386" spans="1:7" ht="15.9" customHeight="1" x14ac:dyDescent="0.3">
      <c r="A386" s="5"/>
      <c r="B386" s="5"/>
      <c r="F386" s="1139"/>
      <c r="G386" s="185"/>
    </row>
    <row r="387" spans="1:7" ht="15.9" customHeight="1" x14ac:dyDescent="0.3">
      <c r="A387" s="5"/>
      <c r="B387" s="5"/>
      <c r="F387" s="1139"/>
      <c r="G387" s="185"/>
    </row>
    <row r="388" spans="1:7" ht="15.9" customHeight="1" x14ac:dyDescent="0.3">
      <c r="A388" s="5"/>
      <c r="B388" s="5"/>
      <c r="F388" s="1139"/>
      <c r="G388" s="186"/>
    </row>
    <row r="389" spans="1:7" ht="15.9" customHeight="1" x14ac:dyDescent="0.3">
      <c r="A389" s="5"/>
      <c r="B389" s="5"/>
      <c r="F389" s="1139"/>
      <c r="G389" s="185"/>
    </row>
    <row r="390" spans="1:7" ht="15.9" customHeight="1" x14ac:dyDescent="0.3">
      <c r="A390" s="5"/>
      <c r="B390" s="5"/>
      <c r="F390" s="1139"/>
      <c r="G390" s="185"/>
    </row>
    <row r="391" spans="1:7" ht="15.9" customHeight="1" x14ac:dyDescent="0.3">
      <c r="A391" s="5"/>
      <c r="B391" s="5"/>
      <c r="F391" s="1139"/>
      <c r="G391" s="185"/>
    </row>
    <row r="392" spans="1:7" ht="15.9" customHeight="1" x14ac:dyDescent="0.3">
      <c r="A392" s="5"/>
      <c r="B392" s="5"/>
      <c r="F392" s="1139"/>
      <c r="G392" s="185"/>
    </row>
    <row r="393" spans="1:7" ht="15.9" customHeight="1" x14ac:dyDescent="0.3">
      <c r="A393" s="5"/>
      <c r="B393" s="5"/>
      <c r="F393" s="1139"/>
      <c r="G393" s="185"/>
    </row>
    <row r="394" spans="1:7" ht="15.9" customHeight="1" x14ac:dyDescent="0.3">
      <c r="A394" s="5"/>
      <c r="B394" s="5"/>
      <c r="F394" s="1139"/>
      <c r="G394" s="185"/>
    </row>
    <row r="395" spans="1:7" ht="15.9" customHeight="1" x14ac:dyDescent="0.3">
      <c r="A395" s="5"/>
      <c r="B395" s="5"/>
      <c r="F395" s="1139"/>
      <c r="G395" s="185"/>
    </row>
    <row r="396" spans="1:7" ht="15.9" customHeight="1" x14ac:dyDescent="0.3">
      <c r="A396" s="5"/>
      <c r="B396" s="5"/>
      <c r="F396" s="1139"/>
      <c r="G396" s="185"/>
    </row>
    <row r="397" spans="1:7" ht="15.9" customHeight="1" x14ac:dyDescent="0.3">
      <c r="A397" s="5"/>
      <c r="B397" s="5"/>
      <c r="F397" s="1139"/>
      <c r="G397" s="185"/>
    </row>
    <row r="398" spans="1:7" ht="15.9" customHeight="1" x14ac:dyDescent="0.3">
      <c r="A398" s="5"/>
      <c r="B398" s="5"/>
      <c r="F398" s="1139"/>
      <c r="G398" s="185"/>
    </row>
    <row r="399" spans="1:7" ht="15.9" customHeight="1" x14ac:dyDescent="0.3">
      <c r="A399" s="5"/>
      <c r="B399" s="5"/>
      <c r="F399" s="1139"/>
      <c r="G399" s="185"/>
    </row>
    <row r="400" spans="1:7" ht="15.9" customHeight="1" x14ac:dyDescent="0.3">
      <c r="A400" s="5"/>
      <c r="B400" s="5"/>
      <c r="F400" s="1139"/>
      <c r="G400" s="185"/>
    </row>
    <row r="401" spans="1:7" ht="15.9" customHeight="1" x14ac:dyDescent="0.3">
      <c r="A401" s="5"/>
      <c r="B401" s="5"/>
      <c r="F401" s="1139"/>
      <c r="G401" s="185"/>
    </row>
    <row r="402" spans="1:7" ht="15.9" customHeight="1" x14ac:dyDescent="0.3">
      <c r="A402" s="5"/>
      <c r="B402" s="5"/>
      <c r="F402" s="1139"/>
      <c r="G402" s="185"/>
    </row>
    <row r="403" spans="1:7" ht="15.9" customHeight="1" x14ac:dyDescent="0.3">
      <c r="A403" s="5"/>
      <c r="B403" s="5"/>
      <c r="F403" s="1139"/>
      <c r="G403" s="185"/>
    </row>
    <row r="404" spans="1:7" ht="15.9" customHeight="1" x14ac:dyDescent="0.3">
      <c r="A404" s="5"/>
      <c r="B404" s="5"/>
      <c r="F404" s="1139"/>
      <c r="G404" s="156"/>
    </row>
    <row r="405" spans="1:7" ht="15.9" customHeight="1" x14ac:dyDescent="0.3">
      <c r="A405" s="5"/>
      <c r="B405" s="5"/>
      <c r="F405" s="1139"/>
      <c r="G405" s="185"/>
    </row>
    <row r="406" spans="1:7" ht="15.9" customHeight="1" x14ac:dyDescent="0.3">
      <c r="A406" s="5"/>
      <c r="B406" s="5"/>
      <c r="F406" s="1139"/>
      <c r="G406" s="185"/>
    </row>
    <row r="407" spans="1:7" ht="15.9" customHeight="1" x14ac:dyDescent="0.3">
      <c r="A407" s="5"/>
      <c r="B407" s="5"/>
      <c r="F407" s="1139"/>
      <c r="G407" s="185"/>
    </row>
    <row r="408" spans="1:7" ht="15.9" customHeight="1" x14ac:dyDescent="0.3">
      <c r="A408" s="5"/>
      <c r="B408" s="5"/>
      <c r="F408" s="1139"/>
      <c r="G408" s="185"/>
    </row>
    <row r="409" spans="1:7" ht="15.9" customHeight="1" x14ac:dyDescent="0.3">
      <c r="A409" s="5"/>
      <c r="B409" s="5"/>
      <c r="F409" s="1139"/>
      <c r="G409" s="185"/>
    </row>
    <row r="410" spans="1:7" ht="15.9" customHeight="1" x14ac:dyDescent="0.3">
      <c r="A410" s="5"/>
      <c r="B410" s="5"/>
      <c r="F410" s="1139"/>
      <c r="G410" s="185"/>
    </row>
    <row r="411" spans="1:7" ht="15.9" customHeight="1" x14ac:dyDescent="0.3">
      <c r="A411" s="5"/>
      <c r="B411" s="5"/>
      <c r="F411" s="1139"/>
      <c r="G411" s="185"/>
    </row>
    <row r="412" spans="1:7" ht="15.9" customHeight="1" x14ac:dyDescent="0.3">
      <c r="A412" s="5"/>
      <c r="B412" s="5"/>
      <c r="F412" s="1139"/>
      <c r="G412" s="185"/>
    </row>
    <row r="413" spans="1:7" ht="15.9" customHeight="1" x14ac:dyDescent="0.3">
      <c r="A413" s="5"/>
      <c r="B413" s="5"/>
      <c r="F413" s="1139"/>
      <c r="G413" s="185"/>
    </row>
    <row r="414" spans="1:7" ht="15.9" customHeight="1" x14ac:dyDescent="0.3">
      <c r="A414" s="5"/>
      <c r="B414" s="5"/>
      <c r="F414" s="1139"/>
      <c r="G414" s="185"/>
    </row>
    <row r="415" spans="1:7" ht="15.9" customHeight="1" x14ac:dyDescent="0.3">
      <c r="A415" s="5"/>
      <c r="B415" s="5"/>
      <c r="F415" s="1139"/>
      <c r="G415" s="185"/>
    </row>
    <row r="416" spans="1:7" ht="15.9" customHeight="1" x14ac:dyDescent="0.3">
      <c r="A416" s="5"/>
      <c r="B416" s="5"/>
      <c r="F416" s="1139"/>
      <c r="G416" s="185"/>
    </row>
    <row r="417" spans="1:7" ht="15.9" customHeight="1" x14ac:dyDescent="0.3">
      <c r="A417" s="5"/>
      <c r="B417" s="5"/>
      <c r="F417" s="1139"/>
      <c r="G417" s="185"/>
    </row>
    <row r="418" spans="1:7" ht="15.9" customHeight="1" x14ac:dyDescent="0.3">
      <c r="A418" s="5"/>
      <c r="B418" s="5"/>
      <c r="F418" s="1139"/>
      <c r="G418" s="185"/>
    </row>
    <row r="419" spans="1:7" ht="15.9" customHeight="1" x14ac:dyDescent="0.3">
      <c r="A419" s="5"/>
      <c r="B419" s="5"/>
      <c r="F419" s="1139"/>
      <c r="G419" s="185"/>
    </row>
    <row r="420" spans="1:7" ht="15.9" customHeight="1" x14ac:dyDescent="0.3">
      <c r="A420" s="5"/>
      <c r="B420" s="5"/>
      <c r="F420" s="1139"/>
      <c r="G420" s="185"/>
    </row>
    <row r="421" spans="1:7" ht="15.9" customHeight="1" x14ac:dyDescent="0.3">
      <c r="A421" s="5"/>
      <c r="B421" s="5"/>
      <c r="F421" s="1139"/>
      <c r="G421" s="185"/>
    </row>
    <row r="422" spans="1:7" ht="15.9" customHeight="1" x14ac:dyDescent="0.3">
      <c r="A422" s="5"/>
      <c r="B422" s="5"/>
      <c r="F422" s="1139"/>
      <c r="G422" s="185"/>
    </row>
    <row r="423" spans="1:7" ht="15.9" customHeight="1" x14ac:dyDescent="0.3">
      <c r="A423" s="5"/>
      <c r="B423" s="5"/>
      <c r="F423" s="1139"/>
      <c r="G423" s="185"/>
    </row>
    <row r="424" spans="1:7" ht="15.9" customHeight="1" x14ac:dyDescent="0.3">
      <c r="A424" s="5"/>
      <c r="B424" s="5"/>
      <c r="F424" s="1139"/>
      <c r="G424" s="185"/>
    </row>
    <row r="425" spans="1:7" ht="15.9" customHeight="1" x14ac:dyDescent="0.3">
      <c r="A425" s="5"/>
      <c r="B425" s="5"/>
      <c r="F425" s="1139"/>
      <c r="G425" s="185"/>
    </row>
    <row r="426" spans="1:7" ht="15.9" customHeight="1" x14ac:dyDescent="0.3">
      <c r="A426" s="5"/>
      <c r="B426" s="5"/>
      <c r="F426" s="1139"/>
      <c r="G426" s="158"/>
    </row>
    <row r="427" spans="1:7" ht="15.9" customHeight="1" x14ac:dyDescent="0.3">
      <c r="A427" s="5"/>
      <c r="B427" s="5"/>
      <c r="F427" s="1139"/>
      <c r="G427" s="185"/>
    </row>
    <row r="428" spans="1:7" ht="15.9" customHeight="1" x14ac:dyDescent="0.3">
      <c r="A428" s="5"/>
      <c r="B428" s="5"/>
      <c r="F428" s="1139"/>
      <c r="G428" s="185"/>
    </row>
    <row r="429" spans="1:7" ht="15.9" customHeight="1" x14ac:dyDescent="0.3">
      <c r="A429" s="5"/>
      <c r="B429" s="5"/>
      <c r="F429" s="1139"/>
      <c r="G429" s="185"/>
    </row>
    <row r="430" spans="1:7" ht="15.9" customHeight="1" x14ac:dyDescent="0.3">
      <c r="A430" s="5"/>
      <c r="B430" s="5"/>
      <c r="F430" s="1139"/>
      <c r="G430" s="185"/>
    </row>
    <row r="431" spans="1:7" ht="15.9" customHeight="1" x14ac:dyDescent="0.3">
      <c r="A431" s="5"/>
      <c r="B431" s="5"/>
      <c r="F431" s="1139"/>
      <c r="G431" s="185"/>
    </row>
    <row r="432" spans="1:7" ht="15.9" customHeight="1" x14ac:dyDescent="0.3">
      <c r="A432" s="5"/>
      <c r="B432" s="5"/>
      <c r="F432" s="1139"/>
      <c r="G432" s="185"/>
    </row>
    <row r="433" spans="1:7" ht="15.9" customHeight="1" x14ac:dyDescent="0.3">
      <c r="A433" s="5"/>
      <c r="B433" s="5"/>
      <c r="F433" s="1139"/>
      <c r="G433" s="185"/>
    </row>
    <row r="434" spans="1:7" ht="15.9" customHeight="1" x14ac:dyDescent="0.3">
      <c r="A434" s="5"/>
      <c r="B434" s="5"/>
      <c r="F434" s="1139"/>
      <c r="G434" s="185"/>
    </row>
    <row r="435" spans="1:7" ht="15.9" customHeight="1" x14ac:dyDescent="0.3">
      <c r="A435" s="5"/>
      <c r="B435" s="5"/>
      <c r="F435" s="1139"/>
      <c r="G435" s="185"/>
    </row>
    <row r="436" spans="1:7" ht="15.9" customHeight="1" x14ac:dyDescent="0.3">
      <c r="A436" s="5"/>
      <c r="B436" s="5"/>
      <c r="F436" s="1139"/>
      <c r="G436" s="185"/>
    </row>
    <row r="437" spans="1:7" ht="15.9" customHeight="1" x14ac:dyDescent="0.3">
      <c r="A437" s="5"/>
      <c r="B437" s="5"/>
      <c r="F437" s="1139"/>
      <c r="G437" s="185"/>
    </row>
    <row r="438" spans="1:7" ht="15.9" customHeight="1" x14ac:dyDescent="0.3">
      <c r="A438" s="5"/>
      <c r="B438" s="5"/>
      <c r="F438" s="1139"/>
      <c r="G438" s="185"/>
    </row>
    <row r="439" spans="1:7" ht="15.9" customHeight="1" x14ac:dyDescent="0.3">
      <c r="A439" s="5"/>
      <c r="B439" s="5"/>
      <c r="F439" s="1139"/>
      <c r="G439" s="185"/>
    </row>
    <row r="440" spans="1:7" ht="15.9" customHeight="1" x14ac:dyDescent="0.3">
      <c r="A440" s="5"/>
      <c r="B440" s="5"/>
      <c r="F440" s="1139"/>
      <c r="G440" s="185"/>
    </row>
    <row r="441" spans="1:7" ht="15.9" customHeight="1" x14ac:dyDescent="0.3">
      <c r="A441" s="5"/>
      <c r="B441" s="5"/>
      <c r="F441" s="1139"/>
      <c r="G441" s="185"/>
    </row>
    <row r="442" spans="1:7" ht="15.9" customHeight="1" x14ac:dyDescent="0.3">
      <c r="A442" s="5"/>
      <c r="B442" s="5"/>
      <c r="F442" s="1139"/>
      <c r="G442" s="185"/>
    </row>
    <row r="443" spans="1:7" ht="15.9" customHeight="1" x14ac:dyDescent="0.3">
      <c r="A443" s="5"/>
      <c r="B443" s="5"/>
      <c r="F443" s="1139"/>
      <c r="G443" s="185"/>
    </row>
    <row r="444" spans="1:7" ht="15.9" customHeight="1" x14ac:dyDescent="0.3">
      <c r="A444" s="5"/>
      <c r="B444" s="5"/>
      <c r="F444" s="1139"/>
      <c r="G444" s="185"/>
    </row>
    <row r="445" spans="1:7" ht="15.9" customHeight="1" x14ac:dyDescent="0.3">
      <c r="A445" s="5"/>
      <c r="B445" s="5"/>
      <c r="F445" s="1139"/>
      <c r="G445" s="185"/>
    </row>
    <row r="446" spans="1:7" ht="15.9" customHeight="1" x14ac:dyDescent="0.3">
      <c r="A446" s="5"/>
      <c r="B446" s="5"/>
      <c r="F446" s="1139"/>
      <c r="G446" s="185"/>
    </row>
    <row r="447" spans="1:7" ht="15.9" customHeight="1" x14ac:dyDescent="0.3">
      <c r="A447" s="5"/>
      <c r="B447" s="5"/>
      <c r="F447" s="1139"/>
      <c r="G447" s="185"/>
    </row>
    <row r="448" spans="1:7" ht="15.9" customHeight="1" x14ac:dyDescent="0.3">
      <c r="A448" s="5"/>
      <c r="B448" s="5"/>
      <c r="F448" s="1139"/>
    </row>
    <row r="449" spans="1:2" ht="15.9" customHeight="1" x14ac:dyDescent="0.3">
      <c r="A449" s="5"/>
      <c r="B449" s="5"/>
    </row>
    <row r="456" spans="1:2" ht="15.9" customHeight="1" x14ac:dyDescent="0.3">
      <c r="A456" s="5"/>
      <c r="B456" s="5"/>
    </row>
    <row r="457" spans="1:2" ht="15.9" customHeight="1" x14ac:dyDescent="0.3">
      <c r="A457" s="5"/>
      <c r="B457" s="5"/>
    </row>
    <row r="458" spans="1:2" ht="15.9" customHeight="1" x14ac:dyDescent="0.3">
      <c r="A458" s="5"/>
      <c r="B458" s="5"/>
    </row>
    <row r="459" spans="1:2" ht="15.9" customHeight="1" x14ac:dyDescent="0.3">
      <c r="A459" s="5"/>
      <c r="B459" s="5"/>
    </row>
    <row r="460" spans="1:2" ht="15.9" customHeight="1" x14ac:dyDescent="0.3">
      <c r="A460" s="5"/>
      <c r="B460" s="5"/>
    </row>
    <row r="461" spans="1:2" ht="15.9" customHeight="1" x14ac:dyDescent="0.3">
      <c r="A461" s="5"/>
      <c r="B461" s="5"/>
    </row>
    <row r="462" spans="1:2" ht="15.9" customHeight="1" x14ac:dyDescent="0.3">
      <c r="A462" s="5"/>
      <c r="B462" s="5"/>
    </row>
    <row r="463" spans="1:2" ht="15.9" customHeight="1" x14ac:dyDescent="0.3">
      <c r="A463" s="5"/>
      <c r="B463" s="5"/>
    </row>
    <row r="464" spans="1:2" ht="15.9" customHeight="1" x14ac:dyDescent="0.3">
      <c r="A464" s="5"/>
      <c r="B464" s="5"/>
    </row>
    <row r="465" spans="1:2" ht="15.9" customHeight="1" x14ac:dyDescent="0.3">
      <c r="A465" s="5"/>
      <c r="B465" s="5"/>
    </row>
    <row r="466" spans="1:2" ht="15.9" customHeight="1" x14ac:dyDescent="0.3">
      <c r="A466" s="5"/>
      <c r="B466" s="5"/>
    </row>
    <row r="467" spans="1:2" ht="15.9" customHeight="1" x14ac:dyDescent="0.3">
      <c r="A467" s="5"/>
      <c r="B467" s="5"/>
    </row>
    <row r="468" spans="1:2" ht="15.9" customHeight="1" x14ac:dyDescent="0.3">
      <c r="A468" s="5"/>
      <c r="B468" s="5"/>
    </row>
    <row r="469" spans="1:2" ht="15.9" customHeight="1" x14ac:dyDescent="0.3">
      <c r="A469" s="5"/>
      <c r="B469" s="5"/>
    </row>
    <row r="470" spans="1:2" ht="15.9" customHeight="1" x14ac:dyDescent="0.3">
      <c r="A470" s="5"/>
      <c r="B470" s="5"/>
    </row>
    <row r="471" spans="1:2" ht="15.9" customHeight="1" x14ac:dyDescent="0.3">
      <c r="A471" s="5"/>
      <c r="B471" s="5"/>
    </row>
    <row r="472" spans="1:2" ht="15.9" customHeight="1" x14ac:dyDescent="0.3">
      <c r="A472" s="5"/>
      <c r="B472" s="5"/>
    </row>
    <row r="473" spans="1:2" ht="15.9" customHeight="1" x14ac:dyDescent="0.3">
      <c r="A473" s="5"/>
      <c r="B473" s="5"/>
    </row>
    <row r="478" spans="1:2" ht="15.9" customHeight="1" x14ac:dyDescent="0.3">
      <c r="A478" s="5"/>
      <c r="B478" s="5"/>
    </row>
    <row r="479" spans="1:2" ht="15.9" customHeight="1" x14ac:dyDescent="0.3">
      <c r="A479" s="5"/>
      <c r="B479" s="5"/>
    </row>
    <row r="480" spans="1:2" ht="15.9" customHeight="1" x14ac:dyDescent="0.3">
      <c r="A480" s="5"/>
      <c r="B480" s="5"/>
    </row>
    <row r="482" spans="1:6" ht="15.9" customHeight="1" x14ac:dyDescent="0.3">
      <c r="C482" s="198"/>
      <c r="D482" s="19"/>
      <c r="E482" s="19"/>
      <c r="F482" s="19"/>
    </row>
    <row r="485" spans="1:6" ht="15.9" customHeight="1" x14ac:dyDescent="0.3">
      <c r="A485" s="5"/>
      <c r="B485" s="5"/>
    </row>
    <row r="486" spans="1:6" ht="15.9" customHeight="1" x14ac:dyDescent="0.3">
      <c r="A486" s="5"/>
      <c r="B486" s="5"/>
    </row>
    <row r="487" spans="1:6" ht="15.9" customHeight="1" x14ac:dyDescent="0.3">
      <c r="A487" s="5"/>
      <c r="B487" s="5"/>
    </row>
    <row r="496" spans="1:6" ht="15.9" customHeight="1" x14ac:dyDescent="0.3">
      <c r="A496" s="5"/>
      <c r="B496" s="5"/>
    </row>
    <row r="497" spans="1:7" ht="15.9" customHeight="1" x14ac:dyDescent="0.3">
      <c r="A497" s="5"/>
      <c r="B497" s="5"/>
    </row>
    <row r="498" spans="1:7" ht="15.9" customHeight="1" x14ac:dyDescent="0.3">
      <c r="A498" s="5"/>
      <c r="B498" s="5"/>
    </row>
    <row r="499" spans="1:7" ht="15.9" customHeight="1" x14ac:dyDescent="0.3">
      <c r="A499" s="5"/>
      <c r="B499" s="5"/>
    </row>
    <row r="500" spans="1:7" ht="15.9" customHeight="1" x14ac:dyDescent="0.3">
      <c r="A500" s="5"/>
      <c r="B500" s="5"/>
    </row>
    <row r="505" spans="1:7" ht="15.9" customHeight="1" x14ac:dyDescent="0.3">
      <c r="A505" s="5"/>
      <c r="B505" s="5"/>
    </row>
    <row r="506" spans="1:7" ht="15.9" customHeight="1" x14ac:dyDescent="0.3">
      <c r="A506" s="5"/>
      <c r="B506" s="5"/>
    </row>
    <row r="507" spans="1:7" ht="15.9" customHeight="1" x14ac:dyDescent="0.3">
      <c r="A507" s="5"/>
      <c r="B507" s="5"/>
    </row>
    <row r="508" spans="1:7" ht="15.9" customHeight="1" x14ac:dyDescent="0.3">
      <c r="A508" s="5"/>
      <c r="B508" s="5"/>
    </row>
    <row r="511" spans="1:7" ht="15.9" customHeight="1" x14ac:dyDescent="0.3">
      <c r="G511" s="159"/>
    </row>
    <row r="516" spans="1:7" ht="15.9" customHeight="1" x14ac:dyDescent="0.3">
      <c r="E516" s="19"/>
      <c r="F516" s="19"/>
    </row>
    <row r="521" spans="1:7" ht="15.9" customHeight="1" x14ac:dyDescent="0.3">
      <c r="A521" s="5"/>
      <c r="B521" s="5"/>
      <c r="G521" s="192"/>
    </row>
    <row r="522" spans="1:7" ht="15.9" customHeight="1" x14ac:dyDescent="0.3">
      <c r="A522" s="5"/>
      <c r="B522" s="5"/>
    </row>
    <row r="523" spans="1:7" ht="15.9" customHeight="1" x14ac:dyDescent="0.3">
      <c r="A523" s="5"/>
      <c r="B523" s="5"/>
    </row>
    <row r="524" spans="1:7" ht="15.9" customHeight="1" x14ac:dyDescent="0.3">
      <c r="A524" s="5"/>
      <c r="B524" s="5"/>
    </row>
    <row r="525" spans="1:7" ht="15.9" customHeight="1" x14ac:dyDescent="0.3">
      <c r="A525" s="5"/>
      <c r="B525" s="5"/>
    </row>
    <row r="526" spans="1:7" ht="15.9" customHeight="1" x14ac:dyDescent="0.3">
      <c r="A526" s="5"/>
      <c r="B526" s="5"/>
    </row>
    <row r="527" spans="1:7" ht="15.9" customHeight="1" x14ac:dyDescent="0.3">
      <c r="A527" s="5"/>
      <c r="B527" s="5"/>
    </row>
    <row r="528" spans="1:7" ht="15.9" customHeight="1" x14ac:dyDescent="0.3">
      <c r="A528" s="5"/>
      <c r="B528" s="5"/>
    </row>
    <row r="529" spans="1:7" ht="15.9" customHeight="1" x14ac:dyDescent="0.3">
      <c r="A529" s="5"/>
      <c r="B529" s="5"/>
      <c r="G529" s="190"/>
    </row>
    <row r="530" spans="1:7" ht="15.9" customHeight="1" x14ac:dyDescent="0.3">
      <c r="A530" s="5"/>
      <c r="B530" s="5"/>
      <c r="G530" s="190"/>
    </row>
    <row r="531" spans="1:7" ht="15.9" customHeight="1" x14ac:dyDescent="0.3">
      <c r="A531" s="5"/>
      <c r="B531" s="5"/>
      <c r="G531" s="190"/>
    </row>
    <row r="532" spans="1:7" ht="15.9" customHeight="1" x14ac:dyDescent="0.3">
      <c r="A532" s="5"/>
      <c r="B532" s="5"/>
      <c r="G532" s="190"/>
    </row>
    <row r="536" spans="1:7" ht="15.9" customHeight="1" x14ac:dyDescent="0.3">
      <c r="F536" s="144"/>
    </row>
    <row r="537" spans="1:7" ht="15.9" customHeight="1" x14ac:dyDescent="0.3">
      <c r="A537" s="5"/>
      <c r="B537" s="5"/>
      <c r="F537" s="144"/>
    </row>
    <row r="538" spans="1:7" ht="15.9" customHeight="1" x14ac:dyDescent="0.3">
      <c r="A538" s="5"/>
      <c r="B538" s="5"/>
      <c r="F538" s="144"/>
    </row>
    <row r="539" spans="1:7" ht="15.9" customHeight="1" x14ac:dyDescent="0.3">
      <c r="A539" s="5"/>
      <c r="B539" s="5"/>
      <c r="F539" s="144"/>
      <c r="G539" s="155"/>
    </row>
    <row r="540" spans="1:7" ht="15.9" customHeight="1" x14ac:dyDescent="0.3">
      <c r="A540" s="5"/>
      <c r="B540" s="5"/>
      <c r="F540" s="144"/>
      <c r="G540" s="155"/>
    </row>
    <row r="541" spans="1:7" ht="15.9" customHeight="1" x14ac:dyDescent="0.3">
      <c r="A541" s="5"/>
      <c r="B541" s="5"/>
      <c r="F541" s="144"/>
      <c r="G541" s="155"/>
    </row>
    <row r="542" spans="1:7" ht="15.9" customHeight="1" x14ac:dyDescent="0.3">
      <c r="A542" s="5"/>
      <c r="B542" s="5"/>
      <c r="F542" s="144"/>
    </row>
    <row r="543" spans="1:7" ht="15.9" customHeight="1" x14ac:dyDescent="0.3">
      <c r="A543" s="5"/>
      <c r="B543" s="5"/>
      <c r="F543" s="144"/>
    </row>
    <row r="544" spans="1:7" ht="15.9" customHeight="1" x14ac:dyDescent="0.3">
      <c r="A544" s="5"/>
      <c r="B544" s="5"/>
      <c r="F544" s="144"/>
    </row>
    <row r="545" spans="1:7" ht="15.9" customHeight="1" x14ac:dyDescent="0.3">
      <c r="F545" s="144"/>
    </row>
    <row r="546" spans="1:7" ht="15.9" customHeight="1" x14ac:dyDescent="0.3">
      <c r="F546" s="144"/>
    </row>
    <row r="547" spans="1:7" ht="15.9" customHeight="1" x14ac:dyDescent="0.3">
      <c r="F547" s="144"/>
    </row>
    <row r="548" spans="1:7" ht="15.9" customHeight="1" x14ac:dyDescent="0.3">
      <c r="F548" s="144"/>
    </row>
    <row r="552" spans="1:7" ht="15.9" customHeight="1" x14ac:dyDescent="0.3">
      <c r="A552" s="5"/>
      <c r="B552" s="5"/>
    </row>
    <row r="553" spans="1:7" ht="15.9" customHeight="1" x14ac:dyDescent="0.3">
      <c r="A553" s="5"/>
      <c r="B553" s="5"/>
    </row>
    <row r="555" spans="1:7" ht="15.9" customHeight="1" x14ac:dyDescent="0.3">
      <c r="A555" s="5"/>
      <c r="B555" s="5"/>
    </row>
    <row r="556" spans="1:7" ht="15.9" customHeight="1" x14ac:dyDescent="0.3">
      <c r="A556" s="5"/>
      <c r="B556" s="5"/>
      <c r="G556" s="219"/>
    </row>
    <row r="557" spans="1:7" ht="15.9" customHeight="1" x14ac:dyDescent="0.3">
      <c r="A557" s="5"/>
      <c r="B557" s="5"/>
    </row>
    <row r="558" spans="1:7" ht="15.9" customHeight="1" x14ac:dyDescent="0.3">
      <c r="A558" s="5"/>
      <c r="B558" s="5"/>
    </row>
    <row r="559" spans="1:7" ht="15.9" customHeight="1" x14ac:dyDescent="0.3">
      <c r="A559" s="5"/>
      <c r="B559" s="5"/>
    </row>
    <row r="560" spans="1:7" ht="15.9" customHeight="1" x14ac:dyDescent="0.3">
      <c r="A560" s="5"/>
      <c r="B560" s="5"/>
    </row>
    <row r="561" spans="1:7" ht="15.9" customHeight="1" x14ac:dyDescent="0.3">
      <c r="A561" s="5"/>
      <c r="B561" s="5"/>
    </row>
    <row r="562" spans="1:7" ht="15.9" customHeight="1" x14ac:dyDescent="0.3">
      <c r="A562" s="5"/>
      <c r="B562" s="5"/>
    </row>
    <row r="563" spans="1:7" ht="15.9" customHeight="1" x14ac:dyDescent="0.3">
      <c r="A563" s="5"/>
      <c r="B563" s="5"/>
      <c r="G563" s="185"/>
    </row>
    <row r="564" spans="1:7" ht="15.9" customHeight="1" x14ac:dyDescent="0.3">
      <c r="A564" s="5"/>
      <c r="B564" s="5"/>
      <c r="G564" s="185"/>
    </row>
    <row r="565" spans="1:7" ht="15.9" customHeight="1" x14ac:dyDescent="0.3">
      <c r="A565" s="5"/>
      <c r="B565" s="5"/>
      <c r="G565" s="185"/>
    </row>
    <row r="566" spans="1:7" ht="15.9" customHeight="1" x14ac:dyDescent="0.3">
      <c r="A566" s="5"/>
      <c r="B566" s="5"/>
      <c r="G566" s="185"/>
    </row>
    <row r="567" spans="1:7" ht="15.9" customHeight="1" x14ac:dyDescent="0.3">
      <c r="A567" s="5"/>
      <c r="B567" s="5"/>
      <c r="G567" s="185"/>
    </row>
    <row r="568" spans="1:7" ht="15.9" customHeight="1" x14ac:dyDescent="0.3">
      <c r="A568" s="5"/>
      <c r="B568" s="5"/>
      <c r="G568" s="185"/>
    </row>
    <row r="569" spans="1:7" ht="15.9" customHeight="1" x14ac:dyDescent="0.3">
      <c r="A569" s="5"/>
      <c r="B569" s="5"/>
      <c r="G569" s="185"/>
    </row>
    <row r="570" spans="1:7" ht="15.9" customHeight="1" x14ac:dyDescent="0.3">
      <c r="A570" s="5"/>
      <c r="B570" s="5"/>
      <c r="G570" s="185"/>
    </row>
    <row r="571" spans="1:7" ht="15.9" customHeight="1" x14ac:dyDescent="0.3">
      <c r="A571" s="5"/>
      <c r="B571" s="5"/>
      <c r="G571" s="156"/>
    </row>
    <row r="572" spans="1:7" ht="15.9" customHeight="1" x14ac:dyDescent="0.3">
      <c r="A572" s="5"/>
      <c r="B572" s="5"/>
      <c r="G572" s="185"/>
    </row>
    <row r="573" spans="1:7" ht="15.9" customHeight="1" x14ac:dyDescent="0.3">
      <c r="A573" s="5"/>
      <c r="B573" s="5"/>
      <c r="G573" s="185"/>
    </row>
    <row r="574" spans="1:7" ht="15.9" customHeight="1" x14ac:dyDescent="0.3">
      <c r="A574" s="5"/>
      <c r="B574" s="5"/>
      <c r="G574" s="185"/>
    </row>
    <row r="575" spans="1:7" ht="15.9" customHeight="1" x14ac:dyDescent="0.3">
      <c r="A575" s="5"/>
      <c r="B575" s="5"/>
      <c r="G575" s="185"/>
    </row>
    <row r="583" spans="1:7" ht="15.9" customHeight="1" x14ac:dyDescent="0.3">
      <c r="A583" s="5"/>
      <c r="B583" s="5"/>
    </row>
    <row r="584" spans="1:7" ht="15.9" customHeight="1" x14ac:dyDescent="0.3">
      <c r="A584" s="5"/>
      <c r="B584" s="5"/>
    </row>
    <row r="585" spans="1:7" ht="15.9" customHeight="1" x14ac:dyDescent="0.3">
      <c r="A585" s="5"/>
      <c r="B585" s="5"/>
    </row>
    <row r="586" spans="1:7" ht="15.9" customHeight="1" x14ac:dyDescent="0.3">
      <c r="A586" s="5"/>
      <c r="B586" s="5"/>
      <c r="G586" s="189"/>
    </row>
    <row r="587" spans="1:7" ht="15.9" customHeight="1" x14ac:dyDescent="0.3">
      <c r="A587" s="5"/>
      <c r="B587" s="5"/>
      <c r="G587" s="189"/>
    </row>
    <row r="588" spans="1:7" ht="15.9" customHeight="1" x14ac:dyDescent="0.3">
      <c r="A588" s="5"/>
      <c r="B588" s="5"/>
      <c r="G588" s="189"/>
    </row>
    <row r="589" spans="1:7" ht="15.9" customHeight="1" x14ac:dyDescent="0.3">
      <c r="A589" s="5"/>
      <c r="B589" s="5"/>
      <c r="G589" s="189"/>
    </row>
    <row r="594" spans="1:7" ht="15.9" customHeight="1" x14ac:dyDescent="0.3">
      <c r="A594" s="5"/>
      <c r="B594" s="5"/>
    </row>
    <row r="595" spans="1:7" ht="15.9" customHeight="1" x14ac:dyDescent="0.3">
      <c r="A595" s="5"/>
      <c r="B595" s="5"/>
    </row>
    <row r="596" spans="1:7" ht="15.9" customHeight="1" x14ac:dyDescent="0.3">
      <c r="A596" s="5"/>
      <c r="B596" s="5"/>
    </row>
    <row r="597" spans="1:7" ht="15.9" customHeight="1" x14ac:dyDescent="0.3">
      <c r="A597" s="5"/>
      <c r="B597" s="5"/>
    </row>
    <row r="598" spans="1:7" ht="15.9" customHeight="1" x14ac:dyDescent="0.3">
      <c r="A598" s="5"/>
      <c r="B598" s="5"/>
    </row>
    <row r="599" spans="1:7" ht="15.9" customHeight="1" x14ac:dyDescent="0.3">
      <c r="A599" s="5"/>
      <c r="B599" s="5"/>
    </row>
    <row r="600" spans="1:7" ht="15.9" customHeight="1" x14ac:dyDescent="0.3">
      <c r="A600" s="5"/>
      <c r="B600" s="5"/>
    </row>
    <row r="601" spans="1:7" ht="15.9" customHeight="1" x14ac:dyDescent="0.3">
      <c r="A601" s="5"/>
      <c r="B601" s="5"/>
    </row>
    <row r="602" spans="1:7" ht="15.9" customHeight="1" x14ac:dyDescent="0.3">
      <c r="A602" s="5"/>
      <c r="B602" s="5"/>
      <c r="G602" s="184"/>
    </row>
    <row r="603" spans="1:7" ht="15.9" customHeight="1" x14ac:dyDescent="0.3">
      <c r="A603" s="5"/>
      <c r="B603" s="5"/>
      <c r="G603" s="184"/>
    </row>
    <row r="604" spans="1:7" ht="15.9" customHeight="1" x14ac:dyDescent="0.3">
      <c r="A604" s="5"/>
      <c r="B604" s="5"/>
    </row>
    <row r="605" spans="1:7" ht="15.9" customHeight="1" x14ac:dyDescent="0.3">
      <c r="A605" s="5"/>
      <c r="B605" s="5"/>
    </row>
    <row r="606" spans="1:7" ht="15.9" customHeight="1" x14ac:dyDescent="0.3">
      <c r="A606" s="5"/>
      <c r="B606" s="5"/>
    </row>
    <row r="607" spans="1:7" ht="15.9" customHeight="1" x14ac:dyDescent="0.3">
      <c r="A607" s="5"/>
      <c r="B607" s="5"/>
    </row>
    <row r="608" spans="1:7" ht="15.9" customHeight="1" x14ac:dyDescent="0.3">
      <c r="A608" s="5"/>
      <c r="B608" s="5"/>
    </row>
    <row r="609" spans="1:7" ht="15.9" customHeight="1" x14ac:dyDescent="0.3">
      <c r="A609" s="5"/>
      <c r="B609" s="5"/>
    </row>
    <row r="610" spans="1:7" ht="15.9" customHeight="1" x14ac:dyDescent="0.3">
      <c r="A610" s="5"/>
      <c r="B610" s="5"/>
    </row>
    <row r="611" spans="1:7" ht="15.9" customHeight="1" x14ac:dyDescent="0.3">
      <c r="A611" s="5"/>
      <c r="B611" s="5"/>
    </row>
    <row r="615" spans="1:7" ht="15.9" customHeight="1" x14ac:dyDescent="0.3">
      <c r="F615" s="1139"/>
      <c r="G615" s="185"/>
    </row>
    <row r="618" spans="1:7" ht="15.9" customHeight="1" x14ac:dyDescent="0.3">
      <c r="A618" s="5"/>
      <c r="B618" s="5"/>
    </row>
    <row r="619" spans="1:7" ht="15.9" customHeight="1" x14ac:dyDescent="0.3">
      <c r="A619" s="5"/>
      <c r="B619" s="5"/>
    </row>
    <row r="620" spans="1:7" ht="15.9" customHeight="1" x14ac:dyDescent="0.3">
      <c r="A620" s="5"/>
      <c r="B620" s="5"/>
    </row>
    <row r="621" spans="1:7" ht="15.9" customHeight="1" x14ac:dyDescent="0.3">
      <c r="A621" s="16"/>
      <c r="B621" s="16"/>
      <c r="D621" s="194"/>
      <c r="E621" s="194"/>
      <c r="G621" s="16"/>
    </row>
    <row r="622" spans="1:7" ht="15.9" customHeight="1" x14ac:dyDescent="0.3">
      <c r="A622" s="16"/>
      <c r="B622" s="16"/>
      <c r="D622" s="194"/>
      <c r="E622" s="194"/>
      <c r="G622" s="16"/>
    </row>
    <row r="623" spans="1:7" ht="15.9" customHeight="1" x14ac:dyDescent="0.3">
      <c r="A623" s="16"/>
      <c r="B623" s="16"/>
      <c r="D623" s="194"/>
      <c r="G623" s="16"/>
    </row>
    <row r="627" spans="1:7" ht="15.9" customHeight="1" x14ac:dyDescent="0.3">
      <c r="A627" s="5"/>
      <c r="B627" s="5"/>
      <c r="G627" s="184"/>
    </row>
    <row r="628" spans="1:7" ht="15.9" customHeight="1" x14ac:dyDescent="0.3">
      <c r="A628" s="5"/>
      <c r="B628" s="5"/>
      <c r="G628" s="184"/>
    </row>
    <row r="629" spans="1:7" ht="15.9" customHeight="1" x14ac:dyDescent="0.3">
      <c r="A629" s="5"/>
      <c r="B629" s="5"/>
    </row>
    <row r="630" spans="1:7" ht="15.9" customHeight="1" x14ac:dyDescent="0.3">
      <c r="G630" s="184"/>
    </row>
    <row r="631" spans="1:7" ht="15.9" customHeight="1" x14ac:dyDescent="0.3">
      <c r="G631" s="184"/>
    </row>
    <row r="632" spans="1:7" ht="15.9" customHeight="1" x14ac:dyDescent="0.3">
      <c r="G632" s="184"/>
    </row>
    <row r="633" spans="1:7" ht="15.9" customHeight="1" x14ac:dyDescent="0.3">
      <c r="A633" s="5"/>
      <c r="B633" s="5"/>
      <c r="G633" s="184"/>
    </row>
    <row r="634" spans="1:7" ht="15.9" customHeight="1" x14ac:dyDescent="0.3">
      <c r="A634" s="5"/>
      <c r="B634" s="5"/>
      <c r="G634" s="184"/>
    </row>
    <row r="638" spans="1:7" ht="15.9" customHeight="1" x14ac:dyDescent="0.3">
      <c r="G638" s="184"/>
    </row>
    <row r="642" spans="1:7" ht="15.9" customHeight="1" x14ac:dyDescent="0.3">
      <c r="A642" s="5"/>
      <c r="B642" s="5"/>
    </row>
    <row r="643" spans="1:7" ht="15.9" customHeight="1" x14ac:dyDescent="0.3">
      <c r="A643" s="5"/>
      <c r="B643" s="5"/>
    </row>
    <row r="644" spans="1:7" ht="15.9" customHeight="1" x14ac:dyDescent="0.3">
      <c r="A644" s="5"/>
      <c r="B644" s="5"/>
    </row>
    <row r="645" spans="1:7" ht="15.9" customHeight="1" x14ac:dyDescent="0.3">
      <c r="A645" s="5"/>
      <c r="B645" s="5"/>
    </row>
    <row r="646" spans="1:7" ht="15.9" customHeight="1" x14ac:dyDescent="0.3">
      <c r="A646" s="5"/>
      <c r="B646" s="5"/>
    </row>
    <row r="647" spans="1:7" ht="15.9" customHeight="1" x14ac:dyDescent="0.3">
      <c r="A647" s="5"/>
      <c r="B647" s="5"/>
    </row>
    <row r="648" spans="1:7" ht="15.9" customHeight="1" x14ac:dyDescent="0.3">
      <c r="A648" s="5"/>
      <c r="B648" s="5"/>
    </row>
    <row r="649" spans="1:7" ht="15.9" customHeight="1" x14ac:dyDescent="0.3">
      <c r="A649" s="5"/>
      <c r="B649" s="5"/>
    </row>
    <row r="650" spans="1:7" ht="15.9" customHeight="1" x14ac:dyDescent="0.3">
      <c r="A650" s="5"/>
      <c r="B650" s="5"/>
    </row>
    <row r="651" spans="1:7" ht="15.9" customHeight="1" x14ac:dyDescent="0.3">
      <c r="G651" s="184"/>
    </row>
    <row r="652" spans="1:7" ht="15.9" customHeight="1" x14ac:dyDescent="0.3">
      <c r="A652" s="5"/>
      <c r="B652" s="5"/>
      <c r="G652" s="184"/>
    </row>
    <row r="653" spans="1:7" ht="15.9" customHeight="1" x14ac:dyDescent="0.3">
      <c r="A653" s="5"/>
      <c r="B653" s="5"/>
      <c r="G653" s="184"/>
    </row>
    <row r="654" spans="1:7" ht="15.9" customHeight="1" x14ac:dyDescent="0.3">
      <c r="A654" s="5"/>
      <c r="B654" s="5"/>
      <c r="G654" s="184"/>
    </row>
    <row r="655" spans="1:7" ht="15.9" customHeight="1" x14ac:dyDescent="0.3">
      <c r="A655" s="5"/>
      <c r="B655" s="5"/>
      <c r="G655" s="185"/>
    </row>
    <row r="656" spans="1:7" ht="15.9" customHeight="1" x14ac:dyDescent="0.3">
      <c r="A656" s="5"/>
      <c r="B656" s="5"/>
      <c r="G656" s="185"/>
    </row>
    <row r="659" spans="1:7" ht="15.9" customHeight="1" x14ac:dyDescent="0.3">
      <c r="G659" s="155"/>
    </row>
    <row r="660" spans="1:7" ht="15.9" customHeight="1" x14ac:dyDescent="0.3">
      <c r="G660" s="155"/>
    </row>
    <row r="661" spans="1:7" ht="15.9" customHeight="1" x14ac:dyDescent="0.3">
      <c r="G661" s="155"/>
    </row>
    <row r="662" spans="1:7" ht="15.9" customHeight="1" x14ac:dyDescent="0.3">
      <c r="G662" s="155"/>
    </row>
    <row r="664" spans="1:7" ht="15.9" customHeight="1" x14ac:dyDescent="0.3">
      <c r="A664" s="5"/>
      <c r="B664" s="5"/>
      <c r="G664" s="19"/>
    </row>
    <row r="665" spans="1:7" ht="15.9" customHeight="1" x14ac:dyDescent="0.3">
      <c r="A665" s="5"/>
      <c r="B665" s="5"/>
      <c r="G665" s="19"/>
    </row>
    <row r="666" spans="1:7" ht="15.9" customHeight="1" x14ac:dyDescent="0.3">
      <c r="G666" s="184"/>
    </row>
    <row r="667" spans="1:7" ht="15.9" customHeight="1" x14ac:dyDescent="0.3">
      <c r="G667" s="184"/>
    </row>
    <row r="671" spans="1:7" ht="15.9" customHeight="1" x14ac:dyDescent="0.3">
      <c r="G671" s="184"/>
    </row>
    <row r="672" spans="1:7" ht="15.9" customHeight="1" x14ac:dyDescent="0.3">
      <c r="G672" s="184"/>
    </row>
    <row r="673" spans="1:7" ht="15.9" customHeight="1" x14ac:dyDescent="0.3">
      <c r="A673" s="182"/>
    </row>
    <row r="681" spans="1:7" ht="15.9" customHeight="1" x14ac:dyDescent="0.3">
      <c r="A681" s="5"/>
      <c r="B681" s="5"/>
      <c r="G681" s="185"/>
    </row>
    <row r="682" spans="1:7" ht="15.9" customHeight="1" x14ac:dyDescent="0.3">
      <c r="A682" s="5"/>
      <c r="B682" s="5"/>
      <c r="G682" s="185"/>
    </row>
    <row r="683" spans="1:7" ht="15.9" customHeight="1" x14ac:dyDescent="0.3">
      <c r="A683" s="5"/>
      <c r="B683" s="5"/>
      <c r="G683" s="185"/>
    </row>
    <row r="684" spans="1:7" ht="15.9" customHeight="1" x14ac:dyDescent="0.3">
      <c r="A684" s="5"/>
      <c r="B684" s="5"/>
      <c r="G684" s="185"/>
    </row>
    <row r="685" spans="1:7" ht="15.9" customHeight="1" x14ac:dyDescent="0.3">
      <c r="A685" s="5"/>
      <c r="B685" s="5"/>
      <c r="G685" s="185"/>
    </row>
    <row r="686" spans="1:7" ht="15.9" customHeight="1" x14ac:dyDescent="0.3">
      <c r="A686" s="5"/>
      <c r="B686" s="5"/>
      <c r="G686" s="185"/>
    </row>
    <row r="687" spans="1:7" ht="15.9" customHeight="1" x14ac:dyDescent="0.3">
      <c r="A687" s="5"/>
      <c r="B687" s="5"/>
      <c r="G687" s="185"/>
    </row>
    <row r="688" spans="1:7" ht="15.9" customHeight="1" x14ac:dyDescent="0.3">
      <c r="A688" s="5"/>
      <c r="B688" s="5"/>
      <c r="G688" s="185"/>
    </row>
    <row r="689" spans="1:7" ht="15.9" customHeight="1" x14ac:dyDescent="0.3">
      <c r="A689" s="5"/>
      <c r="B689" s="5"/>
      <c r="G689" s="185"/>
    </row>
    <row r="690" spans="1:7" ht="15.9" customHeight="1" x14ac:dyDescent="0.3">
      <c r="A690" s="5"/>
      <c r="B690" s="5"/>
      <c r="G690" s="185"/>
    </row>
    <row r="691" spans="1:7" ht="15.9" customHeight="1" x14ac:dyDescent="0.3">
      <c r="A691" s="5"/>
      <c r="B691" s="5"/>
      <c r="G691" s="185"/>
    </row>
    <row r="692" spans="1:7" ht="15.9" customHeight="1" x14ac:dyDescent="0.3">
      <c r="A692" s="5"/>
      <c r="B692" s="5"/>
      <c r="G692" s="185"/>
    </row>
    <row r="694" spans="1:7" ht="15.9" customHeight="1" x14ac:dyDescent="0.3">
      <c r="C694" s="198"/>
      <c r="D694" s="19"/>
      <c r="E694" s="19"/>
      <c r="F694" s="19"/>
    </row>
    <row r="699" spans="1:7" ht="15.9" customHeight="1" x14ac:dyDescent="0.3">
      <c r="B699" s="16"/>
    </row>
    <row r="700" spans="1:7" ht="15.9" customHeight="1" x14ac:dyDescent="0.3">
      <c r="A700" s="5"/>
      <c r="B700" s="5"/>
    </row>
    <row r="701" spans="1:7" ht="15.9" customHeight="1" x14ac:dyDescent="0.3">
      <c r="A701" s="5"/>
      <c r="B701" s="5"/>
    </row>
    <row r="702" spans="1:7" ht="15.9" customHeight="1" x14ac:dyDescent="0.3">
      <c r="A702" s="5"/>
      <c r="B702" s="5"/>
    </row>
    <row r="703" spans="1:7" ht="15.9" customHeight="1" x14ac:dyDescent="0.3">
      <c r="A703" s="5"/>
      <c r="B703" s="5"/>
    </row>
    <row r="704" spans="1:7" ht="15.9" customHeight="1" x14ac:dyDescent="0.3">
      <c r="A704" s="5"/>
      <c r="B704" s="5"/>
    </row>
    <row r="705" spans="1:7" ht="15.9" customHeight="1" x14ac:dyDescent="0.3">
      <c r="A705" s="5"/>
      <c r="B705" s="5"/>
    </row>
    <row r="706" spans="1:7" ht="15.9" customHeight="1" x14ac:dyDescent="0.3">
      <c r="A706" s="5"/>
      <c r="B706" s="5"/>
    </row>
    <row r="709" spans="1:7" ht="15.9" customHeight="1" x14ac:dyDescent="0.3">
      <c r="A709" s="5"/>
      <c r="B709" s="5"/>
    </row>
    <row r="710" spans="1:7" ht="15.9" customHeight="1" x14ac:dyDescent="0.3">
      <c r="A710" s="5"/>
      <c r="B710" s="5"/>
    </row>
    <row r="713" spans="1:7" ht="15.9" customHeight="1" x14ac:dyDescent="0.3">
      <c r="G713" s="184"/>
    </row>
    <row r="714" spans="1:7" ht="15.9" customHeight="1" x14ac:dyDescent="0.3">
      <c r="G714" s="184"/>
    </row>
    <row r="715" spans="1:7" ht="15.9" customHeight="1" x14ac:dyDescent="0.3">
      <c r="G715" s="184"/>
    </row>
    <row r="717" spans="1:7" ht="15.9" customHeight="1" x14ac:dyDescent="0.3">
      <c r="G717" s="184"/>
    </row>
    <row r="718" spans="1:7" ht="15.9" customHeight="1" x14ac:dyDescent="0.3">
      <c r="A718" s="5"/>
      <c r="B718" s="5"/>
      <c r="G718" s="184"/>
    </row>
    <row r="719" spans="1:7" ht="15.9" customHeight="1" x14ac:dyDescent="0.3">
      <c r="A719" s="5"/>
      <c r="B719" s="5"/>
      <c r="G719" s="184"/>
    </row>
    <row r="720" spans="1:7" ht="15.9" customHeight="1" x14ac:dyDescent="0.3">
      <c r="A720" s="5"/>
      <c r="B720" s="5"/>
      <c r="G720" s="184"/>
    </row>
    <row r="721" spans="1:7" ht="15.9" customHeight="1" x14ac:dyDescent="0.3">
      <c r="A721" s="5"/>
      <c r="B721" s="5"/>
      <c r="G721" s="184"/>
    </row>
    <row r="722" spans="1:7" ht="15.9" customHeight="1" x14ac:dyDescent="0.3">
      <c r="G722" s="184"/>
    </row>
    <row r="723" spans="1:7" ht="15.9" customHeight="1" x14ac:dyDescent="0.3">
      <c r="A723" s="5"/>
      <c r="B723" s="5"/>
    </row>
    <row r="724" spans="1:7" ht="15.9" customHeight="1" x14ac:dyDescent="0.3">
      <c r="A724" s="5"/>
      <c r="B724" s="5"/>
    </row>
    <row r="725" spans="1:7" ht="15.9" customHeight="1" x14ac:dyDescent="0.3">
      <c r="A725" s="5"/>
      <c r="B725" s="5"/>
    </row>
    <row r="726" spans="1:7" ht="15.9" customHeight="1" x14ac:dyDescent="0.3">
      <c r="A726" s="5"/>
      <c r="B726" s="5"/>
    </row>
    <row r="729" spans="1:7" ht="15.9" customHeight="1" x14ac:dyDescent="0.3">
      <c r="F729" s="218"/>
    </row>
    <row r="734" spans="1:7" ht="15.9" customHeight="1" x14ac:dyDescent="0.3">
      <c r="A734" s="5"/>
      <c r="B734" s="5"/>
    </row>
    <row r="735" spans="1:7" ht="15.9" customHeight="1" x14ac:dyDescent="0.3">
      <c r="A735" s="5"/>
      <c r="B735" s="5"/>
    </row>
    <row r="740" spans="1:7" ht="15.9" customHeight="1" x14ac:dyDescent="0.3">
      <c r="A740" s="5"/>
      <c r="B740" s="5"/>
      <c r="G740" s="185"/>
    </row>
    <row r="741" spans="1:7" ht="15.9" customHeight="1" x14ac:dyDescent="0.3">
      <c r="A741" s="5"/>
      <c r="B741" s="5"/>
      <c r="G741" s="185"/>
    </row>
    <row r="742" spans="1:7" ht="15.9" customHeight="1" x14ac:dyDescent="0.3">
      <c r="A742" s="5"/>
      <c r="B742" s="5"/>
    </row>
    <row r="743" spans="1:7" ht="15.9" customHeight="1" x14ac:dyDescent="0.3">
      <c r="A743" s="19"/>
      <c r="B743" s="19"/>
      <c r="C743" s="198"/>
      <c r="D743" s="19"/>
      <c r="E743" s="19"/>
      <c r="F743" s="19"/>
    </row>
    <row r="744" spans="1:7" ht="15.9" customHeight="1" x14ac:dyDescent="0.3">
      <c r="A744" s="5"/>
      <c r="B744" s="5"/>
    </row>
    <row r="745" spans="1:7" ht="15.9" customHeight="1" x14ac:dyDescent="0.3">
      <c r="A745" s="5"/>
      <c r="B745" s="5"/>
    </row>
    <row r="746" spans="1:7" ht="15.9" customHeight="1" x14ac:dyDescent="0.3">
      <c r="A746" s="5"/>
      <c r="B746" s="5"/>
    </row>
    <row r="747" spans="1:7" ht="15.9" customHeight="1" x14ac:dyDescent="0.3">
      <c r="A747" s="5"/>
      <c r="B747" s="5"/>
    </row>
    <row r="748" spans="1:7" ht="15.9" customHeight="1" x14ac:dyDescent="0.3">
      <c r="A748" s="5"/>
      <c r="B748" s="5"/>
    </row>
    <row r="749" spans="1:7" ht="15.9" customHeight="1" x14ac:dyDescent="0.3">
      <c r="A749" s="5"/>
      <c r="B749" s="5"/>
    </row>
    <row r="753" spans="1:7" ht="15.9" customHeight="1" x14ac:dyDescent="0.3">
      <c r="A753" s="5"/>
      <c r="B753" s="5"/>
    </row>
    <row r="754" spans="1:7" ht="15.9" customHeight="1" x14ac:dyDescent="0.3">
      <c r="A754" s="5"/>
      <c r="B754" s="5"/>
    </row>
    <row r="755" spans="1:7" ht="15.9" customHeight="1" x14ac:dyDescent="0.3">
      <c r="A755" s="5"/>
      <c r="B755" s="5"/>
    </row>
    <row r="756" spans="1:7" ht="15.9" customHeight="1" x14ac:dyDescent="0.3">
      <c r="A756" s="5"/>
      <c r="B756" s="5"/>
    </row>
    <row r="757" spans="1:7" ht="15.9" customHeight="1" x14ac:dyDescent="0.3">
      <c r="A757" s="5"/>
      <c r="B757" s="5"/>
    </row>
    <row r="758" spans="1:7" ht="15.9" customHeight="1" x14ac:dyDescent="0.3">
      <c r="A758" s="5"/>
      <c r="B758" s="5"/>
    </row>
    <row r="759" spans="1:7" ht="15.9" customHeight="1" x14ac:dyDescent="0.3">
      <c r="A759" s="5"/>
      <c r="B759" s="5"/>
      <c r="G759" s="185"/>
    </row>
    <row r="760" spans="1:7" ht="15.9" customHeight="1" x14ac:dyDescent="0.3">
      <c r="A760" s="5"/>
      <c r="B760" s="5"/>
      <c r="G760" s="185"/>
    </row>
    <row r="761" spans="1:7" ht="15.9" customHeight="1" x14ac:dyDescent="0.3">
      <c r="G761" s="185"/>
    </row>
    <row r="763" spans="1:7" ht="15.9" customHeight="1" x14ac:dyDescent="0.3">
      <c r="C763" s="198"/>
      <c r="D763" s="19"/>
      <c r="E763" s="19"/>
      <c r="F763" s="19"/>
    </row>
    <row r="765" spans="1:7" ht="15.9" customHeight="1" x14ac:dyDescent="0.3">
      <c r="A765" s="5"/>
      <c r="B765" s="5"/>
    </row>
    <row r="766" spans="1:7" ht="15.9" customHeight="1" x14ac:dyDescent="0.3">
      <c r="A766" s="5"/>
      <c r="B766" s="5"/>
    </row>
    <row r="769" spans="1:7" ht="15.9" customHeight="1" x14ac:dyDescent="0.3">
      <c r="B769" s="16"/>
    </row>
    <row r="771" spans="1:7" ht="15.9" customHeight="1" x14ac:dyDescent="0.3">
      <c r="A771" s="5"/>
      <c r="B771" s="5"/>
    </row>
    <row r="772" spans="1:7" ht="15.9" customHeight="1" x14ac:dyDescent="0.3">
      <c r="A772" s="5"/>
      <c r="B772" s="5"/>
    </row>
    <row r="773" spans="1:7" ht="15.9" customHeight="1" x14ac:dyDescent="0.3">
      <c r="A773" s="5"/>
      <c r="B773" s="5"/>
    </row>
    <row r="776" spans="1:7" ht="15.9" customHeight="1" x14ac:dyDescent="0.3">
      <c r="A776" s="5"/>
      <c r="B776" s="5"/>
    </row>
    <row r="777" spans="1:7" ht="15.9" customHeight="1" x14ac:dyDescent="0.3">
      <c r="A777" s="5"/>
      <c r="B777" s="5"/>
    </row>
    <row r="778" spans="1:7" ht="15.9" customHeight="1" x14ac:dyDescent="0.3">
      <c r="A778" s="5"/>
      <c r="B778" s="5"/>
    </row>
    <row r="780" spans="1:7" ht="15.9" customHeight="1" x14ac:dyDescent="0.3">
      <c r="G780" s="175"/>
    </row>
    <row r="781" spans="1:7" ht="15.9" customHeight="1" x14ac:dyDescent="0.3">
      <c r="G781" s="175"/>
    </row>
    <row r="782" spans="1:7" ht="15.9" customHeight="1" x14ac:dyDescent="0.3">
      <c r="G782" s="175"/>
    </row>
    <row r="783" spans="1:7" ht="15.9" customHeight="1" x14ac:dyDescent="0.3">
      <c r="G783" s="175"/>
    </row>
    <row r="784" spans="1:7" ht="15.9" customHeight="1" x14ac:dyDescent="0.3">
      <c r="G784" s="175"/>
    </row>
    <row r="785" spans="1:7" ht="15.9" customHeight="1" x14ac:dyDescent="0.3">
      <c r="G785" s="193"/>
    </row>
    <row r="786" spans="1:7" ht="15.9" customHeight="1" x14ac:dyDescent="0.3">
      <c r="G786" s="175"/>
    </row>
    <row r="787" spans="1:7" ht="15.9" customHeight="1" x14ac:dyDescent="0.3">
      <c r="G787" s="156"/>
    </row>
    <row r="788" spans="1:7" ht="15.9" customHeight="1" x14ac:dyDescent="0.3">
      <c r="G788" s="156"/>
    </row>
    <row r="789" spans="1:7" ht="15.9" customHeight="1" x14ac:dyDescent="0.3">
      <c r="G789" s="156"/>
    </row>
    <row r="790" spans="1:7" ht="15.9" customHeight="1" x14ac:dyDescent="0.3">
      <c r="G790" s="156"/>
    </row>
    <row r="791" spans="1:7" ht="15.9" customHeight="1" x14ac:dyDescent="0.3">
      <c r="G791" s="156"/>
    </row>
    <row r="792" spans="1:7" ht="15.9" customHeight="1" x14ac:dyDescent="0.3">
      <c r="G792" s="175"/>
    </row>
    <row r="793" spans="1:7" ht="15.9" customHeight="1" x14ac:dyDescent="0.3">
      <c r="G793" s="156"/>
    </row>
    <row r="794" spans="1:7" ht="15.9" customHeight="1" x14ac:dyDescent="0.3">
      <c r="G794" s="156"/>
    </row>
    <row r="795" spans="1:7" ht="15.9" customHeight="1" x14ac:dyDescent="0.3">
      <c r="G795" s="175"/>
    </row>
    <row r="796" spans="1:7" ht="15.9" customHeight="1" x14ac:dyDescent="0.3">
      <c r="G796" s="156"/>
    </row>
    <row r="797" spans="1:7" ht="15.9" customHeight="1" x14ac:dyDescent="0.3">
      <c r="A797" s="185"/>
      <c r="G797" s="185"/>
    </row>
    <row r="798" spans="1:7" ht="15.9" customHeight="1" x14ac:dyDescent="0.3">
      <c r="A798" s="185"/>
      <c r="G798" s="185"/>
    </row>
    <row r="805" spans="1:2" ht="15.9" customHeight="1" x14ac:dyDescent="0.3">
      <c r="A805" s="5"/>
      <c r="B805" s="5"/>
    </row>
    <row r="806" spans="1:2" ht="15.9" customHeight="1" x14ac:dyDescent="0.3">
      <c r="A806" s="5"/>
      <c r="B806" s="5"/>
    </row>
    <row r="807" spans="1:2" ht="15.9" customHeight="1" x14ac:dyDescent="0.3">
      <c r="A807" s="5"/>
      <c r="B807" s="5"/>
    </row>
    <row r="808" spans="1:2" ht="15.9" customHeight="1" x14ac:dyDescent="0.3">
      <c r="A808" s="5"/>
      <c r="B808" s="5"/>
    </row>
    <row r="811" spans="1:2" ht="15.9" customHeight="1" x14ac:dyDescent="0.3">
      <c r="A811" s="5"/>
      <c r="B811" s="5"/>
    </row>
    <row r="812" spans="1:2" ht="15.9" customHeight="1" x14ac:dyDescent="0.3">
      <c r="A812" s="5"/>
      <c r="B812" s="5"/>
    </row>
    <row r="813" spans="1:2" ht="15.9" customHeight="1" x14ac:dyDescent="0.3">
      <c r="A813" s="5"/>
      <c r="B813" s="5"/>
    </row>
    <row r="823" spans="1:7" ht="15.9" customHeight="1" x14ac:dyDescent="0.3">
      <c r="G823" s="184"/>
    </row>
    <row r="824" spans="1:7" ht="15.9" customHeight="1" x14ac:dyDescent="0.3">
      <c r="A824" s="19"/>
      <c r="B824" s="19"/>
      <c r="C824" s="198"/>
      <c r="D824" s="19"/>
      <c r="E824" s="19"/>
      <c r="F824" s="19"/>
      <c r="G824" s="184"/>
    </row>
    <row r="825" spans="1:7" ht="15.9" customHeight="1" x14ac:dyDescent="0.3">
      <c r="A825" s="19"/>
      <c r="B825" s="19"/>
      <c r="C825" s="198"/>
      <c r="D825" s="19"/>
      <c r="E825" s="19"/>
      <c r="F825" s="19"/>
      <c r="G825" s="184"/>
    </row>
    <row r="826" spans="1:7" ht="15.9" customHeight="1" x14ac:dyDescent="0.3">
      <c r="A826" s="19"/>
      <c r="B826" s="19"/>
      <c r="C826" s="198"/>
      <c r="D826" s="19"/>
      <c r="E826" s="19"/>
      <c r="F826" s="19"/>
      <c r="G826" s="184"/>
    </row>
    <row r="827" spans="1:7" ht="15.9" customHeight="1" x14ac:dyDescent="0.3">
      <c r="A827" s="19"/>
      <c r="B827" s="19"/>
      <c r="C827" s="198"/>
      <c r="D827" s="19"/>
      <c r="E827" s="19"/>
      <c r="F827" s="19"/>
      <c r="G827" s="184"/>
    </row>
    <row r="828" spans="1:7" ht="15.9" customHeight="1" x14ac:dyDescent="0.3">
      <c r="A828" s="19"/>
      <c r="B828" s="19"/>
      <c r="C828" s="198"/>
      <c r="D828" s="19"/>
      <c r="E828" s="19"/>
      <c r="F828" s="19"/>
      <c r="G828" s="184"/>
    </row>
    <row r="829" spans="1:7" ht="15.9" customHeight="1" x14ac:dyDescent="0.3">
      <c r="A829" s="19"/>
      <c r="B829" s="19"/>
      <c r="C829" s="198"/>
      <c r="D829" s="19"/>
      <c r="E829" s="19"/>
      <c r="F829" s="19"/>
      <c r="G829" s="184"/>
    </row>
    <row r="831" spans="1:7" ht="15.9" customHeight="1" x14ac:dyDescent="0.3">
      <c r="E831" s="19"/>
      <c r="F831" s="19"/>
      <c r="G831" s="19"/>
    </row>
    <row r="832" spans="1:7" ht="15.9" customHeight="1" x14ac:dyDescent="0.3">
      <c r="A832" s="5"/>
      <c r="B832" s="5"/>
    </row>
    <row r="833" spans="1:3" ht="15.9" customHeight="1" x14ac:dyDescent="0.3">
      <c r="A833" s="5"/>
      <c r="B833" s="5"/>
    </row>
    <row r="834" spans="1:3" ht="15.9" customHeight="1" x14ac:dyDescent="0.3">
      <c r="A834" s="5"/>
      <c r="B834" s="5"/>
    </row>
    <row r="835" spans="1:3" ht="15.9" customHeight="1" x14ac:dyDescent="0.3">
      <c r="A835" s="5"/>
      <c r="B835" s="5"/>
    </row>
    <row r="836" spans="1:3" ht="15.9" customHeight="1" x14ac:dyDescent="0.3">
      <c r="A836" s="5"/>
      <c r="B836" s="5"/>
    </row>
    <row r="838" spans="1:3" ht="15.9" customHeight="1" x14ac:dyDescent="0.3">
      <c r="C838" s="16"/>
    </row>
    <row r="860" spans="1:2" ht="15.9" customHeight="1" x14ac:dyDescent="0.3">
      <c r="A860" s="5"/>
      <c r="B860" s="5"/>
    </row>
    <row r="861" spans="1:2" ht="15.9" customHeight="1" x14ac:dyDescent="0.3">
      <c r="A861" s="5"/>
      <c r="B861" s="5"/>
    </row>
    <row r="862" spans="1:2" ht="15.9" customHeight="1" x14ac:dyDescent="0.3">
      <c r="A862" s="5"/>
      <c r="B862" s="5"/>
    </row>
    <row r="863" spans="1:2" ht="15.9" customHeight="1" x14ac:dyDescent="0.3">
      <c r="A863" s="5"/>
      <c r="B863" s="5"/>
    </row>
    <row r="864" spans="1:2" ht="15.9" customHeight="1" x14ac:dyDescent="0.3">
      <c r="A864" s="5"/>
      <c r="B864" s="5"/>
    </row>
    <row r="865" spans="1:7" ht="15.9" customHeight="1" x14ac:dyDescent="0.3">
      <c r="A865" s="5"/>
      <c r="B865" s="5"/>
    </row>
    <row r="866" spans="1:7" ht="15.9" customHeight="1" x14ac:dyDescent="0.3">
      <c r="A866" s="5"/>
      <c r="B866" s="5"/>
    </row>
    <row r="867" spans="1:7" ht="15.9" customHeight="1" x14ac:dyDescent="0.3">
      <c r="A867" s="5"/>
      <c r="B867" s="5"/>
    </row>
    <row r="868" spans="1:7" ht="15.9" customHeight="1" x14ac:dyDescent="0.3">
      <c r="A868" s="5"/>
      <c r="B868" s="5"/>
    </row>
    <row r="869" spans="1:7" ht="15.9" customHeight="1" x14ac:dyDescent="0.3">
      <c r="A869" s="5"/>
      <c r="B869" s="5"/>
      <c r="G869" s="185"/>
    </row>
    <row r="870" spans="1:7" ht="15.9" customHeight="1" x14ac:dyDescent="0.3">
      <c r="A870" s="5"/>
      <c r="B870" s="5"/>
    </row>
    <row r="871" spans="1:7" ht="15.9" customHeight="1" x14ac:dyDescent="0.3">
      <c r="A871" s="5"/>
      <c r="B871" s="5"/>
    </row>
    <row r="872" spans="1:7" ht="15.9" customHeight="1" x14ac:dyDescent="0.3">
      <c r="A872" s="5"/>
      <c r="B872" s="5"/>
    </row>
    <row r="874" spans="1:7" ht="15.9" customHeight="1" x14ac:dyDescent="0.3">
      <c r="A874" s="5"/>
      <c r="B874" s="5"/>
    </row>
    <row r="875" spans="1:7" ht="15.9" customHeight="1" x14ac:dyDescent="0.3">
      <c r="A875" s="5"/>
      <c r="B875" s="5"/>
    </row>
    <row r="876" spans="1:7" ht="15.9" customHeight="1" x14ac:dyDescent="0.3">
      <c r="A876" s="5"/>
      <c r="B876" s="5"/>
    </row>
    <row r="877" spans="1:7" ht="15.9" customHeight="1" x14ac:dyDescent="0.3">
      <c r="A877" s="5"/>
      <c r="B877" s="5"/>
    </row>
    <row r="878" spans="1:7" ht="15.9" customHeight="1" x14ac:dyDescent="0.3">
      <c r="A878" s="5"/>
      <c r="B878" s="5"/>
    </row>
    <row r="879" spans="1:7" ht="15.9" customHeight="1" x14ac:dyDescent="0.3">
      <c r="A879" s="5"/>
      <c r="B879" s="5"/>
    </row>
    <row r="880" spans="1:7" ht="15.9" customHeight="1" x14ac:dyDescent="0.3">
      <c r="A880" s="5"/>
      <c r="B880" s="5"/>
    </row>
    <row r="881" spans="1:7" ht="15.9" customHeight="1" x14ac:dyDescent="0.3">
      <c r="A881" s="5"/>
      <c r="B881" s="5"/>
    </row>
    <row r="882" spans="1:7" ht="15.9" customHeight="1" x14ac:dyDescent="0.3">
      <c r="A882" s="5"/>
      <c r="B882" s="5"/>
    </row>
    <row r="883" spans="1:7" ht="15.9" customHeight="1" x14ac:dyDescent="0.3">
      <c r="A883" s="5"/>
      <c r="B883" s="5"/>
    </row>
    <row r="884" spans="1:7" ht="15.9" customHeight="1" x14ac:dyDescent="0.3">
      <c r="A884" s="5"/>
      <c r="B884" s="5"/>
    </row>
    <row r="885" spans="1:7" ht="15.9" customHeight="1" x14ac:dyDescent="0.3">
      <c r="A885" s="5"/>
      <c r="B885" s="5"/>
    </row>
    <row r="886" spans="1:7" ht="15.9" customHeight="1" x14ac:dyDescent="0.3">
      <c r="A886" s="5"/>
      <c r="B886" s="5"/>
      <c r="G886" s="190"/>
    </row>
    <row r="887" spans="1:7" ht="15.9" customHeight="1" x14ac:dyDescent="0.3">
      <c r="A887" s="5"/>
      <c r="B887" s="5"/>
    </row>
    <row r="888" spans="1:7" ht="15.9" customHeight="1" x14ac:dyDescent="0.3">
      <c r="A888" s="5"/>
      <c r="B888" s="5"/>
    </row>
    <row r="889" spans="1:7" ht="15.9" customHeight="1" x14ac:dyDescent="0.3">
      <c r="A889" s="5"/>
      <c r="B889" s="5"/>
    </row>
    <row r="890" spans="1:7" ht="15.9" customHeight="1" x14ac:dyDescent="0.3">
      <c r="A890" s="5"/>
      <c r="B890" s="5"/>
    </row>
    <row r="891" spans="1:7" ht="15.9" customHeight="1" x14ac:dyDescent="0.3">
      <c r="A891" s="5"/>
      <c r="B891" s="5"/>
    </row>
    <row r="892" spans="1:7" ht="15.9" customHeight="1" x14ac:dyDescent="0.3">
      <c r="A892" s="5"/>
      <c r="B892" s="5"/>
    </row>
    <row r="894" spans="1:7" ht="15.9" customHeight="1" x14ac:dyDescent="0.3">
      <c r="A894" s="5"/>
      <c r="B894" s="5"/>
      <c r="G894" s="182"/>
    </row>
    <row r="895" spans="1:7" ht="15.9" customHeight="1" x14ac:dyDescent="0.3">
      <c r="A895" s="5"/>
      <c r="B895" s="5"/>
    </row>
    <row r="896" spans="1:7" ht="15.9" customHeight="1" x14ac:dyDescent="0.3">
      <c r="A896" s="5"/>
      <c r="B896" s="5"/>
      <c r="G896" s="185"/>
    </row>
    <row r="897" spans="1:7" ht="15.9" customHeight="1" x14ac:dyDescent="0.3">
      <c r="A897" s="5"/>
      <c r="B897" s="5"/>
    </row>
    <row r="898" spans="1:7" ht="15.9" customHeight="1" x14ac:dyDescent="0.3">
      <c r="A898" s="5"/>
      <c r="B898" s="5"/>
    </row>
    <row r="899" spans="1:7" ht="15.9" customHeight="1" x14ac:dyDescent="0.3">
      <c r="A899" s="5"/>
      <c r="B899" s="5"/>
      <c r="G899" s="156"/>
    </row>
    <row r="900" spans="1:7" ht="15.9" customHeight="1" x14ac:dyDescent="0.3">
      <c r="A900" s="5"/>
      <c r="B900" s="5"/>
      <c r="G900" s="154"/>
    </row>
    <row r="911" spans="1:7" ht="15.9" customHeight="1" x14ac:dyDescent="0.3">
      <c r="G911" s="184"/>
    </row>
    <row r="915" spans="1:6" ht="15.9" customHeight="1" x14ac:dyDescent="0.3">
      <c r="E915" s="19"/>
    </row>
    <row r="919" spans="1:6" ht="15.9" customHeight="1" x14ac:dyDescent="0.3">
      <c r="F919" s="1139"/>
    </row>
    <row r="920" spans="1:6" ht="15.9" customHeight="1" x14ac:dyDescent="0.3">
      <c r="A920" s="5"/>
      <c r="B920" s="5"/>
    </row>
    <row r="921" spans="1:6" ht="15.9" customHeight="1" x14ac:dyDescent="0.3">
      <c r="A921" s="5"/>
      <c r="B921" s="5"/>
    </row>
    <row r="922" spans="1:6" ht="15.9" customHeight="1" x14ac:dyDescent="0.3">
      <c r="A922" s="5"/>
      <c r="B922" s="5"/>
    </row>
    <row r="923" spans="1:6" ht="15.9" customHeight="1" x14ac:dyDescent="0.3">
      <c r="A923" s="5"/>
      <c r="B923" s="5"/>
    </row>
    <row r="924" spans="1:6" ht="15.9" customHeight="1" x14ac:dyDescent="0.3">
      <c r="A924" s="5"/>
      <c r="B924" s="5"/>
    </row>
    <row r="925" spans="1:6" ht="15.9" customHeight="1" x14ac:dyDescent="0.3">
      <c r="A925" s="5"/>
      <c r="B925" s="5"/>
    </row>
    <row r="926" spans="1:6" ht="15.9" customHeight="1" x14ac:dyDescent="0.3">
      <c r="A926" s="5"/>
      <c r="B926" s="5"/>
    </row>
    <row r="927" spans="1:6" ht="15.9" customHeight="1" x14ac:dyDescent="0.3">
      <c r="A927" s="5"/>
      <c r="B927" s="5"/>
    </row>
    <row r="928" spans="1:6" ht="15.9" customHeight="1" x14ac:dyDescent="0.3">
      <c r="A928" s="5"/>
      <c r="B928" s="5"/>
    </row>
    <row r="929" spans="1:7" ht="15.9" customHeight="1" x14ac:dyDescent="0.3">
      <c r="A929" s="5"/>
      <c r="B929" s="5"/>
    </row>
    <row r="930" spans="1:7" ht="15.9" customHeight="1" x14ac:dyDescent="0.3">
      <c r="A930" s="5"/>
      <c r="B930" s="5"/>
    </row>
    <row r="931" spans="1:7" ht="15.9" customHeight="1" x14ac:dyDescent="0.3">
      <c r="A931" s="5"/>
      <c r="B931" s="5"/>
    </row>
    <row r="932" spans="1:7" ht="15.9" customHeight="1" x14ac:dyDescent="0.3">
      <c r="A932" s="5"/>
      <c r="B932" s="5"/>
    </row>
    <row r="933" spans="1:7" ht="15.9" customHeight="1" x14ac:dyDescent="0.3">
      <c r="A933" s="5"/>
      <c r="B933" s="5"/>
    </row>
    <row r="934" spans="1:7" ht="15.9" customHeight="1" x14ac:dyDescent="0.3">
      <c r="A934" s="5"/>
      <c r="B934" s="5"/>
    </row>
    <row r="935" spans="1:7" ht="15.9" customHeight="1" x14ac:dyDescent="0.3">
      <c r="A935" s="5"/>
      <c r="B935" s="5"/>
    </row>
    <row r="936" spans="1:7" ht="15.9" customHeight="1" x14ac:dyDescent="0.3">
      <c r="A936" s="5"/>
      <c r="B936" s="5"/>
    </row>
    <row r="937" spans="1:7" ht="15.9" customHeight="1" x14ac:dyDescent="0.3">
      <c r="A937" s="5"/>
      <c r="B937" s="5"/>
    </row>
    <row r="938" spans="1:7" ht="15.9" customHeight="1" x14ac:dyDescent="0.3">
      <c r="A938" s="5"/>
      <c r="B938" s="5"/>
      <c r="G938" s="185"/>
    </row>
    <row r="939" spans="1:7" ht="15.9" customHeight="1" x14ac:dyDescent="0.3">
      <c r="A939" s="5"/>
      <c r="B939" s="5"/>
    </row>
    <row r="940" spans="1:7" ht="15.9" customHeight="1" x14ac:dyDescent="0.3">
      <c r="A940" s="5"/>
      <c r="B940" s="5"/>
    </row>
    <row r="941" spans="1:7" ht="15.9" customHeight="1" x14ac:dyDescent="0.3">
      <c r="A941" s="5"/>
      <c r="B941" s="5"/>
    </row>
    <row r="942" spans="1:7" ht="15.9" customHeight="1" x14ac:dyDescent="0.3">
      <c r="A942" s="5"/>
      <c r="B942" s="5"/>
    </row>
    <row r="943" spans="1:7" ht="15.9" customHeight="1" x14ac:dyDescent="0.3">
      <c r="A943" s="5"/>
      <c r="B943" s="5"/>
    </row>
    <row r="944" spans="1:7" ht="15.9" customHeight="1" x14ac:dyDescent="0.3">
      <c r="A944" s="5"/>
      <c r="B944" s="5"/>
    </row>
    <row r="945" spans="1:7" ht="15.9" customHeight="1" x14ac:dyDescent="0.3">
      <c r="A945" s="5"/>
      <c r="B945" s="5"/>
    </row>
    <row r="946" spans="1:7" ht="15.9" customHeight="1" x14ac:dyDescent="0.3">
      <c r="A946" s="5"/>
      <c r="B946" s="5"/>
    </row>
    <row r="947" spans="1:7" ht="15.9" customHeight="1" x14ac:dyDescent="0.3">
      <c r="A947" s="5"/>
      <c r="B947" s="5"/>
      <c r="G947" s="1139"/>
    </row>
    <row r="948" spans="1:7" ht="15.9" customHeight="1" x14ac:dyDescent="0.3">
      <c r="A948" s="5"/>
      <c r="B948" s="5"/>
    </row>
    <row r="949" spans="1:7" ht="15.9" customHeight="1" x14ac:dyDescent="0.3">
      <c r="A949" s="5"/>
      <c r="B949" s="5"/>
    </row>
    <row r="950" spans="1:7" ht="15.9" customHeight="1" x14ac:dyDescent="0.3">
      <c r="A950" s="5"/>
      <c r="B950" s="5"/>
    </row>
    <row r="951" spans="1:7" ht="15.9" customHeight="1" x14ac:dyDescent="0.3">
      <c r="A951" s="5"/>
      <c r="B951" s="5"/>
    </row>
    <row r="952" spans="1:7" ht="15.9" customHeight="1" x14ac:dyDescent="0.3">
      <c r="A952" s="5"/>
      <c r="B952" s="5"/>
    </row>
    <row r="953" spans="1:7" ht="15.9" customHeight="1" x14ac:dyDescent="0.3">
      <c r="A953" s="5"/>
      <c r="B953" s="5"/>
    </row>
    <row r="954" spans="1:7" ht="15.9" customHeight="1" x14ac:dyDescent="0.3">
      <c r="A954" s="5"/>
      <c r="B954" s="5"/>
    </row>
    <row r="955" spans="1:7" ht="15.9" customHeight="1" x14ac:dyDescent="0.3">
      <c r="A955" s="5"/>
      <c r="B955" s="5"/>
    </row>
    <row r="956" spans="1:7" ht="15.9" customHeight="1" x14ac:dyDescent="0.3">
      <c r="A956" s="5"/>
      <c r="B956" s="5"/>
    </row>
    <row r="957" spans="1:7" ht="15.9" customHeight="1" x14ac:dyDescent="0.3">
      <c r="A957" s="5"/>
      <c r="B957" s="5"/>
    </row>
    <row r="958" spans="1:7" ht="15.9" customHeight="1" x14ac:dyDescent="0.3">
      <c r="A958" s="5"/>
      <c r="B958" s="5"/>
    </row>
    <row r="959" spans="1:7" ht="15.9" customHeight="1" x14ac:dyDescent="0.3">
      <c r="A959" s="5"/>
      <c r="B959" s="5"/>
    </row>
    <row r="960" spans="1:7" ht="15.9" customHeight="1" x14ac:dyDescent="0.3">
      <c r="A960" s="5"/>
      <c r="B960" s="5"/>
      <c r="G960" s="185"/>
    </row>
    <row r="961" spans="1:7" ht="15.9" customHeight="1" x14ac:dyDescent="0.3">
      <c r="A961" s="5"/>
      <c r="B961" s="5"/>
    </row>
    <row r="962" spans="1:7" ht="15.9" customHeight="1" x14ac:dyDescent="0.3">
      <c r="A962" s="5"/>
      <c r="B962" s="5"/>
    </row>
    <row r="963" spans="1:7" ht="15.9" customHeight="1" x14ac:dyDescent="0.3">
      <c r="A963" s="5"/>
      <c r="B963" s="5"/>
    </row>
    <row r="964" spans="1:7" ht="15.9" customHeight="1" x14ac:dyDescent="0.3">
      <c r="A964" s="5"/>
      <c r="B964" s="5"/>
    </row>
    <row r="965" spans="1:7" ht="15.9" customHeight="1" x14ac:dyDescent="0.3">
      <c r="A965" s="5"/>
      <c r="B965" s="5"/>
    </row>
    <row r="966" spans="1:7" ht="15.9" customHeight="1" x14ac:dyDescent="0.3">
      <c r="A966" s="5"/>
      <c r="B966" s="5"/>
    </row>
    <row r="967" spans="1:7" ht="15.9" customHeight="1" x14ac:dyDescent="0.3">
      <c r="A967" s="5"/>
      <c r="B967" s="5"/>
    </row>
    <row r="968" spans="1:7" ht="15.9" customHeight="1" x14ac:dyDescent="0.3">
      <c r="A968" s="5"/>
      <c r="B968" s="5"/>
    </row>
    <row r="969" spans="1:7" ht="15.9" customHeight="1" x14ac:dyDescent="0.3">
      <c r="A969" s="5"/>
      <c r="B969" s="5"/>
    </row>
    <row r="970" spans="1:7" ht="15.9" customHeight="1" x14ac:dyDescent="0.3">
      <c r="A970" s="5"/>
      <c r="B970" s="220"/>
      <c r="D970" s="220"/>
      <c r="G970" s="185"/>
    </row>
    <row r="971" spans="1:7" ht="15.9" customHeight="1" x14ac:dyDescent="0.3">
      <c r="A971" s="5"/>
      <c r="B971" s="5"/>
      <c r="G971" s="185"/>
    </row>
    <row r="972" spans="1:7" ht="15.9" customHeight="1" x14ac:dyDescent="0.3">
      <c r="A972" s="5"/>
      <c r="B972" s="5"/>
      <c r="G972" s="185"/>
    </row>
    <row r="973" spans="1:7" ht="15.9" customHeight="1" x14ac:dyDescent="0.3">
      <c r="A973" s="5"/>
      <c r="B973" s="5"/>
      <c r="G973" s="185"/>
    </row>
    <row r="974" spans="1:7" ht="15.9" customHeight="1" x14ac:dyDescent="0.3">
      <c r="A974" s="5"/>
      <c r="B974" s="5"/>
      <c r="G974" s="185"/>
    </row>
    <row r="975" spans="1:7" ht="15.9" customHeight="1" x14ac:dyDescent="0.3">
      <c r="A975" s="5"/>
      <c r="B975" s="5"/>
      <c r="G975" s="185"/>
    </row>
    <row r="976" spans="1:7" ht="15.9" customHeight="1" x14ac:dyDescent="0.3">
      <c r="A976" s="5"/>
      <c r="B976" s="5"/>
      <c r="G976" s="185"/>
    </row>
    <row r="977" spans="1:7" ht="15.9" customHeight="1" x14ac:dyDescent="0.3">
      <c r="A977" s="5"/>
      <c r="B977" s="5"/>
      <c r="G977" s="185"/>
    </row>
    <row r="978" spans="1:7" ht="15.9" customHeight="1" x14ac:dyDescent="0.3">
      <c r="A978" s="5"/>
      <c r="B978" s="5"/>
      <c r="G978" s="185"/>
    </row>
    <row r="979" spans="1:7" ht="15.9" customHeight="1" x14ac:dyDescent="0.3">
      <c r="A979" s="5"/>
      <c r="B979" s="5"/>
      <c r="G979" s="185"/>
    </row>
    <row r="980" spans="1:7" ht="15.9" customHeight="1" x14ac:dyDescent="0.3">
      <c r="A980" s="5"/>
      <c r="B980" s="5"/>
      <c r="G980" s="185"/>
    </row>
    <row r="981" spans="1:7" ht="15.9" customHeight="1" x14ac:dyDescent="0.3">
      <c r="A981" s="5"/>
      <c r="B981" s="5"/>
      <c r="G981" s="185"/>
    </row>
    <row r="982" spans="1:7" ht="15.9" customHeight="1" x14ac:dyDescent="0.3">
      <c r="A982" s="5"/>
      <c r="B982" s="5"/>
      <c r="G982" s="185"/>
    </row>
    <row r="983" spans="1:7" ht="15.9" customHeight="1" x14ac:dyDescent="0.3">
      <c r="A983" s="5"/>
      <c r="B983" s="5"/>
      <c r="G983" s="185"/>
    </row>
    <row r="984" spans="1:7" ht="15.9" customHeight="1" x14ac:dyDescent="0.3">
      <c r="A984" s="5"/>
      <c r="B984" s="5"/>
      <c r="G984" s="185"/>
    </row>
    <row r="985" spans="1:7" ht="15.9" customHeight="1" x14ac:dyDescent="0.3">
      <c r="A985" s="5"/>
      <c r="B985" s="5"/>
      <c r="G985" s="185"/>
    </row>
    <row r="986" spans="1:7" ht="15.9" customHeight="1" x14ac:dyDescent="0.3">
      <c r="A986" s="5"/>
      <c r="B986" s="5"/>
      <c r="G986" s="185"/>
    </row>
    <row r="987" spans="1:7" ht="15.9" customHeight="1" x14ac:dyDescent="0.3">
      <c r="A987" s="5"/>
      <c r="B987" s="5"/>
      <c r="G987" s="185"/>
    </row>
    <row r="988" spans="1:7" ht="15.9" customHeight="1" x14ac:dyDescent="0.3">
      <c r="A988" s="5"/>
      <c r="B988" s="5"/>
      <c r="G988" s="185"/>
    </row>
    <row r="989" spans="1:7" ht="15.9" customHeight="1" x14ac:dyDescent="0.3">
      <c r="A989" s="5"/>
      <c r="B989" s="5"/>
      <c r="G989" s="185"/>
    </row>
    <row r="990" spans="1:7" ht="15.9" customHeight="1" x14ac:dyDescent="0.3">
      <c r="A990" s="5"/>
      <c r="B990" s="5"/>
    </row>
    <row r="991" spans="1:7" ht="15.9" customHeight="1" x14ac:dyDescent="0.3">
      <c r="A991" s="5"/>
      <c r="B991" s="5"/>
      <c r="G991" s="185"/>
    </row>
    <row r="992" spans="1:7" ht="15.9" customHeight="1" x14ac:dyDescent="0.3">
      <c r="A992" s="5"/>
      <c r="B992" s="5"/>
      <c r="G992" s="185"/>
    </row>
    <row r="993" spans="1:7" ht="15.9" customHeight="1" x14ac:dyDescent="0.3">
      <c r="A993" s="5"/>
      <c r="B993" s="5"/>
      <c r="G993" s="185"/>
    </row>
    <row r="994" spans="1:7" ht="15.9" customHeight="1" x14ac:dyDescent="0.3">
      <c r="A994" s="5"/>
      <c r="B994" s="5"/>
    </row>
    <row r="995" spans="1:7" ht="15.9" customHeight="1" x14ac:dyDescent="0.3">
      <c r="A995" s="5"/>
      <c r="B995" s="5"/>
    </row>
    <row r="996" spans="1:7" ht="15.9" customHeight="1" x14ac:dyDescent="0.3">
      <c r="A996" s="5"/>
      <c r="B996" s="5"/>
    </row>
    <row r="997" spans="1:7" ht="15.9" customHeight="1" x14ac:dyDescent="0.3">
      <c r="A997" s="5"/>
      <c r="B997" s="5"/>
    </row>
    <row r="998" spans="1:7" ht="15.9" customHeight="1" x14ac:dyDescent="0.3">
      <c r="A998" s="5"/>
      <c r="B998" s="5"/>
    </row>
    <row r="999" spans="1:7" ht="15.9" customHeight="1" x14ac:dyDescent="0.3">
      <c r="A999" s="5"/>
      <c r="B999" s="5"/>
    </row>
    <row r="1000" spans="1:7" ht="15.9" customHeight="1" x14ac:dyDescent="0.3">
      <c r="A1000" s="5"/>
      <c r="B1000" s="5"/>
    </row>
    <row r="1001" spans="1:7" ht="15.9" customHeight="1" x14ac:dyDescent="0.3">
      <c r="A1001" s="5"/>
      <c r="B1001" s="5"/>
    </row>
    <row r="1002" spans="1:7" ht="15.9" customHeight="1" x14ac:dyDescent="0.3">
      <c r="A1002" s="5"/>
      <c r="B1002" s="5"/>
      <c r="G1002" s="185"/>
    </row>
    <row r="1003" spans="1:7" ht="15.9" customHeight="1" x14ac:dyDescent="0.3">
      <c r="A1003" s="5"/>
      <c r="B1003" s="5"/>
      <c r="G1003" s="185"/>
    </row>
    <row r="1004" spans="1:7" ht="15.9" customHeight="1" x14ac:dyDescent="0.3">
      <c r="A1004" s="5"/>
      <c r="B1004" s="5"/>
      <c r="G1004" s="185"/>
    </row>
    <row r="1005" spans="1:7" ht="15.9" customHeight="1" x14ac:dyDescent="0.3">
      <c r="A1005" s="5"/>
      <c r="B1005" s="5"/>
      <c r="G1005" s="190"/>
    </row>
    <row r="1006" spans="1:7" ht="15.9" customHeight="1" x14ac:dyDescent="0.3">
      <c r="A1006" s="5"/>
      <c r="B1006" s="5"/>
      <c r="G1006" s="185"/>
    </row>
    <row r="1007" spans="1:7" ht="15.9" customHeight="1" x14ac:dyDescent="0.3">
      <c r="A1007" s="5"/>
      <c r="B1007" s="5"/>
      <c r="G1007" s="185"/>
    </row>
    <row r="1008" spans="1:7" ht="15.9" customHeight="1" x14ac:dyDescent="0.3">
      <c r="A1008" s="5"/>
      <c r="B1008" s="5"/>
    </row>
    <row r="1009" spans="1:7" ht="15.9" customHeight="1" x14ac:dyDescent="0.3">
      <c r="A1009" s="5"/>
      <c r="B1009" s="5"/>
      <c r="G1009" s="185"/>
    </row>
    <row r="1010" spans="1:7" ht="15.9" customHeight="1" x14ac:dyDescent="0.3">
      <c r="A1010" s="5"/>
      <c r="B1010" s="19"/>
      <c r="C1010" s="198"/>
      <c r="D1010" s="19"/>
      <c r="F1010" s="19"/>
      <c r="G1010" s="19"/>
    </row>
    <row r="1011" spans="1:7" ht="15.9" customHeight="1" x14ac:dyDescent="0.3">
      <c r="A1011" s="5"/>
      <c r="B1011" s="19"/>
      <c r="C1011" s="198"/>
      <c r="D1011" s="19"/>
      <c r="F1011" s="19"/>
      <c r="G1011" s="19"/>
    </row>
    <row r="1012" spans="1:7" ht="15.9" customHeight="1" x14ac:dyDescent="0.3">
      <c r="A1012" s="5"/>
      <c r="B1012" s="19"/>
      <c r="C1012" s="198"/>
      <c r="D1012" s="19"/>
      <c r="F1012" s="19"/>
      <c r="G1012" s="19"/>
    </row>
    <row r="1013" spans="1:7" ht="15.9" customHeight="1" x14ac:dyDescent="0.3">
      <c r="A1013" s="5"/>
      <c r="B1013" s="19"/>
      <c r="C1013" s="198"/>
      <c r="D1013" s="19"/>
      <c r="F1013" s="19"/>
      <c r="G1013" s="19"/>
    </row>
    <row r="1014" spans="1:7" ht="15.9" customHeight="1" x14ac:dyDescent="0.3">
      <c r="A1014" s="5"/>
      <c r="B1014" s="19"/>
      <c r="C1014" s="198"/>
      <c r="D1014" s="19"/>
      <c r="F1014" s="19"/>
      <c r="G1014" s="19"/>
    </row>
    <row r="1015" spans="1:7" ht="15.9" customHeight="1" x14ac:dyDescent="0.3">
      <c r="A1015" s="5"/>
      <c r="B1015" s="19"/>
      <c r="C1015" s="198"/>
      <c r="D1015" s="19"/>
      <c r="F1015" s="19"/>
      <c r="G1015" s="19"/>
    </row>
    <row r="1016" spans="1:7" ht="15.9" customHeight="1" x14ac:dyDescent="0.3">
      <c r="A1016" s="5"/>
      <c r="B1016" s="19"/>
      <c r="C1016" s="198"/>
      <c r="D1016" s="19"/>
      <c r="F1016" s="19"/>
      <c r="G1016" s="19"/>
    </row>
    <row r="1017" spans="1:7" ht="15.9" customHeight="1" x14ac:dyDescent="0.3">
      <c r="A1017" s="5"/>
      <c r="B1017" s="19"/>
      <c r="C1017" s="198"/>
      <c r="D1017" s="19"/>
      <c r="F1017" s="19"/>
      <c r="G1017" s="19"/>
    </row>
    <row r="1018" spans="1:7" ht="15.9" customHeight="1" x14ac:dyDescent="0.3">
      <c r="A1018" s="5"/>
      <c r="B1018" s="19"/>
      <c r="C1018" s="198"/>
      <c r="D1018" s="19"/>
      <c r="F1018" s="19"/>
      <c r="G1018" s="19"/>
    </row>
    <row r="1019" spans="1:7" ht="15.9" customHeight="1" x14ac:dyDescent="0.3">
      <c r="A1019" s="5"/>
      <c r="B1019" s="19"/>
      <c r="C1019" s="198"/>
      <c r="D1019" s="19"/>
      <c r="F1019" s="19"/>
      <c r="G1019" s="19"/>
    </row>
    <row r="1020" spans="1:7" ht="15.9" customHeight="1" x14ac:dyDescent="0.3">
      <c r="A1020" s="5"/>
      <c r="B1020" s="19"/>
      <c r="C1020" s="198"/>
      <c r="D1020" s="19"/>
      <c r="F1020" s="19"/>
      <c r="G1020" s="19"/>
    </row>
    <row r="1021" spans="1:7" ht="15.9" customHeight="1" x14ac:dyDescent="0.3">
      <c r="A1021" s="5"/>
      <c r="B1021" s="19"/>
      <c r="C1021" s="198"/>
      <c r="D1021" s="19"/>
      <c r="F1021" s="19"/>
      <c r="G1021" s="19"/>
    </row>
    <row r="1022" spans="1:7" ht="15.9" customHeight="1" x14ac:dyDescent="0.3">
      <c r="A1022" s="5"/>
      <c r="B1022" s="19"/>
      <c r="C1022" s="198"/>
      <c r="D1022" s="19"/>
      <c r="F1022" s="19"/>
      <c r="G1022" s="19"/>
    </row>
    <row r="1023" spans="1:7" ht="15.9" customHeight="1" x14ac:dyDescent="0.3">
      <c r="A1023" s="5"/>
      <c r="B1023" s="19"/>
      <c r="C1023" s="198"/>
      <c r="D1023" s="19"/>
      <c r="F1023" s="19"/>
      <c r="G1023" s="19"/>
    </row>
    <row r="1024" spans="1:7" ht="15.9" customHeight="1" x14ac:dyDescent="0.3">
      <c r="A1024" s="5"/>
      <c r="B1024" s="19"/>
      <c r="C1024" s="198"/>
      <c r="D1024" s="19"/>
      <c r="F1024" s="19"/>
      <c r="G1024" s="19"/>
    </row>
    <row r="1025" spans="1:7" ht="15.9" customHeight="1" x14ac:dyDescent="0.3">
      <c r="A1025" s="5"/>
      <c r="B1025" s="19"/>
      <c r="C1025" s="198"/>
      <c r="D1025" s="19"/>
      <c r="F1025" s="19"/>
      <c r="G1025" s="19"/>
    </row>
    <row r="1026" spans="1:7" ht="15.9" customHeight="1" x14ac:dyDescent="0.3">
      <c r="A1026" s="5"/>
      <c r="B1026" s="19"/>
      <c r="C1026" s="198"/>
      <c r="D1026" s="19"/>
      <c r="F1026" s="19"/>
      <c r="G1026" s="19"/>
    </row>
    <row r="1027" spans="1:7" ht="15.9" customHeight="1" x14ac:dyDescent="0.3">
      <c r="A1027" s="5"/>
      <c r="B1027" s="19"/>
      <c r="C1027" s="198"/>
      <c r="D1027" s="19"/>
      <c r="F1027" s="19"/>
      <c r="G1027" s="19"/>
    </row>
    <row r="1028" spans="1:7" ht="15.9" customHeight="1" x14ac:dyDescent="0.3">
      <c r="A1028" s="5"/>
      <c r="B1028" s="19"/>
      <c r="C1028" s="198"/>
      <c r="D1028" s="19"/>
      <c r="F1028" s="19"/>
      <c r="G1028" s="19"/>
    </row>
    <row r="1029" spans="1:7" ht="15.9" customHeight="1" x14ac:dyDescent="0.3">
      <c r="A1029" s="5"/>
      <c r="B1029" s="19"/>
      <c r="C1029" s="198"/>
      <c r="D1029" s="19"/>
      <c r="F1029" s="19"/>
      <c r="G1029" s="19"/>
    </row>
    <row r="1030" spans="1:7" ht="15.9" customHeight="1" x14ac:dyDescent="0.3">
      <c r="A1030" s="5"/>
      <c r="B1030" s="19"/>
      <c r="C1030" s="198"/>
      <c r="D1030" s="19"/>
      <c r="F1030" s="19"/>
      <c r="G1030" s="19"/>
    </row>
    <row r="1031" spans="1:7" ht="15.9" customHeight="1" x14ac:dyDescent="0.3">
      <c r="A1031" s="5"/>
      <c r="B1031" s="19"/>
      <c r="C1031" s="198"/>
      <c r="D1031" s="19"/>
      <c r="F1031" s="19"/>
      <c r="G1031" s="19"/>
    </row>
    <row r="1032" spans="1:7" ht="15.9" customHeight="1" x14ac:dyDescent="0.3">
      <c r="A1032" s="5"/>
      <c r="B1032" s="19"/>
      <c r="C1032" s="198"/>
      <c r="D1032" s="19"/>
      <c r="F1032" s="19"/>
      <c r="G1032" s="19"/>
    </row>
    <row r="1033" spans="1:7" ht="15.9" customHeight="1" x14ac:dyDescent="0.3">
      <c r="A1033" s="5"/>
      <c r="B1033" s="19"/>
      <c r="C1033" s="198"/>
      <c r="D1033" s="19"/>
      <c r="F1033" s="19"/>
      <c r="G1033" s="19"/>
    </row>
    <row r="1034" spans="1:7" ht="15.9" customHeight="1" x14ac:dyDescent="0.3">
      <c r="A1034" s="5"/>
      <c r="B1034" s="19"/>
      <c r="C1034" s="198"/>
      <c r="D1034" s="19"/>
      <c r="F1034" s="19"/>
      <c r="G1034" s="19"/>
    </row>
    <row r="1035" spans="1:7" ht="15.9" customHeight="1" x14ac:dyDescent="0.3">
      <c r="A1035" s="5"/>
      <c r="B1035" s="19"/>
      <c r="C1035" s="198"/>
      <c r="D1035" s="19"/>
      <c r="F1035" s="19"/>
      <c r="G1035" s="19"/>
    </row>
    <row r="1036" spans="1:7" ht="15.9" customHeight="1" x14ac:dyDescent="0.3">
      <c r="A1036" s="5"/>
      <c r="B1036" s="19"/>
      <c r="C1036" s="198"/>
      <c r="D1036" s="19"/>
      <c r="F1036" s="19"/>
      <c r="G1036" s="19"/>
    </row>
    <row r="1037" spans="1:7" ht="15.9" customHeight="1" x14ac:dyDescent="0.3">
      <c r="A1037" s="5"/>
      <c r="B1037" s="19"/>
      <c r="C1037" s="198"/>
      <c r="D1037" s="19"/>
      <c r="F1037" s="19"/>
      <c r="G1037" s="19"/>
    </row>
    <row r="1038" spans="1:7" ht="15.9" customHeight="1" x14ac:dyDescent="0.3">
      <c r="A1038" s="5"/>
      <c r="B1038" s="19"/>
      <c r="C1038" s="198"/>
      <c r="D1038" s="19"/>
      <c r="F1038" s="19"/>
      <c r="G1038" s="19"/>
    </row>
    <row r="1039" spans="1:7" ht="15.9" customHeight="1" x14ac:dyDescent="0.3">
      <c r="A1039" s="5"/>
      <c r="B1039" s="19"/>
      <c r="C1039" s="198"/>
      <c r="D1039" s="19"/>
      <c r="F1039" s="19"/>
      <c r="G1039" s="19"/>
    </row>
    <row r="1040" spans="1:7" ht="15.9" customHeight="1" x14ac:dyDescent="0.3">
      <c r="A1040" s="5"/>
      <c r="B1040" s="19"/>
      <c r="C1040" s="198"/>
      <c r="D1040" s="19"/>
      <c r="F1040" s="19"/>
      <c r="G1040" s="19"/>
    </row>
    <row r="1041" spans="1:7" ht="15.9" customHeight="1" x14ac:dyDescent="0.3">
      <c r="A1041" s="5"/>
      <c r="B1041" s="19"/>
      <c r="C1041" s="198"/>
      <c r="D1041" s="19"/>
      <c r="F1041" s="19"/>
      <c r="G1041" s="19"/>
    </row>
    <row r="1042" spans="1:7" ht="15.9" customHeight="1" x14ac:dyDescent="0.3">
      <c r="A1042" s="5"/>
      <c r="B1042" s="19"/>
      <c r="C1042" s="198"/>
      <c r="D1042" s="19"/>
      <c r="F1042" s="19"/>
      <c r="G1042" s="19"/>
    </row>
    <row r="1043" spans="1:7" ht="15.9" customHeight="1" x14ac:dyDescent="0.3">
      <c r="A1043" s="5"/>
      <c r="B1043" s="19"/>
      <c r="C1043" s="198"/>
      <c r="D1043" s="19"/>
      <c r="F1043" s="19"/>
      <c r="G1043" s="19"/>
    </row>
    <row r="1044" spans="1:7" ht="15.9" customHeight="1" x14ac:dyDescent="0.3">
      <c r="A1044" s="5"/>
      <c r="B1044" s="19"/>
      <c r="C1044" s="198"/>
      <c r="D1044" s="19"/>
      <c r="F1044" s="19"/>
      <c r="G1044" s="19"/>
    </row>
    <row r="1045" spans="1:7" ht="15.9" customHeight="1" x14ac:dyDescent="0.3">
      <c r="A1045" s="5"/>
      <c r="B1045" s="19"/>
      <c r="C1045" s="198"/>
      <c r="D1045" s="19"/>
      <c r="F1045" s="19"/>
      <c r="G1045" s="19"/>
    </row>
    <row r="1046" spans="1:7" ht="15.9" customHeight="1" x14ac:dyDescent="0.3">
      <c r="A1046" s="5"/>
      <c r="B1046" s="19"/>
      <c r="C1046" s="198"/>
      <c r="D1046" s="19"/>
      <c r="F1046" s="19"/>
      <c r="G1046" s="19"/>
    </row>
    <row r="1047" spans="1:7" ht="15.9" customHeight="1" x14ac:dyDescent="0.3">
      <c r="A1047" s="5"/>
      <c r="B1047" s="19"/>
      <c r="C1047" s="198"/>
      <c r="D1047" s="19"/>
      <c r="F1047" s="19"/>
      <c r="G1047" s="19"/>
    </row>
    <row r="1048" spans="1:7" ht="15.9" customHeight="1" x14ac:dyDescent="0.3">
      <c r="A1048" s="5"/>
      <c r="B1048" s="19"/>
      <c r="C1048" s="198"/>
      <c r="D1048" s="19"/>
      <c r="F1048" s="19"/>
      <c r="G1048" s="19"/>
    </row>
    <row r="1049" spans="1:7" ht="15.9" customHeight="1" x14ac:dyDescent="0.3">
      <c r="A1049" s="5"/>
      <c r="B1049" s="19"/>
      <c r="C1049" s="198"/>
      <c r="D1049" s="19"/>
      <c r="F1049" s="19"/>
      <c r="G1049" s="19"/>
    </row>
    <row r="1050" spans="1:7" ht="15.9" customHeight="1" x14ac:dyDescent="0.3">
      <c r="A1050" s="5"/>
      <c r="B1050" s="19"/>
      <c r="C1050" s="198"/>
      <c r="D1050" s="19"/>
      <c r="F1050" s="19"/>
      <c r="G1050" s="19"/>
    </row>
    <row r="1051" spans="1:7" ht="15.9" customHeight="1" x14ac:dyDescent="0.3">
      <c r="A1051" s="5"/>
      <c r="B1051" s="19"/>
      <c r="C1051" s="198"/>
      <c r="D1051" s="19"/>
      <c r="F1051" s="19"/>
      <c r="G1051" s="19"/>
    </row>
    <row r="1052" spans="1:7" ht="15.9" customHeight="1" x14ac:dyDescent="0.3">
      <c r="A1052" s="5"/>
      <c r="B1052" s="19"/>
      <c r="C1052" s="198"/>
      <c r="D1052" s="19"/>
      <c r="F1052" s="19"/>
      <c r="G1052" s="19"/>
    </row>
    <row r="1053" spans="1:7" ht="15.9" customHeight="1" x14ac:dyDescent="0.3">
      <c r="A1053" s="5"/>
      <c r="B1053" s="19"/>
      <c r="C1053" s="198"/>
      <c r="D1053" s="19"/>
      <c r="F1053" s="19"/>
      <c r="G1053" s="19"/>
    </row>
    <row r="1054" spans="1:7" ht="15.9" customHeight="1" x14ac:dyDescent="0.3">
      <c r="A1054" s="5"/>
      <c r="B1054" s="19"/>
      <c r="C1054" s="198"/>
      <c r="D1054" s="19"/>
      <c r="F1054" s="19"/>
      <c r="G1054" s="19"/>
    </row>
    <row r="1055" spans="1:7" ht="15.9" customHeight="1" x14ac:dyDescent="0.3">
      <c r="A1055" s="5"/>
      <c r="B1055" s="19"/>
      <c r="C1055" s="198"/>
      <c r="D1055" s="19"/>
      <c r="F1055" s="19"/>
      <c r="G1055" s="19"/>
    </row>
    <row r="1056" spans="1:7" ht="15.9" customHeight="1" x14ac:dyDescent="0.3">
      <c r="A1056" s="5"/>
      <c r="B1056" s="19"/>
      <c r="C1056" s="198"/>
      <c r="D1056" s="19"/>
      <c r="F1056" s="19"/>
      <c r="G1056" s="19"/>
    </row>
    <row r="1057" spans="1:7" ht="15.9" customHeight="1" x14ac:dyDescent="0.3">
      <c r="A1057" s="5"/>
      <c r="B1057" s="19"/>
      <c r="C1057" s="198"/>
      <c r="D1057" s="19"/>
      <c r="F1057" s="19"/>
      <c r="G1057" s="19"/>
    </row>
    <row r="1058" spans="1:7" ht="15.9" customHeight="1" x14ac:dyDescent="0.3">
      <c r="A1058" s="5"/>
      <c r="B1058" s="19"/>
      <c r="C1058" s="198"/>
      <c r="D1058" s="19"/>
      <c r="F1058" s="19"/>
      <c r="G1058" s="19"/>
    </row>
    <row r="1059" spans="1:7" ht="15.9" customHeight="1" x14ac:dyDescent="0.3">
      <c r="A1059" s="5"/>
      <c r="B1059" s="19"/>
      <c r="C1059" s="198"/>
      <c r="D1059" s="19"/>
      <c r="F1059" s="19"/>
      <c r="G1059" s="19"/>
    </row>
    <row r="1060" spans="1:7" ht="15.9" customHeight="1" x14ac:dyDescent="0.3">
      <c r="A1060" s="5"/>
      <c r="B1060" s="19"/>
      <c r="C1060" s="198"/>
      <c r="D1060" s="19"/>
      <c r="F1060" s="19"/>
      <c r="G1060" s="19"/>
    </row>
    <row r="1061" spans="1:7" ht="15.9" customHeight="1" x14ac:dyDescent="0.3">
      <c r="A1061" s="5"/>
      <c r="B1061" s="19"/>
      <c r="C1061" s="198"/>
      <c r="D1061" s="19"/>
      <c r="F1061" s="19"/>
      <c r="G1061" s="19"/>
    </row>
    <row r="1062" spans="1:7" ht="15.9" customHeight="1" x14ac:dyDescent="0.3">
      <c r="A1062" s="5"/>
      <c r="B1062" s="19"/>
      <c r="C1062" s="198"/>
      <c r="D1062" s="19"/>
      <c r="F1062" s="19"/>
      <c r="G1062" s="19"/>
    </row>
    <row r="1063" spans="1:7" ht="15.9" customHeight="1" x14ac:dyDescent="0.3">
      <c r="A1063" s="5"/>
      <c r="B1063" s="19"/>
      <c r="C1063" s="198"/>
      <c r="D1063" s="19"/>
      <c r="F1063" s="19"/>
      <c r="G1063" s="19"/>
    </row>
    <row r="1064" spans="1:7" ht="15.9" customHeight="1" x14ac:dyDescent="0.3">
      <c r="A1064" s="5"/>
      <c r="B1064" s="5"/>
      <c r="E1064" s="19"/>
      <c r="G1064" s="185"/>
    </row>
    <row r="1065" spans="1:7" ht="15.9" customHeight="1" x14ac:dyDescent="0.3">
      <c r="A1065" s="5"/>
      <c r="B1065" s="5"/>
      <c r="E1065" s="19"/>
      <c r="G1065" s="185"/>
    </row>
    <row r="1066" spans="1:7" ht="15.9" customHeight="1" x14ac:dyDescent="0.3">
      <c r="A1066" s="5"/>
      <c r="B1066" s="5"/>
      <c r="E1066" s="19"/>
      <c r="G1066" s="185"/>
    </row>
    <row r="1067" spans="1:7" ht="15.9" customHeight="1" x14ac:dyDescent="0.3">
      <c r="A1067" s="5"/>
      <c r="B1067" s="5"/>
      <c r="E1067" s="19"/>
      <c r="G1067" s="185"/>
    </row>
    <row r="1068" spans="1:7" ht="15.9" customHeight="1" x14ac:dyDescent="0.3">
      <c r="A1068" s="5"/>
      <c r="B1068" s="5"/>
      <c r="E1068" s="19"/>
      <c r="G1068" s="185"/>
    </row>
    <row r="1069" spans="1:7" ht="15.9" customHeight="1" x14ac:dyDescent="0.3">
      <c r="A1069" s="5"/>
      <c r="B1069" s="5"/>
      <c r="E1069" s="19"/>
      <c r="G1069" s="185"/>
    </row>
    <row r="1070" spans="1:7" ht="15.9" customHeight="1" x14ac:dyDescent="0.3">
      <c r="A1070" s="5"/>
      <c r="B1070" s="5"/>
      <c r="E1070" s="19"/>
      <c r="G1070" s="185"/>
    </row>
    <row r="1071" spans="1:7" ht="15.9" customHeight="1" x14ac:dyDescent="0.3">
      <c r="A1071" s="5"/>
      <c r="B1071" s="5"/>
      <c r="E1071" s="19"/>
      <c r="G1071" s="185"/>
    </row>
    <row r="1072" spans="1:7" ht="15.9" customHeight="1" x14ac:dyDescent="0.3">
      <c r="A1072" s="5"/>
      <c r="B1072" s="5"/>
      <c r="E1072" s="19"/>
      <c r="G1072" s="185"/>
    </row>
    <row r="1073" spans="1:7" ht="15.9" customHeight="1" x14ac:dyDescent="0.3">
      <c r="A1073" s="5"/>
      <c r="B1073" s="5"/>
      <c r="E1073" s="19"/>
      <c r="G1073" s="185"/>
    </row>
    <row r="1074" spans="1:7" ht="15.9" customHeight="1" x14ac:dyDescent="0.3">
      <c r="A1074" s="5"/>
      <c r="B1074" s="5"/>
      <c r="E1074" s="19"/>
      <c r="G1074" s="185"/>
    </row>
    <row r="1075" spans="1:7" ht="15.9" customHeight="1" x14ac:dyDescent="0.3">
      <c r="A1075" s="221"/>
      <c r="B1075" s="221"/>
      <c r="C1075" s="222"/>
      <c r="D1075" s="221"/>
      <c r="E1075" s="221"/>
      <c r="F1075" s="223"/>
      <c r="G1075" s="190"/>
    </row>
    <row r="1076" spans="1:7" ht="15.9" customHeight="1" x14ac:dyDescent="0.3">
      <c r="A1076" s="229"/>
      <c r="B1076" s="229"/>
      <c r="C1076" s="230"/>
      <c r="D1076" s="229"/>
      <c r="E1076" s="229"/>
      <c r="F1076" s="231"/>
      <c r="G1076" s="190"/>
    </row>
    <row r="1077" spans="1:7" ht="15.9" customHeight="1" x14ac:dyDescent="0.3">
      <c r="A1077" s="229"/>
      <c r="B1077" s="229"/>
      <c r="C1077" s="230"/>
      <c r="D1077" s="229"/>
      <c r="E1077" s="229"/>
      <c r="F1077" s="231"/>
      <c r="G1077" s="190"/>
    </row>
    <row r="1078" spans="1:7" ht="15.9" customHeight="1" x14ac:dyDescent="0.3">
      <c r="A1078" s="229"/>
      <c r="B1078" s="229"/>
      <c r="C1078" s="230"/>
      <c r="D1078" s="229"/>
      <c r="E1078" s="229"/>
      <c r="F1078" s="231"/>
      <c r="G1078" s="190"/>
    </row>
    <row r="1079" spans="1:7" ht="15.9" customHeight="1" x14ac:dyDescent="0.3">
      <c r="A1079" s="229"/>
      <c r="B1079" s="229"/>
      <c r="C1079" s="230"/>
      <c r="D1079" s="229"/>
      <c r="E1079" s="229"/>
      <c r="F1079" s="231"/>
      <c r="G1079" s="190"/>
    </row>
    <row r="1080" spans="1:7" ht="15.9" customHeight="1" x14ac:dyDescent="0.3">
      <c r="A1080" s="229"/>
      <c r="B1080" s="229"/>
      <c r="C1080" s="230"/>
      <c r="D1080" s="229"/>
      <c r="E1080" s="229"/>
      <c r="F1080" s="231"/>
      <c r="G1080" s="190"/>
    </row>
    <row r="1081" spans="1:7" ht="15.9" customHeight="1" x14ac:dyDescent="0.3">
      <c r="A1081" s="229"/>
      <c r="B1081" s="229"/>
      <c r="C1081" s="230"/>
      <c r="D1081" s="229"/>
      <c r="E1081" s="229"/>
      <c r="F1081" s="231"/>
      <c r="G1081" s="190"/>
    </row>
    <row r="1082" spans="1:7" ht="15.9" customHeight="1" x14ac:dyDescent="0.3">
      <c r="A1082" s="229"/>
      <c r="B1082" s="229"/>
      <c r="C1082" s="230"/>
      <c r="D1082" s="229"/>
      <c r="E1082" s="229"/>
      <c r="F1082" s="231"/>
      <c r="G1082" s="190"/>
    </row>
    <row r="1083" spans="1:7" ht="15.9" customHeight="1" x14ac:dyDescent="0.3">
      <c r="A1083" s="229"/>
      <c r="B1083" s="229"/>
      <c r="C1083" s="230"/>
      <c r="D1083" s="229"/>
      <c r="E1083" s="229"/>
      <c r="F1083" s="231"/>
      <c r="G1083" s="190"/>
    </row>
    <row r="1084" spans="1:7" ht="15.9" customHeight="1" x14ac:dyDescent="0.3">
      <c r="A1084" s="229"/>
      <c r="B1084" s="229"/>
      <c r="C1084" s="230"/>
      <c r="D1084" s="229"/>
      <c r="E1084" s="229"/>
      <c r="F1084" s="231"/>
      <c r="G1084" s="190"/>
    </row>
    <row r="1085" spans="1:7" ht="15.9" customHeight="1" x14ac:dyDescent="0.3">
      <c r="A1085" s="229"/>
      <c r="B1085" s="229"/>
      <c r="C1085" s="230"/>
      <c r="D1085" s="229"/>
      <c r="E1085" s="229"/>
      <c r="F1085" s="231"/>
      <c r="G1085" s="190"/>
    </row>
    <row r="1086" spans="1:7" ht="15.9" customHeight="1" x14ac:dyDescent="0.3">
      <c r="A1086" s="229"/>
      <c r="B1086" s="229"/>
      <c r="C1086" s="230"/>
      <c r="D1086" s="229"/>
      <c r="E1086" s="229"/>
      <c r="F1086" s="231"/>
      <c r="G1086" s="190"/>
    </row>
    <row r="1087" spans="1:7" ht="15.9" customHeight="1" x14ac:dyDescent="0.3">
      <c r="A1087" s="229"/>
      <c r="B1087" s="229"/>
      <c r="C1087" s="230"/>
      <c r="D1087" s="229"/>
      <c r="E1087" s="229"/>
      <c r="F1087" s="231"/>
      <c r="G1087" s="190"/>
    </row>
    <row r="1088" spans="1:7" ht="15.9" customHeight="1" x14ac:dyDescent="0.3">
      <c r="A1088" s="229"/>
      <c r="B1088" s="229"/>
      <c r="C1088" s="230"/>
      <c r="D1088" s="229"/>
      <c r="E1088" s="229"/>
      <c r="F1088" s="231"/>
      <c r="G1088" s="190"/>
    </row>
    <row r="1089" spans="1:7" ht="15.9" customHeight="1" x14ac:dyDescent="0.3">
      <c r="A1089" s="236"/>
      <c r="B1089" s="236"/>
      <c r="C1089" s="237"/>
      <c r="D1089" s="236"/>
      <c r="E1089" s="236"/>
      <c r="F1089" s="238"/>
      <c r="G1089" s="190"/>
    </row>
    <row r="1090" spans="1:7" ht="15.9" customHeight="1" x14ac:dyDescent="0.3">
      <c r="A1090" s="5"/>
      <c r="B1090" s="5"/>
      <c r="G1090" s="185"/>
    </row>
    <row r="1091" spans="1:7" ht="15.9" customHeight="1" x14ac:dyDescent="0.3">
      <c r="A1091" s="5"/>
      <c r="B1091" s="5"/>
      <c r="G1091" s="185"/>
    </row>
    <row r="1092" spans="1:7" ht="15.9" customHeight="1" x14ac:dyDescent="0.3">
      <c r="A1092" s="5"/>
      <c r="B1092" s="5"/>
      <c r="G1092" s="185"/>
    </row>
    <row r="1093" spans="1:7" ht="15.9" customHeight="1" x14ac:dyDescent="0.25">
      <c r="A1093" s="5"/>
      <c r="B1093" s="5"/>
      <c r="G1093" s="201"/>
    </row>
    <row r="1094" spans="1:7" ht="15.9" customHeight="1" x14ac:dyDescent="0.25">
      <c r="A1094" s="5"/>
      <c r="B1094" s="5"/>
      <c r="G1094" s="201"/>
    </row>
    <row r="1095" spans="1:7" ht="15.9" customHeight="1" x14ac:dyDescent="0.25">
      <c r="A1095" s="5"/>
      <c r="B1095" s="5"/>
      <c r="G1095" s="201"/>
    </row>
    <row r="1096" spans="1:7" ht="15.9" customHeight="1" x14ac:dyDescent="0.3">
      <c r="A1096" s="5"/>
      <c r="B1096" s="5"/>
    </row>
    <row r="1097" spans="1:7" ht="15.9" customHeight="1" x14ac:dyDescent="0.3">
      <c r="A1097" s="5"/>
      <c r="B1097" s="5"/>
    </row>
    <row r="1098" spans="1:7" ht="15.9" customHeight="1" x14ac:dyDescent="0.3">
      <c r="A1098" s="5"/>
      <c r="B1098" s="19"/>
      <c r="C1098" s="198"/>
      <c r="D1098" s="19"/>
      <c r="E1098" s="19"/>
      <c r="F1098" s="19"/>
      <c r="G1098" s="19"/>
    </row>
    <row r="1099" spans="1:7" ht="15.9" customHeight="1" x14ac:dyDescent="0.3">
      <c r="A1099" s="5"/>
      <c r="B1099" s="19"/>
      <c r="C1099" s="198"/>
      <c r="D1099" s="19"/>
      <c r="E1099" s="19"/>
      <c r="F1099" s="19"/>
      <c r="G1099" s="19"/>
    </row>
    <row r="1100" spans="1:7" ht="15.9" customHeight="1" x14ac:dyDescent="0.3">
      <c r="A1100" s="5"/>
      <c r="B1100" s="19"/>
      <c r="C1100" s="198"/>
      <c r="D1100" s="19"/>
      <c r="E1100" s="19"/>
      <c r="F1100" s="19"/>
      <c r="G1100" s="19"/>
    </row>
    <row r="1101" spans="1:7" ht="15.9" customHeight="1" x14ac:dyDescent="0.3">
      <c r="A1101" s="5"/>
      <c r="B1101" s="19"/>
      <c r="C1101" s="198"/>
      <c r="D1101" s="19"/>
      <c r="E1101" s="19"/>
      <c r="F1101" s="19"/>
      <c r="G1101" s="19"/>
    </row>
    <row r="1102" spans="1:7" ht="15.9" customHeight="1" x14ac:dyDescent="0.3">
      <c r="A1102" s="5"/>
      <c r="B1102" s="19"/>
      <c r="C1102" s="198"/>
      <c r="D1102" s="19"/>
      <c r="E1102" s="19"/>
      <c r="F1102" s="19"/>
      <c r="G1102" s="19"/>
    </row>
    <row r="1103" spans="1:7" ht="15.9" customHeight="1" x14ac:dyDescent="0.3">
      <c r="A1103" s="5"/>
      <c r="B1103" s="19"/>
      <c r="C1103" s="198"/>
      <c r="D1103" s="19"/>
      <c r="E1103" s="19"/>
      <c r="F1103" s="19"/>
      <c r="G1103" s="19"/>
    </row>
    <row r="1104" spans="1:7" ht="15.9" customHeight="1" x14ac:dyDescent="0.3">
      <c r="A1104" s="5"/>
      <c r="B1104" s="19"/>
      <c r="C1104" s="198"/>
      <c r="D1104" s="19"/>
      <c r="E1104" s="19"/>
      <c r="F1104" s="19"/>
      <c r="G1104" s="19"/>
    </row>
    <row r="1105" spans="1:7" ht="15.9" customHeight="1" x14ac:dyDescent="0.3">
      <c r="A1105" s="5"/>
      <c r="B1105" s="19"/>
      <c r="C1105" s="198"/>
      <c r="D1105" s="19"/>
      <c r="E1105" s="19"/>
      <c r="F1105" s="19"/>
      <c r="G1105" s="19"/>
    </row>
    <row r="1106" spans="1:7" ht="15.9" customHeight="1" x14ac:dyDescent="0.3">
      <c r="A1106" s="5"/>
      <c r="B1106" s="19"/>
      <c r="C1106" s="198"/>
      <c r="D1106" s="19"/>
      <c r="E1106" s="19"/>
      <c r="F1106" s="19"/>
      <c r="G1106" s="19"/>
    </row>
    <row r="1107" spans="1:7" ht="15.9" customHeight="1" x14ac:dyDescent="0.3">
      <c r="A1107" s="5"/>
      <c r="B1107" s="19"/>
      <c r="C1107" s="198"/>
      <c r="D1107" s="19"/>
      <c r="E1107" s="19"/>
      <c r="F1107" s="19"/>
      <c r="G1107" s="19"/>
    </row>
    <row r="1108" spans="1:7" ht="15.9" customHeight="1" x14ac:dyDescent="0.3">
      <c r="A1108" s="5"/>
      <c r="B1108" s="19"/>
      <c r="C1108" s="198"/>
      <c r="D1108" s="19"/>
      <c r="E1108" s="19"/>
      <c r="F1108" s="19"/>
      <c r="G1108" s="19"/>
    </row>
    <row r="1109" spans="1:7" ht="15.9" customHeight="1" x14ac:dyDescent="0.3">
      <c r="A1109" s="5"/>
      <c r="B1109" s="19"/>
      <c r="C1109" s="198"/>
      <c r="D1109" s="19"/>
      <c r="E1109" s="19"/>
      <c r="F1109" s="19"/>
      <c r="G1109" s="19"/>
    </row>
    <row r="1110" spans="1:7" ht="15.9" customHeight="1" x14ac:dyDescent="0.3">
      <c r="A1110" s="5"/>
      <c r="B1110" s="19"/>
      <c r="C1110" s="198"/>
      <c r="D1110" s="19"/>
      <c r="E1110" s="19"/>
      <c r="F1110" s="19"/>
      <c r="G1110" s="19"/>
    </row>
    <row r="1111" spans="1:7" ht="15.9" customHeight="1" x14ac:dyDescent="0.3">
      <c r="A1111" s="5"/>
      <c r="B1111" s="19"/>
      <c r="C1111" s="198"/>
      <c r="D1111" s="19"/>
      <c r="E1111" s="19"/>
      <c r="F1111" s="19"/>
      <c r="G1111" s="19"/>
    </row>
    <row r="1112" spans="1:7" ht="15.9" customHeight="1" x14ac:dyDescent="0.3">
      <c r="A1112" s="5"/>
      <c r="B1112" s="19"/>
      <c r="C1112" s="198"/>
      <c r="D1112" s="19"/>
      <c r="E1112" s="19"/>
      <c r="F1112" s="19"/>
      <c r="G1112" s="19"/>
    </row>
    <row r="1113" spans="1:7" ht="15.9" customHeight="1" x14ac:dyDescent="0.3">
      <c r="A1113" s="5"/>
      <c r="B1113" s="19"/>
      <c r="C1113" s="198"/>
      <c r="D1113" s="19"/>
      <c r="E1113" s="19"/>
      <c r="F1113" s="19"/>
      <c r="G1113" s="19"/>
    </row>
    <row r="1114" spans="1:7" ht="15.9" customHeight="1" x14ac:dyDescent="0.3">
      <c r="A1114" s="5"/>
      <c r="B1114" s="19"/>
      <c r="C1114" s="198"/>
      <c r="D1114" s="19"/>
      <c r="E1114" s="19"/>
      <c r="F1114" s="19"/>
      <c r="G1114" s="19"/>
    </row>
    <row r="1115" spans="1:7" ht="15.9" customHeight="1" x14ac:dyDescent="0.3">
      <c r="A1115" s="5"/>
      <c r="B1115" s="19"/>
      <c r="C1115" s="198"/>
      <c r="D1115" s="19"/>
      <c r="E1115" s="19"/>
      <c r="F1115" s="19"/>
      <c r="G1115" s="19"/>
    </row>
    <row r="1116" spans="1:7" ht="15.9" customHeight="1" x14ac:dyDescent="0.3">
      <c r="A1116" s="5"/>
      <c r="B1116" s="19"/>
      <c r="C1116" s="198"/>
      <c r="D1116" s="19"/>
      <c r="E1116" s="19"/>
      <c r="F1116" s="19"/>
      <c r="G1116" s="19"/>
    </row>
    <row r="1117" spans="1:7" ht="15.9" customHeight="1" x14ac:dyDescent="0.3">
      <c r="A1117" s="5"/>
      <c r="B1117" s="19"/>
      <c r="C1117" s="198"/>
      <c r="D1117" s="19"/>
      <c r="E1117" s="19"/>
      <c r="F1117" s="19"/>
      <c r="G1117" s="19"/>
    </row>
    <row r="1118" spans="1:7" ht="15.9" customHeight="1" x14ac:dyDescent="0.3">
      <c r="A1118" s="5"/>
      <c r="B1118" s="19"/>
      <c r="C1118" s="198"/>
      <c r="D1118" s="19"/>
      <c r="E1118" s="19"/>
      <c r="F1118" s="19"/>
      <c r="G1118" s="19"/>
    </row>
    <row r="1119" spans="1:7" ht="15.9" customHeight="1" x14ac:dyDescent="0.3">
      <c r="A1119" s="5"/>
      <c r="B1119" s="19"/>
      <c r="C1119" s="198"/>
      <c r="D1119" s="19"/>
      <c r="E1119" s="19"/>
      <c r="F1119" s="19"/>
      <c r="G1119" s="19"/>
    </row>
    <row r="1120" spans="1:7" ht="15.9" customHeight="1" x14ac:dyDescent="0.3">
      <c r="A1120" s="5"/>
      <c r="B1120" s="5"/>
      <c r="E1120" s="19"/>
      <c r="G1120" s="185"/>
    </row>
    <row r="1121" spans="1:7" ht="15.9" customHeight="1" x14ac:dyDescent="0.3">
      <c r="A1121" s="5"/>
      <c r="B1121" s="5"/>
      <c r="E1121" s="19"/>
      <c r="G1121" s="185"/>
    </row>
    <row r="1122" spans="1:7" ht="15.9" customHeight="1" x14ac:dyDescent="0.3">
      <c r="A1122" s="5"/>
      <c r="B1122" s="5"/>
      <c r="E1122" s="19"/>
      <c r="G1122" s="185"/>
    </row>
    <row r="1123" spans="1:7" ht="15.9" customHeight="1" x14ac:dyDescent="0.3">
      <c r="A1123" s="5"/>
      <c r="B1123" s="5"/>
      <c r="E1123" s="19"/>
      <c r="G1123" s="185"/>
    </row>
    <row r="1124" spans="1:7" ht="15.9" customHeight="1" x14ac:dyDescent="0.3">
      <c r="A1124" s="5"/>
      <c r="B1124" s="5"/>
      <c r="E1124" s="19"/>
      <c r="G1124" s="185"/>
    </row>
    <row r="1125" spans="1:7" ht="15.9" customHeight="1" x14ac:dyDescent="0.3">
      <c r="A1125" s="5"/>
      <c r="B1125" s="5"/>
      <c r="E1125" s="19"/>
      <c r="G1125" s="185"/>
    </row>
    <row r="1126" spans="1:7" ht="15.9" customHeight="1" x14ac:dyDescent="0.3">
      <c r="A1126" s="19"/>
      <c r="B1126" s="19"/>
      <c r="C1126" s="198"/>
      <c r="D1126" s="19"/>
      <c r="E1126" s="19"/>
      <c r="F1126" s="1139"/>
    </row>
    <row r="1127" spans="1:7" ht="15.9" customHeight="1" x14ac:dyDescent="0.3">
      <c r="A1127" s="19"/>
      <c r="B1127" s="19"/>
      <c r="C1127" s="198"/>
      <c r="D1127" s="19"/>
      <c r="E1127" s="19"/>
      <c r="F1127" s="1139"/>
    </row>
    <row r="1128" spans="1:7" ht="15.9" customHeight="1" x14ac:dyDescent="0.3">
      <c r="A1128" s="19"/>
      <c r="B1128" s="19"/>
      <c r="C1128" s="198"/>
      <c r="D1128" s="19"/>
      <c r="E1128" s="19"/>
      <c r="F1128" s="1139"/>
    </row>
    <row r="1129" spans="1:7" ht="15.9" customHeight="1" x14ac:dyDescent="0.3">
      <c r="A1129" s="19"/>
      <c r="B1129" s="19"/>
      <c r="C1129" s="198"/>
      <c r="D1129" s="19"/>
      <c r="E1129" s="19"/>
      <c r="F1129" s="1139"/>
      <c r="G1129" s="19"/>
    </row>
    <row r="1130" spans="1:7" ht="15.9" customHeight="1" x14ac:dyDescent="0.3">
      <c r="A1130" s="19"/>
      <c r="B1130" s="19"/>
      <c r="C1130" s="198"/>
      <c r="D1130" s="19"/>
      <c r="E1130" s="19"/>
      <c r="F1130" s="1139"/>
    </row>
    <row r="1131" spans="1:7" ht="15.9" customHeight="1" x14ac:dyDescent="0.3">
      <c r="A1131" s="19"/>
      <c r="B1131" s="19"/>
      <c r="C1131" s="198"/>
      <c r="D1131" s="19"/>
      <c r="E1131" s="19"/>
      <c r="F1131" s="1139"/>
    </row>
    <row r="1132" spans="1:7" ht="15.9" customHeight="1" x14ac:dyDescent="0.3">
      <c r="A1132" s="19"/>
      <c r="B1132" s="19"/>
      <c r="C1132" s="198"/>
      <c r="D1132" s="19"/>
      <c r="E1132" s="19"/>
      <c r="F1132" s="1139"/>
    </row>
    <row r="1133" spans="1:7" ht="15.9" customHeight="1" x14ac:dyDescent="0.3">
      <c r="A1133" s="19"/>
      <c r="B1133" s="19"/>
      <c r="C1133" s="198"/>
      <c r="D1133" s="19"/>
      <c r="E1133" s="19"/>
      <c r="F1133" s="1139"/>
    </row>
    <row r="1134" spans="1:7" ht="15.9" customHeight="1" x14ac:dyDescent="0.3">
      <c r="A1134" s="19"/>
      <c r="B1134" s="19"/>
      <c r="C1134" s="198"/>
      <c r="D1134" s="19"/>
      <c r="E1134" s="19"/>
      <c r="F1134" s="1139"/>
    </row>
    <row r="1135" spans="1:7" ht="15.9" customHeight="1" x14ac:dyDescent="0.3">
      <c r="A1135" s="19"/>
      <c r="B1135" s="19"/>
      <c r="C1135" s="198"/>
      <c r="D1135" s="19"/>
      <c r="E1135" s="19"/>
      <c r="F1135" s="1139"/>
    </row>
    <row r="1136" spans="1:7" ht="15.9" customHeight="1" x14ac:dyDescent="0.3">
      <c r="A1136" s="19"/>
      <c r="B1136" s="19"/>
      <c r="C1136" s="198"/>
      <c r="D1136" s="19"/>
      <c r="E1136" s="19"/>
      <c r="F1136" s="1139"/>
    </row>
    <row r="1137" spans="1:7" ht="15.9" customHeight="1" x14ac:dyDescent="0.3">
      <c r="A1137" s="19"/>
      <c r="B1137" s="19"/>
      <c r="C1137" s="198"/>
      <c r="D1137" s="19"/>
      <c r="E1137" s="19"/>
      <c r="F1137" s="1139"/>
    </row>
    <row r="1138" spans="1:7" ht="15.9" customHeight="1" x14ac:dyDescent="0.3">
      <c r="A1138" s="19"/>
      <c r="B1138" s="19"/>
      <c r="C1138" s="198"/>
      <c r="D1138" s="19"/>
      <c r="E1138" s="19"/>
      <c r="F1138" s="1139"/>
      <c r="G1138" s="19"/>
    </row>
    <row r="1139" spans="1:7" ht="15.9" customHeight="1" x14ac:dyDescent="0.3">
      <c r="A1139" s="19"/>
      <c r="B1139" s="19"/>
      <c r="C1139" s="198"/>
      <c r="D1139" s="19"/>
      <c r="E1139" s="19"/>
      <c r="F1139" s="1139"/>
    </row>
    <row r="1140" spans="1:7" ht="15.9" customHeight="1" x14ac:dyDescent="0.3">
      <c r="A1140" s="19"/>
      <c r="B1140" s="19"/>
      <c r="C1140" s="198"/>
      <c r="D1140" s="19"/>
      <c r="E1140" s="19"/>
      <c r="F1140" s="1139"/>
    </row>
    <row r="1141" spans="1:7" ht="15.9" customHeight="1" x14ac:dyDescent="0.3">
      <c r="A1141" s="19"/>
      <c r="B1141" s="19"/>
      <c r="C1141" s="198"/>
      <c r="D1141" s="19"/>
      <c r="E1141" s="19"/>
      <c r="F1141" s="1139"/>
    </row>
    <row r="1142" spans="1:7" ht="15.9" customHeight="1" x14ac:dyDescent="0.3">
      <c r="A1142" s="19"/>
      <c r="B1142" s="19"/>
      <c r="C1142" s="198"/>
      <c r="D1142" s="19"/>
      <c r="E1142" s="19"/>
      <c r="F1142" s="1139"/>
    </row>
    <row r="1143" spans="1:7" ht="15.9" customHeight="1" x14ac:dyDescent="0.3">
      <c r="A1143" s="19"/>
      <c r="B1143" s="19"/>
      <c r="C1143" s="198"/>
      <c r="D1143" s="19"/>
      <c r="E1143" s="19"/>
      <c r="F1143" s="1139"/>
    </row>
    <row r="1144" spans="1:7" ht="15.9" customHeight="1" x14ac:dyDescent="0.3">
      <c r="A1144" s="19"/>
      <c r="B1144" s="19"/>
      <c r="C1144" s="198"/>
      <c r="D1144" s="19"/>
      <c r="E1144" s="19"/>
      <c r="F1144" s="1139"/>
    </row>
    <row r="1145" spans="1:7" ht="15.9" customHeight="1" x14ac:dyDescent="0.3">
      <c r="A1145" s="19"/>
      <c r="B1145" s="19"/>
      <c r="C1145" s="198"/>
      <c r="D1145" s="19"/>
      <c r="E1145" s="19"/>
      <c r="F1145" s="1139"/>
    </row>
    <row r="1146" spans="1:7" ht="15.9" customHeight="1" x14ac:dyDescent="0.3">
      <c r="A1146" s="19"/>
      <c r="B1146" s="19"/>
      <c r="C1146" s="198"/>
      <c r="D1146" s="19"/>
      <c r="E1146" s="19"/>
      <c r="F1146" s="1139"/>
    </row>
    <row r="1147" spans="1:7" ht="15.9" customHeight="1" x14ac:dyDescent="0.3">
      <c r="A1147" s="19"/>
      <c r="B1147" s="19"/>
      <c r="C1147" s="198"/>
      <c r="D1147" s="19"/>
      <c r="E1147" s="19"/>
      <c r="F1147" s="1139"/>
    </row>
    <row r="1148" spans="1:7" ht="15.9" customHeight="1" x14ac:dyDescent="0.3">
      <c r="A1148" s="19"/>
      <c r="B1148" s="19"/>
      <c r="C1148" s="198"/>
      <c r="D1148" s="19"/>
      <c r="E1148" s="19"/>
      <c r="F1148" s="1139"/>
    </row>
    <row r="1149" spans="1:7" ht="15.9" customHeight="1" x14ac:dyDescent="0.3">
      <c r="A1149" s="19"/>
      <c r="B1149" s="19"/>
      <c r="C1149" s="198"/>
      <c r="D1149" s="19"/>
      <c r="E1149" s="19"/>
      <c r="F1149" s="1139"/>
    </row>
    <row r="1150" spans="1:7" ht="15.9" customHeight="1" x14ac:dyDescent="0.3">
      <c r="A1150" s="19"/>
      <c r="B1150" s="19"/>
      <c r="C1150" s="198"/>
      <c r="D1150" s="19"/>
      <c r="E1150" s="19"/>
      <c r="F1150" s="1139"/>
    </row>
    <row r="1151" spans="1:7" ht="15.9" customHeight="1" x14ac:dyDescent="0.3">
      <c r="A1151" s="19"/>
      <c r="B1151" s="19"/>
      <c r="C1151" s="198"/>
      <c r="D1151" s="19"/>
      <c r="E1151" s="19"/>
      <c r="F1151" s="1139"/>
    </row>
    <row r="1152" spans="1:7" ht="15.9" customHeight="1" x14ac:dyDescent="0.3">
      <c r="A1152" s="19"/>
      <c r="B1152" s="19"/>
      <c r="C1152" s="198"/>
      <c r="D1152" s="19"/>
      <c r="E1152" s="19"/>
      <c r="F1152" s="1139"/>
    </row>
    <row r="1153" spans="1:7" ht="15.9" customHeight="1" x14ac:dyDescent="0.3">
      <c r="A1153" s="19"/>
      <c r="B1153" s="19"/>
      <c r="C1153" s="198"/>
      <c r="D1153" s="19"/>
      <c r="E1153" s="19"/>
      <c r="F1153" s="1139"/>
    </row>
    <row r="1154" spans="1:7" ht="15.9" customHeight="1" x14ac:dyDescent="0.3">
      <c r="A1154" s="19"/>
      <c r="B1154" s="19"/>
      <c r="C1154" s="198"/>
      <c r="D1154" s="19"/>
      <c r="E1154" s="19"/>
      <c r="F1154" s="1139"/>
    </row>
    <row r="1155" spans="1:7" ht="15.9" customHeight="1" x14ac:dyDescent="0.3">
      <c r="A1155" s="19"/>
      <c r="B1155" s="19"/>
      <c r="C1155" s="198"/>
      <c r="D1155" s="19"/>
      <c r="E1155" s="19"/>
      <c r="F1155" s="1139"/>
    </row>
    <row r="1156" spans="1:7" ht="15.9" customHeight="1" x14ac:dyDescent="0.3">
      <c r="A1156" s="19"/>
      <c r="B1156" s="19"/>
      <c r="C1156" s="198"/>
      <c r="D1156" s="19"/>
      <c r="E1156" s="19"/>
      <c r="F1156" s="1139"/>
    </row>
    <row r="1157" spans="1:7" ht="15.9" customHeight="1" x14ac:dyDescent="0.3">
      <c r="A1157" s="19"/>
      <c r="B1157" s="19"/>
      <c r="C1157" s="198"/>
      <c r="D1157" s="19"/>
      <c r="E1157" s="19"/>
      <c r="F1157" s="1139"/>
    </row>
    <row r="1158" spans="1:7" ht="15.9" customHeight="1" x14ac:dyDescent="0.3">
      <c r="A1158" s="19"/>
      <c r="B1158" s="19"/>
      <c r="C1158" s="198"/>
      <c r="D1158" s="19"/>
      <c r="E1158" s="19"/>
      <c r="F1158" s="1139"/>
    </row>
    <row r="1159" spans="1:7" ht="15.9" customHeight="1" x14ac:dyDescent="0.3">
      <c r="A1159" s="19"/>
      <c r="B1159" s="19"/>
      <c r="C1159" s="198"/>
      <c r="D1159" s="19"/>
      <c r="E1159" s="19"/>
      <c r="F1159" s="1139"/>
    </row>
    <row r="1160" spans="1:7" ht="15.9" customHeight="1" x14ac:dyDescent="0.3">
      <c r="A1160" s="19"/>
      <c r="B1160" s="19"/>
      <c r="C1160" s="198"/>
      <c r="D1160" s="19"/>
      <c r="E1160" s="19"/>
      <c r="F1160" s="1139"/>
    </row>
    <row r="1161" spans="1:7" ht="15.9" customHeight="1" x14ac:dyDescent="0.3">
      <c r="A1161" s="19"/>
      <c r="B1161" s="19"/>
      <c r="C1161" s="198"/>
      <c r="D1161" s="19"/>
      <c r="E1161" s="19"/>
      <c r="F1161" s="19"/>
    </row>
    <row r="1162" spans="1:7" ht="15.9" customHeight="1" x14ac:dyDescent="0.3">
      <c r="A1162" s="19"/>
      <c r="B1162" s="19"/>
      <c r="C1162" s="198"/>
      <c r="D1162" s="19"/>
      <c r="E1162" s="19"/>
      <c r="F1162" s="19"/>
    </row>
    <row r="1163" spans="1:7" ht="15.9" customHeight="1" x14ac:dyDescent="0.3">
      <c r="A1163" s="19"/>
      <c r="B1163" s="19"/>
      <c r="C1163" s="198"/>
      <c r="D1163" s="19"/>
      <c r="E1163" s="19"/>
      <c r="F1163" s="19"/>
      <c r="G1163" s="158"/>
    </row>
    <row r="1164" spans="1:7" ht="15.9" customHeight="1" x14ac:dyDescent="0.3">
      <c r="A1164" s="19"/>
      <c r="B1164" s="19"/>
      <c r="C1164" s="198"/>
      <c r="D1164" s="19"/>
      <c r="E1164" s="19"/>
      <c r="F1164" s="19"/>
      <c r="G1164" s="158"/>
    </row>
    <row r="1165" spans="1:7" ht="15.9" customHeight="1" x14ac:dyDescent="0.3">
      <c r="A1165" s="19"/>
      <c r="B1165" s="19"/>
      <c r="C1165" s="198"/>
      <c r="D1165" s="19"/>
      <c r="E1165" s="19"/>
      <c r="F1165" s="19"/>
      <c r="G1165" s="157"/>
    </row>
    <row r="1169" spans="3:7" ht="15.9" customHeight="1" x14ac:dyDescent="0.3">
      <c r="F1169" s="1139"/>
    </row>
    <row r="1171" spans="3:7" ht="15.9" customHeight="1" x14ac:dyDescent="0.3">
      <c r="E1171" s="19"/>
    </row>
    <row r="1172" spans="3:7" ht="15.9" customHeight="1" x14ac:dyDescent="0.3">
      <c r="C1172" s="198"/>
      <c r="D1172" s="19"/>
      <c r="E1172" s="19"/>
      <c r="F1172" s="241"/>
    </row>
    <row r="1179" spans="3:7" ht="15.9" customHeight="1" x14ac:dyDescent="0.3">
      <c r="G1179" s="184"/>
    </row>
    <row r="1180" spans="3:7" ht="15.9" customHeight="1" x14ac:dyDescent="0.3">
      <c r="G1180" s="184"/>
    </row>
    <row r="1181" spans="3:7" ht="15.9" customHeight="1" x14ac:dyDescent="0.3">
      <c r="G1181" s="184"/>
    </row>
    <row r="1182" spans="3:7" ht="15.9" customHeight="1" x14ac:dyDescent="0.3">
      <c r="F1182" s="1139"/>
      <c r="G1182" s="184"/>
    </row>
    <row r="1183" spans="3:7" ht="15.9" customHeight="1" x14ac:dyDescent="0.3">
      <c r="G1183" s="184"/>
    </row>
    <row r="1184" spans="3:7" ht="15.9" customHeight="1" x14ac:dyDescent="0.3">
      <c r="G1184" s="184"/>
    </row>
    <row r="1185" spans="7:7" ht="15.9" customHeight="1" x14ac:dyDescent="0.3">
      <c r="G1185" s="184"/>
    </row>
  </sheetData>
  <hyperlinks>
    <hyperlink ref="U2" r:id="rId1" xr:uid="{00000000-0004-0000-2700-000000000000}"/>
    <hyperlink ref="V2" r:id="rId2" xr:uid="{00000000-0004-0000-2700-000001000000}"/>
    <hyperlink ref="U4" r:id="rId3" xr:uid="{00000000-0004-0000-2700-000002000000}"/>
    <hyperlink ref="V4" r:id="rId4" location="Q1%20What%20resources%20is%20the%20IMF%20making%20available%20to%20help%20Ukraine?" xr:uid="{00000000-0004-0000-2700-000003000000}"/>
    <hyperlink ref="U7" r:id="rId5" xr:uid="{00000000-0004-0000-2700-000004000000}"/>
    <hyperlink ref="U8" r:id="rId6" xr:uid="{00000000-0004-0000-2700-000005000000}"/>
    <hyperlink ref="U9" r:id="rId7" xr:uid="{00000000-0004-0000-2700-000006000000}"/>
    <hyperlink ref="V9" r:id="rId8" xr:uid="{00000000-0004-0000-2700-000007000000}"/>
    <hyperlink ref="U10" r:id="rId9" xr:uid="{00000000-0004-0000-2700-000008000000}"/>
    <hyperlink ref="V10" r:id="rId10" xr:uid="{00000000-0004-0000-2700-000009000000}"/>
    <hyperlink ref="U13" r:id="rId11" xr:uid="{00000000-0004-0000-2700-00000A000000}"/>
    <hyperlink ref="U19" r:id="rId12" xr:uid="{00000000-0004-0000-2700-00000B000000}"/>
    <hyperlink ref="U20" r:id="rId13" xr:uid="{00000000-0004-0000-2700-00000C000000}"/>
    <hyperlink ref="V21" r:id="rId14" xr:uid="{00000000-0004-0000-2700-00000D000000}"/>
    <hyperlink ref="V13:V15" r:id="rId15" display="https://www.worldbank.org/en/news/press-release/2022/03/14/world-bank-announces-additional-200-million-in-financing-for-ukraine" xr:uid="{00000000-0004-0000-2700-00000E000000}"/>
    <hyperlink ref="U21" r:id="rId16" xr:uid="{00000000-0004-0000-2700-00000F000000}"/>
    <hyperlink ref="U5" r:id="rId17" xr:uid="{00000000-0004-0000-2700-000010000000}"/>
    <hyperlink ref="W2" r:id="rId18" xr:uid="{00000000-0004-0000-2700-000011000000}"/>
    <hyperlink ref="W21" r:id="rId19" xr:uid="{00000000-0004-0000-2700-000012000000}"/>
    <hyperlink ref="V5" r:id="rId20" xr:uid="{00000000-0004-0000-2700-000013000000}"/>
    <hyperlink ref="W5" r:id="rId21" xr:uid="{00000000-0004-0000-2700-000014000000}"/>
    <hyperlink ref="U23:U24" r:id="rId22" display="https://www.worldbank.org/en/news/press-release/2022/09/30/world-bank-mobilizes-additional-530-million-in-support-to-ukraine" xr:uid="{00000000-0004-0000-2700-000015000000}"/>
    <hyperlink ref="U22" r:id="rId23" xr:uid="{00000000-0004-0000-2700-000016000000}"/>
    <hyperlink ref="U6" r:id="rId24" xr:uid="{00000000-0004-0000-2700-000017000000}"/>
    <hyperlink ref="U3" r:id="rId25" location=":~:text=The%20European%20Bank%20for%20Reconstruction,businesses%20and%20economy%20keep%20functioning" xr:uid="{00000000-0004-0000-2700-000018000000}"/>
    <hyperlink ref="U24" r:id="rId26" xr:uid="{00000000-0004-0000-2700-000019000000}"/>
    <hyperlink ref="U14" r:id="rId27" xr:uid="{00000000-0004-0000-2700-00001A000000}"/>
    <hyperlink ref="V14" r:id="rId28" xr:uid="{00000000-0004-0000-2700-00001B000000}"/>
    <hyperlink ref="U15" r:id="rId29" xr:uid="{00000000-0004-0000-2700-00001C000000}"/>
    <hyperlink ref="V15" r:id="rId30" xr:uid="{00000000-0004-0000-2700-00001D000000}"/>
    <hyperlink ref="U16" r:id="rId31" xr:uid="{00000000-0004-0000-2700-00001E000000}"/>
    <hyperlink ref="V16" r:id="rId32" xr:uid="{00000000-0004-0000-2700-00001F000000}"/>
    <hyperlink ref="U17" r:id="rId33" xr:uid="{00000000-0004-0000-2700-000020000000}"/>
    <hyperlink ref="V17" r:id="rId34" xr:uid="{00000000-0004-0000-2700-000021000000}"/>
    <hyperlink ref="U18" r:id="rId35" xr:uid="{00000000-0004-0000-2700-000022000000}"/>
    <hyperlink ref="V18" r:id="rId36" xr:uid="{00000000-0004-0000-2700-000023000000}"/>
    <hyperlink ref="U11" r:id="rId37" xr:uid="{00000000-0004-0000-2700-000024000000}"/>
    <hyperlink ref="V11" r:id="rId38" xr:uid="{00000000-0004-0000-2700-000025000000}"/>
    <hyperlink ref="U12" r:id="rId39" xr:uid="{00000000-0004-0000-2700-000026000000}"/>
    <hyperlink ref="V12" r:id="rId40" xr:uid="{00000000-0004-0000-2700-000027000000}"/>
  </hyperlinks>
  <pageMargins left="0.7" right="0.7" top="0.75" bottom="0.75" header="0.3" footer="0.3"/>
  <pageSetup paperSize="9" orientation="portrait" r:id="rId4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A9D08E"/>
  </sheetPr>
  <dimension ref="A1:U165"/>
  <sheetViews>
    <sheetView showGridLines="0" zoomScaleNormal="100" workbookViewId="0"/>
  </sheetViews>
  <sheetFormatPr baseColWidth="10" defaultColWidth="8.59765625" defaultRowHeight="15.9" customHeight="1" x14ac:dyDescent="0.3"/>
  <cols>
    <col min="1" max="1" width="8.59765625" style="2" customWidth="1"/>
    <col min="2" max="2" width="25.5" style="24" customWidth="1"/>
    <col min="3" max="3" width="10.5" style="339" bestFit="1" customWidth="1"/>
    <col min="4" max="4" width="23.8984375" style="24" customWidth="1"/>
    <col min="5" max="5" width="26.59765625" style="24" customWidth="1"/>
    <col min="6" max="6" width="22.09765625" style="140" customWidth="1"/>
    <col min="7" max="7" width="26.59765625" style="140" customWidth="1"/>
    <col min="8" max="8" width="21" style="340" customWidth="1"/>
    <col min="9" max="9" width="15.5" style="341" customWidth="1"/>
    <col min="10" max="10" width="25.09765625" style="27" customWidth="1"/>
    <col min="11" max="11" width="23.09765625" style="24" bestFit="1" customWidth="1"/>
    <col min="12" max="12" width="24.09765625" style="24" bestFit="1" customWidth="1"/>
    <col min="13" max="13" width="23.8984375" style="24" bestFit="1" customWidth="1"/>
    <col min="14" max="14" width="26.5" style="24" bestFit="1" customWidth="1"/>
    <col min="15" max="15" width="26.5" style="342" bestFit="1" customWidth="1"/>
    <col min="16" max="16" width="29.09765625" style="37" bestFit="1" customWidth="1"/>
    <col min="17" max="17" width="29.09765625" style="343" bestFit="1" customWidth="1"/>
    <col min="18" max="18" width="28.59765625" style="24" bestFit="1" customWidth="1"/>
    <col min="19" max="19" width="40.09765625" style="24" bestFit="1" customWidth="1"/>
    <col min="20" max="20" width="8.59765625" style="24" customWidth="1"/>
    <col min="21" max="16384" width="8.59765625" style="24"/>
  </cols>
  <sheetData>
    <row r="1" spans="1:21" s="35" customFormat="1" ht="15.9" customHeight="1" x14ac:dyDescent="0.3">
      <c r="B1" s="168"/>
      <c r="C1" s="168"/>
      <c r="D1" s="168"/>
      <c r="E1" s="168"/>
      <c r="F1" s="169"/>
      <c r="G1" s="168"/>
      <c r="H1" s="168"/>
      <c r="I1" s="168"/>
      <c r="J1" s="168"/>
      <c r="K1" s="168"/>
      <c r="L1" s="168"/>
      <c r="M1" s="168"/>
      <c r="N1" s="168"/>
      <c r="O1" s="168"/>
      <c r="P1" s="168"/>
      <c r="Q1" s="168"/>
      <c r="R1" s="168"/>
      <c r="S1" s="168"/>
    </row>
    <row r="2" spans="1:21" s="164" customFormat="1" ht="24.75" customHeight="1" x14ac:dyDescent="0.35">
      <c r="A2" s="35"/>
      <c r="B2" s="410" t="s">
        <v>3497</v>
      </c>
      <c r="F2" s="495"/>
    </row>
    <row r="3" spans="1:21" s="164" customFormat="1" ht="15.9" customHeight="1" x14ac:dyDescent="0.35">
      <c r="A3" s="35"/>
      <c r="B3" s="165"/>
      <c r="E3" s="166"/>
      <c r="F3" s="495"/>
    </row>
    <row r="4" spans="1:21" s="164" customFormat="1" ht="15.9" customHeight="1" x14ac:dyDescent="0.3">
      <c r="A4" s="35"/>
      <c r="B4" s="1177" t="s">
        <v>3498</v>
      </c>
      <c r="C4" s="1178"/>
      <c r="D4" s="1178"/>
      <c r="E4" s="1178"/>
      <c r="F4" s="1178"/>
    </row>
    <row r="5" spans="1:21" s="164" customFormat="1" ht="15.9" customHeight="1" x14ac:dyDescent="0.3">
      <c r="A5" s="35"/>
      <c r="B5" s="1178"/>
      <c r="C5" s="1178"/>
      <c r="D5" s="1178"/>
      <c r="E5" s="1178"/>
      <c r="F5" s="1178"/>
    </row>
    <row r="6" spans="1:21" s="164" customFormat="1" ht="15.9" customHeight="1" x14ac:dyDescent="0.3">
      <c r="A6" s="35"/>
      <c r="B6" s="1178"/>
      <c r="C6" s="1178"/>
      <c r="D6" s="1178"/>
      <c r="E6" s="1178"/>
      <c r="F6" s="1178"/>
    </row>
    <row r="7" spans="1:21" s="164" customFormat="1" ht="15.9" customHeight="1" x14ac:dyDescent="0.3">
      <c r="A7" s="35"/>
      <c r="B7" s="1178"/>
      <c r="C7" s="1178"/>
      <c r="D7" s="1178"/>
      <c r="E7" s="1178"/>
      <c r="F7" s="1178"/>
    </row>
    <row r="8" spans="1:21" s="164" customFormat="1" ht="15.9" customHeight="1" x14ac:dyDescent="0.3">
      <c r="A8" s="35"/>
      <c r="B8" s="1178"/>
      <c r="C8" s="1178"/>
      <c r="D8" s="1178"/>
      <c r="E8" s="1178"/>
      <c r="F8" s="1178"/>
    </row>
    <row r="9" spans="1:21" s="43" customFormat="1" ht="15.9" customHeight="1" x14ac:dyDescent="0.35">
      <c r="A9" s="35"/>
      <c r="B9" s="1178"/>
      <c r="C9" s="1178"/>
      <c r="D9" s="1178"/>
      <c r="E9" s="1178"/>
      <c r="F9" s="1178"/>
      <c r="H9" s="167"/>
    </row>
    <row r="10" spans="1:21" s="339" customFormat="1" ht="15.9" customHeight="1" x14ac:dyDescent="0.3">
      <c r="A10" s="2"/>
      <c r="F10" s="316"/>
      <c r="G10" s="316"/>
      <c r="H10" s="345"/>
      <c r="I10" s="346"/>
      <c r="J10" s="347"/>
      <c r="O10" s="348"/>
      <c r="P10" s="349"/>
      <c r="Q10" s="350"/>
    </row>
    <row r="11" spans="1:21" s="352" customFormat="1" ht="15.9" customHeight="1" x14ac:dyDescent="0.3">
      <c r="A11" s="2"/>
      <c r="B11" s="1173" t="s">
        <v>3499</v>
      </c>
      <c r="C11" s="1175" t="s">
        <v>3500</v>
      </c>
      <c r="D11" s="1144" t="s">
        <v>3501</v>
      </c>
      <c r="E11" s="1144" t="s">
        <v>3502</v>
      </c>
      <c r="F11" s="353" t="s">
        <v>3503</v>
      </c>
      <c r="G11" s="353" t="s">
        <v>3504</v>
      </c>
      <c r="H11" s="354" t="s">
        <v>3505</v>
      </c>
      <c r="I11" s="355" t="s">
        <v>3506</v>
      </c>
      <c r="J11" s="356" t="s">
        <v>3504</v>
      </c>
      <c r="K11" s="1144" t="s">
        <v>3507</v>
      </c>
      <c r="L11" s="1144" t="s">
        <v>3508</v>
      </c>
      <c r="M11" s="1144" t="s">
        <v>3509</v>
      </c>
      <c r="N11" s="1144" t="s">
        <v>3510</v>
      </c>
      <c r="O11" s="357" t="s">
        <v>3510</v>
      </c>
      <c r="P11" s="1144" t="s">
        <v>3511</v>
      </c>
      <c r="Q11" s="1144" t="s">
        <v>3511</v>
      </c>
      <c r="R11" s="358" t="s">
        <v>3512</v>
      </c>
      <c r="S11" s="1147" t="s">
        <v>3513</v>
      </c>
    </row>
    <row r="12" spans="1:21" s="352" customFormat="1" ht="15.9" customHeight="1" x14ac:dyDescent="0.3">
      <c r="A12" s="2"/>
      <c r="B12" s="1174"/>
      <c r="C12" s="1176"/>
      <c r="D12" s="1145" t="s">
        <v>3514</v>
      </c>
      <c r="E12" s="1145" t="s">
        <v>3514</v>
      </c>
      <c r="F12" s="359" t="s">
        <v>3514</v>
      </c>
      <c r="G12" s="359" t="s">
        <v>3514</v>
      </c>
      <c r="H12" s="360" t="s">
        <v>3515</v>
      </c>
      <c r="I12" s="361" t="s">
        <v>3514</v>
      </c>
      <c r="J12" s="362" t="s">
        <v>3516</v>
      </c>
      <c r="K12" s="1145" t="s">
        <v>3514</v>
      </c>
      <c r="L12" s="1145" t="s">
        <v>3514</v>
      </c>
      <c r="M12" s="1145" t="s">
        <v>3514</v>
      </c>
      <c r="N12" s="1145" t="s">
        <v>3514</v>
      </c>
      <c r="O12" s="363" t="s">
        <v>3516</v>
      </c>
      <c r="P12" s="1145" t="s">
        <v>3514</v>
      </c>
      <c r="Q12" s="364" t="s">
        <v>3516</v>
      </c>
      <c r="R12" s="365" t="s">
        <v>3514</v>
      </c>
      <c r="S12" s="1148" t="s">
        <v>3514</v>
      </c>
    </row>
    <row r="13" spans="1:21" ht="15.9" customHeight="1" x14ac:dyDescent="0.3">
      <c r="B13" s="2" t="s">
        <v>255</v>
      </c>
      <c r="C13" s="339">
        <v>0</v>
      </c>
      <c r="D13" s="292">
        <f>SUMIFS('Bilateral Assistance, MAIN DATA'!S:S,'Bilateral Assistance, MAIN DATA'!D:D,"Financial",'Bilateral Assistance, MAIN DATA'!B:B,'Country Summary'!B13)/1000000000</f>
        <v>0</v>
      </c>
      <c r="E13" s="292">
        <f>SUMIFS('Bilateral Assistance, MAIN DATA'!S:S,'Bilateral Assistance, MAIN DATA'!D:D,"Humanitarian",'Bilateral Assistance, MAIN DATA'!B:B,'Country Summary'!B13)/1000000000</f>
        <v>6.9014631619836855E-2</v>
      </c>
      <c r="F13" s="292">
        <f>SUMIFS('Bilateral Assistance, MAIN DATA'!S:S,'Bilateral Assistance, MAIN DATA'!D:D,"Military",'Bilateral Assistance, MAIN DATA'!B:B,'Country Summary'!B13)/1000000000</f>
        <v>0.35821571928007251</v>
      </c>
      <c r="G13" s="295">
        <f>SUM(D13:F13)</f>
        <v>0.42723035089990935</v>
      </c>
      <c r="H13" s="366">
        <f>1327836171068.51/1000000000</f>
        <v>1327.8361710685101</v>
      </c>
      <c r="I13" s="341">
        <f>H13/VLOOKUP("USD",'Exchange Rates'!B:C,2,0)</f>
        <v>1264.6058772081049</v>
      </c>
      <c r="J13" s="367">
        <f>(G13/I13)*100</f>
        <v>3.3783675894588923E-2</v>
      </c>
      <c r="K13" s="140">
        <f>VLOOKUP(B13,'EU Aid Shares'!B:E,4,0)</f>
        <v>0</v>
      </c>
      <c r="L13" s="140">
        <f>VLOOKUP(B13,'EPF Aid Shares'!B:G,6,0)</f>
        <v>0</v>
      </c>
      <c r="M13" s="129">
        <f>VLOOKUP(B13,'EIB Aid Shares'!B:E,4,0)</f>
        <v>0</v>
      </c>
      <c r="N13" s="140">
        <f t="shared" ref="N13:N53" si="0">SUM(K13:M13)</f>
        <v>0</v>
      </c>
      <c r="O13" s="115">
        <f t="shared" ref="O13:O53" si="1">N13/(VLOOKUP(B13,B:I,8,0))*100</f>
        <v>0</v>
      </c>
      <c r="P13" s="297">
        <f t="shared" ref="P13:P53" si="2">N13+G13</f>
        <v>0.42723035089990935</v>
      </c>
      <c r="Q13" s="368">
        <f>(P13/I13)*100</f>
        <v>3.3783675894588923E-2</v>
      </c>
      <c r="R13" s="140">
        <f>SUMIFS('Bilateral Assistance, MAIN DATA'!S:S,'Bilateral Assistance, MAIN DATA'!AS:AS,1, 'Bilateral Assistance, MAIN DATA'!B:B,B13)/1000000000</f>
        <v>0.35258319305969177</v>
      </c>
      <c r="S13" s="292">
        <f>F13-R13</f>
        <v>5.6325262203807402E-3</v>
      </c>
    </row>
    <row r="14" spans="1:21" ht="15.9" customHeight="1" x14ac:dyDescent="0.3">
      <c r="B14" s="24" t="s">
        <v>344</v>
      </c>
      <c r="C14" s="339">
        <v>1</v>
      </c>
      <c r="D14" s="292">
        <f>SUMIFS('Bilateral Assistance, MAIN DATA'!S:S,'Bilateral Assistance, MAIN DATA'!D:D,"Financial",'Bilateral Assistance, MAIN DATA'!B:B,'Country Summary'!B14)/1000000000</f>
        <v>0.03</v>
      </c>
      <c r="E14" s="292">
        <f>SUMIFS('Bilateral Assistance, MAIN DATA'!S:S,'Bilateral Assistance, MAIN DATA'!D:D,"Humanitarian",'Bilateral Assistance, MAIN DATA'!B:B,'Country Summary'!B14)/1000000000</f>
        <v>0.59200000000000008</v>
      </c>
      <c r="F14" s="292">
        <f>SUMIFS('Bilateral Assistance, MAIN DATA'!S:S,'Bilateral Assistance, MAIN DATA'!D:D,"Military",'Bilateral Assistance, MAIN DATA'!B:B,'Country Summary'!B14)/1000000000</f>
        <v>3.4165467142857142E-3</v>
      </c>
      <c r="G14" s="295">
        <f t="shared" ref="G14:G53" si="3">SUM(D14:F14)</f>
        <v>0.62541654671428581</v>
      </c>
      <c r="H14" s="366">
        <f>(433258.47*1000000)/1000000000</f>
        <v>433.25846999999999</v>
      </c>
      <c r="I14" s="341">
        <f>H14/VLOOKUP("USD",'Exchange Rates'!B:C,2,0)</f>
        <v>412.62711428571424</v>
      </c>
      <c r="J14" s="367">
        <f>(G14/I14)*100</f>
        <v>0.15156942553252337</v>
      </c>
      <c r="K14" s="140">
        <f>VLOOKUP(B14,'EU Aid Shares'!B:E,4,0)</f>
        <v>0.87670429426618302</v>
      </c>
      <c r="L14" s="140">
        <f>VLOOKUP(B14,'EPF Aid Shares'!B:G,6,0)</f>
        <v>8.7178723959676074E-2</v>
      </c>
      <c r="M14" s="129">
        <f>VLOOKUP(B14,'EIB Aid Shares'!B:E,4,0)</f>
        <v>5.1745532886851645E-2</v>
      </c>
      <c r="N14" s="140">
        <f t="shared" si="0"/>
        <v>1.0156285511127108</v>
      </c>
      <c r="O14" s="115">
        <f t="shared" si="1"/>
        <v>0.24613713349178065</v>
      </c>
      <c r="P14" s="297">
        <f t="shared" si="2"/>
        <v>1.6410450978269966</v>
      </c>
      <c r="Q14" s="368">
        <f t="shared" ref="Q14:Q53" si="4">(P14/I14)*100</f>
        <v>0.39770655902430402</v>
      </c>
      <c r="R14" s="140">
        <f>SUMIFS('Bilateral Assistance, MAIN DATA'!S:S,'Bilateral Assistance, MAIN DATA'!AS:AS,1, 'Bilateral Assistance, MAIN DATA'!B:B,B14)/1000000000</f>
        <v>3.4165467142857142E-3</v>
      </c>
      <c r="S14" s="292">
        <f t="shared" ref="S14:S53" si="5">F14-R14</f>
        <v>0</v>
      </c>
    </row>
    <row r="15" spans="1:21" ht="15.9" customHeight="1" x14ac:dyDescent="0.3">
      <c r="B15" s="24" t="s">
        <v>413</v>
      </c>
      <c r="C15" s="339">
        <v>1</v>
      </c>
      <c r="D15" s="292">
        <f>SUMIFS('Bilateral Assistance, MAIN DATA'!S:S,'Bilateral Assistance, MAIN DATA'!D:D,"Financial",'Bilateral Assistance, MAIN DATA'!B:B,'Country Summary'!B15)/1000000000</f>
        <v>4.96E-3</v>
      </c>
      <c r="E15" s="292">
        <f>SUMIFS('Bilateral Assistance, MAIN DATA'!S:S,'Bilateral Assistance, MAIN DATA'!D:D,"Humanitarian",'Bilateral Assistance, MAIN DATA'!B:B,'Country Summary'!B15)/1000000000</f>
        <v>9.4799999999999995E-2</v>
      </c>
      <c r="F15" s="292">
        <f>SUMIFS('Bilateral Assistance, MAIN DATA'!S:S,'Bilateral Assistance, MAIN DATA'!D:D,"Military",'Bilateral Assistance, MAIN DATA'!B:B,'Country Summary'!B15)/1000000000</f>
        <v>0.14495</v>
      </c>
      <c r="G15" s="295">
        <f t="shared" si="3"/>
        <v>0.24470999999999998</v>
      </c>
      <c r="H15" s="366">
        <f>(521861.29*1000000)/1000000000</f>
        <v>521.86129000000005</v>
      </c>
      <c r="I15" s="341">
        <f>H15/VLOOKUP("USD",'Exchange Rates'!B:C,2,0)</f>
        <v>497.0107523809524</v>
      </c>
      <c r="J15" s="367">
        <f t="shared" ref="J15:J53" si="6">(G15/I15)*100</f>
        <v>4.9236359339854457E-2</v>
      </c>
      <c r="K15" s="140">
        <f>VLOOKUP(B15,'EU Aid Shares'!B:E,4,0)</f>
        <v>1.044368052988051</v>
      </c>
      <c r="L15" s="140">
        <f>VLOOKUP(B15,'EPF Aid Shares'!B:G,6,0)</f>
        <v>0.10691082239564037</v>
      </c>
      <c r="M15" s="129">
        <f>VLOOKUP(B15,'EIB Aid Shares'!B:E,4,0)</f>
        <v>0.10424062413548618</v>
      </c>
      <c r="N15" s="140">
        <f t="shared" si="0"/>
        <v>1.2555194995191776</v>
      </c>
      <c r="O15" s="115">
        <f t="shared" si="1"/>
        <v>0.25261415241110075</v>
      </c>
      <c r="P15" s="297">
        <f t="shared" si="2"/>
        <v>1.5002294995191776</v>
      </c>
      <c r="Q15" s="368">
        <f t="shared" si="4"/>
        <v>0.30185051175095517</v>
      </c>
      <c r="R15" s="140">
        <f>SUMIFS('Bilateral Assistance, MAIN DATA'!S:S,'Bilateral Assistance, MAIN DATA'!AS:AS,1, 'Bilateral Assistance, MAIN DATA'!B:B,B15)/1000000000</f>
        <v>0.14495</v>
      </c>
      <c r="S15" s="292">
        <f t="shared" si="5"/>
        <v>0</v>
      </c>
      <c r="T15" s="98"/>
      <c r="U15" s="98"/>
    </row>
    <row r="16" spans="1:21" ht="15.9" customHeight="1" x14ac:dyDescent="0.3">
      <c r="B16" s="24" t="s">
        <v>480</v>
      </c>
      <c r="C16" s="339">
        <v>1</v>
      </c>
      <c r="D16" s="292">
        <f>SUMIFS('Bilateral Assistance, MAIN DATA'!S:S,'Bilateral Assistance, MAIN DATA'!D:D,"Financial",'Bilateral Assistance, MAIN DATA'!B:B,'Country Summary'!B16)/1000000000</f>
        <v>0</v>
      </c>
      <c r="E16" s="292">
        <f>SUMIFS('Bilateral Assistance, MAIN DATA'!S:S,'Bilateral Assistance, MAIN DATA'!D:D,"Humanitarian",'Bilateral Assistance, MAIN DATA'!B:B,'Country Summary'!B16)/1000000000</f>
        <v>7.0600000000000003E-4</v>
      </c>
      <c r="F16" s="292">
        <f>SUMIFS('Bilateral Assistance, MAIN DATA'!S:S,'Bilateral Assistance, MAIN DATA'!D:D,"Military",'Bilateral Assistance, MAIN DATA'!B:B,'Country Summary'!B16)/1000000000</f>
        <v>0.23928827078433376</v>
      </c>
      <c r="G16" s="295">
        <f t="shared" si="3"/>
        <v>0.23999427078433377</v>
      </c>
      <c r="H16" s="341">
        <f>(69889347433.4324)/1000000000</f>
        <v>69.889347433432405</v>
      </c>
      <c r="I16" s="341">
        <f>H16/VLOOKUP("USD",'Exchange Rates'!B:C,2,0)</f>
        <v>66.561283269935615</v>
      </c>
      <c r="J16" s="367">
        <f t="shared" si="6"/>
        <v>0.36056136389535975</v>
      </c>
      <c r="K16" s="140">
        <f>VLOOKUP(B16,'EU Aid Shares'!B:E,4,0)</f>
        <v>0.18773376965615976</v>
      </c>
      <c r="L16" s="140">
        <f>VLOOKUP(B16,'EPF Aid Shares'!B:G,6,0)</f>
        <v>1.3504396458026915E-2</v>
      </c>
      <c r="M16" s="129">
        <f>VLOOKUP(B16,'EIB Aid Shares'!B:E,4,0)</f>
        <v>4.105207281778973E-3</v>
      </c>
      <c r="N16" s="140">
        <f t="shared" si="0"/>
        <v>0.20534337339596564</v>
      </c>
      <c r="O16" s="115">
        <f t="shared" si="1"/>
        <v>0.30850272607156165</v>
      </c>
      <c r="P16" s="297">
        <f t="shared" si="2"/>
        <v>0.44533764418029942</v>
      </c>
      <c r="Q16" s="368">
        <f t="shared" si="4"/>
        <v>0.66906408996692135</v>
      </c>
      <c r="R16" s="140">
        <f>SUMIFS('Bilateral Assistance, MAIN DATA'!S:S,'Bilateral Assistance, MAIN DATA'!AS:AS,1, 'Bilateral Assistance, MAIN DATA'!B:B,B16)/1000000000</f>
        <v>0.23928827078433376</v>
      </c>
      <c r="S16" s="292">
        <f t="shared" si="5"/>
        <v>0</v>
      </c>
      <c r="T16" s="98"/>
      <c r="U16" s="98"/>
    </row>
    <row r="17" spans="2:21" ht="15.9" customHeight="1" x14ac:dyDescent="0.3">
      <c r="B17" s="24" t="s">
        <v>517</v>
      </c>
      <c r="C17" s="339">
        <v>0</v>
      </c>
      <c r="D17" s="292">
        <f>SUMIFS('Bilateral Assistance, MAIN DATA'!S:S,'Bilateral Assistance, MAIN DATA'!D:D,"Financial",'Bilateral Assistance, MAIN DATA'!B:B,'Country Summary'!B17)/1000000000</f>
        <v>2.3804811525281488</v>
      </c>
      <c r="E17" s="292">
        <f>SUMIFS('Bilateral Assistance, MAIN DATA'!S:S,'Bilateral Assistance, MAIN DATA'!D:D,"Humanitarian",'Bilateral Assistance, MAIN DATA'!B:B,'Country Summary'!B17)/1000000000</f>
        <v>0.34687740401426675</v>
      </c>
      <c r="F17" s="292">
        <f>SUMIFS('Bilateral Assistance, MAIN DATA'!S:S,'Bilateral Assistance, MAIN DATA'!D:D,"Military",'Bilateral Assistance, MAIN DATA'!B:B,'Country Summary'!B17)/1000000000</f>
        <v>1.2893734795265364</v>
      </c>
      <c r="G17" s="295">
        <f t="shared" si="3"/>
        <v>4.0167320360689516</v>
      </c>
      <c r="H17" s="366">
        <f>(1645423.41*1000000)/1000000000</f>
        <v>1645.4234100000001</v>
      </c>
      <c r="I17" s="341">
        <f>H17/VLOOKUP("USD",'Exchange Rates'!B:C,2,0)</f>
        <v>1567.0699142857143</v>
      </c>
      <c r="J17" s="367">
        <f t="shared" si="6"/>
        <v>0.25632117619333006</v>
      </c>
      <c r="K17" s="140">
        <f>VLOOKUP(B17,'EU Aid Shares'!B:E,4,0)</f>
        <v>0</v>
      </c>
      <c r="L17" s="140">
        <f>VLOOKUP(B17,'EPF Aid Shares'!B:G,6,0)</f>
        <v>0</v>
      </c>
      <c r="M17" s="129">
        <f>VLOOKUP(B17,'EIB Aid Shares'!B:E,4,0)</f>
        <v>0</v>
      </c>
      <c r="N17" s="140">
        <f t="shared" si="0"/>
        <v>0</v>
      </c>
      <c r="O17" s="115">
        <f t="shared" si="1"/>
        <v>0</v>
      </c>
      <c r="P17" s="297">
        <f t="shared" si="2"/>
        <v>4.0167320360689516</v>
      </c>
      <c r="Q17" s="368">
        <f t="shared" si="4"/>
        <v>0.25632117619333006</v>
      </c>
      <c r="R17" s="140">
        <f>SUMIFS('Bilateral Assistance, MAIN DATA'!S:S,'Bilateral Assistance, MAIN DATA'!AS:AS,1, 'Bilateral Assistance, MAIN DATA'!B:B,B17)/1000000000</f>
        <v>1.2893734795265364</v>
      </c>
      <c r="S17" s="292">
        <f t="shared" si="5"/>
        <v>0</v>
      </c>
      <c r="T17" s="98"/>
      <c r="U17" s="98"/>
    </row>
    <row r="18" spans="2:21" ht="15.9" customHeight="1" x14ac:dyDescent="0.3">
      <c r="B18" s="24" t="s">
        <v>664</v>
      </c>
      <c r="C18" s="339">
        <v>1</v>
      </c>
      <c r="D18" s="292">
        <f>SUMIFS('Bilateral Assistance, MAIN DATA'!S:S,'Bilateral Assistance, MAIN DATA'!D:D,"Financial",'Bilateral Assistance, MAIN DATA'!B:B,'Country Summary'!B18)/1000000000</f>
        <v>0</v>
      </c>
      <c r="E18" s="292">
        <f>SUMIFS('Bilateral Assistance, MAIN DATA'!S:S,'Bilateral Assistance, MAIN DATA'!D:D,"Humanitarian",'Bilateral Assistance, MAIN DATA'!B:B,'Country Summary'!B18)/1000000000</f>
        <v>6.4410636604774535E-3</v>
      </c>
      <c r="F18" s="292">
        <f>SUMIFS('Bilateral Assistance, MAIN DATA'!S:S,'Bilateral Assistance, MAIN DATA'!D:D,"Military",'Bilateral Assistance, MAIN DATA'!B:B,'Country Summary'!B18)/1000000000</f>
        <v>1.9445623342175065E-2</v>
      </c>
      <c r="G18" s="295">
        <f t="shared" si="3"/>
        <v>2.5886687002652519E-2</v>
      </c>
      <c r="H18" s="341">
        <f>(57203.78*1000000)/1000000000</f>
        <v>57.203780000000002</v>
      </c>
      <c r="I18" s="341">
        <f>H18/VLOOKUP("USD",'Exchange Rates'!B:C,2,0)</f>
        <v>54.479790476190473</v>
      </c>
      <c r="J18" s="367">
        <f t="shared" si="6"/>
        <v>4.751612804745621E-2</v>
      </c>
      <c r="K18" s="140">
        <f>VLOOKUP(B18,'EU Aid Shares'!B:E,4,0)</f>
        <v>0.12534128363868063</v>
      </c>
      <c r="L18" s="140">
        <f>VLOOKUP(B18,'EPF Aid Shares'!B:G,6,0)</f>
        <v>1.1888630175959364E-2</v>
      </c>
      <c r="M18" s="129">
        <f>VLOOKUP(B18,'EIB Aid Shares'!B:E,4,0)</f>
        <v>8.5503152247076754E-3</v>
      </c>
      <c r="N18" s="140">
        <f t="shared" si="0"/>
        <v>0.14578022903934768</v>
      </c>
      <c r="O18" s="115">
        <f t="shared" si="1"/>
        <v>0.26758588416939416</v>
      </c>
      <c r="P18" s="297">
        <f t="shared" si="2"/>
        <v>0.17166691604200018</v>
      </c>
      <c r="Q18" s="368">
        <f t="shared" si="4"/>
        <v>0.31510201221685036</v>
      </c>
      <c r="R18" s="140">
        <f>SUMIFS('Bilateral Assistance, MAIN DATA'!S:S,'Bilateral Assistance, MAIN DATA'!AS:AS,1, 'Bilateral Assistance, MAIN DATA'!B:B,B18)/1000000000</f>
        <v>1.9445623342175065E-2</v>
      </c>
      <c r="S18" s="292">
        <f t="shared" si="5"/>
        <v>0</v>
      </c>
      <c r="T18" s="98"/>
      <c r="U18" s="98"/>
    </row>
    <row r="19" spans="2:21" ht="15.9" customHeight="1" x14ac:dyDescent="0.3">
      <c r="B19" s="24" t="s">
        <v>696</v>
      </c>
      <c r="C19" s="339">
        <v>1</v>
      </c>
      <c r="D19" s="292">
        <f>SUMIFS('Bilateral Assistance, MAIN DATA'!S:S,'Bilateral Assistance, MAIN DATA'!D:D,"Financial",'Bilateral Assistance, MAIN DATA'!B:B,'Country Summary'!B19)/1000000000</f>
        <v>0</v>
      </c>
      <c r="E19" s="292">
        <f>SUMIFS('Bilateral Assistance, MAIN DATA'!S:S,'Bilateral Assistance, MAIN DATA'!D:D,"Humanitarian",'Bilateral Assistance, MAIN DATA'!B:B,'Country Summary'!B19)/1000000000</f>
        <v>3.0000000000000001E-3</v>
      </c>
      <c r="F19" s="292">
        <f>SUMIFS('Bilateral Assistance, MAIN DATA'!S:S,'Bilateral Assistance, MAIN DATA'!D:D,"Military",'Bilateral Assistance, MAIN DATA'!B:B,'Country Summary'!B19)/1000000000</f>
        <v>0</v>
      </c>
      <c r="G19" s="295">
        <f t="shared" si="3"/>
        <v>3.0000000000000001E-3</v>
      </c>
      <c r="H19" s="341">
        <f>(24612.65*1000000)/1000000000</f>
        <v>24.612649999999999</v>
      </c>
      <c r="I19" s="341">
        <f>H19/VLOOKUP("USD",'Exchange Rates'!B:C,2,0)</f>
        <v>23.440619047619045</v>
      </c>
      <c r="J19" s="367">
        <f t="shared" si="6"/>
        <v>1.2798296810786326E-2</v>
      </c>
      <c r="K19" s="140">
        <f>VLOOKUP(B19,'EU Aid Shares'!B:E,4,0)</f>
        <v>4.6922744113968365E-2</v>
      </c>
      <c r="L19" s="140">
        <f>VLOOKUP(B19,'EPF Aid Shares'!B:G,6,0)</f>
        <v>4.7796308957409094E-3</v>
      </c>
      <c r="M19" s="129">
        <f>VLOOKUP(B19,'EIB Aid Shares'!B:E,4,0)</f>
        <v>2.5877458211528699E-3</v>
      </c>
      <c r="N19" s="140">
        <f t="shared" si="0"/>
        <v>5.4290120830862147E-2</v>
      </c>
      <c r="O19" s="115">
        <f t="shared" si="1"/>
        <v>0.23160702676227576</v>
      </c>
      <c r="P19" s="297">
        <f t="shared" si="2"/>
        <v>5.729012083086215E-2</v>
      </c>
      <c r="Q19" s="368">
        <f t="shared" si="4"/>
        <v>0.24440532357306205</v>
      </c>
      <c r="R19" s="140">
        <f>SUMIFS('Bilateral Assistance, MAIN DATA'!S:S,'Bilateral Assistance, MAIN DATA'!AS:AS,1, 'Bilateral Assistance, MAIN DATA'!B:B,B19)/1000000000</f>
        <v>0</v>
      </c>
      <c r="S19" s="292">
        <f t="shared" si="5"/>
        <v>0</v>
      </c>
    </row>
    <row r="20" spans="2:21" ht="15.9" customHeight="1" x14ac:dyDescent="0.3">
      <c r="B20" s="24" t="s">
        <v>716</v>
      </c>
      <c r="C20" s="339">
        <v>1</v>
      </c>
      <c r="D20" s="292">
        <f>SUMIFS('Bilateral Assistance, MAIN DATA'!S:S,'Bilateral Assistance, MAIN DATA'!D:D,"Financial",'Bilateral Assistance, MAIN DATA'!B:B,'Country Summary'!B20)/1000000000</f>
        <v>0</v>
      </c>
      <c r="E20" s="292">
        <f>SUMIFS('Bilateral Assistance, MAIN DATA'!S:S,'Bilateral Assistance, MAIN DATA'!D:D,"Humanitarian",'Bilateral Assistance, MAIN DATA'!B:B,'Country Summary'!B20)/1000000000</f>
        <v>0.10596323263127799</v>
      </c>
      <c r="F20" s="292">
        <f>SUMIFS('Bilateral Assistance, MAIN DATA'!S:S,'Bilateral Assistance, MAIN DATA'!D:D,"Military",'Bilateral Assistance, MAIN DATA'!B:B,'Country Summary'!B20)/1000000000</f>
        <v>0.46418603077692083</v>
      </c>
      <c r="G20" s="295">
        <f t="shared" si="3"/>
        <v>0.57014926340819883</v>
      </c>
      <c r="H20" s="341">
        <f>245339320000/1000000000</f>
        <v>245.33931999999999</v>
      </c>
      <c r="I20" s="341">
        <f>H20/VLOOKUP("USD",'Exchange Rates'!B:C,2,0)</f>
        <v>233.6564952380952</v>
      </c>
      <c r="J20" s="367">
        <f t="shared" si="6"/>
        <v>0.24401173304736024</v>
      </c>
      <c r="K20" s="140">
        <f>VLOOKUP(B20,'EU Aid Shares'!B:E,4,0)</f>
        <v>0.43912242473824564</v>
      </c>
      <c r="L20" s="140">
        <f>VLOOKUP(B20,'EPF Aid Shares'!B:G,6,0)</f>
        <v>4.7744564108810575E-2</v>
      </c>
      <c r="M20" s="129">
        <f>VLOOKUP(B20,'EIB Aid Shares'!B:E,4,0)</f>
        <v>1.7763022495545105E-2</v>
      </c>
      <c r="N20" s="140">
        <f t="shared" si="0"/>
        <v>0.50463001134260133</v>
      </c>
      <c r="O20" s="115">
        <f t="shared" si="1"/>
        <v>0.2159708895866066</v>
      </c>
      <c r="P20" s="297">
        <f t="shared" si="2"/>
        <v>1.0747792747508003</v>
      </c>
      <c r="Q20" s="368">
        <f t="shared" si="4"/>
        <v>0.45998262263396689</v>
      </c>
      <c r="R20" s="140">
        <f>SUMIFS('Bilateral Assistance, MAIN DATA'!S:S,'Bilateral Assistance, MAIN DATA'!AS:AS,1, 'Bilateral Assistance, MAIN DATA'!B:B,B20)/1000000000</f>
        <v>0.42456698315787322</v>
      </c>
      <c r="S20" s="292">
        <f t="shared" si="5"/>
        <v>3.9619047619047609E-2</v>
      </c>
    </row>
    <row r="21" spans="2:21" ht="15.9" customHeight="1" x14ac:dyDescent="0.3">
      <c r="B21" s="24" t="s">
        <v>856</v>
      </c>
      <c r="C21" s="339">
        <v>1</v>
      </c>
      <c r="D21" s="292">
        <f>SUMIFS('Bilateral Assistance, MAIN DATA'!S:S,'Bilateral Assistance, MAIN DATA'!D:D,"Financial",'Bilateral Assistance, MAIN DATA'!B:B,'Country Summary'!B21)/1000000000</f>
        <v>5.7500000000000002E-2</v>
      </c>
      <c r="E21" s="292">
        <f>SUMIFS('Bilateral Assistance, MAIN DATA'!S:S,'Bilateral Assistance, MAIN DATA'!D:D,"Humanitarian",'Bilateral Assistance, MAIN DATA'!B:B,'Country Summary'!B21)/1000000000</f>
        <v>9.9200785326233124E-2</v>
      </c>
      <c r="F21" s="292">
        <f>SUMIFS('Bilateral Assistance, MAIN DATA'!S:S,'Bilateral Assistance, MAIN DATA'!D:D,"Military",'Bilateral Assistance, MAIN DATA'!B:B,'Country Summary'!B21)/1000000000</f>
        <v>0.56299310419019966</v>
      </c>
      <c r="G21" s="295">
        <f t="shared" si="3"/>
        <v>0.71969388951643276</v>
      </c>
      <c r="H21" s="341">
        <f>356084870000/1000000000</f>
        <v>356.08487000000002</v>
      </c>
      <c r="I21" s="341">
        <f>H21/VLOOKUP("USD",'Exchange Rates'!B:C,2,0)</f>
        <v>339.12844761904762</v>
      </c>
      <c r="J21" s="367">
        <f t="shared" si="6"/>
        <v>0.2122186724732939</v>
      </c>
      <c r="K21" s="140">
        <f>VLOOKUP(B21,'EU Aid Shares'!B:E,4,0)</f>
        <v>0.75960070168262217</v>
      </c>
      <c r="L21" s="140">
        <f>VLOOKUP(B21,'EPF Aid Shares'!B:G,6,0)</f>
        <v>7.4286452013286736E-2</v>
      </c>
      <c r="M21" s="129">
        <f>VLOOKUP(B21,'EIB Aid Shares'!B:E,4,0)</f>
        <v>5.2780020044418716E-2</v>
      </c>
      <c r="N21" s="140">
        <f t="shared" si="0"/>
        <v>0.88666717374032766</v>
      </c>
      <c r="O21" s="115">
        <f t="shared" si="1"/>
        <v>0.2614546729905553</v>
      </c>
      <c r="P21" s="297">
        <f t="shared" si="2"/>
        <v>1.6063610632567604</v>
      </c>
      <c r="Q21" s="368">
        <f t="shared" si="4"/>
        <v>0.47367334546384926</v>
      </c>
      <c r="R21" s="140">
        <f>SUMIFS('Bilateral Assistance, MAIN DATA'!S:S,'Bilateral Assistance, MAIN DATA'!AS:AS,1, 'Bilateral Assistance, MAIN DATA'!B:B,B21)/1000000000</f>
        <v>0.56299310419019966</v>
      </c>
      <c r="S21" s="292">
        <f t="shared" si="5"/>
        <v>0</v>
      </c>
    </row>
    <row r="22" spans="2:21" ht="15.9" customHeight="1" x14ac:dyDescent="0.3">
      <c r="B22" s="24" t="s">
        <v>937</v>
      </c>
      <c r="C22" s="339">
        <v>1</v>
      </c>
      <c r="D22" s="292">
        <f>SUMIFS('Bilateral Assistance, MAIN DATA'!S:S,'Bilateral Assistance, MAIN DATA'!D:D,"Financial",'Bilateral Assistance, MAIN DATA'!B:B,'Country Summary'!B22)/1000000000</f>
        <v>0</v>
      </c>
      <c r="E22" s="292">
        <f>SUMIFS('Bilateral Assistance, MAIN DATA'!S:S,'Bilateral Assistance, MAIN DATA'!D:D,"Humanitarian",'Bilateral Assistance, MAIN DATA'!B:B,'Country Summary'!B22)/1000000000</f>
        <v>4.9702280000000001E-3</v>
      </c>
      <c r="F22" s="292">
        <f>SUMIFS('Bilateral Assistance, MAIN DATA'!S:S,'Bilateral Assistance, MAIN DATA'!D:D,"Military",'Bilateral Assistance, MAIN DATA'!B:B,'Country Summary'!B22)/1000000000</f>
        <v>0.30780000000000002</v>
      </c>
      <c r="G22" s="295">
        <f t="shared" si="3"/>
        <v>0.31277022800000004</v>
      </c>
      <c r="H22" s="341">
        <f>30650290000/1000000000</f>
        <v>30.650289999999998</v>
      </c>
      <c r="I22" s="341">
        <f>H22/VLOOKUP("USD",'Exchange Rates'!B:C,2,0)</f>
        <v>29.190752380952379</v>
      </c>
      <c r="J22" s="367">
        <f t="shared" si="6"/>
        <v>1.0714702516680921</v>
      </c>
      <c r="K22" s="140">
        <f>VLOOKUP(B22,'EU Aid Shares'!B:E,4,0)</f>
        <v>5.954673819843774E-2</v>
      </c>
      <c r="L22" s="140">
        <f>VLOOKUP(B22,'EPF Aid Shares'!B:G,6,0)</f>
        <v>6.2434464030015095E-3</v>
      </c>
      <c r="M22" s="129">
        <f>VLOOKUP(B22,'EIB Aid Shares'!B:E,4,0)</f>
        <v>1.6600457933228115E-3</v>
      </c>
      <c r="N22" s="140">
        <f t="shared" si="0"/>
        <v>6.7450230394762056E-2</v>
      </c>
      <c r="O22" s="115">
        <f t="shared" si="1"/>
        <v>0.23106711849871622</v>
      </c>
      <c r="P22" s="297">
        <f t="shared" si="2"/>
        <v>0.3802204583947621</v>
      </c>
      <c r="Q22" s="368">
        <f t="shared" si="4"/>
        <v>1.3025373701668084</v>
      </c>
      <c r="R22" s="140">
        <f>SUMIFS('Bilateral Assistance, MAIN DATA'!S:S,'Bilateral Assistance, MAIN DATA'!AS:AS,1, 'Bilateral Assistance, MAIN DATA'!B:B,B22)/1000000000</f>
        <v>0.30780000000000002</v>
      </c>
      <c r="S22" s="292">
        <f t="shared" si="5"/>
        <v>0</v>
      </c>
    </row>
    <row r="23" spans="2:21" ht="15.9" customHeight="1" x14ac:dyDescent="0.3">
      <c r="B23" s="37" t="s">
        <v>3426</v>
      </c>
      <c r="C23" s="339">
        <v>0</v>
      </c>
      <c r="D23" s="292">
        <f>SUMIFS('Bilateral Assistance, MAIN DATA'!S:S,'Bilateral Assistance, MAIN DATA'!D:D,"Financial",'Bilateral Assistance, MAIN DATA'!B:B,'Country Summary'!B23)/1000000000</f>
        <v>28.32</v>
      </c>
      <c r="E23" s="292">
        <f>SUMIFS('Bilateral Assistance, MAIN DATA'!S:S,'Bilateral Assistance, MAIN DATA'!D:D,"Humanitarian",'Bilateral Assistance, MAIN DATA'!B:B,'Country Summary'!B23)/1000000000</f>
        <v>1.6</v>
      </c>
      <c r="F23" s="292">
        <f>SUMIFS('Bilateral Assistance, MAIN DATA'!S:S,'Bilateral Assistance, MAIN DATA'!D:D,"Military",'Bilateral Assistance, MAIN DATA'!B:B,'Country Summary'!B23)/1000000000</f>
        <v>0</v>
      </c>
      <c r="G23" s="295">
        <f t="shared" si="3"/>
        <v>29.92</v>
      </c>
      <c r="H23" s="366">
        <f>(15291934.75*1000000)/1000000000</f>
        <v>15291.93475</v>
      </c>
      <c r="I23" s="341">
        <f>H23/VLOOKUP("USD",'Exchange Rates'!B:C,2,0)</f>
        <v>14563.74738095238</v>
      </c>
      <c r="J23" s="367">
        <f t="shared" si="6"/>
        <v>0.2054416299415612</v>
      </c>
      <c r="K23" s="140">
        <f>VLOOKUP(B23,'EU Aid Shares'!B:E,4,0)</f>
        <v>0</v>
      </c>
      <c r="L23" s="140">
        <f>VLOOKUP(B23,'EPF Aid Shares'!B:G,6,0)</f>
        <v>0</v>
      </c>
      <c r="M23" s="129">
        <f>VLOOKUP(B23,'EIB Aid Shares'!B:E,4,0)</f>
        <v>0</v>
      </c>
      <c r="N23" s="140">
        <f t="shared" si="0"/>
        <v>0</v>
      </c>
      <c r="O23" s="115">
        <f t="shared" si="1"/>
        <v>0</v>
      </c>
      <c r="P23" s="297">
        <f t="shared" si="2"/>
        <v>29.92</v>
      </c>
      <c r="Q23" s="368">
        <f t="shared" si="4"/>
        <v>0.2054416299415612</v>
      </c>
      <c r="R23" s="140">
        <f>SUMIFS('Bilateral Assistance, MAIN DATA'!S:S,'Bilateral Assistance, MAIN DATA'!AS:AS,1, 'Bilateral Assistance, MAIN DATA'!B:B,B23)/1000000000</f>
        <v>0</v>
      </c>
      <c r="S23" s="292">
        <f t="shared" si="5"/>
        <v>0</v>
      </c>
    </row>
    <row r="24" spans="2:21" ht="15.9" customHeight="1" x14ac:dyDescent="0.3">
      <c r="B24" s="24" t="s">
        <v>1025</v>
      </c>
      <c r="C24" s="339">
        <v>1</v>
      </c>
      <c r="D24" s="292">
        <f>SUMIFS('Bilateral Assistance, MAIN DATA'!S:S,'Bilateral Assistance, MAIN DATA'!D:D,"Financial",'Bilateral Assistance, MAIN DATA'!B:B,'Country Summary'!B24)/1000000000</f>
        <v>8.1500000000000003E-2</v>
      </c>
      <c r="E24" s="292">
        <f>SUMIFS('Bilateral Assistance, MAIN DATA'!S:S,'Bilateral Assistance, MAIN DATA'!D:D,"Humanitarian",'Bilateral Assistance, MAIN DATA'!B:B,'Country Summary'!B24)/1000000000</f>
        <v>5.1200000000000002E-2</v>
      </c>
      <c r="F24" s="292">
        <f>SUMIFS('Bilateral Assistance, MAIN DATA'!S:S,'Bilateral Assistance, MAIN DATA'!D:D,"Military",'Bilateral Assistance, MAIN DATA'!B:B,'Country Summary'!B24)/1000000000</f>
        <v>0.20669999999999999</v>
      </c>
      <c r="G24" s="295">
        <f t="shared" si="3"/>
        <v>0.33940000000000003</v>
      </c>
      <c r="H24" s="341">
        <f>269594830000/1000000000</f>
        <v>269.59483</v>
      </c>
      <c r="I24" s="341">
        <f>H24/VLOOKUP("USD",'Exchange Rates'!B:C,2,0)</f>
        <v>256.75698095238096</v>
      </c>
      <c r="J24" s="367">
        <f t="shared" si="6"/>
        <v>0.13218725299739614</v>
      </c>
      <c r="K24" s="140">
        <f>VLOOKUP(B24,'EU Aid Shares'!B:E,4,0)</f>
        <v>0.50928187660769486</v>
      </c>
      <c r="L24" s="140">
        <f>VLOOKUP(B24,'EPF Aid Shares'!B:G,6,0)</f>
        <v>5.5679572736467717E-2</v>
      </c>
      <c r="M24" s="129">
        <f>VLOOKUP(B24,'EIB Aid Shares'!B:E,4,0)</f>
        <v>2.9729782390341176E-2</v>
      </c>
      <c r="N24" s="140">
        <f t="shared" si="0"/>
        <v>0.59469123173450378</v>
      </c>
      <c r="O24" s="115">
        <f t="shared" si="1"/>
        <v>0.23161638274785495</v>
      </c>
      <c r="P24" s="297">
        <f t="shared" si="2"/>
        <v>0.93409123173450381</v>
      </c>
      <c r="Q24" s="368">
        <f t="shared" si="4"/>
        <v>0.3638036357452511</v>
      </c>
      <c r="R24" s="140">
        <f>SUMIFS('Bilateral Assistance, MAIN DATA'!S:S,'Bilateral Assistance, MAIN DATA'!AS:AS,1, 'Bilateral Assistance, MAIN DATA'!B:B,B24)/1000000000</f>
        <v>0.1767</v>
      </c>
      <c r="S24" s="292">
        <f t="shared" si="5"/>
        <v>0.03</v>
      </c>
    </row>
    <row r="25" spans="2:21" ht="15.9" customHeight="1" x14ac:dyDescent="0.3">
      <c r="B25" s="24" t="s">
        <v>1131</v>
      </c>
      <c r="C25" s="339">
        <v>1</v>
      </c>
      <c r="D25" s="292">
        <f>SUMIFS('Bilateral Assistance, MAIN DATA'!S:S,'Bilateral Assistance, MAIN DATA'!D:D,"Financial",'Bilateral Assistance, MAIN DATA'!B:B,'Country Summary'!B25)/1000000000</f>
        <v>0.69940000000000002</v>
      </c>
      <c r="E25" s="292">
        <f>SUMIFS('Bilateral Assistance, MAIN DATA'!S:S,'Bilateral Assistance, MAIN DATA'!D:D,"Humanitarian",'Bilateral Assistance, MAIN DATA'!B:B,'Country Summary'!B25)/1000000000</f>
        <v>0.3155896343657143</v>
      </c>
      <c r="F25" s="292">
        <f>SUMIFS('Bilateral Assistance, MAIN DATA'!S:S,'Bilateral Assistance, MAIN DATA'!D:D,"Military",'Bilateral Assistance, MAIN DATA'!B:B,'Country Summary'!B25)/1000000000</f>
        <v>0.65962732814080649</v>
      </c>
      <c r="G25" s="295">
        <f t="shared" si="3"/>
        <v>1.6746169625065208</v>
      </c>
      <c r="H25" s="341">
        <f>2630317730000/1000000000</f>
        <v>2630.3177300000002</v>
      </c>
      <c r="I25" s="341">
        <f>H25/VLOOKUP("USD",'Exchange Rates'!B:C,2,0)</f>
        <v>2505.064504761905</v>
      </c>
      <c r="J25" s="367">
        <f t="shared" si="6"/>
        <v>6.6849255151842313E-2</v>
      </c>
      <c r="K25" s="140">
        <f>VLOOKUP(B25,'EU Aid Shares'!B:E,4,0)</f>
        <v>5.0687261943157411</v>
      </c>
      <c r="L25" s="140">
        <f>VLOOKUP(B25,'EPF Aid Shares'!B:G,6,0)</f>
        <v>0.53806696032119949</v>
      </c>
      <c r="M25" s="129">
        <f>VLOOKUP(B25,'EIB Aid Shares'!B:E,4,0)</f>
        <v>0.37605786289314741</v>
      </c>
      <c r="N25" s="140">
        <f t="shared" si="0"/>
        <v>5.9828510175300877</v>
      </c>
      <c r="O25" s="115">
        <f t="shared" si="1"/>
        <v>0.23883021799068327</v>
      </c>
      <c r="P25" s="297">
        <f t="shared" si="2"/>
        <v>7.6574679800366088</v>
      </c>
      <c r="Q25" s="368">
        <f t="shared" si="4"/>
        <v>0.30567947314252558</v>
      </c>
      <c r="R25" s="140">
        <f>SUMIFS('Bilateral Assistance, MAIN DATA'!S:S,'Bilateral Assistance, MAIN DATA'!AS:AS,1, 'Bilateral Assistance, MAIN DATA'!B:B,B25)/1000000000</f>
        <v>0.65962732814080649</v>
      </c>
      <c r="S25" s="292">
        <f t="shared" si="5"/>
        <v>0</v>
      </c>
    </row>
    <row r="26" spans="2:21" ht="15.9" customHeight="1" x14ac:dyDescent="0.3">
      <c r="B26" s="24" t="s">
        <v>1288</v>
      </c>
      <c r="C26" s="339">
        <v>1</v>
      </c>
      <c r="D26" s="292">
        <f>SUMIFS('Bilateral Assistance, MAIN DATA'!S:S,'Bilateral Assistance, MAIN DATA'!D:D,"Financial",'Bilateral Assistance, MAIN DATA'!B:B,'Country Summary'!B26)/1000000000</f>
        <v>1.3</v>
      </c>
      <c r="E26" s="292">
        <f>SUMIFS('Bilateral Assistance, MAIN DATA'!S:S,'Bilateral Assistance, MAIN DATA'!D:D,"Humanitarian",'Bilateral Assistance, MAIN DATA'!B:B,'Country Summary'!B26)/1000000000</f>
        <v>2.496</v>
      </c>
      <c r="F26" s="292">
        <f>SUMIFS('Bilateral Assistance, MAIN DATA'!S:S,'Bilateral Assistance, MAIN DATA'!D:D,"Military",'Bilateral Assistance, MAIN DATA'!B:B,'Country Summary'!B26)/1000000000</f>
        <v>2.3552</v>
      </c>
      <c r="G26" s="295">
        <f t="shared" si="3"/>
        <v>6.1512000000000002</v>
      </c>
      <c r="H26" s="341">
        <f>3846413930000/1000000000</f>
        <v>3846.4139300000002</v>
      </c>
      <c r="I26" s="341">
        <f>H26/VLOOKUP("USD",'Exchange Rates'!B:C,2,0)</f>
        <v>3663.2513619047618</v>
      </c>
      <c r="J26" s="367">
        <f t="shared" si="6"/>
        <v>0.16791640519043149</v>
      </c>
      <c r="K26" s="140">
        <f>VLOOKUP(B26,'EU Aid Shares'!B:E,4,0)</f>
        <v>6.0048060539792161</v>
      </c>
      <c r="L26" s="140">
        <f>VLOOKUP(B26,'EPF Aid Shares'!B:G,6,0)</f>
        <v>0.79903156010018161</v>
      </c>
      <c r="M26" s="129">
        <f>VLOOKUP(B26,'EIB Aid Shares'!B:E,4,0)</f>
        <v>0.37605786289314741</v>
      </c>
      <c r="N26" s="140">
        <f t="shared" si="0"/>
        <v>7.1798954769725452</v>
      </c>
      <c r="O26" s="115">
        <f t="shared" si="1"/>
        <v>0.19599789279104377</v>
      </c>
      <c r="P26" s="297">
        <f t="shared" si="2"/>
        <v>13.331095476972546</v>
      </c>
      <c r="Q26" s="368">
        <f t="shared" si="4"/>
        <v>0.36391429798147529</v>
      </c>
      <c r="R26" s="140">
        <f>SUMIFS('Bilateral Assistance, MAIN DATA'!S:S,'Bilateral Assistance, MAIN DATA'!AS:AS,1, 'Bilateral Assistance, MAIN DATA'!B:B,B26)/1000000000</f>
        <v>2.3552</v>
      </c>
      <c r="S26" s="292">
        <f t="shared" si="5"/>
        <v>0</v>
      </c>
    </row>
    <row r="27" spans="2:21" ht="15.9" customHeight="1" x14ac:dyDescent="0.3">
      <c r="B27" s="24" t="s">
        <v>1606</v>
      </c>
      <c r="C27" s="339">
        <v>1</v>
      </c>
      <c r="D27" s="292">
        <f>SUMIFS('Bilateral Assistance, MAIN DATA'!S:S,'Bilateral Assistance, MAIN DATA'!D:D,"Financial",'Bilateral Assistance, MAIN DATA'!B:B,'Country Summary'!B27)/1000000000</f>
        <v>0</v>
      </c>
      <c r="E27" s="292">
        <f>SUMIFS('Bilateral Assistance, MAIN DATA'!S:S,'Bilateral Assistance, MAIN DATA'!D:D,"Humanitarian",'Bilateral Assistance, MAIN DATA'!B:B,'Country Summary'!B27)/1000000000</f>
        <v>0</v>
      </c>
      <c r="F27" s="292">
        <f>SUMIFS('Bilateral Assistance, MAIN DATA'!S:S,'Bilateral Assistance, MAIN DATA'!D:D,"Military",'Bilateral Assistance, MAIN DATA'!B:B,'Country Summary'!B27)/1000000000</f>
        <v>0.18270229371428573</v>
      </c>
      <c r="G27" s="295">
        <f t="shared" si="3"/>
        <v>0.18270229371428573</v>
      </c>
      <c r="H27" s="341">
        <f>188835200000/1000000000</f>
        <v>188.83519999999999</v>
      </c>
      <c r="I27" s="341">
        <f>H27/VLOOKUP("USD",'Exchange Rates'!B:C,2,0)</f>
        <v>179.84304761904761</v>
      </c>
      <c r="J27" s="367">
        <f t="shared" si="6"/>
        <v>0.10158985634034334</v>
      </c>
      <c r="K27" s="140">
        <f>VLOOKUP(B27,'EU Aid Shares'!B:E,4,0)</f>
        <v>0.42990049007654002</v>
      </c>
      <c r="L27" s="140">
        <f>VLOOKUP(B27,'EPF Aid Shares'!B:G,6,0)</f>
        <v>3.8841519947744901E-2</v>
      </c>
      <c r="M27" s="129">
        <f>VLOOKUP(B27,'EIB Aid Shares'!B:E,4,0)</f>
        <v>2.827504037741E-2</v>
      </c>
      <c r="N27" s="140">
        <f t="shared" si="0"/>
        <v>0.49701705040169497</v>
      </c>
      <c r="O27" s="115">
        <f t="shared" si="1"/>
        <v>0.27636155913822197</v>
      </c>
      <c r="P27" s="297">
        <f t="shared" si="2"/>
        <v>0.67971934411598067</v>
      </c>
      <c r="Q27" s="368">
        <f t="shared" si="4"/>
        <v>0.37795141547856531</v>
      </c>
      <c r="R27" s="140">
        <f>SUMIFS('Bilateral Assistance, MAIN DATA'!S:S,'Bilateral Assistance, MAIN DATA'!AS:AS,1, 'Bilateral Assistance, MAIN DATA'!B:B,B27)/1000000000</f>
        <v>0.18270229371428573</v>
      </c>
      <c r="S27" s="292">
        <f t="shared" si="5"/>
        <v>0</v>
      </c>
    </row>
    <row r="28" spans="2:21" ht="15.9" customHeight="1" x14ac:dyDescent="0.3">
      <c r="B28" s="24" t="s">
        <v>1646</v>
      </c>
      <c r="C28" s="339">
        <v>1</v>
      </c>
      <c r="D28" s="292">
        <f>SUMIFS('Bilateral Assistance, MAIN DATA'!S:S,'Bilateral Assistance, MAIN DATA'!D:D,"Financial",'Bilateral Assistance, MAIN DATA'!B:B,'Country Summary'!B28)/1000000000</f>
        <v>0</v>
      </c>
      <c r="E28" s="292">
        <f>SUMIFS('Bilateral Assistance, MAIN DATA'!S:S,'Bilateral Assistance, MAIN DATA'!D:D,"Humanitarian",'Bilateral Assistance, MAIN DATA'!B:B,'Country Summary'!B28)/1000000000</f>
        <v>4.7284205515557245E-2</v>
      </c>
      <c r="F28" s="292">
        <f>SUMIFS('Bilateral Assistance, MAIN DATA'!S:S,'Bilateral Assistance, MAIN DATA'!D:D,"Military",'Bilateral Assistance, MAIN DATA'!B:B,'Country Summary'!B28)/1000000000</f>
        <v>0</v>
      </c>
      <c r="G28" s="295">
        <f t="shared" si="3"/>
        <v>4.7284205515557245E-2</v>
      </c>
      <c r="H28" s="341">
        <f>155808440000/1000000000</f>
        <v>155.80843999999999</v>
      </c>
      <c r="I28" s="341">
        <f>H28/VLOOKUP("USD",'Exchange Rates'!B:C,2,0)</f>
        <v>148.38899047619046</v>
      </c>
      <c r="J28" s="367">
        <f t="shared" si="6"/>
        <v>3.1865036188883679E-2</v>
      </c>
      <c r="K28" s="140">
        <f>VLOOKUP(B28,'EU Aid Shares'!B:E,4,0)</f>
        <v>0.35400674936872156</v>
      </c>
      <c r="L28" s="140">
        <f>VLOOKUP(B28,'EPF Aid Shares'!B:G,6,0)</f>
        <v>3.1324078512401661E-2</v>
      </c>
      <c r="M28" s="129">
        <f>VLOOKUP(B28,'EIB Aid Shares'!B:E,4,0)</f>
        <v>1.6804629572849533E-2</v>
      </c>
      <c r="N28" s="140">
        <f t="shared" si="0"/>
        <v>0.40213545745397272</v>
      </c>
      <c r="O28" s="115">
        <f t="shared" si="1"/>
        <v>0.27100087153601654</v>
      </c>
      <c r="P28" s="297">
        <f t="shared" si="2"/>
        <v>0.44941966296952995</v>
      </c>
      <c r="Q28" s="368">
        <f t="shared" si="4"/>
        <v>0.30286590772490024</v>
      </c>
      <c r="R28" s="140">
        <f>SUMIFS('Bilateral Assistance, MAIN DATA'!S:S,'Bilateral Assistance, MAIN DATA'!AS:AS,1, 'Bilateral Assistance, MAIN DATA'!B:B,B28)/1000000000</f>
        <v>0</v>
      </c>
      <c r="S28" s="292">
        <f t="shared" si="5"/>
        <v>0</v>
      </c>
    </row>
    <row r="29" spans="2:21" ht="15.9" customHeight="1" x14ac:dyDescent="0.3">
      <c r="B29" s="24" t="s">
        <v>1701</v>
      </c>
      <c r="C29" s="339">
        <v>1</v>
      </c>
      <c r="D29" s="292">
        <f>SUMIFS('Bilateral Assistance, MAIN DATA'!S:S,'Bilateral Assistance, MAIN DATA'!D:D,"Financial",'Bilateral Assistance, MAIN DATA'!B:B,'Country Summary'!B29)/1000000000</f>
        <v>0</v>
      </c>
      <c r="E29" s="292">
        <f>SUMIFS('Bilateral Assistance, MAIN DATA'!S:S,'Bilateral Assistance, MAIN DATA'!D:D,"Humanitarian",'Bilateral Assistance, MAIN DATA'!B:B,'Country Summary'!B29)/1000000000</f>
        <v>6.8554615238095237E-2</v>
      </c>
      <c r="F29" s="292">
        <f>SUMIFS('Bilateral Assistance, MAIN DATA'!S:S,'Bilateral Assistance, MAIN DATA'!D:D,"Military",'Bilateral Assistance, MAIN DATA'!B:B,'Country Summary'!B29)/1000000000</f>
        <v>0</v>
      </c>
      <c r="G29" s="295">
        <f t="shared" si="3"/>
        <v>6.8554615238095237E-2</v>
      </c>
      <c r="H29" s="369">
        <f>425889000000/1000000000</f>
        <v>425.88900000000001</v>
      </c>
      <c r="I29" s="341">
        <f>H29/VLOOKUP("USD",'Exchange Rates'!B:C,2,0)</f>
        <v>405.60857142857139</v>
      </c>
      <c r="J29" s="367">
        <f t="shared" si="6"/>
        <v>1.6901668275066981E-2</v>
      </c>
      <c r="K29" s="140">
        <f>VLOOKUP(B29,'EU Aid Shares'!B:E,4,0)</f>
        <v>0.60327714103663377</v>
      </c>
      <c r="L29" s="140">
        <f>VLOOKUP(B29,'EPF Aid Shares'!B:G,6,0)</f>
        <v>6.6275611354437186E-2</v>
      </c>
      <c r="M29" s="129">
        <f>VLOOKUP(B29,'EIB Aid Shares'!B:E,4,0)</f>
        <v>1.3194994215684461E-2</v>
      </c>
      <c r="N29" s="140">
        <f t="shared" si="0"/>
        <v>0.68274774660675541</v>
      </c>
      <c r="O29" s="115">
        <f t="shared" si="1"/>
        <v>0.16832675507869263</v>
      </c>
      <c r="P29" s="297">
        <f t="shared" si="2"/>
        <v>0.75130236184485066</v>
      </c>
      <c r="Q29" s="368">
        <f t="shared" si="4"/>
        <v>0.18522842335375961</v>
      </c>
      <c r="R29" s="140">
        <f>SUMIFS('Bilateral Assistance, MAIN DATA'!S:S,'Bilateral Assistance, MAIN DATA'!AS:AS,1, 'Bilateral Assistance, MAIN DATA'!B:B,B29)/1000000000</f>
        <v>0</v>
      </c>
      <c r="S29" s="292">
        <f t="shared" si="5"/>
        <v>0</v>
      </c>
    </row>
    <row r="30" spans="2:21" ht="15.9" customHeight="1" x14ac:dyDescent="0.3">
      <c r="B30" s="24" t="s">
        <v>1730</v>
      </c>
      <c r="C30" s="339">
        <v>1</v>
      </c>
      <c r="D30" s="292">
        <f>SUMIFS('Bilateral Assistance, MAIN DATA'!S:S,'Bilateral Assistance, MAIN DATA'!D:D,"Financial",'Bilateral Assistance, MAIN DATA'!B:B,'Country Summary'!B30)/1000000000</f>
        <v>0.31</v>
      </c>
      <c r="E30" s="292">
        <f>SUMIFS('Bilateral Assistance, MAIN DATA'!S:S,'Bilateral Assistance, MAIN DATA'!D:D,"Humanitarian",'Bilateral Assistance, MAIN DATA'!B:B,'Country Summary'!B30)/1000000000</f>
        <v>5.220712857142857E-2</v>
      </c>
      <c r="F30" s="292">
        <f>SUMIFS('Bilateral Assistance, MAIN DATA'!S:S,'Bilateral Assistance, MAIN DATA'!D:D,"Military",'Bilateral Assistance, MAIN DATA'!B:B,'Country Summary'!B30)/1000000000</f>
        <v>0.66091838062565367</v>
      </c>
      <c r="G30" s="295">
        <f t="shared" si="3"/>
        <v>1.0231255091970821</v>
      </c>
      <c r="H30" s="341">
        <f>1888709440000/1000000000</f>
        <v>1888.7094400000001</v>
      </c>
      <c r="I30" s="341">
        <f>H30/VLOOKUP("USD",'Exchange Rates'!B:C,2,0)</f>
        <v>1798.7708952380951</v>
      </c>
      <c r="J30" s="367">
        <f t="shared" si="6"/>
        <v>5.6879145193287982E-2</v>
      </c>
      <c r="K30" s="140">
        <f>VLOOKUP(B30,'EU Aid Shares'!B:E,4,0)</f>
        <v>3.6535550608465819</v>
      </c>
      <c r="L30" s="140">
        <f>VLOOKUP(B30,'EPF Aid Shares'!B:G,6,0)</f>
        <v>0.38892045695335609</v>
      </c>
      <c r="M30" s="129">
        <f>VLOOKUP(B30,'EIB Aid Shares'!B:E,4,0)</f>
        <v>0.37605786289314741</v>
      </c>
      <c r="N30" s="140">
        <f t="shared" si="0"/>
        <v>4.4185333806930851</v>
      </c>
      <c r="O30" s="115">
        <f t="shared" si="1"/>
        <v>0.24564180977078928</v>
      </c>
      <c r="P30" s="297">
        <f t="shared" si="2"/>
        <v>5.4416588898901672</v>
      </c>
      <c r="Q30" s="368">
        <f t="shared" si="4"/>
        <v>0.30252095496407727</v>
      </c>
      <c r="R30" s="140">
        <f>SUMIFS('Bilateral Assistance, MAIN DATA'!S:S,'Bilateral Assistance, MAIN DATA'!AS:AS,1, 'Bilateral Assistance, MAIN DATA'!B:B,B30)/1000000000</f>
        <v>0.66091838062565367</v>
      </c>
      <c r="S30" s="292">
        <f t="shared" si="5"/>
        <v>0</v>
      </c>
    </row>
    <row r="31" spans="2:21" ht="15.9" customHeight="1" x14ac:dyDescent="0.3">
      <c r="B31" s="24" t="s">
        <v>1804</v>
      </c>
      <c r="C31" s="339">
        <v>0</v>
      </c>
      <c r="D31" s="292">
        <f>SUMIFS('Bilateral Assistance, MAIN DATA'!S:S,'Bilateral Assistance, MAIN DATA'!D:D,"Financial",'Bilateral Assistance, MAIN DATA'!B:B,'Country Summary'!B31)/1000000000</f>
        <v>0.57142857142857151</v>
      </c>
      <c r="E31" s="292">
        <f>SUMIFS('Bilateral Assistance, MAIN DATA'!S:S,'Bilateral Assistance, MAIN DATA'!D:D,"Humanitarian",'Bilateral Assistance, MAIN DATA'!B:B,'Country Summary'!B31)/1000000000</f>
        <v>0.47800035238095234</v>
      </c>
      <c r="F31" s="292">
        <f>SUMIFS('Bilateral Assistance, MAIN DATA'!S:S,'Bilateral Assistance, MAIN DATA'!D:D,"Military",'Bilateral Assistance, MAIN DATA'!B:B,'Country Summary'!B31)/1000000000</f>
        <v>2.3352380952380951E-3</v>
      </c>
      <c r="G31" s="295">
        <f t="shared" si="3"/>
        <v>1.051764161904762</v>
      </c>
      <c r="H31" s="341">
        <f>5057758960000/1000000000</f>
        <v>5057.7589600000001</v>
      </c>
      <c r="I31" s="341">
        <f>H31/VLOOKUP("USD",'Exchange Rates'!B:C,2,0)</f>
        <v>4816.9132952380951</v>
      </c>
      <c r="J31" s="367">
        <f t="shared" si="6"/>
        <v>2.1834816145528613E-2</v>
      </c>
      <c r="K31" s="140">
        <f>VLOOKUP(B31,'EU Aid Shares'!B:E,4,0)</f>
        <v>0</v>
      </c>
      <c r="L31" s="140">
        <f>VLOOKUP(B31,'EPF Aid Shares'!B:G,6,0)</f>
        <v>0</v>
      </c>
      <c r="M31" s="129">
        <f>VLOOKUP(B31,'EIB Aid Shares'!B:E,4,0)</f>
        <v>0</v>
      </c>
      <c r="N31" s="140">
        <f t="shared" si="0"/>
        <v>0</v>
      </c>
      <c r="O31" s="115">
        <f t="shared" si="1"/>
        <v>0</v>
      </c>
      <c r="P31" s="297">
        <f t="shared" si="2"/>
        <v>1.051764161904762</v>
      </c>
      <c r="Q31" s="368">
        <f t="shared" si="4"/>
        <v>2.1834816145528613E-2</v>
      </c>
      <c r="R31" s="140">
        <f>SUMIFS('Bilateral Assistance, MAIN DATA'!S:S,'Bilateral Assistance, MAIN DATA'!AS:AS,1, 'Bilateral Assistance, MAIN DATA'!B:B,B31)/1000000000</f>
        <v>2.3352380952380951E-3</v>
      </c>
      <c r="S31" s="292">
        <f t="shared" si="5"/>
        <v>0</v>
      </c>
    </row>
    <row r="32" spans="2:21" ht="15.9" customHeight="1" x14ac:dyDescent="0.3">
      <c r="B32" s="24" t="s">
        <v>1861</v>
      </c>
      <c r="C32" s="339">
        <v>1</v>
      </c>
      <c r="D32" s="292">
        <f>SUMIFS('Bilateral Assistance, MAIN DATA'!S:S,'Bilateral Assistance, MAIN DATA'!D:D,"Financial",'Bilateral Assistance, MAIN DATA'!B:B,'Country Summary'!B32)/1000000000</f>
        <v>1.4999999999999999E-2</v>
      </c>
      <c r="E32" s="292">
        <f>SUMIFS('Bilateral Assistance, MAIN DATA'!S:S,'Bilateral Assistance, MAIN DATA'!D:D,"Humanitarian",'Bilateral Assistance, MAIN DATA'!B:B,'Country Summary'!B32)/1000000000</f>
        <v>3.0970529999999998E-3</v>
      </c>
      <c r="F32" s="292">
        <f>SUMIFS('Bilateral Assistance, MAIN DATA'!S:S,'Bilateral Assistance, MAIN DATA'!D:D,"Military",'Bilateral Assistance, MAIN DATA'!B:B,'Country Summary'!B32)/1000000000</f>
        <v>0.29499878461654938</v>
      </c>
      <c r="G32" s="295">
        <f t="shared" si="3"/>
        <v>0.31309583761654936</v>
      </c>
      <c r="H32" s="341">
        <f>33707320000/1000000000</f>
        <v>33.707320000000003</v>
      </c>
      <c r="I32" s="341">
        <f>H32/VLOOKUP("USD",'Exchange Rates'!B:C,2,0)</f>
        <v>32.102209523809528</v>
      </c>
      <c r="J32" s="367">
        <f t="shared" si="6"/>
        <v>0.97530930817809547</v>
      </c>
      <c r="K32" s="140">
        <f>VLOOKUP(B32,'EU Aid Shares'!B:E,4,0)</f>
        <v>6.1001707008173187E-2</v>
      </c>
      <c r="L32" s="140">
        <f>VLOOKUP(B32,'EPF Aid Shares'!B:G,6,0)</f>
        <v>6.8758614560072394E-3</v>
      </c>
      <c r="M32" s="129">
        <f>VLOOKUP(B32,'EIB Aid Shares'!B:E,4,0)</f>
        <v>2.1496355379410164E-3</v>
      </c>
      <c r="N32" s="140">
        <f t="shared" si="0"/>
        <v>7.0027204002121451E-2</v>
      </c>
      <c r="O32" s="115">
        <f t="shared" si="1"/>
        <v>0.21813826848953735</v>
      </c>
      <c r="P32" s="297">
        <f t="shared" si="2"/>
        <v>0.38312304161867083</v>
      </c>
      <c r="Q32" s="368">
        <f t="shared" si="4"/>
        <v>1.1934475766676329</v>
      </c>
      <c r="R32" s="140">
        <f>SUMIFS('Bilateral Assistance, MAIN DATA'!S:S,'Bilateral Assistance, MAIN DATA'!AS:AS,1, 'Bilateral Assistance, MAIN DATA'!B:B,B32)/1000000000</f>
        <v>0.29499878461654938</v>
      </c>
      <c r="S32" s="292">
        <f t="shared" si="5"/>
        <v>0</v>
      </c>
    </row>
    <row r="33" spans="2:19" ht="15.9" customHeight="1" x14ac:dyDescent="0.3">
      <c r="B33" s="24" t="s">
        <v>1919</v>
      </c>
      <c r="C33" s="339">
        <v>1</v>
      </c>
      <c r="D33" s="292">
        <f>SUMIFS('Bilateral Assistance, MAIN DATA'!S:S,'Bilateral Assistance, MAIN DATA'!D:D,"Financial",'Bilateral Assistance, MAIN DATA'!B:B,'Country Summary'!B33)/1000000000</f>
        <v>0.01</v>
      </c>
      <c r="E33" s="292">
        <f>SUMIFS('Bilateral Assistance, MAIN DATA'!S:S,'Bilateral Assistance, MAIN DATA'!D:D,"Humanitarian",'Bilateral Assistance, MAIN DATA'!B:B,'Country Summary'!B33)/1000000000</f>
        <v>6.0999999999999999E-2</v>
      </c>
      <c r="F33" s="292">
        <f>SUMIFS('Bilateral Assistance, MAIN DATA'!S:S,'Bilateral Assistance, MAIN DATA'!D:D,"Military",'Bilateral Assistance, MAIN DATA'!B:B,'Country Summary'!B33)/1000000000</f>
        <v>0.28000000000000003</v>
      </c>
      <c r="G33" s="295">
        <f t="shared" si="3"/>
        <v>0.35100000000000003</v>
      </c>
      <c r="H33" s="341">
        <f>56546960000/1000000000</f>
        <v>56.546959999999999</v>
      </c>
      <c r="I33" s="341">
        <f>H33/VLOOKUP("USD",'Exchange Rates'!B:C,2,0)</f>
        <v>53.854247619047612</v>
      </c>
      <c r="J33" s="367">
        <f t="shared" si="6"/>
        <v>0.65175917502903802</v>
      </c>
      <c r="K33" s="140">
        <f>VLOOKUP(B33,'EU Aid Shares'!B:E,4,0)</f>
        <v>9.7675479653563865E-2</v>
      </c>
      <c r="L33" s="140">
        <f>VLOOKUP(B33,'EPF Aid Shares'!B:G,6,0)</f>
        <v>1.1087003065446896E-2</v>
      </c>
      <c r="M33" s="129">
        <f>VLOOKUP(B33,'EIB Aid Shares'!B:E,4,0)</f>
        <v>3.5224114686203721E-3</v>
      </c>
      <c r="N33" s="140">
        <f t="shared" si="0"/>
        <v>0.11228489418763113</v>
      </c>
      <c r="O33" s="115">
        <f t="shared" si="1"/>
        <v>0.20849774929901219</v>
      </c>
      <c r="P33" s="297">
        <f t="shared" si="2"/>
        <v>0.46328489418763119</v>
      </c>
      <c r="Q33" s="368">
        <f t="shared" si="4"/>
        <v>0.86025692432805023</v>
      </c>
      <c r="R33" s="140">
        <f>SUMIFS('Bilateral Assistance, MAIN DATA'!S:S,'Bilateral Assistance, MAIN DATA'!AS:AS,1, 'Bilateral Assistance, MAIN DATA'!B:B,B33)/1000000000</f>
        <v>0.20321988761904761</v>
      </c>
      <c r="S33" s="292">
        <f t="shared" si="5"/>
        <v>7.678011238095242E-2</v>
      </c>
    </row>
    <row r="34" spans="2:19" ht="15.9" customHeight="1" x14ac:dyDescent="0.3">
      <c r="B34" s="24" t="s">
        <v>2024</v>
      </c>
      <c r="C34" s="339">
        <v>1</v>
      </c>
      <c r="D34" s="292">
        <f>SUMIFS('Bilateral Assistance, MAIN DATA'!S:S,'Bilateral Assistance, MAIN DATA'!D:D,"Financial",'Bilateral Assistance, MAIN DATA'!B:B,'Country Summary'!B34)/1000000000</f>
        <v>0</v>
      </c>
      <c r="E34" s="292">
        <f>SUMIFS('Bilateral Assistance, MAIN DATA'!S:S,'Bilateral Assistance, MAIN DATA'!D:D,"Humanitarian",'Bilateral Assistance, MAIN DATA'!B:B,'Country Summary'!B34)/1000000000</f>
        <v>4.0000000000000001E-3</v>
      </c>
      <c r="F34" s="292">
        <f>SUMIFS('Bilateral Assistance, MAIN DATA'!S:S,'Bilateral Assistance, MAIN DATA'!D:D,"Military",'Bilateral Assistance, MAIN DATA'!B:B,'Country Summary'!B34)/1000000000</f>
        <v>7.4999999999999997E-2</v>
      </c>
      <c r="G34" s="295">
        <f t="shared" si="3"/>
        <v>7.9000000000000001E-2</v>
      </c>
      <c r="H34" s="341">
        <f>73353130000/1000000000</f>
        <v>73.353129999999993</v>
      </c>
      <c r="I34" s="341">
        <f>H34/VLOOKUP("USD",'Exchange Rates'!B:C,2,0)</f>
        <v>69.860123809523799</v>
      </c>
      <c r="J34" s="367">
        <f t="shared" si="6"/>
        <v>0.11308310906433033</v>
      </c>
      <c r="K34" s="140">
        <f>VLOOKUP(B34,'EU Aid Shares'!B:E,4,0)</f>
        <v>9.5749785640678695E-2</v>
      </c>
      <c r="L34" s="140">
        <f>VLOOKUP(B34,'EPF Aid Shares'!B:G,6,0)</f>
        <v>1.0338626904117239E-2</v>
      </c>
      <c r="M34" s="129">
        <f>VLOOKUP(B34,'EIB Aid Shares'!B:E,4,0)</f>
        <v>2.6390189924416279E-3</v>
      </c>
      <c r="N34" s="140">
        <f t="shared" si="0"/>
        <v>0.10872743153723756</v>
      </c>
      <c r="O34" s="115">
        <f t="shared" si="1"/>
        <v>0.15563589871911321</v>
      </c>
      <c r="P34" s="297">
        <f t="shared" si="2"/>
        <v>0.18772743153723756</v>
      </c>
      <c r="Q34" s="368">
        <f t="shared" si="4"/>
        <v>0.26871900778344354</v>
      </c>
      <c r="R34" s="140">
        <f>SUMIFS('Bilateral Assistance, MAIN DATA'!S:S,'Bilateral Assistance, MAIN DATA'!AS:AS,1, 'Bilateral Assistance, MAIN DATA'!B:B,B34)/1000000000</f>
        <v>7.4999999999999997E-2</v>
      </c>
      <c r="S34" s="292">
        <f t="shared" si="5"/>
        <v>0</v>
      </c>
    </row>
    <row r="35" spans="2:19" ht="15.9" customHeight="1" x14ac:dyDescent="0.3">
      <c r="B35" s="24" t="s">
        <v>2066</v>
      </c>
      <c r="C35" s="339">
        <v>1</v>
      </c>
      <c r="D35" s="292">
        <f>SUMIFS('Bilateral Assistance, MAIN DATA'!S:S,'Bilateral Assistance, MAIN DATA'!D:D,"Financial",'Bilateral Assistance, MAIN DATA'!B:B,'Country Summary'!B35)/1000000000</f>
        <v>0</v>
      </c>
      <c r="E35" s="292">
        <f>SUMIFS('Bilateral Assistance, MAIN DATA'!S:S,'Bilateral Assistance, MAIN DATA'!D:D,"Humanitarian",'Bilateral Assistance, MAIN DATA'!B:B,'Country Summary'!B35)/1000000000</f>
        <v>1.6999999999999999E-3</v>
      </c>
      <c r="F35" s="292">
        <f>SUMIFS('Bilateral Assistance, MAIN DATA'!S:S,'Bilateral Assistance, MAIN DATA'!D:D,"Military",'Bilateral Assistance, MAIN DATA'!B:B,'Country Summary'!B35)/1000000000</f>
        <v>0</v>
      </c>
      <c r="G35" s="295">
        <f t="shared" si="3"/>
        <v>1.6999999999999999E-3</v>
      </c>
      <c r="H35" s="341">
        <f>14647380000/1000000000</f>
        <v>14.64738</v>
      </c>
      <c r="I35" s="341">
        <f>H35/VLOOKUP("USD",'Exchange Rates'!B:C,2,0)</f>
        <v>13.949885714285713</v>
      </c>
      <c r="J35" s="367">
        <f t="shared" si="6"/>
        <v>1.2186479766347293E-2</v>
      </c>
      <c r="K35" s="140">
        <f>VLOOKUP(B35,'EU Aid Shares'!B:E,4,0)</f>
        <v>2.4927039166791214E-2</v>
      </c>
      <c r="L35" s="140">
        <f>VLOOKUP(B35,'EPF Aid Shares'!B:G,6,0)</f>
        <v>2.6943016004964907E-3</v>
      </c>
      <c r="M35" s="129">
        <f>VLOOKUP(B35,'EIB Aid Shares'!B:E,4,0)</f>
        <v>9.8502254614655517E-4</v>
      </c>
      <c r="N35" s="140">
        <f t="shared" si="0"/>
        <v>2.860636331343426E-2</v>
      </c>
      <c r="O35" s="115">
        <f t="shared" si="1"/>
        <v>0.20506521629879182</v>
      </c>
      <c r="P35" s="297">
        <f t="shared" si="2"/>
        <v>3.0306363313434261E-2</v>
      </c>
      <c r="Q35" s="368">
        <f t="shared" si="4"/>
        <v>0.21725169606513911</v>
      </c>
      <c r="R35" s="140">
        <f>SUMIFS('Bilateral Assistance, MAIN DATA'!S:S,'Bilateral Assistance, MAIN DATA'!AS:AS,1, 'Bilateral Assistance, MAIN DATA'!B:B,B35)/1000000000</f>
        <v>0</v>
      </c>
      <c r="S35" s="292">
        <f t="shared" si="5"/>
        <v>0</v>
      </c>
    </row>
    <row r="36" spans="2:19" ht="15.9" customHeight="1" x14ac:dyDescent="0.3">
      <c r="B36" s="24" t="s">
        <v>2076</v>
      </c>
      <c r="C36" s="339">
        <v>1</v>
      </c>
      <c r="D36" s="292">
        <f>SUMIFS('Bilateral Assistance, MAIN DATA'!S:S,'Bilateral Assistance, MAIN DATA'!D:D,"Financial",'Bilateral Assistance, MAIN DATA'!B:B,'Country Summary'!B36)/1000000000</f>
        <v>0.34849999999999998</v>
      </c>
      <c r="E36" s="292">
        <f>SUMIFS('Bilateral Assistance, MAIN DATA'!S:S,'Bilateral Assistance, MAIN DATA'!D:D,"Humanitarian",'Bilateral Assistance, MAIN DATA'!B:B,'Country Summary'!B36)/1000000000</f>
        <v>0.21205790476190478</v>
      </c>
      <c r="F36" s="292">
        <f>SUMIFS('Bilateral Assistance, MAIN DATA'!S:S,'Bilateral Assistance, MAIN DATA'!D:D,"Military",'Bilateral Assistance, MAIN DATA'!B:B,'Country Summary'!B36)/1000000000</f>
        <v>0.85850000000000004</v>
      </c>
      <c r="G36" s="295">
        <f t="shared" si="3"/>
        <v>1.4190579047619047</v>
      </c>
      <c r="H36" s="341">
        <f>913865400000/1000000000</f>
        <v>913.86540000000002</v>
      </c>
      <c r="I36" s="341">
        <f>H36/VLOOKUP("USD",'Exchange Rates'!B:C,2,0)</f>
        <v>870.34799999999996</v>
      </c>
      <c r="J36" s="367">
        <f t="shared" si="6"/>
        <v>0.16304488604120476</v>
      </c>
      <c r="K36" s="140">
        <f>VLOOKUP(B36,'EU Aid Shares'!B:E,4,0)</f>
        <v>2.3622488456062238</v>
      </c>
      <c r="L36" s="140">
        <f>VLOOKUP(B36,'EPF Aid Shares'!B:G,6,0)</f>
        <v>0.18010130711931227</v>
      </c>
      <c r="M36" s="129">
        <f>VLOOKUP(B36,'EIB Aid Shares'!B:E,4,0)</f>
        <v>0.10424062413548618</v>
      </c>
      <c r="N36" s="140">
        <f t="shared" si="0"/>
        <v>2.6465907768610224</v>
      </c>
      <c r="O36" s="115">
        <f t="shared" si="1"/>
        <v>0.30408420273971132</v>
      </c>
      <c r="P36" s="297">
        <f t="shared" si="2"/>
        <v>4.0656486816229274</v>
      </c>
      <c r="Q36" s="368">
        <f t="shared" si="4"/>
        <v>0.46712908878091608</v>
      </c>
      <c r="R36" s="140">
        <f>SUMIFS('Bilateral Assistance, MAIN DATA'!S:S,'Bilateral Assistance, MAIN DATA'!AS:AS,1, 'Bilateral Assistance, MAIN DATA'!B:B,B36)/1000000000</f>
        <v>0.84850000000000003</v>
      </c>
      <c r="S36" s="292">
        <f t="shared" si="5"/>
        <v>1.0000000000000009E-2</v>
      </c>
    </row>
    <row r="37" spans="2:19" ht="15.9" customHeight="1" x14ac:dyDescent="0.3">
      <c r="B37" s="2" t="s">
        <v>2168</v>
      </c>
      <c r="C37" s="339">
        <v>0</v>
      </c>
      <c r="D37" s="292">
        <f>SUMIFS('Bilateral Assistance, MAIN DATA'!S:S,'Bilateral Assistance, MAIN DATA'!D:D,"Financial",'Bilateral Assistance, MAIN DATA'!B:B,'Country Summary'!B37)/1000000000</f>
        <v>0</v>
      </c>
      <c r="E37" s="292">
        <f>SUMIFS('Bilateral Assistance, MAIN DATA'!S:S,'Bilateral Assistance, MAIN DATA'!D:D,"Humanitarian",'Bilateral Assistance, MAIN DATA'!B:B,'Country Summary'!B37)/1000000000</f>
        <v>2.4055809477988932E-3</v>
      </c>
      <c r="F37" s="292">
        <f>SUMIFS('Bilateral Assistance, MAIN DATA'!S:S,'Bilateral Assistance, MAIN DATA'!D:D,"Military",'Bilateral Assistance, MAIN DATA'!B:B,'Country Summary'!B37)/1000000000</f>
        <v>1.8335310205390792E-2</v>
      </c>
      <c r="G37" s="295">
        <f t="shared" si="3"/>
        <v>2.0740891153189684E-2</v>
      </c>
      <c r="H37" s="366">
        <f>210700848973.509/1000000000</f>
        <v>210.70084897350901</v>
      </c>
      <c r="I37" s="341">
        <f>H37/VLOOKUP("USD",'Exchange Rates'!B:C,2,0)</f>
        <v>200.66747521286572</v>
      </c>
      <c r="J37" s="367">
        <f t="shared" si="6"/>
        <v>1.033595062238561E-2</v>
      </c>
      <c r="K37" s="140">
        <f>VLOOKUP(B37,'EU Aid Shares'!B:E,4,0)</f>
        <v>0</v>
      </c>
      <c r="L37" s="140">
        <f>VLOOKUP(B37,'EPF Aid Shares'!B:G,6,0)</f>
        <v>0</v>
      </c>
      <c r="M37" s="129">
        <f>VLOOKUP(B37,'EIB Aid Shares'!B:E,4,0)</f>
        <v>0</v>
      </c>
      <c r="N37" s="140">
        <f t="shared" si="0"/>
        <v>0</v>
      </c>
      <c r="O37" s="115">
        <f t="shared" si="1"/>
        <v>0</v>
      </c>
      <c r="P37" s="297">
        <f t="shared" si="2"/>
        <v>2.0740891153189684E-2</v>
      </c>
      <c r="Q37" s="368">
        <f t="shared" si="4"/>
        <v>1.033595062238561E-2</v>
      </c>
      <c r="R37" s="140">
        <f>SUMIFS('Bilateral Assistance, MAIN DATA'!S:S,'Bilateral Assistance, MAIN DATA'!AS:AS,1, 'Bilateral Assistance, MAIN DATA'!B:B,B37)/1000000000</f>
        <v>4.7437778503270451E-3</v>
      </c>
      <c r="S37" s="292">
        <f t="shared" si="5"/>
        <v>1.3591532355063746E-2</v>
      </c>
    </row>
    <row r="38" spans="2:19" ht="15.9" customHeight="1" x14ac:dyDescent="0.3">
      <c r="B38" s="2" t="s">
        <v>2206</v>
      </c>
      <c r="C38" s="339">
        <v>0</v>
      </c>
      <c r="D38" s="292">
        <f>SUMIFS('Bilateral Assistance, MAIN DATA'!S:S,'Bilateral Assistance, MAIN DATA'!D:D,"Financial",'Bilateral Assistance, MAIN DATA'!B:B,'Country Summary'!B38)/1000000000</f>
        <v>0.32207512522473153</v>
      </c>
      <c r="E38" s="292">
        <f>SUMIFS('Bilateral Assistance, MAIN DATA'!S:S,'Bilateral Assistance, MAIN DATA'!D:D,"Humanitarian",'Bilateral Assistance, MAIN DATA'!B:B,'Country Summary'!B38)/1000000000</f>
        <v>0.32351725265111086</v>
      </c>
      <c r="F38" s="292">
        <f>SUMIFS('Bilateral Assistance, MAIN DATA'!S:S,'Bilateral Assistance, MAIN DATA'!D:D,"Military",'Bilateral Assistance, MAIN DATA'!B:B,'Country Summary'!B38)/1000000000</f>
        <v>0.59214133326908946</v>
      </c>
      <c r="G38" s="295">
        <f t="shared" si="3"/>
        <v>1.2377337111449318</v>
      </c>
      <c r="H38" s="366">
        <f>362198318435.26/1000000000</f>
        <v>362.19831843526003</v>
      </c>
      <c r="I38" s="341">
        <f>H38/VLOOKUP("USD",'Exchange Rates'!B:C,2,0)</f>
        <v>344.95077946215241</v>
      </c>
      <c r="J38" s="367">
        <f t="shared" si="6"/>
        <v>0.35881458597507954</v>
      </c>
      <c r="K38" s="140">
        <f>VLOOKUP(B38,'EU Aid Shares'!B:E,4,0)</f>
        <v>0</v>
      </c>
      <c r="L38" s="140">
        <f>VLOOKUP(B38,'EPF Aid Shares'!B:G,6,0)</f>
        <v>0</v>
      </c>
      <c r="M38" s="129">
        <f>VLOOKUP(B38,'EIB Aid Shares'!B:E,4,0)</f>
        <v>0</v>
      </c>
      <c r="N38" s="140">
        <f t="shared" si="0"/>
        <v>0</v>
      </c>
      <c r="O38" s="115">
        <f t="shared" si="1"/>
        <v>0</v>
      </c>
      <c r="P38" s="297">
        <f t="shared" si="2"/>
        <v>1.2377337111449318</v>
      </c>
      <c r="Q38" s="368">
        <f t="shared" si="4"/>
        <v>0.35881458597507954</v>
      </c>
      <c r="R38" s="140">
        <f>SUMIFS('Bilateral Assistance, MAIN DATA'!S:S,'Bilateral Assistance, MAIN DATA'!AS:AS,1, 'Bilateral Assistance, MAIN DATA'!B:B,B38)/1000000000</f>
        <v>0.25083784235929935</v>
      </c>
      <c r="S38" s="292">
        <f t="shared" si="5"/>
        <v>0.34130349090979012</v>
      </c>
    </row>
    <row r="39" spans="2:19" ht="15.9" customHeight="1" x14ac:dyDescent="0.3">
      <c r="B39" s="24" t="s">
        <v>2303</v>
      </c>
      <c r="C39" s="339">
        <v>1</v>
      </c>
      <c r="D39" s="292">
        <f>SUMIFS('Bilateral Assistance, MAIN DATA'!S:S,'Bilateral Assistance, MAIN DATA'!D:D,"Financial",'Bilateral Assistance, MAIN DATA'!B:B,'Country Summary'!B39)/1000000000</f>
        <v>0.95884326632016348</v>
      </c>
      <c r="E39" s="292">
        <f>SUMIFS('Bilateral Assistance, MAIN DATA'!S:S,'Bilateral Assistance, MAIN DATA'!D:D,"Humanitarian",'Bilateral Assistance, MAIN DATA'!B:B,'Country Summary'!B39)/1000000000</f>
        <v>0.17200476190476188</v>
      </c>
      <c r="F39" s="292">
        <f>SUMIFS('Bilateral Assistance, MAIN DATA'!S:S,'Bilateral Assistance, MAIN DATA'!D:D,"Military",'Bilateral Assistance, MAIN DATA'!B:B,'Country Summary'!B39)/1000000000</f>
        <v>2.4278310691428571</v>
      </c>
      <c r="G39" s="295">
        <f t="shared" si="3"/>
        <v>3.5586790973677824</v>
      </c>
      <c r="H39" s="341">
        <f>596624360000/1000000000</f>
        <v>596.62436000000002</v>
      </c>
      <c r="I39" s="341">
        <f>H39/VLOOKUP("USD",'Exchange Rates'!B:C,2,0)</f>
        <v>568.21367619047624</v>
      </c>
      <c r="J39" s="367">
        <f t="shared" si="6"/>
        <v>0.62629240486194215</v>
      </c>
      <c r="K39" s="140">
        <f>VLOOKUP(B39,'EU Aid Shares'!B:E,4,0)</f>
        <v>1.2508024511693399</v>
      </c>
      <c r="L39" s="140">
        <f>VLOOKUP(B39,'EPF Aid Shares'!B:G,6,0)</f>
        <v>0.11695772192339397</v>
      </c>
      <c r="M39" s="129">
        <f>VLOOKUP(B39,'EIB Aid Shares'!B:E,4,0)</f>
        <v>9.1487854785372302E-2</v>
      </c>
      <c r="N39" s="140">
        <f t="shared" si="0"/>
        <v>1.4592480278781061</v>
      </c>
      <c r="O39" s="115">
        <f t="shared" si="1"/>
        <v>0.25681325336297217</v>
      </c>
      <c r="P39" s="297">
        <f t="shared" si="2"/>
        <v>5.0179271252458886</v>
      </c>
      <c r="Q39" s="368">
        <f t="shared" si="4"/>
        <v>0.88310565822491438</v>
      </c>
      <c r="R39" s="140">
        <f>SUMIFS('Bilateral Assistance, MAIN DATA'!S:S,'Bilateral Assistance, MAIN DATA'!AS:AS,1, 'Bilateral Assistance, MAIN DATA'!B:B,B39)/1000000000</f>
        <v>2.4278310691428571</v>
      </c>
      <c r="S39" s="292">
        <f t="shared" si="5"/>
        <v>0</v>
      </c>
    </row>
    <row r="40" spans="2:19" ht="15.9" customHeight="1" x14ac:dyDescent="0.3">
      <c r="B40" s="24" t="s">
        <v>2370</v>
      </c>
      <c r="C40" s="339">
        <v>1</v>
      </c>
      <c r="D40" s="292">
        <f>SUMIFS('Bilateral Assistance, MAIN DATA'!S:S,'Bilateral Assistance, MAIN DATA'!D:D,"Financial",'Bilateral Assistance, MAIN DATA'!B:B,'Country Summary'!B40)/1000000000</f>
        <v>0.25</v>
      </c>
      <c r="E40" s="292">
        <f>SUMIFS('Bilateral Assistance, MAIN DATA'!S:S,'Bilateral Assistance, MAIN DATA'!D:D,"Humanitarian",'Bilateral Assistance, MAIN DATA'!B:B,'Country Summary'!B40)/1000000000</f>
        <v>0.16838809523809523</v>
      </c>
      <c r="F40" s="292">
        <f>SUMIFS('Bilateral Assistance, MAIN DATA'!S:S,'Bilateral Assistance, MAIN DATA'!D:D,"Military",'Bilateral Assistance, MAIN DATA'!B:B,'Country Summary'!B40)/1000000000</f>
        <v>4.4144784553516107E-2</v>
      </c>
      <c r="G40" s="295">
        <f t="shared" si="3"/>
        <v>0.46253287979161134</v>
      </c>
      <c r="H40" s="369">
        <f>228539000000/1000000000</f>
        <v>228.53899999999999</v>
      </c>
      <c r="I40" s="341">
        <f>H40/VLOOKUP("USD",'Exchange Rates'!B:C,2,0)</f>
        <v>217.65619047619046</v>
      </c>
      <c r="J40" s="367">
        <f t="shared" si="6"/>
        <v>0.21250619097011536</v>
      </c>
      <c r="K40" s="140">
        <f>VLOOKUP(B40,'EU Aid Shares'!B:E,4,0)</f>
        <v>0.4330885834978721</v>
      </c>
      <c r="L40" s="140">
        <f>VLOOKUP(B40,'EPF Aid Shares'!B:G,6,0)</f>
        <v>4.5402125101813344E-2</v>
      </c>
      <c r="M40" s="129">
        <f>VLOOKUP(B40,'EIB Aid Shares'!B:E,4,0)</f>
        <v>1.8221655482288625E-2</v>
      </c>
      <c r="N40" s="140">
        <f t="shared" si="0"/>
        <v>0.49671236408197406</v>
      </c>
      <c r="O40" s="115">
        <f t="shared" si="1"/>
        <v>0.22820961948992199</v>
      </c>
      <c r="P40" s="297">
        <f t="shared" si="2"/>
        <v>0.95924524387358545</v>
      </c>
      <c r="Q40" s="368">
        <f t="shared" si="4"/>
        <v>0.44071581046003738</v>
      </c>
      <c r="R40" s="140">
        <f>SUMIFS('Bilateral Assistance, MAIN DATA'!S:S,'Bilateral Assistance, MAIN DATA'!AS:AS,1, 'Bilateral Assistance, MAIN DATA'!B:B,B40)/1000000000</f>
        <v>4.4144784553516107E-2</v>
      </c>
      <c r="S40" s="292">
        <f t="shared" si="5"/>
        <v>0</v>
      </c>
    </row>
    <row r="41" spans="2:19" ht="15.9" customHeight="1" x14ac:dyDescent="0.3">
      <c r="B41" s="2" t="s">
        <v>2424</v>
      </c>
      <c r="C41" s="339">
        <v>0</v>
      </c>
      <c r="D41" s="292">
        <f>SUMIFS('Bilateral Assistance, MAIN DATA'!S:S,'Bilateral Assistance, MAIN DATA'!D:D,"Financial",'Bilateral Assistance, MAIN DATA'!B:B,'Country Summary'!B41)/1000000000</f>
        <v>0</v>
      </c>
      <c r="E41" s="292">
        <f>SUMIFS('Bilateral Assistance, MAIN DATA'!S:S,'Bilateral Assistance, MAIN DATA'!D:D,"Humanitarian",'Bilateral Assistance, MAIN DATA'!B:B,'Country Summary'!B41)/1000000000</f>
        <v>9.5238095238095261E-2</v>
      </c>
      <c r="F41" s="292">
        <f>SUMIFS('Bilateral Assistance, MAIN DATA'!S:S,'Bilateral Assistance, MAIN DATA'!D:D,"Military",'Bilateral Assistance, MAIN DATA'!B:B,'Country Summary'!B41)/1000000000</f>
        <v>3.4095238095238093E-3</v>
      </c>
      <c r="G41" s="295">
        <f t="shared" si="3"/>
        <v>9.8647619047619067E-2</v>
      </c>
      <c r="H41" s="366">
        <f>1637895802792.9/1000000000</f>
        <v>1637.8958027929</v>
      </c>
      <c r="I41" s="341">
        <f>H41/VLOOKUP("USD",'Exchange Rates'!B:C,2,0)</f>
        <v>1559.9007645646666</v>
      </c>
      <c r="J41" s="367">
        <f t="shared" si="6"/>
        <v>6.323967606692558E-3</v>
      </c>
      <c r="K41" s="140">
        <f>VLOOKUP(B41,'EU Aid Shares'!B:E,4,0)</f>
        <v>0</v>
      </c>
      <c r="L41" s="140">
        <f>VLOOKUP(B41,'EPF Aid Shares'!B:G,6,0)</f>
        <v>0</v>
      </c>
      <c r="M41" s="129">
        <f>VLOOKUP(B41,'EIB Aid Shares'!B:E,4,0)</f>
        <v>0</v>
      </c>
      <c r="N41" s="140">
        <f t="shared" si="0"/>
        <v>0</v>
      </c>
      <c r="O41" s="115">
        <f t="shared" si="1"/>
        <v>0</v>
      </c>
      <c r="P41" s="297">
        <f t="shared" si="2"/>
        <v>9.8647619047619067E-2</v>
      </c>
      <c r="Q41" s="368">
        <f t="shared" si="4"/>
        <v>6.323967606692558E-3</v>
      </c>
      <c r="R41" s="140">
        <f>SUMIFS('Bilateral Assistance, MAIN DATA'!S:S,'Bilateral Assistance, MAIN DATA'!AS:AS,1, 'Bilateral Assistance, MAIN DATA'!B:B,B41)/1000000000</f>
        <v>3.4095238095238093E-3</v>
      </c>
      <c r="S41" s="292">
        <f t="shared" si="5"/>
        <v>0</v>
      </c>
    </row>
    <row r="42" spans="2:19" ht="15.9" customHeight="1" x14ac:dyDescent="0.3">
      <c r="B42" s="24" t="s">
        <v>2460</v>
      </c>
      <c r="C42" s="339">
        <v>1</v>
      </c>
      <c r="D42" s="292">
        <f>SUMIFS('Bilateral Assistance, MAIN DATA'!S:S,'Bilateral Assistance, MAIN DATA'!D:D,"Financial",'Bilateral Assistance, MAIN DATA'!B:B,'Country Summary'!B42)/1000000000</f>
        <v>0</v>
      </c>
      <c r="E42" s="292">
        <f>SUMIFS('Bilateral Assistance, MAIN DATA'!S:S,'Bilateral Assistance, MAIN DATA'!D:D,"Humanitarian",'Bilateral Assistance, MAIN DATA'!B:B,'Country Summary'!B42)/1000000000</f>
        <v>7.6871827960629645E-3</v>
      </c>
      <c r="F42" s="292">
        <f>SUMIFS('Bilateral Assistance, MAIN DATA'!S:S,'Bilateral Assistance, MAIN DATA'!D:D,"Military",'Bilateral Assistance, MAIN DATA'!B:B,'Country Summary'!B42)/1000000000</f>
        <v>3.0000000000000001E-3</v>
      </c>
      <c r="G42" s="295">
        <f t="shared" si="3"/>
        <v>1.0687182796062965E-2</v>
      </c>
      <c r="H42" s="341">
        <f>248715550000/1000000000</f>
        <v>248.71555000000001</v>
      </c>
      <c r="I42" s="341">
        <f>H42/VLOOKUP("USD",'Exchange Rates'!B:C,2,0)</f>
        <v>236.87195238095237</v>
      </c>
      <c r="J42" s="367">
        <f t="shared" si="6"/>
        <v>4.5117974874776083E-3</v>
      </c>
      <c r="K42" s="140">
        <f>VLOOKUP(B42,'EU Aid Shares'!B:E,4,0)</f>
        <v>0.49603738111907369</v>
      </c>
      <c r="L42" s="140">
        <f>VLOOKUP(B42,'EPF Aid Shares'!B:G,6,0)</f>
        <v>4.9071191009623816E-2</v>
      </c>
      <c r="M42" s="129">
        <f>VLOOKUP(B42,'EIB Aid Shares'!B:E,4,0)</f>
        <v>1.3194994215684461E-2</v>
      </c>
      <c r="N42" s="140">
        <f t="shared" si="0"/>
        <v>0.55830356634438194</v>
      </c>
      <c r="O42" s="115">
        <f t="shared" si="1"/>
        <v>0.23569846946103734</v>
      </c>
      <c r="P42" s="297">
        <f t="shared" si="2"/>
        <v>0.5689907491404449</v>
      </c>
      <c r="Q42" s="368">
        <f t="shared" si="4"/>
        <v>0.24021026694851494</v>
      </c>
      <c r="R42" s="140">
        <f>SUMIFS('Bilateral Assistance, MAIN DATA'!S:S,'Bilateral Assistance, MAIN DATA'!AS:AS,1, 'Bilateral Assistance, MAIN DATA'!B:B,B42)/1000000000</f>
        <v>3.0000000000000001E-3</v>
      </c>
      <c r="S42" s="292">
        <f t="shared" si="5"/>
        <v>0</v>
      </c>
    </row>
    <row r="43" spans="2:19" ht="15.9" customHeight="1" x14ac:dyDescent="0.3">
      <c r="B43" s="24" t="s">
        <v>2489</v>
      </c>
      <c r="C43" s="339">
        <v>1</v>
      </c>
      <c r="D43" s="292">
        <f>SUMIFS('Bilateral Assistance, MAIN DATA'!S:S,'Bilateral Assistance, MAIN DATA'!D:D,"Financial",'Bilateral Assistance, MAIN DATA'!B:B,'Country Summary'!B43)/1000000000</f>
        <v>0</v>
      </c>
      <c r="E43" s="292">
        <f>SUMIFS('Bilateral Assistance, MAIN DATA'!S:S,'Bilateral Assistance, MAIN DATA'!D:D,"Humanitarian",'Bilateral Assistance, MAIN DATA'!B:B,'Country Summary'!B43)/1000000000</f>
        <v>8.9999999999999993E-3</v>
      </c>
      <c r="F43" s="292">
        <f>SUMIFS('Bilateral Assistance, MAIN DATA'!S:S,'Bilateral Assistance, MAIN DATA'!D:D,"Military",'Bilateral Assistance, MAIN DATA'!B:B,'Country Summary'!B43)/1000000000</f>
        <v>0.2150631199047619</v>
      </c>
      <c r="G43" s="295">
        <f t="shared" si="3"/>
        <v>0.22406311990476191</v>
      </c>
      <c r="H43" s="341">
        <f>105172560000/1000000000</f>
        <v>105.17256</v>
      </c>
      <c r="I43" s="341">
        <f>H43/VLOOKUP("USD",'Exchange Rates'!B:C,2,0)</f>
        <v>100.16434285714286</v>
      </c>
      <c r="J43" s="367">
        <f t="shared" si="6"/>
        <v>0.22369549234134833</v>
      </c>
      <c r="K43" s="140">
        <f>VLOOKUP(B43,'EU Aid Shares'!B:E,4,0)</f>
        <v>0.27783485285904197</v>
      </c>
      <c r="L43" s="140">
        <f>VLOOKUP(B43,'EPF Aid Shares'!B:G,6,0)</f>
        <v>2.088273451279668E-2</v>
      </c>
      <c r="M43" s="129">
        <f>VLOOKUP(B43,'EIB Aid Shares'!B:E,4,0)</f>
        <v>6.0465311555603042E-3</v>
      </c>
      <c r="N43" s="140">
        <f t="shared" si="0"/>
        <v>0.30476411852739893</v>
      </c>
      <c r="O43" s="115">
        <f t="shared" si="1"/>
        <v>0.30426408224138396</v>
      </c>
      <c r="P43" s="297">
        <f t="shared" si="2"/>
        <v>0.52882723843216084</v>
      </c>
      <c r="Q43" s="368">
        <f t="shared" si="4"/>
        <v>0.52795957458273235</v>
      </c>
      <c r="R43" s="140">
        <f>SUMIFS('Bilateral Assistance, MAIN DATA'!S:S,'Bilateral Assistance, MAIN DATA'!AS:AS,1, 'Bilateral Assistance, MAIN DATA'!B:B,B43)/1000000000</f>
        <v>0.2150631199047619</v>
      </c>
      <c r="S43" s="292">
        <f t="shared" si="5"/>
        <v>0</v>
      </c>
    </row>
    <row r="44" spans="2:19" ht="15.9" customHeight="1" x14ac:dyDescent="0.3">
      <c r="B44" s="24" t="s">
        <v>2547</v>
      </c>
      <c r="C44" s="339">
        <v>1</v>
      </c>
      <c r="D44" s="292">
        <f>SUMIFS('Bilateral Assistance, MAIN DATA'!S:S,'Bilateral Assistance, MAIN DATA'!D:D,"Financial",'Bilateral Assistance, MAIN DATA'!B:B,'Country Summary'!B44)/1000000000</f>
        <v>0</v>
      </c>
      <c r="E44" s="292">
        <f>SUMIFS('Bilateral Assistance, MAIN DATA'!S:S,'Bilateral Assistance, MAIN DATA'!D:D,"Humanitarian",'Bilateral Assistance, MAIN DATA'!B:B,'Country Summary'!B44)/1000000000</f>
        <v>4.3E-3</v>
      </c>
      <c r="F44" s="292">
        <f>SUMIFS('Bilateral Assistance, MAIN DATA'!S:S,'Bilateral Assistance, MAIN DATA'!D:D,"Military",'Bilateral Assistance, MAIN DATA'!B:B,'Country Summary'!B44)/1000000000</f>
        <v>5.7416922906666668E-2</v>
      </c>
      <c r="G44" s="295">
        <f t="shared" si="3"/>
        <v>6.1716922906666666E-2</v>
      </c>
      <c r="H44" s="369">
        <f>53589609581/1000000000</f>
        <v>53.589609580999998</v>
      </c>
      <c r="I44" s="341">
        <f>H44/VLOOKUP("USD",'Exchange Rates'!B:C,2,0)</f>
        <v>51.03772341047619</v>
      </c>
      <c r="J44" s="367">
        <f t="shared" si="6"/>
        <v>0.12092412980552034</v>
      </c>
      <c r="K44" s="140">
        <f>VLOOKUP(B44,'EU Aid Shares'!B:E,4,0)</f>
        <v>0.10766769192042351</v>
      </c>
      <c r="L44" s="140">
        <f>VLOOKUP(B44,'EPF Aid Shares'!B:G,6,0)</f>
        <v>1.0770203626181056E-2</v>
      </c>
      <c r="M44" s="129">
        <f>VLOOKUP(B44,'EIB Aid Shares'!B:E,4,0)</f>
        <v>5.6136594823116203E-3</v>
      </c>
      <c r="N44" s="140">
        <f t="shared" si="0"/>
        <v>0.12405155502891618</v>
      </c>
      <c r="O44" s="115">
        <f t="shared" si="1"/>
        <v>0.24305855892359984</v>
      </c>
      <c r="P44" s="297">
        <f t="shared" si="2"/>
        <v>0.18576847793558285</v>
      </c>
      <c r="Q44" s="368">
        <f t="shared" si="4"/>
        <v>0.36398268872912021</v>
      </c>
      <c r="R44" s="140">
        <f>SUMIFS('Bilateral Assistance, MAIN DATA'!S:S,'Bilateral Assistance, MAIN DATA'!AS:AS,1, 'Bilateral Assistance, MAIN DATA'!B:B,B44)/1000000000</f>
        <v>5.7416922906666668E-2</v>
      </c>
      <c r="S44" s="292">
        <f t="shared" si="5"/>
        <v>0</v>
      </c>
    </row>
    <row r="45" spans="2:19" ht="15.9" customHeight="1" x14ac:dyDescent="0.3">
      <c r="B45" s="24" t="s">
        <v>2615</v>
      </c>
      <c r="C45" s="339">
        <v>1</v>
      </c>
      <c r="D45" s="292">
        <f>SUMIFS('Bilateral Assistance, MAIN DATA'!S:S,'Bilateral Assistance, MAIN DATA'!D:D,"Financial",'Bilateral Assistance, MAIN DATA'!B:B,'Country Summary'!B45)/1000000000</f>
        <v>0.20449999999999999</v>
      </c>
      <c r="E45" s="292">
        <f>SUMIFS('Bilateral Assistance, MAIN DATA'!S:S,'Bilateral Assistance, MAIN DATA'!D:D,"Humanitarian",'Bilateral Assistance, MAIN DATA'!B:B,'Country Summary'!B45)/1000000000</f>
        <v>9.9788875333333332E-2</v>
      </c>
      <c r="F45" s="292">
        <f>SUMIFS('Bilateral Assistance, MAIN DATA'!S:S,'Bilateral Assistance, MAIN DATA'!D:D,"Military",'Bilateral Assistance, MAIN DATA'!B:B,'Country Summary'!B45)/1000000000</f>
        <v>8.3123597366324242E-2</v>
      </c>
      <c r="G45" s="295">
        <f t="shared" si="3"/>
        <v>0.38741247269965756</v>
      </c>
      <c r="H45" s="341">
        <f>1281484640000/1000000000</f>
        <v>1281.4846399999999</v>
      </c>
      <c r="I45" s="341">
        <f>H45/VLOOKUP("USD",'Exchange Rates'!B:C,2,0)</f>
        <v>1220.4615619047618</v>
      </c>
      <c r="J45" s="367">
        <f t="shared" si="6"/>
        <v>3.1743111359855275E-2</v>
      </c>
      <c r="K45" s="140">
        <f>VLOOKUP(B45,'EU Aid Shares'!B:E,4,0)</f>
        <v>3.5513221053625226</v>
      </c>
      <c r="L45" s="140">
        <f>VLOOKUP(B45,'EPF Aid Shares'!B:G,6,0)</f>
        <v>0.26199366354143822</v>
      </c>
      <c r="M45" s="129">
        <f>VLOOKUP(B45,'EIB Aid Shares'!B:E,4,0)</f>
        <v>0.22563472061413059</v>
      </c>
      <c r="N45" s="140">
        <f t="shared" si="0"/>
        <v>4.0389504895180917</v>
      </c>
      <c r="O45" s="115">
        <f t="shared" si="1"/>
        <v>0.33093631258771833</v>
      </c>
      <c r="P45" s="297">
        <f t="shared" si="2"/>
        <v>4.4263629622177492</v>
      </c>
      <c r="Q45" s="368">
        <f t="shared" si="4"/>
        <v>0.36267942394757358</v>
      </c>
      <c r="R45" s="140">
        <f>SUMIFS('Bilateral Assistance, MAIN DATA'!S:S,'Bilateral Assistance, MAIN DATA'!AS:AS,1, 'Bilateral Assistance, MAIN DATA'!B:B,B45)/1000000000</f>
        <v>8.3123597366324242E-2</v>
      </c>
      <c r="S45" s="292">
        <f t="shared" si="5"/>
        <v>0</v>
      </c>
    </row>
    <row r="46" spans="2:19" ht="15.9" customHeight="1" x14ac:dyDescent="0.3">
      <c r="B46" s="24" t="s">
        <v>2715</v>
      </c>
      <c r="C46" s="339">
        <v>1</v>
      </c>
      <c r="D46" s="292">
        <f>SUMIFS('Bilateral Assistance, MAIN DATA'!S:S,'Bilateral Assistance, MAIN DATA'!D:D,"Financial",'Bilateral Assistance, MAIN DATA'!B:B,'Country Summary'!B46)/1000000000</f>
        <v>0.15034541943038915</v>
      </c>
      <c r="E46" s="292">
        <f>SUMIFS('Bilateral Assistance, MAIN DATA'!S:S,'Bilateral Assistance, MAIN DATA'!D:D,"Humanitarian",'Bilateral Assistance, MAIN DATA'!B:B,'Country Summary'!B46)/1000000000</f>
        <v>0.10746886715780089</v>
      </c>
      <c r="F46" s="292">
        <f>SUMIFS('Bilateral Assistance, MAIN DATA'!S:S,'Bilateral Assistance, MAIN DATA'!D:D,"Military",'Bilateral Assistance, MAIN DATA'!B:B,'Country Summary'!B46)/1000000000</f>
        <v>0.54638815978467004</v>
      </c>
      <c r="G46" s="295">
        <f t="shared" si="3"/>
        <v>0.80420244637286009</v>
      </c>
      <c r="H46" s="341">
        <f>541220060000/1000000000</f>
        <v>541.22005999999999</v>
      </c>
      <c r="I46" s="341">
        <f>H46/VLOOKUP("USD",'Exchange Rates'!B:C,2,0)</f>
        <v>515.44767619047616</v>
      </c>
      <c r="J46" s="367">
        <f t="shared" si="6"/>
        <v>0.1560201905102156</v>
      </c>
      <c r="K46" s="140">
        <f>VLOOKUP(B46,'EU Aid Shares'!B:E,4,0)</f>
        <v>0.99875050148281586</v>
      </c>
      <c r="L46" s="140">
        <f>VLOOKUP(B46,'EPF Aid Shares'!B:G,6,0)</f>
        <v>0.11314883380344129</v>
      </c>
      <c r="M46" s="129">
        <f>VLOOKUP(B46,'EIB Aid Shares'!B:E,4,0)</f>
        <v>6.9153322665024983E-2</v>
      </c>
      <c r="N46" s="140">
        <f t="shared" si="0"/>
        <v>1.1810526579512821</v>
      </c>
      <c r="O46" s="115">
        <f t="shared" si="1"/>
        <v>0.22913143515945184</v>
      </c>
      <c r="P46" s="297">
        <f t="shared" si="2"/>
        <v>1.9852551043241422</v>
      </c>
      <c r="Q46" s="368">
        <f t="shared" si="4"/>
        <v>0.38515162566966743</v>
      </c>
      <c r="R46" s="140">
        <f>SUMIFS('Bilateral Assistance, MAIN DATA'!S:S,'Bilateral Assistance, MAIN DATA'!AS:AS,1, 'Bilateral Assistance, MAIN DATA'!B:B,B46)/1000000000</f>
        <v>0.38895560335229706</v>
      </c>
      <c r="S46" s="292">
        <f t="shared" si="5"/>
        <v>0.15743255643237297</v>
      </c>
    </row>
    <row r="47" spans="2:19" ht="15.9" customHeight="1" x14ac:dyDescent="0.3">
      <c r="B47" s="2" t="s">
        <v>2792</v>
      </c>
      <c r="C47" s="339">
        <v>0</v>
      </c>
      <c r="D47" s="292">
        <f>SUMIFS('Bilateral Assistance, MAIN DATA'!S:S,'Bilateral Assistance, MAIN DATA'!D:D,"Financial",'Bilateral Assistance, MAIN DATA'!B:B,'Country Summary'!B47)/1000000000</f>
        <v>5.8967059780398533E-2</v>
      </c>
      <c r="E47" s="292">
        <f>SUMIFS('Bilateral Assistance, MAIN DATA'!S:S,'Bilateral Assistance, MAIN DATA'!D:D,"Humanitarian",'Bilateral Assistance, MAIN DATA'!B:B,'Country Summary'!B47)/1000000000</f>
        <v>0.18300122000813338</v>
      </c>
      <c r="F47" s="292">
        <f>SUMIFS('Bilateral Assistance, MAIN DATA'!S:S,'Bilateral Assistance, MAIN DATA'!D:D,"Military",'Bilateral Assistance, MAIN DATA'!B:B,'Country Summary'!B47)/1000000000</f>
        <v>0</v>
      </c>
      <c r="G47" s="295">
        <f t="shared" si="3"/>
        <v>0.24196827978853191</v>
      </c>
      <c r="H47" s="366">
        <f>752248045730.11/1000000000</f>
        <v>752.24804573010999</v>
      </c>
      <c r="I47" s="341">
        <f>H47/VLOOKUP("USD",'Exchange Rates'!B:C,2,0)</f>
        <v>716.42671021915237</v>
      </c>
      <c r="J47" s="367">
        <f t="shared" si="6"/>
        <v>3.3774324203310994E-2</v>
      </c>
      <c r="K47" s="140">
        <f>VLOOKUP(B47,'EU Aid Shares'!B:E,4,0)</f>
        <v>0</v>
      </c>
      <c r="L47" s="140">
        <f>VLOOKUP(B47,'EPF Aid Shares'!B:G,6,0)</f>
        <v>0</v>
      </c>
      <c r="M47" s="129">
        <f>VLOOKUP(B47,'EIB Aid Shares'!B:E,4,0)</f>
        <v>0</v>
      </c>
      <c r="N47" s="140">
        <f t="shared" si="0"/>
        <v>0</v>
      </c>
      <c r="O47" s="115">
        <f t="shared" si="1"/>
        <v>0</v>
      </c>
      <c r="P47" s="297">
        <f t="shared" si="2"/>
        <v>0.24196827978853191</v>
      </c>
      <c r="Q47" s="368">
        <f t="shared" si="4"/>
        <v>3.3774324203310994E-2</v>
      </c>
      <c r="R47" s="140">
        <f>SUMIFS('Bilateral Assistance, MAIN DATA'!S:S,'Bilateral Assistance, MAIN DATA'!AS:AS,1, 'Bilateral Assistance, MAIN DATA'!B:B,B47)/1000000000</f>
        <v>0</v>
      </c>
      <c r="S47" s="292">
        <f t="shared" si="5"/>
        <v>0</v>
      </c>
    </row>
    <row r="48" spans="2:19" ht="15.9" customHeight="1" x14ac:dyDescent="0.3">
      <c r="B48" s="2" t="s">
        <v>2820</v>
      </c>
      <c r="C48" s="339">
        <v>0</v>
      </c>
      <c r="D48" s="292">
        <f>SUMIFS('Bilateral Assistance, MAIN DATA'!S:S,'Bilateral Assistance, MAIN DATA'!D:D,"Financial",'Bilateral Assistance, MAIN DATA'!B:B,'Country Summary'!B48)/1000000000</f>
        <v>0</v>
      </c>
      <c r="E48" s="292">
        <f>SUMIFS('Bilateral Assistance, MAIN DATA'!S:S,'Bilateral Assistance, MAIN DATA'!D:D,"Humanitarian",'Bilateral Assistance, MAIN DATA'!B:B,'Country Summary'!B48)/1000000000</f>
        <v>2.3622095238095238E-4</v>
      </c>
      <c r="F48" s="292">
        <f>SUMIFS('Bilateral Assistance, MAIN DATA'!S:S,'Bilateral Assistance, MAIN DATA'!D:D,"Military",'Bilateral Assistance, MAIN DATA'!B:B,'Country Summary'!B48)/1000000000</f>
        <v>6.1355714285714284E-2</v>
      </c>
      <c r="G48" s="295">
        <f t="shared" si="3"/>
        <v>6.1591935238095238E-2</v>
      </c>
      <c r="H48" s="366">
        <f>719954821683.31/1000000000</f>
        <v>719.95482168331012</v>
      </c>
      <c r="I48" s="341">
        <f>H48/VLOOKUP("USD",'Exchange Rates'!B:C,2,0)</f>
        <v>685.67125874600958</v>
      </c>
      <c r="J48" s="367">
        <f t="shared" si="6"/>
        <v>8.9827208669556458E-3</v>
      </c>
      <c r="K48" s="140">
        <f>VLOOKUP(B48,'EU Aid Shares'!B:E,4,0)</f>
        <v>0</v>
      </c>
      <c r="L48" s="140">
        <f>VLOOKUP(B48,'EPF Aid Shares'!B:G,6,0)</f>
        <v>0</v>
      </c>
      <c r="M48" s="129">
        <f>VLOOKUP(B48,'EIB Aid Shares'!B:E,4,0)</f>
        <v>0</v>
      </c>
      <c r="N48" s="140">
        <f t="shared" si="0"/>
        <v>0</v>
      </c>
      <c r="O48" s="115">
        <f t="shared" si="1"/>
        <v>0</v>
      </c>
      <c r="P48" s="297">
        <f t="shared" si="2"/>
        <v>6.1591935238095238E-2</v>
      </c>
      <c r="Q48" s="368">
        <f t="shared" si="4"/>
        <v>8.9827208669556458E-3</v>
      </c>
      <c r="R48" s="140">
        <f>SUMIFS('Bilateral Assistance, MAIN DATA'!S:S,'Bilateral Assistance, MAIN DATA'!AS:AS,1, 'Bilateral Assistance, MAIN DATA'!B:B,B48)/1000000000</f>
        <v>6.1355714285714284E-2</v>
      </c>
      <c r="S48" s="292">
        <f t="shared" si="5"/>
        <v>0</v>
      </c>
    </row>
    <row r="49" spans="2:19" ht="15.9" customHeight="1" x14ac:dyDescent="0.3">
      <c r="B49" s="24" t="s">
        <v>2864</v>
      </c>
      <c r="C49" s="339">
        <v>0</v>
      </c>
      <c r="D49" s="292">
        <f>SUMIFS('Bilateral Assistance, MAIN DATA'!S:S,'Bilateral Assistance, MAIN DATA'!D:D,"Financial",'Bilateral Assistance, MAIN DATA'!B:B,'Country Summary'!B49)/1000000000</f>
        <v>3.0199781887370349</v>
      </c>
      <c r="E49" s="292">
        <f>SUMIFS('Bilateral Assistance, MAIN DATA'!S:S,'Bilateral Assistance, MAIN DATA'!D:D,"Humanitarian",'Bilateral Assistance, MAIN DATA'!B:B,'Country Summary'!B49)/1000000000</f>
        <v>0.4002079296205569</v>
      </c>
      <c r="F49" s="292">
        <f>SUMIFS('Bilateral Assistance, MAIN DATA'!S:S,'Bilateral Assistance, MAIN DATA'!D:D,"Military",'Bilateral Assistance, MAIN DATA'!B:B,'Country Summary'!B49)/1000000000</f>
        <v>4.8864927960823152</v>
      </c>
      <c r="G49" s="295">
        <f t="shared" si="3"/>
        <v>8.3066789144399067</v>
      </c>
      <c r="H49" s="341">
        <f>2759804060000/1000000000</f>
        <v>2759.8040599999999</v>
      </c>
      <c r="I49" s="341">
        <f>H49/VLOOKUP("USD",'Exchange Rates'!B:C,2,0)</f>
        <v>2628.3848190476187</v>
      </c>
      <c r="J49" s="367">
        <f t="shared" si="6"/>
        <v>0.31603739506644191</v>
      </c>
      <c r="K49" s="140">
        <f>VLOOKUP(B49,'EU Aid Shares'!B:E,4,0)</f>
        <v>0</v>
      </c>
      <c r="L49" s="140">
        <f>VLOOKUP(B49,'EPF Aid Shares'!B:G,6,0)</f>
        <v>0</v>
      </c>
      <c r="M49" s="129">
        <f>VLOOKUP(B49,'EIB Aid Shares'!B:E,4,0)</f>
        <v>0</v>
      </c>
      <c r="N49" s="140">
        <f t="shared" si="0"/>
        <v>0</v>
      </c>
      <c r="O49" s="115">
        <f t="shared" si="1"/>
        <v>0</v>
      </c>
      <c r="P49" s="297">
        <f t="shared" si="2"/>
        <v>8.3066789144399067</v>
      </c>
      <c r="Q49" s="368">
        <f t="shared" si="4"/>
        <v>0.31603739506644191</v>
      </c>
      <c r="R49" s="140">
        <f>SUMIFS('Bilateral Assistance, MAIN DATA'!S:S,'Bilateral Assistance, MAIN DATA'!AS:AS,1, 'Bilateral Assistance, MAIN DATA'!B:B,B49)/1000000000</f>
        <v>4.8864927960823152</v>
      </c>
      <c r="S49" s="292">
        <f t="shared" si="5"/>
        <v>0</v>
      </c>
    </row>
    <row r="50" spans="2:19" ht="15.9" customHeight="1" x14ac:dyDescent="0.3">
      <c r="B50" s="24" t="s">
        <v>3038</v>
      </c>
      <c r="C50" s="339">
        <v>0</v>
      </c>
      <c r="D50" s="292">
        <f>SUMIFS('Bilateral Assistance, MAIN DATA'!S:S,'Bilateral Assistance, MAIN DATA'!D:D,"Financial",'Bilateral Assistance, MAIN DATA'!B:B,'Country Summary'!B50)/1000000000</f>
        <v>25.114285714285714</v>
      </c>
      <c r="E50" s="292">
        <f>SUMIFS('Bilateral Assistance, MAIN DATA'!S:S,'Bilateral Assistance, MAIN DATA'!D:D,"Humanitarian",'Bilateral Assistance, MAIN DATA'!B:B,'Country Summary'!B50)/1000000000</f>
        <v>3.7243038019047616</v>
      </c>
      <c r="F50" s="292">
        <f>SUMIFS('Bilateral Assistance, MAIN DATA'!S:S,'Bilateral Assistance, MAIN DATA'!D:D,"Military",'Bilateral Assistance, MAIN DATA'!B:B,'Country Summary'!B50)/1000000000</f>
        <v>44.338095238095235</v>
      </c>
      <c r="G50" s="295">
        <f t="shared" si="3"/>
        <v>73.176684754285702</v>
      </c>
      <c r="H50" s="341">
        <f>20953030000000/1000000000</f>
        <v>20953.03</v>
      </c>
      <c r="I50" s="341">
        <f>H50/VLOOKUP("USD",'Exchange Rates'!B:C,2,0)</f>
        <v>19955.266666666666</v>
      </c>
      <c r="J50" s="367">
        <f t="shared" si="6"/>
        <v>0.36670361752930236</v>
      </c>
      <c r="K50" s="140">
        <f>VLOOKUP(B50,'EU Aid Shares'!B:E,4,0)</f>
        <v>0</v>
      </c>
      <c r="L50" s="140">
        <f>VLOOKUP(B50,'EPF Aid Shares'!B:G,6,0)</f>
        <v>0</v>
      </c>
      <c r="M50" s="129">
        <f>VLOOKUP(B50,'EIB Aid Shares'!B:E,4,0)</f>
        <v>0</v>
      </c>
      <c r="N50" s="140">
        <f t="shared" si="0"/>
        <v>0</v>
      </c>
      <c r="O50" s="115">
        <f t="shared" si="1"/>
        <v>0</v>
      </c>
      <c r="P50" s="297">
        <f t="shared" si="2"/>
        <v>73.176684754285702</v>
      </c>
      <c r="Q50" s="368">
        <f t="shared" si="4"/>
        <v>0.36670361752930236</v>
      </c>
      <c r="R50" s="140">
        <f>SUMIFS('Bilateral Assistance, MAIN DATA'!S:S,'Bilateral Assistance, MAIN DATA'!AS:AS,1, 'Bilateral Assistance, MAIN DATA'!B:B,B50)/1000000000</f>
        <v>44.338095238095235</v>
      </c>
      <c r="S50" s="292">
        <f t="shared" si="5"/>
        <v>0</v>
      </c>
    </row>
    <row r="51" spans="2:19" ht="15.9" customHeight="1" x14ac:dyDescent="0.3">
      <c r="B51" s="24" t="s">
        <v>656</v>
      </c>
      <c r="C51" s="339">
        <v>0</v>
      </c>
      <c r="D51" s="292">
        <f>SUMIFS('Bilateral Assistance, MAIN DATA'!S:S,'Bilateral Assistance, MAIN DATA'!D:D,"Financial",'Bilateral Assistance, MAIN DATA'!B:B,'Country Summary'!B51)/1000000000</f>
        <v>0</v>
      </c>
      <c r="E51" s="292">
        <f>SUMIFS('Bilateral Assistance, MAIN DATA'!S:S,'Bilateral Assistance, MAIN DATA'!D:D,"Humanitarian",'Bilateral Assistance, MAIN DATA'!B:B,'Country Summary'!B51)/1000000000</f>
        <v>2.0820320632937745E-3</v>
      </c>
      <c r="F51" s="292">
        <f>SUMIFS('Bilateral Assistance, MAIN DATA'!S:S,'Bilateral Assistance, MAIN DATA'!D:D,"Military",'Bilateral Assistance, MAIN DATA'!B:B,'Country Summary'!B51)/1000000000</f>
        <v>0</v>
      </c>
      <c r="G51" s="295">
        <f t="shared" si="3"/>
        <v>2.0820320632937745E-3</v>
      </c>
      <c r="H51" s="341">
        <f>14722730697890/1000000000</f>
        <v>14722.73069789</v>
      </c>
      <c r="I51" s="341">
        <f>H51/VLOOKUP("USD",'Exchange Rates'!B:C,2,0)</f>
        <v>14021.648283704761</v>
      </c>
      <c r="J51" s="367">
        <f t="shared" si="6"/>
        <v>1.4848696966057873E-5</v>
      </c>
      <c r="K51" s="140">
        <f>VLOOKUP(B51,'EU Aid Shares'!B:E,4,0)</f>
        <v>0</v>
      </c>
      <c r="L51" s="140">
        <f>VLOOKUP(B51,'EPF Aid Shares'!B:G,6,0)</f>
        <v>0</v>
      </c>
      <c r="M51" s="129">
        <f>VLOOKUP(B51,'EIB Aid Shares'!B:E,4,0)</f>
        <v>0</v>
      </c>
      <c r="N51" s="140">
        <f t="shared" si="0"/>
        <v>0</v>
      </c>
      <c r="O51" s="115">
        <f t="shared" si="1"/>
        <v>0</v>
      </c>
      <c r="P51" s="297">
        <f t="shared" si="2"/>
        <v>2.0820320632937745E-3</v>
      </c>
      <c r="Q51" s="368">
        <f t="shared" si="4"/>
        <v>1.4848696966057873E-5</v>
      </c>
      <c r="R51" s="140">
        <f>SUMIFS('Bilateral Assistance, MAIN DATA'!S:S,'Bilateral Assistance, MAIN DATA'!AS:AS,1, 'Bilateral Assistance, MAIN DATA'!B:B,B51)/1000000000</f>
        <v>0</v>
      </c>
      <c r="S51" s="292">
        <f t="shared" si="5"/>
        <v>0</v>
      </c>
    </row>
    <row r="52" spans="2:19" ht="15.9" customHeight="1" x14ac:dyDescent="0.3">
      <c r="B52" s="24" t="s">
        <v>2840</v>
      </c>
      <c r="C52" s="339">
        <v>0</v>
      </c>
      <c r="D52" s="292">
        <f>SUMIFS('Bilateral Assistance, MAIN DATA'!S:S,'Bilateral Assistance, MAIN DATA'!D:D,"Financial",'Bilateral Assistance, MAIN DATA'!B:B,'Country Summary'!B52)/1000000000</f>
        <v>0</v>
      </c>
      <c r="E52" s="292">
        <f>SUMIFS('Bilateral Assistance, MAIN DATA'!S:S,'Bilateral Assistance, MAIN DATA'!D:D,"Humanitarian",'Bilateral Assistance, MAIN DATA'!B:B,'Country Summary'!B52)/1000000000</f>
        <v>6.5238095238095234E-2</v>
      </c>
      <c r="F52" s="292">
        <f>SUMIFS('Bilateral Assistance, MAIN DATA'!S:S,'Bilateral Assistance, MAIN DATA'!D:D,"Military",'Bilateral Assistance, MAIN DATA'!B:B,'Country Summary'!B52)/1000000000</f>
        <v>0</v>
      </c>
      <c r="G52" s="295">
        <f t="shared" si="3"/>
        <v>6.5238095238095234E-2</v>
      </c>
      <c r="H52" s="341">
        <f>612168000000/1000000000</f>
        <v>612.16800000000001</v>
      </c>
      <c r="I52" s="341">
        <f>H52/VLOOKUP("USD",'Exchange Rates'!B:C,2,0)</f>
        <v>583.01714285714286</v>
      </c>
      <c r="J52" s="367">
        <f t="shared" si="6"/>
        <v>1.1189738764522157E-2</v>
      </c>
      <c r="K52" s="140">
        <f>VLOOKUP(B52,'EU Aid Shares'!B:E,4,0)</f>
        <v>0</v>
      </c>
      <c r="L52" s="140">
        <f>VLOOKUP(B52,'EPF Aid Shares'!B:G,6,0)</f>
        <v>0</v>
      </c>
      <c r="M52" s="129">
        <f>VLOOKUP(B52,'EIB Aid Shares'!B:E,4,0)</f>
        <v>0</v>
      </c>
      <c r="N52" s="140">
        <f t="shared" si="0"/>
        <v>0</v>
      </c>
      <c r="O52" s="115">
        <f t="shared" si="1"/>
        <v>0</v>
      </c>
      <c r="P52" s="297">
        <f t="shared" si="2"/>
        <v>6.5238095238095234E-2</v>
      </c>
      <c r="Q52" s="368">
        <f t="shared" si="4"/>
        <v>1.1189738764522157E-2</v>
      </c>
      <c r="R52" s="140">
        <f>SUMIFS('Bilateral Assistance, MAIN DATA'!S:S,'Bilateral Assistance, MAIN DATA'!AS:AS,1, 'Bilateral Assistance, MAIN DATA'!B:B,B52)/1000000000</f>
        <v>0</v>
      </c>
      <c r="S52" s="292">
        <f t="shared" si="5"/>
        <v>0</v>
      </c>
    </row>
    <row r="53" spans="2:19" ht="15.9" customHeight="1" x14ac:dyDescent="0.3">
      <c r="B53" s="289" t="s">
        <v>1687</v>
      </c>
      <c r="C53" s="370">
        <v>0</v>
      </c>
      <c r="D53" s="293">
        <f>SUMIFS('Bilateral Assistance, MAIN DATA'!S:S,'Bilateral Assistance, MAIN DATA'!D:D,"Financial",'Bilateral Assistance, MAIN DATA'!B:B,'Country Summary'!B53)/1000000000</f>
        <v>0</v>
      </c>
      <c r="E53" s="293">
        <f>SUMIFS('Bilateral Assistance, MAIN DATA'!S:S,'Bilateral Assistance, MAIN DATA'!D:D,"Humanitarian",'Bilateral Assistance, MAIN DATA'!B:B,'Country Summary'!B53)/1000000000</f>
        <v>1.8545238095238094E-3</v>
      </c>
      <c r="F53" s="293">
        <f>SUMIFS('Bilateral Assistance, MAIN DATA'!S:S,'Bilateral Assistance, MAIN DATA'!D:D,"Military",'Bilateral Assistance, MAIN DATA'!B:B,'Country Summary'!B53)/1000000000</f>
        <v>0</v>
      </c>
      <c r="G53" s="296">
        <f t="shared" si="3"/>
        <v>1.8545238095238094E-3</v>
      </c>
      <c r="H53" s="371">
        <f>2660245248867/1000000000</f>
        <v>2660.2452488670001</v>
      </c>
      <c r="I53" s="371">
        <f>H53/VLOOKUP("USD",'Exchange Rates'!B:C,2,0)</f>
        <v>2533.5669036828572</v>
      </c>
      <c r="J53" s="367">
        <f t="shared" si="6"/>
        <v>7.3198138435895518E-5</v>
      </c>
      <c r="K53" s="298">
        <f>VLOOKUP(B53,'EU Aid Shares'!B:E,4,0)</f>
        <v>0</v>
      </c>
      <c r="L53" s="298">
        <f>VLOOKUP(B53,'EPF Aid Shares'!B:G,6,0)</f>
        <v>0</v>
      </c>
      <c r="M53" s="372">
        <f>VLOOKUP(B53,'EIB Aid Shares'!B:E,4,0)</f>
        <v>0</v>
      </c>
      <c r="N53" s="298">
        <f t="shared" si="0"/>
        <v>0</v>
      </c>
      <c r="O53" s="115">
        <f t="shared" si="1"/>
        <v>0</v>
      </c>
      <c r="P53" s="373">
        <f t="shared" si="2"/>
        <v>1.8545238095238094E-3</v>
      </c>
      <c r="Q53" s="368">
        <f t="shared" si="4"/>
        <v>7.3198138435895518E-5</v>
      </c>
      <c r="R53" s="140">
        <f>SUMIFS('Bilateral Assistance, MAIN DATA'!S:S,'Bilateral Assistance, MAIN DATA'!AS:AS,1, 'Bilateral Assistance, MAIN DATA'!B:B,B53)/1000000000</f>
        <v>0</v>
      </c>
      <c r="S53" s="292">
        <f t="shared" si="5"/>
        <v>0</v>
      </c>
    </row>
    <row r="54" spans="2:19" ht="15.9" customHeight="1" x14ac:dyDescent="0.3">
      <c r="B54" s="65" t="s">
        <v>3517</v>
      </c>
      <c r="C54" s="374" t="s">
        <v>260</v>
      </c>
      <c r="D54" s="375">
        <f>SUM(D13:D53)</f>
        <v>64.207764497735155</v>
      </c>
      <c r="E54" s="375">
        <f>SUM(E13:E53)</f>
        <v>12.080386773949549</v>
      </c>
      <c r="F54" s="375">
        <f>SUM(F13:F53)</f>
        <v>62.242448369213122</v>
      </c>
      <c r="G54" s="375">
        <f t="shared" ref="G54:S54" si="7">SUM(G13:G53)</f>
        <v>138.53059964089783</v>
      </c>
      <c r="H54" s="376">
        <f t="shared" si="7"/>
        <v>84005.863692455037</v>
      </c>
      <c r="I54" s="376">
        <f t="shared" si="7"/>
        <v>80005.584469004796</v>
      </c>
      <c r="J54" s="960" t="s">
        <v>260</v>
      </c>
      <c r="K54" s="375">
        <f t="shared" si="7"/>
        <v>29.919999999999995</v>
      </c>
      <c r="L54" s="375">
        <f t="shared" si="7"/>
        <v>3.0999999999999996</v>
      </c>
      <c r="M54" s="375">
        <f t="shared" si="7"/>
        <v>2.0024999999999995</v>
      </c>
      <c r="N54" s="375">
        <f t="shared" si="7"/>
        <v>35.022499999999994</v>
      </c>
      <c r="O54" s="960" t="s">
        <v>260</v>
      </c>
      <c r="P54" s="375">
        <f t="shared" si="7"/>
        <v>173.55309964089784</v>
      </c>
      <c r="Q54" s="960" t="s">
        <v>260</v>
      </c>
      <c r="R54" s="375">
        <f t="shared" si="7"/>
        <v>61.568089103295513</v>
      </c>
      <c r="S54" s="375">
        <f t="shared" si="7"/>
        <v>0.67435926591760764</v>
      </c>
    </row>
    <row r="55" spans="2:19" ht="15.9" customHeight="1" x14ac:dyDescent="0.3">
      <c r="B55" s="2"/>
      <c r="C55" s="377"/>
      <c r="G55" s="295"/>
      <c r="H55" s="366"/>
      <c r="J55" s="108"/>
      <c r="S55" s="378"/>
    </row>
    <row r="56" spans="2:19" ht="15.9" customHeight="1" x14ac:dyDescent="0.3">
      <c r="G56" s="295"/>
      <c r="H56" s="341"/>
      <c r="J56" s="108"/>
      <c r="S56" s="2"/>
    </row>
    <row r="57" spans="2:19" ht="15.9" customHeight="1" x14ac:dyDescent="0.3">
      <c r="G57" s="295"/>
      <c r="H57" s="341"/>
      <c r="S57" s="2"/>
    </row>
    <row r="58" spans="2:19" ht="15.9" customHeight="1" x14ac:dyDescent="0.3">
      <c r="G58" s="295"/>
      <c r="H58" s="341"/>
      <c r="S58" s="2"/>
    </row>
    <row r="59" spans="2:19" ht="15.9" customHeight="1" x14ac:dyDescent="0.3">
      <c r="H59" s="341"/>
      <c r="S59" s="2"/>
    </row>
    <row r="60" spans="2:19" ht="15.9" customHeight="1" x14ac:dyDescent="0.3">
      <c r="H60" s="341"/>
      <c r="S60" s="2"/>
    </row>
    <row r="61" spans="2:19" ht="15.9" customHeight="1" x14ac:dyDescent="0.3">
      <c r="B61" s="109"/>
      <c r="C61" s="380"/>
      <c r="H61" s="341"/>
      <c r="S61" s="2"/>
    </row>
    <row r="62" spans="2:19" ht="15.9" customHeight="1" x14ac:dyDescent="0.3">
      <c r="H62" s="341"/>
      <c r="S62" s="2"/>
    </row>
    <row r="63" spans="2:19" ht="15.9" customHeight="1" x14ac:dyDescent="0.3">
      <c r="B63" s="22"/>
      <c r="C63" s="381"/>
      <c r="G63" s="295"/>
      <c r="H63" s="341"/>
      <c r="S63" s="2"/>
    </row>
    <row r="64" spans="2:19" ht="15.9" customHeight="1" x14ac:dyDescent="0.3">
      <c r="G64" s="292"/>
      <c r="H64" s="341"/>
      <c r="S64" s="2"/>
    </row>
    <row r="65" spans="7:19" ht="15.9" customHeight="1" x14ac:dyDescent="0.3">
      <c r="G65" s="284"/>
      <c r="S65" s="2"/>
    </row>
    <row r="66" spans="7:19" ht="15.9" customHeight="1" x14ac:dyDescent="0.3">
      <c r="G66" s="295"/>
      <c r="S66" s="2"/>
    </row>
    <row r="67" spans="7:19" ht="15.9" customHeight="1" x14ac:dyDescent="0.3">
      <c r="G67" s="295"/>
      <c r="S67" s="2"/>
    </row>
    <row r="68" spans="7:19" ht="15.9" customHeight="1" x14ac:dyDescent="0.3">
      <c r="S68" s="2"/>
    </row>
    <row r="69" spans="7:19" ht="15.9" customHeight="1" x14ac:dyDescent="0.3">
      <c r="S69" s="2"/>
    </row>
    <row r="70" spans="7:19" ht="15.9" customHeight="1" x14ac:dyDescent="0.3">
      <c r="S70" s="2"/>
    </row>
    <row r="71" spans="7:19" ht="15.9" customHeight="1" x14ac:dyDescent="0.3">
      <c r="S71" s="2"/>
    </row>
    <row r="72" spans="7:19" ht="15.9" customHeight="1" x14ac:dyDescent="0.3">
      <c r="S72" s="2"/>
    </row>
    <row r="73" spans="7:19" ht="15.9" customHeight="1" x14ac:dyDescent="0.3">
      <c r="S73" s="2"/>
    </row>
    <row r="74" spans="7:19" ht="15.9" customHeight="1" x14ac:dyDescent="0.3">
      <c r="S74" s="2"/>
    </row>
    <row r="75" spans="7:19" ht="15.9" customHeight="1" x14ac:dyDescent="0.3">
      <c r="S75" s="2"/>
    </row>
    <row r="76" spans="7:19" ht="15.9" customHeight="1" x14ac:dyDescent="0.3">
      <c r="S76" s="2"/>
    </row>
    <row r="77" spans="7:19" ht="15.9" customHeight="1" x14ac:dyDescent="0.3">
      <c r="S77" s="2"/>
    </row>
    <row r="78" spans="7:19" ht="15.9" customHeight="1" x14ac:dyDescent="0.3">
      <c r="S78" s="2"/>
    </row>
    <row r="79" spans="7:19" ht="15.9" customHeight="1" x14ac:dyDescent="0.3">
      <c r="S79" s="2"/>
    </row>
    <row r="80" spans="7:19" ht="15.9" customHeight="1" x14ac:dyDescent="0.3">
      <c r="S80" s="2"/>
    </row>
    <row r="81" spans="19:19" ht="15.9" customHeight="1" x14ac:dyDescent="0.3">
      <c r="S81" s="2"/>
    </row>
    <row r="82" spans="19:19" ht="15.9" customHeight="1" x14ac:dyDescent="0.3">
      <c r="S82" s="2"/>
    </row>
    <row r="83" spans="19:19" ht="15.9" customHeight="1" x14ac:dyDescent="0.3">
      <c r="S83" s="2"/>
    </row>
    <row r="84" spans="19:19" ht="15.9" customHeight="1" x14ac:dyDescent="0.3">
      <c r="S84" s="2"/>
    </row>
    <row r="85" spans="19:19" ht="15.9" customHeight="1" x14ac:dyDescent="0.3">
      <c r="S85" s="2"/>
    </row>
    <row r="86" spans="19:19" ht="15.9" customHeight="1" x14ac:dyDescent="0.3">
      <c r="S86" s="2"/>
    </row>
    <row r="87" spans="19:19" ht="15.9" customHeight="1" x14ac:dyDescent="0.3">
      <c r="S87" s="2"/>
    </row>
    <row r="88" spans="19:19" ht="15.9" customHeight="1" x14ac:dyDescent="0.3">
      <c r="S88" s="2"/>
    </row>
    <row r="89" spans="19:19" ht="15.9" customHeight="1" x14ac:dyDescent="0.3">
      <c r="S89" s="2"/>
    </row>
    <row r="90" spans="19:19" ht="15.9" customHeight="1" x14ac:dyDescent="0.3">
      <c r="S90" s="2"/>
    </row>
    <row r="91" spans="19:19" ht="15.9" customHeight="1" x14ac:dyDescent="0.3">
      <c r="S91" s="2"/>
    </row>
    <row r="92" spans="19:19" ht="15.9" customHeight="1" x14ac:dyDescent="0.3">
      <c r="S92" s="2"/>
    </row>
    <row r="93" spans="19:19" ht="15.9" customHeight="1" x14ac:dyDescent="0.3">
      <c r="S93" s="2"/>
    </row>
    <row r="94" spans="19:19" ht="15.9" customHeight="1" x14ac:dyDescent="0.3">
      <c r="S94" s="2"/>
    </row>
    <row r="95" spans="19:19" ht="15.9" customHeight="1" x14ac:dyDescent="0.3">
      <c r="S95" s="2"/>
    </row>
    <row r="96" spans="19:19" ht="15.9" customHeight="1" x14ac:dyDescent="0.3">
      <c r="S96" s="2"/>
    </row>
    <row r="97" spans="19:19" ht="15.9" customHeight="1" x14ac:dyDescent="0.3">
      <c r="S97" s="2"/>
    </row>
    <row r="98" spans="19:19" ht="15.9" customHeight="1" x14ac:dyDescent="0.3">
      <c r="S98" s="2"/>
    </row>
    <row r="99" spans="19:19" ht="15.9" customHeight="1" x14ac:dyDescent="0.3">
      <c r="S99" s="2"/>
    </row>
    <row r="100" spans="19:19" ht="15.9" customHeight="1" x14ac:dyDescent="0.3">
      <c r="S100" s="2"/>
    </row>
    <row r="101" spans="19:19" ht="15.9" customHeight="1" x14ac:dyDescent="0.3">
      <c r="S101" s="2"/>
    </row>
    <row r="102" spans="19:19" ht="15.9" customHeight="1" x14ac:dyDescent="0.3">
      <c r="S102" s="2"/>
    </row>
    <row r="103" spans="19:19" ht="15.9" customHeight="1" x14ac:dyDescent="0.3">
      <c r="S103" s="2"/>
    </row>
    <row r="104" spans="19:19" ht="15.9" customHeight="1" x14ac:dyDescent="0.3">
      <c r="S104" s="2"/>
    </row>
    <row r="105" spans="19:19" ht="15.9" customHeight="1" x14ac:dyDescent="0.3">
      <c r="S105" s="2"/>
    </row>
    <row r="106" spans="19:19" ht="15.9" customHeight="1" x14ac:dyDescent="0.3">
      <c r="S106" s="2"/>
    </row>
    <row r="107" spans="19:19" ht="15.9" customHeight="1" x14ac:dyDescent="0.3">
      <c r="S107" s="2"/>
    </row>
    <row r="108" spans="19:19" ht="15.9" customHeight="1" x14ac:dyDescent="0.3">
      <c r="S108" s="2"/>
    </row>
    <row r="109" spans="19:19" ht="15.9" customHeight="1" x14ac:dyDescent="0.3">
      <c r="S109" s="2"/>
    </row>
    <row r="110" spans="19:19" ht="15.9" customHeight="1" x14ac:dyDescent="0.3">
      <c r="S110" s="2"/>
    </row>
    <row r="111" spans="19:19" ht="15.9" customHeight="1" x14ac:dyDescent="0.3">
      <c r="S111" s="2"/>
    </row>
    <row r="112" spans="19:19" ht="15.9" customHeight="1" x14ac:dyDescent="0.3">
      <c r="S112" s="2"/>
    </row>
    <row r="113" spans="19:19" ht="15.9" customHeight="1" x14ac:dyDescent="0.3">
      <c r="S113" s="2"/>
    </row>
    <row r="114" spans="19:19" ht="15.9" customHeight="1" x14ac:dyDescent="0.3">
      <c r="S114" s="2"/>
    </row>
    <row r="115" spans="19:19" ht="15.9" customHeight="1" x14ac:dyDescent="0.3">
      <c r="S115" s="2"/>
    </row>
    <row r="116" spans="19:19" ht="15.9" customHeight="1" x14ac:dyDescent="0.3">
      <c r="S116" s="2"/>
    </row>
    <row r="117" spans="19:19" ht="15.9" customHeight="1" x14ac:dyDescent="0.3">
      <c r="S117" s="2"/>
    </row>
    <row r="118" spans="19:19" ht="15.9" customHeight="1" x14ac:dyDescent="0.3">
      <c r="S118" s="2"/>
    </row>
    <row r="119" spans="19:19" ht="15.9" customHeight="1" x14ac:dyDescent="0.3">
      <c r="S119" s="2"/>
    </row>
    <row r="120" spans="19:19" ht="15.9" customHeight="1" x14ac:dyDescent="0.3">
      <c r="S120" s="2"/>
    </row>
    <row r="121" spans="19:19" ht="15.9" customHeight="1" x14ac:dyDescent="0.3">
      <c r="S121" s="2"/>
    </row>
    <row r="122" spans="19:19" ht="15.9" customHeight="1" x14ac:dyDescent="0.3">
      <c r="S122" s="2"/>
    </row>
    <row r="123" spans="19:19" ht="15.9" customHeight="1" x14ac:dyDescent="0.3">
      <c r="S123" s="2"/>
    </row>
    <row r="124" spans="19:19" ht="15.9" customHeight="1" x14ac:dyDescent="0.3">
      <c r="S124" s="2"/>
    </row>
    <row r="125" spans="19:19" ht="15.9" customHeight="1" x14ac:dyDescent="0.3">
      <c r="S125" s="2"/>
    </row>
    <row r="126" spans="19:19" ht="15.9" customHeight="1" x14ac:dyDescent="0.3">
      <c r="S126" s="2"/>
    </row>
    <row r="127" spans="19:19" ht="15.9" customHeight="1" x14ac:dyDescent="0.3">
      <c r="S127" s="2"/>
    </row>
    <row r="128" spans="19:19" ht="15.9" customHeight="1" x14ac:dyDescent="0.3">
      <c r="S128" s="2"/>
    </row>
    <row r="129" spans="19:19" ht="15.9" customHeight="1" x14ac:dyDescent="0.3">
      <c r="S129" s="2"/>
    </row>
    <row r="130" spans="19:19" ht="15.9" customHeight="1" x14ac:dyDescent="0.3">
      <c r="S130" s="2"/>
    </row>
    <row r="132" spans="19:19" ht="15.9" customHeight="1" x14ac:dyDescent="0.3">
      <c r="S132" s="2"/>
    </row>
    <row r="133" spans="19:19" ht="15.9" customHeight="1" x14ac:dyDescent="0.3">
      <c r="S133" s="2"/>
    </row>
    <row r="134" spans="19:19" ht="15.9" customHeight="1" x14ac:dyDescent="0.3">
      <c r="S134" s="2"/>
    </row>
    <row r="135" spans="19:19" ht="15.9" customHeight="1" x14ac:dyDescent="0.3">
      <c r="S135" s="2"/>
    </row>
    <row r="136" spans="19:19" ht="15.9" customHeight="1" x14ac:dyDescent="0.3">
      <c r="S136" s="2"/>
    </row>
    <row r="137" spans="19:19" ht="15.9" customHeight="1" x14ac:dyDescent="0.3">
      <c r="S137" s="2"/>
    </row>
    <row r="138" spans="19:19" ht="15.9" customHeight="1" x14ac:dyDescent="0.3">
      <c r="S138" s="2"/>
    </row>
    <row r="139" spans="19:19" ht="15.9" customHeight="1" x14ac:dyDescent="0.3">
      <c r="S139" s="2"/>
    </row>
    <row r="140" spans="19:19" ht="15.9" customHeight="1" x14ac:dyDescent="0.3">
      <c r="S140" s="2"/>
    </row>
    <row r="141" spans="19:19" ht="15.9" customHeight="1" x14ac:dyDescent="0.3">
      <c r="S141" s="2"/>
    </row>
    <row r="142" spans="19:19" ht="15.9" customHeight="1" x14ac:dyDescent="0.3">
      <c r="S142" s="2"/>
    </row>
    <row r="143" spans="19:19" ht="15.9" customHeight="1" x14ac:dyDescent="0.3">
      <c r="S143" s="2"/>
    </row>
    <row r="144" spans="19:19" ht="15.9" customHeight="1" x14ac:dyDescent="0.3">
      <c r="S144" s="2"/>
    </row>
    <row r="145" spans="19:19" ht="15.9" customHeight="1" x14ac:dyDescent="0.3">
      <c r="S145" s="2"/>
    </row>
    <row r="146" spans="19:19" ht="15.9" customHeight="1" x14ac:dyDescent="0.3">
      <c r="S146" s="2"/>
    </row>
    <row r="147" spans="19:19" ht="15.9" customHeight="1" x14ac:dyDescent="0.3">
      <c r="S147" s="2"/>
    </row>
    <row r="148" spans="19:19" ht="15.9" customHeight="1" x14ac:dyDescent="0.3">
      <c r="S148" s="2"/>
    </row>
    <row r="149" spans="19:19" ht="15.9" customHeight="1" x14ac:dyDescent="0.3">
      <c r="S149" s="2"/>
    </row>
    <row r="150" spans="19:19" ht="15.9" customHeight="1" x14ac:dyDescent="0.3">
      <c r="S150" s="2"/>
    </row>
    <row r="151" spans="19:19" ht="15.9" customHeight="1" x14ac:dyDescent="0.3">
      <c r="S151" s="2"/>
    </row>
    <row r="152" spans="19:19" ht="15.9" customHeight="1" x14ac:dyDescent="0.3">
      <c r="S152" s="2"/>
    </row>
    <row r="153" spans="19:19" ht="15.9" customHeight="1" x14ac:dyDescent="0.3">
      <c r="S153" s="2"/>
    </row>
    <row r="154" spans="19:19" ht="15.9" customHeight="1" x14ac:dyDescent="0.3">
      <c r="S154" s="2"/>
    </row>
    <row r="155" spans="19:19" ht="15.9" customHeight="1" x14ac:dyDescent="0.3">
      <c r="S155" s="2"/>
    </row>
    <row r="156" spans="19:19" ht="15.9" customHeight="1" x14ac:dyDescent="0.3">
      <c r="S156" s="2"/>
    </row>
    <row r="157" spans="19:19" ht="15.9" customHeight="1" x14ac:dyDescent="0.3">
      <c r="S157" s="2"/>
    </row>
    <row r="158" spans="19:19" ht="15.9" customHeight="1" x14ac:dyDescent="0.3">
      <c r="S158" s="2"/>
    </row>
    <row r="159" spans="19:19" ht="15.9" customHeight="1" x14ac:dyDescent="0.3">
      <c r="S159" s="2"/>
    </row>
    <row r="160" spans="19:19" ht="15.9" customHeight="1" x14ac:dyDescent="0.3">
      <c r="S160" s="2"/>
    </row>
    <row r="161" spans="19:19" ht="15.9" customHeight="1" x14ac:dyDescent="0.3">
      <c r="S161" s="2"/>
    </row>
    <row r="162" spans="19:19" ht="15.9" customHeight="1" x14ac:dyDescent="0.3">
      <c r="S162" s="2"/>
    </row>
    <row r="163" spans="19:19" ht="15.9" customHeight="1" x14ac:dyDescent="0.3">
      <c r="S163" s="2"/>
    </row>
    <row r="164" spans="19:19" ht="15.9" customHeight="1" x14ac:dyDescent="0.3">
      <c r="S164" s="2"/>
    </row>
    <row r="165" spans="19:19" ht="15.9" customHeight="1" x14ac:dyDescent="0.3">
      <c r="S165" s="2"/>
    </row>
  </sheetData>
  <sortState ref="B13:Q50">
    <sortCondition ref="B13:B50"/>
  </sortState>
  <mergeCells count="3">
    <mergeCell ref="B11:B12"/>
    <mergeCell ref="C11:C12"/>
    <mergeCell ref="B4:F9"/>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8CBAD"/>
  </sheetPr>
  <dimension ref="A1:AV1186"/>
  <sheetViews>
    <sheetView zoomScaleNormal="100" workbookViewId="0">
      <pane xSplit="1" ySplit="1" topLeftCell="B2" activePane="bottomRight" state="frozen"/>
      <selection pane="topRight" activeCell="B9" sqref="B9"/>
      <selection pane="bottomLeft" activeCell="B9" sqref="B9"/>
      <selection pane="bottomRight"/>
    </sheetView>
  </sheetViews>
  <sheetFormatPr baseColWidth="10" defaultColWidth="10.5" defaultRowHeight="15.9" customHeight="1" x14ac:dyDescent="0.3"/>
  <cols>
    <col min="1" max="1" width="8" style="17" customWidth="1"/>
    <col min="2" max="2" width="16.5" style="17" customWidth="1"/>
    <col min="3" max="3" width="18.5" style="174" customWidth="1"/>
    <col min="4" max="4" width="19.5" style="5" customWidth="1"/>
    <col min="5" max="5" width="21.09765625" style="5" customWidth="1"/>
    <col min="6" max="6" width="55" style="175" customWidth="1"/>
    <col min="7" max="7" width="30.5" style="15" customWidth="1"/>
    <col min="8" max="8" width="31.5" style="176" customWidth="1"/>
    <col min="9" max="9" width="64.09765625" style="17" customWidth="1"/>
    <col min="10" max="10" width="17.09765625" style="276" customWidth="1"/>
    <col min="11" max="11" width="18" style="15" customWidth="1"/>
    <col min="12" max="12" width="16.5" style="273" customWidth="1"/>
    <col min="13" max="13" width="30.5" style="14" customWidth="1"/>
    <col min="14" max="14" width="18" style="277" customWidth="1"/>
    <col min="15" max="16" width="31.5" style="14" customWidth="1"/>
    <col min="17" max="17" width="24.5" style="14" customWidth="1"/>
    <col min="18" max="18" width="23.5" style="14" customWidth="1"/>
    <col min="19" max="19" width="39.5" style="216" customWidth="1"/>
    <col min="20" max="20" width="17" style="180" customWidth="1"/>
    <col min="21" max="21" width="37.5" style="274" customWidth="1"/>
    <col min="22" max="22" width="32.5" style="274" customWidth="1"/>
    <col min="23" max="24" width="36" style="275" customWidth="1"/>
    <col min="25" max="25" width="39.5" style="15" customWidth="1"/>
    <col min="26" max="26" width="27" style="180" customWidth="1"/>
    <col min="27" max="27" width="24.5" style="196" customWidth="1"/>
    <col min="28" max="31" width="10.5" style="182" customWidth="1"/>
    <col min="32" max="16384" width="10.5" style="182"/>
  </cols>
  <sheetData>
    <row r="1" spans="1:48" s="213" customFormat="1" ht="15.9" customHeight="1" x14ac:dyDescent="0.3">
      <c r="A1" s="202" t="s">
        <v>204</v>
      </c>
      <c r="B1" s="697" t="s">
        <v>205</v>
      </c>
      <c r="C1" s="203" t="s">
        <v>206</v>
      </c>
      <c r="D1" s="202" t="s">
        <v>207</v>
      </c>
      <c r="E1" s="202" t="s">
        <v>208</v>
      </c>
      <c r="F1" s="202" t="s">
        <v>209</v>
      </c>
      <c r="G1" s="202" t="s">
        <v>211</v>
      </c>
      <c r="H1" s="208" t="s">
        <v>210</v>
      </c>
      <c r="I1" s="205" t="s">
        <v>212</v>
      </c>
      <c r="J1" s="206" t="s">
        <v>213</v>
      </c>
      <c r="K1" s="207" t="s">
        <v>215</v>
      </c>
      <c r="L1" s="208" t="s">
        <v>216</v>
      </c>
      <c r="M1" s="209" t="s">
        <v>3898</v>
      </c>
      <c r="N1" s="209" t="s">
        <v>218</v>
      </c>
      <c r="O1" s="210" t="s">
        <v>3899</v>
      </c>
      <c r="P1" s="211" t="s">
        <v>3900</v>
      </c>
      <c r="Q1" s="211" t="s">
        <v>221</v>
      </c>
      <c r="R1" s="211" t="s">
        <v>222</v>
      </c>
      <c r="S1" s="212" t="s">
        <v>223</v>
      </c>
      <c r="T1" s="208" t="s">
        <v>224</v>
      </c>
      <c r="U1" s="202" t="s">
        <v>225</v>
      </c>
      <c r="V1" s="213" t="s">
        <v>226</v>
      </c>
      <c r="W1" s="213" t="s">
        <v>227</v>
      </c>
      <c r="X1" s="213" t="s">
        <v>228</v>
      </c>
      <c r="Y1" s="213" t="s">
        <v>229</v>
      </c>
      <c r="Z1" s="202" t="s">
        <v>230</v>
      </c>
      <c r="AA1" s="213" t="s">
        <v>231</v>
      </c>
      <c r="AB1" s="215"/>
      <c r="AC1" s="215"/>
      <c r="AD1" s="215"/>
      <c r="AE1" s="215"/>
      <c r="AF1" s="215"/>
      <c r="AG1" s="215"/>
      <c r="AH1" s="215"/>
      <c r="AI1" s="215"/>
      <c r="AJ1" s="215"/>
      <c r="AK1" s="215"/>
      <c r="AL1" s="215"/>
      <c r="AM1" s="215"/>
    </row>
    <row r="2" spans="1:48" s="18" customFormat="1" ht="15.9" customHeight="1" x14ac:dyDescent="0.3">
      <c r="A2" s="17" t="s">
        <v>3901</v>
      </c>
      <c r="B2" s="17" t="s">
        <v>716</v>
      </c>
      <c r="C2" s="174" t="s">
        <v>3902</v>
      </c>
      <c r="D2" s="5" t="s">
        <v>285</v>
      </c>
      <c r="E2" s="5" t="s">
        <v>339</v>
      </c>
      <c r="F2" s="175" t="s">
        <v>3903</v>
      </c>
      <c r="G2" s="176">
        <v>14000000</v>
      </c>
      <c r="H2" s="177" t="s">
        <v>364</v>
      </c>
      <c r="I2" s="184" t="s">
        <v>3904</v>
      </c>
      <c r="J2" s="113" t="str">
        <f>VLOOKUP($I2,'Price List, Weapons &amp; Items'!B:C,2,0)</f>
        <v>Aviation and drones</v>
      </c>
      <c r="K2" s="183">
        <f>VLOOKUP(I2,'Price List, Weapons &amp; Items'!B:E,4,0)</f>
        <v>0</v>
      </c>
      <c r="L2" s="176">
        <v>3</v>
      </c>
      <c r="M2" s="226" t="s">
        <v>260</v>
      </c>
      <c r="N2" s="233">
        <f>VLOOKUP($I2,'Price List, Weapons &amp; Items'!B:G,4,0)</f>
        <v>0</v>
      </c>
      <c r="O2" s="178">
        <f t="shared" ref="O2:O6" si="0">L2*N2</f>
        <v>0</v>
      </c>
      <c r="P2" s="176" t="s">
        <v>260</v>
      </c>
      <c r="Q2" s="176">
        <f>G2</f>
        <v>14000000</v>
      </c>
      <c r="R2" s="176">
        <f>Q2/VLOOKUP(H2,'Exchange Rates'!$B$11:$C$25,2,0)</f>
        <v>14000000</v>
      </c>
      <c r="S2" s="176" t="s">
        <v>260</v>
      </c>
      <c r="T2" s="177" t="s">
        <v>415</v>
      </c>
      <c r="U2" s="698" t="s">
        <v>3905</v>
      </c>
      <c r="V2" s="699" t="s">
        <v>3906</v>
      </c>
      <c r="W2" s="701" t="s">
        <v>260</v>
      </c>
      <c r="X2" s="705" t="s">
        <v>260</v>
      </c>
      <c r="Y2" s="706">
        <v>0</v>
      </c>
      <c r="Z2" s="232">
        <v>0</v>
      </c>
      <c r="AA2" s="227" t="s">
        <v>260</v>
      </c>
      <c r="AB2" s="182"/>
      <c r="AC2" s="182"/>
      <c r="AD2" s="235"/>
      <c r="AE2" s="235"/>
      <c r="AF2" s="235"/>
      <c r="AG2" s="235"/>
      <c r="AH2" s="235"/>
      <c r="AI2" s="235"/>
      <c r="AJ2" s="181"/>
      <c r="AK2" s="181"/>
      <c r="AL2" s="181"/>
      <c r="AM2" s="181"/>
      <c r="AN2" s="182"/>
      <c r="AO2" s="182"/>
      <c r="AP2" s="179"/>
      <c r="AQ2" s="182"/>
      <c r="AS2" s="182"/>
      <c r="AT2" s="182"/>
      <c r="AU2" s="182"/>
      <c r="AV2" s="182"/>
    </row>
    <row r="3" spans="1:48" s="18" customFormat="1" ht="15.9" customHeight="1" x14ac:dyDescent="0.3">
      <c r="A3" s="17" t="s">
        <v>3907</v>
      </c>
      <c r="B3" s="17" t="s">
        <v>1288</v>
      </c>
      <c r="C3" s="174">
        <v>44769</v>
      </c>
      <c r="D3" s="5" t="s">
        <v>285</v>
      </c>
      <c r="E3" s="5" t="s">
        <v>339</v>
      </c>
      <c r="F3" s="175" t="s">
        <v>3908</v>
      </c>
      <c r="G3" s="176">
        <v>1700000000</v>
      </c>
      <c r="H3" s="177" t="s">
        <v>364</v>
      </c>
      <c r="I3" s="17" t="s">
        <v>1477</v>
      </c>
      <c r="J3" s="113" t="str">
        <f>VLOOKUP($I3,'Price List, Weapons &amp; Items'!B:C,2,0)</f>
        <v>Heavy weapon</v>
      </c>
      <c r="K3" s="183">
        <f>VLOOKUP(I3,'Price List, Weapons &amp; Items'!B:E,4,0)</f>
        <v>0</v>
      </c>
      <c r="L3" s="176">
        <v>100</v>
      </c>
      <c r="M3" s="226" t="s">
        <v>260</v>
      </c>
      <c r="N3" s="233">
        <f>VLOOKUP($I3,'Price List, Weapons &amp; Items'!B:G,4,0)</f>
        <v>0</v>
      </c>
      <c r="O3" s="178">
        <f t="shared" si="0"/>
        <v>0</v>
      </c>
      <c r="P3" s="176" t="s">
        <v>260</v>
      </c>
      <c r="Q3" s="176">
        <f>G3</f>
        <v>1700000000</v>
      </c>
      <c r="R3" s="176">
        <f>Q3/VLOOKUP(H3,'Exchange Rates'!$B$11:$C$25,2,0)</f>
        <v>1700000000</v>
      </c>
      <c r="S3" s="176" t="s">
        <v>260</v>
      </c>
      <c r="T3" s="177" t="s">
        <v>415</v>
      </c>
      <c r="U3" s="698" t="s">
        <v>3909</v>
      </c>
      <c r="V3" s="704" t="s">
        <v>260</v>
      </c>
      <c r="W3" s="701" t="s">
        <v>260</v>
      </c>
      <c r="X3" s="705" t="s">
        <v>260</v>
      </c>
      <c r="Y3" s="706">
        <v>0</v>
      </c>
      <c r="Z3" s="232">
        <v>1</v>
      </c>
      <c r="AA3" s="227" t="s">
        <v>260</v>
      </c>
      <c r="AB3" s="182"/>
      <c r="AC3" s="182"/>
      <c r="AD3" s="235"/>
      <c r="AE3" s="235"/>
      <c r="AF3" s="235"/>
      <c r="AG3" s="235"/>
      <c r="AH3" s="235"/>
      <c r="AI3" s="235"/>
      <c r="AJ3" s="181"/>
      <c r="AK3" s="181"/>
      <c r="AL3" s="181"/>
      <c r="AM3" s="181"/>
      <c r="AN3" s="182"/>
      <c r="AO3" s="182"/>
      <c r="AP3" s="179"/>
      <c r="AQ3" s="182"/>
      <c r="AS3" s="182"/>
      <c r="AT3" s="182"/>
      <c r="AU3" s="182"/>
      <c r="AV3" s="182"/>
    </row>
    <row r="4" spans="1:48" s="18" customFormat="1" ht="15.9" customHeight="1" x14ac:dyDescent="0.3">
      <c r="A4" s="17" t="s">
        <v>3910</v>
      </c>
      <c r="B4" s="17" t="s">
        <v>2303</v>
      </c>
      <c r="C4" s="174">
        <v>44719</v>
      </c>
      <c r="D4" s="5" t="s">
        <v>285</v>
      </c>
      <c r="E4" s="5" t="s">
        <v>339</v>
      </c>
      <c r="F4" s="175" t="s">
        <v>3911</v>
      </c>
      <c r="G4" s="176">
        <v>700000000</v>
      </c>
      <c r="H4" s="177" t="s">
        <v>346</v>
      </c>
      <c r="I4" s="184" t="s">
        <v>2342</v>
      </c>
      <c r="J4" s="113" t="str">
        <f>VLOOKUP($I4,'Price List, Weapons &amp; Items'!B:C,2,0)</f>
        <v>Heavy weapon</v>
      </c>
      <c r="K4" s="183">
        <f>VLOOKUP(I4,'Price List, Weapons &amp; Items'!B:E,4,0)</f>
        <v>0</v>
      </c>
      <c r="L4" s="176">
        <v>60</v>
      </c>
      <c r="M4" s="226" t="s">
        <v>260</v>
      </c>
      <c r="N4" s="233">
        <f>VLOOKUP($I4,'Price List, Weapons &amp; Items'!B:G,4,0)</f>
        <v>0</v>
      </c>
      <c r="O4" s="178">
        <f t="shared" si="0"/>
        <v>0</v>
      </c>
      <c r="P4" s="176" t="s">
        <v>260</v>
      </c>
      <c r="Q4" s="176">
        <f>G4</f>
        <v>700000000</v>
      </c>
      <c r="R4" s="176">
        <f>Q4/VLOOKUP(H4,'Exchange Rates'!$B$11:$C$25,2,0)</f>
        <v>666666666.66666663</v>
      </c>
      <c r="S4" s="176" t="s">
        <v>260</v>
      </c>
      <c r="T4" s="177" t="s">
        <v>415</v>
      </c>
      <c r="U4" s="698" t="s">
        <v>3912</v>
      </c>
      <c r="V4" s="704" t="s">
        <v>260</v>
      </c>
      <c r="W4" s="701" t="s">
        <v>260</v>
      </c>
      <c r="X4" s="705" t="s">
        <v>260</v>
      </c>
      <c r="Y4" s="706">
        <v>0</v>
      </c>
      <c r="Z4" s="232">
        <v>0</v>
      </c>
      <c r="AA4" s="227" t="s">
        <v>260</v>
      </c>
      <c r="AB4" s="182"/>
      <c r="AC4" s="182"/>
      <c r="AD4" s="235"/>
      <c r="AE4" s="235"/>
      <c r="AF4" s="235"/>
      <c r="AG4" s="235"/>
      <c r="AH4" s="235"/>
      <c r="AI4" s="235"/>
      <c r="AJ4" s="181"/>
      <c r="AK4" s="181"/>
      <c r="AL4" s="181"/>
      <c r="AM4" s="181"/>
      <c r="AN4" s="182"/>
      <c r="AO4" s="182"/>
      <c r="AP4" s="179"/>
      <c r="AQ4" s="182"/>
      <c r="AS4" s="182"/>
      <c r="AT4" s="182"/>
      <c r="AU4" s="182"/>
      <c r="AV4" s="182"/>
    </row>
    <row r="5" spans="1:48" s="18" customFormat="1" ht="15.9" customHeight="1" x14ac:dyDescent="0.3">
      <c r="A5" s="17" t="s">
        <v>3913</v>
      </c>
      <c r="B5" s="17" t="s">
        <v>2489</v>
      </c>
      <c r="C5" s="174">
        <v>44714</v>
      </c>
      <c r="D5" s="5" t="s">
        <v>285</v>
      </c>
      <c r="E5" s="5" t="s">
        <v>339</v>
      </c>
      <c r="F5" s="175" t="s">
        <v>3914</v>
      </c>
      <c r="G5" s="187" t="s">
        <v>3915</v>
      </c>
      <c r="H5" s="177" t="s">
        <v>346</v>
      </c>
      <c r="I5" s="184" t="s">
        <v>916</v>
      </c>
      <c r="J5" s="113" t="str">
        <f>VLOOKUP($I5,'Price List, Weapons &amp; Items'!B:C,2,0)</f>
        <v>Heavy weapon</v>
      </c>
      <c r="K5" s="183">
        <f>VLOOKUP(I5,'Price List, Weapons &amp; Items'!B:E,4,0)</f>
        <v>1</v>
      </c>
      <c r="L5" s="176">
        <v>8</v>
      </c>
      <c r="M5" s="226" t="s">
        <v>260</v>
      </c>
      <c r="N5" s="233">
        <f>VLOOKUP($I5,'Price List, Weapons &amp; Items'!B:G,4,0)</f>
        <v>1</v>
      </c>
      <c r="O5" s="178">
        <f t="shared" si="0"/>
        <v>8</v>
      </c>
      <c r="P5" s="176" t="s">
        <v>260</v>
      </c>
      <c r="Q5" s="176">
        <f>O5</f>
        <v>8</v>
      </c>
      <c r="R5" s="176">
        <f>Q5/VLOOKUP(H5,'Exchange Rates'!$B$11:$C$25,2,0)</f>
        <v>7.6190476190476186</v>
      </c>
      <c r="S5" s="176" t="s">
        <v>260</v>
      </c>
      <c r="T5" s="177" t="s">
        <v>415</v>
      </c>
      <c r="U5" s="698" t="s">
        <v>3916</v>
      </c>
      <c r="V5" s="704" t="s">
        <v>260</v>
      </c>
      <c r="W5" s="701" t="s">
        <v>260</v>
      </c>
      <c r="X5" s="705" t="s">
        <v>260</v>
      </c>
      <c r="Y5" s="706">
        <v>0</v>
      </c>
      <c r="Z5" s="232">
        <v>0</v>
      </c>
      <c r="AA5" s="227" t="s">
        <v>260</v>
      </c>
      <c r="AB5" s="182"/>
      <c r="AC5" s="182"/>
      <c r="AD5" s="235"/>
      <c r="AE5" s="235"/>
      <c r="AF5" s="235"/>
      <c r="AG5" s="235"/>
      <c r="AH5" s="235"/>
      <c r="AI5" s="235"/>
      <c r="AJ5" s="181"/>
      <c r="AK5" s="181"/>
      <c r="AL5" s="181"/>
      <c r="AM5" s="181"/>
      <c r="AN5" s="182"/>
      <c r="AO5" s="182"/>
      <c r="AP5" s="179"/>
      <c r="AQ5" s="182"/>
      <c r="AS5" s="182"/>
      <c r="AT5" s="182"/>
      <c r="AU5" s="182"/>
      <c r="AV5" s="182"/>
    </row>
    <row r="6" spans="1:48" s="18" customFormat="1" ht="15.9" customHeight="1" x14ac:dyDescent="0.3">
      <c r="A6" s="17" t="s">
        <v>3917</v>
      </c>
      <c r="B6" s="17" t="s">
        <v>2820</v>
      </c>
      <c r="C6" s="174">
        <v>44741</v>
      </c>
      <c r="D6" s="5" t="s">
        <v>285</v>
      </c>
      <c r="E6" s="5" t="s">
        <v>339</v>
      </c>
      <c r="F6" s="175" t="s">
        <v>3918</v>
      </c>
      <c r="G6" s="187" t="s">
        <v>3915</v>
      </c>
      <c r="H6" s="177" t="s">
        <v>346</v>
      </c>
      <c r="I6" s="184" t="s">
        <v>3919</v>
      </c>
      <c r="J6" s="113" t="str">
        <f>VLOOKUP($I6,'Price List, Weapons &amp; Items'!B:C,2,0)</f>
        <v>Aviation and drones</v>
      </c>
      <c r="K6" s="183">
        <f>VLOOKUP(I6,'Price List, Weapons &amp; Items'!B:E,4,0)</f>
        <v>0</v>
      </c>
      <c r="L6" s="176">
        <v>3</v>
      </c>
      <c r="M6" s="226" t="s">
        <v>260</v>
      </c>
      <c r="N6" s="233">
        <f>VLOOKUP($I6,'Price List, Weapons &amp; Items'!B:G,4,0)</f>
        <v>0</v>
      </c>
      <c r="O6" s="178">
        <f t="shared" si="0"/>
        <v>0</v>
      </c>
      <c r="P6" s="176" t="s">
        <v>260</v>
      </c>
      <c r="Q6" s="176">
        <f>O6</f>
        <v>0</v>
      </c>
      <c r="R6" s="176">
        <f>Q6/VLOOKUP(H6,'Exchange Rates'!$B$11:$C$25,2,0)</f>
        <v>0</v>
      </c>
      <c r="S6" s="176" t="s">
        <v>260</v>
      </c>
      <c r="T6" s="177" t="s">
        <v>415</v>
      </c>
      <c r="U6" s="698" t="s">
        <v>3920</v>
      </c>
      <c r="V6" s="704" t="s">
        <v>260</v>
      </c>
      <c r="W6" s="701" t="s">
        <v>260</v>
      </c>
      <c r="X6" s="705" t="s">
        <v>260</v>
      </c>
      <c r="Y6" s="706">
        <v>0</v>
      </c>
      <c r="Z6" s="232">
        <v>0</v>
      </c>
      <c r="AA6" s="227" t="s">
        <v>260</v>
      </c>
      <c r="AB6" s="182"/>
      <c r="AC6" s="182"/>
      <c r="AD6" s="235"/>
      <c r="AE6" s="235"/>
      <c r="AF6" s="235"/>
      <c r="AG6" s="235"/>
      <c r="AH6" s="235"/>
      <c r="AI6" s="235"/>
      <c r="AJ6" s="181"/>
      <c r="AK6" s="181"/>
      <c r="AL6" s="181"/>
      <c r="AM6" s="181"/>
      <c r="AN6" s="182"/>
      <c r="AO6" s="182"/>
      <c r="AP6" s="179"/>
      <c r="AQ6" s="182"/>
      <c r="AS6" s="182"/>
      <c r="AT6" s="182"/>
      <c r="AU6" s="182"/>
      <c r="AV6" s="182"/>
    </row>
    <row r="7" spans="1:48" s="18" customFormat="1" ht="15.9" customHeight="1" x14ac:dyDescent="0.3">
      <c r="A7" s="5" t="s">
        <v>3921</v>
      </c>
      <c r="B7" s="5" t="s">
        <v>2820</v>
      </c>
      <c r="C7" s="174">
        <v>44740</v>
      </c>
      <c r="D7" s="5" t="s">
        <v>285</v>
      </c>
      <c r="E7" s="5" t="s">
        <v>339</v>
      </c>
      <c r="F7" s="175" t="s">
        <v>3922</v>
      </c>
      <c r="G7" s="187" t="s">
        <v>3915</v>
      </c>
      <c r="H7" s="177" t="s">
        <v>346</v>
      </c>
      <c r="I7" s="184" t="s">
        <v>3919</v>
      </c>
      <c r="J7" s="113" t="str">
        <f>VLOOKUP($I7,'Price List, Weapons &amp; Items'!B:C,2,0)</f>
        <v>Aviation and drones</v>
      </c>
      <c r="K7" s="183">
        <f>VLOOKUP(I7,'Price List, Weapons &amp; Items'!B:E,4,0)</f>
        <v>0</v>
      </c>
      <c r="L7" s="176">
        <v>50</v>
      </c>
      <c r="M7" s="226" t="s">
        <v>260</v>
      </c>
      <c r="N7" s="233">
        <f>VLOOKUP($I7,'Price List, Weapons &amp; Items'!B:G,4,0)</f>
        <v>0</v>
      </c>
      <c r="O7" s="178">
        <f>L7*N7</f>
        <v>0</v>
      </c>
      <c r="P7" s="176" t="s">
        <v>260</v>
      </c>
      <c r="Q7" s="176">
        <f>O7</f>
        <v>0</v>
      </c>
      <c r="R7" s="176">
        <f>Q7/VLOOKUP(H7,'Exchange Rates'!$B$11:$C$25,2,0)</f>
        <v>0</v>
      </c>
      <c r="S7" s="176" t="s">
        <v>260</v>
      </c>
      <c r="T7" s="177" t="s">
        <v>415</v>
      </c>
      <c r="U7" s="698" t="s">
        <v>3923</v>
      </c>
      <c r="V7" s="704" t="s">
        <v>260</v>
      </c>
      <c r="W7" s="701" t="s">
        <v>260</v>
      </c>
      <c r="X7" s="705" t="s">
        <v>260</v>
      </c>
      <c r="Y7" s="706">
        <v>0</v>
      </c>
      <c r="Z7" s="232">
        <v>0</v>
      </c>
      <c r="AA7" s="227" t="s">
        <v>260</v>
      </c>
      <c r="AB7" s="182"/>
      <c r="AC7" s="182"/>
      <c r="AD7" s="235"/>
      <c r="AE7" s="235"/>
      <c r="AF7" s="235"/>
      <c r="AG7" s="235"/>
      <c r="AH7" s="235"/>
      <c r="AI7" s="235"/>
      <c r="AJ7" s="181"/>
      <c r="AK7" s="181"/>
      <c r="AL7" s="181"/>
      <c r="AM7" s="181"/>
      <c r="AN7" s="182"/>
      <c r="AO7" s="182"/>
      <c r="AP7" s="179"/>
      <c r="AQ7" s="182"/>
      <c r="AS7" s="182"/>
      <c r="AT7" s="182"/>
      <c r="AU7" s="182"/>
      <c r="AV7" s="182"/>
    </row>
    <row r="8" spans="1:48" ht="15.9" customHeight="1" x14ac:dyDescent="0.3">
      <c r="A8" s="5"/>
      <c r="B8" s="5"/>
      <c r="I8" s="184"/>
    </row>
    <row r="9" spans="1:48" ht="15.9" customHeight="1" x14ac:dyDescent="0.3">
      <c r="A9" s="5"/>
      <c r="B9" s="5"/>
      <c r="I9" s="184"/>
    </row>
    <row r="10" spans="1:48" ht="15.9" customHeight="1" x14ac:dyDescent="0.3">
      <c r="A10" s="5"/>
      <c r="B10" s="5"/>
      <c r="I10" s="184"/>
    </row>
    <row r="11" spans="1:48" ht="15.9" customHeight="1" x14ac:dyDescent="0.3">
      <c r="A11" s="5"/>
      <c r="B11" s="5"/>
      <c r="I11" s="184"/>
    </row>
    <row r="12" spans="1:48" ht="15.9" customHeight="1" x14ac:dyDescent="0.3">
      <c r="G12" s="177"/>
      <c r="I12" s="184"/>
    </row>
    <row r="13" spans="1:48" ht="15.9" customHeight="1" x14ac:dyDescent="0.3">
      <c r="A13" s="5"/>
      <c r="B13" s="5"/>
      <c r="G13" s="177"/>
      <c r="I13" s="184"/>
    </row>
    <row r="14" spans="1:48" ht="15.9" customHeight="1" x14ac:dyDescent="0.3">
      <c r="A14" s="5"/>
      <c r="B14" s="5"/>
      <c r="G14" s="177"/>
      <c r="I14" s="184"/>
    </row>
    <row r="15" spans="1:48" ht="15.9" customHeight="1" x14ac:dyDescent="0.3">
      <c r="A15" s="5"/>
      <c r="B15" s="5"/>
      <c r="I15" s="184"/>
    </row>
    <row r="16" spans="1:48" ht="15.9" customHeight="1" x14ac:dyDescent="0.3">
      <c r="A16" s="5"/>
      <c r="B16" s="5"/>
      <c r="I16" s="184"/>
    </row>
    <row r="17" spans="1:9" ht="15.9" customHeight="1" x14ac:dyDescent="0.3">
      <c r="A17" s="5"/>
      <c r="B17" s="5"/>
    </row>
    <row r="18" spans="1:9" ht="15.9" customHeight="1" x14ac:dyDescent="0.3">
      <c r="A18" s="5"/>
      <c r="B18" s="5"/>
    </row>
    <row r="19" spans="1:9" ht="15.9" customHeight="1" x14ac:dyDescent="0.3">
      <c r="A19" s="19"/>
      <c r="B19" s="19"/>
      <c r="D19" s="19"/>
      <c r="E19" s="19"/>
      <c r="F19" s="19"/>
      <c r="G19" s="199"/>
      <c r="I19" s="19"/>
    </row>
    <row r="20" spans="1:9" ht="15.9" customHeight="1" x14ac:dyDescent="0.3">
      <c r="A20" s="5"/>
      <c r="B20" s="5"/>
    </row>
    <row r="21" spans="1:9" ht="15.9" customHeight="1" x14ac:dyDescent="0.3">
      <c r="A21" s="5"/>
      <c r="B21" s="5"/>
    </row>
    <row r="22" spans="1:9" ht="15.9" customHeight="1" x14ac:dyDescent="0.3">
      <c r="A22" s="5"/>
      <c r="B22" s="5"/>
    </row>
    <row r="25" spans="1:9" ht="15.9" customHeight="1" x14ac:dyDescent="0.3">
      <c r="A25" s="5"/>
      <c r="B25" s="5"/>
    </row>
    <row r="26" spans="1:9" ht="15.9" customHeight="1" x14ac:dyDescent="0.3">
      <c r="A26" s="5"/>
      <c r="B26" s="5"/>
    </row>
    <row r="27" spans="1:9" ht="15.9" customHeight="1" x14ac:dyDescent="0.3">
      <c r="A27" s="5"/>
      <c r="B27" s="5"/>
    </row>
    <row r="28" spans="1:9" ht="15.9" customHeight="1" x14ac:dyDescent="0.3">
      <c r="A28" s="5"/>
      <c r="B28" s="5"/>
    </row>
    <row r="29" spans="1:9" ht="15.9" customHeight="1" x14ac:dyDescent="0.3">
      <c r="A29" s="5"/>
      <c r="B29" s="5"/>
    </row>
    <row r="30" spans="1:9" ht="15.9" customHeight="1" x14ac:dyDescent="0.3">
      <c r="A30" s="5"/>
      <c r="B30" s="5"/>
    </row>
    <row r="31" spans="1:9" ht="15.9" customHeight="1" x14ac:dyDescent="0.3">
      <c r="A31" s="5"/>
      <c r="B31" s="5"/>
    </row>
    <row r="32" spans="1:9" ht="15.9" customHeight="1" x14ac:dyDescent="0.3">
      <c r="A32" s="5"/>
      <c r="B32" s="5"/>
    </row>
    <row r="43" spans="1:2" ht="15.9" customHeight="1" x14ac:dyDescent="0.3">
      <c r="A43" s="5"/>
      <c r="B43" s="5"/>
    </row>
    <row r="44" spans="1:2" ht="15.9" customHeight="1" x14ac:dyDescent="0.3">
      <c r="A44" s="5"/>
      <c r="B44" s="5"/>
    </row>
    <row r="45" spans="1:2" ht="15.9" customHeight="1" x14ac:dyDescent="0.3">
      <c r="A45" s="5"/>
      <c r="B45" s="5"/>
    </row>
    <row r="46" spans="1:2" ht="15.9" customHeight="1" x14ac:dyDescent="0.3">
      <c r="A46" s="5"/>
      <c r="B46" s="5"/>
    </row>
    <row r="48" spans="1:2" ht="15.9" customHeight="1" x14ac:dyDescent="0.3">
      <c r="A48" s="5"/>
      <c r="B48" s="5"/>
    </row>
    <row r="49" spans="1:9" ht="15.9" customHeight="1" x14ac:dyDescent="0.3">
      <c r="A49" s="5"/>
      <c r="B49" s="5"/>
    </row>
    <row r="50" spans="1:9" ht="15.9" customHeight="1" x14ac:dyDescent="0.3">
      <c r="A50" s="5"/>
      <c r="B50" s="5"/>
    </row>
    <row r="55" spans="1:9" ht="15.9" customHeight="1" x14ac:dyDescent="0.3">
      <c r="A55" s="5"/>
      <c r="B55" s="5"/>
    </row>
    <row r="56" spans="1:9" ht="15.9" customHeight="1" x14ac:dyDescent="0.3">
      <c r="A56" s="5"/>
      <c r="B56" s="5"/>
    </row>
    <row r="57" spans="1:9" ht="15.9" customHeight="1" x14ac:dyDescent="0.3">
      <c r="A57" s="5"/>
      <c r="B57" s="5"/>
    </row>
    <row r="58" spans="1:9" ht="15.9" customHeight="1" x14ac:dyDescent="0.3">
      <c r="A58" s="5"/>
      <c r="B58" s="5"/>
    </row>
    <row r="59" spans="1:9" ht="15.9" customHeight="1" x14ac:dyDescent="0.3">
      <c r="A59" s="5"/>
      <c r="B59" s="5"/>
    </row>
    <row r="60" spans="1:9" ht="15.9" customHeight="1" x14ac:dyDescent="0.3">
      <c r="A60" s="5"/>
      <c r="B60" s="5"/>
      <c r="C60" s="198"/>
      <c r="D60" s="19"/>
      <c r="E60" s="19"/>
      <c r="F60" s="19"/>
      <c r="I60" s="19"/>
    </row>
    <row r="61" spans="1:9" ht="15.9" customHeight="1" x14ac:dyDescent="0.3">
      <c r="A61" s="5"/>
      <c r="B61" s="5"/>
      <c r="C61" s="198"/>
      <c r="D61" s="19"/>
      <c r="E61" s="19"/>
      <c r="F61" s="19"/>
      <c r="I61" s="19"/>
    </row>
    <row r="62" spans="1:9" ht="15.9" customHeight="1" x14ac:dyDescent="0.3">
      <c r="A62" s="5"/>
      <c r="B62" s="5"/>
      <c r="C62" s="198"/>
      <c r="D62" s="19"/>
      <c r="E62" s="19"/>
      <c r="F62" s="19"/>
      <c r="I62" s="19"/>
    </row>
    <row r="63" spans="1:9" ht="15.9" customHeight="1" x14ac:dyDescent="0.3">
      <c r="A63" s="5"/>
      <c r="B63" s="5"/>
      <c r="C63" s="198"/>
      <c r="D63" s="19"/>
      <c r="E63" s="19"/>
      <c r="F63" s="19"/>
      <c r="I63" s="19"/>
    </row>
    <row r="64" spans="1:9" ht="15.9" customHeight="1" x14ac:dyDescent="0.3">
      <c r="A64" s="5"/>
      <c r="B64" s="5"/>
      <c r="C64" s="198"/>
      <c r="D64" s="19"/>
      <c r="E64" s="19"/>
      <c r="F64" s="19"/>
      <c r="I64" s="19"/>
    </row>
    <row r="65" spans="1:9" ht="15.9" customHeight="1" x14ac:dyDescent="0.3">
      <c r="A65" s="5"/>
      <c r="B65" s="5"/>
      <c r="C65" s="198"/>
      <c r="D65" s="19"/>
      <c r="E65" s="19"/>
      <c r="F65" s="19"/>
      <c r="I65" s="19"/>
    </row>
    <row r="66" spans="1:9" ht="15.9" customHeight="1" x14ac:dyDescent="0.3">
      <c r="A66" s="5"/>
      <c r="B66" s="5"/>
      <c r="C66" s="198"/>
      <c r="D66" s="19"/>
      <c r="E66" s="19"/>
      <c r="F66" s="19"/>
      <c r="I66" s="19"/>
    </row>
    <row r="67" spans="1:9" ht="15.9" customHeight="1" x14ac:dyDescent="0.3">
      <c r="A67" s="5"/>
      <c r="B67" s="5"/>
      <c r="C67" s="198"/>
      <c r="D67" s="19"/>
      <c r="E67" s="19"/>
      <c r="F67" s="19"/>
      <c r="I67" s="19"/>
    </row>
    <row r="68" spans="1:9" ht="15.9" customHeight="1" x14ac:dyDescent="0.3">
      <c r="A68" s="5"/>
      <c r="B68" s="5"/>
      <c r="C68" s="198"/>
      <c r="D68" s="19"/>
      <c r="E68" s="19"/>
      <c r="F68" s="19"/>
      <c r="I68" s="19"/>
    </row>
    <row r="69" spans="1:9" ht="15.9" customHeight="1" x14ac:dyDescent="0.3">
      <c r="A69" s="5"/>
      <c r="B69" s="5"/>
      <c r="C69" s="198"/>
      <c r="D69" s="19"/>
      <c r="E69" s="19"/>
      <c r="F69" s="19"/>
      <c r="I69" s="19"/>
    </row>
    <row r="70" spans="1:9" ht="15.9" customHeight="1" x14ac:dyDescent="0.3">
      <c r="A70" s="5"/>
      <c r="B70" s="5"/>
      <c r="C70" s="198"/>
      <c r="D70" s="19"/>
      <c r="E70" s="19"/>
      <c r="F70" s="19"/>
      <c r="I70" s="19"/>
    </row>
    <row r="71" spans="1:9" ht="15.9" customHeight="1" x14ac:dyDescent="0.3">
      <c r="A71" s="5"/>
      <c r="B71" s="5"/>
      <c r="C71" s="198"/>
      <c r="D71" s="19"/>
      <c r="E71" s="19"/>
      <c r="F71" s="19"/>
      <c r="I71" s="19"/>
    </row>
    <row r="72" spans="1:9" ht="15.9" customHeight="1" x14ac:dyDescent="0.3">
      <c r="A72" s="5"/>
      <c r="B72" s="5"/>
      <c r="C72" s="198"/>
      <c r="D72" s="19"/>
      <c r="E72" s="19"/>
      <c r="F72" s="19"/>
      <c r="I72" s="19"/>
    </row>
    <row r="76" spans="1:9" ht="15.9" customHeight="1" x14ac:dyDescent="0.3">
      <c r="A76" s="5"/>
      <c r="B76" s="5"/>
    </row>
    <row r="77" spans="1:9" ht="15.9" customHeight="1" x14ac:dyDescent="0.3">
      <c r="A77" s="5"/>
      <c r="B77" s="5"/>
    </row>
    <row r="96" spans="1:2" ht="15.9" customHeight="1" x14ac:dyDescent="0.3">
      <c r="A96" s="5"/>
      <c r="B96" s="5"/>
    </row>
    <row r="97" spans="1:9" ht="15.9" customHeight="1" x14ac:dyDescent="0.3">
      <c r="A97" s="5"/>
      <c r="B97" s="5"/>
    </row>
    <row r="98" spans="1:9" ht="15.9" customHeight="1" x14ac:dyDescent="0.3">
      <c r="A98" s="5"/>
      <c r="B98" s="5"/>
    </row>
    <row r="99" spans="1:9" ht="15.9" customHeight="1" x14ac:dyDescent="0.3">
      <c r="A99" s="5"/>
      <c r="B99" s="5"/>
    </row>
    <row r="100" spans="1:9" ht="15.9" customHeight="1" x14ac:dyDescent="0.3">
      <c r="A100" s="5"/>
      <c r="B100" s="5"/>
    </row>
    <row r="101" spans="1:9" ht="15.9" customHeight="1" x14ac:dyDescent="0.3">
      <c r="A101" s="5"/>
      <c r="B101" s="5"/>
      <c r="I101" s="192"/>
    </row>
    <row r="102" spans="1:9" ht="15.9" customHeight="1" x14ac:dyDescent="0.3">
      <c r="A102" s="5"/>
      <c r="B102" s="5"/>
      <c r="I102" s="190"/>
    </row>
    <row r="103" spans="1:9" ht="15.9" customHeight="1" x14ac:dyDescent="0.3">
      <c r="A103" s="5"/>
      <c r="B103" s="5"/>
      <c r="I103" s="217"/>
    </row>
    <row r="104" spans="1:9" ht="15.9" customHeight="1" x14ac:dyDescent="0.3">
      <c r="A104" s="5"/>
      <c r="B104" s="5"/>
    </row>
    <row r="105" spans="1:9" ht="15.9" customHeight="1" x14ac:dyDescent="0.3">
      <c r="A105" s="5"/>
      <c r="B105" s="5"/>
    </row>
    <row r="107" spans="1:9" ht="15.9" customHeight="1" x14ac:dyDescent="0.3">
      <c r="A107" s="5"/>
      <c r="B107" s="5"/>
    </row>
    <row r="108" spans="1:9" ht="15.9" customHeight="1" x14ac:dyDescent="0.3">
      <c r="A108" s="5"/>
      <c r="B108" s="5"/>
    </row>
    <row r="109" spans="1:9" ht="15.9" customHeight="1" x14ac:dyDescent="0.3">
      <c r="A109" s="5"/>
      <c r="B109" s="5"/>
    </row>
    <row r="110" spans="1:9" ht="15.9" customHeight="1" x14ac:dyDescent="0.3">
      <c r="A110" s="5"/>
      <c r="B110" s="5"/>
    </row>
    <row r="111" spans="1:9" ht="15.9" customHeight="1" x14ac:dyDescent="0.3">
      <c r="A111" s="5"/>
      <c r="B111" s="5"/>
    </row>
    <row r="112" spans="1:9" ht="15.9" customHeight="1" x14ac:dyDescent="0.3">
      <c r="A112" s="5"/>
      <c r="B112" s="5"/>
    </row>
    <row r="113" spans="1:9" ht="15.9" customHeight="1" x14ac:dyDescent="0.3">
      <c r="A113" s="5"/>
      <c r="B113" s="5"/>
    </row>
    <row r="114" spans="1:9" ht="15.9" customHeight="1" x14ac:dyDescent="0.3">
      <c r="A114" s="5"/>
      <c r="B114" s="5"/>
    </row>
    <row r="115" spans="1:9" ht="15.9" customHeight="1" x14ac:dyDescent="0.3">
      <c r="A115" s="5"/>
      <c r="B115" s="5"/>
    </row>
    <row r="116" spans="1:9" ht="15.9" customHeight="1" x14ac:dyDescent="0.3">
      <c r="A116" s="5"/>
      <c r="B116" s="5"/>
    </row>
    <row r="117" spans="1:9" ht="15.9" customHeight="1" x14ac:dyDescent="0.3">
      <c r="A117" s="5"/>
      <c r="B117" s="5"/>
    </row>
    <row r="118" spans="1:9" ht="15.9" customHeight="1" x14ac:dyDescent="0.3">
      <c r="A118" s="5"/>
      <c r="B118" s="5"/>
    </row>
    <row r="119" spans="1:9" ht="15.9" customHeight="1" x14ac:dyDescent="0.3">
      <c r="A119" s="5"/>
      <c r="B119" s="5"/>
    </row>
    <row r="120" spans="1:9" ht="15.9" customHeight="1" x14ac:dyDescent="0.3">
      <c r="A120" s="5"/>
      <c r="B120" s="5"/>
    </row>
    <row r="121" spans="1:9" ht="15.9" customHeight="1" x14ac:dyDescent="0.3">
      <c r="A121" s="5"/>
      <c r="B121" s="5"/>
    </row>
    <row r="122" spans="1:9" ht="15.9" customHeight="1" x14ac:dyDescent="0.3">
      <c r="A122" s="5"/>
      <c r="B122" s="5"/>
      <c r="I122" s="156"/>
    </row>
    <row r="123" spans="1:9" ht="15.9" customHeight="1" x14ac:dyDescent="0.3">
      <c r="A123" s="5"/>
      <c r="B123" s="5"/>
    </row>
    <row r="124" spans="1:9" ht="15.9" customHeight="1" x14ac:dyDescent="0.3">
      <c r="A124" s="5"/>
      <c r="B124" s="5"/>
    </row>
    <row r="125" spans="1:9" ht="15.9" customHeight="1" x14ac:dyDescent="0.3">
      <c r="I125" s="185"/>
    </row>
    <row r="126" spans="1:9" ht="15.9" customHeight="1" x14ac:dyDescent="0.3">
      <c r="I126" s="185"/>
    </row>
    <row r="132" spans="1:9" ht="15.9" customHeight="1" x14ac:dyDescent="0.3">
      <c r="A132" s="5"/>
      <c r="B132" s="5"/>
    </row>
    <row r="133" spans="1:9" ht="15.9" customHeight="1" x14ac:dyDescent="0.3">
      <c r="A133" s="5"/>
      <c r="B133" s="5"/>
    </row>
    <row r="134" spans="1:9" ht="15.9" customHeight="1" x14ac:dyDescent="0.3">
      <c r="A134" s="5"/>
      <c r="B134" s="5"/>
    </row>
    <row r="135" spans="1:9" ht="15.9" customHeight="1" x14ac:dyDescent="0.3">
      <c r="A135" s="5"/>
      <c r="B135" s="5"/>
    </row>
    <row r="136" spans="1:9" ht="15.9" customHeight="1" x14ac:dyDescent="0.3">
      <c r="A136" s="5"/>
      <c r="B136" s="5"/>
    </row>
    <row r="138" spans="1:9" ht="15.9" customHeight="1" x14ac:dyDescent="0.3">
      <c r="I138" s="184"/>
    </row>
    <row r="139" spans="1:9" ht="15.9" customHeight="1" x14ac:dyDescent="0.3">
      <c r="A139" s="5"/>
      <c r="B139" s="5"/>
      <c r="D139" s="194"/>
      <c r="E139" s="194"/>
      <c r="G139" s="195"/>
      <c r="I139" s="185"/>
    </row>
    <row r="140" spans="1:9" ht="15.9" customHeight="1" x14ac:dyDescent="0.3">
      <c r="A140" s="5"/>
      <c r="B140" s="5"/>
      <c r="I140" s="185"/>
    </row>
    <row r="141" spans="1:9" ht="15.9" customHeight="1" x14ac:dyDescent="0.3">
      <c r="A141" s="5"/>
      <c r="B141" s="5"/>
      <c r="I141" s="185"/>
    </row>
    <row r="142" spans="1:9" ht="15.9" customHeight="1" x14ac:dyDescent="0.3">
      <c r="A142" s="5"/>
      <c r="B142" s="5"/>
      <c r="I142" s="185"/>
    </row>
    <row r="143" spans="1:9" ht="15.9" customHeight="1" x14ac:dyDescent="0.3">
      <c r="A143" s="5"/>
      <c r="B143" s="5"/>
      <c r="I143" s="185"/>
    </row>
    <row r="144" spans="1:9" ht="15.9" customHeight="1" x14ac:dyDescent="0.3">
      <c r="A144" s="5"/>
      <c r="B144" s="5"/>
      <c r="I144" s="185"/>
    </row>
    <row r="145" spans="1:9" ht="15.9" customHeight="1" x14ac:dyDescent="0.3">
      <c r="A145" s="5"/>
      <c r="B145" s="5"/>
      <c r="I145" s="185"/>
    </row>
    <row r="146" spans="1:9" ht="15.9" customHeight="1" x14ac:dyDescent="0.3">
      <c r="A146" s="5"/>
      <c r="B146" s="5"/>
      <c r="I146" s="185"/>
    </row>
    <row r="147" spans="1:9" ht="15.9" customHeight="1" x14ac:dyDescent="0.3">
      <c r="A147" s="5"/>
      <c r="B147" s="5"/>
      <c r="I147" s="185"/>
    </row>
    <row r="148" spans="1:9" ht="15.9" customHeight="1" x14ac:dyDescent="0.3">
      <c r="A148" s="5"/>
      <c r="B148" s="5"/>
      <c r="I148" s="185"/>
    </row>
    <row r="149" spans="1:9" ht="15.9" customHeight="1" x14ac:dyDescent="0.3">
      <c r="A149" s="5"/>
      <c r="B149" s="5"/>
      <c r="I149" s="185"/>
    </row>
    <row r="150" spans="1:9" ht="15.9" customHeight="1" x14ac:dyDescent="0.3">
      <c r="A150" s="5"/>
      <c r="B150" s="5"/>
      <c r="I150" s="185"/>
    </row>
    <row r="151" spans="1:9" ht="15.9" customHeight="1" x14ac:dyDescent="0.3">
      <c r="A151" s="5"/>
      <c r="B151" s="5"/>
      <c r="D151" s="194"/>
      <c r="I151" s="184"/>
    </row>
    <row r="152" spans="1:9" ht="15.9" customHeight="1" x14ac:dyDescent="0.3">
      <c r="A152" s="5"/>
      <c r="B152" s="5"/>
      <c r="D152" s="194"/>
      <c r="I152" s="184"/>
    </row>
    <row r="153" spans="1:9" ht="15.9" customHeight="1" x14ac:dyDescent="0.3">
      <c r="A153" s="5"/>
      <c r="B153" s="5"/>
      <c r="D153" s="194"/>
      <c r="I153" s="184"/>
    </row>
    <row r="154" spans="1:9" ht="15.9" customHeight="1" x14ac:dyDescent="0.3">
      <c r="A154" s="5"/>
      <c r="B154" s="5"/>
      <c r="D154" s="194"/>
      <c r="I154" s="184"/>
    </row>
    <row r="155" spans="1:9" ht="15.9" customHeight="1" x14ac:dyDescent="0.3">
      <c r="A155" s="5"/>
      <c r="B155" s="5"/>
      <c r="D155" s="194"/>
      <c r="I155" s="184"/>
    </row>
    <row r="156" spans="1:9" ht="15.9" customHeight="1" x14ac:dyDescent="0.3">
      <c r="A156" s="5"/>
      <c r="B156" s="5"/>
      <c r="D156" s="194"/>
      <c r="I156" s="184"/>
    </row>
    <row r="157" spans="1:9" ht="15.9" customHeight="1" x14ac:dyDescent="0.3">
      <c r="I157" s="184"/>
    </row>
    <row r="158" spans="1:9" ht="15.9" customHeight="1" x14ac:dyDescent="0.3">
      <c r="I158" s="184"/>
    </row>
    <row r="159" spans="1:9" ht="15.9" customHeight="1" x14ac:dyDescent="0.3">
      <c r="I159" s="184"/>
    </row>
    <row r="160" spans="1:9" ht="15.9" customHeight="1" x14ac:dyDescent="0.3">
      <c r="I160" s="184"/>
    </row>
    <row r="161" spans="1:9" ht="15.9" customHeight="1" x14ac:dyDescent="0.3">
      <c r="I161" s="184"/>
    </row>
    <row r="162" spans="1:9" ht="15.9" customHeight="1" x14ac:dyDescent="0.3">
      <c r="I162" s="184"/>
    </row>
    <row r="163" spans="1:9" ht="15.9" customHeight="1" x14ac:dyDescent="0.3">
      <c r="I163" s="184"/>
    </row>
    <row r="164" spans="1:9" ht="15.9" customHeight="1" x14ac:dyDescent="0.3">
      <c r="I164" s="184"/>
    </row>
    <row r="165" spans="1:9" ht="15.9" customHeight="1" x14ac:dyDescent="0.3">
      <c r="I165" s="184"/>
    </row>
    <row r="167" spans="1:9" ht="15.9" customHeight="1" x14ac:dyDescent="0.3">
      <c r="A167" s="5"/>
      <c r="B167" s="5"/>
    </row>
    <row r="168" spans="1:9" ht="15.9" customHeight="1" x14ac:dyDescent="0.3">
      <c r="A168" s="5"/>
      <c r="B168" s="5"/>
    </row>
    <row r="170" spans="1:9" ht="15.9" customHeight="1" x14ac:dyDescent="0.3">
      <c r="A170" s="5"/>
      <c r="B170" s="5"/>
    </row>
    <row r="171" spans="1:9" ht="15.9" customHeight="1" x14ac:dyDescent="0.3">
      <c r="A171" s="5"/>
      <c r="B171" s="5"/>
    </row>
    <row r="180" spans="1:9" ht="15.9" customHeight="1" x14ac:dyDescent="0.3">
      <c r="I180" s="184"/>
    </row>
    <row r="181" spans="1:9" ht="15.9" customHeight="1" x14ac:dyDescent="0.3">
      <c r="I181" s="184"/>
    </row>
    <row r="186" spans="1:9" ht="15.9" customHeight="1" x14ac:dyDescent="0.3">
      <c r="A186" s="5"/>
      <c r="B186" s="5"/>
    </row>
    <row r="187" spans="1:9" ht="15.9" customHeight="1" x14ac:dyDescent="0.3">
      <c r="A187" s="5"/>
      <c r="B187" s="5"/>
    </row>
    <row r="196" spans="1:2" ht="15.9" customHeight="1" x14ac:dyDescent="0.3">
      <c r="A196" s="5"/>
      <c r="B196" s="5"/>
    </row>
    <row r="197" spans="1:2" ht="15.9" customHeight="1" x14ac:dyDescent="0.3">
      <c r="A197" s="5"/>
      <c r="B197" s="5"/>
    </row>
    <row r="198" spans="1:2" ht="15.9" customHeight="1" x14ac:dyDescent="0.3">
      <c r="A198" s="5"/>
      <c r="B198" s="5"/>
    </row>
    <row r="199" spans="1:2" ht="15.9" customHeight="1" x14ac:dyDescent="0.3">
      <c r="A199" s="5"/>
      <c r="B199" s="5"/>
    </row>
    <row r="200" spans="1:2" ht="15.9" customHeight="1" x14ac:dyDescent="0.3">
      <c r="A200" s="5"/>
      <c r="B200" s="5"/>
    </row>
    <row r="201" spans="1:2" ht="15.9" customHeight="1" x14ac:dyDescent="0.3">
      <c r="A201" s="5"/>
      <c r="B201" s="5"/>
    </row>
    <row r="202" spans="1:2" ht="15.9" customHeight="1" x14ac:dyDescent="0.3">
      <c r="A202" s="5"/>
      <c r="B202" s="5"/>
    </row>
    <row r="203" spans="1:2" ht="15.9" customHeight="1" x14ac:dyDescent="0.3">
      <c r="A203" s="5"/>
      <c r="B203" s="5"/>
    </row>
    <row r="204" spans="1:2" ht="15.9" customHeight="1" x14ac:dyDescent="0.3">
      <c r="A204" s="5"/>
      <c r="B204" s="5"/>
    </row>
    <row r="205" spans="1:2" ht="15.9" customHeight="1" x14ac:dyDescent="0.3">
      <c r="A205" s="5"/>
      <c r="B205" s="5"/>
    </row>
    <row r="206" spans="1:2" ht="15.9" customHeight="1" x14ac:dyDescent="0.3">
      <c r="A206" s="5"/>
      <c r="B206" s="5"/>
    </row>
    <row r="207" spans="1:2" ht="15.9" customHeight="1" x14ac:dyDescent="0.3">
      <c r="A207" s="5"/>
      <c r="B207" s="5"/>
    </row>
    <row r="208" spans="1:2" ht="15.9" customHeight="1" x14ac:dyDescent="0.3">
      <c r="A208" s="5"/>
      <c r="B208" s="5"/>
    </row>
    <row r="209" spans="1:2" ht="15.9" customHeight="1" x14ac:dyDescent="0.3">
      <c r="A209" s="5"/>
      <c r="B209" s="5"/>
    </row>
    <row r="212" spans="1:2" ht="15.9" customHeight="1" x14ac:dyDescent="0.3">
      <c r="A212" s="5"/>
      <c r="B212" s="5"/>
    </row>
    <row r="213" spans="1:2" ht="15.9" customHeight="1" x14ac:dyDescent="0.3">
      <c r="A213" s="5"/>
      <c r="B213" s="5"/>
    </row>
    <row r="214" spans="1:2" ht="15.9" customHeight="1" x14ac:dyDescent="0.3">
      <c r="A214" s="5"/>
      <c r="B214" s="5"/>
    </row>
    <row r="215" spans="1:2" ht="15.9" customHeight="1" x14ac:dyDescent="0.3">
      <c r="A215" s="5"/>
      <c r="B215" s="5"/>
    </row>
    <row r="216" spans="1:2" ht="15.9" customHeight="1" x14ac:dyDescent="0.3">
      <c r="A216" s="5"/>
      <c r="B216" s="5"/>
    </row>
    <row r="217" spans="1:2" ht="15.9" customHeight="1" x14ac:dyDescent="0.3">
      <c r="A217" s="5"/>
      <c r="B217" s="5"/>
    </row>
    <row r="218" spans="1:2" ht="15.9" customHeight="1" x14ac:dyDescent="0.3">
      <c r="A218" s="5"/>
      <c r="B218" s="5"/>
    </row>
    <row r="219" spans="1:2" ht="15.9" customHeight="1" x14ac:dyDescent="0.3">
      <c r="A219" s="5"/>
      <c r="B219" s="5"/>
    </row>
    <row r="220" spans="1:2" ht="15.9" customHeight="1" x14ac:dyDescent="0.3">
      <c r="A220" s="5"/>
      <c r="B220" s="5"/>
    </row>
    <row r="221" spans="1:2" ht="15.9" customHeight="1" x14ac:dyDescent="0.3">
      <c r="A221" s="5"/>
      <c r="B221" s="5"/>
    </row>
    <row r="222" spans="1:2" ht="15.9" customHeight="1" x14ac:dyDescent="0.3">
      <c r="A222" s="5"/>
      <c r="B222" s="5"/>
    </row>
    <row r="223" spans="1:2" ht="15.9" customHeight="1" x14ac:dyDescent="0.3">
      <c r="A223" s="5"/>
      <c r="B223" s="5"/>
    </row>
    <row r="224" spans="1:2" ht="15.9" customHeight="1" x14ac:dyDescent="0.3">
      <c r="A224" s="5"/>
      <c r="B224" s="5"/>
    </row>
    <row r="225" spans="1:9" ht="15.9" customHeight="1" x14ac:dyDescent="0.3">
      <c r="A225" s="5"/>
      <c r="B225" s="5"/>
    </row>
    <row r="226" spans="1:9" ht="15.9" customHeight="1" x14ac:dyDescent="0.3">
      <c r="A226" s="5"/>
      <c r="B226" s="5"/>
    </row>
    <row r="227" spans="1:9" ht="15.9" customHeight="1" x14ac:dyDescent="0.3">
      <c r="A227" s="5"/>
      <c r="B227" s="5"/>
    </row>
    <row r="228" spans="1:9" ht="15.9" customHeight="1" x14ac:dyDescent="0.3">
      <c r="A228" s="5"/>
      <c r="B228" s="5"/>
    </row>
    <row r="229" spans="1:9" ht="15.9" customHeight="1" x14ac:dyDescent="0.3">
      <c r="A229" s="5"/>
      <c r="B229" s="5"/>
    </row>
    <row r="230" spans="1:9" ht="15.9" customHeight="1" x14ac:dyDescent="0.3">
      <c r="A230" s="5"/>
      <c r="B230" s="5"/>
    </row>
    <row r="231" spans="1:9" ht="15.9" customHeight="1" x14ac:dyDescent="0.3">
      <c r="A231" s="5"/>
      <c r="B231" s="5"/>
    </row>
    <row r="233" spans="1:9" ht="15.9" customHeight="1" x14ac:dyDescent="0.25">
      <c r="I233" s="1"/>
    </row>
    <row r="234" spans="1:9" ht="15.9" customHeight="1" x14ac:dyDescent="0.25">
      <c r="I234" s="1"/>
    </row>
    <row r="235" spans="1:9" ht="15.9" customHeight="1" x14ac:dyDescent="0.25">
      <c r="I235" s="1"/>
    </row>
    <row r="236" spans="1:9" ht="15.9" customHeight="1" x14ac:dyDescent="0.25">
      <c r="I236" s="1"/>
    </row>
    <row r="237" spans="1:9" ht="15.9" customHeight="1" x14ac:dyDescent="0.25">
      <c r="I237" s="1"/>
    </row>
    <row r="238" spans="1:9" ht="15.9" customHeight="1" x14ac:dyDescent="0.3">
      <c r="I238" s="19"/>
    </row>
    <row r="239" spans="1:9" ht="15.9" customHeight="1" x14ac:dyDescent="0.3">
      <c r="I239" s="158"/>
    </row>
    <row r="240" spans="1:9" ht="15.9" customHeight="1" x14ac:dyDescent="0.3">
      <c r="I240" s="19"/>
    </row>
    <row r="241" spans="1:9" ht="15.9" customHeight="1" x14ac:dyDescent="0.3">
      <c r="I241" s="19"/>
    </row>
    <row r="242" spans="1:9" ht="15.9" customHeight="1" x14ac:dyDescent="0.3">
      <c r="I242" s="185"/>
    </row>
    <row r="247" spans="1:9" ht="15.9" customHeight="1" x14ac:dyDescent="0.3">
      <c r="I247" s="155"/>
    </row>
    <row r="250" spans="1:9" ht="15.9" customHeight="1" x14ac:dyDescent="0.3">
      <c r="A250" s="5"/>
      <c r="B250" s="5"/>
    </row>
    <row r="251" spans="1:9" ht="15.9" customHeight="1" x14ac:dyDescent="0.3">
      <c r="A251" s="5"/>
      <c r="B251" s="5"/>
    </row>
    <row r="252" spans="1:9" ht="15.9" customHeight="1" x14ac:dyDescent="0.3">
      <c r="A252" s="5"/>
      <c r="B252" s="5"/>
    </row>
    <row r="268" spans="1:2" ht="15.9" customHeight="1" x14ac:dyDescent="0.3">
      <c r="A268" s="5"/>
      <c r="B268" s="5"/>
    </row>
    <row r="269" spans="1:2" ht="15.9" customHeight="1" x14ac:dyDescent="0.3">
      <c r="A269" s="5"/>
      <c r="B269" s="5"/>
    </row>
    <row r="270" spans="1:2" ht="15.9" customHeight="1" x14ac:dyDescent="0.3">
      <c r="A270" s="5"/>
      <c r="B270" s="5"/>
    </row>
    <row r="271" spans="1:2" ht="15.9" customHeight="1" x14ac:dyDescent="0.3">
      <c r="A271" s="5"/>
      <c r="B271" s="5"/>
    </row>
    <row r="272" spans="1:2" ht="15.9" customHeight="1" x14ac:dyDescent="0.3">
      <c r="A272" s="5"/>
      <c r="B272" s="5"/>
    </row>
    <row r="273" spans="1:2" ht="15.9" customHeight="1" x14ac:dyDescent="0.3">
      <c r="A273" s="5"/>
      <c r="B273" s="5"/>
    </row>
    <row r="274" spans="1:2" ht="15.9" customHeight="1" x14ac:dyDescent="0.3">
      <c r="A274" s="5"/>
      <c r="B274" s="5"/>
    </row>
    <row r="283" spans="1:2" ht="15.9" customHeight="1" x14ac:dyDescent="0.3">
      <c r="A283" s="5"/>
      <c r="B283" s="5"/>
    </row>
    <row r="284" spans="1:2" ht="15.9" customHeight="1" x14ac:dyDescent="0.3">
      <c r="A284" s="5"/>
      <c r="B284" s="5"/>
    </row>
    <row r="285" spans="1:2" ht="15.9" customHeight="1" x14ac:dyDescent="0.3">
      <c r="A285" s="5"/>
      <c r="B285" s="5"/>
    </row>
    <row r="286" spans="1:2" ht="15.9" customHeight="1" x14ac:dyDescent="0.3">
      <c r="A286" s="5"/>
      <c r="B286" s="5"/>
    </row>
    <row r="287" spans="1:2" ht="15.9" customHeight="1" x14ac:dyDescent="0.3">
      <c r="A287" s="5"/>
      <c r="B287" s="5"/>
    </row>
    <row r="288" spans="1:2" ht="15.9" customHeight="1" x14ac:dyDescent="0.3">
      <c r="A288" s="5"/>
      <c r="B288" s="5"/>
    </row>
    <row r="290" spans="1:9" ht="15.9" customHeight="1" x14ac:dyDescent="0.3">
      <c r="A290" s="5"/>
      <c r="B290" s="5"/>
    </row>
    <row r="291" spans="1:9" ht="15.9" customHeight="1" x14ac:dyDescent="0.3">
      <c r="A291" s="5"/>
      <c r="B291" s="5"/>
    </row>
    <row r="292" spans="1:9" ht="15.9" customHeight="1" x14ac:dyDescent="0.3">
      <c r="A292" s="5"/>
      <c r="B292" s="5"/>
    </row>
    <row r="293" spans="1:9" ht="15.9" customHeight="1" x14ac:dyDescent="0.3">
      <c r="A293" s="5"/>
      <c r="B293" s="5"/>
    </row>
    <row r="294" spans="1:9" ht="15.9" customHeight="1" x14ac:dyDescent="0.3">
      <c r="A294" s="5"/>
      <c r="B294" s="5"/>
    </row>
    <row r="295" spans="1:9" ht="15.9" customHeight="1" x14ac:dyDescent="0.3">
      <c r="A295" s="5"/>
      <c r="B295" s="5"/>
    </row>
    <row r="296" spans="1:9" ht="15.9" customHeight="1" x14ac:dyDescent="0.3">
      <c r="A296" s="5"/>
      <c r="B296" s="5"/>
    </row>
    <row r="297" spans="1:9" ht="15.9" customHeight="1" x14ac:dyDescent="0.3">
      <c r="A297" s="5"/>
      <c r="B297" s="5"/>
    </row>
    <row r="298" spans="1:9" ht="15.9" customHeight="1" x14ac:dyDescent="0.3">
      <c r="A298" s="5"/>
      <c r="B298" s="5"/>
    </row>
    <row r="299" spans="1:9" ht="15.9" customHeight="1" x14ac:dyDescent="0.3">
      <c r="A299" s="5"/>
      <c r="B299" s="5"/>
      <c r="I299" s="156"/>
    </row>
    <row r="310" spans="8:9" ht="15.9" customHeight="1" x14ac:dyDescent="0.3">
      <c r="I310" s="186"/>
    </row>
    <row r="313" spans="8:9" ht="15.9" customHeight="1" x14ac:dyDescent="0.3">
      <c r="H313" s="187"/>
    </row>
    <row r="314" spans="8:9" ht="15.9" customHeight="1" x14ac:dyDescent="0.3">
      <c r="I314" s="19"/>
    </row>
    <row r="315" spans="8:9" ht="15.9" customHeight="1" x14ac:dyDescent="0.3">
      <c r="I315" s="19"/>
    </row>
    <row r="316" spans="8:9" ht="15.9" customHeight="1" x14ac:dyDescent="0.3">
      <c r="I316" s="19"/>
    </row>
    <row r="317" spans="8:9" ht="15.9" customHeight="1" x14ac:dyDescent="0.3">
      <c r="I317" s="19"/>
    </row>
    <row r="318" spans="8:9" ht="15.9" customHeight="1" x14ac:dyDescent="0.3">
      <c r="I318" s="19"/>
    </row>
    <row r="319" spans="8:9" ht="15.9" customHeight="1" x14ac:dyDescent="0.3">
      <c r="I319" s="19"/>
    </row>
    <row r="320" spans="8:9" ht="15.9" customHeight="1" x14ac:dyDescent="0.3">
      <c r="I320" s="19"/>
    </row>
    <row r="321" spans="1:9" ht="15.9" customHeight="1" x14ac:dyDescent="0.3">
      <c r="I321" s="19"/>
    </row>
    <row r="322" spans="1:9" ht="15.9" customHeight="1" x14ac:dyDescent="0.3">
      <c r="I322" s="19"/>
    </row>
    <row r="323" spans="1:9" ht="15.9" customHeight="1" x14ac:dyDescent="0.3">
      <c r="I323" s="19"/>
    </row>
    <row r="324" spans="1:9" ht="15.9" customHeight="1" x14ac:dyDescent="0.3">
      <c r="A324" s="19"/>
      <c r="B324" s="19"/>
      <c r="D324" s="19"/>
      <c r="E324" s="19"/>
      <c r="I324" s="19"/>
    </row>
    <row r="325" spans="1:9" ht="15.9" customHeight="1" x14ac:dyDescent="0.3">
      <c r="A325" s="19"/>
      <c r="B325" s="19"/>
      <c r="D325" s="19"/>
      <c r="E325" s="19"/>
      <c r="I325" s="19"/>
    </row>
    <row r="333" spans="1:9" ht="15.9" customHeight="1" x14ac:dyDescent="0.3">
      <c r="A333" s="5"/>
      <c r="B333" s="5"/>
    </row>
    <row r="334" spans="1:9" ht="15.9" customHeight="1" x14ac:dyDescent="0.3">
      <c r="A334" s="5"/>
      <c r="B334" s="5"/>
      <c r="I334" s="156"/>
    </row>
    <row r="335" spans="1:9" ht="15.9" customHeight="1" x14ac:dyDescent="0.3">
      <c r="A335" s="5"/>
      <c r="B335" s="5"/>
    </row>
    <row r="336" spans="1:9" ht="15.9" customHeight="1" x14ac:dyDescent="0.3">
      <c r="A336" s="5"/>
      <c r="B336" s="5"/>
    </row>
    <row r="337" spans="1:9" ht="15.9" customHeight="1" x14ac:dyDescent="0.3">
      <c r="A337" s="5"/>
      <c r="B337" s="5"/>
      <c r="F337" s="1139"/>
    </row>
    <row r="338" spans="1:9" ht="15.9" customHeight="1" x14ac:dyDescent="0.3">
      <c r="A338" s="5"/>
      <c r="B338" s="5"/>
      <c r="F338" s="1139"/>
    </row>
    <row r="339" spans="1:9" ht="15.9" customHeight="1" x14ac:dyDescent="0.3">
      <c r="A339" s="5"/>
      <c r="B339" s="5"/>
      <c r="F339" s="1139"/>
    </row>
    <row r="340" spans="1:9" ht="15.9" customHeight="1" x14ac:dyDescent="0.3">
      <c r="A340" s="5"/>
      <c r="B340" s="5"/>
      <c r="F340" s="1139"/>
    </row>
    <row r="341" spans="1:9" ht="15.9" customHeight="1" x14ac:dyDescent="0.3">
      <c r="I341" s="184"/>
    </row>
    <row r="342" spans="1:9" ht="15.9" customHeight="1" x14ac:dyDescent="0.3">
      <c r="I342" s="184"/>
    </row>
    <row r="347" spans="1:9" ht="15.9" customHeight="1" x14ac:dyDescent="0.3">
      <c r="A347" s="5"/>
      <c r="B347" s="5"/>
      <c r="F347" s="1139"/>
      <c r="H347" s="184"/>
      <c r="I347" s="185"/>
    </row>
    <row r="348" spans="1:9" ht="15.9" customHeight="1" x14ac:dyDescent="0.3">
      <c r="A348" s="5"/>
      <c r="B348" s="5"/>
      <c r="F348" s="1139"/>
      <c r="H348" s="184"/>
      <c r="I348" s="185"/>
    </row>
    <row r="349" spans="1:9" ht="15.9" customHeight="1" x14ac:dyDescent="0.3">
      <c r="A349" s="5"/>
      <c r="B349" s="5"/>
      <c r="F349" s="1139"/>
      <c r="H349" s="184"/>
      <c r="I349" s="185"/>
    </row>
    <row r="350" spans="1:9" ht="15.9" customHeight="1" x14ac:dyDescent="0.3">
      <c r="A350" s="5"/>
      <c r="B350" s="5"/>
      <c r="F350" s="1139"/>
      <c r="H350" s="184"/>
      <c r="I350" s="185"/>
    </row>
    <row r="351" spans="1:9" ht="15.9" customHeight="1" x14ac:dyDescent="0.3">
      <c r="A351" s="5"/>
      <c r="B351" s="5"/>
      <c r="F351" s="1139"/>
      <c r="H351" s="184"/>
      <c r="I351" s="185"/>
    </row>
    <row r="352" spans="1:9" ht="15.9" customHeight="1" x14ac:dyDescent="0.3">
      <c r="A352" s="5"/>
      <c r="B352" s="5"/>
      <c r="F352" s="1139"/>
      <c r="H352" s="184"/>
      <c r="I352" s="185"/>
    </row>
    <row r="353" spans="1:9" ht="15.9" customHeight="1" x14ac:dyDescent="0.3">
      <c r="A353" s="5"/>
      <c r="B353" s="5"/>
      <c r="F353" s="1139"/>
      <c r="H353" s="184"/>
      <c r="I353" s="185"/>
    </row>
    <row r="354" spans="1:9" ht="15.9" customHeight="1" x14ac:dyDescent="0.3">
      <c r="A354" s="5"/>
      <c r="B354" s="5"/>
      <c r="F354" s="1139"/>
      <c r="H354" s="184"/>
      <c r="I354" s="185"/>
    </row>
    <row r="355" spans="1:9" ht="15.9" customHeight="1" x14ac:dyDescent="0.3">
      <c r="A355" s="5"/>
      <c r="B355" s="5"/>
      <c r="F355" s="1139"/>
      <c r="H355" s="184"/>
      <c r="I355" s="185"/>
    </row>
    <row r="356" spans="1:9" ht="15.9" customHeight="1" x14ac:dyDescent="0.3">
      <c r="A356" s="5"/>
      <c r="B356" s="5"/>
      <c r="F356" s="1139"/>
      <c r="H356" s="184"/>
      <c r="I356" s="185"/>
    </row>
    <row r="357" spans="1:9" ht="15.9" customHeight="1" x14ac:dyDescent="0.3">
      <c r="A357" s="5"/>
      <c r="B357" s="5"/>
      <c r="F357" s="1139"/>
      <c r="H357" s="184"/>
      <c r="I357" s="185"/>
    </row>
    <row r="358" spans="1:9" ht="15.9" customHeight="1" x14ac:dyDescent="0.3">
      <c r="A358" s="5"/>
      <c r="B358" s="5"/>
      <c r="F358" s="1139"/>
      <c r="H358" s="184"/>
      <c r="I358" s="185"/>
    </row>
    <row r="359" spans="1:9" ht="15.9" customHeight="1" x14ac:dyDescent="0.3">
      <c r="A359" s="5"/>
      <c r="B359" s="5"/>
      <c r="F359" s="1139"/>
      <c r="H359" s="184"/>
      <c r="I359" s="185"/>
    </row>
    <row r="360" spans="1:9" ht="15.9" customHeight="1" x14ac:dyDescent="0.3">
      <c r="A360" s="5"/>
      <c r="B360" s="5"/>
      <c r="F360" s="1139"/>
      <c r="H360" s="184"/>
      <c r="I360" s="185"/>
    </row>
    <row r="361" spans="1:9" ht="15.9" customHeight="1" x14ac:dyDescent="0.3">
      <c r="A361" s="5"/>
      <c r="B361" s="5"/>
      <c r="F361" s="1139"/>
      <c r="H361" s="184"/>
      <c r="I361" s="185"/>
    </row>
    <row r="362" spans="1:9" ht="15.9" customHeight="1" x14ac:dyDescent="0.3">
      <c r="A362" s="5"/>
      <c r="B362" s="5"/>
      <c r="F362" s="1139"/>
      <c r="H362" s="184"/>
      <c r="I362" s="185"/>
    </row>
    <row r="363" spans="1:9" ht="15.9" customHeight="1" x14ac:dyDescent="0.3">
      <c r="A363" s="5"/>
      <c r="B363" s="5"/>
      <c r="F363" s="1139"/>
      <c r="H363" s="184"/>
      <c r="I363" s="185"/>
    </row>
    <row r="364" spans="1:9" ht="15.9" customHeight="1" x14ac:dyDescent="0.3">
      <c r="A364" s="5"/>
      <c r="B364" s="5"/>
      <c r="F364" s="1139"/>
      <c r="H364" s="184"/>
      <c r="I364" s="185"/>
    </row>
    <row r="365" spans="1:9" ht="15.9" customHeight="1" x14ac:dyDescent="0.3">
      <c r="A365" s="5"/>
      <c r="B365" s="5"/>
      <c r="F365" s="1139"/>
      <c r="H365" s="184"/>
      <c r="I365" s="185"/>
    </row>
    <row r="366" spans="1:9" ht="15.9" customHeight="1" x14ac:dyDescent="0.3">
      <c r="A366" s="5"/>
      <c r="B366" s="5"/>
      <c r="F366" s="1139"/>
      <c r="H366" s="184"/>
      <c r="I366" s="185"/>
    </row>
    <row r="367" spans="1:9" ht="15.9" customHeight="1" x14ac:dyDescent="0.3">
      <c r="A367" s="5"/>
      <c r="B367" s="5"/>
      <c r="F367" s="1139"/>
      <c r="H367" s="184"/>
      <c r="I367" s="185"/>
    </row>
    <row r="368" spans="1:9" ht="15.9" customHeight="1" x14ac:dyDescent="0.3">
      <c r="A368" s="5"/>
      <c r="B368" s="5"/>
      <c r="F368" s="1139"/>
      <c r="H368" s="184"/>
      <c r="I368" s="185"/>
    </row>
    <row r="369" spans="1:9" ht="15.9" customHeight="1" x14ac:dyDescent="0.3">
      <c r="A369" s="5"/>
      <c r="B369" s="5"/>
      <c r="F369" s="1139"/>
      <c r="H369" s="184"/>
      <c r="I369" s="185"/>
    </row>
    <row r="370" spans="1:9" ht="15.9" customHeight="1" x14ac:dyDescent="0.3">
      <c r="A370" s="5"/>
      <c r="B370" s="5"/>
      <c r="F370" s="1139"/>
      <c r="H370" s="184"/>
      <c r="I370" s="185"/>
    </row>
    <row r="371" spans="1:9" ht="15.9" customHeight="1" x14ac:dyDescent="0.3">
      <c r="A371" s="5"/>
      <c r="B371" s="5"/>
      <c r="F371" s="1139"/>
      <c r="H371" s="184"/>
      <c r="I371" s="185"/>
    </row>
    <row r="372" spans="1:9" ht="15.9" customHeight="1" x14ac:dyDescent="0.3">
      <c r="A372" s="5"/>
      <c r="B372" s="5"/>
      <c r="F372" s="1139"/>
      <c r="H372" s="184"/>
      <c r="I372" s="185"/>
    </row>
    <row r="373" spans="1:9" ht="15.9" customHeight="1" x14ac:dyDescent="0.3">
      <c r="A373" s="5"/>
      <c r="B373" s="5"/>
      <c r="F373" s="1139"/>
      <c r="H373" s="184"/>
      <c r="I373" s="185"/>
    </row>
    <row r="374" spans="1:9" ht="15.9" customHeight="1" x14ac:dyDescent="0.3">
      <c r="A374" s="5"/>
      <c r="B374" s="5"/>
      <c r="F374" s="1139"/>
      <c r="H374" s="184"/>
      <c r="I374" s="185"/>
    </row>
    <row r="375" spans="1:9" ht="15.9" customHeight="1" x14ac:dyDescent="0.3">
      <c r="A375" s="5"/>
      <c r="B375" s="5"/>
      <c r="F375" s="1139"/>
      <c r="H375" s="184"/>
      <c r="I375" s="185"/>
    </row>
    <row r="376" spans="1:9" ht="15.9" customHeight="1" x14ac:dyDescent="0.3">
      <c r="A376" s="5"/>
      <c r="B376" s="5"/>
      <c r="F376" s="1139"/>
      <c r="H376" s="184"/>
      <c r="I376" s="185"/>
    </row>
    <row r="377" spans="1:9" ht="15.9" customHeight="1" x14ac:dyDescent="0.3">
      <c r="A377" s="5"/>
      <c r="B377" s="5"/>
      <c r="F377" s="1139"/>
      <c r="H377" s="184"/>
      <c r="I377" s="185"/>
    </row>
    <row r="378" spans="1:9" ht="15.9" customHeight="1" x14ac:dyDescent="0.3">
      <c r="A378" s="5"/>
      <c r="B378" s="5"/>
      <c r="F378" s="1139"/>
      <c r="H378" s="184"/>
      <c r="I378" s="185"/>
    </row>
    <row r="379" spans="1:9" ht="15.9" customHeight="1" x14ac:dyDescent="0.3">
      <c r="A379" s="5"/>
      <c r="B379" s="5"/>
      <c r="F379" s="1139"/>
      <c r="H379" s="184"/>
      <c r="I379" s="185"/>
    </row>
    <row r="380" spans="1:9" ht="15.9" customHeight="1" x14ac:dyDescent="0.3">
      <c r="A380" s="5"/>
      <c r="B380" s="5"/>
      <c r="F380" s="1139"/>
      <c r="H380" s="184"/>
      <c r="I380" s="185"/>
    </row>
    <row r="381" spans="1:9" ht="15.9" customHeight="1" x14ac:dyDescent="0.3">
      <c r="A381" s="5"/>
      <c r="B381" s="5"/>
      <c r="F381" s="1139"/>
      <c r="H381" s="184"/>
      <c r="I381" s="185"/>
    </row>
    <row r="382" spans="1:9" ht="15.9" customHeight="1" x14ac:dyDescent="0.3">
      <c r="A382" s="5"/>
      <c r="B382" s="5"/>
      <c r="F382" s="1139"/>
      <c r="H382" s="184"/>
      <c r="I382" s="185"/>
    </row>
    <row r="383" spans="1:9" ht="15.9" customHeight="1" x14ac:dyDescent="0.3">
      <c r="A383" s="5"/>
      <c r="B383" s="5"/>
      <c r="F383" s="1139"/>
      <c r="H383" s="184"/>
      <c r="I383" s="185"/>
    </row>
    <row r="384" spans="1:9" ht="15.9" customHeight="1" x14ac:dyDescent="0.3">
      <c r="A384" s="5"/>
      <c r="B384" s="5"/>
      <c r="F384" s="1139"/>
      <c r="H384" s="184"/>
      <c r="I384" s="185"/>
    </row>
    <row r="385" spans="1:9" ht="15.9" customHeight="1" x14ac:dyDescent="0.3">
      <c r="A385" s="5"/>
      <c r="B385" s="5"/>
      <c r="F385" s="1139"/>
      <c r="H385" s="184"/>
      <c r="I385" s="185"/>
    </row>
    <row r="386" spans="1:9" ht="15.9" customHeight="1" x14ac:dyDescent="0.3">
      <c r="A386" s="5"/>
      <c r="B386" s="5"/>
      <c r="F386" s="1139"/>
      <c r="H386" s="184"/>
      <c r="I386" s="185"/>
    </row>
    <row r="387" spans="1:9" ht="15.9" customHeight="1" x14ac:dyDescent="0.3">
      <c r="A387" s="5"/>
      <c r="B387" s="5"/>
      <c r="F387" s="1139"/>
      <c r="H387" s="184"/>
      <c r="I387" s="185"/>
    </row>
    <row r="388" spans="1:9" ht="15.9" customHeight="1" x14ac:dyDescent="0.3">
      <c r="A388" s="5"/>
      <c r="B388" s="5"/>
      <c r="F388" s="1139"/>
      <c r="H388" s="184"/>
      <c r="I388" s="185"/>
    </row>
    <row r="389" spans="1:9" ht="15.9" customHeight="1" x14ac:dyDescent="0.3">
      <c r="A389" s="5"/>
      <c r="B389" s="5"/>
      <c r="F389" s="1139"/>
      <c r="H389" s="184"/>
      <c r="I389" s="186"/>
    </row>
    <row r="390" spans="1:9" ht="15.9" customHeight="1" x14ac:dyDescent="0.3">
      <c r="A390" s="5"/>
      <c r="B390" s="5"/>
      <c r="F390" s="1139"/>
      <c r="H390" s="184"/>
      <c r="I390" s="185"/>
    </row>
    <row r="391" spans="1:9" ht="15.9" customHeight="1" x14ac:dyDescent="0.3">
      <c r="A391" s="5"/>
      <c r="B391" s="5"/>
      <c r="F391" s="1139"/>
      <c r="H391" s="184"/>
      <c r="I391" s="185"/>
    </row>
    <row r="392" spans="1:9" ht="15.9" customHeight="1" x14ac:dyDescent="0.3">
      <c r="A392" s="5"/>
      <c r="B392" s="5"/>
      <c r="F392" s="1139"/>
      <c r="H392" s="184"/>
      <c r="I392" s="185"/>
    </row>
    <row r="393" spans="1:9" ht="15.9" customHeight="1" x14ac:dyDescent="0.3">
      <c r="A393" s="5"/>
      <c r="B393" s="5"/>
      <c r="F393" s="1139"/>
      <c r="H393" s="184"/>
      <c r="I393" s="185"/>
    </row>
    <row r="394" spans="1:9" ht="15.9" customHeight="1" x14ac:dyDescent="0.3">
      <c r="A394" s="5"/>
      <c r="B394" s="5"/>
      <c r="F394" s="1139"/>
      <c r="H394" s="184"/>
      <c r="I394" s="185"/>
    </row>
    <row r="395" spans="1:9" ht="15.9" customHeight="1" x14ac:dyDescent="0.3">
      <c r="A395" s="5"/>
      <c r="B395" s="5"/>
      <c r="F395" s="1139"/>
      <c r="H395" s="184"/>
      <c r="I395" s="185"/>
    </row>
    <row r="396" spans="1:9" ht="15.9" customHeight="1" x14ac:dyDescent="0.3">
      <c r="A396" s="5"/>
      <c r="B396" s="5"/>
      <c r="F396" s="1139"/>
      <c r="H396" s="184"/>
      <c r="I396" s="185"/>
    </row>
    <row r="397" spans="1:9" ht="15.9" customHeight="1" x14ac:dyDescent="0.3">
      <c r="A397" s="5"/>
      <c r="B397" s="5"/>
      <c r="F397" s="1139"/>
      <c r="H397" s="184"/>
      <c r="I397" s="185"/>
    </row>
    <row r="398" spans="1:9" ht="15.9" customHeight="1" x14ac:dyDescent="0.3">
      <c r="A398" s="5"/>
      <c r="B398" s="5"/>
      <c r="F398" s="1139"/>
      <c r="H398" s="184"/>
      <c r="I398" s="185"/>
    </row>
    <row r="399" spans="1:9" ht="15.9" customHeight="1" x14ac:dyDescent="0.3">
      <c r="A399" s="5"/>
      <c r="B399" s="5"/>
      <c r="F399" s="1139"/>
      <c r="H399" s="184"/>
      <c r="I399" s="185"/>
    </row>
    <row r="400" spans="1:9" ht="15.9" customHeight="1" x14ac:dyDescent="0.3">
      <c r="A400" s="5"/>
      <c r="B400" s="5"/>
      <c r="F400" s="1139"/>
      <c r="H400" s="184"/>
      <c r="I400" s="185"/>
    </row>
    <row r="401" spans="1:9" ht="15.9" customHeight="1" x14ac:dyDescent="0.3">
      <c r="A401" s="5"/>
      <c r="B401" s="5"/>
      <c r="F401" s="1139"/>
      <c r="H401" s="184"/>
      <c r="I401" s="185"/>
    </row>
    <row r="402" spans="1:9" ht="15.9" customHeight="1" x14ac:dyDescent="0.3">
      <c r="A402" s="5"/>
      <c r="B402" s="5"/>
      <c r="F402" s="1139"/>
      <c r="H402" s="184"/>
      <c r="I402" s="185"/>
    </row>
    <row r="403" spans="1:9" ht="15.9" customHeight="1" x14ac:dyDescent="0.3">
      <c r="A403" s="5"/>
      <c r="B403" s="5"/>
      <c r="F403" s="1139"/>
      <c r="H403" s="184"/>
      <c r="I403" s="185"/>
    </row>
    <row r="404" spans="1:9" ht="15.9" customHeight="1" x14ac:dyDescent="0.3">
      <c r="A404" s="5"/>
      <c r="B404" s="5"/>
      <c r="F404" s="1139"/>
      <c r="H404" s="184"/>
      <c r="I404" s="185"/>
    </row>
    <row r="405" spans="1:9" ht="15.9" customHeight="1" x14ac:dyDescent="0.3">
      <c r="A405" s="5"/>
      <c r="B405" s="5"/>
      <c r="F405" s="1139"/>
      <c r="H405" s="184"/>
      <c r="I405" s="156"/>
    </row>
    <row r="406" spans="1:9" ht="15.9" customHeight="1" x14ac:dyDescent="0.3">
      <c r="A406" s="5"/>
      <c r="B406" s="5"/>
      <c r="F406" s="1139"/>
      <c r="H406" s="184"/>
      <c r="I406" s="185"/>
    </row>
    <row r="407" spans="1:9" ht="15.9" customHeight="1" x14ac:dyDescent="0.3">
      <c r="A407" s="5"/>
      <c r="B407" s="5"/>
      <c r="F407" s="1139"/>
      <c r="H407" s="184"/>
      <c r="I407" s="185"/>
    </row>
    <row r="408" spans="1:9" ht="15.9" customHeight="1" x14ac:dyDescent="0.3">
      <c r="A408" s="5"/>
      <c r="B408" s="5"/>
      <c r="F408" s="1139"/>
      <c r="H408" s="184"/>
      <c r="I408" s="185"/>
    </row>
    <row r="409" spans="1:9" ht="15.9" customHeight="1" x14ac:dyDescent="0.3">
      <c r="A409" s="5"/>
      <c r="B409" s="5"/>
      <c r="F409" s="1139"/>
      <c r="H409" s="184"/>
      <c r="I409" s="185"/>
    </row>
    <row r="410" spans="1:9" ht="15.9" customHeight="1" x14ac:dyDescent="0.3">
      <c r="A410" s="5"/>
      <c r="B410" s="5"/>
      <c r="F410" s="1139"/>
      <c r="H410" s="184"/>
      <c r="I410" s="185"/>
    </row>
    <row r="411" spans="1:9" ht="15.9" customHeight="1" x14ac:dyDescent="0.3">
      <c r="A411" s="5"/>
      <c r="B411" s="5"/>
      <c r="F411" s="1139"/>
      <c r="H411" s="184"/>
      <c r="I411" s="185"/>
    </row>
    <row r="412" spans="1:9" ht="15.9" customHeight="1" x14ac:dyDescent="0.3">
      <c r="A412" s="5"/>
      <c r="B412" s="5"/>
      <c r="F412" s="1139"/>
      <c r="H412" s="184"/>
      <c r="I412" s="185"/>
    </row>
    <row r="413" spans="1:9" ht="15.9" customHeight="1" x14ac:dyDescent="0.3">
      <c r="A413" s="5"/>
      <c r="B413" s="5"/>
      <c r="F413" s="1139"/>
      <c r="H413" s="184"/>
      <c r="I413" s="185"/>
    </row>
    <row r="414" spans="1:9" ht="15.9" customHeight="1" x14ac:dyDescent="0.3">
      <c r="A414" s="5"/>
      <c r="B414" s="5"/>
      <c r="F414" s="1139"/>
      <c r="H414" s="184"/>
      <c r="I414" s="185"/>
    </row>
    <row r="415" spans="1:9" ht="15.9" customHeight="1" x14ac:dyDescent="0.3">
      <c r="A415" s="5"/>
      <c r="B415" s="5"/>
      <c r="F415" s="1139"/>
      <c r="H415" s="184"/>
      <c r="I415" s="185"/>
    </row>
    <row r="416" spans="1:9" ht="15.9" customHeight="1" x14ac:dyDescent="0.3">
      <c r="A416" s="5"/>
      <c r="B416" s="5"/>
      <c r="F416" s="1139"/>
      <c r="H416" s="184"/>
      <c r="I416" s="185"/>
    </row>
    <row r="417" spans="1:9" ht="15.9" customHeight="1" x14ac:dyDescent="0.3">
      <c r="A417" s="5"/>
      <c r="B417" s="5"/>
      <c r="F417" s="1139"/>
      <c r="H417" s="184"/>
      <c r="I417" s="185"/>
    </row>
    <row r="418" spans="1:9" ht="15.9" customHeight="1" x14ac:dyDescent="0.3">
      <c r="A418" s="5"/>
      <c r="B418" s="5"/>
      <c r="F418" s="1139"/>
      <c r="H418" s="184"/>
      <c r="I418" s="185"/>
    </row>
    <row r="419" spans="1:9" ht="15.9" customHeight="1" x14ac:dyDescent="0.3">
      <c r="A419" s="5"/>
      <c r="B419" s="5"/>
      <c r="F419" s="1139"/>
      <c r="H419" s="184"/>
      <c r="I419" s="185"/>
    </row>
    <row r="420" spans="1:9" ht="15.9" customHeight="1" x14ac:dyDescent="0.3">
      <c r="A420" s="5"/>
      <c r="B420" s="5"/>
      <c r="F420" s="1139"/>
      <c r="H420" s="184"/>
      <c r="I420" s="185"/>
    </row>
    <row r="421" spans="1:9" ht="15.9" customHeight="1" x14ac:dyDescent="0.3">
      <c r="A421" s="5"/>
      <c r="B421" s="5"/>
      <c r="F421" s="1139"/>
      <c r="H421" s="184"/>
      <c r="I421" s="185"/>
    </row>
    <row r="422" spans="1:9" ht="15.9" customHeight="1" x14ac:dyDescent="0.3">
      <c r="A422" s="5"/>
      <c r="B422" s="5"/>
      <c r="F422" s="1139"/>
      <c r="H422" s="184"/>
      <c r="I422" s="185"/>
    </row>
    <row r="423" spans="1:9" ht="15.9" customHeight="1" x14ac:dyDescent="0.3">
      <c r="A423" s="5"/>
      <c r="B423" s="5"/>
      <c r="F423" s="1139"/>
      <c r="H423" s="184"/>
      <c r="I423" s="185"/>
    </row>
    <row r="424" spans="1:9" ht="15.9" customHeight="1" x14ac:dyDescent="0.3">
      <c r="A424" s="5"/>
      <c r="B424" s="5"/>
      <c r="F424" s="1139"/>
      <c r="H424" s="184"/>
      <c r="I424" s="185"/>
    </row>
    <row r="425" spans="1:9" ht="15.9" customHeight="1" x14ac:dyDescent="0.3">
      <c r="A425" s="5"/>
      <c r="B425" s="5"/>
      <c r="F425" s="1139"/>
      <c r="H425" s="184"/>
      <c r="I425" s="185"/>
    </row>
    <row r="426" spans="1:9" ht="15.9" customHeight="1" x14ac:dyDescent="0.3">
      <c r="A426" s="5"/>
      <c r="B426" s="5"/>
      <c r="F426" s="1139"/>
      <c r="H426" s="184"/>
      <c r="I426" s="185"/>
    </row>
    <row r="427" spans="1:9" ht="15.9" customHeight="1" x14ac:dyDescent="0.3">
      <c r="A427" s="5"/>
      <c r="B427" s="5"/>
      <c r="F427" s="1139"/>
      <c r="H427" s="184"/>
      <c r="I427" s="158"/>
    </row>
    <row r="428" spans="1:9" ht="15.9" customHeight="1" x14ac:dyDescent="0.3">
      <c r="A428" s="5"/>
      <c r="B428" s="5"/>
      <c r="F428" s="1139"/>
      <c r="H428" s="184"/>
      <c r="I428" s="185"/>
    </row>
    <row r="429" spans="1:9" ht="15.9" customHeight="1" x14ac:dyDescent="0.3">
      <c r="A429" s="5"/>
      <c r="B429" s="5"/>
      <c r="F429" s="1139"/>
      <c r="H429" s="184"/>
      <c r="I429" s="185"/>
    </row>
    <row r="430" spans="1:9" ht="15.9" customHeight="1" x14ac:dyDescent="0.3">
      <c r="A430" s="5"/>
      <c r="B430" s="5"/>
      <c r="F430" s="1139"/>
      <c r="H430" s="184"/>
      <c r="I430" s="185"/>
    </row>
    <row r="431" spans="1:9" ht="15.9" customHeight="1" x14ac:dyDescent="0.3">
      <c r="A431" s="5"/>
      <c r="B431" s="5"/>
      <c r="F431" s="1139"/>
      <c r="H431" s="184"/>
      <c r="I431" s="185"/>
    </row>
    <row r="432" spans="1:9" ht="15.9" customHeight="1" x14ac:dyDescent="0.3">
      <c r="A432" s="5"/>
      <c r="B432" s="5"/>
      <c r="F432" s="1139"/>
      <c r="H432" s="184"/>
      <c r="I432" s="185"/>
    </row>
    <row r="433" spans="1:9" ht="15.9" customHeight="1" x14ac:dyDescent="0.3">
      <c r="A433" s="5"/>
      <c r="B433" s="5"/>
      <c r="F433" s="1139"/>
      <c r="H433" s="184"/>
      <c r="I433" s="185"/>
    </row>
    <row r="434" spans="1:9" ht="15.9" customHeight="1" x14ac:dyDescent="0.3">
      <c r="A434" s="5"/>
      <c r="B434" s="5"/>
      <c r="F434" s="1139"/>
      <c r="H434" s="184"/>
      <c r="I434" s="185"/>
    </row>
    <row r="435" spans="1:9" ht="15.9" customHeight="1" x14ac:dyDescent="0.3">
      <c r="A435" s="5"/>
      <c r="B435" s="5"/>
      <c r="F435" s="1139"/>
      <c r="H435" s="184"/>
      <c r="I435" s="185"/>
    </row>
    <row r="436" spans="1:9" ht="15.9" customHeight="1" x14ac:dyDescent="0.3">
      <c r="A436" s="5"/>
      <c r="B436" s="5"/>
      <c r="F436" s="1139"/>
      <c r="H436" s="184"/>
      <c r="I436" s="185"/>
    </row>
    <row r="437" spans="1:9" ht="15.9" customHeight="1" x14ac:dyDescent="0.3">
      <c r="A437" s="5"/>
      <c r="B437" s="5"/>
      <c r="F437" s="1139"/>
      <c r="H437" s="184"/>
      <c r="I437" s="185"/>
    </row>
    <row r="438" spans="1:9" ht="15.9" customHeight="1" x14ac:dyDescent="0.3">
      <c r="A438" s="5"/>
      <c r="B438" s="5"/>
      <c r="F438" s="1139"/>
      <c r="H438" s="184"/>
      <c r="I438" s="185"/>
    </row>
    <row r="439" spans="1:9" ht="15.9" customHeight="1" x14ac:dyDescent="0.3">
      <c r="A439" s="5"/>
      <c r="B439" s="5"/>
      <c r="F439" s="1139"/>
      <c r="H439" s="184"/>
      <c r="I439" s="185"/>
    </row>
    <row r="440" spans="1:9" ht="15.9" customHeight="1" x14ac:dyDescent="0.3">
      <c r="A440" s="5"/>
      <c r="B440" s="5"/>
      <c r="F440" s="1139"/>
      <c r="H440" s="184"/>
      <c r="I440" s="185"/>
    </row>
    <row r="441" spans="1:9" ht="15.9" customHeight="1" x14ac:dyDescent="0.3">
      <c r="A441" s="5"/>
      <c r="B441" s="5"/>
      <c r="F441" s="1139"/>
      <c r="H441" s="184"/>
      <c r="I441" s="185"/>
    </row>
    <row r="442" spans="1:9" ht="15.9" customHeight="1" x14ac:dyDescent="0.3">
      <c r="A442" s="5"/>
      <c r="B442" s="5"/>
      <c r="F442" s="1139"/>
      <c r="H442" s="184"/>
      <c r="I442" s="185"/>
    </row>
    <row r="443" spans="1:9" ht="15.9" customHeight="1" x14ac:dyDescent="0.3">
      <c r="A443" s="5"/>
      <c r="B443" s="5"/>
      <c r="F443" s="1139"/>
      <c r="H443" s="184"/>
      <c r="I443" s="185"/>
    </row>
    <row r="444" spans="1:9" ht="15.9" customHeight="1" x14ac:dyDescent="0.3">
      <c r="A444" s="5"/>
      <c r="B444" s="5"/>
      <c r="F444" s="1139"/>
      <c r="H444" s="184"/>
      <c r="I444" s="185"/>
    </row>
    <row r="445" spans="1:9" ht="15.9" customHeight="1" x14ac:dyDescent="0.3">
      <c r="A445" s="5"/>
      <c r="B445" s="5"/>
      <c r="F445" s="1139"/>
      <c r="H445" s="184"/>
      <c r="I445" s="185"/>
    </row>
    <row r="446" spans="1:9" ht="15.9" customHeight="1" x14ac:dyDescent="0.3">
      <c r="A446" s="5"/>
      <c r="B446" s="5"/>
      <c r="F446" s="1139"/>
      <c r="H446" s="184"/>
      <c r="I446" s="185"/>
    </row>
    <row r="447" spans="1:9" ht="15.9" customHeight="1" x14ac:dyDescent="0.3">
      <c r="A447" s="5"/>
      <c r="B447" s="5"/>
      <c r="F447" s="1139"/>
      <c r="H447" s="184"/>
      <c r="I447" s="185"/>
    </row>
    <row r="448" spans="1:9" ht="15.9" customHeight="1" x14ac:dyDescent="0.3">
      <c r="A448" s="5"/>
      <c r="B448" s="5"/>
      <c r="F448" s="1139"/>
      <c r="H448" s="184"/>
      <c r="I448" s="185"/>
    </row>
    <row r="449" spans="1:8" ht="15.9" customHeight="1" x14ac:dyDescent="0.3">
      <c r="A449" s="5"/>
      <c r="B449" s="5"/>
      <c r="F449" s="1139"/>
      <c r="H449" s="184"/>
    </row>
    <row r="450" spans="1:8" ht="15.9" customHeight="1" x14ac:dyDescent="0.3">
      <c r="A450" s="5"/>
      <c r="B450" s="5"/>
    </row>
    <row r="457" spans="1:8" ht="15.9" customHeight="1" x14ac:dyDescent="0.3">
      <c r="A457" s="5"/>
      <c r="B457" s="5"/>
    </row>
    <row r="458" spans="1:8" ht="15.9" customHeight="1" x14ac:dyDescent="0.3">
      <c r="A458" s="5"/>
      <c r="B458" s="5"/>
    </row>
    <row r="459" spans="1:8" ht="15.9" customHeight="1" x14ac:dyDescent="0.3">
      <c r="A459" s="5"/>
      <c r="B459" s="5"/>
    </row>
    <row r="460" spans="1:8" ht="15.9" customHeight="1" x14ac:dyDescent="0.3">
      <c r="A460" s="5"/>
      <c r="B460" s="5"/>
    </row>
    <row r="461" spans="1:8" ht="15.9" customHeight="1" x14ac:dyDescent="0.3">
      <c r="A461" s="5"/>
      <c r="B461" s="5"/>
    </row>
    <row r="462" spans="1:8" ht="15.9" customHeight="1" x14ac:dyDescent="0.3">
      <c r="A462" s="5"/>
      <c r="B462" s="5"/>
    </row>
    <row r="463" spans="1:8" ht="15.9" customHeight="1" x14ac:dyDescent="0.3">
      <c r="A463" s="5"/>
      <c r="B463" s="5"/>
    </row>
    <row r="464" spans="1:8" ht="15.9" customHeight="1" x14ac:dyDescent="0.3">
      <c r="A464" s="5"/>
      <c r="B464" s="5"/>
    </row>
    <row r="465" spans="1:2" ht="15.9" customHeight="1" x14ac:dyDescent="0.3">
      <c r="A465" s="5"/>
      <c r="B465" s="5"/>
    </row>
    <row r="466" spans="1:2" ht="15.9" customHeight="1" x14ac:dyDescent="0.3">
      <c r="A466" s="5"/>
      <c r="B466" s="5"/>
    </row>
    <row r="467" spans="1:2" ht="15.9" customHeight="1" x14ac:dyDescent="0.3">
      <c r="A467" s="5"/>
      <c r="B467" s="5"/>
    </row>
    <row r="468" spans="1:2" ht="15.9" customHeight="1" x14ac:dyDescent="0.3">
      <c r="A468" s="5"/>
      <c r="B468" s="5"/>
    </row>
    <row r="469" spans="1:2" ht="15.9" customHeight="1" x14ac:dyDescent="0.3">
      <c r="A469" s="5"/>
      <c r="B469" s="5"/>
    </row>
    <row r="470" spans="1:2" ht="15.9" customHeight="1" x14ac:dyDescent="0.3">
      <c r="A470" s="5"/>
      <c r="B470" s="5"/>
    </row>
    <row r="471" spans="1:2" ht="15.9" customHeight="1" x14ac:dyDescent="0.3">
      <c r="A471" s="5"/>
      <c r="B471" s="5"/>
    </row>
    <row r="472" spans="1:2" ht="15.9" customHeight="1" x14ac:dyDescent="0.3">
      <c r="A472" s="5"/>
      <c r="B472" s="5"/>
    </row>
    <row r="473" spans="1:2" ht="15.9" customHeight="1" x14ac:dyDescent="0.3">
      <c r="A473" s="5"/>
      <c r="B473" s="5"/>
    </row>
    <row r="474" spans="1:2" ht="15.9" customHeight="1" x14ac:dyDescent="0.3">
      <c r="A474" s="5"/>
      <c r="B474" s="5"/>
    </row>
    <row r="479" spans="1:2" ht="15.9" customHeight="1" x14ac:dyDescent="0.3">
      <c r="A479" s="5"/>
      <c r="B479" s="5"/>
    </row>
    <row r="480" spans="1:2" ht="15.9" customHeight="1" x14ac:dyDescent="0.3">
      <c r="A480" s="5"/>
      <c r="B480" s="5"/>
    </row>
    <row r="481" spans="1:6" ht="15.9" customHeight="1" x14ac:dyDescent="0.3">
      <c r="A481" s="5"/>
      <c r="B481" s="5"/>
    </row>
    <row r="483" spans="1:6" ht="15.9" customHeight="1" x14ac:dyDescent="0.3">
      <c r="C483" s="198"/>
      <c r="D483" s="19"/>
      <c r="E483" s="19"/>
      <c r="F483" s="19"/>
    </row>
    <row r="486" spans="1:6" ht="15.9" customHeight="1" x14ac:dyDescent="0.3">
      <c r="A486" s="5"/>
      <c r="B486" s="5"/>
    </row>
    <row r="487" spans="1:6" ht="15.9" customHeight="1" x14ac:dyDescent="0.3">
      <c r="A487" s="5"/>
      <c r="B487" s="5"/>
    </row>
    <row r="488" spans="1:6" ht="15.9" customHeight="1" x14ac:dyDescent="0.3">
      <c r="A488" s="5"/>
      <c r="B488" s="5"/>
    </row>
    <row r="497" spans="1:9" ht="15.9" customHeight="1" x14ac:dyDescent="0.3">
      <c r="A497" s="5"/>
      <c r="B497" s="5"/>
    </row>
    <row r="498" spans="1:9" ht="15.9" customHeight="1" x14ac:dyDescent="0.3">
      <c r="A498" s="5"/>
      <c r="B498" s="5"/>
    </row>
    <row r="499" spans="1:9" ht="15.9" customHeight="1" x14ac:dyDescent="0.3">
      <c r="A499" s="5"/>
      <c r="B499" s="5"/>
    </row>
    <row r="500" spans="1:9" ht="15.9" customHeight="1" x14ac:dyDescent="0.3">
      <c r="A500" s="5"/>
      <c r="B500" s="5"/>
    </row>
    <row r="501" spans="1:9" ht="15.9" customHeight="1" x14ac:dyDescent="0.3">
      <c r="A501" s="5"/>
      <c r="B501" s="5"/>
    </row>
    <row r="506" spans="1:9" ht="15.9" customHeight="1" x14ac:dyDescent="0.3">
      <c r="A506" s="5"/>
      <c r="B506" s="5"/>
    </row>
    <row r="507" spans="1:9" ht="15.9" customHeight="1" x14ac:dyDescent="0.3">
      <c r="A507" s="5"/>
      <c r="B507" s="5"/>
    </row>
    <row r="508" spans="1:9" ht="15.9" customHeight="1" x14ac:dyDescent="0.3">
      <c r="A508" s="5"/>
      <c r="B508" s="5"/>
    </row>
    <row r="509" spans="1:9" ht="15.9" customHeight="1" x14ac:dyDescent="0.3">
      <c r="A509" s="5"/>
      <c r="B509" s="5"/>
    </row>
    <row r="512" spans="1:9" ht="15.9" customHeight="1" x14ac:dyDescent="0.3">
      <c r="I512" s="159"/>
    </row>
    <row r="517" spans="1:9" ht="15.9" customHeight="1" x14ac:dyDescent="0.3">
      <c r="E517" s="19"/>
      <c r="F517" s="19"/>
    </row>
    <row r="522" spans="1:9" ht="15.9" customHeight="1" x14ac:dyDescent="0.3">
      <c r="A522" s="5"/>
      <c r="B522" s="5"/>
      <c r="G522" s="191"/>
      <c r="I522" s="192"/>
    </row>
    <row r="523" spans="1:9" ht="15.9" customHeight="1" x14ac:dyDescent="0.3">
      <c r="A523" s="5"/>
      <c r="B523" s="5"/>
      <c r="G523" s="191"/>
    </row>
    <row r="524" spans="1:9" ht="15.9" customHeight="1" x14ac:dyDescent="0.3">
      <c r="A524" s="5"/>
      <c r="B524" s="5"/>
      <c r="G524" s="191"/>
    </row>
    <row r="525" spans="1:9" ht="15.9" customHeight="1" x14ac:dyDescent="0.3">
      <c r="A525" s="5"/>
      <c r="B525" s="5"/>
      <c r="G525" s="191"/>
    </row>
    <row r="526" spans="1:9" ht="15.9" customHeight="1" x14ac:dyDescent="0.3">
      <c r="A526" s="5"/>
      <c r="B526" s="5"/>
      <c r="G526" s="191"/>
    </row>
    <row r="527" spans="1:9" ht="15.9" customHeight="1" x14ac:dyDescent="0.3">
      <c r="A527" s="5"/>
      <c r="B527" s="5"/>
      <c r="G527" s="191"/>
    </row>
    <row r="528" spans="1:9" ht="15.9" customHeight="1" x14ac:dyDescent="0.3">
      <c r="A528" s="5"/>
      <c r="B528" s="5"/>
      <c r="G528" s="191"/>
    </row>
    <row r="529" spans="1:9" ht="15.9" customHeight="1" x14ac:dyDescent="0.3">
      <c r="A529" s="5"/>
      <c r="B529" s="5"/>
      <c r="G529" s="191"/>
    </row>
    <row r="530" spans="1:9" ht="15.9" customHeight="1" x14ac:dyDescent="0.3">
      <c r="A530" s="5"/>
      <c r="B530" s="5"/>
      <c r="G530" s="191"/>
      <c r="I530" s="190"/>
    </row>
    <row r="531" spans="1:9" ht="15.9" customHeight="1" x14ac:dyDescent="0.3">
      <c r="A531" s="5"/>
      <c r="B531" s="5"/>
      <c r="G531" s="191"/>
      <c r="I531" s="190"/>
    </row>
    <row r="532" spans="1:9" ht="15.9" customHeight="1" x14ac:dyDescent="0.3">
      <c r="A532" s="5"/>
      <c r="B532" s="5"/>
      <c r="G532" s="191"/>
      <c r="I532" s="190"/>
    </row>
    <row r="533" spans="1:9" ht="15.9" customHeight="1" x14ac:dyDescent="0.3">
      <c r="A533" s="5"/>
      <c r="B533" s="5"/>
      <c r="G533" s="191"/>
      <c r="I533" s="190"/>
    </row>
    <row r="537" spans="1:9" ht="15.9" customHeight="1" x14ac:dyDescent="0.3">
      <c r="F537" s="144"/>
    </row>
    <row r="538" spans="1:9" ht="15.9" customHeight="1" x14ac:dyDescent="0.3">
      <c r="A538" s="5"/>
      <c r="B538" s="5"/>
      <c r="F538" s="144"/>
    </row>
    <row r="539" spans="1:9" ht="15.9" customHeight="1" x14ac:dyDescent="0.3">
      <c r="A539" s="5"/>
      <c r="B539" s="5"/>
      <c r="F539" s="144"/>
    </row>
    <row r="540" spans="1:9" ht="15.9" customHeight="1" x14ac:dyDescent="0.3">
      <c r="A540" s="5"/>
      <c r="B540" s="5"/>
      <c r="F540" s="144"/>
      <c r="I540" s="155"/>
    </row>
    <row r="541" spans="1:9" ht="15.9" customHeight="1" x14ac:dyDescent="0.3">
      <c r="A541" s="5"/>
      <c r="B541" s="5"/>
      <c r="F541" s="144"/>
      <c r="I541" s="155"/>
    </row>
    <row r="542" spans="1:9" ht="15.9" customHeight="1" x14ac:dyDescent="0.3">
      <c r="A542" s="5"/>
      <c r="B542" s="5"/>
      <c r="F542" s="144"/>
      <c r="I542" s="155"/>
    </row>
    <row r="543" spans="1:9" ht="15.9" customHeight="1" x14ac:dyDescent="0.3">
      <c r="A543" s="5"/>
      <c r="B543" s="5"/>
      <c r="F543" s="144"/>
    </row>
    <row r="544" spans="1:9" ht="15.9" customHeight="1" x14ac:dyDescent="0.3">
      <c r="A544" s="5"/>
      <c r="B544" s="5"/>
      <c r="F544" s="144"/>
    </row>
    <row r="545" spans="1:9" ht="15.9" customHeight="1" x14ac:dyDescent="0.3">
      <c r="A545" s="5"/>
      <c r="B545" s="5"/>
      <c r="F545" s="144"/>
    </row>
    <row r="546" spans="1:9" ht="15.9" customHeight="1" x14ac:dyDescent="0.3">
      <c r="F546" s="144"/>
    </row>
    <row r="547" spans="1:9" ht="15.9" customHeight="1" x14ac:dyDescent="0.3">
      <c r="F547" s="144"/>
    </row>
    <row r="548" spans="1:9" ht="15.9" customHeight="1" x14ac:dyDescent="0.3">
      <c r="F548" s="144"/>
    </row>
    <row r="549" spans="1:9" ht="15.9" customHeight="1" x14ac:dyDescent="0.3">
      <c r="F549" s="144"/>
    </row>
    <row r="553" spans="1:9" ht="15.9" customHeight="1" x14ac:dyDescent="0.3">
      <c r="A553" s="5"/>
      <c r="B553" s="5"/>
    </row>
    <row r="554" spans="1:9" ht="15.9" customHeight="1" x14ac:dyDescent="0.3">
      <c r="A554" s="5"/>
      <c r="B554" s="5"/>
    </row>
    <row r="556" spans="1:9" ht="15.9" customHeight="1" x14ac:dyDescent="0.3">
      <c r="A556" s="5"/>
      <c r="B556" s="5"/>
    </row>
    <row r="557" spans="1:9" ht="15.9" customHeight="1" x14ac:dyDescent="0.3">
      <c r="A557" s="5"/>
      <c r="B557" s="5"/>
      <c r="I557" s="219"/>
    </row>
    <row r="558" spans="1:9" ht="15.9" customHeight="1" x14ac:dyDescent="0.3">
      <c r="A558" s="5"/>
      <c r="B558" s="5"/>
    </row>
    <row r="559" spans="1:9" ht="15.9" customHeight="1" x14ac:dyDescent="0.3">
      <c r="A559" s="5"/>
      <c r="B559" s="5"/>
    </row>
    <row r="560" spans="1:9" ht="15.9" customHeight="1" x14ac:dyDescent="0.3">
      <c r="A560" s="5"/>
      <c r="B560" s="5"/>
    </row>
    <row r="561" spans="1:9" ht="15.9" customHeight="1" x14ac:dyDescent="0.3">
      <c r="A561" s="5"/>
      <c r="B561" s="5"/>
    </row>
    <row r="562" spans="1:9" ht="15.9" customHeight="1" x14ac:dyDescent="0.3">
      <c r="A562" s="5"/>
      <c r="B562" s="5"/>
    </row>
    <row r="563" spans="1:9" ht="15.9" customHeight="1" x14ac:dyDescent="0.3">
      <c r="A563" s="5"/>
      <c r="B563" s="5"/>
    </row>
    <row r="564" spans="1:9" ht="15.9" customHeight="1" x14ac:dyDescent="0.3">
      <c r="A564" s="5"/>
      <c r="B564" s="5"/>
      <c r="H564" s="187"/>
      <c r="I564" s="185"/>
    </row>
    <row r="565" spans="1:9" ht="15.9" customHeight="1" x14ac:dyDescent="0.3">
      <c r="A565" s="5"/>
      <c r="B565" s="5"/>
      <c r="H565" s="187"/>
      <c r="I565" s="185"/>
    </row>
    <row r="566" spans="1:9" ht="15.9" customHeight="1" x14ac:dyDescent="0.3">
      <c r="A566" s="5"/>
      <c r="B566" s="5"/>
      <c r="I566" s="185"/>
    </row>
    <row r="567" spans="1:9" ht="15.9" customHeight="1" x14ac:dyDescent="0.3">
      <c r="A567" s="5"/>
      <c r="B567" s="5"/>
      <c r="I567" s="185"/>
    </row>
    <row r="568" spans="1:9" ht="15.9" customHeight="1" x14ac:dyDescent="0.3">
      <c r="A568" s="5"/>
      <c r="B568" s="5"/>
      <c r="H568" s="187"/>
      <c r="I568" s="185"/>
    </row>
    <row r="569" spans="1:9" ht="15.9" customHeight="1" x14ac:dyDescent="0.3">
      <c r="A569" s="5"/>
      <c r="B569" s="5"/>
      <c r="H569" s="187"/>
      <c r="I569" s="185"/>
    </row>
    <row r="570" spans="1:9" ht="15.9" customHeight="1" x14ac:dyDescent="0.3">
      <c r="A570" s="5"/>
      <c r="B570" s="5"/>
      <c r="H570" s="187"/>
      <c r="I570" s="185"/>
    </row>
    <row r="571" spans="1:9" ht="15.9" customHeight="1" x14ac:dyDescent="0.3">
      <c r="A571" s="5"/>
      <c r="B571" s="5"/>
      <c r="H571" s="187"/>
      <c r="I571" s="185"/>
    </row>
    <row r="572" spans="1:9" ht="15.9" customHeight="1" x14ac:dyDescent="0.3">
      <c r="A572" s="5"/>
      <c r="B572" s="5"/>
      <c r="H572" s="187"/>
      <c r="I572" s="156"/>
    </row>
    <row r="573" spans="1:9" ht="15.9" customHeight="1" x14ac:dyDescent="0.3">
      <c r="A573" s="5"/>
      <c r="B573" s="5"/>
      <c r="H573" s="187"/>
      <c r="I573" s="185"/>
    </row>
    <row r="574" spans="1:9" ht="15.9" customHeight="1" x14ac:dyDescent="0.3">
      <c r="A574" s="5"/>
      <c r="B574" s="5"/>
      <c r="H574" s="187"/>
      <c r="I574" s="185"/>
    </row>
    <row r="575" spans="1:9" ht="15.9" customHeight="1" x14ac:dyDescent="0.3">
      <c r="A575" s="5"/>
      <c r="B575" s="5"/>
      <c r="H575" s="187"/>
      <c r="I575" s="185"/>
    </row>
    <row r="576" spans="1:9" ht="15.9" customHeight="1" x14ac:dyDescent="0.3">
      <c r="A576" s="5"/>
      <c r="B576" s="5"/>
      <c r="H576" s="187"/>
      <c r="I576" s="185"/>
    </row>
    <row r="584" spans="1:9" ht="15.9" customHeight="1" x14ac:dyDescent="0.3">
      <c r="A584" s="5"/>
      <c r="B584" s="5"/>
    </row>
    <row r="585" spans="1:9" ht="15.9" customHeight="1" x14ac:dyDescent="0.3">
      <c r="A585" s="5"/>
      <c r="B585" s="5"/>
    </row>
    <row r="586" spans="1:9" ht="15.9" customHeight="1" x14ac:dyDescent="0.3">
      <c r="A586" s="5"/>
      <c r="B586" s="5"/>
    </row>
    <row r="587" spans="1:9" ht="15.9" customHeight="1" x14ac:dyDescent="0.3">
      <c r="A587" s="5"/>
      <c r="B587" s="5"/>
      <c r="I587" s="189"/>
    </row>
    <row r="588" spans="1:9" ht="15.9" customHeight="1" x14ac:dyDescent="0.3">
      <c r="A588" s="5"/>
      <c r="B588" s="5"/>
      <c r="I588" s="189"/>
    </row>
    <row r="589" spans="1:9" ht="15.9" customHeight="1" x14ac:dyDescent="0.3">
      <c r="A589" s="5"/>
      <c r="B589" s="5"/>
      <c r="I589" s="189"/>
    </row>
    <row r="590" spans="1:9" ht="15.9" customHeight="1" x14ac:dyDescent="0.3">
      <c r="A590" s="5"/>
      <c r="B590" s="5"/>
      <c r="I590" s="189"/>
    </row>
    <row r="595" spans="1:9" ht="15.9" customHeight="1" x14ac:dyDescent="0.3">
      <c r="A595" s="5"/>
      <c r="B595" s="5"/>
    </row>
    <row r="596" spans="1:9" ht="15.9" customHeight="1" x14ac:dyDescent="0.3">
      <c r="A596" s="5"/>
      <c r="B596" s="5"/>
    </row>
    <row r="597" spans="1:9" ht="15.9" customHeight="1" x14ac:dyDescent="0.3">
      <c r="A597" s="5"/>
      <c r="B597" s="5"/>
    </row>
    <row r="598" spans="1:9" ht="15.9" customHeight="1" x14ac:dyDescent="0.3">
      <c r="A598" s="5"/>
      <c r="B598" s="5"/>
    </row>
    <row r="599" spans="1:9" ht="15.9" customHeight="1" x14ac:dyDescent="0.3">
      <c r="A599" s="5"/>
      <c r="B599" s="5"/>
    </row>
    <row r="600" spans="1:9" ht="15.9" customHeight="1" x14ac:dyDescent="0.3">
      <c r="A600" s="5"/>
      <c r="B600" s="5"/>
    </row>
    <row r="601" spans="1:9" ht="15.9" customHeight="1" x14ac:dyDescent="0.3">
      <c r="A601" s="5"/>
      <c r="B601" s="5"/>
    </row>
    <row r="602" spans="1:9" ht="15.9" customHeight="1" x14ac:dyDescent="0.3">
      <c r="A602" s="5"/>
      <c r="B602" s="5"/>
    </row>
    <row r="603" spans="1:9" ht="15.9" customHeight="1" x14ac:dyDescent="0.3">
      <c r="A603" s="5"/>
      <c r="B603" s="5"/>
      <c r="I603" s="184"/>
    </row>
    <row r="604" spans="1:9" ht="15.9" customHeight="1" x14ac:dyDescent="0.3">
      <c r="A604" s="5"/>
      <c r="B604" s="5"/>
      <c r="I604" s="184"/>
    </row>
    <row r="605" spans="1:9" ht="15.9" customHeight="1" x14ac:dyDescent="0.3">
      <c r="A605" s="5"/>
      <c r="B605" s="5"/>
    </row>
    <row r="606" spans="1:9" ht="15.9" customHeight="1" x14ac:dyDescent="0.3">
      <c r="A606" s="5"/>
      <c r="B606" s="5"/>
    </row>
    <row r="607" spans="1:9" ht="15.9" customHeight="1" x14ac:dyDescent="0.3">
      <c r="A607" s="5"/>
      <c r="B607" s="5"/>
    </row>
    <row r="608" spans="1:9" ht="15.9" customHeight="1" x14ac:dyDescent="0.3">
      <c r="A608" s="5"/>
      <c r="B608" s="5"/>
    </row>
    <row r="609" spans="1:9" ht="15.9" customHeight="1" x14ac:dyDescent="0.3">
      <c r="A609" s="5"/>
      <c r="B609" s="5"/>
    </row>
    <row r="610" spans="1:9" ht="15.9" customHeight="1" x14ac:dyDescent="0.3">
      <c r="A610" s="5"/>
      <c r="B610" s="5"/>
    </row>
    <row r="611" spans="1:9" ht="15.9" customHeight="1" x14ac:dyDescent="0.3">
      <c r="A611" s="5"/>
      <c r="B611" s="5"/>
    </row>
    <row r="612" spans="1:9" ht="15.9" customHeight="1" x14ac:dyDescent="0.3">
      <c r="A612" s="5"/>
      <c r="B612" s="5"/>
    </row>
    <row r="616" spans="1:9" ht="15.9" customHeight="1" x14ac:dyDescent="0.3">
      <c r="F616" s="1139"/>
      <c r="I616" s="185"/>
    </row>
    <row r="619" spans="1:9" ht="15.9" customHeight="1" x14ac:dyDescent="0.3">
      <c r="A619" s="5"/>
      <c r="B619" s="5"/>
    </row>
    <row r="620" spans="1:9" ht="15.9" customHeight="1" x14ac:dyDescent="0.3">
      <c r="A620" s="5"/>
      <c r="B620" s="5"/>
    </row>
    <row r="621" spans="1:9" ht="15.9" customHeight="1" x14ac:dyDescent="0.3">
      <c r="A621" s="5"/>
      <c r="B621" s="5"/>
    </row>
    <row r="622" spans="1:9" ht="15.9" customHeight="1" x14ac:dyDescent="0.3">
      <c r="A622" s="16"/>
      <c r="B622" s="16"/>
      <c r="D622" s="194"/>
      <c r="E622" s="194"/>
      <c r="G622" s="195"/>
      <c r="I622" s="16"/>
    </row>
    <row r="623" spans="1:9" ht="15.9" customHeight="1" x14ac:dyDescent="0.3">
      <c r="A623" s="16"/>
      <c r="B623" s="16"/>
      <c r="D623" s="194"/>
      <c r="E623" s="194"/>
      <c r="G623" s="195"/>
      <c r="I623" s="16"/>
    </row>
    <row r="624" spans="1:9" ht="15.9" customHeight="1" x14ac:dyDescent="0.3">
      <c r="A624" s="16"/>
      <c r="B624" s="16"/>
      <c r="D624" s="194"/>
      <c r="G624" s="195"/>
      <c r="I624" s="16"/>
    </row>
    <row r="628" spans="1:9" ht="15.9" customHeight="1" x14ac:dyDescent="0.3">
      <c r="A628" s="5"/>
      <c r="B628" s="5"/>
      <c r="I628" s="184"/>
    </row>
    <row r="629" spans="1:9" ht="15.9" customHeight="1" x14ac:dyDescent="0.3">
      <c r="A629" s="5"/>
      <c r="B629" s="5"/>
      <c r="I629" s="184"/>
    </row>
    <row r="630" spans="1:9" ht="15.9" customHeight="1" x14ac:dyDescent="0.3">
      <c r="A630" s="5"/>
      <c r="B630" s="5"/>
    </row>
    <row r="631" spans="1:9" ht="15.9" customHeight="1" x14ac:dyDescent="0.3">
      <c r="I631" s="184"/>
    </row>
    <row r="632" spans="1:9" ht="15.9" customHeight="1" x14ac:dyDescent="0.3">
      <c r="I632" s="184"/>
    </row>
    <row r="633" spans="1:9" ht="15.9" customHeight="1" x14ac:dyDescent="0.3">
      <c r="I633" s="184"/>
    </row>
    <row r="634" spans="1:9" ht="15.9" customHeight="1" x14ac:dyDescent="0.3">
      <c r="A634" s="5"/>
      <c r="B634" s="5"/>
      <c r="I634" s="184"/>
    </row>
    <row r="635" spans="1:9" ht="15.9" customHeight="1" x14ac:dyDescent="0.3">
      <c r="A635" s="5"/>
      <c r="B635" s="5"/>
      <c r="I635" s="184"/>
    </row>
    <row r="637" spans="1:9" ht="15.9" customHeight="1" x14ac:dyDescent="0.3">
      <c r="H637" s="187"/>
    </row>
    <row r="638" spans="1:9" ht="15.9" customHeight="1" x14ac:dyDescent="0.3">
      <c r="H638" s="187"/>
    </row>
    <row r="639" spans="1:9" ht="15.9" customHeight="1" x14ac:dyDescent="0.3">
      <c r="I639" s="184"/>
    </row>
    <row r="643" spans="1:9" ht="15.9" customHeight="1" x14ac:dyDescent="0.3">
      <c r="A643" s="5"/>
      <c r="B643" s="5"/>
    </row>
    <row r="644" spans="1:9" ht="15.9" customHeight="1" x14ac:dyDescent="0.3">
      <c r="A644" s="5"/>
      <c r="B644" s="5"/>
    </row>
    <row r="645" spans="1:9" ht="15.9" customHeight="1" x14ac:dyDescent="0.3">
      <c r="A645" s="5"/>
      <c r="B645" s="5"/>
    </row>
    <row r="646" spans="1:9" ht="15.9" customHeight="1" x14ac:dyDescent="0.3">
      <c r="A646" s="5"/>
      <c r="B646" s="5"/>
    </row>
    <row r="647" spans="1:9" ht="15.9" customHeight="1" x14ac:dyDescent="0.3">
      <c r="A647" s="5"/>
      <c r="B647" s="5"/>
    </row>
    <row r="648" spans="1:9" ht="15.9" customHeight="1" x14ac:dyDescent="0.3">
      <c r="A648" s="5"/>
      <c r="B648" s="5"/>
    </row>
    <row r="649" spans="1:9" ht="15.9" customHeight="1" x14ac:dyDescent="0.3">
      <c r="A649" s="5"/>
      <c r="B649" s="5"/>
    </row>
    <row r="650" spans="1:9" ht="15.9" customHeight="1" x14ac:dyDescent="0.3">
      <c r="A650" s="5"/>
      <c r="B650" s="5"/>
    </row>
    <row r="651" spans="1:9" ht="15.9" customHeight="1" x14ac:dyDescent="0.3">
      <c r="A651" s="5"/>
      <c r="B651" s="5"/>
    </row>
    <row r="652" spans="1:9" ht="15.9" customHeight="1" x14ac:dyDescent="0.3">
      <c r="I652" s="184"/>
    </row>
    <row r="653" spans="1:9" ht="15.9" customHeight="1" x14ac:dyDescent="0.3">
      <c r="A653" s="5"/>
      <c r="B653" s="5"/>
      <c r="I653" s="184"/>
    </row>
    <row r="654" spans="1:9" ht="15.9" customHeight="1" x14ac:dyDescent="0.3">
      <c r="A654" s="5"/>
      <c r="B654" s="5"/>
      <c r="I654" s="184"/>
    </row>
    <row r="655" spans="1:9" ht="15.9" customHeight="1" x14ac:dyDescent="0.3">
      <c r="A655" s="5"/>
      <c r="B655" s="5"/>
      <c r="I655" s="184"/>
    </row>
    <row r="656" spans="1:9" ht="15.9" customHeight="1" x14ac:dyDescent="0.3">
      <c r="A656" s="5"/>
      <c r="B656" s="5"/>
      <c r="I656" s="185"/>
    </row>
    <row r="657" spans="1:9" ht="15.9" customHeight="1" x14ac:dyDescent="0.3">
      <c r="A657" s="5"/>
      <c r="B657" s="5"/>
      <c r="I657" s="185"/>
    </row>
    <row r="659" spans="1:9" ht="15.9" customHeight="1" x14ac:dyDescent="0.3">
      <c r="H659" s="187"/>
    </row>
    <row r="660" spans="1:9" ht="15.9" customHeight="1" x14ac:dyDescent="0.3">
      <c r="H660" s="187"/>
      <c r="I660" s="155"/>
    </row>
    <row r="661" spans="1:9" ht="15.9" customHeight="1" x14ac:dyDescent="0.3">
      <c r="H661" s="187"/>
      <c r="I661" s="155"/>
    </row>
    <row r="662" spans="1:9" ht="15.9" customHeight="1" x14ac:dyDescent="0.3">
      <c r="H662" s="187"/>
      <c r="I662" s="155"/>
    </row>
    <row r="663" spans="1:9" ht="15.9" customHeight="1" x14ac:dyDescent="0.3">
      <c r="H663" s="187"/>
      <c r="I663" s="155"/>
    </row>
    <row r="664" spans="1:9" ht="15.9" customHeight="1" x14ac:dyDescent="0.3">
      <c r="H664" s="187"/>
    </row>
    <row r="665" spans="1:9" ht="15.9" customHeight="1" x14ac:dyDescent="0.3">
      <c r="A665" s="5"/>
      <c r="B665" s="5"/>
      <c r="I665" s="19"/>
    </row>
    <row r="666" spans="1:9" ht="15.9" customHeight="1" x14ac:dyDescent="0.3">
      <c r="A666" s="5"/>
      <c r="B666" s="5"/>
      <c r="I666" s="19"/>
    </row>
    <row r="667" spans="1:9" ht="15.9" customHeight="1" x14ac:dyDescent="0.3">
      <c r="I667" s="184"/>
    </row>
    <row r="668" spans="1:9" ht="15.9" customHeight="1" x14ac:dyDescent="0.3">
      <c r="I668" s="184"/>
    </row>
    <row r="672" spans="1:9" ht="15.9" customHeight="1" x14ac:dyDescent="0.3">
      <c r="I672" s="184"/>
    </row>
    <row r="673" spans="1:9" ht="15.9" customHeight="1" x14ac:dyDescent="0.3">
      <c r="I673" s="184"/>
    </row>
    <row r="674" spans="1:9" ht="15.9" customHeight="1" x14ac:dyDescent="0.3">
      <c r="A674" s="182"/>
    </row>
    <row r="682" spans="1:9" ht="15.9" customHeight="1" x14ac:dyDescent="0.3">
      <c r="A682" s="5"/>
      <c r="B682" s="5"/>
      <c r="I682" s="185"/>
    </row>
    <row r="683" spans="1:9" ht="15.9" customHeight="1" x14ac:dyDescent="0.3">
      <c r="A683" s="5"/>
      <c r="B683" s="5"/>
      <c r="I683" s="185"/>
    </row>
    <row r="684" spans="1:9" ht="15.9" customHeight="1" x14ac:dyDescent="0.3">
      <c r="A684" s="5"/>
      <c r="B684" s="5"/>
      <c r="I684" s="185"/>
    </row>
    <row r="685" spans="1:9" ht="15.9" customHeight="1" x14ac:dyDescent="0.3">
      <c r="A685" s="5"/>
      <c r="B685" s="5"/>
      <c r="I685" s="185"/>
    </row>
    <row r="686" spans="1:9" ht="15.9" customHeight="1" x14ac:dyDescent="0.3">
      <c r="A686" s="5"/>
      <c r="B686" s="5"/>
      <c r="I686" s="185"/>
    </row>
    <row r="687" spans="1:9" ht="15.9" customHeight="1" x14ac:dyDescent="0.3">
      <c r="A687" s="5"/>
      <c r="B687" s="5"/>
      <c r="I687" s="185"/>
    </row>
    <row r="688" spans="1:9" ht="15.9" customHeight="1" x14ac:dyDescent="0.3">
      <c r="A688" s="5"/>
      <c r="B688" s="5"/>
      <c r="I688" s="185"/>
    </row>
    <row r="689" spans="1:9" ht="15.9" customHeight="1" x14ac:dyDescent="0.3">
      <c r="A689" s="5"/>
      <c r="B689" s="5"/>
      <c r="I689" s="185"/>
    </row>
    <row r="690" spans="1:9" ht="15.9" customHeight="1" x14ac:dyDescent="0.3">
      <c r="A690" s="5"/>
      <c r="B690" s="5"/>
      <c r="I690" s="185"/>
    </row>
    <row r="691" spans="1:9" ht="15.9" customHeight="1" x14ac:dyDescent="0.3">
      <c r="A691" s="5"/>
      <c r="B691" s="5"/>
      <c r="I691" s="185"/>
    </row>
    <row r="692" spans="1:9" ht="15.9" customHeight="1" x14ac:dyDescent="0.3">
      <c r="A692" s="5"/>
      <c r="B692" s="5"/>
      <c r="I692" s="185"/>
    </row>
    <row r="693" spans="1:9" ht="15.9" customHeight="1" x14ac:dyDescent="0.3">
      <c r="A693" s="5"/>
      <c r="B693" s="5"/>
      <c r="I693" s="185"/>
    </row>
    <row r="695" spans="1:9" ht="15.9" customHeight="1" x14ac:dyDescent="0.3">
      <c r="C695" s="198"/>
      <c r="D695" s="19"/>
      <c r="E695" s="19"/>
      <c r="F695" s="19"/>
    </row>
    <row r="700" spans="1:9" ht="15.9" customHeight="1" x14ac:dyDescent="0.3">
      <c r="B700" s="16"/>
    </row>
    <row r="701" spans="1:9" ht="15.9" customHeight="1" x14ac:dyDescent="0.3">
      <c r="A701" s="5"/>
      <c r="B701" s="5"/>
    </row>
    <row r="702" spans="1:9" ht="15.9" customHeight="1" x14ac:dyDescent="0.3">
      <c r="A702" s="5"/>
      <c r="B702" s="5"/>
    </row>
    <row r="703" spans="1:9" ht="15.9" customHeight="1" x14ac:dyDescent="0.3">
      <c r="A703" s="5"/>
      <c r="B703" s="5"/>
    </row>
    <row r="704" spans="1:9" ht="15.9" customHeight="1" x14ac:dyDescent="0.3">
      <c r="A704" s="5"/>
      <c r="B704" s="5"/>
    </row>
    <row r="705" spans="1:9" ht="15.9" customHeight="1" x14ac:dyDescent="0.3">
      <c r="A705" s="5"/>
      <c r="B705" s="5"/>
    </row>
    <row r="706" spans="1:9" ht="15.9" customHeight="1" x14ac:dyDescent="0.3">
      <c r="A706" s="5"/>
      <c r="B706" s="5"/>
    </row>
    <row r="707" spans="1:9" ht="15.9" customHeight="1" x14ac:dyDescent="0.3">
      <c r="A707" s="5"/>
      <c r="B707" s="5"/>
    </row>
    <row r="710" spans="1:9" ht="15.9" customHeight="1" x14ac:dyDescent="0.3">
      <c r="A710" s="5"/>
      <c r="B710" s="5"/>
    </row>
    <row r="711" spans="1:9" ht="15.9" customHeight="1" x14ac:dyDescent="0.3">
      <c r="A711" s="5"/>
      <c r="B711" s="5"/>
    </row>
    <row r="714" spans="1:9" ht="15.9" customHeight="1" x14ac:dyDescent="0.3">
      <c r="I714" s="184"/>
    </row>
    <row r="715" spans="1:9" ht="15.9" customHeight="1" x14ac:dyDescent="0.3">
      <c r="I715" s="184"/>
    </row>
    <row r="716" spans="1:9" ht="15.9" customHeight="1" x14ac:dyDescent="0.3">
      <c r="I716" s="184"/>
    </row>
    <row r="718" spans="1:9" ht="15.9" customHeight="1" x14ac:dyDescent="0.3">
      <c r="I718" s="184"/>
    </row>
    <row r="719" spans="1:9" ht="15.9" customHeight="1" x14ac:dyDescent="0.3">
      <c r="A719" s="5"/>
      <c r="B719" s="5"/>
      <c r="I719" s="184"/>
    </row>
    <row r="720" spans="1:9" ht="15.9" customHeight="1" x14ac:dyDescent="0.3">
      <c r="A720" s="5"/>
      <c r="B720" s="5"/>
      <c r="I720" s="184"/>
    </row>
    <row r="721" spans="1:9" ht="15.9" customHeight="1" x14ac:dyDescent="0.3">
      <c r="A721" s="5"/>
      <c r="B721" s="5"/>
      <c r="I721" s="184"/>
    </row>
    <row r="722" spans="1:9" ht="15.9" customHeight="1" x14ac:dyDescent="0.3">
      <c r="A722" s="5"/>
      <c r="B722" s="5"/>
      <c r="I722" s="184"/>
    </row>
    <row r="723" spans="1:9" ht="15.9" customHeight="1" x14ac:dyDescent="0.3">
      <c r="I723" s="184"/>
    </row>
    <row r="724" spans="1:9" ht="15.9" customHeight="1" x14ac:dyDescent="0.3">
      <c r="A724" s="5"/>
      <c r="B724" s="5"/>
    </row>
    <row r="725" spans="1:9" ht="15.9" customHeight="1" x14ac:dyDescent="0.3">
      <c r="A725" s="5"/>
      <c r="B725" s="5"/>
    </row>
    <row r="726" spans="1:9" ht="15.9" customHeight="1" x14ac:dyDescent="0.3">
      <c r="A726" s="5"/>
      <c r="B726" s="5"/>
    </row>
    <row r="727" spans="1:9" ht="15.9" customHeight="1" x14ac:dyDescent="0.3">
      <c r="A727" s="5"/>
      <c r="B727" s="5"/>
    </row>
    <row r="730" spans="1:9" ht="15.9" customHeight="1" x14ac:dyDescent="0.3">
      <c r="F730" s="218"/>
    </row>
    <row r="735" spans="1:9" ht="15.9" customHeight="1" x14ac:dyDescent="0.3">
      <c r="A735" s="5"/>
      <c r="B735" s="5"/>
    </row>
    <row r="736" spans="1:9" ht="15.9" customHeight="1" x14ac:dyDescent="0.3">
      <c r="A736" s="5"/>
      <c r="B736" s="5"/>
    </row>
    <row r="741" spans="1:9" ht="15.9" customHeight="1" x14ac:dyDescent="0.3">
      <c r="A741" s="5"/>
      <c r="B741" s="5"/>
      <c r="I741" s="185"/>
    </row>
    <row r="742" spans="1:9" ht="15.9" customHeight="1" x14ac:dyDescent="0.3">
      <c r="A742" s="5"/>
      <c r="B742" s="5"/>
      <c r="I742" s="185"/>
    </row>
    <row r="743" spans="1:9" ht="15.9" customHeight="1" x14ac:dyDescent="0.3">
      <c r="A743" s="5"/>
      <c r="B743" s="5"/>
    </row>
    <row r="744" spans="1:9" ht="15.9" customHeight="1" x14ac:dyDescent="0.3">
      <c r="A744" s="19"/>
      <c r="B744" s="19"/>
      <c r="C744" s="198"/>
      <c r="D744" s="19"/>
      <c r="E744" s="19"/>
      <c r="F744" s="19"/>
    </row>
    <row r="745" spans="1:9" ht="15.9" customHeight="1" x14ac:dyDescent="0.3">
      <c r="A745" s="5"/>
      <c r="B745" s="5"/>
    </row>
    <row r="746" spans="1:9" ht="15.9" customHeight="1" x14ac:dyDescent="0.3">
      <c r="A746" s="5"/>
      <c r="B746" s="5"/>
    </row>
    <row r="747" spans="1:9" ht="15.9" customHeight="1" x14ac:dyDescent="0.3">
      <c r="A747" s="5"/>
      <c r="B747" s="5"/>
    </row>
    <row r="748" spans="1:9" ht="15.9" customHeight="1" x14ac:dyDescent="0.3">
      <c r="A748" s="5"/>
      <c r="B748" s="5"/>
    </row>
    <row r="749" spans="1:9" ht="15.9" customHeight="1" x14ac:dyDescent="0.3">
      <c r="A749" s="5"/>
      <c r="B749" s="5"/>
    </row>
    <row r="750" spans="1:9" ht="15.9" customHeight="1" x14ac:dyDescent="0.3">
      <c r="A750" s="5"/>
      <c r="B750" s="5"/>
    </row>
    <row r="754" spans="1:9" ht="15.9" customHeight="1" x14ac:dyDescent="0.3">
      <c r="A754" s="5"/>
      <c r="B754" s="5"/>
    </row>
    <row r="755" spans="1:9" ht="15.9" customHeight="1" x14ac:dyDescent="0.3">
      <c r="A755" s="5"/>
      <c r="B755" s="5"/>
    </row>
    <row r="756" spans="1:9" ht="15.9" customHeight="1" x14ac:dyDescent="0.3">
      <c r="A756" s="5"/>
      <c r="B756" s="5"/>
    </row>
    <row r="757" spans="1:9" ht="15.9" customHeight="1" x14ac:dyDescent="0.3">
      <c r="A757" s="5"/>
      <c r="B757" s="5"/>
    </row>
    <row r="758" spans="1:9" ht="15.9" customHeight="1" x14ac:dyDescent="0.3">
      <c r="A758" s="5"/>
      <c r="B758" s="5"/>
    </row>
    <row r="759" spans="1:9" ht="15.9" customHeight="1" x14ac:dyDescent="0.3">
      <c r="A759" s="5"/>
      <c r="B759" s="5"/>
    </row>
    <row r="760" spans="1:9" ht="15.9" customHeight="1" x14ac:dyDescent="0.3">
      <c r="A760" s="5"/>
      <c r="B760" s="5"/>
      <c r="I760" s="185"/>
    </row>
    <row r="761" spans="1:9" ht="15.9" customHeight="1" x14ac:dyDescent="0.3">
      <c r="A761" s="5"/>
      <c r="B761" s="5"/>
      <c r="I761" s="185"/>
    </row>
    <row r="762" spans="1:9" ht="15.9" customHeight="1" x14ac:dyDescent="0.3">
      <c r="I762" s="185"/>
    </row>
    <row r="763" spans="1:9" ht="15.9" customHeight="1" x14ac:dyDescent="0.3">
      <c r="H763" s="187"/>
    </row>
    <row r="764" spans="1:9" ht="15.9" customHeight="1" x14ac:dyDescent="0.3">
      <c r="C764" s="198"/>
      <c r="D764" s="19"/>
      <c r="E764" s="19"/>
      <c r="F764" s="19"/>
      <c r="H764" s="187"/>
    </row>
    <row r="766" spans="1:9" ht="15.9" customHeight="1" x14ac:dyDescent="0.3">
      <c r="A766" s="5"/>
      <c r="B766" s="5"/>
    </row>
    <row r="767" spans="1:9" ht="15.9" customHeight="1" x14ac:dyDescent="0.3">
      <c r="A767" s="5"/>
      <c r="B767" s="5"/>
    </row>
    <row r="770" spans="1:9" ht="15.9" customHeight="1" x14ac:dyDescent="0.3">
      <c r="B770" s="16"/>
    </row>
    <row r="772" spans="1:9" ht="15.9" customHeight="1" x14ac:dyDescent="0.3">
      <c r="A772" s="5"/>
      <c r="B772" s="5"/>
    </row>
    <row r="773" spans="1:9" ht="15.9" customHeight="1" x14ac:dyDescent="0.3">
      <c r="A773" s="5"/>
      <c r="B773" s="5"/>
    </row>
    <row r="774" spans="1:9" ht="15.9" customHeight="1" x14ac:dyDescent="0.3">
      <c r="A774" s="5"/>
      <c r="B774" s="5"/>
    </row>
    <row r="777" spans="1:9" ht="15.9" customHeight="1" x14ac:dyDescent="0.3">
      <c r="A777" s="5"/>
      <c r="B777" s="5"/>
    </row>
    <row r="778" spans="1:9" ht="15.9" customHeight="1" x14ac:dyDescent="0.3">
      <c r="A778" s="5"/>
      <c r="B778" s="5"/>
    </row>
    <row r="779" spans="1:9" ht="15.9" customHeight="1" x14ac:dyDescent="0.3">
      <c r="A779" s="5"/>
      <c r="B779" s="5"/>
    </row>
    <row r="781" spans="1:9" ht="15.9" customHeight="1" x14ac:dyDescent="0.3">
      <c r="I781" s="175"/>
    </row>
    <row r="782" spans="1:9" ht="15.9" customHeight="1" x14ac:dyDescent="0.3">
      <c r="I782" s="175"/>
    </row>
    <row r="783" spans="1:9" ht="15.9" customHeight="1" x14ac:dyDescent="0.3">
      <c r="I783" s="175"/>
    </row>
    <row r="784" spans="1:9" ht="15.9" customHeight="1" x14ac:dyDescent="0.3">
      <c r="I784" s="175"/>
    </row>
    <row r="785" spans="1:9" ht="15.9" customHeight="1" x14ac:dyDescent="0.3">
      <c r="I785" s="175"/>
    </row>
    <row r="786" spans="1:9" ht="15.9" customHeight="1" x14ac:dyDescent="0.3">
      <c r="I786" s="193"/>
    </row>
    <row r="787" spans="1:9" ht="15.9" customHeight="1" x14ac:dyDescent="0.3">
      <c r="I787" s="175"/>
    </row>
    <row r="788" spans="1:9" ht="15.9" customHeight="1" x14ac:dyDescent="0.3">
      <c r="I788" s="156"/>
    </row>
    <row r="789" spans="1:9" ht="15.9" customHeight="1" x14ac:dyDescent="0.3">
      <c r="I789" s="156"/>
    </row>
    <row r="790" spans="1:9" ht="15.9" customHeight="1" x14ac:dyDescent="0.3">
      <c r="I790" s="156"/>
    </row>
    <row r="791" spans="1:9" ht="15.9" customHeight="1" x14ac:dyDescent="0.3">
      <c r="I791" s="156"/>
    </row>
    <row r="792" spans="1:9" ht="15.9" customHeight="1" x14ac:dyDescent="0.3">
      <c r="I792" s="156"/>
    </row>
    <row r="793" spans="1:9" ht="15.9" customHeight="1" x14ac:dyDescent="0.3">
      <c r="I793" s="175"/>
    </row>
    <row r="794" spans="1:9" ht="15.9" customHeight="1" x14ac:dyDescent="0.3">
      <c r="I794" s="156"/>
    </row>
    <row r="795" spans="1:9" ht="15.9" customHeight="1" x14ac:dyDescent="0.3">
      <c r="I795" s="156"/>
    </row>
    <row r="796" spans="1:9" ht="15.9" customHeight="1" x14ac:dyDescent="0.3">
      <c r="I796" s="175"/>
    </row>
    <row r="797" spans="1:9" ht="15.9" customHeight="1" x14ac:dyDescent="0.3">
      <c r="I797" s="156"/>
    </row>
    <row r="798" spans="1:9" ht="15.9" customHeight="1" x14ac:dyDescent="0.3">
      <c r="A798" s="185"/>
      <c r="I798" s="185"/>
    </row>
    <row r="799" spans="1:9" ht="15.9" customHeight="1" x14ac:dyDescent="0.3">
      <c r="A799" s="185"/>
      <c r="I799" s="185"/>
    </row>
    <row r="806" spans="1:2" ht="15.9" customHeight="1" x14ac:dyDescent="0.3">
      <c r="A806" s="5"/>
      <c r="B806" s="5"/>
    </row>
    <row r="807" spans="1:2" ht="15.9" customHeight="1" x14ac:dyDescent="0.3">
      <c r="A807" s="5"/>
      <c r="B807" s="5"/>
    </row>
    <row r="808" spans="1:2" ht="15.9" customHeight="1" x14ac:dyDescent="0.3">
      <c r="A808" s="5"/>
      <c r="B808" s="5"/>
    </row>
    <row r="809" spans="1:2" ht="15.9" customHeight="1" x14ac:dyDescent="0.3">
      <c r="A809" s="5"/>
      <c r="B809" s="5"/>
    </row>
    <row r="812" spans="1:2" ht="15.9" customHeight="1" x14ac:dyDescent="0.3">
      <c r="A812" s="5"/>
      <c r="B812" s="5"/>
    </row>
    <row r="813" spans="1:2" ht="15.9" customHeight="1" x14ac:dyDescent="0.3">
      <c r="A813" s="5"/>
      <c r="B813" s="5"/>
    </row>
    <row r="814" spans="1:2" ht="15.9" customHeight="1" x14ac:dyDescent="0.3">
      <c r="A814" s="5"/>
      <c r="B814" s="5"/>
    </row>
    <row r="824" spans="1:9" ht="15.9" customHeight="1" x14ac:dyDescent="0.3">
      <c r="I824" s="184"/>
    </row>
    <row r="825" spans="1:9" ht="15.9" customHeight="1" x14ac:dyDescent="0.3">
      <c r="A825" s="19"/>
      <c r="B825" s="19"/>
      <c r="C825" s="198"/>
      <c r="D825" s="19"/>
      <c r="E825" s="19"/>
      <c r="F825" s="19"/>
      <c r="I825" s="184"/>
    </row>
    <row r="826" spans="1:9" ht="15.9" customHeight="1" x14ac:dyDescent="0.3">
      <c r="A826" s="19"/>
      <c r="B826" s="19"/>
      <c r="C826" s="198"/>
      <c r="D826" s="19"/>
      <c r="E826" s="19"/>
      <c r="F826" s="19"/>
      <c r="I826" s="184"/>
    </row>
    <row r="827" spans="1:9" ht="15.9" customHeight="1" x14ac:dyDescent="0.3">
      <c r="A827" s="19"/>
      <c r="B827" s="19"/>
      <c r="C827" s="198"/>
      <c r="D827" s="19"/>
      <c r="E827" s="19"/>
      <c r="F827" s="19"/>
      <c r="I827" s="184"/>
    </row>
    <row r="828" spans="1:9" ht="15.9" customHeight="1" x14ac:dyDescent="0.3">
      <c r="A828" s="19"/>
      <c r="B828" s="19"/>
      <c r="C828" s="198"/>
      <c r="D828" s="19"/>
      <c r="E828" s="19"/>
      <c r="F828" s="19"/>
      <c r="I828" s="184"/>
    </row>
    <row r="829" spans="1:9" ht="15.9" customHeight="1" x14ac:dyDescent="0.3">
      <c r="A829" s="19"/>
      <c r="B829" s="19"/>
      <c r="C829" s="198"/>
      <c r="D829" s="19"/>
      <c r="E829" s="19"/>
      <c r="F829" s="19"/>
      <c r="I829" s="184"/>
    </row>
    <row r="830" spans="1:9" ht="15.9" customHeight="1" x14ac:dyDescent="0.3">
      <c r="A830" s="19"/>
      <c r="B830" s="19"/>
      <c r="C830" s="198"/>
      <c r="D830" s="19"/>
      <c r="E830" s="19"/>
      <c r="F830" s="19"/>
      <c r="I830" s="184"/>
    </row>
    <row r="832" spans="1:9" ht="15.9" customHeight="1" x14ac:dyDescent="0.3">
      <c r="E832" s="19"/>
      <c r="F832" s="19"/>
      <c r="I832" s="19"/>
    </row>
    <row r="833" spans="1:3" ht="15.9" customHeight="1" x14ac:dyDescent="0.3">
      <c r="A833" s="5"/>
      <c r="B833" s="5"/>
    </row>
    <row r="834" spans="1:3" ht="15.9" customHeight="1" x14ac:dyDescent="0.3">
      <c r="A834" s="5"/>
      <c r="B834" s="5"/>
    </row>
    <row r="835" spans="1:3" ht="15.9" customHeight="1" x14ac:dyDescent="0.3">
      <c r="A835" s="5"/>
      <c r="B835" s="5"/>
    </row>
    <row r="836" spans="1:3" ht="15.9" customHeight="1" x14ac:dyDescent="0.3">
      <c r="A836" s="5"/>
      <c r="B836" s="5"/>
    </row>
    <row r="837" spans="1:3" ht="15.9" customHeight="1" x14ac:dyDescent="0.3">
      <c r="A837" s="5"/>
      <c r="B837" s="5"/>
    </row>
    <row r="839" spans="1:3" ht="15.9" customHeight="1" x14ac:dyDescent="0.3">
      <c r="C839" s="16"/>
    </row>
    <row r="861" spans="1:2" ht="15.9" customHeight="1" x14ac:dyDescent="0.3">
      <c r="A861" s="5"/>
      <c r="B861" s="5"/>
    </row>
    <row r="862" spans="1:2" ht="15.9" customHeight="1" x14ac:dyDescent="0.3">
      <c r="A862" s="5"/>
      <c r="B862" s="5"/>
    </row>
    <row r="863" spans="1:2" ht="15.9" customHeight="1" x14ac:dyDescent="0.3">
      <c r="A863" s="5"/>
      <c r="B863" s="5"/>
    </row>
    <row r="864" spans="1:2" ht="15.9" customHeight="1" x14ac:dyDescent="0.3">
      <c r="A864" s="5"/>
      <c r="B864" s="5"/>
    </row>
    <row r="865" spans="1:9" ht="15.9" customHeight="1" x14ac:dyDescent="0.3">
      <c r="A865" s="5"/>
      <c r="B865" s="5"/>
    </row>
    <row r="866" spans="1:9" ht="15.9" customHeight="1" x14ac:dyDescent="0.3">
      <c r="A866" s="5"/>
      <c r="B866" s="5"/>
    </row>
    <row r="867" spans="1:9" ht="15.9" customHeight="1" x14ac:dyDescent="0.3">
      <c r="A867" s="5"/>
      <c r="B867" s="5"/>
    </row>
    <row r="868" spans="1:9" ht="15.9" customHeight="1" x14ac:dyDescent="0.3">
      <c r="A868" s="5"/>
      <c r="B868" s="5"/>
    </row>
    <row r="869" spans="1:9" ht="15.9" customHeight="1" x14ac:dyDescent="0.3">
      <c r="A869" s="5"/>
      <c r="B869" s="5"/>
    </row>
    <row r="870" spans="1:9" ht="15.9" customHeight="1" x14ac:dyDescent="0.3">
      <c r="A870" s="5"/>
      <c r="B870" s="5"/>
      <c r="I870" s="185"/>
    </row>
    <row r="871" spans="1:9" ht="15.9" customHeight="1" x14ac:dyDescent="0.3">
      <c r="A871" s="5"/>
      <c r="B871" s="5"/>
    </row>
    <row r="872" spans="1:9" ht="15.9" customHeight="1" x14ac:dyDescent="0.3">
      <c r="A872" s="5"/>
      <c r="B872" s="5"/>
    </row>
    <row r="873" spans="1:9" ht="15.9" customHeight="1" x14ac:dyDescent="0.3">
      <c r="A873" s="5"/>
      <c r="B873" s="5"/>
    </row>
    <row r="875" spans="1:9" ht="15.9" customHeight="1" x14ac:dyDescent="0.3">
      <c r="A875" s="5"/>
      <c r="B875" s="5"/>
    </row>
    <row r="876" spans="1:9" ht="15.9" customHeight="1" x14ac:dyDescent="0.3">
      <c r="A876" s="5"/>
      <c r="B876" s="5"/>
    </row>
    <row r="877" spans="1:9" ht="15.9" customHeight="1" x14ac:dyDescent="0.3">
      <c r="A877" s="5"/>
      <c r="B877" s="5"/>
    </row>
    <row r="878" spans="1:9" ht="15.9" customHeight="1" x14ac:dyDescent="0.3">
      <c r="A878" s="5"/>
      <c r="B878" s="5"/>
    </row>
    <row r="879" spans="1:9" ht="15.9" customHeight="1" x14ac:dyDescent="0.3">
      <c r="A879" s="5"/>
      <c r="B879" s="5"/>
    </row>
    <row r="880" spans="1:9" ht="15.9" customHeight="1" x14ac:dyDescent="0.3">
      <c r="A880" s="5"/>
      <c r="B880" s="5"/>
    </row>
    <row r="881" spans="1:9" ht="15.9" customHeight="1" x14ac:dyDescent="0.3">
      <c r="A881" s="5"/>
      <c r="B881" s="5"/>
    </row>
    <row r="882" spans="1:9" ht="15.9" customHeight="1" x14ac:dyDescent="0.3">
      <c r="A882" s="5"/>
      <c r="B882" s="5"/>
    </row>
    <row r="883" spans="1:9" ht="15.9" customHeight="1" x14ac:dyDescent="0.3">
      <c r="A883" s="5"/>
      <c r="B883" s="5"/>
    </row>
    <row r="884" spans="1:9" ht="15.9" customHeight="1" x14ac:dyDescent="0.3">
      <c r="A884" s="5"/>
      <c r="B884" s="5"/>
    </row>
    <row r="885" spans="1:9" ht="15.9" customHeight="1" x14ac:dyDescent="0.3">
      <c r="A885" s="5"/>
      <c r="B885" s="5"/>
    </row>
    <row r="886" spans="1:9" ht="15.9" customHeight="1" x14ac:dyDescent="0.3">
      <c r="A886" s="5"/>
      <c r="B886" s="5"/>
    </row>
    <row r="887" spans="1:9" ht="15.9" customHeight="1" x14ac:dyDescent="0.3">
      <c r="A887" s="5"/>
      <c r="B887" s="5"/>
      <c r="I887" s="190"/>
    </row>
    <row r="888" spans="1:9" ht="15.9" customHeight="1" x14ac:dyDescent="0.3">
      <c r="A888" s="5"/>
      <c r="B888" s="5"/>
    </row>
    <row r="889" spans="1:9" ht="15.9" customHeight="1" x14ac:dyDescent="0.3">
      <c r="A889" s="5"/>
      <c r="B889" s="5"/>
    </row>
    <row r="890" spans="1:9" ht="15.9" customHeight="1" x14ac:dyDescent="0.3">
      <c r="A890" s="5"/>
      <c r="B890" s="5"/>
    </row>
    <row r="891" spans="1:9" ht="15.9" customHeight="1" x14ac:dyDescent="0.3">
      <c r="A891" s="5"/>
      <c r="B891" s="5"/>
    </row>
    <row r="892" spans="1:9" ht="15.9" customHeight="1" x14ac:dyDescent="0.3">
      <c r="A892" s="5"/>
      <c r="B892" s="5"/>
    </row>
    <row r="893" spans="1:9" ht="15.9" customHeight="1" x14ac:dyDescent="0.3">
      <c r="A893" s="5"/>
      <c r="B893" s="5"/>
    </row>
    <row r="894" spans="1:9" ht="15.9" customHeight="1" x14ac:dyDescent="0.3">
      <c r="H894" s="187"/>
    </row>
    <row r="895" spans="1:9" ht="15.9" customHeight="1" x14ac:dyDescent="0.3">
      <c r="A895" s="5"/>
      <c r="B895" s="5"/>
      <c r="I895" s="182"/>
    </row>
    <row r="896" spans="1:9" ht="15.9" customHeight="1" x14ac:dyDescent="0.3">
      <c r="A896" s="5"/>
      <c r="B896" s="5"/>
    </row>
    <row r="897" spans="1:9" ht="15.9" customHeight="1" x14ac:dyDescent="0.3">
      <c r="A897" s="5"/>
      <c r="B897" s="5"/>
      <c r="I897" s="185"/>
    </row>
    <row r="898" spans="1:9" ht="15.9" customHeight="1" x14ac:dyDescent="0.3">
      <c r="A898" s="5"/>
      <c r="B898" s="5"/>
    </row>
    <row r="899" spans="1:9" ht="15.9" customHeight="1" x14ac:dyDescent="0.3">
      <c r="A899" s="5"/>
      <c r="B899" s="5"/>
    </row>
    <row r="900" spans="1:9" ht="15.9" customHeight="1" x14ac:dyDescent="0.3">
      <c r="A900" s="5"/>
      <c r="B900" s="5"/>
      <c r="I900" s="156"/>
    </row>
    <row r="901" spans="1:9" ht="15.9" customHeight="1" x14ac:dyDescent="0.3">
      <c r="A901" s="5"/>
      <c r="B901" s="5"/>
      <c r="I901" s="154"/>
    </row>
    <row r="912" spans="1:9" ht="15.9" customHeight="1" x14ac:dyDescent="0.3">
      <c r="I912" s="184"/>
    </row>
    <row r="916" spans="1:6" ht="15.9" customHeight="1" x14ac:dyDescent="0.3">
      <c r="E916" s="19"/>
    </row>
    <row r="920" spans="1:6" ht="15.9" customHeight="1" x14ac:dyDescent="0.3">
      <c r="F920" s="1139"/>
    </row>
    <row r="921" spans="1:6" ht="15.9" customHeight="1" x14ac:dyDescent="0.3">
      <c r="A921" s="5"/>
      <c r="B921" s="5"/>
    </row>
    <row r="922" spans="1:6" ht="15.9" customHeight="1" x14ac:dyDescent="0.3">
      <c r="A922" s="5"/>
      <c r="B922" s="5"/>
    </row>
    <row r="923" spans="1:6" ht="15.9" customHeight="1" x14ac:dyDescent="0.3">
      <c r="A923" s="5"/>
      <c r="B923" s="5"/>
    </row>
    <row r="924" spans="1:6" ht="15.9" customHeight="1" x14ac:dyDescent="0.3">
      <c r="A924" s="5"/>
      <c r="B924" s="5"/>
    </row>
    <row r="925" spans="1:6" ht="15.9" customHeight="1" x14ac:dyDescent="0.3">
      <c r="A925" s="5"/>
      <c r="B925" s="5"/>
    </row>
    <row r="926" spans="1:6" ht="15.9" customHeight="1" x14ac:dyDescent="0.3">
      <c r="A926" s="5"/>
      <c r="B926" s="5"/>
    </row>
    <row r="927" spans="1:6" ht="15.9" customHeight="1" x14ac:dyDescent="0.3">
      <c r="A927" s="5"/>
      <c r="B927" s="5"/>
    </row>
    <row r="928" spans="1:6" ht="15.9" customHeight="1" x14ac:dyDescent="0.3">
      <c r="A928" s="5"/>
      <c r="B928" s="5"/>
    </row>
    <row r="929" spans="1:9" ht="15.9" customHeight="1" x14ac:dyDescent="0.3">
      <c r="A929" s="5"/>
      <c r="B929" s="5"/>
    </row>
    <row r="930" spans="1:9" ht="15.9" customHeight="1" x14ac:dyDescent="0.3">
      <c r="A930" s="5"/>
      <c r="B930" s="5"/>
    </row>
    <row r="931" spans="1:9" ht="15.9" customHeight="1" x14ac:dyDescent="0.3">
      <c r="A931" s="5"/>
      <c r="B931" s="5"/>
    </row>
    <row r="932" spans="1:9" ht="15.9" customHeight="1" x14ac:dyDescent="0.3">
      <c r="A932" s="5"/>
      <c r="B932" s="5"/>
    </row>
    <row r="933" spans="1:9" ht="15.9" customHeight="1" x14ac:dyDescent="0.3">
      <c r="A933" s="5"/>
      <c r="B933" s="5"/>
    </row>
    <row r="934" spans="1:9" ht="15.9" customHeight="1" x14ac:dyDescent="0.3">
      <c r="A934" s="5"/>
      <c r="B934" s="5"/>
    </row>
    <row r="935" spans="1:9" ht="15.9" customHeight="1" x14ac:dyDescent="0.3">
      <c r="A935" s="5"/>
      <c r="B935" s="5"/>
    </row>
    <row r="936" spans="1:9" ht="15.9" customHeight="1" x14ac:dyDescent="0.3">
      <c r="A936" s="5"/>
      <c r="B936" s="5"/>
    </row>
    <row r="937" spans="1:9" ht="15.9" customHeight="1" x14ac:dyDescent="0.3">
      <c r="A937" s="5"/>
      <c r="B937" s="5"/>
    </row>
    <row r="938" spans="1:9" ht="15.9" customHeight="1" x14ac:dyDescent="0.3">
      <c r="A938" s="5"/>
      <c r="B938" s="5"/>
    </row>
    <row r="939" spans="1:9" ht="15.9" customHeight="1" x14ac:dyDescent="0.3">
      <c r="A939" s="5"/>
      <c r="B939" s="5"/>
      <c r="I939" s="185"/>
    </row>
    <row r="940" spans="1:9" ht="15.9" customHeight="1" x14ac:dyDescent="0.3">
      <c r="A940" s="5"/>
      <c r="B940" s="5"/>
    </row>
    <row r="941" spans="1:9" ht="15.9" customHeight="1" x14ac:dyDescent="0.3">
      <c r="A941" s="5"/>
      <c r="B941" s="5"/>
    </row>
    <row r="942" spans="1:9" ht="15.9" customHeight="1" x14ac:dyDescent="0.3">
      <c r="A942" s="5"/>
      <c r="B942" s="5"/>
    </row>
    <row r="943" spans="1:9" ht="15.9" customHeight="1" x14ac:dyDescent="0.3">
      <c r="A943" s="5"/>
      <c r="B943" s="5"/>
    </row>
    <row r="944" spans="1:9" ht="15.9" customHeight="1" x14ac:dyDescent="0.3">
      <c r="A944" s="5"/>
      <c r="B944" s="5"/>
    </row>
    <row r="945" spans="1:9" ht="15.9" customHeight="1" x14ac:dyDescent="0.3">
      <c r="A945" s="5"/>
      <c r="B945" s="5"/>
    </row>
    <row r="946" spans="1:9" ht="15.9" customHeight="1" x14ac:dyDescent="0.3">
      <c r="A946" s="5"/>
      <c r="B946" s="5"/>
    </row>
    <row r="947" spans="1:9" ht="15.9" customHeight="1" x14ac:dyDescent="0.3">
      <c r="A947" s="5"/>
      <c r="B947" s="5"/>
    </row>
    <row r="948" spans="1:9" ht="15.9" customHeight="1" x14ac:dyDescent="0.3">
      <c r="A948" s="5"/>
      <c r="B948" s="5"/>
      <c r="I948" s="1139"/>
    </row>
    <row r="949" spans="1:9" ht="15.9" customHeight="1" x14ac:dyDescent="0.3">
      <c r="A949" s="5"/>
      <c r="B949" s="5"/>
    </row>
    <row r="950" spans="1:9" ht="15.9" customHeight="1" x14ac:dyDescent="0.3">
      <c r="A950" s="5"/>
      <c r="B950" s="5"/>
    </row>
    <row r="951" spans="1:9" ht="15.9" customHeight="1" x14ac:dyDescent="0.3">
      <c r="A951" s="5"/>
      <c r="B951" s="5"/>
    </row>
    <row r="952" spans="1:9" ht="15.9" customHeight="1" x14ac:dyDescent="0.3">
      <c r="A952" s="5"/>
      <c r="B952" s="5"/>
    </row>
    <row r="953" spans="1:9" ht="15.9" customHeight="1" x14ac:dyDescent="0.3">
      <c r="A953" s="5"/>
      <c r="B953" s="5"/>
    </row>
    <row r="954" spans="1:9" ht="15.9" customHeight="1" x14ac:dyDescent="0.3">
      <c r="A954" s="5"/>
      <c r="B954" s="5"/>
    </row>
    <row r="955" spans="1:9" ht="15.9" customHeight="1" x14ac:dyDescent="0.3">
      <c r="A955" s="5"/>
      <c r="B955" s="5"/>
    </row>
    <row r="956" spans="1:9" ht="15.9" customHeight="1" x14ac:dyDescent="0.3">
      <c r="A956" s="5"/>
      <c r="B956" s="5"/>
    </row>
    <row r="957" spans="1:9" ht="15.9" customHeight="1" x14ac:dyDescent="0.3">
      <c r="A957" s="5"/>
      <c r="B957" s="5"/>
    </row>
    <row r="958" spans="1:9" ht="15.9" customHeight="1" x14ac:dyDescent="0.3">
      <c r="A958" s="5"/>
      <c r="B958" s="5"/>
    </row>
    <row r="959" spans="1:9" ht="15.9" customHeight="1" x14ac:dyDescent="0.3">
      <c r="A959" s="5"/>
      <c r="B959" s="5"/>
    </row>
    <row r="960" spans="1:9" ht="15.9" customHeight="1" x14ac:dyDescent="0.3">
      <c r="A960" s="5"/>
      <c r="B960" s="5"/>
    </row>
    <row r="961" spans="1:9" ht="15.9" customHeight="1" x14ac:dyDescent="0.3">
      <c r="A961" s="5"/>
      <c r="B961" s="5"/>
      <c r="I961" s="185"/>
    </row>
    <row r="962" spans="1:9" ht="15.9" customHeight="1" x14ac:dyDescent="0.3">
      <c r="A962" s="5"/>
      <c r="B962" s="5"/>
    </row>
    <row r="963" spans="1:9" ht="15.9" customHeight="1" x14ac:dyDescent="0.3">
      <c r="A963" s="5"/>
      <c r="B963" s="5"/>
    </row>
    <row r="964" spans="1:9" ht="15.9" customHeight="1" x14ac:dyDescent="0.3">
      <c r="A964" s="5"/>
      <c r="B964" s="5"/>
    </row>
    <row r="965" spans="1:9" ht="15.9" customHeight="1" x14ac:dyDescent="0.3">
      <c r="A965" s="5"/>
      <c r="B965" s="5"/>
    </row>
    <row r="966" spans="1:9" ht="15.9" customHeight="1" x14ac:dyDescent="0.3">
      <c r="A966" s="5"/>
      <c r="B966" s="5"/>
    </row>
    <row r="967" spans="1:9" ht="15.9" customHeight="1" x14ac:dyDescent="0.3">
      <c r="A967" s="5"/>
      <c r="B967" s="5"/>
    </row>
    <row r="968" spans="1:9" ht="15.9" customHeight="1" x14ac:dyDescent="0.3">
      <c r="A968" s="5"/>
      <c r="B968" s="5"/>
    </row>
    <row r="969" spans="1:9" ht="15.9" customHeight="1" x14ac:dyDescent="0.3">
      <c r="A969" s="5"/>
      <c r="B969" s="5"/>
    </row>
    <row r="970" spans="1:9" ht="15.9" customHeight="1" x14ac:dyDescent="0.3">
      <c r="A970" s="5"/>
      <c r="B970" s="5"/>
    </row>
    <row r="971" spans="1:9" ht="15.9" customHeight="1" x14ac:dyDescent="0.3">
      <c r="A971" s="5"/>
      <c r="B971" s="220"/>
      <c r="D971" s="220"/>
      <c r="I971" s="185"/>
    </row>
    <row r="972" spans="1:9" ht="15.9" customHeight="1" x14ac:dyDescent="0.3">
      <c r="A972" s="5"/>
      <c r="B972" s="5"/>
      <c r="I972" s="185"/>
    </row>
    <row r="973" spans="1:9" ht="15.9" customHeight="1" x14ac:dyDescent="0.3">
      <c r="A973" s="5"/>
      <c r="B973" s="5"/>
      <c r="I973" s="185"/>
    </row>
    <row r="974" spans="1:9" ht="15.9" customHeight="1" x14ac:dyDescent="0.3">
      <c r="A974" s="5"/>
      <c r="B974" s="5"/>
      <c r="I974" s="185"/>
    </row>
    <row r="975" spans="1:9" ht="15.9" customHeight="1" x14ac:dyDescent="0.3">
      <c r="A975" s="5"/>
      <c r="B975" s="5"/>
      <c r="I975" s="185"/>
    </row>
    <row r="976" spans="1:9" ht="15.9" customHeight="1" x14ac:dyDescent="0.3">
      <c r="A976" s="5"/>
      <c r="B976" s="5"/>
      <c r="I976" s="185"/>
    </row>
    <row r="977" spans="1:9" ht="15.9" customHeight="1" x14ac:dyDescent="0.3">
      <c r="A977" s="5"/>
      <c r="B977" s="5"/>
      <c r="I977" s="185"/>
    </row>
    <row r="978" spans="1:9" ht="15.9" customHeight="1" x14ac:dyDescent="0.3">
      <c r="A978" s="5"/>
      <c r="B978" s="5"/>
      <c r="I978" s="185"/>
    </row>
    <row r="979" spans="1:9" ht="15.9" customHeight="1" x14ac:dyDescent="0.3">
      <c r="A979" s="5"/>
      <c r="B979" s="5"/>
      <c r="I979" s="185"/>
    </row>
    <row r="980" spans="1:9" ht="15.9" customHeight="1" x14ac:dyDescent="0.3">
      <c r="A980" s="5"/>
      <c r="B980" s="5"/>
      <c r="I980" s="185"/>
    </row>
    <row r="981" spans="1:9" ht="15.9" customHeight="1" x14ac:dyDescent="0.3">
      <c r="A981" s="5"/>
      <c r="B981" s="5"/>
      <c r="I981" s="185"/>
    </row>
    <row r="982" spans="1:9" ht="15.9" customHeight="1" x14ac:dyDescent="0.3">
      <c r="A982" s="5"/>
      <c r="B982" s="5"/>
      <c r="I982" s="185"/>
    </row>
    <row r="983" spans="1:9" ht="15.9" customHeight="1" x14ac:dyDescent="0.3">
      <c r="A983" s="5"/>
      <c r="B983" s="5"/>
      <c r="I983" s="185"/>
    </row>
    <row r="984" spans="1:9" ht="15.9" customHeight="1" x14ac:dyDescent="0.3">
      <c r="A984" s="5"/>
      <c r="B984" s="5"/>
      <c r="I984" s="185"/>
    </row>
    <row r="985" spans="1:9" ht="15.9" customHeight="1" x14ac:dyDescent="0.3">
      <c r="A985" s="5"/>
      <c r="B985" s="5"/>
      <c r="I985" s="185"/>
    </row>
    <row r="986" spans="1:9" ht="15.9" customHeight="1" x14ac:dyDescent="0.3">
      <c r="A986" s="5"/>
      <c r="B986" s="5"/>
      <c r="I986" s="185"/>
    </row>
    <row r="987" spans="1:9" ht="15.9" customHeight="1" x14ac:dyDescent="0.3">
      <c r="A987" s="5"/>
      <c r="B987" s="5"/>
      <c r="I987" s="185"/>
    </row>
    <row r="988" spans="1:9" ht="15.9" customHeight="1" x14ac:dyDescent="0.3">
      <c r="A988" s="5"/>
      <c r="B988" s="5"/>
      <c r="I988" s="185"/>
    </row>
    <row r="989" spans="1:9" ht="15.9" customHeight="1" x14ac:dyDescent="0.3">
      <c r="A989" s="5"/>
      <c r="B989" s="5"/>
      <c r="I989" s="185"/>
    </row>
    <row r="990" spans="1:9" ht="15.9" customHeight="1" x14ac:dyDescent="0.3">
      <c r="A990" s="5"/>
      <c r="B990" s="5"/>
      <c r="I990" s="185"/>
    </row>
    <row r="991" spans="1:9" ht="15.9" customHeight="1" x14ac:dyDescent="0.3">
      <c r="A991" s="5"/>
      <c r="B991" s="5"/>
    </row>
    <row r="992" spans="1:9" ht="15.9" customHeight="1" x14ac:dyDescent="0.3">
      <c r="A992" s="5"/>
      <c r="B992" s="5"/>
      <c r="I992" s="185"/>
    </row>
    <row r="993" spans="1:9" ht="15.9" customHeight="1" x14ac:dyDescent="0.3">
      <c r="A993" s="5"/>
      <c r="B993" s="5"/>
      <c r="I993" s="185"/>
    </row>
    <row r="994" spans="1:9" ht="15.9" customHeight="1" x14ac:dyDescent="0.3">
      <c r="A994" s="5"/>
      <c r="B994" s="5"/>
      <c r="I994" s="185"/>
    </row>
    <row r="995" spans="1:9" ht="15.9" customHeight="1" x14ac:dyDescent="0.3">
      <c r="A995" s="5"/>
      <c r="B995" s="5"/>
    </row>
    <row r="996" spans="1:9" ht="15.9" customHeight="1" x14ac:dyDescent="0.3">
      <c r="A996" s="5"/>
      <c r="B996" s="5"/>
    </row>
    <row r="997" spans="1:9" ht="15.9" customHeight="1" x14ac:dyDescent="0.3">
      <c r="A997" s="5"/>
      <c r="B997" s="5"/>
    </row>
    <row r="998" spans="1:9" ht="15.9" customHeight="1" x14ac:dyDescent="0.3">
      <c r="A998" s="5"/>
      <c r="B998" s="5"/>
    </row>
    <row r="999" spans="1:9" ht="15.9" customHeight="1" x14ac:dyDescent="0.3">
      <c r="A999" s="5"/>
      <c r="B999" s="5"/>
    </row>
    <row r="1000" spans="1:9" ht="15.9" customHeight="1" x14ac:dyDescent="0.3">
      <c r="A1000" s="5"/>
      <c r="B1000" s="5"/>
    </row>
    <row r="1001" spans="1:9" ht="15.9" customHeight="1" x14ac:dyDescent="0.3">
      <c r="A1001" s="5"/>
      <c r="B1001" s="5"/>
    </row>
    <row r="1002" spans="1:9" ht="15.9" customHeight="1" x14ac:dyDescent="0.3">
      <c r="A1002" s="5"/>
      <c r="B1002" s="5"/>
    </row>
    <row r="1003" spans="1:9" ht="15.9" customHeight="1" x14ac:dyDescent="0.3">
      <c r="A1003" s="5"/>
      <c r="B1003" s="5"/>
      <c r="I1003" s="185"/>
    </row>
    <row r="1004" spans="1:9" ht="15.9" customHeight="1" x14ac:dyDescent="0.3">
      <c r="A1004" s="5"/>
      <c r="B1004" s="5"/>
      <c r="I1004" s="185"/>
    </row>
    <row r="1005" spans="1:9" ht="15.9" customHeight="1" x14ac:dyDescent="0.3">
      <c r="A1005" s="5"/>
      <c r="B1005" s="5"/>
      <c r="I1005" s="185"/>
    </row>
    <row r="1006" spans="1:9" ht="15.9" customHeight="1" x14ac:dyDescent="0.3">
      <c r="A1006" s="5"/>
      <c r="B1006" s="5"/>
      <c r="I1006" s="190"/>
    </row>
    <row r="1007" spans="1:9" ht="15.9" customHeight="1" x14ac:dyDescent="0.3">
      <c r="A1007" s="5"/>
      <c r="B1007" s="5"/>
      <c r="I1007" s="185"/>
    </row>
    <row r="1008" spans="1:9" ht="15.9" customHeight="1" x14ac:dyDescent="0.3">
      <c r="A1008" s="5"/>
      <c r="B1008" s="5"/>
      <c r="I1008" s="185"/>
    </row>
    <row r="1009" spans="1:9" ht="15.9" customHeight="1" x14ac:dyDescent="0.3">
      <c r="A1009" s="5"/>
      <c r="B1009" s="5"/>
    </row>
    <row r="1010" spans="1:9" ht="15.9" customHeight="1" x14ac:dyDescent="0.3">
      <c r="A1010" s="5"/>
      <c r="B1010" s="5"/>
      <c r="I1010" s="185"/>
    </row>
    <row r="1011" spans="1:9" ht="15.9" customHeight="1" x14ac:dyDescent="0.3">
      <c r="A1011" s="5"/>
      <c r="B1011" s="19"/>
      <c r="C1011" s="198"/>
      <c r="D1011" s="19"/>
      <c r="F1011" s="19"/>
      <c r="H1011" s="200"/>
      <c r="I1011" s="19"/>
    </row>
    <row r="1012" spans="1:9" ht="15.9" customHeight="1" x14ac:dyDescent="0.3">
      <c r="A1012" s="5"/>
      <c r="B1012" s="19"/>
      <c r="C1012" s="198"/>
      <c r="D1012" s="19"/>
      <c r="F1012" s="19"/>
      <c r="H1012" s="200"/>
      <c r="I1012" s="19"/>
    </row>
    <row r="1013" spans="1:9" ht="15.9" customHeight="1" x14ac:dyDescent="0.3">
      <c r="A1013" s="5"/>
      <c r="B1013" s="19"/>
      <c r="C1013" s="198"/>
      <c r="D1013" s="19"/>
      <c r="F1013" s="19"/>
      <c r="H1013" s="200"/>
      <c r="I1013" s="19"/>
    </row>
    <row r="1014" spans="1:9" ht="15.9" customHeight="1" x14ac:dyDescent="0.3">
      <c r="A1014" s="5"/>
      <c r="B1014" s="19"/>
      <c r="C1014" s="198"/>
      <c r="D1014" s="19"/>
      <c r="F1014" s="19"/>
      <c r="H1014" s="200"/>
      <c r="I1014" s="19"/>
    </row>
    <row r="1015" spans="1:9" ht="15.9" customHeight="1" x14ac:dyDescent="0.3">
      <c r="A1015" s="5"/>
      <c r="B1015" s="19"/>
      <c r="C1015" s="198"/>
      <c r="D1015" s="19"/>
      <c r="F1015" s="19"/>
      <c r="H1015" s="200"/>
      <c r="I1015" s="19"/>
    </row>
    <row r="1016" spans="1:9" ht="15.9" customHeight="1" x14ac:dyDescent="0.3">
      <c r="A1016" s="5"/>
      <c r="B1016" s="19"/>
      <c r="C1016" s="198"/>
      <c r="D1016" s="19"/>
      <c r="F1016" s="19"/>
      <c r="H1016" s="200"/>
      <c r="I1016" s="19"/>
    </row>
    <row r="1017" spans="1:9" ht="15.9" customHeight="1" x14ac:dyDescent="0.3">
      <c r="A1017" s="5"/>
      <c r="B1017" s="19"/>
      <c r="C1017" s="198"/>
      <c r="D1017" s="19"/>
      <c r="F1017" s="19"/>
      <c r="H1017" s="200"/>
      <c r="I1017" s="19"/>
    </row>
    <row r="1018" spans="1:9" ht="15.9" customHeight="1" x14ac:dyDescent="0.3">
      <c r="A1018" s="5"/>
      <c r="B1018" s="19"/>
      <c r="C1018" s="198"/>
      <c r="D1018" s="19"/>
      <c r="F1018" s="19"/>
      <c r="H1018" s="200"/>
      <c r="I1018" s="19"/>
    </row>
    <row r="1019" spans="1:9" ht="15.9" customHeight="1" x14ac:dyDescent="0.3">
      <c r="A1019" s="5"/>
      <c r="B1019" s="19"/>
      <c r="C1019" s="198"/>
      <c r="D1019" s="19"/>
      <c r="F1019" s="19"/>
      <c r="H1019" s="200"/>
      <c r="I1019" s="19"/>
    </row>
    <row r="1020" spans="1:9" ht="15.9" customHeight="1" x14ac:dyDescent="0.3">
      <c r="A1020" s="5"/>
      <c r="B1020" s="19"/>
      <c r="C1020" s="198"/>
      <c r="D1020" s="19"/>
      <c r="F1020" s="19"/>
      <c r="H1020" s="200"/>
      <c r="I1020" s="19"/>
    </row>
    <row r="1021" spans="1:9" ht="15.9" customHeight="1" x14ac:dyDescent="0.3">
      <c r="A1021" s="5"/>
      <c r="B1021" s="19"/>
      <c r="C1021" s="198"/>
      <c r="D1021" s="19"/>
      <c r="F1021" s="19"/>
      <c r="H1021" s="200"/>
      <c r="I1021" s="19"/>
    </row>
    <row r="1022" spans="1:9" ht="15.9" customHeight="1" x14ac:dyDescent="0.3">
      <c r="A1022" s="5"/>
      <c r="B1022" s="19"/>
      <c r="C1022" s="198"/>
      <c r="D1022" s="19"/>
      <c r="F1022" s="19"/>
      <c r="H1022" s="200"/>
      <c r="I1022" s="19"/>
    </row>
    <row r="1023" spans="1:9" ht="15.9" customHeight="1" x14ac:dyDescent="0.3">
      <c r="A1023" s="5"/>
      <c r="B1023" s="19"/>
      <c r="C1023" s="198"/>
      <c r="D1023" s="19"/>
      <c r="F1023" s="19"/>
      <c r="H1023" s="200"/>
      <c r="I1023" s="19"/>
    </row>
    <row r="1024" spans="1:9" ht="15.9" customHeight="1" x14ac:dyDescent="0.3">
      <c r="A1024" s="5"/>
      <c r="B1024" s="19"/>
      <c r="C1024" s="198"/>
      <c r="D1024" s="19"/>
      <c r="F1024" s="19"/>
      <c r="H1024" s="200"/>
      <c r="I1024" s="19"/>
    </row>
    <row r="1025" spans="1:9" ht="15.9" customHeight="1" x14ac:dyDescent="0.3">
      <c r="A1025" s="5"/>
      <c r="B1025" s="19"/>
      <c r="C1025" s="198"/>
      <c r="D1025" s="19"/>
      <c r="F1025" s="19"/>
      <c r="H1025" s="200"/>
      <c r="I1025" s="19"/>
    </row>
    <row r="1026" spans="1:9" ht="15.9" customHeight="1" x14ac:dyDescent="0.3">
      <c r="A1026" s="5"/>
      <c r="B1026" s="19"/>
      <c r="C1026" s="198"/>
      <c r="D1026" s="19"/>
      <c r="F1026" s="19"/>
      <c r="H1026" s="200"/>
      <c r="I1026" s="19"/>
    </row>
    <row r="1027" spans="1:9" ht="15.9" customHeight="1" x14ac:dyDescent="0.3">
      <c r="A1027" s="5"/>
      <c r="B1027" s="19"/>
      <c r="C1027" s="198"/>
      <c r="D1027" s="19"/>
      <c r="F1027" s="19"/>
      <c r="H1027" s="200"/>
      <c r="I1027" s="19"/>
    </row>
    <row r="1028" spans="1:9" ht="15.9" customHeight="1" x14ac:dyDescent="0.3">
      <c r="A1028" s="5"/>
      <c r="B1028" s="19"/>
      <c r="C1028" s="198"/>
      <c r="D1028" s="19"/>
      <c r="F1028" s="19"/>
      <c r="H1028" s="200"/>
      <c r="I1028" s="19"/>
    </row>
    <row r="1029" spans="1:9" ht="15.9" customHeight="1" x14ac:dyDescent="0.3">
      <c r="A1029" s="5"/>
      <c r="B1029" s="19"/>
      <c r="C1029" s="198"/>
      <c r="D1029" s="19"/>
      <c r="F1029" s="19"/>
      <c r="H1029" s="200"/>
      <c r="I1029" s="19"/>
    </row>
    <row r="1030" spans="1:9" ht="15.9" customHeight="1" x14ac:dyDescent="0.3">
      <c r="A1030" s="5"/>
      <c r="B1030" s="19"/>
      <c r="C1030" s="198"/>
      <c r="D1030" s="19"/>
      <c r="F1030" s="19"/>
      <c r="H1030" s="200"/>
      <c r="I1030" s="19"/>
    </row>
    <row r="1031" spans="1:9" ht="15.9" customHeight="1" x14ac:dyDescent="0.3">
      <c r="A1031" s="5"/>
      <c r="B1031" s="19"/>
      <c r="C1031" s="198"/>
      <c r="D1031" s="19"/>
      <c r="F1031" s="19"/>
      <c r="H1031" s="200"/>
      <c r="I1031" s="19"/>
    </row>
    <row r="1032" spans="1:9" ht="15.9" customHeight="1" x14ac:dyDescent="0.3">
      <c r="A1032" s="5"/>
      <c r="B1032" s="19"/>
      <c r="C1032" s="198"/>
      <c r="D1032" s="19"/>
      <c r="F1032" s="19"/>
      <c r="H1032" s="200"/>
      <c r="I1032" s="19"/>
    </row>
    <row r="1033" spans="1:9" ht="15.9" customHeight="1" x14ac:dyDescent="0.3">
      <c r="A1033" s="5"/>
      <c r="B1033" s="19"/>
      <c r="C1033" s="198"/>
      <c r="D1033" s="19"/>
      <c r="F1033" s="19"/>
      <c r="H1033" s="200"/>
      <c r="I1033" s="19"/>
    </row>
    <row r="1034" spans="1:9" ht="15.9" customHeight="1" x14ac:dyDescent="0.3">
      <c r="A1034" s="5"/>
      <c r="B1034" s="19"/>
      <c r="C1034" s="198"/>
      <c r="D1034" s="19"/>
      <c r="F1034" s="19"/>
      <c r="H1034" s="200"/>
      <c r="I1034" s="19"/>
    </row>
    <row r="1035" spans="1:9" ht="15.9" customHeight="1" x14ac:dyDescent="0.3">
      <c r="A1035" s="5"/>
      <c r="B1035" s="19"/>
      <c r="C1035" s="198"/>
      <c r="D1035" s="19"/>
      <c r="F1035" s="19"/>
      <c r="H1035" s="200"/>
      <c r="I1035" s="19"/>
    </row>
    <row r="1036" spans="1:9" ht="15.9" customHeight="1" x14ac:dyDescent="0.3">
      <c r="A1036" s="5"/>
      <c r="B1036" s="19"/>
      <c r="C1036" s="198"/>
      <c r="D1036" s="19"/>
      <c r="F1036" s="19"/>
      <c r="H1036" s="200"/>
      <c r="I1036" s="19"/>
    </row>
    <row r="1037" spans="1:9" ht="15.9" customHeight="1" x14ac:dyDescent="0.3">
      <c r="A1037" s="5"/>
      <c r="B1037" s="19"/>
      <c r="C1037" s="198"/>
      <c r="D1037" s="19"/>
      <c r="F1037" s="19"/>
      <c r="H1037" s="200"/>
      <c r="I1037" s="19"/>
    </row>
    <row r="1038" spans="1:9" ht="15.9" customHeight="1" x14ac:dyDescent="0.3">
      <c r="A1038" s="5"/>
      <c r="B1038" s="19"/>
      <c r="C1038" s="198"/>
      <c r="D1038" s="19"/>
      <c r="F1038" s="19"/>
      <c r="H1038" s="200"/>
      <c r="I1038" s="19"/>
    </row>
    <row r="1039" spans="1:9" ht="15.9" customHeight="1" x14ac:dyDescent="0.3">
      <c r="A1039" s="5"/>
      <c r="B1039" s="19"/>
      <c r="C1039" s="198"/>
      <c r="D1039" s="19"/>
      <c r="F1039" s="19"/>
      <c r="H1039" s="200"/>
      <c r="I1039" s="19"/>
    </row>
    <row r="1040" spans="1:9" ht="15.9" customHeight="1" x14ac:dyDescent="0.3">
      <c r="A1040" s="5"/>
      <c r="B1040" s="19"/>
      <c r="C1040" s="198"/>
      <c r="D1040" s="19"/>
      <c r="F1040" s="19"/>
      <c r="H1040" s="200"/>
      <c r="I1040" s="19"/>
    </row>
    <row r="1041" spans="1:9" ht="15.9" customHeight="1" x14ac:dyDescent="0.3">
      <c r="A1041" s="5"/>
      <c r="B1041" s="19"/>
      <c r="C1041" s="198"/>
      <c r="D1041" s="19"/>
      <c r="F1041" s="19"/>
      <c r="H1041" s="200"/>
      <c r="I1041" s="19"/>
    </row>
    <row r="1042" spans="1:9" ht="15.9" customHeight="1" x14ac:dyDescent="0.3">
      <c r="A1042" s="5"/>
      <c r="B1042" s="19"/>
      <c r="C1042" s="198"/>
      <c r="D1042" s="19"/>
      <c r="F1042" s="19"/>
      <c r="H1042" s="200"/>
      <c r="I1042" s="19"/>
    </row>
    <row r="1043" spans="1:9" ht="15.9" customHeight="1" x14ac:dyDescent="0.3">
      <c r="A1043" s="5"/>
      <c r="B1043" s="19"/>
      <c r="C1043" s="198"/>
      <c r="D1043" s="19"/>
      <c r="F1043" s="19"/>
      <c r="H1043" s="200"/>
      <c r="I1043" s="19"/>
    </row>
    <row r="1044" spans="1:9" ht="15.9" customHeight="1" x14ac:dyDescent="0.3">
      <c r="A1044" s="5"/>
      <c r="B1044" s="19"/>
      <c r="C1044" s="198"/>
      <c r="D1044" s="19"/>
      <c r="F1044" s="19"/>
      <c r="H1044" s="200"/>
      <c r="I1044" s="19"/>
    </row>
    <row r="1045" spans="1:9" ht="15.9" customHeight="1" x14ac:dyDescent="0.3">
      <c r="A1045" s="5"/>
      <c r="B1045" s="19"/>
      <c r="C1045" s="198"/>
      <c r="D1045" s="19"/>
      <c r="F1045" s="19"/>
      <c r="H1045" s="200"/>
      <c r="I1045" s="19"/>
    </row>
    <row r="1046" spans="1:9" ht="15.9" customHeight="1" x14ac:dyDescent="0.3">
      <c r="A1046" s="5"/>
      <c r="B1046" s="19"/>
      <c r="C1046" s="198"/>
      <c r="D1046" s="19"/>
      <c r="F1046" s="19"/>
      <c r="H1046" s="200"/>
      <c r="I1046" s="19"/>
    </row>
    <row r="1047" spans="1:9" ht="15.9" customHeight="1" x14ac:dyDescent="0.3">
      <c r="A1047" s="5"/>
      <c r="B1047" s="19"/>
      <c r="C1047" s="198"/>
      <c r="D1047" s="19"/>
      <c r="F1047" s="19"/>
      <c r="H1047" s="200"/>
      <c r="I1047" s="19"/>
    </row>
    <row r="1048" spans="1:9" ht="15.9" customHeight="1" x14ac:dyDescent="0.3">
      <c r="A1048" s="5"/>
      <c r="B1048" s="19"/>
      <c r="C1048" s="198"/>
      <c r="D1048" s="19"/>
      <c r="F1048" s="19"/>
      <c r="H1048" s="200"/>
      <c r="I1048" s="19"/>
    </row>
    <row r="1049" spans="1:9" ht="15.9" customHeight="1" x14ac:dyDescent="0.3">
      <c r="A1049" s="5"/>
      <c r="B1049" s="19"/>
      <c r="C1049" s="198"/>
      <c r="D1049" s="19"/>
      <c r="F1049" s="19"/>
      <c r="H1049" s="200"/>
      <c r="I1049" s="19"/>
    </row>
    <row r="1050" spans="1:9" ht="15.9" customHeight="1" x14ac:dyDescent="0.3">
      <c r="A1050" s="5"/>
      <c r="B1050" s="19"/>
      <c r="C1050" s="198"/>
      <c r="D1050" s="19"/>
      <c r="F1050" s="19"/>
      <c r="H1050" s="200"/>
      <c r="I1050" s="19"/>
    </row>
    <row r="1051" spans="1:9" ht="15.9" customHeight="1" x14ac:dyDescent="0.3">
      <c r="A1051" s="5"/>
      <c r="B1051" s="19"/>
      <c r="C1051" s="198"/>
      <c r="D1051" s="19"/>
      <c r="F1051" s="19"/>
      <c r="H1051" s="200"/>
      <c r="I1051" s="19"/>
    </row>
    <row r="1052" spans="1:9" ht="15.9" customHeight="1" x14ac:dyDescent="0.3">
      <c r="A1052" s="5"/>
      <c r="B1052" s="19"/>
      <c r="C1052" s="198"/>
      <c r="D1052" s="19"/>
      <c r="F1052" s="19"/>
      <c r="H1052" s="200"/>
      <c r="I1052" s="19"/>
    </row>
    <row r="1053" spans="1:9" ht="15.9" customHeight="1" x14ac:dyDescent="0.3">
      <c r="A1053" s="5"/>
      <c r="B1053" s="19"/>
      <c r="C1053" s="198"/>
      <c r="D1053" s="19"/>
      <c r="F1053" s="19"/>
      <c r="H1053" s="200"/>
      <c r="I1053" s="19"/>
    </row>
    <row r="1054" spans="1:9" ht="15.9" customHeight="1" x14ac:dyDescent="0.3">
      <c r="A1054" s="5"/>
      <c r="B1054" s="19"/>
      <c r="C1054" s="198"/>
      <c r="D1054" s="19"/>
      <c r="F1054" s="19"/>
      <c r="H1054" s="200"/>
      <c r="I1054" s="19"/>
    </row>
    <row r="1055" spans="1:9" ht="15.9" customHeight="1" x14ac:dyDescent="0.3">
      <c r="A1055" s="5"/>
      <c r="B1055" s="19"/>
      <c r="C1055" s="198"/>
      <c r="D1055" s="19"/>
      <c r="F1055" s="19"/>
      <c r="H1055" s="200"/>
      <c r="I1055" s="19"/>
    </row>
    <row r="1056" spans="1:9" ht="15.9" customHeight="1" x14ac:dyDescent="0.3">
      <c r="A1056" s="5"/>
      <c r="B1056" s="19"/>
      <c r="C1056" s="198"/>
      <c r="D1056" s="19"/>
      <c r="F1056" s="19"/>
      <c r="H1056" s="200"/>
      <c r="I1056" s="19"/>
    </row>
    <row r="1057" spans="1:9" ht="15.9" customHeight="1" x14ac:dyDescent="0.3">
      <c r="A1057" s="5"/>
      <c r="B1057" s="19"/>
      <c r="C1057" s="198"/>
      <c r="D1057" s="19"/>
      <c r="F1057" s="19"/>
      <c r="H1057" s="200"/>
      <c r="I1057" s="19"/>
    </row>
    <row r="1058" spans="1:9" ht="15.9" customHeight="1" x14ac:dyDescent="0.3">
      <c r="A1058" s="5"/>
      <c r="B1058" s="19"/>
      <c r="C1058" s="198"/>
      <c r="D1058" s="19"/>
      <c r="F1058" s="19"/>
      <c r="H1058" s="200"/>
      <c r="I1058" s="19"/>
    </row>
    <row r="1059" spans="1:9" ht="15.9" customHeight="1" x14ac:dyDescent="0.3">
      <c r="A1059" s="5"/>
      <c r="B1059" s="19"/>
      <c r="C1059" s="198"/>
      <c r="D1059" s="19"/>
      <c r="F1059" s="19"/>
      <c r="H1059" s="200"/>
      <c r="I1059" s="19"/>
    </row>
    <row r="1060" spans="1:9" ht="15.9" customHeight="1" x14ac:dyDescent="0.3">
      <c r="A1060" s="5"/>
      <c r="B1060" s="19"/>
      <c r="C1060" s="198"/>
      <c r="D1060" s="19"/>
      <c r="F1060" s="19"/>
      <c r="H1060" s="200"/>
      <c r="I1060" s="19"/>
    </row>
    <row r="1061" spans="1:9" ht="15.9" customHeight="1" x14ac:dyDescent="0.3">
      <c r="A1061" s="5"/>
      <c r="B1061" s="19"/>
      <c r="C1061" s="198"/>
      <c r="D1061" s="19"/>
      <c r="F1061" s="19"/>
      <c r="H1061" s="200"/>
      <c r="I1061" s="19"/>
    </row>
    <row r="1062" spans="1:9" ht="15.9" customHeight="1" x14ac:dyDescent="0.3">
      <c r="A1062" s="5"/>
      <c r="B1062" s="19"/>
      <c r="C1062" s="198"/>
      <c r="D1062" s="19"/>
      <c r="F1062" s="19"/>
      <c r="H1062" s="200"/>
      <c r="I1062" s="19"/>
    </row>
    <row r="1063" spans="1:9" ht="15.9" customHeight="1" x14ac:dyDescent="0.3">
      <c r="A1063" s="5"/>
      <c r="B1063" s="19"/>
      <c r="C1063" s="198"/>
      <c r="D1063" s="19"/>
      <c r="F1063" s="19"/>
      <c r="H1063" s="200"/>
      <c r="I1063" s="19"/>
    </row>
    <row r="1064" spans="1:9" ht="15.9" customHeight="1" x14ac:dyDescent="0.3">
      <c r="A1064" s="5"/>
      <c r="B1064" s="19"/>
      <c r="C1064" s="198"/>
      <c r="D1064" s="19"/>
      <c r="F1064" s="19"/>
      <c r="H1064" s="200"/>
      <c r="I1064" s="19"/>
    </row>
    <row r="1065" spans="1:9" ht="15.9" customHeight="1" x14ac:dyDescent="0.3">
      <c r="A1065" s="5"/>
      <c r="B1065" s="5"/>
      <c r="E1065" s="19"/>
      <c r="I1065" s="185"/>
    </row>
    <row r="1066" spans="1:9" ht="15.9" customHeight="1" x14ac:dyDescent="0.3">
      <c r="A1066" s="5"/>
      <c r="B1066" s="5"/>
      <c r="E1066" s="19"/>
      <c r="I1066" s="185"/>
    </row>
    <row r="1067" spans="1:9" ht="15.9" customHeight="1" x14ac:dyDescent="0.3">
      <c r="A1067" s="5"/>
      <c r="B1067" s="5"/>
      <c r="E1067" s="19"/>
      <c r="I1067" s="185"/>
    </row>
    <row r="1068" spans="1:9" ht="15.9" customHeight="1" x14ac:dyDescent="0.3">
      <c r="A1068" s="5"/>
      <c r="B1068" s="5"/>
      <c r="E1068" s="19"/>
      <c r="I1068" s="185"/>
    </row>
    <row r="1069" spans="1:9" ht="15.9" customHeight="1" x14ac:dyDescent="0.3">
      <c r="A1069" s="5"/>
      <c r="B1069" s="5"/>
      <c r="E1069" s="19"/>
      <c r="I1069" s="185"/>
    </row>
    <row r="1070" spans="1:9" ht="15.9" customHeight="1" x14ac:dyDescent="0.3">
      <c r="A1070" s="5"/>
      <c r="B1070" s="5"/>
      <c r="E1070" s="19"/>
      <c r="I1070" s="185"/>
    </row>
    <row r="1071" spans="1:9" ht="15.9" customHeight="1" x14ac:dyDescent="0.3">
      <c r="A1071" s="5"/>
      <c r="B1071" s="5"/>
      <c r="E1071" s="19"/>
      <c r="I1071" s="185"/>
    </row>
    <row r="1072" spans="1:9" ht="15.9" customHeight="1" x14ac:dyDescent="0.3">
      <c r="A1072" s="5"/>
      <c r="B1072" s="5"/>
      <c r="E1072" s="19"/>
      <c r="I1072" s="185"/>
    </row>
    <row r="1073" spans="1:9" ht="15.9" customHeight="1" x14ac:dyDescent="0.3">
      <c r="A1073" s="5"/>
      <c r="B1073" s="5"/>
      <c r="E1073" s="19"/>
      <c r="I1073" s="185"/>
    </row>
    <row r="1074" spans="1:9" ht="15.9" customHeight="1" x14ac:dyDescent="0.3">
      <c r="A1074" s="5"/>
      <c r="B1074" s="5"/>
      <c r="E1074" s="19"/>
      <c r="I1074" s="185"/>
    </row>
    <row r="1075" spans="1:9" ht="15.9" customHeight="1" x14ac:dyDescent="0.3">
      <c r="A1075" s="5"/>
      <c r="B1075" s="5"/>
      <c r="E1075" s="19"/>
      <c r="I1075" s="185"/>
    </row>
    <row r="1076" spans="1:9" ht="15.9" customHeight="1" x14ac:dyDescent="0.3">
      <c r="A1076" s="221"/>
      <c r="B1076" s="221"/>
      <c r="C1076" s="222"/>
      <c r="D1076" s="221"/>
      <c r="E1076" s="221"/>
      <c r="F1076" s="223"/>
      <c r="G1076" s="224"/>
      <c r="H1076" s="225"/>
      <c r="I1076" s="190"/>
    </row>
    <row r="1077" spans="1:9" ht="15.9" customHeight="1" x14ac:dyDescent="0.3">
      <c r="A1077" s="229"/>
      <c r="B1077" s="229"/>
      <c r="C1077" s="230"/>
      <c r="D1077" s="229"/>
      <c r="E1077" s="229"/>
      <c r="F1077" s="231"/>
      <c r="G1077" s="232"/>
      <c r="H1077" s="233"/>
      <c r="I1077" s="190"/>
    </row>
    <row r="1078" spans="1:9" ht="15.9" customHeight="1" x14ac:dyDescent="0.3">
      <c r="A1078" s="229"/>
      <c r="B1078" s="229"/>
      <c r="C1078" s="230"/>
      <c r="D1078" s="229"/>
      <c r="E1078" s="229"/>
      <c r="F1078" s="231"/>
      <c r="G1078" s="232"/>
      <c r="H1078" s="233"/>
      <c r="I1078" s="190"/>
    </row>
    <row r="1079" spans="1:9" ht="15.9" customHeight="1" x14ac:dyDescent="0.3">
      <c r="A1079" s="229"/>
      <c r="B1079" s="229"/>
      <c r="C1079" s="230"/>
      <c r="D1079" s="229"/>
      <c r="E1079" s="229"/>
      <c r="F1079" s="231"/>
      <c r="G1079" s="232"/>
      <c r="H1079" s="233"/>
      <c r="I1079" s="190"/>
    </row>
    <row r="1080" spans="1:9" ht="15.9" customHeight="1" x14ac:dyDescent="0.3">
      <c r="A1080" s="229"/>
      <c r="B1080" s="229"/>
      <c r="C1080" s="230"/>
      <c r="D1080" s="229"/>
      <c r="E1080" s="229"/>
      <c r="F1080" s="231"/>
      <c r="G1080" s="232"/>
      <c r="H1080" s="233"/>
      <c r="I1080" s="190"/>
    </row>
    <row r="1081" spans="1:9" ht="15.9" customHeight="1" x14ac:dyDescent="0.3">
      <c r="A1081" s="229"/>
      <c r="B1081" s="229"/>
      <c r="C1081" s="230"/>
      <c r="D1081" s="229"/>
      <c r="E1081" s="229"/>
      <c r="F1081" s="231"/>
      <c r="G1081" s="232"/>
      <c r="H1081" s="233"/>
      <c r="I1081" s="190"/>
    </row>
    <row r="1082" spans="1:9" ht="15.9" customHeight="1" x14ac:dyDescent="0.3">
      <c r="A1082" s="229"/>
      <c r="B1082" s="229"/>
      <c r="C1082" s="230"/>
      <c r="D1082" s="229"/>
      <c r="E1082" s="229"/>
      <c r="F1082" s="231"/>
      <c r="G1082" s="232"/>
      <c r="H1082" s="233"/>
      <c r="I1082" s="190"/>
    </row>
    <row r="1083" spans="1:9" ht="15.9" customHeight="1" x14ac:dyDescent="0.3">
      <c r="A1083" s="229"/>
      <c r="B1083" s="229"/>
      <c r="C1083" s="230"/>
      <c r="D1083" s="229"/>
      <c r="E1083" s="229"/>
      <c r="F1083" s="231"/>
      <c r="G1083" s="232"/>
      <c r="H1083" s="233"/>
      <c r="I1083" s="190"/>
    </row>
    <row r="1084" spans="1:9" ht="15.9" customHeight="1" x14ac:dyDescent="0.3">
      <c r="A1084" s="229"/>
      <c r="B1084" s="229"/>
      <c r="C1084" s="230"/>
      <c r="D1084" s="229"/>
      <c r="E1084" s="229"/>
      <c r="F1084" s="231"/>
      <c r="G1084" s="232"/>
      <c r="H1084" s="233"/>
      <c r="I1084" s="190"/>
    </row>
    <row r="1085" spans="1:9" ht="15.9" customHeight="1" x14ac:dyDescent="0.3">
      <c r="A1085" s="229"/>
      <c r="B1085" s="229"/>
      <c r="C1085" s="230"/>
      <c r="D1085" s="229"/>
      <c r="E1085" s="229"/>
      <c r="F1085" s="231"/>
      <c r="G1085" s="232"/>
      <c r="H1085" s="233"/>
      <c r="I1085" s="190"/>
    </row>
    <row r="1086" spans="1:9" ht="15.9" customHeight="1" x14ac:dyDescent="0.3">
      <c r="A1086" s="229"/>
      <c r="B1086" s="229"/>
      <c r="C1086" s="230"/>
      <c r="D1086" s="229"/>
      <c r="E1086" s="229"/>
      <c r="F1086" s="231"/>
      <c r="G1086" s="232"/>
      <c r="H1086" s="233"/>
      <c r="I1086" s="190"/>
    </row>
    <row r="1087" spans="1:9" ht="15.9" customHeight="1" x14ac:dyDescent="0.3">
      <c r="A1087" s="229"/>
      <c r="B1087" s="229"/>
      <c r="C1087" s="230"/>
      <c r="D1087" s="229"/>
      <c r="E1087" s="229"/>
      <c r="F1087" s="231"/>
      <c r="G1087" s="232"/>
      <c r="H1087" s="233"/>
      <c r="I1087" s="190"/>
    </row>
    <row r="1088" spans="1:9" ht="15.9" customHeight="1" x14ac:dyDescent="0.3">
      <c r="A1088" s="229"/>
      <c r="B1088" s="229"/>
      <c r="C1088" s="230"/>
      <c r="D1088" s="229"/>
      <c r="E1088" s="229"/>
      <c r="F1088" s="231"/>
      <c r="G1088" s="232"/>
      <c r="H1088" s="233"/>
      <c r="I1088" s="190"/>
    </row>
    <row r="1089" spans="1:9" ht="15.9" customHeight="1" x14ac:dyDescent="0.3">
      <c r="A1089" s="229"/>
      <c r="B1089" s="229"/>
      <c r="C1089" s="230"/>
      <c r="D1089" s="229"/>
      <c r="E1089" s="229"/>
      <c r="F1089" s="231"/>
      <c r="G1089" s="232"/>
      <c r="H1089" s="233"/>
      <c r="I1089" s="190"/>
    </row>
    <row r="1090" spans="1:9" ht="15.9" customHeight="1" x14ac:dyDescent="0.3">
      <c r="A1090" s="236"/>
      <c r="B1090" s="236"/>
      <c r="C1090" s="237"/>
      <c r="D1090" s="236"/>
      <c r="E1090" s="236"/>
      <c r="F1090" s="238"/>
      <c r="G1090" s="239"/>
      <c r="H1090" s="240"/>
      <c r="I1090" s="190"/>
    </row>
    <row r="1091" spans="1:9" ht="15.9" customHeight="1" x14ac:dyDescent="0.3">
      <c r="A1091" s="5"/>
      <c r="B1091" s="5"/>
      <c r="I1091" s="185"/>
    </row>
    <row r="1092" spans="1:9" ht="15.9" customHeight="1" x14ac:dyDescent="0.3">
      <c r="A1092" s="5"/>
      <c r="B1092" s="5"/>
      <c r="I1092" s="185"/>
    </row>
    <row r="1093" spans="1:9" ht="15.9" customHeight="1" x14ac:dyDescent="0.3">
      <c r="A1093" s="5"/>
      <c r="B1093" s="5"/>
      <c r="I1093" s="185"/>
    </row>
    <row r="1094" spans="1:9" ht="15.9" customHeight="1" x14ac:dyDescent="0.25">
      <c r="A1094" s="5"/>
      <c r="B1094" s="5"/>
      <c r="I1094" s="201"/>
    </row>
    <row r="1095" spans="1:9" ht="15.9" customHeight="1" x14ac:dyDescent="0.25">
      <c r="A1095" s="5"/>
      <c r="B1095" s="5"/>
      <c r="I1095" s="201"/>
    </row>
    <row r="1096" spans="1:9" ht="15.9" customHeight="1" x14ac:dyDescent="0.25">
      <c r="A1096" s="5"/>
      <c r="B1096" s="5"/>
      <c r="I1096" s="201"/>
    </row>
    <row r="1097" spans="1:9" ht="15.9" customHeight="1" x14ac:dyDescent="0.3">
      <c r="A1097" s="5"/>
      <c r="B1097" s="5"/>
    </row>
    <row r="1098" spans="1:9" ht="15.9" customHeight="1" x14ac:dyDescent="0.3">
      <c r="A1098" s="5"/>
      <c r="B1098" s="5"/>
    </row>
    <row r="1099" spans="1:9" ht="15.9" customHeight="1" x14ac:dyDescent="0.3">
      <c r="A1099" s="5"/>
      <c r="B1099" s="19"/>
      <c r="C1099" s="198"/>
      <c r="D1099" s="19"/>
      <c r="E1099" s="19"/>
      <c r="F1099" s="19"/>
      <c r="H1099" s="200"/>
      <c r="I1099" s="19"/>
    </row>
    <row r="1100" spans="1:9" ht="15.9" customHeight="1" x14ac:dyDescent="0.3">
      <c r="A1100" s="5"/>
      <c r="B1100" s="19"/>
      <c r="C1100" s="198"/>
      <c r="D1100" s="19"/>
      <c r="E1100" s="19"/>
      <c r="F1100" s="19"/>
      <c r="H1100" s="200"/>
      <c r="I1100" s="19"/>
    </row>
    <row r="1101" spans="1:9" ht="15.9" customHeight="1" x14ac:dyDescent="0.3">
      <c r="A1101" s="5"/>
      <c r="B1101" s="19"/>
      <c r="C1101" s="198"/>
      <c r="D1101" s="19"/>
      <c r="E1101" s="19"/>
      <c r="F1101" s="19"/>
      <c r="H1101" s="200"/>
      <c r="I1101" s="19"/>
    </row>
    <row r="1102" spans="1:9" ht="15.9" customHeight="1" x14ac:dyDescent="0.3">
      <c r="A1102" s="5"/>
      <c r="B1102" s="19"/>
      <c r="C1102" s="198"/>
      <c r="D1102" s="19"/>
      <c r="E1102" s="19"/>
      <c r="F1102" s="19"/>
      <c r="H1102" s="200"/>
      <c r="I1102" s="19"/>
    </row>
    <row r="1103" spans="1:9" ht="15.9" customHeight="1" x14ac:dyDescent="0.3">
      <c r="A1103" s="5"/>
      <c r="B1103" s="19"/>
      <c r="C1103" s="198"/>
      <c r="D1103" s="19"/>
      <c r="E1103" s="19"/>
      <c r="F1103" s="19"/>
      <c r="H1103" s="200"/>
      <c r="I1103" s="19"/>
    </row>
    <row r="1104" spans="1:9" ht="15.9" customHeight="1" x14ac:dyDescent="0.3">
      <c r="A1104" s="5"/>
      <c r="B1104" s="19"/>
      <c r="C1104" s="198"/>
      <c r="D1104" s="19"/>
      <c r="E1104" s="19"/>
      <c r="F1104" s="19"/>
      <c r="H1104" s="200"/>
      <c r="I1104" s="19"/>
    </row>
    <row r="1105" spans="1:9" ht="15.9" customHeight="1" x14ac:dyDescent="0.3">
      <c r="A1105" s="5"/>
      <c r="B1105" s="19"/>
      <c r="C1105" s="198"/>
      <c r="D1105" s="19"/>
      <c r="E1105" s="19"/>
      <c r="F1105" s="19"/>
      <c r="H1105" s="200"/>
      <c r="I1105" s="19"/>
    </row>
    <row r="1106" spans="1:9" ht="15.9" customHeight="1" x14ac:dyDescent="0.3">
      <c r="A1106" s="5"/>
      <c r="B1106" s="19"/>
      <c r="C1106" s="198"/>
      <c r="D1106" s="19"/>
      <c r="E1106" s="19"/>
      <c r="F1106" s="19"/>
      <c r="H1106" s="200"/>
      <c r="I1106" s="19"/>
    </row>
    <row r="1107" spans="1:9" ht="15.9" customHeight="1" x14ac:dyDescent="0.3">
      <c r="A1107" s="5"/>
      <c r="B1107" s="19"/>
      <c r="C1107" s="198"/>
      <c r="D1107" s="19"/>
      <c r="E1107" s="19"/>
      <c r="F1107" s="19"/>
      <c r="H1107" s="200"/>
      <c r="I1107" s="19"/>
    </row>
    <row r="1108" spans="1:9" ht="15.9" customHeight="1" x14ac:dyDescent="0.3">
      <c r="A1108" s="5"/>
      <c r="B1108" s="19"/>
      <c r="C1108" s="198"/>
      <c r="D1108" s="19"/>
      <c r="E1108" s="19"/>
      <c r="F1108" s="19"/>
      <c r="H1108" s="200"/>
      <c r="I1108" s="19"/>
    </row>
    <row r="1109" spans="1:9" ht="15.9" customHeight="1" x14ac:dyDescent="0.3">
      <c r="A1109" s="5"/>
      <c r="B1109" s="19"/>
      <c r="C1109" s="198"/>
      <c r="D1109" s="19"/>
      <c r="E1109" s="19"/>
      <c r="F1109" s="19"/>
      <c r="H1109" s="200"/>
      <c r="I1109" s="19"/>
    </row>
    <row r="1110" spans="1:9" ht="15.9" customHeight="1" x14ac:dyDescent="0.3">
      <c r="A1110" s="5"/>
      <c r="B1110" s="19"/>
      <c r="C1110" s="198"/>
      <c r="D1110" s="19"/>
      <c r="E1110" s="19"/>
      <c r="F1110" s="19"/>
      <c r="H1110" s="200"/>
      <c r="I1110" s="19"/>
    </row>
    <row r="1111" spans="1:9" ht="15.9" customHeight="1" x14ac:dyDescent="0.3">
      <c r="A1111" s="5"/>
      <c r="B1111" s="19"/>
      <c r="C1111" s="198"/>
      <c r="D1111" s="19"/>
      <c r="E1111" s="19"/>
      <c r="F1111" s="19"/>
      <c r="H1111" s="200"/>
      <c r="I1111" s="19"/>
    </row>
    <row r="1112" spans="1:9" ht="15.9" customHeight="1" x14ac:dyDescent="0.3">
      <c r="A1112" s="5"/>
      <c r="B1112" s="19"/>
      <c r="C1112" s="198"/>
      <c r="D1112" s="19"/>
      <c r="E1112" s="19"/>
      <c r="F1112" s="19"/>
      <c r="H1112" s="200"/>
      <c r="I1112" s="19"/>
    </row>
    <row r="1113" spans="1:9" ht="15.9" customHeight="1" x14ac:dyDescent="0.3">
      <c r="A1113" s="5"/>
      <c r="B1113" s="19"/>
      <c r="C1113" s="198"/>
      <c r="D1113" s="19"/>
      <c r="E1113" s="19"/>
      <c r="F1113" s="19"/>
      <c r="H1113" s="200"/>
      <c r="I1113" s="19"/>
    </row>
    <row r="1114" spans="1:9" ht="15.9" customHeight="1" x14ac:dyDescent="0.3">
      <c r="A1114" s="5"/>
      <c r="B1114" s="19"/>
      <c r="C1114" s="198"/>
      <c r="D1114" s="19"/>
      <c r="E1114" s="19"/>
      <c r="F1114" s="19"/>
      <c r="H1114" s="200"/>
      <c r="I1114" s="19"/>
    </row>
    <row r="1115" spans="1:9" ht="15.9" customHeight="1" x14ac:dyDescent="0.3">
      <c r="A1115" s="5"/>
      <c r="B1115" s="19"/>
      <c r="C1115" s="198"/>
      <c r="D1115" s="19"/>
      <c r="E1115" s="19"/>
      <c r="F1115" s="19"/>
      <c r="H1115" s="200"/>
      <c r="I1115" s="19"/>
    </row>
    <row r="1116" spans="1:9" ht="15.9" customHeight="1" x14ac:dyDescent="0.3">
      <c r="A1116" s="5"/>
      <c r="B1116" s="19"/>
      <c r="C1116" s="198"/>
      <c r="D1116" s="19"/>
      <c r="E1116" s="19"/>
      <c r="F1116" s="19"/>
      <c r="H1116" s="200"/>
      <c r="I1116" s="19"/>
    </row>
    <row r="1117" spans="1:9" ht="15.9" customHeight="1" x14ac:dyDescent="0.3">
      <c r="A1117" s="5"/>
      <c r="B1117" s="19"/>
      <c r="C1117" s="198"/>
      <c r="D1117" s="19"/>
      <c r="E1117" s="19"/>
      <c r="F1117" s="19"/>
      <c r="H1117" s="200"/>
      <c r="I1117" s="19"/>
    </row>
    <row r="1118" spans="1:9" ht="15.9" customHeight="1" x14ac:dyDescent="0.3">
      <c r="A1118" s="5"/>
      <c r="B1118" s="19"/>
      <c r="C1118" s="198"/>
      <c r="D1118" s="19"/>
      <c r="E1118" s="19"/>
      <c r="F1118" s="19"/>
      <c r="H1118" s="200"/>
      <c r="I1118" s="19"/>
    </row>
    <row r="1119" spans="1:9" ht="15.9" customHeight="1" x14ac:dyDescent="0.3">
      <c r="A1119" s="5"/>
      <c r="B1119" s="19"/>
      <c r="C1119" s="198"/>
      <c r="D1119" s="19"/>
      <c r="E1119" s="19"/>
      <c r="F1119" s="19"/>
      <c r="H1119" s="200"/>
      <c r="I1119" s="19"/>
    </row>
    <row r="1120" spans="1:9" ht="15.9" customHeight="1" x14ac:dyDescent="0.3">
      <c r="A1120" s="5"/>
      <c r="B1120" s="19"/>
      <c r="C1120" s="198"/>
      <c r="D1120" s="19"/>
      <c r="E1120" s="19"/>
      <c r="F1120" s="19"/>
      <c r="H1120" s="200"/>
      <c r="I1120" s="19"/>
    </row>
    <row r="1121" spans="1:9" ht="15.9" customHeight="1" x14ac:dyDescent="0.3">
      <c r="A1121" s="5"/>
      <c r="B1121" s="5"/>
      <c r="E1121" s="19"/>
      <c r="I1121" s="185"/>
    </row>
    <row r="1122" spans="1:9" ht="15.9" customHeight="1" x14ac:dyDescent="0.3">
      <c r="A1122" s="5"/>
      <c r="B1122" s="5"/>
      <c r="E1122" s="19"/>
      <c r="I1122" s="185"/>
    </row>
    <row r="1123" spans="1:9" ht="15.9" customHeight="1" x14ac:dyDescent="0.3">
      <c r="A1123" s="5"/>
      <c r="B1123" s="5"/>
      <c r="E1123" s="19"/>
      <c r="I1123" s="185"/>
    </row>
    <row r="1124" spans="1:9" ht="15.9" customHeight="1" x14ac:dyDescent="0.3">
      <c r="A1124" s="5"/>
      <c r="B1124" s="5"/>
      <c r="E1124" s="19"/>
      <c r="I1124" s="185"/>
    </row>
    <row r="1125" spans="1:9" ht="15.9" customHeight="1" x14ac:dyDescent="0.3">
      <c r="A1125" s="5"/>
      <c r="B1125" s="5"/>
      <c r="E1125" s="19"/>
      <c r="I1125" s="185"/>
    </row>
    <row r="1126" spans="1:9" ht="15.9" customHeight="1" x14ac:dyDescent="0.3">
      <c r="A1126" s="5"/>
      <c r="B1126" s="5"/>
      <c r="E1126" s="19"/>
      <c r="I1126" s="185"/>
    </row>
    <row r="1127" spans="1:9" ht="15.9" customHeight="1" x14ac:dyDescent="0.3">
      <c r="A1127" s="19"/>
      <c r="B1127" s="19"/>
      <c r="C1127" s="198"/>
      <c r="D1127" s="19"/>
      <c r="E1127" s="19"/>
      <c r="F1127" s="1139"/>
      <c r="H1127" s="200"/>
    </row>
    <row r="1128" spans="1:9" ht="15.9" customHeight="1" x14ac:dyDescent="0.3">
      <c r="A1128" s="19"/>
      <c r="B1128" s="19"/>
      <c r="C1128" s="198"/>
      <c r="D1128" s="19"/>
      <c r="E1128" s="19"/>
      <c r="F1128" s="1139"/>
      <c r="H1128" s="200"/>
    </row>
    <row r="1129" spans="1:9" ht="15.9" customHeight="1" x14ac:dyDescent="0.3">
      <c r="A1129" s="19"/>
      <c r="B1129" s="19"/>
      <c r="C1129" s="198"/>
      <c r="D1129" s="19"/>
      <c r="E1129" s="19"/>
      <c r="F1129" s="1139"/>
      <c r="H1129" s="200"/>
    </row>
    <row r="1130" spans="1:9" ht="15.9" customHeight="1" x14ac:dyDescent="0.3">
      <c r="A1130" s="19"/>
      <c r="B1130" s="19"/>
      <c r="C1130" s="198"/>
      <c r="D1130" s="19"/>
      <c r="E1130" s="19"/>
      <c r="F1130" s="1139"/>
      <c r="H1130" s="200"/>
      <c r="I1130" s="19"/>
    </row>
    <row r="1131" spans="1:9" ht="15.9" customHeight="1" x14ac:dyDescent="0.3">
      <c r="A1131" s="19"/>
      <c r="B1131" s="19"/>
      <c r="C1131" s="198"/>
      <c r="D1131" s="19"/>
      <c r="E1131" s="19"/>
      <c r="F1131" s="1139"/>
      <c r="H1131" s="200"/>
    </row>
    <row r="1132" spans="1:9" ht="15.9" customHeight="1" x14ac:dyDescent="0.3">
      <c r="A1132" s="19"/>
      <c r="B1132" s="19"/>
      <c r="C1132" s="198"/>
      <c r="D1132" s="19"/>
      <c r="E1132" s="19"/>
      <c r="F1132" s="1139"/>
      <c r="H1132" s="200"/>
    </row>
    <row r="1133" spans="1:9" ht="15.9" customHeight="1" x14ac:dyDescent="0.3">
      <c r="A1133" s="19"/>
      <c r="B1133" s="19"/>
      <c r="C1133" s="198"/>
      <c r="D1133" s="19"/>
      <c r="E1133" s="19"/>
      <c r="F1133" s="1139"/>
      <c r="H1133" s="200"/>
    </row>
    <row r="1134" spans="1:9" ht="15.9" customHeight="1" x14ac:dyDescent="0.3">
      <c r="A1134" s="19"/>
      <c r="B1134" s="19"/>
      <c r="C1134" s="198"/>
      <c r="D1134" s="19"/>
      <c r="E1134" s="19"/>
      <c r="F1134" s="1139"/>
      <c r="H1134" s="200"/>
    </row>
    <row r="1135" spans="1:9" ht="15.9" customHeight="1" x14ac:dyDescent="0.3">
      <c r="A1135" s="19"/>
      <c r="B1135" s="19"/>
      <c r="C1135" s="198"/>
      <c r="D1135" s="19"/>
      <c r="E1135" s="19"/>
      <c r="F1135" s="1139"/>
      <c r="H1135" s="200"/>
    </row>
    <row r="1136" spans="1:9" ht="15.9" customHeight="1" x14ac:dyDescent="0.3">
      <c r="A1136" s="19"/>
      <c r="B1136" s="19"/>
      <c r="C1136" s="198"/>
      <c r="D1136" s="19"/>
      <c r="E1136" s="19"/>
      <c r="F1136" s="1139"/>
      <c r="H1136" s="200"/>
    </row>
    <row r="1137" spans="1:9" ht="15.9" customHeight="1" x14ac:dyDescent="0.3">
      <c r="A1137" s="19"/>
      <c r="B1137" s="19"/>
      <c r="C1137" s="198"/>
      <c r="D1137" s="19"/>
      <c r="E1137" s="19"/>
      <c r="F1137" s="1139"/>
      <c r="H1137" s="200"/>
    </row>
    <row r="1138" spans="1:9" ht="15.9" customHeight="1" x14ac:dyDescent="0.3">
      <c r="A1138" s="19"/>
      <c r="B1138" s="19"/>
      <c r="C1138" s="198"/>
      <c r="D1138" s="19"/>
      <c r="E1138" s="19"/>
      <c r="F1138" s="1139"/>
      <c r="H1138" s="200"/>
    </row>
    <row r="1139" spans="1:9" ht="15.9" customHeight="1" x14ac:dyDescent="0.3">
      <c r="A1139" s="19"/>
      <c r="B1139" s="19"/>
      <c r="C1139" s="198"/>
      <c r="D1139" s="19"/>
      <c r="E1139" s="19"/>
      <c r="F1139" s="1139"/>
      <c r="H1139" s="200"/>
      <c r="I1139" s="19"/>
    </row>
    <row r="1140" spans="1:9" ht="15.9" customHeight="1" x14ac:dyDescent="0.3">
      <c r="A1140" s="19"/>
      <c r="B1140" s="19"/>
      <c r="C1140" s="198"/>
      <c r="D1140" s="19"/>
      <c r="E1140" s="19"/>
      <c r="F1140" s="1139"/>
      <c r="H1140" s="200"/>
    </row>
    <row r="1141" spans="1:9" ht="15.9" customHeight="1" x14ac:dyDescent="0.3">
      <c r="A1141" s="19"/>
      <c r="B1141" s="19"/>
      <c r="C1141" s="198"/>
      <c r="D1141" s="19"/>
      <c r="E1141" s="19"/>
      <c r="F1141" s="1139"/>
      <c r="H1141" s="200"/>
    </row>
    <row r="1142" spans="1:9" ht="15.9" customHeight="1" x14ac:dyDescent="0.3">
      <c r="A1142" s="19"/>
      <c r="B1142" s="19"/>
      <c r="C1142" s="198"/>
      <c r="D1142" s="19"/>
      <c r="E1142" s="19"/>
      <c r="F1142" s="1139"/>
      <c r="H1142" s="200"/>
    </row>
    <row r="1143" spans="1:9" ht="15.9" customHeight="1" x14ac:dyDescent="0.3">
      <c r="A1143" s="19"/>
      <c r="B1143" s="19"/>
      <c r="C1143" s="198"/>
      <c r="D1143" s="19"/>
      <c r="E1143" s="19"/>
      <c r="F1143" s="1139"/>
      <c r="H1143" s="200"/>
    </row>
    <row r="1144" spans="1:9" ht="15.9" customHeight="1" x14ac:dyDescent="0.3">
      <c r="A1144" s="19"/>
      <c r="B1144" s="19"/>
      <c r="C1144" s="198"/>
      <c r="D1144" s="19"/>
      <c r="E1144" s="19"/>
      <c r="F1144" s="1139"/>
      <c r="H1144" s="200"/>
    </row>
    <row r="1145" spans="1:9" ht="15.9" customHeight="1" x14ac:dyDescent="0.3">
      <c r="A1145" s="19"/>
      <c r="B1145" s="19"/>
      <c r="C1145" s="198"/>
      <c r="D1145" s="19"/>
      <c r="E1145" s="19"/>
      <c r="F1145" s="1139"/>
      <c r="H1145" s="200"/>
    </row>
    <row r="1146" spans="1:9" ht="15.9" customHeight="1" x14ac:dyDescent="0.3">
      <c r="A1146" s="19"/>
      <c r="B1146" s="19"/>
      <c r="C1146" s="198"/>
      <c r="D1146" s="19"/>
      <c r="E1146" s="19"/>
      <c r="F1146" s="1139"/>
      <c r="H1146" s="200"/>
    </row>
    <row r="1147" spans="1:9" ht="15.9" customHeight="1" x14ac:dyDescent="0.3">
      <c r="A1147" s="19"/>
      <c r="B1147" s="19"/>
      <c r="C1147" s="198"/>
      <c r="D1147" s="19"/>
      <c r="E1147" s="19"/>
      <c r="F1147" s="1139"/>
      <c r="H1147" s="200"/>
    </row>
    <row r="1148" spans="1:9" ht="15.9" customHeight="1" x14ac:dyDescent="0.3">
      <c r="A1148" s="19"/>
      <c r="B1148" s="19"/>
      <c r="C1148" s="198"/>
      <c r="D1148" s="19"/>
      <c r="E1148" s="19"/>
      <c r="F1148" s="1139"/>
      <c r="H1148" s="200"/>
    </row>
    <row r="1149" spans="1:9" ht="15.9" customHeight="1" x14ac:dyDescent="0.3">
      <c r="A1149" s="19"/>
      <c r="B1149" s="19"/>
      <c r="C1149" s="198"/>
      <c r="D1149" s="19"/>
      <c r="E1149" s="19"/>
      <c r="F1149" s="1139"/>
      <c r="H1149" s="200"/>
    </row>
    <row r="1150" spans="1:9" ht="15.9" customHeight="1" x14ac:dyDescent="0.3">
      <c r="A1150" s="19"/>
      <c r="B1150" s="19"/>
      <c r="C1150" s="198"/>
      <c r="D1150" s="19"/>
      <c r="E1150" s="19"/>
      <c r="F1150" s="1139"/>
      <c r="H1150" s="200"/>
    </row>
    <row r="1151" spans="1:9" ht="15.9" customHeight="1" x14ac:dyDescent="0.3">
      <c r="A1151" s="19"/>
      <c r="B1151" s="19"/>
      <c r="C1151" s="198"/>
      <c r="D1151" s="19"/>
      <c r="E1151" s="19"/>
      <c r="F1151" s="1139"/>
      <c r="H1151" s="200"/>
    </row>
    <row r="1152" spans="1:9" ht="15.9" customHeight="1" x14ac:dyDescent="0.3">
      <c r="A1152" s="19"/>
      <c r="B1152" s="19"/>
      <c r="C1152" s="198"/>
      <c r="D1152" s="19"/>
      <c r="E1152" s="19"/>
      <c r="F1152" s="1139"/>
      <c r="H1152" s="200"/>
    </row>
    <row r="1153" spans="1:9" ht="15.9" customHeight="1" x14ac:dyDescent="0.3">
      <c r="A1153" s="19"/>
      <c r="B1153" s="19"/>
      <c r="C1153" s="198"/>
      <c r="D1153" s="19"/>
      <c r="E1153" s="19"/>
      <c r="F1153" s="1139"/>
      <c r="H1153" s="200"/>
    </row>
    <row r="1154" spans="1:9" ht="15.9" customHeight="1" x14ac:dyDescent="0.3">
      <c r="A1154" s="19"/>
      <c r="B1154" s="19"/>
      <c r="C1154" s="198"/>
      <c r="D1154" s="19"/>
      <c r="E1154" s="19"/>
      <c r="F1154" s="1139"/>
      <c r="H1154" s="200"/>
    </row>
    <row r="1155" spans="1:9" ht="15.9" customHeight="1" x14ac:dyDescent="0.3">
      <c r="A1155" s="19"/>
      <c r="B1155" s="19"/>
      <c r="C1155" s="198"/>
      <c r="D1155" s="19"/>
      <c r="E1155" s="19"/>
      <c r="F1155" s="1139"/>
      <c r="H1155" s="200"/>
    </row>
    <row r="1156" spans="1:9" ht="15.9" customHeight="1" x14ac:dyDescent="0.3">
      <c r="A1156" s="19"/>
      <c r="B1156" s="19"/>
      <c r="C1156" s="198"/>
      <c r="D1156" s="19"/>
      <c r="E1156" s="19"/>
      <c r="F1156" s="1139"/>
      <c r="H1156" s="200"/>
    </row>
    <row r="1157" spans="1:9" ht="15.9" customHeight="1" x14ac:dyDescent="0.3">
      <c r="A1157" s="19"/>
      <c r="B1157" s="19"/>
      <c r="C1157" s="198"/>
      <c r="D1157" s="19"/>
      <c r="E1157" s="19"/>
      <c r="F1157" s="1139"/>
      <c r="H1157" s="200"/>
    </row>
    <row r="1158" spans="1:9" ht="15.9" customHeight="1" x14ac:dyDescent="0.3">
      <c r="A1158" s="19"/>
      <c r="B1158" s="19"/>
      <c r="C1158" s="198"/>
      <c r="D1158" s="19"/>
      <c r="E1158" s="19"/>
      <c r="F1158" s="1139"/>
      <c r="H1158" s="200"/>
    </row>
    <row r="1159" spans="1:9" ht="15.9" customHeight="1" x14ac:dyDescent="0.3">
      <c r="A1159" s="19"/>
      <c r="B1159" s="19"/>
      <c r="C1159" s="198"/>
      <c r="D1159" s="19"/>
      <c r="E1159" s="19"/>
      <c r="F1159" s="1139"/>
      <c r="H1159" s="200"/>
    </row>
    <row r="1160" spans="1:9" ht="15.9" customHeight="1" x14ac:dyDescent="0.3">
      <c r="A1160" s="19"/>
      <c r="B1160" s="19"/>
      <c r="C1160" s="198"/>
      <c r="D1160" s="19"/>
      <c r="E1160" s="19"/>
      <c r="F1160" s="1139"/>
      <c r="H1160" s="200"/>
    </row>
    <row r="1161" spans="1:9" ht="15.9" customHeight="1" x14ac:dyDescent="0.3">
      <c r="A1161" s="19"/>
      <c r="B1161" s="19"/>
      <c r="C1161" s="198"/>
      <c r="D1161" s="19"/>
      <c r="E1161" s="19"/>
      <c r="F1161" s="1139"/>
      <c r="H1161" s="200"/>
    </row>
    <row r="1162" spans="1:9" ht="15.9" customHeight="1" x14ac:dyDescent="0.3">
      <c r="A1162" s="19"/>
      <c r="B1162" s="19"/>
      <c r="C1162" s="198"/>
      <c r="D1162" s="19"/>
      <c r="E1162" s="19"/>
      <c r="F1162" s="19"/>
      <c r="H1162" s="200"/>
    </row>
    <row r="1163" spans="1:9" ht="15.9" customHeight="1" x14ac:dyDescent="0.3">
      <c r="A1163" s="19"/>
      <c r="B1163" s="19"/>
      <c r="C1163" s="198"/>
      <c r="D1163" s="19"/>
      <c r="E1163" s="19"/>
      <c r="F1163" s="19"/>
      <c r="H1163" s="200"/>
    </row>
    <row r="1164" spans="1:9" ht="15.9" customHeight="1" x14ac:dyDescent="0.3">
      <c r="A1164" s="19"/>
      <c r="B1164" s="19"/>
      <c r="C1164" s="198"/>
      <c r="D1164" s="19"/>
      <c r="E1164" s="19"/>
      <c r="F1164" s="19"/>
      <c r="H1164" s="200"/>
      <c r="I1164" s="158"/>
    </row>
    <row r="1165" spans="1:9" ht="15.9" customHeight="1" x14ac:dyDescent="0.3">
      <c r="A1165" s="19"/>
      <c r="B1165" s="19"/>
      <c r="C1165" s="198"/>
      <c r="D1165" s="19"/>
      <c r="E1165" s="19"/>
      <c r="F1165" s="19"/>
      <c r="H1165" s="200"/>
      <c r="I1165" s="158"/>
    </row>
    <row r="1166" spans="1:9" ht="15.9" customHeight="1" x14ac:dyDescent="0.3">
      <c r="A1166" s="19"/>
      <c r="B1166" s="19"/>
      <c r="C1166" s="198"/>
      <c r="D1166" s="19"/>
      <c r="E1166" s="19"/>
      <c r="F1166" s="19"/>
      <c r="H1166" s="200"/>
      <c r="I1166" s="157"/>
    </row>
    <row r="1170" spans="3:9" ht="15.9" customHeight="1" x14ac:dyDescent="0.3">
      <c r="F1170" s="1139"/>
    </row>
    <row r="1172" spans="3:9" ht="15.9" customHeight="1" x14ac:dyDescent="0.3">
      <c r="E1172" s="19"/>
    </row>
    <row r="1173" spans="3:9" ht="15.9" customHeight="1" x14ac:dyDescent="0.3">
      <c r="C1173" s="198"/>
      <c r="D1173" s="19"/>
      <c r="E1173" s="19"/>
      <c r="F1173" s="241"/>
    </row>
    <row r="1180" spans="3:9" ht="15.9" customHeight="1" x14ac:dyDescent="0.3">
      <c r="I1180" s="184"/>
    </row>
    <row r="1181" spans="3:9" ht="15.9" customHeight="1" x14ac:dyDescent="0.3">
      <c r="I1181" s="184"/>
    </row>
    <row r="1182" spans="3:9" ht="15.9" customHeight="1" x14ac:dyDescent="0.3">
      <c r="I1182" s="184"/>
    </row>
    <row r="1183" spans="3:9" ht="15.9" customHeight="1" x14ac:dyDescent="0.3">
      <c r="F1183" s="1139"/>
      <c r="I1183" s="184"/>
    </row>
    <row r="1184" spans="3:9" ht="15.9" customHeight="1" x14ac:dyDescent="0.3">
      <c r="I1184" s="184"/>
    </row>
    <row r="1185" spans="9:9" ht="15.9" customHeight="1" x14ac:dyDescent="0.3">
      <c r="I1185" s="184"/>
    </row>
    <row r="1186" spans="9:9" ht="15.9" customHeight="1" x14ac:dyDescent="0.3">
      <c r="I1186" s="184"/>
    </row>
  </sheetData>
  <phoneticPr fontId="23" type="noConversion"/>
  <hyperlinks>
    <hyperlink ref="U5" r:id="rId1" location=":~:text=Ukraine%20and%20the%20Slovak%20Republic,on%20Twitter%20on%20June%202." xr:uid="{00000000-0004-0000-2800-000000000000}"/>
    <hyperlink ref="U6" r:id="rId2" xr:uid="{00000000-0004-0000-2800-000001000000}"/>
    <hyperlink ref="U7" r:id="rId3" xr:uid="{00000000-0004-0000-2800-000002000000}"/>
    <hyperlink ref="U2" r:id="rId4" xr:uid="{00000000-0004-0000-2800-000003000000}"/>
    <hyperlink ref="V2" r:id="rId5" xr:uid="{00000000-0004-0000-2800-000004000000}"/>
    <hyperlink ref="U3" r:id="rId6" xr:uid="{00000000-0004-0000-2800-000005000000}"/>
    <hyperlink ref="U4" r:id="rId7" xr:uid="{00000000-0004-0000-2800-000006000000}"/>
  </hyperlinks>
  <pageMargins left="0.7" right="0.7" top="0.75" bottom="0.75" header="0.3" footer="0.3"/>
  <pageSetup paperSize="8" fitToWidth="0" fitToHeight="0" orientation="portrait" horizontalDpi="429496729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5" tint="0.59999389629810485"/>
  </sheetPr>
  <dimension ref="A1:R1974"/>
  <sheetViews>
    <sheetView zoomScaleNormal="100" workbookViewId="0"/>
  </sheetViews>
  <sheetFormatPr baseColWidth="10" defaultColWidth="11" defaultRowHeight="15" customHeight="1" x14ac:dyDescent="0.3"/>
  <cols>
    <col min="1" max="1" width="8.59765625" style="32" customWidth="1"/>
    <col min="2" max="2" width="60" style="450" customWidth="1"/>
    <col min="3" max="3" width="34.59765625" style="451" bestFit="1" customWidth="1"/>
    <col min="4" max="4" width="55.5" style="452" bestFit="1" customWidth="1"/>
    <col min="5" max="6" width="14.5" style="453" customWidth="1"/>
    <col min="7" max="7" width="25" style="633" customWidth="1"/>
    <col min="8" max="8" width="30" style="527" customWidth="1"/>
    <col min="9" max="9" width="32.5" style="536" customWidth="1"/>
    <col min="10" max="10" width="32.5" style="454" customWidth="1"/>
    <col min="11" max="11" width="29.5" style="455" customWidth="1"/>
    <col min="12" max="12" width="57.5" style="456" customWidth="1"/>
    <col min="13" max="14" width="11" style="32"/>
    <col min="15" max="15" width="20" style="32" customWidth="1"/>
    <col min="16" max="16384" width="11" style="32"/>
  </cols>
  <sheetData>
    <row r="1" spans="1:18" ht="15" customHeight="1" x14ac:dyDescent="0.3">
      <c r="G1" s="627"/>
      <c r="H1" s="456"/>
      <c r="I1" s="596"/>
      <c r="J1" s="456"/>
      <c r="K1" s="456"/>
    </row>
    <row r="2" spans="1:18" ht="24.75" customHeight="1" x14ac:dyDescent="0.35">
      <c r="B2" s="415" t="s">
        <v>3924</v>
      </c>
      <c r="G2" s="627"/>
      <c r="H2" s="456"/>
      <c r="I2" s="596"/>
      <c r="J2" s="456"/>
      <c r="K2" s="456"/>
    </row>
    <row r="3" spans="1:18" ht="15" customHeight="1" x14ac:dyDescent="0.3">
      <c r="G3" s="627"/>
      <c r="H3" s="456"/>
      <c r="I3" s="596"/>
      <c r="J3" s="456"/>
      <c r="K3" s="456"/>
    </row>
    <row r="4" spans="1:18" ht="15" customHeight="1" x14ac:dyDescent="0.3">
      <c r="B4" s="1213" t="s">
        <v>3925</v>
      </c>
      <c r="C4" s="1213"/>
      <c r="D4" s="1213"/>
      <c r="G4" s="627"/>
      <c r="H4" s="456"/>
      <c r="I4" s="596"/>
      <c r="J4" s="456"/>
      <c r="K4" s="456"/>
    </row>
    <row r="5" spans="1:18" ht="15" customHeight="1" x14ac:dyDescent="0.3">
      <c r="B5" s="1213"/>
      <c r="C5" s="1213"/>
      <c r="D5" s="1213"/>
      <c r="G5" s="627"/>
      <c r="H5" s="456"/>
      <c r="I5" s="596"/>
      <c r="J5" s="456"/>
      <c r="K5" s="456"/>
    </row>
    <row r="6" spans="1:18" ht="15" customHeight="1" x14ac:dyDescent="0.3">
      <c r="B6" s="1213"/>
      <c r="C6" s="1213"/>
      <c r="D6" s="1213"/>
      <c r="G6" s="627"/>
      <c r="H6" s="456"/>
      <c r="I6" s="596"/>
      <c r="J6" s="456"/>
      <c r="K6" s="456"/>
    </row>
    <row r="7" spans="1:18" ht="15" customHeight="1" x14ac:dyDescent="0.3">
      <c r="B7" s="1213"/>
      <c r="C7" s="1213"/>
      <c r="D7" s="1213"/>
      <c r="G7" s="627"/>
      <c r="H7" s="456"/>
      <c r="I7" s="596"/>
      <c r="J7" s="456"/>
      <c r="K7" s="456"/>
    </row>
    <row r="8" spans="1:18" ht="15" customHeight="1" x14ac:dyDescent="0.3">
      <c r="B8" s="1213"/>
      <c r="C8" s="1213"/>
      <c r="D8" s="1213"/>
      <c r="G8" s="627"/>
      <c r="H8" s="456"/>
      <c r="I8" s="596"/>
      <c r="J8" s="456"/>
      <c r="K8" s="456"/>
    </row>
    <row r="9" spans="1:18" ht="15" customHeight="1" x14ac:dyDescent="0.3">
      <c r="B9" s="1213"/>
      <c r="C9" s="1213"/>
      <c r="D9" s="1213"/>
      <c r="G9" s="627"/>
      <c r="H9" s="456"/>
      <c r="I9" s="596"/>
      <c r="J9" s="456"/>
      <c r="K9" s="456"/>
    </row>
    <row r="10" spans="1:18" ht="15" customHeight="1" x14ac:dyDescent="0.3">
      <c r="G10" s="627"/>
      <c r="H10" s="456"/>
      <c r="I10" s="596"/>
      <c r="J10" s="456"/>
      <c r="K10" s="456"/>
    </row>
    <row r="11" spans="1:18" s="489" customFormat="1" ht="24.75" customHeight="1" x14ac:dyDescent="0.3">
      <c r="A11" s="32"/>
      <c r="B11" s="802" t="s">
        <v>3593</v>
      </c>
      <c r="C11" s="803" t="s">
        <v>3926</v>
      </c>
      <c r="D11" s="803" t="s">
        <v>3927</v>
      </c>
      <c r="E11" s="804" t="s">
        <v>215</v>
      </c>
      <c r="F11" s="804" t="s">
        <v>239</v>
      </c>
      <c r="G11" s="805" t="s">
        <v>218</v>
      </c>
      <c r="H11" s="806" t="s">
        <v>3928</v>
      </c>
      <c r="I11" s="807" t="s">
        <v>3598</v>
      </c>
      <c r="J11" s="807" t="s">
        <v>3929</v>
      </c>
      <c r="K11" s="807" t="s">
        <v>3930</v>
      </c>
      <c r="L11" s="808" t="s">
        <v>3931</v>
      </c>
      <c r="M11" s="804" t="s">
        <v>3932</v>
      </c>
      <c r="N11" s="804" t="s">
        <v>3933</v>
      </c>
      <c r="O11" s="804" t="s">
        <v>3934</v>
      </c>
      <c r="P11" s="804" t="s">
        <v>3935</v>
      </c>
      <c r="Q11" s="804" t="s">
        <v>3936</v>
      </c>
      <c r="R11" s="804" t="s">
        <v>3937</v>
      </c>
    </row>
    <row r="12" spans="1:18" ht="15" customHeight="1" x14ac:dyDescent="0.3">
      <c r="B12" s="175" t="s">
        <v>260</v>
      </c>
      <c r="C12" s="113" t="s">
        <v>260</v>
      </c>
      <c r="D12" s="246" t="s">
        <v>260</v>
      </c>
      <c r="E12" s="199">
        <v>0</v>
      </c>
      <c r="F12" s="199">
        <f t="shared" ref="F12:F75" si="0">IF(OR(D12="Armoured Personnel Carrier (APC)",D12="Armoured Recovery Vehicle (ARV)",D12="Armoured Utility Vehicle (AUV)",D12="152mm howitzer ammunition",D12="155mm howitzer ammunition",D12="300mm MLRS ammunition",D12="155mm howitzer",D12="227mm MLRS ammunition",D12="Infantry fighting vehicle (IFV)",D12="152mm howitzer",D12="227mm MLRS",D12="Main Battle Tank (MBT)",D12="Protected Patrol Vehicle (PPV)",D12="127mm MLRS",D12="122mm MLRS",D12="122mm MLRS ammunition",D12="122mm MLRS",D12="127mm MLRS",D12="127mm MLRS ammunition")=TRUE,1,0)</f>
        <v>0</v>
      </c>
      <c r="G12" s="628" t="s">
        <v>260</v>
      </c>
      <c r="H12" s="719" t="s">
        <v>260</v>
      </c>
      <c r="I12" s="238" t="s">
        <v>260</v>
      </c>
      <c r="J12" s="238" t="str">
        <f t="shared" ref="J12:J25" si="1">IF(I12&lt;&gt;".",".",".")</f>
        <v>.</v>
      </c>
      <c r="K12" s="238" t="s">
        <v>260</v>
      </c>
      <c r="L12" s="247" t="str">
        <f t="shared" ref="L12:L75" si="2">IF(C12="Humanitarian",0,IF(M12&gt;0,IF(TYPE(O12)=1,IF(O12&gt;MEDIAN(O:O),2,1),0),"no price, 0 count"))</f>
        <v>no price, 0 count</v>
      </c>
      <c r="M12" s="121">
        <f>SUMIFS('Bilateral Assistance, MAIN DATA'!M:M,'Bilateral Assistance, MAIN DATA'!I:I,'Price List, Weapons &amp; Items'!B12)</f>
        <v>0</v>
      </c>
      <c r="N12" s="19">
        <f>COUNTIFS('Bilateral Assistance, MAIN DATA'!M:M,"undisclosed",'Bilateral Assistance, MAIN DATA'!I:I,'Price List, Weapons &amp; Items'!B12)</f>
        <v>0</v>
      </c>
      <c r="O12" s="723" t="str">
        <f>IFERROR(M12*G12,"no price")</f>
        <v>no price</v>
      </c>
      <c r="P12" s="19">
        <f>IFERROR(IF(SEARCH(B12,_xlfn.ARRAYTOTEXT('Bilateral Assistance, MAIN DATA'!I$1:I$1622))&gt;0,1,""),0)</f>
        <v>1</v>
      </c>
      <c r="Q12" s="19">
        <f>IFERROR(IF(SEARCH(B12,_xlfn.ARRAYTOTEXT('Commercial Assistance'!I$1:I$1400))&gt;0,1,""),0)</f>
        <v>0</v>
      </c>
      <c r="R12" s="247" t="str">
        <f>IF(SUMIFS('Bilateral Assistance, MAIN DATA'!N:N,'Bilateral Assistance, MAIN DATA'!I:I,'Price List, Weapons &amp; Items'!B12)&gt;M12,1,".")</f>
        <v>.</v>
      </c>
    </row>
    <row r="13" spans="1:18" ht="15" customHeight="1" x14ac:dyDescent="0.3">
      <c r="B13" s="175" t="s">
        <v>3938</v>
      </c>
      <c r="C13" s="113" t="s">
        <v>812</v>
      </c>
      <c r="D13" s="113" t="s">
        <v>3939</v>
      </c>
      <c r="E13" s="199">
        <v>0</v>
      </c>
      <c r="F13" s="199">
        <f t="shared" si="0"/>
        <v>0</v>
      </c>
      <c r="G13" s="629" t="s">
        <v>260</v>
      </c>
      <c r="H13" s="720" t="str">
        <f t="shared" ref="H13:H25" si="3">IF(G13&lt;&gt;".","USD",".")</f>
        <v>.</v>
      </c>
      <c r="I13" s="816" t="s">
        <v>260</v>
      </c>
      <c r="J13" s="155" t="str">
        <f t="shared" si="1"/>
        <v>.</v>
      </c>
      <c r="K13" s="155" t="s">
        <v>3940</v>
      </c>
      <c r="L13" s="247" t="str">
        <f t="shared" si="2"/>
        <v>no price, 0 count</v>
      </c>
      <c r="M13" s="121">
        <f>SUMIFS('Bilateral Assistance, MAIN DATA'!M:M,'Bilateral Assistance, MAIN DATA'!I:I,'Price List, Weapons &amp; Items'!B13)</f>
        <v>0</v>
      </c>
      <c r="N13" s="19">
        <f>COUNTIFS('Bilateral Assistance, MAIN DATA'!M:M,"undisclosed",'Bilateral Assistance, MAIN DATA'!I:I,'Price List, Weapons &amp; Items'!B13)</f>
        <v>0</v>
      </c>
      <c r="O13" s="723" t="str">
        <f t="shared" ref="O13:O75" si="4">IFERROR(M13*G13,"no price")</f>
        <v>no price</v>
      </c>
      <c r="P13" s="19">
        <f>IFERROR(IF(SEARCH(B13,_xlfn.ARRAYTOTEXT('Bilateral Assistance, MAIN DATA'!I$1:I$1622))&gt;0,1,""),0)</f>
        <v>1</v>
      </c>
      <c r="Q13" s="19">
        <f>IFERROR(IF(SEARCH(B13,_xlfn.ARRAYTOTEXT('Commercial Assistance'!I$1:I$1400))&gt;0,1,""),0)</f>
        <v>0</v>
      </c>
      <c r="R13" s="247" t="str">
        <f>IF(SUMIFS('Bilateral Assistance, MAIN DATA'!N:N,'Bilateral Assistance, MAIN DATA'!I:I,'Price List, Weapons &amp; Items'!B13)&gt;M13,1,".")</f>
        <v>.</v>
      </c>
    </row>
    <row r="14" spans="1:18" ht="15" customHeight="1" x14ac:dyDescent="0.3">
      <c r="A14" s="19"/>
      <c r="B14" s="188" t="s">
        <v>3348</v>
      </c>
      <c r="C14" s="113" t="s">
        <v>812</v>
      </c>
      <c r="D14" s="113" t="s">
        <v>812</v>
      </c>
      <c r="E14" s="199">
        <v>0</v>
      </c>
      <c r="F14" s="199">
        <f t="shared" si="0"/>
        <v>0</v>
      </c>
      <c r="G14" s="629" t="s">
        <v>260</v>
      </c>
      <c r="H14" s="720" t="str">
        <f t="shared" si="3"/>
        <v>.</v>
      </c>
      <c r="I14" s="175" t="s">
        <v>260</v>
      </c>
      <c r="J14" s="155" t="str">
        <f t="shared" si="1"/>
        <v>.</v>
      </c>
      <c r="K14" s="155" t="s">
        <v>260</v>
      </c>
      <c r="L14" s="247" t="str">
        <f t="shared" si="2"/>
        <v>no price, 0 count</v>
      </c>
      <c r="M14" s="121">
        <f>SUMIFS('Bilateral Assistance, MAIN DATA'!M:M,'Bilateral Assistance, MAIN DATA'!I:I,'Price List, Weapons &amp; Items'!B14)</f>
        <v>0</v>
      </c>
      <c r="N14" s="19">
        <f>COUNTIFS('Bilateral Assistance, MAIN DATA'!M:M,"undisclosed",'Bilateral Assistance, MAIN DATA'!I:I,'Price List, Weapons &amp; Items'!B14)</f>
        <v>2</v>
      </c>
      <c r="O14" s="723" t="str">
        <f t="shared" si="4"/>
        <v>no price</v>
      </c>
      <c r="P14" s="19">
        <f>IFERROR(IF(SEARCH(B14,_xlfn.ARRAYTOTEXT('Bilateral Assistance, MAIN DATA'!I$1:I$1622))&gt;0,1,""),0)</f>
        <v>1</v>
      </c>
      <c r="Q14" s="19">
        <f>IFERROR(IF(SEARCH(B14,_xlfn.ARRAYTOTEXT('Commercial Assistance'!I$1:I$1400))&gt;0,1,""),0)</f>
        <v>0</v>
      </c>
      <c r="R14" s="247" t="str">
        <f>IF(SUMIFS('Bilateral Assistance, MAIN DATA'!N:N,'Bilateral Assistance, MAIN DATA'!I:I,'Price List, Weapons &amp; Items'!B14)&gt;M14,1,".")</f>
        <v>.</v>
      </c>
    </row>
    <row r="15" spans="1:18" ht="15" customHeight="1" x14ac:dyDescent="0.3">
      <c r="B15" s="175" t="s">
        <v>3137</v>
      </c>
      <c r="C15" s="113" t="s">
        <v>812</v>
      </c>
      <c r="D15" s="113" t="s">
        <v>812</v>
      </c>
      <c r="E15" s="199">
        <v>0</v>
      </c>
      <c r="F15" s="199">
        <f t="shared" si="0"/>
        <v>0</v>
      </c>
      <c r="G15" s="629" t="s">
        <v>260</v>
      </c>
      <c r="H15" s="720" t="str">
        <f t="shared" si="3"/>
        <v>.</v>
      </c>
      <c r="I15" s="249" t="s">
        <v>260</v>
      </c>
      <c r="J15" s="155" t="str">
        <f t="shared" si="1"/>
        <v>.</v>
      </c>
      <c r="K15" s="155" t="s">
        <v>260</v>
      </c>
      <c r="L15" s="247" t="str">
        <f t="shared" si="2"/>
        <v>no price, 0 count</v>
      </c>
      <c r="M15" s="121">
        <f>SUMIFS('Bilateral Assistance, MAIN DATA'!M:M,'Bilateral Assistance, MAIN DATA'!I:I,'Price List, Weapons &amp; Items'!B15)</f>
        <v>0</v>
      </c>
      <c r="N15" s="19">
        <f>COUNTIFS('Bilateral Assistance, MAIN DATA'!M:M,"undisclosed",'Bilateral Assistance, MAIN DATA'!I:I,'Price List, Weapons &amp; Items'!B15)</f>
        <v>0</v>
      </c>
      <c r="O15" s="723" t="str">
        <f t="shared" si="4"/>
        <v>no price</v>
      </c>
      <c r="P15" s="19">
        <f>IFERROR(IF(SEARCH(B15,_xlfn.ARRAYTOTEXT('Bilateral Assistance, MAIN DATA'!I$1:I$1622))&gt;0,1,""),0)</f>
        <v>1</v>
      </c>
      <c r="Q15" s="19">
        <f>IFERROR(IF(SEARCH(B15,_xlfn.ARRAYTOTEXT('Commercial Assistance'!I$1:I$1400))&gt;0,1,""),0)</f>
        <v>0</v>
      </c>
      <c r="R15" s="247" t="str">
        <f>IF(SUMIFS('Bilateral Assistance, MAIN DATA'!N:N,'Bilateral Assistance, MAIN DATA'!I:I,'Price List, Weapons &amp; Items'!B15)&gt;M15,1,".")</f>
        <v>.</v>
      </c>
    </row>
    <row r="16" spans="1:18" ht="15" customHeight="1" x14ac:dyDescent="0.3">
      <c r="B16" s="218" t="s">
        <v>3941</v>
      </c>
      <c r="C16" s="113" t="s">
        <v>3942</v>
      </c>
      <c r="D16" s="246" t="s">
        <v>3943</v>
      </c>
      <c r="E16" s="199">
        <v>0</v>
      </c>
      <c r="F16" s="199">
        <f t="shared" si="0"/>
        <v>1</v>
      </c>
      <c r="G16" s="629" t="s">
        <v>260</v>
      </c>
      <c r="H16" s="720" t="str">
        <f t="shared" si="3"/>
        <v>.</v>
      </c>
      <c r="I16" s="249" t="s">
        <v>260</v>
      </c>
      <c r="J16" s="155" t="str">
        <f t="shared" si="1"/>
        <v>.</v>
      </c>
      <c r="K16" s="155" t="s">
        <v>260</v>
      </c>
      <c r="L16" s="247" t="str">
        <f t="shared" si="2"/>
        <v>no price, 0 count</v>
      </c>
      <c r="M16" s="121">
        <f>SUMIFS('Bilateral Assistance, MAIN DATA'!M:M,'Bilateral Assistance, MAIN DATA'!I:I,'Price List, Weapons &amp; Items'!B16)</f>
        <v>0</v>
      </c>
      <c r="N16" s="19">
        <f>COUNTIFS('Bilateral Assistance, MAIN DATA'!M:M,"undisclosed",'Bilateral Assistance, MAIN DATA'!I:I,'Price List, Weapons &amp; Items'!B16)</f>
        <v>1</v>
      </c>
      <c r="O16" s="723" t="str">
        <f t="shared" si="4"/>
        <v>no price</v>
      </c>
      <c r="P16" s="19">
        <f>IFERROR(IF(SEARCH(B16,_xlfn.ARRAYTOTEXT('Bilateral Assistance, MAIN DATA'!I$1:I$1622))&gt;0,1,""),0)</f>
        <v>1</v>
      </c>
      <c r="Q16" s="19">
        <f>IFERROR(IF(SEARCH(B16,_xlfn.ARRAYTOTEXT('Commercial Assistance'!I$1:I$1400))&gt;0,1,""),0)</f>
        <v>0</v>
      </c>
      <c r="R16" s="247" t="str">
        <f>IF(SUMIFS('Bilateral Assistance, MAIN DATA'!N:N,'Bilateral Assistance, MAIN DATA'!I:I,'Price List, Weapons &amp; Items'!B16)&gt;M16,1,".")</f>
        <v>.</v>
      </c>
    </row>
    <row r="17" spans="2:18" ht="15" customHeight="1" x14ac:dyDescent="0.3">
      <c r="B17" s="175" t="s">
        <v>3944</v>
      </c>
      <c r="C17" s="113" t="s">
        <v>812</v>
      </c>
      <c r="D17" s="113" t="s">
        <v>812</v>
      </c>
      <c r="E17" s="199">
        <v>0</v>
      </c>
      <c r="F17" s="199">
        <f t="shared" si="0"/>
        <v>0</v>
      </c>
      <c r="G17" s="629" t="s">
        <v>260</v>
      </c>
      <c r="H17" s="720" t="str">
        <f t="shared" si="3"/>
        <v>.</v>
      </c>
      <c r="I17" s="249" t="s">
        <v>260</v>
      </c>
      <c r="J17" s="155" t="str">
        <f t="shared" si="1"/>
        <v>.</v>
      </c>
      <c r="K17" s="155" t="s">
        <v>260</v>
      </c>
      <c r="L17" s="247" t="str">
        <f t="shared" si="2"/>
        <v>no price, 0 count</v>
      </c>
      <c r="M17" s="121">
        <f>SUMIFS('Bilateral Assistance, MAIN DATA'!M:M,'Bilateral Assistance, MAIN DATA'!I:I,'Price List, Weapons &amp; Items'!B17)</f>
        <v>0</v>
      </c>
      <c r="N17" s="19">
        <f>COUNTIFS('Bilateral Assistance, MAIN DATA'!M:M,"undisclosed",'Bilateral Assistance, MAIN DATA'!I:I,'Price List, Weapons &amp; Items'!B17)</f>
        <v>1</v>
      </c>
      <c r="O17" s="723" t="str">
        <f t="shared" si="4"/>
        <v>no price</v>
      </c>
      <c r="P17" s="19">
        <f>IFERROR(IF(SEARCH(B17,_xlfn.ARRAYTOTEXT('Bilateral Assistance, MAIN DATA'!I$1:I$1622))&gt;0,1,""),0)</f>
        <v>1</v>
      </c>
      <c r="Q17" s="19">
        <f>IFERROR(IF(SEARCH(B17,_xlfn.ARRAYTOTEXT('Commercial Assistance'!I$1:I$1400))&gt;0,1,""),0)</f>
        <v>0</v>
      </c>
      <c r="R17" s="247" t="str">
        <f>IF(SUMIFS('Bilateral Assistance, MAIN DATA'!N:N,'Bilateral Assistance, MAIN DATA'!I:I,'Price List, Weapons &amp; Items'!B17)&gt;M17,1,".")</f>
        <v>.</v>
      </c>
    </row>
    <row r="18" spans="2:18" ht="15" customHeight="1" x14ac:dyDescent="0.3">
      <c r="B18" s="188" t="s">
        <v>1382</v>
      </c>
      <c r="C18" s="113" t="s">
        <v>3945</v>
      </c>
      <c r="D18" s="246" t="s">
        <v>3946</v>
      </c>
      <c r="E18" s="199">
        <v>0</v>
      </c>
      <c r="F18" s="199">
        <f t="shared" si="0"/>
        <v>0</v>
      </c>
      <c r="G18" s="629" t="s">
        <v>260</v>
      </c>
      <c r="H18" s="720" t="str">
        <f t="shared" si="3"/>
        <v>.</v>
      </c>
      <c r="I18" s="155" t="s">
        <v>260</v>
      </c>
      <c r="J18" s="155" t="str">
        <f t="shared" si="1"/>
        <v>.</v>
      </c>
      <c r="K18" s="155" t="s">
        <v>260</v>
      </c>
      <c r="L18" s="247">
        <f t="shared" si="2"/>
        <v>0</v>
      </c>
      <c r="M18" s="121">
        <f>SUMIFS('Bilateral Assistance, MAIN DATA'!M:M,'Bilateral Assistance, MAIN DATA'!I:I,'Price List, Weapons &amp; Items'!B18)</f>
        <v>54</v>
      </c>
      <c r="N18" s="19">
        <f>COUNTIFS('Bilateral Assistance, MAIN DATA'!M:M,"undisclosed",'Bilateral Assistance, MAIN DATA'!I:I,'Price List, Weapons &amp; Items'!B18)</f>
        <v>0</v>
      </c>
      <c r="O18" s="723" t="str">
        <f t="shared" si="4"/>
        <v>no price</v>
      </c>
      <c r="P18" s="19">
        <f>IFERROR(IF(SEARCH(B18,_xlfn.ARRAYTOTEXT('Bilateral Assistance, MAIN DATA'!I$1:I$1622))&gt;0,1,""),0)</f>
        <v>1</v>
      </c>
      <c r="Q18" s="19">
        <f>IFERROR(IF(SEARCH(B18,_xlfn.ARRAYTOTEXT('Commercial Assistance'!I$1:I$1400))&gt;0,1,""),0)</f>
        <v>0</v>
      </c>
      <c r="R18" s="247" t="str">
        <f>IF(SUMIFS('Bilateral Assistance, MAIN DATA'!N:N,'Bilateral Assistance, MAIN DATA'!I:I,'Price List, Weapons &amp; Items'!B18)&gt;M18,1,".")</f>
        <v>.</v>
      </c>
    </row>
    <row r="19" spans="2:18" ht="15" customHeight="1" x14ac:dyDescent="0.3">
      <c r="B19" s="188" t="s">
        <v>3947</v>
      </c>
      <c r="C19" s="113" t="s">
        <v>812</v>
      </c>
      <c r="D19" s="113" t="s">
        <v>812</v>
      </c>
      <c r="E19" s="199">
        <v>0</v>
      </c>
      <c r="F19" s="199">
        <f t="shared" si="0"/>
        <v>0</v>
      </c>
      <c r="G19" s="629" t="s">
        <v>260</v>
      </c>
      <c r="H19" s="720" t="str">
        <f t="shared" si="3"/>
        <v>.</v>
      </c>
      <c r="I19" s="155" t="s">
        <v>260</v>
      </c>
      <c r="J19" s="155" t="str">
        <f t="shared" si="1"/>
        <v>.</v>
      </c>
      <c r="K19" s="155" t="s">
        <v>260</v>
      </c>
      <c r="L19" s="247" t="str">
        <f t="shared" si="2"/>
        <v>no price, 0 count</v>
      </c>
      <c r="M19" s="121">
        <f>SUMIFS('Bilateral Assistance, MAIN DATA'!M:M,'Bilateral Assistance, MAIN DATA'!I:I,'Price List, Weapons &amp; Items'!B19)</f>
        <v>0</v>
      </c>
      <c r="N19" s="19">
        <f>COUNTIFS('Bilateral Assistance, MAIN DATA'!M:M,"undisclosed",'Bilateral Assistance, MAIN DATA'!I:I,'Price List, Weapons &amp; Items'!B19)</f>
        <v>3</v>
      </c>
      <c r="O19" s="723" t="str">
        <f t="shared" si="4"/>
        <v>no price</v>
      </c>
      <c r="P19" s="19">
        <f>IFERROR(IF(SEARCH(B19,_xlfn.ARRAYTOTEXT('Bilateral Assistance, MAIN DATA'!I$1:I$1622))&gt;0,1,""),0)</f>
        <v>1</v>
      </c>
      <c r="Q19" s="19">
        <f>IFERROR(IF(SEARCH(B19,_xlfn.ARRAYTOTEXT('Commercial Assistance'!I$1:I$1400))&gt;0,1,""),0)</f>
        <v>0</v>
      </c>
      <c r="R19" s="247" t="str">
        <f>IF(SUMIFS('Bilateral Assistance, MAIN DATA'!N:N,'Bilateral Assistance, MAIN DATA'!I:I,'Price List, Weapons &amp; Items'!B19)&gt;M19,1,".")</f>
        <v>.</v>
      </c>
    </row>
    <row r="20" spans="2:18" ht="15" customHeight="1" x14ac:dyDescent="0.3">
      <c r="B20" s="175" t="s">
        <v>3948</v>
      </c>
      <c r="C20" s="113" t="s">
        <v>3949</v>
      </c>
      <c r="D20" s="246" t="s">
        <v>3950</v>
      </c>
      <c r="E20" s="199">
        <v>0</v>
      </c>
      <c r="F20" s="199">
        <f t="shared" si="0"/>
        <v>0</v>
      </c>
      <c r="G20" s="629" t="s">
        <v>260</v>
      </c>
      <c r="H20" s="720" t="str">
        <f t="shared" si="3"/>
        <v>.</v>
      </c>
      <c r="I20" s="817" t="s">
        <v>260</v>
      </c>
      <c r="J20" s="155" t="str">
        <f t="shared" si="1"/>
        <v>.</v>
      </c>
      <c r="K20" s="250" t="s">
        <v>260</v>
      </c>
      <c r="L20" s="247" t="str">
        <f t="shared" si="2"/>
        <v>no price, 0 count</v>
      </c>
      <c r="M20" s="121">
        <f>SUMIFS('Bilateral Assistance, MAIN DATA'!M:M,'Bilateral Assistance, MAIN DATA'!I:I,'Price List, Weapons &amp; Items'!B20)</f>
        <v>0</v>
      </c>
      <c r="N20" s="19">
        <f>COUNTIFS('Bilateral Assistance, MAIN DATA'!M:M,"undisclosed",'Bilateral Assistance, MAIN DATA'!I:I,'Price List, Weapons &amp; Items'!B20)</f>
        <v>1</v>
      </c>
      <c r="O20" s="723" t="str">
        <f t="shared" si="4"/>
        <v>no price</v>
      </c>
      <c r="P20" s="19">
        <f>IFERROR(IF(SEARCH(B20,_xlfn.ARRAYTOTEXT('Bilateral Assistance, MAIN DATA'!I$1:I$1622))&gt;0,1,""),0)</f>
        <v>1</v>
      </c>
      <c r="Q20" s="19">
        <f>IFERROR(IF(SEARCH(B20,_xlfn.ARRAYTOTEXT('Commercial Assistance'!I$1:I$1400))&gt;0,1,""),0)</f>
        <v>0</v>
      </c>
      <c r="R20" s="247" t="str">
        <f>IF(SUMIFS('Bilateral Assistance, MAIN DATA'!N:N,'Bilateral Assistance, MAIN DATA'!I:I,'Price List, Weapons &amp; Items'!B20)&gt;M20,1,".")</f>
        <v>.</v>
      </c>
    </row>
    <row r="21" spans="2:18" ht="15" customHeight="1" x14ac:dyDescent="0.3">
      <c r="B21" s="175" t="s">
        <v>3951</v>
      </c>
      <c r="C21" s="113" t="s">
        <v>812</v>
      </c>
      <c r="D21" s="246" t="s">
        <v>3140</v>
      </c>
      <c r="E21" s="199">
        <v>0</v>
      </c>
      <c r="F21" s="199">
        <f t="shared" si="0"/>
        <v>0</v>
      </c>
      <c r="G21" s="629" t="s">
        <v>260</v>
      </c>
      <c r="H21" s="720" t="str">
        <f t="shared" si="3"/>
        <v>.</v>
      </c>
      <c r="I21" s="817" t="s">
        <v>260</v>
      </c>
      <c r="J21" s="155" t="str">
        <f t="shared" si="1"/>
        <v>.</v>
      </c>
      <c r="K21" s="250" t="s">
        <v>260</v>
      </c>
      <c r="L21" s="247" t="str">
        <f t="shared" si="2"/>
        <v>no price, 0 count</v>
      </c>
      <c r="M21" s="121">
        <f>SUMIFS('Bilateral Assistance, MAIN DATA'!M:M,'Bilateral Assistance, MAIN DATA'!I:I,'Price List, Weapons &amp; Items'!B21)</f>
        <v>0</v>
      </c>
      <c r="N21" s="19">
        <f>COUNTIFS('Bilateral Assistance, MAIN DATA'!M:M,"undisclosed",'Bilateral Assistance, MAIN DATA'!I:I,'Price List, Weapons &amp; Items'!B21)</f>
        <v>6</v>
      </c>
      <c r="O21" s="723" t="str">
        <f t="shared" si="4"/>
        <v>no price</v>
      </c>
      <c r="P21" s="19">
        <f>IFERROR(IF(SEARCH(B21,_xlfn.ARRAYTOTEXT('Bilateral Assistance, MAIN DATA'!I$1:I$1622))&gt;0,1,""),0)</f>
        <v>1</v>
      </c>
      <c r="Q21" s="19">
        <f>IFERROR(IF(SEARCH(B21,_xlfn.ARRAYTOTEXT('Commercial Assistance'!I$1:I$1400))&gt;0,1,""),0)</f>
        <v>0</v>
      </c>
      <c r="R21" s="247" t="str">
        <f>IF(SUMIFS('Bilateral Assistance, MAIN DATA'!N:N,'Bilateral Assistance, MAIN DATA'!I:I,'Price List, Weapons &amp; Items'!B21)&gt;M21,1,".")</f>
        <v>.</v>
      </c>
    </row>
    <row r="22" spans="2:18" ht="15" customHeight="1" x14ac:dyDescent="0.3">
      <c r="B22" s="175" t="s">
        <v>3952</v>
      </c>
      <c r="C22" s="113" t="s">
        <v>812</v>
      </c>
      <c r="D22" s="246" t="s">
        <v>3140</v>
      </c>
      <c r="E22" s="199">
        <v>0</v>
      </c>
      <c r="F22" s="199">
        <f t="shared" si="0"/>
        <v>0</v>
      </c>
      <c r="G22" s="629" t="s">
        <v>260</v>
      </c>
      <c r="H22" s="720" t="str">
        <f t="shared" si="3"/>
        <v>.</v>
      </c>
      <c r="I22" s="818" t="s">
        <v>260</v>
      </c>
      <c r="J22" s="155" t="str">
        <f t="shared" si="1"/>
        <v>.</v>
      </c>
      <c r="K22" s="175" t="s">
        <v>260</v>
      </c>
      <c r="L22" s="247" t="str">
        <f t="shared" si="2"/>
        <v>no price, 0 count</v>
      </c>
      <c r="M22" s="121">
        <f>SUMIFS('Bilateral Assistance, MAIN DATA'!M:M,'Bilateral Assistance, MAIN DATA'!I:I,'Price List, Weapons &amp; Items'!B22)</f>
        <v>0</v>
      </c>
      <c r="N22" s="19">
        <f>COUNTIFS('Bilateral Assistance, MAIN DATA'!M:M,"undisclosed",'Bilateral Assistance, MAIN DATA'!I:I,'Price List, Weapons &amp; Items'!B22)</f>
        <v>3</v>
      </c>
      <c r="O22" s="723" t="str">
        <f t="shared" si="4"/>
        <v>no price</v>
      </c>
      <c r="P22" s="19">
        <f>IFERROR(IF(SEARCH(B22,_xlfn.ARRAYTOTEXT('Bilateral Assistance, MAIN DATA'!I$1:I$1622))&gt;0,1,""),0)</f>
        <v>1</v>
      </c>
      <c r="Q22" s="19">
        <f>IFERROR(IF(SEARCH(B22,_xlfn.ARRAYTOTEXT('Commercial Assistance'!I$1:I$1400))&gt;0,1,""),0)</f>
        <v>0</v>
      </c>
      <c r="R22" s="247" t="str">
        <f>IF(SUMIFS('Bilateral Assistance, MAIN DATA'!N:N,'Bilateral Assistance, MAIN DATA'!I:I,'Price List, Weapons &amp; Items'!B22)&gt;M22,1,".")</f>
        <v>.</v>
      </c>
    </row>
    <row r="23" spans="2:18" ht="15" customHeight="1" x14ac:dyDescent="0.3">
      <c r="B23" s="218" t="s">
        <v>3953</v>
      </c>
      <c r="C23" s="113" t="s">
        <v>812</v>
      </c>
      <c r="D23" s="246" t="s">
        <v>3943</v>
      </c>
      <c r="E23" s="199">
        <v>0</v>
      </c>
      <c r="F23" s="199">
        <f t="shared" si="0"/>
        <v>1</v>
      </c>
      <c r="G23" s="629" t="s">
        <v>260</v>
      </c>
      <c r="H23" s="720" t="str">
        <f t="shared" si="3"/>
        <v>.</v>
      </c>
      <c r="I23" s="818" t="s">
        <v>260</v>
      </c>
      <c r="J23" s="155" t="str">
        <f t="shared" si="1"/>
        <v>.</v>
      </c>
      <c r="K23" s="175" t="s">
        <v>260</v>
      </c>
      <c r="L23" s="247" t="str">
        <f t="shared" si="2"/>
        <v>no price, 0 count</v>
      </c>
      <c r="M23" s="121">
        <f>SUMIFS('Bilateral Assistance, MAIN DATA'!M:M,'Bilateral Assistance, MAIN DATA'!I:I,'Price List, Weapons &amp; Items'!B23)</f>
        <v>0</v>
      </c>
      <c r="N23" s="19">
        <f>COUNTIFS('Bilateral Assistance, MAIN DATA'!M:M,"undisclosed",'Bilateral Assistance, MAIN DATA'!I:I,'Price List, Weapons &amp; Items'!B23)</f>
        <v>1</v>
      </c>
      <c r="O23" s="723" t="str">
        <f t="shared" si="4"/>
        <v>no price</v>
      </c>
      <c r="P23" s="19">
        <f>IFERROR(IF(SEARCH(B23,_xlfn.ARRAYTOTEXT('Bilateral Assistance, MAIN DATA'!I$1:I$1622))&gt;0,1,""),0)</f>
        <v>1</v>
      </c>
      <c r="Q23" s="19">
        <f>IFERROR(IF(SEARCH(B23,_xlfn.ARRAYTOTEXT('Commercial Assistance'!I$1:I$1400))&gt;0,1,""),0)</f>
        <v>0</v>
      </c>
      <c r="R23" s="247" t="str">
        <f>IF(SUMIFS('Bilateral Assistance, MAIN DATA'!N:N,'Bilateral Assistance, MAIN DATA'!I:I,'Price List, Weapons &amp; Items'!B23)&gt;M23,1,".")</f>
        <v>.</v>
      </c>
    </row>
    <row r="24" spans="2:18" ht="15" customHeight="1" x14ac:dyDescent="0.3">
      <c r="B24" s="175" t="s">
        <v>334</v>
      </c>
      <c r="C24" s="113" t="s">
        <v>812</v>
      </c>
      <c r="D24" s="113" t="s">
        <v>812</v>
      </c>
      <c r="E24" s="199">
        <v>0</v>
      </c>
      <c r="F24" s="199">
        <f t="shared" si="0"/>
        <v>0</v>
      </c>
      <c r="G24" s="629" t="s">
        <v>260</v>
      </c>
      <c r="H24" s="720" t="str">
        <f t="shared" si="3"/>
        <v>.</v>
      </c>
      <c r="I24" s="818" t="s">
        <v>260</v>
      </c>
      <c r="J24" s="155" t="str">
        <f t="shared" si="1"/>
        <v>.</v>
      </c>
      <c r="K24" s="175" t="s">
        <v>260</v>
      </c>
      <c r="L24" s="247" t="str">
        <f t="shared" si="2"/>
        <v>no price, 0 count</v>
      </c>
      <c r="M24" s="121">
        <f>SUMIFS('Bilateral Assistance, MAIN DATA'!M:M,'Bilateral Assistance, MAIN DATA'!I:I,'Price List, Weapons &amp; Items'!B24)</f>
        <v>0</v>
      </c>
      <c r="N24" s="19">
        <f>COUNTIFS('Bilateral Assistance, MAIN DATA'!M:M,"undisclosed",'Bilateral Assistance, MAIN DATA'!I:I,'Price List, Weapons &amp; Items'!B24)</f>
        <v>1</v>
      </c>
      <c r="O24" s="723" t="str">
        <f t="shared" si="4"/>
        <v>no price</v>
      </c>
      <c r="P24" s="19">
        <f>IFERROR(IF(SEARCH(B24,_xlfn.ARRAYTOTEXT('Bilateral Assistance, MAIN DATA'!I$1:I$1622))&gt;0,1,""),0)</f>
        <v>1</v>
      </c>
      <c r="Q24" s="19">
        <f>IFERROR(IF(SEARCH(B24,_xlfn.ARRAYTOTEXT('Commercial Assistance'!I$1:I$1400))&gt;0,1,""),0)</f>
        <v>0</v>
      </c>
      <c r="R24" s="247" t="str">
        <f>IF(SUMIFS('Bilateral Assistance, MAIN DATA'!N:N,'Bilateral Assistance, MAIN DATA'!I:I,'Price List, Weapons &amp; Items'!B24)&gt;M24,1,".")</f>
        <v>.</v>
      </c>
    </row>
    <row r="25" spans="2:18" ht="15" customHeight="1" x14ac:dyDescent="0.3">
      <c r="B25" s="175" t="s">
        <v>608</v>
      </c>
      <c r="C25" s="113" t="s">
        <v>3939</v>
      </c>
      <c r="D25" s="246" t="s">
        <v>3950</v>
      </c>
      <c r="E25" s="199">
        <v>0</v>
      </c>
      <c r="F25" s="199">
        <f t="shared" si="0"/>
        <v>0</v>
      </c>
      <c r="G25" s="629" t="s">
        <v>260</v>
      </c>
      <c r="H25" s="720" t="str">
        <f t="shared" si="3"/>
        <v>.</v>
      </c>
      <c r="I25" s="249" t="s">
        <v>260</v>
      </c>
      <c r="J25" s="155" t="str">
        <f t="shared" si="1"/>
        <v>.</v>
      </c>
      <c r="K25" s="155" t="s">
        <v>260</v>
      </c>
      <c r="L25" s="247" t="str">
        <f t="shared" si="2"/>
        <v>no price, 0 count</v>
      </c>
      <c r="M25" s="121">
        <f>SUMIFS('Bilateral Assistance, MAIN DATA'!M:M,'Bilateral Assistance, MAIN DATA'!I:I,'Price List, Weapons &amp; Items'!B25)</f>
        <v>0</v>
      </c>
      <c r="N25" s="19">
        <f>COUNTIFS('Bilateral Assistance, MAIN DATA'!M:M,"undisclosed",'Bilateral Assistance, MAIN DATA'!I:I,'Price List, Weapons &amp; Items'!B25)</f>
        <v>1</v>
      </c>
      <c r="O25" s="723" t="str">
        <f t="shared" si="4"/>
        <v>no price</v>
      </c>
      <c r="P25" s="19">
        <f>IFERROR(IF(SEARCH(B25,_xlfn.ARRAYTOTEXT('Bilateral Assistance, MAIN DATA'!I$1:I$1622))&gt;0,1,""),0)</f>
        <v>1</v>
      </c>
      <c r="Q25" s="19">
        <f>IFERROR(IF(SEARCH(B25,_xlfn.ARRAYTOTEXT('Commercial Assistance'!I$1:I$1400))&gt;0,1,""),0)</f>
        <v>0</v>
      </c>
      <c r="R25" s="247" t="str">
        <f>IF(SUMIFS('Bilateral Assistance, MAIN DATA'!N:N,'Bilateral Assistance, MAIN DATA'!I:I,'Price List, Weapons &amp; Items'!B25)&gt;M25,1,".")</f>
        <v>.</v>
      </c>
    </row>
    <row r="26" spans="2:18" ht="15" customHeight="1" x14ac:dyDescent="0.3">
      <c r="B26" s="175" t="s">
        <v>333</v>
      </c>
      <c r="C26" s="113" t="s">
        <v>812</v>
      </c>
      <c r="D26" s="113" t="s">
        <v>812</v>
      </c>
      <c r="E26" s="199">
        <v>0</v>
      </c>
      <c r="F26" s="199">
        <f t="shared" si="0"/>
        <v>0</v>
      </c>
      <c r="G26" s="629" t="s">
        <v>260</v>
      </c>
      <c r="H26" s="721" t="s">
        <v>260</v>
      </c>
      <c r="I26" s="249" t="s">
        <v>260</v>
      </c>
      <c r="J26" s="249" t="s">
        <v>260</v>
      </c>
      <c r="K26" s="155" t="s">
        <v>260</v>
      </c>
      <c r="L26" s="247" t="str">
        <f t="shared" si="2"/>
        <v>no price, 0 count</v>
      </c>
      <c r="M26" s="121">
        <f>SUMIFS('Bilateral Assistance, MAIN DATA'!M:M,'Bilateral Assistance, MAIN DATA'!I:I,'Price List, Weapons &amp; Items'!B26)</f>
        <v>0</v>
      </c>
      <c r="N26" s="19">
        <f>COUNTIFS('Bilateral Assistance, MAIN DATA'!M:M,"undisclosed",'Bilateral Assistance, MAIN DATA'!I:I,'Price List, Weapons &amp; Items'!B26)</f>
        <v>1</v>
      </c>
      <c r="O26" s="723" t="str">
        <f t="shared" si="4"/>
        <v>no price</v>
      </c>
      <c r="P26" s="19">
        <f>IFERROR(IF(SEARCH(B26,_xlfn.ARRAYTOTEXT('Bilateral Assistance, MAIN DATA'!I$1:I$1622))&gt;0,1,""),0)</f>
        <v>1</v>
      </c>
      <c r="Q26" s="19">
        <f>IFERROR(IF(SEARCH(B26,_xlfn.ARRAYTOTEXT('Commercial Assistance'!I$1:I$1400))&gt;0,1,""),0)</f>
        <v>0</v>
      </c>
      <c r="R26" s="247" t="str">
        <f>IF(SUMIFS('Bilateral Assistance, MAIN DATA'!N:N,'Bilateral Assistance, MAIN DATA'!I:I,'Price List, Weapons &amp; Items'!B26)&gt;M26,1,".")</f>
        <v>.</v>
      </c>
    </row>
    <row r="27" spans="2:18" ht="15" customHeight="1" x14ac:dyDescent="0.3">
      <c r="B27" s="17" t="s">
        <v>1897</v>
      </c>
      <c r="C27" s="113" t="s">
        <v>3954</v>
      </c>
      <c r="D27" s="246" t="s">
        <v>3140</v>
      </c>
      <c r="E27" s="199">
        <v>0</v>
      </c>
      <c r="F27" s="199">
        <f t="shared" si="0"/>
        <v>0</v>
      </c>
      <c r="G27" s="629">
        <f>(0.24*218800000)*VLOOKUP("USD",'Exchange Rates'!B:C,2,0)</f>
        <v>55137600</v>
      </c>
      <c r="H27" s="721" t="s">
        <v>346</v>
      </c>
      <c r="I27" s="249" t="s">
        <v>260</v>
      </c>
      <c r="J27" s="249" t="s">
        <v>260</v>
      </c>
      <c r="K27" s="249" t="s">
        <v>3955</v>
      </c>
      <c r="L27" s="247" t="str">
        <f t="shared" si="2"/>
        <v>no price, 0 count</v>
      </c>
      <c r="M27" s="121">
        <f>SUMIFS('Bilateral Assistance, MAIN DATA'!M:M,'Bilateral Assistance, MAIN DATA'!I:I,'Price List, Weapons &amp; Items'!B27)</f>
        <v>0</v>
      </c>
      <c r="N27" s="19">
        <f>COUNTIFS('Bilateral Assistance, MAIN DATA'!M:M,"undisclosed",'Bilateral Assistance, MAIN DATA'!I:I,'Price List, Weapons &amp; Items'!B27)</f>
        <v>1</v>
      </c>
      <c r="O27" s="723">
        <f t="shared" si="4"/>
        <v>0</v>
      </c>
      <c r="P27" s="19">
        <f>IFERROR(IF(SEARCH(B27,_xlfn.ARRAYTOTEXT('Bilateral Assistance, MAIN DATA'!I$1:I$1622))&gt;0,1,""),0)</f>
        <v>1</v>
      </c>
      <c r="Q27" s="19">
        <f>IFERROR(IF(SEARCH(B27,_xlfn.ARRAYTOTEXT('Commercial Assistance'!I$1:I$1400))&gt;0,1,""),0)</f>
        <v>0</v>
      </c>
      <c r="R27" s="247" t="str">
        <f>IF(SUMIFS('Bilateral Assistance, MAIN DATA'!N:N,'Bilateral Assistance, MAIN DATA'!I:I,'Price List, Weapons &amp; Items'!B27)&gt;M27,1,".")</f>
        <v>.</v>
      </c>
    </row>
    <row r="28" spans="2:18" ht="15" customHeight="1" x14ac:dyDescent="0.3">
      <c r="B28" s="17" t="s">
        <v>3956</v>
      </c>
      <c r="C28" s="113" t="s">
        <v>3945</v>
      </c>
      <c r="D28" s="246" t="s">
        <v>3957</v>
      </c>
      <c r="E28" s="199">
        <v>0</v>
      </c>
      <c r="F28" s="199">
        <f t="shared" si="0"/>
        <v>1</v>
      </c>
      <c r="G28" s="629">
        <v>743989.18081292231</v>
      </c>
      <c r="H28" s="720" t="str">
        <f>IF(G28&lt;&gt;".","USD",".")</f>
        <v>USD</v>
      </c>
      <c r="I28" s="819" t="s">
        <v>3958</v>
      </c>
      <c r="J28" s="155" t="s">
        <v>3959</v>
      </c>
      <c r="K28" s="251" t="s">
        <v>3960</v>
      </c>
      <c r="L28" s="247" t="str">
        <f t="shared" si="2"/>
        <v>no price, 0 count</v>
      </c>
      <c r="M28" s="121">
        <f>SUMIFS('Bilateral Assistance, MAIN DATA'!M:M,'Bilateral Assistance, MAIN DATA'!I:I,'Price List, Weapons &amp; Items'!B28)</f>
        <v>0</v>
      </c>
      <c r="N28" s="19">
        <f>COUNTIFS('Bilateral Assistance, MAIN DATA'!M:M,"undisclosed",'Bilateral Assistance, MAIN DATA'!I:I,'Price List, Weapons &amp; Items'!B28)</f>
        <v>0</v>
      </c>
      <c r="O28" s="723">
        <f t="shared" si="4"/>
        <v>0</v>
      </c>
      <c r="P28" s="19">
        <f>IFERROR(IF(SEARCH(B28,_xlfn.ARRAYTOTEXT('Bilateral Assistance, MAIN DATA'!I$1:I$1622))&gt;0,1,""),0)</f>
        <v>1</v>
      </c>
      <c r="Q28" s="19">
        <f>IFERROR(IF(SEARCH(B28,_xlfn.ARRAYTOTEXT('Commercial Assistance'!I$1:I$1400))&gt;0,1,""),0)</f>
        <v>0</v>
      </c>
      <c r="R28" s="247" t="str">
        <f>IF(SUMIFS('Bilateral Assistance, MAIN DATA'!N:N,'Bilateral Assistance, MAIN DATA'!I:I,'Price List, Weapons &amp; Items'!B28)&gt;M28,1,".")</f>
        <v>.</v>
      </c>
    </row>
    <row r="29" spans="2:18" ht="15" customHeight="1" x14ac:dyDescent="0.3">
      <c r="B29" s="175" t="s">
        <v>3961</v>
      </c>
      <c r="C29" s="113" t="s">
        <v>3945</v>
      </c>
      <c r="D29" s="246" t="s">
        <v>3962</v>
      </c>
      <c r="E29" s="199">
        <v>1</v>
      </c>
      <c r="F29" s="199">
        <f t="shared" si="0"/>
        <v>1</v>
      </c>
      <c r="G29" s="629">
        <v>593000</v>
      </c>
      <c r="H29" s="720" t="str">
        <f>IF(G29&lt;&gt;".","USD",".")</f>
        <v>USD</v>
      </c>
      <c r="I29" s="820" t="s">
        <v>3963</v>
      </c>
      <c r="J29" s="155" t="s">
        <v>3964</v>
      </c>
      <c r="K29" s="155" t="s">
        <v>3965</v>
      </c>
      <c r="L29" s="247" t="str">
        <f t="shared" si="2"/>
        <v>no price, 0 count</v>
      </c>
      <c r="M29" s="121">
        <f>SUMIFS('Bilateral Assistance, MAIN DATA'!M:M,'Bilateral Assistance, MAIN DATA'!I:I,'Price List, Weapons &amp; Items'!B29)</f>
        <v>0</v>
      </c>
      <c r="N29" s="19">
        <f>COUNTIFS('Bilateral Assistance, MAIN DATA'!M:M,"undisclosed",'Bilateral Assistance, MAIN DATA'!I:I,'Price List, Weapons &amp; Items'!B29)</f>
        <v>0</v>
      </c>
      <c r="O29" s="723">
        <f t="shared" si="4"/>
        <v>0</v>
      </c>
      <c r="P29" s="19">
        <f>IFERROR(IF(SEARCH(B29,_xlfn.ARRAYTOTEXT('Bilateral Assistance, MAIN DATA'!I$1:I$1622))&gt;0,1,""),0)</f>
        <v>1</v>
      </c>
      <c r="Q29" s="19">
        <f>IFERROR(IF(SEARCH(B29,_xlfn.ARRAYTOTEXT('Commercial Assistance'!I$1:I$1400))&gt;0,1,""),0)</f>
        <v>0</v>
      </c>
      <c r="R29" s="247" t="str">
        <f>IF(SUMIFS('Bilateral Assistance, MAIN DATA'!N:N,'Bilateral Assistance, MAIN DATA'!I:I,'Price List, Weapons &amp; Items'!B29)&gt;M29,1,".")</f>
        <v>.</v>
      </c>
    </row>
    <row r="30" spans="2:18" ht="15" customHeight="1" x14ac:dyDescent="0.3">
      <c r="B30" s="175" t="s">
        <v>3904</v>
      </c>
      <c r="C30" s="113" t="s">
        <v>3954</v>
      </c>
      <c r="D30" s="246" t="s">
        <v>3966</v>
      </c>
      <c r="E30" s="199">
        <v>0</v>
      </c>
      <c r="F30" s="199">
        <f t="shared" si="0"/>
        <v>0</v>
      </c>
      <c r="G30" s="629">
        <v>170000</v>
      </c>
      <c r="H30" s="720" t="str">
        <f>IF(G30&lt;&gt;".","USD",".")</f>
        <v>USD</v>
      </c>
      <c r="I30" s="821" t="s">
        <v>3906</v>
      </c>
      <c r="J30" s="155" t="s">
        <v>3967</v>
      </c>
      <c r="K30" s="155" t="s">
        <v>3968</v>
      </c>
      <c r="L30" s="247" t="str">
        <f t="shared" si="2"/>
        <v>no price, 0 count</v>
      </c>
      <c r="M30" s="121">
        <f>SUMIFS('Bilateral Assistance, MAIN DATA'!M:M,'Bilateral Assistance, MAIN DATA'!I:I,'Price List, Weapons &amp; Items'!B30)</f>
        <v>0</v>
      </c>
      <c r="N30" s="19">
        <f>COUNTIFS('Bilateral Assistance, MAIN DATA'!M:M,"undisclosed",'Bilateral Assistance, MAIN DATA'!I:I,'Price List, Weapons &amp; Items'!B30)</f>
        <v>0</v>
      </c>
      <c r="O30" s="723">
        <f t="shared" si="4"/>
        <v>0</v>
      </c>
      <c r="P30" s="19">
        <f>IFERROR(IF(SEARCH(B30,_xlfn.ARRAYTOTEXT('Bilateral Assistance, MAIN DATA'!I$1:I$1622))&gt;0,1,""),0)</f>
        <v>0</v>
      </c>
      <c r="Q30" s="19">
        <f>IFERROR(IF(SEARCH(B30,_xlfn.ARRAYTOTEXT('Commercial Assistance'!I$1:I$1400))&gt;0,1,""),0)</f>
        <v>1</v>
      </c>
      <c r="R30" s="247" t="str">
        <f>IF(SUMIFS('Bilateral Assistance, MAIN DATA'!N:N,'Bilateral Assistance, MAIN DATA'!I:I,'Price List, Weapons &amp; Items'!B30)&gt;M30,1,".")</f>
        <v>.</v>
      </c>
    </row>
    <row r="31" spans="2:18" ht="15" customHeight="1" x14ac:dyDescent="0.3">
      <c r="B31" s="188" t="s">
        <v>3969</v>
      </c>
      <c r="C31" s="113" t="s">
        <v>812</v>
      </c>
      <c r="D31" s="113" t="s">
        <v>812</v>
      </c>
      <c r="E31" s="199">
        <v>0</v>
      </c>
      <c r="F31" s="199">
        <f t="shared" si="0"/>
        <v>0</v>
      </c>
      <c r="G31" s="629">
        <v>11.99</v>
      </c>
      <c r="H31" s="720" t="str">
        <f>IF(G31&lt;&gt;".","USD",".")</f>
        <v>USD</v>
      </c>
      <c r="I31" s="820" t="s">
        <v>3970</v>
      </c>
      <c r="J31" s="155" t="s">
        <v>3971</v>
      </c>
      <c r="K31" s="155" t="s">
        <v>3972</v>
      </c>
      <c r="L31" s="247" t="str">
        <f t="shared" si="2"/>
        <v>no price, 0 count</v>
      </c>
      <c r="M31" s="121">
        <f>SUMIFS('Bilateral Assistance, MAIN DATA'!M:M,'Bilateral Assistance, MAIN DATA'!I:I,'Price List, Weapons &amp; Items'!B31)</f>
        <v>0</v>
      </c>
      <c r="N31" s="19">
        <f>COUNTIFS('Bilateral Assistance, MAIN DATA'!M:M,"undisclosed",'Bilateral Assistance, MAIN DATA'!I:I,'Price List, Weapons &amp; Items'!B31)</f>
        <v>0</v>
      </c>
      <c r="O31" s="723">
        <f t="shared" si="4"/>
        <v>0</v>
      </c>
      <c r="P31" s="19">
        <f>IFERROR(IF(SEARCH(B31,_xlfn.ARRAYTOTEXT('Bilateral Assistance, MAIN DATA'!I$1:I$1622))&gt;0,1,""),0)</f>
        <v>1</v>
      </c>
      <c r="Q31" s="19">
        <f>IFERROR(IF(SEARCH(B31,_xlfn.ARRAYTOTEXT('Commercial Assistance'!I$1:I$1400))&gt;0,1,""),0)</f>
        <v>0</v>
      </c>
      <c r="R31" s="247" t="str">
        <f>IF(SUMIFS('Bilateral Assistance, MAIN DATA'!N:N,'Bilateral Assistance, MAIN DATA'!I:I,'Price List, Weapons &amp; Items'!B31)&gt;M31,1,".")</f>
        <v>.</v>
      </c>
    </row>
    <row r="32" spans="2:18" ht="15" customHeight="1" x14ac:dyDescent="0.3">
      <c r="B32" s="19" t="s">
        <v>458</v>
      </c>
      <c r="C32" s="113" t="s">
        <v>3939</v>
      </c>
      <c r="D32" s="246" t="s">
        <v>3973</v>
      </c>
      <c r="E32" s="199">
        <v>0</v>
      </c>
      <c r="F32" s="199">
        <f t="shared" si="0"/>
        <v>0</v>
      </c>
      <c r="G32" s="629">
        <v>5300</v>
      </c>
      <c r="H32" s="720" t="str">
        <f>IF(G32&lt;&gt;".","USD",".")</f>
        <v>USD</v>
      </c>
      <c r="I32" s="820" t="s">
        <v>3974</v>
      </c>
      <c r="J32" s="155" t="s">
        <v>3975</v>
      </c>
      <c r="K32" s="155" t="s">
        <v>3976</v>
      </c>
      <c r="L32" s="247">
        <f t="shared" si="2"/>
        <v>1</v>
      </c>
      <c r="M32" s="121">
        <f>SUMIFS('Bilateral Assistance, MAIN DATA'!M:M,'Bilateral Assistance, MAIN DATA'!I:I,'Price List, Weapons &amp; Items'!B32)</f>
        <v>170</v>
      </c>
      <c r="N32" s="19">
        <f>COUNTIFS('Bilateral Assistance, MAIN DATA'!M:M,"undisclosed",'Bilateral Assistance, MAIN DATA'!I:I,'Price List, Weapons &amp; Items'!B32)</f>
        <v>1</v>
      </c>
      <c r="O32" s="723">
        <f t="shared" si="4"/>
        <v>901000</v>
      </c>
      <c r="P32" s="19">
        <f>IFERROR(IF(SEARCH(B32,_xlfn.ARRAYTOTEXT('Bilateral Assistance, MAIN DATA'!I$1:I$1622))&gt;0,1,""),0)</f>
        <v>1</v>
      </c>
      <c r="Q32" s="19">
        <f>IFERROR(IF(SEARCH(B32,_xlfn.ARRAYTOTEXT('Commercial Assistance'!I$1:I$1400))&gt;0,1,""),0)</f>
        <v>0</v>
      </c>
      <c r="R32" s="247" t="str">
        <f>IF(SUMIFS('Bilateral Assistance, MAIN DATA'!N:N,'Bilateral Assistance, MAIN DATA'!I:I,'Price List, Weapons &amp; Items'!B32)&gt;M32,1,".")</f>
        <v>.</v>
      </c>
    </row>
    <row r="33" spans="2:18" ht="15" customHeight="1" x14ac:dyDescent="0.3">
      <c r="B33" s="175" t="s">
        <v>3977</v>
      </c>
      <c r="C33" s="113" t="s">
        <v>462</v>
      </c>
      <c r="D33" s="113" t="s">
        <v>812</v>
      </c>
      <c r="E33" s="199">
        <v>0</v>
      </c>
      <c r="F33" s="199">
        <f t="shared" si="0"/>
        <v>0</v>
      </c>
      <c r="G33" s="629" t="s">
        <v>260</v>
      </c>
      <c r="H33" s="721" t="s">
        <v>260</v>
      </c>
      <c r="I33" s="249" t="s">
        <v>260</v>
      </c>
      <c r="J33" s="249" t="s">
        <v>260</v>
      </c>
      <c r="K33" s="155" t="s">
        <v>260</v>
      </c>
      <c r="L33" s="247" t="str">
        <f t="shared" si="2"/>
        <v>no price, 0 count</v>
      </c>
      <c r="M33" s="121">
        <f>SUMIFS('Bilateral Assistance, MAIN DATA'!M:M,'Bilateral Assistance, MAIN DATA'!I:I,'Price List, Weapons &amp; Items'!B33)</f>
        <v>0</v>
      </c>
      <c r="N33" s="19">
        <f>COUNTIFS('Bilateral Assistance, MAIN DATA'!M:M,"undisclosed",'Bilateral Assistance, MAIN DATA'!I:I,'Price List, Weapons &amp; Items'!B33)</f>
        <v>1</v>
      </c>
      <c r="O33" s="723" t="str">
        <f t="shared" si="4"/>
        <v>no price</v>
      </c>
      <c r="P33" s="19">
        <f>IFERROR(IF(SEARCH(B33,_xlfn.ARRAYTOTEXT('Bilateral Assistance, MAIN DATA'!I$1:I$1622))&gt;0,1,""),0)</f>
        <v>1</v>
      </c>
      <c r="Q33" s="19">
        <f>IFERROR(IF(SEARCH(B33,_xlfn.ARRAYTOTEXT('Commercial Assistance'!I$1:I$1400))&gt;0,1,""),0)</f>
        <v>0</v>
      </c>
      <c r="R33" s="247" t="str">
        <f>IF(SUMIFS('Bilateral Assistance, MAIN DATA'!N:N,'Bilateral Assistance, MAIN DATA'!I:I,'Price List, Weapons &amp; Items'!B33)&gt;M33,1,".")</f>
        <v>.</v>
      </c>
    </row>
    <row r="34" spans="2:18" ht="15" customHeight="1" x14ac:dyDescent="0.3">
      <c r="B34" s="175" t="s">
        <v>465</v>
      </c>
      <c r="C34" s="113" t="s">
        <v>812</v>
      </c>
      <c r="D34" s="113" t="s">
        <v>812</v>
      </c>
      <c r="E34" s="199">
        <v>0</v>
      </c>
      <c r="F34" s="199">
        <f t="shared" si="0"/>
        <v>0</v>
      </c>
      <c r="G34" s="629" t="s">
        <v>260</v>
      </c>
      <c r="H34" s="721" t="s">
        <v>260</v>
      </c>
      <c r="I34" s="249" t="s">
        <v>260</v>
      </c>
      <c r="J34" s="249" t="s">
        <v>260</v>
      </c>
      <c r="K34" s="155" t="s">
        <v>260</v>
      </c>
      <c r="L34" s="247" t="str">
        <f t="shared" si="2"/>
        <v>no price, 0 count</v>
      </c>
      <c r="M34" s="121">
        <f>SUMIFS('Bilateral Assistance, MAIN DATA'!M:M,'Bilateral Assistance, MAIN DATA'!I:I,'Price List, Weapons &amp; Items'!B34)</f>
        <v>0</v>
      </c>
      <c r="N34" s="19">
        <f>COUNTIFS('Bilateral Assistance, MAIN DATA'!M:M,"undisclosed",'Bilateral Assistance, MAIN DATA'!I:I,'Price List, Weapons &amp; Items'!B34)</f>
        <v>1</v>
      </c>
      <c r="O34" s="723" t="str">
        <f t="shared" si="4"/>
        <v>no price</v>
      </c>
      <c r="P34" s="19">
        <f>IFERROR(IF(SEARCH(B34,_xlfn.ARRAYTOTEXT('Bilateral Assistance, MAIN DATA'!I$1:I$1622))&gt;0,1,""),0)</f>
        <v>1</v>
      </c>
      <c r="Q34" s="19">
        <f>IFERROR(IF(SEARCH(B34,_xlfn.ARRAYTOTEXT('Commercial Assistance'!I$1:I$1400))&gt;0,1,""),0)</f>
        <v>0</v>
      </c>
      <c r="R34" s="247" t="str">
        <f>IF(SUMIFS('Bilateral Assistance, MAIN DATA'!N:N,'Bilateral Assistance, MAIN DATA'!I:I,'Price List, Weapons &amp; Items'!B34)&gt;M34,1,".")</f>
        <v>.</v>
      </c>
    </row>
    <row r="35" spans="2:18" ht="15" customHeight="1" x14ac:dyDescent="0.3">
      <c r="B35" s="175" t="s">
        <v>3978</v>
      </c>
      <c r="C35" s="113" t="s">
        <v>3939</v>
      </c>
      <c r="D35" s="246" t="s">
        <v>3979</v>
      </c>
      <c r="E35" s="199">
        <v>0</v>
      </c>
      <c r="F35" s="199">
        <f t="shared" si="0"/>
        <v>0</v>
      </c>
      <c r="G35" s="629">
        <v>223.15</v>
      </c>
      <c r="H35" s="720" t="str">
        <f>IF(G35&lt;&gt;".","USD",".")</f>
        <v>USD</v>
      </c>
      <c r="I35" s="820" t="s">
        <v>3980</v>
      </c>
      <c r="J35" s="155" t="s">
        <v>3975</v>
      </c>
      <c r="K35" s="155" t="s">
        <v>3981</v>
      </c>
      <c r="L35" s="247" t="str">
        <f t="shared" si="2"/>
        <v>no price, 0 count</v>
      </c>
      <c r="M35" s="121">
        <f>SUMIFS('Bilateral Assistance, MAIN DATA'!M:M,'Bilateral Assistance, MAIN DATA'!I:I,'Price List, Weapons &amp; Items'!B35)</f>
        <v>0</v>
      </c>
      <c r="N35" s="19">
        <f>COUNTIFS('Bilateral Assistance, MAIN DATA'!M:M,"undisclosed",'Bilateral Assistance, MAIN DATA'!I:I,'Price List, Weapons &amp; Items'!B35)</f>
        <v>0</v>
      </c>
      <c r="O35" s="723">
        <f t="shared" si="4"/>
        <v>0</v>
      </c>
      <c r="P35" s="19">
        <f>IFERROR(IF(SEARCH(B35,_xlfn.ARRAYTOTEXT('Bilateral Assistance, MAIN DATA'!I$1:I$1622))&gt;0,1,""),0)</f>
        <v>1</v>
      </c>
      <c r="Q35" s="19">
        <f>IFERROR(IF(SEARCH(B35,_xlfn.ARRAYTOTEXT('Commercial Assistance'!I$1:I$1400))&gt;0,1,""),0)</f>
        <v>0</v>
      </c>
      <c r="R35" s="247" t="str">
        <f>IF(SUMIFS('Bilateral Assistance, MAIN DATA'!N:N,'Bilateral Assistance, MAIN DATA'!I:I,'Price List, Weapons &amp; Items'!B35)&gt;M35,1,".")</f>
        <v>.</v>
      </c>
    </row>
    <row r="36" spans="2:18" ht="15" customHeight="1" x14ac:dyDescent="0.3">
      <c r="B36" s="175" t="s">
        <v>3228</v>
      </c>
      <c r="C36" s="113" t="s">
        <v>812</v>
      </c>
      <c r="D36" s="246" t="s">
        <v>3979</v>
      </c>
      <c r="E36" s="199">
        <v>0</v>
      </c>
      <c r="F36" s="199">
        <f t="shared" si="0"/>
        <v>0</v>
      </c>
      <c r="G36" s="629">
        <v>90</v>
      </c>
      <c r="H36" s="720" t="str">
        <f>IF(G36&lt;&gt;".","USD",".")</f>
        <v>USD</v>
      </c>
      <c r="I36" s="821" t="s">
        <v>3982</v>
      </c>
      <c r="J36" s="155" t="s">
        <v>3964</v>
      </c>
      <c r="K36" s="155" t="s">
        <v>3983</v>
      </c>
      <c r="L36" s="247" t="str">
        <f t="shared" si="2"/>
        <v>no price, 0 count</v>
      </c>
      <c r="M36" s="121">
        <f>SUMIFS('Bilateral Assistance, MAIN DATA'!M:M,'Bilateral Assistance, MAIN DATA'!I:I,'Price List, Weapons &amp; Items'!B36)</f>
        <v>0</v>
      </c>
      <c r="N36" s="19">
        <f>COUNTIFS('Bilateral Assistance, MAIN DATA'!M:M,"undisclosed",'Bilateral Assistance, MAIN DATA'!I:I,'Price List, Weapons &amp; Items'!B36)</f>
        <v>1</v>
      </c>
      <c r="O36" s="723">
        <f t="shared" si="4"/>
        <v>0</v>
      </c>
      <c r="P36" s="19">
        <f>IFERROR(IF(SEARCH(B36,_xlfn.ARRAYTOTEXT('Bilateral Assistance, MAIN DATA'!I$1:I$1622))&gt;0,1,""),0)</f>
        <v>1</v>
      </c>
      <c r="Q36" s="19">
        <f>IFERROR(IF(SEARCH(B36,_xlfn.ARRAYTOTEXT('Commercial Assistance'!I$1:I$1400))&gt;0,1,""),0)</f>
        <v>0</v>
      </c>
      <c r="R36" s="247" t="str">
        <f>IF(SUMIFS('Bilateral Assistance, MAIN DATA'!N:N,'Bilateral Assistance, MAIN DATA'!I:I,'Price List, Weapons &amp; Items'!B36)&gt;M36,1,".")</f>
        <v>.</v>
      </c>
    </row>
    <row r="37" spans="2:18" ht="15" customHeight="1" x14ac:dyDescent="0.3">
      <c r="B37" s="19" t="s">
        <v>3252</v>
      </c>
      <c r="C37" s="113" t="s">
        <v>812</v>
      </c>
      <c r="D37" s="113" t="s">
        <v>812</v>
      </c>
      <c r="E37" s="199">
        <v>0</v>
      </c>
      <c r="F37" s="199">
        <f t="shared" si="0"/>
        <v>0</v>
      </c>
      <c r="G37" s="629" t="s">
        <v>260</v>
      </c>
      <c r="H37" s="721" t="s">
        <v>260</v>
      </c>
      <c r="I37" s="249" t="s">
        <v>260</v>
      </c>
      <c r="J37" s="249" t="s">
        <v>260</v>
      </c>
      <c r="K37" s="155" t="s">
        <v>260</v>
      </c>
      <c r="L37" s="247" t="str">
        <f t="shared" si="2"/>
        <v>no price, 0 count</v>
      </c>
      <c r="M37" s="121">
        <f>SUMIFS('Bilateral Assistance, MAIN DATA'!M:M,'Bilateral Assistance, MAIN DATA'!I:I,'Price List, Weapons &amp; Items'!B37)</f>
        <v>0</v>
      </c>
      <c r="N37" s="19">
        <f>COUNTIFS('Bilateral Assistance, MAIN DATA'!M:M,"undisclosed",'Bilateral Assistance, MAIN DATA'!I:I,'Price List, Weapons &amp; Items'!B37)</f>
        <v>2</v>
      </c>
      <c r="O37" s="723" t="str">
        <f t="shared" si="4"/>
        <v>no price</v>
      </c>
      <c r="P37" s="19">
        <f>IFERROR(IF(SEARCH(B37,_xlfn.ARRAYTOTEXT('Bilateral Assistance, MAIN DATA'!I$1:I$1622))&gt;0,1,""),0)</f>
        <v>1</v>
      </c>
      <c r="Q37" s="19">
        <f>IFERROR(IF(SEARCH(B37,_xlfn.ARRAYTOTEXT('Commercial Assistance'!I$1:I$1400))&gt;0,1,""),0)</f>
        <v>0</v>
      </c>
      <c r="R37" s="247" t="str">
        <f>IF(SUMIFS('Bilateral Assistance, MAIN DATA'!N:N,'Bilateral Assistance, MAIN DATA'!I:I,'Price List, Weapons &amp; Items'!B37)&gt;M37,1,".")</f>
        <v>.</v>
      </c>
    </row>
    <row r="38" spans="2:18" ht="15" customHeight="1" x14ac:dyDescent="0.3">
      <c r="B38" s="175" t="s">
        <v>3279</v>
      </c>
      <c r="C38" s="113" t="s">
        <v>812</v>
      </c>
      <c r="D38" s="113" t="s">
        <v>812</v>
      </c>
      <c r="E38" s="199">
        <v>0</v>
      </c>
      <c r="F38" s="199">
        <f t="shared" si="0"/>
        <v>0</v>
      </c>
      <c r="G38" s="629" t="s">
        <v>260</v>
      </c>
      <c r="H38" s="721" t="s">
        <v>260</v>
      </c>
      <c r="I38" s="249" t="s">
        <v>260</v>
      </c>
      <c r="J38" s="249" t="s">
        <v>260</v>
      </c>
      <c r="K38" s="155" t="s">
        <v>260</v>
      </c>
      <c r="L38" s="247" t="str">
        <f t="shared" si="2"/>
        <v>no price, 0 count</v>
      </c>
      <c r="M38" s="121">
        <f>SUMIFS('Bilateral Assistance, MAIN DATA'!M:M,'Bilateral Assistance, MAIN DATA'!I:I,'Price List, Weapons &amp; Items'!B38)</f>
        <v>0</v>
      </c>
      <c r="N38" s="19">
        <f>COUNTIFS('Bilateral Assistance, MAIN DATA'!M:M,"undisclosed",'Bilateral Assistance, MAIN DATA'!I:I,'Price List, Weapons &amp; Items'!B38)</f>
        <v>3</v>
      </c>
      <c r="O38" s="723" t="str">
        <f t="shared" si="4"/>
        <v>no price</v>
      </c>
      <c r="P38" s="19">
        <f>IFERROR(IF(SEARCH(B38,_xlfn.ARRAYTOTEXT('Bilateral Assistance, MAIN DATA'!I$1:I$1622))&gt;0,1,""),0)</f>
        <v>1</v>
      </c>
      <c r="Q38" s="19">
        <f>IFERROR(IF(SEARCH(B38,_xlfn.ARRAYTOTEXT('Commercial Assistance'!I$1:I$1400))&gt;0,1,""),0)</f>
        <v>0</v>
      </c>
      <c r="R38" s="247" t="str">
        <f>IF(SUMIFS('Bilateral Assistance, MAIN DATA'!N:N,'Bilateral Assistance, MAIN DATA'!I:I,'Price List, Weapons &amp; Items'!B38)&gt;M38,1,".")</f>
        <v>.</v>
      </c>
    </row>
    <row r="39" spans="2:18" ht="15" customHeight="1" x14ac:dyDescent="0.3">
      <c r="B39" s="19" t="s">
        <v>3365</v>
      </c>
      <c r="C39" s="113" t="s">
        <v>812</v>
      </c>
      <c r="D39" s="113" t="s">
        <v>812</v>
      </c>
      <c r="E39" s="199">
        <v>0</v>
      </c>
      <c r="F39" s="199">
        <f t="shared" si="0"/>
        <v>0</v>
      </c>
      <c r="G39" s="629" t="s">
        <v>260</v>
      </c>
      <c r="H39" s="721" t="s">
        <v>260</v>
      </c>
      <c r="I39" s="249" t="s">
        <v>260</v>
      </c>
      <c r="J39" s="249" t="s">
        <v>260</v>
      </c>
      <c r="K39" s="155" t="s">
        <v>260</v>
      </c>
      <c r="L39" s="247" t="str">
        <f t="shared" si="2"/>
        <v>no price, 0 count</v>
      </c>
      <c r="M39" s="121">
        <f>SUMIFS('Bilateral Assistance, MAIN DATA'!M:M,'Bilateral Assistance, MAIN DATA'!I:I,'Price List, Weapons &amp; Items'!B39)</f>
        <v>0</v>
      </c>
      <c r="N39" s="19">
        <f>COUNTIFS('Bilateral Assistance, MAIN DATA'!M:M,"undisclosed",'Bilateral Assistance, MAIN DATA'!I:I,'Price List, Weapons &amp; Items'!B39)</f>
        <v>1</v>
      </c>
      <c r="O39" s="723" t="str">
        <f t="shared" si="4"/>
        <v>no price</v>
      </c>
      <c r="P39" s="19">
        <f>IFERROR(IF(SEARCH(B39,_xlfn.ARRAYTOTEXT('Bilateral Assistance, MAIN DATA'!I$1:I$1622))&gt;0,1,""),0)</f>
        <v>1</v>
      </c>
      <c r="Q39" s="19">
        <f>IFERROR(IF(SEARCH(B39,_xlfn.ARRAYTOTEXT('Commercial Assistance'!I$1:I$1400))&gt;0,1,""),0)</f>
        <v>0</v>
      </c>
      <c r="R39" s="247" t="str">
        <f>IF(SUMIFS('Bilateral Assistance, MAIN DATA'!N:N,'Bilateral Assistance, MAIN DATA'!I:I,'Price List, Weapons &amp; Items'!B39)&gt;M39,1,".")</f>
        <v>.</v>
      </c>
    </row>
    <row r="40" spans="2:18" ht="15" customHeight="1" x14ac:dyDescent="0.3">
      <c r="B40" s="175" t="s">
        <v>3984</v>
      </c>
      <c r="C40" s="113" t="s">
        <v>3945</v>
      </c>
      <c r="D40" s="246" t="s">
        <v>3401</v>
      </c>
      <c r="E40" s="199">
        <v>0</v>
      </c>
      <c r="F40" s="199">
        <f t="shared" si="0"/>
        <v>1</v>
      </c>
      <c r="G40" s="629">
        <v>5170000</v>
      </c>
      <c r="H40" s="720" t="str">
        <f>IF(G40&lt;&gt;".","USD",".")</f>
        <v>USD</v>
      </c>
      <c r="I40" s="820" t="s">
        <v>3985</v>
      </c>
      <c r="J40" s="155" t="s">
        <v>3967</v>
      </c>
      <c r="K40" s="155" t="s">
        <v>3986</v>
      </c>
      <c r="L40" s="247">
        <f t="shared" si="2"/>
        <v>2</v>
      </c>
      <c r="M40" s="121">
        <f>SUMIFS('Bilateral Assistance, MAIN DATA'!M:M,'Bilateral Assistance, MAIN DATA'!I:I,'Price List, Weapons &amp; Items'!B40)</f>
        <v>18</v>
      </c>
      <c r="N40" s="19">
        <f>COUNTIFS('Bilateral Assistance, MAIN DATA'!M:M,"undisclosed",'Bilateral Assistance, MAIN DATA'!I:I,'Price List, Weapons &amp; Items'!B40)</f>
        <v>0</v>
      </c>
      <c r="O40" s="723">
        <f t="shared" si="4"/>
        <v>93060000</v>
      </c>
      <c r="P40" s="19">
        <f>IFERROR(IF(SEARCH(B40,_xlfn.ARRAYTOTEXT('Bilateral Assistance, MAIN DATA'!I$1:I$1622))&gt;0,1,""),0)</f>
        <v>1</v>
      </c>
      <c r="Q40" s="19">
        <f>IFERROR(IF(SEARCH(B40,_xlfn.ARRAYTOTEXT('Commercial Assistance'!I$1:I$1400))&gt;0,1,""),0)</f>
        <v>0</v>
      </c>
      <c r="R40" s="247" t="str">
        <f>IF(SUMIFS('Bilateral Assistance, MAIN DATA'!N:N,'Bilateral Assistance, MAIN DATA'!I:I,'Price List, Weapons &amp; Items'!B40)&gt;M40,1,".")</f>
        <v>.</v>
      </c>
    </row>
    <row r="41" spans="2:18" ht="15" customHeight="1" x14ac:dyDescent="0.3">
      <c r="B41" s="185" t="s">
        <v>1982</v>
      </c>
      <c r="C41" s="113" t="s">
        <v>3945</v>
      </c>
      <c r="D41" s="246" t="s">
        <v>3946</v>
      </c>
      <c r="E41" s="199">
        <v>0</v>
      </c>
      <c r="F41" s="199">
        <f t="shared" si="0"/>
        <v>0</v>
      </c>
      <c r="G41" s="629" t="s">
        <v>260</v>
      </c>
      <c r="H41" s="721" t="s">
        <v>260</v>
      </c>
      <c r="I41" s="818" t="s">
        <v>260</v>
      </c>
      <c r="J41" s="249" t="s">
        <v>260</v>
      </c>
      <c r="K41" s="155" t="s">
        <v>260</v>
      </c>
      <c r="L41" s="247" t="str">
        <f t="shared" si="2"/>
        <v>no price, 0 count</v>
      </c>
      <c r="M41" s="121">
        <f>SUMIFS('Bilateral Assistance, MAIN DATA'!M:M,'Bilateral Assistance, MAIN DATA'!I:I,'Price List, Weapons &amp; Items'!B41)</f>
        <v>0</v>
      </c>
      <c r="N41" s="19">
        <f>COUNTIFS('Bilateral Assistance, MAIN DATA'!M:M,"undisclosed",'Bilateral Assistance, MAIN DATA'!I:I,'Price List, Weapons &amp; Items'!B41)</f>
        <v>1</v>
      </c>
      <c r="O41" s="723" t="str">
        <f t="shared" si="4"/>
        <v>no price</v>
      </c>
      <c r="P41" s="19">
        <f>IFERROR(IF(SEARCH(B41,_xlfn.ARRAYTOTEXT('Bilateral Assistance, MAIN DATA'!I$1:I$1622))&gt;0,1,""),0)</f>
        <v>1</v>
      </c>
      <c r="Q41" s="19">
        <f>IFERROR(IF(SEARCH(B41,_xlfn.ARRAYTOTEXT('Commercial Assistance'!I$1:I$1400))&gt;0,1,""),0)</f>
        <v>0</v>
      </c>
      <c r="R41" s="247" t="str">
        <f>IF(SUMIFS('Bilateral Assistance, MAIN DATA'!N:N,'Bilateral Assistance, MAIN DATA'!I:I,'Price List, Weapons &amp; Items'!B41)&gt;M41,1,".")</f>
        <v>.</v>
      </c>
    </row>
    <row r="42" spans="2:18" ht="15" customHeight="1" x14ac:dyDescent="0.3">
      <c r="B42" s="175" t="s">
        <v>1895</v>
      </c>
      <c r="C42" s="113" t="s">
        <v>3987</v>
      </c>
      <c r="D42" s="246" t="s">
        <v>3988</v>
      </c>
      <c r="E42" s="199">
        <v>0</v>
      </c>
      <c r="F42" s="199">
        <f t="shared" si="0"/>
        <v>0</v>
      </c>
      <c r="G42" s="629">
        <f>(0.56*218800000)*VLOOKUP("USD",'Exchange Rates'!B:C,2,0)</f>
        <v>128654400.00000001</v>
      </c>
      <c r="H42" s="721" t="s">
        <v>346</v>
      </c>
      <c r="I42" s="249" t="s">
        <v>260</v>
      </c>
      <c r="J42" s="249" t="s">
        <v>260</v>
      </c>
      <c r="K42" s="249" t="s">
        <v>3989</v>
      </c>
      <c r="L42" s="247" t="str">
        <f t="shared" si="2"/>
        <v>no price, 0 count</v>
      </c>
      <c r="M42" s="121">
        <f>SUMIFS('Bilateral Assistance, MAIN DATA'!M:M,'Bilateral Assistance, MAIN DATA'!I:I,'Price List, Weapons &amp; Items'!B42)</f>
        <v>0</v>
      </c>
      <c r="N42" s="19">
        <f>COUNTIFS('Bilateral Assistance, MAIN DATA'!M:M,"undisclosed",'Bilateral Assistance, MAIN DATA'!I:I,'Price List, Weapons &amp; Items'!B42)</f>
        <v>1</v>
      </c>
      <c r="O42" s="723">
        <f t="shared" si="4"/>
        <v>0</v>
      </c>
      <c r="P42" s="19">
        <f>IFERROR(IF(SEARCH(B42,_xlfn.ARRAYTOTEXT('Bilateral Assistance, MAIN DATA'!I$1:I$1622))&gt;0,1,""),0)</f>
        <v>1</v>
      </c>
      <c r="Q42" s="19">
        <f>IFERROR(IF(SEARCH(B42,_xlfn.ARRAYTOTEXT('Commercial Assistance'!I$1:I$1400))&gt;0,1,""),0)</f>
        <v>0</v>
      </c>
      <c r="R42" s="247" t="str">
        <f>IF(SUMIFS('Bilateral Assistance, MAIN DATA'!N:N,'Bilateral Assistance, MAIN DATA'!I:I,'Price List, Weapons &amp; Items'!B42)&gt;M42,1,".")</f>
        <v>.</v>
      </c>
    </row>
    <row r="43" spans="2:18" ht="15" customHeight="1" x14ac:dyDescent="0.3">
      <c r="B43" s="175" t="s">
        <v>3990</v>
      </c>
      <c r="C43" s="113" t="s">
        <v>812</v>
      </c>
      <c r="D43" s="246" t="s">
        <v>3991</v>
      </c>
      <c r="E43" s="199">
        <v>0</v>
      </c>
      <c r="F43" s="199">
        <f t="shared" si="0"/>
        <v>0</v>
      </c>
      <c r="G43" s="629">
        <v>86940000</v>
      </c>
      <c r="H43" s="720" t="str">
        <f>IF(G43&lt;&gt;".","USD",".")</f>
        <v>USD</v>
      </c>
      <c r="I43" s="822" t="s">
        <v>3992</v>
      </c>
      <c r="J43" s="155" t="s">
        <v>3975</v>
      </c>
      <c r="K43" s="155" t="s">
        <v>3993</v>
      </c>
      <c r="L43" s="247" t="str">
        <f t="shared" si="2"/>
        <v>no price, 0 count</v>
      </c>
      <c r="M43" s="121">
        <f>SUMIFS('Bilateral Assistance, MAIN DATA'!M:M,'Bilateral Assistance, MAIN DATA'!I:I,'Price List, Weapons &amp; Items'!B43)</f>
        <v>0</v>
      </c>
      <c r="N43" s="19">
        <f>COUNTIFS('Bilateral Assistance, MAIN DATA'!M:M,"undisclosed",'Bilateral Assistance, MAIN DATA'!I:I,'Price List, Weapons &amp; Items'!B43)</f>
        <v>1</v>
      </c>
      <c r="O43" s="723">
        <f t="shared" si="4"/>
        <v>0</v>
      </c>
      <c r="P43" s="19">
        <f>IFERROR(IF(SEARCH(B43,_xlfn.ARRAYTOTEXT('Bilateral Assistance, MAIN DATA'!I$1:I$1622))&gt;0,1,""),0)</f>
        <v>1</v>
      </c>
      <c r="Q43" s="19">
        <f>IFERROR(IF(SEARCH(B43,_xlfn.ARRAYTOTEXT('Commercial Assistance'!I$1:I$1400))&gt;0,1,""),0)</f>
        <v>0</v>
      </c>
      <c r="R43" s="247" t="str">
        <f>IF(SUMIFS('Bilateral Assistance, MAIN DATA'!N:N,'Bilateral Assistance, MAIN DATA'!I:I,'Price List, Weapons &amp; Items'!B43)&gt;M43,1,".")</f>
        <v>.</v>
      </c>
    </row>
    <row r="44" spans="2:18" ht="15" customHeight="1" x14ac:dyDescent="0.3">
      <c r="B44" s="175" t="s">
        <v>1891</v>
      </c>
      <c r="C44" s="113" t="s">
        <v>812</v>
      </c>
      <c r="D44" s="113" t="s">
        <v>812</v>
      </c>
      <c r="E44" s="199">
        <v>0</v>
      </c>
      <c r="F44" s="199">
        <f t="shared" si="0"/>
        <v>0</v>
      </c>
      <c r="G44" s="629">
        <f>(0.13*218800000)*VLOOKUP("USD",'Exchange Rates'!B:C,2,0)</f>
        <v>29866200</v>
      </c>
      <c r="H44" s="721" t="s">
        <v>346</v>
      </c>
      <c r="I44" s="249" t="s">
        <v>260</v>
      </c>
      <c r="J44" s="249" t="s">
        <v>3994</v>
      </c>
      <c r="K44" s="155"/>
      <c r="L44" s="247" t="str">
        <f t="shared" si="2"/>
        <v>no price, 0 count</v>
      </c>
      <c r="M44" s="121">
        <f>SUMIFS('Bilateral Assistance, MAIN DATA'!M:M,'Bilateral Assistance, MAIN DATA'!I:I,'Price List, Weapons &amp; Items'!B44)</f>
        <v>0</v>
      </c>
      <c r="N44" s="19">
        <f>COUNTIFS('Bilateral Assistance, MAIN DATA'!M:M,"undisclosed",'Bilateral Assistance, MAIN DATA'!I:I,'Price List, Weapons &amp; Items'!B44)</f>
        <v>1</v>
      </c>
      <c r="O44" s="723">
        <f t="shared" si="4"/>
        <v>0</v>
      </c>
      <c r="P44" s="19">
        <f>IFERROR(IF(SEARCH(B44,_xlfn.ARRAYTOTEXT('Bilateral Assistance, MAIN DATA'!I$1:I$1622))&gt;0,1,""),0)</f>
        <v>1</v>
      </c>
      <c r="Q44" s="19">
        <f>IFERROR(IF(SEARCH(B44,_xlfn.ARRAYTOTEXT('Commercial Assistance'!I$1:I$1400))&gt;0,1,""),0)</f>
        <v>0</v>
      </c>
      <c r="R44" s="247" t="str">
        <f>IF(SUMIFS('Bilateral Assistance, MAIN DATA'!N:N,'Bilateral Assistance, MAIN DATA'!I:I,'Price List, Weapons &amp; Items'!B44)&gt;M44,1,".")</f>
        <v>.</v>
      </c>
    </row>
    <row r="45" spans="2:18" ht="15" customHeight="1" x14ac:dyDescent="0.3">
      <c r="B45" s="188" t="s">
        <v>3995</v>
      </c>
      <c r="C45" s="113" t="s">
        <v>3954</v>
      </c>
      <c r="D45" s="246" t="s">
        <v>3966</v>
      </c>
      <c r="E45" s="199">
        <v>0</v>
      </c>
      <c r="F45" s="199">
        <f t="shared" si="0"/>
        <v>0</v>
      </c>
      <c r="G45" s="629">
        <v>15000000</v>
      </c>
      <c r="H45" s="720" t="str">
        <f>IF(G45&lt;&gt;".","USD",".")</f>
        <v>USD</v>
      </c>
      <c r="I45" s="821" t="s">
        <v>3996</v>
      </c>
      <c r="J45" s="155" t="s">
        <v>3975</v>
      </c>
      <c r="K45" s="155" t="s">
        <v>3997</v>
      </c>
      <c r="L45" s="247" t="str">
        <f t="shared" si="2"/>
        <v>no price, 0 count</v>
      </c>
      <c r="M45" s="121">
        <f>SUMIFS('Bilateral Assistance, MAIN DATA'!M:M,'Bilateral Assistance, MAIN DATA'!I:I,'Price List, Weapons &amp; Items'!B45)</f>
        <v>0</v>
      </c>
      <c r="N45" s="19">
        <f>COUNTIFS('Bilateral Assistance, MAIN DATA'!M:M,"undisclosed",'Bilateral Assistance, MAIN DATA'!I:I,'Price List, Weapons &amp; Items'!B45)</f>
        <v>3</v>
      </c>
      <c r="O45" s="723">
        <f t="shared" si="4"/>
        <v>0</v>
      </c>
      <c r="P45" s="19">
        <f>IFERROR(IF(SEARCH(B45,_xlfn.ARRAYTOTEXT('Bilateral Assistance, MAIN DATA'!I$1:I$1622))&gt;0,1,""),0)</f>
        <v>1</v>
      </c>
      <c r="Q45" s="19">
        <f>IFERROR(IF(SEARCH(B45,_xlfn.ARRAYTOTEXT('Commercial Assistance'!I$1:I$1400))&gt;0,1,""),0)</f>
        <v>0</v>
      </c>
      <c r="R45" s="247" t="str">
        <f>IF(SUMIFS('Bilateral Assistance, MAIN DATA'!N:N,'Bilateral Assistance, MAIN DATA'!I:I,'Price List, Weapons &amp; Items'!B45)&gt;M45,1,".")</f>
        <v>.</v>
      </c>
    </row>
    <row r="46" spans="2:18" ht="15" customHeight="1" x14ac:dyDescent="0.3">
      <c r="B46" s="175" t="s">
        <v>1896</v>
      </c>
      <c r="C46" s="113" t="s">
        <v>3954</v>
      </c>
      <c r="D46" s="246" t="s">
        <v>3966</v>
      </c>
      <c r="E46" s="199">
        <v>0</v>
      </c>
      <c r="F46" s="199">
        <f t="shared" si="0"/>
        <v>0</v>
      </c>
      <c r="G46" s="629">
        <f>(0.05*218800000)*VLOOKUP("USD",'Exchange Rates'!B:C,2,0)</f>
        <v>11487000</v>
      </c>
      <c r="H46" s="721" t="s">
        <v>346</v>
      </c>
      <c r="I46" s="249" t="s">
        <v>260</v>
      </c>
      <c r="J46" s="249" t="s">
        <v>260</v>
      </c>
      <c r="K46" s="249" t="s">
        <v>3998</v>
      </c>
      <c r="L46" s="247" t="str">
        <f t="shared" si="2"/>
        <v>no price, 0 count</v>
      </c>
      <c r="M46" s="121">
        <f>SUMIFS('Bilateral Assistance, MAIN DATA'!M:M,'Bilateral Assistance, MAIN DATA'!I:I,'Price List, Weapons &amp; Items'!B46)</f>
        <v>0</v>
      </c>
      <c r="N46" s="19">
        <f>COUNTIFS('Bilateral Assistance, MAIN DATA'!M:M,"undisclosed",'Bilateral Assistance, MAIN DATA'!I:I,'Price List, Weapons &amp; Items'!B46)</f>
        <v>1</v>
      </c>
      <c r="O46" s="723">
        <f t="shared" si="4"/>
        <v>0</v>
      </c>
      <c r="P46" s="19">
        <f>IFERROR(IF(SEARCH(B46,_xlfn.ARRAYTOTEXT('Bilateral Assistance, MAIN DATA'!I$1:I$1622))&gt;0,1,""),0)</f>
        <v>1</v>
      </c>
      <c r="Q46" s="19">
        <f>IFERROR(IF(SEARCH(B46,_xlfn.ARRAYTOTEXT('Commercial Assistance'!I$1:I$1400))&gt;0,1,""),0)</f>
        <v>0</v>
      </c>
      <c r="R46" s="247" t="str">
        <f>IF(SUMIFS('Bilateral Assistance, MAIN DATA'!N:N,'Bilateral Assistance, MAIN DATA'!I:I,'Price List, Weapons &amp; Items'!B46)&gt;M46,1,".")</f>
        <v>.</v>
      </c>
    </row>
    <row r="47" spans="2:18" ht="15" customHeight="1" x14ac:dyDescent="0.3">
      <c r="B47" s="19" t="s">
        <v>2353</v>
      </c>
      <c r="C47" s="113" t="s">
        <v>3945</v>
      </c>
      <c r="D47" s="246" t="s">
        <v>3962</v>
      </c>
      <c r="E47" s="199">
        <v>1</v>
      </c>
      <c r="F47" s="199">
        <f t="shared" si="0"/>
        <v>1</v>
      </c>
      <c r="G47" s="629">
        <v>3318330.61</v>
      </c>
      <c r="H47" s="720" t="str">
        <f t="shared" ref="H47:H57" si="5">IF(G47&lt;&gt;".","USD",".")</f>
        <v>USD</v>
      </c>
      <c r="I47" s="823" t="s">
        <v>3958</v>
      </c>
      <c r="J47" s="155" t="s">
        <v>3959</v>
      </c>
      <c r="K47" s="155" t="s">
        <v>3960</v>
      </c>
      <c r="L47" s="247">
        <f t="shared" si="2"/>
        <v>2</v>
      </c>
      <c r="M47" s="121">
        <f>SUMIFS('Bilateral Assistance, MAIN DATA'!M:M,'Bilateral Assistance, MAIN DATA'!I:I,'Price List, Weapons &amp; Items'!B47)</f>
        <v>60</v>
      </c>
      <c r="N47" s="19">
        <f>COUNTIFS('Bilateral Assistance, MAIN DATA'!M:M,"undisclosed",'Bilateral Assistance, MAIN DATA'!I:I,'Price List, Weapons &amp; Items'!B47)</f>
        <v>0</v>
      </c>
      <c r="O47" s="723">
        <f t="shared" si="4"/>
        <v>199099836.59999999</v>
      </c>
      <c r="P47" s="19">
        <f>IFERROR(IF(SEARCH(B47,_xlfn.ARRAYTOTEXT('Bilateral Assistance, MAIN DATA'!I$1:I$1622))&gt;0,1,""),0)</f>
        <v>1</v>
      </c>
      <c r="Q47" s="19">
        <f>IFERROR(IF(SEARCH(B47,_xlfn.ARRAYTOTEXT('Commercial Assistance'!I$1:I$1400))&gt;0,1,""),0)</f>
        <v>0</v>
      </c>
      <c r="R47" s="247" t="str">
        <f>IF(SUMIFS('Bilateral Assistance, MAIN DATA'!N:N,'Bilateral Assistance, MAIN DATA'!I:I,'Price List, Weapons &amp; Items'!B47)&gt;M47,1,".")</f>
        <v>.</v>
      </c>
    </row>
    <row r="48" spans="2:18" ht="15" customHeight="1" x14ac:dyDescent="0.3">
      <c r="B48" s="175" t="s">
        <v>3999</v>
      </c>
      <c r="C48" s="113" t="s">
        <v>3945</v>
      </c>
      <c r="D48" s="246" t="s">
        <v>4000</v>
      </c>
      <c r="E48" s="199">
        <v>0</v>
      </c>
      <c r="F48" s="199">
        <f t="shared" si="0"/>
        <v>0</v>
      </c>
      <c r="G48" s="629">
        <v>3960000</v>
      </c>
      <c r="H48" s="720" t="str">
        <f t="shared" si="5"/>
        <v>USD</v>
      </c>
      <c r="I48" s="824" t="s">
        <v>4001</v>
      </c>
      <c r="J48" s="155" t="s">
        <v>3967</v>
      </c>
      <c r="K48" s="223" t="s">
        <v>4002</v>
      </c>
      <c r="L48" s="247" t="str">
        <f t="shared" si="2"/>
        <v>no price, 0 count</v>
      </c>
      <c r="M48" s="121">
        <f>SUMIFS('Bilateral Assistance, MAIN DATA'!M:M,'Bilateral Assistance, MAIN DATA'!I:I,'Price List, Weapons &amp; Items'!B48)</f>
        <v>0</v>
      </c>
      <c r="N48" s="19">
        <f>COUNTIFS('Bilateral Assistance, MAIN DATA'!M:M,"undisclosed",'Bilateral Assistance, MAIN DATA'!I:I,'Price List, Weapons &amp; Items'!B48)</f>
        <v>1</v>
      </c>
      <c r="O48" s="723">
        <f t="shared" si="4"/>
        <v>0</v>
      </c>
      <c r="P48" s="19">
        <f>IFERROR(IF(SEARCH(B48,_xlfn.ARRAYTOTEXT('Bilateral Assistance, MAIN DATA'!I$1:I$1622))&gt;0,1,""),0)</f>
        <v>1</v>
      </c>
      <c r="Q48" s="19">
        <f>IFERROR(IF(SEARCH(B48,_xlfn.ARRAYTOTEXT('Commercial Assistance'!I$1:I$1400))&gt;0,1,""),0)</f>
        <v>0</v>
      </c>
      <c r="R48" s="247" t="str">
        <f>IF(SUMIFS('Bilateral Assistance, MAIN DATA'!N:N,'Bilateral Assistance, MAIN DATA'!I:I,'Price List, Weapons &amp; Items'!B48)&gt;M48,1,".")</f>
        <v>.</v>
      </c>
    </row>
    <row r="49" spans="1:18" ht="15" customHeight="1" x14ac:dyDescent="0.3">
      <c r="B49" s="175" t="s">
        <v>2217</v>
      </c>
      <c r="C49" s="113" t="s">
        <v>3945</v>
      </c>
      <c r="D49" s="246" t="s">
        <v>4003</v>
      </c>
      <c r="E49" s="199">
        <v>0</v>
      </c>
      <c r="F49" s="199">
        <f t="shared" si="0"/>
        <v>0</v>
      </c>
      <c r="G49" s="629">
        <v>2600000</v>
      </c>
      <c r="H49" s="720" t="str">
        <f t="shared" si="5"/>
        <v>USD</v>
      </c>
      <c r="I49" s="825" t="s">
        <v>4004</v>
      </c>
      <c r="J49" s="155" t="s">
        <v>3967</v>
      </c>
      <c r="K49" s="223" t="s">
        <v>4005</v>
      </c>
      <c r="L49" s="247" t="str">
        <f t="shared" si="2"/>
        <v>no price, 0 count</v>
      </c>
      <c r="M49" s="121">
        <f>SUMIFS('Bilateral Assistance, MAIN DATA'!M:M,'Bilateral Assistance, MAIN DATA'!I:I,'Price List, Weapons &amp; Items'!B49)</f>
        <v>0</v>
      </c>
      <c r="N49" s="19">
        <f>COUNTIFS('Bilateral Assistance, MAIN DATA'!M:M,"undisclosed",'Bilateral Assistance, MAIN DATA'!I:I,'Price List, Weapons &amp; Items'!B49)</f>
        <v>1</v>
      </c>
      <c r="O49" s="723">
        <f t="shared" si="4"/>
        <v>0</v>
      </c>
      <c r="P49" s="19">
        <f>IFERROR(IF(SEARCH(B49,_xlfn.ARRAYTOTEXT('Bilateral Assistance, MAIN DATA'!I$1:I$1622))&gt;0,1,""),0)</f>
        <v>1</v>
      </c>
      <c r="Q49" s="19">
        <f>IFERROR(IF(SEARCH(B49,_xlfn.ARRAYTOTEXT('Commercial Assistance'!I$1:I$1400))&gt;0,1,""),0)</f>
        <v>0</v>
      </c>
      <c r="R49" s="247" t="str">
        <f>IF(SUMIFS('Bilateral Assistance, MAIN DATA'!N:N,'Bilateral Assistance, MAIN DATA'!I:I,'Price List, Weapons &amp; Items'!B49)&gt;M49,1,".")</f>
        <v>.</v>
      </c>
    </row>
    <row r="50" spans="1:18" ht="15" customHeight="1" x14ac:dyDescent="0.3">
      <c r="B50" s="188" t="s">
        <v>3113</v>
      </c>
      <c r="C50" s="113" t="s">
        <v>3945</v>
      </c>
      <c r="D50" s="246" t="s">
        <v>4006</v>
      </c>
      <c r="E50" s="199">
        <v>0</v>
      </c>
      <c r="F50" s="199">
        <f t="shared" si="0"/>
        <v>0</v>
      </c>
      <c r="G50" s="629">
        <v>2548204.5789999999</v>
      </c>
      <c r="H50" s="720" t="str">
        <f t="shared" si="5"/>
        <v>USD</v>
      </c>
      <c r="I50" s="821" t="s">
        <v>4007</v>
      </c>
      <c r="J50" s="155" t="s">
        <v>4008</v>
      </c>
      <c r="K50" s="155" t="s">
        <v>4009</v>
      </c>
      <c r="L50" s="247" t="str">
        <f t="shared" si="2"/>
        <v>no price, 0 count</v>
      </c>
      <c r="M50" s="121">
        <f>SUMIFS('Bilateral Assistance, MAIN DATA'!M:M,'Bilateral Assistance, MAIN DATA'!I:I,'Price List, Weapons &amp; Items'!B50)</f>
        <v>0</v>
      </c>
      <c r="N50" s="19">
        <f>COUNTIFS('Bilateral Assistance, MAIN DATA'!M:M,"undisclosed",'Bilateral Assistance, MAIN DATA'!I:I,'Price List, Weapons &amp; Items'!B50)</f>
        <v>1</v>
      </c>
      <c r="O50" s="723">
        <f t="shared" si="4"/>
        <v>0</v>
      </c>
      <c r="P50" s="19">
        <f>IFERROR(IF(SEARCH(B50,_xlfn.ARRAYTOTEXT('Bilateral Assistance, MAIN DATA'!I$1:I$1622))&gt;0,1,""),0)</f>
        <v>1</v>
      </c>
      <c r="Q50" s="19">
        <f>IFERROR(IF(SEARCH(B50,_xlfn.ARRAYTOTEXT('Commercial Assistance'!I$1:I$1400))&gt;0,1,""),0)</f>
        <v>0</v>
      </c>
      <c r="R50" s="247" t="str">
        <f>IF(SUMIFS('Bilateral Assistance, MAIN DATA'!N:N,'Bilateral Assistance, MAIN DATA'!I:I,'Price List, Weapons &amp; Items'!B50)&gt;M50,1,".")</f>
        <v>.</v>
      </c>
    </row>
    <row r="51" spans="1:18" ht="15" customHeight="1" x14ac:dyDescent="0.3">
      <c r="B51" s="175" t="s">
        <v>2904</v>
      </c>
      <c r="C51" s="113" t="s">
        <v>3987</v>
      </c>
      <c r="D51" s="246" t="s">
        <v>3988</v>
      </c>
      <c r="E51" s="199">
        <v>0</v>
      </c>
      <c r="F51" s="199">
        <f t="shared" si="0"/>
        <v>0</v>
      </c>
      <c r="G51" s="629">
        <v>1750000</v>
      </c>
      <c r="H51" s="720" t="str">
        <f t="shared" si="5"/>
        <v>USD</v>
      </c>
      <c r="I51" s="826" t="s">
        <v>3958</v>
      </c>
      <c r="J51" s="155" t="s">
        <v>3959</v>
      </c>
      <c r="K51" s="155" t="s">
        <v>4010</v>
      </c>
      <c r="L51" s="247" t="str">
        <f t="shared" si="2"/>
        <v>no price, 0 count</v>
      </c>
      <c r="M51" s="121">
        <f>SUMIFS('Bilateral Assistance, MAIN DATA'!M:M,'Bilateral Assistance, MAIN DATA'!I:I,'Price List, Weapons &amp; Items'!B51)</f>
        <v>0</v>
      </c>
      <c r="N51" s="19">
        <f>COUNTIFS('Bilateral Assistance, MAIN DATA'!M:M,"undisclosed",'Bilateral Assistance, MAIN DATA'!I:I,'Price List, Weapons &amp; Items'!B51)</f>
        <v>2</v>
      </c>
      <c r="O51" s="723">
        <f t="shared" si="4"/>
        <v>0</v>
      </c>
      <c r="P51" s="19">
        <f>IFERROR(IF(SEARCH(B51,_xlfn.ARRAYTOTEXT('Bilateral Assistance, MAIN DATA'!I$1:I$1622))&gt;0,1,""),0)</f>
        <v>1</v>
      </c>
      <c r="Q51" s="19">
        <f>IFERROR(IF(SEARCH(B51,_xlfn.ARRAYTOTEXT('Commercial Assistance'!I$1:I$1400))&gt;0,1,""),0)</f>
        <v>0</v>
      </c>
      <c r="R51" s="247" t="str">
        <f>IF(SUMIFS('Bilateral Assistance, MAIN DATA'!N:N,'Bilateral Assistance, MAIN DATA'!I:I,'Price List, Weapons &amp; Items'!B51)&gt;M51,1,".")</f>
        <v>.</v>
      </c>
    </row>
    <row r="52" spans="1:18" ht="15" customHeight="1" x14ac:dyDescent="0.3">
      <c r="B52" s="175" t="s">
        <v>912</v>
      </c>
      <c r="C52" s="113" t="s">
        <v>3942</v>
      </c>
      <c r="D52" s="246" t="s">
        <v>4011</v>
      </c>
      <c r="E52" s="199">
        <v>0</v>
      </c>
      <c r="F52" s="199">
        <f t="shared" si="0"/>
        <v>0</v>
      </c>
      <c r="G52" s="629">
        <v>1406812</v>
      </c>
      <c r="H52" s="720" t="str">
        <f t="shared" si="5"/>
        <v>USD</v>
      </c>
      <c r="I52" s="820" t="s">
        <v>4012</v>
      </c>
      <c r="J52" s="155" t="s">
        <v>3975</v>
      </c>
      <c r="K52" s="155" t="s">
        <v>4013</v>
      </c>
      <c r="L52" s="247" t="str">
        <f t="shared" si="2"/>
        <v>no price, 0 count</v>
      </c>
      <c r="M52" s="121">
        <f>SUMIFS('Bilateral Assistance, MAIN DATA'!M:M,'Bilateral Assistance, MAIN DATA'!I:I,'Price List, Weapons &amp; Items'!B52)</f>
        <v>0</v>
      </c>
      <c r="N52" s="19">
        <f>COUNTIFS('Bilateral Assistance, MAIN DATA'!M:M,"undisclosed",'Bilateral Assistance, MAIN DATA'!I:I,'Price List, Weapons &amp; Items'!B52)</f>
        <v>2</v>
      </c>
      <c r="O52" s="723">
        <f t="shared" si="4"/>
        <v>0</v>
      </c>
      <c r="P52" s="19">
        <f>IFERROR(IF(SEARCH(B52,_xlfn.ARRAYTOTEXT('Bilateral Assistance, MAIN DATA'!I$1:I$1622))&gt;0,1,""),0)</f>
        <v>1</v>
      </c>
      <c r="Q52" s="19">
        <f>IFERROR(IF(SEARCH(B52,_xlfn.ARRAYTOTEXT('Commercial Assistance'!I$1:I$1400))&gt;0,1,""),0)</f>
        <v>0</v>
      </c>
      <c r="R52" s="247" t="str">
        <f>IF(SUMIFS('Bilateral Assistance, MAIN DATA'!N:N,'Bilateral Assistance, MAIN DATA'!I:I,'Price List, Weapons &amp; Items'!B52)&gt;M52,1,".")</f>
        <v>.</v>
      </c>
    </row>
    <row r="53" spans="1:18" ht="15" customHeight="1" x14ac:dyDescent="0.3">
      <c r="B53" s="19" t="s">
        <v>1767</v>
      </c>
      <c r="C53" s="113" t="s">
        <v>3945</v>
      </c>
      <c r="D53" s="246" t="s">
        <v>3401</v>
      </c>
      <c r="E53" s="199">
        <v>0</v>
      </c>
      <c r="F53" s="199">
        <f t="shared" si="0"/>
        <v>1</v>
      </c>
      <c r="G53" s="629">
        <v>895040.34</v>
      </c>
      <c r="H53" s="720" t="str">
        <f t="shared" si="5"/>
        <v>USD</v>
      </c>
      <c r="I53" s="819" t="s">
        <v>4014</v>
      </c>
      <c r="J53" s="155" t="s">
        <v>3967</v>
      </c>
      <c r="K53" s="251" t="s">
        <v>4015</v>
      </c>
      <c r="L53" s="247" t="str">
        <f t="shared" si="2"/>
        <v>no price, 0 count</v>
      </c>
      <c r="M53" s="121">
        <f>SUMIFS('Bilateral Assistance, MAIN DATA'!M:M,'Bilateral Assistance, MAIN DATA'!I:I,'Price List, Weapons &amp; Items'!B53)</f>
        <v>0</v>
      </c>
      <c r="N53" s="19">
        <f>COUNTIFS('Bilateral Assistance, MAIN DATA'!M:M,"undisclosed",'Bilateral Assistance, MAIN DATA'!I:I,'Price List, Weapons &amp; Items'!B53)</f>
        <v>1</v>
      </c>
      <c r="O53" s="723">
        <f t="shared" si="4"/>
        <v>0</v>
      </c>
      <c r="P53" s="19">
        <f>IFERROR(IF(SEARCH(B53,_xlfn.ARRAYTOTEXT('Bilateral Assistance, MAIN DATA'!I$1:I$1622))&gt;0,1,""),0)</f>
        <v>1</v>
      </c>
      <c r="Q53" s="19">
        <f>IFERROR(IF(SEARCH(B53,_xlfn.ARRAYTOTEXT('Commercial Assistance'!I$1:I$1400))&gt;0,1,""),0)</f>
        <v>0</v>
      </c>
      <c r="R53" s="247" t="str">
        <f>IF(SUMIFS('Bilateral Assistance, MAIN DATA'!N:N,'Bilateral Assistance, MAIN DATA'!I:I,'Price List, Weapons &amp; Items'!B53)&gt;M53,1,".")</f>
        <v>.</v>
      </c>
    </row>
    <row r="54" spans="1:18" ht="15" customHeight="1" x14ac:dyDescent="0.3">
      <c r="B54" s="175" t="s">
        <v>2952</v>
      </c>
      <c r="C54" s="113" t="s">
        <v>3942</v>
      </c>
      <c r="D54" s="246" t="s">
        <v>4016</v>
      </c>
      <c r="E54" s="199">
        <v>0</v>
      </c>
      <c r="F54" s="199">
        <f t="shared" si="0"/>
        <v>0</v>
      </c>
      <c r="G54" s="629">
        <v>625000</v>
      </c>
      <c r="H54" s="720" t="str">
        <f t="shared" si="5"/>
        <v>USD</v>
      </c>
      <c r="I54" s="821" t="s">
        <v>4017</v>
      </c>
      <c r="J54" s="155" t="s">
        <v>4008</v>
      </c>
      <c r="K54" s="155" t="s">
        <v>4018</v>
      </c>
      <c r="L54" s="247" t="str">
        <f t="shared" si="2"/>
        <v>no price, 0 count</v>
      </c>
      <c r="M54" s="121">
        <f>SUMIFS('Bilateral Assistance, MAIN DATA'!M:M,'Bilateral Assistance, MAIN DATA'!I:I,'Price List, Weapons &amp; Items'!B54)</f>
        <v>0</v>
      </c>
      <c r="N54" s="19">
        <f>COUNTIFS('Bilateral Assistance, MAIN DATA'!M:M,"undisclosed",'Bilateral Assistance, MAIN DATA'!I:I,'Price List, Weapons &amp; Items'!B54)</f>
        <v>2</v>
      </c>
      <c r="O54" s="723">
        <f t="shared" si="4"/>
        <v>0</v>
      </c>
      <c r="P54" s="19">
        <f>IFERROR(IF(SEARCH(B54,_xlfn.ARRAYTOTEXT('Bilateral Assistance, MAIN DATA'!I$1:I$1622))&gt;0,1,""),0)</f>
        <v>1</v>
      </c>
      <c r="Q54" s="19">
        <f>IFERROR(IF(SEARCH(B54,_xlfn.ARRAYTOTEXT('Commercial Assistance'!I$1:I$1400))&gt;0,1,""),0)</f>
        <v>0</v>
      </c>
      <c r="R54" s="247" t="str">
        <f>IF(SUMIFS('Bilateral Assistance, MAIN DATA'!N:N,'Bilateral Assistance, MAIN DATA'!I:I,'Price List, Weapons &amp; Items'!B54)&gt;M54,1,".")</f>
        <v>.</v>
      </c>
    </row>
    <row r="55" spans="1:18" ht="15" customHeight="1" x14ac:dyDescent="0.3">
      <c r="B55" s="188" t="s">
        <v>4019</v>
      </c>
      <c r="C55" s="113" t="s">
        <v>3942</v>
      </c>
      <c r="D55" s="246" t="s">
        <v>4020</v>
      </c>
      <c r="E55" s="199">
        <v>0</v>
      </c>
      <c r="F55" s="199">
        <f t="shared" si="0"/>
        <v>1</v>
      </c>
      <c r="G55" s="629">
        <v>150000</v>
      </c>
      <c r="H55" s="720" t="str">
        <f t="shared" si="5"/>
        <v>USD</v>
      </c>
      <c r="I55" s="821" t="s">
        <v>4021</v>
      </c>
      <c r="J55" s="155" t="s">
        <v>3964</v>
      </c>
      <c r="K55" s="155" t="s">
        <v>4022</v>
      </c>
      <c r="L55" s="247" t="str">
        <f t="shared" si="2"/>
        <v>no price, 0 count</v>
      </c>
      <c r="M55" s="121">
        <f>SUMIFS('Bilateral Assistance, MAIN DATA'!M:M,'Bilateral Assistance, MAIN DATA'!I:I,'Price List, Weapons &amp; Items'!B55)</f>
        <v>0</v>
      </c>
      <c r="N55" s="19">
        <f>COUNTIFS('Bilateral Assistance, MAIN DATA'!M:M,"undisclosed",'Bilateral Assistance, MAIN DATA'!I:I,'Price List, Weapons &amp; Items'!B55)</f>
        <v>16</v>
      </c>
      <c r="O55" s="723">
        <f t="shared" si="4"/>
        <v>0</v>
      </c>
      <c r="P55" s="19">
        <f>IFERROR(IF(SEARCH(B55,_xlfn.ARRAYTOTEXT('Bilateral Assistance, MAIN DATA'!I$1:I$1622))&gt;0,1,""),0)</f>
        <v>1</v>
      </c>
      <c r="Q55" s="19">
        <f>IFERROR(IF(SEARCH(B55,_xlfn.ARRAYTOTEXT('Commercial Assistance'!I$1:I$1400))&gt;0,1,""),0)</f>
        <v>0</v>
      </c>
      <c r="R55" s="247" t="str">
        <f>IF(SUMIFS('Bilateral Assistance, MAIN DATA'!N:N,'Bilateral Assistance, MAIN DATA'!I:I,'Price List, Weapons &amp; Items'!B55)&gt;M55,1,".")</f>
        <v>.</v>
      </c>
    </row>
    <row r="56" spans="1:18" ht="15" customHeight="1" x14ac:dyDescent="0.3">
      <c r="B56" s="175" t="s">
        <v>2257</v>
      </c>
      <c r="C56" s="113" t="s">
        <v>3987</v>
      </c>
      <c r="D56" s="246" t="s">
        <v>3988</v>
      </c>
      <c r="E56" s="199">
        <v>0</v>
      </c>
      <c r="F56" s="199">
        <f t="shared" si="0"/>
        <v>0</v>
      </c>
      <c r="G56" s="629">
        <v>2497000</v>
      </c>
      <c r="H56" s="720" t="str">
        <f t="shared" si="5"/>
        <v>USD</v>
      </c>
      <c r="I56" s="820" t="s">
        <v>4023</v>
      </c>
      <c r="J56" s="155" t="s">
        <v>4008</v>
      </c>
      <c r="K56" s="253" t="s">
        <v>4024</v>
      </c>
      <c r="L56" s="247" t="str">
        <f t="shared" si="2"/>
        <v>no price, 0 count</v>
      </c>
      <c r="M56" s="121">
        <f>SUMIFS('Bilateral Assistance, MAIN DATA'!M:M,'Bilateral Assistance, MAIN DATA'!I:I,'Price List, Weapons &amp; Items'!B56)</f>
        <v>0</v>
      </c>
      <c r="N56" s="19">
        <f>COUNTIFS('Bilateral Assistance, MAIN DATA'!M:M,"undisclosed",'Bilateral Assistance, MAIN DATA'!I:I,'Price List, Weapons &amp; Items'!B56)</f>
        <v>1</v>
      </c>
      <c r="O56" s="723">
        <f t="shared" si="4"/>
        <v>0</v>
      </c>
      <c r="P56" s="19">
        <f>IFERROR(IF(SEARCH(B56,_xlfn.ARRAYTOTEXT('Bilateral Assistance, MAIN DATA'!I$1:I$1622))&gt;0,1,""),0)</f>
        <v>1</v>
      </c>
      <c r="Q56" s="19">
        <f>IFERROR(IF(SEARCH(B56,_xlfn.ARRAYTOTEXT('Commercial Assistance'!I$1:I$1400))&gt;0,1,""),0)</f>
        <v>0</v>
      </c>
      <c r="R56" s="247" t="str">
        <f>IF(SUMIFS('Bilateral Assistance, MAIN DATA'!N:N,'Bilateral Assistance, MAIN DATA'!I:I,'Price List, Weapons &amp; Items'!B56)&gt;M56,1,".")</f>
        <v>.</v>
      </c>
    </row>
    <row r="57" spans="1:18" ht="15" customHeight="1" x14ac:dyDescent="0.3">
      <c r="B57" s="175" t="s">
        <v>652</v>
      </c>
      <c r="C57" s="113" t="s">
        <v>4025</v>
      </c>
      <c r="D57" s="246" t="s">
        <v>4011</v>
      </c>
      <c r="E57" s="199">
        <v>0</v>
      </c>
      <c r="F57" s="199">
        <f t="shared" si="0"/>
        <v>0</v>
      </c>
      <c r="G57" s="629">
        <v>1090000</v>
      </c>
      <c r="H57" s="720" t="str">
        <f t="shared" si="5"/>
        <v>USD</v>
      </c>
      <c r="I57" s="821" t="s">
        <v>4026</v>
      </c>
      <c r="J57" s="249" t="s">
        <v>3975</v>
      </c>
      <c r="K57" s="155" t="s">
        <v>4027</v>
      </c>
      <c r="L57" s="247" t="str">
        <f t="shared" si="2"/>
        <v>no price, 0 count</v>
      </c>
      <c r="M57" s="121">
        <f>SUMIFS('Bilateral Assistance, MAIN DATA'!M:M,'Bilateral Assistance, MAIN DATA'!I:I,'Price List, Weapons &amp; Items'!B57)</f>
        <v>0</v>
      </c>
      <c r="N57" s="19">
        <f>COUNTIFS('Bilateral Assistance, MAIN DATA'!M:M,"undisclosed",'Bilateral Assistance, MAIN DATA'!I:I,'Price List, Weapons &amp; Items'!B57)</f>
        <v>4</v>
      </c>
      <c r="O57" s="723">
        <f t="shared" si="4"/>
        <v>0</v>
      </c>
      <c r="P57" s="19">
        <f>IFERROR(IF(SEARCH(B57,_xlfn.ARRAYTOTEXT('Bilateral Assistance, MAIN DATA'!I$1:I$1622))&gt;0,1,""),0)</f>
        <v>1</v>
      </c>
      <c r="Q57" s="19">
        <f>IFERROR(IF(SEARCH(B57,_xlfn.ARRAYTOTEXT('Commercial Assistance'!I$1:I$1400))&gt;0,1,""),0)</f>
        <v>0</v>
      </c>
      <c r="R57" s="247" t="str">
        <f>IF(SUMIFS('Bilateral Assistance, MAIN DATA'!N:N,'Bilateral Assistance, MAIN DATA'!I:I,'Price List, Weapons &amp; Items'!B57)&gt;M57,1,".")</f>
        <v>.</v>
      </c>
    </row>
    <row r="58" spans="1:18" ht="15" customHeight="1" x14ac:dyDescent="0.3">
      <c r="B58" s="19" t="s">
        <v>3243</v>
      </c>
      <c r="C58" s="113" t="s">
        <v>3942</v>
      </c>
      <c r="D58" s="246" t="s">
        <v>4011</v>
      </c>
      <c r="E58" s="199">
        <v>0</v>
      </c>
      <c r="F58" s="199">
        <f t="shared" si="0"/>
        <v>0</v>
      </c>
      <c r="G58" s="629">
        <v>557000</v>
      </c>
      <c r="H58" s="721" t="s">
        <v>346</v>
      </c>
      <c r="I58" s="821" t="s">
        <v>4028</v>
      </c>
      <c r="J58" s="249" t="s">
        <v>3975</v>
      </c>
      <c r="K58" s="155" t="s">
        <v>4029</v>
      </c>
      <c r="L58" s="247" t="str">
        <f t="shared" si="2"/>
        <v>no price, 0 count</v>
      </c>
      <c r="M58" s="121">
        <f>SUMIFS('Bilateral Assistance, MAIN DATA'!M:M,'Bilateral Assistance, MAIN DATA'!I:I,'Price List, Weapons &amp; Items'!B58)</f>
        <v>0</v>
      </c>
      <c r="N58" s="19">
        <f>COUNTIFS('Bilateral Assistance, MAIN DATA'!M:M,"undisclosed",'Bilateral Assistance, MAIN DATA'!I:I,'Price List, Weapons &amp; Items'!B58)</f>
        <v>5</v>
      </c>
      <c r="O58" s="723">
        <f t="shared" si="4"/>
        <v>0</v>
      </c>
      <c r="P58" s="19">
        <f>IFERROR(IF(SEARCH(B58,_xlfn.ARRAYTOTEXT('Bilateral Assistance, MAIN DATA'!I$1:I$1622))&gt;0,1,""),0)</f>
        <v>1</v>
      </c>
      <c r="Q58" s="19">
        <f>IFERROR(IF(SEARCH(B58,_xlfn.ARRAYTOTEXT('Commercial Assistance'!I$1:I$1400))&gt;0,1,""),0)</f>
        <v>0</v>
      </c>
      <c r="R58" s="247" t="str">
        <f>IF(SUMIFS('Bilateral Assistance, MAIN DATA'!N:N,'Bilateral Assistance, MAIN DATA'!I:I,'Price List, Weapons &amp; Items'!B58)&gt;M58,1,".")</f>
        <v>.</v>
      </c>
    </row>
    <row r="59" spans="1:18" ht="15" customHeight="1" x14ac:dyDescent="0.3">
      <c r="B59" s="188" t="s">
        <v>4030</v>
      </c>
      <c r="C59" s="113" t="s">
        <v>3954</v>
      </c>
      <c r="D59" s="246" t="s">
        <v>3966</v>
      </c>
      <c r="E59" s="199">
        <v>0</v>
      </c>
      <c r="F59" s="199">
        <f t="shared" si="0"/>
        <v>0</v>
      </c>
      <c r="G59" s="629">
        <v>15000000</v>
      </c>
      <c r="H59" s="720" t="str">
        <f>IF(G59&lt;&gt;".","USD",".")</f>
        <v>USD</v>
      </c>
      <c r="I59" s="821" t="s">
        <v>3996</v>
      </c>
      <c r="J59" s="155" t="s">
        <v>3975</v>
      </c>
      <c r="K59" s="155" t="s">
        <v>4031</v>
      </c>
      <c r="L59" s="247" t="str">
        <f t="shared" si="2"/>
        <v>no price, 0 count</v>
      </c>
      <c r="M59" s="121">
        <f>SUMIFS('Bilateral Assistance, MAIN DATA'!M:M,'Bilateral Assistance, MAIN DATA'!I:I,'Price List, Weapons &amp; Items'!B59)</f>
        <v>0</v>
      </c>
      <c r="N59" s="19">
        <f>COUNTIFS('Bilateral Assistance, MAIN DATA'!M:M,"undisclosed",'Bilateral Assistance, MAIN DATA'!I:I,'Price List, Weapons &amp; Items'!B59)</f>
        <v>1</v>
      </c>
      <c r="O59" s="723">
        <f t="shared" si="4"/>
        <v>0</v>
      </c>
      <c r="P59" s="19">
        <f>IFERROR(IF(SEARCH(B59,_xlfn.ARRAYTOTEXT('Bilateral Assistance, MAIN DATA'!I$1:I$1622))&gt;0,1,""),0)</f>
        <v>1</v>
      </c>
      <c r="Q59" s="19">
        <f>IFERROR(IF(SEARCH(B59,_xlfn.ARRAYTOTEXT('Commercial Assistance'!I$1:I$1400))&gt;0,1,""),0)</f>
        <v>0</v>
      </c>
      <c r="R59" s="247" t="str">
        <f>IF(SUMIFS('Bilateral Assistance, MAIN DATA'!N:N,'Bilateral Assistance, MAIN DATA'!I:I,'Price List, Weapons &amp; Items'!B59)&gt;M59,1,".")</f>
        <v>.</v>
      </c>
    </row>
    <row r="60" spans="1:18" ht="15" customHeight="1" x14ac:dyDescent="0.3">
      <c r="B60" s="17" t="s">
        <v>2982</v>
      </c>
      <c r="C60" s="113" t="s">
        <v>3945</v>
      </c>
      <c r="D60" s="246" t="s">
        <v>4032</v>
      </c>
      <c r="E60" s="199">
        <v>0</v>
      </c>
      <c r="F60" s="199">
        <f t="shared" si="0"/>
        <v>0</v>
      </c>
      <c r="G60" s="629">
        <v>1392389.093089018</v>
      </c>
      <c r="H60" s="721" t="s">
        <v>346</v>
      </c>
      <c r="I60" s="826" t="s">
        <v>3958</v>
      </c>
      <c r="J60" s="155" t="s">
        <v>3959</v>
      </c>
      <c r="K60" s="155" t="s">
        <v>4033</v>
      </c>
      <c r="L60" s="247" t="str">
        <f t="shared" si="2"/>
        <v>no price, 0 count</v>
      </c>
      <c r="M60" s="121">
        <f>SUMIFS('Bilateral Assistance, MAIN DATA'!M:M,'Bilateral Assistance, MAIN DATA'!I:I,'Price List, Weapons &amp; Items'!B60)</f>
        <v>0</v>
      </c>
      <c r="N60" s="19">
        <f>COUNTIFS('Bilateral Assistance, MAIN DATA'!M:M,"undisclosed",'Bilateral Assistance, MAIN DATA'!I:I,'Price List, Weapons &amp; Items'!B60)</f>
        <v>1</v>
      </c>
      <c r="O60" s="723">
        <f t="shared" si="4"/>
        <v>0</v>
      </c>
      <c r="P60" s="19">
        <f>IFERROR(IF(SEARCH(B60,_xlfn.ARRAYTOTEXT('Bilateral Assistance, MAIN DATA'!I$1:I$1622))&gt;0,1,""),0)</f>
        <v>1</v>
      </c>
      <c r="Q60" s="19">
        <f>IFERROR(IF(SEARCH(B60,_xlfn.ARRAYTOTEXT('Commercial Assistance'!I$1:I$1400))&gt;0,1,""),0)</f>
        <v>0</v>
      </c>
      <c r="R60" s="247" t="str">
        <f>IF(SUMIFS('Bilateral Assistance, MAIN DATA'!N:N,'Bilateral Assistance, MAIN DATA'!I:I,'Price List, Weapons &amp; Items'!B60)&gt;M60,1,".")</f>
        <v>.</v>
      </c>
    </row>
    <row r="61" spans="1:18" ht="15" customHeight="1" x14ac:dyDescent="0.3">
      <c r="B61" s="185" t="s">
        <v>1350</v>
      </c>
      <c r="C61" s="113" t="s">
        <v>4034</v>
      </c>
      <c r="D61" s="113" t="s">
        <v>812</v>
      </c>
      <c r="E61" s="199">
        <v>0</v>
      </c>
      <c r="F61" s="199">
        <f t="shared" si="0"/>
        <v>0</v>
      </c>
      <c r="G61" s="629">
        <v>19354990.84</v>
      </c>
      <c r="H61" s="721" t="s">
        <v>346</v>
      </c>
      <c r="I61" s="826" t="s">
        <v>3958</v>
      </c>
      <c r="J61" s="155" t="s">
        <v>3959</v>
      </c>
      <c r="K61" s="155" t="s">
        <v>4035</v>
      </c>
      <c r="L61" s="247">
        <f t="shared" si="2"/>
        <v>2</v>
      </c>
      <c r="M61" s="121">
        <f>SUMIFS('Bilateral Assistance, MAIN DATA'!M:M,'Bilateral Assistance, MAIN DATA'!I:I,'Price List, Weapons &amp; Items'!B61)</f>
        <v>1</v>
      </c>
      <c r="N61" s="19">
        <f>COUNTIFS('Bilateral Assistance, MAIN DATA'!M:M,"undisclosed",'Bilateral Assistance, MAIN DATA'!I:I,'Price List, Weapons &amp; Items'!B61)</f>
        <v>0</v>
      </c>
      <c r="O61" s="723">
        <f t="shared" si="4"/>
        <v>19354990.84</v>
      </c>
      <c r="P61" s="19">
        <f>IFERROR(IF(SEARCH(B61,_xlfn.ARRAYTOTEXT('Bilateral Assistance, MAIN DATA'!I$1:I$1622))&gt;0,1,""),0)</f>
        <v>1</v>
      </c>
      <c r="Q61" s="19">
        <f>IFERROR(IF(SEARCH(B61,_xlfn.ARRAYTOTEXT('Commercial Assistance'!I$1:I$1400))&gt;0,1,""),0)</f>
        <v>0</v>
      </c>
      <c r="R61" s="247" t="str">
        <f>IF(SUMIFS('Bilateral Assistance, MAIN DATA'!N:N,'Bilateral Assistance, MAIN DATA'!I:I,'Price List, Weapons &amp; Items'!B61)&gt;M61,1,".")</f>
        <v>.</v>
      </c>
    </row>
    <row r="62" spans="1:18" ht="15" customHeight="1" x14ac:dyDescent="0.3">
      <c r="B62" s="185" t="s">
        <v>1374</v>
      </c>
      <c r="C62" s="113" t="s">
        <v>3942</v>
      </c>
      <c r="D62" s="246" t="s">
        <v>4036</v>
      </c>
      <c r="E62" s="199">
        <v>0</v>
      </c>
      <c r="F62" s="199">
        <f t="shared" si="0"/>
        <v>0</v>
      </c>
      <c r="G62" s="629">
        <v>616680.63641107001</v>
      </c>
      <c r="H62" s="720" t="s">
        <v>346</v>
      </c>
      <c r="I62" s="826" t="s">
        <v>3958</v>
      </c>
      <c r="J62" s="155" t="s">
        <v>3959</v>
      </c>
      <c r="K62" s="155" t="s">
        <v>4033</v>
      </c>
      <c r="L62" s="247" t="str">
        <f t="shared" si="2"/>
        <v>no price, 0 count</v>
      </c>
      <c r="M62" s="121">
        <f>SUMIFS('Bilateral Assistance, MAIN DATA'!M:M,'Bilateral Assistance, MAIN DATA'!I:I,'Price List, Weapons &amp; Items'!B62)</f>
        <v>0</v>
      </c>
      <c r="N62" s="19">
        <f>COUNTIFS('Bilateral Assistance, MAIN DATA'!M:M,"undisclosed",'Bilateral Assistance, MAIN DATA'!I:I,'Price List, Weapons &amp; Items'!B62)</f>
        <v>1</v>
      </c>
      <c r="O62" s="723">
        <f t="shared" si="4"/>
        <v>0</v>
      </c>
      <c r="P62" s="19">
        <f>IFERROR(IF(SEARCH(B62,_xlfn.ARRAYTOTEXT('Bilateral Assistance, MAIN DATA'!I$1:I$1622))&gt;0,1,""),0)</f>
        <v>1</v>
      </c>
      <c r="Q62" s="19">
        <f>IFERROR(IF(SEARCH(B62,_xlfn.ARRAYTOTEXT('Commercial Assistance'!I$1:I$1400))&gt;0,1,""),0)</f>
        <v>0</v>
      </c>
      <c r="R62" s="247" t="str">
        <f>IF(SUMIFS('Bilateral Assistance, MAIN DATA'!N:N,'Bilateral Assistance, MAIN DATA'!I:I,'Price List, Weapons &amp; Items'!B62)&gt;M62,1,".")</f>
        <v>.</v>
      </c>
    </row>
    <row r="63" spans="1:18" ht="15" customHeight="1" x14ac:dyDescent="0.3">
      <c r="B63" s="175" t="s">
        <v>4037</v>
      </c>
      <c r="C63" s="113" t="s">
        <v>3942</v>
      </c>
      <c r="D63" s="246" t="s">
        <v>4038</v>
      </c>
      <c r="E63" s="199">
        <v>0</v>
      </c>
      <c r="F63" s="199">
        <f t="shared" si="0"/>
        <v>1</v>
      </c>
      <c r="G63" s="629">
        <v>625000</v>
      </c>
      <c r="H63" s="720" t="str">
        <f t="shared" ref="H63:H94" si="6">IF(G63&lt;&gt;".","USD",".")</f>
        <v>USD</v>
      </c>
      <c r="I63" s="827" t="s">
        <v>4017</v>
      </c>
      <c r="J63" s="155" t="s">
        <v>4008</v>
      </c>
      <c r="K63" s="223" t="s">
        <v>4039</v>
      </c>
      <c r="L63" s="247" t="str">
        <f t="shared" si="2"/>
        <v>no price, 0 count</v>
      </c>
      <c r="M63" s="121">
        <f>SUMIFS('Bilateral Assistance, MAIN DATA'!M:M,'Bilateral Assistance, MAIN DATA'!I:I,'Price List, Weapons &amp; Items'!B63)</f>
        <v>0</v>
      </c>
      <c r="N63" s="19">
        <f>COUNTIFS('Bilateral Assistance, MAIN DATA'!M:M,"undisclosed",'Bilateral Assistance, MAIN DATA'!I:I,'Price List, Weapons &amp; Items'!B63)</f>
        <v>1</v>
      </c>
      <c r="O63" s="723">
        <f t="shared" si="4"/>
        <v>0</v>
      </c>
      <c r="P63" s="19">
        <f>IFERROR(IF(SEARCH(B63,_xlfn.ARRAYTOTEXT('Bilateral Assistance, MAIN DATA'!I$1:I$1622))&gt;0,1,""),0)</f>
        <v>1</v>
      </c>
      <c r="Q63" s="19">
        <f>IFERROR(IF(SEARCH(B63,_xlfn.ARRAYTOTEXT('Commercial Assistance'!I$1:I$1400))&gt;0,1,""),0)</f>
        <v>0</v>
      </c>
      <c r="R63" s="247" t="str">
        <f>IF(SUMIFS('Bilateral Assistance, MAIN DATA'!N:N,'Bilateral Assistance, MAIN DATA'!I:I,'Price List, Weapons &amp; Items'!B63)&gt;M63,1,".")</f>
        <v>.</v>
      </c>
    </row>
    <row r="64" spans="1:18" s="490" customFormat="1" ht="15" customHeight="1" x14ac:dyDescent="0.3">
      <c r="A64" s="32"/>
      <c r="B64" s="175" t="s">
        <v>1774</v>
      </c>
      <c r="C64" s="113" t="s">
        <v>3945</v>
      </c>
      <c r="D64" s="246" t="s">
        <v>4040</v>
      </c>
      <c r="E64" s="199">
        <v>0</v>
      </c>
      <c r="F64" s="199">
        <f t="shared" si="0"/>
        <v>1</v>
      </c>
      <c r="G64" s="629">
        <v>533100</v>
      </c>
      <c r="H64" s="579" t="str">
        <f t="shared" si="6"/>
        <v>USD</v>
      </c>
      <c r="I64" s="821" t="s">
        <v>4041</v>
      </c>
      <c r="J64" s="155" t="s">
        <v>3959</v>
      </c>
      <c r="K64" s="175" t="s">
        <v>4042</v>
      </c>
      <c r="L64" s="247" t="str">
        <f t="shared" si="2"/>
        <v>no price, 0 count</v>
      </c>
      <c r="M64" s="121">
        <f>SUMIFS('Bilateral Assistance, MAIN DATA'!M:M,'Bilateral Assistance, MAIN DATA'!I:I,'Price List, Weapons &amp; Items'!B64)</f>
        <v>0</v>
      </c>
      <c r="N64" s="19">
        <f>COUNTIFS('Bilateral Assistance, MAIN DATA'!M:M,"undisclosed",'Bilateral Assistance, MAIN DATA'!I:I,'Price List, Weapons &amp; Items'!B64)</f>
        <v>1</v>
      </c>
      <c r="O64" s="723">
        <f t="shared" si="4"/>
        <v>0</v>
      </c>
      <c r="P64" s="19">
        <f>IFERROR(IF(SEARCH(B64,_xlfn.ARRAYTOTEXT('Bilateral Assistance, MAIN DATA'!I$1:I$1622))&gt;0,1,""),0)</f>
        <v>1</v>
      </c>
      <c r="Q64" s="19">
        <f>IFERROR(IF(SEARCH(B64,_xlfn.ARRAYTOTEXT('Commercial Assistance'!I$1:I$1400))&gt;0,1,""),0)</f>
        <v>0</v>
      </c>
      <c r="R64" s="247" t="str">
        <f>IF(SUMIFS('Bilateral Assistance, MAIN DATA'!N:N,'Bilateral Assistance, MAIN DATA'!I:I,'Price List, Weapons &amp; Items'!B64)&gt;M64,1,".")</f>
        <v>.</v>
      </c>
    </row>
    <row r="65" spans="1:18" ht="15" customHeight="1" x14ac:dyDescent="0.3">
      <c r="B65" s="188" t="s">
        <v>2097</v>
      </c>
      <c r="C65" s="113" t="s">
        <v>3945</v>
      </c>
      <c r="D65" s="113" t="s">
        <v>4043</v>
      </c>
      <c r="E65" s="199">
        <v>0</v>
      </c>
      <c r="F65" s="199">
        <f t="shared" si="0"/>
        <v>1</v>
      </c>
      <c r="G65" s="629">
        <v>334029</v>
      </c>
      <c r="H65" s="720" t="str">
        <f t="shared" si="6"/>
        <v>USD</v>
      </c>
      <c r="I65" s="821" t="s">
        <v>4044</v>
      </c>
      <c r="J65" s="155" t="s">
        <v>3959</v>
      </c>
      <c r="K65" s="155" t="s">
        <v>4045</v>
      </c>
      <c r="L65" s="247" t="str">
        <f t="shared" si="2"/>
        <v>no price, 0 count</v>
      </c>
      <c r="M65" s="121">
        <f>SUMIFS('Bilateral Assistance, MAIN DATA'!M:M,'Bilateral Assistance, MAIN DATA'!I:I,'Price List, Weapons &amp; Items'!B65)</f>
        <v>0</v>
      </c>
      <c r="N65" s="19">
        <f>COUNTIFS('Bilateral Assistance, MAIN DATA'!M:M,"undisclosed",'Bilateral Assistance, MAIN DATA'!I:I,'Price List, Weapons &amp; Items'!B65)</f>
        <v>2</v>
      </c>
      <c r="O65" s="723">
        <f t="shared" si="4"/>
        <v>0</v>
      </c>
      <c r="P65" s="19">
        <f>IFERROR(IF(SEARCH(B65,_xlfn.ARRAYTOTEXT('Bilateral Assistance, MAIN DATA'!I$1:I$1622))&gt;0,1,""),0)</f>
        <v>1</v>
      </c>
      <c r="Q65" s="19">
        <f>IFERROR(IF(SEARCH(B65,_xlfn.ARRAYTOTEXT('Commercial Assistance'!I$1:I$1400))&gt;0,1,""),0)</f>
        <v>0</v>
      </c>
      <c r="R65" s="247" t="str">
        <f>IF(SUMIFS('Bilateral Assistance, MAIN DATA'!N:N,'Bilateral Assistance, MAIN DATA'!I:I,'Price List, Weapons &amp; Items'!B65)&gt;M65,1,".")</f>
        <v>.</v>
      </c>
    </row>
    <row r="66" spans="1:18" ht="15" customHeight="1" x14ac:dyDescent="0.3">
      <c r="B66" s="17" t="s">
        <v>1953</v>
      </c>
      <c r="C66" s="113" t="s">
        <v>3945</v>
      </c>
      <c r="D66" s="246" t="s">
        <v>4046</v>
      </c>
      <c r="E66" s="199">
        <v>0</v>
      </c>
      <c r="F66" s="199">
        <f t="shared" si="0"/>
        <v>1</v>
      </c>
      <c r="G66" s="629">
        <v>326778</v>
      </c>
      <c r="H66" s="720" t="str">
        <f t="shared" si="6"/>
        <v>USD</v>
      </c>
      <c r="I66" s="819" t="s">
        <v>4047</v>
      </c>
      <c r="J66" s="155" t="s">
        <v>3959</v>
      </c>
      <c r="K66" s="251" t="s">
        <v>4048</v>
      </c>
      <c r="L66" s="247" t="str">
        <f t="shared" si="2"/>
        <v>no price, 0 count</v>
      </c>
      <c r="M66" s="121">
        <f>SUMIFS('Bilateral Assistance, MAIN DATA'!M:M,'Bilateral Assistance, MAIN DATA'!I:I,'Price List, Weapons &amp; Items'!B66)</f>
        <v>0</v>
      </c>
      <c r="N66" s="19">
        <f>COUNTIFS('Bilateral Assistance, MAIN DATA'!M:M,"undisclosed",'Bilateral Assistance, MAIN DATA'!I:I,'Price List, Weapons &amp; Items'!B66)</f>
        <v>1</v>
      </c>
      <c r="O66" s="723">
        <f t="shared" si="4"/>
        <v>0</v>
      </c>
      <c r="P66" s="19">
        <f>IFERROR(IF(SEARCH(B66,_xlfn.ARRAYTOTEXT('Bilateral Assistance, MAIN DATA'!I$1:I$1622))&gt;0,1,""),0)</f>
        <v>1</v>
      </c>
      <c r="Q66" s="19">
        <f>IFERROR(IF(SEARCH(B66,_xlfn.ARRAYTOTEXT('Commercial Assistance'!I$1:I$1400))&gt;0,1,""),0)</f>
        <v>0</v>
      </c>
      <c r="R66" s="247" t="str">
        <f>IF(SUMIFS('Bilateral Assistance, MAIN DATA'!N:N,'Bilateral Assistance, MAIN DATA'!I:I,'Price List, Weapons &amp; Items'!B66)&gt;M66,1,".")</f>
        <v>.</v>
      </c>
    </row>
    <row r="67" spans="1:18" ht="15" customHeight="1" x14ac:dyDescent="0.3">
      <c r="B67" s="175" t="s">
        <v>1773</v>
      </c>
      <c r="C67" s="113" t="s">
        <v>3945</v>
      </c>
      <c r="D67" s="246" t="s">
        <v>4046</v>
      </c>
      <c r="E67" s="199">
        <v>0</v>
      </c>
      <c r="F67" s="199">
        <f t="shared" si="0"/>
        <v>1</v>
      </c>
      <c r="G67" s="629">
        <v>300000</v>
      </c>
      <c r="H67" s="720" t="str">
        <f t="shared" si="6"/>
        <v>USD</v>
      </c>
      <c r="I67" s="821" t="s">
        <v>4049</v>
      </c>
      <c r="J67" s="155" t="s">
        <v>3975</v>
      </c>
      <c r="K67" s="155" t="s">
        <v>4050</v>
      </c>
      <c r="L67" s="247" t="str">
        <f t="shared" si="2"/>
        <v>no price, 0 count</v>
      </c>
      <c r="M67" s="121">
        <f>SUMIFS('Bilateral Assistance, MAIN DATA'!M:M,'Bilateral Assistance, MAIN DATA'!I:I,'Price List, Weapons &amp; Items'!B67)</f>
        <v>0</v>
      </c>
      <c r="N67" s="19">
        <f>COUNTIFS('Bilateral Assistance, MAIN DATA'!M:M,"undisclosed",'Bilateral Assistance, MAIN DATA'!I:I,'Price List, Weapons &amp; Items'!B67)</f>
        <v>1</v>
      </c>
      <c r="O67" s="723">
        <f t="shared" si="4"/>
        <v>0</v>
      </c>
      <c r="P67" s="19">
        <f>IFERROR(IF(SEARCH(B67,_xlfn.ARRAYTOTEXT('Bilateral Assistance, MAIN DATA'!I$1:I$1622))&gt;0,1,""),0)</f>
        <v>1</v>
      </c>
      <c r="Q67" s="19">
        <f>IFERROR(IF(SEARCH(B67,_xlfn.ARRAYTOTEXT('Commercial Assistance'!I$1:I$1400))&gt;0,1,""),0)</f>
        <v>0</v>
      </c>
      <c r="R67" s="247" t="str">
        <f>IF(SUMIFS('Bilateral Assistance, MAIN DATA'!N:N,'Bilateral Assistance, MAIN DATA'!I:I,'Price List, Weapons &amp; Items'!B67)&gt;M67,1,".")</f>
        <v>.</v>
      </c>
    </row>
    <row r="68" spans="1:18" s="491" customFormat="1" ht="15" customHeight="1" x14ac:dyDescent="0.3">
      <c r="A68" s="32"/>
      <c r="B68" s="188" t="s">
        <v>3315</v>
      </c>
      <c r="C68" s="113" t="s">
        <v>3942</v>
      </c>
      <c r="D68" s="246" t="s">
        <v>4051</v>
      </c>
      <c r="E68" s="199">
        <v>0</v>
      </c>
      <c r="F68" s="199">
        <f t="shared" si="0"/>
        <v>1</v>
      </c>
      <c r="G68" s="629">
        <v>625000</v>
      </c>
      <c r="H68" s="720" t="str">
        <f t="shared" si="6"/>
        <v>USD</v>
      </c>
      <c r="I68" s="828" t="s">
        <v>4017</v>
      </c>
      <c r="J68" s="155" t="s">
        <v>4008</v>
      </c>
      <c r="K68" s="155" t="s">
        <v>4052</v>
      </c>
      <c r="L68" s="247" t="str">
        <f t="shared" si="2"/>
        <v>no price, 0 count</v>
      </c>
      <c r="M68" s="121">
        <f>SUMIFS('Bilateral Assistance, MAIN DATA'!M:M,'Bilateral Assistance, MAIN DATA'!I:I,'Price List, Weapons &amp; Items'!B68)</f>
        <v>0</v>
      </c>
      <c r="N68" s="19">
        <f>COUNTIFS('Bilateral Assistance, MAIN DATA'!M:M,"undisclosed",'Bilateral Assistance, MAIN DATA'!I:I,'Price List, Weapons &amp; Items'!B68)</f>
        <v>1</v>
      </c>
      <c r="O68" s="723">
        <f t="shared" si="4"/>
        <v>0</v>
      </c>
      <c r="P68" s="19">
        <f>IFERROR(IF(SEARCH(B68,_xlfn.ARRAYTOTEXT('Bilateral Assistance, MAIN DATA'!I$1:I$1622))&gt;0,1,""),0)</f>
        <v>1</v>
      </c>
      <c r="Q68" s="19">
        <f>IFERROR(IF(SEARCH(B68,_xlfn.ARRAYTOTEXT('Commercial Assistance'!I$1:I$1400))&gt;0,1,""),0)</f>
        <v>0</v>
      </c>
      <c r="R68" s="247" t="str">
        <f>IF(SUMIFS('Bilateral Assistance, MAIN DATA'!N:N,'Bilateral Assistance, MAIN DATA'!I:I,'Price List, Weapons &amp; Items'!B68)&gt;M68,1,".")</f>
        <v>.</v>
      </c>
    </row>
    <row r="69" spans="1:18" ht="15" customHeight="1" x14ac:dyDescent="0.3">
      <c r="B69" s="188" t="s">
        <v>3344</v>
      </c>
      <c r="C69" s="113" t="s">
        <v>3954</v>
      </c>
      <c r="D69" s="246" t="s">
        <v>3966</v>
      </c>
      <c r="E69" s="199">
        <v>0</v>
      </c>
      <c r="F69" s="199">
        <f t="shared" si="0"/>
        <v>0</v>
      </c>
      <c r="G69" s="629">
        <v>250000</v>
      </c>
      <c r="H69" s="720" t="str">
        <f t="shared" si="6"/>
        <v>USD</v>
      </c>
      <c r="I69" s="821" t="s">
        <v>4053</v>
      </c>
      <c r="J69" s="155" t="s">
        <v>3964</v>
      </c>
      <c r="K69" s="155" t="s">
        <v>4054</v>
      </c>
      <c r="L69" s="247" t="str">
        <f t="shared" si="2"/>
        <v>no price, 0 count</v>
      </c>
      <c r="M69" s="121">
        <f>SUMIFS('Bilateral Assistance, MAIN DATA'!M:M,'Bilateral Assistance, MAIN DATA'!I:I,'Price List, Weapons &amp; Items'!B69)</f>
        <v>0</v>
      </c>
      <c r="N69" s="19">
        <f>COUNTIFS('Bilateral Assistance, MAIN DATA'!M:M,"undisclosed",'Bilateral Assistance, MAIN DATA'!I:I,'Price List, Weapons &amp; Items'!B69)</f>
        <v>2</v>
      </c>
      <c r="O69" s="723">
        <f t="shared" si="4"/>
        <v>0</v>
      </c>
      <c r="P69" s="19">
        <f>IFERROR(IF(SEARCH(B69,_xlfn.ARRAYTOTEXT('Bilateral Assistance, MAIN DATA'!I$1:I$1622))&gt;0,1,""),0)</f>
        <v>1</v>
      </c>
      <c r="Q69" s="19">
        <f>IFERROR(IF(SEARCH(B69,_xlfn.ARRAYTOTEXT('Commercial Assistance'!I$1:I$1400))&gt;0,1,""),0)</f>
        <v>0</v>
      </c>
      <c r="R69" s="247" t="str">
        <f>IF(SUMIFS('Bilateral Assistance, MAIN DATA'!N:N,'Bilateral Assistance, MAIN DATA'!I:I,'Price List, Weapons &amp; Items'!B69)&gt;M69,1,".")</f>
        <v>.</v>
      </c>
    </row>
    <row r="70" spans="1:18" ht="15" customHeight="1" x14ac:dyDescent="0.3">
      <c r="B70" s="175" t="s">
        <v>2948</v>
      </c>
      <c r="C70" s="113" t="s">
        <v>4055</v>
      </c>
      <c r="D70" s="246" t="s">
        <v>4056</v>
      </c>
      <c r="E70" s="199">
        <v>0</v>
      </c>
      <c r="F70" s="199">
        <f t="shared" si="0"/>
        <v>0</v>
      </c>
      <c r="G70" s="629">
        <v>220000</v>
      </c>
      <c r="H70" s="720" t="str">
        <f t="shared" si="6"/>
        <v>USD</v>
      </c>
      <c r="I70" s="822" t="s">
        <v>4057</v>
      </c>
      <c r="J70" s="155" t="s">
        <v>4008</v>
      </c>
      <c r="K70" s="155" t="s">
        <v>4058</v>
      </c>
      <c r="L70" s="247">
        <f t="shared" si="2"/>
        <v>2</v>
      </c>
      <c r="M70" s="121">
        <f>SUMIFS('Bilateral Assistance, MAIN DATA'!M:M,'Bilateral Assistance, MAIN DATA'!I:I,'Price List, Weapons &amp; Items'!B70)</f>
        <v>200</v>
      </c>
      <c r="N70" s="19">
        <f>COUNTIFS('Bilateral Assistance, MAIN DATA'!M:M,"undisclosed",'Bilateral Assistance, MAIN DATA'!I:I,'Price List, Weapons &amp; Items'!B70)</f>
        <v>0</v>
      </c>
      <c r="O70" s="723">
        <f t="shared" si="4"/>
        <v>44000000</v>
      </c>
      <c r="P70" s="19">
        <f>IFERROR(IF(SEARCH(B70,_xlfn.ARRAYTOTEXT('Bilateral Assistance, MAIN DATA'!I$1:I$1622))&gt;0,1,""),0)</f>
        <v>1</v>
      </c>
      <c r="Q70" s="19">
        <f>IFERROR(IF(SEARCH(B70,_xlfn.ARRAYTOTEXT('Commercial Assistance'!I$1:I$1400))&gt;0,1,""),0)</f>
        <v>0</v>
      </c>
      <c r="R70" s="247" t="str">
        <f>IF(SUMIFS('Bilateral Assistance, MAIN DATA'!N:N,'Bilateral Assistance, MAIN DATA'!I:I,'Price List, Weapons &amp; Items'!B70)&gt;M70,1,".")</f>
        <v>.</v>
      </c>
    </row>
    <row r="71" spans="1:18" ht="15" customHeight="1" x14ac:dyDescent="0.3">
      <c r="B71" s="175" t="s">
        <v>901</v>
      </c>
      <c r="C71" s="113" t="s">
        <v>3939</v>
      </c>
      <c r="D71" s="246" t="s">
        <v>4059</v>
      </c>
      <c r="E71" s="199">
        <v>0</v>
      </c>
      <c r="F71" s="199">
        <f t="shared" si="0"/>
        <v>0</v>
      </c>
      <c r="G71" s="629">
        <v>10658</v>
      </c>
      <c r="H71" s="720" t="str">
        <f t="shared" si="6"/>
        <v>USD</v>
      </c>
      <c r="I71" s="821" t="s">
        <v>4060</v>
      </c>
      <c r="J71" s="155" t="s">
        <v>3967</v>
      </c>
      <c r="K71" s="155" t="s">
        <v>4061</v>
      </c>
      <c r="L71" s="247" t="str">
        <f t="shared" si="2"/>
        <v>no price, 0 count</v>
      </c>
      <c r="M71" s="121">
        <f>SUMIFS('Bilateral Assistance, MAIN DATA'!M:M,'Bilateral Assistance, MAIN DATA'!I:I,'Price List, Weapons &amp; Items'!B71)</f>
        <v>0</v>
      </c>
      <c r="N71" s="19">
        <f>COUNTIFS('Bilateral Assistance, MAIN DATA'!M:M,"undisclosed",'Bilateral Assistance, MAIN DATA'!I:I,'Price List, Weapons &amp; Items'!B71)</f>
        <v>1</v>
      </c>
      <c r="O71" s="723">
        <f t="shared" si="4"/>
        <v>0</v>
      </c>
      <c r="P71" s="19">
        <f>IFERROR(IF(SEARCH(B71,_xlfn.ARRAYTOTEXT('Bilateral Assistance, MAIN DATA'!I$1:I$1622))&gt;0,1,""),0)</f>
        <v>1</v>
      </c>
      <c r="Q71" s="19">
        <f>IFERROR(IF(SEARCH(B71,_xlfn.ARRAYTOTEXT('Commercial Assistance'!I$1:I$1400))&gt;0,1,""),0)</f>
        <v>0</v>
      </c>
      <c r="R71" s="247" t="str">
        <f>IF(SUMIFS('Bilateral Assistance, MAIN DATA'!N:N,'Bilateral Assistance, MAIN DATA'!I:I,'Price List, Weapons &amp; Items'!B71)&gt;M71,1,".")</f>
        <v>.</v>
      </c>
    </row>
    <row r="72" spans="1:18" ht="15" customHeight="1" x14ac:dyDescent="0.3">
      <c r="B72" s="175" t="s">
        <v>3007</v>
      </c>
      <c r="C72" s="113" t="s">
        <v>3942</v>
      </c>
      <c r="D72" s="246" t="s">
        <v>4020</v>
      </c>
      <c r="E72" s="199">
        <v>0</v>
      </c>
      <c r="F72" s="199">
        <f t="shared" si="0"/>
        <v>1</v>
      </c>
      <c r="G72" s="629">
        <v>168000</v>
      </c>
      <c r="H72" s="720" t="str">
        <f t="shared" si="6"/>
        <v>USD</v>
      </c>
      <c r="I72" s="821" t="s">
        <v>4062</v>
      </c>
      <c r="J72" s="155" t="s">
        <v>3967</v>
      </c>
      <c r="K72" s="155" t="s">
        <v>4063</v>
      </c>
      <c r="L72" s="247" t="str">
        <f t="shared" si="2"/>
        <v>no price, 0 count</v>
      </c>
      <c r="M72" s="121">
        <f>SUMIFS('Bilateral Assistance, MAIN DATA'!M:M,'Bilateral Assistance, MAIN DATA'!I:I,'Price List, Weapons &amp; Items'!B72)</f>
        <v>0</v>
      </c>
      <c r="N72" s="19">
        <f>COUNTIFS('Bilateral Assistance, MAIN DATA'!M:M,"undisclosed",'Bilateral Assistance, MAIN DATA'!I:I,'Price List, Weapons &amp; Items'!B72)</f>
        <v>2</v>
      </c>
      <c r="O72" s="723">
        <f t="shared" si="4"/>
        <v>0</v>
      </c>
      <c r="P72" s="19">
        <f>IFERROR(IF(SEARCH(B72,_xlfn.ARRAYTOTEXT('Bilateral Assistance, MAIN DATA'!I$1:I$1622))&gt;0,1,""),0)</f>
        <v>1</v>
      </c>
      <c r="Q72" s="19">
        <f>IFERROR(IF(SEARCH(B72,_xlfn.ARRAYTOTEXT('Commercial Assistance'!I$1:I$1400))&gt;0,1,""),0)</f>
        <v>0</v>
      </c>
      <c r="R72" s="247" t="str">
        <f>IF(SUMIFS('Bilateral Assistance, MAIN DATA'!N:N,'Bilateral Assistance, MAIN DATA'!I:I,'Price List, Weapons &amp; Items'!B72)&gt;M72,1,".")</f>
        <v>.</v>
      </c>
    </row>
    <row r="73" spans="1:18" ht="15" customHeight="1" x14ac:dyDescent="0.3">
      <c r="B73" s="175" t="s">
        <v>2325</v>
      </c>
      <c r="C73" s="113" t="s">
        <v>3987</v>
      </c>
      <c r="D73" s="246" t="s">
        <v>4064</v>
      </c>
      <c r="E73" s="199">
        <v>0</v>
      </c>
      <c r="F73" s="199">
        <f t="shared" si="0"/>
        <v>0</v>
      </c>
      <c r="G73" s="629">
        <v>155476</v>
      </c>
      <c r="H73" s="720" t="str">
        <f t="shared" si="6"/>
        <v>USD</v>
      </c>
      <c r="I73" s="820" t="s">
        <v>4065</v>
      </c>
      <c r="J73" s="155" t="s">
        <v>3967</v>
      </c>
      <c r="K73" s="155" t="s">
        <v>4066</v>
      </c>
      <c r="L73" s="247" t="str">
        <f t="shared" si="2"/>
        <v>no price, 0 count</v>
      </c>
      <c r="M73" s="121">
        <f>SUMIFS('Bilateral Assistance, MAIN DATA'!M:M,'Bilateral Assistance, MAIN DATA'!I:I,'Price List, Weapons &amp; Items'!B73)</f>
        <v>0</v>
      </c>
      <c r="N73" s="19">
        <f>COUNTIFS('Bilateral Assistance, MAIN DATA'!M:M,"undisclosed",'Bilateral Assistance, MAIN DATA'!I:I,'Price List, Weapons &amp; Items'!B73)</f>
        <v>1</v>
      </c>
      <c r="O73" s="723">
        <f t="shared" si="4"/>
        <v>0</v>
      </c>
      <c r="P73" s="19">
        <f>IFERROR(IF(SEARCH(B73,_xlfn.ARRAYTOTEXT('Bilateral Assistance, MAIN DATA'!I$1:I$1622))&gt;0,1,""),0)</f>
        <v>1</v>
      </c>
      <c r="Q73" s="19">
        <f>IFERROR(IF(SEARCH(B73,_xlfn.ARRAYTOTEXT('Commercial Assistance'!I$1:I$1400))&gt;0,1,""),0)</f>
        <v>0</v>
      </c>
      <c r="R73" s="247" t="str">
        <f>IF(SUMIFS('Bilateral Assistance, MAIN DATA'!N:N,'Bilateral Assistance, MAIN DATA'!I:I,'Price List, Weapons &amp; Items'!B73)&gt;M73,1,".")</f>
        <v>.</v>
      </c>
    </row>
    <row r="74" spans="1:18" ht="15" customHeight="1" x14ac:dyDescent="0.3">
      <c r="B74" s="175" t="s">
        <v>4067</v>
      </c>
      <c r="C74" s="113" t="s">
        <v>4068</v>
      </c>
      <c r="D74" s="246" t="s">
        <v>4069</v>
      </c>
      <c r="E74" s="199">
        <v>0</v>
      </c>
      <c r="F74" s="199">
        <f t="shared" si="0"/>
        <v>0</v>
      </c>
      <c r="G74" s="629">
        <v>194000</v>
      </c>
      <c r="H74" s="720" t="str">
        <f t="shared" si="6"/>
        <v>USD</v>
      </c>
      <c r="I74" s="820" t="s">
        <v>3958</v>
      </c>
      <c r="J74" s="155" t="s">
        <v>3959</v>
      </c>
      <c r="K74" s="254" t="s">
        <v>4070</v>
      </c>
      <c r="L74" s="247" t="str">
        <f t="shared" si="2"/>
        <v>no price, 0 count</v>
      </c>
      <c r="M74" s="121">
        <f>SUMIFS('Bilateral Assistance, MAIN DATA'!M:M,'Bilateral Assistance, MAIN DATA'!I:I,'Price List, Weapons &amp; Items'!B74)</f>
        <v>0</v>
      </c>
      <c r="N74" s="19">
        <f>COUNTIFS('Bilateral Assistance, MAIN DATA'!M:M,"undisclosed",'Bilateral Assistance, MAIN DATA'!I:I,'Price List, Weapons &amp; Items'!B74)</f>
        <v>2</v>
      </c>
      <c r="O74" s="723">
        <f t="shared" si="4"/>
        <v>0</v>
      </c>
      <c r="P74" s="19">
        <f>IFERROR(IF(SEARCH(B74,_xlfn.ARRAYTOTEXT('Bilateral Assistance, MAIN DATA'!I$1:I$1622))&gt;0,1,""),0)</f>
        <v>1</v>
      </c>
      <c r="Q74" s="19">
        <f>IFERROR(IF(SEARCH(B74,_xlfn.ARRAYTOTEXT('Commercial Assistance'!I$1:I$1400))&gt;0,1,""),0)</f>
        <v>0</v>
      </c>
      <c r="R74" s="247" t="str">
        <f>IF(SUMIFS('Bilateral Assistance, MAIN DATA'!N:N,'Bilateral Assistance, MAIN DATA'!I:I,'Price List, Weapons &amp; Items'!B74)&gt;M74,1,".")</f>
        <v>.</v>
      </c>
    </row>
    <row r="75" spans="1:18" ht="15" customHeight="1" x14ac:dyDescent="0.3">
      <c r="B75" s="175" t="s">
        <v>2671</v>
      </c>
      <c r="C75" s="113" t="s">
        <v>3942</v>
      </c>
      <c r="D75" s="246" t="s">
        <v>4036</v>
      </c>
      <c r="E75" s="199">
        <v>0</v>
      </c>
      <c r="F75" s="199">
        <f t="shared" si="0"/>
        <v>0</v>
      </c>
      <c r="G75" s="629">
        <v>100000</v>
      </c>
      <c r="H75" s="720" t="str">
        <f t="shared" si="6"/>
        <v>USD</v>
      </c>
      <c r="I75" s="821" t="s">
        <v>4071</v>
      </c>
      <c r="J75" s="155" t="s">
        <v>3967</v>
      </c>
      <c r="K75" s="175" t="s">
        <v>4072</v>
      </c>
      <c r="L75" s="247" t="str">
        <f t="shared" si="2"/>
        <v>no price, 0 count</v>
      </c>
      <c r="M75" s="121">
        <f>SUMIFS('Bilateral Assistance, MAIN DATA'!M:M,'Bilateral Assistance, MAIN DATA'!I:I,'Price List, Weapons &amp; Items'!B75)</f>
        <v>0</v>
      </c>
      <c r="N75" s="19">
        <f>COUNTIFS('Bilateral Assistance, MAIN DATA'!M:M,"undisclosed",'Bilateral Assistance, MAIN DATA'!I:I,'Price List, Weapons &amp; Items'!B75)</f>
        <v>2</v>
      </c>
      <c r="O75" s="723">
        <f t="shared" si="4"/>
        <v>0</v>
      </c>
      <c r="P75" s="19">
        <f>IFERROR(IF(SEARCH(B75,_xlfn.ARRAYTOTEXT('Bilateral Assistance, MAIN DATA'!I$1:I$1622))&gt;0,1,""),0)</f>
        <v>1</v>
      </c>
      <c r="Q75" s="19">
        <f>IFERROR(IF(SEARCH(B75,_xlfn.ARRAYTOTEXT('Commercial Assistance'!I$1:I$1400))&gt;0,1,""),0)</f>
        <v>0</v>
      </c>
      <c r="R75" s="247" t="str">
        <f>IF(SUMIFS('Bilateral Assistance, MAIN DATA'!N:N,'Bilateral Assistance, MAIN DATA'!I:I,'Price List, Weapons &amp; Items'!B75)&gt;M75,1,".")</f>
        <v>.</v>
      </c>
    </row>
    <row r="76" spans="1:18" ht="15" customHeight="1" x14ac:dyDescent="0.3">
      <c r="B76" s="175" t="s">
        <v>4073</v>
      </c>
      <c r="C76" s="113" t="s">
        <v>3945</v>
      </c>
      <c r="D76" s="246" t="s">
        <v>4074</v>
      </c>
      <c r="E76" s="199">
        <v>1</v>
      </c>
      <c r="F76" s="199">
        <f t="shared" ref="F76:F139" si="7">IF(OR(D76="Armoured Personnel Carrier (APC)",D76="Armoured Recovery Vehicle (ARV)",D76="Armoured Utility Vehicle (AUV)",D76="152mm howitzer ammunition",D76="155mm howitzer ammunition",D76="300mm MLRS ammunition",D76="155mm howitzer",D76="227mm MLRS ammunition",D76="Infantry fighting vehicle (IFV)",D76="152mm howitzer",D76="227mm MLRS",D76="Main Battle Tank (MBT)",D76="Protected Patrol Vehicle (PPV)",D76="127mm MLRS",D76="122mm MLRS",D76="122mm MLRS ammunition",D76="122mm MLRS",D76="127mm MLRS",D76="127mm MLRS ammunition")=TRUE,1,0)</f>
        <v>0</v>
      </c>
      <c r="G76" s="629">
        <v>80503.62</v>
      </c>
      <c r="H76" s="720" t="str">
        <f t="shared" si="6"/>
        <v>USD</v>
      </c>
      <c r="I76" s="821" t="s">
        <v>3958</v>
      </c>
      <c r="J76" s="155" t="s">
        <v>3959</v>
      </c>
      <c r="K76" s="155" t="s">
        <v>4033</v>
      </c>
      <c r="L76" s="247" t="str">
        <f t="shared" ref="L76:L139" si="8">IF(C76="Humanitarian",0,IF(M76&gt;0,IF(TYPE(O76)=1,IF(O76&gt;MEDIAN(O:O),2,1),0),"no price, 0 count"))</f>
        <v>no price, 0 count</v>
      </c>
      <c r="M76" s="121">
        <f>SUMIFS('Bilateral Assistance, MAIN DATA'!M:M,'Bilateral Assistance, MAIN DATA'!I:I,'Price List, Weapons &amp; Items'!B76)</f>
        <v>0</v>
      </c>
      <c r="N76" s="19">
        <f>COUNTIFS('Bilateral Assistance, MAIN DATA'!M:M,"undisclosed",'Bilateral Assistance, MAIN DATA'!I:I,'Price List, Weapons &amp; Items'!B76)</f>
        <v>1</v>
      </c>
      <c r="O76" s="723">
        <f t="shared" ref="O76:O139" si="9">IFERROR(M76*G76,"no price")</f>
        <v>0</v>
      </c>
      <c r="P76" s="19">
        <f>IFERROR(IF(SEARCH(B76,_xlfn.ARRAYTOTEXT('Bilateral Assistance, MAIN DATA'!I$1:I$1622))&gt;0,1,""),0)</f>
        <v>1</v>
      </c>
      <c r="Q76" s="19">
        <f>IFERROR(IF(SEARCH(B76,_xlfn.ARRAYTOTEXT('Commercial Assistance'!I$1:I$1400))&gt;0,1,""),0)</f>
        <v>0</v>
      </c>
      <c r="R76" s="247" t="str">
        <f>IF(SUMIFS('Bilateral Assistance, MAIN DATA'!N:N,'Bilateral Assistance, MAIN DATA'!I:I,'Price List, Weapons &amp; Items'!B76)&gt;M76,1,".")</f>
        <v>.</v>
      </c>
    </row>
    <row r="77" spans="1:18" ht="15" customHeight="1" x14ac:dyDescent="0.3">
      <c r="B77" s="188" t="s">
        <v>3321</v>
      </c>
      <c r="C77" s="113" t="s">
        <v>3942</v>
      </c>
      <c r="D77" s="246" t="s">
        <v>4075</v>
      </c>
      <c r="E77" s="199">
        <v>1</v>
      </c>
      <c r="F77" s="199">
        <f t="shared" si="7"/>
        <v>0</v>
      </c>
      <c r="G77" s="629">
        <v>71120.78</v>
      </c>
      <c r="H77" s="720" t="str">
        <f t="shared" si="6"/>
        <v>USD</v>
      </c>
      <c r="I77" s="821" t="s">
        <v>4076</v>
      </c>
      <c r="J77" s="155" t="s">
        <v>3975</v>
      </c>
      <c r="K77" s="155" t="s">
        <v>4077</v>
      </c>
      <c r="L77" s="247">
        <f t="shared" si="8"/>
        <v>2</v>
      </c>
      <c r="M77" s="121">
        <f>SUMIFS('Bilateral Assistance, MAIN DATA'!M:M,'Bilateral Assistance, MAIN DATA'!I:I,'Price List, Weapons &amp; Items'!B77)</f>
        <v>100000</v>
      </c>
      <c r="N77" s="19">
        <f>COUNTIFS('Bilateral Assistance, MAIN DATA'!M:M,"undisclosed",'Bilateral Assistance, MAIN DATA'!I:I,'Price List, Weapons &amp; Items'!B77)</f>
        <v>1</v>
      </c>
      <c r="O77" s="723">
        <f t="shared" si="9"/>
        <v>7112078000</v>
      </c>
      <c r="P77" s="19">
        <f>IFERROR(IF(SEARCH(B77,_xlfn.ARRAYTOTEXT('Bilateral Assistance, MAIN DATA'!I$1:I$1622))&gt;0,1,""),0)</f>
        <v>1</v>
      </c>
      <c r="Q77" s="19">
        <f>IFERROR(IF(SEARCH(B77,_xlfn.ARRAYTOTEXT('Commercial Assistance'!I$1:I$1400))&gt;0,1,""),0)</f>
        <v>0</v>
      </c>
      <c r="R77" s="247" t="str">
        <f>IF(SUMIFS('Bilateral Assistance, MAIN DATA'!N:N,'Bilateral Assistance, MAIN DATA'!I:I,'Price List, Weapons &amp; Items'!B77)&gt;M77,1,".")</f>
        <v>.</v>
      </c>
    </row>
    <row r="78" spans="1:18" ht="15" customHeight="1" x14ac:dyDescent="0.3">
      <c r="B78" s="188" t="s">
        <v>4078</v>
      </c>
      <c r="C78" s="113" t="s">
        <v>3939</v>
      </c>
      <c r="D78" s="246" t="s">
        <v>3973</v>
      </c>
      <c r="E78" s="199">
        <v>0</v>
      </c>
      <c r="F78" s="199">
        <f t="shared" si="7"/>
        <v>0</v>
      </c>
      <c r="G78" s="629">
        <v>5300</v>
      </c>
      <c r="H78" s="720" t="str">
        <f t="shared" si="6"/>
        <v>USD</v>
      </c>
      <c r="I78" s="300" t="s">
        <v>4079</v>
      </c>
      <c r="J78" s="155" t="s">
        <v>3975</v>
      </c>
      <c r="K78" s="155" t="s">
        <v>4080</v>
      </c>
      <c r="L78" s="247" t="str">
        <f t="shared" si="8"/>
        <v>no price, 0 count</v>
      </c>
      <c r="M78" s="121">
        <f>SUMIFS('Bilateral Assistance, MAIN DATA'!M:M,'Bilateral Assistance, MAIN DATA'!I:I,'Price List, Weapons &amp; Items'!B78)</f>
        <v>0</v>
      </c>
      <c r="N78" s="19">
        <f>COUNTIFS('Bilateral Assistance, MAIN DATA'!M:M,"undisclosed",'Bilateral Assistance, MAIN DATA'!I:I,'Price List, Weapons &amp; Items'!B78)</f>
        <v>1</v>
      </c>
      <c r="O78" s="723">
        <f t="shared" si="9"/>
        <v>0</v>
      </c>
      <c r="P78" s="19">
        <f>IFERROR(IF(SEARCH(B78,_xlfn.ARRAYTOTEXT('Bilateral Assistance, MAIN DATA'!I$1:I$1622))&gt;0,1,""),0)</f>
        <v>1</v>
      </c>
      <c r="Q78" s="19">
        <f>IFERROR(IF(SEARCH(B78,_xlfn.ARRAYTOTEXT('Commercial Assistance'!I$1:I$1400))&gt;0,1,""),0)</f>
        <v>0</v>
      </c>
      <c r="R78" s="247" t="str">
        <f>IF(SUMIFS('Bilateral Assistance, MAIN DATA'!N:N,'Bilateral Assistance, MAIN DATA'!I:I,'Price List, Weapons &amp; Items'!B78)&gt;M78,1,".")</f>
        <v>.</v>
      </c>
    </row>
    <row r="79" spans="1:18" ht="15" customHeight="1" x14ac:dyDescent="0.3">
      <c r="B79" s="175" t="s">
        <v>2032</v>
      </c>
      <c r="C79" s="113" t="s">
        <v>812</v>
      </c>
      <c r="D79" s="246" t="s">
        <v>4040</v>
      </c>
      <c r="E79" s="199">
        <v>0</v>
      </c>
      <c r="F79" s="199">
        <f t="shared" si="7"/>
        <v>1</v>
      </c>
      <c r="G79" s="629">
        <v>35000</v>
      </c>
      <c r="H79" s="720" t="str">
        <f t="shared" si="6"/>
        <v>USD</v>
      </c>
      <c r="I79" s="300" t="s">
        <v>4081</v>
      </c>
      <c r="J79" s="155" t="s">
        <v>4082</v>
      </c>
      <c r="K79" s="175" t="s">
        <v>4083</v>
      </c>
      <c r="L79" s="247">
        <f t="shared" si="8"/>
        <v>1</v>
      </c>
      <c r="M79" s="121">
        <f>SUMIFS('Bilateral Assistance, MAIN DATA'!M:M,'Bilateral Assistance, MAIN DATA'!I:I,'Price List, Weapons &amp; Items'!B79)</f>
        <v>7</v>
      </c>
      <c r="N79" s="19">
        <f>COUNTIFS('Bilateral Assistance, MAIN DATA'!M:M,"undisclosed",'Bilateral Assistance, MAIN DATA'!I:I,'Price List, Weapons &amp; Items'!B79)</f>
        <v>0</v>
      </c>
      <c r="O79" s="723">
        <f t="shared" si="9"/>
        <v>245000</v>
      </c>
      <c r="P79" s="19">
        <f>IFERROR(IF(SEARCH(B79,_xlfn.ARRAYTOTEXT('Bilateral Assistance, MAIN DATA'!I$1:I$1622))&gt;0,1,""),0)</f>
        <v>1</v>
      </c>
      <c r="Q79" s="19">
        <f>IFERROR(IF(SEARCH(B79,_xlfn.ARRAYTOTEXT('Commercial Assistance'!I$1:I$1400))&gt;0,1,""),0)</f>
        <v>0</v>
      </c>
      <c r="R79" s="247" t="str">
        <f>IF(SUMIFS('Bilateral Assistance, MAIN DATA'!N:N,'Bilateral Assistance, MAIN DATA'!I:I,'Price List, Weapons &amp; Items'!B79)&gt;M79,1,".")</f>
        <v>.</v>
      </c>
    </row>
    <row r="80" spans="1:18" ht="15" customHeight="1" x14ac:dyDescent="0.3">
      <c r="B80" s="175" t="s">
        <v>902</v>
      </c>
      <c r="C80" s="113" t="s">
        <v>3949</v>
      </c>
      <c r="D80" s="246" t="s">
        <v>4084</v>
      </c>
      <c r="E80" s="199">
        <v>0</v>
      </c>
      <c r="F80" s="199">
        <f t="shared" si="7"/>
        <v>0</v>
      </c>
      <c r="G80" s="629">
        <v>33000</v>
      </c>
      <c r="H80" s="720" t="str">
        <f t="shared" si="6"/>
        <v>USD</v>
      </c>
      <c r="I80" s="821" t="s">
        <v>4085</v>
      </c>
      <c r="J80" s="155" t="s">
        <v>3964</v>
      </c>
      <c r="K80" s="155" t="s">
        <v>4086</v>
      </c>
      <c r="L80" s="247" t="str">
        <f t="shared" si="8"/>
        <v>no price, 0 count</v>
      </c>
      <c r="M80" s="121">
        <f>SUMIFS('Bilateral Assistance, MAIN DATA'!M:M,'Bilateral Assistance, MAIN DATA'!I:I,'Price List, Weapons &amp; Items'!B80)</f>
        <v>0</v>
      </c>
      <c r="N80" s="19">
        <f>COUNTIFS('Bilateral Assistance, MAIN DATA'!M:M,"undisclosed",'Bilateral Assistance, MAIN DATA'!I:I,'Price List, Weapons &amp; Items'!B80)</f>
        <v>1</v>
      </c>
      <c r="O80" s="723">
        <f t="shared" si="9"/>
        <v>0</v>
      </c>
      <c r="P80" s="19">
        <f>IFERROR(IF(SEARCH(B80,_xlfn.ARRAYTOTEXT('Bilateral Assistance, MAIN DATA'!I$1:I$1622))&gt;0,1,""),0)</f>
        <v>1</v>
      </c>
      <c r="Q80" s="19">
        <f>IFERROR(IF(SEARCH(B80,_xlfn.ARRAYTOTEXT('Commercial Assistance'!I$1:I$1400))&gt;0,1,""),0)</f>
        <v>0</v>
      </c>
      <c r="R80" s="247" t="str">
        <f>IF(SUMIFS('Bilateral Assistance, MAIN DATA'!N:N,'Bilateral Assistance, MAIN DATA'!I:I,'Price List, Weapons &amp; Items'!B80)&gt;M80,1,".")</f>
        <v>.</v>
      </c>
    </row>
    <row r="81" spans="2:18" ht="15" customHeight="1" x14ac:dyDescent="0.3">
      <c r="B81" s="188" t="s">
        <v>4087</v>
      </c>
      <c r="C81" s="113" t="s">
        <v>3939</v>
      </c>
      <c r="D81" s="246" t="s">
        <v>3973</v>
      </c>
      <c r="E81" s="199">
        <v>0</v>
      </c>
      <c r="F81" s="199">
        <f t="shared" si="7"/>
        <v>0</v>
      </c>
      <c r="G81" s="629">
        <v>5300</v>
      </c>
      <c r="H81" s="720" t="str">
        <f t="shared" si="6"/>
        <v>USD</v>
      </c>
      <c r="I81" s="820" t="s">
        <v>4079</v>
      </c>
      <c r="J81" s="155" t="s">
        <v>3975</v>
      </c>
      <c r="K81" s="155" t="s">
        <v>4088</v>
      </c>
      <c r="L81" s="247" t="str">
        <f t="shared" si="8"/>
        <v>no price, 0 count</v>
      </c>
      <c r="M81" s="121">
        <f>SUMIFS('Bilateral Assistance, MAIN DATA'!M:M,'Bilateral Assistance, MAIN DATA'!I:I,'Price List, Weapons &amp; Items'!B81)</f>
        <v>0</v>
      </c>
      <c r="N81" s="19">
        <f>COUNTIFS('Bilateral Assistance, MAIN DATA'!M:M,"undisclosed",'Bilateral Assistance, MAIN DATA'!I:I,'Price List, Weapons &amp; Items'!B81)</f>
        <v>1</v>
      </c>
      <c r="O81" s="723">
        <f t="shared" si="9"/>
        <v>0</v>
      </c>
      <c r="P81" s="19">
        <f>IFERROR(IF(SEARCH(B81,_xlfn.ARRAYTOTEXT('Bilateral Assistance, MAIN DATA'!I$1:I$1622))&gt;0,1,""),0)</f>
        <v>1</v>
      </c>
      <c r="Q81" s="19">
        <f>IFERROR(IF(SEARCH(B81,_xlfn.ARRAYTOTEXT('Commercial Assistance'!I$1:I$1400))&gt;0,1,""),0)</f>
        <v>0</v>
      </c>
      <c r="R81" s="247" t="str">
        <f>IF(SUMIFS('Bilateral Assistance, MAIN DATA'!N:N,'Bilateral Assistance, MAIN DATA'!I:I,'Price List, Weapons &amp; Items'!B81)&gt;M81,1,".")</f>
        <v>.</v>
      </c>
    </row>
    <row r="82" spans="2:18" ht="15" customHeight="1" x14ac:dyDescent="0.3">
      <c r="B82" s="175" t="s">
        <v>3358</v>
      </c>
      <c r="C82" s="113" t="s">
        <v>3987</v>
      </c>
      <c r="D82" s="246" t="s">
        <v>4064</v>
      </c>
      <c r="E82" s="15">
        <v>0</v>
      </c>
      <c r="F82" s="199">
        <f t="shared" si="7"/>
        <v>0</v>
      </c>
      <c r="G82" s="629">
        <v>22000</v>
      </c>
      <c r="H82" s="720" t="str">
        <f t="shared" si="6"/>
        <v>USD</v>
      </c>
      <c r="I82" s="821" t="s">
        <v>4089</v>
      </c>
      <c r="J82" s="155" t="s">
        <v>3959</v>
      </c>
      <c r="K82" s="155" t="s">
        <v>4090</v>
      </c>
      <c r="L82" s="247" t="str">
        <f t="shared" si="8"/>
        <v>no price, 0 count</v>
      </c>
      <c r="M82" s="121">
        <f>SUMIFS('Bilateral Assistance, MAIN DATA'!M:M,'Bilateral Assistance, MAIN DATA'!I:I,'Price List, Weapons &amp; Items'!B82)</f>
        <v>0</v>
      </c>
      <c r="N82" s="19">
        <f>COUNTIFS('Bilateral Assistance, MAIN DATA'!M:M,"undisclosed",'Bilateral Assistance, MAIN DATA'!I:I,'Price List, Weapons &amp; Items'!B82)</f>
        <v>3</v>
      </c>
      <c r="O82" s="723">
        <f t="shared" si="9"/>
        <v>0</v>
      </c>
      <c r="P82" s="19">
        <f>IFERROR(IF(SEARCH(B82,_xlfn.ARRAYTOTEXT('Bilateral Assistance, MAIN DATA'!I$1:I$1622))&gt;0,1,""),0)</f>
        <v>1</v>
      </c>
      <c r="Q82" s="19">
        <f>IFERROR(IF(SEARCH(B82,_xlfn.ARRAYTOTEXT('Commercial Assistance'!I$1:I$1400))&gt;0,1,""),0)</f>
        <v>0</v>
      </c>
      <c r="R82" s="247" t="str">
        <f>IF(SUMIFS('Bilateral Assistance, MAIN DATA'!N:N,'Bilateral Assistance, MAIN DATA'!I:I,'Price List, Weapons &amp; Items'!B82)&gt;M82,1,".")</f>
        <v>.</v>
      </c>
    </row>
    <row r="83" spans="2:18" ht="15" customHeight="1" x14ac:dyDescent="0.3">
      <c r="B83" s="175" t="s">
        <v>4091</v>
      </c>
      <c r="C83" s="113" t="s">
        <v>3939</v>
      </c>
      <c r="D83" s="246" t="s">
        <v>4092</v>
      </c>
      <c r="E83" s="199">
        <v>0</v>
      </c>
      <c r="F83" s="199">
        <f t="shared" si="7"/>
        <v>0</v>
      </c>
      <c r="G83" s="629">
        <v>20000</v>
      </c>
      <c r="H83" s="720" t="str">
        <f t="shared" si="6"/>
        <v>USD</v>
      </c>
      <c r="I83" s="821" t="s">
        <v>4093</v>
      </c>
      <c r="J83" s="155" t="s">
        <v>3975</v>
      </c>
      <c r="K83" s="155" t="s">
        <v>4094</v>
      </c>
      <c r="L83" s="247" t="str">
        <f t="shared" si="8"/>
        <v>no price, 0 count</v>
      </c>
      <c r="M83" s="121">
        <f>SUMIFS('Bilateral Assistance, MAIN DATA'!M:M,'Bilateral Assistance, MAIN DATA'!I:I,'Price List, Weapons &amp; Items'!B83)</f>
        <v>0</v>
      </c>
      <c r="N83" s="19">
        <f>COUNTIFS('Bilateral Assistance, MAIN DATA'!M:M,"undisclosed",'Bilateral Assistance, MAIN DATA'!I:I,'Price List, Weapons &amp; Items'!B83)</f>
        <v>1</v>
      </c>
      <c r="O83" s="723">
        <f t="shared" si="9"/>
        <v>0</v>
      </c>
      <c r="P83" s="19">
        <f>IFERROR(IF(SEARCH(B83,_xlfn.ARRAYTOTEXT('Bilateral Assistance, MAIN DATA'!I$1:I$1622))&gt;0,1,""),0)</f>
        <v>1</v>
      </c>
      <c r="Q83" s="19">
        <f>IFERROR(IF(SEARCH(B83,_xlfn.ARRAYTOTEXT('Commercial Assistance'!I$1:I$1400))&gt;0,1,""),0)</f>
        <v>0</v>
      </c>
      <c r="R83" s="247" t="str">
        <f>IF(SUMIFS('Bilateral Assistance, MAIN DATA'!N:N,'Bilateral Assistance, MAIN DATA'!I:I,'Price List, Weapons &amp; Items'!B83)&gt;M83,1,".")</f>
        <v>.</v>
      </c>
    </row>
    <row r="84" spans="2:18" ht="15" customHeight="1" x14ac:dyDescent="0.3">
      <c r="B84" s="175" t="s">
        <v>2340</v>
      </c>
      <c r="C84" s="113" t="s">
        <v>3954</v>
      </c>
      <c r="D84" s="246" t="s">
        <v>3966</v>
      </c>
      <c r="E84" s="199">
        <v>0</v>
      </c>
      <c r="F84" s="199">
        <f t="shared" si="7"/>
        <v>0</v>
      </c>
      <c r="G84" s="629">
        <v>12000</v>
      </c>
      <c r="H84" s="720" t="str">
        <f t="shared" si="6"/>
        <v>USD</v>
      </c>
      <c r="I84" s="821" t="s">
        <v>4095</v>
      </c>
      <c r="J84" s="155" t="s">
        <v>3964</v>
      </c>
      <c r="K84" s="155" t="s">
        <v>4096</v>
      </c>
      <c r="L84" s="247" t="str">
        <f t="shared" si="8"/>
        <v>no price, 0 count</v>
      </c>
      <c r="M84" s="121">
        <f>SUMIFS('Bilateral Assistance, MAIN DATA'!M:M,'Bilateral Assistance, MAIN DATA'!I:I,'Price List, Weapons &amp; Items'!B84)</f>
        <v>0</v>
      </c>
      <c r="N84" s="19">
        <f>COUNTIFS('Bilateral Assistance, MAIN DATA'!M:M,"undisclosed",'Bilateral Assistance, MAIN DATA'!I:I,'Price List, Weapons &amp; Items'!B84)</f>
        <v>1</v>
      </c>
      <c r="O84" s="723">
        <f t="shared" si="9"/>
        <v>0</v>
      </c>
      <c r="P84" s="19">
        <f>IFERROR(IF(SEARCH(B84,_xlfn.ARRAYTOTEXT('Bilateral Assistance, MAIN DATA'!I$1:I$1622))&gt;0,1,""),0)</f>
        <v>1</v>
      </c>
      <c r="Q84" s="19">
        <f>IFERROR(IF(SEARCH(B84,_xlfn.ARRAYTOTEXT('Commercial Assistance'!I$1:I$1400))&gt;0,1,""),0)</f>
        <v>0</v>
      </c>
      <c r="R84" s="247" t="str">
        <f>IF(SUMIFS('Bilateral Assistance, MAIN DATA'!N:N,'Bilateral Assistance, MAIN DATA'!I:I,'Price List, Weapons &amp; Items'!B84)&gt;M84,1,".")</f>
        <v>.</v>
      </c>
    </row>
    <row r="85" spans="2:18" ht="15" customHeight="1" x14ac:dyDescent="0.3">
      <c r="B85" s="175" t="s">
        <v>2761</v>
      </c>
      <c r="C85" s="113" t="s">
        <v>3939</v>
      </c>
      <c r="D85" s="246" t="s">
        <v>4097</v>
      </c>
      <c r="E85" s="199">
        <v>0</v>
      </c>
      <c r="F85" s="199">
        <f t="shared" si="7"/>
        <v>0</v>
      </c>
      <c r="G85" s="629">
        <v>12807.38</v>
      </c>
      <c r="H85" s="720" t="str">
        <f t="shared" si="6"/>
        <v>USD</v>
      </c>
      <c r="I85" s="821" t="s">
        <v>4098</v>
      </c>
      <c r="J85" s="155" t="s">
        <v>3967</v>
      </c>
      <c r="K85" s="155" t="s">
        <v>4099</v>
      </c>
      <c r="L85" s="247" t="str">
        <f t="shared" si="8"/>
        <v>no price, 0 count</v>
      </c>
      <c r="M85" s="121">
        <f>SUMIFS('Bilateral Assistance, MAIN DATA'!M:M,'Bilateral Assistance, MAIN DATA'!I:I,'Price List, Weapons &amp; Items'!B85)</f>
        <v>0</v>
      </c>
      <c r="N85" s="19">
        <f>COUNTIFS('Bilateral Assistance, MAIN DATA'!M:M,"undisclosed",'Bilateral Assistance, MAIN DATA'!I:I,'Price List, Weapons &amp; Items'!B85)</f>
        <v>1</v>
      </c>
      <c r="O85" s="723">
        <f t="shared" si="9"/>
        <v>0</v>
      </c>
      <c r="P85" s="19">
        <f>IFERROR(IF(SEARCH(B85,_xlfn.ARRAYTOTEXT('Bilateral Assistance, MAIN DATA'!I$1:I$1622))&gt;0,1,""),0)</f>
        <v>1</v>
      </c>
      <c r="Q85" s="19">
        <f>IFERROR(IF(SEARCH(B85,_xlfn.ARRAYTOTEXT('Commercial Assistance'!I$1:I$1400))&gt;0,1,""),0)</f>
        <v>0</v>
      </c>
      <c r="R85" s="247" t="str">
        <f>IF(SUMIFS('Bilateral Assistance, MAIN DATA'!N:N,'Bilateral Assistance, MAIN DATA'!I:I,'Price List, Weapons &amp; Items'!B85)&gt;M85,1,".")</f>
        <v>.</v>
      </c>
    </row>
    <row r="86" spans="2:18" ht="15" customHeight="1" x14ac:dyDescent="0.3">
      <c r="B86" s="175" t="s">
        <v>4100</v>
      </c>
      <c r="C86" s="113" t="s">
        <v>3954</v>
      </c>
      <c r="D86" s="246" t="s">
        <v>3966</v>
      </c>
      <c r="E86" s="199">
        <v>0</v>
      </c>
      <c r="F86" s="199">
        <f t="shared" si="7"/>
        <v>0</v>
      </c>
      <c r="G86" s="629">
        <v>64000</v>
      </c>
      <c r="H86" s="720" t="str">
        <f t="shared" si="6"/>
        <v>USD</v>
      </c>
      <c r="I86" s="821" t="s">
        <v>4101</v>
      </c>
      <c r="J86" s="155" t="s">
        <v>3975</v>
      </c>
      <c r="K86" s="155" t="s">
        <v>4102</v>
      </c>
      <c r="L86" s="247" t="str">
        <f t="shared" si="8"/>
        <v>no price, 0 count</v>
      </c>
      <c r="M86" s="121">
        <f>SUMIFS('Bilateral Assistance, MAIN DATA'!M:M,'Bilateral Assistance, MAIN DATA'!I:I,'Price List, Weapons &amp; Items'!B86)</f>
        <v>0</v>
      </c>
      <c r="N86" s="19">
        <f>COUNTIFS('Bilateral Assistance, MAIN DATA'!M:M,"undisclosed",'Bilateral Assistance, MAIN DATA'!I:I,'Price List, Weapons &amp; Items'!B86)</f>
        <v>1</v>
      </c>
      <c r="O86" s="723">
        <f t="shared" si="9"/>
        <v>0</v>
      </c>
      <c r="P86" s="19">
        <f>IFERROR(IF(SEARCH(B86,_xlfn.ARRAYTOTEXT('Bilateral Assistance, MAIN DATA'!I$1:I$1622))&gt;0,1,""),0)</f>
        <v>1</v>
      </c>
      <c r="Q86" s="19">
        <f>IFERROR(IF(SEARCH(B86,_xlfn.ARRAYTOTEXT('Commercial Assistance'!I$1:I$1400))&gt;0,1,""),0)</f>
        <v>0</v>
      </c>
      <c r="R86" s="247" t="str">
        <f>IF(SUMIFS('Bilateral Assistance, MAIN DATA'!N:N,'Bilateral Assistance, MAIN DATA'!I:I,'Price List, Weapons &amp; Items'!B86)&gt;M86,1,".")</f>
        <v>.</v>
      </c>
    </row>
    <row r="87" spans="2:18" ht="15" customHeight="1" x14ac:dyDescent="0.3">
      <c r="B87" s="175" t="s">
        <v>4103</v>
      </c>
      <c r="C87" s="113" t="s">
        <v>3987</v>
      </c>
      <c r="D87" s="246" t="s">
        <v>4104</v>
      </c>
      <c r="E87" s="199">
        <v>0</v>
      </c>
      <c r="F87" s="199">
        <f t="shared" si="7"/>
        <v>0</v>
      </c>
      <c r="G87" s="629">
        <v>12000</v>
      </c>
      <c r="H87" s="720" t="str">
        <f t="shared" si="6"/>
        <v>USD</v>
      </c>
      <c r="I87" s="820" t="s">
        <v>4105</v>
      </c>
      <c r="J87" s="155" t="s">
        <v>3964</v>
      </c>
      <c r="K87" s="155" t="s">
        <v>4106</v>
      </c>
      <c r="L87" s="247" t="str">
        <f t="shared" si="8"/>
        <v>no price, 0 count</v>
      </c>
      <c r="M87" s="121">
        <f>SUMIFS('Bilateral Assistance, MAIN DATA'!M:M,'Bilateral Assistance, MAIN DATA'!I:I,'Price List, Weapons &amp; Items'!B87)</f>
        <v>0</v>
      </c>
      <c r="N87" s="19">
        <f>COUNTIFS('Bilateral Assistance, MAIN DATA'!M:M,"undisclosed",'Bilateral Assistance, MAIN DATA'!I:I,'Price List, Weapons &amp; Items'!B87)</f>
        <v>1</v>
      </c>
      <c r="O87" s="723">
        <f t="shared" si="9"/>
        <v>0</v>
      </c>
      <c r="P87" s="19">
        <f>IFERROR(IF(SEARCH(B87,_xlfn.ARRAYTOTEXT('Bilateral Assistance, MAIN DATA'!I$1:I$1622))&gt;0,1,""),0)</f>
        <v>1</v>
      </c>
      <c r="Q87" s="19">
        <f>IFERROR(IF(SEARCH(B87,_xlfn.ARRAYTOTEXT('Commercial Assistance'!I$1:I$1400))&gt;0,1,""),0)</f>
        <v>0</v>
      </c>
      <c r="R87" s="247" t="str">
        <f>IF(SUMIFS('Bilateral Assistance, MAIN DATA'!N:N,'Bilateral Assistance, MAIN DATA'!I:I,'Price List, Weapons &amp; Items'!B87)&gt;M87,1,".")</f>
        <v>.</v>
      </c>
    </row>
    <row r="88" spans="2:18" ht="15" customHeight="1" x14ac:dyDescent="0.3">
      <c r="B88" s="175" t="s">
        <v>4107</v>
      </c>
      <c r="C88" s="113" t="s">
        <v>3939</v>
      </c>
      <c r="D88" s="246" t="s">
        <v>3973</v>
      </c>
      <c r="E88" s="199">
        <v>0</v>
      </c>
      <c r="F88" s="199">
        <f t="shared" si="7"/>
        <v>0</v>
      </c>
      <c r="G88" s="629">
        <v>5300</v>
      </c>
      <c r="H88" s="720" t="str">
        <f t="shared" si="6"/>
        <v>USD</v>
      </c>
      <c r="I88" s="820" t="s">
        <v>4079</v>
      </c>
      <c r="J88" s="155" t="s">
        <v>3975</v>
      </c>
      <c r="K88" s="155" t="s">
        <v>3976</v>
      </c>
      <c r="L88" s="247" t="str">
        <f t="shared" si="8"/>
        <v>no price, 0 count</v>
      </c>
      <c r="M88" s="121">
        <f>SUMIFS('Bilateral Assistance, MAIN DATA'!M:M,'Bilateral Assistance, MAIN DATA'!I:I,'Price List, Weapons &amp; Items'!B88)</f>
        <v>0</v>
      </c>
      <c r="N88" s="19">
        <f>COUNTIFS('Bilateral Assistance, MAIN DATA'!M:M,"undisclosed",'Bilateral Assistance, MAIN DATA'!I:I,'Price List, Weapons &amp; Items'!B88)</f>
        <v>1</v>
      </c>
      <c r="O88" s="723">
        <f t="shared" si="9"/>
        <v>0</v>
      </c>
      <c r="P88" s="19">
        <f>IFERROR(IF(SEARCH(B88,_xlfn.ARRAYTOTEXT('Bilateral Assistance, MAIN DATA'!I$1:I$1622))&gt;0,1,""),0)</f>
        <v>1</v>
      </c>
      <c r="Q88" s="19">
        <f>IFERROR(IF(SEARCH(B88,_xlfn.ARRAYTOTEXT('Commercial Assistance'!I$1:I$1400))&gt;0,1,""),0)</f>
        <v>0</v>
      </c>
      <c r="R88" s="247" t="str">
        <f>IF(SUMIFS('Bilateral Assistance, MAIN DATA'!N:N,'Bilateral Assistance, MAIN DATA'!I:I,'Price List, Weapons &amp; Items'!B88)&gt;M88,1,".")</f>
        <v>.</v>
      </c>
    </row>
    <row r="89" spans="2:18" ht="15" customHeight="1" x14ac:dyDescent="0.3">
      <c r="B89" s="188" t="s">
        <v>4108</v>
      </c>
      <c r="C89" s="113" t="s">
        <v>812</v>
      </c>
      <c r="D89" s="113" t="s">
        <v>812</v>
      </c>
      <c r="E89" s="199">
        <v>0</v>
      </c>
      <c r="F89" s="199">
        <f t="shared" si="7"/>
        <v>0</v>
      </c>
      <c r="G89" s="629">
        <v>5000</v>
      </c>
      <c r="H89" s="720" t="str">
        <f t="shared" si="6"/>
        <v>USD</v>
      </c>
      <c r="I89" s="821" t="s">
        <v>4109</v>
      </c>
      <c r="J89" s="155" t="s">
        <v>3975</v>
      </c>
      <c r="K89" s="155" t="s">
        <v>4110</v>
      </c>
      <c r="L89" s="247">
        <f t="shared" si="8"/>
        <v>1</v>
      </c>
      <c r="M89" s="121">
        <f>SUMIFS('Bilateral Assistance, MAIN DATA'!M:M,'Bilateral Assistance, MAIN DATA'!I:I,'Price List, Weapons &amp; Items'!B89)</f>
        <v>8</v>
      </c>
      <c r="N89" s="19">
        <f>COUNTIFS('Bilateral Assistance, MAIN DATA'!M:M,"undisclosed",'Bilateral Assistance, MAIN DATA'!I:I,'Price List, Weapons &amp; Items'!B89)</f>
        <v>1</v>
      </c>
      <c r="O89" s="723">
        <f t="shared" si="9"/>
        <v>40000</v>
      </c>
      <c r="P89" s="19">
        <f>IFERROR(IF(SEARCH(B89,_xlfn.ARRAYTOTEXT('Bilateral Assistance, MAIN DATA'!I$1:I$1622))&gt;0,1,""),0)</f>
        <v>1</v>
      </c>
      <c r="Q89" s="19">
        <f>IFERROR(IF(SEARCH(B89,_xlfn.ARRAYTOTEXT('Commercial Assistance'!I$1:I$1400))&gt;0,1,""),0)</f>
        <v>0</v>
      </c>
      <c r="R89" s="247" t="str">
        <f>IF(SUMIFS('Bilateral Assistance, MAIN DATA'!N:N,'Bilateral Assistance, MAIN DATA'!I:I,'Price List, Weapons &amp; Items'!B89)&gt;M89,1,".")</f>
        <v>.</v>
      </c>
    </row>
    <row r="90" spans="2:18" ht="15" customHeight="1" x14ac:dyDescent="0.3">
      <c r="B90" s="188" t="s">
        <v>1979</v>
      </c>
      <c r="C90" s="113" t="s">
        <v>812</v>
      </c>
      <c r="D90" s="113" t="s">
        <v>812</v>
      </c>
      <c r="E90" s="199">
        <v>0</v>
      </c>
      <c r="F90" s="199">
        <f t="shared" si="7"/>
        <v>0</v>
      </c>
      <c r="G90" s="629">
        <v>5000</v>
      </c>
      <c r="H90" s="720" t="str">
        <f t="shared" si="6"/>
        <v>USD</v>
      </c>
      <c r="I90" s="821" t="s">
        <v>4109</v>
      </c>
      <c r="J90" s="155" t="s">
        <v>3975</v>
      </c>
      <c r="K90" s="155" t="s">
        <v>4110</v>
      </c>
      <c r="L90" s="247" t="str">
        <f t="shared" si="8"/>
        <v>no price, 0 count</v>
      </c>
      <c r="M90" s="121">
        <f>SUMIFS('Bilateral Assistance, MAIN DATA'!M:M,'Bilateral Assistance, MAIN DATA'!I:I,'Price List, Weapons &amp; Items'!B90)</f>
        <v>0</v>
      </c>
      <c r="N90" s="19">
        <f>COUNTIFS('Bilateral Assistance, MAIN DATA'!M:M,"undisclosed",'Bilateral Assistance, MAIN DATA'!I:I,'Price List, Weapons &amp; Items'!B90)</f>
        <v>5</v>
      </c>
      <c r="O90" s="723">
        <f t="shared" si="9"/>
        <v>0</v>
      </c>
      <c r="P90" s="19">
        <f>IFERROR(IF(SEARCH(B90,_xlfn.ARRAYTOTEXT('Bilateral Assistance, MAIN DATA'!I$1:I$1622))&gt;0,1,""),0)</f>
        <v>1</v>
      </c>
      <c r="Q90" s="19">
        <f>IFERROR(IF(SEARCH(B90,_xlfn.ARRAYTOTEXT('Commercial Assistance'!I$1:I$1400))&gt;0,1,""),0)</f>
        <v>0</v>
      </c>
      <c r="R90" s="247" t="str">
        <f>IF(SUMIFS('Bilateral Assistance, MAIN DATA'!N:N,'Bilateral Assistance, MAIN DATA'!I:I,'Price List, Weapons &amp; Items'!B90)&gt;M90,1,".")</f>
        <v>.</v>
      </c>
    </row>
    <row r="91" spans="2:18" ht="15" customHeight="1" x14ac:dyDescent="0.3">
      <c r="B91" s="188" t="s">
        <v>3305</v>
      </c>
      <c r="C91" s="113" t="s">
        <v>3942</v>
      </c>
      <c r="D91" s="246" t="s">
        <v>4111</v>
      </c>
      <c r="E91" s="199">
        <v>0</v>
      </c>
      <c r="F91" s="199">
        <f t="shared" si="7"/>
        <v>1</v>
      </c>
      <c r="G91" s="629">
        <v>3800</v>
      </c>
      <c r="H91" s="720" t="str">
        <f t="shared" si="6"/>
        <v>USD</v>
      </c>
      <c r="I91" s="821" t="s">
        <v>626</v>
      </c>
      <c r="J91" s="155" t="s">
        <v>3959</v>
      </c>
      <c r="K91" s="155" t="s">
        <v>4112</v>
      </c>
      <c r="L91" s="247" t="str">
        <f t="shared" si="8"/>
        <v>no price, 0 count</v>
      </c>
      <c r="M91" s="121">
        <f>SUMIFS('Bilateral Assistance, MAIN DATA'!M:M,'Bilateral Assistance, MAIN DATA'!I:I,'Price List, Weapons &amp; Items'!B91)</f>
        <v>0</v>
      </c>
      <c r="N91" s="19">
        <f>COUNTIFS('Bilateral Assistance, MAIN DATA'!M:M,"undisclosed",'Bilateral Assistance, MAIN DATA'!I:I,'Price List, Weapons &amp; Items'!B91)</f>
        <v>1</v>
      </c>
      <c r="O91" s="723">
        <f t="shared" si="9"/>
        <v>0</v>
      </c>
      <c r="P91" s="19">
        <f>IFERROR(IF(SEARCH(B91,_xlfn.ARRAYTOTEXT('Bilateral Assistance, MAIN DATA'!I$1:I$1622))&gt;0,1,""),0)</f>
        <v>1</v>
      </c>
      <c r="Q91" s="19">
        <f>IFERROR(IF(SEARCH(B91,_xlfn.ARRAYTOTEXT('Commercial Assistance'!I$1:I$1400))&gt;0,1,""),0)</f>
        <v>0</v>
      </c>
      <c r="R91" s="247" t="str">
        <f>IF(SUMIFS('Bilateral Assistance, MAIN DATA'!N:N,'Bilateral Assistance, MAIN DATA'!I:I,'Price List, Weapons &amp; Items'!B91)&gt;M91,1,".")</f>
        <v>.</v>
      </c>
    </row>
    <row r="92" spans="2:18" ht="15" customHeight="1" x14ac:dyDescent="0.3">
      <c r="B92" s="188" t="s">
        <v>3323</v>
      </c>
      <c r="C92" s="113" t="s">
        <v>3942</v>
      </c>
      <c r="D92" s="246" t="s">
        <v>4111</v>
      </c>
      <c r="E92" s="199">
        <v>0</v>
      </c>
      <c r="F92" s="199">
        <f t="shared" si="7"/>
        <v>1</v>
      </c>
      <c r="G92" s="629">
        <v>3800</v>
      </c>
      <c r="H92" s="720" t="str">
        <f t="shared" si="6"/>
        <v>USD</v>
      </c>
      <c r="I92" s="821" t="s">
        <v>626</v>
      </c>
      <c r="J92" s="155" t="s">
        <v>3959</v>
      </c>
      <c r="K92" s="155" t="s">
        <v>4112</v>
      </c>
      <c r="L92" s="247" t="str">
        <f t="shared" si="8"/>
        <v>no price, 0 count</v>
      </c>
      <c r="M92" s="121">
        <f>SUMIFS('Bilateral Assistance, MAIN DATA'!M:M,'Bilateral Assistance, MAIN DATA'!I:I,'Price List, Weapons &amp; Items'!B92)</f>
        <v>0</v>
      </c>
      <c r="N92" s="19">
        <f>COUNTIFS('Bilateral Assistance, MAIN DATA'!M:M,"undisclosed",'Bilateral Assistance, MAIN DATA'!I:I,'Price List, Weapons &amp; Items'!B92)</f>
        <v>1</v>
      </c>
      <c r="O92" s="723">
        <f t="shared" si="9"/>
        <v>0</v>
      </c>
      <c r="P92" s="19">
        <f>IFERROR(IF(SEARCH(B92,_xlfn.ARRAYTOTEXT('Bilateral Assistance, MAIN DATA'!I$1:I$1622))&gt;0,1,""),0)</f>
        <v>1</v>
      </c>
      <c r="Q92" s="19">
        <f>IFERROR(IF(SEARCH(B92,_xlfn.ARRAYTOTEXT('Commercial Assistance'!I$1:I$1400))&gt;0,1,""),0)</f>
        <v>0</v>
      </c>
      <c r="R92" s="247" t="str">
        <f>IF(SUMIFS('Bilateral Assistance, MAIN DATA'!N:N,'Bilateral Assistance, MAIN DATA'!I:I,'Price List, Weapons &amp; Items'!B92)&gt;M92,1,".")</f>
        <v>.</v>
      </c>
    </row>
    <row r="93" spans="2:18" ht="15" customHeight="1" x14ac:dyDescent="0.3">
      <c r="B93" s="188" t="s">
        <v>3306</v>
      </c>
      <c r="C93" s="113" t="s">
        <v>3942</v>
      </c>
      <c r="D93" s="246" t="s">
        <v>4111</v>
      </c>
      <c r="E93" s="199">
        <v>1</v>
      </c>
      <c r="F93" s="199">
        <f t="shared" si="7"/>
        <v>1</v>
      </c>
      <c r="G93" s="629">
        <v>3800</v>
      </c>
      <c r="H93" s="720" t="str">
        <f t="shared" si="6"/>
        <v>USD</v>
      </c>
      <c r="I93" s="821" t="s">
        <v>626</v>
      </c>
      <c r="J93" s="155" t="s">
        <v>3959</v>
      </c>
      <c r="K93" s="155" t="s">
        <v>4112</v>
      </c>
      <c r="L93" s="247">
        <f t="shared" si="8"/>
        <v>2</v>
      </c>
      <c r="M93" s="121">
        <f>SUMIFS('Bilateral Assistance, MAIN DATA'!M:M,'Bilateral Assistance, MAIN DATA'!I:I,'Price List, Weapons &amp; Items'!B93)</f>
        <v>45000</v>
      </c>
      <c r="N93" s="19">
        <f>COUNTIFS('Bilateral Assistance, MAIN DATA'!M:M,"undisclosed",'Bilateral Assistance, MAIN DATA'!I:I,'Price List, Weapons &amp; Items'!B93)</f>
        <v>1</v>
      </c>
      <c r="O93" s="723">
        <f t="shared" si="9"/>
        <v>171000000</v>
      </c>
      <c r="P93" s="19">
        <f>IFERROR(IF(SEARCH(B93,_xlfn.ARRAYTOTEXT('Bilateral Assistance, MAIN DATA'!I$1:I$1622))&gt;0,1,""),0)</f>
        <v>1</v>
      </c>
      <c r="Q93" s="19">
        <f>IFERROR(IF(SEARCH(B93,_xlfn.ARRAYTOTEXT('Commercial Assistance'!I$1:I$1400))&gt;0,1,""),0)</f>
        <v>0</v>
      </c>
      <c r="R93" s="247" t="str">
        <f>IF(SUMIFS('Bilateral Assistance, MAIN DATA'!N:N,'Bilateral Assistance, MAIN DATA'!I:I,'Price List, Weapons &amp; Items'!B93)&gt;M93,1,".")</f>
        <v>.</v>
      </c>
    </row>
    <row r="94" spans="2:18" ht="15" customHeight="1" x14ac:dyDescent="0.3">
      <c r="B94" s="175" t="s">
        <v>4113</v>
      </c>
      <c r="C94" s="449" t="s">
        <v>3942</v>
      </c>
      <c r="D94" s="255" t="s">
        <v>3943</v>
      </c>
      <c r="E94" s="256">
        <v>0</v>
      </c>
      <c r="F94" s="199">
        <f t="shared" si="7"/>
        <v>1</v>
      </c>
      <c r="G94" s="629">
        <v>3800</v>
      </c>
      <c r="H94" s="720" t="str">
        <f t="shared" si="6"/>
        <v>USD</v>
      </c>
      <c r="I94" s="821" t="s">
        <v>4114</v>
      </c>
      <c r="J94" s="155" t="s">
        <v>4008</v>
      </c>
      <c r="K94" s="155" t="s">
        <v>4115</v>
      </c>
      <c r="L94" s="247" t="str">
        <f t="shared" si="8"/>
        <v>no price, 0 count</v>
      </c>
      <c r="M94" s="121">
        <f>SUMIFS('Bilateral Assistance, MAIN DATA'!M:M,'Bilateral Assistance, MAIN DATA'!I:I,'Price List, Weapons &amp; Items'!B94)</f>
        <v>0</v>
      </c>
      <c r="N94" s="19">
        <f>COUNTIFS('Bilateral Assistance, MAIN DATA'!M:M,"undisclosed",'Bilateral Assistance, MAIN DATA'!I:I,'Price List, Weapons &amp; Items'!B94)</f>
        <v>2</v>
      </c>
      <c r="O94" s="723">
        <f t="shared" si="9"/>
        <v>0</v>
      </c>
      <c r="P94" s="19">
        <f>IFERROR(IF(SEARCH(B94,_xlfn.ARRAYTOTEXT('Bilateral Assistance, MAIN DATA'!I$1:I$1622))&gt;0,1,""),0)</f>
        <v>1</v>
      </c>
      <c r="Q94" s="19">
        <f>IFERROR(IF(SEARCH(B94,_xlfn.ARRAYTOTEXT('Commercial Assistance'!I$1:I$1400))&gt;0,1,""),0)</f>
        <v>0</v>
      </c>
      <c r="R94" s="247" t="str">
        <f>IF(SUMIFS('Bilateral Assistance, MAIN DATA'!N:N,'Bilateral Assistance, MAIN DATA'!I:I,'Price List, Weapons &amp; Items'!B94)&gt;M94,1,".")</f>
        <v>.</v>
      </c>
    </row>
    <row r="95" spans="2:18" ht="15" customHeight="1" x14ac:dyDescent="0.3">
      <c r="B95" s="175" t="s">
        <v>4116</v>
      </c>
      <c r="C95" s="113" t="s">
        <v>4068</v>
      </c>
      <c r="D95" s="246" t="s">
        <v>4117</v>
      </c>
      <c r="E95" s="199">
        <v>0</v>
      </c>
      <c r="F95" s="199">
        <f t="shared" si="7"/>
        <v>0</v>
      </c>
      <c r="G95" s="629">
        <v>3661.76</v>
      </c>
      <c r="H95" s="720" t="str">
        <f t="shared" ref="H95:H115" si="10">IF(G95&lt;&gt;".","USD",".")</f>
        <v>USD</v>
      </c>
      <c r="I95" s="821" t="s">
        <v>4118</v>
      </c>
      <c r="J95" s="155" t="s">
        <v>3975</v>
      </c>
      <c r="K95" s="155" t="s">
        <v>4119</v>
      </c>
      <c r="L95" s="247" t="str">
        <f t="shared" si="8"/>
        <v>no price, 0 count</v>
      </c>
      <c r="M95" s="121">
        <f>SUMIFS('Bilateral Assistance, MAIN DATA'!M:M,'Bilateral Assistance, MAIN DATA'!I:I,'Price List, Weapons &amp; Items'!B95)</f>
        <v>0</v>
      </c>
      <c r="N95" s="19">
        <f>COUNTIFS('Bilateral Assistance, MAIN DATA'!M:M,"undisclosed",'Bilateral Assistance, MAIN DATA'!I:I,'Price List, Weapons &amp; Items'!B95)</f>
        <v>1</v>
      </c>
      <c r="O95" s="723">
        <f t="shared" si="9"/>
        <v>0</v>
      </c>
      <c r="P95" s="19">
        <f>IFERROR(IF(SEARCH(B95,_xlfn.ARRAYTOTEXT('Bilateral Assistance, MAIN DATA'!I$1:I$1622))&gt;0,1,""),0)</f>
        <v>1</v>
      </c>
      <c r="Q95" s="19">
        <f>IFERROR(IF(SEARCH(B95,_xlfn.ARRAYTOTEXT('Commercial Assistance'!I$1:I$1400))&gt;0,1,""),0)</f>
        <v>0</v>
      </c>
      <c r="R95" s="247" t="str">
        <f>IF(SUMIFS('Bilateral Assistance, MAIN DATA'!N:N,'Bilateral Assistance, MAIN DATA'!I:I,'Price List, Weapons &amp; Items'!B95)&gt;M95,1,".")</f>
        <v>.</v>
      </c>
    </row>
    <row r="96" spans="2:18" ht="15" customHeight="1" x14ac:dyDescent="0.3">
      <c r="B96" s="188" t="s">
        <v>3309</v>
      </c>
      <c r="C96" s="449" t="s">
        <v>3942</v>
      </c>
      <c r="D96" s="255" t="s">
        <v>4075</v>
      </c>
      <c r="E96" s="256">
        <v>0</v>
      </c>
      <c r="F96" s="199">
        <f t="shared" si="7"/>
        <v>0</v>
      </c>
      <c r="G96" s="629">
        <v>2000</v>
      </c>
      <c r="H96" s="720" t="str">
        <f t="shared" si="10"/>
        <v>USD</v>
      </c>
      <c r="I96" s="820" t="s">
        <v>4120</v>
      </c>
      <c r="J96" s="249" t="s">
        <v>3964</v>
      </c>
      <c r="K96" s="155" t="s">
        <v>4121</v>
      </c>
      <c r="L96" s="247" t="str">
        <f t="shared" si="8"/>
        <v>no price, 0 count</v>
      </c>
      <c r="M96" s="121">
        <f>SUMIFS('Bilateral Assistance, MAIN DATA'!M:M,'Bilateral Assistance, MAIN DATA'!I:I,'Price List, Weapons &amp; Items'!B96)</f>
        <v>0</v>
      </c>
      <c r="N96" s="19">
        <f>COUNTIFS('Bilateral Assistance, MAIN DATA'!M:M,"undisclosed",'Bilateral Assistance, MAIN DATA'!I:I,'Price List, Weapons &amp; Items'!B96)</f>
        <v>1</v>
      </c>
      <c r="O96" s="723">
        <f t="shared" si="9"/>
        <v>0</v>
      </c>
      <c r="P96" s="19">
        <f>IFERROR(IF(SEARCH(B96,_xlfn.ARRAYTOTEXT('Bilateral Assistance, MAIN DATA'!I$1:I$1622))&gt;0,1,""),0)</f>
        <v>1</v>
      </c>
      <c r="Q96" s="19">
        <f>IFERROR(IF(SEARCH(B96,_xlfn.ARRAYTOTEXT('Commercial Assistance'!I$1:I$1400))&gt;0,1,""),0)</f>
        <v>0</v>
      </c>
      <c r="R96" s="247" t="str">
        <f>IF(SUMIFS('Bilateral Assistance, MAIN DATA'!N:N,'Bilateral Assistance, MAIN DATA'!I:I,'Price List, Weapons &amp; Items'!B96)&gt;M96,1,".")</f>
        <v>.</v>
      </c>
    </row>
    <row r="97" spans="2:18" ht="15" customHeight="1" x14ac:dyDescent="0.3">
      <c r="B97" s="188" t="s">
        <v>3311</v>
      </c>
      <c r="C97" s="113" t="s">
        <v>3942</v>
      </c>
      <c r="D97" s="246" t="s">
        <v>4075</v>
      </c>
      <c r="E97" s="199">
        <v>1</v>
      </c>
      <c r="F97" s="199">
        <f t="shared" si="7"/>
        <v>0</v>
      </c>
      <c r="G97" s="629">
        <v>2000</v>
      </c>
      <c r="H97" s="720" t="str">
        <f t="shared" si="10"/>
        <v>USD</v>
      </c>
      <c r="I97" s="820" t="s">
        <v>4120</v>
      </c>
      <c r="J97" s="155" t="s">
        <v>3964</v>
      </c>
      <c r="K97" s="155" t="s">
        <v>4121</v>
      </c>
      <c r="L97" s="247" t="str">
        <f t="shared" si="8"/>
        <v>no price, 0 count</v>
      </c>
      <c r="M97" s="121">
        <f>SUMIFS('Bilateral Assistance, MAIN DATA'!M:M,'Bilateral Assistance, MAIN DATA'!I:I,'Price List, Weapons &amp; Items'!B97)</f>
        <v>0</v>
      </c>
      <c r="N97" s="19">
        <f>COUNTIFS('Bilateral Assistance, MAIN DATA'!M:M,"undisclosed",'Bilateral Assistance, MAIN DATA'!I:I,'Price List, Weapons &amp; Items'!B97)</f>
        <v>1</v>
      </c>
      <c r="O97" s="723">
        <f t="shared" si="9"/>
        <v>0</v>
      </c>
      <c r="P97" s="19">
        <f>IFERROR(IF(SEARCH(B97,_xlfn.ARRAYTOTEXT('Bilateral Assistance, MAIN DATA'!I$1:I$1622))&gt;0,1,""),0)</f>
        <v>1</v>
      </c>
      <c r="Q97" s="19">
        <f>IFERROR(IF(SEARCH(B97,_xlfn.ARRAYTOTEXT('Commercial Assistance'!I$1:I$1400))&gt;0,1,""),0)</f>
        <v>0</v>
      </c>
      <c r="R97" s="247" t="str">
        <f>IF(SUMIFS('Bilateral Assistance, MAIN DATA'!N:N,'Bilateral Assistance, MAIN DATA'!I:I,'Price List, Weapons &amp; Items'!B97)&gt;M97,1,".")</f>
        <v>.</v>
      </c>
    </row>
    <row r="98" spans="2:18" ht="15" customHeight="1" x14ac:dyDescent="0.3">
      <c r="B98" s="188" t="s">
        <v>986</v>
      </c>
      <c r="C98" s="113" t="s">
        <v>3942</v>
      </c>
      <c r="D98" s="246" t="s">
        <v>4122</v>
      </c>
      <c r="E98" s="199">
        <v>0</v>
      </c>
      <c r="F98" s="199">
        <f t="shared" si="7"/>
        <v>0</v>
      </c>
      <c r="G98" s="629">
        <v>2000</v>
      </c>
      <c r="H98" s="720" t="str">
        <f t="shared" si="10"/>
        <v>USD</v>
      </c>
      <c r="I98" s="820" t="s">
        <v>4120</v>
      </c>
      <c r="J98" s="155" t="s">
        <v>3964</v>
      </c>
      <c r="K98" s="155" t="s">
        <v>4123</v>
      </c>
      <c r="L98" s="247">
        <f t="shared" si="8"/>
        <v>2</v>
      </c>
      <c r="M98" s="121">
        <f>SUMIFS('Bilateral Assistance, MAIN DATA'!M:M,'Bilateral Assistance, MAIN DATA'!I:I,'Price List, Weapons &amp; Items'!B98)</f>
        <v>110000</v>
      </c>
      <c r="N98" s="19">
        <f>COUNTIFS('Bilateral Assistance, MAIN DATA'!M:M,"undisclosed",'Bilateral Assistance, MAIN DATA'!I:I,'Price List, Weapons &amp; Items'!B98)</f>
        <v>1</v>
      </c>
      <c r="O98" s="723">
        <f t="shared" si="9"/>
        <v>220000000</v>
      </c>
      <c r="P98" s="19">
        <f>IFERROR(IF(SEARCH(B98,_xlfn.ARRAYTOTEXT('Bilateral Assistance, MAIN DATA'!I$1:I$1622))&gt;0,1,""),0)</f>
        <v>1</v>
      </c>
      <c r="Q98" s="19">
        <f>IFERROR(IF(SEARCH(B98,_xlfn.ARRAYTOTEXT('Commercial Assistance'!I$1:I$1400))&gt;0,1,""),0)</f>
        <v>0</v>
      </c>
      <c r="R98" s="247" t="str">
        <f>IF(SUMIFS('Bilateral Assistance, MAIN DATA'!N:N,'Bilateral Assistance, MAIN DATA'!I:I,'Price List, Weapons &amp; Items'!B98)&gt;M98,1,".")</f>
        <v>.</v>
      </c>
    </row>
    <row r="99" spans="2:18" ht="15" customHeight="1" x14ac:dyDescent="0.3">
      <c r="B99" s="175" t="s">
        <v>4124</v>
      </c>
      <c r="C99" s="113" t="s">
        <v>3987</v>
      </c>
      <c r="D99" s="246" t="s">
        <v>4064</v>
      </c>
      <c r="E99" s="199">
        <v>0</v>
      </c>
      <c r="F99" s="199">
        <f t="shared" si="7"/>
        <v>0</v>
      </c>
      <c r="G99" s="629">
        <v>1475</v>
      </c>
      <c r="H99" s="720" t="str">
        <f t="shared" si="10"/>
        <v>USD</v>
      </c>
      <c r="I99" s="820" t="s">
        <v>4125</v>
      </c>
      <c r="J99" s="155" t="s">
        <v>3967</v>
      </c>
      <c r="K99" s="155" t="s">
        <v>4126</v>
      </c>
      <c r="L99" s="247" t="str">
        <f t="shared" si="8"/>
        <v>no price, 0 count</v>
      </c>
      <c r="M99" s="121">
        <f>SUMIFS('Bilateral Assistance, MAIN DATA'!M:M,'Bilateral Assistance, MAIN DATA'!I:I,'Price List, Weapons &amp; Items'!B99)</f>
        <v>0</v>
      </c>
      <c r="N99" s="19">
        <f>COUNTIFS('Bilateral Assistance, MAIN DATA'!M:M,"undisclosed",'Bilateral Assistance, MAIN DATA'!I:I,'Price List, Weapons &amp; Items'!B99)</f>
        <v>1</v>
      </c>
      <c r="O99" s="723">
        <f t="shared" si="9"/>
        <v>0</v>
      </c>
      <c r="P99" s="19">
        <f>IFERROR(IF(SEARCH(B99,_xlfn.ARRAYTOTEXT('Bilateral Assistance, MAIN DATA'!I$1:I$1622))&gt;0,1,""),0)</f>
        <v>1</v>
      </c>
      <c r="Q99" s="19">
        <f>IFERROR(IF(SEARCH(B99,_xlfn.ARRAYTOTEXT('Commercial Assistance'!I$1:I$1400))&gt;0,1,""),0)</f>
        <v>0</v>
      </c>
      <c r="R99" s="247" t="str">
        <f>IF(SUMIFS('Bilateral Assistance, MAIN DATA'!N:N,'Bilateral Assistance, MAIN DATA'!I:I,'Price List, Weapons &amp; Items'!B99)&gt;M99,1,".")</f>
        <v>.</v>
      </c>
    </row>
    <row r="100" spans="2:18" ht="15" customHeight="1" x14ac:dyDescent="0.3">
      <c r="B100" s="175" t="s">
        <v>2396</v>
      </c>
      <c r="C100" s="113" t="s">
        <v>3939</v>
      </c>
      <c r="D100" s="246" t="s">
        <v>4064</v>
      </c>
      <c r="E100" s="199">
        <v>0</v>
      </c>
      <c r="F100" s="199">
        <f t="shared" si="7"/>
        <v>0</v>
      </c>
      <c r="G100" s="629">
        <v>2462.4299999999998</v>
      </c>
      <c r="H100" s="720" t="str">
        <f t="shared" si="10"/>
        <v>USD</v>
      </c>
      <c r="I100" s="821" t="s">
        <v>4127</v>
      </c>
      <c r="J100" s="155" t="s">
        <v>3971</v>
      </c>
      <c r="K100" s="155" t="s">
        <v>4128</v>
      </c>
      <c r="L100" s="247" t="str">
        <f t="shared" si="8"/>
        <v>no price, 0 count</v>
      </c>
      <c r="M100" s="121">
        <f>SUMIFS('Bilateral Assistance, MAIN DATA'!M:M,'Bilateral Assistance, MAIN DATA'!I:I,'Price List, Weapons &amp; Items'!B100)</f>
        <v>0</v>
      </c>
      <c r="N100" s="19">
        <f>COUNTIFS('Bilateral Assistance, MAIN DATA'!M:M,"undisclosed",'Bilateral Assistance, MAIN DATA'!I:I,'Price List, Weapons &amp; Items'!B100)</f>
        <v>1</v>
      </c>
      <c r="O100" s="723">
        <f t="shared" si="9"/>
        <v>0</v>
      </c>
      <c r="P100" s="19">
        <f>IFERROR(IF(SEARCH(B100,_xlfn.ARRAYTOTEXT('Bilateral Assistance, MAIN DATA'!I$1:I$1622))&gt;0,1,""),0)</f>
        <v>1</v>
      </c>
      <c r="Q100" s="19">
        <f>IFERROR(IF(SEARCH(B100,_xlfn.ARRAYTOTEXT('Commercial Assistance'!I$1:I$1400))&gt;0,1,""),0)</f>
        <v>0</v>
      </c>
      <c r="R100" s="247" t="str">
        <f>IF(SUMIFS('Bilateral Assistance, MAIN DATA'!N:N,'Bilateral Assistance, MAIN DATA'!I:I,'Price List, Weapons &amp; Items'!B100)&gt;M100,1,".")</f>
        <v>.</v>
      </c>
    </row>
    <row r="101" spans="2:18" ht="15" customHeight="1" x14ac:dyDescent="0.3">
      <c r="B101" s="188" t="s">
        <v>3307</v>
      </c>
      <c r="C101" s="113" t="s">
        <v>3987</v>
      </c>
      <c r="D101" s="246" t="s">
        <v>4064</v>
      </c>
      <c r="E101" s="199">
        <v>0</v>
      </c>
      <c r="F101" s="199">
        <f t="shared" si="7"/>
        <v>0</v>
      </c>
      <c r="G101" s="629">
        <v>1100</v>
      </c>
      <c r="H101" s="720" t="str">
        <f t="shared" si="10"/>
        <v>USD</v>
      </c>
      <c r="I101" s="820" t="s">
        <v>4129</v>
      </c>
      <c r="J101" s="155" t="s">
        <v>3964</v>
      </c>
      <c r="K101" s="155" t="s">
        <v>4130</v>
      </c>
      <c r="L101" s="247" t="str">
        <f t="shared" si="8"/>
        <v>no price, 0 count</v>
      </c>
      <c r="M101" s="121">
        <f>SUMIFS('Bilateral Assistance, MAIN DATA'!M:M,'Bilateral Assistance, MAIN DATA'!I:I,'Price List, Weapons &amp; Items'!B101)</f>
        <v>0</v>
      </c>
      <c r="N101" s="19">
        <f>COUNTIFS('Bilateral Assistance, MAIN DATA'!M:M,"undisclosed",'Bilateral Assistance, MAIN DATA'!I:I,'Price List, Weapons &amp; Items'!B101)</f>
        <v>1</v>
      </c>
      <c r="O101" s="723">
        <f t="shared" si="9"/>
        <v>0</v>
      </c>
      <c r="P101" s="19">
        <f>IFERROR(IF(SEARCH(B101,_xlfn.ARRAYTOTEXT('Bilateral Assistance, MAIN DATA'!I$1:I$1622))&gt;0,1,""),0)</f>
        <v>1</v>
      </c>
      <c r="Q101" s="19">
        <f>IFERROR(IF(SEARCH(B101,_xlfn.ARRAYTOTEXT('Commercial Assistance'!I$1:I$1400))&gt;0,1,""),0)</f>
        <v>0</v>
      </c>
      <c r="R101" s="247" t="str">
        <f>IF(SUMIFS('Bilateral Assistance, MAIN DATA'!N:N,'Bilateral Assistance, MAIN DATA'!I:I,'Price List, Weapons &amp; Items'!B101)&gt;M101,1,".")</f>
        <v>.</v>
      </c>
    </row>
    <row r="102" spans="2:18" ht="15" customHeight="1" x14ac:dyDescent="0.3">
      <c r="B102" s="188" t="s">
        <v>3317</v>
      </c>
      <c r="C102" s="113" t="s">
        <v>4068</v>
      </c>
      <c r="D102" s="246" t="s">
        <v>4117</v>
      </c>
      <c r="E102" s="199">
        <v>0</v>
      </c>
      <c r="F102" s="199">
        <f t="shared" si="7"/>
        <v>0</v>
      </c>
      <c r="G102" s="629">
        <v>1082</v>
      </c>
      <c r="H102" s="720" t="str">
        <f t="shared" si="10"/>
        <v>USD</v>
      </c>
      <c r="I102" s="820" t="s">
        <v>4131</v>
      </c>
      <c r="J102" s="155" t="s">
        <v>3975</v>
      </c>
      <c r="K102" s="155" t="s">
        <v>4132</v>
      </c>
      <c r="L102" s="247" t="str">
        <f t="shared" si="8"/>
        <v>no price, 0 count</v>
      </c>
      <c r="M102" s="121">
        <f>SUMIFS('Bilateral Assistance, MAIN DATA'!M:M,'Bilateral Assistance, MAIN DATA'!I:I,'Price List, Weapons &amp; Items'!B102)</f>
        <v>0</v>
      </c>
      <c r="N102" s="19">
        <f>COUNTIFS('Bilateral Assistance, MAIN DATA'!M:M,"undisclosed",'Bilateral Assistance, MAIN DATA'!I:I,'Price List, Weapons &amp; Items'!B102)</f>
        <v>1</v>
      </c>
      <c r="O102" s="723">
        <f t="shared" si="9"/>
        <v>0</v>
      </c>
      <c r="P102" s="19">
        <f>IFERROR(IF(SEARCH(B102,_xlfn.ARRAYTOTEXT('Bilateral Assistance, MAIN DATA'!I$1:I$1622))&gt;0,1,""),0)</f>
        <v>1</v>
      </c>
      <c r="Q102" s="19">
        <f>IFERROR(IF(SEARCH(B102,_xlfn.ARRAYTOTEXT('Commercial Assistance'!I$1:I$1400))&gt;0,1,""),0)</f>
        <v>0</v>
      </c>
      <c r="R102" s="247" t="str">
        <f>IF(SUMIFS('Bilateral Assistance, MAIN DATA'!N:N,'Bilateral Assistance, MAIN DATA'!I:I,'Price List, Weapons &amp; Items'!B102)&gt;M102,1,".")</f>
        <v>.</v>
      </c>
    </row>
    <row r="103" spans="2:18" ht="15" customHeight="1" x14ac:dyDescent="0.3">
      <c r="B103" s="175" t="s">
        <v>4133</v>
      </c>
      <c r="C103" s="113" t="s">
        <v>3939</v>
      </c>
      <c r="D103" s="246" t="s">
        <v>3973</v>
      </c>
      <c r="E103" s="199">
        <v>0</v>
      </c>
      <c r="F103" s="199">
        <f t="shared" si="7"/>
        <v>0</v>
      </c>
      <c r="G103" s="629">
        <v>800</v>
      </c>
      <c r="H103" s="720" t="str">
        <f t="shared" si="10"/>
        <v>USD</v>
      </c>
      <c r="I103" s="820" t="s">
        <v>4134</v>
      </c>
      <c r="J103" s="155" t="s">
        <v>3967</v>
      </c>
      <c r="K103" s="251" t="s">
        <v>4135</v>
      </c>
      <c r="L103" s="247" t="str">
        <f t="shared" si="8"/>
        <v>no price, 0 count</v>
      </c>
      <c r="M103" s="121">
        <f>SUMIFS('Bilateral Assistance, MAIN DATA'!M:M,'Bilateral Assistance, MAIN DATA'!I:I,'Price List, Weapons &amp; Items'!B103)</f>
        <v>0</v>
      </c>
      <c r="N103" s="19">
        <f>COUNTIFS('Bilateral Assistance, MAIN DATA'!M:M,"undisclosed",'Bilateral Assistance, MAIN DATA'!I:I,'Price List, Weapons &amp; Items'!B103)</f>
        <v>1</v>
      </c>
      <c r="O103" s="723">
        <f t="shared" si="9"/>
        <v>0</v>
      </c>
      <c r="P103" s="19">
        <f>IFERROR(IF(SEARCH(B103,_xlfn.ARRAYTOTEXT('Bilateral Assistance, MAIN DATA'!I$1:I$1622))&gt;0,1,""),0)</f>
        <v>1</v>
      </c>
      <c r="Q103" s="19">
        <f>IFERROR(IF(SEARCH(B103,_xlfn.ARRAYTOTEXT('Commercial Assistance'!I$1:I$1400))&gt;0,1,""),0)</f>
        <v>0</v>
      </c>
      <c r="R103" s="247" t="str">
        <f>IF(SUMIFS('Bilateral Assistance, MAIN DATA'!N:N,'Bilateral Assistance, MAIN DATA'!I:I,'Price List, Weapons &amp; Items'!B103)&gt;M103,1,".")</f>
        <v>.</v>
      </c>
    </row>
    <row r="104" spans="2:18" ht="15" customHeight="1" x14ac:dyDescent="0.3">
      <c r="B104" s="188" t="s">
        <v>3313</v>
      </c>
      <c r="C104" s="113" t="s">
        <v>3942</v>
      </c>
      <c r="D104" s="246" t="s">
        <v>4136</v>
      </c>
      <c r="E104" s="199">
        <v>1</v>
      </c>
      <c r="F104" s="199">
        <f t="shared" si="7"/>
        <v>1</v>
      </c>
      <c r="G104" s="629">
        <v>1000</v>
      </c>
      <c r="H104" s="720" t="str">
        <f t="shared" si="10"/>
        <v>USD</v>
      </c>
      <c r="I104" s="820" t="s">
        <v>4137</v>
      </c>
      <c r="J104" s="155" t="s">
        <v>3964</v>
      </c>
      <c r="K104" s="155" t="s">
        <v>4138</v>
      </c>
      <c r="L104" s="247">
        <f t="shared" si="8"/>
        <v>2</v>
      </c>
      <c r="M104" s="121">
        <f>SUMIFS('Bilateral Assistance, MAIN DATA'!M:M,'Bilateral Assistance, MAIN DATA'!I:I,'Price List, Weapons &amp; Items'!B104)</f>
        <v>52000</v>
      </c>
      <c r="N104" s="19">
        <f>COUNTIFS('Bilateral Assistance, MAIN DATA'!M:M,"undisclosed",'Bilateral Assistance, MAIN DATA'!I:I,'Price List, Weapons &amp; Items'!B104)</f>
        <v>1</v>
      </c>
      <c r="O104" s="723">
        <f t="shared" si="9"/>
        <v>52000000</v>
      </c>
      <c r="P104" s="19">
        <f>IFERROR(IF(SEARCH(B104,_xlfn.ARRAYTOTEXT('Bilateral Assistance, MAIN DATA'!I$1:I$1622))&gt;0,1,""),0)</f>
        <v>1</v>
      </c>
      <c r="Q104" s="19">
        <f>IFERROR(IF(SEARCH(B104,_xlfn.ARRAYTOTEXT('Commercial Assistance'!I$1:I$1400))&gt;0,1,""),0)</f>
        <v>0</v>
      </c>
      <c r="R104" s="247" t="str">
        <f>IF(SUMIFS('Bilateral Assistance, MAIN DATA'!N:N,'Bilateral Assistance, MAIN DATA'!I:I,'Price List, Weapons &amp; Items'!B104)&gt;M104,1,".")</f>
        <v>.</v>
      </c>
    </row>
    <row r="105" spans="2:18" ht="15" customHeight="1" x14ac:dyDescent="0.3">
      <c r="B105" s="188" t="s">
        <v>3124</v>
      </c>
      <c r="C105" s="113" t="s">
        <v>3939</v>
      </c>
      <c r="D105" s="246" t="s">
        <v>3979</v>
      </c>
      <c r="E105" s="199">
        <v>0</v>
      </c>
      <c r="F105" s="199">
        <f t="shared" si="7"/>
        <v>0</v>
      </c>
      <c r="G105" s="629">
        <v>223.15</v>
      </c>
      <c r="H105" s="720" t="str">
        <f t="shared" si="10"/>
        <v>USD</v>
      </c>
      <c r="I105" s="820" t="s">
        <v>3980</v>
      </c>
      <c r="J105" s="155" t="s">
        <v>3975</v>
      </c>
      <c r="K105" s="155" t="s">
        <v>3981</v>
      </c>
      <c r="L105" s="247" t="str">
        <f t="shared" si="8"/>
        <v>no price, 0 count</v>
      </c>
      <c r="M105" s="121">
        <f>SUMIFS('Bilateral Assistance, MAIN DATA'!M:M,'Bilateral Assistance, MAIN DATA'!I:I,'Price List, Weapons &amp; Items'!B105)</f>
        <v>0</v>
      </c>
      <c r="N105" s="19">
        <f>COUNTIFS('Bilateral Assistance, MAIN DATA'!M:M,"undisclosed",'Bilateral Assistance, MAIN DATA'!I:I,'Price List, Weapons &amp; Items'!B105)</f>
        <v>5</v>
      </c>
      <c r="O105" s="723">
        <f t="shared" si="9"/>
        <v>0</v>
      </c>
      <c r="P105" s="19">
        <f>IFERROR(IF(SEARCH(B105,_xlfn.ARRAYTOTEXT('Bilateral Assistance, MAIN DATA'!I$1:I$1622))&gt;0,1,""),0)</f>
        <v>1</v>
      </c>
      <c r="Q105" s="19">
        <f>IFERROR(IF(SEARCH(B105,_xlfn.ARRAYTOTEXT('Commercial Assistance'!I$1:I$1400))&gt;0,1,""),0)</f>
        <v>0</v>
      </c>
      <c r="R105" s="247" t="str">
        <f>IF(SUMIFS('Bilateral Assistance, MAIN DATA'!N:N,'Bilateral Assistance, MAIN DATA'!I:I,'Price List, Weapons &amp; Items'!B105)&gt;M105,1,".")</f>
        <v>.</v>
      </c>
    </row>
    <row r="106" spans="2:18" ht="15" customHeight="1" x14ac:dyDescent="0.3">
      <c r="B106" s="175" t="s">
        <v>2334</v>
      </c>
      <c r="C106" s="113" t="s">
        <v>3954</v>
      </c>
      <c r="D106" s="246" t="s">
        <v>3966</v>
      </c>
      <c r="E106" s="199">
        <v>0</v>
      </c>
      <c r="F106" s="199">
        <f t="shared" si="7"/>
        <v>0</v>
      </c>
      <c r="G106" s="629">
        <v>150</v>
      </c>
      <c r="H106" s="720" t="str">
        <f t="shared" si="10"/>
        <v>USD</v>
      </c>
      <c r="I106" s="820" t="s">
        <v>4139</v>
      </c>
      <c r="J106" s="155" t="s">
        <v>3975</v>
      </c>
      <c r="K106" s="155" t="s">
        <v>4140</v>
      </c>
      <c r="L106" s="247" t="str">
        <f t="shared" si="8"/>
        <v>no price, 0 count</v>
      </c>
      <c r="M106" s="121">
        <f>SUMIFS('Bilateral Assistance, MAIN DATA'!M:M,'Bilateral Assistance, MAIN DATA'!I:I,'Price List, Weapons &amp; Items'!B106)</f>
        <v>0</v>
      </c>
      <c r="N106" s="19">
        <f>COUNTIFS('Bilateral Assistance, MAIN DATA'!M:M,"undisclosed",'Bilateral Assistance, MAIN DATA'!I:I,'Price List, Weapons &amp; Items'!B106)</f>
        <v>1</v>
      </c>
      <c r="O106" s="723">
        <f t="shared" si="9"/>
        <v>0</v>
      </c>
      <c r="P106" s="19">
        <f>IFERROR(IF(SEARCH(B106,_xlfn.ARRAYTOTEXT('Bilateral Assistance, MAIN DATA'!I$1:I$1622))&gt;0,1,""),0)</f>
        <v>1</v>
      </c>
      <c r="Q106" s="19">
        <f>IFERROR(IF(SEARCH(B106,_xlfn.ARRAYTOTEXT('Commercial Assistance'!I$1:I$1400))&gt;0,1,""),0)</f>
        <v>0</v>
      </c>
      <c r="R106" s="247" t="str">
        <f>IF(SUMIFS('Bilateral Assistance, MAIN DATA'!N:N,'Bilateral Assistance, MAIN DATA'!I:I,'Price List, Weapons &amp; Items'!B106)&gt;M106,1,".")</f>
        <v>.</v>
      </c>
    </row>
    <row r="107" spans="2:18" ht="15" customHeight="1" x14ac:dyDescent="0.3">
      <c r="B107" s="175" t="s">
        <v>4141</v>
      </c>
      <c r="C107" s="113" t="s">
        <v>812</v>
      </c>
      <c r="D107" s="113" t="s">
        <v>812</v>
      </c>
      <c r="E107" s="199">
        <v>0</v>
      </c>
      <c r="F107" s="199">
        <f t="shared" si="7"/>
        <v>0</v>
      </c>
      <c r="G107" s="629">
        <v>99.18</v>
      </c>
      <c r="H107" s="720" t="str">
        <f t="shared" si="10"/>
        <v>USD</v>
      </c>
      <c r="I107" s="300" t="s">
        <v>4142</v>
      </c>
      <c r="J107" s="155" t="s">
        <v>4082</v>
      </c>
      <c r="K107" s="254" t="s">
        <v>4143</v>
      </c>
      <c r="L107" s="247" t="str">
        <f t="shared" si="8"/>
        <v>no price, 0 count</v>
      </c>
      <c r="M107" s="121">
        <f>SUMIFS('Bilateral Assistance, MAIN DATA'!M:M,'Bilateral Assistance, MAIN DATA'!I:I,'Price List, Weapons &amp; Items'!B107)</f>
        <v>0</v>
      </c>
      <c r="N107" s="19">
        <f>COUNTIFS('Bilateral Assistance, MAIN DATA'!M:M,"undisclosed",'Bilateral Assistance, MAIN DATA'!I:I,'Price List, Weapons &amp; Items'!B107)</f>
        <v>1</v>
      </c>
      <c r="O107" s="723">
        <f t="shared" si="9"/>
        <v>0</v>
      </c>
      <c r="P107" s="19">
        <f>IFERROR(IF(SEARCH(B107,_xlfn.ARRAYTOTEXT('Bilateral Assistance, MAIN DATA'!I$1:I$1622))&gt;0,1,""),0)</f>
        <v>1</v>
      </c>
      <c r="Q107" s="19">
        <f>IFERROR(IF(SEARCH(B107,_xlfn.ARRAYTOTEXT('Commercial Assistance'!I$1:I$1400))&gt;0,1,""),0)</f>
        <v>0</v>
      </c>
      <c r="R107" s="247" t="str">
        <f>IF(SUMIFS('Bilateral Assistance, MAIN DATA'!N:N,'Bilateral Assistance, MAIN DATA'!I:I,'Price List, Weapons &amp; Items'!B107)&gt;M107,1,".")</f>
        <v>.</v>
      </c>
    </row>
    <row r="108" spans="2:18" ht="15" customHeight="1" x14ac:dyDescent="0.3">
      <c r="B108" s="188" t="s">
        <v>3122</v>
      </c>
      <c r="C108" s="113" t="s">
        <v>812</v>
      </c>
      <c r="D108" s="113" t="s">
        <v>812</v>
      </c>
      <c r="E108" s="199">
        <v>0</v>
      </c>
      <c r="F108" s="199">
        <f t="shared" si="7"/>
        <v>0</v>
      </c>
      <c r="G108" s="629">
        <v>90</v>
      </c>
      <c r="H108" s="720" t="str">
        <f t="shared" si="10"/>
        <v>USD</v>
      </c>
      <c r="I108" s="821" t="s">
        <v>3982</v>
      </c>
      <c r="J108" s="155" t="s">
        <v>3964</v>
      </c>
      <c r="K108" s="155" t="s">
        <v>3983</v>
      </c>
      <c r="L108" s="247" t="str">
        <f t="shared" si="8"/>
        <v>no price, 0 count</v>
      </c>
      <c r="M108" s="121">
        <f>SUMIFS('Bilateral Assistance, MAIN DATA'!M:M,'Bilateral Assistance, MAIN DATA'!I:I,'Price List, Weapons &amp; Items'!B108)</f>
        <v>0</v>
      </c>
      <c r="N108" s="19">
        <f>COUNTIFS('Bilateral Assistance, MAIN DATA'!M:M,"undisclosed",'Bilateral Assistance, MAIN DATA'!I:I,'Price List, Weapons &amp; Items'!B108)</f>
        <v>2</v>
      </c>
      <c r="O108" s="723">
        <f t="shared" si="9"/>
        <v>0</v>
      </c>
      <c r="P108" s="19">
        <f>IFERROR(IF(SEARCH(B108,_xlfn.ARRAYTOTEXT('Bilateral Assistance, MAIN DATA'!I$1:I$1622))&gt;0,1,""),0)</f>
        <v>1</v>
      </c>
      <c r="Q108" s="19">
        <f>IFERROR(IF(SEARCH(B108,_xlfn.ARRAYTOTEXT('Commercial Assistance'!I$1:I$1400))&gt;0,1,""),0)</f>
        <v>0</v>
      </c>
      <c r="R108" s="247" t="str">
        <f>IF(SUMIFS('Bilateral Assistance, MAIN DATA'!N:N,'Bilateral Assistance, MAIN DATA'!I:I,'Price List, Weapons &amp; Items'!B108)&gt;M108,1,".")</f>
        <v>.</v>
      </c>
    </row>
    <row r="109" spans="2:18" ht="15" customHeight="1" x14ac:dyDescent="0.3">
      <c r="B109" s="19" t="s">
        <v>3254</v>
      </c>
      <c r="C109" s="113" t="s">
        <v>812</v>
      </c>
      <c r="D109" s="113" t="s">
        <v>812</v>
      </c>
      <c r="E109" s="15">
        <v>0</v>
      </c>
      <c r="F109" s="199">
        <f t="shared" si="7"/>
        <v>0</v>
      </c>
      <c r="G109" s="629">
        <v>90</v>
      </c>
      <c r="H109" s="720" t="str">
        <f t="shared" si="10"/>
        <v>USD</v>
      </c>
      <c r="I109" s="820" t="s">
        <v>3982</v>
      </c>
      <c r="J109" s="155" t="s">
        <v>3964</v>
      </c>
      <c r="K109" s="155" t="s">
        <v>4144</v>
      </c>
      <c r="L109" s="247" t="str">
        <f t="shared" si="8"/>
        <v>no price, 0 count</v>
      </c>
      <c r="M109" s="121">
        <f>SUMIFS('Bilateral Assistance, MAIN DATA'!M:M,'Bilateral Assistance, MAIN DATA'!I:I,'Price List, Weapons &amp; Items'!B109)</f>
        <v>0</v>
      </c>
      <c r="N109" s="19">
        <f>COUNTIFS('Bilateral Assistance, MAIN DATA'!M:M,"undisclosed",'Bilateral Assistance, MAIN DATA'!I:I,'Price List, Weapons &amp; Items'!B109)</f>
        <v>4</v>
      </c>
      <c r="O109" s="723">
        <f t="shared" si="9"/>
        <v>0</v>
      </c>
      <c r="P109" s="19">
        <f>IFERROR(IF(SEARCH(B109,_xlfn.ARRAYTOTEXT('Bilateral Assistance, MAIN DATA'!I$1:I$1622))&gt;0,1,""),0)</f>
        <v>1</v>
      </c>
      <c r="Q109" s="19">
        <f>IFERROR(IF(SEARCH(B109,_xlfn.ARRAYTOTEXT('Commercial Assistance'!I$1:I$1400))&gt;0,1,""),0)</f>
        <v>0</v>
      </c>
      <c r="R109" s="247" t="str">
        <f>IF(SUMIFS('Bilateral Assistance, MAIN DATA'!N:N,'Bilateral Assistance, MAIN DATA'!I:I,'Price List, Weapons &amp; Items'!B109)&gt;M109,1,".")</f>
        <v>.</v>
      </c>
    </row>
    <row r="110" spans="2:18" ht="15" customHeight="1" x14ac:dyDescent="0.3">
      <c r="B110" s="175" t="s">
        <v>4145</v>
      </c>
      <c r="C110" s="113" t="s">
        <v>812</v>
      </c>
      <c r="D110" s="113" t="s">
        <v>812</v>
      </c>
      <c r="E110" s="199">
        <v>0</v>
      </c>
      <c r="F110" s="199">
        <f t="shared" si="7"/>
        <v>0</v>
      </c>
      <c r="G110" s="629">
        <v>62</v>
      </c>
      <c r="H110" s="720" t="str">
        <f t="shared" si="10"/>
        <v>USD</v>
      </c>
      <c r="I110" s="821" t="s">
        <v>4146</v>
      </c>
      <c r="J110" s="155" t="s">
        <v>3971</v>
      </c>
      <c r="K110" s="155" t="s">
        <v>4147</v>
      </c>
      <c r="L110" s="247">
        <f t="shared" si="8"/>
        <v>1</v>
      </c>
      <c r="M110" s="121">
        <f>SUMIFS('Bilateral Assistance, MAIN DATA'!M:M,'Bilateral Assistance, MAIN DATA'!I:I,'Price List, Weapons &amp; Items'!B110)</f>
        <v>22400</v>
      </c>
      <c r="N110" s="19">
        <f>COUNTIFS('Bilateral Assistance, MAIN DATA'!M:M,"undisclosed",'Bilateral Assistance, MAIN DATA'!I:I,'Price List, Weapons &amp; Items'!B110)</f>
        <v>1</v>
      </c>
      <c r="O110" s="723">
        <f t="shared" si="9"/>
        <v>1388800</v>
      </c>
      <c r="P110" s="19">
        <f>IFERROR(IF(SEARCH(B110,_xlfn.ARRAYTOTEXT('Bilateral Assistance, MAIN DATA'!I$1:I$1622))&gt;0,1,""),0)</f>
        <v>1</v>
      </c>
      <c r="Q110" s="19">
        <f>IFERROR(IF(SEARCH(B110,_xlfn.ARRAYTOTEXT('Commercial Assistance'!I$1:I$1400))&gt;0,1,""),0)</f>
        <v>0</v>
      </c>
      <c r="R110" s="247" t="str">
        <f>IF(SUMIFS('Bilateral Assistance, MAIN DATA'!N:N,'Bilateral Assistance, MAIN DATA'!I:I,'Price List, Weapons &amp; Items'!B110)&gt;M110,1,".")</f>
        <v>.</v>
      </c>
    </row>
    <row r="111" spans="2:18" ht="15" customHeight="1" x14ac:dyDescent="0.3">
      <c r="B111" s="175" t="s">
        <v>4148</v>
      </c>
      <c r="C111" s="113" t="s">
        <v>812</v>
      </c>
      <c r="D111" s="113" t="s">
        <v>812</v>
      </c>
      <c r="E111" s="199">
        <v>0</v>
      </c>
      <c r="F111" s="199">
        <f t="shared" si="7"/>
        <v>0</v>
      </c>
      <c r="G111" s="629">
        <v>40</v>
      </c>
      <c r="H111" s="720" t="str">
        <f t="shared" si="10"/>
        <v>USD</v>
      </c>
      <c r="I111" s="821" t="s">
        <v>4149</v>
      </c>
      <c r="J111" s="155" t="s">
        <v>3971</v>
      </c>
      <c r="K111" s="155" t="s">
        <v>4150</v>
      </c>
      <c r="L111" s="247" t="str">
        <f t="shared" si="8"/>
        <v>no price, 0 count</v>
      </c>
      <c r="M111" s="121">
        <f>SUMIFS('Bilateral Assistance, MAIN DATA'!M:M,'Bilateral Assistance, MAIN DATA'!I:I,'Price List, Weapons &amp; Items'!B111)</f>
        <v>0</v>
      </c>
      <c r="N111" s="19">
        <f>COUNTIFS('Bilateral Assistance, MAIN DATA'!M:M,"undisclosed",'Bilateral Assistance, MAIN DATA'!I:I,'Price List, Weapons &amp; Items'!B111)</f>
        <v>1</v>
      </c>
      <c r="O111" s="723">
        <f t="shared" si="9"/>
        <v>0</v>
      </c>
      <c r="P111" s="19">
        <f>IFERROR(IF(SEARCH(B111,_xlfn.ARRAYTOTEXT('Bilateral Assistance, MAIN DATA'!I$1:I$1622))&gt;0,1,""),0)</f>
        <v>1</v>
      </c>
      <c r="Q111" s="19">
        <f>IFERROR(IF(SEARCH(B111,_xlfn.ARRAYTOTEXT('Commercial Assistance'!I$1:I$1400))&gt;0,1,""),0)</f>
        <v>0</v>
      </c>
      <c r="R111" s="247" t="str">
        <f>IF(SUMIFS('Bilateral Assistance, MAIN DATA'!N:N,'Bilateral Assistance, MAIN DATA'!I:I,'Price List, Weapons &amp; Items'!B111)&gt;M111,1,".")</f>
        <v>.</v>
      </c>
    </row>
    <row r="112" spans="2:18" ht="15" customHeight="1" x14ac:dyDescent="0.3">
      <c r="B112" s="188" t="s">
        <v>4151</v>
      </c>
      <c r="C112" s="113" t="s">
        <v>812</v>
      </c>
      <c r="D112" s="113" t="s">
        <v>812</v>
      </c>
      <c r="E112" s="199">
        <v>0</v>
      </c>
      <c r="F112" s="199">
        <f t="shared" si="7"/>
        <v>0</v>
      </c>
      <c r="G112" s="629">
        <v>35</v>
      </c>
      <c r="H112" s="720" t="str">
        <f t="shared" si="10"/>
        <v>USD</v>
      </c>
      <c r="I112" s="821" t="s">
        <v>4152</v>
      </c>
      <c r="J112" s="155" t="s">
        <v>3971</v>
      </c>
      <c r="K112" s="155" t="s">
        <v>4153</v>
      </c>
      <c r="L112" s="247" t="str">
        <f t="shared" si="8"/>
        <v>no price, 0 count</v>
      </c>
      <c r="M112" s="121">
        <f>SUMIFS('Bilateral Assistance, MAIN DATA'!M:M,'Bilateral Assistance, MAIN DATA'!I:I,'Price List, Weapons &amp; Items'!B112)</f>
        <v>0</v>
      </c>
      <c r="N112" s="19">
        <f>COUNTIFS('Bilateral Assistance, MAIN DATA'!M:M,"undisclosed",'Bilateral Assistance, MAIN DATA'!I:I,'Price List, Weapons &amp; Items'!B112)</f>
        <v>1</v>
      </c>
      <c r="O112" s="723">
        <f t="shared" si="9"/>
        <v>0</v>
      </c>
      <c r="P112" s="19">
        <f>IFERROR(IF(SEARCH(B112,_xlfn.ARRAYTOTEXT('Bilateral Assistance, MAIN DATA'!I$1:I$1622))&gt;0,1,""),0)</f>
        <v>1</v>
      </c>
      <c r="Q112" s="19">
        <f>IFERROR(IF(SEARCH(B112,_xlfn.ARRAYTOTEXT('Commercial Assistance'!I$1:I$1400))&gt;0,1,""),0)</f>
        <v>0</v>
      </c>
      <c r="R112" s="247" t="str">
        <f>IF(SUMIFS('Bilateral Assistance, MAIN DATA'!N:N,'Bilateral Assistance, MAIN DATA'!I:I,'Price List, Weapons &amp; Items'!B112)&gt;M112,1,".")</f>
        <v>.</v>
      </c>
    </row>
    <row r="113" spans="2:18" ht="15" customHeight="1" x14ac:dyDescent="0.3">
      <c r="B113" s="175" t="s">
        <v>4154</v>
      </c>
      <c r="C113" s="113" t="s">
        <v>3949</v>
      </c>
      <c r="D113" s="246" t="s">
        <v>900</v>
      </c>
      <c r="E113" s="199">
        <v>0</v>
      </c>
      <c r="F113" s="199">
        <f t="shared" si="7"/>
        <v>0</v>
      </c>
      <c r="G113" s="629">
        <v>16.5</v>
      </c>
      <c r="H113" s="720" t="str">
        <f t="shared" si="10"/>
        <v>USD</v>
      </c>
      <c r="I113" s="820" t="s">
        <v>4155</v>
      </c>
      <c r="J113" s="155" t="s">
        <v>3975</v>
      </c>
      <c r="K113" s="155" t="s">
        <v>4156</v>
      </c>
      <c r="L113" s="247" t="str">
        <f t="shared" si="8"/>
        <v>no price, 0 count</v>
      </c>
      <c r="M113" s="121">
        <f>SUMIFS('Bilateral Assistance, MAIN DATA'!M:M,'Bilateral Assistance, MAIN DATA'!I:I,'Price List, Weapons &amp; Items'!B113)</f>
        <v>0</v>
      </c>
      <c r="N113" s="19">
        <f>COUNTIFS('Bilateral Assistance, MAIN DATA'!M:M,"undisclosed",'Bilateral Assistance, MAIN DATA'!I:I,'Price List, Weapons &amp; Items'!B113)</f>
        <v>2</v>
      </c>
      <c r="O113" s="723">
        <f t="shared" si="9"/>
        <v>0</v>
      </c>
      <c r="P113" s="19">
        <f>IFERROR(IF(SEARCH(B113,_xlfn.ARRAYTOTEXT('Bilateral Assistance, MAIN DATA'!I$1:I$1622))&gt;0,1,""),0)</f>
        <v>1</v>
      </c>
      <c r="Q113" s="19">
        <f>IFERROR(IF(SEARCH(B113,_xlfn.ARRAYTOTEXT('Commercial Assistance'!I$1:I$1400))&gt;0,1,""),0)</f>
        <v>0</v>
      </c>
      <c r="R113" s="247" t="str">
        <f>IF(SUMIFS('Bilateral Assistance, MAIN DATA'!N:N,'Bilateral Assistance, MAIN DATA'!I:I,'Price List, Weapons &amp; Items'!B113)&gt;M113,1,".")</f>
        <v>.</v>
      </c>
    </row>
    <row r="114" spans="2:18" ht="15" customHeight="1" x14ac:dyDescent="0.3">
      <c r="B114" s="175" t="s">
        <v>4157</v>
      </c>
      <c r="C114" s="113" t="s">
        <v>812</v>
      </c>
      <c r="D114" s="113" t="s">
        <v>812</v>
      </c>
      <c r="E114" s="199">
        <v>0</v>
      </c>
      <c r="F114" s="199">
        <f t="shared" si="7"/>
        <v>0</v>
      </c>
      <c r="G114" s="629">
        <v>1.29</v>
      </c>
      <c r="H114" s="720" t="str">
        <f t="shared" si="10"/>
        <v>USD</v>
      </c>
      <c r="I114" s="820" t="s">
        <v>4158</v>
      </c>
      <c r="J114" s="155" t="s">
        <v>3975</v>
      </c>
      <c r="K114" s="155" t="s">
        <v>4159</v>
      </c>
      <c r="L114" s="247" t="str">
        <f t="shared" si="8"/>
        <v>no price, 0 count</v>
      </c>
      <c r="M114" s="121">
        <f>SUMIFS('Bilateral Assistance, MAIN DATA'!M:M,'Bilateral Assistance, MAIN DATA'!I:I,'Price List, Weapons &amp; Items'!B114)</f>
        <v>0</v>
      </c>
      <c r="N114" s="19">
        <f>COUNTIFS('Bilateral Assistance, MAIN DATA'!M:M,"undisclosed",'Bilateral Assistance, MAIN DATA'!I:I,'Price List, Weapons &amp; Items'!B114)</f>
        <v>2</v>
      </c>
      <c r="O114" s="723">
        <f t="shared" si="9"/>
        <v>0</v>
      </c>
      <c r="P114" s="19">
        <f>IFERROR(IF(SEARCH(B114,_xlfn.ARRAYTOTEXT('Bilateral Assistance, MAIN DATA'!I$1:I$1622))&gt;0,1,""),0)</f>
        <v>1</v>
      </c>
      <c r="Q114" s="19">
        <f>IFERROR(IF(SEARCH(B114,_xlfn.ARRAYTOTEXT('Commercial Assistance'!I$1:I$1400))&gt;0,1,""),0)</f>
        <v>0</v>
      </c>
      <c r="R114" s="247" t="str">
        <f>IF(SUMIFS('Bilateral Assistance, MAIN DATA'!N:N,'Bilateral Assistance, MAIN DATA'!I:I,'Price List, Weapons &amp; Items'!B114)&gt;M114,1,".")</f>
        <v>.</v>
      </c>
    </row>
    <row r="115" spans="2:18" ht="15" customHeight="1" x14ac:dyDescent="0.3">
      <c r="B115" s="188" t="s">
        <v>4160</v>
      </c>
      <c r="C115" s="113" t="s">
        <v>3949</v>
      </c>
      <c r="D115" s="246" t="s">
        <v>3950</v>
      </c>
      <c r="E115" s="199">
        <v>0</v>
      </c>
      <c r="F115" s="199">
        <f t="shared" si="7"/>
        <v>0</v>
      </c>
      <c r="G115" s="629">
        <v>0.41799999999999998</v>
      </c>
      <c r="H115" s="720" t="str">
        <f t="shared" si="10"/>
        <v>USD</v>
      </c>
      <c r="I115" s="821" t="s">
        <v>4161</v>
      </c>
      <c r="J115" s="155" t="s">
        <v>3971</v>
      </c>
      <c r="K115" s="155" t="s">
        <v>4162</v>
      </c>
      <c r="L115" s="247" t="str">
        <f t="shared" si="8"/>
        <v>no price, 0 count</v>
      </c>
      <c r="M115" s="121">
        <f>SUMIFS('Bilateral Assistance, MAIN DATA'!M:M,'Bilateral Assistance, MAIN DATA'!I:I,'Price List, Weapons &amp; Items'!B115)</f>
        <v>0</v>
      </c>
      <c r="N115" s="19">
        <f>COUNTIFS('Bilateral Assistance, MAIN DATA'!M:M,"undisclosed",'Bilateral Assistance, MAIN DATA'!I:I,'Price List, Weapons &amp; Items'!B115)</f>
        <v>1</v>
      </c>
      <c r="O115" s="723">
        <f t="shared" si="9"/>
        <v>0</v>
      </c>
      <c r="P115" s="19">
        <f>IFERROR(IF(SEARCH(B115,_xlfn.ARRAYTOTEXT('Bilateral Assistance, MAIN DATA'!I$1:I$1622))&gt;0,1,""),0)</f>
        <v>1</v>
      </c>
      <c r="Q115" s="19">
        <f>IFERROR(IF(SEARCH(B115,_xlfn.ARRAYTOTEXT('Commercial Assistance'!I$1:I$1400))&gt;0,1,""),0)</f>
        <v>0</v>
      </c>
      <c r="R115" s="247" t="str">
        <f>IF(SUMIFS('Bilateral Assistance, MAIN DATA'!N:N,'Bilateral Assistance, MAIN DATA'!I:I,'Price List, Weapons &amp; Items'!B115)&gt;M115,1,".")</f>
        <v>.</v>
      </c>
    </row>
    <row r="116" spans="2:18" ht="15" customHeight="1" x14ac:dyDescent="0.3">
      <c r="B116" s="175" t="s">
        <v>1962</v>
      </c>
      <c r="C116" s="113" t="s">
        <v>3945</v>
      </c>
      <c r="D116" s="246" t="s">
        <v>3235</v>
      </c>
      <c r="E116" s="199">
        <v>0</v>
      </c>
      <c r="F116" s="199">
        <f t="shared" si="7"/>
        <v>0</v>
      </c>
      <c r="G116" s="629">
        <v>291771.32972527831</v>
      </c>
      <c r="H116" s="721" t="s">
        <v>346</v>
      </c>
      <c r="I116" s="826" t="s">
        <v>3958</v>
      </c>
      <c r="J116" s="155" t="s">
        <v>3959</v>
      </c>
      <c r="K116" s="155" t="s">
        <v>4163</v>
      </c>
      <c r="L116" s="247" t="str">
        <f t="shared" si="8"/>
        <v>no price, 0 count</v>
      </c>
      <c r="M116" s="121">
        <f>SUMIFS('Bilateral Assistance, MAIN DATA'!M:M,'Bilateral Assistance, MAIN DATA'!I:I,'Price List, Weapons &amp; Items'!B116)</f>
        <v>0</v>
      </c>
      <c r="N116" s="19">
        <f>COUNTIFS('Bilateral Assistance, MAIN DATA'!M:M,"undisclosed",'Bilateral Assistance, MAIN DATA'!I:I,'Price List, Weapons &amp; Items'!B116)</f>
        <v>1</v>
      </c>
      <c r="O116" s="723">
        <f t="shared" si="9"/>
        <v>0</v>
      </c>
      <c r="P116" s="19">
        <f>IFERROR(IF(SEARCH(B116,_xlfn.ARRAYTOTEXT('Bilateral Assistance, MAIN DATA'!I$1:I$1622))&gt;0,1,""),0)</f>
        <v>1</v>
      </c>
      <c r="Q116" s="19">
        <f>IFERROR(IF(SEARCH(B116,_xlfn.ARRAYTOTEXT('Commercial Assistance'!I$1:I$1400))&gt;0,1,""),0)</f>
        <v>0</v>
      </c>
      <c r="R116" s="247" t="str">
        <f>IF(SUMIFS('Bilateral Assistance, MAIN DATA'!N:N,'Bilateral Assistance, MAIN DATA'!I:I,'Price List, Weapons &amp; Items'!B116)&gt;M116,1,".")</f>
        <v>.</v>
      </c>
    </row>
    <row r="117" spans="2:18" ht="15" customHeight="1" x14ac:dyDescent="0.3">
      <c r="B117" s="175" t="s">
        <v>1965</v>
      </c>
      <c r="C117" s="113" t="s">
        <v>3945</v>
      </c>
      <c r="D117" s="246" t="s">
        <v>3235</v>
      </c>
      <c r="E117" s="199">
        <v>0</v>
      </c>
      <c r="F117" s="199">
        <f t="shared" si="7"/>
        <v>0</v>
      </c>
      <c r="G117" s="629">
        <v>291771.32972527831</v>
      </c>
      <c r="H117" s="721" t="s">
        <v>346</v>
      </c>
      <c r="I117" s="826" t="s">
        <v>3958</v>
      </c>
      <c r="J117" s="155" t="s">
        <v>3959</v>
      </c>
      <c r="K117" s="155" t="s">
        <v>4033</v>
      </c>
      <c r="L117" s="247" t="str">
        <f t="shared" si="8"/>
        <v>no price, 0 count</v>
      </c>
      <c r="M117" s="121">
        <f>SUMIFS('Bilateral Assistance, MAIN DATA'!M:M,'Bilateral Assistance, MAIN DATA'!I:I,'Price List, Weapons &amp; Items'!B117)</f>
        <v>0</v>
      </c>
      <c r="N117" s="19">
        <f>COUNTIFS('Bilateral Assistance, MAIN DATA'!M:M,"undisclosed",'Bilateral Assistance, MAIN DATA'!I:I,'Price List, Weapons &amp; Items'!B117)</f>
        <v>1</v>
      </c>
      <c r="O117" s="723">
        <f t="shared" si="9"/>
        <v>0</v>
      </c>
      <c r="P117" s="19">
        <f>IFERROR(IF(SEARCH(B117,_xlfn.ARRAYTOTEXT('Bilateral Assistance, MAIN DATA'!I$1:I$1622))&gt;0,1,""),0)</f>
        <v>1</v>
      </c>
      <c r="Q117" s="19">
        <f>IFERROR(IF(SEARCH(B117,_xlfn.ARRAYTOTEXT('Commercial Assistance'!I$1:I$1400))&gt;0,1,""),0)</f>
        <v>0</v>
      </c>
      <c r="R117" s="247" t="str">
        <f>IF(SUMIFS('Bilateral Assistance, MAIN DATA'!N:N,'Bilateral Assistance, MAIN DATA'!I:I,'Price List, Weapons &amp; Items'!B117)&gt;M117,1,".")</f>
        <v>.</v>
      </c>
    </row>
    <row r="118" spans="2:18" ht="15" customHeight="1" x14ac:dyDescent="0.3">
      <c r="B118" s="19" t="s">
        <v>3275</v>
      </c>
      <c r="C118" s="113" t="s">
        <v>3939</v>
      </c>
      <c r="D118" s="246" t="s">
        <v>4064</v>
      </c>
      <c r="E118" s="199">
        <v>0</v>
      </c>
      <c r="F118" s="199">
        <f t="shared" si="7"/>
        <v>0</v>
      </c>
      <c r="G118" s="629">
        <v>2099</v>
      </c>
      <c r="H118" s="720" t="str">
        <f>IF(G118&lt;&gt;".","USD",".")</f>
        <v>USD</v>
      </c>
      <c r="I118" s="821" t="s">
        <v>4164</v>
      </c>
      <c r="J118" s="155" t="s">
        <v>3964</v>
      </c>
      <c r="K118" s="155" t="s">
        <v>4165</v>
      </c>
      <c r="L118" s="247">
        <f t="shared" si="8"/>
        <v>2</v>
      </c>
      <c r="M118" s="121">
        <f>SUMIFS('Bilateral Assistance, MAIN DATA'!M:M,'Bilateral Assistance, MAIN DATA'!I:I,'Price List, Weapons &amp; Items'!B118)</f>
        <v>2700</v>
      </c>
      <c r="N118" s="19">
        <f>COUNTIFS('Bilateral Assistance, MAIN DATA'!M:M,"undisclosed",'Bilateral Assistance, MAIN DATA'!I:I,'Price List, Weapons &amp; Items'!B118)</f>
        <v>2</v>
      </c>
      <c r="O118" s="723">
        <f t="shared" si="9"/>
        <v>5667300</v>
      </c>
      <c r="P118" s="19">
        <f>IFERROR(IF(SEARCH(B118,_xlfn.ARRAYTOTEXT('Bilateral Assistance, MAIN DATA'!I$1:I$1622))&gt;0,1,""),0)</f>
        <v>1</v>
      </c>
      <c r="Q118" s="19">
        <f>IFERROR(IF(SEARCH(B118,_xlfn.ARRAYTOTEXT('Commercial Assistance'!I$1:I$1400))&gt;0,1,""),0)</f>
        <v>0</v>
      </c>
      <c r="R118" s="247" t="str">
        <f>IF(SUMIFS('Bilateral Assistance, MAIN DATA'!N:N,'Bilateral Assistance, MAIN DATA'!I:I,'Price List, Weapons &amp; Items'!B118)&gt;M118,1,".")</f>
        <v>.</v>
      </c>
    </row>
    <row r="119" spans="2:18" ht="15" customHeight="1" x14ac:dyDescent="0.3">
      <c r="B119" s="17" t="s">
        <v>3382</v>
      </c>
      <c r="C119" s="113" t="s">
        <v>3942</v>
      </c>
      <c r="D119" s="246" t="s">
        <v>4032</v>
      </c>
      <c r="E119" s="199">
        <v>0</v>
      </c>
      <c r="F119" s="199">
        <f t="shared" si="7"/>
        <v>0</v>
      </c>
      <c r="G119" s="629">
        <v>97800</v>
      </c>
      <c r="H119" s="721" t="s">
        <v>346</v>
      </c>
      <c r="I119" s="822" t="s">
        <v>4166</v>
      </c>
      <c r="J119" s="249" t="s">
        <v>4008</v>
      </c>
      <c r="K119" s="155" t="s">
        <v>4167</v>
      </c>
      <c r="L119" s="247" t="str">
        <f t="shared" si="8"/>
        <v>no price, 0 count</v>
      </c>
      <c r="M119" s="121">
        <f>SUMIFS('Bilateral Assistance, MAIN DATA'!M:M,'Bilateral Assistance, MAIN DATA'!I:I,'Price List, Weapons &amp; Items'!B119)</f>
        <v>0</v>
      </c>
      <c r="N119" s="19">
        <f>COUNTIFS('Bilateral Assistance, MAIN DATA'!M:M,"undisclosed",'Bilateral Assistance, MAIN DATA'!I:I,'Price List, Weapons &amp; Items'!B119)</f>
        <v>1</v>
      </c>
      <c r="O119" s="723">
        <f t="shared" si="9"/>
        <v>0</v>
      </c>
      <c r="P119" s="19">
        <f>IFERROR(IF(SEARCH(B119,_xlfn.ARRAYTOTEXT('Bilateral Assistance, MAIN DATA'!I$1:I$1622))&gt;0,1,""),0)</f>
        <v>1</v>
      </c>
      <c r="Q119" s="19">
        <f>IFERROR(IF(SEARCH(B119,_xlfn.ARRAYTOTEXT('Commercial Assistance'!I$1:I$1400))&gt;0,1,""),0)</f>
        <v>0</v>
      </c>
      <c r="R119" s="247" t="str">
        <f>IF(SUMIFS('Bilateral Assistance, MAIN DATA'!N:N,'Bilateral Assistance, MAIN DATA'!I:I,'Price List, Weapons &amp; Items'!B119)&gt;M119,1,".")</f>
        <v>.</v>
      </c>
    </row>
    <row r="120" spans="2:18" ht="15" customHeight="1" x14ac:dyDescent="0.3">
      <c r="B120" s="185" t="s">
        <v>1411</v>
      </c>
      <c r="C120" s="113" t="s">
        <v>4168</v>
      </c>
      <c r="D120" s="246" t="s">
        <v>3160</v>
      </c>
      <c r="E120" s="199">
        <v>0</v>
      </c>
      <c r="F120" s="199">
        <f t="shared" si="7"/>
        <v>0</v>
      </c>
      <c r="G120" s="629">
        <v>22000</v>
      </c>
      <c r="H120" s="721" t="s">
        <v>346</v>
      </c>
      <c r="I120" s="821" t="s">
        <v>4169</v>
      </c>
      <c r="J120" s="249" t="s">
        <v>3964</v>
      </c>
      <c r="K120" s="155" t="s">
        <v>4170</v>
      </c>
      <c r="L120" s="247">
        <f t="shared" si="8"/>
        <v>1</v>
      </c>
      <c r="M120" s="121">
        <f>SUMIFS('Bilateral Assistance, MAIN DATA'!M:M,'Bilateral Assistance, MAIN DATA'!I:I,'Price List, Weapons &amp; Items'!B120)</f>
        <v>20</v>
      </c>
      <c r="N120" s="19">
        <f>COUNTIFS('Bilateral Assistance, MAIN DATA'!M:M,"undisclosed",'Bilateral Assistance, MAIN DATA'!I:I,'Price List, Weapons &amp; Items'!B120)</f>
        <v>0</v>
      </c>
      <c r="O120" s="723">
        <f t="shared" si="9"/>
        <v>440000</v>
      </c>
      <c r="P120" s="19">
        <f>IFERROR(IF(SEARCH(B120,_xlfn.ARRAYTOTEXT('Bilateral Assistance, MAIN DATA'!I$1:I$1622))&gt;0,1,""),0)</f>
        <v>1</v>
      </c>
      <c r="Q120" s="19">
        <f>IFERROR(IF(SEARCH(B120,_xlfn.ARRAYTOTEXT('Commercial Assistance'!I$1:I$1400))&gt;0,1,""),0)</f>
        <v>0</v>
      </c>
      <c r="R120" s="247" t="str">
        <f>IF(SUMIFS('Bilateral Assistance, MAIN DATA'!N:N,'Bilateral Assistance, MAIN DATA'!I:I,'Price List, Weapons &amp; Items'!B120)&gt;M120,1,".")</f>
        <v>.</v>
      </c>
    </row>
    <row r="121" spans="2:18" ht="15" customHeight="1" x14ac:dyDescent="0.3">
      <c r="B121" s="175" t="s">
        <v>1413</v>
      </c>
      <c r="C121" s="113" t="s">
        <v>4171</v>
      </c>
      <c r="D121" s="246" t="s">
        <v>4011</v>
      </c>
      <c r="E121" s="199">
        <v>0</v>
      </c>
      <c r="F121" s="199">
        <f t="shared" si="7"/>
        <v>0</v>
      </c>
      <c r="G121" s="629">
        <v>2799</v>
      </c>
      <c r="H121" s="721" t="s">
        <v>346</v>
      </c>
      <c r="I121" s="821" t="s">
        <v>4172</v>
      </c>
      <c r="J121" s="249" t="s">
        <v>3964</v>
      </c>
      <c r="K121" s="155" t="s">
        <v>4173</v>
      </c>
      <c r="L121" s="247" t="str">
        <f t="shared" si="8"/>
        <v>no price, 0 count</v>
      </c>
      <c r="M121" s="121">
        <f>SUMIFS('Bilateral Assistance, MAIN DATA'!M:M,'Bilateral Assistance, MAIN DATA'!I:I,'Price List, Weapons &amp; Items'!B121)</f>
        <v>0</v>
      </c>
      <c r="N121" s="19">
        <f>COUNTIFS('Bilateral Assistance, MAIN DATA'!M:M,"undisclosed",'Bilateral Assistance, MAIN DATA'!I:I,'Price List, Weapons &amp; Items'!B121)</f>
        <v>1</v>
      </c>
      <c r="O121" s="723">
        <f t="shared" si="9"/>
        <v>0</v>
      </c>
      <c r="P121" s="19">
        <f>IFERROR(IF(SEARCH(B121,_xlfn.ARRAYTOTEXT('Bilateral Assistance, MAIN DATA'!I$1:I$1622))&gt;0,1,""),0)</f>
        <v>1</v>
      </c>
      <c r="Q121" s="19">
        <f>IFERROR(IF(SEARCH(B121,_xlfn.ARRAYTOTEXT('Commercial Assistance'!I$1:I$1400))&gt;0,1,""),0)</f>
        <v>0</v>
      </c>
      <c r="R121" s="247" t="str">
        <f>IF(SUMIFS('Bilateral Assistance, MAIN DATA'!N:N,'Bilateral Assistance, MAIN DATA'!I:I,'Price List, Weapons &amp; Items'!B121)&gt;M121,1,".")</f>
        <v>.</v>
      </c>
    </row>
    <row r="122" spans="2:18" ht="15" customHeight="1" x14ac:dyDescent="0.3">
      <c r="B122" s="19" t="s">
        <v>2689</v>
      </c>
      <c r="C122" s="17" t="s">
        <v>3945</v>
      </c>
      <c r="D122" s="185" t="s">
        <v>3651</v>
      </c>
      <c r="E122" s="199">
        <v>0</v>
      </c>
      <c r="F122" s="199">
        <f t="shared" si="7"/>
        <v>0</v>
      </c>
      <c r="G122" s="630">
        <v>325604.28000000003</v>
      </c>
      <c r="H122" s="721" t="s">
        <v>346</v>
      </c>
      <c r="I122" s="826" t="s">
        <v>3958</v>
      </c>
      <c r="J122" s="252" t="s">
        <v>3959</v>
      </c>
      <c r="K122" s="252" t="s">
        <v>4174</v>
      </c>
      <c r="L122" s="247" t="str">
        <f t="shared" si="8"/>
        <v>no price, 0 count</v>
      </c>
      <c r="M122" s="121">
        <f>SUMIFS('Bilateral Assistance, MAIN DATA'!M:M,'Bilateral Assistance, MAIN DATA'!I:I,'Price List, Weapons &amp; Items'!B122)</f>
        <v>0</v>
      </c>
      <c r="N122" s="19">
        <f>COUNTIFS('Bilateral Assistance, MAIN DATA'!M:M,"undisclosed",'Bilateral Assistance, MAIN DATA'!I:I,'Price List, Weapons &amp; Items'!B122)</f>
        <v>1</v>
      </c>
      <c r="O122" s="723">
        <f t="shared" si="9"/>
        <v>0</v>
      </c>
      <c r="P122" s="19">
        <f>IFERROR(IF(SEARCH(B122,_xlfn.ARRAYTOTEXT('Bilateral Assistance, MAIN DATA'!I$1:I$1622))&gt;0,1,""),0)</f>
        <v>1</v>
      </c>
      <c r="Q122" s="19">
        <f>IFERROR(IF(SEARCH(B122,_xlfn.ARRAYTOTEXT('Commercial Assistance'!I$1:I$1400))&gt;0,1,""),0)</f>
        <v>0</v>
      </c>
      <c r="R122" s="247" t="str">
        <f>IF(SUMIFS('Bilateral Assistance, MAIN DATA'!N:N,'Bilateral Assistance, MAIN DATA'!I:I,'Price List, Weapons &amp; Items'!B122)&gt;M122,1,".")</f>
        <v>.</v>
      </c>
    </row>
    <row r="123" spans="2:18" ht="15" customHeight="1" x14ac:dyDescent="0.3">
      <c r="B123" s="188" t="s">
        <v>3319</v>
      </c>
      <c r="C123" s="113" t="s">
        <v>3949</v>
      </c>
      <c r="D123" s="246" t="s">
        <v>4084</v>
      </c>
      <c r="E123" s="199">
        <v>0</v>
      </c>
      <c r="F123" s="199">
        <f t="shared" si="7"/>
        <v>0</v>
      </c>
      <c r="G123" s="629" t="s">
        <v>260</v>
      </c>
      <c r="H123" s="720" t="str">
        <f t="shared" ref="H123:H136" si="11">IF(G123&lt;&gt;".","USD",".")</f>
        <v>.</v>
      </c>
      <c r="I123" s="155" t="s">
        <v>260</v>
      </c>
      <c r="J123" s="155" t="str">
        <f t="shared" ref="J123:J136" si="12">IF(I123&lt;&gt;".",".",".")</f>
        <v>.</v>
      </c>
      <c r="K123" s="155" t="s">
        <v>260</v>
      </c>
      <c r="L123" s="247" t="str">
        <f t="shared" si="8"/>
        <v>no price, 0 count</v>
      </c>
      <c r="M123" s="121">
        <f>SUMIFS('Bilateral Assistance, MAIN DATA'!M:M,'Bilateral Assistance, MAIN DATA'!I:I,'Price List, Weapons &amp; Items'!B123)</f>
        <v>0</v>
      </c>
      <c r="N123" s="19">
        <f>COUNTIFS('Bilateral Assistance, MAIN DATA'!M:M,"undisclosed",'Bilateral Assistance, MAIN DATA'!I:I,'Price List, Weapons &amp; Items'!B123)</f>
        <v>1</v>
      </c>
      <c r="O123" s="723" t="str">
        <f t="shared" si="9"/>
        <v>no price</v>
      </c>
      <c r="P123" s="19">
        <f>IFERROR(IF(SEARCH(B123,_xlfn.ARRAYTOTEXT('Bilateral Assistance, MAIN DATA'!I$1:I$1622))&gt;0,1,""),0)</f>
        <v>1</v>
      </c>
      <c r="Q123" s="19">
        <f>IFERROR(IF(SEARCH(B123,_xlfn.ARRAYTOTEXT('Commercial Assistance'!I$1:I$1400))&gt;0,1,""),0)</f>
        <v>0</v>
      </c>
      <c r="R123" s="247" t="str">
        <f>IF(SUMIFS('Bilateral Assistance, MAIN DATA'!N:N,'Bilateral Assistance, MAIN DATA'!I:I,'Price List, Weapons &amp; Items'!B123)&gt;M123,1,".")</f>
        <v>.</v>
      </c>
    </row>
    <row r="124" spans="2:18" ht="15" customHeight="1" x14ac:dyDescent="0.3">
      <c r="B124" s="188" t="s">
        <v>4175</v>
      </c>
      <c r="C124" s="113" t="s">
        <v>812</v>
      </c>
      <c r="D124" s="113" t="s">
        <v>812</v>
      </c>
      <c r="E124" s="199">
        <v>0</v>
      </c>
      <c r="F124" s="199">
        <f t="shared" si="7"/>
        <v>0</v>
      </c>
      <c r="G124" s="629" t="s">
        <v>260</v>
      </c>
      <c r="H124" s="720" t="str">
        <f t="shared" si="11"/>
        <v>.</v>
      </c>
      <c r="I124" s="155" t="s">
        <v>260</v>
      </c>
      <c r="J124" s="155" t="str">
        <f t="shared" si="12"/>
        <v>.</v>
      </c>
      <c r="K124" s="155" t="s">
        <v>260</v>
      </c>
      <c r="L124" s="247" t="str">
        <f t="shared" si="8"/>
        <v>no price, 0 count</v>
      </c>
      <c r="M124" s="121">
        <f>SUMIFS('Bilateral Assistance, MAIN DATA'!M:M,'Bilateral Assistance, MAIN DATA'!I:I,'Price List, Weapons &amp; Items'!B124)</f>
        <v>0</v>
      </c>
      <c r="N124" s="19">
        <f>COUNTIFS('Bilateral Assistance, MAIN DATA'!M:M,"undisclosed",'Bilateral Assistance, MAIN DATA'!I:I,'Price List, Weapons &amp; Items'!B124)</f>
        <v>2</v>
      </c>
      <c r="O124" s="723" t="str">
        <f t="shared" si="9"/>
        <v>no price</v>
      </c>
      <c r="P124" s="19">
        <f>IFERROR(IF(SEARCH(B124,_xlfn.ARRAYTOTEXT('Bilateral Assistance, MAIN DATA'!I$1:I$1622))&gt;0,1,""),0)</f>
        <v>1</v>
      </c>
      <c r="Q124" s="19">
        <f>IFERROR(IF(SEARCH(B124,_xlfn.ARRAYTOTEXT('Commercial Assistance'!I$1:I$1400))&gt;0,1,""),0)</f>
        <v>0</v>
      </c>
      <c r="R124" s="247" t="str">
        <f>IF(SUMIFS('Bilateral Assistance, MAIN DATA'!N:N,'Bilateral Assistance, MAIN DATA'!I:I,'Price List, Weapons &amp; Items'!B124)&gt;M124,1,".")</f>
        <v>.</v>
      </c>
    </row>
    <row r="125" spans="2:18" ht="15" customHeight="1" x14ac:dyDescent="0.3">
      <c r="B125" s="175" t="s">
        <v>4176</v>
      </c>
      <c r="C125" s="113" t="s">
        <v>812</v>
      </c>
      <c r="D125" s="113" t="s">
        <v>812</v>
      </c>
      <c r="E125" s="199">
        <v>0</v>
      </c>
      <c r="F125" s="199">
        <f t="shared" si="7"/>
        <v>0</v>
      </c>
      <c r="G125" s="629" t="s">
        <v>260</v>
      </c>
      <c r="H125" s="720" t="str">
        <f t="shared" si="11"/>
        <v>.</v>
      </c>
      <c r="I125" s="155" t="s">
        <v>260</v>
      </c>
      <c r="J125" s="155" t="str">
        <f t="shared" si="12"/>
        <v>.</v>
      </c>
      <c r="K125" s="155" t="s">
        <v>260</v>
      </c>
      <c r="L125" s="247" t="str">
        <f t="shared" si="8"/>
        <v>no price, 0 count</v>
      </c>
      <c r="M125" s="121">
        <f>SUMIFS('Bilateral Assistance, MAIN DATA'!M:M,'Bilateral Assistance, MAIN DATA'!I:I,'Price List, Weapons &amp; Items'!B125)</f>
        <v>0</v>
      </c>
      <c r="N125" s="19">
        <f>COUNTIFS('Bilateral Assistance, MAIN DATA'!M:M,"undisclosed",'Bilateral Assistance, MAIN DATA'!I:I,'Price List, Weapons &amp; Items'!B125)</f>
        <v>5</v>
      </c>
      <c r="O125" s="723" t="str">
        <f t="shared" si="9"/>
        <v>no price</v>
      </c>
      <c r="P125" s="19">
        <f>IFERROR(IF(SEARCH(B125,_xlfn.ARRAYTOTEXT('Bilateral Assistance, MAIN DATA'!I$1:I$1622))&gt;0,1,""),0)</f>
        <v>1</v>
      </c>
      <c r="Q125" s="19">
        <f>IFERROR(IF(SEARCH(B125,_xlfn.ARRAYTOTEXT('Commercial Assistance'!I$1:I$1400))&gt;0,1,""),0)</f>
        <v>0</v>
      </c>
      <c r="R125" s="247" t="str">
        <f>IF(SUMIFS('Bilateral Assistance, MAIN DATA'!N:N,'Bilateral Assistance, MAIN DATA'!I:I,'Price List, Weapons &amp; Items'!B125)&gt;M125,1,".")</f>
        <v>.</v>
      </c>
    </row>
    <row r="126" spans="2:18" ht="15" customHeight="1" x14ac:dyDescent="0.3">
      <c r="B126" s="175" t="s">
        <v>4177</v>
      </c>
      <c r="C126" s="113" t="s">
        <v>3942</v>
      </c>
      <c r="D126" s="113" t="s">
        <v>812</v>
      </c>
      <c r="E126" s="199">
        <v>0</v>
      </c>
      <c r="F126" s="199">
        <f t="shared" si="7"/>
        <v>0</v>
      </c>
      <c r="G126" s="629" t="s">
        <v>260</v>
      </c>
      <c r="H126" s="720" t="str">
        <f t="shared" si="11"/>
        <v>.</v>
      </c>
      <c r="I126" s="249" t="s">
        <v>260</v>
      </c>
      <c r="J126" s="155" t="str">
        <f t="shared" si="12"/>
        <v>.</v>
      </c>
      <c r="K126" s="155" t="s">
        <v>260</v>
      </c>
      <c r="L126" s="247" t="str">
        <f t="shared" si="8"/>
        <v>no price, 0 count</v>
      </c>
      <c r="M126" s="121">
        <f>SUMIFS('Bilateral Assistance, MAIN DATA'!M:M,'Bilateral Assistance, MAIN DATA'!I:I,'Price List, Weapons &amp; Items'!B126)</f>
        <v>0</v>
      </c>
      <c r="N126" s="19">
        <f>COUNTIFS('Bilateral Assistance, MAIN DATA'!M:M,"undisclosed",'Bilateral Assistance, MAIN DATA'!I:I,'Price List, Weapons &amp; Items'!B126)</f>
        <v>1</v>
      </c>
      <c r="O126" s="723" t="str">
        <f t="shared" si="9"/>
        <v>no price</v>
      </c>
      <c r="P126" s="19">
        <f>IFERROR(IF(SEARCH(B126,_xlfn.ARRAYTOTEXT('Bilateral Assistance, MAIN DATA'!I$1:I$1622))&gt;0,1,""),0)</f>
        <v>1</v>
      </c>
      <c r="Q126" s="19">
        <f>IFERROR(IF(SEARCH(B126,_xlfn.ARRAYTOTEXT('Commercial Assistance'!I$1:I$1400))&gt;0,1,""),0)</f>
        <v>0</v>
      </c>
      <c r="R126" s="247" t="str">
        <f>IF(SUMIFS('Bilateral Assistance, MAIN DATA'!N:N,'Bilateral Assistance, MAIN DATA'!I:I,'Price List, Weapons &amp; Items'!B126)&gt;M126,1,".")</f>
        <v>.</v>
      </c>
    </row>
    <row r="127" spans="2:18" ht="15" customHeight="1" x14ac:dyDescent="0.3">
      <c r="B127" s="175" t="s">
        <v>2947</v>
      </c>
      <c r="C127" s="113" t="s">
        <v>812</v>
      </c>
      <c r="D127" s="113" t="s">
        <v>812</v>
      </c>
      <c r="E127" s="199">
        <v>0</v>
      </c>
      <c r="F127" s="199">
        <f t="shared" si="7"/>
        <v>0</v>
      </c>
      <c r="G127" s="629" t="s">
        <v>260</v>
      </c>
      <c r="H127" s="720" t="str">
        <f t="shared" si="11"/>
        <v>.</v>
      </c>
      <c r="I127" s="249" t="s">
        <v>260</v>
      </c>
      <c r="J127" s="155" t="str">
        <f t="shared" si="12"/>
        <v>.</v>
      </c>
      <c r="K127" s="155" t="s">
        <v>260</v>
      </c>
      <c r="L127" s="247" t="str">
        <f t="shared" si="8"/>
        <v>no price, 0 count</v>
      </c>
      <c r="M127" s="121">
        <f>SUMIFS('Bilateral Assistance, MAIN DATA'!M:M,'Bilateral Assistance, MAIN DATA'!I:I,'Price List, Weapons &amp; Items'!B127)</f>
        <v>0</v>
      </c>
      <c r="N127" s="19">
        <f>COUNTIFS('Bilateral Assistance, MAIN DATA'!M:M,"undisclosed",'Bilateral Assistance, MAIN DATA'!I:I,'Price List, Weapons &amp; Items'!B127)</f>
        <v>1</v>
      </c>
      <c r="O127" s="723" t="str">
        <f t="shared" si="9"/>
        <v>no price</v>
      </c>
      <c r="P127" s="19">
        <f>IFERROR(IF(SEARCH(B127,_xlfn.ARRAYTOTEXT('Bilateral Assistance, MAIN DATA'!I$1:I$1622))&gt;0,1,""),0)</f>
        <v>1</v>
      </c>
      <c r="Q127" s="19">
        <f>IFERROR(IF(SEARCH(B127,_xlfn.ARRAYTOTEXT('Commercial Assistance'!I$1:I$1400))&gt;0,1,""),0)</f>
        <v>0</v>
      </c>
      <c r="R127" s="247" t="str">
        <f>IF(SUMIFS('Bilateral Assistance, MAIN DATA'!N:N,'Bilateral Assistance, MAIN DATA'!I:I,'Price List, Weapons &amp; Items'!B127)&gt;M127,1,".")</f>
        <v>.</v>
      </c>
    </row>
    <row r="128" spans="2:18" ht="15" customHeight="1" x14ac:dyDescent="0.3">
      <c r="B128" s="175" t="s">
        <v>1898</v>
      </c>
      <c r="C128" s="113" t="s">
        <v>812</v>
      </c>
      <c r="D128" s="113" t="s">
        <v>812</v>
      </c>
      <c r="E128" s="199">
        <v>0</v>
      </c>
      <c r="F128" s="199">
        <f t="shared" si="7"/>
        <v>0</v>
      </c>
      <c r="G128" s="629" t="s">
        <v>260</v>
      </c>
      <c r="H128" s="720" t="str">
        <f t="shared" si="11"/>
        <v>.</v>
      </c>
      <c r="I128" s="155" t="s">
        <v>260</v>
      </c>
      <c r="J128" s="155" t="str">
        <f t="shared" si="12"/>
        <v>.</v>
      </c>
      <c r="K128" s="155" t="s">
        <v>260</v>
      </c>
      <c r="L128" s="247" t="str">
        <f t="shared" si="8"/>
        <v>no price, 0 count</v>
      </c>
      <c r="M128" s="121">
        <f>SUMIFS('Bilateral Assistance, MAIN DATA'!M:M,'Bilateral Assistance, MAIN DATA'!I:I,'Price List, Weapons &amp; Items'!B128)</f>
        <v>0</v>
      </c>
      <c r="N128" s="19">
        <f>COUNTIFS('Bilateral Assistance, MAIN DATA'!M:M,"undisclosed",'Bilateral Assistance, MAIN DATA'!I:I,'Price List, Weapons &amp; Items'!B128)</f>
        <v>2</v>
      </c>
      <c r="O128" s="723" t="str">
        <f t="shared" si="9"/>
        <v>no price</v>
      </c>
      <c r="P128" s="19">
        <f>IFERROR(IF(SEARCH(B128,_xlfn.ARRAYTOTEXT('Bilateral Assistance, MAIN DATA'!I$1:I$1622))&gt;0,1,""),0)</f>
        <v>1</v>
      </c>
      <c r="Q128" s="19">
        <f>IFERROR(IF(SEARCH(B128,_xlfn.ARRAYTOTEXT('Commercial Assistance'!I$1:I$1400))&gt;0,1,""),0)</f>
        <v>0</v>
      </c>
      <c r="R128" s="247" t="str">
        <f>IF(SUMIFS('Bilateral Assistance, MAIN DATA'!N:N,'Bilateral Assistance, MAIN DATA'!I:I,'Price List, Weapons &amp; Items'!B128)&gt;M128,1,".")</f>
        <v>.</v>
      </c>
    </row>
    <row r="129" spans="1:18" ht="15" customHeight="1" x14ac:dyDescent="0.3">
      <c r="B129" s="175" t="s">
        <v>4178</v>
      </c>
      <c r="C129" s="113" t="s">
        <v>812</v>
      </c>
      <c r="D129" s="113" t="s">
        <v>812</v>
      </c>
      <c r="E129" s="199">
        <v>0</v>
      </c>
      <c r="F129" s="199">
        <f t="shared" si="7"/>
        <v>0</v>
      </c>
      <c r="G129" s="629" t="s">
        <v>260</v>
      </c>
      <c r="H129" s="720" t="str">
        <f t="shared" si="11"/>
        <v>.</v>
      </c>
      <c r="I129" s="249" t="s">
        <v>260</v>
      </c>
      <c r="J129" s="155" t="str">
        <f t="shared" si="12"/>
        <v>.</v>
      </c>
      <c r="K129" s="155" t="s">
        <v>260</v>
      </c>
      <c r="L129" s="247" t="str">
        <f t="shared" si="8"/>
        <v>no price, 0 count</v>
      </c>
      <c r="M129" s="121">
        <f>SUMIFS('Bilateral Assistance, MAIN DATA'!M:M,'Bilateral Assistance, MAIN DATA'!I:I,'Price List, Weapons &amp; Items'!B129)</f>
        <v>0</v>
      </c>
      <c r="N129" s="19">
        <f>COUNTIFS('Bilateral Assistance, MAIN DATA'!M:M,"undisclosed",'Bilateral Assistance, MAIN DATA'!I:I,'Price List, Weapons &amp; Items'!B129)</f>
        <v>2</v>
      </c>
      <c r="O129" s="723" t="str">
        <f t="shared" si="9"/>
        <v>no price</v>
      </c>
      <c r="P129" s="19">
        <f>IFERROR(IF(SEARCH(B129,_xlfn.ARRAYTOTEXT('Bilateral Assistance, MAIN DATA'!I$1:I$1622))&gt;0,1,""),0)</f>
        <v>1</v>
      </c>
      <c r="Q129" s="19">
        <f>IFERROR(IF(SEARCH(B129,_xlfn.ARRAYTOTEXT('Commercial Assistance'!I$1:I$1400))&gt;0,1,""),0)</f>
        <v>0</v>
      </c>
      <c r="R129" s="247" t="str">
        <f>IF(SUMIFS('Bilateral Assistance, MAIN DATA'!N:N,'Bilateral Assistance, MAIN DATA'!I:I,'Price List, Weapons &amp; Items'!B129)&gt;M129,1,".")</f>
        <v>.</v>
      </c>
    </row>
    <row r="130" spans="1:18" s="491" customFormat="1" ht="15" customHeight="1" x14ac:dyDescent="0.3">
      <c r="A130" s="32"/>
      <c r="B130" s="188" t="s">
        <v>2544</v>
      </c>
      <c r="C130" s="113" t="s">
        <v>3949</v>
      </c>
      <c r="D130" s="246" t="s">
        <v>3950</v>
      </c>
      <c r="E130" s="199">
        <v>0</v>
      </c>
      <c r="F130" s="199">
        <f t="shared" si="7"/>
        <v>0</v>
      </c>
      <c r="G130" s="629" t="s">
        <v>260</v>
      </c>
      <c r="H130" s="720" t="str">
        <f t="shared" si="11"/>
        <v>.</v>
      </c>
      <c r="I130" s="817" t="s">
        <v>260</v>
      </c>
      <c r="J130" s="155" t="str">
        <f t="shared" si="12"/>
        <v>.</v>
      </c>
      <c r="K130" s="254" t="s">
        <v>260</v>
      </c>
      <c r="L130" s="247" t="str">
        <f t="shared" si="8"/>
        <v>no price, 0 count</v>
      </c>
      <c r="M130" s="121">
        <f>SUMIFS('Bilateral Assistance, MAIN DATA'!M:M,'Bilateral Assistance, MAIN DATA'!I:I,'Price List, Weapons &amp; Items'!B130)</f>
        <v>0</v>
      </c>
      <c r="N130" s="19">
        <f>COUNTIFS('Bilateral Assistance, MAIN DATA'!M:M,"undisclosed",'Bilateral Assistance, MAIN DATA'!I:I,'Price List, Weapons &amp; Items'!B130)</f>
        <v>2</v>
      </c>
      <c r="O130" s="723" t="str">
        <f t="shared" si="9"/>
        <v>no price</v>
      </c>
      <c r="P130" s="19">
        <f>IFERROR(IF(SEARCH(B130,_xlfn.ARRAYTOTEXT('Bilateral Assistance, MAIN DATA'!I$1:I$1622))&gt;0,1,""),0)</f>
        <v>1</v>
      </c>
      <c r="Q130" s="19">
        <f>IFERROR(IF(SEARCH(B130,_xlfn.ARRAYTOTEXT('Commercial Assistance'!I$1:I$1400))&gt;0,1,""),0)</f>
        <v>0</v>
      </c>
      <c r="R130" s="247" t="str">
        <f>IF(SUMIFS('Bilateral Assistance, MAIN DATA'!N:N,'Bilateral Assistance, MAIN DATA'!I:I,'Price List, Weapons &amp; Items'!B130)&gt;M130,1,".")</f>
        <v>.</v>
      </c>
    </row>
    <row r="131" spans="1:18" ht="15" customHeight="1" x14ac:dyDescent="0.3">
      <c r="B131" s="218" t="s">
        <v>4179</v>
      </c>
      <c r="C131" s="113" t="s">
        <v>812</v>
      </c>
      <c r="D131" s="113" t="s">
        <v>812</v>
      </c>
      <c r="E131" s="199">
        <v>0</v>
      </c>
      <c r="F131" s="199">
        <f t="shared" si="7"/>
        <v>0</v>
      </c>
      <c r="G131" s="629" t="s">
        <v>260</v>
      </c>
      <c r="H131" s="720" t="str">
        <f t="shared" si="11"/>
        <v>.</v>
      </c>
      <c r="I131" s="249" t="s">
        <v>260</v>
      </c>
      <c r="J131" s="155" t="str">
        <f t="shared" si="12"/>
        <v>.</v>
      </c>
      <c r="K131" s="155" t="s">
        <v>260</v>
      </c>
      <c r="L131" s="247" t="str">
        <f t="shared" si="8"/>
        <v>no price, 0 count</v>
      </c>
      <c r="M131" s="121">
        <f>SUMIFS('Bilateral Assistance, MAIN DATA'!M:M,'Bilateral Assistance, MAIN DATA'!I:I,'Price List, Weapons &amp; Items'!B131)</f>
        <v>0</v>
      </c>
      <c r="N131" s="19">
        <f>COUNTIFS('Bilateral Assistance, MAIN DATA'!M:M,"undisclosed",'Bilateral Assistance, MAIN DATA'!I:I,'Price List, Weapons &amp; Items'!B131)</f>
        <v>1</v>
      </c>
      <c r="O131" s="723" t="str">
        <f t="shared" si="9"/>
        <v>no price</v>
      </c>
      <c r="P131" s="19">
        <f>IFERROR(IF(SEARCH(B131,_xlfn.ARRAYTOTEXT('Bilateral Assistance, MAIN DATA'!I$1:I$1622))&gt;0,1,""),0)</f>
        <v>1</v>
      </c>
      <c r="Q131" s="19">
        <f>IFERROR(IF(SEARCH(B131,_xlfn.ARRAYTOTEXT('Commercial Assistance'!I$1:I$1400))&gt;0,1,""),0)</f>
        <v>0</v>
      </c>
      <c r="R131" s="247" t="str">
        <f>IF(SUMIFS('Bilateral Assistance, MAIN DATA'!N:N,'Bilateral Assistance, MAIN DATA'!I:I,'Price List, Weapons &amp; Items'!B131)&gt;M131,1,".")</f>
        <v>.</v>
      </c>
    </row>
    <row r="132" spans="1:18" ht="15" customHeight="1" x14ac:dyDescent="0.3">
      <c r="B132" s="188" t="s">
        <v>2035</v>
      </c>
      <c r="C132" s="113" t="s">
        <v>812</v>
      </c>
      <c r="D132" s="113" t="s">
        <v>812</v>
      </c>
      <c r="E132" s="199">
        <v>0</v>
      </c>
      <c r="F132" s="199">
        <f t="shared" si="7"/>
        <v>0</v>
      </c>
      <c r="G132" s="629" t="s">
        <v>260</v>
      </c>
      <c r="H132" s="720" t="str">
        <f t="shared" si="11"/>
        <v>.</v>
      </c>
      <c r="I132" s="818" t="s">
        <v>260</v>
      </c>
      <c r="J132" s="155" t="str">
        <f t="shared" si="12"/>
        <v>.</v>
      </c>
      <c r="K132" s="254" t="s">
        <v>260</v>
      </c>
      <c r="L132" s="247">
        <f t="shared" si="8"/>
        <v>0</v>
      </c>
      <c r="M132" s="121">
        <f>SUMIFS('Bilateral Assistance, MAIN DATA'!M:M,'Bilateral Assistance, MAIN DATA'!I:I,'Price List, Weapons &amp; Items'!B132)</f>
        <v>50</v>
      </c>
      <c r="N132" s="19">
        <f>COUNTIFS('Bilateral Assistance, MAIN DATA'!M:M,"undisclosed",'Bilateral Assistance, MAIN DATA'!I:I,'Price List, Weapons &amp; Items'!B132)</f>
        <v>2</v>
      </c>
      <c r="O132" s="723" t="str">
        <f t="shared" si="9"/>
        <v>no price</v>
      </c>
      <c r="P132" s="19">
        <f>IFERROR(IF(SEARCH(B132,_xlfn.ARRAYTOTEXT('Bilateral Assistance, MAIN DATA'!I$1:I$1622))&gt;0,1,""),0)</f>
        <v>1</v>
      </c>
      <c r="Q132" s="19">
        <f>IFERROR(IF(SEARCH(B132,_xlfn.ARRAYTOTEXT('Commercial Assistance'!I$1:I$1400))&gt;0,1,""),0)</f>
        <v>0</v>
      </c>
      <c r="R132" s="247" t="str">
        <f>IF(SUMIFS('Bilateral Assistance, MAIN DATA'!N:N,'Bilateral Assistance, MAIN DATA'!I:I,'Price List, Weapons &amp; Items'!B132)&gt;M132,1,".")</f>
        <v>.</v>
      </c>
    </row>
    <row r="133" spans="1:18" ht="15" customHeight="1" x14ac:dyDescent="0.3">
      <c r="B133" s="218" t="s">
        <v>4180</v>
      </c>
      <c r="C133" s="113" t="s">
        <v>3954</v>
      </c>
      <c r="D133" s="246" t="s">
        <v>4181</v>
      </c>
      <c r="E133" s="199">
        <v>0</v>
      </c>
      <c r="F133" s="199">
        <f t="shared" si="7"/>
        <v>0</v>
      </c>
      <c r="G133" s="629" t="s">
        <v>260</v>
      </c>
      <c r="H133" s="720" t="str">
        <f t="shared" si="11"/>
        <v>.</v>
      </c>
      <c r="I133" s="818" t="s">
        <v>260</v>
      </c>
      <c r="J133" s="155" t="str">
        <f t="shared" si="12"/>
        <v>.</v>
      </c>
      <c r="K133" s="155" t="s">
        <v>260</v>
      </c>
      <c r="L133" s="247" t="str">
        <f t="shared" si="8"/>
        <v>no price, 0 count</v>
      </c>
      <c r="M133" s="121">
        <f>SUMIFS('Bilateral Assistance, MAIN DATA'!M:M,'Bilateral Assistance, MAIN DATA'!I:I,'Price List, Weapons &amp; Items'!B133)</f>
        <v>0</v>
      </c>
      <c r="N133" s="19">
        <f>COUNTIFS('Bilateral Assistance, MAIN DATA'!M:M,"undisclosed",'Bilateral Assistance, MAIN DATA'!I:I,'Price List, Weapons &amp; Items'!B133)</f>
        <v>1</v>
      </c>
      <c r="O133" s="723" t="str">
        <f t="shared" si="9"/>
        <v>no price</v>
      </c>
      <c r="P133" s="19">
        <f>IFERROR(IF(SEARCH(B133,_xlfn.ARRAYTOTEXT('Bilateral Assistance, MAIN DATA'!I$1:I$1622))&gt;0,1,""),0)</f>
        <v>1</v>
      </c>
      <c r="Q133" s="19">
        <f>IFERROR(IF(SEARCH(B133,_xlfn.ARRAYTOTEXT('Commercial Assistance'!I$1:I$1400))&gt;0,1,""),0)</f>
        <v>0</v>
      </c>
      <c r="R133" s="247" t="str">
        <f>IF(SUMIFS('Bilateral Assistance, MAIN DATA'!N:N,'Bilateral Assistance, MAIN DATA'!I:I,'Price List, Weapons &amp; Items'!B133)&gt;M133,1,".")</f>
        <v>.</v>
      </c>
    </row>
    <row r="134" spans="1:18" ht="15" customHeight="1" x14ac:dyDescent="0.3">
      <c r="B134" s="218" t="s">
        <v>4182</v>
      </c>
      <c r="C134" s="113" t="s">
        <v>3987</v>
      </c>
      <c r="D134" s="246" t="s">
        <v>4181</v>
      </c>
      <c r="E134" s="199">
        <v>0</v>
      </c>
      <c r="F134" s="199">
        <f t="shared" si="7"/>
        <v>0</v>
      </c>
      <c r="G134" s="629" t="s">
        <v>260</v>
      </c>
      <c r="H134" s="720" t="str">
        <f t="shared" si="11"/>
        <v>.</v>
      </c>
      <c r="I134" s="249" t="s">
        <v>260</v>
      </c>
      <c r="J134" s="155" t="str">
        <f t="shared" si="12"/>
        <v>.</v>
      </c>
      <c r="K134" s="155" t="s">
        <v>260</v>
      </c>
      <c r="L134" s="247" t="str">
        <f t="shared" si="8"/>
        <v>no price, 0 count</v>
      </c>
      <c r="M134" s="121">
        <f>SUMIFS('Bilateral Assistance, MAIN DATA'!M:M,'Bilateral Assistance, MAIN DATA'!I:I,'Price List, Weapons &amp; Items'!B134)</f>
        <v>0</v>
      </c>
      <c r="N134" s="19">
        <f>COUNTIFS('Bilateral Assistance, MAIN DATA'!M:M,"undisclosed",'Bilateral Assistance, MAIN DATA'!I:I,'Price List, Weapons &amp; Items'!B134)</f>
        <v>1</v>
      </c>
      <c r="O134" s="723" t="str">
        <f t="shared" si="9"/>
        <v>no price</v>
      </c>
      <c r="P134" s="19">
        <f>IFERROR(IF(SEARCH(B134,_xlfn.ARRAYTOTEXT('Bilateral Assistance, MAIN DATA'!I$1:I$1622))&gt;0,1,""),0)</f>
        <v>1</v>
      </c>
      <c r="Q134" s="19">
        <f>IFERROR(IF(SEARCH(B134,_xlfn.ARRAYTOTEXT('Commercial Assistance'!I$1:I$1400))&gt;0,1,""),0)</f>
        <v>0</v>
      </c>
      <c r="R134" s="247" t="str">
        <f>IF(SUMIFS('Bilateral Assistance, MAIN DATA'!N:N,'Bilateral Assistance, MAIN DATA'!I:I,'Price List, Weapons &amp; Items'!B134)&gt;M134,1,".")</f>
        <v>.</v>
      </c>
    </row>
    <row r="135" spans="1:18" ht="15" customHeight="1" x14ac:dyDescent="0.3">
      <c r="B135" s="175" t="s">
        <v>4183</v>
      </c>
      <c r="C135" s="113" t="s">
        <v>812</v>
      </c>
      <c r="D135" s="246" t="s">
        <v>4184</v>
      </c>
      <c r="E135" s="199">
        <v>0</v>
      </c>
      <c r="F135" s="199">
        <f t="shared" si="7"/>
        <v>0</v>
      </c>
      <c r="G135" s="629" t="s">
        <v>260</v>
      </c>
      <c r="H135" s="720" t="str">
        <f t="shared" si="11"/>
        <v>.</v>
      </c>
      <c r="I135" s="818" t="s">
        <v>260</v>
      </c>
      <c r="J135" s="155" t="str">
        <f t="shared" si="12"/>
        <v>.</v>
      </c>
      <c r="K135" s="254" t="s">
        <v>260</v>
      </c>
      <c r="L135" s="247" t="str">
        <f t="shared" si="8"/>
        <v>no price, 0 count</v>
      </c>
      <c r="M135" s="121">
        <f>SUMIFS('Bilateral Assistance, MAIN DATA'!M:M,'Bilateral Assistance, MAIN DATA'!I:I,'Price List, Weapons &amp; Items'!B135)</f>
        <v>0</v>
      </c>
      <c r="N135" s="19">
        <f>COUNTIFS('Bilateral Assistance, MAIN DATA'!M:M,"undisclosed",'Bilateral Assistance, MAIN DATA'!I:I,'Price List, Weapons &amp; Items'!B135)</f>
        <v>1</v>
      </c>
      <c r="O135" s="723" t="str">
        <f t="shared" si="9"/>
        <v>no price</v>
      </c>
      <c r="P135" s="19">
        <f>IFERROR(IF(SEARCH(B135,_xlfn.ARRAYTOTEXT('Bilateral Assistance, MAIN DATA'!I$1:I$1622))&gt;0,1,""),0)</f>
        <v>1</v>
      </c>
      <c r="Q135" s="19">
        <f>IFERROR(IF(SEARCH(B135,_xlfn.ARRAYTOTEXT('Commercial Assistance'!I$1:I$1400))&gt;0,1,""),0)</f>
        <v>0</v>
      </c>
      <c r="R135" s="247" t="str">
        <f>IF(SUMIFS('Bilateral Assistance, MAIN DATA'!N:N,'Bilateral Assistance, MAIN DATA'!I:I,'Price List, Weapons &amp; Items'!B135)&gt;M135,1,".")</f>
        <v>.</v>
      </c>
    </row>
    <row r="136" spans="1:18" ht="15" customHeight="1" x14ac:dyDescent="0.3">
      <c r="B136" s="19" t="s">
        <v>4185</v>
      </c>
      <c r="C136" s="17" t="s">
        <v>3939</v>
      </c>
      <c r="D136" s="246" t="s">
        <v>3950</v>
      </c>
      <c r="E136" s="199">
        <v>0</v>
      </c>
      <c r="F136" s="199">
        <f t="shared" si="7"/>
        <v>0</v>
      </c>
      <c r="G136" s="629" t="s">
        <v>260</v>
      </c>
      <c r="H136" s="720" t="str">
        <f t="shared" si="11"/>
        <v>.</v>
      </c>
      <c r="I136" s="251" t="s">
        <v>260</v>
      </c>
      <c r="J136" s="155" t="str">
        <f t="shared" si="12"/>
        <v>.</v>
      </c>
      <c r="K136" s="251" t="s">
        <v>260</v>
      </c>
      <c r="L136" s="247" t="str">
        <f t="shared" si="8"/>
        <v>no price, 0 count</v>
      </c>
      <c r="M136" s="121">
        <f>SUMIFS('Bilateral Assistance, MAIN DATA'!M:M,'Bilateral Assistance, MAIN DATA'!I:I,'Price List, Weapons &amp; Items'!B136)</f>
        <v>0</v>
      </c>
      <c r="N136" s="19">
        <f>COUNTIFS('Bilateral Assistance, MAIN DATA'!M:M,"undisclosed",'Bilateral Assistance, MAIN DATA'!I:I,'Price List, Weapons &amp; Items'!B136)</f>
        <v>1</v>
      </c>
      <c r="O136" s="723" t="str">
        <f t="shared" si="9"/>
        <v>no price</v>
      </c>
      <c r="P136" s="19">
        <f>IFERROR(IF(SEARCH(B136,_xlfn.ARRAYTOTEXT('Bilateral Assistance, MAIN DATA'!I$1:I$1622))&gt;0,1,""),0)</f>
        <v>1</v>
      </c>
      <c r="Q136" s="19">
        <f>IFERROR(IF(SEARCH(B136,_xlfn.ARRAYTOTEXT('Commercial Assistance'!I$1:I$1400))&gt;0,1,""),0)</f>
        <v>0</v>
      </c>
      <c r="R136" s="247" t="str">
        <f>IF(SUMIFS('Bilateral Assistance, MAIN DATA'!N:N,'Bilateral Assistance, MAIN DATA'!I:I,'Price List, Weapons &amp; Items'!B136)&gt;M136,1,".")</f>
        <v>.</v>
      </c>
    </row>
    <row r="137" spans="1:18" ht="15" customHeight="1" x14ac:dyDescent="0.3">
      <c r="B137" s="175" t="s">
        <v>2258</v>
      </c>
      <c r="C137" s="113" t="s">
        <v>3987</v>
      </c>
      <c r="D137" s="246" t="s">
        <v>3988</v>
      </c>
      <c r="E137" s="199">
        <v>0</v>
      </c>
      <c r="F137" s="199">
        <f t="shared" si="7"/>
        <v>0</v>
      </c>
      <c r="G137" s="629" t="s">
        <v>260</v>
      </c>
      <c r="H137" s="721" t="s">
        <v>346</v>
      </c>
      <c r="I137" s="249" t="s">
        <v>260</v>
      </c>
      <c r="J137" s="249" t="s">
        <v>260</v>
      </c>
      <c r="K137" s="155" t="s">
        <v>260</v>
      </c>
      <c r="L137" s="247" t="str">
        <f t="shared" si="8"/>
        <v>no price, 0 count</v>
      </c>
      <c r="M137" s="121">
        <f>SUMIFS('Bilateral Assistance, MAIN DATA'!M:M,'Bilateral Assistance, MAIN DATA'!I:I,'Price List, Weapons &amp; Items'!B137)</f>
        <v>0</v>
      </c>
      <c r="N137" s="19">
        <f>COUNTIFS('Bilateral Assistance, MAIN DATA'!M:M,"undisclosed",'Bilateral Assistance, MAIN DATA'!I:I,'Price List, Weapons &amp; Items'!B137)</f>
        <v>1</v>
      </c>
      <c r="O137" s="723" t="str">
        <f t="shared" si="9"/>
        <v>no price</v>
      </c>
      <c r="P137" s="19">
        <f>IFERROR(IF(SEARCH(B137,_xlfn.ARRAYTOTEXT('Bilateral Assistance, MAIN DATA'!I$1:I$1622))&gt;0,1,""),0)</f>
        <v>1</v>
      </c>
      <c r="Q137" s="19">
        <f>IFERROR(IF(SEARCH(B137,_xlfn.ARRAYTOTEXT('Commercial Assistance'!I$1:I$1400))&gt;0,1,""),0)</f>
        <v>0</v>
      </c>
      <c r="R137" s="247" t="str">
        <f>IF(SUMIFS('Bilateral Assistance, MAIN DATA'!N:N,'Bilateral Assistance, MAIN DATA'!I:I,'Price List, Weapons &amp; Items'!B137)&gt;M137,1,".")</f>
        <v>.</v>
      </c>
    </row>
    <row r="138" spans="1:18" ht="15" customHeight="1" x14ac:dyDescent="0.3">
      <c r="B138" s="175" t="s">
        <v>3230</v>
      </c>
      <c r="C138" s="113" t="s">
        <v>812</v>
      </c>
      <c r="D138" s="113" t="s">
        <v>812</v>
      </c>
      <c r="E138" s="199">
        <v>0</v>
      </c>
      <c r="F138" s="199">
        <f t="shared" si="7"/>
        <v>0</v>
      </c>
      <c r="G138" s="629" t="s">
        <v>260</v>
      </c>
      <c r="H138" s="721" t="s">
        <v>260</v>
      </c>
      <c r="I138" s="249" t="s">
        <v>260</v>
      </c>
      <c r="J138" s="249" t="s">
        <v>260</v>
      </c>
      <c r="K138" s="155" t="s">
        <v>260</v>
      </c>
      <c r="L138" s="247" t="str">
        <f t="shared" si="8"/>
        <v>no price, 0 count</v>
      </c>
      <c r="M138" s="121">
        <f>SUMIFS('Bilateral Assistance, MAIN DATA'!M:M,'Bilateral Assistance, MAIN DATA'!I:I,'Price List, Weapons &amp; Items'!B138)</f>
        <v>0</v>
      </c>
      <c r="N138" s="19">
        <f>COUNTIFS('Bilateral Assistance, MAIN DATA'!M:M,"undisclosed",'Bilateral Assistance, MAIN DATA'!I:I,'Price List, Weapons &amp; Items'!B138)</f>
        <v>2</v>
      </c>
      <c r="O138" s="723" t="str">
        <f t="shared" si="9"/>
        <v>no price</v>
      </c>
      <c r="P138" s="19">
        <f>IFERROR(IF(SEARCH(B138,_xlfn.ARRAYTOTEXT('Bilateral Assistance, MAIN DATA'!I$1:I$1622))&gt;0,1,""),0)</f>
        <v>1</v>
      </c>
      <c r="Q138" s="19">
        <f>IFERROR(IF(SEARCH(B138,_xlfn.ARRAYTOTEXT('Commercial Assistance'!I$1:I$1400))&gt;0,1,""),0)</f>
        <v>0</v>
      </c>
      <c r="R138" s="247" t="str">
        <f>IF(SUMIFS('Bilateral Assistance, MAIN DATA'!N:N,'Bilateral Assistance, MAIN DATA'!I:I,'Price List, Weapons &amp; Items'!B138)&gt;M138,1,".")</f>
        <v>.</v>
      </c>
    </row>
    <row r="139" spans="1:18" ht="15" customHeight="1" x14ac:dyDescent="0.3">
      <c r="B139" s="175" t="s">
        <v>4186</v>
      </c>
      <c r="C139" s="113" t="s">
        <v>812</v>
      </c>
      <c r="D139" s="113" t="s">
        <v>812</v>
      </c>
      <c r="E139" s="199">
        <v>0</v>
      </c>
      <c r="F139" s="199">
        <f t="shared" si="7"/>
        <v>0</v>
      </c>
      <c r="G139" s="629" t="s">
        <v>260</v>
      </c>
      <c r="H139" s="721" t="s">
        <v>260</v>
      </c>
      <c r="I139" s="249" t="s">
        <v>260</v>
      </c>
      <c r="J139" s="249" t="s">
        <v>260</v>
      </c>
      <c r="K139" s="155" t="s">
        <v>260</v>
      </c>
      <c r="L139" s="247" t="str">
        <f t="shared" si="8"/>
        <v>no price, 0 count</v>
      </c>
      <c r="M139" s="121">
        <f>SUMIFS('Bilateral Assistance, MAIN DATA'!M:M,'Bilateral Assistance, MAIN DATA'!I:I,'Price List, Weapons &amp; Items'!B139)</f>
        <v>0</v>
      </c>
      <c r="N139" s="19">
        <f>COUNTIFS('Bilateral Assistance, MAIN DATA'!M:M,"undisclosed",'Bilateral Assistance, MAIN DATA'!I:I,'Price List, Weapons &amp; Items'!B139)</f>
        <v>2</v>
      </c>
      <c r="O139" s="723" t="str">
        <f t="shared" si="9"/>
        <v>no price</v>
      </c>
      <c r="P139" s="19">
        <f>IFERROR(IF(SEARCH(B139,_xlfn.ARRAYTOTEXT('Bilateral Assistance, MAIN DATA'!I$1:I$1622))&gt;0,1,""),0)</f>
        <v>1</v>
      </c>
      <c r="Q139" s="19">
        <f>IFERROR(IF(SEARCH(B139,_xlfn.ARRAYTOTEXT('Commercial Assistance'!I$1:I$1400))&gt;0,1,""),0)</f>
        <v>0</v>
      </c>
      <c r="R139" s="247" t="str">
        <f>IF(SUMIFS('Bilateral Assistance, MAIN DATA'!N:N,'Bilateral Assistance, MAIN DATA'!I:I,'Price List, Weapons &amp; Items'!B139)&gt;M139,1,".")</f>
        <v>.</v>
      </c>
    </row>
    <row r="140" spans="1:18" ht="15" customHeight="1" x14ac:dyDescent="0.3">
      <c r="B140" s="19" t="s">
        <v>3364</v>
      </c>
      <c r="C140" s="113" t="s">
        <v>812</v>
      </c>
      <c r="D140" s="113" t="s">
        <v>812</v>
      </c>
      <c r="E140" s="199">
        <v>0</v>
      </c>
      <c r="F140" s="199">
        <f t="shared" ref="F140:F203" si="13">IF(OR(D140="Armoured Personnel Carrier (APC)",D140="Armoured Recovery Vehicle (ARV)",D140="Armoured Utility Vehicle (AUV)",D140="152mm howitzer ammunition",D140="155mm howitzer ammunition",D140="300mm MLRS ammunition",D140="155mm howitzer",D140="227mm MLRS ammunition",D140="Infantry fighting vehicle (IFV)",D140="152mm howitzer",D140="227mm MLRS",D140="Main Battle Tank (MBT)",D140="Protected Patrol Vehicle (PPV)",D140="127mm MLRS",D140="122mm MLRS",D140="122mm MLRS ammunition",D140="122mm MLRS",D140="127mm MLRS",D140="127mm MLRS ammunition")=TRUE,1,0)</f>
        <v>0</v>
      </c>
      <c r="G140" s="629" t="s">
        <v>260</v>
      </c>
      <c r="H140" s="721" t="s">
        <v>260</v>
      </c>
      <c r="I140" s="249" t="s">
        <v>260</v>
      </c>
      <c r="J140" s="249" t="s">
        <v>260</v>
      </c>
      <c r="K140" s="155" t="s">
        <v>260</v>
      </c>
      <c r="L140" s="247" t="str">
        <f t="shared" ref="L140:L203" si="14">IF(C140="Humanitarian",0,IF(M140&gt;0,IF(TYPE(O140)=1,IF(O140&gt;MEDIAN(O:O),2,1),0),"no price, 0 count"))</f>
        <v>no price, 0 count</v>
      </c>
      <c r="M140" s="121">
        <f>SUMIFS('Bilateral Assistance, MAIN DATA'!M:M,'Bilateral Assistance, MAIN DATA'!I:I,'Price List, Weapons &amp; Items'!B140)</f>
        <v>0</v>
      </c>
      <c r="N140" s="19">
        <f>COUNTIFS('Bilateral Assistance, MAIN DATA'!M:M,"undisclosed",'Bilateral Assistance, MAIN DATA'!I:I,'Price List, Weapons &amp; Items'!B140)</f>
        <v>3</v>
      </c>
      <c r="O140" s="723" t="str">
        <f t="shared" ref="O140:O203" si="15">IFERROR(M140*G140,"no price")</f>
        <v>no price</v>
      </c>
      <c r="P140" s="19">
        <f>IFERROR(IF(SEARCH(B140,_xlfn.ARRAYTOTEXT('Bilateral Assistance, MAIN DATA'!I$1:I$1622))&gt;0,1,""),0)</f>
        <v>1</v>
      </c>
      <c r="Q140" s="19">
        <f>IFERROR(IF(SEARCH(B140,_xlfn.ARRAYTOTEXT('Commercial Assistance'!I$1:I$1400))&gt;0,1,""),0)</f>
        <v>0</v>
      </c>
      <c r="R140" s="247" t="str">
        <f>IF(SUMIFS('Bilateral Assistance, MAIN DATA'!N:N,'Bilateral Assistance, MAIN DATA'!I:I,'Price List, Weapons &amp; Items'!B140)&gt;M140,1,".")</f>
        <v>.</v>
      </c>
    </row>
    <row r="141" spans="1:18" ht="15" customHeight="1" x14ac:dyDescent="0.3">
      <c r="B141" s="19" t="s">
        <v>3366</v>
      </c>
      <c r="C141" s="113" t="s">
        <v>812</v>
      </c>
      <c r="D141" s="113" t="s">
        <v>812</v>
      </c>
      <c r="E141" s="199">
        <v>0</v>
      </c>
      <c r="F141" s="199">
        <f t="shared" si="13"/>
        <v>0</v>
      </c>
      <c r="G141" s="629" t="s">
        <v>260</v>
      </c>
      <c r="H141" s="721" t="s">
        <v>260</v>
      </c>
      <c r="I141" s="249" t="s">
        <v>260</v>
      </c>
      <c r="J141" s="249" t="s">
        <v>260</v>
      </c>
      <c r="K141" s="155" t="s">
        <v>260</v>
      </c>
      <c r="L141" s="247" t="str">
        <f t="shared" si="14"/>
        <v>no price, 0 count</v>
      </c>
      <c r="M141" s="121">
        <f>SUMIFS('Bilateral Assistance, MAIN DATA'!M:M,'Bilateral Assistance, MAIN DATA'!I:I,'Price List, Weapons &amp; Items'!B141)</f>
        <v>0</v>
      </c>
      <c r="N141" s="19">
        <f>COUNTIFS('Bilateral Assistance, MAIN DATA'!M:M,"undisclosed",'Bilateral Assistance, MAIN DATA'!I:I,'Price List, Weapons &amp; Items'!B141)</f>
        <v>1</v>
      </c>
      <c r="O141" s="723" t="str">
        <f t="shared" si="15"/>
        <v>no price</v>
      </c>
      <c r="P141" s="19">
        <f>IFERROR(IF(SEARCH(B141,_xlfn.ARRAYTOTEXT('Bilateral Assistance, MAIN DATA'!I$1:I$1622))&gt;0,1,""),0)</f>
        <v>1</v>
      </c>
      <c r="Q141" s="19">
        <f>IFERROR(IF(SEARCH(B141,_xlfn.ARRAYTOTEXT('Commercial Assistance'!I$1:I$1400))&gt;0,1,""),0)</f>
        <v>0</v>
      </c>
      <c r="R141" s="247" t="str">
        <f>IF(SUMIFS('Bilateral Assistance, MAIN DATA'!N:N,'Bilateral Assistance, MAIN DATA'!I:I,'Price List, Weapons &amp; Items'!B141)&gt;M141,1,".")</f>
        <v>.</v>
      </c>
    </row>
    <row r="142" spans="1:18" ht="15" customHeight="1" x14ac:dyDescent="0.3">
      <c r="B142" s="19" t="s">
        <v>3356</v>
      </c>
      <c r="C142" s="113" t="s">
        <v>812</v>
      </c>
      <c r="D142" s="113" t="s">
        <v>812</v>
      </c>
      <c r="E142" s="199">
        <v>0</v>
      </c>
      <c r="F142" s="199">
        <f t="shared" si="13"/>
        <v>0</v>
      </c>
      <c r="G142" s="629" t="s">
        <v>260</v>
      </c>
      <c r="H142" s="721" t="s">
        <v>260</v>
      </c>
      <c r="I142" s="249" t="s">
        <v>260</v>
      </c>
      <c r="J142" s="249" t="s">
        <v>260</v>
      </c>
      <c r="K142" s="155" t="s">
        <v>260</v>
      </c>
      <c r="L142" s="247" t="str">
        <f t="shared" si="14"/>
        <v>no price, 0 count</v>
      </c>
      <c r="M142" s="121">
        <f>SUMIFS('Bilateral Assistance, MAIN DATA'!M:M,'Bilateral Assistance, MAIN DATA'!I:I,'Price List, Weapons &amp; Items'!B142)</f>
        <v>0</v>
      </c>
      <c r="N142" s="19">
        <f>COUNTIFS('Bilateral Assistance, MAIN DATA'!M:M,"undisclosed",'Bilateral Assistance, MAIN DATA'!I:I,'Price List, Weapons &amp; Items'!B142)</f>
        <v>1</v>
      </c>
      <c r="O142" s="723" t="str">
        <f t="shared" si="15"/>
        <v>no price</v>
      </c>
      <c r="P142" s="19">
        <f>IFERROR(IF(SEARCH(B142,_xlfn.ARRAYTOTEXT('Bilateral Assistance, MAIN DATA'!I$1:I$1622))&gt;0,1,""),0)</f>
        <v>1</v>
      </c>
      <c r="Q142" s="19">
        <f>IFERROR(IF(SEARCH(B142,_xlfn.ARRAYTOTEXT('Commercial Assistance'!I$1:I$1400))&gt;0,1,""),0)</f>
        <v>0</v>
      </c>
      <c r="R142" s="247" t="str">
        <f>IF(SUMIFS('Bilateral Assistance, MAIN DATA'!N:N,'Bilateral Assistance, MAIN DATA'!I:I,'Price List, Weapons &amp; Items'!B142)&gt;M142,1,".")</f>
        <v>.</v>
      </c>
    </row>
    <row r="143" spans="1:18" ht="15" customHeight="1" x14ac:dyDescent="0.3">
      <c r="B143" s="175" t="s">
        <v>980</v>
      </c>
      <c r="C143" s="113" t="s">
        <v>3945</v>
      </c>
      <c r="D143" s="246" t="s">
        <v>4059</v>
      </c>
      <c r="E143" s="199">
        <v>0</v>
      </c>
      <c r="F143" s="199">
        <f t="shared" si="13"/>
        <v>0</v>
      </c>
      <c r="G143" s="629" t="s">
        <v>260</v>
      </c>
      <c r="H143" s="720" t="str">
        <f>IF(G143&lt;&gt;".","USD",".")</f>
        <v>.</v>
      </c>
      <c r="I143" s="829" t="s">
        <v>260</v>
      </c>
      <c r="J143" s="155" t="str">
        <f>IF(I143&lt;&gt;".",".",".")</f>
        <v>.</v>
      </c>
      <c r="K143" s="155" t="s">
        <v>260</v>
      </c>
      <c r="L143" s="247" t="str">
        <f t="shared" si="14"/>
        <v>no price, 0 count</v>
      </c>
      <c r="M143" s="121">
        <f>SUMIFS('Bilateral Assistance, MAIN DATA'!M:M,'Bilateral Assistance, MAIN DATA'!I:I,'Price List, Weapons &amp; Items'!B143)</f>
        <v>0</v>
      </c>
      <c r="N143" s="19">
        <f>COUNTIFS('Bilateral Assistance, MAIN DATA'!M:M,"undisclosed",'Bilateral Assistance, MAIN DATA'!I:I,'Price List, Weapons &amp; Items'!B143)</f>
        <v>1</v>
      </c>
      <c r="O143" s="723" t="str">
        <f t="shared" si="15"/>
        <v>no price</v>
      </c>
      <c r="P143" s="19">
        <f>IFERROR(IF(SEARCH(B143,_xlfn.ARRAYTOTEXT('Bilateral Assistance, MAIN DATA'!I$1:I$1622))&gt;0,1,""),0)</f>
        <v>1</v>
      </c>
      <c r="Q143" s="19">
        <f>IFERROR(IF(SEARCH(B143,_xlfn.ARRAYTOTEXT('Commercial Assistance'!I$1:I$1400))&gt;0,1,""),0)</f>
        <v>0</v>
      </c>
      <c r="R143" s="247" t="str">
        <f>IF(SUMIFS('Bilateral Assistance, MAIN DATA'!N:N,'Bilateral Assistance, MAIN DATA'!I:I,'Price List, Weapons &amp; Items'!B143)&gt;M143,1,".")</f>
        <v>.</v>
      </c>
    </row>
    <row r="144" spans="1:18" ht="15" customHeight="1" x14ac:dyDescent="0.3">
      <c r="B144" s="175" t="s">
        <v>1274</v>
      </c>
      <c r="C144" s="113" t="s">
        <v>812</v>
      </c>
      <c r="D144" s="113" t="s">
        <v>812</v>
      </c>
      <c r="E144" s="199">
        <v>0</v>
      </c>
      <c r="F144" s="199">
        <f t="shared" si="13"/>
        <v>0</v>
      </c>
      <c r="G144" s="629" t="s">
        <v>260</v>
      </c>
      <c r="H144" s="721" t="s">
        <v>260</v>
      </c>
      <c r="I144" s="249" t="s">
        <v>260</v>
      </c>
      <c r="J144" s="249" t="s">
        <v>260</v>
      </c>
      <c r="K144" s="155" t="s">
        <v>4187</v>
      </c>
      <c r="L144" s="247" t="str">
        <f t="shared" si="14"/>
        <v>no price, 0 count</v>
      </c>
      <c r="M144" s="121">
        <f>SUMIFS('Bilateral Assistance, MAIN DATA'!M:M,'Bilateral Assistance, MAIN DATA'!I:I,'Price List, Weapons &amp; Items'!B144)</f>
        <v>0</v>
      </c>
      <c r="N144" s="19">
        <f>COUNTIFS('Bilateral Assistance, MAIN DATA'!M:M,"undisclosed",'Bilateral Assistance, MAIN DATA'!I:I,'Price List, Weapons &amp; Items'!B144)</f>
        <v>1</v>
      </c>
      <c r="O144" s="723" t="str">
        <f t="shared" si="15"/>
        <v>no price</v>
      </c>
      <c r="P144" s="19">
        <f>IFERROR(IF(SEARCH(B144,_xlfn.ARRAYTOTEXT('Bilateral Assistance, MAIN DATA'!I$1:I$1622))&gt;0,1,""),0)</f>
        <v>1</v>
      </c>
      <c r="Q144" s="19">
        <f>IFERROR(IF(SEARCH(B144,_xlfn.ARRAYTOTEXT('Commercial Assistance'!I$1:I$1400))&gt;0,1,""),0)</f>
        <v>0</v>
      </c>
      <c r="R144" s="247" t="str">
        <f>IF(SUMIFS('Bilateral Assistance, MAIN DATA'!N:N,'Bilateral Assistance, MAIN DATA'!I:I,'Price List, Weapons &amp; Items'!B144)&gt;M144,1,".")</f>
        <v>.</v>
      </c>
    </row>
    <row r="145" spans="2:18" ht="15" customHeight="1" x14ac:dyDescent="0.3">
      <c r="B145" s="175" t="s">
        <v>2700</v>
      </c>
      <c r="C145" s="113" t="s">
        <v>3945</v>
      </c>
      <c r="D145" s="246" t="s">
        <v>3651</v>
      </c>
      <c r="E145" s="199">
        <v>0</v>
      </c>
      <c r="F145" s="199">
        <f t="shared" si="13"/>
        <v>0</v>
      </c>
      <c r="G145" s="630" t="s">
        <v>260</v>
      </c>
      <c r="H145" s="721" t="s">
        <v>346</v>
      </c>
      <c r="I145" s="830" t="s">
        <v>260</v>
      </c>
      <c r="J145" s="155" t="s">
        <v>260</v>
      </c>
      <c r="K145" s="155" t="s">
        <v>260</v>
      </c>
      <c r="L145" s="247" t="str">
        <f t="shared" si="14"/>
        <v>no price, 0 count</v>
      </c>
      <c r="M145" s="121">
        <f>SUMIFS('Bilateral Assistance, MAIN DATA'!M:M,'Bilateral Assistance, MAIN DATA'!I:I,'Price List, Weapons &amp; Items'!B145)</f>
        <v>0</v>
      </c>
      <c r="N145" s="19">
        <f>COUNTIFS('Bilateral Assistance, MAIN DATA'!M:M,"undisclosed",'Bilateral Assistance, MAIN DATA'!I:I,'Price List, Weapons &amp; Items'!B145)</f>
        <v>1</v>
      </c>
      <c r="O145" s="723" t="str">
        <f t="shared" si="15"/>
        <v>no price</v>
      </c>
      <c r="P145" s="19">
        <f>IFERROR(IF(SEARCH(B145,_xlfn.ARRAYTOTEXT('Bilateral Assistance, MAIN DATA'!I$1:I$1622))&gt;0,1,""),0)</f>
        <v>1</v>
      </c>
      <c r="Q145" s="19">
        <f>IFERROR(IF(SEARCH(B145,_xlfn.ARRAYTOTEXT('Commercial Assistance'!I$1:I$1400))&gt;0,1,""),0)</f>
        <v>0</v>
      </c>
      <c r="R145" s="247" t="str">
        <f>IF(SUMIFS('Bilateral Assistance, MAIN DATA'!N:N,'Bilateral Assistance, MAIN DATA'!I:I,'Price List, Weapons &amp; Items'!B145)&gt;M145,1,".")</f>
        <v>.</v>
      </c>
    </row>
    <row r="146" spans="2:18" ht="15" customHeight="1" x14ac:dyDescent="0.3">
      <c r="B146" s="185" t="s">
        <v>1352</v>
      </c>
      <c r="C146" s="113" t="s">
        <v>812</v>
      </c>
      <c r="D146" s="113" t="s">
        <v>812</v>
      </c>
      <c r="E146" s="199">
        <v>0</v>
      </c>
      <c r="F146" s="199">
        <f t="shared" si="13"/>
        <v>0</v>
      </c>
      <c r="G146" s="629" t="s">
        <v>260</v>
      </c>
      <c r="H146" s="720" t="str">
        <f t="shared" ref="H146:H151" si="16">IF(G146&lt;&gt;".","USD",".")</f>
        <v>.</v>
      </c>
      <c r="I146" s="249" t="s">
        <v>260</v>
      </c>
      <c r="J146" s="249" t="s">
        <v>260</v>
      </c>
      <c r="K146" s="155" t="s">
        <v>260</v>
      </c>
      <c r="L146" s="247" t="str">
        <f t="shared" si="14"/>
        <v>no price, 0 count</v>
      </c>
      <c r="M146" s="121">
        <f>SUMIFS('Bilateral Assistance, MAIN DATA'!M:M,'Bilateral Assistance, MAIN DATA'!I:I,'Price List, Weapons &amp; Items'!B146)</f>
        <v>0</v>
      </c>
      <c r="N146" s="19">
        <f>COUNTIFS('Bilateral Assistance, MAIN DATA'!M:M,"undisclosed",'Bilateral Assistance, MAIN DATA'!I:I,'Price List, Weapons &amp; Items'!B146)</f>
        <v>1</v>
      </c>
      <c r="O146" s="723" t="str">
        <f t="shared" si="15"/>
        <v>no price</v>
      </c>
      <c r="P146" s="19">
        <f>IFERROR(IF(SEARCH(B146,_xlfn.ARRAYTOTEXT('Bilateral Assistance, MAIN DATA'!I$1:I$1622))&gt;0,1,""),0)</f>
        <v>1</v>
      </c>
      <c r="Q146" s="19">
        <f>IFERROR(IF(SEARCH(B146,_xlfn.ARRAYTOTEXT('Commercial Assistance'!I$1:I$1400))&gt;0,1,""),0)</f>
        <v>0</v>
      </c>
      <c r="R146" s="247" t="str">
        <f>IF(SUMIFS('Bilateral Assistance, MAIN DATA'!N:N,'Bilateral Assistance, MAIN DATA'!I:I,'Price List, Weapons &amp; Items'!B146)&gt;M146,1,".")</f>
        <v>.</v>
      </c>
    </row>
    <row r="147" spans="2:18" ht="15" customHeight="1" x14ac:dyDescent="0.3">
      <c r="B147" s="185" t="s">
        <v>1387</v>
      </c>
      <c r="C147" s="113" t="s">
        <v>4034</v>
      </c>
      <c r="D147" s="246" t="s">
        <v>3140</v>
      </c>
      <c r="E147" s="199">
        <v>0</v>
      </c>
      <c r="F147" s="199">
        <f t="shared" si="13"/>
        <v>0</v>
      </c>
      <c r="G147" s="629" t="s">
        <v>260</v>
      </c>
      <c r="H147" s="720" t="str">
        <f t="shared" si="16"/>
        <v>.</v>
      </c>
      <c r="I147" s="249" t="s">
        <v>260</v>
      </c>
      <c r="J147" s="249" t="s">
        <v>260</v>
      </c>
      <c r="K147" s="155" t="s">
        <v>260</v>
      </c>
      <c r="L147" s="247" t="str">
        <f t="shared" si="14"/>
        <v>no price, 0 count</v>
      </c>
      <c r="M147" s="121">
        <f>SUMIFS('Bilateral Assistance, MAIN DATA'!M:M,'Bilateral Assistance, MAIN DATA'!I:I,'Price List, Weapons &amp; Items'!B147)</f>
        <v>0</v>
      </c>
      <c r="N147" s="19">
        <f>COUNTIFS('Bilateral Assistance, MAIN DATA'!M:M,"undisclosed",'Bilateral Assistance, MAIN DATA'!I:I,'Price List, Weapons &amp; Items'!B147)</f>
        <v>1</v>
      </c>
      <c r="O147" s="723" t="str">
        <f t="shared" si="15"/>
        <v>no price</v>
      </c>
      <c r="P147" s="19">
        <f>IFERROR(IF(SEARCH(B147,_xlfn.ARRAYTOTEXT('Bilateral Assistance, MAIN DATA'!I$1:I$1622))&gt;0,1,""),0)</f>
        <v>1</v>
      </c>
      <c r="Q147" s="19">
        <f>IFERROR(IF(SEARCH(B147,_xlfn.ARRAYTOTEXT('Commercial Assistance'!I$1:I$1400))&gt;0,1,""),0)</f>
        <v>0</v>
      </c>
      <c r="R147" s="247" t="str">
        <f>IF(SUMIFS('Bilateral Assistance, MAIN DATA'!N:N,'Bilateral Assistance, MAIN DATA'!I:I,'Price List, Weapons &amp; Items'!B147)&gt;M147,1,".")</f>
        <v>.</v>
      </c>
    </row>
    <row r="148" spans="2:18" ht="15" customHeight="1" x14ac:dyDescent="0.3">
      <c r="B148" s="185" t="s">
        <v>1532</v>
      </c>
      <c r="C148" s="113" t="s">
        <v>4034</v>
      </c>
      <c r="D148" s="113" t="s">
        <v>812</v>
      </c>
      <c r="E148" s="199">
        <v>0</v>
      </c>
      <c r="F148" s="199">
        <f t="shared" si="13"/>
        <v>0</v>
      </c>
      <c r="G148" s="629" t="s">
        <v>260</v>
      </c>
      <c r="H148" s="720" t="str">
        <f t="shared" si="16"/>
        <v>.</v>
      </c>
      <c r="I148" s="249" t="s">
        <v>260</v>
      </c>
      <c r="J148" s="249" t="s">
        <v>260</v>
      </c>
      <c r="K148" s="155" t="s">
        <v>260</v>
      </c>
      <c r="L148" s="247">
        <f t="shared" si="14"/>
        <v>0</v>
      </c>
      <c r="M148" s="121">
        <f>SUMIFS('Bilateral Assistance, MAIN DATA'!M:M,'Bilateral Assistance, MAIN DATA'!I:I,'Price List, Weapons &amp; Items'!B148)</f>
        <v>6</v>
      </c>
      <c r="N148" s="19">
        <f>COUNTIFS('Bilateral Assistance, MAIN DATA'!M:M,"undisclosed",'Bilateral Assistance, MAIN DATA'!I:I,'Price List, Weapons &amp; Items'!B148)</f>
        <v>0</v>
      </c>
      <c r="O148" s="723" t="str">
        <f t="shared" si="15"/>
        <v>no price</v>
      </c>
      <c r="P148" s="19">
        <f>IFERROR(IF(SEARCH(B148,_xlfn.ARRAYTOTEXT('Bilateral Assistance, MAIN DATA'!I$1:I$1622))&gt;0,1,""),0)</f>
        <v>1</v>
      </c>
      <c r="Q148" s="19">
        <f>IFERROR(IF(SEARCH(B148,_xlfn.ARRAYTOTEXT('Commercial Assistance'!I$1:I$1400))&gt;0,1,""),0)</f>
        <v>0</v>
      </c>
      <c r="R148" s="247" t="str">
        <f>IF(SUMIFS('Bilateral Assistance, MAIN DATA'!N:N,'Bilateral Assistance, MAIN DATA'!I:I,'Price List, Weapons &amp; Items'!B148)&gt;M148,1,".")</f>
        <v>.</v>
      </c>
    </row>
    <row r="149" spans="2:18" ht="15" customHeight="1" x14ac:dyDescent="0.3">
      <c r="B149" s="185" t="s">
        <v>1528</v>
      </c>
      <c r="C149" s="113" t="s">
        <v>4034</v>
      </c>
      <c r="D149" s="113" t="s">
        <v>812</v>
      </c>
      <c r="E149" s="199">
        <v>0</v>
      </c>
      <c r="F149" s="199">
        <f t="shared" si="13"/>
        <v>0</v>
      </c>
      <c r="G149" s="629" t="s">
        <v>260</v>
      </c>
      <c r="H149" s="720" t="str">
        <f t="shared" si="16"/>
        <v>.</v>
      </c>
      <c r="I149" s="249" t="s">
        <v>260</v>
      </c>
      <c r="J149" s="249" t="s">
        <v>260</v>
      </c>
      <c r="K149" s="155" t="s">
        <v>260</v>
      </c>
      <c r="L149" s="247">
        <f t="shared" si="14"/>
        <v>0</v>
      </c>
      <c r="M149" s="121">
        <f>SUMIFS('Bilateral Assistance, MAIN DATA'!M:M,'Bilateral Assistance, MAIN DATA'!I:I,'Price List, Weapons &amp; Items'!B149)</f>
        <v>15</v>
      </c>
      <c r="N149" s="19">
        <f>COUNTIFS('Bilateral Assistance, MAIN DATA'!M:M,"undisclosed",'Bilateral Assistance, MAIN DATA'!I:I,'Price List, Weapons &amp; Items'!B149)</f>
        <v>0</v>
      </c>
      <c r="O149" s="723" t="str">
        <f t="shared" si="15"/>
        <v>no price</v>
      </c>
      <c r="P149" s="19">
        <f>IFERROR(IF(SEARCH(B149,_xlfn.ARRAYTOTEXT('Bilateral Assistance, MAIN DATA'!I$1:I$1622))&gt;0,1,""),0)</f>
        <v>1</v>
      </c>
      <c r="Q149" s="19">
        <f>IFERROR(IF(SEARCH(B149,_xlfn.ARRAYTOTEXT('Commercial Assistance'!I$1:I$1400))&gt;0,1,""),0)</f>
        <v>0</v>
      </c>
      <c r="R149" s="247" t="str">
        <f>IF(SUMIFS('Bilateral Assistance, MAIN DATA'!N:N,'Bilateral Assistance, MAIN DATA'!I:I,'Price List, Weapons &amp; Items'!B149)&gt;M149,1,".")</f>
        <v>.</v>
      </c>
    </row>
    <row r="150" spans="2:18" ht="15" customHeight="1" x14ac:dyDescent="0.3">
      <c r="B150" s="185" t="s">
        <v>1514</v>
      </c>
      <c r="C150" s="113" t="s">
        <v>4034</v>
      </c>
      <c r="D150" s="246" t="s">
        <v>3140</v>
      </c>
      <c r="E150" s="199">
        <v>0</v>
      </c>
      <c r="F150" s="199">
        <f t="shared" si="13"/>
        <v>0</v>
      </c>
      <c r="G150" s="629" t="s">
        <v>260</v>
      </c>
      <c r="H150" s="720" t="str">
        <f t="shared" si="16"/>
        <v>.</v>
      </c>
      <c r="I150" s="249" t="s">
        <v>260</v>
      </c>
      <c r="J150" s="249" t="s">
        <v>260</v>
      </c>
      <c r="K150" s="155" t="s">
        <v>260</v>
      </c>
      <c r="L150" s="247">
        <f t="shared" si="14"/>
        <v>0</v>
      </c>
      <c r="M150" s="121">
        <f>SUMIFS('Bilateral Assistance, MAIN DATA'!M:M,'Bilateral Assistance, MAIN DATA'!I:I,'Price List, Weapons &amp; Items'!B150)</f>
        <v>500</v>
      </c>
      <c r="N150" s="19">
        <f>COUNTIFS('Bilateral Assistance, MAIN DATA'!M:M,"undisclosed",'Bilateral Assistance, MAIN DATA'!I:I,'Price List, Weapons &amp; Items'!B150)</f>
        <v>0</v>
      </c>
      <c r="O150" s="723" t="str">
        <f t="shared" si="15"/>
        <v>no price</v>
      </c>
      <c r="P150" s="19">
        <f>IFERROR(IF(SEARCH(B150,_xlfn.ARRAYTOTEXT('Bilateral Assistance, MAIN DATA'!I$1:I$1622))&gt;0,1,""),0)</f>
        <v>1</v>
      </c>
      <c r="Q150" s="19">
        <f>IFERROR(IF(SEARCH(B150,_xlfn.ARRAYTOTEXT('Commercial Assistance'!I$1:I$1400))&gt;0,1,""),0)</f>
        <v>0</v>
      </c>
      <c r="R150" s="247" t="str">
        <f>IF(SUMIFS('Bilateral Assistance, MAIN DATA'!N:N,'Bilateral Assistance, MAIN DATA'!I:I,'Price List, Weapons &amp; Items'!B150)&gt;M150,1,".")</f>
        <v>.</v>
      </c>
    </row>
    <row r="151" spans="2:18" ht="15" customHeight="1" x14ac:dyDescent="0.3">
      <c r="B151" s="185" t="s">
        <v>1470</v>
      </c>
      <c r="C151" s="113" t="s">
        <v>4034</v>
      </c>
      <c r="D151" s="246" t="s">
        <v>3140</v>
      </c>
      <c r="E151" s="199">
        <v>0</v>
      </c>
      <c r="F151" s="199">
        <f t="shared" si="13"/>
        <v>0</v>
      </c>
      <c r="G151" s="629" t="s">
        <v>260</v>
      </c>
      <c r="H151" s="720" t="str">
        <f t="shared" si="16"/>
        <v>.</v>
      </c>
      <c r="I151" s="249" t="s">
        <v>260</v>
      </c>
      <c r="J151" s="249" t="s">
        <v>260</v>
      </c>
      <c r="K151" s="155" t="s">
        <v>260</v>
      </c>
      <c r="L151" s="247" t="str">
        <f t="shared" si="14"/>
        <v>no price, 0 count</v>
      </c>
      <c r="M151" s="121">
        <f>SUMIFS('Bilateral Assistance, MAIN DATA'!M:M,'Bilateral Assistance, MAIN DATA'!I:I,'Price List, Weapons &amp; Items'!B151)</f>
        <v>0</v>
      </c>
      <c r="N151" s="19">
        <f>COUNTIFS('Bilateral Assistance, MAIN DATA'!M:M,"undisclosed",'Bilateral Assistance, MAIN DATA'!I:I,'Price List, Weapons &amp; Items'!B151)</f>
        <v>1</v>
      </c>
      <c r="O151" s="723" t="str">
        <f t="shared" si="15"/>
        <v>no price</v>
      </c>
      <c r="P151" s="19">
        <f>IFERROR(IF(SEARCH(B151,_xlfn.ARRAYTOTEXT('Bilateral Assistance, MAIN DATA'!I$1:I$1622))&gt;0,1,""),0)</f>
        <v>1</v>
      </c>
      <c r="Q151" s="19">
        <f>IFERROR(IF(SEARCH(B151,_xlfn.ARRAYTOTEXT('Commercial Assistance'!I$1:I$1400))&gt;0,1,""),0)</f>
        <v>0</v>
      </c>
      <c r="R151" s="247" t="str">
        <f>IF(SUMIFS('Bilateral Assistance, MAIN DATA'!N:N,'Bilateral Assistance, MAIN DATA'!I:I,'Price List, Weapons &amp; Items'!B151)&gt;M151,1,".")</f>
        <v>.</v>
      </c>
    </row>
    <row r="152" spans="2:18" ht="15" customHeight="1" x14ac:dyDescent="0.3">
      <c r="B152" s="175" t="s">
        <v>1931</v>
      </c>
      <c r="C152" s="113" t="s">
        <v>3945</v>
      </c>
      <c r="D152" s="246" t="s">
        <v>4059</v>
      </c>
      <c r="E152" s="199">
        <v>0</v>
      </c>
      <c r="F152" s="199">
        <f t="shared" si="13"/>
        <v>0</v>
      </c>
      <c r="G152" s="629">
        <f>370000*1.181*1.06</f>
        <v>463188.2</v>
      </c>
      <c r="H152" s="720" t="s">
        <v>346</v>
      </c>
      <c r="I152" s="819" t="s">
        <v>4188</v>
      </c>
      <c r="J152" s="155" t="s">
        <v>3967</v>
      </c>
      <c r="K152" s="155" t="s">
        <v>4189</v>
      </c>
      <c r="L152" s="247">
        <f t="shared" si="14"/>
        <v>2</v>
      </c>
      <c r="M152" s="121">
        <f>SUMIFS('Bilateral Assistance, MAIN DATA'!M:M,'Bilateral Assistance, MAIN DATA'!I:I,'Price List, Weapons &amp; Items'!B152)</f>
        <v>10</v>
      </c>
      <c r="N152" s="19">
        <f>COUNTIFS('Bilateral Assistance, MAIN DATA'!M:M,"undisclosed",'Bilateral Assistance, MAIN DATA'!I:I,'Price List, Weapons &amp; Items'!B152)</f>
        <v>1</v>
      </c>
      <c r="O152" s="723">
        <f t="shared" si="15"/>
        <v>4631882</v>
      </c>
      <c r="P152" s="19">
        <f>IFERROR(IF(SEARCH(B152,_xlfn.ARRAYTOTEXT('Bilateral Assistance, MAIN DATA'!I$1:I$1622))&gt;0,1,""),0)</f>
        <v>1</v>
      </c>
      <c r="Q152" s="19">
        <f>IFERROR(IF(SEARCH(B152,_xlfn.ARRAYTOTEXT('Commercial Assistance'!I$1:I$1400))&gt;0,1,""),0)</f>
        <v>0</v>
      </c>
      <c r="R152" s="247" t="str">
        <f>IF(SUMIFS('Bilateral Assistance, MAIN DATA'!N:N,'Bilateral Assistance, MAIN DATA'!I:I,'Price List, Weapons &amp; Items'!B152)&gt;M152,1,".")</f>
        <v>.</v>
      </c>
    </row>
    <row r="153" spans="2:18" ht="15" customHeight="1" x14ac:dyDescent="0.3">
      <c r="B153" s="188" t="s">
        <v>1345</v>
      </c>
      <c r="C153" s="113" t="s">
        <v>812</v>
      </c>
      <c r="D153" s="246" t="s">
        <v>4190</v>
      </c>
      <c r="E153" s="199">
        <v>0</v>
      </c>
      <c r="F153" s="199">
        <f t="shared" si="13"/>
        <v>0</v>
      </c>
      <c r="G153" s="629">
        <v>350000</v>
      </c>
      <c r="H153" s="720" t="s">
        <v>346</v>
      </c>
      <c r="I153" s="820" t="s">
        <v>4191</v>
      </c>
      <c r="J153" s="155" t="s">
        <v>3964</v>
      </c>
      <c r="K153" s="253" t="s">
        <v>4192</v>
      </c>
      <c r="L153" s="247">
        <f t="shared" si="14"/>
        <v>2</v>
      </c>
      <c r="M153" s="121">
        <f>SUMIFS('Bilateral Assistance, MAIN DATA'!M:M,'Bilateral Assistance, MAIN DATA'!I:I,'Price List, Weapons &amp; Items'!B153)</f>
        <v>500</v>
      </c>
      <c r="N153" s="19">
        <f>COUNTIFS('Bilateral Assistance, MAIN DATA'!M:M,"undisclosed",'Bilateral Assistance, MAIN DATA'!I:I,'Price List, Weapons &amp; Items'!B153)</f>
        <v>0</v>
      </c>
      <c r="O153" s="723">
        <f t="shared" si="15"/>
        <v>175000000</v>
      </c>
      <c r="P153" s="19">
        <f>IFERROR(IF(SEARCH(B153,_xlfn.ARRAYTOTEXT('Bilateral Assistance, MAIN DATA'!I$1:I$1622))&gt;0,1,""),0)</f>
        <v>1</v>
      </c>
      <c r="Q153" s="19">
        <f>IFERROR(IF(SEARCH(B153,_xlfn.ARRAYTOTEXT('Commercial Assistance'!I$1:I$1400))&gt;0,1,""),0)</f>
        <v>0</v>
      </c>
      <c r="R153" s="247" t="str">
        <f>IF(SUMIFS('Bilateral Assistance, MAIN DATA'!N:N,'Bilateral Assistance, MAIN DATA'!I:I,'Price List, Weapons &amp; Items'!B153)&gt;M153,1,".")</f>
        <v>.</v>
      </c>
    </row>
    <row r="154" spans="2:18" ht="15" customHeight="1" x14ac:dyDescent="0.3">
      <c r="B154" s="188" t="s">
        <v>2039</v>
      </c>
      <c r="C154" s="113" t="s">
        <v>812</v>
      </c>
      <c r="D154" s="246" t="s">
        <v>4190</v>
      </c>
      <c r="E154" s="199">
        <v>0</v>
      </c>
      <c r="F154" s="199">
        <f t="shared" si="13"/>
        <v>0</v>
      </c>
      <c r="G154" s="629">
        <f>AVERAGE(15000,35000)</f>
        <v>25000</v>
      </c>
      <c r="H154" s="720" t="s">
        <v>346</v>
      </c>
      <c r="I154" s="820" t="s">
        <v>4193</v>
      </c>
      <c r="J154" s="155" t="s">
        <v>3971</v>
      </c>
      <c r="K154" s="253" t="s">
        <v>4194</v>
      </c>
      <c r="L154" s="247">
        <f t="shared" si="14"/>
        <v>2</v>
      </c>
      <c r="M154" s="121">
        <f>SUMIFS('Bilateral Assistance, MAIN DATA'!M:M,'Bilateral Assistance, MAIN DATA'!I:I,'Price List, Weapons &amp; Items'!B154)</f>
        <v>147</v>
      </c>
      <c r="N154" s="19">
        <f>COUNTIFS('Bilateral Assistance, MAIN DATA'!M:M,"undisclosed",'Bilateral Assistance, MAIN DATA'!I:I,'Price List, Weapons &amp; Items'!B154)</f>
        <v>0</v>
      </c>
      <c r="O154" s="723">
        <f t="shared" si="15"/>
        <v>3675000</v>
      </c>
      <c r="P154" s="19">
        <f>IFERROR(IF(SEARCH(B154,_xlfn.ARRAYTOTEXT('Bilateral Assistance, MAIN DATA'!I$1:I$1622))&gt;0,1,""),0)</f>
        <v>1</v>
      </c>
      <c r="Q154" s="19">
        <f>IFERROR(IF(SEARCH(B154,_xlfn.ARRAYTOTEXT('Commercial Assistance'!I$1:I$1400))&gt;0,1,""),0)</f>
        <v>0</v>
      </c>
      <c r="R154" s="247" t="str">
        <f>IF(SUMIFS('Bilateral Assistance, MAIN DATA'!N:N,'Bilateral Assistance, MAIN DATA'!I:I,'Price List, Weapons &amp; Items'!B154)&gt;M154,1,".")</f>
        <v>.</v>
      </c>
    </row>
    <row r="155" spans="2:18" ht="15" customHeight="1" x14ac:dyDescent="0.3">
      <c r="B155" s="185" t="s">
        <v>1434</v>
      </c>
      <c r="C155" s="113" t="s">
        <v>812</v>
      </c>
      <c r="D155" s="246" t="s">
        <v>4040</v>
      </c>
      <c r="E155" s="199">
        <v>0</v>
      </c>
      <c r="F155" s="199">
        <f t="shared" si="13"/>
        <v>1</v>
      </c>
      <c r="G155" s="629">
        <v>120000</v>
      </c>
      <c r="H155" s="720" t="s">
        <v>346</v>
      </c>
      <c r="I155" s="821" t="s">
        <v>4195</v>
      </c>
      <c r="J155" s="155" t="s">
        <v>3971</v>
      </c>
      <c r="K155" s="155" t="s">
        <v>4196</v>
      </c>
      <c r="L155" s="247">
        <f t="shared" si="14"/>
        <v>1</v>
      </c>
      <c r="M155" s="121">
        <f>SUMIFS('Bilateral Assistance, MAIN DATA'!M:M,'Bilateral Assistance, MAIN DATA'!I:I,'Price List, Weapons &amp; Items'!B155)</f>
        <v>14</v>
      </c>
      <c r="N155" s="19">
        <f>COUNTIFS('Bilateral Assistance, MAIN DATA'!M:M,"undisclosed",'Bilateral Assistance, MAIN DATA'!I:I,'Price List, Weapons &amp; Items'!B155)</f>
        <v>0</v>
      </c>
      <c r="O155" s="723">
        <f t="shared" si="15"/>
        <v>1680000</v>
      </c>
      <c r="P155" s="19">
        <f>IFERROR(IF(SEARCH(B155,_xlfn.ARRAYTOTEXT('Bilateral Assistance, MAIN DATA'!I$1:I$1622))&gt;0,1,""),0)</f>
        <v>1</v>
      </c>
      <c r="Q155" s="19">
        <f>IFERROR(IF(SEARCH(B155,_xlfn.ARRAYTOTEXT('Commercial Assistance'!I$1:I$1400))&gt;0,1,""),0)</f>
        <v>0</v>
      </c>
      <c r="R155" s="247" t="str">
        <f>IF(SUMIFS('Bilateral Assistance, MAIN DATA'!N:N,'Bilateral Assistance, MAIN DATA'!I:I,'Price List, Weapons &amp; Items'!B155)&gt;M155,1,".")</f>
        <v>.</v>
      </c>
    </row>
    <row r="156" spans="2:18" ht="15" customHeight="1" x14ac:dyDescent="0.3">
      <c r="B156" s="175" t="s">
        <v>2524</v>
      </c>
      <c r="C156" s="113" t="s">
        <v>3945</v>
      </c>
      <c r="D156" s="440" t="s">
        <v>4197</v>
      </c>
      <c r="E156" s="199">
        <v>1</v>
      </c>
      <c r="F156" s="199">
        <f t="shared" si="13"/>
        <v>0</v>
      </c>
      <c r="G156" s="629">
        <v>208817599.13</v>
      </c>
      <c r="H156" s="720" t="str">
        <f>IF(G156&lt;&gt;".","USD",".")</f>
        <v>USD</v>
      </c>
      <c r="I156" s="826" t="s">
        <v>3958</v>
      </c>
      <c r="J156" s="155" t="s">
        <v>3959</v>
      </c>
      <c r="K156" s="155" t="s">
        <v>4033</v>
      </c>
      <c r="L156" s="247">
        <f t="shared" si="14"/>
        <v>2</v>
      </c>
      <c r="M156" s="121">
        <f>SUMIFS('Bilateral Assistance, MAIN DATA'!M:M,'Bilateral Assistance, MAIN DATA'!I:I,'Price List, Weapons &amp; Items'!B156)</f>
        <v>1</v>
      </c>
      <c r="N156" s="19">
        <f>COUNTIFS('Bilateral Assistance, MAIN DATA'!M:M,"undisclosed",'Bilateral Assistance, MAIN DATA'!I:I,'Price List, Weapons &amp; Items'!B156)</f>
        <v>0</v>
      </c>
      <c r="O156" s="723">
        <f t="shared" si="15"/>
        <v>208817599.13</v>
      </c>
      <c r="P156" s="19">
        <f>IFERROR(IF(SEARCH(B156,_xlfn.ARRAYTOTEXT('Bilateral Assistance, MAIN DATA'!I$1:I$1622))&gt;0,1,""),0)</f>
        <v>1</v>
      </c>
      <c r="Q156" s="19">
        <f>IFERROR(IF(SEARCH(B156,_xlfn.ARRAYTOTEXT('Commercial Assistance'!I$1:I$1400))&gt;0,1,""),0)</f>
        <v>0</v>
      </c>
      <c r="R156" s="247" t="str">
        <f>IF(SUMIFS('Bilateral Assistance, MAIN DATA'!N:N,'Bilateral Assistance, MAIN DATA'!I:I,'Price List, Weapons &amp; Items'!B156)&gt;M156,1,".")</f>
        <v>.</v>
      </c>
    </row>
    <row r="157" spans="2:18" ht="15" customHeight="1" x14ac:dyDescent="0.3">
      <c r="B157" s="185" t="s">
        <v>1372</v>
      </c>
      <c r="C157" s="113" t="s">
        <v>3945</v>
      </c>
      <c r="D157" s="246" t="s">
        <v>4198</v>
      </c>
      <c r="E157" s="199">
        <v>0</v>
      </c>
      <c r="F157" s="199">
        <f t="shared" si="13"/>
        <v>0</v>
      </c>
      <c r="G157" s="629">
        <f>140000000*VLOOKUP("USD",'Exchange Rates'!B:C,2,0)</f>
        <v>147000000</v>
      </c>
      <c r="H157" s="720" t="s">
        <v>346</v>
      </c>
      <c r="I157" s="820" t="s">
        <v>4199</v>
      </c>
      <c r="J157" s="155" t="s">
        <v>3964</v>
      </c>
      <c r="K157" s="253" t="s">
        <v>4200</v>
      </c>
      <c r="L157" s="247">
        <f t="shared" si="14"/>
        <v>2</v>
      </c>
      <c r="M157" s="121">
        <f>SUMIFS('Bilateral Assistance, MAIN DATA'!M:M,'Bilateral Assistance, MAIN DATA'!I:I,'Price List, Weapons &amp; Items'!B157)</f>
        <v>4</v>
      </c>
      <c r="N157" s="19">
        <f>COUNTIFS('Bilateral Assistance, MAIN DATA'!M:M,"undisclosed",'Bilateral Assistance, MAIN DATA'!I:I,'Price List, Weapons &amp; Items'!B157)</f>
        <v>0</v>
      </c>
      <c r="O157" s="723">
        <f t="shared" si="15"/>
        <v>588000000</v>
      </c>
      <c r="P157" s="19">
        <f>IFERROR(IF(SEARCH(B157,_xlfn.ARRAYTOTEXT('Bilateral Assistance, MAIN DATA'!I$1:I$1622))&gt;0,1,""),0)</f>
        <v>1</v>
      </c>
      <c r="Q157" s="19">
        <f>IFERROR(IF(SEARCH(B157,_xlfn.ARRAYTOTEXT('Commercial Assistance'!I$1:I$1400))&gt;0,1,""),0)</f>
        <v>0</v>
      </c>
      <c r="R157" s="247" t="str">
        <f>IF(SUMIFS('Bilateral Assistance, MAIN DATA'!N:N,'Bilateral Assistance, MAIN DATA'!I:I,'Price List, Weapons &amp; Items'!B157)&gt;M157,1,".")</f>
        <v>.</v>
      </c>
    </row>
    <row r="158" spans="2:18" ht="15" customHeight="1" x14ac:dyDescent="0.3">
      <c r="B158" s="19" t="s">
        <v>2977</v>
      </c>
      <c r="C158" s="17" t="s">
        <v>3945</v>
      </c>
      <c r="D158" s="246" t="s">
        <v>3991</v>
      </c>
      <c r="E158" s="199">
        <v>0</v>
      </c>
      <c r="F158" s="199">
        <f t="shared" si="13"/>
        <v>0</v>
      </c>
      <c r="G158" s="629">
        <v>87000000</v>
      </c>
      <c r="H158" s="720" t="str">
        <f>IF(G158&lt;&gt;".","USD",".")</f>
        <v>USD</v>
      </c>
      <c r="I158" s="826" t="s">
        <v>3958</v>
      </c>
      <c r="J158" s="155" t="s">
        <v>3959</v>
      </c>
      <c r="K158" s="155" t="s">
        <v>4201</v>
      </c>
      <c r="L158" s="247">
        <f t="shared" si="14"/>
        <v>2</v>
      </c>
      <c r="M158" s="121">
        <f>SUMIFS('Bilateral Assistance, MAIN DATA'!M:M,'Bilateral Assistance, MAIN DATA'!I:I,'Price List, Weapons &amp; Items'!B158)</f>
        <v>2</v>
      </c>
      <c r="N158" s="19">
        <f>COUNTIFS('Bilateral Assistance, MAIN DATA'!M:M,"undisclosed",'Bilateral Assistance, MAIN DATA'!I:I,'Price List, Weapons &amp; Items'!B158)</f>
        <v>0</v>
      </c>
      <c r="O158" s="723">
        <f t="shared" si="15"/>
        <v>174000000</v>
      </c>
      <c r="P158" s="19">
        <f>IFERROR(IF(SEARCH(B158,_xlfn.ARRAYTOTEXT('Bilateral Assistance, MAIN DATA'!I$1:I$1622))&gt;0,1,""),0)</f>
        <v>1</v>
      </c>
      <c r="Q158" s="19">
        <f>IFERROR(IF(SEARCH(B158,_xlfn.ARRAYTOTEXT('Commercial Assistance'!I$1:I$1400))&gt;0,1,""),0)</f>
        <v>0</v>
      </c>
      <c r="R158" s="247" t="str">
        <f>IF(SUMIFS('Bilateral Assistance, MAIN DATA'!N:N,'Bilateral Assistance, MAIN DATA'!I:I,'Price List, Weapons &amp; Items'!B158)&gt;M158,1,".")</f>
        <v>.</v>
      </c>
    </row>
    <row r="159" spans="2:18" ht="15" customHeight="1" x14ac:dyDescent="0.3">
      <c r="B159" s="188" t="s">
        <v>4202</v>
      </c>
      <c r="C159" s="113" t="s">
        <v>812</v>
      </c>
      <c r="D159" s="113" t="s">
        <v>812</v>
      </c>
      <c r="E159" s="199">
        <v>0</v>
      </c>
      <c r="F159" s="199">
        <f t="shared" si="13"/>
        <v>0</v>
      </c>
      <c r="G159" s="629">
        <v>70000000</v>
      </c>
      <c r="H159" s="720" t="str">
        <f>IF(G159&lt;&gt;".","USD",".")</f>
        <v>USD</v>
      </c>
      <c r="I159" s="821" t="s">
        <v>4203</v>
      </c>
      <c r="J159" s="155" t="s">
        <v>3967</v>
      </c>
      <c r="K159" s="155" t="s">
        <v>4204</v>
      </c>
      <c r="L159" s="247">
        <f t="shared" si="14"/>
        <v>2</v>
      </c>
      <c r="M159" s="121">
        <f>SUMIFS('Bilateral Assistance, MAIN DATA'!M:M,'Bilateral Assistance, MAIN DATA'!I:I,'Price List, Weapons &amp; Items'!B159)</f>
        <v>2</v>
      </c>
      <c r="N159" s="19">
        <f>COUNTIFS('Bilateral Assistance, MAIN DATA'!M:M,"undisclosed",'Bilateral Assistance, MAIN DATA'!I:I,'Price List, Weapons &amp; Items'!B159)</f>
        <v>0</v>
      </c>
      <c r="O159" s="723">
        <f t="shared" si="15"/>
        <v>140000000</v>
      </c>
      <c r="P159" s="19">
        <f>IFERROR(IF(SEARCH(B159,_xlfn.ARRAYTOTEXT('Bilateral Assistance, MAIN DATA'!I$1:I$1622))&gt;0,1,""),0)</f>
        <v>1</v>
      </c>
      <c r="Q159" s="19">
        <f>IFERROR(IF(SEARCH(B159,_xlfn.ARRAYTOTEXT('Commercial Assistance'!I$1:I$1400))&gt;0,1,""),0)</f>
        <v>0</v>
      </c>
      <c r="R159" s="247" t="str">
        <f>IF(SUMIFS('Bilateral Assistance, MAIN DATA'!N:N,'Bilateral Assistance, MAIN DATA'!I:I,'Price List, Weapons &amp; Items'!B159)&gt;M159,1,".")</f>
        <v>.</v>
      </c>
    </row>
    <row r="160" spans="2:18" ht="15" customHeight="1" x14ac:dyDescent="0.3">
      <c r="B160" s="188" t="s">
        <v>3102</v>
      </c>
      <c r="C160" s="113" t="s">
        <v>812</v>
      </c>
      <c r="D160" s="113" t="s">
        <v>812</v>
      </c>
      <c r="E160" s="199">
        <v>0</v>
      </c>
      <c r="F160" s="199">
        <f t="shared" si="13"/>
        <v>0</v>
      </c>
      <c r="G160" s="629">
        <v>70000000</v>
      </c>
      <c r="H160" s="720" t="str">
        <f>IF(G160&lt;&gt;".","USD",".")</f>
        <v>USD</v>
      </c>
      <c r="I160" s="821" t="s">
        <v>4203</v>
      </c>
      <c r="J160" s="155" t="s">
        <v>3967</v>
      </c>
      <c r="K160" s="155" t="s">
        <v>4205</v>
      </c>
      <c r="L160" s="247">
        <f t="shared" si="14"/>
        <v>2</v>
      </c>
      <c r="M160" s="121">
        <f>SUMIFS('Bilateral Assistance, MAIN DATA'!M:M,'Bilateral Assistance, MAIN DATA'!I:I,'Price List, Weapons &amp; Items'!B160)</f>
        <v>2</v>
      </c>
      <c r="N160" s="19">
        <f>COUNTIFS('Bilateral Assistance, MAIN DATA'!M:M,"undisclosed",'Bilateral Assistance, MAIN DATA'!I:I,'Price List, Weapons &amp; Items'!B160)</f>
        <v>0</v>
      </c>
      <c r="O160" s="723">
        <f t="shared" si="15"/>
        <v>140000000</v>
      </c>
      <c r="P160" s="19">
        <f>IFERROR(IF(SEARCH(B160,_xlfn.ARRAYTOTEXT('Bilateral Assistance, MAIN DATA'!I$1:I$1622))&gt;0,1,""),0)</f>
        <v>1</v>
      </c>
      <c r="Q160" s="19">
        <f>IFERROR(IF(SEARCH(B160,_xlfn.ARRAYTOTEXT('Commercial Assistance'!I$1:I$1400))&gt;0,1,""),0)</f>
        <v>0</v>
      </c>
      <c r="R160" s="247" t="str">
        <f>IF(SUMIFS('Bilateral Assistance, MAIN DATA'!N:N,'Bilateral Assistance, MAIN DATA'!I:I,'Price List, Weapons &amp; Items'!B160)&gt;M160,1,".")</f>
        <v>.</v>
      </c>
    </row>
    <row r="161" spans="2:18" ht="15" customHeight="1" x14ac:dyDescent="0.3">
      <c r="B161" s="448" t="s">
        <v>4206</v>
      </c>
      <c r="C161" s="113" t="s">
        <v>812</v>
      </c>
      <c r="D161" s="113" t="s">
        <v>812</v>
      </c>
      <c r="E161" s="199">
        <v>0</v>
      </c>
      <c r="F161" s="199">
        <f t="shared" si="13"/>
        <v>0</v>
      </c>
      <c r="G161" s="629">
        <v>19354990.843713053</v>
      </c>
      <c r="H161" s="720" t="s">
        <v>346</v>
      </c>
      <c r="I161" s="826" t="s">
        <v>3958</v>
      </c>
      <c r="J161" s="155" t="s">
        <v>3967</v>
      </c>
      <c r="K161" s="253" t="s">
        <v>4207</v>
      </c>
      <c r="L161" s="247">
        <f t="shared" si="14"/>
        <v>2</v>
      </c>
      <c r="M161" s="121">
        <f>SUMIFS('Bilateral Assistance, MAIN DATA'!M:M,'Bilateral Assistance, MAIN DATA'!I:I,'Price List, Weapons &amp; Items'!B161)</f>
        <v>5</v>
      </c>
      <c r="N161" s="19">
        <f>COUNTIFS('Bilateral Assistance, MAIN DATA'!M:M,"undisclosed",'Bilateral Assistance, MAIN DATA'!I:I,'Price List, Weapons &amp; Items'!B161)</f>
        <v>0</v>
      </c>
      <c r="O161" s="723">
        <f t="shared" si="15"/>
        <v>96774954.218565255</v>
      </c>
      <c r="P161" s="19">
        <f>IFERROR(IF(SEARCH(B161,_xlfn.ARRAYTOTEXT('Bilateral Assistance, MAIN DATA'!I$1:I$1622))&gt;0,1,""),0)</f>
        <v>1</v>
      </c>
      <c r="Q161" s="19">
        <f>IFERROR(IF(SEARCH(B161,_xlfn.ARRAYTOTEXT('Commercial Assistance'!I$1:I$1400))&gt;0,1,""),0)</f>
        <v>0</v>
      </c>
      <c r="R161" s="247" t="str">
        <f>IF(SUMIFS('Bilateral Assistance, MAIN DATA'!N:N,'Bilateral Assistance, MAIN DATA'!I:I,'Price List, Weapons &amp; Items'!B161)&gt;M161,1,".")</f>
        <v>.</v>
      </c>
    </row>
    <row r="162" spans="2:18" ht="15" customHeight="1" x14ac:dyDescent="0.3">
      <c r="B162" s="175" t="s">
        <v>649</v>
      </c>
      <c r="C162" s="113" t="s">
        <v>3945</v>
      </c>
      <c r="D162" s="113" t="s">
        <v>3651</v>
      </c>
      <c r="E162" s="15">
        <v>0</v>
      </c>
      <c r="F162" s="199">
        <f t="shared" si="13"/>
        <v>0</v>
      </c>
      <c r="G162" s="629">
        <v>50000000</v>
      </c>
      <c r="H162" s="720" t="str">
        <f t="shared" ref="H162:H173" si="17">IF(G162&lt;&gt;".","USD",".")</f>
        <v>USD</v>
      </c>
      <c r="I162" s="831" t="s">
        <v>4208</v>
      </c>
      <c r="J162" s="155" t="s">
        <v>3967</v>
      </c>
      <c r="K162" s="155" t="s">
        <v>4209</v>
      </c>
      <c r="L162" s="247">
        <f t="shared" si="14"/>
        <v>2</v>
      </c>
      <c r="M162" s="121">
        <f>SUMIFS('Bilateral Assistance, MAIN DATA'!M:M,'Bilateral Assistance, MAIN DATA'!I:I,'Price List, Weapons &amp; Items'!B162)</f>
        <v>9</v>
      </c>
      <c r="N162" s="19">
        <f>COUNTIFS('Bilateral Assistance, MAIN DATA'!M:M,"undisclosed",'Bilateral Assistance, MAIN DATA'!I:I,'Price List, Weapons &amp; Items'!B162)</f>
        <v>0</v>
      </c>
      <c r="O162" s="723">
        <f t="shared" si="15"/>
        <v>450000000</v>
      </c>
      <c r="P162" s="19">
        <f>IFERROR(IF(SEARCH(B162,_xlfn.ARRAYTOTEXT('Bilateral Assistance, MAIN DATA'!I$1:I$1622))&gt;0,1,""),0)</f>
        <v>1</v>
      </c>
      <c r="Q162" s="19">
        <f>IFERROR(IF(SEARCH(B162,_xlfn.ARRAYTOTEXT('Commercial Assistance'!I$1:I$1400))&gt;0,1,""),0)</f>
        <v>0</v>
      </c>
      <c r="R162" s="247" t="str">
        <f>IF(SUMIFS('Bilateral Assistance, MAIN DATA'!N:N,'Bilateral Assistance, MAIN DATA'!I:I,'Price List, Weapons &amp; Items'!B162)&gt;M162,1,".")</f>
        <v>.</v>
      </c>
    </row>
    <row r="163" spans="2:18" ht="15" customHeight="1" x14ac:dyDescent="0.3">
      <c r="B163" s="188" t="s">
        <v>3369</v>
      </c>
      <c r="C163" s="113" t="s">
        <v>3945</v>
      </c>
      <c r="D163" s="246" t="s">
        <v>4006</v>
      </c>
      <c r="E163" s="199">
        <v>0</v>
      </c>
      <c r="F163" s="199">
        <f t="shared" si="13"/>
        <v>0</v>
      </c>
      <c r="G163" s="629">
        <v>39916727.899999999</v>
      </c>
      <c r="H163" s="720" t="str">
        <f t="shared" si="17"/>
        <v>USD</v>
      </c>
      <c r="I163" s="832" t="s">
        <v>4210</v>
      </c>
      <c r="J163" s="155" t="s">
        <v>3967</v>
      </c>
      <c r="K163" s="155" t="s">
        <v>4211</v>
      </c>
      <c r="L163" s="247">
        <f t="shared" si="14"/>
        <v>2</v>
      </c>
      <c r="M163" s="121">
        <f>SUMIFS('Bilateral Assistance, MAIN DATA'!M:M,'Bilateral Assistance, MAIN DATA'!I:I,'Price List, Weapons &amp; Items'!B163)</f>
        <v>58</v>
      </c>
      <c r="N163" s="19">
        <f>COUNTIFS('Bilateral Assistance, MAIN DATA'!M:M,"undisclosed",'Bilateral Assistance, MAIN DATA'!I:I,'Price List, Weapons &amp; Items'!B163)</f>
        <v>0</v>
      </c>
      <c r="O163" s="723">
        <f t="shared" si="15"/>
        <v>2315170218.1999998</v>
      </c>
      <c r="P163" s="19">
        <f>IFERROR(IF(SEARCH(B163,_xlfn.ARRAYTOTEXT('Bilateral Assistance, MAIN DATA'!I$1:I$1622))&gt;0,1,""),0)</f>
        <v>1</v>
      </c>
      <c r="Q163" s="19">
        <f>IFERROR(IF(SEARCH(B163,_xlfn.ARRAYTOTEXT('Commercial Assistance'!I$1:I$1400))&gt;0,1,""),0)</f>
        <v>0</v>
      </c>
      <c r="R163" s="247" t="str">
        <f>IF(SUMIFS('Bilateral Assistance, MAIN DATA'!N:N,'Bilateral Assistance, MAIN DATA'!I:I,'Price List, Weapons &amp; Items'!B163)&gt;M163,1,".")</f>
        <v>.</v>
      </c>
    </row>
    <row r="164" spans="2:18" ht="15" customHeight="1" x14ac:dyDescent="0.3">
      <c r="B164" s="175" t="s">
        <v>906</v>
      </c>
      <c r="C164" s="113" t="s">
        <v>3945</v>
      </c>
      <c r="D164" s="113" t="s">
        <v>4212</v>
      </c>
      <c r="E164" s="15">
        <v>0</v>
      </c>
      <c r="F164" s="199">
        <f t="shared" si="13"/>
        <v>0</v>
      </c>
      <c r="G164" s="629">
        <v>35411360.630000003</v>
      </c>
      <c r="H164" s="720" t="str">
        <f t="shared" si="17"/>
        <v>USD</v>
      </c>
      <c r="I164" s="820" t="s">
        <v>4213</v>
      </c>
      <c r="J164" s="155" t="s">
        <v>4008</v>
      </c>
      <c r="K164" s="155" t="s">
        <v>4214</v>
      </c>
      <c r="L164" s="247">
        <f t="shared" si="14"/>
        <v>2</v>
      </c>
      <c r="M164" s="121">
        <f>SUMIFS('Bilateral Assistance, MAIN DATA'!M:M,'Bilateral Assistance, MAIN DATA'!I:I,'Price List, Weapons &amp; Items'!B164)</f>
        <v>3</v>
      </c>
      <c r="N164" s="19">
        <f>COUNTIFS('Bilateral Assistance, MAIN DATA'!M:M,"undisclosed",'Bilateral Assistance, MAIN DATA'!I:I,'Price List, Weapons &amp; Items'!B164)</f>
        <v>0</v>
      </c>
      <c r="O164" s="723">
        <f t="shared" si="15"/>
        <v>106234081.89000002</v>
      </c>
      <c r="P164" s="19">
        <f>IFERROR(IF(SEARCH(B164,_xlfn.ARRAYTOTEXT('Bilateral Assistance, MAIN DATA'!I$1:I$1622))&gt;0,1,""),0)</f>
        <v>1</v>
      </c>
      <c r="Q164" s="19">
        <f>IFERROR(IF(SEARCH(B164,_xlfn.ARRAYTOTEXT('Commercial Assistance'!I$1:I$1400))&gt;0,1,""),0)</f>
        <v>0</v>
      </c>
      <c r="R164" s="247" t="str">
        <f>IF(SUMIFS('Bilateral Assistance, MAIN DATA'!N:N,'Bilateral Assistance, MAIN DATA'!I:I,'Price List, Weapons &amp; Items'!B164)&gt;M164,1,".")</f>
        <v>.</v>
      </c>
    </row>
    <row r="165" spans="2:18" ht="15" customHeight="1" x14ac:dyDescent="0.3">
      <c r="B165" s="175" t="s">
        <v>1905</v>
      </c>
      <c r="C165" s="113" t="s">
        <v>3954</v>
      </c>
      <c r="D165" s="246" t="s">
        <v>4215</v>
      </c>
      <c r="E165" s="199">
        <v>1</v>
      </c>
      <c r="F165" s="199">
        <f t="shared" si="13"/>
        <v>0</v>
      </c>
      <c r="G165" s="629">
        <v>18400000</v>
      </c>
      <c r="H165" s="720" t="str">
        <f t="shared" si="17"/>
        <v>USD</v>
      </c>
      <c r="I165" s="833" t="s">
        <v>4216</v>
      </c>
      <c r="J165" s="155" t="s">
        <v>3964</v>
      </c>
      <c r="K165" s="155" t="s">
        <v>4217</v>
      </c>
      <c r="L165" s="247">
        <f t="shared" si="14"/>
        <v>2</v>
      </c>
      <c r="M165" s="121">
        <f>SUMIFS('Bilateral Assistance, MAIN DATA'!M:M,'Bilateral Assistance, MAIN DATA'!I:I,'Price List, Weapons &amp; Items'!B165)</f>
        <v>21</v>
      </c>
      <c r="N165" s="19">
        <f>COUNTIFS('Bilateral Assistance, MAIN DATA'!M:M,"undisclosed",'Bilateral Assistance, MAIN DATA'!I:I,'Price List, Weapons &amp; Items'!B165)</f>
        <v>0</v>
      </c>
      <c r="O165" s="723">
        <f t="shared" si="15"/>
        <v>386400000</v>
      </c>
      <c r="P165" s="19">
        <f>IFERROR(IF(SEARCH(B165,_xlfn.ARRAYTOTEXT('Bilateral Assistance, MAIN DATA'!I$1:I$1622))&gt;0,1,""),0)</f>
        <v>1</v>
      </c>
      <c r="Q165" s="19">
        <f>IFERROR(IF(SEARCH(B165,_xlfn.ARRAYTOTEXT('Commercial Assistance'!I$1:I$1400))&gt;0,1,""),0)</f>
        <v>0</v>
      </c>
      <c r="R165" s="247" t="str">
        <f>IF(SUMIFS('Bilateral Assistance, MAIN DATA'!N:N,'Bilateral Assistance, MAIN DATA'!I:I,'Price List, Weapons &amp; Items'!B165)&gt;M165,1,".")</f>
        <v>.</v>
      </c>
    </row>
    <row r="166" spans="2:18" ht="15" customHeight="1" x14ac:dyDescent="0.3">
      <c r="B166" s="17" t="s">
        <v>1477</v>
      </c>
      <c r="C166" s="113" t="s">
        <v>3945</v>
      </c>
      <c r="D166" s="246" t="s">
        <v>3401</v>
      </c>
      <c r="E166" s="199">
        <v>0</v>
      </c>
      <c r="F166" s="199">
        <f t="shared" si="13"/>
        <v>1</v>
      </c>
      <c r="G166" s="629">
        <v>13778907.188501142</v>
      </c>
      <c r="H166" s="720" t="str">
        <f t="shared" si="17"/>
        <v>USD</v>
      </c>
      <c r="I166" s="819" t="s">
        <v>3909</v>
      </c>
      <c r="J166" s="155" t="s">
        <v>3959</v>
      </c>
      <c r="K166" s="155" t="s">
        <v>4218</v>
      </c>
      <c r="L166" s="247">
        <f t="shared" si="14"/>
        <v>2</v>
      </c>
      <c r="M166" s="121">
        <f>SUMIFS('Bilateral Assistance, MAIN DATA'!M:M,'Bilateral Assistance, MAIN DATA'!I:I,'Price List, Weapons &amp; Items'!B166)</f>
        <v>28</v>
      </c>
      <c r="N166" s="19">
        <f>COUNTIFS('Bilateral Assistance, MAIN DATA'!M:M,"undisclosed",'Bilateral Assistance, MAIN DATA'!I:I,'Price List, Weapons &amp; Items'!B166)</f>
        <v>0</v>
      </c>
      <c r="O166" s="723">
        <f t="shared" si="15"/>
        <v>385809401.27803195</v>
      </c>
      <c r="P166" s="19">
        <f>IFERROR(IF(SEARCH(B166,_xlfn.ARRAYTOTEXT('Bilateral Assistance, MAIN DATA'!I$1:I$1622))&gt;0,1,""),0)</f>
        <v>1</v>
      </c>
      <c r="Q166" s="19">
        <f>IFERROR(IF(SEARCH(B166,_xlfn.ARRAYTOTEXT('Commercial Assistance'!I$1:I$1400))&gt;0,1,""),0)</f>
        <v>1</v>
      </c>
      <c r="R166" s="247" t="str">
        <f>IF(SUMIFS('Bilateral Assistance, MAIN DATA'!N:N,'Bilateral Assistance, MAIN DATA'!I:I,'Price List, Weapons &amp; Items'!B166)&gt;M166,1,".")</f>
        <v>.</v>
      </c>
    </row>
    <row r="167" spans="2:18" ht="15" customHeight="1" x14ac:dyDescent="0.3">
      <c r="B167" s="175" t="s">
        <v>3150</v>
      </c>
      <c r="C167" s="113" t="s">
        <v>3945</v>
      </c>
      <c r="D167" s="246" t="s">
        <v>4219</v>
      </c>
      <c r="E167" s="199">
        <v>0</v>
      </c>
      <c r="F167" s="199">
        <f t="shared" si="13"/>
        <v>1</v>
      </c>
      <c r="G167" s="629">
        <v>15076313.029999999</v>
      </c>
      <c r="H167" s="720" t="str">
        <f t="shared" si="17"/>
        <v>USD</v>
      </c>
      <c r="I167" s="826" t="s">
        <v>3958</v>
      </c>
      <c r="J167" s="155" t="s">
        <v>3959</v>
      </c>
      <c r="K167" s="155" t="s">
        <v>4220</v>
      </c>
      <c r="L167" s="247">
        <f t="shared" si="14"/>
        <v>2</v>
      </c>
      <c r="M167" s="121">
        <f>SUMIFS('Bilateral Assistance, MAIN DATA'!M:M,'Bilateral Assistance, MAIN DATA'!I:I,'Price List, Weapons &amp; Items'!B167)</f>
        <v>38</v>
      </c>
      <c r="N167" s="19">
        <f>COUNTIFS('Bilateral Assistance, MAIN DATA'!M:M,"undisclosed",'Bilateral Assistance, MAIN DATA'!I:I,'Price List, Weapons &amp; Items'!B167)</f>
        <v>0</v>
      </c>
      <c r="O167" s="723">
        <f t="shared" si="15"/>
        <v>572899895.13999999</v>
      </c>
      <c r="P167" s="19">
        <f>IFERROR(IF(SEARCH(B167,_xlfn.ARRAYTOTEXT('Bilateral Assistance, MAIN DATA'!I$1:I$1622))&gt;0,1,""),0)</f>
        <v>1</v>
      </c>
      <c r="Q167" s="19">
        <f>IFERROR(IF(SEARCH(B167,_xlfn.ARRAYTOTEXT('Commercial Assistance'!I$1:I$1400))&gt;0,1,""),0)</f>
        <v>0</v>
      </c>
      <c r="R167" s="247" t="str">
        <f>IF(SUMIFS('Bilateral Assistance, MAIN DATA'!N:N,'Bilateral Assistance, MAIN DATA'!I:I,'Price List, Weapons &amp; Items'!B167)&gt;M167,1,".")</f>
        <v>.</v>
      </c>
    </row>
    <row r="168" spans="2:18" ht="15" customHeight="1" x14ac:dyDescent="0.3">
      <c r="B168" s="188" t="s">
        <v>3326</v>
      </c>
      <c r="C168" s="113" t="s">
        <v>3945</v>
      </c>
      <c r="D168" s="246" t="s">
        <v>4006</v>
      </c>
      <c r="E168" s="199">
        <v>0</v>
      </c>
      <c r="F168" s="199">
        <f t="shared" si="13"/>
        <v>0</v>
      </c>
      <c r="G168" s="629">
        <v>15000000</v>
      </c>
      <c r="H168" s="720" t="str">
        <f t="shared" si="17"/>
        <v>USD</v>
      </c>
      <c r="I168" s="820" t="s">
        <v>4210</v>
      </c>
      <c r="J168" s="155" t="s">
        <v>3967</v>
      </c>
      <c r="K168" s="155" t="s">
        <v>4221</v>
      </c>
      <c r="L168" s="247">
        <f t="shared" si="14"/>
        <v>2</v>
      </c>
      <c r="M168" s="121">
        <f>SUMIFS('Bilateral Assistance, MAIN DATA'!M:M,'Bilateral Assistance, MAIN DATA'!I:I,'Price List, Weapons &amp; Items'!B168)</f>
        <v>16</v>
      </c>
      <c r="N168" s="19">
        <f>COUNTIFS('Bilateral Assistance, MAIN DATA'!M:M,"undisclosed",'Bilateral Assistance, MAIN DATA'!I:I,'Price List, Weapons &amp; Items'!B168)</f>
        <v>0</v>
      </c>
      <c r="O168" s="723">
        <f t="shared" si="15"/>
        <v>240000000</v>
      </c>
      <c r="P168" s="19">
        <f>IFERROR(IF(SEARCH(B168,_xlfn.ARRAYTOTEXT('Bilateral Assistance, MAIN DATA'!I$1:I$1622))&gt;0,1,""),0)</f>
        <v>1</v>
      </c>
      <c r="Q168" s="19">
        <f>IFERROR(IF(SEARCH(B168,_xlfn.ARRAYTOTEXT('Commercial Assistance'!I$1:I$1400))&gt;0,1,""),0)</f>
        <v>0</v>
      </c>
      <c r="R168" s="247" t="str">
        <f>IF(SUMIFS('Bilateral Assistance, MAIN DATA'!N:N,'Bilateral Assistance, MAIN DATA'!I:I,'Price List, Weapons &amp; Items'!B168)&gt;M168,1,".")</f>
        <v>.</v>
      </c>
    </row>
    <row r="169" spans="2:18" ht="15" customHeight="1" x14ac:dyDescent="0.3">
      <c r="B169" s="188" t="s">
        <v>2342</v>
      </c>
      <c r="C169" s="113" t="s">
        <v>3945</v>
      </c>
      <c r="D169" s="246" t="s">
        <v>3401</v>
      </c>
      <c r="E169" s="199">
        <v>0</v>
      </c>
      <c r="F169" s="199">
        <f t="shared" si="13"/>
        <v>1</v>
      </c>
      <c r="G169" s="629">
        <v>12781188.5</v>
      </c>
      <c r="H169" s="720" t="str">
        <f t="shared" si="17"/>
        <v>USD</v>
      </c>
      <c r="I169" s="821" t="s">
        <v>4222</v>
      </c>
      <c r="J169" s="155" t="s">
        <v>4008</v>
      </c>
      <c r="K169" s="155" t="s">
        <v>4223</v>
      </c>
      <c r="L169" s="247">
        <f t="shared" si="14"/>
        <v>2</v>
      </c>
      <c r="M169" s="121">
        <f>SUMIFS('Bilateral Assistance, MAIN DATA'!M:M,'Bilateral Assistance, MAIN DATA'!I:I,'Price List, Weapons &amp; Items'!B169)</f>
        <v>54</v>
      </c>
      <c r="N169" s="19">
        <f>COUNTIFS('Bilateral Assistance, MAIN DATA'!M:M,"undisclosed",'Bilateral Assistance, MAIN DATA'!I:I,'Price List, Weapons &amp; Items'!B169)</f>
        <v>0</v>
      </c>
      <c r="O169" s="723">
        <f t="shared" si="15"/>
        <v>690184179</v>
      </c>
      <c r="P169" s="19">
        <f>IFERROR(IF(SEARCH(B169,_xlfn.ARRAYTOTEXT('Bilateral Assistance, MAIN DATA'!I$1:I$1622))&gt;0,1,""),0)</f>
        <v>1</v>
      </c>
      <c r="Q169" s="19">
        <f>IFERROR(IF(SEARCH(B169,_xlfn.ARRAYTOTEXT('Commercial Assistance'!I$1:I$1400))&gt;0,1,""),0)</f>
        <v>1</v>
      </c>
      <c r="R169" s="247" t="str">
        <f>IF(SUMIFS('Bilateral Assistance, MAIN DATA'!N:N,'Bilateral Assistance, MAIN DATA'!I:I,'Price List, Weapons &amp; Items'!B169)&gt;M169,1,".")</f>
        <v>.</v>
      </c>
    </row>
    <row r="170" spans="2:18" ht="15" customHeight="1" x14ac:dyDescent="0.3">
      <c r="B170" s="175" t="s">
        <v>798</v>
      </c>
      <c r="C170" s="113" t="s">
        <v>3954</v>
      </c>
      <c r="D170" s="246" t="s">
        <v>4215</v>
      </c>
      <c r="E170" s="199">
        <v>1</v>
      </c>
      <c r="F170" s="199">
        <f t="shared" si="13"/>
        <v>0</v>
      </c>
      <c r="G170" s="629">
        <v>12000000</v>
      </c>
      <c r="H170" s="720" t="str">
        <f t="shared" si="17"/>
        <v>USD</v>
      </c>
      <c r="I170" s="820" t="s">
        <v>4224</v>
      </c>
      <c r="J170" s="155" t="s">
        <v>3967</v>
      </c>
      <c r="K170" s="155" t="s">
        <v>4225</v>
      </c>
      <c r="L170" s="247">
        <f t="shared" si="14"/>
        <v>2</v>
      </c>
      <c r="M170" s="121">
        <f>SUMIFS('Bilateral Assistance, MAIN DATA'!M:M,'Bilateral Assistance, MAIN DATA'!I:I,'Price List, Weapons &amp; Items'!B170)</f>
        <v>7</v>
      </c>
      <c r="N170" s="19">
        <f>COUNTIFS('Bilateral Assistance, MAIN DATA'!M:M,"undisclosed",'Bilateral Assistance, MAIN DATA'!I:I,'Price List, Weapons &amp; Items'!B170)</f>
        <v>0</v>
      </c>
      <c r="O170" s="723">
        <f t="shared" si="15"/>
        <v>84000000</v>
      </c>
      <c r="P170" s="19">
        <f>IFERROR(IF(SEARCH(B170,_xlfn.ARRAYTOTEXT('Bilateral Assistance, MAIN DATA'!I$1:I$1622))&gt;0,1,""),0)</f>
        <v>1</v>
      </c>
      <c r="Q170" s="19">
        <f>IFERROR(IF(SEARCH(B170,_xlfn.ARRAYTOTEXT('Commercial Assistance'!I$1:I$1400))&gt;0,1,""),0)</f>
        <v>0</v>
      </c>
      <c r="R170" s="247" t="str">
        <f>IF(SUMIFS('Bilateral Assistance, MAIN DATA'!N:N,'Bilateral Assistance, MAIN DATA'!I:I,'Price List, Weapons &amp; Items'!B170)&gt;M170,1,".")</f>
        <v>.</v>
      </c>
    </row>
    <row r="171" spans="2:18" ht="15" customHeight="1" x14ac:dyDescent="0.3">
      <c r="B171" s="188" t="s">
        <v>2085</v>
      </c>
      <c r="C171" s="113" t="s">
        <v>812</v>
      </c>
      <c r="D171" s="113" t="s">
        <v>812</v>
      </c>
      <c r="E171" s="199">
        <v>0</v>
      </c>
      <c r="F171" s="199">
        <f t="shared" si="13"/>
        <v>0</v>
      </c>
      <c r="G171" s="629">
        <v>8888888</v>
      </c>
      <c r="H171" s="720" t="str">
        <f t="shared" si="17"/>
        <v>USD</v>
      </c>
      <c r="I171" s="820" t="s">
        <v>4226</v>
      </c>
      <c r="J171" s="155" t="s">
        <v>3967</v>
      </c>
      <c r="K171" s="155" t="s">
        <v>4227</v>
      </c>
      <c r="L171" s="247">
        <f t="shared" si="14"/>
        <v>2</v>
      </c>
      <c r="M171" s="121">
        <f>SUMIFS('Bilateral Assistance, MAIN DATA'!M:M,'Bilateral Assistance, MAIN DATA'!I:I,'Price List, Weapons &amp; Items'!B171)</f>
        <v>25</v>
      </c>
      <c r="N171" s="19">
        <f>COUNTIFS('Bilateral Assistance, MAIN DATA'!M:M,"undisclosed",'Bilateral Assistance, MAIN DATA'!I:I,'Price List, Weapons &amp; Items'!B171)</f>
        <v>0</v>
      </c>
      <c r="O171" s="723">
        <f t="shared" si="15"/>
        <v>222222200</v>
      </c>
      <c r="P171" s="19">
        <f>IFERROR(IF(SEARCH(B171,_xlfn.ARRAYTOTEXT('Bilateral Assistance, MAIN DATA'!I$1:I$1622))&gt;0,1,""),0)</f>
        <v>1</v>
      </c>
      <c r="Q171" s="19">
        <f>IFERROR(IF(SEARCH(B171,_xlfn.ARRAYTOTEXT('Commercial Assistance'!I$1:I$1400))&gt;0,1,""),0)</f>
        <v>0</v>
      </c>
      <c r="R171" s="247" t="str">
        <f>IF(SUMIFS('Bilateral Assistance, MAIN DATA'!N:N,'Bilateral Assistance, MAIN DATA'!I:I,'Price List, Weapons &amp; Items'!B171)&gt;M171,1,".")</f>
        <v>.</v>
      </c>
    </row>
    <row r="172" spans="2:18" ht="15" customHeight="1" x14ac:dyDescent="0.3">
      <c r="B172" s="175" t="s">
        <v>1247</v>
      </c>
      <c r="C172" s="113" t="s">
        <v>3945</v>
      </c>
      <c r="D172" s="246" t="s">
        <v>3401</v>
      </c>
      <c r="E172" s="199">
        <v>0</v>
      </c>
      <c r="F172" s="199">
        <f t="shared" si="13"/>
        <v>1</v>
      </c>
      <c r="G172" s="629">
        <v>6345668.5229201708</v>
      </c>
      <c r="H172" s="720" t="str">
        <f t="shared" si="17"/>
        <v>USD</v>
      </c>
      <c r="I172" s="826" t="s">
        <v>3958</v>
      </c>
      <c r="J172" s="155" t="s">
        <v>3959</v>
      </c>
      <c r="K172" s="155" t="s">
        <v>4228</v>
      </c>
      <c r="L172" s="247">
        <f t="shared" si="14"/>
        <v>2</v>
      </c>
      <c r="M172" s="121">
        <f>SUMIFS('Bilateral Assistance, MAIN DATA'!M:M,'Bilateral Assistance, MAIN DATA'!I:I,'Price List, Weapons &amp; Items'!B172)</f>
        <v>24</v>
      </c>
      <c r="N172" s="19">
        <f>COUNTIFS('Bilateral Assistance, MAIN DATA'!M:M,"undisclosed",'Bilateral Assistance, MAIN DATA'!I:I,'Price List, Weapons &amp; Items'!B172)</f>
        <v>0</v>
      </c>
      <c r="O172" s="723">
        <f t="shared" si="15"/>
        <v>152296044.55008411</v>
      </c>
      <c r="P172" s="19">
        <f>IFERROR(IF(SEARCH(B172,_xlfn.ARRAYTOTEXT('Bilateral Assistance, MAIN DATA'!I$1:I$1622))&gt;0,1,""),0)</f>
        <v>1</v>
      </c>
      <c r="Q172" s="19">
        <f>IFERROR(IF(SEARCH(B172,_xlfn.ARRAYTOTEXT('Commercial Assistance'!I$1:I$1400))&gt;0,1,""),0)</f>
        <v>0</v>
      </c>
      <c r="R172" s="247" t="str">
        <f>IF(SUMIFS('Bilateral Assistance, MAIN DATA'!N:N,'Bilateral Assistance, MAIN DATA'!I:I,'Price List, Weapons &amp; Items'!B172)&gt;M172,1,".")</f>
        <v>.</v>
      </c>
    </row>
    <row r="173" spans="2:18" ht="15" customHeight="1" x14ac:dyDescent="0.3">
      <c r="B173" s="175" t="s">
        <v>916</v>
      </c>
      <c r="C173" s="113" t="s">
        <v>3945</v>
      </c>
      <c r="D173" s="246" t="s">
        <v>3401</v>
      </c>
      <c r="E173" s="199">
        <v>1</v>
      </c>
      <c r="F173" s="199">
        <f t="shared" si="13"/>
        <v>1</v>
      </c>
      <c r="G173" s="629">
        <v>8661378.4511823338</v>
      </c>
      <c r="H173" s="720" t="str">
        <f t="shared" si="17"/>
        <v>USD</v>
      </c>
      <c r="I173" s="828" t="s">
        <v>4229</v>
      </c>
      <c r="J173" s="155" t="s">
        <v>4008</v>
      </c>
      <c r="K173" s="155" t="s">
        <v>4230</v>
      </c>
      <c r="L173" s="247">
        <f t="shared" si="14"/>
        <v>2</v>
      </c>
      <c r="M173" s="121">
        <f>SUMIFS('Bilateral Assistance, MAIN DATA'!M:M,'Bilateral Assistance, MAIN DATA'!I:I,'Price List, Weapons &amp; Items'!B173)</f>
        <v>15</v>
      </c>
      <c r="N173" s="19">
        <f>COUNTIFS('Bilateral Assistance, MAIN DATA'!M:M,"undisclosed",'Bilateral Assistance, MAIN DATA'!I:I,'Price List, Weapons &amp; Items'!B173)</f>
        <v>0</v>
      </c>
      <c r="O173" s="723">
        <f t="shared" si="15"/>
        <v>129920676.767735</v>
      </c>
      <c r="P173" s="19">
        <f>IFERROR(IF(SEARCH(B173,_xlfn.ARRAYTOTEXT('Bilateral Assistance, MAIN DATA'!I$1:I$1622))&gt;0,1,""),0)</f>
        <v>1</v>
      </c>
      <c r="Q173" s="19">
        <f>IFERROR(IF(SEARCH(B173,_xlfn.ARRAYTOTEXT('Commercial Assistance'!I$1:I$1400))&gt;0,1,""),0)</f>
        <v>1</v>
      </c>
      <c r="R173" s="247" t="str">
        <f>IF(SUMIFS('Bilateral Assistance, MAIN DATA'!N:N,'Bilateral Assistance, MAIN DATA'!I:I,'Price List, Weapons &amp; Items'!B173)&gt;M173,1,".")</f>
        <v>.</v>
      </c>
    </row>
    <row r="174" spans="2:18" ht="15" customHeight="1" x14ac:dyDescent="0.3">
      <c r="B174" s="188" t="s">
        <v>969</v>
      </c>
      <c r="C174" s="113" t="s">
        <v>812</v>
      </c>
      <c r="D174" s="113" t="s">
        <v>812</v>
      </c>
      <c r="E174" s="199">
        <v>0</v>
      </c>
      <c r="F174" s="199">
        <f t="shared" si="13"/>
        <v>0</v>
      </c>
      <c r="G174" s="629">
        <f>5300000*1.1435</f>
        <v>6060550</v>
      </c>
      <c r="H174" s="720" t="s">
        <v>346</v>
      </c>
      <c r="I174" s="820" t="s">
        <v>970</v>
      </c>
      <c r="J174" s="155" t="s">
        <v>3964</v>
      </c>
      <c r="K174" s="155" t="s">
        <v>4231</v>
      </c>
      <c r="L174" s="247">
        <f t="shared" si="14"/>
        <v>2</v>
      </c>
      <c r="M174" s="121">
        <f>SUMIFS('Bilateral Assistance, MAIN DATA'!M:M,'Bilateral Assistance, MAIN DATA'!I:I,'Price List, Weapons &amp; Items'!B174)</f>
        <v>5</v>
      </c>
      <c r="N174" s="19">
        <f>COUNTIFS('Bilateral Assistance, MAIN DATA'!M:M,"undisclosed",'Bilateral Assistance, MAIN DATA'!I:I,'Price List, Weapons &amp; Items'!B174)</f>
        <v>0</v>
      </c>
      <c r="O174" s="723">
        <f t="shared" si="15"/>
        <v>30302750</v>
      </c>
      <c r="P174" s="19">
        <f>IFERROR(IF(SEARCH(B174,_xlfn.ARRAYTOTEXT('Bilateral Assistance, MAIN DATA'!I$1:I$1622))&gt;0,1,""),0)</f>
        <v>1</v>
      </c>
      <c r="Q174" s="19">
        <f>IFERROR(IF(SEARCH(B174,_xlfn.ARRAYTOTEXT('Commercial Assistance'!I$1:I$1400))&gt;0,1,""),0)</f>
        <v>0</v>
      </c>
      <c r="R174" s="247" t="str">
        <f>IF(SUMIFS('Bilateral Assistance, MAIN DATA'!N:N,'Bilateral Assistance, MAIN DATA'!I:I,'Price List, Weapons &amp; Items'!B174)&gt;M174,1,".")</f>
        <v>.</v>
      </c>
    </row>
    <row r="175" spans="2:18" ht="15" customHeight="1" x14ac:dyDescent="0.3">
      <c r="B175" s="175" t="s">
        <v>3919</v>
      </c>
      <c r="C175" s="113" t="s">
        <v>3954</v>
      </c>
      <c r="D175" s="246" t="s">
        <v>956</v>
      </c>
      <c r="E175" s="199">
        <v>0</v>
      </c>
      <c r="F175" s="199">
        <f t="shared" si="13"/>
        <v>0</v>
      </c>
      <c r="G175" s="629">
        <v>9530000</v>
      </c>
      <c r="H175" s="720" t="str">
        <f t="shared" ref="H175:H180" si="18">IF(G175&lt;&gt;".","USD",".")</f>
        <v>USD</v>
      </c>
      <c r="I175" s="821" t="s">
        <v>3958</v>
      </c>
      <c r="J175" s="155" t="s">
        <v>3959</v>
      </c>
      <c r="K175" s="155" t="s">
        <v>4232</v>
      </c>
      <c r="L175" s="247">
        <f t="shared" si="14"/>
        <v>2</v>
      </c>
      <c r="M175" s="121">
        <f>SUMIFS('Bilateral Assistance, MAIN DATA'!M:M,'Bilateral Assistance, MAIN DATA'!I:I,'Price List, Weapons &amp; Items'!B175)</f>
        <v>5</v>
      </c>
      <c r="N175" s="19">
        <f>COUNTIFS('Bilateral Assistance, MAIN DATA'!M:M,"undisclosed",'Bilateral Assistance, MAIN DATA'!I:I,'Price List, Weapons &amp; Items'!B175)</f>
        <v>0</v>
      </c>
      <c r="O175" s="723">
        <f t="shared" si="15"/>
        <v>47650000</v>
      </c>
      <c r="P175" s="19">
        <f>IFERROR(IF(SEARCH(B175,_xlfn.ARRAYTOTEXT('Bilateral Assistance, MAIN DATA'!I$1:I$1622))&gt;0,1,""),0)</f>
        <v>1</v>
      </c>
      <c r="Q175" s="19">
        <f>IFERROR(IF(SEARCH(B175,_xlfn.ARRAYTOTEXT('Commercial Assistance'!I$1:I$1400))&gt;0,1,""),0)</f>
        <v>1</v>
      </c>
      <c r="R175" s="247" t="str">
        <f>IF(SUMIFS('Bilateral Assistance, MAIN DATA'!N:N,'Bilateral Assistance, MAIN DATA'!I:I,'Price List, Weapons &amp; Items'!B175)&gt;M175,1,".")</f>
        <v>.</v>
      </c>
    </row>
    <row r="176" spans="2:18" ht="15" customHeight="1" x14ac:dyDescent="0.3">
      <c r="B176" s="175" t="s">
        <v>792</v>
      </c>
      <c r="C176" s="113" t="s">
        <v>3945</v>
      </c>
      <c r="D176" s="246" t="s">
        <v>4233</v>
      </c>
      <c r="E176" s="199">
        <v>1</v>
      </c>
      <c r="F176" s="199">
        <f t="shared" si="13"/>
        <v>1</v>
      </c>
      <c r="G176" s="629">
        <v>1637933.8716107793</v>
      </c>
      <c r="H176" s="257" t="str">
        <f t="shared" si="18"/>
        <v>USD</v>
      </c>
      <c r="I176" s="833" t="s">
        <v>3958</v>
      </c>
      <c r="J176" s="155" t="s">
        <v>3959</v>
      </c>
      <c r="K176" s="257" t="s">
        <v>4234</v>
      </c>
      <c r="L176" s="247">
        <f t="shared" si="14"/>
        <v>2</v>
      </c>
      <c r="M176" s="121">
        <f>SUMIFS('Bilateral Assistance, MAIN DATA'!M:M,'Bilateral Assistance, MAIN DATA'!I:I,'Price List, Weapons &amp; Items'!B176)</f>
        <v>20</v>
      </c>
      <c r="N176" s="19">
        <f>COUNTIFS('Bilateral Assistance, MAIN DATA'!M:M,"undisclosed",'Bilateral Assistance, MAIN DATA'!I:I,'Price List, Weapons &amp; Items'!B176)</f>
        <v>0</v>
      </c>
      <c r="O176" s="723">
        <f t="shared" si="15"/>
        <v>32758677.432215586</v>
      </c>
      <c r="P176" s="19">
        <f>IFERROR(IF(SEARCH(B176,_xlfn.ARRAYTOTEXT('Bilateral Assistance, MAIN DATA'!I$1:I$1622))&gt;0,1,""),0)</f>
        <v>1</v>
      </c>
      <c r="Q176" s="19">
        <f>IFERROR(IF(SEARCH(B176,_xlfn.ARRAYTOTEXT('Commercial Assistance'!I$1:I$1400))&gt;0,1,""),0)</f>
        <v>0</v>
      </c>
      <c r="R176" s="247" t="str">
        <f>IF(SUMIFS('Bilateral Assistance, MAIN DATA'!N:N,'Bilateral Assistance, MAIN DATA'!I:I,'Price List, Weapons &amp; Items'!B176)&gt;M176,1,".")</f>
        <v>.</v>
      </c>
    </row>
    <row r="177" spans="2:18" ht="15" customHeight="1" x14ac:dyDescent="0.3">
      <c r="B177" s="175" t="s">
        <v>641</v>
      </c>
      <c r="C177" s="113" t="s">
        <v>3945</v>
      </c>
      <c r="D177" s="246" t="s">
        <v>4046</v>
      </c>
      <c r="E177" s="199">
        <v>0</v>
      </c>
      <c r="F177" s="199">
        <f t="shared" si="13"/>
        <v>1</v>
      </c>
      <c r="G177" s="629">
        <v>4346586.3370000003</v>
      </c>
      <c r="H177" s="720" t="str">
        <f t="shared" si="18"/>
        <v>USD</v>
      </c>
      <c r="I177" s="821" t="s">
        <v>4235</v>
      </c>
      <c r="J177" s="155" t="s">
        <v>4008</v>
      </c>
      <c r="K177" s="155" t="s">
        <v>4236</v>
      </c>
      <c r="L177" s="247">
        <f t="shared" si="14"/>
        <v>2</v>
      </c>
      <c r="M177" s="121">
        <f>SUMIFS('Bilateral Assistance, MAIN DATA'!M:M,'Bilateral Assistance, MAIN DATA'!I:I,'Price List, Weapons &amp; Items'!B177)</f>
        <v>39</v>
      </c>
      <c r="N177" s="19">
        <f>COUNTIFS('Bilateral Assistance, MAIN DATA'!M:M,"undisclosed",'Bilateral Assistance, MAIN DATA'!I:I,'Price List, Weapons &amp; Items'!B177)</f>
        <v>0</v>
      </c>
      <c r="O177" s="723">
        <f t="shared" si="15"/>
        <v>169516867.14300001</v>
      </c>
      <c r="P177" s="19">
        <f>IFERROR(IF(SEARCH(B177,_xlfn.ARRAYTOTEXT('Bilateral Assistance, MAIN DATA'!I$1:I$1622))&gt;0,1,""),0)</f>
        <v>1</v>
      </c>
      <c r="Q177" s="19">
        <f>IFERROR(IF(SEARCH(B177,_xlfn.ARRAYTOTEXT('Commercial Assistance'!I$1:I$1400))&gt;0,1,""),0)</f>
        <v>0</v>
      </c>
      <c r="R177" s="247" t="str">
        <f>IF(SUMIFS('Bilateral Assistance, MAIN DATA'!N:N,'Bilateral Assistance, MAIN DATA'!I:I,'Price List, Weapons &amp; Items'!B177)&gt;M177,1,".")</f>
        <v>.</v>
      </c>
    </row>
    <row r="178" spans="2:18" ht="15" customHeight="1" x14ac:dyDescent="0.3">
      <c r="B178" s="188" t="s">
        <v>1474</v>
      </c>
      <c r="C178" s="113" t="s">
        <v>3945</v>
      </c>
      <c r="D178" s="246" t="s">
        <v>4237</v>
      </c>
      <c r="E178" s="199">
        <v>0</v>
      </c>
      <c r="F178" s="199">
        <f t="shared" si="13"/>
        <v>1</v>
      </c>
      <c r="G178" s="629">
        <f>AVERAGE(G163,G185)</f>
        <v>20783363.949999999</v>
      </c>
      <c r="H178" s="720" t="str">
        <f t="shared" si="18"/>
        <v>USD</v>
      </c>
      <c r="I178" s="826" t="s">
        <v>3958</v>
      </c>
      <c r="J178" s="155" t="s">
        <v>3959</v>
      </c>
      <c r="K178" s="253" t="s">
        <v>4238</v>
      </c>
      <c r="L178" s="247">
        <f t="shared" si="14"/>
        <v>2</v>
      </c>
      <c r="M178" s="121">
        <f>SUMIFS('Bilateral Assistance, MAIN DATA'!M:M,'Bilateral Assistance, MAIN DATA'!I:I,'Price List, Weapons &amp; Items'!B178)</f>
        <v>5</v>
      </c>
      <c r="N178" s="19">
        <f>COUNTIFS('Bilateral Assistance, MAIN DATA'!M:M,"undisclosed",'Bilateral Assistance, MAIN DATA'!I:I,'Price List, Weapons &amp; Items'!B178)</f>
        <v>0</v>
      </c>
      <c r="O178" s="723">
        <f t="shared" si="15"/>
        <v>103916819.75</v>
      </c>
      <c r="P178" s="19">
        <f>IFERROR(IF(SEARCH(B178,_xlfn.ARRAYTOTEXT('Bilateral Assistance, MAIN DATA'!I$1:I$1622))&gt;0,1,""),0)</f>
        <v>1</v>
      </c>
      <c r="Q178" s="19">
        <f>IFERROR(IF(SEARCH(B178,_xlfn.ARRAYTOTEXT('Commercial Assistance'!I$1:I$1400))&gt;0,1,""),0)</f>
        <v>0</v>
      </c>
      <c r="R178" s="247" t="str">
        <f>IF(SUMIFS('Bilateral Assistance, MAIN DATA'!N:N,'Bilateral Assistance, MAIN DATA'!I:I,'Price List, Weapons &amp; Items'!B178)&gt;M178,1,".")</f>
        <v>.</v>
      </c>
    </row>
    <row r="179" spans="2:18" ht="15" customHeight="1" x14ac:dyDescent="0.3">
      <c r="B179" s="185" t="s">
        <v>1343</v>
      </c>
      <c r="C179" s="113" t="s">
        <v>3945</v>
      </c>
      <c r="D179" s="246" t="s">
        <v>4239</v>
      </c>
      <c r="E179" s="199">
        <v>0</v>
      </c>
      <c r="F179" s="199">
        <f t="shared" si="13"/>
        <v>0</v>
      </c>
      <c r="G179" s="629">
        <v>2528458.11</v>
      </c>
      <c r="H179" s="720" t="str">
        <f t="shared" si="18"/>
        <v>USD</v>
      </c>
      <c r="I179" s="821" t="s">
        <v>3958</v>
      </c>
      <c r="J179" s="155" t="s">
        <v>3959</v>
      </c>
      <c r="K179" s="155" t="s">
        <v>4240</v>
      </c>
      <c r="L179" s="247">
        <f t="shared" si="14"/>
        <v>2</v>
      </c>
      <c r="M179" s="121">
        <f>SUMIFS('Bilateral Assistance, MAIN DATA'!M:M,'Bilateral Assistance, MAIN DATA'!I:I,'Price List, Weapons &amp; Items'!B179)</f>
        <v>16</v>
      </c>
      <c r="N179" s="19">
        <f>COUNTIFS('Bilateral Assistance, MAIN DATA'!M:M,"undisclosed",'Bilateral Assistance, MAIN DATA'!I:I,'Price List, Weapons &amp; Items'!B179)</f>
        <v>0</v>
      </c>
      <c r="O179" s="723">
        <f t="shared" si="15"/>
        <v>40455329.759999998</v>
      </c>
      <c r="P179" s="19">
        <f>IFERROR(IF(SEARCH(B179,_xlfn.ARRAYTOTEXT('Bilateral Assistance, MAIN DATA'!I$1:I$1622))&gt;0,1,""),0)</f>
        <v>1</v>
      </c>
      <c r="Q179" s="19">
        <f>IFERROR(IF(SEARCH(B179,_xlfn.ARRAYTOTEXT('Commercial Assistance'!I$1:I$1400))&gt;0,1,""),0)</f>
        <v>0</v>
      </c>
      <c r="R179" s="247" t="str">
        <f>IF(SUMIFS('Bilateral Assistance, MAIN DATA'!N:N,'Bilateral Assistance, MAIN DATA'!I:I,'Price List, Weapons &amp; Items'!B179)&gt;M179,1,".")</f>
        <v>.</v>
      </c>
    </row>
    <row r="180" spans="2:18" ht="15" customHeight="1" x14ac:dyDescent="0.3">
      <c r="B180" s="175" t="s">
        <v>1273</v>
      </c>
      <c r="C180" s="113" t="s">
        <v>3945</v>
      </c>
      <c r="D180" s="246" t="s">
        <v>4219</v>
      </c>
      <c r="E180" s="199">
        <v>0</v>
      </c>
      <c r="F180" s="199">
        <f t="shared" si="13"/>
        <v>1</v>
      </c>
      <c r="G180" s="629">
        <v>13615659.128881287</v>
      </c>
      <c r="H180" s="720" t="str">
        <f t="shared" si="18"/>
        <v>USD</v>
      </c>
      <c r="I180" s="826" t="s">
        <v>3958</v>
      </c>
      <c r="J180" s="155" t="s">
        <v>3959</v>
      </c>
      <c r="K180" s="253" t="s">
        <v>4241</v>
      </c>
      <c r="L180" s="247">
        <f t="shared" si="14"/>
        <v>2</v>
      </c>
      <c r="M180" s="121">
        <f>SUMIFS('Bilateral Assistance, MAIN DATA'!M:M,'Bilateral Assistance, MAIN DATA'!I:I,'Price List, Weapons &amp; Items'!B180)</f>
        <v>10</v>
      </c>
      <c r="N180" s="19">
        <f>COUNTIFS('Bilateral Assistance, MAIN DATA'!M:M,"undisclosed",'Bilateral Assistance, MAIN DATA'!I:I,'Price List, Weapons &amp; Items'!B180)</f>
        <v>0</v>
      </c>
      <c r="O180" s="723">
        <f t="shared" si="15"/>
        <v>136156591.28881288</v>
      </c>
      <c r="P180" s="19">
        <f>IFERROR(IF(SEARCH(B180,_xlfn.ARRAYTOTEXT('Bilateral Assistance, MAIN DATA'!I$1:I$1622))&gt;0,1,""),0)</f>
        <v>1</v>
      </c>
      <c r="Q180" s="19">
        <f>IFERROR(IF(SEARCH(B180,_xlfn.ARRAYTOTEXT('Commercial Assistance'!I$1:I$1400))&gt;0,1,""),0)</f>
        <v>0</v>
      </c>
      <c r="R180" s="247" t="str">
        <f>IF(SUMIFS('Bilateral Assistance, MAIN DATA'!N:N,'Bilateral Assistance, MAIN DATA'!I:I,'Price List, Weapons &amp; Items'!B180)&gt;M180,1,".")</f>
        <v>.</v>
      </c>
    </row>
    <row r="181" spans="2:18" ht="15" customHeight="1" x14ac:dyDescent="0.3">
      <c r="B181" s="175" t="s">
        <v>2241</v>
      </c>
      <c r="C181" s="113" t="s">
        <v>3945</v>
      </c>
      <c r="D181" s="246" t="s">
        <v>4219</v>
      </c>
      <c r="E181" s="199">
        <v>0</v>
      </c>
      <c r="F181" s="199">
        <f t="shared" si="13"/>
        <v>1</v>
      </c>
      <c r="G181" s="629">
        <v>3193503.68</v>
      </c>
      <c r="H181" s="720" t="s">
        <v>346</v>
      </c>
      <c r="I181" s="826" t="s">
        <v>3958</v>
      </c>
      <c r="J181" s="155" t="s">
        <v>3959</v>
      </c>
      <c r="K181" s="253" t="s">
        <v>4242</v>
      </c>
      <c r="L181" s="247">
        <f t="shared" si="14"/>
        <v>2</v>
      </c>
      <c r="M181" s="121">
        <f>SUMIFS('Bilateral Assistance, MAIN DATA'!M:M,'Bilateral Assistance, MAIN DATA'!I:I,'Price List, Weapons &amp; Items'!B181)</f>
        <v>3</v>
      </c>
      <c r="N181" s="19">
        <f>COUNTIFS('Bilateral Assistance, MAIN DATA'!M:M,"undisclosed",'Bilateral Assistance, MAIN DATA'!I:I,'Price List, Weapons &amp; Items'!B181)</f>
        <v>0</v>
      </c>
      <c r="O181" s="723">
        <f t="shared" si="15"/>
        <v>9580511.040000001</v>
      </c>
      <c r="P181" s="19">
        <f>IFERROR(IF(SEARCH(B181,_xlfn.ARRAYTOTEXT('Bilateral Assistance, MAIN DATA'!I$1:I$1622))&gt;0,1,""),0)</f>
        <v>1</v>
      </c>
      <c r="Q181" s="19">
        <f>IFERROR(IF(SEARCH(B181,_xlfn.ARRAYTOTEXT('Commercial Assistance'!I$1:I$1400))&gt;0,1,""),0)</f>
        <v>0</v>
      </c>
      <c r="R181" s="247" t="str">
        <f>IF(SUMIFS('Bilateral Assistance, MAIN DATA'!N:N,'Bilateral Assistance, MAIN DATA'!I:I,'Price List, Weapons &amp; Items'!B181)&gt;M181,1,".")</f>
        <v>.</v>
      </c>
    </row>
    <row r="182" spans="2:18" ht="15" customHeight="1" x14ac:dyDescent="0.3">
      <c r="B182" s="17" t="s">
        <v>2960</v>
      </c>
      <c r="C182" s="113" t="s">
        <v>3945</v>
      </c>
      <c r="D182" s="246" t="s">
        <v>3235</v>
      </c>
      <c r="E182" s="199">
        <v>0</v>
      </c>
      <c r="F182" s="199">
        <f t="shared" si="13"/>
        <v>0</v>
      </c>
      <c r="G182" s="629">
        <v>1272482.2760025531</v>
      </c>
      <c r="H182" s="720" t="str">
        <f t="shared" ref="H182:H195" si="19">IF(G182&lt;&gt;".","USD",".")</f>
        <v>USD</v>
      </c>
      <c r="I182" s="826" t="s">
        <v>3958</v>
      </c>
      <c r="J182" s="155" t="s">
        <v>3959</v>
      </c>
      <c r="K182" s="155" t="s">
        <v>4243</v>
      </c>
      <c r="L182" s="247">
        <f t="shared" si="14"/>
        <v>2</v>
      </c>
      <c r="M182" s="121">
        <f>SUMIFS('Bilateral Assistance, MAIN DATA'!M:M,'Bilateral Assistance, MAIN DATA'!I:I,'Price List, Weapons &amp; Items'!B182)</f>
        <v>54</v>
      </c>
      <c r="N182" s="19">
        <f>COUNTIFS('Bilateral Assistance, MAIN DATA'!M:M,"undisclosed",'Bilateral Assistance, MAIN DATA'!I:I,'Price List, Weapons &amp; Items'!B182)</f>
        <v>0</v>
      </c>
      <c r="O182" s="723">
        <f t="shared" si="15"/>
        <v>68714042.904137865</v>
      </c>
      <c r="P182" s="19">
        <f>IFERROR(IF(SEARCH(B182,_xlfn.ARRAYTOTEXT('Bilateral Assistance, MAIN DATA'!I$1:I$1622))&gt;0,1,""),0)</f>
        <v>1</v>
      </c>
      <c r="Q182" s="19">
        <f>IFERROR(IF(SEARCH(B182,_xlfn.ARRAYTOTEXT('Commercial Assistance'!I$1:I$1400))&gt;0,1,""),0)</f>
        <v>0</v>
      </c>
      <c r="R182" s="247" t="str">
        <f>IF(SUMIFS('Bilateral Assistance, MAIN DATA'!N:N,'Bilateral Assistance, MAIN DATA'!I:I,'Price List, Weapons &amp; Items'!B182)&gt;M182,1,".")</f>
        <v>.</v>
      </c>
    </row>
    <row r="183" spans="2:18" ht="15" customHeight="1" x14ac:dyDescent="0.3">
      <c r="B183" s="188" t="s">
        <v>1788</v>
      </c>
      <c r="C183" s="113" t="s">
        <v>3945</v>
      </c>
      <c r="D183" s="246" t="s">
        <v>3401</v>
      </c>
      <c r="E183" s="199">
        <v>0</v>
      </c>
      <c r="F183" s="199">
        <f t="shared" si="13"/>
        <v>1</v>
      </c>
      <c r="G183" s="629">
        <v>1734787.30789614</v>
      </c>
      <c r="H183" s="720" t="str">
        <f t="shared" si="19"/>
        <v>USD</v>
      </c>
      <c r="I183" s="821" t="s">
        <v>3958</v>
      </c>
      <c r="J183" s="155" t="s">
        <v>3959</v>
      </c>
      <c r="K183" s="155" t="s">
        <v>4244</v>
      </c>
      <c r="L183" s="247">
        <f t="shared" si="14"/>
        <v>2</v>
      </c>
      <c r="M183" s="121">
        <f>SUMIFS('Bilateral Assistance, MAIN DATA'!M:M,'Bilateral Assistance, MAIN DATA'!I:I,'Price List, Weapons &amp; Items'!B183)</f>
        <v>87</v>
      </c>
      <c r="N183" s="19">
        <f>COUNTIFS('Bilateral Assistance, MAIN DATA'!M:M,"undisclosed",'Bilateral Assistance, MAIN DATA'!I:I,'Price List, Weapons &amp; Items'!B183)</f>
        <v>0</v>
      </c>
      <c r="O183" s="723">
        <f t="shared" si="15"/>
        <v>150926495.78696418</v>
      </c>
      <c r="P183" s="19">
        <f>IFERROR(IF(SEARCH(B183,_xlfn.ARRAYTOTEXT('Bilateral Assistance, MAIN DATA'!I$1:I$1622))&gt;0,1,""),0)</f>
        <v>1</v>
      </c>
      <c r="Q183" s="19">
        <f>IFERROR(IF(SEARCH(B183,_xlfn.ARRAYTOTEXT('Commercial Assistance'!I$1:I$1400))&gt;0,1,""),0)</f>
        <v>0</v>
      </c>
      <c r="R183" s="247" t="str">
        <f>IF(SUMIFS('Bilateral Assistance, MAIN DATA'!N:N,'Bilateral Assistance, MAIN DATA'!I:I,'Price List, Weapons &amp; Items'!B183)&gt;M183,1,".")</f>
        <v>.</v>
      </c>
    </row>
    <row r="184" spans="2:18" ht="15" customHeight="1" x14ac:dyDescent="0.3">
      <c r="B184" s="185" t="s">
        <v>1402</v>
      </c>
      <c r="C184" s="113" t="s">
        <v>3945</v>
      </c>
      <c r="D184" s="246" t="s">
        <v>4040</v>
      </c>
      <c r="E184" s="199">
        <v>0</v>
      </c>
      <c r="F184" s="199">
        <f t="shared" si="13"/>
        <v>1</v>
      </c>
      <c r="G184" s="629">
        <v>1650000</v>
      </c>
      <c r="H184" s="720" t="str">
        <f t="shared" si="19"/>
        <v>USD</v>
      </c>
      <c r="I184" s="821" t="s">
        <v>4245</v>
      </c>
      <c r="J184" s="155" t="s">
        <v>3975</v>
      </c>
      <c r="K184" s="155" t="s">
        <v>4246</v>
      </c>
      <c r="L184" s="247">
        <f t="shared" si="14"/>
        <v>2</v>
      </c>
      <c r="M184" s="121">
        <f>SUMIFS('Bilateral Assistance, MAIN DATA'!M:M,'Bilateral Assistance, MAIN DATA'!I:I,'Price List, Weapons &amp; Items'!B184)</f>
        <v>40</v>
      </c>
      <c r="N184" s="19">
        <f>COUNTIFS('Bilateral Assistance, MAIN DATA'!M:M,"undisclosed",'Bilateral Assistance, MAIN DATA'!I:I,'Price List, Weapons &amp; Items'!B184)</f>
        <v>0</v>
      </c>
      <c r="O184" s="723">
        <f t="shared" si="15"/>
        <v>66000000</v>
      </c>
      <c r="P184" s="19">
        <f>IFERROR(IF(SEARCH(B184,_xlfn.ARRAYTOTEXT('Bilateral Assistance, MAIN DATA'!I$1:I$1622))&gt;0,1,""),0)</f>
        <v>1</v>
      </c>
      <c r="Q184" s="19">
        <f>IFERROR(IF(SEARCH(B184,_xlfn.ARRAYTOTEXT('Commercial Assistance'!I$1:I$1400))&gt;0,1,""),0)</f>
        <v>0</v>
      </c>
      <c r="R184" s="247" t="str">
        <f>IF(SUMIFS('Bilateral Assistance, MAIN DATA'!N:N,'Bilateral Assistance, MAIN DATA'!I:I,'Price List, Weapons &amp; Items'!B184)&gt;M184,1,".")</f>
        <v>.</v>
      </c>
    </row>
    <row r="185" spans="2:18" ht="15" customHeight="1" x14ac:dyDescent="0.3">
      <c r="B185" s="188" t="s">
        <v>306</v>
      </c>
      <c r="C185" s="113" t="s">
        <v>3945</v>
      </c>
      <c r="D185" s="246" t="s">
        <v>4040</v>
      </c>
      <c r="E185" s="199">
        <v>0</v>
      </c>
      <c r="F185" s="199">
        <f t="shared" si="13"/>
        <v>1</v>
      </c>
      <c r="G185" s="629">
        <v>1650000</v>
      </c>
      <c r="H185" s="720" t="str">
        <f t="shared" si="19"/>
        <v>USD</v>
      </c>
      <c r="I185" s="821" t="s">
        <v>4245</v>
      </c>
      <c r="J185" s="155" t="s">
        <v>3975</v>
      </c>
      <c r="K185" s="155" t="s">
        <v>4247</v>
      </c>
      <c r="L185" s="247">
        <f t="shared" si="14"/>
        <v>2</v>
      </c>
      <c r="M185" s="121">
        <f>SUMIFS('Bilateral Assistance, MAIN DATA'!M:M,'Bilateral Assistance, MAIN DATA'!I:I,'Price List, Weapons &amp; Items'!B185)</f>
        <v>90</v>
      </c>
      <c r="N185" s="19">
        <f>COUNTIFS('Bilateral Assistance, MAIN DATA'!M:M,"undisclosed",'Bilateral Assistance, MAIN DATA'!I:I,'Price List, Weapons &amp; Items'!B185)</f>
        <v>0</v>
      </c>
      <c r="O185" s="723">
        <f t="shared" si="15"/>
        <v>148500000</v>
      </c>
      <c r="P185" s="19">
        <f>IFERROR(IF(SEARCH(B185,_xlfn.ARRAYTOTEXT('Bilateral Assistance, MAIN DATA'!I$1:I$1622))&gt;0,1,""),0)</f>
        <v>1</v>
      </c>
      <c r="Q185" s="19">
        <f>IFERROR(IF(SEARCH(B185,_xlfn.ARRAYTOTEXT('Commercial Assistance'!I$1:I$1400))&gt;0,1,""),0)</f>
        <v>0</v>
      </c>
      <c r="R185" s="247" t="str">
        <f>IF(SUMIFS('Bilateral Assistance, MAIN DATA'!N:N,'Bilateral Assistance, MAIN DATA'!I:I,'Price List, Weapons &amp; Items'!B185)&gt;M185,1,".")</f>
        <v>.</v>
      </c>
    </row>
    <row r="186" spans="2:18" ht="15" customHeight="1" x14ac:dyDescent="0.3">
      <c r="B186" s="17" t="s">
        <v>781</v>
      </c>
      <c r="C186" s="113" t="s">
        <v>3945</v>
      </c>
      <c r="D186" s="246" t="s">
        <v>3962</v>
      </c>
      <c r="E186" s="199">
        <v>1</v>
      </c>
      <c r="F186" s="199">
        <f t="shared" si="13"/>
        <v>1</v>
      </c>
      <c r="G186" s="629">
        <v>1616065.9562782401</v>
      </c>
      <c r="H186" s="720" t="str">
        <f t="shared" si="19"/>
        <v>USD</v>
      </c>
      <c r="I186" s="820" t="s">
        <v>3958</v>
      </c>
      <c r="J186" s="155" t="s">
        <v>3959</v>
      </c>
      <c r="K186" s="155" t="s">
        <v>4248</v>
      </c>
      <c r="L186" s="247">
        <f t="shared" si="14"/>
        <v>2</v>
      </c>
      <c r="M186" s="121">
        <f>SUMIFS('Bilateral Assistance, MAIN DATA'!M:M,'Bilateral Assistance, MAIN DATA'!I:I,'Price List, Weapons &amp; Items'!B186)</f>
        <v>280</v>
      </c>
      <c r="N186" s="19">
        <f>COUNTIFS('Bilateral Assistance, MAIN DATA'!M:M,"undisclosed",'Bilateral Assistance, MAIN DATA'!I:I,'Price List, Weapons &amp; Items'!B186)</f>
        <v>0</v>
      </c>
      <c r="O186" s="723">
        <f t="shared" si="15"/>
        <v>452498467.75790721</v>
      </c>
      <c r="P186" s="19">
        <f>IFERROR(IF(SEARCH(B186,_xlfn.ARRAYTOTEXT('Bilateral Assistance, MAIN DATA'!I$1:I$1622))&gt;0,1,""),0)</f>
        <v>1</v>
      </c>
      <c r="Q186" s="19">
        <f>IFERROR(IF(SEARCH(B186,_xlfn.ARRAYTOTEXT('Commercial Assistance'!I$1:I$1400))&gt;0,1,""),0)</f>
        <v>0</v>
      </c>
      <c r="R186" s="247" t="str">
        <f>IF(SUMIFS('Bilateral Assistance, MAIN DATA'!N:N,'Bilateral Assistance, MAIN DATA'!I:I,'Price List, Weapons &amp; Items'!B186)&gt;M186,1,".")</f>
        <v>.</v>
      </c>
    </row>
    <row r="187" spans="2:18" ht="15" customHeight="1" x14ac:dyDescent="0.3">
      <c r="B187" s="5" t="s">
        <v>795</v>
      </c>
      <c r="C187" s="113" t="s">
        <v>3945</v>
      </c>
      <c r="D187" s="113" t="s">
        <v>4249</v>
      </c>
      <c r="E187" s="15">
        <v>1</v>
      </c>
      <c r="F187" s="199">
        <f t="shared" si="13"/>
        <v>1</v>
      </c>
      <c r="G187" s="629">
        <v>1550000</v>
      </c>
      <c r="H187" s="720" t="str">
        <f t="shared" si="19"/>
        <v>USD</v>
      </c>
      <c r="I187" s="821" t="s">
        <v>4250</v>
      </c>
      <c r="J187" s="155" t="s">
        <v>3967</v>
      </c>
      <c r="K187" s="251" t="s">
        <v>4251</v>
      </c>
      <c r="L187" s="247">
        <f t="shared" si="14"/>
        <v>2</v>
      </c>
      <c r="M187" s="121">
        <f>SUMIFS('Bilateral Assistance, MAIN DATA'!M:M,'Bilateral Assistance, MAIN DATA'!I:I,'Price List, Weapons &amp; Items'!B187)</f>
        <v>20</v>
      </c>
      <c r="N187" s="19">
        <f>COUNTIFS('Bilateral Assistance, MAIN DATA'!M:M,"undisclosed",'Bilateral Assistance, MAIN DATA'!I:I,'Price List, Weapons &amp; Items'!B187)</f>
        <v>0</v>
      </c>
      <c r="O187" s="723">
        <f t="shared" si="15"/>
        <v>31000000</v>
      </c>
      <c r="P187" s="19">
        <f>IFERROR(IF(SEARCH(B187,_xlfn.ARRAYTOTEXT('Bilateral Assistance, MAIN DATA'!I$1:I$1622))&gt;0,1,""),0)</f>
        <v>1</v>
      </c>
      <c r="Q187" s="19">
        <f>IFERROR(IF(SEARCH(B187,_xlfn.ARRAYTOTEXT('Commercial Assistance'!I$1:I$1400))&gt;0,1,""),0)</f>
        <v>0</v>
      </c>
      <c r="R187" s="247" t="str">
        <f>IF(SUMIFS('Bilateral Assistance, MAIN DATA'!N:N,'Bilateral Assistance, MAIN DATA'!I:I,'Price List, Weapons &amp; Items'!B187)&gt;M187,1,".")</f>
        <v>.</v>
      </c>
    </row>
    <row r="188" spans="2:18" ht="15" customHeight="1" x14ac:dyDescent="0.3">
      <c r="B188" s="188" t="s">
        <v>1418</v>
      </c>
      <c r="C188" s="113" t="s">
        <v>3945</v>
      </c>
      <c r="D188" s="246" t="s">
        <v>4252</v>
      </c>
      <c r="E188" s="199">
        <v>0</v>
      </c>
      <c r="F188" s="199">
        <f t="shared" si="13"/>
        <v>0</v>
      </c>
      <c r="G188" s="629">
        <v>1190651.93</v>
      </c>
      <c r="H188" s="720" t="str">
        <f t="shared" si="19"/>
        <v>USD</v>
      </c>
      <c r="I188" s="821" t="s">
        <v>4253</v>
      </c>
      <c r="J188" s="155" t="s">
        <v>3967</v>
      </c>
      <c r="K188" s="155" t="s">
        <v>4254</v>
      </c>
      <c r="L188" s="247">
        <f t="shared" si="14"/>
        <v>2</v>
      </c>
      <c r="M188" s="121">
        <f>SUMIFS('Bilateral Assistance, MAIN DATA'!M:M,'Bilateral Assistance, MAIN DATA'!I:I,'Price List, Weapons &amp; Items'!B188)</f>
        <v>37</v>
      </c>
      <c r="N188" s="19">
        <f>COUNTIFS('Bilateral Assistance, MAIN DATA'!M:M,"undisclosed",'Bilateral Assistance, MAIN DATA'!I:I,'Price List, Weapons &amp; Items'!B188)</f>
        <v>0</v>
      </c>
      <c r="O188" s="723">
        <f t="shared" si="15"/>
        <v>44054121.409999996</v>
      </c>
      <c r="P188" s="19">
        <f>IFERROR(IF(SEARCH(B188,_xlfn.ARRAYTOTEXT('Bilateral Assistance, MAIN DATA'!I$1:I$1622))&gt;0,1,""),0)</f>
        <v>1</v>
      </c>
      <c r="Q188" s="19">
        <f>IFERROR(IF(SEARCH(B188,_xlfn.ARRAYTOTEXT('Commercial Assistance'!I$1:I$1400))&gt;0,1,""),0)</f>
        <v>0</v>
      </c>
      <c r="R188" s="247" t="str">
        <f>IF(SUMIFS('Bilateral Assistance, MAIN DATA'!N:N,'Bilateral Assistance, MAIN DATA'!I:I,'Price List, Weapons &amp; Items'!B188)&gt;M188,1,".")</f>
        <v>.</v>
      </c>
    </row>
    <row r="189" spans="2:18" ht="15" customHeight="1" x14ac:dyDescent="0.3">
      <c r="B189" s="19" t="s">
        <v>2246</v>
      </c>
      <c r="C189" s="17" t="s">
        <v>3945</v>
      </c>
      <c r="D189" s="185" t="s">
        <v>4040</v>
      </c>
      <c r="E189" s="199">
        <v>0</v>
      </c>
      <c r="F189" s="199">
        <f t="shared" si="13"/>
        <v>1</v>
      </c>
      <c r="G189" s="629">
        <v>1187362.3799999999</v>
      </c>
      <c r="H189" s="720" t="str">
        <f t="shared" si="19"/>
        <v>USD</v>
      </c>
      <c r="I189" s="820" t="s">
        <v>3958</v>
      </c>
      <c r="J189" s="155" t="s">
        <v>3959</v>
      </c>
      <c r="K189" s="155" t="s">
        <v>4220</v>
      </c>
      <c r="L189" s="247">
        <f t="shared" si="14"/>
        <v>2</v>
      </c>
      <c r="M189" s="121">
        <f>SUMIFS('Bilateral Assistance, MAIN DATA'!M:M,'Bilateral Assistance, MAIN DATA'!I:I,'Price List, Weapons &amp; Items'!B189)</f>
        <v>14</v>
      </c>
      <c r="N189" s="19">
        <f>COUNTIFS('Bilateral Assistance, MAIN DATA'!M:M,"undisclosed",'Bilateral Assistance, MAIN DATA'!I:I,'Price List, Weapons &amp; Items'!B189)</f>
        <v>0</v>
      </c>
      <c r="O189" s="723">
        <f t="shared" si="15"/>
        <v>16623073.319999998</v>
      </c>
      <c r="P189" s="19">
        <f>IFERROR(IF(SEARCH(B189,_xlfn.ARRAYTOTEXT('Bilateral Assistance, MAIN DATA'!I$1:I$1622))&gt;0,1,""),0)</f>
        <v>1</v>
      </c>
      <c r="Q189" s="19">
        <f>IFERROR(IF(SEARCH(B189,_xlfn.ARRAYTOTEXT('Commercial Assistance'!I$1:I$1400))&gt;0,1,""),0)</f>
        <v>0</v>
      </c>
      <c r="R189" s="247" t="str">
        <f>IF(SUMIFS('Bilateral Assistance, MAIN DATA'!N:N,'Bilateral Assistance, MAIN DATA'!I:I,'Price List, Weapons &amp; Items'!B189)&gt;M189,1,".")</f>
        <v>.</v>
      </c>
    </row>
    <row r="190" spans="2:18" ht="15" customHeight="1" x14ac:dyDescent="0.3">
      <c r="B190" s="185" t="s">
        <v>1559</v>
      </c>
      <c r="C190" s="113" t="s">
        <v>3954</v>
      </c>
      <c r="D190" s="246" t="s">
        <v>956</v>
      </c>
      <c r="E190" s="199">
        <v>0</v>
      </c>
      <c r="F190" s="199">
        <f t="shared" si="13"/>
        <v>0</v>
      </c>
      <c r="G190" s="629">
        <f>1090071*0.95</f>
        <v>1035567.45</v>
      </c>
      <c r="H190" s="720" t="str">
        <f t="shared" si="19"/>
        <v>USD</v>
      </c>
      <c r="I190" s="820" t="s">
        <v>4255</v>
      </c>
      <c r="J190" s="155" t="s">
        <v>3975</v>
      </c>
      <c r="K190" s="155" t="s">
        <v>4256</v>
      </c>
      <c r="L190" s="247">
        <f t="shared" si="14"/>
        <v>2</v>
      </c>
      <c r="M190" s="121">
        <f>SUMIFS('Bilateral Assistance, MAIN DATA'!M:M,'Bilateral Assistance, MAIN DATA'!I:I,'Price List, Weapons &amp; Items'!B190)</f>
        <v>5</v>
      </c>
      <c r="N190" s="19">
        <f>COUNTIFS('Bilateral Assistance, MAIN DATA'!M:M,"undisclosed",'Bilateral Assistance, MAIN DATA'!I:I,'Price List, Weapons &amp; Items'!B190)</f>
        <v>0</v>
      </c>
      <c r="O190" s="723">
        <f t="shared" si="15"/>
        <v>5177837.25</v>
      </c>
      <c r="P190" s="19">
        <f>IFERROR(IF(SEARCH(B190,_xlfn.ARRAYTOTEXT('Bilateral Assistance, MAIN DATA'!I$1:I$1622))&gt;0,1,""),0)</f>
        <v>1</v>
      </c>
      <c r="Q190" s="19">
        <f>IFERROR(IF(SEARCH(B190,_xlfn.ARRAYTOTEXT('Commercial Assistance'!I$1:I$1400))&gt;0,1,""),0)</f>
        <v>0</v>
      </c>
      <c r="R190" s="247" t="str">
        <f>IF(SUMIFS('Bilateral Assistance, MAIN DATA'!N:N,'Bilateral Assistance, MAIN DATA'!I:I,'Price List, Weapons &amp; Items'!B190)&gt;M190,1,".")</f>
        <v>.</v>
      </c>
    </row>
    <row r="191" spans="2:18" ht="15" customHeight="1" x14ac:dyDescent="0.3">
      <c r="B191" s="185" t="s">
        <v>1407</v>
      </c>
      <c r="C191" s="113" t="s">
        <v>3954</v>
      </c>
      <c r="D191" s="246" t="s">
        <v>956</v>
      </c>
      <c r="E191" s="199">
        <v>0</v>
      </c>
      <c r="F191" s="199">
        <f t="shared" si="13"/>
        <v>0</v>
      </c>
      <c r="G191" s="629">
        <f>1090071*0.95</f>
        <v>1035567.45</v>
      </c>
      <c r="H191" s="720" t="str">
        <f t="shared" si="19"/>
        <v>USD</v>
      </c>
      <c r="I191" s="820" t="s">
        <v>4255</v>
      </c>
      <c r="J191" s="155" t="s">
        <v>3975</v>
      </c>
      <c r="K191" s="155" t="s">
        <v>4257</v>
      </c>
      <c r="L191" s="247">
        <f t="shared" si="14"/>
        <v>2</v>
      </c>
      <c r="M191" s="121">
        <f>SUMIFS('Bilateral Assistance, MAIN DATA'!M:M,'Bilateral Assistance, MAIN DATA'!I:I,'Price List, Weapons &amp; Items'!B191)</f>
        <v>340</v>
      </c>
      <c r="N191" s="19">
        <f>COUNTIFS('Bilateral Assistance, MAIN DATA'!M:M,"undisclosed",'Bilateral Assistance, MAIN DATA'!I:I,'Price List, Weapons &amp; Items'!B191)</f>
        <v>0</v>
      </c>
      <c r="O191" s="723">
        <f t="shared" si="15"/>
        <v>352092933</v>
      </c>
      <c r="P191" s="19">
        <f>IFERROR(IF(SEARCH(B191,_xlfn.ARRAYTOTEXT('Bilateral Assistance, MAIN DATA'!I$1:I$1622))&gt;0,1,""),0)</f>
        <v>1</v>
      </c>
      <c r="Q191" s="19">
        <f>IFERROR(IF(SEARCH(B191,_xlfn.ARRAYTOTEXT('Commercial Assistance'!I$1:I$1400))&gt;0,1,""),0)</f>
        <v>0</v>
      </c>
      <c r="R191" s="247" t="str">
        <f>IF(SUMIFS('Bilateral Assistance, MAIN DATA'!N:N,'Bilateral Assistance, MAIN DATA'!I:I,'Price List, Weapons &amp; Items'!B191)&gt;M191,1,".")</f>
        <v>.</v>
      </c>
    </row>
    <row r="192" spans="2:18" ht="15" customHeight="1" x14ac:dyDescent="0.3">
      <c r="B192" s="175" t="s">
        <v>1340</v>
      </c>
      <c r="C192" s="113" t="s">
        <v>3945</v>
      </c>
      <c r="D192" s="246" t="s">
        <v>4258</v>
      </c>
      <c r="E192" s="199">
        <v>0</v>
      </c>
      <c r="F192" s="199">
        <f t="shared" si="13"/>
        <v>1</v>
      </c>
      <c r="G192" s="629">
        <v>934237.75</v>
      </c>
      <c r="H192" s="720" t="str">
        <f t="shared" si="19"/>
        <v>USD</v>
      </c>
      <c r="I192" s="821" t="s">
        <v>3958</v>
      </c>
      <c r="J192" s="155" t="s">
        <v>3959</v>
      </c>
      <c r="K192" s="155" t="s">
        <v>4220</v>
      </c>
      <c r="L192" s="247">
        <f t="shared" si="14"/>
        <v>2</v>
      </c>
      <c r="M192" s="121">
        <f>SUMIFS('Bilateral Assistance, MAIN DATA'!M:M,'Bilateral Assistance, MAIN DATA'!I:I,'Price List, Weapons &amp; Items'!B192)</f>
        <v>15</v>
      </c>
      <c r="N192" s="19">
        <f>COUNTIFS('Bilateral Assistance, MAIN DATA'!M:M,"undisclosed",'Bilateral Assistance, MAIN DATA'!I:I,'Price List, Weapons &amp; Items'!B192)</f>
        <v>0</v>
      </c>
      <c r="O192" s="723">
        <f t="shared" si="15"/>
        <v>14013566.25</v>
      </c>
      <c r="P192" s="19">
        <f>IFERROR(IF(SEARCH(B192,_xlfn.ARRAYTOTEXT('Bilateral Assistance, MAIN DATA'!I$1:I$1622))&gt;0,1,""),0)</f>
        <v>1</v>
      </c>
      <c r="Q192" s="19">
        <f>IFERROR(IF(SEARCH(B192,_xlfn.ARRAYTOTEXT('Commercial Assistance'!I$1:I$1400))&gt;0,1,""),0)</f>
        <v>0</v>
      </c>
      <c r="R192" s="247" t="str">
        <f>IF(SUMIFS('Bilateral Assistance, MAIN DATA'!N:N,'Bilateral Assistance, MAIN DATA'!I:I,'Price List, Weapons &amp; Items'!B192)&gt;M192,1,".")</f>
        <v>.</v>
      </c>
    </row>
    <row r="193" spans="2:18" ht="15" customHeight="1" x14ac:dyDescent="0.3">
      <c r="B193" s="188" t="s">
        <v>2412</v>
      </c>
      <c r="C193" s="113" t="s">
        <v>3945</v>
      </c>
      <c r="D193" s="246" t="s">
        <v>3401</v>
      </c>
      <c r="E193" s="199">
        <v>0</v>
      </c>
      <c r="F193" s="199">
        <f t="shared" si="13"/>
        <v>1</v>
      </c>
      <c r="G193" s="629">
        <v>865844.75623838219</v>
      </c>
      <c r="H193" s="720" t="str">
        <f t="shared" si="19"/>
        <v>USD</v>
      </c>
      <c r="I193" s="834" t="s">
        <v>3958</v>
      </c>
      <c r="J193" s="155" t="s">
        <v>3959</v>
      </c>
      <c r="K193" s="251" t="s">
        <v>4259</v>
      </c>
      <c r="L193" s="247">
        <f t="shared" si="14"/>
        <v>2</v>
      </c>
      <c r="M193" s="121">
        <f>SUMIFS('Bilateral Assistance, MAIN DATA'!M:M,'Bilateral Assistance, MAIN DATA'!I:I,'Price List, Weapons &amp; Items'!B193)</f>
        <v>5</v>
      </c>
      <c r="N193" s="19">
        <f>COUNTIFS('Bilateral Assistance, MAIN DATA'!M:M,"undisclosed",'Bilateral Assistance, MAIN DATA'!I:I,'Price List, Weapons &amp; Items'!B193)</f>
        <v>0</v>
      </c>
      <c r="O193" s="723">
        <f t="shared" si="15"/>
        <v>4329223.7811919106</v>
      </c>
      <c r="P193" s="19">
        <f>IFERROR(IF(SEARCH(B193,_xlfn.ARRAYTOTEXT('Bilateral Assistance, MAIN DATA'!I$1:I$1622))&gt;0,1,""),0)</f>
        <v>1</v>
      </c>
      <c r="Q193" s="19">
        <f>IFERROR(IF(SEARCH(B193,_xlfn.ARRAYTOTEXT('Commercial Assistance'!I$1:I$1400))&gt;0,1,""),0)</f>
        <v>0</v>
      </c>
      <c r="R193" s="247" t="str">
        <f>IF(SUMIFS('Bilateral Assistance, MAIN DATA'!N:N,'Bilateral Assistance, MAIN DATA'!I:I,'Price List, Weapons &amp; Items'!B193)&gt;M193,1,".")</f>
        <v>.</v>
      </c>
    </row>
    <row r="194" spans="2:18" ht="15" customHeight="1" x14ac:dyDescent="0.3">
      <c r="B194" s="175" t="s">
        <v>897</v>
      </c>
      <c r="C194" s="113" t="s">
        <v>3954</v>
      </c>
      <c r="D194" s="246" t="s">
        <v>956</v>
      </c>
      <c r="E194" s="199">
        <v>0</v>
      </c>
      <c r="F194" s="199">
        <f t="shared" si="13"/>
        <v>0</v>
      </c>
      <c r="G194" s="629">
        <v>850000</v>
      </c>
      <c r="H194" s="720" t="str">
        <f t="shared" si="19"/>
        <v>USD</v>
      </c>
      <c r="I194" s="821" t="s">
        <v>4260</v>
      </c>
      <c r="J194" s="155" t="s">
        <v>3967</v>
      </c>
      <c r="K194" s="250" t="s">
        <v>4261</v>
      </c>
      <c r="L194" s="247">
        <f t="shared" si="14"/>
        <v>2</v>
      </c>
      <c r="M194" s="121">
        <f>SUMIFS('Bilateral Assistance, MAIN DATA'!M:M,'Bilateral Assistance, MAIN DATA'!I:I,'Price List, Weapons &amp; Items'!B194)</f>
        <v>25</v>
      </c>
      <c r="N194" s="19">
        <f>COUNTIFS('Bilateral Assistance, MAIN DATA'!M:M,"undisclosed",'Bilateral Assistance, MAIN DATA'!I:I,'Price List, Weapons &amp; Items'!B194)</f>
        <v>0</v>
      </c>
      <c r="O194" s="723">
        <f t="shared" si="15"/>
        <v>21250000</v>
      </c>
      <c r="P194" s="19">
        <f>IFERROR(IF(SEARCH(B194,_xlfn.ARRAYTOTEXT('Bilateral Assistance, MAIN DATA'!I$1:I$1622))&gt;0,1,""),0)</f>
        <v>1</v>
      </c>
      <c r="Q194" s="19">
        <f>IFERROR(IF(SEARCH(B194,_xlfn.ARRAYTOTEXT('Commercial Assistance'!I$1:I$1400))&gt;0,1,""),0)</f>
        <v>0</v>
      </c>
      <c r="R194" s="247" t="str">
        <f>IF(SUMIFS('Bilateral Assistance, MAIN DATA'!N:N,'Bilateral Assistance, MAIN DATA'!I:I,'Price List, Weapons &amp; Items'!B194)&gt;M194,1,".")</f>
        <v>.</v>
      </c>
    </row>
    <row r="195" spans="2:18" ht="15" customHeight="1" x14ac:dyDescent="0.3">
      <c r="B195" s="188" t="s">
        <v>2929</v>
      </c>
      <c r="C195" s="113" t="s">
        <v>3945</v>
      </c>
      <c r="D195" s="113" t="s">
        <v>3957</v>
      </c>
      <c r="E195" s="15">
        <v>0</v>
      </c>
      <c r="F195" s="199">
        <f t="shared" si="13"/>
        <v>1</v>
      </c>
      <c r="G195" s="629">
        <v>743989.18081292231</v>
      </c>
      <c r="H195" s="720" t="str">
        <f t="shared" si="19"/>
        <v>USD</v>
      </c>
      <c r="I195" s="819" t="s">
        <v>3958</v>
      </c>
      <c r="J195" s="155" t="s">
        <v>3959</v>
      </c>
      <c r="K195" s="251" t="s">
        <v>3960</v>
      </c>
      <c r="L195" s="247">
        <f t="shared" si="14"/>
        <v>2</v>
      </c>
      <c r="M195" s="121">
        <f>SUMIFS('Bilateral Assistance, MAIN DATA'!M:M,'Bilateral Assistance, MAIN DATA'!I:I,'Price List, Weapons &amp; Items'!B195)</f>
        <v>80</v>
      </c>
      <c r="N195" s="19">
        <f>COUNTIFS('Bilateral Assistance, MAIN DATA'!M:M,"undisclosed",'Bilateral Assistance, MAIN DATA'!I:I,'Price List, Weapons &amp; Items'!B195)</f>
        <v>0</v>
      </c>
      <c r="O195" s="723">
        <f t="shared" si="15"/>
        <v>59519134.465033785</v>
      </c>
      <c r="P195" s="19">
        <f>IFERROR(IF(SEARCH(B195,_xlfn.ARRAYTOTEXT('Bilateral Assistance, MAIN DATA'!I$1:I$1622))&gt;0,1,""),0)</f>
        <v>1</v>
      </c>
      <c r="Q195" s="19">
        <f>IFERROR(IF(SEARCH(B195,_xlfn.ARRAYTOTEXT('Commercial Assistance'!I$1:I$1400))&gt;0,1,""),0)</f>
        <v>0</v>
      </c>
      <c r="R195" s="247" t="str">
        <f>IF(SUMIFS('Bilateral Assistance, MAIN DATA'!N:N,'Bilateral Assistance, MAIN DATA'!I:I,'Price List, Weapons &amp; Items'!B195)&gt;M195,1,".")</f>
        <v>.</v>
      </c>
    </row>
    <row r="196" spans="2:18" ht="15" customHeight="1" x14ac:dyDescent="0.3">
      <c r="B196" s="175" t="s">
        <v>2600</v>
      </c>
      <c r="C196" s="113" t="s">
        <v>3945</v>
      </c>
      <c r="D196" s="113" t="s">
        <v>4043</v>
      </c>
      <c r="E196" s="199">
        <v>1</v>
      </c>
      <c r="F196" s="199">
        <f t="shared" si="13"/>
        <v>1</v>
      </c>
      <c r="G196" s="629">
        <v>709034.8872</v>
      </c>
      <c r="H196" s="721" t="s">
        <v>346</v>
      </c>
      <c r="I196" s="826" t="s">
        <v>3958</v>
      </c>
      <c r="J196" s="155" t="s">
        <v>3959</v>
      </c>
      <c r="K196" s="258" t="s">
        <v>4033</v>
      </c>
      <c r="L196" s="247">
        <f t="shared" si="14"/>
        <v>2</v>
      </c>
      <c r="M196" s="121">
        <f>SUMIFS('Bilateral Assistance, MAIN DATA'!M:M,'Bilateral Assistance, MAIN DATA'!I:I,'Price List, Weapons &amp; Items'!B196)</f>
        <v>35</v>
      </c>
      <c r="N196" s="19">
        <f>COUNTIFS('Bilateral Assistance, MAIN DATA'!M:M,"undisclosed",'Bilateral Assistance, MAIN DATA'!I:I,'Price List, Weapons &amp; Items'!B196)</f>
        <v>0</v>
      </c>
      <c r="O196" s="723">
        <f t="shared" si="15"/>
        <v>24816221.052000001</v>
      </c>
      <c r="P196" s="19">
        <f>IFERROR(IF(SEARCH(B196,_xlfn.ARRAYTOTEXT('Bilateral Assistance, MAIN DATA'!I$1:I$1622))&gt;0,1,""),0)</f>
        <v>1</v>
      </c>
      <c r="Q196" s="19">
        <f>IFERROR(IF(SEARCH(B196,_xlfn.ARRAYTOTEXT('Commercial Assistance'!I$1:I$1400))&gt;0,1,""),0)</f>
        <v>0</v>
      </c>
      <c r="R196" s="247" t="str">
        <f>IF(SUMIFS('Bilateral Assistance, MAIN DATA'!N:N,'Bilateral Assistance, MAIN DATA'!I:I,'Price List, Weapons &amp; Items'!B196)&gt;M196,1,".")</f>
        <v>.</v>
      </c>
    </row>
    <row r="197" spans="2:18" ht="15" customHeight="1" x14ac:dyDescent="0.3">
      <c r="B197" s="175" t="s">
        <v>4262</v>
      </c>
      <c r="C197" s="113" t="s">
        <v>3942</v>
      </c>
      <c r="D197" s="246" t="s">
        <v>3943</v>
      </c>
      <c r="E197" s="199">
        <v>0</v>
      </c>
      <c r="F197" s="199">
        <f t="shared" si="13"/>
        <v>1</v>
      </c>
      <c r="G197" s="629">
        <v>704613.12</v>
      </c>
      <c r="H197" s="720" t="str">
        <f>IF(G197&lt;&gt;".","USD",".")</f>
        <v>USD</v>
      </c>
      <c r="I197" s="821" t="s">
        <v>4263</v>
      </c>
      <c r="J197" s="155" t="s">
        <v>4008</v>
      </c>
      <c r="K197" s="155" t="s">
        <v>4264</v>
      </c>
      <c r="L197" s="247">
        <f t="shared" si="14"/>
        <v>2</v>
      </c>
      <c r="M197" s="121">
        <f>SUMIFS('Bilateral Assistance, MAIN DATA'!M:M,'Bilateral Assistance, MAIN DATA'!I:I,'Price List, Weapons &amp; Items'!B197)</f>
        <v>10</v>
      </c>
      <c r="N197" s="19">
        <f>COUNTIFS('Bilateral Assistance, MAIN DATA'!M:M,"undisclosed",'Bilateral Assistance, MAIN DATA'!I:I,'Price List, Weapons &amp; Items'!B197)</f>
        <v>0</v>
      </c>
      <c r="O197" s="723">
        <f t="shared" si="15"/>
        <v>7046131.2000000002</v>
      </c>
      <c r="P197" s="19">
        <f>IFERROR(IF(SEARCH(B197,_xlfn.ARRAYTOTEXT('Bilateral Assistance, MAIN DATA'!I$1:I$1622))&gt;0,1,""),0)</f>
        <v>1</v>
      </c>
      <c r="Q197" s="19">
        <f>IFERROR(IF(SEARCH(B197,_xlfn.ARRAYTOTEXT('Commercial Assistance'!I$1:I$1400))&gt;0,1,""),0)</f>
        <v>0</v>
      </c>
      <c r="R197" s="247" t="str">
        <f>IF(SUMIFS('Bilateral Assistance, MAIN DATA'!N:N,'Bilateral Assistance, MAIN DATA'!I:I,'Price List, Weapons &amp; Items'!B197)&gt;M197,1,".")</f>
        <v>.</v>
      </c>
    </row>
    <row r="198" spans="2:18" ht="15" customHeight="1" x14ac:dyDescent="0.3">
      <c r="B198" s="17" t="s">
        <v>2219</v>
      </c>
      <c r="C198" s="113" t="s">
        <v>3942</v>
      </c>
      <c r="D198" s="246" t="s">
        <v>4117</v>
      </c>
      <c r="E198" s="15">
        <v>0</v>
      </c>
      <c r="F198" s="199">
        <f t="shared" si="13"/>
        <v>0</v>
      </c>
      <c r="G198" s="629">
        <v>692355.45178616967</v>
      </c>
      <c r="H198" s="720" t="str">
        <f>IF(G198&lt;&gt;".","USD",".")</f>
        <v>USD</v>
      </c>
      <c r="I198" s="835" t="s">
        <v>3958</v>
      </c>
      <c r="J198" s="155" t="s">
        <v>3959</v>
      </c>
      <c r="K198" s="251" t="s">
        <v>4265</v>
      </c>
      <c r="L198" s="247">
        <f t="shared" si="14"/>
        <v>2</v>
      </c>
      <c r="M198" s="121">
        <f>SUMIFS('Bilateral Assistance, MAIN DATA'!M:M,'Bilateral Assistance, MAIN DATA'!I:I,'Price List, Weapons &amp; Items'!B198)</f>
        <v>100</v>
      </c>
      <c r="N198" s="19">
        <f>COUNTIFS('Bilateral Assistance, MAIN DATA'!M:M,"undisclosed",'Bilateral Assistance, MAIN DATA'!I:I,'Price List, Weapons &amp; Items'!B198)</f>
        <v>0</v>
      </c>
      <c r="O198" s="723">
        <f t="shared" si="15"/>
        <v>69235545.178616971</v>
      </c>
      <c r="P198" s="19">
        <f>IFERROR(IF(SEARCH(B198,_xlfn.ARRAYTOTEXT('Bilateral Assistance, MAIN DATA'!I$1:I$1622))&gt;0,1,""),0)</f>
        <v>1</v>
      </c>
      <c r="Q198" s="19">
        <f>IFERROR(IF(SEARCH(B198,_xlfn.ARRAYTOTEXT('Commercial Assistance'!I$1:I$1400))&gt;0,1,""),0)</f>
        <v>0</v>
      </c>
      <c r="R198" s="247" t="str">
        <f>IF(SUMIFS('Bilateral Assistance, MAIN DATA'!N:N,'Bilateral Assistance, MAIN DATA'!I:I,'Price List, Weapons &amp; Items'!B198)&gt;M198,1,".")</f>
        <v>.</v>
      </c>
    </row>
    <row r="199" spans="2:18" ht="15" customHeight="1" x14ac:dyDescent="0.3">
      <c r="B199" s="175" t="s">
        <v>1908</v>
      </c>
      <c r="C199" s="113" t="s">
        <v>3954</v>
      </c>
      <c r="D199" s="246" t="s">
        <v>4266</v>
      </c>
      <c r="E199" s="199">
        <v>1</v>
      </c>
      <c r="F199" s="199">
        <f t="shared" si="13"/>
        <v>0</v>
      </c>
      <c r="G199" s="629">
        <v>650000</v>
      </c>
      <c r="H199" s="720" t="str">
        <f>IF(G199&lt;&gt;".","USD",".")</f>
        <v>USD</v>
      </c>
      <c r="I199" s="836" t="s">
        <v>4267</v>
      </c>
      <c r="J199" s="155" t="s">
        <v>3971</v>
      </c>
      <c r="K199" s="155" t="s">
        <v>4268</v>
      </c>
      <c r="L199" s="247">
        <f t="shared" si="14"/>
        <v>2</v>
      </c>
      <c r="M199" s="121">
        <f>SUMIFS('Bilateral Assistance, MAIN DATA'!M:M,'Bilateral Assistance, MAIN DATA'!I:I,'Price List, Weapons &amp; Items'!B199)</f>
        <v>3</v>
      </c>
      <c r="N199" s="19">
        <f>COUNTIFS('Bilateral Assistance, MAIN DATA'!M:M,"undisclosed",'Bilateral Assistance, MAIN DATA'!I:I,'Price List, Weapons &amp; Items'!B199)</f>
        <v>0</v>
      </c>
      <c r="O199" s="723">
        <f t="shared" si="15"/>
        <v>1950000</v>
      </c>
      <c r="P199" s="19">
        <f>IFERROR(IF(SEARCH(B199,_xlfn.ARRAYTOTEXT('Bilateral Assistance, MAIN DATA'!I$1:I$1622))&gt;0,1,""),0)</f>
        <v>1</v>
      </c>
      <c r="Q199" s="19">
        <f>IFERROR(IF(SEARCH(B199,_xlfn.ARRAYTOTEXT('Commercial Assistance'!I$1:I$1400))&gt;0,1,""),0)</f>
        <v>0</v>
      </c>
      <c r="R199" s="247" t="str">
        <f>IF(SUMIFS('Bilateral Assistance, MAIN DATA'!N:N,'Bilateral Assistance, MAIN DATA'!I:I,'Price List, Weapons &amp; Items'!B199)&gt;M199,1,".")</f>
        <v>.</v>
      </c>
    </row>
    <row r="200" spans="2:18" ht="15" customHeight="1" x14ac:dyDescent="0.3">
      <c r="B200" s="17" t="s">
        <v>1641</v>
      </c>
      <c r="C200" s="113" t="s">
        <v>3945</v>
      </c>
      <c r="D200" s="113" t="s">
        <v>4043</v>
      </c>
      <c r="E200" s="15">
        <v>1</v>
      </c>
      <c r="F200" s="199">
        <f t="shared" si="13"/>
        <v>1</v>
      </c>
      <c r="G200" s="629">
        <v>561542.53</v>
      </c>
      <c r="H200" s="720" t="str">
        <f>IF(G200&lt;&gt;".","USD",".")</f>
        <v>USD</v>
      </c>
      <c r="I200" s="819" t="s">
        <v>3958</v>
      </c>
      <c r="J200" s="155" t="s">
        <v>3959</v>
      </c>
      <c r="K200" s="251" t="s">
        <v>4269</v>
      </c>
      <c r="L200" s="247">
        <f t="shared" si="14"/>
        <v>2</v>
      </c>
      <c r="M200" s="121">
        <f>SUMIFS('Bilateral Assistance, MAIN DATA'!M:M,'Bilateral Assistance, MAIN DATA'!I:I,'Price List, Weapons &amp; Items'!B200)</f>
        <v>110</v>
      </c>
      <c r="N200" s="19">
        <f>COUNTIFS('Bilateral Assistance, MAIN DATA'!M:M,"undisclosed",'Bilateral Assistance, MAIN DATA'!I:I,'Price List, Weapons &amp; Items'!B200)</f>
        <v>0</v>
      </c>
      <c r="O200" s="723">
        <f t="shared" si="15"/>
        <v>61769678.300000004</v>
      </c>
      <c r="P200" s="19">
        <f>IFERROR(IF(SEARCH(B200,_xlfn.ARRAYTOTEXT('Bilateral Assistance, MAIN DATA'!I$1:I$1622))&gt;0,1,""),0)</f>
        <v>1</v>
      </c>
      <c r="Q200" s="19">
        <f>IFERROR(IF(SEARCH(B200,_xlfn.ARRAYTOTEXT('Commercial Assistance'!I$1:I$1400))&gt;0,1,""),0)</f>
        <v>0</v>
      </c>
      <c r="R200" s="247" t="str">
        <f>IF(SUMIFS('Bilateral Assistance, MAIN DATA'!N:N,'Bilateral Assistance, MAIN DATA'!I:I,'Price List, Weapons &amp; Items'!B200)&gt;M200,1,".")</f>
        <v>.</v>
      </c>
    </row>
    <row r="201" spans="2:18" ht="15" customHeight="1" x14ac:dyDescent="0.3">
      <c r="B201" s="175" t="s">
        <v>2404</v>
      </c>
      <c r="C201" s="113" t="s">
        <v>812</v>
      </c>
      <c r="D201" s="246" t="s">
        <v>4040</v>
      </c>
      <c r="E201" s="199">
        <v>0</v>
      </c>
      <c r="F201" s="199">
        <f t="shared" si="13"/>
        <v>1</v>
      </c>
      <c r="G201" s="629">
        <f>500000*1.2114</f>
        <v>605700</v>
      </c>
      <c r="H201" s="720" t="s">
        <v>346</v>
      </c>
      <c r="I201" s="821" t="s">
        <v>4041</v>
      </c>
      <c r="J201" s="155" t="s">
        <v>3967</v>
      </c>
      <c r="K201" s="155" t="s">
        <v>4270</v>
      </c>
      <c r="L201" s="247">
        <f t="shared" si="14"/>
        <v>2</v>
      </c>
      <c r="M201" s="121">
        <f>SUMIFS('Bilateral Assistance, MAIN DATA'!M:M,'Bilateral Assistance, MAIN DATA'!I:I,'Price List, Weapons &amp; Items'!B201)</f>
        <v>4</v>
      </c>
      <c r="N201" s="19">
        <f>COUNTIFS('Bilateral Assistance, MAIN DATA'!M:M,"undisclosed",'Bilateral Assistance, MAIN DATA'!I:I,'Price List, Weapons &amp; Items'!B201)</f>
        <v>0</v>
      </c>
      <c r="O201" s="723">
        <f t="shared" si="15"/>
        <v>2422800</v>
      </c>
      <c r="P201" s="19">
        <f>IFERROR(IF(SEARCH(B201,_xlfn.ARRAYTOTEXT('Bilateral Assistance, MAIN DATA'!I$1:I$1622))&gt;0,1,""),0)</f>
        <v>1</v>
      </c>
      <c r="Q201" s="19">
        <f>IFERROR(IF(SEARCH(B201,_xlfn.ARRAYTOTEXT('Commercial Assistance'!I$1:I$1400))&gt;0,1,""),0)</f>
        <v>0</v>
      </c>
      <c r="R201" s="247" t="str">
        <f>IF(SUMIFS('Bilateral Assistance, MAIN DATA'!N:N,'Bilateral Assistance, MAIN DATA'!I:I,'Price List, Weapons &amp; Items'!B201)&gt;M201,1,".")</f>
        <v>.</v>
      </c>
    </row>
    <row r="202" spans="2:18" ht="15" customHeight="1" x14ac:dyDescent="0.3">
      <c r="B202" s="175" t="s">
        <v>2687</v>
      </c>
      <c r="C202" s="113" t="s">
        <v>3945</v>
      </c>
      <c r="D202" s="246" t="s">
        <v>4271</v>
      </c>
      <c r="E202" s="199">
        <v>0</v>
      </c>
      <c r="F202" s="199">
        <f t="shared" si="13"/>
        <v>0</v>
      </c>
      <c r="G202" s="19">
        <v>5170000</v>
      </c>
      <c r="H202" s="720" t="str">
        <f t="shared" ref="H202:H211" si="20">IF(G202&lt;&gt;".","USD",".")</f>
        <v>USD</v>
      </c>
      <c r="I202" s="977" t="s">
        <v>4272</v>
      </c>
      <c r="J202" s="155" t="s">
        <v>3967</v>
      </c>
      <c r="K202" s="19" t="s">
        <v>4273</v>
      </c>
      <c r="L202" s="247">
        <f t="shared" si="14"/>
        <v>2</v>
      </c>
      <c r="M202" s="121">
        <f>SUMIFS('Bilateral Assistance, MAIN DATA'!M:M,'Bilateral Assistance, MAIN DATA'!I:I,'Price List, Weapons &amp; Items'!B202)</f>
        <v>32</v>
      </c>
      <c r="N202" s="19">
        <f>COUNTIFS('Bilateral Assistance, MAIN DATA'!M:M,"undisclosed",'Bilateral Assistance, MAIN DATA'!I:I,'Price List, Weapons &amp; Items'!B202)</f>
        <v>1</v>
      </c>
      <c r="O202" s="723">
        <f t="shared" si="15"/>
        <v>165440000</v>
      </c>
      <c r="P202" s="19">
        <f>IFERROR(IF(SEARCH(B202,_xlfn.ARRAYTOTEXT('Bilateral Assistance, MAIN DATA'!I$1:I$1622))&gt;0,1,""),0)</f>
        <v>1</v>
      </c>
      <c r="Q202" s="19">
        <f>IFERROR(IF(SEARCH(B202,_xlfn.ARRAYTOTEXT('Commercial Assistance'!I$1:I$1400))&gt;0,1,""),0)</f>
        <v>1</v>
      </c>
      <c r="R202" s="247" t="str">
        <f>IF(SUMIFS('Bilateral Assistance, MAIN DATA'!N:N,'Bilateral Assistance, MAIN DATA'!I:I,'Price List, Weapons &amp; Items'!B202)&gt;M202,1,".")</f>
        <v>.</v>
      </c>
    </row>
    <row r="203" spans="2:18" ht="15" customHeight="1" x14ac:dyDescent="0.3">
      <c r="B203" s="175" t="s">
        <v>318</v>
      </c>
      <c r="C203" s="113" t="s">
        <v>3945</v>
      </c>
      <c r="D203" s="246" t="s">
        <v>3401</v>
      </c>
      <c r="E203" s="199">
        <v>0</v>
      </c>
      <c r="F203" s="199">
        <f t="shared" si="13"/>
        <v>1</v>
      </c>
      <c r="G203" s="629">
        <v>5170000</v>
      </c>
      <c r="H203" s="720" t="str">
        <f t="shared" si="20"/>
        <v>USD</v>
      </c>
      <c r="I203" s="820" t="s">
        <v>3985</v>
      </c>
      <c r="J203" s="155" t="s">
        <v>3967</v>
      </c>
      <c r="K203" s="155" t="s">
        <v>4274</v>
      </c>
      <c r="L203" s="247">
        <f t="shared" si="14"/>
        <v>2</v>
      </c>
      <c r="M203" s="121">
        <f>SUMIFS('Bilateral Assistance, MAIN DATA'!M:M,'Bilateral Assistance, MAIN DATA'!I:I,'Price List, Weapons &amp; Items'!B203)</f>
        <v>136</v>
      </c>
      <c r="N203" s="19">
        <f>COUNTIFS('Bilateral Assistance, MAIN DATA'!M:M,"undisclosed",'Bilateral Assistance, MAIN DATA'!I:I,'Price List, Weapons &amp; Items'!B203)</f>
        <v>0</v>
      </c>
      <c r="O203" s="723">
        <f t="shared" si="15"/>
        <v>703120000</v>
      </c>
      <c r="P203" s="19">
        <f>IFERROR(IF(SEARCH(B203,_xlfn.ARRAYTOTEXT('Bilateral Assistance, MAIN DATA'!I$1:I$1622))&gt;0,1,""),0)</f>
        <v>1</v>
      </c>
      <c r="Q203" s="19">
        <f>IFERROR(IF(SEARCH(B203,_xlfn.ARRAYTOTEXT('Commercial Assistance'!I$1:I$1400))&gt;0,1,""),0)</f>
        <v>0</v>
      </c>
      <c r="R203" s="247" t="str">
        <f>IF(SUMIFS('Bilateral Assistance, MAIN DATA'!N:N,'Bilateral Assistance, MAIN DATA'!I:I,'Price List, Weapons &amp; Items'!B203)&gt;M203,1,".")</f>
        <v>.</v>
      </c>
    </row>
    <row r="204" spans="2:18" ht="15" customHeight="1" x14ac:dyDescent="0.3">
      <c r="B204" s="175" t="s">
        <v>2667</v>
      </c>
      <c r="C204" s="113" t="s">
        <v>812</v>
      </c>
      <c r="D204" s="246" t="s">
        <v>4040</v>
      </c>
      <c r="E204" s="199">
        <v>0</v>
      </c>
      <c r="F204" s="199">
        <f t="shared" ref="F204:F234" si="21">IF(OR(D204="Armoured Personnel Carrier (APC)",D204="Armoured Recovery Vehicle (ARV)",D204="Armoured Utility Vehicle (AUV)",D204="152mm howitzer ammunition",D204="155mm howitzer ammunition",D204="300mm MLRS ammunition",D204="155mm howitzer",D204="227mm MLRS ammunition",D204="Infantry fighting vehicle (IFV)",D204="152mm howitzer",D204="227mm MLRS",D204="Main Battle Tank (MBT)",D204="Protected Patrol Vehicle (PPV)",D204="127mm MLRS",D204="122mm MLRS",D204="122mm MLRS ammunition",D204="122mm MLRS",D204="127mm MLRS",D204="127mm MLRS ammunition")=TRUE,1,0)</f>
        <v>1</v>
      </c>
      <c r="G204" s="629">
        <v>461730</v>
      </c>
      <c r="H204" s="720" t="str">
        <f t="shared" si="20"/>
        <v>USD</v>
      </c>
      <c r="I204" s="821" t="s">
        <v>4275</v>
      </c>
      <c r="J204" s="155" t="s">
        <v>3964</v>
      </c>
      <c r="K204" s="155" t="s">
        <v>4276</v>
      </c>
      <c r="L204" s="247">
        <f t="shared" ref="L204:L267" si="22">IF(C204="Humanitarian",0,IF(M204&gt;0,IF(TYPE(O204)=1,IF(O204&gt;MEDIAN(O:O),2,1),0),"no price, 0 count"))</f>
        <v>2</v>
      </c>
      <c r="M204" s="121">
        <f>SUMIFS('Bilateral Assistance, MAIN DATA'!M:M,'Bilateral Assistance, MAIN DATA'!I:I,'Price List, Weapons &amp; Items'!B204)</f>
        <v>21</v>
      </c>
      <c r="N204" s="19">
        <f>COUNTIFS('Bilateral Assistance, MAIN DATA'!M:M,"undisclosed",'Bilateral Assistance, MAIN DATA'!I:I,'Price List, Weapons &amp; Items'!B204)</f>
        <v>0</v>
      </c>
      <c r="O204" s="723">
        <f t="shared" ref="O204:O267" si="23">IFERROR(M204*G204,"no price")</f>
        <v>9696330</v>
      </c>
      <c r="P204" s="19">
        <f>IFERROR(IF(SEARCH(B204,_xlfn.ARRAYTOTEXT('Bilateral Assistance, MAIN DATA'!I$1:I$1622))&gt;0,1,""),0)</f>
        <v>1</v>
      </c>
      <c r="Q204" s="19">
        <f>IFERROR(IF(SEARCH(B204,_xlfn.ARRAYTOTEXT('Commercial Assistance'!I$1:I$1400))&gt;0,1,""),0)</f>
        <v>0</v>
      </c>
      <c r="R204" s="247" t="str">
        <f>IF(SUMIFS('Bilateral Assistance, MAIN DATA'!N:N,'Bilateral Assistance, MAIN DATA'!I:I,'Price List, Weapons &amp; Items'!B204)&gt;M204,1,".")</f>
        <v>.</v>
      </c>
    </row>
    <row r="205" spans="2:18" ht="15" customHeight="1" x14ac:dyDescent="0.3">
      <c r="B205" s="188" t="s">
        <v>3336</v>
      </c>
      <c r="C205" s="113" t="s">
        <v>812</v>
      </c>
      <c r="D205" s="246" t="s">
        <v>4064</v>
      </c>
      <c r="E205" s="199">
        <v>0</v>
      </c>
      <c r="F205" s="199">
        <f t="shared" si="21"/>
        <v>0</v>
      </c>
      <c r="G205" s="629">
        <v>390000</v>
      </c>
      <c r="H205" s="720" t="str">
        <f t="shared" si="20"/>
        <v>USD</v>
      </c>
      <c r="I205" s="820" t="s">
        <v>4277</v>
      </c>
      <c r="J205" s="155" t="s">
        <v>3967</v>
      </c>
      <c r="K205" s="155" t="s">
        <v>4278</v>
      </c>
      <c r="L205" s="247">
        <f t="shared" si="22"/>
        <v>2</v>
      </c>
      <c r="M205" s="121">
        <f>SUMIFS('Bilateral Assistance, MAIN DATA'!M:M,'Bilateral Assistance, MAIN DATA'!I:I,'Price List, Weapons &amp; Items'!B205)</f>
        <v>40</v>
      </c>
      <c r="N205" s="19">
        <f>COUNTIFS('Bilateral Assistance, MAIN DATA'!M:M,"undisclosed",'Bilateral Assistance, MAIN DATA'!I:I,'Price List, Weapons &amp; Items'!B205)</f>
        <v>0</v>
      </c>
      <c r="O205" s="723">
        <f t="shared" si="23"/>
        <v>15600000</v>
      </c>
      <c r="P205" s="19">
        <f>IFERROR(IF(SEARCH(B205,_xlfn.ARRAYTOTEXT('Bilateral Assistance, MAIN DATA'!I$1:I$1622))&gt;0,1,""),0)</f>
        <v>1</v>
      </c>
      <c r="Q205" s="19">
        <f>IFERROR(IF(SEARCH(B205,_xlfn.ARRAYTOTEXT('Commercial Assistance'!I$1:I$1400))&gt;0,1,""),0)</f>
        <v>0</v>
      </c>
      <c r="R205" s="247" t="str">
        <f>IF(SUMIFS('Bilateral Assistance, MAIN DATA'!N:N,'Bilateral Assistance, MAIN DATA'!I:I,'Price List, Weapons &amp; Items'!B205)&gt;M205,1,".")</f>
        <v>.</v>
      </c>
    </row>
    <row r="206" spans="2:18" ht="15" customHeight="1" x14ac:dyDescent="0.3">
      <c r="B206" s="188" t="s">
        <v>3328</v>
      </c>
      <c r="C206" s="113" t="s">
        <v>812</v>
      </c>
      <c r="D206" s="246" t="s">
        <v>4064</v>
      </c>
      <c r="E206" s="199">
        <v>0</v>
      </c>
      <c r="F206" s="199">
        <f t="shared" si="21"/>
        <v>0</v>
      </c>
      <c r="G206" s="629">
        <v>390000</v>
      </c>
      <c r="H206" s="720" t="str">
        <f t="shared" si="20"/>
        <v>USD</v>
      </c>
      <c r="I206" s="820" t="s">
        <v>4279</v>
      </c>
      <c r="J206" s="155" t="s">
        <v>3967</v>
      </c>
      <c r="K206" s="155" t="s">
        <v>4280</v>
      </c>
      <c r="L206" s="247">
        <f t="shared" si="22"/>
        <v>2</v>
      </c>
      <c r="M206" s="121">
        <f>SUMIFS('Bilateral Assistance, MAIN DATA'!M:M,'Bilateral Assistance, MAIN DATA'!I:I,'Price List, Weapons &amp; Items'!B206)</f>
        <v>32</v>
      </c>
      <c r="N206" s="19">
        <f>COUNTIFS('Bilateral Assistance, MAIN DATA'!M:M,"undisclosed",'Bilateral Assistance, MAIN DATA'!I:I,'Price List, Weapons &amp; Items'!B206)</f>
        <v>0</v>
      </c>
      <c r="O206" s="723">
        <f t="shared" si="23"/>
        <v>12480000</v>
      </c>
      <c r="P206" s="19">
        <f>IFERROR(IF(SEARCH(B206,_xlfn.ARRAYTOTEXT('Bilateral Assistance, MAIN DATA'!I$1:I$1622))&gt;0,1,""),0)</f>
        <v>1</v>
      </c>
      <c r="Q206" s="19">
        <f>IFERROR(IF(SEARCH(B206,_xlfn.ARRAYTOTEXT('Commercial Assistance'!I$1:I$1400))&gt;0,1,""),0)</f>
        <v>0</v>
      </c>
      <c r="R206" s="247" t="str">
        <f>IF(SUMIFS('Bilateral Assistance, MAIN DATA'!N:N,'Bilateral Assistance, MAIN DATA'!I:I,'Price List, Weapons &amp; Items'!B206)&gt;M206,1,".")</f>
        <v>.</v>
      </c>
    </row>
    <row r="207" spans="2:18" ht="15" customHeight="1" x14ac:dyDescent="0.3">
      <c r="B207" s="448" t="s">
        <v>4281</v>
      </c>
      <c r="C207" s="113" t="s">
        <v>812</v>
      </c>
      <c r="D207" s="113" t="s">
        <v>812</v>
      </c>
      <c r="E207" s="199">
        <v>0</v>
      </c>
      <c r="F207" s="199">
        <f t="shared" si="21"/>
        <v>0</v>
      </c>
      <c r="G207" s="629">
        <v>365200</v>
      </c>
      <c r="H207" s="720" t="str">
        <f t="shared" si="20"/>
        <v>USD</v>
      </c>
      <c r="I207" s="300" t="s">
        <v>2504</v>
      </c>
      <c r="J207" s="155" t="s">
        <v>3964</v>
      </c>
      <c r="K207" s="253" t="s">
        <v>4282</v>
      </c>
      <c r="L207" s="247">
        <f t="shared" si="22"/>
        <v>1</v>
      </c>
      <c r="M207" s="121">
        <f>SUMIFS('Bilateral Assistance, MAIN DATA'!M:M,'Bilateral Assistance, MAIN DATA'!I:I,'Price List, Weapons &amp; Items'!B207)</f>
        <v>5</v>
      </c>
      <c r="N207" s="19">
        <f>COUNTIFS('Bilateral Assistance, MAIN DATA'!M:M,"undisclosed",'Bilateral Assistance, MAIN DATA'!I:I,'Price List, Weapons &amp; Items'!B207)</f>
        <v>1</v>
      </c>
      <c r="O207" s="723">
        <f t="shared" si="23"/>
        <v>1826000</v>
      </c>
      <c r="P207" s="19">
        <f>IFERROR(IF(SEARCH(B207,_xlfn.ARRAYTOTEXT('Bilateral Assistance, MAIN DATA'!I$1:I$1622))&gt;0,1,""),0)</f>
        <v>1</v>
      </c>
      <c r="Q207" s="19">
        <f>IFERROR(IF(SEARCH(B207,_xlfn.ARRAYTOTEXT('Commercial Assistance'!I$1:I$1400))&gt;0,1,""),0)</f>
        <v>0</v>
      </c>
      <c r="R207" s="247" t="str">
        <f>IF(SUMIFS('Bilateral Assistance, MAIN DATA'!N:N,'Bilateral Assistance, MAIN DATA'!I:I,'Price List, Weapons &amp; Items'!B207)&gt;M207,1,".")</f>
        <v>.</v>
      </c>
    </row>
    <row r="208" spans="2:18" ht="15" customHeight="1" x14ac:dyDescent="0.3">
      <c r="B208" s="175" t="s">
        <v>1943</v>
      </c>
      <c r="C208" s="113" t="s">
        <v>812</v>
      </c>
      <c r="D208" s="113" t="s">
        <v>812</v>
      </c>
      <c r="E208" s="199">
        <v>0</v>
      </c>
      <c r="F208" s="199">
        <f t="shared" si="21"/>
        <v>0</v>
      </c>
      <c r="G208" s="629">
        <v>350000</v>
      </c>
      <c r="H208" s="720" t="str">
        <f t="shared" si="20"/>
        <v>USD</v>
      </c>
      <c r="I208" s="300" t="s">
        <v>4283</v>
      </c>
      <c r="J208" s="155" t="s">
        <v>3964</v>
      </c>
      <c r="K208" s="253" t="s">
        <v>4284</v>
      </c>
      <c r="L208" s="247">
        <f t="shared" si="22"/>
        <v>2</v>
      </c>
      <c r="M208" s="121">
        <f>SUMIFS('Bilateral Assistance, MAIN DATA'!M:M,'Bilateral Assistance, MAIN DATA'!I:I,'Price List, Weapons &amp; Items'!B208)</f>
        <v>19</v>
      </c>
      <c r="N208" s="19">
        <f>COUNTIFS('Bilateral Assistance, MAIN DATA'!M:M,"undisclosed",'Bilateral Assistance, MAIN DATA'!I:I,'Price List, Weapons &amp; Items'!B208)</f>
        <v>0</v>
      </c>
      <c r="O208" s="723">
        <f t="shared" si="23"/>
        <v>6650000</v>
      </c>
      <c r="P208" s="19">
        <f>IFERROR(IF(SEARCH(B208,_xlfn.ARRAYTOTEXT('Bilateral Assistance, MAIN DATA'!I$1:I$1622))&gt;0,1,""),0)</f>
        <v>1</v>
      </c>
      <c r="Q208" s="19">
        <f>IFERROR(IF(SEARCH(B208,_xlfn.ARRAYTOTEXT('Commercial Assistance'!I$1:I$1400))&gt;0,1,""),0)</f>
        <v>0</v>
      </c>
      <c r="R208" s="247" t="str">
        <f>IF(SUMIFS('Bilateral Assistance, MAIN DATA'!N:N,'Bilateral Assistance, MAIN DATA'!I:I,'Price List, Weapons &amp; Items'!B208)&gt;M208,1,".")</f>
        <v>.</v>
      </c>
    </row>
    <row r="209" spans="2:18" ht="15" customHeight="1" x14ac:dyDescent="0.3">
      <c r="B209" s="175" t="s">
        <v>620</v>
      </c>
      <c r="C209" s="113" t="s">
        <v>812</v>
      </c>
      <c r="D209" s="246" t="s">
        <v>4046</v>
      </c>
      <c r="E209" s="199">
        <v>0</v>
      </c>
      <c r="F209" s="199">
        <f t="shared" si="21"/>
        <v>1</v>
      </c>
      <c r="G209" s="629">
        <v>350000</v>
      </c>
      <c r="H209" s="720" t="str">
        <f t="shared" si="20"/>
        <v>USD</v>
      </c>
      <c r="I209" s="821" t="s">
        <v>4285</v>
      </c>
      <c r="J209" s="155" t="s">
        <v>3964</v>
      </c>
      <c r="K209" s="155" t="s">
        <v>4286</v>
      </c>
      <c r="L209" s="247">
        <f t="shared" si="22"/>
        <v>2</v>
      </c>
      <c r="M209" s="121">
        <f>SUMIFS('Bilateral Assistance, MAIN DATA'!M:M,'Bilateral Assistance, MAIN DATA'!I:I,'Price List, Weapons &amp; Items'!B209)</f>
        <v>8</v>
      </c>
      <c r="N209" s="19">
        <f>COUNTIFS('Bilateral Assistance, MAIN DATA'!M:M,"undisclosed",'Bilateral Assistance, MAIN DATA'!I:I,'Price List, Weapons &amp; Items'!B209)</f>
        <v>0</v>
      </c>
      <c r="O209" s="723">
        <f t="shared" si="23"/>
        <v>2800000</v>
      </c>
      <c r="P209" s="19">
        <f>IFERROR(IF(SEARCH(B209,_xlfn.ARRAYTOTEXT('Bilateral Assistance, MAIN DATA'!I$1:I$1622))&gt;0,1,""),0)</f>
        <v>1</v>
      </c>
      <c r="Q209" s="19">
        <f>IFERROR(IF(SEARCH(B209,_xlfn.ARRAYTOTEXT('Commercial Assistance'!I$1:I$1400))&gt;0,1,""),0)</f>
        <v>0</v>
      </c>
      <c r="R209" s="247" t="str">
        <f>IF(SUMIFS('Bilateral Assistance, MAIN DATA'!N:N,'Bilateral Assistance, MAIN DATA'!I:I,'Price List, Weapons &amp; Items'!B209)&gt;M209,1,".")</f>
        <v>.</v>
      </c>
    </row>
    <row r="210" spans="2:18" ht="15" customHeight="1" x14ac:dyDescent="0.3">
      <c r="B210" s="188" t="s">
        <v>3174</v>
      </c>
      <c r="C210" s="113" t="s">
        <v>812</v>
      </c>
      <c r="D210" s="113" t="s">
        <v>812</v>
      </c>
      <c r="E210" s="199">
        <v>0</v>
      </c>
      <c r="F210" s="199">
        <f t="shared" si="21"/>
        <v>0</v>
      </c>
      <c r="G210" s="629">
        <v>350000</v>
      </c>
      <c r="H210" s="720" t="str">
        <f t="shared" si="20"/>
        <v>USD</v>
      </c>
      <c r="I210" s="820" t="s">
        <v>4283</v>
      </c>
      <c r="J210" s="155" t="s">
        <v>3964</v>
      </c>
      <c r="K210" s="253" t="s">
        <v>4287</v>
      </c>
      <c r="L210" s="247">
        <f t="shared" si="22"/>
        <v>2</v>
      </c>
      <c r="M210" s="121">
        <f>SUMIFS('Bilateral Assistance, MAIN DATA'!M:M,'Bilateral Assistance, MAIN DATA'!I:I,'Price List, Weapons &amp; Items'!B210)</f>
        <v>290</v>
      </c>
      <c r="N210" s="19">
        <f>COUNTIFS('Bilateral Assistance, MAIN DATA'!M:M,"undisclosed",'Bilateral Assistance, MAIN DATA'!I:I,'Price List, Weapons &amp; Items'!B210)</f>
        <v>0</v>
      </c>
      <c r="O210" s="723">
        <f t="shared" si="23"/>
        <v>101500000</v>
      </c>
      <c r="P210" s="19">
        <f>IFERROR(IF(SEARCH(B210,_xlfn.ARRAYTOTEXT('Bilateral Assistance, MAIN DATA'!I$1:I$1622))&gt;0,1,""),0)</f>
        <v>1</v>
      </c>
      <c r="Q210" s="19">
        <f>IFERROR(IF(SEARCH(B210,_xlfn.ARRAYTOTEXT('Commercial Assistance'!I$1:I$1400))&gt;0,1,""),0)</f>
        <v>0</v>
      </c>
      <c r="R210" s="247" t="str">
        <f>IF(SUMIFS('Bilateral Assistance, MAIN DATA'!N:N,'Bilateral Assistance, MAIN DATA'!I:I,'Price List, Weapons &amp; Items'!B210)&gt;M210,1,".")</f>
        <v>.</v>
      </c>
    </row>
    <row r="211" spans="2:18" ht="15" customHeight="1" x14ac:dyDescent="0.3">
      <c r="B211" s="188" t="s">
        <v>3127</v>
      </c>
      <c r="C211" s="113" t="s">
        <v>812</v>
      </c>
      <c r="D211" s="113" t="s">
        <v>812</v>
      </c>
      <c r="E211" s="199">
        <v>0</v>
      </c>
      <c r="F211" s="199">
        <f t="shared" si="21"/>
        <v>0</v>
      </c>
      <c r="G211" s="629">
        <v>350000</v>
      </c>
      <c r="H211" s="720" t="str">
        <f t="shared" si="20"/>
        <v>USD</v>
      </c>
      <c r="I211" s="820" t="s">
        <v>4283</v>
      </c>
      <c r="J211" s="155" t="s">
        <v>3964</v>
      </c>
      <c r="K211" s="248" t="s">
        <v>4288</v>
      </c>
      <c r="L211" s="247">
        <f t="shared" si="22"/>
        <v>2</v>
      </c>
      <c r="M211" s="121">
        <f>SUMIFS('Bilateral Assistance, MAIN DATA'!M:M,'Bilateral Assistance, MAIN DATA'!I:I,'Price List, Weapons &amp; Items'!B211)</f>
        <v>126</v>
      </c>
      <c r="N211" s="19">
        <f>COUNTIFS('Bilateral Assistance, MAIN DATA'!M:M,"undisclosed",'Bilateral Assistance, MAIN DATA'!I:I,'Price List, Weapons &amp; Items'!B211)</f>
        <v>0</v>
      </c>
      <c r="O211" s="723">
        <f t="shared" si="23"/>
        <v>44100000</v>
      </c>
      <c r="P211" s="19">
        <f>IFERROR(IF(SEARCH(B211,_xlfn.ARRAYTOTEXT('Bilateral Assistance, MAIN DATA'!I$1:I$1622))&gt;0,1,""),0)</f>
        <v>1</v>
      </c>
      <c r="Q211" s="19">
        <f>IFERROR(IF(SEARCH(B211,_xlfn.ARRAYTOTEXT('Commercial Assistance'!I$1:I$1400))&gt;0,1,""),0)</f>
        <v>0</v>
      </c>
      <c r="R211" s="247" t="str">
        <f>IF(SUMIFS('Bilateral Assistance, MAIN DATA'!N:N,'Bilateral Assistance, MAIN DATA'!I:I,'Price List, Weapons &amp; Items'!B211)&gt;M211,1,".")</f>
        <v>.</v>
      </c>
    </row>
    <row r="212" spans="2:18" ht="15" customHeight="1" x14ac:dyDescent="0.3">
      <c r="B212" s="175" t="s">
        <v>3205</v>
      </c>
      <c r="C212" s="113" t="s">
        <v>3945</v>
      </c>
      <c r="D212" s="246" t="s">
        <v>4046</v>
      </c>
      <c r="E212" s="199">
        <v>0</v>
      </c>
      <c r="F212" s="199">
        <f t="shared" si="21"/>
        <v>1</v>
      </c>
      <c r="G212" s="629">
        <v>326778</v>
      </c>
      <c r="H212" s="721" t="s">
        <v>346</v>
      </c>
      <c r="I212" s="838" t="s">
        <v>4047</v>
      </c>
      <c r="J212" s="155" t="s">
        <v>3959</v>
      </c>
      <c r="K212" s="242" t="s">
        <v>4289</v>
      </c>
      <c r="L212" s="247">
        <f t="shared" si="22"/>
        <v>1</v>
      </c>
      <c r="M212" s="121">
        <f>SUMIFS('Bilateral Assistance, MAIN DATA'!M:M,'Bilateral Assistance, MAIN DATA'!I:I,'Price List, Weapons &amp; Items'!B212)</f>
        <v>4</v>
      </c>
      <c r="N212" s="19">
        <f>COUNTIFS('Bilateral Assistance, MAIN DATA'!M:M,"undisclosed",'Bilateral Assistance, MAIN DATA'!I:I,'Price List, Weapons &amp; Items'!B212)</f>
        <v>0</v>
      </c>
      <c r="O212" s="723">
        <f t="shared" si="23"/>
        <v>1307112</v>
      </c>
      <c r="P212" s="19">
        <f>IFERROR(IF(SEARCH(B212,_xlfn.ARRAYTOTEXT('Bilateral Assistance, MAIN DATA'!I$1:I$1622))&gt;0,1,""),0)</f>
        <v>1</v>
      </c>
      <c r="Q212" s="19">
        <f>IFERROR(IF(SEARCH(B212,_xlfn.ARRAYTOTEXT('Commercial Assistance'!I$1:I$1400))&gt;0,1,""),0)</f>
        <v>0</v>
      </c>
      <c r="R212" s="247" t="str">
        <f>IF(SUMIFS('Bilateral Assistance, MAIN DATA'!N:N,'Bilateral Assistance, MAIN DATA'!I:I,'Price List, Weapons &amp; Items'!B212)&gt;M212,1,".")</f>
        <v>.</v>
      </c>
    </row>
    <row r="213" spans="2:18" ht="15" customHeight="1" x14ac:dyDescent="0.3">
      <c r="B213" s="188" t="s">
        <v>324</v>
      </c>
      <c r="C213" s="113" t="s">
        <v>3945</v>
      </c>
      <c r="D213" s="246" t="s">
        <v>4046</v>
      </c>
      <c r="E213" s="199">
        <v>0</v>
      </c>
      <c r="F213" s="199">
        <f t="shared" si="21"/>
        <v>1</v>
      </c>
      <c r="G213" s="629">
        <v>300000</v>
      </c>
      <c r="H213" s="720" t="str">
        <f t="shared" ref="H213:H234" si="24">IF(G213&lt;&gt;".","USD",".")</f>
        <v>USD</v>
      </c>
      <c r="I213" s="821" t="s">
        <v>4290</v>
      </c>
      <c r="J213" s="155" t="s">
        <v>3967</v>
      </c>
      <c r="K213" s="155" t="s">
        <v>4291</v>
      </c>
      <c r="L213" s="247">
        <f t="shared" si="22"/>
        <v>2</v>
      </c>
      <c r="M213" s="121">
        <f>SUMIFS('Bilateral Assistance, MAIN DATA'!M:M,'Bilateral Assistance, MAIN DATA'!I:I,'Price List, Weapons &amp; Items'!B213)</f>
        <v>499</v>
      </c>
      <c r="N213" s="19">
        <f>COUNTIFS('Bilateral Assistance, MAIN DATA'!M:M,"undisclosed",'Bilateral Assistance, MAIN DATA'!I:I,'Price List, Weapons &amp; Items'!B213)</f>
        <v>0</v>
      </c>
      <c r="O213" s="723">
        <f t="shared" si="23"/>
        <v>149700000</v>
      </c>
      <c r="P213" s="19">
        <f>IFERROR(IF(SEARCH(B213,_xlfn.ARRAYTOTEXT('Bilateral Assistance, MAIN DATA'!I$1:I$1622))&gt;0,1,""),0)</f>
        <v>1</v>
      </c>
      <c r="Q213" s="19">
        <f>IFERROR(IF(SEARCH(B213,_xlfn.ARRAYTOTEXT('Commercial Assistance'!I$1:I$1400))&gt;0,1,""),0)</f>
        <v>0</v>
      </c>
      <c r="R213" s="247" t="str">
        <f>IF(SUMIFS('Bilateral Assistance, MAIN DATA'!N:N,'Bilateral Assistance, MAIN DATA'!I:I,'Price List, Weapons &amp; Items'!B213)&gt;M213,1,".")</f>
        <v>.</v>
      </c>
    </row>
    <row r="214" spans="2:18" ht="15" customHeight="1" x14ac:dyDescent="0.3">
      <c r="B214" s="175" t="s">
        <v>3076</v>
      </c>
      <c r="C214" s="113" t="s">
        <v>3987</v>
      </c>
      <c r="D214" s="246" t="s">
        <v>4064</v>
      </c>
      <c r="E214" s="199">
        <v>0</v>
      </c>
      <c r="F214" s="199">
        <f t="shared" si="21"/>
        <v>0</v>
      </c>
      <c r="G214" s="629">
        <v>256000</v>
      </c>
      <c r="H214" s="720" t="str">
        <f t="shared" si="24"/>
        <v>USD</v>
      </c>
      <c r="I214" s="820" t="s">
        <v>4023</v>
      </c>
      <c r="J214" s="155" t="s">
        <v>4008</v>
      </c>
      <c r="K214" s="155" t="s">
        <v>4292</v>
      </c>
      <c r="L214" s="247">
        <f t="shared" si="22"/>
        <v>2</v>
      </c>
      <c r="M214" s="121">
        <f>SUMIFS('Bilateral Assistance, MAIN DATA'!M:M,'Bilateral Assistance, MAIN DATA'!I:I,'Price List, Weapons &amp; Items'!B214)</f>
        <v>5950</v>
      </c>
      <c r="N214" s="19">
        <f>COUNTIFS('Bilateral Assistance, MAIN DATA'!M:M,"undisclosed",'Bilateral Assistance, MAIN DATA'!I:I,'Price List, Weapons &amp; Items'!B214)</f>
        <v>0</v>
      </c>
      <c r="O214" s="723">
        <f t="shared" si="23"/>
        <v>1523200000</v>
      </c>
      <c r="P214" s="19">
        <f>IFERROR(IF(SEARCH(B214,_xlfn.ARRAYTOTEXT('Bilateral Assistance, MAIN DATA'!I$1:I$1622))&gt;0,1,""),0)</f>
        <v>1</v>
      </c>
      <c r="Q214" s="19">
        <f>IFERROR(IF(SEARCH(B214,_xlfn.ARRAYTOTEXT('Commercial Assistance'!I$1:I$1400))&gt;0,1,""),0)</f>
        <v>0</v>
      </c>
      <c r="R214" s="247" t="str">
        <f>IF(SUMIFS('Bilateral Assistance, MAIN DATA'!N:N,'Bilateral Assistance, MAIN DATA'!I:I,'Price List, Weapons &amp; Items'!B214)&gt;M214,1,".")</f>
        <v>.</v>
      </c>
    </row>
    <row r="215" spans="2:18" ht="15" customHeight="1" x14ac:dyDescent="0.3">
      <c r="B215" s="175" t="s">
        <v>786</v>
      </c>
      <c r="C215" s="113" t="s">
        <v>3945</v>
      </c>
      <c r="D215" s="246" t="s">
        <v>4043</v>
      </c>
      <c r="E215" s="199">
        <v>1</v>
      </c>
      <c r="F215" s="199">
        <f t="shared" si="21"/>
        <v>1</v>
      </c>
      <c r="G215" s="629">
        <v>250000</v>
      </c>
      <c r="H215" s="720" t="str">
        <f t="shared" si="24"/>
        <v>USD</v>
      </c>
      <c r="I215" s="300" t="s">
        <v>4293</v>
      </c>
      <c r="J215" s="155" t="s">
        <v>3967</v>
      </c>
      <c r="K215" s="175" t="s">
        <v>4294</v>
      </c>
      <c r="L215" s="247">
        <f t="shared" si="22"/>
        <v>1</v>
      </c>
      <c r="M215" s="121">
        <f>SUMIFS('Bilateral Assistance, MAIN DATA'!M:M,'Bilateral Assistance, MAIN DATA'!I:I,'Price List, Weapons &amp; Items'!B215)</f>
        <v>5</v>
      </c>
      <c r="N215" s="19">
        <f>COUNTIFS('Bilateral Assistance, MAIN DATA'!M:M,"undisclosed",'Bilateral Assistance, MAIN DATA'!I:I,'Price List, Weapons &amp; Items'!B215)</f>
        <v>0</v>
      </c>
      <c r="O215" s="723">
        <f t="shared" si="23"/>
        <v>1250000</v>
      </c>
      <c r="P215" s="19">
        <f>IFERROR(IF(SEARCH(B215,_xlfn.ARRAYTOTEXT('Bilateral Assistance, MAIN DATA'!I$1:I$1622))&gt;0,1,""),0)</f>
        <v>1</v>
      </c>
      <c r="Q215" s="19">
        <f>IFERROR(IF(SEARCH(B215,_xlfn.ARRAYTOTEXT('Commercial Assistance'!I$1:I$1400))&gt;0,1,""),0)</f>
        <v>0</v>
      </c>
      <c r="R215" s="247" t="str">
        <f>IF(SUMIFS('Bilateral Assistance, MAIN DATA'!N:N,'Bilateral Assistance, MAIN DATA'!I:I,'Price List, Weapons &amp; Items'!B215)&gt;M215,1,".")</f>
        <v>.</v>
      </c>
    </row>
    <row r="216" spans="2:18" ht="15" customHeight="1" x14ac:dyDescent="0.3">
      <c r="B216" s="175" t="s">
        <v>3158</v>
      </c>
      <c r="C216" s="113" t="s">
        <v>3987</v>
      </c>
      <c r="D216" s="246" t="s">
        <v>4064</v>
      </c>
      <c r="E216" s="199">
        <v>0</v>
      </c>
      <c r="F216" s="199">
        <f t="shared" si="21"/>
        <v>0</v>
      </c>
      <c r="G216" s="629">
        <v>178000</v>
      </c>
      <c r="H216" s="720" t="str">
        <f t="shared" si="24"/>
        <v>USD</v>
      </c>
      <c r="I216" s="300" t="s">
        <v>4023</v>
      </c>
      <c r="J216" s="155" t="s">
        <v>4008</v>
      </c>
      <c r="K216" s="253" t="s">
        <v>4295</v>
      </c>
      <c r="L216" s="247">
        <f t="shared" si="22"/>
        <v>2</v>
      </c>
      <c r="M216" s="121">
        <f>SUMIFS('Bilateral Assistance, MAIN DATA'!M:M,'Bilateral Assistance, MAIN DATA'!I:I,'Price List, Weapons &amp; Items'!B216)</f>
        <v>50</v>
      </c>
      <c r="N216" s="19">
        <f>COUNTIFS('Bilateral Assistance, MAIN DATA'!M:M,"undisclosed",'Bilateral Assistance, MAIN DATA'!I:I,'Price List, Weapons &amp; Items'!B216)</f>
        <v>0</v>
      </c>
      <c r="O216" s="723">
        <f t="shared" si="23"/>
        <v>8900000</v>
      </c>
      <c r="P216" s="19">
        <f>IFERROR(IF(SEARCH(B216,_xlfn.ARRAYTOTEXT('Bilateral Assistance, MAIN DATA'!I$1:I$1622))&gt;0,1,""),0)</f>
        <v>1</v>
      </c>
      <c r="Q216" s="19">
        <f>IFERROR(IF(SEARCH(B216,_xlfn.ARRAYTOTEXT('Commercial Assistance'!I$1:I$1400))&gt;0,1,""),0)</f>
        <v>0</v>
      </c>
      <c r="R216" s="247" t="str">
        <f>IF(SUMIFS('Bilateral Assistance, MAIN DATA'!N:N,'Bilateral Assistance, MAIN DATA'!I:I,'Price List, Weapons &amp; Items'!B216)&gt;M216,1,".")</f>
        <v>.</v>
      </c>
    </row>
    <row r="217" spans="2:18" ht="15" customHeight="1" x14ac:dyDescent="0.3">
      <c r="B217" s="188" t="s">
        <v>3129</v>
      </c>
      <c r="C217" s="113" t="s">
        <v>3954</v>
      </c>
      <c r="D217" s="246" t="s">
        <v>956</v>
      </c>
      <c r="E217" s="199">
        <v>0</v>
      </c>
      <c r="F217" s="199">
        <f t="shared" si="21"/>
        <v>0</v>
      </c>
      <c r="G217" s="629">
        <v>163793</v>
      </c>
      <c r="H217" s="720" t="str">
        <f t="shared" si="24"/>
        <v>USD</v>
      </c>
      <c r="I217" s="820" t="s">
        <v>3202</v>
      </c>
      <c r="J217" s="155" t="s">
        <v>4008</v>
      </c>
      <c r="K217" s="155" t="s">
        <v>4296</v>
      </c>
      <c r="L217" s="247">
        <f t="shared" si="22"/>
        <v>2</v>
      </c>
      <c r="M217" s="121">
        <f>SUMIFS('Bilateral Assistance, MAIN DATA'!M:M,'Bilateral Assistance, MAIN DATA'!I:I,'Price List, Weapons &amp; Items'!B217)</f>
        <v>1801</v>
      </c>
      <c r="N217" s="19">
        <f>COUNTIFS('Bilateral Assistance, MAIN DATA'!M:M,"undisclosed",'Bilateral Assistance, MAIN DATA'!I:I,'Price List, Weapons &amp; Items'!B217)</f>
        <v>0</v>
      </c>
      <c r="O217" s="723">
        <f t="shared" si="23"/>
        <v>294991193</v>
      </c>
      <c r="P217" s="19">
        <f>IFERROR(IF(SEARCH(B217,_xlfn.ARRAYTOTEXT('Bilateral Assistance, MAIN DATA'!I$1:I$1622))&gt;0,1,""),0)</f>
        <v>1</v>
      </c>
      <c r="Q217" s="19">
        <f>IFERROR(IF(SEARCH(B217,_xlfn.ARRAYTOTEXT('Commercial Assistance'!I$1:I$1400))&gt;0,1,""),0)</f>
        <v>0</v>
      </c>
      <c r="R217" s="247" t="str">
        <f>IF(SUMIFS('Bilateral Assistance, MAIN DATA'!N:N,'Bilateral Assistance, MAIN DATA'!I:I,'Price List, Weapons &amp; Items'!B217)&gt;M217,1,".")</f>
        <v>.</v>
      </c>
    </row>
    <row r="218" spans="2:18" ht="15" customHeight="1" x14ac:dyDescent="0.3">
      <c r="B218" s="175" t="s">
        <v>1240</v>
      </c>
      <c r="C218" s="113" t="s">
        <v>4068</v>
      </c>
      <c r="D218" s="246" t="s">
        <v>4064</v>
      </c>
      <c r="E218" s="199">
        <v>0</v>
      </c>
      <c r="F218" s="199">
        <f t="shared" si="21"/>
        <v>0</v>
      </c>
      <c r="G218" s="629">
        <v>122527.7</v>
      </c>
      <c r="H218" s="720" t="str">
        <f t="shared" si="24"/>
        <v>USD</v>
      </c>
      <c r="I218" s="839" t="s">
        <v>3958</v>
      </c>
      <c r="J218" s="155" t="s">
        <v>3959</v>
      </c>
      <c r="K218" s="259" t="s">
        <v>4033</v>
      </c>
      <c r="L218" s="247">
        <f t="shared" si="22"/>
        <v>2</v>
      </c>
      <c r="M218" s="121">
        <f>SUMIFS('Bilateral Assistance, MAIN DATA'!M:M,'Bilateral Assistance, MAIN DATA'!I:I,'Price List, Weapons &amp; Items'!B218)</f>
        <v>24</v>
      </c>
      <c r="N218" s="19">
        <f>COUNTIFS('Bilateral Assistance, MAIN DATA'!M:M,"undisclosed",'Bilateral Assistance, MAIN DATA'!I:I,'Price List, Weapons &amp; Items'!B218)</f>
        <v>0</v>
      </c>
      <c r="O218" s="723">
        <f t="shared" si="23"/>
        <v>2940664.8</v>
      </c>
      <c r="P218" s="19">
        <f>IFERROR(IF(SEARCH(B218,_xlfn.ARRAYTOTEXT('Bilateral Assistance, MAIN DATA'!I$1:I$1622))&gt;0,1,""),0)</f>
        <v>1</v>
      </c>
      <c r="Q218" s="19">
        <f>IFERROR(IF(SEARCH(B218,_xlfn.ARRAYTOTEXT('Commercial Assistance'!I$1:I$1400))&gt;0,1,""),0)</f>
        <v>0</v>
      </c>
      <c r="R218" s="247" t="str">
        <f>IF(SUMIFS('Bilateral Assistance, MAIN DATA'!N:N,'Bilateral Assistance, MAIN DATA'!I:I,'Price List, Weapons &amp; Items'!B218)&gt;M218,1,".")</f>
        <v>.</v>
      </c>
    </row>
    <row r="219" spans="2:18" ht="15" customHeight="1" x14ac:dyDescent="0.3">
      <c r="B219" s="188" t="s">
        <v>4297</v>
      </c>
      <c r="C219" s="113" t="s">
        <v>3987</v>
      </c>
      <c r="D219" s="246" t="s">
        <v>4298</v>
      </c>
      <c r="E219" s="199">
        <v>0</v>
      </c>
      <c r="F219" s="199">
        <f t="shared" si="21"/>
        <v>0</v>
      </c>
      <c r="G219" s="629">
        <v>119000</v>
      </c>
      <c r="H219" s="720" t="str">
        <f t="shared" si="24"/>
        <v>USD</v>
      </c>
      <c r="I219" s="820" t="s">
        <v>4299</v>
      </c>
      <c r="J219" s="155" t="s">
        <v>3975</v>
      </c>
      <c r="K219" s="155" t="s">
        <v>4300</v>
      </c>
      <c r="L219" s="247">
        <f t="shared" si="22"/>
        <v>2</v>
      </c>
      <c r="M219" s="121">
        <f>SUMIFS('Bilateral Assistance, MAIN DATA'!M:M,'Bilateral Assistance, MAIN DATA'!I:I,'Price List, Weapons &amp; Items'!B219)</f>
        <v>100</v>
      </c>
      <c r="N219" s="19">
        <f>COUNTIFS('Bilateral Assistance, MAIN DATA'!M:M,"undisclosed",'Bilateral Assistance, MAIN DATA'!I:I,'Price List, Weapons &amp; Items'!B219)</f>
        <v>0</v>
      </c>
      <c r="O219" s="723">
        <f t="shared" si="23"/>
        <v>11900000</v>
      </c>
      <c r="P219" s="19">
        <f>IFERROR(IF(SEARCH(B219,_xlfn.ARRAYTOTEXT('Bilateral Assistance, MAIN DATA'!I$1:I$1622))&gt;0,1,""),0)</f>
        <v>1</v>
      </c>
      <c r="Q219" s="19">
        <f>IFERROR(IF(SEARCH(B219,_xlfn.ARRAYTOTEXT('Commercial Assistance'!I$1:I$1400))&gt;0,1,""),0)</f>
        <v>0</v>
      </c>
      <c r="R219" s="247" t="str">
        <f>IF(SUMIFS('Bilateral Assistance, MAIN DATA'!N:N,'Bilateral Assistance, MAIN DATA'!I:I,'Price List, Weapons &amp; Items'!B219)&gt;M219,1,".")</f>
        <v>.</v>
      </c>
    </row>
    <row r="220" spans="2:18" ht="15" customHeight="1" x14ac:dyDescent="0.3">
      <c r="B220" s="218" t="s">
        <v>4301</v>
      </c>
      <c r="C220" s="113" t="s">
        <v>3987</v>
      </c>
      <c r="D220" s="246" t="s">
        <v>4064</v>
      </c>
      <c r="E220" s="199">
        <v>0</v>
      </c>
      <c r="F220" s="199">
        <f t="shared" si="21"/>
        <v>0</v>
      </c>
      <c r="G220" s="629">
        <v>119000</v>
      </c>
      <c r="H220" s="720" t="str">
        <f t="shared" si="24"/>
        <v>USD</v>
      </c>
      <c r="I220" s="820" t="s">
        <v>4299</v>
      </c>
      <c r="J220" s="155" t="s">
        <v>3975</v>
      </c>
      <c r="K220" s="155" t="s">
        <v>4302</v>
      </c>
      <c r="L220" s="247">
        <f t="shared" si="22"/>
        <v>2</v>
      </c>
      <c r="M220" s="121">
        <f>SUMIFS('Bilateral Assistance, MAIN DATA'!M:M,'Bilateral Assistance, MAIN DATA'!I:I,'Price List, Weapons &amp; Items'!B220)</f>
        <v>160</v>
      </c>
      <c r="N220" s="19">
        <f>COUNTIFS('Bilateral Assistance, MAIN DATA'!M:M,"undisclosed",'Bilateral Assistance, MAIN DATA'!I:I,'Price List, Weapons &amp; Items'!B220)</f>
        <v>0</v>
      </c>
      <c r="O220" s="723">
        <f t="shared" si="23"/>
        <v>19040000</v>
      </c>
      <c r="P220" s="19">
        <f>IFERROR(IF(SEARCH(B220,_xlfn.ARRAYTOTEXT('Bilateral Assistance, MAIN DATA'!I$1:I$1622))&gt;0,1,""),0)</f>
        <v>1</v>
      </c>
      <c r="Q220" s="19">
        <f>IFERROR(IF(SEARCH(B220,_xlfn.ARRAYTOTEXT('Commercial Assistance'!I$1:I$1400))&gt;0,1,""),0)</f>
        <v>0</v>
      </c>
      <c r="R220" s="247" t="str">
        <f>IF(SUMIFS('Bilateral Assistance, MAIN DATA'!N:N,'Bilateral Assistance, MAIN DATA'!I:I,'Price List, Weapons &amp; Items'!B220)&gt;M220,1,".")</f>
        <v>.</v>
      </c>
    </row>
    <row r="221" spans="2:18" ht="15" customHeight="1" x14ac:dyDescent="0.3">
      <c r="B221" s="175" t="s">
        <v>895</v>
      </c>
      <c r="C221" s="113" t="s">
        <v>3987</v>
      </c>
      <c r="D221" s="246" t="s">
        <v>3988</v>
      </c>
      <c r="E221" s="199">
        <v>0</v>
      </c>
      <c r="F221" s="199">
        <f t="shared" si="21"/>
        <v>0</v>
      </c>
      <c r="G221" s="629">
        <v>119000</v>
      </c>
      <c r="H221" s="720" t="str">
        <f t="shared" si="24"/>
        <v>USD</v>
      </c>
      <c r="I221" s="820" t="s">
        <v>4299</v>
      </c>
      <c r="J221" s="155" t="s">
        <v>3975</v>
      </c>
      <c r="K221" s="155" t="s">
        <v>4303</v>
      </c>
      <c r="L221" s="247">
        <f t="shared" si="22"/>
        <v>2</v>
      </c>
      <c r="M221" s="121">
        <f>SUMIFS('Bilateral Assistance, MAIN DATA'!M:M,'Bilateral Assistance, MAIN DATA'!I:I,'Price List, Weapons &amp; Items'!B221)</f>
        <v>1650</v>
      </c>
      <c r="N221" s="19">
        <f>COUNTIFS('Bilateral Assistance, MAIN DATA'!M:M,"undisclosed",'Bilateral Assistance, MAIN DATA'!I:I,'Price List, Weapons &amp; Items'!B221)</f>
        <v>1</v>
      </c>
      <c r="O221" s="723">
        <f t="shared" si="23"/>
        <v>196350000</v>
      </c>
      <c r="P221" s="19">
        <f>IFERROR(IF(SEARCH(B221,_xlfn.ARRAYTOTEXT('Bilateral Assistance, MAIN DATA'!I$1:I$1622))&gt;0,1,""),0)</f>
        <v>1</v>
      </c>
      <c r="Q221" s="19">
        <f>IFERROR(IF(SEARCH(B221,_xlfn.ARRAYTOTEXT('Commercial Assistance'!I$1:I$1400))&gt;0,1,""),0)</f>
        <v>0</v>
      </c>
      <c r="R221" s="247" t="str">
        <f>IF(SUMIFS('Bilateral Assistance, MAIN DATA'!N:N,'Bilateral Assistance, MAIN DATA'!I:I,'Price List, Weapons &amp; Items'!B221)&gt;M221,1,".")</f>
        <v>.</v>
      </c>
    </row>
    <row r="222" spans="2:18" ht="15" customHeight="1" x14ac:dyDescent="0.3">
      <c r="B222" s="188" t="s">
        <v>3332</v>
      </c>
      <c r="C222" s="113" t="s">
        <v>812</v>
      </c>
      <c r="D222" s="113" t="s">
        <v>812</v>
      </c>
      <c r="E222" s="199">
        <v>0</v>
      </c>
      <c r="F222" s="199">
        <f t="shared" si="21"/>
        <v>0</v>
      </c>
      <c r="G222" s="629">
        <v>97500</v>
      </c>
      <c r="H222" s="720" t="str">
        <f t="shared" si="24"/>
        <v>USD</v>
      </c>
      <c r="I222" s="820" t="s">
        <v>4304</v>
      </c>
      <c r="J222" s="155" t="s">
        <v>3964</v>
      </c>
      <c r="K222" s="155" t="s">
        <v>4305</v>
      </c>
      <c r="L222" s="247">
        <f t="shared" si="22"/>
        <v>1</v>
      </c>
      <c r="M222" s="121">
        <f>SUMIFS('Bilateral Assistance, MAIN DATA'!M:M,'Bilateral Assistance, MAIN DATA'!I:I,'Price List, Weapons &amp; Items'!B222)</f>
        <v>16</v>
      </c>
      <c r="N222" s="19">
        <f>COUNTIFS('Bilateral Assistance, MAIN DATA'!M:M,"undisclosed",'Bilateral Assistance, MAIN DATA'!I:I,'Price List, Weapons &amp; Items'!B222)</f>
        <v>0</v>
      </c>
      <c r="O222" s="723">
        <f t="shared" si="23"/>
        <v>1560000</v>
      </c>
      <c r="P222" s="19">
        <f>IFERROR(IF(SEARCH(B222,_xlfn.ARRAYTOTEXT('Bilateral Assistance, MAIN DATA'!I$1:I$1622))&gt;0,1,""),0)</f>
        <v>1</v>
      </c>
      <c r="Q222" s="19">
        <f>IFERROR(IF(SEARCH(B222,_xlfn.ARRAYTOTEXT('Commercial Assistance'!I$1:I$1400))&gt;0,1,""),0)</f>
        <v>0</v>
      </c>
      <c r="R222" s="247" t="str">
        <f>IF(SUMIFS('Bilateral Assistance, MAIN DATA'!N:N,'Bilateral Assistance, MAIN DATA'!I:I,'Price List, Weapons &amp; Items'!B222)&gt;M222,1,".")</f>
        <v>.</v>
      </c>
    </row>
    <row r="223" spans="2:18" ht="15" customHeight="1" x14ac:dyDescent="0.3">
      <c r="B223" s="175" t="s">
        <v>4306</v>
      </c>
      <c r="C223" s="113" t="s">
        <v>3949</v>
      </c>
      <c r="D223" s="246" t="s">
        <v>3950</v>
      </c>
      <c r="E223" s="199">
        <v>0</v>
      </c>
      <c r="F223" s="199">
        <f t="shared" si="21"/>
        <v>0</v>
      </c>
      <c r="G223" s="629">
        <v>85000</v>
      </c>
      <c r="H223" s="720" t="str">
        <f t="shared" si="24"/>
        <v>USD</v>
      </c>
      <c r="I223" s="820" t="s">
        <v>4307</v>
      </c>
      <c r="J223" s="155" t="s">
        <v>3971</v>
      </c>
      <c r="K223" s="155" t="s">
        <v>4308</v>
      </c>
      <c r="L223" s="247">
        <f t="shared" si="22"/>
        <v>2</v>
      </c>
      <c r="M223" s="121">
        <f>SUMIFS('Bilateral Assistance, MAIN DATA'!M:M,'Bilateral Assistance, MAIN DATA'!I:I,'Price List, Weapons &amp; Items'!B223)</f>
        <v>200</v>
      </c>
      <c r="N223" s="19">
        <f>COUNTIFS('Bilateral Assistance, MAIN DATA'!M:M,"undisclosed",'Bilateral Assistance, MAIN DATA'!I:I,'Price List, Weapons &amp; Items'!B223)</f>
        <v>0</v>
      </c>
      <c r="O223" s="723">
        <f t="shared" si="23"/>
        <v>17000000</v>
      </c>
      <c r="P223" s="19">
        <f>IFERROR(IF(SEARCH(B223,_xlfn.ARRAYTOTEXT('Bilateral Assistance, MAIN DATA'!I$1:I$1622))&gt;0,1,""),0)</f>
        <v>1</v>
      </c>
      <c r="Q223" s="19">
        <f>IFERROR(IF(SEARCH(B223,_xlfn.ARRAYTOTEXT('Commercial Assistance'!I$1:I$1400))&gt;0,1,""),0)</f>
        <v>0</v>
      </c>
      <c r="R223" s="247" t="str">
        <f>IF(SUMIFS('Bilateral Assistance, MAIN DATA'!N:N,'Bilateral Assistance, MAIN DATA'!I:I,'Price List, Weapons &amp; Items'!B223)&gt;M223,1,".")</f>
        <v>.</v>
      </c>
    </row>
    <row r="224" spans="2:18" ht="15" customHeight="1" x14ac:dyDescent="0.3">
      <c r="B224" s="188" t="s">
        <v>4309</v>
      </c>
      <c r="C224" s="113" t="s">
        <v>3987</v>
      </c>
      <c r="D224" s="246" t="s">
        <v>4064</v>
      </c>
      <c r="E224" s="199">
        <v>0</v>
      </c>
      <c r="F224" s="199">
        <f t="shared" si="21"/>
        <v>0</v>
      </c>
      <c r="G224" s="629">
        <v>78000</v>
      </c>
      <c r="H224" s="720" t="str">
        <f t="shared" si="24"/>
        <v>USD</v>
      </c>
      <c r="I224" s="820" t="s">
        <v>4310</v>
      </c>
      <c r="J224" s="155" t="s">
        <v>3967</v>
      </c>
      <c r="K224" s="155" t="s">
        <v>4311</v>
      </c>
      <c r="L224" s="247">
        <f t="shared" si="22"/>
        <v>2</v>
      </c>
      <c r="M224" s="121">
        <f>SUMIFS('Bilateral Assistance, MAIN DATA'!M:M,'Bilateral Assistance, MAIN DATA'!I:I,'Price List, Weapons &amp; Items'!B224)</f>
        <v>10867</v>
      </c>
      <c r="N224" s="19">
        <f>COUNTIFS('Bilateral Assistance, MAIN DATA'!M:M,"undisclosed",'Bilateral Assistance, MAIN DATA'!I:I,'Price List, Weapons &amp; Items'!B224)</f>
        <v>0</v>
      </c>
      <c r="O224" s="723">
        <f t="shared" si="23"/>
        <v>847626000</v>
      </c>
      <c r="P224" s="19">
        <f>IFERROR(IF(SEARCH(B224,_xlfn.ARRAYTOTEXT('Bilateral Assistance, MAIN DATA'!I$1:I$1622))&gt;0,1,""),0)</f>
        <v>1</v>
      </c>
      <c r="Q224" s="19">
        <f>IFERROR(IF(SEARCH(B224,_xlfn.ARRAYTOTEXT('Commercial Assistance'!I$1:I$1400))&gt;0,1,""),0)</f>
        <v>0</v>
      </c>
      <c r="R224" s="247" t="str">
        <f>IF(SUMIFS('Bilateral Assistance, MAIN DATA'!N:N,'Bilateral Assistance, MAIN DATA'!I:I,'Price List, Weapons &amp; Items'!B224)&gt;M224,1,".")</f>
        <v>.</v>
      </c>
    </row>
    <row r="225" spans="1:18" ht="15" customHeight="1" x14ac:dyDescent="0.3">
      <c r="B225" s="188" t="s">
        <v>989</v>
      </c>
      <c r="C225" s="113" t="s">
        <v>3987</v>
      </c>
      <c r="D225" s="246" t="s">
        <v>4064</v>
      </c>
      <c r="E225" s="199">
        <v>0</v>
      </c>
      <c r="F225" s="199">
        <f t="shared" si="21"/>
        <v>0</v>
      </c>
      <c r="G225" s="629">
        <v>78000</v>
      </c>
      <c r="H225" s="720" t="str">
        <f t="shared" si="24"/>
        <v>USD</v>
      </c>
      <c r="I225" s="820" t="s">
        <v>4310</v>
      </c>
      <c r="J225" s="155" t="s">
        <v>3967</v>
      </c>
      <c r="K225" s="155" t="s">
        <v>4312</v>
      </c>
      <c r="L225" s="247">
        <f t="shared" si="22"/>
        <v>2</v>
      </c>
      <c r="M225" s="121">
        <f>SUMIFS('Bilateral Assistance, MAIN DATA'!M:M,'Bilateral Assistance, MAIN DATA'!I:I,'Price List, Weapons &amp; Items'!B225)</f>
        <v>486</v>
      </c>
      <c r="N225" s="19">
        <f>COUNTIFS('Bilateral Assistance, MAIN DATA'!M:M,"undisclosed",'Bilateral Assistance, MAIN DATA'!I:I,'Price List, Weapons &amp; Items'!B225)</f>
        <v>1</v>
      </c>
      <c r="O225" s="723">
        <f t="shared" si="23"/>
        <v>37908000</v>
      </c>
      <c r="P225" s="19">
        <f>IFERROR(IF(SEARCH(B225,_xlfn.ARRAYTOTEXT('Bilateral Assistance, MAIN DATA'!I$1:I$1622))&gt;0,1,""),0)</f>
        <v>1</v>
      </c>
      <c r="Q225" s="19">
        <f>IFERROR(IF(SEARCH(B225,_xlfn.ARRAYTOTEXT('Commercial Assistance'!I$1:I$1400))&gt;0,1,""),0)</f>
        <v>0</v>
      </c>
      <c r="R225" s="247" t="str">
        <f>IF(SUMIFS('Bilateral Assistance, MAIN DATA'!N:N,'Bilateral Assistance, MAIN DATA'!I:I,'Price List, Weapons &amp; Items'!B225)&gt;M225,1,".")</f>
        <v>.</v>
      </c>
    </row>
    <row r="226" spans="1:18" ht="15" customHeight="1" x14ac:dyDescent="0.3">
      <c r="B226" s="175" t="s">
        <v>946</v>
      </c>
      <c r="C226" s="113" t="s">
        <v>4068</v>
      </c>
      <c r="D226" s="246" t="s">
        <v>4117</v>
      </c>
      <c r="E226" s="199">
        <v>0</v>
      </c>
      <c r="F226" s="199">
        <f t="shared" si="21"/>
        <v>0</v>
      </c>
      <c r="G226" s="629">
        <v>78000</v>
      </c>
      <c r="H226" s="720" t="str">
        <f t="shared" si="24"/>
        <v>USD</v>
      </c>
      <c r="I226" s="820" t="s">
        <v>4310</v>
      </c>
      <c r="J226" s="155" t="s">
        <v>3967</v>
      </c>
      <c r="K226" s="155" t="s">
        <v>4313</v>
      </c>
      <c r="L226" s="247">
        <f t="shared" si="22"/>
        <v>2</v>
      </c>
      <c r="M226" s="121">
        <f>SUMIFS('Bilateral Assistance, MAIN DATA'!M:M,'Bilateral Assistance, MAIN DATA'!I:I,'Price List, Weapons &amp; Items'!B226)</f>
        <v>1500</v>
      </c>
      <c r="N226" s="19">
        <f>COUNTIFS('Bilateral Assistance, MAIN DATA'!M:M,"undisclosed",'Bilateral Assistance, MAIN DATA'!I:I,'Price List, Weapons &amp; Items'!B226)</f>
        <v>3</v>
      </c>
      <c r="O226" s="723">
        <f t="shared" si="23"/>
        <v>117000000</v>
      </c>
      <c r="P226" s="19">
        <f>IFERROR(IF(SEARCH(B226,_xlfn.ARRAYTOTEXT('Bilateral Assistance, MAIN DATA'!I$1:I$1622))&gt;0,1,""),0)</f>
        <v>1</v>
      </c>
      <c r="Q226" s="19">
        <f>IFERROR(IF(SEARCH(B226,_xlfn.ARRAYTOTEXT('Commercial Assistance'!I$1:I$1400))&gt;0,1,""),0)</f>
        <v>0</v>
      </c>
      <c r="R226" s="247">
        <f>IF(SUMIFS('Bilateral Assistance, MAIN DATA'!N:N,'Bilateral Assistance, MAIN DATA'!I:I,'Price List, Weapons &amp; Items'!B226)&gt;M226,1,".")</f>
        <v>1</v>
      </c>
    </row>
    <row r="227" spans="1:18" s="492" customFormat="1" ht="15" customHeight="1" x14ac:dyDescent="0.3">
      <c r="A227" s="32"/>
      <c r="B227" s="175" t="s">
        <v>4314</v>
      </c>
      <c r="C227" s="113" t="s">
        <v>4068</v>
      </c>
      <c r="D227" s="246" t="s">
        <v>4117</v>
      </c>
      <c r="E227" s="199">
        <v>0</v>
      </c>
      <c r="F227" s="199">
        <f t="shared" si="21"/>
        <v>0</v>
      </c>
      <c r="G227" s="629">
        <v>78000</v>
      </c>
      <c r="H227" s="720" t="str">
        <f t="shared" si="24"/>
        <v>USD</v>
      </c>
      <c r="I227" s="300" t="s">
        <v>4310</v>
      </c>
      <c r="J227" s="155" t="s">
        <v>3967</v>
      </c>
      <c r="K227" s="175" t="s">
        <v>4315</v>
      </c>
      <c r="L227" s="247">
        <f t="shared" si="22"/>
        <v>2</v>
      </c>
      <c r="M227" s="121">
        <f>SUMIFS('Bilateral Assistance, MAIN DATA'!M:M,'Bilateral Assistance, MAIN DATA'!I:I,'Price List, Weapons &amp; Items'!B227)</f>
        <v>6000</v>
      </c>
      <c r="N227" s="19">
        <f>COUNTIFS('Bilateral Assistance, MAIN DATA'!M:M,"undisclosed",'Bilateral Assistance, MAIN DATA'!I:I,'Price List, Weapons &amp; Items'!B227)</f>
        <v>0</v>
      </c>
      <c r="O227" s="723">
        <f t="shared" si="23"/>
        <v>468000000</v>
      </c>
      <c r="P227" s="19">
        <f>IFERROR(IF(SEARCH(B227,_xlfn.ARRAYTOTEXT('Bilateral Assistance, MAIN DATA'!I$1:I$1622))&gt;0,1,""),0)</f>
        <v>1</v>
      </c>
      <c r="Q227" s="19">
        <f>IFERROR(IF(SEARCH(B227,_xlfn.ARRAYTOTEXT('Commercial Assistance'!I$1:I$1400))&gt;0,1,""),0)</f>
        <v>0</v>
      </c>
      <c r="R227" s="247" t="str">
        <f>IF(SUMIFS('Bilateral Assistance, MAIN DATA'!N:N,'Bilateral Assistance, MAIN DATA'!I:I,'Price List, Weapons &amp; Items'!B227)&gt;M227,1,".")</f>
        <v>.</v>
      </c>
    </row>
    <row r="228" spans="1:18" ht="15" customHeight="1" x14ac:dyDescent="0.3">
      <c r="B228" s="17" t="s">
        <v>2963</v>
      </c>
      <c r="C228" s="113" t="s">
        <v>3954</v>
      </c>
      <c r="D228" s="246" t="s">
        <v>956</v>
      </c>
      <c r="E228" s="199">
        <v>0</v>
      </c>
      <c r="F228" s="199">
        <f t="shared" si="21"/>
        <v>0</v>
      </c>
      <c r="G228" s="629">
        <f>(((11800000/221)*1.2888)/104.306)*114.086</f>
        <v>75265.911143968755</v>
      </c>
      <c r="H228" s="720" t="str">
        <f t="shared" si="24"/>
        <v>USD</v>
      </c>
      <c r="I228" s="828" t="s">
        <v>4316</v>
      </c>
      <c r="J228" s="155" t="s">
        <v>3964</v>
      </c>
      <c r="K228" s="175" t="s">
        <v>4317</v>
      </c>
      <c r="L228" s="247">
        <f t="shared" si="22"/>
        <v>2</v>
      </c>
      <c r="M228" s="121">
        <f>SUMIFS('Bilateral Assistance, MAIN DATA'!M:M,'Bilateral Assistance, MAIN DATA'!I:I,'Price List, Weapons &amp; Items'!B228)</f>
        <v>200</v>
      </c>
      <c r="N228" s="19">
        <f>COUNTIFS('Bilateral Assistance, MAIN DATA'!M:M,"undisclosed",'Bilateral Assistance, MAIN DATA'!I:I,'Price List, Weapons &amp; Items'!B228)</f>
        <v>0</v>
      </c>
      <c r="O228" s="723">
        <f t="shared" si="23"/>
        <v>15053182.228793751</v>
      </c>
      <c r="P228" s="19">
        <f>IFERROR(IF(SEARCH(B228,_xlfn.ARRAYTOTEXT('Bilateral Assistance, MAIN DATA'!I$1:I$1622))&gt;0,1,""),0)</f>
        <v>1</v>
      </c>
      <c r="Q228" s="19">
        <f>IFERROR(IF(SEARCH(B228,_xlfn.ARRAYTOTEXT('Commercial Assistance'!I$1:I$1400))&gt;0,1,""),0)</f>
        <v>0</v>
      </c>
      <c r="R228" s="247" t="str">
        <f>IF(SUMIFS('Bilateral Assistance, MAIN DATA'!N:N,'Bilateral Assistance, MAIN DATA'!I:I,'Price List, Weapons &amp; Items'!B228)&gt;M228,1,".")</f>
        <v>.</v>
      </c>
    </row>
    <row r="229" spans="1:18" ht="15" customHeight="1" x14ac:dyDescent="0.3">
      <c r="B229" s="188" t="s">
        <v>1370</v>
      </c>
      <c r="C229" s="113" t="s">
        <v>3945</v>
      </c>
      <c r="D229" s="246" t="s">
        <v>4040</v>
      </c>
      <c r="E229" s="199">
        <v>0</v>
      </c>
      <c r="F229" s="199">
        <f t="shared" si="21"/>
        <v>1</v>
      </c>
      <c r="G229" s="629">
        <v>254717</v>
      </c>
      <c r="H229" s="720" t="str">
        <f t="shared" si="24"/>
        <v>USD</v>
      </c>
      <c r="I229" s="828" t="s">
        <v>4318</v>
      </c>
      <c r="J229" s="155" t="s">
        <v>3967</v>
      </c>
      <c r="K229" s="175" t="s">
        <v>4319</v>
      </c>
      <c r="L229" s="247">
        <f t="shared" si="22"/>
        <v>2</v>
      </c>
      <c r="M229" s="121">
        <f>SUMIFS('Bilateral Assistance, MAIN DATA'!M:M,'Bilateral Assistance, MAIN DATA'!I:I,'Price List, Weapons &amp; Items'!B229)</f>
        <v>10</v>
      </c>
      <c r="N229" s="19">
        <f>COUNTIFS('Bilateral Assistance, MAIN DATA'!M:M,"undisclosed",'Bilateral Assistance, MAIN DATA'!I:I,'Price List, Weapons &amp; Items'!B229)</f>
        <v>0</v>
      </c>
      <c r="O229" s="723">
        <f t="shared" si="23"/>
        <v>2547170</v>
      </c>
      <c r="P229" s="19">
        <f>IFERROR(IF(SEARCH(B229,_xlfn.ARRAYTOTEXT('Bilateral Assistance, MAIN DATA'!I$1:I$1622))&gt;0,1,""),0)</f>
        <v>1</v>
      </c>
      <c r="Q229" s="19">
        <f>IFERROR(IF(SEARCH(B229,_xlfn.ARRAYTOTEXT('Commercial Assistance'!I$1:I$1400))&gt;0,1,""),0)</f>
        <v>0</v>
      </c>
      <c r="R229" s="247" t="str">
        <f>IF(SUMIFS('Bilateral Assistance, MAIN DATA'!N:N,'Bilateral Assistance, MAIN DATA'!I:I,'Price List, Weapons &amp; Items'!B229)&gt;M229,1,".")</f>
        <v>.</v>
      </c>
    </row>
    <row r="230" spans="1:18" ht="15" customHeight="1" x14ac:dyDescent="0.3">
      <c r="B230" s="188" t="s">
        <v>2038</v>
      </c>
      <c r="C230" s="113" t="s">
        <v>3945</v>
      </c>
      <c r="D230" s="246" t="s">
        <v>4040</v>
      </c>
      <c r="E230" s="199">
        <v>0</v>
      </c>
      <c r="F230" s="199">
        <f t="shared" si="21"/>
        <v>1</v>
      </c>
      <c r="G230" s="629">
        <v>254717</v>
      </c>
      <c r="H230" s="720" t="str">
        <f t="shared" si="24"/>
        <v>USD</v>
      </c>
      <c r="I230" s="828" t="s">
        <v>4318</v>
      </c>
      <c r="J230" s="155" t="s">
        <v>3967</v>
      </c>
      <c r="K230" s="175" t="s">
        <v>4319</v>
      </c>
      <c r="L230" s="247">
        <f t="shared" si="22"/>
        <v>2</v>
      </c>
      <c r="M230" s="121">
        <f>SUMIFS('Bilateral Assistance, MAIN DATA'!M:M,'Bilateral Assistance, MAIN DATA'!I:I,'Price List, Weapons &amp; Items'!B230)</f>
        <v>1261</v>
      </c>
      <c r="N230" s="19">
        <f>COUNTIFS('Bilateral Assistance, MAIN DATA'!M:M,"undisclosed",'Bilateral Assistance, MAIN DATA'!I:I,'Price List, Weapons &amp; Items'!B230)</f>
        <v>2</v>
      </c>
      <c r="O230" s="723">
        <f t="shared" si="23"/>
        <v>321198137</v>
      </c>
      <c r="P230" s="19">
        <f>IFERROR(IF(SEARCH(B230,_xlfn.ARRAYTOTEXT('Bilateral Assistance, MAIN DATA'!I$1:I$1622))&gt;0,1,""),0)</f>
        <v>1</v>
      </c>
      <c r="Q230" s="19">
        <f>IFERROR(IF(SEARCH(B230,_xlfn.ARRAYTOTEXT('Commercial Assistance'!I$1:I$1400))&gt;0,1,""),0)</f>
        <v>0</v>
      </c>
      <c r="R230" s="247" t="str">
        <f>IF(SUMIFS('Bilateral Assistance, MAIN DATA'!N:N,'Bilateral Assistance, MAIN DATA'!I:I,'Price List, Weapons &amp; Items'!B230)&gt;M230,1,".")</f>
        <v>.</v>
      </c>
    </row>
    <row r="231" spans="1:18" ht="15" customHeight="1" x14ac:dyDescent="0.3">
      <c r="B231" s="175" t="s">
        <v>591</v>
      </c>
      <c r="C231" s="113" t="s">
        <v>3939</v>
      </c>
      <c r="D231" s="246" t="s">
        <v>4092</v>
      </c>
      <c r="E231" s="199">
        <v>0</v>
      </c>
      <c r="F231" s="199">
        <f t="shared" si="21"/>
        <v>0</v>
      </c>
      <c r="G231" s="629">
        <f>42589664.86/1111</f>
        <v>38334.53182718272</v>
      </c>
      <c r="H231" s="720" t="str">
        <f t="shared" si="24"/>
        <v>USD</v>
      </c>
      <c r="I231" s="820" t="s">
        <v>4320</v>
      </c>
      <c r="J231" s="155" t="s">
        <v>3967</v>
      </c>
      <c r="K231" s="155" t="s">
        <v>4321</v>
      </c>
      <c r="L231" s="247">
        <f t="shared" si="22"/>
        <v>2</v>
      </c>
      <c r="M231" s="121">
        <f>SUMIFS('Bilateral Assistance, MAIN DATA'!M:M,'Bilateral Assistance, MAIN DATA'!I:I,'Price List, Weapons &amp; Items'!B231)</f>
        <v>100</v>
      </c>
      <c r="N231" s="19">
        <f>COUNTIFS('Bilateral Assistance, MAIN DATA'!M:M,"undisclosed",'Bilateral Assistance, MAIN DATA'!I:I,'Price List, Weapons &amp; Items'!B231)</f>
        <v>1</v>
      </c>
      <c r="O231" s="723">
        <f t="shared" si="23"/>
        <v>3833453.1827182719</v>
      </c>
      <c r="P231" s="19">
        <f>IFERROR(IF(SEARCH(B231,_xlfn.ARRAYTOTEXT('Bilateral Assistance, MAIN DATA'!I$1:I$1622))&gt;0,1,""),0)</f>
        <v>1</v>
      </c>
      <c r="Q231" s="19">
        <f>IFERROR(IF(SEARCH(B231,_xlfn.ARRAYTOTEXT('Commercial Assistance'!I$1:I$1400))&gt;0,1,""),0)</f>
        <v>0</v>
      </c>
      <c r="R231" s="247" t="str">
        <f>IF(SUMIFS('Bilateral Assistance, MAIN DATA'!N:N,'Bilateral Assistance, MAIN DATA'!I:I,'Price List, Weapons &amp; Items'!B231)&gt;M231,1,".")</f>
        <v>.</v>
      </c>
    </row>
    <row r="232" spans="1:18" ht="15" customHeight="1" x14ac:dyDescent="0.3">
      <c r="B232" s="175" t="s">
        <v>1638</v>
      </c>
      <c r="C232" s="113" t="s">
        <v>4068</v>
      </c>
      <c r="D232" s="246" t="s">
        <v>4069</v>
      </c>
      <c r="E232" s="15">
        <v>0</v>
      </c>
      <c r="F232" s="199">
        <f t="shared" si="21"/>
        <v>0</v>
      </c>
      <c r="G232" s="629">
        <v>480000</v>
      </c>
      <c r="H232" s="720" t="str">
        <f t="shared" si="24"/>
        <v>USD</v>
      </c>
      <c r="I232" s="300" t="s">
        <v>4322</v>
      </c>
      <c r="J232" s="155" t="s">
        <v>3964</v>
      </c>
      <c r="K232" s="175" t="s">
        <v>4323</v>
      </c>
      <c r="L232" s="247">
        <f t="shared" si="22"/>
        <v>2</v>
      </c>
      <c r="M232" s="121">
        <f>SUMIFS('Bilateral Assistance, MAIN DATA'!M:M,'Bilateral Assistance, MAIN DATA'!I:I,'Price List, Weapons &amp; Items'!B232)</f>
        <v>260</v>
      </c>
      <c r="N232" s="19">
        <f>COUNTIFS('Bilateral Assistance, MAIN DATA'!M:M,"undisclosed",'Bilateral Assistance, MAIN DATA'!I:I,'Price List, Weapons &amp; Items'!B232)</f>
        <v>1</v>
      </c>
      <c r="O232" s="723">
        <f t="shared" si="23"/>
        <v>124800000</v>
      </c>
      <c r="P232" s="19">
        <f>IFERROR(IF(SEARCH(B232,_xlfn.ARRAYTOTEXT('Bilateral Assistance, MAIN DATA'!I$1:I$1622))&gt;0,1,""),0)</f>
        <v>1</v>
      </c>
      <c r="Q232" s="19">
        <f>IFERROR(IF(SEARCH(B232,_xlfn.ARRAYTOTEXT('Commercial Assistance'!I$1:I$1400))&gt;0,1,""),0)</f>
        <v>0</v>
      </c>
      <c r="R232" s="247" t="str">
        <f>IF(SUMIFS('Bilateral Assistance, MAIN DATA'!N:N,'Bilateral Assistance, MAIN DATA'!I:I,'Price List, Weapons &amp; Items'!B232)&gt;M232,1,".")</f>
        <v>.</v>
      </c>
    </row>
    <row r="233" spans="1:18" ht="15" customHeight="1" x14ac:dyDescent="0.3">
      <c r="B233" s="175" t="s">
        <v>4324</v>
      </c>
      <c r="C233" s="113" t="s">
        <v>3987</v>
      </c>
      <c r="D233" s="246" t="s">
        <v>4064</v>
      </c>
      <c r="E233" s="199">
        <v>0</v>
      </c>
      <c r="F233" s="199">
        <f t="shared" si="21"/>
        <v>0</v>
      </c>
      <c r="G233" s="629">
        <v>40000</v>
      </c>
      <c r="H233" s="720" t="str">
        <f t="shared" si="24"/>
        <v>USD</v>
      </c>
      <c r="I233" s="820" t="s">
        <v>4325</v>
      </c>
      <c r="J233" s="155" t="s">
        <v>3964</v>
      </c>
      <c r="K233" s="155" t="s">
        <v>4326</v>
      </c>
      <c r="L233" s="247">
        <f t="shared" si="22"/>
        <v>2</v>
      </c>
      <c r="M233" s="121">
        <f>SUMIFS('Bilateral Assistance, MAIN DATA'!M:M,'Bilateral Assistance, MAIN DATA'!I:I,'Price List, Weapons &amp; Items'!B233)</f>
        <v>5000</v>
      </c>
      <c r="N233" s="19">
        <f>COUNTIFS('Bilateral Assistance, MAIN DATA'!M:M,"undisclosed",'Bilateral Assistance, MAIN DATA'!I:I,'Price List, Weapons &amp; Items'!B233)</f>
        <v>3</v>
      </c>
      <c r="O233" s="723">
        <f t="shared" si="23"/>
        <v>200000000</v>
      </c>
      <c r="P233" s="19">
        <f>IFERROR(IF(SEARCH(B233,_xlfn.ARRAYTOTEXT('Bilateral Assistance, MAIN DATA'!I$1:I$1622))&gt;0,1,""),0)</f>
        <v>1</v>
      </c>
      <c r="Q233" s="19">
        <f>IFERROR(IF(SEARCH(B233,_xlfn.ARRAYTOTEXT('Commercial Assistance'!I$1:I$1400))&gt;0,1,""),0)</f>
        <v>0</v>
      </c>
      <c r="R233" s="247" t="str">
        <f>IF(SUMIFS('Bilateral Assistance, MAIN DATA'!N:N,'Bilateral Assistance, MAIN DATA'!I:I,'Price List, Weapons &amp; Items'!B233)&gt;M233,1,".")</f>
        <v>.</v>
      </c>
    </row>
    <row r="234" spans="1:18" ht="15" customHeight="1" x14ac:dyDescent="0.3">
      <c r="B234" s="175" t="s">
        <v>2031</v>
      </c>
      <c r="C234" s="113" t="s">
        <v>3987</v>
      </c>
      <c r="D234" s="246" t="s">
        <v>4064</v>
      </c>
      <c r="E234" s="199">
        <v>0</v>
      </c>
      <c r="F234" s="199">
        <f t="shared" si="21"/>
        <v>0</v>
      </c>
      <c r="G234" s="629">
        <v>40000</v>
      </c>
      <c r="H234" s="720" t="str">
        <f t="shared" si="24"/>
        <v>USD</v>
      </c>
      <c r="I234" s="820" t="s">
        <v>4325</v>
      </c>
      <c r="J234" s="155" t="s">
        <v>3964</v>
      </c>
      <c r="K234" s="155" t="s">
        <v>4327</v>
      </c>
      <c r="L234" s="247">
        <f t="shared" si="22"/>
        <v>2</v>
      </c>
      <c r="M234" s="121">
        <f>SUMIFS('Bilateral Assistance, MAIN DATA'!M:M,'Bilateral Assistance, MAIN DATA'!I:I,'Price List, Weapons &amp; Items'!B234)</f>
        <v>7667</v>
      </c>
      <c r="N234" s="19">
        <f>COUNTIFS('Bilateral Assistance, MAIN DATA'!M:M,"undisclosed",'Bilateral Assistance, MAIN DATA'!I:I,'Price List, Weapons &amp; Items'!B234)</f>
        <v>0</v>
      </c>
      <c r="O234" s="723">
        <f t="shared" si="23"/>
        <v>306680000</v>
      </c>
      <c r="P234" s="19">
        <f>IFERROR(IF(SEARCH(B234,_xlfn.ARRAYTOTEXT('Bilateral Assistance, MAIN DATA'!I$1:I$1622))&gt;0,1,""),0)</f>
        <v>1</v>
      </c>
      <c r="Q234" s="19">
        <f>IFERROR(IF(SEARCH(B234,_xlfn.ARRAYTOTEXT('Commercial Assistance'!I$1:I$1400))&gt;0,1,""),0)</f>
        <v>0</v>
      </c>
      <c r="R234" s="247" t="str">
        <f>IF(SUMIFS('Bilateral Assistance, MAIN DATA'!N:N,'Bilateral Assistance, MAIN DATA'!I:I,'Price List, Weapons &amp; Items'!B234)&gt;M234,1,".")</f>
        <v>.</v>
      </c>
    </row>
    <row r="235" spans="1:18" ht="15" customHeight="1" x14ac:dyDescent="0.3">
      <c r="B235" s="188" t="s">
        <v>4328</v>
      </c>
      <c r="C235" s="113" t="s">
        <v>3987</v>
      </c>
      <c r="D235" s="246" t="s">
        <v>4064</v>
      </c>
      <c r="E235" s="199">
        <v>0</v>
      </c>
      <c r="F235" s="199">
        <v>1</v>
      </c>
      <c r="G235" s="629">
        <v>120000</v>
      </c>
      <c r="H235" s="720" t="s">
        <v>346</v>
      </c>
      <c r="I235" s="820" t="s">
        <v>4329</v>
      </c>
      <c r="J235" s="155" t="s">
        <v>260</v>
      </c>
      <c r="K235" s="155" t="s">
        <v>260</v>
      </c>
      <c r="L235" s="247">
        <f t="shared" si="22"/>
        <v>2</v>
      </c>
      <c r="M235" s="121">
        <f>SUMIFS('Bilateral Assistance, MAIN DATA'!M:M,'Bilateral Assistance, MAIN DATA'!I:I,'Price List, Weapons &amp; Items'!B235)</f>
        <v>2700</v>
      </c>
      <c r="N235" s="19">
        <f>COUNTIFS('Bilateral Assistance, MAIN DATA'!M:M,"undisclosed",'Bilateral Assistance, MAIN DATA'!I:I,'Price List, Weapons &amp; Items'!B235)</f>
        <v>0</v>
      </c>
      <c r="O235" s="723">
        <f t="shared" si="23"/>
        <v>324000000</v>
      </c>
      <c r="P235" s="19">
        <f>IFERROR(IF(SEARCH(B235,_xlfn.ARRAYTOTEXT('Bilateral Assistance, MAIN DATA'!I$1:I$1622))&gt;0,1,""),0)</f>
        <v>1</v>
      </c>
      <c r="Q235" s="19">
        <f>IFERROR(IF(SEARCH(B235,_xlfn.ARRAYTOTEXT('Commercial Assistance'!I$1:I$1400))&gt;0,1,""),0)</f>
        <v>0</v>
      </c>
      <c r="R235" s="247" t="str">
        <f>IF(SUMIFS('Bilateral Assistance, MAIN DATA'!N:N,'Bilateral Assistance, MAIN DATA'!I:I,'Price List, Weapons &amp; Items'!B235)&gt;M235,1,".")</f>
        <v>.</v>
      </c>
    </row>
    <row r="236" spans="1:18" ht="15" customHeight="1" x14ac:dyDescent="0.3">
      <c r="B236" s="175" t="s">
        <v>2910</v>
      </c>
      <c r="C236" s="113" t="s">
        <v>4068</v>
      </c>
      <c r="D236" s="246" t="s">
        <v>4117</v>
      </c>
      <c r="E236" s="199">
        <v>0</v>
      </c>
      <c r="F236" s="199">
        <f t="shared" ref="F236:F267" si="25">IF(OR(D236="Armoured Personnel Carrier (APC)",D236="Armoured Recovery Vehicle (ARV)",D236="Armoured Utility Vehicle (AUV)",D236="152mm howitzer ammunition",D236="155mm howitzer ammunition",D236="300mm MLRS ammunition",D236="155mm howitzer",D236="227mm MLRS ammunition",D236="Infantry fighting vehicle (IFV)",D236="152mm howitzer",D236="227mm MLRS",D236="Main Battle Tank (MBT)",D236="Protected Patrol Vehicle (PPV)",D236="127mm MLRS",D236="122mm MLRS",D236="122mm MLRS ammunition",D236="122mm MLRS",D236="127mm MLRS",D236="127mm MLRS ammunition")=TRUE,1,0)</f>
        <v>0</v>
      </c>
      <c r="G236" s="629">
        <v>20000</v>
      </c>
      <c r="H236" s="720" t="str">
        <f t="shared" ref="H236:H267" si="26">IF(G236&lt;&gt;".","USD",".")</f>
        <v>USD</v>
      </c>
      <c r="I236" s="820" t="s">
        <v>4330</v>
      </c>
      <c r="J236" s="155" t="s">
        <v>3964</v>
      </c>
      <c r="K236" s="155" t="s">
        <v>4331</v>
      </c>
      <c r="L236" s="247">
        <f t="shared" si="22"/>
        <v>2</v>
      </c>
      <c r="M236" s="121">
        <f>SUMIFS('Bilateral Assistance, MAIN DATA'!M:M,'Bilateral Assistance, MAIN DATA'!I:I,'Price List, Weapons &amp; Items'!B236)</f>
        <v>6000</v>
      </c>
      <c r="N236" s="19">
        <f>COUNTIFS('Bilateral Assistance, MAIN DATA'!M:M,"undisclosed",'Bilateral Assistance, MAIN DATA'!I:I,'Price List, Weapons &amp; Items'!B236)</f>
        <v>1</v>
      </c>
      <c r="O236" s="723">
        <f t="shared" si="23"/>
        <v>120000000</v>
      </c>
      <c r="P236" s="19">
        <f>IFERROR(IF(SEARCH(B236,_xlfn.ARRAYTOTEXT('Bilateral Assistance, MAIN DATA'!I$1:I$1622))&gt;0,1,""),0)</f>
        <v>1</v>
      </c>
      <c r="Q236" s="19">
        <f>IFERROR(IF(SEARCH(B236,_xlfn.ARRAYTOTEXT('Commercial Assistance'!I$1:I$1400))&gt;0,1,""),0)</f>
        <v>0</v>
      </c>
      <c r="R236" s="247" t="str">
        <f>IF(SUMIFS('Bilateral Assistance, MAIN DATA'!N:N,'Bilateral Assistance, MAIN DATA'!I:I,'Price List, Weapons &amp; Items'!B236)&gt;M236,1,".")</f>
        <v>.</v>
      </c>
    </row>
    <row r="237" spans="1:18" ht="15" customHeight="1" x14ac:dyDescent="0.3">
      <c r="B237" s="17" t="s">
        <v>2644</v>
      </c>
      <c r="C237" s="113" t="s">
        <v>3987</v>
      </c>
      <c r="D237" s="246" t="s">
        <v>4332</v>
      </c>
      <c r="E237" s="199">
        <v>0</v>
      </c>
      <c r="F237" s="199">
        <f t="shared" si="25"/>
        <v>0</v>
      </c>
      <c r="G237" s="629">
        <v>20000</v>
      </c>
      <c r="H237" s="720" t="str">
        <f t="shared" si="26"/>
        <v>USD</v>
      </c>
      <c r="I237" s="821" t="s">
        <v>4333</v>
      </c>
      <c r="J237" s="155" t="s">
        <v>3975</v>
      </c>
      <c r="K237" s="155" t="s">
        <v>4334</v>
      </c>
      <c r="L237" s="247">
        <f t="shared" si="22"/>
        <v>2</v>
      </c>
      <c r="M237" s="121">
        <f>SUMIFS('Bilateral Assistance, MAIN DATA'!M:M,'Bilateral Assistance, MAIN DATA'!I:I,'Price List, Weapons &amp; Items'!B237)</f>
        <v>1370</v>
      </c>
      <c r="N237" s="19">
        <f>COUNTIFS('Bilateral Assistance, MAIN DATA'!M:M,"undisclosed",'Bilateral Assistance, MAIN DATA'!I:I,'Price List, Weapons &amp; Items'!B237)</f>
        <v>0</v>
      </c>
      <c r="O237" s="723">
        <f t="shared" si="23"/>
        <v>27400000</v>
      </c>
      <c r="P237" s="19">
        <f>IFERROR(IF(SEARCH(B237,_xlfn.ARRAYTOTEXT('Bilateral Assistance, MAIN DATA'!I$1:I$1622))&gt;0,1,""),0)</f>
        <v>1</v>
      </c>
      <c r="Q237" s="19">
        <f>IFERROR(IF(SEARCH(B237,_xlfn.ARRAYTOTEXT('Commercial Assistance'!I$1:I$1400))&gt;0,1,""),0)</f>
        <v>0</v>
      </c>
      <c r="R237" s="247" t="str">
        <f>IF(SUMIFS('Bilateral Assistance, MAIN DATA'!N:N,'Bilateral Assistance, MAIN DATA'!I:I,'Price List, Weapons &amp; Items'!B237)&gt;M237,1,".")</f>
        <v>.</v>
      </c>
    </row>
    <row r="238" spans="1:18" ht="15" customHeight="1" x14ac:dyDescent="0.3">
      <c r="B238" s="175" t="s">
        <v>2333</v>
      </c>
      <c r="C238" s="113" t="s">
        <v>3939</v>
      </c>
      <c r="D238" s="246" t="s">
        <v>4059</v>
      </c>
      <c r="E238" s="199">
        <v>0</v>
      </c>
      <c r="F238" s="199">
        <f t="shared" si="25"/>
        <v>0</v>
      </c>
      <c r="G238" s="629">
        <v>10658</v>
      </c>
      <c r="H238" s="720" t="str">
        <f t="shared" si="26"/>
        <v>USD</v>
      </c>
      <c r="I238" s="820" t="s">
        <v>4335</v>
      </c>
      <c r="J238" s="155" t="s">
        <v>3967</v>
      </c>
      <c r="K238" s="155" t="s">
        <v>4336</v>
      </c>
      <c r="L238" s="247">
        <f t="shared" si="22"/>
        <v>1</v>
      </c>
      <c r="M238" s="121">
        <f>SUMIFS('Bilateral Assistance, MAIN DATA'!M:M,'Bilateral Assistance, MAIN DATA'!I:I,'Price List, Weapons &amp; Items'!B238)</f>
        <v>100</v>
      </c>
      <c r="N238" s="19">
        <f>COUNTIFS('Bilateral Assistance, MAIN DATA'!M:M,"undisclosed",'Bilateral Assistance, MAIN DATA'!I:I,'Price List, Weapons &amp; Items'!B238)</f>
        <v>0</v>
      </c>
      <c r="O238" s="723">
        <f t="shared" si="23"/>
        <v>1065800</v>
      </c>
      <c r="P238" s="19">
        <f>IFERROR(IF(SEARCH(B238,_xlfn.ARRAYTOTEXT('Bilateral Assistance, MAIN DATA'!I$1:I$1622))&gt;0,1,""),0)</f>
        <v>1</v>
      </c>
      <c r="Q238" s="19">
        <f>IFERROR(IF(SEARCH(B238,_xlfn.ARRAYTOTEXT('Commercial Assistance'!I$1:I$1400))&gt;0,1,""),0)</f>
        <v>0</v>
      </c>
      <c r="R238" s="247" t="str">
        <f>IF(SUMIFS('Bilateral Assistance, MAIN DATA'!N:N,'Bilateral Assistance, MAIN DATA'!I:I,'Price List, Weapons &amp; Items'!B238)&gt;M238,1,".")</f>
        <v>.</v>
      </c>
    </row>
    <row r="239" spans="1:18" ht="15" customHeight="1" x14ac:dyDescent="0.3">
      <c r="B239" s="175" t="s">
        <v>1498</v>
      </c>
      <c r="C239" s="113" t="s">
        <v>3987</v>
      </c>
      <c r="D239" s="246" t="s">
        <v>4064</v>
      </c>
      <c r="E239" s="199">
        <v>0</v>
      </c>
      <c r="F239" s="199">
        <f t="shared" si="25"/>
        <v>0</v>
      </c>
      <c r="G239" s="629">
        <v>11108</v>
      </c>
      <c r="H239" s="720" t="str">
        <f t="shared" si="26"/>
        <v>USD</v>
      </c>
      <c r="I239" s="820" t="s">
        <v>4337</v>
      </c>
      <c r="J239" s="155" t="s">
        <v>3967</v>
      </c>
      <c r="K239" s="253" t="s">
        <v>4338</v>
      </c>
      <c r="L239" s="247">
        <f t="shared" si="22"/>
        <v>2</v>
      </c>
      <c r="M239" s="121">
        <f>SUMIFS('Bilateral Assistance, MAIN DATA'!M:M,'Bilateral Assistance, MAIN DATA'!I:I,'Price List, Weapons &amp; Items'!B239)</f>
        <v>3050</v>
      </c>
      <c r="N239" s="19">
        <f>COUNTIFS('Bilateral Assistance, MAIN DATA'!M:M,"undisclosed",'Bilateral Assistance, MAIN DATA'!I:I,'Price List, Weapons &amp; Items'!B239)</f>
        <v>0</v>
      </c>
      <c r="O239" s="723">
        <f t="shared" si="23"/>
        <v>33879400</v>
      </c>
      <c r="P239" s="19">
        <f>IFERROR(IF(SEARCH(B239,_xlfn.ARRAYTOTEXT('Bilateral Assistance, MAIN DATA'!I$1:I$1622))&gt;0,1,""),0)</f>
        <v>1</v>
      </c>
      <c r="Q239" s="19">
        <f>IFERROR(IF(SEARCH(B239,_xlfn.ARRAYTOTEXT('Commercial Assistance'!I$1:I$1400))&gt;0,1,""),0)</f>
        <v>0</v>
      </c>
      <c r="R239" s="247" t="str">
        <f>IF(SUMIFS('Bilateral Assistance, MAIN DATA'!N:N,'Bilateral Assistance, MAIN DATA'!I:I,'Price List, Weapons &amp; Items'!B239)&gt;M239,1,".")</f>
        <v>.</v>
      </c>
    </row>
    <row r="240" spans="1:18" ht="15" customHeight="1" x14ac:dyDescent="0.3">
      <c r="B240" s="17" t="s">
        <v>2087</v>
      </c>
      <c r="C240" s="113" t="s">
        <v>3939</v>
      </c>
      <c r="D240" s="246" t="s">
        <v>3973</v>
      </c>
      <c r="E240" s="199">
        <v>0</v>
      </c>
      <c r="F240" s="199">
        <f t="shared" si="25"/>
        <v>0</v>
      </c>
      <c r="G240" s="629">
        <v>8374.57</v>
      </c>
      <c r="H240" s="720" t="str">
        <f t="shared" si="26"/>
        <v>USD</v>
      </c>
      <c r="I240" s="821" t="s">
        <v>4339</v>
      </c>
      <c r="J240" s="155" t="s">
        <v>3971</v>
      </c>
      <c r="K240" s="251" t="s">
        <v>4340</v>
      </c>
      <c r="L240" s="247">
        <f t="shared" si="22"/>
        <v>1</v>
      </c>
      <c r="M240" s="121">
        <f>SUMIFS('Bilateral Assistance, MAIN DATA'!M:M,'Bilateral Assistance, MAIN DATA'!I:I,'Price List, Weapons &amp; Items'!B240)</f>
        <v>90</v>
      </c>
      <c r="N240" s="19">
        <f>COUNTIFS('Bilateral Assistance, MAIN DATA'!M:M,"undisclosed",'Bilateral Assistance, MAIN DATA'!I:I,'Price List, Weapons &amp; Items'!B240)</f>
        <v>0</v>
      </c>
      <c r="O240" s="723">
        <f t="shared" si="23"/>
        <v>753711.29999999993</v>
      </c>
      <c r="P240" s="19">
        <f>IFERROR(IF(SEARCH(B240,_xlfn.ARRAYTOTEXT('Bilateral Assistance, MAIN DATA'!I$1:I$1622))&gt;0,1,""),0)</f>
        <v>1</v>
      </c>
      <c r="Q240" s="19">
        <f>IFERROR(IF(SEARCH(B240,_xlfn.ARRAYTOTEXT('Commercial Assistance'!I$1:I$1400))&gt;0,1,""),0)</f>
        <v>0</v>
      </c>
      <c r="R240" s="247" t="str">
        <f>IF(SUMIFS('Bilateral Assistance, MAIN DATA'!N:N,'Bilateral Assistance, MAIN DATA'!I:I,'Price List, Weapons &amp; Items'!B240)&gt;M240,1,".")</f>
        <v>.</v>
      </c>
    </row>
    <row r="241" spans="2:18" ht="15" customHeight="1" x14ac:dyDescent="0.3">
      <c r="B241" s="188" t="s">
        <v>2259</v>
      </c>
      <c r="C241" s="113" t="s">
        <v>812</v>
      </c>
      <c r="D241" s="113" t="s">
        <v>812</v>
      </c>
      <c r="E241" s="199">
        <v>0</v>
      </c>
      <c r="F241" s="199">
        <f t="shared" si="25"/>
        <v>0</v>
      </c>
      <c r="G241" s="629">
        <v>2320</v>
      </c>
      <c r="H241" s="720" t="str">
        <f t="shared" si="26"/>
        <v>USD</v>
      </c>
      <c r="I241" s="822" t="s">
        <v>4341</v>
      </c>
      <c r="J241" s="155" t="s">
        <v>3964</v>
      </c>
      <c r="K241" s="253" t="s">
        <v>4342</v>
      </c>
      <c r="L241" s="247">
        <f t="shared" si="22"/>
        <v>2</v>
      </c>
      <c r="M241" s="121">
        <f>SUMIFS('Bilateral Assistance, MAIN DATA'!M:M,'Bilateral Assistance, MAIN DATA'!I:I,'Price List, Weapons &amp; Items'!B241)</f>
        <v>7470</v>
      </c>
      <c r="N241" s="19">
        <f>COUNTIFS('Bilateral Assistance, MAIN DATA'!M:M,"undisclosed",'Bilateral Assistance, MAIN DATA'!I:I,'Price List, Weapons &amp; Items'!B241)</f>
        <v>12</v>
      </c>
      <c r="O241" s="723">
        <f t="shared" si="23"/>
        <v>17330400</v>
      </c>
      <c r="P241" s="19">
        <f>IFERROR(IF(SEARCH(B241,_xlfn.ARRAYTOTEXT('Bilateral Assistance, MAIN DATA'!I$1:I$1622))&gt;0,1,""),0)</f>
        <v>1</v>
      </c>
      <c r="Q241" s="19">
        <f>IFERROR(IF(SEARCH(B241,_xlfn.ARRAYTOTEXT('Commercial Assistance'!I$1:I$1400))&gt;0,1,""),0)</f>
        <v>0</v>
      </c>
      <c r="R241" s="247" t="str">
        <f>IF(SUMIFS('Bilateral Assistance, MAIN DATA'!N:N,'Bilateral Assistance, MAIN DATA'!I:I,'Price List, Weapons &amp; Items'!B241)&gt;M241,1,".")</f>
        <v>.</v>
      </c>
    </row>
    <row r="242" spans="2:18" ht="15" customHeight="1" x14ac:dyDescent="0.3">
      <c r="B242" s="188" t="s">
        <v>3261</v>
      </c>
      <c r="C242" s="113" t="s">
        <v>812</v>
      </c>
      <c r="D242" s="113" t="s">
        <v>812</v>
      </c>
      <c r="E242" s="199">
        <v>0</v>
      </c>
      <c r="F242" s="199">
        <f t="shared" si="25"/>
        <v>0</v>
      </c>
      <c r="G242" s="629">
        <v>51404</v>
      </c>
      <c r="H242" s="720" t="str">
        <f t="shared" si="26"/>
        <v>USD</v>
      </c>
      <c r="I242" s="821" t="s">
        <v>4343</v>
      </c>
      <c r="J242" s="155" t="s">
        <v>3959</v>
      </c>
      <c r="K242" s="155" t="s">
        <v>4344</v>
      </c>
      <c r="L242" s="247">
        <f t="shared" si="22"/>
        <v>2</v>
      </c>
      <c r="M242" s="121">
        <f>SUMIFS('Bilateral Assistance, MAIN DATA'!M:M,'Bilateral Assistance, MAIN DATA'!I:I,'Price List, Weapons &amp; Items'!B242)</f>
        <v>2038</v>
      </c>
      <c r="N242" s="19">
        <f>COUNTIFS('Bilateral Assistance, MAIN DATA'!M:M,"undisclosed",'Bilateral Assistance, MAIN DATA'!I:I,'Price List, Weapons &amp; Items'!B242)</f>
        <v>2</v>
      </c>
      <c r="O242" s="723">
        <f t="shared" si="23"/>
        <v>104761352</v>
      </c>
      <c r="P242" s="19">
        <f>IFERROR(IF(SEARCH(B242,_xlfn.ARRAYTOTEXT('Bilateral Assistance, MAIN DATA'!I$1:I$1622))&gt;0,1,""),0)</f>
        <v>1</v>
      </c>
      <c r="Q242" s="19">
        <f>IFERROR(IF(SEARCH(B242,_xlfn.ARRAYTOTEXT('Commercial Assistance'!I$1:I$1400))&gt;0,1,""),0)</f>
        <v>0</v>
      </c>
      <c r="R242" s="247" t="str">
        <f>IF(SUMIFS('Bilateral Assistance, MAIN DATA'!N:N,'Bilateral Assistance, MAIN DATA'!I:I,'Price List, Weapons &amp; Items'!B242)&gt;M242,1,".")</f>
        <v>.</v>
      </c>
    </row>
    <row r="243" spans="2:18" ht="15" customHeight="1" x14ac:dyDescent="0.3">
      <c r="B243" s="175" t="s">
        <v>2972</v>
      </c>
      <c r="C243" s="113" t="s">
        <v>3954</v>
      </c>
      <c r="D243" s="246" t="s">
        <v>956</v>
      </c>
      <c r="E243" s="199">
        <v>0</v>
      </c>
      <c r="F243" s="199">
        <f t="shared" si="25"/>
        <v>0</v>
      </c>
      <c r="G243" s="629">
        <v>6000</v>
      </c>
      <c r="H243" s="720" t="str">
        <f t="shared" si="26"/>
        <v>USD</v>
      </c>
      <c r="I243" s="820" t="s">
        <v>4345</v>
      </c>
      <c r="J243" s="155" t="s">
        <v>3975</v>
      </c>
      <c r="K243" s="155" t="s">
        <v>4346</v>
      </c>
      <c r="L243" s="247">
        <f t="shared" si="22"/>
        <v>2</v>
      </c>
      <c r="M243" s="121">
        <f>SUMIFS('Bilateral Assistance, MAIN DATA'!M:M,'Bilateral Assistance, MAIN DATA'!I:I,'Price List, Weapons &amp; Items'!B243)</f>
        <v>1350</v>
      </c>
      <c r="N243" s="19">
        <f>COUNTIFS('Bilateral Assistance, MAIN DATA'!M:M,"undisclosed",'Bilateral Assistance, MAIN DATA'!I:I,'Price List, Weapons &amp; Items'!B243)</f>
        <v>1</v>
      </c>
      <c r="O243" s="723">
        <f t="shared" si="23"/>
        <v>8100000</v>
      </c>
      <c r="P243" s="19">
        <f>IFERROR(IF(SEARCH(B243,_xlfn.ARRAYTOTEXT('Bilateral Assistance, MAIN DATA'!I$1:I$1622))&gt;0,1,""),0)</f>
        <v>1</v>
      </c>
      <c r="Q243" s="19">
        <f>IFERROR(IF(SEARCH(B243,_xlfn.ARRAYTOTEXT('Commercial Assistance'!I$1:I$1400))&gt;0,1,""),0)</f>
        <v>0</v>
      </c>
      <c r="R243" s="247" t="str">
        <f>IF(SUMIFS('Bilateral Assistance, MAIN DATA'!N:N,'Bilateral Assistance, MAIN DATA'!I:I,'Price List, Weapons &amp; Items'!B243)&gt;M243,1,".")</f>
        <v>.</v>
      </c>
    </row>
    <row r="244" spans="2:18" ht="15" customHeight="1" x14ac:dyDescent="0.3">
      <c r="B244" s="188" t="s">
        <v>3104</v>
      </c>
      <c r="C244" s="113" t="s">
        <v>3954</v>
      </c>
      <c r="D244" s="246" t="s">
        <v>956</v>
      </c>
      <c r="E244" s="15">
        <v>0</v>
      </c>
      <c r="F244" s="199">
        <f t="shared" si="25"/>
        <v>0</v>
      </c>
      <c r="G244" s="629">
        <v>6000</v>
      </c>
      <c r="H244" s="720" t="str">
        <f t="shared" si="26"/>
        <v>USD</v>
      </c>
      <c r="I244" s="820" t="s">
        <v>4345</v>
      </c>
      <c r="J244" s="155" t="s">
        <v>3975</v>
      </c>
      <c r="K244" s="155" t="s">
        <v>4346</v>
      </c>
      <c r="L244" s="247">
        <f t="shared" si="22"/>
        <v>2</v>
      </c>
      <c r="M244" s="121">
        <f>SUMIFS('Bilateral Assistance, MAIN DATA'!M:M,'Bilateral Assistance, MAIN DATA'!I:I,'Price List, Weapons &amp; Items'!B244)</f>
        <v>900</v>
      </c>
      <c r="N244" s="19">
        <f>COUNTIFS('Bilateral Assistance, MAIN DATA'!M:M,"undisclosed",'Bilateral Assistance, MAIN DATA'!I:I,'Price List, Weapons &amp; Items'!B244)</f>
        <v>0</v>
      </c>
      <c r="O244" s="723">
        <f t="shared" si="23"/>
        <v>5400000</v>
      </c>
      <c r="P244" s="19">
        <f>IFERROR(IF(SEARCH(B244,_xlfn.ARRAYTOTEXT('Bilateral Assistance, MAIN DATA'!I$1:I$1622))&gt;0,1,""),0)</f>
        <v>1</v>
      </c>
      <c r="Q244" s="19">
        <f>IFERROR(IF(SEARCH(B244,_xlfn.ARRAYTOTEXT('Commercial Assistance'!I$1:I$1400))&gt;0,1,""),0)</f>
        <v>0</v>
      </c>
      <c r="R244" s="247" t="str">
        <f>IF(SUMIFS('Bilateral Assistance, MAIN DATA'!N:N,'Bilateral Assistance, MAIN DATA'!I:I,'Price List, Weapons &amp; Items'!B244)&gt;M244,1,".")</f>
        <v>.</v>
      </c>
    </row>
    <row r="245" spans="2:18" ht="15" customHeight="1" x14ac:dyDescent="0.3">
      <c r="B245" s="185" t="s">
        <v>1409</v>
      </c>
      <c r="C245" s="113" t="s">
        <v>3987</v>
      </c>
      <c r="D245" s="246" t="s">
        <v>4064</v>
      </c>
      <c r="E245" s="199">
        <v>0</v>
      </c>
      <c r="F245" s="199">
        <f t="shared" si="25"/>
        <v>0</v>
      </c>
      <c r="G245" s="629">
        <f>27400000/5100</f>
        <v>5372.5490196078435</v>
      </c>
      <c r="H245" s="720" t="str">
        <f t="shared" si="26"/>
        <v>USD</v>
      </c>
      <c r="I245" s="821" t="s">
        <v>4347</v>
      </c>
      <c r="J245" s="155" t="s">
        <v>3964</v>
      </c>
      <c r="K245" s="155" t="s">
        <v>4348</v>
      </c>
      <c r="L245" s="247">
        <f t="shared" si="22"/>
        <v>2</v>
      </c>
      <c r="M245" s="121">
        <f>SUMIFS('Bilateral Assistance, MAIN DATA'!M:M,'Bilateral Assistance, MAIN DATA'!I:I,'Price List, Weapons &amp; Items'!B245)</f>
        <v>7944</v>
      </c>
      <c r="N245" s="19">
        <f>COUNTIFS('Bilateral Assistance, MAIN DATA'!M:M,"undisclosed",'Bilateral Assistance, MAIN DATA'!I:I,'Price List, Weapons &amp; Items'!B245)</f>
        <v>0</v>
      </c>
      <c r="O245" s="723">
        <f t="shared" si="23"/>
        <v>42679529.411764711</v>
      </c>
      <c r="P245" s="19">
        <f>IFERROR(IF(SEARCH(B245,_xlfn.ARRAYTOTEXT('Bilateral Assistance, MAIN DATA'!I$1:I$1622))&gt;0,1,""),0)</f>
        <v>1</v>
      </c>
      <c r="Q245" s="19">
        <f>IFERROR(IF(SEARCH(B245,_xlfn.ARRAYTOTEXT('Commercial Assistance'!I$1:I$1400))&gt;0,1,""),0)</f>
        <v>0</v>
      </c>
      <c r="R245" s="247" t="str">
        <f>IF(SUMIFS('Bilateral Assistance, MAIN DATA'!N:N,'Bilateral Assistance, MAIN DATA'!I:I,'Price List, Weapons &amp; Items'!B245)&gt;M245,1,".")</f>
        <v>.</v>
      </c>
    </row>
    <row r="246" spans="2:18" ht="15" customHeight="1" x14ac:dyDescent="0.3">
      <c r="B246" s="175" t="s">
        <v>4349</v>
      </c>
      <c r="C246" s="113" t="s">
        <v>3939</v>
      </c>
      <c r="D246" s="246" t="s">
        <v>3973</v>
      </c>
      <c r="E246" s="199">
        <v>0</v>
      </c>
      <c r="F246" s="199">
        <f t="shared" si="25"/>
        <v>0</v>
      </c>
      <c r="G246" s="629">
        <v>5300</v>
      </c>
      <c r="H246" s="720" t="str">
        <f t="shared" si="26"/>
        <v>USD</v>
      </c>
      <c r="I246" s="820" t="s">
        <v>4079</v>
      </c>
      <c r="J246" s="155" t="s">
        <v>3975</v>
      </c>
      <c r="K246" s="155" t="s">
        <v>3976</v>
      </c>
      <c r="L246" s="247">
        <f t="shared" si="22"/>
        <v>2</v>
      </c>
      <c r="M246" s="121">
        <f>SUMIFS('Bilateral Assistance, MAIN DATA'!M:M,'Bilateral Assistance, MAIN DATA'!I:I,'Price List, Weapons &amp; Items'!B246)</f>
        <v>2400</v>
      </c>
      <c r="N246" s="19">
        <f>COUNTIFS('Bilateral Assistance, MAIN DATA'!M:M,"undisclosed",'Bilateral Assistance, MAIN DATA'!I:I,'Price List, Weapons &amp; Items'!B246)</f>
        <v>0</v>
      </c>
      <c r="O246" s="723">
        <f t="shared" si="23"/>
        <v>12720000</v>
      </c>
      <c r="P246" s="19">
        <f>IFERROR(IF(SEARCH(B246,_xlfn.ARRAYTOTEXT('Bilateral Assistance, MAIN DATA'!I$1:I$1622))&gt;0,1,""),0)</f>
        <v>1</v>
      </c>
      <c r="Q246" s="19">
        <f>IFERROR(IF(SEARCH(B246,_xlfn.ARRAYTOTEXT('Commercial Assistance'!I$1:I$1400))&gt;0,1,""),0)</f>
        <v>0</v>
      </c>
      <c r="R246" s="247" t="str">
        <f>IF(SUMIFS('Bilateral Assistance, MAIN DATA'!N:N,'Bilateral Assistance, MAIN DATA'!I:I,'Price List, Weapons &amp; Items'!B246)&gt;M246,1,".")</f>
        <v>.</v>
      </c>
    </row>
    <row r="247" spans="2:18" ht="15" customHeight="1" x14ac:dyDescent="0.3">
      <c r="B247" s="188" t="s">
        <v>730</v>
      </c>
      <c r="C247" s="113" t="s">
        <v>3939</v>
      </c>
      <c r="D247" s="246" t="s">
        <v>3973</v>
      </c>
      <c r="E247" s="199">
        <v>0</v>
      </c>
      <c r="F247" s="199">
        <f t="shared" si="25"/>
        <v>0</v>
      </c>
      <c r="G247" s="629">
        <v>5175</v>
      </c>
      <c r="H247" s="720" t="str">
        <f t="shared" si="26"/>
        <v>USD</v>
      </c>
      <c r="I247" s="820" t="s">
        <v>4350</v>
      </c>
      <c r="J247" s="155" t="s">
        <v>3971</v>
      </c>
      <c r="K247" s="155" t="s">
        <v>4351</v>
      </c>
      <c r="L247" s="247">
        <f t="shared" si="22"/>
        <v>2</v>
      </c>
      <c r="M247" s="121">
        <f>SUMIFS('Bilateral Assistance, MAIN DATA'!M:M,'Bilateral Assistance, MAIN DATA'!I:I,'Price List, Weapons &amp; Items'!B247)</f>
        <v>3200</v>
      </c>
      <c r="N247" s="19">
        <f>COUNTIFS('Bilateral Assistance, MAIN DATA'!M:M,"undisclosed",'Bilateral Assistance, MAIN DATA'!I:I,'Price List, Weapons &amp; Items'!B247)</f>
        <v>0</v>
      </c>
      <c r="O247" s="723">
        <f t="shared" si="23"/>
        <v>16560000</v>
      </c>
      <c r="P247" s="19">
        <f>IFERROR(IF(SEARCH(B247,_xlfn.ARRAYTOTEXT('Bilateral Assistance, MAIN DATA'!I$1:I$1622))&gt;0,1,""),0)</f>
        <v>1</v>
      </c>
      <c r="Q247" s="19">
        <f>IFERROR(IF(SEARCH(B247,_xlfn.ARRAYTOTEXT('Commercial Assistance'!I$1:I$1400))&gt;0,1,""),0)</f>
        <v>0</v>
      </c>
      <c r="R247" s="247" t="str">
        <f>IF(SUMIFS('Bilateral Assistance, MAIN DATA'!N:N,'Bilateral Assistance, MAIN DATA'!I:I,'Price List, Weapons &amp; Items'!B247)&gt;M247,1,".")</f>
        <v>.</v>
      </c>
    </row>
    <row r="248" spans="2:18" ht="15" customHeight="1" x14ac:dyDescent="0.3">
      <c r="B248" s="17" t="s">
        <v>743</v>
      </c>
      <c r="C248" s="113" t="s">
        <v>3939</v>
      </c>
      <c r="D248" s="246" t="s">
        <v>3973</v>
      </c>
      <c r="E248" s="199">
        <v>0</v>
      </c>
      <c r="F248" s="199">
        <f t="shared" si="25"/>
        <v>0</v>
      </c>
      <c r="G248" s="629">
        <v>52687</v>
      </c>
      <c r="H248" s="720" t="str">
        <f t="shared" si="26"/>
        <v>USD</v>
      </c>
      <c r="I248" s="821" t="s">
        <v>4352</v>
      </c>
      <c r="J248" s="155" t="s">
        <v>3959</v>
      </c>
      <c r="K248" s="155" t="s">
        <v>4353</v>
      </c>
      <c r="L248" s="247">
        <f t="shared" si="22"/>
        <v>1</v>
      </c>
      <c r="M248" s="121">
        <f>SUMIFS('Bilateral Assistance, MAIN DATA'!M:M,'Bilateral Assistance, MAIN DATA'!I:I,'Price List, Weapons &amp; Items'!B248)</f>
        <v>20</v>
      </c>
      <c r="N248" s="19">
        <f>COUNTIFS('Bilateral Assistance, MAIN DATA'!M:M,"undisclosed",'Bilateral Assistance, MAIN DATA'!I:I,'Price List, Weapons &amp; Items'!B248)</f>
        <v>0</v>
      </c>
      <c r="O248" s="723">
        <f t="shared" si="23"/>
        <v>1053740</v>
      </c>
      <c r="P248" s="19">
        <f>IFERROR(IF(SEARCH(B248,_xlfn.ARRAYTOTEXT('Bilateral Assistance, MAIN DATA'!I$1:I$1622))&gt;0,1,""),0)</f>
        <v>1</v>
      </c>
      <c r="Q248" s="19">
        <f>IFERROR(IF(SEARCH(B248,_xlfn.ARRAYTOTEXT('Commercial Assistance'!I$1:I$1400))&gt;0,1,""),0)</f>
        <v>0</v>
      </c>
      <c r="R248" s="247" t="str">
        <f>IF(SUMIFS('Bilateral Assistance, MAIN DATA'!N:N,'Bilateral Assistance, MAIN DATA'!I:I,'Price List, Weapons &amp; Items'!B248)&gt;M248,1,".")</f>
        <v>.</v>
      </c>
    </row>
    <row r="249" spans="2:18" ht="15" customHeight="1" x14ac:dyDescent="0.3">
      <c r="B249" s="175" t="s">
        <v>644</v>
      </c>
      <c r="C249" s="113" t="s">
        <v>3942</v>
      </c>
      <c r="D249" s="246" t="s">
        <v>3943</v>
      </c>
      <c r="E249" s="199">
        <v>0</v>
      </c>
      <c r="F249" s="199">
        <f t="shared" si="25"/>
        <v>1</v>
      </c>
      <c r="G249" s="629">
        <v>3800</v>
      </c>
      <c r="H249" s="720" t="str">
        <f t="shared" si="26"/>
        <v>USD</v>
      </c>
      <c r="I249" s="821" t="s">
        <v>4114</v>
      </c>
      <c r="J249" s="155" t="s">
        <v>4008</v>
      </c>
      <c r="K249" s="155" t="s">
        <v>4354</v>
      </c>
      <c r="L249" s="247">
        <f t="shared" si="22"/>
        <v>2</v>
      </c>
      <c r="M249" s="121">
        <f>SUMIFS('Bilateral Assistance, MAIN DATA'!M:M,'Bilateral Assistance, MAIN DATA'!I:I,'Price List, Weapons &amp; Items'!B249)</f>
        <v>875600</v>
      </c>
      <c r="N249" s="19">
        <f>COUNTIFS('Bilateral Assistance, MAIN DATA'!M:M,"undisclosed",'Bilateral Assistance, MAIN DATA'!I:I,'Price List, Weapons &amp; Items'!B249)</f>
        <v>2</v>
      </c>
      <c r="O249" s="723">
        <f t="shared" si="23"/>
        <v>3327280000</v>
      </c>
      <c r="P249" s="19">
        <f>IFERROR(IF(SEARCH(B249,_xlfn.ARRAYTOTEXT('Bilateral Assistance, MAIN DATA'!I$1:I$1622))&gt;0,1,""),0)</f>
        <v>1</v>
      </c>
      <c r="Q249" s="19">
        <f>IFERROR(IF(SEARCH(B249,_xlfn.ARRAYTOTEXT('Commercial Assistance'!I$1:I$1400))&gt;0,1,""),0)</f>
        <v>0</v>
      </c>
      <c r="R249" s="247" t="str">
        <f>IF(SUMIFS('Bilateral Assistance, MAIN DATA'!N:N,'Bilateral Assistance, MAIN DATA'!I:I,'Price List, Weapons &amp; Items'!B249)&gt;M249,1,".")</f>
        <v>.</v>
      </c>
    </row>
    <row r="250" spans="2:18" ht="15" customHeight="1" x14ac:dyDescent="0.3">
      <c r="B250" s="175" t="s">
        <v>1262</v>
      </c>
      <c r="C250" s="113" t="s">
        <v>3942</v>
      </c>
      <c r="D250" s="246" t="s">
        <v>3943</v>
      </c>
      <c r="E250" s="199">
        <v>0</v>
      </c>
      <c r="F250" s="199">
        <f t="shared" si="25"/>
        <v>1</v>
      </c>
      <c r="G250" s="629">
        <v>3800</v>
      </c>
      <c r="H250" s="720" t="str">
        <f t="shared" si="26"/>
        <v>USD</v>
      </c>
      <c r="I250" s="821" t="s">
        <v>4114</v>
      </c>
      <c r="J250" s="155" t="s">
        <v>4008</v>
      </c>
      <c r="K250" s="155" t="s">
        <v>4354</v>
      </c>
      <c r="L250" s="247">
        <f t="shared" si="22"/>
        <v>2</v>
      </c>
      <c r="M250" s="121">
        <f>SUMIFS('Bilateral Assistance, MAIN DATA'!M:M,'Bilateral Assistance, MAIN DATA'!I:I,'Price List, Weapons &amp; Items'!B250)</f>
        <v>48000</v>
      </c>
      <c r="N250" s="19">
        <f>COUNTIFS('Bilateral Assistance, MAIN DATA'!M:M,"undisclosed",'Bilateral Assistance, MAIN DATA'!I:I,'Price List, Weapons &amp; Items'!B250)</f>
        <v>2</v>
      </c>
      <c r="O250" s="723">
        <f t="shared" si="23"/>
        <v>182400000</v>
      </c>
      <c r="P250" s="19">
        <f>IFERROR(IF(SEARCH(B250,_xlfn.ARRAYTOTEXT('Bilateral Assistance, MAIN DATA'!I$1:I$1622))&gt;0,1,""),0)</f>
        <v>1</v>
      </c>
      <c r="Q250" s="19">
        <f>IFERROR(IF(SEARCH(B250,_xlfn.ARRAYTOTEXT('Commercial Assistance'!I$1:I$1400))&gt;0,1,""),0)</f>
        <v>0</v>
      </c>
      <c r="R250" s="247" t="str">
        <f>IF(SUMIFS('Bilateral Assistance, MAIN DATA'!N:N,'Bilateral Assistance, MAIN DATA'!I:I,'Price List, Weapons &amp; Items'!B250)&gt;M250,1,".")</f>
        <v>.</v>
      </c>
    </row>
    <row r="251" spans="2:18" ht="15" customHeight="1" x14ac:dyDescent="0.3">
      <c r="B251" s="175" t="s">
        <v>435</v>
      </c>
      <c r="C251" s="113" t="s">
        <v>3939</v>
      </c>
      <c r="D251" s="246" t="s">
        <v>3973</v>
      </c>
      <c r="E251" s="199">
        <v>0</v>
      </c>
      <c r="F251" s="199">
        <f t="shared" si="25"/>
        <v>0</v>
      </c>
      <c r="G251" s="629">
        <v>3000</v>
      </c>
      <c r="H251" s="720" t="str">
        <f t="shared" si="26"/>
        <v>USD</v>
      </c>
      <c r="I251" s="820" t="s">
        <v>4355</v>
      </c>
      <c r="J251" s="155" t="s">
        <v>3967</v>
      </c>
      <c r="K251" s="155" t="s">
        <v>4356</v>
      </c>
      <c r="L251" s="247">
        <f t="shared" si="22"/>
        <v>2</v>
      </c>
      <c r="M251" s="121">
        <f>SUMIFS('Bilateral Assistance, MAIN DATA'!M:M,'Bilateral Assistance, MAIN DATA'!I:I,'Price List, Weapons &amp; Items'!B251)</f>
        <v>5000</v>
      </c>
      <c r="N251" s="19">
        <f>COUNTIFS('Bilateral Assistance, MAIN DATA'!M:M,"undisclosed",'Bilateral Assistance, MAIN DATA'!I:I,'Price List, Weapons &amp; Items'!B251)</f>
        <v>0</v>
      </c>
      <c r="O251" s="723">
        <f t="shared" si="23"/>
        <v>15000000</v>
      </c>
      <c r="P251" s="19">
        <f>IFERROR(IF(SEARCH(B251,_xlfn.ARRAYTOTEXT('Bilateral Assistance, MAIN DATA'!I$1:I$1622))&gt;0,1,""),0)</f>
        <v>1</v>
      </c>
      <c r="Q251" s="19">
        <f>IFERROR(IF(SEARCH(B251,_xlfn.ARRAYTOTEXT('Commercial Assistance'!I$1:I$1400))&gt;0,1,""),0)</f>
        <v>0</v>
      </c>
      <c r="R251" s="247" t="str">
        <f>IF(SUMIFS('Bilateral Assistance, MAIN DATA'!N:N,'Bilateral Assistance, MAIN DATA'!I:I,'Price List, Weapons &amp; Items'!B251)&gt;M251,1,".")</f>
        <v>.</v>
      </c>
    </row>
    <row r="252" spans="2:18" ht="15" customHeight="1" x14ac:dyDescent="0.3">
      <c r="B252" s="188" t="s">
        <v>1540</v>
      </c>
      <c r="C252" s="113" t="s">
        <v>812</v>
      </c>
      <c r="D252" s="113" t="s">
        <v>812</v>
      </c>
      <c r="E252" s="199">
        <v>0</v>
      </c>
      <c r="F252" s="199">
        <f t="shared" si="25"/>
        <v>0</v>
      </c>
      <c r="G252" s="629">
        <v>19500</v>
      </c>
      <c r="H252" s="720" t="str">
        <f t="shared" si="26"/>
        <v>USD</v>
      </c>
      <c r="I252" s="820" t="s">
        <v>4357</v>
      </c>
      <c r="J252" s="155" t="s">
        <v>4008</v>
      </c>
      <c r="K252" s="155" t="s">
        <v>4358</v>
      </c>
      <c r="L252" s="247">
        <f t="shared" si="22"/>
        <v>1</v>
      </c>
      <c r="M252" s="121">
        <f>SUMIFS('Bilateral Assistance, MAIN DATA'!M:M,'Bilateral Assistance, MAIN DATA'!I:I,'Price List, Weapons &amp; Items'!B252)</f>
        <v>60</v>
      </c>
      <c r="N252" s="19">
        <f>COUNTIFS('Bilateral Assistance, MAIN DATA'!M:M,"undisclosed",'Bilateral Assistance, MAIN DATA'!I:I,'Price List, Weapons &amp; Items'!B252)</f>
        <v>0</v>
      </c>
      <c r="O252" s="723">
        <f t="shared" si="23"/>
        <v>1170000</v>
      </c>
      <c r="P252" s="19">
        <f>IFERROR(IF(SEARCH(B252,_xlfn.ARRAYTOTEXT('Bilateral Assistance, MAIN DATA'!I$1:I$1622))&gt;0,1,""),0)</f>
        <v>1</v>
      </c>
      <c r="Q252" s="19">
        <f>IFERROR(IF(SEARCH(B252,_xlfn.ARRAYTOTEXT('Commercial Assistance'!I$1:I$1400))&gt;0,1,""),0)</f>
        <v>0</v>
      </c>
      <c r="R252" s="247" t="str">
        <f>IF(SUMIFS('Bilateral Assistance, MAIN DATA'!N:N,'Bilateral Assistance, MAIN DATA'!I:I,'Price List, Weapons &amp; Items'!B252)&gt;M252,1,".")</f>
        <v>.</v>
      </c>
    </row>
    <row r="253" spans="2:18" ht="15" customHeight="1" x14ac:dyDescent="0.3">
      <c r="B253" s="175" t="s">
        <v>4359</v>
      </c>
      <c r="C253" s="113" t="s">
        <v>3949</v>
      </c>
      <c r="D253" s="246" t="s">
        <v>4360</v>
      </c>
      <c r="E253" s="199">
        <v>0</v>
      </c>
      <c r="F253" s="199">
        <f t="shared" si="25"/>
        <v>0</v>
      </c>
      <c r="G253" s="629">
        <v>1750</v>
      </c>
      <c r="H253" s="720" t="str">
        <f t="shared" si="26"/>
        <v>USD</v>
      </c>
      <c r="I253" s="820" t="s">
        <v>4093</v>
      </c>
      <c r="J253" s="155" t="s">
        <v>3967</v>
      </c>
      <c r="K253" s="155" t="s">
        <v>4361</v>
      </c>
      <c r="L253" s="247">
        <f t="shared" si="22"/>
        <v>2</v>
      </c>
      <c r="M253" s="121">
        <f>SUMIFS('Bilateral Assistance, MAIN DATA'!M:M,'Bilateral Assistance, MAIN DATA'!I:I,'Price List, Weapons &amp; Items'!B253)</f>
        <v>2000</v>
      </c>
      <c r="N253" s="19">
        <f>COUNTIFS('Bilateral Assistance, MAIN DATA'!M:M,"undisclosed",'Bilateral Assistance, MAIN DATA'!I:I,'Price List, Weapons &amp; Items'!B253)</f>
        <v>0</v>
      </c>
      <c r="O253" s="723">
        <f t="shared" si="23"/>
        <v>3500000</v>
      </c>
      <c r="P253" s="19">
        <f>IFERROR(IF(SEARCH(B253,_xlfn.ARRAYTOTEXT('Bilateral Assistance, MAIN DATA'!I$1:I$1622))&gt;0,1,""),0)</f>
        <v>1</v>
      </c>
      <c r="Q253" s="19">
        <f>IFERROR(IF(SEARCH(B253,_xlfn.ARRAYTOTEXT('Commercial Assistance'!I$1:I$1400))&gt;0,1,""),0)</f>
        <v>0</v>
      </c>
      <c r="R253" s="247" t="str">
        <f>IF(SUMIFS('Bilateral Assistance, MAIN DATA'!N:N,'Bilateral Assistance, MAIN DATA'!I:I,'Price List, Weapons &amp; Items'!B253)&gt;M253,1,".")</f>
        <v>.</v>
      </c>
    </row>
    <row r="254" spans="2:18" ht="15" customHeight="1" x14ac:dyDescent="0.3">
      <c r="B254" s="17" t="s">
        <v>4362</v>
      </c>
      <c r="C254" s="113" t="s">
        <v>3987</v>
      </c>
      <c r="D254" s="246" t="s">
        <v>4064</v>
      </c>
      <c r="E254" s="199">
        <v>0</v>
      </c>
      <c r="F254" s="199">
        <f t="shared" si="25"/>
        <v>0</v>
      </c>
      <c r="G254" s="629">
        <v>3873.65</v>
      </c>
      <c r="H254" s="720" t="str">
        <f t="shared" si="26"/>
        <v>USD</v>
      </c>
      <c r="I254" s="821" t="s">
        <v>4363</v>
      </c>
      <c r="J254" s="155" t="s">
        <v>3967</v>
      </c>
      <c r="K254" s="155" t="s">
        <v>4364</v>
      </c>
      <c r="L254" s="247">
        <f t="shared" si="22"/>
        <v>2</v>
      </c>
      <c r="M254" s="121">
        <f>SUMIFS('Bilateral Assistance, MAIN DATA'!M:M,'Bilateral Assistance, MAIN DATA'!I:I,'Price List, Weapons &amp; Items'!B254)</f>
        <v>10567</v>
      </c>
      <c r="N254" s="19">
        <f>COUNTIFS('Bilateral Assistance, MAIN DATA'!M:M,"undisclosed",'Bilateral Assistance, MAIN DATA'!I:I,'Price List, Weapons &amp; Items'!B254)</f>
        <v>0</v>
      </c>
      <c r="O254" s="723">
        <f t="shared" si="23"/>
        <v>40932859.550000004</v>
      </c>
      <c r="P254" s="19">
        <f>IFERROR(IF(SEARCH(B254,_xlfn.ARRAYTOTEXT('Bilateral Assistance, MAIN DATA'!I$1:I$1622))&gt;0,1,""),0)</f>
        <v>1</v>
      </c>
      <c r="Q254" s="19">
        <f>IFERROR(IF(SEARCH(B254,_xlfn.ARRAYTOTEXT('Commercial Assistance'!I$1:I$1400))&gt;0,1,""),0)</f>
        <v>0</v>
      </c>
      <c r="R254" s="247" t="str">
        <f>IF(SUMIFS('Bilateral Assistance, MAIN DATA'!N:N,'Bilateral Assistance, MAIN DATA'!I:I,'Price List, Weapons &amp; Items'!B254)&gt;M254,1,".")</f>
        <v>.</v>
      </c>
    </row>
    <row r="255" spans="2:18" ht="15" customHeight="1" x14ac:dyDescent="0.3">
      <c r="B255" s="175" t="s">
        <v>1633</v>
      </c>
      <c r="C255" s="113" t="s">
        <v>4068</v>
      </c>
      <c r="D255" s="246" t="s">
        <v>4069</v>
      </c>
      <c r="E255" s="199">
        <v>0</v>
      </c>
      <c r="F255" s="199">
        <f t="shared" si="25"/>
        <v>0</v>
      </c>
      <c r="G255" s="629">
        <v>2500</v>
      </c>
      <c r="H255" s="720" t="str">
        <f t="shared" si="26"/>
        <v>USD</v>
      </c>
      <c r="I255" s="821" t="s">
        <v>4365</v>
      </c>
      <c r="J255" s="155" t="s">
        <v>3975</v>
      </c>
      <c r="K255" s="155" t="s">
        <v>4366</v>
      </c>
      <c r="L255" s="247">
        <f t="shared" si="22"/>
        <v>2</v>
      </c>
      <c r="M255" s="121">
        <f>SUMIFS('Bilateral Assistance, MAIN DATA'!M:M,'Bilateral Assistance, MAIN DATA'!I:I,'Price List, Weapons &amp; Items'!B255)</f>
        <v>15000</v>
      </c>
      <c r="N255" s="19">
        <f>COUNTIFS('Bilateral Assistance, MAIN DATA'!M:M,"undisclosed",'Bilateral Assistance, MAIN DATA'!I:I,'Price List, Weapons &amp; Items'!B255)</f>
        <v>0</v>
      </c>
      <c r="O255" s="723">
        <f t="shared" si="23"/>
        <v>37500000</v>
      </c>
      <c r="P255" s="19">
        <f>IFERROR(IF(SEARCH(B255,_xlfn.ARRAYTOTEXT('Bilateral Assistance, MAIN DATA'!I$1:I$1622))&gt;0,1,""),0)</f>
        <v>1</v>
      </c>
      <c r="Q255" s="19">
        <f>IFERROR(IF(SEARCH(B255,_xlfn.ARRAYTOTEXT('Commercial Assistance'!I$1:I$1400))&gt;0,1,""),0)</f>
        <v>0</v>
      </c>
      <c r="R255" s="247" t="str">
        <f>IF(SUMIFS('Bilateral Assistance, MAIN DATA'!N:N,'Bilateral Assistance, MAIN DATA'!I:I,'Price List, Weapons &amp; Items'!B255)&gt;M255,1,".")</f>
        <v>.</v>
      </c>
    </row>
    <row r="256" spans="2:18" ht="15" customHeight="1" x14ac:dyDescent="0.3">
      <c r="B256" s="17" t="s">
        <v>4367</v>
      </c>
      <c r="C256" s="113" t="s">
        <v>3987</v>
      </c>
      <c r="D256" s="246" t="s">
        <v>4368</v>
      </c>
      <c r="E256" s="199">
        <v>0</v>
      </c>
      <c r="F256" s="199">
        <f t="shared" si="25"/>
        <v>0</v>
      </c>
      <c r="G256" s="629">
        <f>AVERAGE(1082,3500)</f>
        <v>2291</v>
      </c>
      <c r="H256" s="720" t="str">
        <f t="shared" si="26"/>
        <v>USD</v>
      </c>
      <c r="I256" s="821" t="s">
        <v>4369</v>
      </c>
      <c r="J256" s="155" t="s">
        <v>3975</v>
      </c>
      <c r="K256" s="155" t="s">
        <v>4370</v>
      </c>
      <c r="L256" s="247">
        <f t="shared" si="22"/>
        <v>2</v>
      </c>
      <c r="M256" s="121">
        <f>SUMIFS('Bilateral Assistance, MAIN DATA'!M:M,'Bilateral Assistance, MAIN DATA'!I:I,'Price List, Weapons &amp; Items'!B256)</f>
        <v>1700</v>
      </c>
      <c r="N256" s="19">
        <f>COUNTIFS('Bilateral Assistance, MAIN DATA'!M:M,"undisclosed",'Bilateral Assistance, MAIN DATA'!I:I,'Price List, Weapons &amp; Items'!B256)</f>
        <v>0</v>
      </c>
      <c r="O256" s="723">
        <f t="shared" si="23"/>
        <v>3894700</v>
      </c>
      <c r="P256" s="19">
        <f>IFERROR(IF(SEARCH(B256,_xlfn.ARRAYTOTEXT('Bilateral Assistance, MAIN DATA'!I$1:I$1622))&gt;0,1,""),0)</f>
        <v>1</v>
      </c>
      <c r="Q256" s="19">
        <f>IFERROR(IF(SEARCH(B256,_xlfn.ARRAYTOTEXT('Commercial Assistance'!I$1:I$1400))&gt;0,1,""),0)</f>
        <v>0</v>
      </c>
      <c r="R256" s="247" t="str">
        <f>IF(SUMIFS('Bilateral Assistance, MAIN DATA'!N:N,'Bilateral Assistance, MAIN DATA'!I:I,'Price List, Weapons &amp; Items'!B256)&gt;M256,1,".")</f>
        <v>.</v>
      </c>
    </row>
    <row r="257" spans="2:18" ht="15" customHeight="1" x14ac:dyDescent="0.3">
      <c r="B257" s="175" t="s">
        <v>2337</v>
      </c>
      <c r="C257" s="113" t="s">
        <v>3942</v>
      </c>
      <c r="D257" s="246" t="s">
        <v>4111</v>
      </c>
      <c r="E257" s="199">
        <v>0</v>
      </c>
      <c r="F257" s="199">
        <f t="shared" si="25"/>
        <v>1</v>
      </c>
      <c r="G257" s="629">
        <v>2000</v>
      </c>
      <c r="H257" s="720" t="str">
        <f t="shared" si="26"/>
        <v>USD</v>
      </c>
      <c r="I257" s="820" t="s">
        <v>4120</v>
      </c>
      <c r="J257" s="155" t="s">
        <v>3964</v>
      </c>
      <c r="K257" s="155" t="s">
        <v>4371</v>
      </c>
      <c r="L257" s="247">
        <f t="shared" si="22"/>
        <v>2</v>
      </c>
      <c r="M257" s="121">
        <f>SUMIFS('Bilateral Assistance, MAIN DATA'!M:M,'Bilateral Assistance, MAIN DATA'!I:I,'Price List, Weapons &amp; Items'!B257)</f>
        <v>21170</v>
      </c>
      <c r="N257" s="19">
        <f>COUNTIFS('Bilateral Assistance, MAIN DATA'!M:M,"undisclosed",'Bilateral Assistance, MAIN DATA'!I:I,'Price List, Weapons &amp; Items'!B257)</f>
        <v>0</v>
      </c>
      <c r="O257" s="723">
        <f t="shared" si="23"/>
        <v>42340000</v>
      </c>
      <c r="P257" s="19">
        <f>IFERROR(IF(SEARCH(B257,_xlfn.ARRAYTOTEXT('Bilateral Assistance, MAIN DATA'!I$1:I$1622))&gt;0,1,""),0)</f>
        <v>1</v>
      </c>
      <c r="Q257" s="19">
        <f>IFERROR(IF(SEARCH(B257,_xlfn.ARRAYTOTEXT('Commercial Assistance'!I$1:I$1400))&gt;0,1,""),0)</f>
        <v>0</v>
      </c>
      <c r="R257" s="247" t="str">
        <f>IF(SUMIFS('Bilateral Assistance, MAIN DATA'!N:N,'Bilateral Assistance, MAIN DATA'!I:I,'Price List, Weapons &amp; Items'!B257)&gt;M257,1,".")</f>
        <v>.</v>
      </c>
    </row>
    <row r="258" spans="2:18" ht="15" customHeight="1" x14ac:dyDescent="0.3">
      <c r="B258" s="188" t="s">
        <v>4372</v>
      </c>
      <c r="C258" s="113" t="s">
        <v>3942</v>
      </c>
      <c r="D258" s="246" t="s">
        <v>4122</v>
      </c>
      <c r="E258" s="199">
        <v>0</v>
      </c>
      <c r="F258" s="199">
        <f t="shared" si="25"/>
        <v>0</v>
      </c>
      <c r="G258" s="629">
        <v>2000</v>
      </c>
      <c r="H258" s="720" t="str">
        <f t="shared" si="26"/>
        <v>USD</v>
      </c>
      <c r="I258" s="820" t="s">
        <v>4120</v>
      </c>
      <c r="J258" s="155" t="s">
        <v>3964</v>
      </c>
      <c r="K258" s="155" t="s">
        <v>4371</v>
      </c>
      <c r="L258" s="247">
        <f t="shared" si="22"/>
        <v>2</v>
      </c>
      <c r="M258" s="121">
        <f>SUMIFS('Bilateral Assistance, MAIN DATA'!M:M,'Bilateral Assistance, MAIN DATA'!I:I,'Price List, Weapons &amp; Items'!B258)</f>
        <v>66000</v>
      </c>
      <c r="N258" s="19">
        <f>COUNTIFS('Bilateral Assistance, MAIN DATA'!M:M,"undisclosed",'Bilateral Assistance, MAIN DATA'!I:I,'Price List, Weapons &amp; Items'!B258)</f>
        <v>1</v>
      </c>
      <c r="O258" s="723">
        <f t="shared" si="23"/>
        <v>132000000</v>
      </c>
      <c r="P258" s="19">
        <f>IFERROR(IF(SEARCH(B258,_xlfn.ARRAYTOTEXT('Bilateral Assistance, MAIN DATA'!I$1:I$1622))&gt;0,1,""),0)</f>
        <v>1</v>
      </c>
      <c r="Q258" s="19">
        <f>IFERROR(IF(SEARCH(B258,_xlfn.ARRAYTOTEXT('Commercial Assistance'!I$1:I$1400))&gt;0,1,""),0)</f>
        <v>0</v>
      </c>
      <c r="R258" s="247" t="str">
        <f>IF(SUMIFS('Bilateral Assistance, MAIN DATA'!N:N,'Bilateral Assistance, MAIN DATA'!I:I,'Price List, Weapons &amp; Items'!B258)&gt;M258,1,".")</f>
        <v>.</v>
      </c>
    </row>
    <row r="259" spans="2:18" ht="15" customHeight="1" x14ac:dyDescent="0.3">
      <c r="B259" s="175" t="s">
        <v>4373</v>
      </c>
      <c r="C259" s="113" t="s">
        <v>3987</v>
      </c>
      <c r="D259" s="246" t="s">
        <v>4064</v>
      </c>
      <c r="E259" s="199">
        <v>0</v>
      </c>
      <c r="F259" s="199">
        <f t="shared" si="25"/>
        <v>0</v>
      </c>
      <c r="G259" s="629">
        <v>1475</v>
      </c>
      <c r="H259" s="720" t="str">
        <f t="shared" si="26"/>
        <v>USD</v>
      </c>
      <c r="I259" s="300" t="s">
        <v>4125</v>
      </c>
      <c r="J259" s="155" t="s">
        <v>3967</v>
      </c>
      <c r="K259" s="254" t="s">
        <v>4374</v>
      </c>
      <c r="L259" s="247">
        <f t="shared" si="22"/>
        <v>1</v>
      </c>
      <c r="M259" s="121">
        <f>SUMIFS('Bilateral Assistance, MAIN DATA'!M:M,'Bilateral Assistance, MAIN DATA'!I:I,'Price List, Weapons &amp; Items'!B259)</f>
        <v>1000</v>
      </c>
      <c r="N259" s="19">
        <f>COUNTIFS('Bilateral Assistance, MAIN DATA'!M:M,"undisclosed",'Bilateral Assistance, MAIN DATA'!I:I,'Price List, Weapons &amp; Items'!B259)</f>
        <v>1</v>
      </c>
      <c r="O259" s="723">
        <f t="shared" si="23"/>
        <v>1475000</v>
      </c>
      <c r="P259" s="19">
        <f>IFERROR(IF(SEARCH(B259,_xlfn.ARRAYTOTEXT('Bilateral Assistance, MAIN DATA'!I$1:I$1622))&gt;0,1,""),0)</f>
        <v>1</v>
      </c>
      <c r="Q259" s="19">
        <f>IFERROR(IF(SEARCH(B259,_xlfn.ARRAYTOTEXT('Commercial Assistance'!I$1:I$1400))&gt;0,1,""),0)</f>
        <v>0</v>
      </c>
      <c r="R259" s="247" t="str">
        <f>IF(SUMIFS('Bilateral Assistance, MAIN DATA'!N:N,'Bilateral Assistance, MAIN DATA'!I:I,'Price List, Weapons &amp; Items'!B259)&gt;M259,1,".")</f>
        <v>.</v>
      </c>
    </row>
    <row r="260" spans="2:18" ht="15" customHeight="1" x14ac:dyDescent="0.3">
      <c r="B260" s="175" t="s">
        <v>441</v>
      </c>
      <c r="C260" s="113" t="s">
        <v>3987</v>
      </c>
      <c r="D260" s="246" t="s">
        <v>4064</v>
      </c>
      <c r="E260" s="199">
        <v>0</v>
      </c>
      <c r="F260" s="199">
        <f t="shared" si="25"/>
        <v>0</v>
      </c>
      <c r="G260" s="629">
        <v>1475</v>
      </c>
      <c r="H260" s="720" t="str">
        <f t="shared" si="26"/>
        <v>USD</v>
      </c>
      <c r="I260" s="820" t="s">
        <v>4125</v>
      </c>
      <c r="J260" s="155" t="s">
        <v>3967</v>
      </c>
      <c r="K260" s="155" t="s">
        <v>4375</v>
      </c>
      <c r="L260" s="247">
        <f t="shared" si="22"/>
        <v>2</v>
      </c>
      <c r="M260" s="121">
        <f>SUMIFS('Bilateral Assistance, MAIN DATA'!M:M,'Bilateral Assistance, MAIN DATA'!I:I,'Price List, Weapons &amp; Items'!B260)</f>
        <v>11400</v>
      </c>
      <c r="N260" s="19">
        <f>COUNTIFS('Bilateral Assistance, MAIN DATA'!M:M,"undisclosed",'Bilateral Assistance, MAIN DATA'!I:I,'Price List, Weapons &amp; Items'!B260)</f>
        <v>1</v>
      </c>
      <c r="O260" s="723">
        <f t="shared" si="23"/>
        <v>16815000</v>
      </c>
      <c r="P260" s="19">
        <f>IFERROR(IF(SEARCH(B260,_xlfn.ARRAYTOTEXT('Bilateral Assistance, MAIN DATA'!I$1:I$1622))&gt;0,1,""),0)</f>
        <v>1</v>
      </c>
      <c r="Q260" s="19">
        <f>IFERROR(IF(SEARCH(B260,_xlfn.ARRAYTOTEXT('Commercial Assistance'!I$1:I$1400))&gt;0,1,""),0)</f>
        <v>0</v>
      </c>
      <c r="R260" s="247" t="str">
        <f>IF(SUMIFS('Bilateral Assistance, MAIN DATA'!N:N,'Bilateral Assistance, MAIN DATA'!I:I,'Price List, Weapons &amp; Items'!B260)&gt;M260,1,".")</f>
        <v>.</v>
      </c>
    </row>
    <row r="261" spans="2:18" ht="15" customHeight="1" x14ac:dyDescent="0.3">
      <c r="B261" s="175" t="s">
        <v>4376</v>
      </c>
      <c r="C261" s="113" t="s">
        <v>3987</v>
      </c>
      <c r="D261" s="246" t="s">
        <v>4064</v>
      </c>
      <c r="E261" s="199">
        <v>0</v>
      </c>
      <c r="F261" s="199">
        <f t="shared" si="25"/>
        <v>0</v>
      </c>
      <c r="G261" s="629">
        <v>1475</v>
      </c>
      <c r="H261" s="720" t="str">
        <f t="shared" si="26"/>
        <v>USD</v>
      </c>
      <c r="I261" s="820" t="s">
        <v>4125</v>
      </c>
      <c r="J261" s="155" t="s">
        <v>3967</v>
      </c>
      <c r="K261" s="155" t="s">
        <v>4126</v>
      </c>
      <c r="L261" s="247">
        <f t="shared" si="22"/>
        <v>2</v>
      </c>
      <c r="M261" s="121">
        <f>SUMIFS('Bilateral Assistance, MAIN DATA'!M:M,'Bilateral Assistance, MAIN DATA'!I:I,'Price List, Weapons &amp; Items'!B261)</f>
        <v>1500</v>
      </c>
      <c r="N261" s="19">
        <f>COUNTIFS('Bilateral Assistance, MAIN DATA'!M:M,"undisclosed",'Bilateral Assistance, MAIN DATA'!I:I,'Price List, Weapons &amp; Items'!B261)</f>
        <v>0</v>
      </c>
      <c r="O261" s="723">
        <f t="shared" si="23"/>
        <v>2212500</v>
      </c>
      <c r="P261" s="19">
        <f>IFERROR(IF(SEARCH(B261,_xlfn.ARRAYTOTEXT('Bilateral Assistance, MAIN DATA'!I$1:I$1622))&gt;0,1,""),0)</f>
        <v>1</v>
      </c>
      <c r="Q261" s="19">
        <f>IFERROR(IF(SEARCH(B261,_xlfn.ARRAYTOTEXT('Commercial Assistance'!I$1:I$1400))&gt;0,1,""),0)</f>
        <v>0</v>
      </c>
      <c r="R261" s="247" t="str">
        <f>IF(SUMIFS('Bilateral Assistance, MAIN DATA'!N:N,'Bilateral Assistance, MAIN DATA'!I:I,'Price List, Weapons &amp; Items'!B261)&gt;M261,1,".")</f>
        <v>.</v>
      </c>
    </row>
    <row r="262" spans="2:18" ht="15" customHeight="1" x14ac:dyDescent="0.3">
      <c r="B262" s="175" t="s">
        <v>4377</v>
      </c>
      <c r="C262" s="113" t="s">
        <v>812</v>
      </c>
      <c r="D262" s="113" t="s">
        <v>812</v>
      </c>
      <c r="E262" s="199">
        <v>0</v>
      </c>
      <c r="F262" s="199">
        <f t="shared" si="25"/>
        <v>0</v>
      </c>
      <c r="G262" s="629">
        <v>1612.5</v>
      </c>
      <c r="H262" s="720" t="str">
        <f t="shared" si="26"/>
        <v>USD</v>
      </c>
      <c r="I262" s="820" t="s">
        <v>4378</v>
      </c>
      <c r="J262" s="155" t="s">
        <v>3975</v>
      </c>
      <c r="K262" s="155" t="s">
        <v>4379</v>
      </c>
      <c r="L262" s="247">
        <f t="shared" si="22"/>
        <v>2</v>
      </c>
      <c r="M262" s="121">
        <f>SUMIFS('Bilateral Assistance, MAIN DATA'!M:M,'Bilateral Assistance, MAIN DATA'!I:I,'Price List, Weapons &amp; Items'!B262)</f>
        <v>5700</v>
      </c>
      <c r="N262" s="19">
        <f>COUNTIFS('Bilateral Assistance, MAIN DATA'!M:M,"undisclosed",'Bilateral Assistance, MAIN DATA'!I:I,'Price List, Weapons &amp; Items'!B262)</f>
        <v>0</v>
      </c>
      <c r="O262" s="723">
        <f t="shared" si="23"/>
        <v>9191250</v>
      </c>
      <c r="P262" s="19">
        <f>IFERROR(IF(SEARCH(B262,_xlfn.ARRAYTOTEXT('Bilateral Assistance, MAIN DATA'!I$1:I$1622))&gt;0,1,""),0)</f>
        <v>1</v>
      </c>
      <c r="Q262" s="19">
        <f>IFERROR(IF(SEARCH(B262,_xlfn.ARRAYTOTEXT('Commercial Assistance'!I$1:I$1400))&gt;0,1,""),0)</f>
        <v>0</v>
      </c>
      <c r="R262" s="247" t="str">
        <f>IF(SUMIFS('Bilateral Assistance, MAIN DATA'!N:N,'Bilateral Assistance, MAIN DATA'!I:I,'Price List, Weapons &amp; Items'!B262)&gt;M262,1,".")</f>
        <v>.</v>
      </c>
    </row>
    <row r="263" spans="2:18" ht="15" customHeight="1" x14ac:dyDescent="0.3">
      <c r="B263" s="17" t="s">
        <v>1080</v>
      </c>
      <c r="C263" s="113" t="s">
        <v>3939</v>
      </c>
      <c r="D263" s="246" t="s">
        <v>3973</v>
      </c>
      <c r="E263" s="199">
        <v>0</v>
      </c>
      <c r="F263" s="199">
        <f t="shared" si="25"/>
        <v>0</v>
      </c>
      <c r="G263" s="629">
        <v>1500</v>
      </c>
      <c r="H263" s="720" t="str">
        <f t="shared" si="26"/>
        <v>USD</v>
      </c>
      <c r="I263" s="834" t="s">
        <v>4380</v>
      </c>
      <c r="J263" s="155" t="s">
        <v>3975</v>
      </c>
      <c r="K263" s="251" t="s">
        <v>4381</v>
      </c>
      <c r="L263" s="247">
        <f t="shared" si="22"/>
        <v>2</v>
      </c>
      <c r="M263" s="121">
        <f>SUMIFS('Bilateral Assistance, MAIN DATA'!M:M,'Bilateral Assistance, MAIN DATA'!I:I,'Price List, Weapons &amp; Items'!B263)</f>
        <v>2500</v>
      </c>
      <c r="N263" s="19">
        <f>COUNTIFS('Bilateral Assistance, MAIN DATA'!M:M,"undisclosed",'Bilateral Assistance, MAIN DATA'!I:I,'Price List, Weapons &amp; Items'!B263)</f>
        <v>0</v>
      </c>
      <c r="O263" s="723">
        <f t="shared" si="23"/>
        <v>3750000</v>
      </c>
      <c r="P263" s="19">
        <f>IFERROR(IF(SEARCH(B263,_xlfn.ARRAYTOTEXT('Bilateral Assistance, MAIN DATA'!I$1:I$1622))&gt;0,1,""),0)</f>
        <v>1</v>
      </c>
      <c r="Q263" s="19">
        <f>IFERROR(IF(SEARCH(B263,_xlfn.ARRAYTOTEXT('Commercial Assistance'!I$1:I$1400))&gt;0,1,""),0)</f>
        <v>0</v>
      </c>
      <c r="R263" s="247" t="str">
        <f>IF(SUMIFS('Bilateral Assistance, MAIN DATA'!N:N,'Bilateral Assistance, MAIN DATA'!I:I,'Price List, Weapons &amp; Items'!B263)&gt;M263,1,".")</f>
        <v>.</v>
      </c>
    </row>
    <row r="264" spans="2:18" ht="15" customHeight="1" x14ac:dyDescent="0.3">
      <c r="B264" s="175" t="s">
        <v>2746</v>
      </c>
      <c r="C264" s="113" t="s">
        <v>3987</v>
      </c>
      <c r="D264" s="246" t="s">
        <v>3988</v>
      </c>
      <c r="E264" s="199">
        <v>0</v>
      </c>
      <c r="F264" s="199">
        <f t="shared" si="25"/>
        <v>0</v>
      </c>
      <c r="G264" s="629">
        <v>1480.64</v>
      </c>
      <c r="H264" s="720" t="str">
        <f t="shared" si="26"/>
        <v>USD</v>
      </c>
      <c r="I264" s="821" t="s">
        <v>4382</v>
      </c>
      <c r="J264" s="155" t="s">
        <v>3967</v>
      </c>
      <c r="K264" s="155" t="s">
        <v>4383</v>
      </c>
      <c r="L264" s="247">
        <f t="shared" si="22"/>
        <v>2</v>
      </c>
      <c r="M264" s="121">
        <f>SUMIFS('Bilateral Assistance, MAIN DATA'!M:M,'Bilateral Assistance, MAIN DATA'!I:I,'Price List, Weapons &amp; Items'!B264)</f>
        <v>25567</v>
      </c>
      <c r="N264" s="19">
        <f>COUNTIFS('Bilateral Assistance, MAIN DATA'!M:M,"undisclosed",'Bilateral Assistance, MAIN DATA'!I:I,'Price List, Weapons &amp; Items'!B264)</f>
        <v>0</v>
      </c>
      <c r="O264" s="723">
        <f t="shared" si="23"/>
        <v>37855522.880000003</v>
      </c>
      <c r="P264" s="19">
        <f>IFERROR(IF(SEARCH(B264,_xlfn.ARRAYTOTEXT('Bilateral Assistance, MAIN DATA'!I$1:I$1622))&gt;0,1,""),0)</f>
        <v>1</v>
      </c>
      <c r="Q264" s="19">
        <f>IFERROR(IF(SEARCH(B264,_xlfn.ARRAYTOTEXT('Commercial Assistance'!I$1:I$1400))&gt;0,1,""),0)</f>
        <v>0</v>
      </c>
      <c r="R264" s="247" t="str">
        <f>IF(SUMIFS('Bilateral Assistance, MAIN DATA'!N:N,'Bilateral Assistance, MAIN DATA'!I:I,'Price List, Weapons &amp; Items'!B264)&gt;M264,1,".")</f>
        <v>.</v>
      </c>
    </row>
    <row r="265" spans="2:18" ht="15" customHeight="1" x14ac:dyDescent="0.3">
      <c r="B265" s="175" t="s">
        <v>4384</v>
      </c>
      <c r="C265" s="113" t="s">
        <v>812</v>
      </c>
      <c r="D265" s="113" t="s">
        <v>812</v>
      </c>
      <c r="E265" s="199">
        <v>0</v>
      </c>
      <c r="F265" s="199">
        <f t="shared" si="25"/>
        <v>0</v>
      </c>
      <c r="G265" s="629">
        <v>1400</v>
      </c>
      <c r="H265" s="720" t="str">
        <f t="shared" si="26"/>
        <v>USD</v>
      </c>
      <c r="I265" s="820" t="s">
        <v>4385</v>
      </c>
      <c r="J265" s="155" t="s">
        <v>3967</v>
      </c>
      <c r="K265" s="155" t="s">
        <v>4386</v>
      </c>
      <c r="L265" s="247">
        <f t="shared" si="22"/>
        <v>2</v>
      </c>
      <c r="M265" s="121">
        <f>SUMIFS('Bilateral Assistance, MAIN DATA'!M:M,'Bilateral Assistance, MAIN DATA'!I:I,'Price List, Weapons &amp; Items'!B265)</f>
        <v>28000</v>
      </c>
      <c r="N265" s="19">
        <f>COUNTIFS('Bilateral Assistance, MAIN DATA'!M:M,"undisclosed",'Bilateral Assistance, MAIN DATA'!I:I,'Price List, Weapons &amp; Items'!B265)</f>
        <v>0</v>
      </c>
      <c r="O265" s="723">
        <f t="shared" si="23"/>
        <v>39200000</v>
      </c>
      <c r="P265" s="19">
        <f>IFERROR(IF(SEARCH(B265,_xlfn.ARRAYTOTEXT('Bilateral Assistance, MAIN DATA'!I$1:I$1622))&gt;0,1,""),0)</f>
        <v>1</v>
      </c>
      <c r="Q265" s="19">
        <f>IFERROR(IF(SEARCH(B265,_xlfn.ARRAYTOTEXT('Commercial Assistance'!I$1:I$1400))&gt;0,1,""),0)</f>
        <v>0</v>
      </c>
      <c r="R265" s="247" t="str">
        <f>IF(SUMIFS('Bilateral Assistance, MAIN DATA'!N:N,'Bilateral Assistance, MAIN DATA'!I:I,'Price List, Weapons &amp; Items'!B265)&gt;M265,1,".")</f>
        <v>.</v>
      </c>
    </row>
    <row r="266" spans="2:18" ht="15" customHeight="1" x14ac:dyDescent="0.3">
      <c r="B266" s="175" t="s">
        <v>4387</v>
      </c>
      <c r="C266" s="113" t="s">
        <v>812</v>
      </c>
      <c r="D266" s="113" t="s">
        <v>812</v>
      </c>
      <c r="E266" s="199">
        <v>0</v>
      </c>
      <c r="F266" s="199">
        <f t="shared" si="25"/>
        <v>0</v>
      </c>
      <c r="G266" s="629">
        <v>1400</v>
      </c>
      <c r="H266" s="720" t="str">
        <f t="shared" si="26"/>
        <v>USD</v>
      </c>
      <c r="I266" s="820" t="s">
        <v>4385</v>
      </c>
      <c r="J266" s="155" t="s">
        <v>3967</v>
      </c>
      <c r="K266" s="155" t="s">
        <v>4386</v>
      </c>
      <c r="L266" s="247">
        <f t="shared" si="22"/>
        <v>2</v>
      </c>
      <c r="M266" s="121">
        <f>SUMIFS('Bilateral Assistance, MAIN DATA'!M:M,'Bilateral Assistance, MAIN DATA'!I:I,'Price List, Weapons &amp; Items'!B266)</f>
        <v>201473</v>
      </c>
      <c r="N266" s="19">
        <f>COUNTIFS('Bilateral Assistance, MAIN DATA'!M:M,"undisclosed",'Bilateral Assistance, MAIN DATA'!I:I,'Price List, Weapons &amp; Items'!B266)</f>
        <v>8</v>
      </c>
      <c r="O266" s="723">
        <f t="shared" si="23"/>
        <v>282062200</v>
      </c>
      <c r="P266" s="19">
        <f>IFERROR(IF(SEARCH(B266,_xlfn.ARRAYTOTEXT('Bilateral Assistance, MAIN DATA'!I$1:I$1622))&gt;0,1,""),0)</f>
        <v>1</v>
      </c>
      <c r="Q266" s="19">
        <f>IFERROR(IF(SEARCH(B266,_xlfn.ARRAYTOTEXT('Commercial Assistance'!I$1:I$1400))&gt;0,1,""),0)</f>
        <v>0</v>
      </c>
      <c r="R266" s="247" t="str">
        <f>IF(SUMIFS('Bilateral Assistance, MAIN DATA'!N:N,'Bilateral Assistance, MAIN DATA'!I:I,'Price List, Weapons &amp; Items'!B266)&gt;M266,1,".")</f>
        <v>.</v>
      </c>
    </row>
    <row r="267" spans="2:18" ht="15" customHeight="1" x14ac:dyDescent="0.3">
      <c r="B267" s="188" t="s">
        <v>725</v>
      </c>
      <c r="C267" s="113" t="s">
        <v>3939</v>
      </c>
      <c r="D267" s="246" t="s">
        <v>3973</v>
      </c>
      <c r="E267" s="199">
        <v>1</v>
      </c>
      <c r="F267" s="199">
        <f t="shared" si="25"/>
        <v>0</v>
      </c>
      <c r="G267" s="629">
        <v>1266</v>
      </c>
      <c r="H267" s="720" t="str">
        <f t="shared" si="26"/>
        <v>USD</v>
      </c>
      <c r="I267" s="820" t="s">
        <v>4388</v>
      </c>
      <c r="J267" s="155" t="s">
        <v>3975</v>
      </c>
      <c r="K267" s="155" t="s">
        <v>4389</v>
      </c>
      <c r="L267" s="247">
        <f t="shared" si="22"/>
        <v>2</v>
      </c>
      <c r="M267" s="121">
        <f>SUMIFS('Bilateral Assistance, MAIN DATA'!M:M,'Bilateral Assistance, MAIN DATA'!I:I,'Price List, Weapons &amp; Items'!B267)</f>
        <v>5000</v>
      </c>
      <c r="N267" s="19">
        <f>COUNTIFS('Bilateral Assistance, MAIN DATA'!M:M,"undisclosed",'Bilateral Assistance, MAIN DATA'!I:I,'Price List, Weapons &amp; Items'!B267)</f>
        <v>0</v>
      </c>
      <c r="O267" s="723">
        <f t="shared" si="23"/>
        <v>6330000</v>
      </c>
      <c r="P267" s="19">
        <f>IFERROR(IF(SEARCH(B267,_xlfn.ARRAYTOTEXT('Bilateral Assistance, MAIN DATA'!I$1:I$1622))&gt;0,1,""),0)</f>
        <v>1</v>
      </c>
      <c r="Q267" s="19">
        <f>IFERROR(IF(SEARCH(B267,_xlfn.ARRAYTOTEXT('Commercial Assistance'!I$1:I$1400))&gt;0,1,""),0)</f>
        <v>0</v>
      </c>
      <c r="R267" s="247" t="str">
        <f>IF(SUMIFS('Bilateral Assistance, MAIN DATA'!N:N,'Bilateral Assistance, MAIN DATA'!I:I,'Price List, Weapons &amp; Items'!B267)&gt;M267,1,".")</f>
        <v>.</v>
      </c>
    </row>
    <row r="268" spans="2:18" ht="15" customHeight="1" x14ac:dyDescent="0.3">
      <c r="B268" s="188" t="s">
        <v>728</v>
      </c>
      <c r="C268" s="113" t="s">
        <v>3939</v>
      </c>
      <c r="D268" s="246" t="s">
        <v>3950</v>
      </c>
      <c r="E268" s="199">
        <v>1</v>
      </c>
      <c r="F268" s="199">
        <f t="shared" ref="F268:F299" si="27">IF(OR(D268="Armoured Personnel Carrier (APC)",D268="Armoured Recovery Vehicle (ARV)",D268="Armoured Utility Vehicle (AUV)",D268="152mm howitzer ammunition",D268="155mm howitzer ammunition",D268="300mm MLRS ammunition",D268="155mm howitzer",D268="227mm MLRS ammunition",D268="Infantry fighting vehicle (IFV)",D268="152mm howitzer",D268="227mm MLRS",D268="Main Battle Tank (MBT)",D268="Protected Patrol Vehicle (PPV)",D268="127mm MLRS",D268="122mm MLRS",D268="122mm MLRS ammunition",D268="122mm MLRS",D268="127mm MLRS",D268="127mm MLRS ammunition")=TRUE,1,0)</f>
        <v>0</v>
      </c>
      <c r="G268" s="629">
        <v>705</v>
      </c>
      <c r="H268" s="720" t="str">
        <f t="shared" ref="H268:H292" si="28">IF(G268&lt;&gt;".","USD",".")</f>
        <v>USD</v>
      </c>
      <c r="I268" s="820" t="s">
        <v>4390</v>
      </c>
      <c r="J268" s="155" t="s">
        <v>3971</v>
      </c>
      <c r="K268" s="155" t="s">
        <v>4391</v>
      </c>
      <c r="L268" s="247">
        <f t="shared" ref="L268:L331" si="29">IF(C268="Humanitarian",0,IF(M268&gt;0,IF(TYPE(O268)=1,IF(O268&gt;MEDIAN(O:O),2,1),0),"no price, 0 count"))</f>
        <v>1</v>
      </c>
      <c r="M268" s="121">
        <f>SUMIFS('Bilateral Assistance, MAIN DATA'!M:M,'Bilateral Assistance, MAIN DATA'!I:I,'Price List, Weapons &amp; Items'!B268)</f>
        <v>2085</v>
      </c>
      <c r="N268" s="19">
        <f>COUNTIFS('Bilateral Assistance, MAIN DATA'!M:M,"undisclosed",'Bilateral Assistance, MAIN DATA'!I:I,'Price List, Weapons &amp; Items'!B268)</f>
        <v>0</v>
      </c>
      <c r="O268" s="723">
        <f t="shared" ref="O268:O331" si="30">IFERROR(M268*G268,"no price")</f>
        <v>1469925</v>
      </c>
      <c r="P268" s="19">
        <f>IFERROR(IF(SEARCH(B268,_xlfn.ARRAYTOTEXT('Bilateral Assistance, MAIN DATA'!I$1:I$1622))&gt;0,1,""),0)</f>
        <v>1</v>
      </c>
      <c r="Q268" s="19">
        <f>IFERROR(IF(SEARCH(B268,_xlfn.ARRAYTOTEXT('Commercial Assistance'!I$1:I$1400))&gt;0,1,""),0)</f>
        <v>0</v>
      </c>
      <c r="R268" s="247" t="str">
        <f>IF(SUMIFS('Bilateral Assistance, MAIN DATA'!N:N,'Bilateral Assistance, MAIN DATA'!I:I,'Price List, Weapons &amp; Items'!B268)&gt;M268,1,".")</f>
        <v>.</v>
      </c>
    </row>
    <row r="269" spans="2:18" ht="15" customHeight="1" x14ac:dyDescent="0.3">
      <c r="B269" s="188" t="s">
        <v>2044</v>
      </c>
      <c r="C269" s="113" t="s">
        <v>3942</v>
      </c>
      <c r="D269" s="246" t="s">
        <v>4136</v>
      </c>
      <c r="E269" s="199">
        <v>0</v>
      </c>
      <c r="F269" s="199">
        <f t="shared" si="27"/>
        <v>1</v>
      </c>
      <c r="G269" s="629">
        <v>1000</v>
      </c>
      <c r="H269" s="720" t="str">
        <f t="shared" si="28"/>
        <v>USD</v>
      </c>
      <c r="I269" s="820" t="s">
        <v>4137</v>
      </c>
      <c r="J269" s="155" t="s">
        <v>3964</v>
      </c>
      <c r="K269" s="155" t="s">
        <v>4138</v>
      </c>
      <c r="L269" s="247">
        <f t="shared" si="29"/>
        <v>2</v>
      </c>
      <c r="M269" s="121">
        <f>SUMIFS('Bilateral Assistance, MAIN DATA'!M:M,'Bilateral Assistance, MAIN DATA'!I:I,'Price List, Weapons &amp; Items'!B269)</f>
        <v>2200</v>
      </c>
      <c r="N269" s="19">
        <f>COUNTIFS('Bilateral Assistance, MAIN DATA'!M:M,"undisclosed",'Bilateral Assistance, MAIN DATA'!I:I,'Price List, Weapons &amp; Items'!B269)</f>
        <v>0</v>
      </c>
      <c r="O269" s="723">
        <f t="shared" si="30"/>
        <v>2200000</v>
      </c>
      <c r="P269" s="19">
        <f>IFERROR(IF(SEARCH(B269,_xlfn.ARRAYTOTEXT('Bilateral Assistance, MAIN DATA'!I$1:I$1622))&gt;0,1,""),0)</f>
        <v>1</v>
      </c>
      <c r="Q269" s="19">
        <f>IFERROR(IF(SEARCH(B269,_xlfn.ARRAYTOTEXT('Commercial Assistance'!I$1:I$1400))&gt;0,1,""),0)</f>
        <v>0</v>
      </c>
      <c r="R269" s="247" t="str">
        <f>IF(SUMIFS('Bilateral Assistance, MAIN DATA'!N:N,'Bilateral Assistance, MAIN DATA'!I:I,'Price List, Weapons &amp; Items'!B269)&gt;M269,1,".")</f>
        <v>.</v>
      </c>
    </row>
    <row r="270" spans="2:18" ht="15" customHeight="1" x14ac:dyDescent="0.3">
      <c r="B270" s="175" t="s">
        <v>4392</v>
      </c>
      <c r="C270" s="113" t="s">
        <v>3939</v>
      </c>
      <c r="D270" s="246" t="s">
        <v>3973</v>
      </c>
      <c r="E270" s="199">
        <v>0</v>
      </c>
      <c r="F270" s="199">
        <f t="shared" si="27"/>
        <v>0</v>
      </c>
      <c r="G270" s="629">
        <v>1071.6400000000001</v>
      </c>
      <c r="H270" s="720" t="str">
        <f t="shared" si="28"/>
        <v>USD</v>
      </c>
      <c r="I270" s="820" t="s">
        <v>4393</v>
      </c>
      <c r="J270" s="155" t="s">
        <v>3971</v>
      </c>
      <c r="K270" s="155" t="s">
        <v>4394</v>
      </c>
      <c r="L270" s="247">
        <f t="shared" si="29"/>
        <v>1</v>
      </c>
      <c r="M270" s="121">
        <f>SUMIFS('Bilateral Assistance, MAIN DATA'!M:M,'Bilateral Assistance, MAIN DATA'!I:I,'Price List, Weapons &amp; Items'!B270)</f>
        <v>1000</v>
      </c>
      <c r="N270" s="19">
        <f>COUNTIFS('Bilateral Assistance, MAIN DATA'!M:M,"undisclosed",'Bilateral Assistance, MAIN DATA'!I:I,'Price List, Weapons &amp; Items'!B270)</f>
        <v>0</v>
      </c>
      <c r="O270" s="723">
        <f t="shared" si="30"/>
        <v>1071640</v>
      </c>
      <c r="P270" s="19">
        <f>IFERROR(IF(SEARCH(B270,_xlfn.ARRAYTOTEXT('Bilateral Assistance, MAIN DATA'!I$1:I$1622))&gt;0,1,""),0)</f>
        <v>1</v>
      </c>
      <c r="Q270" s="19">
        <f>IFERROR(IF(SEARCH(B270,_xlfn.ARRAYTOTEXT('Commercial Assistance'!I$1:I$1400))&gt;0,1,""),0)</f>
        <v>0</v>
      </c>
      <c r="R270" s="247" t="str">
        <f>IF(SUMIFS('Bilateral Assistance, MAIN DATA'!N:N,'Bilateral Assistance, MAIN DATA'!I:I,'Price List, Weapons &amp; Items'!B270)&gt;M270,1,".")</f>
        <v>.</v>
      </c>
    </row>
    <row r="271" spans="2:18" ht="15" customHeight="1" x14ac:dyDescent="0.3">
      <c r="B271" s="175" t="s">
        <v>1624</v>
      </c>
      <c r="C271" s="113" t="s">
        <v>3939</v>
      </c>
      <c r="D271" s="246" t="s">
        <v>3973</v>
      </c>
      <c r="E271" s="199">
        <v>1</v>
      </c>
      <c r="F271" s="199">
        <f t="shared" si="27"/>
        <v>0</v>
      </c>
      <c r="G271" s="629">
        <v>850</v>
      </c>
      <c r="H271" s="720" t="str">
        <f t="shared" si="28"/>
        <v>USD</v>
      </c>
      <c r="I271" s="820" t="s">
        <v>4395</v>
      </c>
      <c r="J271" s="155" t="s">
        <v>3975</v>
      </c>
      <c r="K271" s="245" t="s">
        <v>4396</v>
      </c>
      <c r="L271" s="247">
        <f t="shared" si="29"/>
        <v>2</v>
      </c>
      <c r="M271" s="121">
        <f>SUMIFS('Bilateral Assistance, MAIN DATA'!M:M,'Bilateral Assistance, MAIN DATA'!I:I,'Price List, Weapons &amp; Items'!B271)</f>
        <v>40000</v>
      </c>
      <c r="N271" s="19">
        <f>COUNTIFS('Bilateral Assistance, MAIN DATA'!M:M,"undisclosed",'Bilateral Assistance, MAIN DATA'!I:I,'Price List, Weapons &amp; Items'!B271)</f>
        <v>0</v>
      </c>
      <c r="O271" s="723">
        <f t="shared" si="30"/>
        <v>34000000</v>
      </c>
      <c r="P271" s="19">
        <f>IFERROR(IF(SEARCH(B271,_xlfn.ARRAYTOTEXT('Bilateral Assistance, MAIN DATA'!I$1:I$1622))&gt;0,1,""),0)</f>
        <v>1</v>
      </c>
      <c r="Q271" s="19">
        <f>IFERROR(IF(SEARCH(B271,_xlfn.ARRAYTOTEXT('Commercial Assistance'!I$1:I$1400))&gt;0,1,""),0)</f>
        <v>0</v>
      </c>
      <c r="R271" s="247" t="str">
        <f>IF(SUMIFS('Bilateral Assistance, MAIN DATA'!N:N,'Bilateral Assistance, MAIN DATA'!I:I,'Price List, Weapons &amp; Items'!B271)&gt;M271,1,".")</f>
        <v>.</v>
      </c>
    </row>
    <row r="272" spans="2:18" ht="15" customHeight="1" x14ac:dyDescent="0.3">
      <c r="B272" s="17" t="s">
        <v>3084</v>
      </c>
      <c r="C272" s="113" t="s">
        <v>3939</v>
      </c>
      <c r="D272" s="246" t="s">
        <v>3973</v>
      </c>
      <c r="E272" s="199">
        <v>0</v>
      </c>
      <c r="F272" s="199">
        <f t="shared" si="27"/>
        <v>0</v>
      </c>
      <c r="G272" s="629">
        <v>800</v>
      </c>
      <c r="H272" s="720" t="str">
        <f t="shared" si="28"/>
        <v>USD</v>
      </c>
      <c r="I272" s="834" t="s">
        <v>4134</v>
      </c>
      <c r="J272" s="155" t="s">
        <v>3967</v>
      </c>
      <c r="K272" s="251" t="s">
        <v>4135</v>
      </c>
      <c r="L272" s="247">
        <f t="shared" si="29"/>
        <v>2</v>
      </c>
      <c r="M272" s="121">
        <f>SUMIFS('Bilateral Assistance, MAIN DATA'!M:M,'Bilateral Assistance, MAIN DATA'!I:I,'Price List, Weapons &amp; Items'!B272)</f>
        <v>5000</v>
      </c>
      <c r="N272" s="19">
        <f>COUNTIFS('Bilateral Assistance, MAIN DATA'!M:M,"undisclosed",'Bilateral Assistance, MAIN DATA'!I:I,'Price List, Weapons &amp; Items'!B272)</f>
        <v>0</v>
      </c>
      <c r="O272" s="723">
        <f t="shared" si="30"/>
        <v>4000000</v>
      </c>
      <c r="P272" s="19">
        <f>IFERROR(IF(SEARCH(B272,_xlfn.ARRAYTOTEXT('Bilateral Assistance, MAIN DATA'!I$1:I$1622))&gt;0,1,""),0)</f>
        <v>1</v>
      </c>
      <c r="Q272" s="19">
        <f>IFERROR(IF(SEARCH(B272,_xlfn.ARRAYTOTEXT('Commercial Assistance'!I$1:I$1400))&gt;0,1,""),0)</f>
        <v>0</v>
      </c>
      <c r="R272" s="247" t="str">
        <f>IF(SUMIFS('Bilateral Assistance, MAIN DATA'!N:N,'Bilateral Assistance, MAIN DATA'!I:I,'Price List, Weapons &amp; Items'!B272)&gt;M272,1,".")</f>
        <v>.</v>
      </c>
    </row>
    <row r="273" spans="2:18" ht="15" customHeight="1" x14ac:dyDescent="0.3">
      <c r="B273" s="218" t="s">
        <v>990</v>
      </c>
      <c r="C273" s="113" t="s">
        <v>812</v>
      </c>
      <c r="D273" s="113" t="s">
        <v>812</v>
      </c>
      <c r="E273" s="199">
        <v>0</v>
      </c>
      <c r="F273" s="199">
        <f t="shared" si="27"/>
        <v>0</v>
      </c>
      <c r="G273" s="629">
        <v>500</v>
      </c>
      <c r="H273" s="720" t="str">
        <f t="shared" si="28"/>
        <v>USD</v>
      </c>
      <c r="I273" s="820" t="s">
        <v>4397</v>
      </c>
      <c r="J273" s="155" t="s">
        <v>3967</v>
      </c>
      <c r="K273" s="155" t="s">
        <v>4398</v>
      </c>
      <c r="L273" s="247">
        <f t="shared" si="29"/>
        <v>2</v>
      </c>
      <c r="M273" s="121">
        <f>SUMIFS('Bilateral Assistance, MAIN DATA'!M:M,'Bilateral Assistance, MAIN DATA'!I:I,'Price List, Weapons &amp; Items'!B273)</f>
        <v>84090</v>
      </c>
      <c r="N273" s="19">
        <f>COUNTIFS('Bilateral Assistance, MAIN DATA'!M:M,"undisclosed",'Bilateral Assistance, MAIN DATA'!I:I,'Price List, Weapons &amp; Items'!B273)</f>
        <v>10</v>
      </c>
      <c r="O273" s="723">
        <f t="shared" si="30"/>
        <v>42045000</v>
      </c>
      <c r="P273" s="19">
        <f>IFERROR(IF(SEARCH(B273,_xlfn.ARRAYTOTEXT('Bilateral Assistance, MAIN DATA'!I$1:I$1622))&gt;0,1,""),0)</f>
        <v>1</v>
      </c>
      <c r="Q273" s="19">
        <f>IFERROR(IF(SEARCH(B273,_xlfn.ARRAYTOTEXT('Commercial Assistance'!I$1:I$1400))&gt;0,1,""),0)</f>
        <v>0</v>
      </c>
      <c r="R273" s="247" t="str">
        <f>IF(SUMIFS('Bilateral Assistance, MAIN DATA'!N:N,'Bilateral Assistance, MAIN DATA'!I:I,'Price List, Weapons &amp; Items'!B273)&gt;M273,1,".")</f>
        <v>.</v>
      </c>
    </row>
    <row r="274" spans="2:18" ht="15" customHeight="1" x14ac:dyDescent="0.3">
      <c r="B274" s="17" t="s">
        <v>1775</v>
      </c>
      <c r="C274" s="113" t="s">
        <v>3942</v>
      </c>
      <c r="D274" s="246" t="s">
        <v>4399</v>
      </c>
      <c r="E274" s="199">
        <v>0</v>
      </c>
      <c r="F274" s="199">
        <f t="shared" si="27"/>
        <v>0</v>
      </c>
      <c r="G274" s="629">
        <v>400</v>
      </c>
      <c r="H274" s="720" t="str">
        <f t="shared" si="28"/>
        <v>USD</v>
      </c>
      <c r="I274" s="819" t="s">
        <v>4400</v>
      </c>
      <c r="J274" s="155" t="s">
        <v>3967</v>
      </c>
      <c r="K274" s="155" t="s">
        <v>4401</v>
      </c>
      <c r="L274" s="247">
        <f t="shared" si="29"/>
        <v>2</v>
      </c>
      <c r="M274" s="121">
        <f>SUMIFS('Bilateral Assistance, MAIN DATA'!M:M,'Bilateral Assistance, MAIN DATA'!I:I,'Price List, Weapons &amp; Items'!B274)</f>
        <v>72000</v>
      </c>
      <c r="N274" s="19">
        <f>COUNTIFS('Bilateral Assistance, MAIN DATA'!M:M,"undisclosed",'Bilateral Assistance, MAIN DATA'!I:I,'Price List, Weapons &amp; Items'!B274)</f>
        <v>2</v>
      </c>
      <c r="O274" s="723">
        <f t="shared" si="30"/>
        <v>28800000</v>
      </c>
      <c r="P274" s="19">
        <f>IFERROR(IF(SEARCH(B274,_xlfn.ARRAYTOTEXT('Bilateral Assistance, MAIN DATA'!I$1:I$1622))&gt;0,1,""),0)</f>
        <v>1</v>
      </c>
      <c r="Q274" s="19">
        <f>IFERROR(IF(SEARCH(B274,_xlfn.ARRAYTOTEXT('Commercial Assistance'!I$1:I$1400))&gt;0,1,""),0)</f>
        <v>0</v>
      </c>
      <c r="R274" s="247" t="str">
        <f>IF(SUMIFS('Bilateral Assistance, MAIN DATA'!N:N,'Bilateral Assistance, MAIN DATA'!I:I,'Price List, Weapons &amp; Items'!B274)&gt;M274,1,".")</f>
        <v>.</v>
      </c>
    </row>
    <row r="275" spans="2:18" ht="15" customHeight="1" x14ac:dyDescent="0.3">
      <c r="B275" s="175" t="s">
        <v>4402</v>
      </c>
      <c r="C275" s="113" t="s">
        <v>812</v>
      </c>
      <c r="D275" s="113" t="s">
        <v>812</v>
      </c>
      <c r="E275" s="199">
        <v>0</v>
      </c>
      <c r="F275" s="199">
        <f t="shared" si="27"/>
        <v>0</v>
      </c>
      <c r="G275" s="629">
        <v>316.68</v>
      </c>
      <c r="H275" s="720" t="str">
        <f t="shared" si="28"/>
        <v>USD</v>
      </c>
      <c r="I275" s="821" t="s">
        <v>4403</v>
      </c>
      <c r="J275" s="155" t="s">
        <v>3971</v>
      </c>
      <c r="K275" s="155" t="s">
        <v>4404</v>
      </c>
      <c r="L275" s="247">
        <f t="shared" si="29"/>
        <v>2</v>
      </c>
      <c r="M275" s="121">
        <f>SUMIFS('Bilateral Assistance, MAIN DATA'!M:M,'Bilateral Assistance, MAIN DATA'!I:I,'Price List, Weapons &amp; Items'!B275)</f>
        <v>9300</v>
      </c>
      <c r="N275" s="19">
        <f>COUNTIFS('Bilateral Assistance, MAIN DATA'!M:M,"undisclosed",'Bilateral Assistance, MAIN DATA'!I:I,'Price List, Weapons &amp; Items'!B275)</f>
        <v>0</v>
      </c>
      <c r="O275" s="723">
        <f t="shared" si="30"/>
        <v>2945124</v>
      </c>
      <c r="P275" s="19">
        <f>IFERROR(IF(SEARCH(B275,_xlfn.ARRAYTOTEXT('Bilateral Assistance, MAIN DATA'!I$1:I$1622))&gt;0,1,""),0)</f>
        <v>1</v>
      </c>
      <c r="Q275" s="19">
        <f>IFERROR(IF(SEARCH(B275,_xlfn.ARRAYTOTEXT('Commercial Assistance'!I$1:I$1400))&gt;0,1,""),0)</f>
        <v>0</v>
      </c>
      <c r="R275" s="247" t="str">
        <f>IF(SUMIFS('Bilateral Assistance, MAIN DATA'!N:N,'Bilateral Assistance, MAIN DATA'!I:I,'Price List, Weapons &amp; Items'!B275)&gt;M275,1,".")</f>
        <v>.</v>
      </c>
    </row>
    <row r="276" spans="2:18" ht="15" customHeight="1" x14ac:dyDescent="0.3">
      <c r="B276" s="175" t="s">
        <v>4405</v>
      </c>
      <c r="C276" s="113" t="s">
        <v>3942</v>
      </c>
      <c r="D276" s="246" t="s">
        <v>4136</v>
      </c>
      <c r="E276" s="199">
        <v>1</v>
      </c>
      <c r="F276" s="199">
        <f t="shared" si="27"/>
        <v>1</v>
      </c>
      <c r="G276" s="629">
        <v>1000</v>
      </c>
      <c r="H276" s="720" t="str">
        <f t="shared" si="28"/>
        <v>USD</v>
      </c>
      <c r="I276" s="820" t="s">
        <v>4137</v>
      </c>
      <c r="J276" s="155" t="s">
        <v>3964</v>
      </c>
      <c r="K276" s="155" t="s">
        <v>4406</v>
      </c>
      <c r="L276" s="247">
        <f t="shared" si="29"/>
        <v>2</v>
      </c>
      <c r="M276" s="121">
        <f>SUMIFS('Bilateral Assistance, MAIN DATA'!M:M,'Bilateral Assistance, MAIN DATA'!I:I,'Price List, Weapons &amp; Items'!B276)</f>
        <v>2222</v>
      </c>
      <c r="N276" s="19">
        <f>COUNTIFS('Bilateral Assistance, MAIN DATA'!M:M,"undisclosed",'Bilateral Assistance, MAIN DATA'!I:I,'Price List, Weapons &amp; Items'!B276)</f>
        <v>0</v>
      </c>
      <c r="O276" s="723">
        <f t="shared" si="30"/>
        <v>2222000</v>
      </c>
      <c r="P276" s="19">
        <f>IFERROR(IF(SEARCH(B276,_xlfn.ARRAYTOTEXT('Bilateral Assistance, MAIN DATA'!I$1:I$1622))&gt;0,1,""),0)</f>
        <v>1</v>
      </c>
      <c r="Q276" s="19">
        <f>IFERROR(IF(SEARCH(B276,_xlfn.ARRAYTOTEXT('Commercial Assistance'!I$1:I$1400))&gt;0,1,""),0)</f>
        <v>0</v>
      </c>
      <c r="R276" s="247" t="str">
        <f>IF(SUMIFS('Bilateral Assistance, MAIN DATA'!N:N,'Bilateral Assistance, MAIN DATA'!I:I,'Price List, Weapons &amp; Items'!B276)&gt;M276,1,".")</f>
        <v>.</v>
      </c>
    </row>
    <row r="277" spans="2:18" ht="15" customHeight="1" x14ac:dyDescent="0.3">
      <c r="B277" s="188" t="s">
        <v>4407</v>
      </c>
      <c r="C277" s="113" t="s">
        <v>3942</v>
      </c>
      <c r="D277" s="246" t="s">
        <v>4408</v>
      </c>
      <c r="E277" s="199">
        <v>0</v>
      </c>
      <c r="F277" s="199">
        <f t="shared" si="27"/>
        <v>0</v>
      </c>
      <c r="G277" s="629">
        <v>266.94</v>
      </c>
      <c r="H277" s="720" t="str">
        <f t="shared" si="28"/>
        <v>USD</v>
      </c>
      <c r="I277" s="820" t="s">
        <v>4409</v>
      </c>
      <c r="J277" s="155" t="s">
        <v>3975</v>
      </c>
      <c r="K277" s="252" t="s">
        <v>4410</v>
      </c>
      <c r="L277" s="247">
        <f t="shared" si="29"/>
        <v>2</v>
      </c>
      <c r="M277" s="121">
        <f>SUMIFS('Bilateral Assistance, MAIN DATA'!M:M,'Bilateral Assistance, MAIN DATA'!I:I,'Price List, Weapons &amp; Items'!B277)</f>
        <v>53000</v>
      </c>
      <c r="N277" s="19">
        <f>COUNTIFS('Bilateral Assistance, MAIN DATA'!M:M,"undisclosed",'Bilateral Assistance, MAIN DATA'!I:I,'Price List, Weapons &amp; Items'!B277)</f>
        <v>0</v>
      </c>
      <c r="O277" s="723">
        <f t="shared" si="30"/>
        <v>14147820</v>
      </c>
      <c r="P277" s="19">
        <f>IFERROR(IF(SEARCH(B277,_xlfn.ARRAYTOTEXT('Bilateral Assistance, MAIN DATA'!I$1:I$1622))&gt;0,1,""),0)</f>
        <v>1</v>
      </c>
      <c r="Q277" s="19">
        <f>IFERROR(IF(SEARCH(B277,_xlfn.ARRAYTOTEXT('Commercial Assistance'!I$1:I$1400))&gt;0,1,""),0)</f>
        <v>0</v>
      </c>
      <c r="R277" s="247" t="str">
        <f>IF(SUMIFS('Bilateral Assistance, MAIN DATA'!N:N,'Bilateral Assistance, MAIN DATA'!I:I,'Price List, Weapons &amp; Items'!B277)&gt;M277,1,".")</f>
        <v>.</v>
      </c>
    </row>
    <row r="278" spans="2:18" ht="15" customHeight="1" x14ac:dyDescent="0.3">
      <c r="B278" s="175" t="s">
        <v>2336</v>
      </c>
      <c r="C278" s="113" t="s">
        <v>3949</v>
      </c>
      <c r="D278" s="246" t="s">
        <v>4408</v>
      </c>
      <c r="E278" s="199">
        <v>1</v>
      </c>
      <c r="F278" s="199">
        <f t="shared" si="27"/>
        <v>0</v>
      </c>
      <c r="G278" s="629">
        <v>100</v>
      </c>
      <c r="H278" s="720" t="str">
        <f t="shared" si="28"/>
        <v>USD</v>
      </c>
      <c r="I278" s="820" t="s">
        <v>4411</v>
      </c>
      <c r="J278" s="155" t="s">
        <v>3964</v>
      </c>
      <c r="K278" s="155" t="s">
        <v>4412</v>
      </c>
      <c r="L278" s="247">
        <f t="shared" si="29"/>
        <v>2</v>
      </c>
      <c r="M278" s="121">
        <f>SUMIFS('Bilateral Assistance, MAIN DATA'!M:M,'Bilateral Assistance, MAIN DATA'!I:I,'Price List, Weapons &amp; Items'!B278)</f>
        <v>30000</v>
      </c>
      <c r="N278" s="19">
        <f>COUNTIFS('Bilateral Assistance, MAIN DATA'!M:M,"undisclosed",'Bilateral Assistance, MAIN DATA'!I:I,'Price List, Weapons &amp; Items'!B278)</f>
        <v>0</v>
      </c>
      <c r="O278" s="723">
        <f t="shared" si="30"/>
        <v>3000000</v>
      </c>
      <c r="P278" s="19">
        <f>IFERROR(IF(SEARCH(B278,_xlfn.ARRAYTOTEXT('Bilateral Assistance, MAIN DATA'!I$1:I$1622))&gt;0,1,""),0)</f>
        <v>1</v>
      </c>
      <c r="Q278" s="19">
        <f>IFERROR(IF(SEARCH(B278,_xlfn.ARRAYTOTEXT('Commercial Assistance'!I$1:I$1400))&gt;0,1,""),0)</f>
        <v>0</v>
      </c>
      <c r="R278" s="247" t="str">
        <f>IF(SUMIFS('Bilateral Assistance, MAIN DATA'!N:N,'Bilateral Assistance, MAIN DATA'!I:I,'Price List, Weapons &amp; Items'!B278)&gt;M278,1,".")</f>
        <v>.</v>
      </c>
    </row>
    <row r="279" spans="2:18" ht="15" customHeight="1" x14ac:dyDescent="0.3">
      <c r="B279" s="175" t="s">
        <v>4413</v>
      </c>
      <c r="C279" s="113" t="s">
        <v>3939</v>
      </c>
      <c r="D279" s="246" t="s">
        <v>3979</v>
      </c>
      <c r="E279" s="199">
        <v>0</v>
      </c>
      <c r="F279" s="199">
        <f t="shared" si="27"/>
        <v>0</v>
      </c>
      <c r="G279" s="629">
        <v>45</v>
      </c>
      <c r="H279" s="720" t="str">
        <f t="shared" si="28"/>
        <v>USD</v>
      </c>
      <c r="I279" s="820" t="s">
        <v>4414</v>
      </c>
      <c r="J279" s="155" t="s">
        <v>3975</v>
      </c>
      <c r="K279" s="155" t="s">
        <v>4415</v>
      </c>
      <c r="L279" s="247">
        <f t="shared" si="29"/>
        <v>2</v>
      </c>
      <c r="M279" s="121">
        <f>SUMIFS('Bilateral Assistance, MAIN DATA'!M:M,'Bilateral Assistance, MAIN DATA'!I:I,'Price List, Weapons &amp; Items'!B279)</f>
        <v>107500</v>
      </c>
      <c r="N279" s="19">
        <f>COUNTIFS('Bilateral Assistance, MAIN DATA'!M:M,"undisclosed",'Bilateral Assistance, MAIN DATA'!I:I,'Price List, Weapons &amp; Items'!B279)</f>
        <v>2</v>
      </c>
      <c r="O279" s="723">
        <f t="shared" si="30"/>
        <v>4837500</v>
      </c>
      <c r="P279" s="19">
        <f>IFERROR(IF(SEARCH(B279,_xlfn.ARRAYTOTEXT('Bilateral Assistance, MAIN DATA'!I$1:I$1622))&gt;0,1,""),0)</f>
        <v>1</v>
      </c>
      <c r="Q279" s="19">
        <f>IFERROR(IF(SEARCH(B279,_xlfn.ARRAYTOTEXT('Commercial Assistance'!I$1:I$1400))&gt;0,1,""),0)</f>
        <v>0</v>
      </c>
      <c r="R279" s="247" t="str">
        <f>IF(SUMIFS('Bilateral Assistance, MAIN DATA'!N:N,'Bilateral Assistance, MAIN DATA'!I:I,'Price List, Weapons &amp; Items'!B279)&gt;M279,1,".")</f>
        <v>.</v>
      </c>
    </row>
    <row r="280" spans="2:18" ht="15" customHeight="1" x14ac:dyDescent="0.3">
      <c r="B280" s="188" t="s">
        <v>448</v>
      </c>
      <c r="C280" s="113" t="s">
        <v>812</v>
      </c>
      <c r="D280" s="113" t="s">
        <v>812</v>
      </c>
      <c r="E280" s="199">
        <v>0</v>
      </c>
      <c r="F280" s="199">
        <f t="shared" si="27"/>
        <v>0</v>
      </c>
      <c r="G280" s="629">
        <v>37.82</v>
      </c>
      <c r="H280" s="720" t="str">
        <f t="shared" si="28"/>
        <v>USD</v>
      </c>
      <c r="I280" s="820" t="s">
        <v>4416</v>
      </c>
      <c r="J280" s="155" t="s">
        <v>3971</v>
      </c>
      <c r="K280" s="155" t="s">
        <v>4417</v>
      </c>
      <c r="L280" s="247">
        <f t="shared" si="29"/>
        <v>2</v>
      </c>
      <c r="M280" s="121">
        <f>SUMIFS('Bilateral Assistance, MAIN DATA'!M:M,'Bilateral Assistance, MAIN DATA'!I:I,'Price List, Weapons &amp; Items'!B280)</f>
        <v>200350</v>
      </c>
      <c r="N280" s="19">
        <f>COUNTIFS('Bilateral Assistance, MAIN DATA'!M:M,"undisclosed",'Bilateral Assistance, MAIN DATA'!I:I,'Price List, Weapons &amp; Items'!B280)</f>
        <v>1</v>
      </c>
      <c r="O280" s="723">
        <f t="shared" si="30"/>
        <v>7577237</v>
      </c>
      <c r="P280" s="19">
        <f>IFERROR(IF(SEARCH(B280,_xlfn.ARRAYTOTEXT('Bilateral Assistance, MAIN DATA'!I$1:I$1622))&gt;0,1,""),0)</f>
        <v>1</v>
      </c>
      <c r="Q280" s="19">
        <f>IFERROR(IF(SEARCH(B280,_xlfn.ARRAYTOTEXT('Commercial Assistance'!I$1:I$1400))&gt;0,1,""),0)</f>
        <v>0</v>
      </c>
      <c r="R280" s="247" t="str">
        <f>IF(SUMIFS('Bilateral Assistance, MAIN DATA'!N:N,'Bilateral Assistance, MAIN DATA'!I:I,'Price List, Weapons &amp; Items'!B280)&gt;M280,1,".")</f>
        <v>.</v>
      </c>
    </row>
    <row r="281" spans="2:18" ht="15" customHeight="1" x14ac:dyDescent="0.3">
      <c r="B281" s="175" t="s">
        <v>2036</v>
      </c>
      <c r="C281" s="113" t="s">
        <v>812</v>
      </c>
      <c r="D281" s="113" t="s">
        <v>812</v>
      </c>
      <c r="E281" s="199">
        <v>0</v>
      </c>
      <c r="F281" s="199">
        <f t="shared" si="27"/>
        <v>0</v>
      </c>
      <c r="G281" s="629">
        <v>22</v>
      </c>
      <c r="H281" s="720" t="str">
        <f t="shared" si="28"/>
        <v>USD</v>
      </c>
      <c r="I281" s="840" t="s">
        <v>4418</v>
      </c>
      <c r="J281" s="155" t="s">
        <v>3971</v>
      </c>
      <c r="K281" s="155" t="s">
        <v>4419</v>
      </c>
      <c r="L281" s="247">
        <f t="shared" si="29"/>
        <v>2</v>
      </c>
      <c r="M281" s="121">
        <f>SUMIFS('Bilateral Assistance, MAIN DATA'!M:M,'Bilateral Assistance, MAIN DATA'!I:I,'Price List, Weapons &amp; Items'!B281)</f>
        <v>125800</v>
      </c>
      <c r="N281" s="19">
        <f>COUNTIFS('Bilateral Assistance, MAIN DATA'!M:M,"undisclosed",'Bilateral Assistance, MAIN DATA'!I:I,'Price List, Weapons &amp; Items'!B281)</f>
        <v>0</v>
      </c>
      <c r="O281" s="723">
        <f t="shared" si="30"/>
        <v>2767600</v>
      </c>
      <c r="P281" s="19">
        <f>IFERROR(IF(SEARCH(B281,_xlfn.ARRAYTOTEXT('Bilateral Assistance, MAIN DATA'!I$1:I$1622))&gt;0,1,""),0)</f>
        <v>1</v>
      </c>
      <c r="Q281" s="19">
        <f>IFERROR(IF(SEARCH(B281,_xlfn.ARRAYTOTEXT('Commercial Assistance'!I$1:I$1400))&gt;0,1,""),0)</f>
        <v>0</v>
      </c>
      <c r="R281" s="247" t="str">
        <f>IF(SUMIFS('Bilateral Assistance, MAIN DATA'!N:N,'Bilateral Assistance, MAIN DATA'!I:I,'Price List, Weapons &amp; Items'!B281)&gt;M281,1,".")</f>
        <v>.</v>
      </c>
    </row>
    <row r="282" spans="2:18" ht="15" customHeight="1" x14ac:dyDescent="0.3">
      <c r="B282" s="175" t="s">
        <v>4420</v>
      </c>
      <c r="C282" s="113" t="s">
        <v>812</v>
      </c>
      <c r="D282" s="113" t="s">
        <v>812</v>
      </c>
      <c r="E282" s="199">
        <v>0</v>
      </c>
      <c r="F282" s="199">
        <f t="shared" si="27"/>
        <v>0</v>
      </c>
      <c r="G282" s="629">
        <v>22</v>
      </c>
      <c r="H282" s="720" t="str">
        <f t="shared" si="28"/>
        <v>USD</v>
      </c>
      <c r="I282" s="840" t="s">
        <v>4418</v>
      </c>
      <c r="J282" s="155" t="s">
        <v>3971</v>
      </c>
      <c r="K282" s="155" t="s">
        <v>4419</v>
      </c>
      <c r="L282" s="247">
        <f t="shared" si="29"/>
        <v>2</v>
      </c>
      <c r="M282" s="121">
        <f>SUMIFS('Bilateral Assistance, MAIN DATA'!M:M,'Bilateral Assistance, MAIN DATA'!I:I,'Price List, Weapons &amp; Items'!B282)</f>
        <v>85000</v>
      </c>
      <c r="N282" s="19">
        <f>COUNTIFS('Bilateral Assistance, MAIN DATA'!M:M,"undisclosed",'Bilateral Assistance, MAIN DATA'!I:I,'Price List, Weapons &amp; Items'!B282)</f>
        <v>0</v>
      </c>
      <c r="O282" s="723">
        <f t="shared" si="30"/>
        <v>1870000</v>
      </c>
      <c r="P282" s="19">
        <f>IFERROR(IF(SEARCH(B282,_xlfn.ARRAYTOTEXT('Bilateral Assistance, MAIN DATA'!I$1:I$1622))&gt;0,1,""),0)</f>
        <v>1</v>
      </c>
      <c r="Q282" s="19">
        <f>IFERROR(IF(SEARCH(B282,_xlfn.ARRAYTOTEXT('Commercial Assistance'!I$1:I$1400))&gt;0,1,""),0)</f>
        <v>0</v>
      </c>
      <c r="R282" s="247" t="str">
        <f>IF(SUMIFS('Bilateral Assistance, MAIN DATA'!N:N,'Bilateral Assistance, MAIN DATA'!I:I,'Price List, Weapons &amp; Items'!B282)&gt;M282,1,".")</f>
        <v>.</v>
      </c>
    </row>
    <row r="283" spans="2:18" ht="15" customHeight="1" x14ac:dyDescent="0.3">
      <c r="B283" s="175" t="s">
        <v>4421</v>
      </c>
      <c r="C283" s="113" t="s">
        <v>812</v>
      </c>
      <c r="D283" s="113" t="s">
        <v>812</v>
      </c>
      <c r="E283" s="199">
        <v>0</v>
      </c>
      <c r="F283" s="199">
        <f t="shared" si="27"/>
        <v>0</v>
      </c>
      <c r="G283" s="629">
        <v>22</v>
      </c>
      <c r="H283" s="720" t="str">
        <f t="shared" si="28"/>
        <v>USD</v>
      </c>
      <c r="I283" s="840" t="s">
        <v>4418</v>
      </c>
      <c r="J283" s="155" t="s">
        <v>3971</v>
      </c>
      <c r="K283" s="155" t="s">
        <v>4419</v>
      </c>
      <c r="L283" s="247">
        <f t="shared" si="29"/>
        <v>2</v>
      </c>
      <c r="M283" s="121">
        <f>SUMIFS('Bilateral Assistance, MAIN DATA'!M:M,'Bilateral Assistance, MAIN DATA'!I:I,'Price List, Weapons &amp; Items'!B283)</f>
        <v>135000</v>
      </c>
      <c r="N283" s="19">
        <f>COUNTIFS('Bilateral Assistance, MAIN DATA'!M:M,"undisclosed",'Bilateral Assistance, MAIN DATA'!I:I,'Price List, Weapons &amp; Items'!B283)</f>
        <v>1</v>
      </c>
      <c r="O283" s="723">
        <f t="shared" si="30"/>
        <v>2970000</v>
      </c>
      <c r="P283" s="19">
        <f>IFERROR(IF(SEARCH(B283,_xlfn.ARRAYTOTEXT('Bilateral Assistance, MAIN DATA'!I$1:I$1622))&gt;0,1,""),0)</f>
        <v>1</v>
      </c>
      <c r="Q283" s="19">
        <f>IFERROR(IF(SEARCH(B283,_xlfn.ARRAYTOTEXT('Commercial Assistance'!I$1:I$1400))&gt;0,1,""),0)</f>
        <v>0</v>
      </c>
      <c r="R283" s="247" t="str">
        <f>IF(SUMIFS('Bilateral Assistance, MAIN DATA'!N:N,'Bilateral Assistance, MAIN DATA'!I:I,'Price List, Weapons &amp; Items'!B283)&gt;M283,1,".")</f>
        <v>.</v>
      </c>
    </row>
    <row r="284" spans="2:18" ht="15" customHeight="1" x14ac:dyDescent="0.3">
      <c r="B284" s="185" t="s">
        <v>1491</v>
      </c>
      <c r="C284" s="113" t="s">
        <v>812</v>
      </c>
      <c r="D284" s="113" t="s">
        <v>812</v>
      </c>
      <c r="E284" s="199">
        <v>0</v>
      </c>
      <c r="F284" s="199">
        <f t="shared" si="27"/>
        <v>0</v>
      </c>
      <c r="G284" s="629">
        <v>22</v>
      </c>
      <c r="H284" s="720" t="str">
        <f t="shared" si="28"/>
        <v>USD</v>
      </c>
      <c r="I284" s="840" t="s">
        <v>4418</v>
      </c>
      <c r="J284" s="155" t="s">
        <v>3971</v>
      </c>
      <c r="K284" s="155" t="s">
        <v>4419</v>
      </c>
      <c r="L284" s="247">
        <f t="shared" si="29"/>
        <v>2</v>
      </c>
      <c r="M284" s="121">
        <f>SUMIFS('Bilateral Assistance, MAIN DATA'!M:M,'Bilateral Assistance, MAIN DATA'!I:I,'Price List, Weapons &amp; Items'!B284)</f>
        <v>405000</v>
      </c>
      <c r="N284" s="19">
        <f>COUNTIFS('Bilateral Assistance, MAIN DATA'!M:M,"undisclosed",'Bilateral Assistance, MAIN DATA'!I:I,'Price List, Weapons &amp; Items'!B284)</f>
        <v>0</v>
      </c>
      <c r="O284" s="723">
        <f t="shared" si="30"/>
        <v>8910000</v>
      </c>
      <c r="P284" s="19">
        <f>IFERROR(IF(SEARCH(B284,_xlfn.ARRAYTOTEXT('Bilateral Assistance, MAIN DATA'!I$1:I$1622))&gt;0,1,""),0)</f>
        <v>1</v>
      </c>
      <c r="Q284" s="19">
        <f>IFERROR(IF(SEARCH(B284,_xlfn.ARRAYTOTEXT('Commercial Assistance'!I$1:I$1400))&gt;0,1,""),0)</f>
        <v>0</v>
      </c>
      <c r="R284" s="247" t="str">
        <f>IF(SUMIFS('Bilateral Assistance, MAIN DATA'!N:N,'Bilateral Assistance, MAIN DATA'!I:I,'Price List, Weapons &amp; Items'!B284)&gt;M284,1,".")</f>
        <v>.</v>
      </c>
    </row>
    <row r="285" spans="2:18" ht="15" customHeight="1" x14ac:dyDescent="0.3">
      <c r="B285" s="175" t="s">
        <v>4422</v>
      </c>
      <c r="C285" s="113" t="s">
        <v>812</v>
      </c>
      <c r="D285" s="113" t="s">
        <v>812</v>
      </c>
      <c r="E285" s="199">
        <v>0</v>
      </c>
      <c r="F285" s="199">
        <f t="shared" si="27"/>
        <v>0</v>
      </c>
      <c r="G285" s="629">
        <v>22</v>
      </c>
      <c r="H285" s="720" t="str">
        <f t="shared" si="28"/>
        <v>USD</v>
      </c>
      <c r="I285" s="841" t="s">
        <v>4418</v>
      </c>
      <c r="J285" s="155" t="s">
        <v>3971</v>
      </c>
      <c r="K285" s="250" t="s">
        <v>4419</v>
      </c>
      <c r="L285" s="247">
        <f t="shared" si="29"/>
        <v>2</v>
      </c>
      <c r="M285" s="121">
        <f>SUMIFS('Bilateral Assistance, MAIN DATA'!M:M,'Bilateral Assistance, MAIN DATA'!I:I,'Price List, Weapons &amp; Items'!B285)</f>
        <v>390000</v>
      </c>
      <c r="N285" s="19">
        <f>COUNTIFS('Bilateral Assistance, MAIN DATA'!M:M,"undisclosed",'Bilateral Assistance, MAIN DATA'!I:I,'Price List, Weapons &amp; Items'!B285)</f>
        <v>0</v>
      </c>
      <c r="O285" s="723">
        <f t="shared" si="30"/>
        <v>8580000</v>
      </c>
      <c r="P285" s="19">
        <f>IFERROR(IF(SEARCH(B285,_xlfn.ARRAYTOTEXT('Bilateral Assistance, MAIN DATA'!I$1:I$1622))&gt;0,1,""),0)</f>
        <v>1</v>
      </c>
      <c r="Q285" s="19">
        <f>IFERROR(IF(SEARCH(B285,_xlfn.ARRAYTOTEXT('Commercial Assistance'!I$1:I$1400))&gt;0,1,""),0)</f>
        <v>0</v>
      </c>
      <c r="R285" s="247" t="str">
        <f>IF(SUMIFS('Bilateral Assistance, MAIN DATA'!N:N,'Bilateral Assistance, MAIN DATA'!I:I,'Price List, Weapons &amp; Items'!B285)&gt;M285,1,".")</f>
        <v>.</v>
      </c>
    </row>
    <row r="286" spans="2:18" ht="15" customHeight="1" x14ac:dyDescent="0.3">
      <c r="B286" s="175" t="s">
        <v>4423</v>
      </c>
      <c r="C286" s="113" t="s">
        <v>812</v>
      </c>
      <c r="D286" s="113" t="s">
        <v>812</v>
      </c>
      <c r="E286" s="199">
        <v>0</v>
      </c>
      <c r="F286" s="199">
        <f t="shared" si="27"/>
        <v>0</v>
      </c>
      <c r="G286" s="629">
        <v>8.76</v>
      </c>
      <c r="H286" s="720" t="str">
        <f t="shared" si="28"/>
        <v>USD</v>
      </c>
      <c r="I286" s="842" t="s">
        <v>4424</v>
      </c>
      <c r="J286" s="155" t="s">
        <v>3971</v>
      </c>
      <c r="K286" s="260" t="s">
        <v>4425</v>
      </c>
      <c r="L286" s="247">
        <f t="shared" si="29"/>
        <v>2</v>
      </c>
      <c r="M286" s="121">
        <f>SUMIFS('Bilateral Assistance, MAIN DATA'!M:M,'Bilateral Assistance, MAIN DATA'!I:I,'Price List, Weapons &amp; Items'!B286)</f>
        <v>450000</v>
      </c>
      <c r="N286" s="19">
        <f>COUNTIFS('Bilateral Assistance, MAIN DATA'!M:M,"undisclosed",'Bilateral Assistance, MAIN DATA'!I:I,'Price List, Weapons &amp; Items'!B286)</f>
        <v>0</v>
      </c>
      <c r="O286" s="723">
        <f t="shared" si="30"/>
        <v>3942000</v>
      </c>
      <c r="P286" s="19">
        <f>IFERROR(IF(SEARCH(B286,_xlfn.ARRAYTOTEXT('Bilateral Assistance, MAIN DATA'!I$1:I$1622))&gt;0,1,""),0)</f>
        <v>1</v>
      </c>
      <c r="Q286" s="19">
        <f>IFERROR(IF(SEARCH(B286,_xlfn.ARRAYTOTEXT('Commercial Assistance'!I$1:I$1400))&gt;0,1,""),0)</f>
        <v>0</v>
      </c>
      <c r="R286" s="247">
        <f>IF(SUMIFS('Bilateral Assistance, MAIN DATA'!N:N,'Bilateral Assistance, MAIN DATA'!I:I,'Price List, Weapons &amp; Items'!B286)&gt;M286,1,".")</f>
        <v>1</v>
      </c>
    </row>
    <row r="287" spans="2:18" ht="15" customHeight="1" x14ac:dyDescent="0.3">
      <c r="B287" s="185" t="s">
        <v>1508</v>
      </c>
      <c r="C287" s="113" t="s">
        <v>3949</v>
      </c>
      <c r="D287" s="246" t="s">
        <v>3950</v>
      </c>
      <c r="E287" s="199">
        <v>0</v>
      </c>
      <c r="F287" s="199">
        <f t="shared" si="27"/>
        <v>0</v>
      </c>
      <c r="G287" s="629">
        <v>5</v>
      </c>
      <c r="H287" s="720" t="str">
        <f t="shared" si="28"/>
        <v>USD</v>
      </c>
      <c r="I287" s="843" t="s">
        <v>4426</v>
      </c>
      <c r="J287" s="155" t="s">
        <v>3975</v>
      </c>
      <c r="K287" s="260" t="s">
        <v>4427</v>
      </c>
      <c r="L287" s="247">
        <f t="shared" si="29"/>
        <v>2</v>
      </c>
      <c r="M287" s="121">
        <f>SUMIFS('Bilateral Assistance, MAIN DATA'!M:M,'Bilateral Assistance, MAIN DATA'!I:I,'Price List, Weapons &amp; Items'!B287)</f>
        <v>22000000</v>
      </c>
      <c r="N287" s="19">
        <f>COUNTIFS('Bilateral Assistance, MAIN DATA'!M:M,"undisclosed",'Bilateral Assistance, MAIN DATA'!I:I,'Price List, Weapons &amp; Items'!B287)</f>
        <v>0</v>
      </c>
      <c r="O287" s="723">
        <f t="shared" si="30"/>
        <v>110000000</v>
      </c>
      <c r="P287" s="19">
        <f>IFERROR(IF(SEARCH(B287,_xlfn.ARRAYTOTEXT('Bilateral Assistance, MAIN DATA'!I$1:I$1622))&gt;0,1,""),0)</f>
        <v>1</v>
      </c>
      <c r="Q287" s="19">
        <f>IFERROR(IF(SEARCH(B287,_xlfn.ARRAYTOTEXT('Commercial Assistance'!I$1:I$1400))&gt;0,1,""),0)</f>
        <v>0</v>
      </c>
      <c r="R287" s="247" t="str">
        <f>IF(SUMIFS('Bilateral Assistance, MAIN DATA'!N:N,'Bilateral Assistance, MAIN DATA'!I:I,'Price List, Weapons &amp; Items'!B287)&gt;M287,1,".")</f>
        <v>.</v>
      </c>
    </row>
    <row r="288" spans="2:18" ht="15" customHeight="1" x14ac:dyDescent="0.3">
      <c r="B288" s="175" t="s">
        <v>4428</v>
      </c>
      <c r="C288" s="113" t="s">
        <v>3949</v>
      </c>
      <c r="D288" s="246" t="s">
        <v>3950</v>
      </c>
      <c r="E288" s="199">
        <v>0</v>
      </c>
      <c r="F288" s="199">
        <f t="shared" si="27"/>
        <v>0</v>
      </c>
      <c r="G288" s="629">
        <v>5</v>
      </c>
      <c r="H288" s="720" t="str">
        <f t="shared" si="28"/>
        <v>USD</v>
      </c>
      <c r="I288" s="843" t="s">
        <v>4426</v>
      </c>
      <c r="J288" s="155" t="s">
        <v>3975</v>
      </c>
      <c r="K288" s="260" t="s">
        <v>4427</v>
      </c>
      <c r="L288" s="247">
        <f t="shared" si="29"/>
        <v>2</v>
      </c>
      <c r="M288" s="121">
        <f>SUMIFS('Bilateral Assistance, MAIN DATA'!M:M,'Bilateral Assistance, MAIN DATA'!I:I,'Price List, Weapons &amp; Items'!B288)</f>
        <v>20000000</v>
      </c>
      <c r="N288" s="19">
        <f>COUNTIFS('Bilateral Assistance, MAIN DATA'!M:M,"undisclosed",'Bilateral Assistance, MAIN DATA'!I:I,'Price List, Weapons &amp; Items'!B288)</f>
        <v>0</v>
      </c>
      <c r="O288" s="723">
        <f t="shared" si="30"/>
        <v>100000000</v>
      </c>
      <c r="P288" s="19">
        <f>IFERROR(IF(SEARCH(B288,_xlfn.ARRAYTOTEXT('Bilateral Assistance, MAIN DATA'!I$1:I$1622))&gt;0,1,""),0)</f>
        <v>1</v>
      </c>
      <c r="Q288" s="19">
        <f>IFERROR(IF(SEARCH(B288,_xlfn.ARRAYTOTEXT('Commercial Assistance'!I$1:I$1400))&gt;0,1,""),0)</f>
        <v>0</v>
      </c>
      <c r="R288" s="247" t="str">
        <f>IF(SUMIFS('Bilateral Assistance, MAIN DATA'!N:N,'Bilateral Assistance, MAIN DATA'!I:I,'Price List, Weapons &amp; Items'!B288)&gt;M288,1,".")</f>
        <v>.</v>
      </c>
    </row>
    <row r="289" spans="2:18" ht="15" customHeight="1" x14ac:dyDescent="0.3">
      <c r="B289" s="188" t="s">
        <v>4429</v>
      </c>
      <c r="C289" s="113" t="s">
        <v>3949</v>
      </c>
      <c r="D289" s="246" t="s">
        <v>3950</v>
      </c>
      <c r="E289" s="199">
        <v>1</v>
      </c>
      <c r="F289" s="199">
        <f t="shared" si="27"/>
        <v>0</v>
      </c>
      <c r="G289" s="629">
        <v>0.95</v>
      </c>
      <c r="H289" s="720" t="str">
        <f t="shared" si="28"/>
        <v>USD</v>
      </c>
      <c r="I289" s="842" t="s">
        <v>4430</v>
      </c>
      <c r="J289" s="155" t="s">
        <v>3971</v>
      </c>
      <c r="K289" s="260" t="s">
        <v>4431</v>
      </c>
      <c r="L289" s="247">
        <f t="shared" si="29"/>
        <v>1</v>
      </c>
      <c r="M289" s="121">
        <f>SUMIFS('Bilateral Assistance, MAIN DATA'!M:M,'Bilateral Assistance, MAIN DATA'!I:I,'Price List, Weapons &amp; Items'!B289)</f>
        <v>1000000</v>
      </c>
      <c r="N289" s="19">
        <f>COUNTIFS('Bilateral Assistance, MAIN DATA'!M:M,"undisclosed",'Bilateral Assistance, MAIN DATA'!I:I,'Price List, Weapons &amp; Items'!B289)</f>
        <v>0</v>
      </c>
      <c r="O289" s="723">
        <f t="shared" si="30"/>
        <v>950000</v>
      </c>
      <c r="P289" s="19">
        <f>IFERROR(IF(SEARCH(B289,_xlfn.ARRAYTOTEXT('Bilateral Assistance, MAIN DATA'!I$1:I$1622))&gt;0,1,""),0)</f>
        <v>1</v>
      </c>
      <c r="Q289" s="19">
        <f>IFERROR(IF(SEARCH(B289,_xlfn.ARRAYTOTEXT('Commercial Assistance'!I$1:I$1400))&gt;0,1,""),0)</f>
        <v>0</v>
      </c>
      <c r="R289" s="247" t="str">
        <f>IF(SUMIFS('Bilateral Assistance, MAIN DATA'!N:N,'Bilateral Assistance, MAIN DATA'!I:I,'Price List, Weapons &amp; Items'!B289)&gt;M289,1,".")</f>
        <v>.</v>
      </c>
    </row>
    <row r="290" spans="2:18" ht="15" customHeight="1" x14ac:dyDescent="0.3">
      <c r="B290" s="188" t="s">
        <v>4432</v>
      </c>
      <c r="C290" s="113" t="s">
        <v>3949</v>
      </c>
      <c r="D290" s="246" t="s">
        <v>3950</v>
      </c>
      <c r="E290" s="199">
        <v>0</v>
      </c>
      <c r="F290" s="199">
        <f t="shared" si="27"/>
        <v>0</v>
      </c>
      <c r="G290" s="629">
        <v>0.95</v>
      </c>
      <c r="H290" s="720" t="str">
        <f t="shared" si="28"/>
        <v>USD</v>
      </c>
      <c r="I290" s="842" t="s">
        <v>4430</v>
      </c>
      <c r="J290" s="155" t="s">
        <v>3971</v>
      </c>
      <c r="K290" s="175" t="s">
        <v>4431</v>
      </c>
      <c r="L290" s="247">
        <f t="shared" si="29"/>
        <v>1</v>
      </c>
      <c r="M290" s="121">
        <f>SUMIFS('Bilateral Assistance, MAIN DATA'!M:M,'Bilateral Assistance, MAIN DATA'!I:I,'Price List, Weapons &amp; Items'!B290)</f>
        <v>1000000</v>
      </c>
      <c r="N290" s="19">
        <f>COUNTIFS('Bilateral Assistance, MAIN DATA'!M:M,"undisclosed",'Bilateral Assistance, MAIN DATA'!I:I,'Price List, Weapons &amp; Items'!B290)</f>
        <v>0</v>
      </c>
      <c r="O290" s="723">
        <f t="shared" si="30"/>
        <v>950000</v>
      </c>
      <c r="P290" s="19">
        <f>IFERROR(IF(SEARCH(B290,_xlfn.ARRAYTOTEXT('Bilateral Assistance, MAIN DATA'!I$1:I$1622))&gt;0,1,""),0)</f>
        <v>1</v>
      </c>
      <c r="Q290" s="19">
        <f>IFERROR(IF(SEARCH(B290,_xlfn.ARRAYTOTEXT('Commercial Assistance'!I$1:I$1400))&gt;0,1,""),0)</f>
        <v>0</v>
      </c>
      <c r="R290" s="247" t="str">
        <f>IF(SUMIFS('Bilateral Assistance, MAIN DATA'!N:N,'Bilateral Assistance, MAIN DATA'!I:I,'Price List, Weapons &amp; Items'!B290)&gt;M290,1,".")</f>
        <v>.</v>
      </c>
    </row>
    <row r="291" spans="2:18" ht="15" customHeight="1" x14ac:dyDescent="0.3">
      <c r="B291" s="175" t="s">
        <v>1637</v>
      </c>
      <c r="C291" s="113" t="s">
        <v>3949</v>
      </c>
      <c r="D291" s="246" t="s">
        <v>3950</v>
      </c>
      <c r="E291" s="199">
        <v>0</v>
      </c>
      <c r="F291" s="199">
        <f t="shared" si="27"/>
        <v>0</v>
      </c>
      <c r="G291" s="629">
        <v>0.57999999999999996</v>
      </c>
      <c r="H291" s="720" t="str">
        <f t="shared" si="28"/>
        <v>USD</v>
      </c>
      <c r="I291" s="844" t="s">
        <v>4433</v>
      </c>
      <c r="J291" s="155" t="s">
        <v>3971</v>
      </c>
      <c r="K291" s="260" t="s">
        <v>4434</v>
      </c>
      <c r="L291" s="247">
        <f t="shared" si="29"/>
        <v>2</v>
      </c>
      <c r="M291" s="121">
        <f>SUMIFS('Bilateral Assistance, MAIN DATA'!M:M,'Bilateral Assistance, MAIN DATA'!I:I,'Price List, Weapons &amp; Items'!B291)</f>
        <v>3200000</v>
      </c>
      <c r="N291" s="19">
        <f>COUNTIFS('Bilateral Assistance, MAIN DATA'!M:M,"undisclosed",'Bilateral Assistance, MAIN DATA'!I:I,'Price List, Weapons &amp; Items'!B291)</f>
        <v>0</v>
      </c>
      <c r="O291" s="723">
        <f t="shared" si="30"/>
        <v>1855999.9999999998</v>
      </c>
      <c r="P291" s="19">
        <f>IFERROR(IF(SEARCH(B291,_xlfn.ARRAYTOTEXT('Bilateral Assistance, MAIN DATA'!I$1:I$1622))&gt;0,1,""),0)</f>
        <v>1</v>
      </c>
      <c r="Q291" s="19">
        <f>IFERROR(IF(SEARCH(B291,_xlfn.ARRAYTOTEXT('Commercial Assistance'!I$1:I$1400))&gt;0,1,""),0)</f>
        <v>0</v>
      </c>
      <c r="R291" s="247" t="str">
        <f>IF(SUMIFS('Bilateral Assistance, MAIN DATA'!N:N,'Bilateral Assistance, MAIN DATA'!I:I,'Price List, Weapons &amp; Items'!B291)&gt;M291,1,".")</f>
        <v>.</v>
      </c>
    </row>
    <row r="292" spans="2:18" ht="15" customHeight="1" x14ac:dyDescent="0.3">
      <c r="B292" s="188" t="s">
        <v>1494</v>
      </c>
      <c r="C292" s="113" t="s">
        <v>3942</v>
      </c>
      <c r="D292" s="246" t="s">
        <v>4408</v>
      </c>
      <c r="E292" s="199">
        <v>0</v>
      </c>
      <c r="F292" s="199">
        <f t="shared" si="27"/>
        <v>0</v>
      </c>
      <c r="G292" s="629">
        <v>266.94</v>
      </c>
      <c r="H292" s="720" t="str">
        <f t="shared" si="28"/>
        <v>USD</v>
      </c>
      <c r="I292" s="842" t="s">
        <v>4409</v>
      </c>
      <c r="J292" s="155" t="s">
        <v>3975</v>
      </c>
      <c r="K292" s="260" t="s">
        <v>4410</v>
      </c>
      <c r="L292" s="247">
        <f t="shared" si="29"/>
        <v>1</v>
      </c>
      <c r="M292" s="121">
        <f>SUMIFS('Bilateral Assistance, MAIN DATA'!M:M,'Bilateral Assistance, MAIN DATA'!I:I,'Price List, Weapons &amp; Items'!B292)</f>
        <v>4000</v>
      </c>
      <c r="N292" s="19">
        <f>COUNTIFS('Bilateral Assistance, MAIN DATA'!M:M,"undisclosed",'Bilateral Assistance, MAIN DATA'!I:I,'Price List, Weapons &amp; Items'!B292)</f>
        <v>0</v>
      </c>
      <c r="O292" s="723">
        <f t="shared" si="30"/>
        <v>1067760</v>
      </c>
      <c r="P292" s="19">
        <f>IFERROR(IF(SEARCH(B292,_xlfn.ARRAYTOTEXT('Bilateral Assistance, MAIN DATA'!I$1:I$1622))&gt;0,1,""),0)</f>
        <v>1</v>
      </c>
      <c r="Q292" s="19">
        <f>IFERROR(IF(SEARCH(B292,_xlfn.ARRAYTOTEXT('Commercial Assistance'!I$1:I$1400))&gt;0,1,""),0)</f>
        <v>0</v>
      </c>
      <c r="R292" s="247" t="str">
        <f>IF(SUMIFS('Bilateral Assistance, MAIN DATA'!N:N,'Bilateral Assistance, MAIN DATA'!I:I,'Price List, Weapons &amp; Items'!B292)&gt;M292,1,".")</f>
        <v>.</v>
      </c>
    </row>
    <row r="293" spans="2:18" ht="15" customHeight="1" x14ac:dyDescent="0.3">
      <c r="B293" s="175" t="s">
        <v>1416</v>
      </c>
      <c r="C293" s="113" t="s">
        <v>3949</v>
      </c>
      <c r="D293" s="246" t="s">
        <v>3950</v>
      </c>
      <c r="E293" s="199">
        <v>0</v>
      </c>
      <c r="F293" s="199">
        <f t="shared" si="27"/>
        <v>0</v>
      </c>
      <c r="G293" s="629">
        <v>55</v>
      </c>
      <c r="H293" s="721" t="s">
        <v>346</v>
      </c>
      <c r="I293" s="844" t="s">
        <v>4435</v>
      </c>
      <c r="J293" s="155" t="s">
        <v>3967</v>
      </c>
      <c r="K293" s="260" t="s">
        <v>4436</v>
      </c>
      <c r="L293" s="247">
        <f t="shared" si="29"/>
        <v>2</v>
      </c>
      <c r="M293" s="121">
        <f>SUMIFS('Bilateral Assistance, MAIN DATA'!M:M,'Bilateral Assistance, MAIN DATA'!I:I,'Price List, Weapons &amp; Items'!B293)</f>
        <v>216000</v>
      </c>
      <c r="N293" s="19">
        <f>COUNTIFS('Bilateral Assistance, MAIN DATA'!M:M,"undisclosed",'Bilateral Assistance, MAIN DATA'!I:I,'Price List, Weapons &amp; Items'!B293)</f>
        <v>0</v>
      </c>
      <c r="O293" s="723">
        <f t="shared" si="30"/>
        <v>11880000</v>
      </c>
      <c r="P293" s="19">
        <f>IFERROR(IF(SEARCH(B293,_xlfn.ARRAYTOTEXT('Bilateral Assistance, MAIN DATA'!I$1:I$1622))&gt;0,1,""),0)</f>
        <v>1</v>
      </c>
      <c r="Q293" s="19">
        <f>IFERROR(IF(SEARCH(B293,_xlfn.ARRAYTOTEXT('Commercial Assistance'!I$1:I$1400))&gt;0,1,""),0)</f>
        <v>0</v>
      </c>
      <c r="R293" s="247" t="str">
        <f>IF(SUMIFS('Bilateral Assistance, MAIN DATA'!N:N,'Bilateral Assistance, MAIN DATA'!I:I,'Price List, Weapons &amp; Items'!B293)&gt;M293,1,".")</f>
        <v>.</v>
      </c>
    </row>
    <row r="294" spans="2:18" ht="15" customHeight="1" x14ac:dyDescent="0.3">
      <c r="B294" s="175" t="s">
        <v>1465</v>
      </c>
      <c r="C294" s="113" t="s">
        <v>3945</v>
      </c>
      <c r="D294" s="246" t="s">
        <v>4040</v>
      </c>
      <c r="E294" s="199">
        <v>0</v>
      </c>
      <c r="F294" s="199">
        <f t="shared" si="27"/>
        <v>1</v>
      </c>
      <c r="G294" s="629">
        <v>500000</v>
      </c>
      <c r="H294" s="721" t="s">
        <v>346</v>
      </c>
      <c r="I294" s="845" t="s">
        <v>4437</v>
      </c>
      <c r="J294" s="249" t="s">
        <v>3967</v>
      </c>
      <c r="K294" s="260" t="s">
        <v>4438</v>
      </c>
      <c r="L294" s="247">
        <f t="shared" si="29"/>
        <v>2</v>
      </c>
      <c r="M294" s="121">
        <f>SUMIFS('Bilateral Assistance, MAIN DATA'!M:M,'Bilateral Assistance, MAIN DATA'!I:I,'Price List, Weapons &amp; Items'!B294)</f>
        <v>50</v>
      </c>
      <c r="N294" s="19">
        <f>COUNTIFS('Bilateral Assistance, MAIN DATA'!M:M,"undisclosed",'Bilateral Assistance, MAIN DATA'!I:I,'Price List, Weapons &amp; Items'!B294)</f>
        <v>0</v>
      </c>
      <c r="O294" s="723">
        <f t="shared" si="30"/>
        <v>25000000</v>
      </c>
      <c r="P294" s="19">
        <f>IFERROR(IF(SEARCH(B294,_xlfn.ARRAYTOTEXT('Bilateral Assistance, MAIN DATA'!I$1:I$1622))&gt;0,1,""),0)</f>
        <v>1</v>
      </c>
      <c r="Q294" s="19">
        <f>IFERROR(IF(SEARCH(B294,_xlfn.ARRAYTOTEXT('Commercial Assistance'!I$1:I$1400))&gt;0,1,""),0)</f>
        <v>0</v>
      </c>
      <c r="R294" s="247" t="str">
        <f>IF(SUMIFS('Bilateral Assistance, MAIN DATA'!N:N,'Bilateral Assistance, MAIN DATA'!I:I,'Price List, Weapons &amp; Items'!B294)&gt;M294,1,".")</f>
        <v>.</v>
      </c>
    </row>
    <row r="295" spans="2:18" ht="15" customHeight="1" x14ac:dyDescent="0.3">
      <c r="B295" s="175" t="s">
        <v>1425</v>
      </c>
      <c r="C295" s="113" t="s">
        <v>812</v>
      </c>
      <c r="D295" s="246" t="s">
        <v>4040</v>
      </c>
      <c r="E295" s="199">
        <v>0</v>
      </c>
      <c r="F295" s="199">
        <f t="shared" si="27"/>
        <v>1</v>
      </c>
      <c r="G295" s="629">
        <v>94550</v>
      </c>
      <c r="H295" s="721" t="s">
        <v>346</v>
      </c>
      <c r="I295" s="844" t="s">
        <v>4439</v>
      </c>
      <c r="J295" s="249" t="s">
        <v>3971</v>
      </c>
      <c r="K295" s="260" t="s">
        <v>4440</v>
      </c>
      <c r="L295" s="247">
        <f t="shared" si="29"/>
        <v>1</v>
      </c>
      <c r="M295" s="121">
        <f>SUMIFS('Bilateral Assistance, MAIN DATA'!M:M,'Bilateral Assistance, MAIN DATA'!I:I,'Price List, Weapons &amp; Items'!B295)</f>
        <v>13</v>
      </c>
      <c r="N295" s="19">
        <f>COUNTIFS('Bilateral Assistance, MAIN DATA'!M:M,"undisclosed",'Bilateral Assistance, MAIN DATA'!I:I,'Price List, Weapons &amp; Items'!B295)</f>
        <v>0</v>
      </c>
      <c r="O295" s="723">
        <f t="shared" si="30"/>
        <v>1229150</v>
      </c>
      <c r="P295" s="19">
        <f>IFERROR(IF(SEARCH(B295,_xlfn.ARRAYTOTEXT('Bilateral Assistance, MAIN DATA'!I$1:I$1622))&gt;0,1,""),0)</f>
        <v>1</v>
      </c>
      <c r="Q295" s="19">
        <f>IFERROR(IF(SEARCH(B295,_xlfn.ARRAYTOTEXT('Commercial Assistance'!I$1:I$1400))&gt;0,1,""),0)</f>
        <v>0</v>
      </c>
      <c r="R295" s="247" t="str">
        <f>IF(SUMIFS('Bilateral Assistance, MAIN DATA'!N:N,'Bilateral Assistance, MAIN DATA'!I:I,'Price List, Weapons &amp; Items'!B295)&gt;M295,1,".")</f>
        <v>.</v>
      </c>
    </row>
    <row r="296" spans="2:18" ht="15" customHeight="1" x14ac:dyDescent="0.3">
      <c r="B296" s="175" t="s">
        <v>2255</v>
      </c>
      <c r="C296" s="113" t="s">
        <v>4068</v>
      </c>
      <c r="D296" s="246" t="s">
        <v>4069</v>
      </c>
      <c r="E296" s="199">
        <v>0</v>
      </c>
      <c r="F296" s="199">
        <f t="shared" si="27"/>
        <v>0</v>
      </c>
      <c r="G296" s="629">
        <v>93090</v>
      </c>
      <c r="H296" s="721" t="s">
        <v>346</v>
      </c>
      <c r="I296" s="846" t="s">
        <v>4023</v>
      </c>
      <c r="J296" s="155" t="s">
        <v>4008</v>
      </c>
      <c r="K296" s="260" t="s">
        <v>4441</v>
      </c>
      <c r="L296" s="247">
        <f t="shared" si="29"/>
        <v>2</v>
      </c>
      <c r="M296" s="121">
        <f>SUMIFS('Bilateral Assistance, MAIN DATA'!M:M,'Bilateral Assistance, MAIN DATA'!I:I,'Price List, Weapons &amp; Items'!B296)</f>
        <v>160</v>
      </c>
      <c r="N296" s="19">
        <f>COUNTIFS('Bilateral Assistance, MAIN DATA'!M:M,"undisclosed",'Bilateral Assistance, MAIN DATA'!I:I,'Price List, Weapons &amp; Items'!B296)</f>
        <v>0</v>
      </c>
      <c r="O296" s="723">
        <f t="shared" si="30"/>
        <v>14894400</v>
      </c>
      <c r="P296" s="19">
        <f>IFERROR(IF(SEARCH(B296,_xlfn.ARRAYTOTEXT('Bilateral Assistance, MAIN DATA'!I$1:I$1622))&gt;0,1,""),0)</f>
        <v>1</v>
      </c>
      <c r="Q296" s="19">
        <f>IFERROR(IF(SEARCH(B296,_xlfn.ARRAYTOTEXT('Commercial Assistance'!I$1:I$1400))&gt;0,1,""),0)</f>
        <v>0</v>
      </c>
      <c r="R296" s="247" t="str">
        <f>IF(SUMIFS('Bilateral Assistance, MAIN DATA'!N:N,'Bilateral Assistance, MAIN DATA'!I:I,'Price List, Weapons &amp; Items'!B296)&gt;M296,1,".")</f>
        <v>.</v>
      </c>
    </row>
    <row r="297" spans="2:18" ht="15" customHeight="1" x14ac:dyDescent="0.3">
      <c r="B297" s="175" t="s">
        <v>454</v>
      </c>
      <c r="C297" s="113" t="s">
        <v>812</v>
      </c>
      <c r="D297" s="113" t="s">
        <v>812</v>
      </c>
      <c r="E297" s="199">
        <v>0</v>
      </c>
      <c r="F297" s="199">
        <f t="shared" si="27"/>
        <v>0</v>
      </c>
      <c r="G297" s="629">
        <v>2320</v>
      </c>
      <c r="H297" s="720" t="str">
        <f>IF(G297&lt;&gt;".","USD",".")</f>
        <v>USD</v>
      </c>
      <c r="I297" s="820" t="s">
        <v>4341</v>
      </c>
      <c r="J297" s="155" t="s">
        <v>3964</v>
      </c>
      <c r="K297" s="253" t="s">
        <v>4442</v>
      </c>
      <c r="L297" s="247">
        <f t="shared" si="29"/>
        <v>1</v>
      </c>
      <c r="M297" s="121">
        <f>SUMIFS('Bilateral Assistance, MAIN DATA'!M:M,'Bilateral Assistance, MAIN DATA'!I:I,'Price List, Weapons &amp; Items'!B297)</f>
        <v>353</v>
      </c>
      <c r="N297" s="19">
        <f>COUNTIFS('Bilateral Assistance, MAIN DATA'!M:M,"undisclosed",'Bilateral Assistance, MAIN DATA'!I:I,'Price List, Weapons &amp; Items'!B297)</f>
        <v>1</v>
      </c>
      <c r="O297" s="723">
        <f t="shared" si="30"/>
        <v>818960</v>
      </c>
      <c r="P297" s="19">
        <f>IFERROR(IF(SEARCH(B297,_xlfn.ARRAYTOTEXT('Bilateral Assistance, MAIN DATA'!I$1:I$1622))&gt;0,1,""),0)</f>
        <v>1</v>
      </c>
      <c r="Q297" s="19">
        <f>IFERROR(IF(SEARCH(B297,_xlfn.ARRAYTOTEXT('Commercial Assistance'!I$1:I$1400))&gt;0,1,""),0)</f>
        <v>0</v>
      </c>
      <c r="R297" s="247" t="str">
        <f>IF(SUMIFS('Bilateral Assistance, MAIN DATA'!N:N,'Bilateral Assistance, MAIN DATA'!I:I,'Price List, Weapons &amp; Items'!B297)&gt;M297,1,".")</f>
        <v>.</v>
      </c>
    </row>
    <row r="298" spans="2:18" ht="15" customHeight="1" x14ac:dyDescent="0.3">
      <c r="B298" s="175" t="s">
        <v>2827</v>
      </c>
      <c r="C298" s="113" t="s">
        <v>3945</v>
      </c>
      <c r="D298" s="201" t="s">
        <v>4040</v>
      </c>
      <c r="E298" s="199">
        <v>0</v>
      </c>
      <c r="F298" s="199">
        <f t="shared" si="27"/>
        <v>1</v>
      </c>
      <c r="G298" s="629">
        <v>335470</v>
      </c>
      <c r="H298" s="721" t="s">
        <v>346</v>
      </c>
      <c r="I298" s="828" t="s">
        <v>4443</v>
      </c>
      <c r="J298" s="249" t="s">
        <v>4444</v>
      </c>
      <c r="K298" s="260" t="s">
        <v>4445</v>
      </c>
      <c r="L298" s="247">
        <f t="shared" si="29"/>
        <v>2</v>
      </c>
      <c r="M298" s="121">
        <f>SUMIFS('Bilateral Assistance, MAIN DATA'!M:M,'Bilateral Assistance, MAIN DATA'!I:I,'Price List, Weapons &amp; Items'!B298)</f>
        <v>50</v>
      </c>
      <c r="N298" s="19">
        <f>COUNTIFS('Bilateral Assistance, MAIN DATA'!M:M,"undisclosed",'Bilateral Assistance, MAIN DATA'!I:I,'Price List, Weapons &amp; Items'!B298)</f>
        <v>0</v>
      </c>
      <c r="O298" s="723">
        <f t="shared" si="30"/>
        <v>16773500</v>
      </c>
      <c r="P298" s="19">
        <f>IFERROR(IF(SEARCH(B298,_xlfn.ARRAYTOTEXT('Bilateral Assistance, MAIN DATA'!I$1:I$1622))&gt;0,1,""),0)</f>
        <v>1</v>
      </c>
      <c r="Q298" s="19">
        <f>IFERROR(IF(SEARCH(B298,_xlfn.ARRAYTOTEXT('Commercial Assistance'!I$1:I$1400))&gt;0,1,""),0)</f>
        <v>0</v>
      </c>
      <c r="R298" s="247" t="str">
        <f>IF(SUMIFS('Bilateral Assistance, MAIN DATA'!N:N,'Bilateral Assistance, MAIN DATA'!I:I,'Price List, Weapons &amp; Items'!B298)&gt;M298,1,".")</f>
        <v>.</v>
      </c>
    </row>
    <row r="299" spans="2:18" ht="15" customHeight="1" x14ac:dyDescent="0.3">
      <c r="B299" s="175" t="s">
        <v>3235</v>
      </c>
      <c r="C299" s="113" t="s">
        <v>3945</v>
      </c>
      <c r="D299" s="246" t="s">
        <v>3235</v>
      </c>
      <c r="E299" s="199">
        <v>0</v>
      </c>
      <c r="F299" s="199">
        <f t="shared" si="27"/>
        <v>0</v>
      </c>
      <c r="G299" s="629">
        <v>1272482.2760025531</v>
      </c>
      <c r="H299" s="720" t="str">
        <f>IF(G299&lt;&gt;".","USD",".")</f>
        <v>USD</v>
      </c>
      <c r="I299" s="847" t="s">
        <v>3958</v>
      </c>
      <c r="J299" s="155" t="s">
        <v>3959</v>
      </c>
      <c r="K299" s="260" t="s">
        <v>4243</v>
      </c>
      <c r="L299" s="247">
        <f t="shared" si="29"/>
        <v>2</v>
      </c>
      <c r="M299" s="121">
        <f>SUMIFS('Bilateral Assistance, MAIN DATA'!M:M,'Bilateral Assistance, MAIN DATA'!I:I,'Price List, Weapons &amp; Items'!B299)</f>
        <v>56</v>
      </c>
      <c r="N299" s="19">
        <f>COUNTIFS('Bilateral Assistance, MAIN DATA'!M:M,"undisclosed",'Bilateral Assistance, MAIN DATA'!I:I,'Price List, Weapons &amp; Items'!B299)</f>
        <v>0</v>
      </c>
      <c r="O299" s="723">
        <f t="shared" si="30"/>
        <v>71259007.456142977</v>
      </c>
      <c r="P299" s="19">
        <f>IFERROR(IF(SEARCH(B299,_xlfn.ARRAYTOTEXT('Bilateral Assistance, MAIN DATA'!I$1:I$1622))&gt;0,1,""),0)</f>
        <v>1</v>
      </c>
      <c r="Q299" s="19">
        <f>IFERROR(IF(SEARCH(B299,_xlfn.ARRAYTOTEXT('Commercial Assistance'!I$1:I$1400))&gt;0,1,""),0)</f>
        <v>0</v>
      </c>
      <c r="R299" s="247" t="str">
        <f>IF(SUMIFS('Bilateral Assistance, MAIN DATA'!N:N,'Bilateral Assistance, MAIN DATA'!I:I,'Price List, Weapons &amp; Items'!B299)&gt;M299,1,".")</f>
        <v>.</v>
      </c>
    </row>
    <row r="300" spans="2:18" ht="15" customHeight="1" x14ac:dyDescent="0.3">
      <c r="B300" s="175" t="s">
        <v>3237</v>
      </c>
      <c r="C300" s="113" t="s">
        <v>3942</v>
      </c>
      <c r="D300" s="246" t="s">
        <v>4399</v>
      </c>
      <c r="E300" s="199">
        <v>0</v>
      </c>
      <c r="F300" s="199">
        <f t="shared" ref="F300:F331" si="31">IF(OR(D300="Armoured Personnel Carrier (APC)",D300="Armoured Recovery Vehicle (ARV)",D300="Armoured Utility Vehicle (AUV)",D300="152mm howitzer ammunition",D300="155mm howitzer ammunition",D300="300mm MLRS ammunition",D300="155mm howitzer",D300="227mm MLRS ammunition",D300="Infantry fighting vehicle (IFV)",D300="152mm howitzer",D300="227mm MLRS",D300="Main Battle Tank (MBT)",D300="Protected Patrol Vehicle (PPV)",D300="127mm MLRS",D300="122mm MLRS",D300="122mm MLRS ammunition",D300="122mm MLRS",D300="127mm MLRS",D300="127mm MLRS ammunition")=TRUE,1,0)</f>
        <v>0</v>
      </c>
      <c r="G300" s="629">
        <v>400</v>
      </c>
      <c r="H300" s="720" t="str">
        <f>IF(G300&lt;&gt;".","USD",".")</f>
        <v>USD</v>
      </c>
      <c r="I300" s="848" t="s">
        <v>4400</v>
      </c>
      <c r="J300" s="155" t="s">
        <v>3967</v>
      </c>
      <c r="K300" s="260" t="s">
        <v>4401</v>
      </c>
      <c r="L300" s="247">
        <f t="shared" si="29"/>
        <v>2</v>
      </c>
      <c r="M300" s="121">
        <f>SUMIFS('Bilateral Assistance, MAIN DATA'!M:M,'Bilateral Assistance, MAIN DATA'!I:I,'Price List, Weapons &amp; Items'!B300)</f>
        <v>203000</v>
      </c>
      <c r="N300" s="19">
        <f>COUNTIFS('Bilateral Assistance, MAIN DATA'!M:M,"undisclosed",'Bilateral Assistance, MAIN DATA'!I:I,'Price List, Weapons &amp; Items'!B300)</f>
        <v>0</v>
      </c>
      <c r="O300" s="723">
        <f t="shared" si="30"/>
        <v>81200000</v>
      </c>
      <c r="P300" s="19">
        <f>IFERROR(IF(SEARCH(B300,_xlfn.ARRAYTOTEXT('Bilateral Assistance, MAIN DATA'!I$1:I$1622))&gt;0,1,""),0)</f>
        <v>1</v>
      </c>
      <c r="Q300" s="19">
        <f>IFERROR(IF(SEARCH(B300,_xlfn.ARRAYTOTEXT('Commercial Assistance'!I$1:I$1400))&gt;0,1,""),0)</f>
        <v>0</v>
      </c>
      <c r="R300" s="247" t="str">
        <f>IF(SUMIFS('Bilateral Assistance, MAIN DATA'!N:N,'Bilateral Assistance, MAIN DATA'!I:I,'Price List, Weapons &amp; Items'!B300)&gt;M300,1,".")</f>
        <v>.</v>
      </c>
    </row>
    <row r="301" spans="2:18" ht="15" customHeight="1" x14ac:dyDescent="0.3">
      <c r="B301" s="19" t="s">
        <v>3239</v>
      </c>
      <c r="C301" s="113" t="s">
        <v>4446</v>
      </c>
      <c r="D301" s="246" t="s">
        <v>956</v>
      </c>
      <c r="E301" s="199">
        <v>0</v>
      </c>
      <c r="F301" s="199">
        <f t="shared" si="31"/>
        <v>0</v>
      </c>
      <c r="G301" s="629">
        <v>3200000</v>
      </c>
      <c r="H301" s="721" t="s">
        <v>346</v>
      </c>
      <c r="I301" s="844" t="s">
        <v>4447</v>
      </c>
      <c r="J301" s="249" t="s">
        <v>260</v>
      </c>
      <c r="K301" s="261" t="s">
        <v>4448</v>
      </c>
      <c r="L301" s="247">
        <f t="shared" si="29"/>
        <v>2</v>
      </c>
      <c r="M301" s="121">
        <f>SUMIFS('Bilateral Assistance, MAIN DATA'!M:M,'Bilateral Assistance, MAIN DATA'!I:I,'Price List, Weapons &amp; Items'!B301)</f>
        <v>15</v>
      </c>
      <c r="N301" s="19">
        <f>COUNTIFS('Bilateral Assistance, MAIN DATA'!M:M,"undisclosed",'Bilateral Assistance, MAIN DATA'!I:I,'Price List, Weapons &amp; Items'!B301)</f>
        <v>0</v>
      </c>
      <c r="O301" s="723">
        <f t="shared" si="30"/>
        <v>48000000</v>
      </c>
      <c r="P301" s="19">
        <f>IFERROR(IF(SEARCH(B301,_xlfn.ARRAYTOTEXT('Bilateral Assistance, MAIN DATA'!I$1:I$1622))&gt;0,1,""),0)</f>
        <v>1</v>
      </c>
      <c r="Q301" s="19">
        <f>IFERROR(IF(SEARCH(B301,_xlfn.ARRAYTOTEXT('Commercial Assistance'!I$1:I$1400))&gt;0,1,""),0)</f>
        <v>0</v>
      </c>
      <c r="R301" s="247" t="str">
        <f>IF(SUMIFS('Bilateral Assistance, MAIN DATA'!N:N,'Bilateral Assistance, MAIN DATA'!I:I,'Price List, Weapons &amp; Items'!B301)&gt;M301,1,".")</f>
        <v>.</v>
      </c>
    </row>
    <row r="302" spans="2:18" ht="15" customHeight="1" x14ac:dyDescent="0.3">
      <c r="B302" s="19" t="s">
        <v>3241</v>
      </c>
      <c r="C302" s="113" t="s">
        <v>4449</v>
      </c>
      <c r="D302" s="246" t="s">
        <v>4190</v>
      </c>
      <c r="E302" s="199">
        <v>0</v>
      </c>
      <c r="F302" s="199">
        <f t="shared" si="31"/>
        <v>0</v>
      </c>
      <c r="G302" s="629">
        <v>405530</v>
      </c>
      <c r="H302" s="721" t="s">
        <v>346</v>
      </c>
      <c r="I302" s="844" t="s">
        <v>4450</v>
      </c>
      <c r="J302" s="249" t="s">
        <v>4444</v>
      </c>
      <c r="K302" s="260" t="s">
        <v>4451</v>
      </c>
      <c r="L302" s="247">
        <f t="shared" si="29"/>
        <v>2</v>
      </c>
      <c r="M302" s="121">
        <f>SUMIFS('Bilateral Assistance, MAIN DATA'!M:M,'Bilateral Assistance, MAIN DATA'!I:I,'Price List, Weapons &amp; Items'!B302)</f>
        <v>332</v>
      </c>
      <c r="N302" s="19">
        <f>COUNTIFS('Bilateral Assistance, MAIN DATA'!M:M,"undisclosed",'Bilateral Assistance, MAIN DATA'!I:I,'Price List, Weapons &amp; Items'!B302)</f>
        <v>0</v>
      </c>
      <c r="O302" s="723">
        <f t="shared" si="30"/>
        <v>134635960</v>
      </c>
      <c r="P302" s="19">
        <f>IFERROR(IF(SEARCH(B302,_xlfn.ARRAYTOTEXT('Bilateral Assistance, MAIN DATA'!I$1:I$1622))&gt;0,1,""),0)</f>
        <v>1</v>
      </c>
      <c r="Q302" s="19">
        <f>IFERROR(IF(SEARCH(B302,_xlfn.ARRAYTOTEXT('Commercial Assistance'!I$1:I$1400))&gt;0,1,""),0)</f>
        <v>0</v>
      </c>
      <c r="R302" s="247" t="str">
        <f>IF(SUMIFS('Bilateral Assistance, MAIN DATA'!N:N,'Bilateral Assistance, MAIN DATA'!I:I,'Price List, Weapons &amp; Items'!B302)&gt;M302,1,".")</f>
        <v>.</v>
      </c>
    </row>
    <row r="303" spans="2:18" ht="15" customHeight="1" x14ac:dyDescent="0.3">
      <c r="B303" s="19" t="s">
        <v>4452</v>
      </c>
      <c r="C303" s="113" t="s">
        <v>4068</v>
      </c>
      <c r="D303" s="246" t="s">
        <v>4117</v>
      </c>
      <c r="E303" s="199">
        <v>0</v>
      </c>
      <c r="F303" s="199">
        <f t="shared" si="31"/>
        <v>0</v>
      </c>
      <c r="G303" s="629">
        <v>93647</v>
      </c>
      <c r="H303" s="720" t="str">
        <f t="shared" ref="H303:H309" si="32">IF(G303&lt;&gt;".","USD",".")</f>
        <v>USD</v>
      </c>
      <c r="I303" s="842" t="s">
        <v>4023</v>
      </c>
      <c r="J303" s="155" t="s">
        <v>3967</v>
      </c>
      <c r="K303" s="197" t="s">
        <v>4453</v>
      </c>
      <c r="L303" s="247">
        <f t="shared" si="29"/>
        <v>2</v>
      </c>
      <c r="M303" s="121">
        <f>SUMIFS('Bilateral Assistance, MAIN DATA'!M:M,'Bilateral Assistance, MAIN DATA'!I:I,'Price List, Weapons &amp; Items'!B303)</f>
        <v>1500</v>
      </c>
      <c r="N303" s="19">
        <f>COUNTIFS('Bilateral Assistance, MAIN DATA'!M:M,"undisclosed",'Bilateral Assistance, MAIN DATA'!I:I,'Price List, Weapons &amp; Items'!B303)</f>
        <v>0</v>
      </c>
      <c r="O303" s="723">
        <f t="shared" si="30"/>
        <v>140470500</v>
      </c>
      <c r="P303" s="19">
        <f>IFERROR(IF(SEARCH(B303,_xlfn.ARRAYTOTEXT('Bilateral Assistance, MAIN DATA'!I$1:I$1622))&gt;0,1,""),0)</f>
        <v>1</v>
      </c>
      <c r="Q303" s="19">
        <f>IFERROR(IF(SEARCH(B303,_xlfn.ARRAYTOTEXT('Commercial Assistance'!I$1:I$1400))&gt;0,1,""),0)</f>
        <v>0</v>
      </c>
      <c r="R303" s="247" t="str">
        <f>IF(SUMIFS('Bilateral Assistance, MAIN DATA'!N:N,'Bilateral Assistance, MAIN DATA'!I:I,'Price List, Weapons &amp; Items'!B303)&gt;M303,1,".")</f>
        <v>.</v>
      </c>
    </row>
    <row r="304" spans="2:18" ht="15" customHeight="1" x14ac:dyDescent="0.3">
      <c r="B304" s="19" t="s">
        <v>3248</v>
      </c>
      <c r="C304" s="113" t="s">
        <v>3987</v>
      </c>
      <c r="D304" s="246" t="s">
        <v>4064</v>
      </c>
      <c r="E304" s="199">
        <v>0</v>
      </c>
      <c r="F304" s="199">
        <f t="shared" si="31"/>
        <v>0</v>
      </c>
      <c r="G304" s="629">
        <v>246216</v>
      </c>
      <c r="H304" s="720" t="str">
        <f t="shared" si="32"/>
        <v>USD</v>
      </c>
      <c r="I304" s="842" t="s">
        <v>4023</v>
      </c>
      <c r="J304" s="155" t="s">
        <v>4008</v>
      </c>
      <c r="K304" s="197" t="s">
        <v>4454</v>
      </c>
      <c r="L304" s="247">
        <f t="shared" si="29"/>
        <v>2</v>
      </c>
      <c r="M304" s="121">
        <f>SUMIFS('Bilateral Assistance, MAIN DATA'!M:M,'Bilateral Assistance, MAIN DATA'!I:I,'Price List, Weapons &amp; Items'!B304)</f>
        <v>1000</v>
      </c>
      <c r="N304" s="19">
        <f>COUNTIFS('Bilateral Assistance, MAIN DATA'!M:M,"undisclosed",'Bilateral Assistance, MAIN DATA'!I:I,'Price List, Weapons &amp; Items'!B304)</f>
        <v>0</v>
      </c>
      <c r="O304" s="723">
        <f t="shared" si="30"/>
        <v>246216000</v>
      </c>
      <c r="P304" s="19">
        <f>IFERROR(IF(SEARCH(B304,_xlfn.ARRAYTOTEXT('Bilateral Assistance, MAIN DATA'!I$1:I$1622))&gt;0,1,""),0)</f>
        <v>1</v>
      </c>
      <c r="Q304" s="19">
        <f>IFERROR(IF(SEARCH(B304,_xlfn.ARRAYTOTEXT('Commercial Assistance'!I$1:I$1400))&gt;0,1,""),0)</f>
        <v>0</v>
      </c>
      <c r="R304" s="247" t="str">
        <f>IF(SUMIFS('Bilateral Assistance, MAIN DATA'!N:N,'Bilateral Assistance, MAIN DATA'!I:I,'Price List, Weapons &amp; Items'!B304)&gt;M304,1,".")</f>
        <v>.</v>
      </c>
    </row>
    <row r="305" spans="2:18" ht="15" customHeight="1" x14ac:dyDescent="0.3">
      <c r="B305" s="19" t="s">
        <v>3250</v>
      </c>
      <c r="C305" s="113" t="s">
        <v>4068</v>
      </c>
      <c r="D305" s="246" t="s">
        <v>4117</v>
      </c>
      <c r="E305" s="199">
        <v>0</v>
      </c>
      <c r="F305" s="199">
        <f t="shared" si="31"/>
        <v>0</v>
      </c>
      <c r="G305" s="629">
        <v>78000</v>
      </c>
      <c r="H305" s="720" t="str">
        <f t="shared" si="32"/>
        <v>USD</v>
      </c>
      <c r="I305" s="842" t="s">
        <v>4310</v>
      </c>
      <c r="J305" s="155" t="s">
        <v>3967</v>
      </c>
      <c r="K305" s="260" t="s">
        <v>4455</v>
      </c>
      <c r="L305" s="247">
        <f t="shared" si="29"/>
        <v>2</v>
      </c>
      <c r="M305" s="121">
        <f>SUMIFS('Bilateral Assistance, MAIN DATA'!M:M,'Bilateral Assistance, MAIN DATA'!I:I,'Price List, Weapons &amp; Items'!B305)</f>
        <v>2000</v>
      </c>
      <c r="N305" s="19">
        <f>COUNTIFS('Bilateral Assistance, MAIN DATA'!M:M,"undisclosed",'Bilateral Assistance, MAIN DATA'!I:I,'Price List, Weapons &amp; Items'!B305)</f>
        <v>0</v>
      </c>
      <c r="O305" s="723">
        <f t="shared" si="30"/>
        <v>156000000</v>
      </c>
      <c r="P305" s="19">
        <f>IFERROR(IF(SEARCH(B305,_xlfn.ARRAYTOTEXT('Bilateral Assistance, MAIN DATA'!I$1:I$1622))&gt;0,1,""),0)</f>
        <v>1</v>
      </c>
      <c r="Q305" s="19">
        <f>IFERROR(IF(SEARCH(B305,_xlfn.ARRAYTOTEXT('Commercial Assistance'!I$1:I$1400))&gt;0,1,""),0)</f>
        <v>0</v>
      </c>
      <c r="R305" s="247" t="str">
        <f>IF(SUMIFS('Bilateral Assistance, MAIN DATA'!N:N,'Bilateral Assistance, MAIN DATA'!I:I,'Price List, Weapons &amp; Items'!B305)&gt;M305,1,".")</f>
        <v>.</v>
      </c>
    </row>
    <row r="306" spans="2:18" ht="15" customHeight="1" x14ac:dyDescent="0.3">
      <c r="B306" s="185" t="s">
        <v>1366</v>
      </c>
      <c r="C306" s="113" t="s">
        <v>812</v>
      </c>
      <c r="D306" s="246" t="s">
        <v>4190</v>
      </c>
      <c r="E306" s="199">
        <v>0</v>
      </c>
      <c r="F306" s="199">
        <f t="shared" si="31"/>
        <v>0</v>
      </c>
      <c r="G306" s="629">
        <v>350000</v>
      </c>
      <c r="H306" s="720" t="str">
        <f t="shared" si="32"/>
        <v>USD</v>
      </c>
      <c r="I306" s="842" t="s">
        <v>4283</v>
      </c>
      <c r="J306" s="155" t="s">
        <v>3964</v>
      </c>
      <c r="K306" s="262" t="s">
        <v>4284</v>
      </c>
      <c r="L306" s="247">
        <f t="shared" si="29"/>
        <v>2</v>
      </c>
      <c r="M306" s="121">
        <f>SUMIFS('Bilateral Assistance, MAIN DATA'!M:M,'Bilateral Assistance, MAIN DATA'!I:I,'Price List, Weapons &amp; Items'!B306)</f>
        <v>90</v>
      </c>
      <c r="N306" s="19">
        <f>COUNTIFS('Bilateral Assistance, MAIN DATA'!M:M,"undisclosed",'Bilateral Assistance, MAIN DATA'!I:I,'Price List, Weapons &amp; Items'!B306)</f>
        <v>0</v>
      </c>
      <c r="O306" s="723">
        <f t="shared" si="30"/>
        <v>31500000</v>
      </c>
      <c r="P306" s="19">
        <f>IFERROR(IF(SEARCH(B306,_xlfn.ARRAYTOTEXT('Bilateral Assistance, MAIN DATA'!I$1:I$1622))&gt;0,1,""),0)</f>
        <v>1</v>
      </c>
      <c r="Q306" s="19">
        <f>IFERROR(IF(SEARCH(B306,_xlfn.ARRAYTOTEXT('Commercial Assistance'!I$1:I$1400))&gt;0,1,""),0)</f>
        <v>0</v>
      </c>
      <c r="R306" s="247" t="str">
        <f>IF(SUMIFS('Bilateral Assistance, MAIN DATA'!N:N,'Bilateral Assistance, MAIN DATA'!I:I,'Price List, Weapons &amp; Items'!B306)&gt;M306,1,".")</f>
        <v>.</v>
      </c>
    </row>
    <row r="307" spans="2:18" ht="15" customHeight="1" x14ac:dyDescent="0.3">
      <c r="B307" s="185" t="s">
        <v>1459</v>
      </c>
      <c r="C307" s="113" t="s">
        <v>812</v>
      </c>
      <c r="D307" s="246" t="s">
        <v>4190</v>
      </c>
      <c r="E307" s="199">
        <v>0</v>
      </c>
      <c r="F307" s="199">
        <f t="shared" si="31"/>
        <v>0</v>
      </c>
      <c r="G307" s="629">
        <v>350000</v>
      </c>
      <c r="H307" s="720" t="str">
        <f t="shared" si="32"/>
        <v>USD</v>
      </c>
      <c r="I307" s="842" t="s">
        <v>4283</v>
      </c>
      <c r="J307" s="155" t="s">
        <v>3964</v>
      </c>
      <c r="K307" s="262" t="s">
        <v>4284</v>
      </c>
      <c r="L307" s="247">
        <f t="shared" si="29"/>
        <v>2</v>
      </c>
      <c r="M307" s="121">
        <f>SUMIFS('Bilateral Assistance, MAIN DATA'!M:M,'Bilateral Assistance, MAIN DATA'!I:I,'Price List, Weapons &amp; Items'!B307)</f>
        <v>53</v>
      </c>
      <c r="N307" s="19">
        <f>COUNTIFS('Bilateral Assistance, MAIN DATA'!M:M,"undisclosed",'Bilateral Assistance, MAIN DATA'!I:I,'Price List, Weapons &amp; Items'!B307)</f>
        <v>0</v>
      </c>
      <c r="O307" s="723">
        <f t="shared" si="30"/>
        <v>18550000</v>
      </c>
      <c r="P307" s="19">
        <f>IFERROR(IF(SEARCH(B307,_xlfn.ARRAYTOTEXT('Bilateral Assistance, MAIN DATA'!I$1:I$1622))&gt;0,1,""),0)</f>
        <v>1</v>
      </c>
      <c r="Q307" s="19">
        <f>IFERROR(IF(SEARCH(B307,_xlfn.ARRAYTOTEXT('Commercial Assistance'!I$1:I$1400))&gt;0,1,""),0)</f>
        <v>0</v>
      </c>
      <c r="R307" s="247" t="str">
        <f>IF(SUMIFS('Bilateral Assistance, MAIN DATA'!N:N,'Bilateral Assistance, MAIN DATA'!I:I,'Price List, Weapons &amp; Items'!B307)&gt;M307,1,".")</f>
        <v>.</v>
      </c>
    </row>
    <row r="308" spans="2:18" ht="15" customHeight="1" x14ac:dyDescent="0.3">
      <c r="B308" s="175" t="s">
        <v>1154</v>
      </c>
      <c r="C308" s="113" t="s">
        <v>812</v>
      </c>
      <c r="D308" s="246" t="s">
        <v>4190</v>
      </c>
      <c r="E308" s="199">
        <v>0</v>
      </c>
      <c r="F308" s="199">
        <f t="shared" si="31"/>
        <v>0</v>
      </c>
      <c r="G308" s="629">
        <v>350000</v>
      </c>
      <c r="H308" s="720" t="str">
        <f t="shared" si="32"/>
        <v>USD</v>
      </c>
      <c r="I308" s="842" t="s">
        <v>4283</v>
      </c>
      <c r="J308" s="155" t="s">
        <v>3964</v>
      </c>
      <c r="K308" s="262" t="s">
        <v>4284</v>
      </c>
      <c r="L308" s="247">
        <f t="shared" si="29"/>
        <v>2</v>
      </c>
      <c r="M308" s="121">
        <f>SUMIFS('Bilateral Assistance, MAIN DATA'!M:M,'Bilateral Assistance, MAIN DATA'!I:I,'Price List, Weapons &amp; Items'!B308)</f>
        <v>254</v>
      </c>
      <c r="N308" s="19">
        <f>COUNTIFS('Bilateral Assistance, MAIN DATA'!M:M,"undisclosed",'Bilateral Assistance, MAIN DATA'!I:I,'Price List, Weapons &amp; Items'!B308)</f>
        <v>0</v>
      </c>
      <c r="O308" s="723">
        <f t="shared" si="30"/>
        <v>88900000</v>
      </c>
      <c r="P308" s="19">
        <f>IFERROR(IF(SEARCH(B308,_xlfn.ARRAYTOTEXT('Bilateral Assistance, MAIN DATA'!I$1:I$1622))&gt;0,1,""),0)</f>
        <v>1</v>
      </c>
      <c r="Q308" s="19">
        <f>IFERROR(IF(SEARCH(B308,_xlfn.ARRAYTOTEXT('Commercial Assistance'!I$1:I$1400))&gt;0,1,""),0)</f>
        <v>0</v>
      </c>
      <c r="R308" s="247" t="str">
        <f>IF(SUMIFS('Bilateral Assistance, MAIN DATA'!N:N,'Bilateral Assistance, MAIN DATA'!I:I,'Price List, Weapons &amp; Items'!B308)&gt;M308,1,".")</f>
        <v>.</v>
      </c>
    </row>
    <row r="309" spans="2:18" ht="15" customHeight="1" x14ac:dyDescent="0.3">
      <c r="B309" s="19" t="s">
        <v>3287</v>
      </c>
      <c r="C309" s="113" t="s">
        <v>812</v>
      </c>
      <c r="D309" s="113" t="s">
        <v>812</v>
      </c>
      <c r="E309" s="199">
        <v>0</v>
      </c>
      <c r="F309" s="199">
        <f t="shared" si="31"/>
        <v>0</v>
      </c>
      <c r="G309" s="629">
        <f>50000000*'Exchange Rates'!C13</f>
        <v>52500000</v>
      </c>
      <c r="H309" s="720" t="str">
        <f t="shared" si="32"/>
        <v>USD</v>
      </c>
      <c r="I309" s="303" t="s">
        <v>4456</v>
      </c>
      <c r="J309" s="155" t="s">
        <v>3967</v>
      </c>
      <c r="K309" s="263" t="s">
        <v>4457</v>
      </c>
      <c r="L309" s="247">
        <f t="shared" si="29"/>
        <v>2</v>
      </c>
      <c r="M309" s="121">
        <f>SUMIFS('Bilateral Assistance, MAIN DATA'!M:M,'Bilateral Assistance, MAIN DATA'!I:I,'Price List, Weapons &amp; Items'!B309)</f>
        <v>28</v>
      </c>
      <c r="N309" s="19">
        <f>COUNTIFS('Bilateral Assistance, MAIN DATA'!M:M,"undisclosed",'Bilateral Assistance, MAIN DATA'!I:I,'Price List, Weapons &amp; Items'!B309)</f>
        <v>0</v>
      </c>
      <c r="O309" s="723">
        <f t="shared" si="30"/>
        <v>1470000000</v>
      </c>
      <c r="P309" s="19">
        <f>IFERROR(IF(SEARCH(B309,_xlfn.ARRAYTOTEXT('Bilateral Assistance, MAIN DATA'!I$1:I$1622))&gt;0,1,""),0)</f>
        <v>1</v>
      </c>
      <c r="Q309" s="19">
        <f>IFERROR(IF(SEARCH(B309,_xlfn.ARRAYTOTEXT('Commercial Assistance'!I$1:I$1400))&gt;0,1,""),0)</f>
        <v>0</v>
      </c>
      <c r="R309" s="247" t="str">
        <f>IF(SUMIFS('Bilateral Assistance, MAIN DATA'!N:N,'Bilateral Assistance, MAIN DATA'!I:I,'Price List, Weapons &amp; Items'!B309)&gt;M309,1,".")</f>
        <v>.</v>
      </c>
    </row>
    <row r="310" spans="2:18" ht="15" customHeight="1" x14ac:dyDescent="0.3">
      <c r="B310" s="19" t="s">
        <v>3363</v>
      </c>
      <c r="C310" s="113" t="s">
        <v>812</v>
      </c>
      <c r="D310" s="113" t="s">
        <v>812</v>
      </c>
      <c r="E310" s="199">
        <v>0</v>
      </c>
      <c r="F310" s="199">
        <f t="shared" si="31"/>
        <v>0</v>
      </c>
      <c r="G310" s="629">
        <v>15625000</v>
      </c>
      <c r="H310" s="721" t="s">
        <v>346</v>
      </c>
      <c r="I310" s="828" t="s">
        <v>4458</v>
      </c>
      <c r="J310" s="249" t="s">
        <v>4444</v>
      </c>
      <c r="K310" s="264" t="s">
        <v>4459</v>
      </c>
      <c r="L310" s="247">
        <f t="shared" si="29"/>
        <v>2</v>
      </c>
      <c r="M310" s="121">
        <f>SUMIFS('Bilateral Assistance, MAIN DATA'!M:M,'Bilateral Assistance, MAIN DATA'!I:I,'Price List, Weapons &amp; Items'!B310)</f>
        <v>20</v>
      </c>
      <c r="N310" s="19">
        <f>COUNTIFS('Bilateral Assistance, MAIN DATA'!M:M,"undisclosed",'Bilateral Assistance, MAIN DATA'!I:I,'Price List, Weapons &amp; Items'!B310)</f>
        <v>0</v>
      </c>
      <c r="O310" s="723">
        <f t="shared" si="30"/>
        <v>312500000</v>
      </c>
      <c r="P310" s="19">
        <f>IFERROR(IF(SEARCH(B310,_xlfn.ARRAYTOTEXT('Bilateral Assistance, MAIN DATA'!I$1:I$1622))&gt;0,1,""),0)</f>
        <v>1</v>
      </c>
      <c r="Q310" s="19">
        <f>IFERROR(IF(SEARCH(B310,_xlfn.ARRAYTOTEXT('Commercial Assistance'!I$1:I$1400))&gt;0,1,""),0)</f>
        <v>0</v>
      </c>
      <c r="R310" s="247" t="str">
        <f>IF(SUMIFS('Bilateral Assistance, MAIN DATA'!N:N,'Bilateral Assistance, MAIN DATA'!I:I,'Price List, Weapons &amp; Items'!B310)&gt;M310,1,".")</f>
        <v>.</v>
      </c>
    </row>
    <row r="311" spans="2:18" ht="15" customHeight="1" x14ac:dyDescent="0.3">
      <c r="B311" s="175" t="s">
        <v>3376</v>
      </c>
      <c r="C311" s="113" t="s">
        <v>3942</v>
      </c>
      <c r="D311" s="246" t="s">
        <v>2946</v>
      </c>
      <c r="E311" s="199">
        <v>0</v>
      </c>
      <c r="F311" s="199">
        <f t="shared" si="31"/>
        <v>0</v>
      </c>
      <c r="G311" s="629">
        <v>112800</v>
      </c>
      <c r="H311" s="721" t="s">
        <v>346</v>
      </c>
      <c r="I311" s="821" t="s">
        <v>4460</v>
      </c>
      <c r="J311" s="249" t="s">
        <v>3975</v>
      </c>
      <c r="K311" s="155" t="s">
        <v>4461</v>
      </c>
      <c r="L311" s="247">
        <f t="shared" si="29"/>
        <v>2</v>
      </c>
      <c r="M311" s="121">
        <f>SUMIFS('Bilateral Assistance, MAIN DATA'!M:M,'Bilateral Assistance, MAIN DATA'!I:I,'Price List, Weapons &amp; Items'!B311)</f>
        <v>2700</v>
      </c>
      <c r="N311" s="19">
        <f>COUNTIFS('Bilateral Assistance, MAIN DATA'!M:M,"undisclosed",'Bilateral Assistance, MAIN DATA'!I:I,'Price List, Weapons &amp; Items'!B311)</f>
        <v>1</v>
      </c>
      <c r="O311" s="723">
        <f t="shared" si="30"/>
        <v>304560000</v>
      </c>
      <c r="P311" s="19">
        <f>IFERROR(IF(SEARCH(B311,_xlfn.ARRAYTOTEXT('Bilateral Assistance, MAIN DATA'!I$1:I$1622))&gt;0,1,""),0)</f>
        <v>1</v>
      </c>
      <c r="Q311" s="19">
        <f>IFERROR(IF(SEARCH(B311,_xlfn.ARRAYTOTEXT('Commercial Assistance'!I$1:I$1400))&gt;0,1,""),0)</f>
        <v>0</v>
      </c>
      <c r="R311" s="247" t="str">
        <f>IF(SUMIFS('Bilateral Assistance, MAIN DATA'!N:N,'Bilateral Assistance, MAIN DATA'!I:I,'Price List, Weapons &amp; Items'!B311)&gt;M311,1,".")</f>
        <v>.</v>
      </c>
    </row>
    <row r="312" spans="2:18" ht="15" customHeight="1" x14ac:dyDescent="0.3">
      <c r="B312" s="175" t="s">
        <v>2610</v>
      </c>
      <c r="C312" s="113" t="s">
        <v>3945</v>
      </c>
      <c r="D312" s="246" t="s">
        <v>4462</v>
      </c>
      <c r="E312" s="199">
        <v>1</v>
      </c>
      <c r="F312" s="199">
        <f t="shared" si="31"/>
        <v>1</v>
      </c>
      <c r="G312" s="629">
        <f>820000*1.181</f>
        <v>968420</v>
      </c>
      <c r="H312" s="721" t="s">
        <v>346</v>
      </c>
      <c r="I312" s="849" t="s">
        <v>4463</v>
      </c>
      <c r="J312" s="155" t="s">
        <v>3964</v>
      </c>
      <c r="K312" s="175" t="s">
        <v>4464</v>
      </c>
      <c r="L312" s="247">
        <f t="shared" si="29"/>
        <v>2</v>
      </c>
      <c r="M312" s="121">
        <f>SUMIFS('Bilateral Assistance, MAIN DATA'!M:M,'Bilateral Assistance, MAIN DATA'!I:I,'Price List, Weapons &amp; Items'!B312)</f>
        <v>28</v>
      </c>
      <c r="N312" s="19">
        <f>COUNTIFS('Bilateral Assistance, MAIN DATA'!M:M,"undisclosed",'Bilateral Assistance, MAIN DATA'!I:I,'Price List, Weapons &amp; Items'!B312)</f>
        <v>0</v>
      </c>
      <c r="O312" s="723">
        <f t="shared" si="30"/>
        <v>27115760</v>
      </c>
      <c r="P312" s="19">
        <f>IFERROR(IF(SEARCH(B312,_xlfn.ARRAYTOTEXT('Bilateral Assistance, MAIN DATA'!I$1:I$1622))&gt;0,1,""),0)</f>
        <v>1</v>
      </c>
      <c r="Q312" s="19">
        <f>IFERROR(IF(SEARCH(B312,_xlfn.ARRAYTOTEXT('Commercial Assistance'!I$1:I$1400))&gt;0,1,""),0)</f>
        <v>0</v>
      </c>
      <c r="R312" s="247" t="str">
        <f>IF(SUMIFS('Bilateral Assistance, MAIN DATA'!N:N,'Bilateral Assistance, MAIN DATA'!I:I,'Price List, Weapons &amp; Items'!B312)&gt;M312,1,".")</f>
        <v>.</v>
      </c>
    </row>
    <row r="313" spans="2:18" ht="15" customHeight="1" x14ac:dyDescent="0.3">
      <c r="B313" s="17" t="s">
        <v>816</v>
      </c>
      <c r="C313" s="113" t="s">
        <v>3945</v>
      </c>
      <c r="D313" s="246" t="s">
        <v>3962</v>
      </c>
      <c r="E313" s="199">
        <v>1</v>
      </c>
      <c r="F313" s="199">
        <f t="shared" si="31"/>
        <v>1</v>
      </c>
      <c r="G313" s="629">
        <v>500000</v>
      </c>
      <c r="H313" s="721" t="s">
        <v>346</v>
      </c>
      <c r="I313" s="850" t="s">
        <v>4465</v>
      </c>
      <c r="J313" s="249" t="s">
        <v>260</v>
      </c>
      <c r="K313" s="175" t="s">
        <v>260</v>
      </c>
      <c r="L313" s="247">
        <f t="shared" si="29"/>
        <v>2</v>
      </c>
      <c r="M313" s="121">
        <f>SUMIFS('Bilateral Assistance, MAIN DATA'!M:M,'Bilateral Assistance, MAIN DATA'!I:I,'Price List, Weapons &amp; Items'!B313)</f>
        <v>90</v>
      </c>
      <c r="N313" s="19">
        <f>COUNTIFS('Bilateral Assistance, MAIN DATA'!M:M,"undisclosed",'Bilateral Assistance, MAIN DATA'!I:I,'Price List, Weapons &amp; Items'!B313)</f>
        <v>0</v>
      </c>
      <c r="O313" s="723">
        <f t="shared" si="30"/>
        <v>45000000</v>
      </c>
      <c r="P313" s="19">
        <f>IFERROR(IF(SEARCH(B313,_xlfn.ARRAYTOTEXT('Bilateral Assistance, MAIN DATA'!I$1:I$1622))&gt;0,1,""),0)</f>
        <v>1</v>
      </c>
      <c r="Q313" s="19">
        <f>IFERROR(IF(SEARCH(B313,_xlfn.ARRAYTOTEXT('Commercial Assistance'!I$1:I$1400))&gt;0,1,""),0)</f>
        <v>0</v>
      </c>
      <c r="R313" s="247" t="str">
        <f>IF(SUMIFS('Bilateral Assistance, MAIN DATA'!N:N,'Bilateral Assistance, MAIN DATA'!I:I,'Price List, Weapons &amp; Items'!B313)&gt;M313,1,".")</f>
        <v>.</v>
      </c>
    </row>
    <row r="314" spans="2:18" ht="15" customHeight="1" x14ac:dyDescent="0.3">
      <c r="B314" s="17" t="s">
        <v>1271</v>
      </c>
      <c r="C314" s="113" t="s">
        <v>285</v>
      </c>
      <c r="D314" s="246" t="s">
        <v>3651</v>
      </c>
      <c r="E314" s="199">
        <v>0</v>
      </c>
      <c r="F314" s="199">
        <f t="shared" si="31"/>
        <v>0</v>
      </c>
      <c r="G314" s="629">
        <v>10335642.57</v>
      </c>
      <c r="H314" s="721" t="s">
        <v>346</v>
      </c>
      <c r="I314" s="826" t="s">
        <v>3958</v>
      </c>
      <c r="J314" s="249" t="s">
        <v>260</v>
      </c>
      <c r="K314" s="155" t="s">
        <v>4466</v>
      </c>
      <c r="L314" s="247">
        <f t="shared" si="29"/>
        <v>2</v>
      </c>
      <c r="M314" s="121">
        <f>SUMIFS('Bilateral Assistance, MAIN DATA'!M:M,'Bilateral Assistance, MAIN DATA'!I:I,'Price List, Weapons &amp; Items'!B314)</f>
        <v>2</v>
      </c>
      <c r="N314" s="19">
        <f>COUNTIFS('Bilateral Assistance, MAIN DATA'!M:M,"undisclosed",'Bilateral Assistance, MAIN DATA'!I:I,'Price List, Weapons &amp; Items'!B314)</f>
        <v>0</v>
      </c>
      <c r="O314" s="723">
        <f t="shared" si="30"/>
        <v>20671285.140000001</v>
      </c>
      <c r="P314" s="19">
        <f>IFERROR(IF(SEARCH(B314,_xlfn.ARRAYTOTEXT('Bilateral Assistance, MAIN DATA'!I$1:I$1622))&gt;0,1,""),0)</f>
        <v>1</v>
      </c>
      <c r="Q314" s="19">
        <f>IFERROR(IF(SEARCH(B314,_xlfn.ARRAYTOTEXT('Commercial Assistance'!I$1:I$1400))&gt;0,1,""),0)</f>
        <v>0</v>
      </c>
      <c r="R314" s="247" t="str">
        <f>IF(SUMIFS('Bilateral Assistance, MAIN DATA'!N:N,'Bilateral Assistance, MAIN DATA'!I:I,'Price List, Weapons &amp; Items'!B314)&gt;M314,1,".")</f>
        <v>.</v>
      </c>
    </row>
    <row r="315" spans="2:18" ht="15" customHeight="1" x14ac:dyDescent="0.3">
      <c r="B315" s="185" t="s">
        <v>2129</v>
      </c>
      <c r="C315" s="113" t="s">
        <v>3945</v>
      </c>
      <c r="D315" s="246" t="s">
        <v>3946</v>
      </c>
      <c r="E315" s="199">
        <v>0</v>
      </c>
      <c r="F315" s="199">
        <f t="shared" si="31"/>
        <v>0</v>
      </c>
      <c r="G315" s="629">
        <f>90000000/90</f>
        <v>1000000</v>
      </c>
      <c r="H315" s="721" t="s">
        <v>346</v>
      </c>
      <c r="I315" s="828" t="s">
        <v>817</v>
      </c>
      <c r="J315" s="249" t="s">
        <v>4008</v>
      </c>
      <c r="K315" s="175" t="s">
        <v>4467</v>
      </c>
      <c r="L315" s="247">
        <f t="shared" si="29"/>
        <v>2</v>
      </c>
      <c r="M315" s="121">
        <f>SUMIFS('Bilateral Assistance, MAIN DATA'!M:M,'Bilateral Assistance, MAIN DATA'!I:I,'Price List, Weapons &amp; Items'!B315)</f>
        <v>45</v>
      </c>
      <c r="N315" s="19">
        <f>COUNTIFS('Bilateral Assistance, MAIN DATA'!M:M,"undisclosed",'Bilateral Assistance, MAIN DATA'!I:I,'Price List, Weapons &amp; Items'!B315)</f>
        <v>0</v>
      </c>
      <c r="O315" s="723">
        <f t="shared" si="30"/>
        <v>45000000</v>
      </c>
      <c r="P315" s="19">
        <f>IFERROR(IF(SEARCH(B315,_xlfn.ARRAYTOTEXT('Bilateral Assistance, MAIN DATA'!I$1:I$1622))&gt;0,1,""),0)</f>
        <v>1</v>
      </c>
      <c r="Q315" s="19">
        <f>IFERROR(IF(SEARCH(B315,_xlfn.ARRAYTOTEXT('Commercial Assistance'!I$1:I$1400))&gt;0,1,""),0)</f>
        <v>0</v>
      </c>
      <c r="R315" s="247" t="str">
        <f>IF(SUMIFS('Bilateral Assistance, MAIN DATA'!N:N,'Bilateral Assistance, MAIN DATA'!I:I,'Price List, Weapons &amp; Items'!B315)&gt;M315,1,".")</f>
        <v>.</v>
      </c>
    </row>
    <row r="316" spans="2:18" ht="15" customHeight="1" x14ac:dyDescent="0.3">
      <c r="B316" s="175" t="s">
        <v>2696</v>
      </c>
      <c r="C316" s="113" t="s">
        <v>3945</v>
      </c>
      <c r="D316" s="246" t="s">
        <v>4198</v>
      </c>
      <c r="E316" s="199">
        <v>0</v>
      </c>
      <c r="F316" s="199">
        <f t="shared" si="31"/>
        <v>0</v>
      </c>
      <c r="G316" s="630">
        <v>325604.28293370258</v>
      </c>
      <c r="H316" s="721" t="s">
        <v>346</v>
      </c>
      <c r="I316" s="304" t="s">
        <v>3958</v>
      </c>
      <c r="J316" s="155" t="s">
        <v>3959</v>
      </c>
      <c r="K316" s="175" t="s">
        <v>4033</v>
      </c>
      <c r="L316" s="247">
        <f t="shared" si="29"/>
        <v>2</v>
      </c>
      <c r="M316" s="121">
        <f>SUMIFS('Bilateral Assistance, MAIN DATA'!M:M,'Bilateral Assistance, MAIN DATA'!I:I,'Price List, Weapons &amp; Items'!B316)</f>
        <v>6</v>
      </c>
      <c r="N316" s="19">
        <f>COUNTIFS('Bilateral Assistance, MAIN DATA'!M:M,"undisclosed",'Bilateral Assistance, MAIN DATA'!I:I,'Price List, Weapons &amp; Items'!B316)</f>
        <v>0</v>
      </c>
      <c r="O316" s="723">
        <f t="shared" si="30"/>
        <v>1953625.6976022155</v>
      </c>
      <c r="P316" s="19">
        <f>IFERROR(IF(SEARCH(B316,_xlfn.ARRAYTOTEXT('Bilateral Assistance, MAIN DATA'!I$1:I$1622))&gt;0,1,""),0)</f>
        <v>1</v>
      </c>
      <c r="Q316" s="19">
        <f>IFERROR(IF(SEARCH(B316,_xlfn.ARRAYTOTEXT('Commercial Assistance'!I$1:I$1400))&gt;0,1,""),0)</f>
        <v>0</v>
      </c>
      <c r="R316" s="247" t="str">
        <f>IF(SUMIFS('Bilateral Assistance, MAIN DATA'!N:N,'Bilateral Assistance, MAIN DATA'!I:I,'Price List, Weapons &amp; Items'!B316)&gt;M316,1,".")</f>
        <v>.</v>
      </c>
    </row>
    <row r="317" spans="2:18" ht="15" customHeight="1" x14ac:dyDescent="0.3">
      <c r="B317" s="175" t="s">
        <v>2706</v>
      </c>
      <c r="C317" s="113" t="s">
        <v>3945</v>
      </c>
      <c r="D317" s="246" t="s">
        <v>3235</v>
      </c>
      <c r="E317" s="199">
        <v>0</v>
      </c>
      <c r="F317" s="199">
        <f t="shared" si="31"/>
        <v>0</v>
      </c>
      <c r="G317" s="629">
        <v>1380129.0260143129</v>
      </c>
      <c r="H317" s="721" t="s">
        <v>346</v>
      </c>
      <c r="I317" s="818" t="s">
        <v>260</v>
      </c>
      <c r="J317" s="249" t="s">
        <v>260</v>
      </c>
      <c r="K317" s="175" t="s">
        <v>4468</v>
      </c>
      <c r="L317" s="247">
        <f t="shared" si="29"/>
        <v>2</v>
      </c>
      <c r="M317" s="121">
        <f>SUMIFS('Bilateral Assistance, MAIN DATA'!M:M,'Bilateral Assistance, MAIN DATA'!I:I,'Price List, Weapons &amp; Items'!B317)</f>
        <v>6</v>
      </c>
      <c r="N317" s="19">
        <f>COUNTIFS('Bilateral Assistance, MAIN DATA'!M:M,"undisclosed",'Bilateral Assistance, MAIN DATA'!I:I,'Price List, Weapons &amp; Items'!B317)</f>
        <v>0</v>
      </c>
      <c r="O317" s="723">
        <f t="shared" si="30"/>
        <v>8280774.1560858767</v>
      </c>
      <c r="P317" s="19">
        <f>IFERROR(IF(SEARCH(B317,_xlfn.ARRAYTOTEXT('Bilateral Assistance, MAIN DATA'!I$1:I$1622))&gt;0,1,""),0)</f>
        <v>1</v>
      </c>
      <c r="Q317" s="19">
        <f>IFERROR(IF(SEARCH(B317,_xlfn.ARRAYTOTEXT('Commercial Assistance'!I$1:I$1400))&gt;0,1,""),0)</f>
        <v>0</v>
      </c>
      <c r="R317" s="247" t="str">
        <f>IF(SUMIFS('Bilateral Assistance, MAIN DATA'!N:N,'Bilateral Assistance, MAIN DATA'!I:I,'Price List, Weapons &amp; Items'!B317)&gt;M317,1,".")</f>
        <v>.</v>
      </c>
    </row>
    <row r="318" spans="2:18" ht="15" customHeight="1" x14ac:dyDescent="0.3">
      <c r="B318" s="17" t="s">
        <v>2934</v>
      </c>
      <c r="C318" s="113" t="s">
        <v>3945</v>
      </c>
      <c r="D318" s="246" t="s">
        <v>4046</v>
      </c>
      <c r="E318" s="199">
        <v>0</v>
      </c>
      <c r="F318" s="199">
        <f t="shared" si="31"/>
        <v>1</v>
      </c>
      <c r="G318" s="629">
        <f>5500000/50</f>
        <v>110000</v>
      </c>
      <c r="H318" s="721" t="s">
        <v>346</v>
      </c>
      <c r="I318" s="851" t="s">
        <v>4469</v>
      </c>
      <c r="J318" s="155" t="s">
        <v>3959</v>
      </c>
      <c r="K318" s="175" t="s">
        <v>4470</v>
      </c>
      <c r="L318" s="247">
        <f t="shared" si="29"/>
        <v>2</v>
      </c>
      <c r="M318" s="121">
        <f>SUMIFS('Bilateral Assistance, MAIN DATA'!M:M,'Bilateral Assistance, MAIN DATA'!I:I,'Price List, Weapons &amp; Items'!B318)</f>
        <v>35</v>
      </c>
      <c r="N318" s="19">
        <f>COUNTIFS('Bilateral Assistance, MAIN DATA'!M:M,"undisclosed",'Bilateral Assistance, MAIN DATA'!I:I,'Price List, Weapons &amp; Items'!B318)</f>
        <v>0</v>
      </c>
      <c r="O318" s="723">
        <f t="shared" si="30"/>
        <v>3850000</v>
      </c>
      <c r="P318" s="19">
        <f>IFERROR(IF(SEARCH(B318,_xlfn.ARRAYTOTEXT('Bilateral Assistance, MAIN DATA'!I$1:I$1622))&gt;0,1,""),0)</f>
        <v>1</v>
      </c>
      <c r="Q318" s="19">
        <f>IFERROR(IF(SEARCH(B318,_xlfn.ARRAYTOTEXT('Commercial Assistance'!I$1:I$1400))&gt;0,1,""),0)</f>
        <v>0</v>
      </c>
      <c r="R318" s="247" t="str">
        <f>IF(SUMIFS('Bilateral Assistance, MAIN DATA'!N:N,'Bilateral Assistance, MAIN DATA'!I:I,'Price List, Weapons &amp; Items'!B318)&gt;M318,1,".")</f>
        <v>.</v>
      </c>
    </row>
    <row r="319" spans="2:18" ht="15" customHeight="1" x14ac:dyDescent="0.3">
      <c r="B319" s="175" t="s">
        <v>646</v>
      </c>
      <c r="C319" s="113" t="s">
        <v>812</v>
      </c>
      <c r="D319" s="113" t="s">
        <v>812</v>
      </c>
      <c r="E319" s="199">
        <v>0</v>
      </c>
      <c r="F319" s="199">
        <f t="shared" si="31"/>
        <v>0</v>
      </c>
      <c r="G319" s="629">
        <f>(15000000/400000)/1.29</f>
        <v>29.069767441860463</v>
      </c>
      <c r="H319" s="721" t="s">
        <v>346</v>
      </c>
      <c r="I319" s="828" t="s">
        <v>645</v>
      </c>
      <c r="J319" s="249" t="s">
        <v>4008</v>
      </c>
      <c r="K319" s="175" t="s">
        <v>4471</v>
      </c>
      <c r="L319" s="247">
        <f t="shared" si="29"/>
        <v>2</v>
      </c>
      <c r="M319" s="121">
        <f>SUMIFS('Bilateral Assistance, MAIN DATA'!M:M,'Bilateral Assistance, MAIN DATA'!I:I,'Price List, Weapons &amp; Items'!B319)</f>
        <v>500000</v>
      </c>
      <c r="N319" s="19">
        <f>COUNTIFS('Bilateral Assistance, MAIN DATA'!M:M,"undisclosed",'Bilateral Assistance, MAIN DATA'!I:I,'Price List, Weapons &amp; Items'!B319)</f>
        <v>0</v>
      </c>
      <c r="O319" s="723">
        <f t="shared" si="30"/>
        <v>14534883.720930232</v>
      </c>
      <c r="P319" s="19">
        <f>IFERROR(IF(SEARCH(B319,_xlfn.ARRAYTOTEXT('Bilateral Assistance, MAIN DATA'!I$1:I$1622))&gt;0,1,""),0)</f>
        <v>1</v>
      </c>
      <c r="Q319" s="19">
        <f>IFERROR(IF(SEARCH(B319,_xlfn.ARRAYTOTEXT('Commercial Assistance'!I$1:I$1400))&gt;0,1,""),0)</f>
        <v>0</v>
      </c>
      <c r="R319" s="247" t="str">
        <f>IF(SUMIFS('Bilateral Assistance, MAIN DATA'!N:N,'Bilateral Assistance, MAIN DATA'!I:I,'Price List, Weapons &amp; Items'!B319)&gt;M319,1,".")</f>
        <v>.</v>
      </c>
    </row>
    <row r="320" spans="2:18" ht="15" customHeight="1" x14ac:dyDescent="0.3">
      <c r="B320" s="17" t="s">
        <v>3384</v>
      </c>
      <c r="C320" s="113" t="s">
        <v>3945</v>
      </c>
      <c r="D320" s="246" t="s">
        <v>4003</v>
      </c>
      <c r="E320" s="199">
        <v>0</v>
      </c>
      <c r="F320" s="199">
        <f t="shared" si="31"/>
        <v>0</v>
      </c>
      <c r="G320" s="629">
        <v>1866185.221792896</v>
      </c>
      <c r="H320" s="721" t="s">
        <v>346</v>
      </c>
      <c r="I320" s="304" t="s">
        <v>3958</v>
      </c>
      <c r="J320" s="249" t="s">
        <v>3959</v>
      </c>
      <c r="K320" s="175" t="s">
        <v>4033</v>
      </c>
      <c r="L320" s="247">
        <f t="shared" si="29"/>
        <v>2</v>
      </c>
      <c r="M320" s="121">
        <f>SUMIFS('Bilateral Assistance, MAIN DATA'!M:M,'Bilateral Assistance, MAIN DATA'!I:I,'Price List, Weapons &amp; Items'!B320)</f>
        <v>4</v>
      </c>
      <c r="N320" s="19">
        <f>COUNTIFS('Bilateral Assistance, MAIN DATA'!M:M,"undisclosed",'Bilateral Assistance, MAIN DATA'!I:I,'Price List, Weapons &amp; Items'!B320)</f>
        <v>0</v>
      </c>
      <c r="O320" s="723">
        <f t="shared" si="30"/>
        <v>7464740.8871715842</v>
      </c>
      <c r="P320" s="19">
        <f>IFERROR(IF(SEARCH(B320,_xlfn.ARRAYTOTEXT('Bilateral Assistance, MAIN DATA'!I$1:I$1622))&gt;0,1,""),0)</f>
        <v>1</v>
      </c>
      <c r="Q320" s="19">
        <f>IFERROR(IF(SEARCH(B320,_xlfn.ARRAYTOTEXT('Commercial Assistance'!I$1:I$1400))&gt;0,1,""),0)</f>
        <v>0</v>
      </c>
      <c r="R320" s="247" t="str">
        <f>IF(SUMIFS('Bilateral Assistance, MAIN DATA'!N:N,'Bilateral Assistance, MAIN DATA'!I:I,'Price List, Weapons &amp; Items'!B320)&gt;M320,1,".")</f>
        <v>.</v>
      </c>
    </row>
    <row r="321" spans="2:18" ht="15" customHeight="1" x14ac:dyDescent="0.3">
      <c r="B321" s="17" t="s">
        <v>3377</v>
      </c>
      <c r="C321" s="113" t="s">
        <v>3942</v>
      </c>
      <c r="D321" s="246" t="s">
        <v>3943</v>
      </c>
      <c r="E321" s="199">
        <v>0</v>
      </c>
      <c r="F321" s="199">
        <f t="shared" si="31"/>
        <v>1</v>
      </c>
      <c r="G321" s="629">
        <v>98000</v>
      </c>
      <c r="H321" s="721" t="s">
        <v>346</v>
      </c>
      <c r="I321" s="305" t="s">
        <v>4166</v>
      </c>
      <c r="J321" s="249" t="s">
        <v>4008</v>
      </c>
      <c r="K321" s="175" t="s">
        <v>4167</v>
      </c>
      <c r="L321" s="247">
        <f t="shared" si="29"/>
        <v>2</v>
      </c>
      <c r="M321" s="121">
        <f>SUMIFS('Bilateral Assistance, MAIN DATA'!M:M,'Bilateral Assistance, MAIN DATA'!I:I,'Price List, Weapons &amp; Items'!B321)</f>
        <v>8200</v>
      </c>
      <c r="N321" s="19">
        <f>COUNTIFS('Bilateral Assistance, MAIN DATA'!M:M,"undisclosed",'Bilateral Assistance, MAIN DATA'!I:I,'Price List, Weapons &amp; Items'!B321)</f>
        <v>0</v>
      </c>
      <c r="O321" s="723">
        <f t="shared" si="30"/>
        <v>803600000</v>
      </c>
      <c r="P321" s="19">
        <f>IFERROR(IF(SEARCH(B321,_xlfn.ARRAYTOTEXT('Bilateral Assistance, MAIN DATA'!I$1:I$1622))&gt;0,1,""),0)</f>
        <v>1</v>
      </c>
      <c r="Q321" s="19">
        <f>IFERROR(IF(SEARCH(B321,_xlfn.ARRAYTOTEXT('Commercial Assistance'!I$1:I$1400))&gt;0,1,""),0)</f>
        <v>0</v>
      </c>
      <c r="R321" s="247" t="str">
        <f>IF(SUMIFS('Bilateral Assistance, MAIN DATA'!N:N,'Bilateral Assistance, MAIN DATA'!I:I,'Price List, Weapons &amp; Items'!B321)&gt;M321,1,".")</f>
        <v>.</v>
      </c>
    </row>
    <row r="322" spans="2:18" ht="15" customHeight="1" x14ac:dyDescent="0.3">
      <c r="B322" s="175" t="s">
        <v>1503</v>
      </c>
      <c r="C322" s="113" t="s">
        <v>812</v>
      </c>
      <c r="D322" s="246" t="s">
        <v>900</v>
      </c>
      <c r="E322" s="199">
        <v>0</v>
      </c>
      <c r="F322" s="199">
        <f t="shared" si="31"/>
        <v>0</v>
      </c>
      <c r="G322" s="629">
        <v>1300</v>
      </c>
      <c r="H322" s="721" t="s">
        <v>346</v>
      </c>
      <c r="I322" s="828" t="s">
        <v>4472</v>
      </c>
      <c r="J322" s="249" t="s">
        <v>4473</v>
      </c>
      <c r="K322" s="175" t="s">
        <v>260</v>
      </c>
      <c r="L322" s="247">
        <f t="shared" si="29"/>
        <v>2</v>
      </c>
      <c r="M322" s="121">
        <f>SUMIFS('Bilateral Assistance, MAIN DATA'!M:M,'Bilateral Assistance, MAIN DATA'!I:I,'Price List, Weapons &amp; Items'!B322)</f>
        <v>14900</v>
      </c>
      <c r="N322" s="19">
        <f>COUNTIFS('Bilateral Assistance, MAIN DATA'!M:M,"undisclosed",'Bilateral Assistance, MAIN DATA'!I:I,'Price List, Weapons &amp; Items'!B322)</f>
        <v>0</v>
      </c>
      <c r="O322" s="723">
        <f t="shared" si="30"/>
        <v>19370000</v>
      </c>
      <c r="P322" s="19">
        <f>IFERROR(IF(SEARCH(B322,_xlfn.ARRAYTOTEXT('Bilateral Assistance, MAIN DATA'!I$1:I$1622))&gt;0,1,""),0)</f>
        <v>1</v>
      </c>
      <c r="Q322" s="19">
        <f>IFERROR(IF(SEARCH(B322,_xlfn.ARRAYTOTEXT('Commercial Assistance'!I$1:I$1400))&gt;0,1,""),0)</f>
        <v>0</v>
      </c>
      <c r="R322" s="247" t="str">
        <f>IF(SUMIFS('Bilateral Assistance, MAIN DATA'!N:N,'Bilateral Assistance, MAIN DATA'!I:I,'Price List, Weapons &amp; Items'!B322)&gt;M322,1,".")</f>
        <v>.</v>
      </c>
    </row>
    <row r="323" spans="2:18" ht="15" customHeight="1" x14ac:dyDescent="0.3">
      <c r="B323" s="188" t="s">
        <v>1436</v>
      </c>
      <c r="C323" s="113" t="s">
        <v>3945</v>
      </c>
      <c r="D323" s="246" t="s">
        <v>4006</v>
      </c>
      <c r="E323" s="199">
        <v>0</v>
      </c>
      <c r="F323" s="199">
        <f t="shared" si="31"/>
        <v>0</v>
      </c>
      <c r="G323" s="629">
        <v>2548204.5789999999</v>
      </c>
      <c r="H323" s="720" t="str">
        <f>IF(G323&lt;&gt;".","USD",".")</f>
        <v>USD</v>
      </c>
      <c r="I323" s="828" t="s">
        <v>4007</v>
      </c>
      <c r="J323" s="155" t="s">
        <v>4008</v>
      </c>
      <c r="K323" s="175" t="s">
        <v>4474</v>
      </c>
      <c r="L323" s="247">
        <f t="shared" si="29"/>
        <v>2</v>
      </c>
      <c r="M323" s="121">
        <f>SUMIFS('Bilateral Assistance, MAIN DATA'!M:M,'Bilateral Assistance, MAIN DATA'!I:I,'Price List, Weapons &amp; Items'!B323)</f>
        <v>10</v>
      </c>
      <c r="N323" s="19">
        <f>COUNTIFS('Bilateral Assistance, MAIN DATA'!M:M,"undisclosed",'Bilateral Assistance, MAIN DATA'!I:I,'Price List, Weapons &amp; Items'!B323)</f>
        <v>0</v>
      </c>
      <c r="O323" s="723">
        <f t="shared" si="30"/>
        <v>25482045.789999999</v>
      </c>
      <c r="P323" s="19">
        <f>IFERROR(IF(SEARCH(B323,_xlfn.ARRAYTOTEXT('Bilateral Assistance, MAIN DATA'!I$1:I$1622))&gt;0,1,""),0)</f>
        <v>1</v>
      </c>
      <c r="Q323" s="19">
        <f>IFERROR(IF(SEARCH(B323,_xlfn.ARRAYTOTEXT('Commercial Assistance'!I$1:I$1400))&gt;0,1,""),0)</f>
        <v>0</v>
      </c>
      <c r="R323" s="247" t="str">
        <f>IF(SUMIFS('Bilateral Assistance, MAIN DATA'!N:N,'Bilateral Assistance, MAIN DATA'!I:I,'Price List, Weapons &amp; Items'!B323)&gt;M323,1,".")</f>
        <v>.</v>
      </c>
    </row>
    <row r="324" spans="2:18" ht="15" customHeight="1" x14ac:dyDescent="0.3">
      <c r="B324" s="185" t="s">
        <v>1364</v>
      </c>
      <c r="C324" s="113" t="s">
        <v>4034</v>
      </c>
      <c r="D324" s="113" t="s">
        <v>812</v>
      </c>
      <c r="E324" s="199">
        <v>0</v>
      </c>
      <c r="F324" s="199">
        <f t="shared" si="31"/>
        <v>0</v>
      </c>
      <c r="G324" s="629">
        <v>2268127</v>
      </c>
      <c r="H324" s="721" t="s">
        <v>346</v>
      </c>
      <c r="I324" s="828" t="s">
        <v>4475</v>
      </c>
      <c r="J324" s="249" t="s">
        <v>3964</v>
      </c>
      <c r="K324" s="175" t="s">
        <v>4476</v>
      </c>
      <c r="L324" s="247">
        <f t="shared" si="29"/>
        <v>2</v>
      </c>
      <c r="M324" s="121">
        <f>SUMIFS('Bilateral Assistance, MAIN DATA'!M:M,'Bilateral Assistance, MAIN DATA'!I:I,'Price List, Weapons &amp; Items'!B324)</f>
        <v>20</v>
      </c>
      <c r="N324" s="19">
        <f>COUNTIFS('Bilateral Assistance, MAIN DATA'!M:M,"undisclosed",'Bilateral Assistance, MAIN DATA'!I:I,'Price List, Weapons &amp; Items'!B324)</f>
        <v>0</v>
      </c>
      <c r="O324" s="723">
        <f t="shared" si="30"/>
        <v>45362540</v>
      </c>
      <c r="P324" s="19">
        <f>IFERROR(IF(SEARCH(B324,_xlfn.ARRAYTOTEXT('Bilateral Assistance, MAIN DATA'!I$1:I$1622))&gt;0,1,""),0)</f>
        <v>1</v>
      </c>
      <c r="Q324" s="19">
        <f>IFERROR(IF(SEARCH(B324,_xlfn.ARRAYTOTEXT('Commercial Assistance'!I$1:I$1400))&gt;0,1,""),0)</f>
        <v>0</v>
      </c>
      <c r="R324" s="247" t="str">
        <f>IF(SUMIFS('Bilateral Assistance, MAIN DATA'!N:N,'Bilateral Assistance, MAIN DATA'!I:I,'Price List, Weapons &amp; Items'!B324)&gt;M324,1,".")</f>
        <v>.</v>
      </c>
    </row>
    <row r="325" spans="2:18" ht="15" customHeight="1" x14ac:dyDescent="0.3">
      <c r="B325" s="185" t="s">
        <v>1567</v>
      </c>
      <c r="C325" s="113" t="s">
        <v>4034</v>
      </c>
      <c r="D325" s="246" t="s">
        <v>4040</v>
      </c>
      <c r="E325" s="199">
        <v>0</v>
      </c>
      <c r="F325" s="199">
        <f t="shared" si="31"/>
        <v>1</v>
      </c>
      <c r="G325" s="629">
        <v>1240159</v>
      </c>
      <c r="H325" s="721" t="s">
        <v>346</v>
      </c>
      <c r="I325" s="828" t="s">
        <v>4477</v>
      </c>
      <c r="J325" s="249" t="s">
        <v>4008</v>
      </c>
      <c r="K325" s="175" t="s">
        <v>4478</v>
      </c>
      <c r="L325" s="247">
        <f t="shared" si="29"/>
        <v>2</v>
      </c>
      <c r="M325" s="121">
        <f>SUMIFS('Bilateral Assistance, MAIN DATA'!M:M,'Bilateral Assistance, MAIN DATA'!I:I,'Price List, Weapons &amp; Items'!B325)</f>
        <v>5</v>
      </c>
      <c r="N325" s="19">
        <f>COUNTIFS('Bilateral Assistance, MAIN DATA'!M:M,"undisclosed",'Bilateral Assistance, MAIN DATA'!I:I,'Price List, Weapons &amp; Items'!B325)</f>
        <v>0</v>
      </c>
      <c r="O325" s="723">
        <f t="shared" si="30"/>
        <v>6200795</v>
      </c>
      <c r="P325" s="19">
        <f>IFERROR(IF(SEARCH(B325,_xlfn.ARRAYTOTEXT('Bilateral Assistance, MAIN DATA'!I$1:I$1622))&gt;0,1,""),0)</f>
        <v>1</v>
      </c>
      <c r="Q325" s="19">
        <f>IFERROR(IF(SEARCH(B325,_xlfn.ARRAYTOTEXT('Commercial Assistance'!I$1:I$1400))&gt;0,1,""),0)</f>
        <v>0</v>
      </c>
      <c r="R325" s="247" t="str">
        <f>IF(SUMIFS('Bilateral Assistance, MAIN DATA'!N:N,'Bilateral Assistance, MAIN DATA'!I:I,'Price List, Weapons &amp; Items'!B325)&gt;M325,1,".")</f>
        <v>.</v>
      </c>
    </row>
    <row r="326" spans="2:18" ht="15" customHeight="1" x14ac:dyDescent="0.3">
      <c r="B326" s="185" t="s">
        <v>692</v>
      </c>
      <c r="C326" s="113" t="s">
        <v>4034</v>
      </c>
      <c r="D326" s="246" t="s">
        <v>4258</v>
      </c>
      <c r="E326" s="199">
        <v>0</v>
      </c>
      <c r="F326" s="199">
        <f t="shared" si="31"/>
        <v>1</v>
      </c>
      <c r="G326" s="629">
        <v>405530</v>
      </c>
      <c r="H326" s="721" t="s">
        <v>346</v>
      </c>
      <c r="I326" s="828" t="s">
        <v>4450</v>
      </c>
      <c r="J326" s="249" t="s">
        <v>4444</v>
      </c>
      <c r="K326" s="175" t="s">
        <v>4479</v>
      </c>
      <c r="L326" s="247">
        <f t="shared" si="29"/>
        <v>2</v>
      </c>
      <c r="M326" s="121">
        <f>SUMIFS('Bilateral Assistance, MAIN DATA'!M:M,'Bilateral Assistance, MAIN DATA'!I:I,'Price List, Weapons &amp; Items'!B326)</f>
        <v>10</v>
      </c>
      <c r="N326" s="19">
        <f>COUNTIFS('Bilateral Assistance, MAIN DATA'!M:M,"undisclosed",'Bilateral Assistance, MAIN DATA'!I:I,'Price List, Weapons &amp; Items'!B326)</f>
        <v>1</v>
      </c>
      <c r="O326" s="723">
        <f t="shared" si="30"/>
        <v>4055300</v>
      </c>
      <c r="P326" s="19">
        <f>IFERROR(IF(SEARCH(B326,_xlfn.ARRAYTOTEXT('Bilateral Assistance, MAIN DATA'!I$1:I$1622))&gt;0,1,""),0)</f>
        <v>1</v>
      </c>
      <c r="Q326" s="19">
        <f>IFERROR(IF(SEARCH(B326,_xlfn.ARRAYTOTEXT('Commercial Assistance'!I$1:I$1400))&gt;0,1,""),0)</f>
        <v>0</v>
      </c>
      <c r="R326" s="247" t="str">
        <f>IF(SUMIFS('Bilateral Assistance, MAIN DATA'!N:N,'Bilateral Assistance, MAIN DATA'!I:I,'Price List, Weapons &amp; Items'!B326)&gt;M326,1,".")</f>
        <v>.</v>
      </c>
    </row>
    <row r="327" spans="2:18" ht="15" customHeight="1" x14ac:dyDescent="0.3">
      <c r="B327" s="175" t="s">
        <v>1390</v>
      </c>
      <c r="C327" s="113" t="s">
        <v>4034</v>
      </c>
      <c r="D327" s="246" t="s">
        <v>4258</v>
      </c>
      <c r="E327" s="199">
        <v>0</v>
      </c>
      <c r="F327" s="199">
        <f t="shared" si="31"/>
        <v>1</v>
      </c>
      <c r="G327" s="629">
        <v>405530</v>
      </c>
      <c r="H327" s="721" t="s">
        <v>346</v>
      </c>
      <c r="I327" s="828" t="s">
        <v>4450</v>
      </c>
      <c r="J327" s="249" t="s">
        <v>4444</v>
      </c>
      <c r="K327" s="254" t="s">
        <v>4479</v>
      </c>
      <c r="L327" s="247">
        <f t="shared" si="29"/>
        <v>2</v>
      </c>
      <c r="M327" s="121">
        <f>SUMIFS('Bilateral Assistance, MAIN DATA'!M:M,'Bilateral Assistance, MAIN DATA'!I:I,'Price List, Weapons &amp; Items'!B327)</f>
        <v>80</v>
      </c>
      <c r="N327" s="19">
        <f>COUNTIFS('Bilateral Assistance, MAIN DATA'!M:M,"undisclosed",'Bilateral Assistance, MAIN DATA'!I:I,'Price List, Weapons &amp; Items'!B327)</f>
        <v>0</v>
      </c>
      <c r="O327" s="723">
        <f t="shared" si="30"/>
        <v>32442400</v>
      </c>
      <c r="P327" s="19">
        <f>IFERROR(IF(SEARCH(B327,_xlfn.ARRAYTOTEXT('Bilateral Assistance, MAIN DATA'!I$1:I$1622))&gt;0,1,""),0)</f>
        <v>1</v>
      </c>
      <c r="Q327" s="19">
        <f>IFERROR(IF(SEARCH(B327,_xlfn.ARRAYTOTEXT('Commercial Assistance'!I$1:I$1400))&gt;0,1,""),0)</f>
        <v>0</v>
      </c>
      <c r="R327" s="247" t="str">
        <f>IF(SUMIFS('Bilateral Assistance, MAIN DATA'!N:N,'Bilateral Assistance, MAIN DATA'!I:I,'Price List, Weapons &amp; Items'!B327)&gt;M327,1,".")</f>
        <v>.</v>
      </c>
    </row>
    <row r="328" spans="2:18" ht="15" customHeight="1" x14ac:dyDescent="0.3">
      <c r="B328" s="175" t="s">
        <v>1263</v>
      </c>
      <c r="C328" s="17" t="s">
        <v>3945</v>
      </c>
      <c r="D328" s="246" t="s">
        <v>4046</v>
      </c>
      <c r="E328" s="199">
        <v>0</v>
      </c>
      <c r="F328" s="199">
        <f t="shared" si="31"/>
        <v>1</v>
      </c>
      <c r="G328" s="629">
        <v>1206834.1100000001</v>
      </c>
      <c r="H328" s="721" t="s">
        <v>346</v>
      </c>
      <c r="I328" s="852" t="s">
        <v>3958</v>
      </c>
      <c r="J328" s="252" t="s">
        <v>3959</v>
      </c>
      <c r="K328" s="265" t="s">
        <v>4480</v>
      </c>
      <c r="L328" s="247">
        <f t="shared" si="29"/>
        <v>2</v>
      </c>
      <c r="M328" s="121">
        <f>SUMIFS('Bilateral Assistance, MAIN DATA'!M:M,'Bilateral Assistance, MAIN DATA'!I:I,'Price List, Weapons &amp; Items'!B328)</f>
        <v>60</v>
      </c>
      <c r="N328" s="19">
        <f>COUNTIFS('Bilateral Assistance, MAIN DATA'!M:M,"undisclosed",'Bilateral Assistance, MAIN DATA'!I:I,'Price List, Weapons &amp; Items'!B328)</f>
        <v>0</v>
      </c>
      <c r="O328" s="723">
        <f t="shared" si="30"/>
        <v>72410046.600000009</v>
      </c>
      <c r="P328" s="19">
        <f>IFERROR(IF(SEARCH(B328,_xlfn.ARRAYTOTEXT('Bilateral Assistance, MAIN DATA'!I$1:I$1622))&gt;0,1,""),0)</f>
        <v>1</v>
      </c>
      <c r="Q328" s="19">
        <f>IFERROR(IF(SEARCH(B328,_xlfn.ARRAYTOTEXT('Commercial Assistance'!I$1:I$1400))&gt;0,1,""),0)</f>
        <v>0</v>
      </c>
      <c r="R328" s="247" t="str">
        <f>IF(SUMIFS('Bilateral Assistance, MAIN DATA'!N:N,'Bilateral Assistance, MAIN DATA'!I:I,'Price List, Weapons &amp; Items'!B328)&gt;M328,1,".")</f>
        <v>.</v>
      </c>
    </row>
    <row r="329" spans="2:18" ht="15" customHeight="1" x14ac:dyDescent="0.3">
      <c r="B329" s="175" t="s">
        <v>453</v>
      </c>
      <c r="C329" s="441" t="s">
        <v>812</v>
      </c>
      <c r="D329" s="113" t="s">
        <v>812</v>
      </c>
      <c r="E329" s="199">
        <v>0</v>
      </c>
      <c r="F329" s="199">
        <f t="shared" si="31"/>
        <v>0</v>
      </c>
      <c r="G329" s="629">
        <f>AVERAGE(89.4,29.07)</f>
        <v>59.234999999999999</v>
      </c>
      <c r="H329" s="721" t="s">
        <v>346</v>
      </c>
      <c r="I329" s="818" t="s">
        <v>260</v>
      </c>
      <c r="J329" s="249" t="s">
        <v>4008</v>
      </c>
      <c r="K329" s="175" t="s">
        <v>4481</v>
      </c>
      <c r="L329" s="247">
        <f t="shared" si="29"/>
        <v>2</v>
      </c>
      <c r="M329" s="121">
        <f>SUMIFS('Bilateral Assistance, MAIN DATA'!M:M,'Bilateral Assistance, MAIN DATA'!I:I,'Price List, Weapons &amp; Items'!B329)</f>
        <v>82000</v>
      </c>
      <c r="N329" s="19">
        <f>COUNTIFS('Bilateral Assistance, MAIN DATA'!M:M,"undisclosed",'Bilateral Assistance, MAIN DATA'!I:I,'Price List, Weapons &amp; Items'!B329)</f>
        <v>7</v>
      </c>
      <c r="O329" s="723">
        <f t="shared" si="30"/>
        <v>4857270</v>
      </c>
      <c r="P329" s="19">
        <f>IFERROR(IF(SEARCH(B329,_xlfn.ARRAYTOTEXT('Bilateral Assistance, MAIN DATA'!I$1:I$1622))&gt;0,1,""),0)</f>
        <v>1</v>
      </c>
      <c r="Q329" s="19">
        <f>IFERROR(IF(SEARCH(B329,_xlfn.ARRAYTOTEXT('Commercial Assistance'!I$1:I$1400))&gt;0,1,""),0)</f>
        <v>0</v>
      </c>
      <c r="R329" s="247" t="str">
        <f>IF(SUMIFS('Bilateral Assistance, MAIN DATA'!N:N,'Bilateral Assistance, MAIN DATA'!I:I,'Price List, Weapons &amp; Items'!B329)&gt;M329,1,".")</f>
        <v>.</v>
      </c>
    </row>
    <row r="330" spans="2:18" ht="15" customHeight="1" x14ac:dyDescent="0.3">
      <c r="B330" s="175" t="s">
        <v>959</v>
      </c>
      <c r="C330" s="442" t="s">
        <v>812</v>
      </c>
      <c r="D330" s="246" t="s">
        <v>3957</v>
      </c>
      <c r="E330" s="199">
        <v>0</v>
      </c>
      <c r="F330" s="199">
        <f t="shared" si="31"/>
        <v>1</v>
      </c>
      <c r="G330" s="629">
        <v>94462</v>
      </c>
      <c r="H330" s="720" t="str">
        <f t="shared" ref="H330:H338" si="33">IF(G330&lt;&gt;".","USD",".")</f>
        <v>USD</v>
      </c>
      <c r="I330" s="828" t="s">
        <v>4482</v>
      </c>
      <c r="J330" s="155" t="s">
        <v>3967</v>
      </c>
      <c r="K330" s="175" t="s">
        <v>4483</v>
      </c>
      <c r="L330" s="247">
        <f t="shared" si="29"/>
        <v>1</v>
      </c>
      <c r="M330" s="121">
        <f>SUMIFS('Bilateral Assistance, MAIN DATA'!M:M,'Bilateral Assistance, MAIN DATA'!I:I,'Price List, Weapons &amp; Items'!B330)</f>
        <v>7</v>
      </c>
      <c r="N330" s="19">
        <f>COUNTIFS('Bilateral Assistance, MAIN DATA'!M:M,"undisclosed",'Bilateral Assistance, MAIN DATA'!I:I,'Price List, Weapons &amp; Items'!B330)</f>
        <v>0</v>
      </c>
      <c r="O330" s="723">
        <f t="shared" si="30"/>
        <v>661234</v>
      </c>
      <c r="P330" s="19">
        <f>IFERROR(IF(SEARCH(B330,_xlfn.ARRAYTOTEXT('Bilateral Assistance, MAIN DATA'!I$1:I$1622))&gt;0,1,""),0)</f>
        <v>1</v>
      </c>
      <c r="Q330" s="19">
        <f>IFERROR(IF(SEARCH(B330,_xlfn.ARRAYTOTEXT('Commercial Assistance'!I$1:I$1400))&gt;0,1,""),0)</f>
        <v>0</v>
      </c>
      <c r="R330" s="247" t="str">
        <f>IF(SUMIFS('Bilateral Assistance, MAIN DATA'!N:N,'Bilateral Assistance, MAIN DATA'!I:I,'Price List, Weapons &amp; Items'!B330)&gt;M330,1,".")</f>
        <v>.</v>
      </c>
    </row>
    <row r="331" spans="2:18" ht="15" customHeight="1" x14ac:dyDescent="0.3">
      <c r="B331" s="175" t="s">
        <v>4484</v>
      </c>
      <c r="C331" s="442" t="s">
        <v>3987</v>
      </c>
      <c r="D331" s="246" t="s">
        <v>4064</v>
      </c>
      <c r="E331" s="199">
        <v>0</v>
      </c>
      <c r="F331" s="199">
        <f t="shared" si="31"/>
        <v>0</v>
      </c>
      <c r="G331" s="629">
        <v>40000</v>
      </c>
      <c r="H331" s="720" t="str">
        <f t="shared" si="33"/>
        <v>USD</v>
      </c>
      <c r="I331" s="300" t="s">
        <v>4325</v>
      </c>
      <c r="J331" s="155" t="s">
        <v>3964</v>
      </c>
      <c r="K331" s="175" t="s">
        <v>4326</v>
      </c>
      <c r="L331" s="247">
        <f t="shared" si="29"/>
        <v>2</v>
      </c>
      <c r="M331" s="121">
        <f>SUMIFS('Bilateral Assistance, MAIN DATA'!M:M,'Bilateral Assistance, MAIN DATA'!I:I,'Price List, Weapons &amp; Items'!B331)</f>
        <v>5032</v>
      </c>
      <c r="N331" s="19">
        <f>COUNTIFS('Bilateral Assistance, MAIN DATA'!M:M,"undisclosed",'Bilateral Assistance, MAIN DATA'!I:I,'Price List, Weapons &amp; Items'!B331)</f>
        <v>0</v>
      </c>
      <c r="O331" s="723">
        <f t="shared" si="30"/>
        <v>201280000</v>
      </c>
      <c r="P331" s="19">
        <f>IFERROR(IF(SEARCH(B331,_xlfn.ARRAYTOTEXT('Bilateral Assistance, MAIN DATA'!I$1:I$1622))&gt;0,1,""),0)</f>
        <v>1</v>
      </c>
      <c r="Q331" s="19">
        <f>IFERROR(IF(SEARCH(B331,_xlfn.ARRAYTOTEXT('Commercial Assistance'!I$1:I$1400))&gt;0,1,""),0)</f>
        <v>0</v>
      </c>
      <c r="R331" s="247" t="str">
        <f>IF(SUMIFS('Bilateral Assistance, MAIN DATA'!N:N,'Bilateral Assistance, MAIN DATA'!I:I,'Price List, Weapons &amp; Items'!B331)&gt;M331,1,".")</f>
        <v>.</v>
      </c>
    </row>
    <row r="332" spans="2:18" ht="15" customHeight="1" x14ac:dyDescent="0.3">
      <c r="B332" s="185" t="s">
        <v>1510</v>
      </c>
      <c r="C332" s="442" t="s">
        <v>3987</v>
      </c>
      <c r="D332" s="246" t="s">
        <v>4064</v>
      </c>
      <c r="E332" s="199">
        <v>0</v>
      </c>
      <c r="F332" s="199">
        <f t="shared" ref="F332:F363" si="34">IF(OR(D332="Armoured Personnel Carrier (APC)",D332="Armoured Recovery Vehicle (ARV)",D332="Armoured Utility Vehicle (AUV)",D332="152mm howitzer ammunition",D332="155mm howitzer ammunition",D332="300mm MLRS ammunition",D332="155mm howitzer",D332="227mm MLRS ammunition",D332="Infantry fighting vehicle (IFV)",D332="152mm howitzer",D332="227mm MLRS",D332="Main Battle Tank (MBT)",D332="Protected Patrol Vehicle (PPV)",D332="127mm MLRS",D332="122mm MLRS",D332="122mm MLRS ammunition",D332="122mm MLRS",D332="127mm MLRS",D332="127mm MLRS ammunition")=TRUE,1,0)</f>
        <v>0</v>
      </c>
      <c r="G332" s="629">
        <v>11108</v>
      </c>
      <c r="H332" s="720" t="str">
        <f t="shared" si="33"/>
        <v>USD</v>
      </c>
      <c r="I332" s="300" t="s">
        <v>4337</v>
      </c>
      <c r="J332" s="155" t="s">
        <v>3967</v>
      </c>
      <c r="K332" s="266" t="s">
        <v>4338</v>
      </c>
      <c r="L332" s="247">
        <f t="shared" ref="L332:L395" si="35">IF(C332="Humanitarian",0,IF(M332&gt;0,IF(TYPE(O332)=1,IF(O332&gt;MEDIAN(O:O),2,1),0),"no price, 0 count"))</f>
        <v>1</v>
      </c>
      <c r="M332" s="121">
        <f>SUMIFS('Bilateral Assistance, MAIN DATA'!M:M,'Bilateral Assistance, MAIN DATA'!I:I,'Price List, Weapons &amp; Items'!B332)</f>
        <v>50</v>
      </c>
      <c r="N332" s="19">
        <f>COUNTIFS('Bilateral Assistance, MAIN DATA'!M:M,"undisclosed",'Bilateral Assistance, MAIN DATA'!I:I,'Price List, Weapons &amp; Items'!B332)</f>
        <v>0</v>
      </c>
      <c r="O332" s="723">
        <f t="shared" ref="O332:O395" si="36">IFERROR(M332*G332,"no price")</f>
        <v>555400</v>
      </c>
      <c r="P332" s="19">
        <f>IFERROR(IF(SEARCH(B332,_xlfn.ARRAYTOTEXT('Bilateral Assistance, MAIN DATA'!I$1:I$1622))&gt;0,1,""),0)</f>
        <v>1</v>
      </c>
      <c r="Q332" s="19">
        <f>IFERROR(IF(SEARCH(B332,_xlfn.ARRAYTOTEXT('Commercial Assistance'!I$1:I$1400))&gt;0,1,""),0)</f>
        <v>0</v>
      </c>
      <c r="R332" s="247" t="str">
        <f>IF(SUMIFS('Bilateral Assistance, MAIN DATA'!N:N,'Bilateral Assistance, MAIN DATA'!I:I,'Price List, Weapons &amp; Items'!B332)&gt;M332,1,".")</f>
        <v>.</v>
      </c>
    </row>
    <row r="333" spans="2:18" ht="15" customHeight="1" x14ac:dyDescent="0.3">
      <c r="B333" s="175" t="s">
        <v>3080</v>
      </c>
      <c r="C333" s="442" t="s">
        <v>3954</v>
      </c>
      <c r="D333" s="246" t="s">
        <v>956</v>
      </c>
      <c r="E333" s="199">
        <v>0</v>
      </c>
      <c r="F333" s="199">
        <f t="shared" si="34"/>
        <v>0</v>
      </c>
      <c r="G333" s="629">
        <v>6000</v>
      </c>
      <c r="H333" s="720" t="str">
        <f t="shared" si="33"/>
        <v>USD</v>
      </c>
      <c r="I333" s="300" t="s">
        <v>4345</v>
      </c>
      <c r="J333" s="155" t="s">
        <v>3975</v>
      </c>
      <c r="K333" s="175" t="s">
        <v>4346</v>
      </c>
      <c r="L333" s="247">
        <f t="shared" si="35"/>
        <v>1</v>
      </c>
      <c r="M333" s="121">
        <f>SUMIFS('Bilateral Assistance, MAIN DATA'!M:M,'Bilateral Assistance, MAIN DATA'!I:I,'Price List, Weapons &amp; Items'!B333)</f>
        <v>100</v>
      </c>
      <c r="N333" s="19">
        <f>COUNTIFS('Bilateral Assistance, MAIN DATA'!M:M,"undisclosed",'Bilateral Assistance, MAIN DATA'!I:I,'Price List, Weapons &amp; Items'!B333)</f>
        <v>0</v>
      </c>
      <c r="O333" s="723">
        <f t="shared" si="36"/>
        <v>600000</v>
      </c>
      <c r="P333" s="19">
        <f>IFERROR(IF(SEARCH(B333,_xlfn.ARRAYTOTEXT('Bilateral Assistance, MAIN DATA'!I$1:I$1622))&gt;0,1,""),0)</f>
        <v>1</v>
      </c>
      <c r="Q333" s="19">
        <f>IFERROR(IF(SEARCH(B333,_xlfn.ARRAYTOTEXT('Commercial Assistance'!I$1:I$1400))&gt;0,1,""),0)</f>
        <v>0</v>
      </c>
      <c r="R333" s="247" t="str">
        <f>IF(SUMIFS('Bilateral Assistance, MAIN DATA'!N:N,'Bilateral Assistance, MAIN DATA'!I:I,'Price List, Weapons &amp; Items'!B333)&gt;M333,1,".")</f>
        <v>.</v>
      </c>
    </row>
    <row r="334" spans="2:18" ht="15" customHeight="1" x14ac:dyDescent="0.3">
      <c r="B334" s="175" t="s">
        <v>4485</v>
      </c>
      <c r="C334" s="442" t="s">
        <v>3939</v>
      </c>
      <c r="D334" s="246" t="s">
        <v>3973</v>
      </c>
      <c r="E334" s="199">
        <v>0</v>
      </c>
      <c r="F334" s="199">
        <f t="shared" si="34"/>
        <v>0</v>
      </c>
      <c r="G334" s="629">
        <v>1100</v>
      </c>
      <c r="H334" s="720" t="str">
        <f t="shared" si="33"/>
        <v>USD</v>
      </c>
      <c r="I334" s="300" t="s">
        <v>4486</v>
      </c>
      <c r="J334" s="155" t="s">
        <v>3971</v>
      </c>
      <c r="K334" s="175" t="s">
        <v>4487</v>
      </c>
      <c r="L334" s="247">
        <f t="shared" si="35"/>
        <v>1</v>
      </c>
      <c r="M334" s="121">
        <f>SUMIFS('Bilateral Assistance, MAIN DATA'!M:M,'Bilateral Assistance, MAIN DATA'!I:I,'Price List, Weapons &amp; Items'!B334)</f>
        <v>400</v>
      </c>
      <c r="N334" s="19">
        <f>COUNTIFS('Bilateral Assistance, MAIN DATA'!M:M,"undisclosed",'Bilateral Assistance, MAIN DATA'!I:I,'Price List, Weapons &amp; Items'!B334)</f>
        <v>0</v>
      </c>
      <c r="O334" s="723">
        <f t="shared" si="36"/>
        <v>440000</v>
      </c>
      <c r="P334" s="19">
        <f>IFERROR(IF(SEARCH(B334,_xlfn.ARRAYTOTEXT('Bilateral Assistance, MAIN DATA'!I$1:I$1622))&gt;0,1,""),0)</f>
        <v>1</v>
      </c>
      <c r="Q334" s="19">
        <f>IFERROR(IF(SEARCH(B334,_xlfn.ARRAYTOTEXT('Commercial Assistance'!I$1:I$1400))&gt;0,1,""),0)</f>
        <v>0</v>
      </c>
      <c r="R334" s="247" t="str">
        <f>IF(SUMIFS('Bilateral Assistance, MAIN DATA'!N:N,'Bilateral Assistance, MAIN DATA'!I:I,'Price List, Weapons &amp; Items'!B334)&gt;M334,1,".")</f>
        <v>.</v>
      </c>
    </row>
    <row r="335" spans="2:18" ht="15" customHeight="1" x14ac:dyDescent="0.3">
      <c r="B335" s="188" t="s">
        <v>4488</v>
      </c>
      <c r="C335" s="442" t="s">
        <v>3949</v>
      </c>
      <c r="D335" s="246" t="s">
        <v>4084</v>
      </c>
      <c r="E335" s="199">
        <v>0</v>
      </c>
      <c r="F335" s="199">
        <f t="shared" si="34"/>
        <v>0</v>
      </c>
      <c r="G335" s="629">
        <v>329</v>
      </c>
      <c r="H335" s="720" t="str">
        <f t="shared" si="33"/>
        <v>USD</v>
      </c>
      <c r="I335" s="300" t="s">
        <v>4489</v>
      </c>
      <c r="J335" s="155" t="s">
        <v>3967</v>
      </c>
      <c r="K335" s="266" t="s">
        <v>4490</v>
      </c>
      <c r="L335" s="247">
        <f t="shared" si="35"/>
        <v>1</v>
      </c>
      <c r="M335" s="121">
        <f>SUMIFS('Bilateral Assistance, MAIN DATA'!M:M,'Bilateral Assistance, MAIN DATA'!I:I,'Price List, Weapons &amp; Items'!B335)</f>
        <v>1500</v>
      </c>
      <c r="N335" s="19">
        <f>COUNTIFS('Bilateral Assistance, MAIN DATA'!M:M,"undisclosed",'Bilateral Assistance, MAIN DATA'!I:I,'Price List, Weapons &amp; Items'!B335)</f>
        <v>0</v>
      </c>
      <c r="O335" s="723">
        <f t="shared" si="36"/>
        <v>493500</v>
      </c>
      <c r="P335" s="19">
        <f>IFERROR(IF(SEARCH(B335,_xlfn.ARRAYTOTEXT('Bilateral Assistance, MAIN DATA'!I$1:I$1622))&gt;0,1,""),0)</f>
        <v>1</v>
      </c>
      <c r="Q335" s="19">
        <f>IFERROR(IF(SEARCH(B335,_xlfn.ARRAYTOTEXT('Commercial Assistance'!I$1:I$1400))&gt;0,1,""),0)</f>
        <v>0</v>
      </c>
      <c r="R335" s="247" t="str">
        <f>IF(SUMIFS('Bilateral Assistance, MAIN DATA'!N:N,'Bilateral Assistance, MAIN DATA'!I:I,'Price List, Weapons &amp; Items'!B335)&gt;M335,1,".")</f>
        <v>.</v>
      </c>
    </row>
    <row r="336" spans="2:18" ht="15" customHeight="1" x14ac:dyDescent="0.3">
      <c r="B336" s="175" t="s">
        <v>4491</v>
      </c>
      <c r="C336" s="442" t="s">
        <v>3949</v>
      </c>
      <c r="D336" s="246" t="s">
        <v>3950</v>
      </c>
      <c r="E336" s="199">
        <v>0</v>
      </c>
      <c r="F336" s="199">
        <f t="shared" si="34"/>
        <v>0</v>
      </c>
      <c r="G336" s="629">
        <v>0.85</v>
      </c>
      <c r="H336" s="720" t="str">
        <f t="shared" si="33"/>
        <v>USD</v>
      </c>
      <c r="I336" s="300" t="s">
        <v>4307</v>
      </c>
      <c r="J336" s="155" t="s">
        <v>3971</v>
      </c>
      <c r="K336" s="175" t="s">
        <v>4492</v>
      </c>
      <c r="L336" s="247">
        <f t="shared" si="35"/>
        <v>1</v>
      </c>
      <c r="M336" s="121">
        <f>SUMIFS('Bilateral Assistance, MAIN DATA'!M:M,'Bilateral Assistance, MAIN DATA'!I:I,'Price List, Weapons &amp; Items'!B336)</f>
        <v>700000</v>
      </c>
      <c r="N336" s="19">
        <f>COUNTIFS('Bilateral Assistance, MAIN DATA'!M:M,"undisclosed",'Bilateral Assistance, MAIN DATA'!I:I,'Price List, Weapons &amp; Items'!B336)</f>
        <v>1</v>
      </c>
      <c r="O336" s="723">
        <f t="shared" si="36"/>
        <v>595000</v>
      </c>
      <c r="P336" s="19">
        <f>IFERROR(IF(SEARCH(B336,_xlfn.ARRAYTOTEXT('Bilateral Assistance, MAIN DATA'!I$1:I$1622))&gt;0,1,""),0)</f>
        <v>1</v>
      </c>
      <c r="Q336" s="19">
        <f>IFERROR(IF(SEARCH(B336,_xlfn.ARRAYTOTEXT('Commercial Assistance'!I$1:I$1400))&gt;0,1,""),0)</f>
        <v>0</v>
      </c>
      <c r="R336" s="247" t="str">
        <f>IF(SUMIFS('Bilateral Assistance, MAIN DATA'!N:N,'Bilateral Assistance, MAIN DATA'!I:I,'Price List, Weapons &amp; Items'!B336)&gt;M336,1,".")</f>
        <v>.</v>
      </c>
    </row>
    <row r="337" spans="2:18" ht="15" customHeight="1" x14ac:dyDescent="0.3">
      <c r="B337" s="188" t="s">
        <v>4493</v>
      </c>
      <c r="C337" s="442" t="s">
        <v>3949</v>
      </c>
      <c r="D337" s="246" t="s">
        <v>3950</v>
      </c>
      <c r="E337" s="199">
        <v>0</v>
      </c>
      <c r="F337" s="199">
        <f t="shared" si="34"/>
        <v>0</v>
      </c>
      <c r="G337" s="629">
        <v>0.5</v>
      </c>
      <c r="H337" s="720" t="str">
        <f t="shared" si="33"/>
        <v>USD</v>
      </c>
      <c r="I337" s="300" t="s">
        <v>4494</v>
      </c>
      <c r="J337" s="155" t="s">
        <v>3971</v>
      </c>
      <c r="K337" s="175" t="s">
        <v>4495</v>
      </c>
      <c r="L337" s="247">
        <f t="shared" si="35"/>
        <v>1</v>
      </c>
      <c r="M337" s="121">
        <f>SUMIFS('Bilateral Assistance, MAIN DATA'!M:M,'Bilateral Assistance, MAIN DATA'!I:I,'Price List, Weapons &amp; Items'!B337)</f>
        <v>1000000</v>
      </c>
      <c r="N337" s="19">
        <f>COUNTIFS('Bilateral Assistance, MAIN DATA'!M:M,"undisclosed",'Bilateral Assistance, MAIN DATA'!I:I,'Price List, Weapons &amp; Items'!B337)</f>
        <v>0</v>
      </c>
      <c r="O337" s="723">
        <f t="shared" si="36"/>
        <v>500000</v>
      </c>
      <c r="P337" s="19">
        <f>IFERROR(IF(SEARCH(B337,_xlfn.ARRAYTOTEXT('Bilateral Assistance, MAIN DATA'!I$1:I$1622))&gt;0,1,""),0)</f>
        <v>1</v>
      </c>
      <c r="Q337" s="19">
        <f>IFERROR(IF(SEARCH(B337,_xlfn.ARRAYTOTEXT('Commercial Assistance'!I$1:I$1400))&gt;0,1,""),0)</f>
        <v>0</v>
      </c>
      <c r="R337" s="247" t="str">
        <f>IF(SUMIFS('Bilateral Assistance, MAIN DATA'!N:N,'Bilateral Assistance, MAIN DATA'!I:I,'Price List, Weapons &amp; Items'!B337)&gt;M337,1,".")</f>
        <v>.</v>
      </c>
    </row>
    <row r="338" spans="2:18" ht="15" customHeight="1" x14ac:dyDescent="0.3">
      <c r="B338" s="175" t="s">
        <v>2692</v>
      </c>
      <c r="C338" s="442" t="s">
        <v>812</v>
      </c>
      <c r="D338" s="246" t="s">
        <v>4040</v>
      </c>
      <c r="E338" s="199">
        <v>0</v>
      </c>
      <c r="F338" s="199">
        <f t="shared" si="34"/>
        <v>1</v>
      </c>
      <c r="G338" s="629">
        <f>60000</f>
        <v>60000</v>
      </c>
      <c r="H338" s="720" t="str">
        <f t="shared" si="33"/>
        <v>USD</v>
      </c>
      <c r="I338" s="828" t="s">
        <v>4496</v>
      </c>
      <c r="J338" s="155" t="s">
        <v>3964</v>
      </c>
      <c r="K338" s="175" t="s">
        <v>4497</v>
      </c>
      <c r="L338" s="247">
        <f t="shared" si="35"/>
        <v>1</v>
      </c>
      <c r="M338" s="121">
        <f>SUMIFS('Bilateral Assistance, MAIN DATA'!M:M,'Bilateral Assistance, MAIN DATA'!I:I,'Price List, Weapons &amp; Items'!B338)</f>
        <v>8</v>
      </c>
      <c r="N338" s="19">
        <f>COUNTIFS('Bilateral Assistance, MAIN DATA'!M:M,"undisclosed",'Bilateral Assistance, MAIN DATA'!I:I,'Price List, Weapons &amp; Items'!B338)</f>
        <v>0</v>
      </c>
      <c r="O338" s="723">
        <f t="shared" si="36"/>
        <v>480000</v>
      </c>
      <c r="P338" s="19">
        <f>IFERROR(IF(SEARCH(B338,_xlfn.ARRAYTOTEXT('Bilateral Assistance, MAIN DATA'!I$1:I$1622))&gt;0,1,""),0)</f>
        <v>1</v>
      </c>
      <c r="Q338" s="19">
        <f>IFERROR(IF(SEARCH(B338,_xlfn.ARRAYTOTEXT('Commercial Assistance'!I$1:I$1400))&gt;0,1,""),0)</f>
        <v>0</v>
      </c>
      <c r="R338" s="247" t="str">
        <f>IF(SUMIFS('Bilateral Assistance, MAIN DATA'!N:N,'Bilateral Assistance, MAIN DATA'!I:I,'Price List, Weapons &amp; Items'!B338)&gt;M338,1,".")</f>
        <v>.</v>
      </c>
    </row>
    <row r="339" spans="2:18" ht="15" customHeight="1" x14ac:dyDescent="0.3">
      <c r="B339" s="175" t="s">
        <v>2932</v>
      </c>
      <c r="C339" s="442" t="s">
        <v>3945</v>
      </c>
      <c r="D339" s="246" t="s">
        <v>4040</v>
      </c>
      <c r="E339" s="199">
        <v>0</v>
      </c>
      <c r="F339" s="199">
        <f t="shared" si="34"/>
        <v>1</v>
      </c>
      <c r="G339" s="629">
        <f>G340</f>
        <v>32540</v>
      </c>
      <c r="H339" s="721" t="s">
        <v>346</v>
      </c>
      <c r="I339" s="249" t="s">
        <v>260</v>
      </c>
      <c r="J339" s="249" t="s">
        <v>260</v>
      </c>
      <c r="K339" s="155" t="s">
        <v>4498</v>
      </c>
      <c r="L339" s="247">
        <f t="shared" si="35"/>
        <v>1</v>
      </c>
      <c r="M339" s="121">
        <f>SUMIFS('Bilateral Assistance, MAIN DATA'!M:M,'Bilateral Assistance, MAIN DATA'!I:I,'Price List, Weapons &amp; Items'!B339)</f>
        <v>5</v>
      </c>
      <c r="N339" s="19">
        <f>COUNTIFS('Bilateral Assistance, MAIN DATA'!M:M,"undisclosed",'Bilateral Assistance, MAIN DATA'!I:I,'Price List, Weapons &amp; Items'!B339)</f>
        <v>0</v>
      </c>
      <c r="O339" s="723">
        <f t="shared" si="36"/>
        <v>162700</v>
      </c>
      <c r="P339" s="19">
        <f>IFERROR(IF(SEARCH(B339,_xlfn.ARRAYTOTEXT('Bilateral Assistance, MAIN DATA'!I$1:I$1622))&gt;0,1,""),0)</f>
        <v>1</v>
      </c>
      <c r="Q339" s="19">
        <f>IFERROR(IF(SEARCH(B339,_xlfn.ARRAYTOTEXT('Commercial Assistance'!I$1:I$1400))&gt;0,1,""),0)</f>
        <v>0</v>
      </c>
      <c r="R339" s="247" t="str">
        <f>IF(SUMIFS('Bilateral Assistance, MAIN DATA'!N:N,'Bilateral Assistance, MAIN DATA'!I:I,'Price List, Weapons &amp; Items'!B339)&gt;M339,1,".")</f>
        <v>.</v>
      </c>
    </row>
    <row r="340" spans="2:18" ht="15" customHeight="1" x14ac:dyDescent="0.3">
      <c r="B340" s="188" t="s">
        <v>4499</v>
      </c>
      <c r="C340" s="442" t="s">
        <v>812</v>
      </c>
      <c r="D340" s="246" t="s">
        <v>4190</v>
      </c>
      <c r="E340" s="301">
        <v>0</v>
      </c>
      <c r="F340" s="199">
        <f t="shared" si="34"/>
        <v>0</v>
      </c>
      <c r="G340" s="629">
        <v>32540</v>
      </c>
      <c r="H340" s="720" t="str">
        <f t="shared" ref="H340:H383" si="37">IF(G340&lt;&gt;".","USD",".")</f>
        <v>USD</v>
      </c>
      <c r="I340" s="300" t="s">
        <v>4500</v>
      </c>
      <c r="J340" s="155" t="s">
        <v>3975</v>
      </c>
      <c r="K340" s="266" t="s">
        <v>4501</v>
      </c>
      <c r="L340" s="247">
        <f t="shared" si="35"/>
        <v>1</v>
      </c>
      <c r="M340" s="121">
        <f>SUMIFS('Bilateral Assistance, MAIN DATA'!M:M,'Bilateral Assistance, MAIN DATA'!I:I,'Price List, Weapons &amp; Items'!B340)</f>
        <v>10</v>
      </c>
      <c r="N340" s="19">
        <f>COUNTIFS('Bilateral Assistance, MAIN DATA'!M:M,"undisclosed",'Bilateral Assistance, MAIN DATA'!I:I,'Price List, Weapons &amp; Items'!B340)</f>
        <v>0</v>
      </c>
      <c r="O340" s="723">
        <f t="shared" si="36"/>
        <v>325400</v>
      </c>
      <c r="P340" s="19">
        <f>IFERROR(IF(SEARCH(B340,_xlfn.ARRAYTOTEXT('Bilateral Assistance, MAIN DATA'!I$1:I$1622))&gt;0,1,""),0)</f>
        <v>1</v>
      </c>
      <c r="Q340" s="19">
        <f>IFERROR(IF(SEARCH(B340,_xlfn.ARRAYTOTEXT('Commercial Assistance'!I$1:I$1400))&gt;0,1,""),0)</f>
        <v>0</v>
      </c>
      <c r="R340" s="247" t="str">
        <f>IF(SUMIFS('Bilateral Assistance, MAIN DATA'!N:N,'Bilateral Assistance, MAIN DATA'!I:I,'Price List, Weapons &amp; Items'!B340)&gt;M340,1,".")</f>
        <v>.</v>
      </c>
    </row>
    <row r="341" spans="2:18" ht="15" customHeight="1" x14ac:dyDescent="0.3">
      <c r="B341" s="175" t="s">
        <v>1393</v>
      </c>
      <c r="C341" s="442" t="s">
        <v>812</v>
      </c>
      <c r="D341" s="113" t="s">
        <v>812</v>
      </c>
      <c r="E341" s="302">
        <v>0</v>
      </c>
      <c r="F341" s="199">
        <f t="shared" si="34"/>
        <v>0</v>
      </c>
      <c r="G341" s="629">
        <v>25000</v>
      </c>
      <c r="H341" s="720" t="str">
        <f t="shared" si="37"/>
        <v>USD</v>
      </c>
      <c r="I341" s="832" t="s">
        <v>4502</v>
      </c>
      <c r="J341" s="155" t="s">
        <v>3971</v>
      </c>
      <c r="K341" s="175" t="s">
        <v>4503</v>
      </c>
      <c r="L341" s="247">
        <f t="shared" si="35"/>
        <v>1</v>
      </c>
      <c r="M341" s="121">
        <f>SUMIFS('Bilateral Assistance, MAIN DATA'!M:M,'Bilateral Assistance, MAIN DATA'!I:I,'Price List, Weapons &amp; Items'!B341)</f>
        <v>8</v>
      </c>
      <c r="N341" s="19">
        <f>COUNTIFS('Bilateral Assistance, MAIN DATA'!M:M,"undisclosed",'Bilateral Assistance, MAIN DATA'!I:I,'Price List, Weapons &amp; Items'!B341)</f>
        <v>0</v>
      </c>
      <c r="O341" s="723">
        <f t="shared" si="36"/>
        <v>200000</v>
      </c>
      <c r="P341" s="19">
        <f>IFERROR(IF(SEARCH(B341,_xlfn.ARRAYTOTEXT('Bilateral Assistance, MAIN DATA'!I$1:I$1622))&gt;0,1,""),0)</f>
        <v>1</v>
      </c>
      <c r="Q341" s="19">
        <f>IFERROR(IF(SEARCH(B341,_xlfn.ARRAYTOTEXT('Commercial Assistance'!I$1:I$1400))&gt;0,1,""),0)</f>
        <v>0</v>
      </c>
      <c r="R341" s="247" t="str">
        <f>IF(SUMIFS('Bilateral Assistance, MAIN DATA'!N:N,'Bilateral Assistance, MAIN DATA'!I:I,'Price List, Weapons &amp; Items'!B341)&gt;M341,1,".")</f>
        <v>.</v>
      </c>
    </row>
    <row r="342" spans="2:18" ht="15" customHeight="1" x14ac:dyDescent="0.3">
      <c r="B342" s="175" t="s">
        <v>2084</v>
      </c>
      <c r="C342" s="442" t="s">
        <v>812</v>
      </c>
      <c r="D342" s="113" t="s">
        <v>812</v>
      </c>
      <c r="E342" s="302">
        <v>0</v>
      </c>
      <c r="F342" s="199">
        <f t="shared" si="34"/>
        <v>0</v>
      </c>
      <c r="G342" s="629">
        <v>25000</v>
      </c>
      <c r="H342" s="720" t="str">
        <f t="shared" si="37"/>
        <v>USD</v>
      </c>
      <c r="I342" s="832" t="s">
        <v>4502</v>
      </c>
      <c r="J342" s="155" t="s">
        <v>3971</v>
      </c>
      <c r="K342" s="175" t="s">
        <v>4503</v>
      </c>
      <c r="L342" s="247">
        <f t="shared" si="35"/>
        <v>1</v>
      </c>
      <c r="M342" s="121">
        <f>SUMIFS('Bilateral Assistance, MAIN DATA'!M:M,'Bilateral Assistance, MAIN DATA'!I:I,'Price List, Weapons &amp; Items'!B342)</f>
        <v>2</v>
      </c>
      <c r="N342" s="19">
        <f>COUNTIFS('Bilateral Assistance, MAIN DATA'!M:M,"undisclosed",'Bilateral Assistance, MAIN DATA'!I:I,'Price List, Weapons &amp; Items'!B342)</f>
        <v>0</v>
      </c>
      <c r="O342" s="723">
        <f t="shared" si="36"/>
        <v>50000</v>
      </c>
      <c r="P342" s="19">
        <f>IFERROR(IF(SEARCH(B342,_xlfn.ARRAYTOTEXT('Bilateral Assistance, MAIN DATA'!I$1:I$1622))&gt;0,1,""),0)</f>
        <v>1</v>
      </c>
      <c r="Q342" s="19">
        <f>IFERROR(IF(SEARCH(B342,_xlfn.ARRAYTOTEXT('Commercial Assistance'!I$1:I$1400))&gt;0,1,""),0)</f>
        <v>0</v>
      </c>
      <c r="R342" s="247" t="str">
        <f>IF(SUMIFS('Bilateral Assistance, MAIN DATA'!N:N,'Bilateral Assistance, MAIN DATA'!I:I,'Price List, Weapons &amp; Items'!B342)&gt;M342,1,".")</f>
        <v>.</v>
      </c>
    </row>
    <row r="343" spans="2:18" ht="15" customHeight="1" x14ac:dyDescent="0.3">
      <c r="B343" s="175" t="s">
        <v>2937</v>
      </c>
      <c r="C343" s="113" t="s">
        <v>3945</v>
      </c>
      <c r="D343" s="246" t="s">
        <v>4003</v>
      </c>
      <c r="E343" s="199">
        <v>0</v>
      </c>
      <c r="F343" s="199">
        <f t="shared" si="34"/>
        <v>0</v>
      </c>
      <c r="G343" s="629">
        <v>16000</v>
      </c>
      <c r="H343" s="720" t="str">
        <f t="shared" si="37"/>
        <v>USD</v>
      </c>
      <c r="I343" s="821" t="s">
        <v>4504</v>
      </c>
      <c r="J343" s="155" t="s">
        <v>3971</v>
      </c>
      <c r="K343" s="155" t="s">
        <v>4505</v>
      </c>
      <c r="L343" s="247">
        <f t="shared" si="35"/>
        <v>1</v>
      </c>
      <c r="M343" s="121">
        <f>SUMIFS('Bilateral Assistance, MAIN DATA'!M:M,'Bilateral Assistance, MAIN DATA'!I:I,'Price List, Weapons &amp; Items'!B343)</f>
        <v>6</v>
      </c>
      <c r="N343" s="19">
        <f>COUNTIFS('Bilateral Assistance, MAIN DATA'!M:M,"undisclosed",'Bilateral Assistance, MAIN DATA'!I:I,'Price List, Weapons &amp; Items'!B343)</f>
        <v>0</v>
      </c>
      <c r="O343" s="723">
        <f t="shared" si="36"/>
        <v>96000</v>
      </c>
      <c r="P343" s="19">
        <f>IFERROR(IF(SEARCH(B343,_xlfn.ARRAYTOTEXT('Bilateral Assistance, MAIN DATA'!I$1:I$1622))&gt;0,1,""),0)</f>
        <v>1</v>
      </c>
      <c r="Q343" s="19">
        <f>IFERROR(IF(SEARCH(B343,_xlfn.ARRAYTOTEXT('Commercial Assistance'!I$1:I$1400))&gt;0,1,""),0)</f>
        <v>0</v>
      </c>
      <c r="R343" s="247" t="str">
        <f>IF(SUMIFS('Bilateral Assistance, MAIN DATA'!N:N,'Bilateral Assistance, MAIN DATA'!I:I,'Price List, Weapons &amp; Items'!B343)&gt;M343,1,".")</f>
        <v>.</v>
      </c>
    </row>
    <row r="344" spans="2:18" ht="15" customHeight="1" x14ac:dyDescent="0.3">
      <c r="B344" s="188" t="s">
        <v>4506</v>
      </c>
      <c r="C344" s="113" t="s">
        <v>812</v>
      </c>
      <c r="D344" s="246" t="s">
        <v>4104</v>
      </c>
      <c r="E344" s="199">
        <v>0</v>
      </c>
      <c r="F344" s="199">
        <f t="shared" si="34"/>
        <v>0</v>
      </c>
      <c r="G344" s="629">
        <v>10794.5</v>
      </c>
      <c r="H344" s="720" t="str">
        <f t="shared" si="37"/>
        <v>USD</v>
      </c>
      <c r="I344" s="820" t="s">
        <v>4507</v>
      </c>
      <c r="J344" s="155" t="s">
        <v>3971</v>
      </c>
      <c r="K344" s="155" t="s">
        <v>4508</v>
      </c>
      <c r="L344" s="247">
        <f t="shared" si="35"/>
        <v>1</v>
      </c>
      <c r="M344" s="121">
        <f>SUMIFS('Bilateral Assistance, MAIN DATA'!M:M,'Bilateral Assistance, MAIN DATA'!I:I,'Price List, Weapons &amp; Items'!B344)</f>
        <v>55</v>
      </c>
      <c r="N344" s="19">
        <f>COUNTIFS('Bilateral Assistance, MAIN DATA'!M:M,"undisclosed",'Bilateral Assistance, MAIN DATA'!I:I,'Price List, Weapons &amp; Items'!B344)</f>
        <v>0</v>
      </c>
      <c r="O344" s="723">
        <f t="shared" si="36"/>
        <v>593697.5</v>
      </c>
      <c r="P344" s="19">
        <f>IFERROR(IF(SEARCH(B344,_xlfn.ARRAYTOTEXT('Bilateral Assistance, MAIN DATA'!I$1:I$1622))&gt;0,1,""),0)</f>
        <v>1</v>
      </c>
      <c r="Q344" s="19">
        <f>IFERROR(IF(SEARCH(B344,_xlfn.ARRAYTOTEXT('Commercial Assistance'!I$1:I$1400))&gt;0,1,""),0)</f>
        <v>0</v>
      </c>
      <c r="R344" s="247" t="str">
        <f>IF(SUMIFS('Bilateral Assistance, MAIN DATA'!N:N,'Bilateral Assistance, MAIN DATA'!I:I,'Price List, Weapons &amp; Items'!B344)&gt;M344,1,".")</f>
        <v>.</v>
      </c>
    </row>
    <row r="345" spans="2:18" ht="15" customHeight="1" x14ac:dyDescent="0.3">
      <c r="B345" s="17" t="s">
        <v>2086</v>
      </c>
      <c r="C345" s="113" t="s">
        <v>3939</v>
      </c>
      <c r="D345" s="246" t="s">
        <v>3973</v>
      </c>
      <c r="E345" s="199">
        <v>0</v>
      </c>
      <c r="F345" s="199">
        <f t="shared" si="34"/>
        <v>0</v>
      </c>
      <c r="G345" s="629">
        <v>12807.38</v>
      </c>
      <c r="H345" s="720" t="str">
        <f t="shared" si="37"/>
        <v>USD</v>
      </c>
      <c r="I345" s="821" t="s">
        <v>4098</v>
      </c>
      <c r="J345" s="155" t="s">
        <v>3967</v>
      </c>
      <c r="K345" s="155" t="s">
        <v>4509</v>
      </c>
      <c r="L345" s="247">
        <f t="shared" si="35"/>
        <v>1</v>
      </c>
      <c r="M345" s="121">
        <f>SUMIFS('Bilateral Assistance, MAIN DATA'!M:M,'Bilateral Assistance, MAIN DATA'!I:I,'Price List, Weapons &amp; Items'!B345)</f>
        <v>10</v>
      </c>
      <c r="N345" s="19">
        <f>COUNTIFS('Bilateral Assistance, MAIN DATA'!M:M,"undisclosed",'Bilateral Assistance, MAIN DATA'!I:I,'Price List, Weapons &amp; Items'!B345)</f>
        <v>0</v>
      </c>
      <c r="O345" s="723">
        <f t="shared" si="36"/>
        <v>128073.79999999999</v>
      </c>
      <c r="P345" s="19">
        <f>IFERROR(IF(SEARCH(B345,_xlfn.ARRAYTOTEXT('Bilateral Assistance, MAIN DATA'!I$1:I$1622))&gt;0,1,""),0)</f>
        <v>1</v>
      </c>
      <c r="Q345" s="19">
        <f>IFERROR(IF(SEARCH(B345,_xlfn.ARRAYTOTEXT('Commercial Assistance'!I$1:I$1400))&gt;0,1,""),0)</f>
        <v>0</v>
      </c>
      <c r="R345" s="247" t="str">
        <f>IF(SUMIFS('Bilateral Assistance, MAIN DATA'!N:N,'Bilateral Assistance, MAIN DATA'!I:I,'Price List, Weapons &amp; Items'!B345)&gt;M345,1,".")</f>
        <v>.</v>
      </c>
    </row>
    <row r="346" spans="2:18" ht="15" customHeight="1" x14ac:dyDescent="0.3">
      <c r="B346" s="5" t="s">
        <v>735</v>
      </c>
      <c r="C346" s="113" t="s">
        <v>3939</v>
      </c>
      <c r="D346" s="246" t="s">
        <v>4097</v>
      </c>
      <c r="E346" s="199">
        <v>1</v>
      </c>
      <c r="F346" s="199">
        <f t="shared" si="34"/>
        <v>0</v>
      </c>
      <c r="G346" s="629">
        <v>8625</v>
      </c>
      <c r="H346" s="720" t="str">
        <f t="shared" si="37"/>
        <v>USD</v>
      </c>
      <c r="I346" s="820" t="s">
        <v>4510</v>
      </c>
      <c r="J346" s="155" t="s">
        <v>4082</v>
      </c>
      <c r="K346" s="155" t="s">
        <v>4511</v>
      </c>
      <c r="L346" s="247">
        <f t="shared" si="35"/>
        <v>1</v>
      </c>
      <c r="M346" s="121">
        <f>SUMIFS('Bilateral Assistance, MAIN DATA'!M:M,'Bilateral Assistance, MAIN DATA'!I:I,'Price List, Weapons &amp; Items'!B346)</f>
        <v>19</v>
      </c>
      <c r="N346" s="19">
        <f>COUNTIFS('Bilateral Assistance, MAIN DATA'!M:M,"undisclosed",'Bilateral Assistance, MAIN DATA'!I:I,'Price List, Weapons &amp; Items'!B346)</f>
        <v>0</v>
      </c>
      <c r="O346" s="723">
        <f t="shared" si="36"/>
        <v>163875</v>
      </c>
      <c r="P346" s="19">
        <f>IFERROR(IF(SEARCH(B346,_xlfn.ARRAYTOTEXT('Bilateral Assistance, MAIN DATA'!I$1:I$1622))&gt;0,1,""),0)</f>
        <v>1</v>
      </c>
      <c r="Q346" s="19">
        <f>IFERROR(IF(SEARCH(B346,_xlfn.ARRAYTOTEXT('Commercial Assistance'!I$1:I$1400))&gt;0,1,""),0)</f>
        <v>0</v>
      </c>
      <c r="R346" s="247" t="str">
        <f>IF(SUMIFS('Bilateral Assistance, MAIN DATA'!N:N,'Bilateral Assistance, MAIN DATA'!I:I,'Price List, Weapons &amp; Items'!B346)&gt;M346,1,".")</f>
        <v>.</v>
      </c>
    </row>
    <row r="347" spans="2:18" ht="15" customHeight="1" x14ac:dyDescent="0.3">
      <c r="B347" s="188" t="s">
        <v>3966</v>
      </c>
      <c r="C347" s="113" t="s">
        <v>3954</v>
      </c>
      <c r="D347" s="246" t="s">
        <v>956</v>
      </c>
      <c r="E347" s="199">
        <v>0</v>
      </c>
      <c r="F347" s="199">
        <f t="shared" si="34"/>
        <v>0</v>
      </c>
      <c r="G347" s="629">
        <v>6000</v>
      </c>
      <c r="H347" s="720" t="str">
        <f t="shared" si="37"/>
        <v>USD</v>
      </c>
      <c r="I347" s="820" t="s">
        <v>4345</v>
      </c>
      <c r="J347" s="155" t="s">
        <v>3975</v>
      </c>
      <c r="K347" s="155" t="s">
        <v>4346</v>
      </c>
      <c r="L347" s="247">
        <f t="shared" si="35"/>
        <v>1</v>
      </c>
      <c r="M347" s="121">
        <f>SUMIFS('Bilateral Assistance, MAIN DATA'!M:M,'Bilateral Assistance, MAIN DATA'!I:I,'Price List, Weapons &amp; Items'!B347)</f>
        <v>42</v>
      </c>
      <c r="N347" s="19">
        <f>COUNTIFS('Bilateral Assistance, MAIN DATA'!M:M,"undisclosed",'Bilateral Assistance, MAIN DATA'!I:I,'Price List, Weapons &amp; Items'!B347)</f>
        <v>4</v>
      </c>
      <c r="O347" s="723">
        <f t="shared" si="36"/>
        <v>252000</v>
      </c>
      <c r="P347" s="19">
        <f>IFERROR(IF(SEARCH(B347,_xlfn.ARRAYTOTEXT('Bilateral Assistance, MAIN DATA'!I$1:I$1622))&gt;0,1,""),0)</f>
        <v>1</v>
      </c>
      <c r="Q347" s="19">
        <f>IFERROR(IF(SEARCH(B347,_xlfn.ARRAYTOTEXT('Commercial Assistance'!I$1:I$1400))&gt;0,1,""),0)</f>
        <v>1</v>
      </c>
      <c r="R347" s="247" t="str">
        <f>IF(SUMIFS('Bilateral Assistance, MAIN DATA'!N:N,'Bilateral Assistance, MAIN DATA'!I:I,'Price List, Weapons &amp; Items'!B347)&gt;M347,1,".")</f>
        <v>.</v>
      </c>
    </row>
    <row r="348" spans="2:18" ht="15" customHeight="1" x14ac:dyDescent="0.3">
      <c r="B348" s="19" t="s">
        <v>4512</v>
      </c>
      <c r="C348" s="113" t="s">
        <v>3987</v>
      </c>
      <c r="D348" s="113" t="s">
        <v>812</v>
      </c>
      <c r="E348" s="199">
        <v>0</v>
      </c>
      <c r="F348" s="199">
        <f t="shared" si="34"/>
        <v>0</v>
      </c>
      <c r="G348" s="629">
        <v>12000</v>
      </c>
      <c r="H348" s="720" t="str">
        <f t="shared" si="37"/>
        <v>USD</v>
      </c>
      <c r="I348" s="820" t="s">
        <v>4105</v>
      </c>
      <c r="J348" s="155" t="s">
        <v>3964</v>
      </c>
      <c r="K348" s="155" t="s">
        <v>4106</v>
      </c>
      <c r="L348" s="247">
        <f t="shared" si="35"/>
        <v>1</v>
      </c>
      <c r="M348" s="121">
        <f>SUMIFS('Bilateral Assistance, MAIN DATA'!M:M,'Bilateral Assistance, MAIN DATA'!I:I,'Price List, Weapons &amp; Items'!B348)</f>
        <v>10</v>
      </c>
      <c r="N348" s="19">
        <f>COUNTIFS('Bilateral Assistance, MAIN DATA'!M:M,"undisclosed",'Bilateral Assistance, MAIN DATA'!I:I,'Price List, Weapons &amp; Items'!B348)</f>
        <v>0</v>
      </c>
      <c r="O348" s="723">
        <f t="shared" si="36"/>
        <v>120000</v>
      </c>
      <c r="P348" s="19">
        <f>IFERROR(IF(SEARCH(B348,_xlfn.ARRAYTOTEXT('Bilateral Assistance, MAIN DATA'!I$1:I$1622))&gt;0,1,""),0)</f>
        <v>1</v>
      </c>
      <c r="Q348" s="19">
        <f>IFERROR(IF(SEARCH(B348,_xlfn.ARRAYTOTEXT('Commercial Assistance'!I$1:I$1400))&gt;0,1,""),0)</f>
        <v>0</v>
      </c>
      <c r="R348" s="247" t="str">
        <f>IF(SUMIFS('Bilateral Assistance, MAIN DATA'!N:N,'Bilateral Assistance, MAIN DATA'!I:I,'Price List, Weapons &amp; Items'!B348)&gt;M348,1,".")</f>
        <v>.</v>
      </c>
    </row>
    <row r="349" spans="2:18" ht="15" customHeight="1" x14ac:dyDescent="0.3">
      <c r="B349" s="175" t="s">
        <v>1472</v>
      </c>
      <c r="C349" s="113" t="s">
        <v>3939</v>
      </c>
      <c r="D349" s="246" t="s">
        <v>3973</v>
      </c>
      <c r="E349" s="199">
        <v>0</v>
      </c>
      <c r="F349" s="199">
        <f t="shared" si="34"/>
        <v>0</v>
      </c>
      <c r="G349" s="629">
        <v>3000</v>
      </c>
      <c r="H349" s="720" t="str">
        <f t="shared" si="37"/>
        <v>USD</v>
      </c>
      <c r="I349" s="300" t="s">
        <v>4513</v>
      </c>
      <c r="J349" s="155" t="s">
        <v>3967</v>
      </c>
      <c r="K349" s="175" t="s">
        <v>4514</v>
      </c>
      <c r="L349" s="247">
        <f t="shared" si="35"/>
        <v>1</v>
      </c>
      <c r="M349" s="121">
        <f>SUMIFS('Bilateral Assistance, MAIN DATA'!M:M,'Bilateral Assistance, MAIN DATA'!I:I,'Price List, Weapons &amp; Items'!B349)</f>
        <v>30</v>
      </c>
      <c r="N349" s="19">
        <f>COUNTIFS('Bilateral Assistance, MAIN DATA'!M:M,"undisclosed",'Bilateral Assistance, MAIN DATA'!I:I,'Price List, Weapons &amp; Items'!B349)</f>
        <v>0</v>
      </c>
      <c r="O349" s="723">
        <f t="shared" si="36"/>
        <v>90000</v>
      </c>
      <c r="P349" s="19">
        <f>IFERROR(IF(SEARCH(B349,_xlfn.ARRAYTOTEXT('Bilateral Assistance, MAIN DATA'!I$1:I$1622))&gt;0,1,""),0)</f>
        <v>1</v>
      </c>
      <c r="Q349" s="19">
        <f>IFERROR(IF(SEARCH(B349,_xlfn.ARRAYTOTEXT('Commercial Assistance'!I$1:I$1400))&gt;0,1,""),0)</f>
        <v>0</v>
      </c>
      <c r="R349" s="247" t="str">
        <f>IF(SUMIFS('Bilateral Assistance, MAIN DATA'!N:N,'Bilateral Assistance, MAIN DATA'!I:I,'Price List, Weapons &amp; Items'!B349)&gt;M349,1,".")</f>
        <v>.</v>
      </c>
    </row>
    <row r="350" spans="2:18" ht="15" customHeight="1" x14ac:dyDescent="0.3">
      <c r="B350" s="175" t="s">
        <v>1512</v>
      </c>
      <c r="C350" s="113" t="s">
        <v>3939</v>
      </c>
      <c r="D350" s="246" t="s">
        <v>3973</v>
      </c>
      <c r="E350" s="199">
        <v>0</v>
      </c>
      <c r="F350" s="199">
        <f t="shared" si="34"/>
        <v>0</v>
      </c>
      <c r="G350" s="629">
        <v>3000</v>
      </c>
      <c r="H350" s="720" t="str">
        <f t="shared" si="37"/>
        <v>USD</v>
      </c>
      <c r="I350" s="300" t="s">
        <v>4513</v>
      </c>
      <c r="J350" s="155" t="s">
        <v>3967</v>
      </c>
      <c r="K350" s="175" t="s">
        <v>4514</v>
      </c>
      <c r="L350" s="247">
        <f t="shared" si="35"/>
        <v>1</v>
      </c>
      <c r="M350" s="121">
        <f>SUMIFS('Bilateral Assistance, MAIN DATA'!M:M,'Bilateral Assistance, MAIN DATA'!I:I,'Price List, Weapons &amp; Items'!B350)</f>
        <v>100</v>
      </c>
      <c r="N350" s="19">
        <f>COUNTIFS('Bilateral Assistance, MAIN DATA'!M:M,"undisclosed",'Bilateral Assistance, MAIN DATA'!I:I,'Price List, Weapons &amp; Items'!B350)</f>
        <v>0</v>
      </c>
      <c r="O350" s="723">
        <f t="shared" si="36"/>
        <v>300000</v>
      </c>
      <c r="P350" s="19">
        <f>IFERROR(IF(SEARCH(B350,_xlfn.ARRAYTOTEXT('Bilateral Assistance, MAIN DATA'!I$1:I$1622))&gt;0,1,""),0)</f>
        <v>1</v>
      </c>
      <c r="Q350" s="19">
        <f>IFERROR(IF(SEARCH(B350,_xlfn.ARRAYTOTEXT('Commercial Assistance'!I$1:I$1400))&gt;0,1,""),0)</f>
        <v>0</v>
      </c>
      <c r="R350" s="247" t="str">
        <f>IF(SUMIFS('Bilateral Assistance, MAIN DATA'!N:N,'Bilateral Assistance, MAIN DATA'!I:I,'Price List, Weapons &amp; Items'!B350)&gt;M350,1,".")</f>
        <v>.</v>
      </c>
    </row>
    <row r="351" spans="2:18" ht="15" customHeight="1" x14ac:dyDescent="0.3">
      <c r="B351" s="188" t="s">
        <v>731</v>
      </c>
      <c r="C351" s="113" t="s">
        <v>3939</v>
      </c>
      <c r="D351" s="246" t="s">
        <v>3973</v>
      </c>
      <c r="E351" s="199">
        <v>1</v>
      </c>
      <c r="F351" s="199">
        <f t="shared" si="34"/>
        <v>0</v>
      </c>
      <c r="G351" s="629">
        <v>3832.65</v>
      </c>
      <c r="H351" s="720" t="str">
        <f t="shared" si="37"/>
        <v>USD</v>
      </c>
      <c r="I351" s="300" t="s">
        <v>4515</v>
      </c>
      <c r="J351" s="155" t="s">
        <v>3971</v>
      </c>
      <c r="K351" s="175" t="s">
        <v>4516</v>
      </c>
      <c r="L351" s="247">
        <f t="shared" si="35"/>
        <v>1</v>
      </c>
      <c r="M351" s="121">
        <f>SUMIFS('Bilateral Assistance, MAIN DATA'!M:M,'Bilateral Assistance, MAIN DATA'!I:I,'Price List, Weapons &amp; Items'!B351)</f>
        <v>12</v>
      </c>
      <c r="N351" s="19">
        <f>COUNTIFS('Bilateral Assistance, MAIN DATA'!M:M,"undisclosed",'Bilateral Assistance, MAIN DATA'!I:I,'Price List, Weapons &amp; Items'!B351)</f>
        <v>0</v>
      </c>
      <c r="O351" s="723">
        <f t="shared" si="36"/>
        <v>45991.8</v>
      </c>
      <c r="P351" s="19">
        <f>IFERROR(IF(SEARCH(B351,_xlfn.ARRAYTOTEXT('Bilateral Assistance, MAIN DATA'!I$1:I$1622))&gt;0,1,""),0)</f>
        <v>1</v>
      </c>
      <c r="Q351" s="19">
        <f>IFERROR(IF(SEARCH(B351,_xlfn.ARRAYTOTEXT('Commercial Assistance'!I$1:I$1400))&gt;0,1,""),0)</f>
        <v>0</v>
      </c>
      <c r="R351" s="247" t="str">
        <f>IF(SUMIFS('Bilateral Assistance, MAIN DATA'!N:N,'Bilateral Assistance, MAIN DATA'!I:I,'Price List, Weapons &amp; Items'!B351)&gt;M351,1,".")</f>
        <v>.</v>
      </c>
    </row>
    <row r="352" spans="2:18" ht="15" customHeight="1" x14ac:dyDescent="0.3">
      <c r="B352" s="17" t="s">
        <v>744</v>
      </c>
      <c r="C352" s="113" t="s">
        <v>3939</v>
      </c>
      <c r="D352" s="246" t="s">
        <v>4117</v>
      </c>
      <c r="E352" s="199">
        <v>0</v>
      </c>
      <c r="F352" s="199">
        <f t="shared" si="34"/>
        <v>0</v>
      </c>
      <c r="G352" s="629">
        <v>1818.28</v>
      </c>
      <c r="H352" s="720" t="str">
        <f t="shared" si="37"/>
        <v>USD</v>
      </c>
      <c r="I352" s="828" t="s">
        <v>4517</v>
      </c>
      <c r="J352" s="155" t="s">
        <v>3971</v>
      </c>
      <c r="K352" s="175" t="s">
        <v>4518</v>
      </c>
      <c r="L352" s="247">
        <f t="shared" si="35"/>
        <v>1</v>
      </c>
      <c r="M352" s="121">
        <f>SUMIFS('Bilateral Assistance, MAIN DATA'!M:M,'Bilateral Assistance, MAIN DATA'!I:I,'Price List, Weapons &amp; Items'!B352)</f>
        <v>132</v>
      </c>
      <c r="N352" s="19">
        <f>COUNTIFS('Bilateral Assistance, MAIN DATA'!M:M,"undisclosed",'Bilateral Assistance, MAIN DATA'!I:I,'Price List, Weapons &amp; Items'!B352)</f>
        <v>0</v>
      </c>
      <c r="O352" s="723">
        <f t="shared" si="36"/>
        <v>240012.96</v>
      </c>
      <c r="P352" s="19">
        <f>IFERROR(IF(SEARCH(B352,_xlfn.ARRAYTOTEXT('Bilateral Assistance, MAIN DATA'!I$1:I$1622))&gt;0,1,""),0)</f>
        <v>1</v>
      </c>
      <c r="Q352" s="19">
        <f>IFERROR(IF(SEARCH(B352,_xlfn.ARRAYTOTEXT('Commercial Assistance'!I$1:I$1400))&gt;0,1,""),0)</f>
        <v>0</v>
      </c>
      <c r="R352" s="247" t="str">
        <f>IF(SUMIFS('Bilateral Assistance, MAIN DATA'!N:N,'Bilateral Assistance, MAIN DATA'!I:I,'Price List, Weapons &amp; Items'!B352)&gt;M352,1,".")</f>
        <v>.</v>
      </c>
    </row>
    <row r="353" spans="2:18" ht="15" customHeight="1" x14ac:dyDescent="0.3">
      <c r="B353" s="188" t="s">
        <v>4519</v>
      </c>
      <c r="C353" s="113" t="s">
        <v>812</v>
      </c>
      <c r="D353" s="113" t="s">
        <v>812</v>
      </c>
      <c r="E353" s="199">
        <v>0</v>
      </c>
      <c r="F353" s="199">
        <f t="shared" si="34"/>
        <v>0</v>
      </c>
      <c r="G353" s="629">
        <v>1486.91</v>
      </c>
      <c r="H353" s="720" t="str">
        <f t="shared" si="37"/>
        <v>USD</v>
      </c>
      <c r="I353" s="820" t="s">
        <v>4520</v>
      </c>
      <c r="J353" s="155" t="s">
        <v>3971</v>
      </c>
      <c r="K353" s="155" t="s">
        <v>4521</v>
      </c>
      <c r="L353" s="247">
        <f t="shared" si="35"/>
        <v>1</v>
      </c>
      <c r="M353" s="121">
        <f>SUMIFS('Bilateral Assistance, MAIN DATA'!M:M,'Bilateral Assistance, MAIN DATA'!I:I,'Price List, Weapons &amp; Items'!B353)</f>
        <v>67</v>
      </c>
      <c r="N353" s="19">
        <f>COUNTIFS('Bilateral Assistance, MAIN DATA'!M:M,"undisclosed",'Bilateral Assistance, MAIN DATA'!I:I,'Price List, Weapons &amp; Items'!B353)</f>
        <v>0</v>
      </c>
      <c r="O353" s="723">
        <f t="shared" si="36"/>
        <v>99622.97</v>
      </c>
      <c r="P353" s="19">
        <f>IFERROR(IF(SEARCH(B353,_xlfn.ARRAYTOTEXT('Bilateral Assistance, MAIN DATA'!I$1:I$1622))&gt;0,1,""),0)</f>
        <v>1</v>
      </c>
      <c r="Q353" s="19">
        <f>IFERROR(IF(SEARCH(B353,_xlfn.ARRAYTOTEXT('Commercial Assistance'!I$1:I$1400))&gt;0,1,""),0)</f>
        <v>0</v>
      </c>
      <c r="R353" s="247" t="str">
        <f>IF(SUMIFS('Bilateral Assistance, MAIN DATA'!N:N,'Bilateral Assistance, MAIN DATA'!I:I,'Price List, Weapons &amp; Items'!B353)&gt;M353,1,".")</f>
        <v>.</v>
      </c>
    </row>
    <row r="354" spans="2:18" ht="15" customHeight="1" x14ac:dyDescent="0.3">
      <c r="B354" s="175" t="s">
        <v>4522</v>
      </c>
      <c r="C354" s="113" t="s">
        <v>812</v>
      </c>
      <c r="D354" s="113" t="s">
        <v>812</v>
      </c>
      <c r="E354" s="199">
        <v>0</v>
      </c>
      <c r="F354" s="199">
        <f t="shared" si="34"/>
        <v>0</v>
      </c>
      <c r="G354" s="629">
        <v>1200</v>
      </c>
      <c r="H354" s="720" t="str">
        <f t="shared" si="37"/>
        <v>USD</v>
      </c>
      <c r="I354" s="820" t="s">
        <v>4523</v>
      </c>
      <c r="J354" s="155" t="s">
        <v>3975</v>
      </c>
      <c r="K354" s="155" t="s">
        <v>4524</v>
      </c>
      <c r="L354" s="247">
        <f t="shared" si="35"/>
        <v>1</v>
      </c>
      <c r="M354" s="121">
        <f>SUMIFS('Bilateral Assistance, MAIN DATA'!M:M,'Bilateral Assistance, MAIN DATA'!I:I,'Price List, Weapons &amp; Items'!B354)</f>
        <v>30</v>
      </c>
      <c r="N354" s="19">
        <f>COUNTIFS('Bilateral Assistance, MAIN DATA'!M:M,"undisclosed",'Bilateral Assistance, MAIN DATA'!I:I,'Price List, Weapons &amp; Items'!B354)</f>
        <v>0</v>
      </c>
      <c r="O354" s="723">
        <f t="shared" si="36"/>
        <v>36000</v>
      </c>
      <c r="P354" s="19">
        <f>IFERROR(IF(SEARCH(B354,_xlfn.ARRAYTOTEXT('Bilateral Assistance, MAIN DATA'!I$1:I$1622))&gt;0,1,""),0)</f>
        <v>1</v>
      </c>
      <c r="Q354" s="19">
        <f>IFERROR(IF(SEARCH(B354,_xlfn.ARRAYTOTEXT('Commercial Assistance'!I$1:I$1400))&gt;0,1,""),0)</f>
        <v>0</v>
      </c>
      <c r="R354" s="247" t="str">
        <f>IF(SUMIFS('Bilateral Assistance, MAIN DATA'!N:N,'Bilateral Assistance, MAIN DATA'!I:I,'Price List, Weapons &amp; Items'!B354)&gt;M354,1,".")</f>
        <v>.</v>
      </c>
    </row>
    <row r="355" spans="2:18" ht="15" customHeight="1" x14ac:dyDescent="0.3">
      <c r="B355" s="188" t="s">
        <v>1332</v>
      </c>
      <c r="C355" s="113" t="s">
        <v>812</v>
      </c>
      <c r="D355" s="113" t="s">
        <v>812</v>
      </c>
      <c r="E355" s="199">
        <v>0</v>
      </c>
      <c r="F355" s="199">
        <f t="shared" si="34"/>
        <v>0</v>
      </c>
      <c r="G355" s="629">
        <v>1334</v>
      </c>
      <c r="H355" s="720" t="str">
        <f t="shared" si="37"/>
        <v>USD</v>
      </c>
      <c r="I355" s="820" t="s">
        <v>4525</v>
      </c>
      <c r="J355" s="155" t="s">
        <v>3971</v>
      </c>
      <c r="K355" s="155" t="s">
        <v>4526</v>
      </c>
      <c r="L355" s="247">
        <f t="shared" si="35"/>
        <v>1</v>
      </c>
      <c r="M355" s="121">
        <f>SUMIFS('Bilateral Assistance, MAIN DATA'!M:M,'Bilateral Assistance, MAIN DATA'!I:I,'Price List, Weapons &amp; Items'!B355)</f>
        <v>10</v>
      </c>
      <c r="N355" s="19">
        <f>COUNTIFS('Bilateral Assistance, MAIN DATA'!M:M,"undisclosed",'Bilateral Assistance, MAIN DATA'!I:I,'Price List, Weapons &amp; Items'!B355)</f>
        <v>0</v>
      </c>
      <c r="O355" s="723">
        <f t="shared" si="36"/>
        <v>13340</v>
      </c>
      <c r="P355" s="19">
        <f>IFERROR(IF(SEARCH(B355,_xlfn.ARRAYTOTEXT('Bilateral Assistance, MAIN DATA'!I$1:I$1622))&gt;0,1,""),0)</f>
        <v>1</v>
      </c>
      <c r="Q355" s="19">
        <f>IFERROR(IF(SEARCH(B355,_xlfn.ARRAYTOTEXT('Commercial Assistance'!I$1:I$1400))&gt;0,1,""),0)</f>
        <v>0</v>
      </c>
      <c r="R355" s="247" t="str">
        <f>IF(SUMIFS('Bilateral Assistance, MAIN DATA'!N:N,'Bilateral Assistance, MAIN DATA'!I:I,'Price List, Weapons &amp; Items'!B355)&gt;M355,1,".")</f>
        <v>.</v>
      </c>
    </row>
    <row r="356" spans="2:18" ht="15" customHeight="1" x14ac:dyDescent="0.3">
      <c r="B356" s="17" t="s">
        <v>745</v>
      </c>
      <c r="C356" s="113" t="s">
        <v>3939</v>
      </c>
      <c r="D356" s="246" t="s">
        <v>4117</v>
      </c>
      <c r="E356" s="199">
        <v>0</v>
      </c>
      <c r="F356" s="199">
        <f t="shared" si="34"/>
        <v>0</v>
      </c>
      <c r="G356" s="629">
        <v>992.4</v>
      </c>
      <c r="H356" s="720" t="str">
        <f t="shared" si="37"/>
        <v>USD</v>
      </c>
      <c r="I356" s="821" t="s">
        <v>4527</v>
      </c>
      <c r="J356" s="155" t="s">
        <v>3971</v>
      </c>
      <c r="K356" s="155" t="s">
        <v>4528</v>
      </c>
      <c r="L356" s="247">
        <f t="shared" si="35"/>
        <v>1</v>
      </c>
      <c r="M356" s="121">
        <f>SUMIFS('Bilateral Assistance, MAIN DATA'!M:M,'Bilateral Assistance, MAIN DATA'!I:I,'Price List, Weapons &amp; Items'!B356)</f>
        <v>70</v>
      </c>
      <c r="N356" s="19">
        <f>COUNTIFS('Bilateral Assistance, MAIN DATA'!M:M,"undisclosed",'Bilateral Assistance, MAIN DATA'!I:I,'Price List, Weapons &amp; Items'!B356)</f>
        <v>0</v>
      </c>
      <c r="O356" s="723">
        <f t="shared" si="36"/>
        <v>69468</v>
      </c>
      <c r="P356" s="19">
        <f>IFERROR(IF(SEARCH(B356,_xlfn.ARRAYTOTEXT('Bilateral Assistance, MAIN DATA'!I$1:I$1622))&gt;0,1,""),0)</f>
        <v>1</v>
      </c>
      <c r="Q356" s="19">
        <f>IFERROR(IF(SEARCH(B356,_xlfn.ARRAYTOTEXT('Commercial Assistance'!I$1:I$1400))&gt;0,1,""),0)</f>
        <v>0</v>
      </c>
      <c r="R356" s="247" t="str">
        <f>IF(SUMIFS('Bilateral Assistance, MAIN DATA'!N:N,'Bilateral Assistance, MAIN DATA'!I:I,'Price List, Weapons &amp; Items'!B356)&gt;M356,1,".")</f>
        <v>.</v>
      </c>
    </row>
    <row r="357" spans="2:18" ht="15" customHeight="1" x14ac:dyDescent="0.3">
      <c r="B357" s="188" t="s">
        <v>4529</v>
      </c>
      <c r="C357" s="113" t="s">
        <v>812</v>
      </c>
      <c r="D357" s="113" t="s">
        <v>812</v>
      </c>
      <c r="E357" s="199">
        <v>0</v>
      </c>
      <c r="F357" s="199">
        <f t="shared" si="34"/>
        <v>0</v>
      </c>
      <c r="G357" s="629">
        <v>2000</v>
      </c>
      <c r="H357" s="720" t="str">
        <f t="shared" si="37"/>
        <v>USD</v>
      </c>
      <c r="I357" s="820" t="s">
        <v>4530</v>
      </c>
      <c r="J357" s="155" t="s">
        <v>3971</v>
      </c>
      <c r="K357" s="253" t="s">
        <v>4531</v>
      </c>
      <c r="L357" s="247">
        <f t="shared" si="35"/>
        <v>1</v>
      </c>
      <c r="M357" s="121">
        <f>SUMIFS('Bilateral Assistance, MAIN DATA'!M:M,'Bilateral Assistance, MAIN DATA'!I:I,'Price List, Weapons &amp; Items'!B357)</f>
        <v>24</v>
      </c>
      <c r="N357" s="19">
        <f>COUNTIFS('Bilateral Assistance, MAIN DATA'!M:M,"undisclosed",'Bilateral Assistance, MAIN DATA'!I:I,'Price List, Weapons &amp; Items'!B357)</f>
        <v>2</v>
      </c>
      <c r="O357" s="723">
        <f t="shared" si="36"/>
        <v>48000</v>
      </c>
      <c r="P357" s="19">
        <f>IFERROR(IF(SEARCH(B357,_xlfn.ARRAYTOTEXT('Bilateral Assistance, MAIN DATA'!I$1:I$1622))&gt;0,1,""),0)</f>
        <v>1</v>
      </c>
      <c r="Q357" s="19">
        <f>IFERROR(IF(SEARCH(B357,_xlfn.ARRAYTOTEXT('Commercial Assistance'!I$1:I$1400))&gt;0,1,""),0)</f>
        <v>0</v>
      </c>
      <c r="R357" s="247" t="str">
        <f>IF(SUMIFS('Bilateral Assistance, MAIN DATA'!N:N,'Bilateral Assistance, MAIN DATA'!I:I,'Price List, Weapons &amp; Items'!B357)&gt;M357,1,".")</f>
        <v>.</v>
      </c>
    </row>
    <row r="358" spans="2:18" ht="15" customHeight="1" x14ac:dyDescent="0.3">
      <c r="B358" s="5" t="s">
        <v>723</v>
      </c>
      <c r="C358" s="113" t="s">
        <v>3939</v>
      </c>
      <c r="D358" s="246" t="s">
        <v>3973</v>
      </c>
      <c r="E358" s="199">
        <v>0</v>
      </c>
      <c r="F358" s="199">
        <f t="shared" si="34"/>
        <v>0</v>
      </c>
      <c r="G358" s="629">
        <v>368.75</v>
      </c>
      <c r="H358" s="720" t="str">
        <f t="shared" si="37"/>
        <v>USD</v>
      </c>
      <c r="I358" s="820" t="s">
        <v>4532</v>
      </c>
      <c r="J358" s="155" t="s">
        <v>3971</v>
      </c>
      <c r="K358" s="155" t="s">
        <v>4533</v>
      </c>
      <c r="L358" s="247">
        <f t="shared" si="35"/>
        <v>1</v>
      </c>
      <c r="M358" s="121">
        <f>SUMIFS('Bilateral Assistance, MAIN DATA'!M:M,'Bilateral Assistance, MAIN DATA'!I:I,'Price List, Weapons &amp; Items'!B358)</f>
        <v>150</v>
      </c>
      <c r="N358" s="19">
        <f>COUNTIFS('Bilateral Assistance, MAIN DATA'!M:M,"undisclosed",'Bilateral Assistance, MAIN DATA'!I:I,'Price List, Weapons &amp; Items'!B358)</f>
        <v>0</v>
      </c>
      <c r="O358" s="723">
        <f t="shared" si="36"/>
        <v>55312.5</v>
      </c>
      <c r="P358" s="19">
        <f>IFERROR(IF(SEARCH(B358,_xlfn.ARRAYTOTEXT('Bilateral Assistance, MAIN DATA'!I$1:I$1622))&gt;0,1,""),0)</f>
        <v>1</v>
      </c>
      <c r="Q358" s="19">
        <f>IFERROR(IF(SEARCH(B358,_xlfn.ARRAYTOTEXT('Commercial Assistance'!I$1:I$1400))&gt;0,1,""),0)</f>
        <v>0</v>
      </c>
      <c r="R358" s="247" t="str">
        <f>IF(SUMIFS('Bilateral Assistance, MAIN DATA'!N:N,'Bilateral Assistance, MAIN DATA'!I:I,'Price List, Weapons &amp; Items'!B358)&gt;M358,1,".")</f>
        <v>.</v>
      </c>
    </row>
    <row r="359" spans="2:18" ht="15" customHeight="1" x14ac:dyDescent="0.3">
      <c r="B359" s="175" t="s">
        <v>4534</v>
      </c>
      <c r="C359" s="113" t="s">
        <v>4068</v>
      </c>
      <c r="D359" s="246" t="s">
        <v>4117</v>
      </c>
      <c r="E359" s="199">
        <v>0</v>
      </c>
      <c r="F359" s="199">
        <f t="shared" si="34"/>
        <v>0</v>
      </c>
      <c r="G359" s="629">
        <v>297</v>
      </c>
      <c r="H359" s="720" t="str">
        <f t="shared" si="37"/>
        <v>USD</v>
      </c>
      <c r="I359" s="820" t="s">
        <v>4535</v>
      </c>
      <c r="J359" s="155" t="s">
        <v>3975</v>
      </c>
      <c r="K359" s="155" t="s">
        <v>4536</v>
      </c>
      <c r="L359" s="247">
        <f t="shared" si="35"/>
        <v>1</v>
      </c>
      <c r="M359" s="121">
        <f>SUMIFS('Bilateral Assistance, MAIN DATA'!M:M,'Bilateral Assistance, MAIN DATA'!I:I,'Price List, Weapons &amp; Items'!B359)</f>
        <v>400</v>
      </c>
      <c r="N359" s="19">
        <f>COUNTIFS('Bilateral Assistance, MAIN DATA'!M:M,"undisclosed",'Bilateral Assistance, MAIN DATA'!I:I,'Price List, Weapons &amp; Items'!B359)</f>
        <v>0</v>
      </c>
      <c r="O359" s="723">
        <f t="shared" si="36"/>
        <v>118800</v>
      </c>
      <c r="P359" s="19">
        <f>IFERROR(IF(SEARCH(B359,_xlfn.ARRAYTOTEXT('Bilateral Assistance, MAIN DATA'!I$1:I$1622))&gt;0,1,""),0)</f>
        <v>1</v>
      </c>
      <c r="Q359" s="19">
        <f>IFERROR(IF(SEARCH(B359,_xlfn.ARRAYTOTEXT('Commercial Assistance'!I$1:I$1400))&gt;0,1,""),0)</f>
        <v>0</v>
      </c>
      <c r="R359" s="247" t="str">
        <f>IF(SUMIFS('Bilateral Assistance, MAIN DATA'!N:N,'Bilateral Assistance, MAIN DATA'!I:I,'Price List, Weapons &amp; Items'!B359)&gt;M359,1,".")</f>
        <v>.</v>
      </c>
    </row>
    <row r="360" spans="2:18" ht="15" customHeight="1" x14ac:dyDescent="0.3">
      <c r="B360" s="175" t="s">
        <v>4537</v>
      </c>
      <c r="C360" s="113" t="s">
        <v>812</v>
      </c>
      <c r="D360" s="113" t="s">
        <v>812</v>
      </c>
      <c r="E360" s="199">
        <v>0</v>
      </c>
      <c r="F360" s="199">
        <f t="shared" si="34"/>
        <v>0</v>
      </c>
      <c r="G360" s="629">
        <v>219</v>
      </c>
      <c r="H360" s="720" t="str">
        <f t="shared" si="37"/>
        <v>USD</v>
      </c>
      <c r="I360" s="820" t="s">
        <v>4538</v>
      </c>
      <c r="J360" s="155" t="s">
        <v>3971</v>
      </c>
      <c r="K360" s="155" t="s">
        <v>4539</v>
      </c>
      <c r="L360" s="247">
        <f t="shared" si="35"/>
        <v>1</v>
      </c>
      <c r="M360" s="121">
        <f>SUMIFS('Bilateral Assistance, MAIN DATA'!M:M,'Bilateral Assistance, MAIN DATA'!I:I,'Price List, Weapons &amp; Items'!B360)</f>
        <v>1600</v>
      </c>
      <c r="N360" s="19">
        <f>COUNTIFS('Bilateral Assistance, MAIN DATA'!M:M,"undisclosed",'Bilateral Assistance, MAIN DATA'!I:I,'Price List, Weapons &amp; Items'!B360)</f>
        <v>0</v>
      </c>
      <c r="O360" s="723">
        <f t="shared" si="36"/>
        <v>350400</v>
      </c>
      <c r="P360" s="19">
        <f>IFERROR(IF(SEARCH(B360,_xlfn.ARRAYTOTEXT('Bilateral Assistance, MAIN DATA'!I$1:I$1622))&gt;0,1,""),0)</f>
        <v>1</v>
      </c>
      <c r="Q360" s="19">
        <f>IFERROR(IF(SEARCH(B360,_xlfn.ARRAYTOTEXT('Commercial Assistance'!I$1:I$1400))&gt;0,1,""),0)</f>
        <v>0</v>
      </c>
      <c r="R360" s="247" t="str">
        <f>IF(SUMIFS('Bilateral Assistance, MAIN DATA'!N:N,'Bilateral Assistance, MAIN DATA'!I:I,'Price List, Weapons &amp; Items'!B360)&gt;M360,1,".")</f>
        <v>.</v>
      </c>
    </row>
    <row r="361" spans="2:18" ht="15" customHeight="1" x14ac:dyDescent="0.3">
      <c r="B361" s="175" t="s">
        <v>1628</v>
      </c>
      <c r="C361" s="113" t="s">
        <v>3987</v>
      </c>
      <c r="D361" s="246" t="s">
        <v>4064</v>
      </c>
      <c r="E361" s="199">
        <v>1</v>
      </c>
      <c r="F361" s="199">
        <f t="shared" si="34"/>
        <v>0</v>
      </c>
      <c r="G361" s="629">
        <v>207.68</v>
      </c>
      <c r="H361" s="720" t="str">
        <f t="shared" si="37"/>
        <v>USD</v>
      </c>
      <c r="I361" s="820" t="s">
        <v>4540</v>
      </c>
      <c r="J361" s="155" t="s">
        <v>3971</v>
      </c>
      <c r="K361" s="155" t="s">
        <v>4541</v>
      </c>
      <c r="L361" s="247">
        <f t="shared" si="35"/>
        <v>1</v>
      </c>
      <c r="M361" s="121">
        <f>SUMIFS('Bilateral Assistance, MAIN DATA'!M:M,'Bilateral Assistance, MAIN DATA'!I:I,'Price List, Weapons &amp; Items'!B361)</f>
        <v>1915</v>
      </c>
      <c r="N361" s="19">
        <f>COUNTIFS('Bilateral Assistance, MAIN DATA'!M:M,"undisclosed",'Bilateral Assistance, MAIN DATA'!I:I,'Price List, Weapons &amp; Items'!B361)</f>
        <v>0</v>
      </c>
      <c r="O361" s="723">
        <f t="shared" si="36"/>
        <v>397707.2</v>
      </c>
      <c r="P361" s="19">
        <f>IFERROR(IF(SEARCH(B361,_xlfn.ARRAYTOTEXT('Bilateral Assistance, MAIN DATA'!I$1:I$1622))&gt;0,1,""),0)</f>
        <v>1</v>
      </c>
      <c r="Q361" s="19">
        <f>IFERROR(IF(SEARCH(B361,_xlfn.ARRAYTOTEXT('Commercial Assistance'!I$1:I$1400))&gt;0,1,""),0)</f>
        <v>0</v>
      </c>
      <c r="R361" s="247" t="str">
        <f>IF(SUMIFS('Bilateral Assistance, MAIN DATA'!N:N,'Bilateral Assistance, MAIN DATA'!I:I,'Price List, Weapons &amp; Items'!B361)&gt;M361,1,".")</f>
        <v>.</v>
      </c>
    </row>
    <row r="362" spans="2:18" ht="15" customHeight="1" x14ac:dyDescent="0.3">
      <c r="B362" s="185" t="s">
        <v>1547</v>
      </c>
      <c r="C362" s="113" t="s">
        <v>812</v>
      </c>
      <c r="D362" s="113" t="s">
        <v>812</v>
      </c>
      <c r="E362" s="199">
        <v>0</v>
      </c>
      <c r="F362" s="199">
        <f t="shared" si="34"/>
        <v>0</v>
      </c>
      <c r="G362" s="629">
        <v>126.69</v>
      </c>
      <c r="H362" s="720" t="str">
        <f t="shared" si="37"/>
        <v>USD</v>
      </c>
      <c r="I362" s="820" t="s">
        <v>4542</v>
      </c>
      <c r="J362" s="155" t="s">
        <v>3971</v>
      </c>
      <c r="K362" s="175" t="s">
        <v>4543</v>
      </c>
      <c r="L362" s="247">
        <f t="shared" si="35"/>
        <v>1</v>
      </c>
      <c r="M362" s="121">
        <f>SUMIFS('Bilateral Assistance, MAIN DATA'!M:M,'Bilateral Assistance, MAIN DATA'!I:I,'Price List, Weapons &amp; Items'!B362)</f>
        <v>1</v>
      </c>
      <c r="N362" s="19">
        <f>COUNTIFS('Bilateral Assistance, MAIN DATA'!M:M,"undisclosed",'Bilateral Assistance, MAIN DATA'!I:I,'Price List, Weapons &amp; Items'!B362)</f>
        <v>0</v>
      </c>
      <c r="O362" s="723">
        <f t="shared" si="36"/>
        <v>126.69</v>
      </c>
      <c r="P362" s="19">
        <f>IFERROR(IF(SEARCH(B362,_xlfn.ARRAYTOTEXT('Bilateral Assistance, MAIN DATA'!I$1:I$1622))&gt;0,1,""),0)</f>
        <v>1</v>
      </c>
      <c r="Q362" s="19">
        <f>IFERROR(IF(SEARCH(B362,_xlfn.ARRAYTOTEXT('Commercial Assistance'!I$1:I$1400))&gt;0,1,""),0)</f>
        <v>0</v>
      </c>
      <c r="R362" s="247" t="str">
        <f>IF(SUMIFS('Bilateral Assistance, MAIN DATA'!N:N,'Bilateral Assistance, MAIN DATA'!I:I,'Price List, Weapons &amp; Items'!B362)&gt;M362,1,".")</f>
        <v>.</v>
      </c>
    </row>
    <row r="363" spans="2:18" ht="15" customHeight="1" x14ac:dyDescent="0.3">
      <c r="B363" s="175" t="s">
        <v>4544</v>
      </c>
      <c r="C363" s="113" t="s">
        <v>812</v>
      </c>
      <c r="D363" s="113" t="s">
        <v>812</v>
      </c>
      <c r="E363" s="199">
        <v>0</v>
      </c>
      <c r="F363" s="199">
        <f t="shared" si="34"/>
        <v>0</v>
      </c>
      <c r="G363" s="629">
        <v>50</v>
      </c>
      <c r="H363" s="720" t="str">
        <f t="shared" si="37"/>
        <v>USD</v>
      </c>
      <c r="I363" s="820" t="s">
        <v>4545</v>
      </c>
      <c r="J363" s="155" t="s">
        <v>3971</v>
      </c>
      <c r="K363" s="155" t="s">
        <v>4546</v>
      </c>
      <c r="L363" s="247">
        <f t="shared" si="35"/>
        <v>1</v>
      </c>
      <c r="M363" s="121">
        <f>SUMIFS('Bilateral Assistance, MAIN DATA'!M:M,'Bilateral Assistance, MAIN DATA'!I:I,'Price List, Weapons &amp; Items'!B363)</f>
        <v>100</v>
      </c>
      <c r="N363" s="19">
        <f>COUNTIFS('Bilateral Assistance, MAIN DATA'!M:M,"undisclosed",'Bilateral Assistance, MAIN DATA'!I:I,'Price List, Weapons &amp; Items'!B363)</f>
        <v>0</v>
      </c>
      <c r="O363" s="723">
        <f t="shared" si="36"/>
        <v>5000</v>
      </c>
      <c r="P363" s="19">
        <f>IFERROR(IF(SEARCH(B363,_xlfn.ARRAYTOTEXT('Bilateral Assistance, MAIN DATA'!I$1:I$1622))&gt;0,1,""),0)</f>
        <v>1</v>
      </c>
      <c r="Q363" s="19">
        <f>IFERROR(IF(SEARCH(B363,_xlfn.ARRAYTOTEXT('Commercial Assistance'!I$1:I$1400))&gt;0,1,""),0)</f>
        <v>0</v>
      </c>
      <c r="R363" s="247" t="str">
        <f>IF(SUMIFS('Bilateral Assistance, MAIN DATA'!N:N,'Bilateral Assistance, MAIN DATA'!I:I,'Price List, Weapons &amp; Items'!B363)&gt;M363,1,".")</f>
        <v>.</v>
      </c>
    </row>
    <row r="364" spans="2:18" ht="15" customHeight="1" x14ac:dyDescent="0.3">
      <c r="B364" s="175" t="s">
        <v>4547</v>
      </c>
      <c r="C364" s="113" t="s">
        <v>812</v>
      </c>
      <c r="D364" s="113" t="s">
        <v>812</v>
      </c>
      <c r="E364" s="199">
        <v>0</v>
      </c>
      <c r="F364" s="199">
        <f t="shared" ref="F364:F395" si="38">IF(OR(D364="Armoured Personnel Carrier (APC)",D364="Armoured Recovery Vehicle (ARV)",D364="Armoured Utility Vehicle (AUV)",D364="152mm howitzer ammunition",D364="155mm howitzer ammunition",D364="300mm MLRS ammunition",D364="155mm howitzer",D364="227mm MLRS ammunition",D364="Infantry fighting vehicle (IFV)",D364="152mm howitzer",D364="227mm MLRS",D364="Main Battle Tank (MBT)",D364="Protected Patrol Vehicle (PPV)",D364="127mm MLRS",D364="122mm MLRS",D364="122mm MLRS ammunition",D364="122mm MLRS",D364="127mm MLRS",D364="127mm MLRS ammunition")=TRUE,1,0)</f>
        <v>0</v>
      </c>
      <c r="G364" s="629">
        <v>70</v>
      </c>
      <c r="H364" s="720" t="str">
        <f t="shared" si="37"/>
        <v>USD</v>
      </c>
      <c r="I364" s="820" t="s">
        <v>4548</v>
      </c>
      <c r="J364" s="155" t="s">
        <v>3971</v>
      </c>
      <c r="K364" s="155" t="s">
        <v>4549</v>
      </c>
      <c r="L364" s="247">
        <f t="shared" si="35"/>
        <v>1</v>
      </c>
      <c r="M364" s="121">
        <f>SUMIFS('Bilateral Assistance, MAIN DATA'!M:M,'Bilateral Assistance, MAIN DATA'!I:I,'Price List, Weapons &amp; Items'!B364)</f>
        <v>215</v>
      </c>
      <c r="N364" s="19">
        <f>COUNTIFS('Bilateral Assistance, MAIN DATA'!M:M,"undisclosed",'Bilateral Assistance, MAIN DATA'!I:I,'Price List, Weapons &amp; Items'!B364)</f>
        <v>1</v>
      </c>
      <c r="O364" s="723">
        <f t="shared" si="36"/>
        <v>15050</v>
      </c>
      <c r="P364" s="19">
        <f>IFERROR(IF(SEARCH(B364,_xlfn.ARRAYTOTEXT('Bilateral Assistance, MAIN DATA'!I$1:I$1622))&gt;0,1,""),0)</f>
        <v>1</v>
      </c>
      <c r="Q364" s="19">
        <f>IFERROR(IF(SEARCH(B364,_xlfn.ARRAYTOTEXT('Commercial Assistance'!I$1:I$1400))&gt;0,1,""),0)</f>
        <v>0</v>
      </c>
      <c r="R364" s="247" t="str">
        <f>IF(SUMIFS('Bilateral Assistance, MAIN DATA'!N:N,'Bilateral Assistance, MAIN DATA'!I:I,'Price List, Weapons &amp; Items'!B364)&gt;M364,1,".")</f>
        <v>.</v>
      </c>
    </row>
    <row r="365" spans="2:18" ht="15" customHeight="1" x14ac:dyDescent="0.3">
      <c r="B365" s="188" t="s">
        <v>4550</v>
      </c>
      <c r="C365" s="113" t="s">
        <v>812</v>
      </c>
      <c r="D365" s="113" t="s">
        <v>812</v>
      </c>
      <c r="E365" s="199">
        <v>0</v>
      </c>
      <c r="F365" s="199">
        <f t="shared" si="38"/>
        <v>0</v>
      </c>
      <c r="G365" s="629">
        <v>60</v>
      </c>
      <c r="H365" s="720" t="str">
        <f t="shared" si="37"/>
        <v>USD</v>
      </c>
      <c r="I365" s="846" t="s">
        <v>4551</v>
      </c>
      <c r="J365" s="155" t="s">
        <v>3975</v>
      </c>
      <c r="K365" s="267" t="s">
        <v>4552</v>
      </c>
      <c r="L365" s="247">
        <f t="shared" si="35"/>
        <v>1</v>
      </c>
      <c r="M365" s="121">
        <f>SUMIFS('Bilateral Assistance, MAIN DATA'!M:M,'Bilateral Assistance, MAIN DATA'!I:I,'Price List, Weapons &amp; Items'!B365)</f>
        <v>1000</v>
      </c>
      <c r="N365" s="19">
        <f>COUNTIFS('Bilateral Assistance, MAIN DATA'!M:M,"undisclosed",'Bilateral Assistance, MAIN DATA'!I:I,'Price List, Weapons &amp; Items'!B365)</f>
        <v>0</v>
      </c>
      <c r="O365" s="723">
        <f t="shared" si="36"/>
        <v>60000</v>
      </c>
      <c r="P365" s="19">
        <f>IFERROR(IF(SEARCH(B365,_xlfn.ARRAYTOTEXT('Bilateral Assistance, MAIN DATA'!I$1:I$1622))&gt;0,1,""),0)</f>
        <v>1</v>
      </c>
      <c r="Q365" s="19">
        <f>IFERROR(IF(SEARCH(B365,_xlfn.ARRAYTOTEXT('Commercial Assistance'!I$1:I$1400))&gt;0,1,""),0)</f>
        <v>0</v>
      </c>
      <c r="R365" s="247" t="str">
        <f>IF(SUMIFS('Bilateral Assistance, MAIN DATA'!N:N,'Bilateral Assistance, MAIN DATA'!I:I,'Price List, Weapons &amp; Items'!B365)&gt;M365,1,".")</f>
        <v>.</v>
      </c>
    </row>
    <row r="366" spans="2:18" ht="15" customHeight="1" x14ac:dyDescent="0.3">
      <c r="B366" s="188" t="s">
        <v>4553</v>
      </c>
      <c r="C366" s="113" t="s">
        <v>812</v>
      </c>
      <c r="D366" s="113" t="s">
        <v>812</v>
      </c>
      <c r="E366" s="199">
        <v>0</v>
      </c>
      <c r="F366" s="199">
        <f t="shared" si="38"/>
        <v>0</v>
      </c>
      <c r="G366" s="629">
        <v>69</v>
      </c>
      <c r="H366" s="720" t="str">
        <f t="shared" si="37"/>
        <v>USD</v>
      </c>
      <c r="I366" s="832" t="s">
        <v>4554</v>
      </c>
      <c r="J366" s="155" t="s">
        <v>3971</v>
      </c>
      <c r="K366" s="250" t="s">
        <v>4555</v>
      </c>
      <c r="L366" s="247">
        <f t="shared" si="35"/>
        <v>1</v>
      </c>
      <c r="M366" s="121">
        <f>SUMIFS('Bilateral Assistance, MAIN DATA'!M:M,'Bilateral Assistance, MAIN DATA'!I:I,'Price List, Weapons &amp; Items'!B366)</f>
        <v>3000</v>
      </c>
      <c r="N366" s="19">
        <f>COUNTIFS('Bilateral Assistance, MAIN DATA'!M:M,"undisclosed",'Bilateral Assistance, MAIN DATA'!I:I,'Price List, Weapons &amp; Items'!B366)</f>
        <v>0</v>
      </c>
      <c r="O366" s="723">
        <f t="shared" si="36"/>
        <v>207000</v>
      </c>
      <c r="P366" s="19">
        <f>IFERROR(IF(SEARCH(B366,_xlfn.ARRAYTOTEXT('Bilateral Assistance, MAIN DATA'!I$1:I$1622))&gt;0,1,""),0)</f>
        <v>1</v>
      </c>
      <c r="Q366" s="19">
        <f>IFERROR(IF(SEARCH(B366,_xlfn.ARRAYTOTEXT('Commercial Assistance'!I$1:I$1400))&gt;0,1,""),0)</f>
        <v>0</v>
      </c>
      <c r="R366" s="247" t="str">
        <f>IF(SUMIFS('Bilateral Assistance, MAIN DATA'!N:N,'Bilateral Assistance, MAIN DATA'!I:I,'Price List, Weapons &amp; Items'!B366)&gt;M366,1,".")</f>
        <v>.</v>
      </c>
    </row>
    <row r="367" spans="2:18" ht="15" customHeight="1" x14ac:dyDescent="0.3">
      <c r="B367" s="188" t="s">
        <v>4556</v>
      </c>
      <c r="C367" s="113" t="s">
        <v>812</v>
      </c>
      <c r="D367" s="113" t="s">
        <v>812</v>
      </c>
      <c r="E367" s="199">
        <v>0</v>
      </c>
      <c r="F367" s="199">
        <f t="shared" si="38"/>
        <v>0</v>
      </c>
      <c r="G367" s="629">
        <v>45</v>
      </c>
      <c r="H367" s="720" t="str">
        <f t="shared" si="37"/>
        <v>USD</v>
      </c>
      <c r="I367" s="842" t="s">
        <v>4557</v>
      </c>
      <c r="J367" s="155" t="s">
        <v>3971</v>
      </c>
      <c r="K367" s="260" t="s">
        <v>4558</v>
      </c>
      <c r="L367" s="247">
        <f t="shared" si="35"/>
        <v>1</v>
      </c>
      <c r="M367" s="121">
        <f>SUMIFS('Bilateral Assistance, MAIN DATA'!M:M,'Bilateral Assistance, MAIN DATA'!I:I,'Price List, Weapons &amp; Items'!B367)</f>
        <v>125</v>
      </c>
      <c r="N367" s="19">
        <f>COUNTIFS('Bilateral Assistance, MAIN DATA'!M:M,"undisclosed",'Bilateral Assistance, MAIN DATA'!I:I,'Price List, Weapons &amp; Items'!B367)</f>
        <v>0</v>
      </c>
      <c r="O367" s="723">
        <f t="shared" si="36"/>
        <v>5625</v>
      </c>
      <c r="P367" s="19">
        <f>IFERROR(IF(SEARCH(B367,_xlfn.ARRAYTOTEXT('Bilateral Assistance, MAIN DATA'!I$1:I$1622))&gt;0,1,""),0)</f>
        <v>1</v>
      </c>
      <c r="Q367" s="19">
        <f>IFERROR(IF(SEARCH(B367,_xlfn.ARRAYTOTEXT('Commercial Assistance'!I$1:I$1400))&gt;0,1,""),0)</f>
        <v>0</v>
      </c>
      <c r="R367" s="247" t="str">
        <f>IF(SUMIFS('Bilateral Assistance, MAIN DATA'!N:N,'Bilateral Assistance, MAIN DATA'!I:I,'Price List, Weapons &amp; Items'!B367)&gt;M367,1,".")</f>
        <v>.</v>
      </c>
    </row>
    <row r="368" spans="2:18" ht="15" customHeight="1" x14ac:dyDescent="0.3">
      <c r="B368" s="175" t="s">
        <v>4559</v>
      </c>
      <c r="C368" s="113" t="s">
        <v>812</v>
      </c>
      <c r="D368" s="113" t="s">
        <v>812</v>
      </c>
      <c r="E368" s="199">
        <v>0</v>
      </c>
      <c r="F368" s="199">
        <f t="shared" si="38"/>
        <v>0</v>
      </c>
      <c r="G368" s="629">
        <v>36.950000000000003</v>
      </c>
      <c r="H368" s="720" t="str">
        <f t="shared" si="37"/>
        <v>USD</v>
      </c>
      <c r="I368" s="844" t="s">
        <v>399</v>
      </c>
      <c r="J368" s="155" t="s">
        <v>4008</v>
      </c>
      <c r="K368" s="260" t="s">
        <v>4560</v>
      </c>
      <c r="L368" s="247">
        <f t="shared" si="35"/>
        <v>1</v>
      </c>
      <c r="M368" s="121">
        <f>SUMIFS('Bilateral Assistance, MAIN DATA'!M:M,'Bilateral Assistance, MAIN DATA'!I:I,'Price List, Weapons &amp; Items'!B368)</f>
        <v>10059</v>
      </c>
      <c r="N368" s="19">
        <f>COUNTIFS('Bilateral Assistance, MAIN DATA'!M:M,"undisclosed",'Bilateral Assistance, MAIN DATA'!I:I,'Price List, Weapons &amp; Items'!B368)</f>
        <v>0</v>
      </c>
      <c r="O368" s="723">
        <f t="shared" si="36"/>
        <v>371680.05000000005</v>
      </c>
      <c r="P368" s="19">
        <f>IFERROR(IF(SEARCH(B368,_xlfn.ARRAYTOTEXT('Bilateral Assistance, MAIN DATA'!I$1:I$1622))&gt;0,1,""),0)</f>
        <v>1</v>
      </c>
      <c r="Q368" s="19">
        <f>IFERROR(IF(SEARCH(B368,_xlfn.ARRAYTOTEXT('Commercial Assistance'!I$1:I$1400))&gt;0,1,""),0)</f>
        <v>0</v>
      </c>
      <c r="R368" s="247" t="str">
        <f>IF(SUMIFS('Bilateral Assistance, MAIN DATA'!N:N,'Bilateral Assistance, MAIN DATA'!I:I,'Price List, Weapons &amp; Items'!B368)&gt;M368,1,".")</f>
        <v>.</v>
      </c>
    </row>
    <row r="369" spans="2:18" ht="15" customHeight="1" x14ac:dyDescent="0.3">
      <c r="B369" s="185" t="s">
        <v>1551</v>
      </c>
      <c r="C369" s="113" t="s">
        <v>812</v>
      </c>
      <c r="D369" s="113" t="s">
        <v>812</v>
      </c>
      <c r="E369" s="199">
        <v>0</v>
      </c>
      <c r="F369" s="199">
        <f t="shared" si="38"/>
        <v>0</v>
      </c>
      <c r="G369" s="629">
        <f>34.99*'Exchange Rates'!C12</f>
        <v>34.99</v>
      </c>
      <c r="H369" s="720" t="str">
        <f t="shared" si="37"/>
        <v>USD</v>
      </c>
      <c r="I369" s="820" t="s">
        <v>4561</v>
      </c>
      <c r="J369" s="155" t="s">
        <v>3971</v>
      </c>
      <c r="K369" s="155" t="s">
        <v>4562</v>
      </c>
      <c r="L369" s="247">
        <f t="shared" si="35"/>
        <v>1</v>
      </c>
      <c r="M369" s="121">
        <f>SUMIFS('Bilateral Assistance, MAIN DATA'!M:M,'Bilateral Assistance, MAIN DATA'!I:I,'Price List, Weapons &amp; Items'!B369)</f>
        <v>5000</v>
      </c>
      <c r="N369" s="19">
        <f>COUNTIFS('Bilateral Assistance, MAIN DATA'!M:M,"undisclosed",'Bilateral Assistance, MAIN DATA'!I:I,'Price List, Weapons &amp; Items'!B369)</f>
        <v>0</v>
      </c>
      <c r="O369" s="723">
        <f t="shared" si="36"/>
        <v>174950</v>
      </c>
      <c r="P369" s="19">
        <f>IFERROR(IF(SEARCH(B369,_xlfn.ARRAYTOTEXT('Bilateral Assistance, MAIN DATA'!I$1:I$1622))&gt;0,1,""),0)</f>
        <v>1</v>
      </c>
      <c r="Q369" s="19">
        <f>IFERROR(IF(SEARCH(B369,_xlfn.ARRAYTOTEXT('Commercial Assistance'!I$1:I$1400))&gt;0,1,""),0)</f>
        <v>0</v>
      </c>
      <c r="R369" s="247" t="str">
        <f>IF(SUMIFS('Bilateral Assistance, MAIN DATA'!N:N,'Bilateral Assistance, MAIN DATA'!I:I,'Price List, Weapons &amp; Items'!B369)&gt;M369,1,".")</f>
        <v>.</v>
      </c>
    </row>
    <row r="370" spans="2:18" ht="15" customHeight="1" x14ac:dyDescent="0.3">
      <c r="B370" s="175" t="s">
        <v>4563</v>
      </c>
      <c r="C370" s="113" t="s">
        <v>812</v>
      </c>
      <c r="D370" s="113" t="s">
        <v>812</v>
      </c>
      <c r="E370" s="199">
        <v>0</v>
      </c>
      <c r="F370" s="199">
        <f t="shared" si="38"/>
        <v>0</v>
      </c>
      <c r="G370" s="629">
        <v>50</v>
      </c>
      <c r="H370" s="720" t="str">
        <f t="shared" si="37"/>
        <v>USD</v>
      </c>
      <c r="I370" s="821" t="s">
        <v>4564</v>
      </c>
      <c r="J370" s="155" t="s">
        <v>3971</v>
      </c>
      <c r="K370" s="155" t="s">
        <v>4565</v>
      </c>
      <c r="L370" s="247">
        <f t="shared" si="35"/>
        <v>1</v>
      </c>
      <c r="M370" s="121">
        <f>SUMIFS('Bilateral Assistance, MAIN DATA'!M:M,'Bilateral Assistance, MAIN DATA'!I:I,'Price List, Weapons &amp; Items'!B370)</f>
        <v>571</v>
      </c>
      <c r="N370" s="19">
        <f>COUNTIFS('Bilateral Assistance, MAIN DATA'!M:M,"undisclosed",'Bilateral Assistance, MAIN DATA'!I:I,'Price List, Weapons &amp; Items'!B370)</f>
        <v>0</v>
      </c>
      <c r="O370" s="723">
        <f t="shared" si="36"/>
        <v>28550</v>
      </c>
      <c r="P370" s="19">
        <f>IFERROR(IF(SEARCH(B370,_xlfn.ARRAYTOTEXT('Bilateral Assistance, MAIN DATA'!I$1:I$1622))&gt;0,1,""),0)</f>
        <v>1</v>
      </c>
      <c r="Q370" s="19">
        <f>IFERROR(IF(SEARCH(B370,_xlfn.ARRAYTOTEXT('Commercial Assistance'!I$1:I$1400))&gt;0,1,""),0)</f>
        <v>0</v>
      </c>
      <c r="R370" s="247" t="str">
        <f>IF(SUMIFS('Bilateral Assistance, MAIN DATA'!N:N,'Bilateral Assistance, MAIN DATA'!I:I,'Price List, Weapons &amp; Items'!B370)&gt;M370,1,".")</f>
        <v>.</v>
      </c>
    </row>
    <row r="371" spans="2:18" ht="15" customHeight="1" x14ac:dyDescent="0.3">
      <c r="B371" s="175" t="s">
        <v>4566</v>
      </c>
      <c r="C371" s="113" t="s">
        <v>3949</v>
      </c>
      <c r="D371" s="246" t="s">
        <v>3979</v>
      </c>
      <c r="E371" s="199">
        <v>0</v>
      </c>
      <c r="F371" s="199">
        <f t="shared" si="38"/>
        <v>0</v>
      </c>
      <c r="G371" s="629">
        <v>15</v>
      </c>
      <c r="H371" s="720" t="str">
        <f t="shared" si="37"/>
        <v>USD</v>
      </c>
      <c r="I371" s="820" t="s">
        <v>4567</v>
      </c>
      <c r="J371" s="155" t="s">
        <v>3967</v>
      </c>
      <c r="K371" s="155" t="s">
        <v>4568</v>
      </c>
      <c r="L371" s="247">
        <f t="shared" si="35"/>
        <v>1</v>
      </c>
      <c r="M371" s="121">
        <f>SUMIFS('Bilateral Assistance, MAIN DATA'!M:M,'Bilateral Assistance, MAIN DATA'!I:I,'Price List, Weapons &amp; Items'!B371)</f>
        <v>5300</v>
      </c>
      <c r="N371" s="19">
        <f>COUNTIFS('Bilateral Assistance, MAIN DATA'!M:M,"undisclosed",'Bilateral Assistance, MAIN DATA'!I:I,'Price List, Weapons &amp; Items'!B371)</f>
        <v>0</v>
      </c>
      <c r="O371" s="723">
        <f t="shared" si="36"/>
        <v>79500</v>
      </c>
      <c r="P371" s="19">
        <f>IFERROR(IF(SEARCH(B371,_xlfn.ARRAYTOTEXT('Bilateral Assistance, MAIN DATA'!I$1:I$1622))&gt;0,1,""),0)</f>
        <v>1</v>
      </c>
      <c r="Q371" s="19">
        <f>IFERROR(IF(SEARCH(B371,_xlfn.ARRAYTOTEXT('Commercial Assistance'!I$1:I$1400))&gt;0,1,""),0)</f>
        <v>0</v>
      </c>
      <c r="R371" s="247" t="str">
        <f>IF(SUMIFS('Bilateral Assistance, MAIN DATA'!N:N,'Bilateral Assistance, MAIN DATA'!I:I,'Price List, Weapons &amp; Items'!B371)&gt;M371,1,".")</f>
        <v>.</v>
      </c>
    </row>
    <row r="372" spans="2:18" ht="15" customHeight="1" x14ac:dyDescent="0.3">
      <c r="B372" s="188" t="s">
        <v>4569</v>
      </c>
      <c r="C372" s="113" t="s">
        <v>812</v>
      </c>
      <c r="D372" s="113" t="s">
        <v>812</v>
      </c>
      <c r="E372" s="199">
        <v>0</v>
      </c>
      <c r="F372" s="199">
        <f t="shared" si="38"/>
        <v>0</v>
      </c>
      <c r="G372" s="629">
        <v>11.99</v>
      </c>
      <c r="H372" s="720" t="str">
        <f t="shared" si="37"/>
        <v>USD</v>
      </c>
      <c r="I372" s="820" t="s">
        <v>3970</v>
      </c>
      <c r="J372" s="155" t="s">
        <v>3971</v>
      </c>
      <c r="K372" s="250" t="s">
        <v>4570</v>
      </c>
      <c r="L372" s="247">
        <f t="shared" si="35"/>
        <v>1</v>
      </c>
      <c r="M372" s="121">
        <f>SUMIFS('Bilateral Assistance, MAIN DATA'!M:M,'Bilateral Assistance, MAIN DATA'!I:I,'Price List, Weapons &amp; Items'!B372)</f>
        <v>165</v>
      </c>
      <c r="N372" s="19">
        <f>COUNTIFS('Bilateral Assistance, MAIN DATA'!M:M,"undisclosed",'Bilateral Assistance, MAIN DATA'!I:I,'Price List, Weapons &amp; Items'!B372)</f>
        <v>0</v>
      </c>
      <c r="O372" s="723">
        <f t="shared" si="36"/>
        <v>1978.3500000000001</v>
      </c>
      <c r="P372" s="19">
        <f>IFERROR(IF(SEARCH(B372,_xlfn.ARRAYTOTEXT('Bilateral Assistance, MAIN DATA'!I$1:I$1622))&gt;0,1,""),0)</f>
        <v>1</v>
      </c>
      <c r="Q372" s="19">
        <f>IFERROR(IF(SEARCH(B372,_xlfn.ARRAYTOTEXT('Commercial Assistance'!I$1:I$1400))&gt;0,1,""),0)</f>
        <v>0</v>
      </c>
      <c r="R372" s="247" t="str">
        <f>IF(SUMIFS('Bilateral Assistance, MAIN DATA'!N:N,'Bilateral Assistance, MAIN DATA'!I:I,'Price List, Weapons &amp; Items'!B372)&gt;M372,1,".")</f>
        <v>.</v>
      </c>
    </row>
    <row r="373" spans="2:18" ht="15" customHeight="1" x14ac:dyDescent="0.3">
      <c r="B373" s="188" t="s">
        <v>4571</v>
      </c>
      <c r="C373" s="113" t="s">
        <v>812</v>
      </c>
      <c r="D373" s="113" t="s">
        <v>812</v>
      </c>
      <c r="E373" s="199">
        <v>0</v>
      </c>
      <c r="F373" s="199">
        <f t="shared" si="38"/>
        <v>0</v>
      </c>
      <c r="G373" s="629">
        <v>9.93</v>
      </c>
      <c r="H373" s="720" t="str">
        <f t="shared" si="37"/>
        <v>USD</v>
      </c>
      <c r="I373" s="820" t="s">
        <v>4572</v>
      </c>
      <c r="J373" s="155" t="s">
        <v>3971</v>
      </c>
      <c r="K373" s="250" t="s">
        <v>4573</v>
      </c>
      <c r="L373" s="247">
        <f t="shared" si="35"/>
        <v>1</v>
      </c>
      <c r="M373" s="121">
        <f>SUMIFS('Bilateral Assistance, MAIN DATA'!M:M,'Bilateral Assistance, MAIN DATA'!I:I,'Price List, Weapons &amp; Items'!B373)</f>
        <v>100</v>
      </c>
      <c r="N373" s="19">
        <f>COUNTIFS('Bilateral Assistance, MAIN DATA'!M:M,"undisclosed",'Bilateral Assistance, MAIN DATA'!I:I,'Price List, Weapons &amp; Items'!B373)</f>
        <v>0</v>
      </c>
      <c r="O373" s="723">
        <f t="shared" si="36"/>
        <v>993</v>
      </c>
      <c r="P373" s="19">
        <f>IFERROR(IF(SEARCH(B373,_xlfn.ARRAYTOTEXT('Bilateral Assistance, MAIN DATA'!I$1:I$1622))&gt;0,1,""),0)</f>
        <v>1</v>
      </c>
      <c r="Q373" s="19">
        <f>IFERROR(IF(SEARCH(B373,_xlfn.ARRAYTOTEXT('Commercial Assistance'!I$1:I$1400))&gt;0,1,""),0)</f>
        <v>0</v>
      </c>
      <c r="R373" s="247" t="str">
        <f>IF(SUMIFS('Bilateral Assistance, MAIN DATA'!N:N,'Bilateral Assistance, MAIN DATA'!I:I,'Price List, Weapons &amp; Items'!B373)&gt;M373,1,".")</f>
        <v>.</v>
      </c>
    </row>
    <row r="374" spans="2:18" ht="15" customHeight="1" x14ac:dyDescent="0.3">
      <c r="B374" s="448" t="s">
        <v>4574</v>
      </c>
      <c r="C374" s="113" t="s">
        <v>812</v>
      </c>
      <c r="D374" s="113" t="s">
        <v>812</v>
      </c>
      <c r="E374" s="199">
        <v>0</v>
      </c>
      <c r="F374" s="199">
        <f t="shared" si="38"/>
        <v>0</v>
      </c>
      <c r="G374" s="629">
        <v>2.5</v>
      </c>
      <c r="H374" s="720" t="str">
        <f t="shared" si="37"/>
        <v>USD</v>
      </c>
      <c r="I374" s="832" t="s">
        <v>4575</v>
      </c>
      <c r="J374" s="155" t="s">
        <v>3971</v>
      </c>
      <c r="K374" s="267" t="s">
        <v>4576</v>
      </c>
      <c r="L374" s="247">
        <f t="shared" si="35"/>
        <v>1</v>
      </c>
      <c r="M374" s="121">
        <f>SUMIFS('Bilateral Assistance, MAIN DATA'!M:M,'Bilateral Assistance, MAIN DATA'!I:I,'Price List, Weapons &amp; Items'!B374)</f>
        <v>1700</v>
      </c>
      <c r="N374" s="19">
        <f>COUNTIFS('Bilateral Assistance, MAIN DATA'!M:M,"undisclosed",'Bilateral Assistance, MAIN DATA'!I:I,'Price List, Weapons &amp; Items'!B374)</f>
        <v>0</v>
      </c>
      <c r="O374" s="723">
        <f t="shared" si="36"/>
        <v>4250</v>
      </c>
      <c r="P374" s="19">
        <f>IFERROR(IF(SEARCH(B374,_xlfn.ARRAYTOTEXT('Bilateral Assistance, MAIN DATA'!I$1:I$1622))&gt;0,1,""),0)</f>
        <v>1</v>
      </c>
      <c r="Q374" s="19">
        <f>IFERROR(IF(SEARCH(B374,_xlfn.ARRAYTOTEXT('Commercial Assistance'!I$1:I$1400))&gt;0,1,""),0)</f>
        <v>0</v>
      </c>
      <c r="R374" s="247" t="str">
        <f>IF(SUMIFS('Bilateral Assistance, MAIN DATA'!N:N,'Bilateral Assistance, MAIN DATA'!I:I,'Price List, Weapons &amp; Items'!B374)&gt;M374,1,".")</f>
        <v>.</v>
      </c>
    </row>
    <row r="375" spans="2:18" ht="15" customHeight="1" x14ac:dyDescent="0.3">
      <c r="B375" s="188" t="s">
        <v>4577</v>
      </c>
      <c r="C375" s="113" t="s">
        <v>3949</v>
      </c>
      <c r="D375" s="246" t="s">
        <v>3950</v>
      </c>
      <c r="E375" s="199">
        <v>1</v>
      </c>
      <c r="F375" s="199">
        <f t="shared" si="38"/>
        <v>0</v>
      </c>
      <c r="G375" s="629">
        <v>1.625</v>
      </c>
      <c r="H375" s="720" t="str">
        <f t="shared" si="37"/>
        <v>USD</v>
      </c>
      <c r="I375" s="820" t="s">
        <v>4578</v>
      </c>
      <c r="J375" s="155" t="s">
        <v>3971</v>
      </c>
      <c r="K375" s="155" t="s">
        <v>4579</v>
      </c>
      <c r="L375" s="247">
        <f t="shared" si="35"/>
        <v>1</v>
      </c>
      <c r="M375" s="121">
        <f>SUMIFS('Bilateral Assistance, MAIN DATA'!M:M,'Bilateral Assistance, MAIN DATA'!I:I,'Price List, Weapons &amp; Items'!B375)</f>
        <v>125000</v>
      </c>
      <c r="N375" s="19">
        <f>COUNTIFS('Bilateral Assistance, MAIN DATA'!M:M,"undisclosed",'Bilateral Assistance, MAIN DATA'!I:I,'Price List, Weapons &amp; Items'!B375)</f>
        <v>0</v>
      </c>
      <c r="O375" s="723">
        <f t="shared" si="36"/>
        <v>203125</v>
      </c>
      <c r="P375" s="19">
        <f>IFERROR(IF(SEARCH(B375,_xlfn.ARRAYTOTEXT('Bilateral Assistance, MAIN DATA'!I$1:I$1622))&gt;0,1,""),0)</f>
        <v>1</v>
      </c>
      <c r="Q375" s="19">
        <f>IFERROR(IF(SEARCH(B375,_xlfn.ARRAYTOTEXT('Commercial Assistance'!I$1:I$1400))&gt;0,1,""),0)</f>
        <v>0</v>
      </c>
      <c r="R375" s="247" t="str">
        <f>IF(SUMIFS('Bilateral Assistance, MAIN DATA'!N:N,'Bilateral Assistance, MAIN DATA'!I:I,'Price List, Weapons &amp; Items'!B375)&gt;M375,1,".")</f>
        <v>.</v>
      </c>
    </row>
    <row r="376" spans="2:18" ht="15" customHeight="1" x14ac:dyDescent="0.3">
      <c r="B376" s="175" t="s">
        <v>4580</v>
      </c>
      <c r="C376" s="113" t="s">
        <v>812</v>
      </c>
      <c r="D376" s="113" t="s">
        <v>812</v>
      </c>
      <c r="E376" s="199">
        <v>0</v>
      </c>
      <c r="F376" s="199">
        <f t="shared" si="38"/>
        <v>0</v>
      </c>
      <c r="G376" s="629">
        <v>0.4</v>
      </c>
      <c r="H376" s="720" t="str">
        <f t="shared" si="37"/>
        <v>USD</v>
      </c>
      <c r="I376" s="821" t="s">
        <v>4581</v>
      </c>
      <c r="J376" s="155" t="s">
        <v>3971</v>
      </c>
      <c r="K376" s="155" t="s">
        <v>4582</v>
      </c>
      <c r="L376" s="247">
        <f t="shared" si="35"/>
        <v>1</v>
      </c>
      <c r="M376" s="121">
        <f>SUMIFS('Bilateral Assistance, MAIN DATA'!M:M,'Bilateral Assistance, MAIN DATA'!I:I,'Price List, Weapons &amp; Items'!B376)</f>
        <v>1000</v>
      </c>
      <c r="N376" s="19">
        <f>COUNTIFS('Bilateral Assistance, MAIN DATA'!M:M,"undisclosed",'Bilateral Assistance, MAIN DATA'!I:I,'Price List, Weapons &amp; Items'!B376)</f>
        <v>1</v>
      </c>
      <c r="O376" s="723">
        <f t="shared" si="36"/>
        <v>400</v>
      </c>
      <c r="P376" s="19">
        <f>IFERROR(IF(SEARCH(B376,_xlfn.ARRAYTOTEXT('Bilateral Assistance, MAIN DATA'!I$1:I$1622))&gt;0,1,""),0)</f>
        <v>1</v>
      </c>
      <c r="Q376" s="19">
        <f>IFERROR(IF(SEARCH(B376,_xlfn.ARRAYTOTEXT('Commercial Assistance'!I$1:I$1400))&gt;0,1,""),0)</f>
        <v>0</v>
      </c>
      <c r="R376" s="247" t="str">
        <f>IF(SUMIFS('Bilateral Assistance, MAIN DATA'!N:N,'Bilateral Assistance, MAIN DATA'!I:I,'Price List, Weapons &amp; Items'!B376)&gt;M376,1,".")</f>
        <v>.</v>
      </c>
    </row>
    <row r="377" spans="2:18" ht="15" customHeight="1" x14ac:dyDescent="0.3">
      <c r="B377" s="175" t="s">
        <v>4583</v>
      </c>
      <c r="C377" s="113" t="s">
        <v>812</v>
      </c>
      <c r="D377" s="113" t="s">
        <v>812</v>
      </c>
      <c r="E377" s="199">
        <v>0</v>
      </c>
      <c r="F377" s="199">
        <f t="shared" si="38"/>
        <v>0</v>
      </c>
      <c r="G377" s="629">
        <v>1.35</v>
      </c>
      <c r="H377" s="720" t="str">
        <f t="shared" si="37"/>
        <v>USD</v>
      </c>
      <c r="I377" s="820" t="s">
        <v>4584</v>
      </c>
      <c r="J377" s="155" t="s">
        <v>3975</v>
      </c>
      <c r="K377" s="155" t="s">
        <v>4585</v>
      </c>
      <c r="L377" s="247">
        <f t="shared" si="35"/>
        <v>1</v>
      </c>
      <c r="M377" s="121">
        <f>SUMIFS('Bilateral Assistance, MAIN DATA'!M:M,'Bilateral Assistance, MAIN DATA'!I:I,'Price List, Weapons &amp; Items'!B377)</f>
        <v>200000</v>
      </c>
      <c r="N377" s="19">
        <f>COUNTIFS('Bilateral Assistance, MAIN DATA'!M:M,"undisclosed",'Bilateral Assistance, MAIN DATA'!I:I,'Price List, Weapons &amp; Items'!B377)</f>
        <v>0</v>
      </c>
      <c r="O377" s="723">
        <f t="shared" si="36"/>
        <v>270000</v>
      </c>
      <c r="P377" s="19">
        <f>IFERROR(IF(SEARCH(B377,_xlfn.ARRAYTOTEXT('Bilateral Assistance, MAIN DATA'!I$1:I$1622))&gt;0,1,""),0)</f>
        <v>1</v>
      </c>
      <c r="Q377" s="19">
        <f>IFERROR(IF(SEARCH(B377,_xlfn.ARRAYTOTEXT('Commercial Assistance'!I$1:I$1400))&gt;0,1,""),0)</f>
        <v>0</v>
      </c>
      <c r="R377" s="247" t="str">
        <f>IF(SUMIFS('Bilateral Assistance, MAIN DATA'!N:N,'Bilateral Assistance, MAIN DATA'!I:I,'Price List, Weapons &amp; Items'!B377)&gt;M377,1,".")</f>
        <v>.</v>
      </c>
    </row>
    <row r="378" spans="2:18" ht="15" customHeight="1" x14ac:dyDescent="0.3">
      <c r="B378" s="188" t="s">
        <v>4586</v>
      </c>
      <c r="C378" s="113" t="s">
        <v>3949</v>
      </c>
      <c r="D378" s="246" t="s">
        <v>3950</v>
      </c>
      <c r="E378" s="199">
        <v>0</v>
      </c>
      <c r="F378" s="199">
        <f t="shared" si="38"/>
        <v>0</v>
      </c>
      <c r="G378" s="629">
        <v>0.95</v>
      </c>
      <c r="H378" s="720" t="str">
        <f t="shared" si="37"/>
        <v>USD</v>
      </c>
      <c r="I378" s="832" t="s">
        <v>4430</v>
      </c>
      <c r="J378" s="155" t="s">
        <v>3971</v>
      </c>
      <c r="K378" s="250" t="s">
        <v>4431</v>
      </c>
      <c r="L378" s="247">
        <f t="shared" si="35"/>
        <v>1</v>
      </c>
      <c r="M378" s="121">
        <f>SUMIFS('Bilateral Assistance, MAIN DATA'!M:M,'Bilateral Assistance, MAIN DATA'!I:I,'Price List, Weapons &amp; Items'!B378)</f>
        <v>150000</v>
      </c>
      <c r="N378" s="19">
        <f>COUNTIFS('Bilateral Assistance, MAIN DATA'!M:M,"undisclosed",'Bilateral Assistance, MAIN DATA'!I:I,'Price List, Weapons &amp; Items'!B378)</f>
        <v>0</v>
      </c>
      <c r="O378" s="723">
        <f t="shared" si="36"/>
        <v>142500</v>
      </c>
      <c r="P378" s="19">
        <f>IFERROR(IF(SEARCH(B378,_xlfn.ARRAYTOTEXT('Bilateral Assistance, MAIN DATA'!I$1:I$1622))&gt;0,1,""),0)</f>
        <v>1</v>
      </c>
      <c r="Q378" s="19">
        <f>IFERROR(IF(SEARCH(B378,_xlfn.ARRAYTOTEXT('Commercial Assistance'!I$1:I$1400))&gt;0,1,""),0)</f>
        <v>0</v>
      </c>
      <c r="R378" s="247" t="str">
        <f>IF(SUMIFS('Bilateral Assistance, MAIN DATA'!N:N,'Bilateral Assistance, MAIN DATA'!I:I,'Price List, Weapons &amp; Items'!B378)&gt;M378,1,".")</f>
        <v>.</v>
      </c>
    </row>
    <row r="379" spans="2:18" ht="15" customHeight="1" x14ac:dyDescent="0.3">
      <c r="B379" s="218" t="s">
        <v>4587</v>
      </c>
      <c r="C379" s="113" t="s">
        <v>3949</v>
      </c>
      <c r="D379" s="246" t="s">
        <v>3950</v>
      </c>
      <c r="E379" s="199">
        <v>0</v>
      </c>
      <c r="F379" s="199">
        <f t="shared" si="38"/>
        <v>0</v>
      </c>
      <c r="G379" s="629">
        <v>0.9</v>
      </c>
      <c r="H379" s="720" t="str">
        <f t="shared" si="37"/>
        <v>USD</v>
      </c>
      <c r="I379" s="832" t="s">
        <v>4430</v>
      </c>
      <c r="J379" s="155" t="s">
        <v>3971</v>
      </c>
      <c r="K379" s="250" t="s">
        <v>4588</v>
      </c>
      <c r="L379" s="247">
        <f t="shared" si="35"/>
        <v>1</v>
      </c>
      <c r="M379" s="121">
        <f>SUMIFS('Bilateral Assistance, MAIN DATA'!M:M,'Bilateral Assistance, MAIN DATA'!I:I,'Price List, Weapons &amp; Items'!B379)</f>
        <v>30000</v>
      </c>
      <c r="N379" s="19">
        <f>COUNTIFS('Bilateral Assistance, MAIN DATA'!M:M,"undisclosed",'Bilateral Assistance, MAIN DATA'!I:I,'Price List, Weapons &amp; Items'!B379)</f>
        <v>0</v>
      </c>
      <c r="O379" s="723">
        <f t="shared" si="36"/>
        <v>27000</v>
      </c>
      <c r="P379" s="19">
        <f>IFERROR(IF(SEARCH(B379,_xlfn.ARRAYTOTEXT('Bilateral Assistance, MAIN DATA'!I$1:I$1622))&gt;0,1,""),0)</f>
        <v>1</v>
      </c>
      <c r="Q379" s="19">
        <f>IFERROR(IF(SEARCH(B379,_xlfn.ARRAYTOTEXT('Commercial Assistance'!I$1:I$1400))&gt;0,1,""),0)</f>
        <v>0</v>
      </c>
      <c r="R379" s="247" t="str">
        <f>IF(SUMIFS('Bilateral Assistance, MAIN DATA'!N:N,'Bilateral Assistance, MAIN DATA'!I:I,'Price List, Weapons &amp; Items'!B379)&gt;M379,1,".")</f>
        <v>.</v>
      </c>
    </row>
    <row r="380" spans="2:18" ht="15" customHeight="1" x14ac:dyDescent="0.3">
      <c r="B380" s="175" t="s">
        <v>4589</v>
      </c>
      <c r="C380" s="113" t="s">
        <v>812</v>
      </c>
      <c r="D380" s="113" t="s">
        <v>812</v>
      </c>
      <c r="E380" s="199">
        <v>0</v>
      </c>
      <c r="F380" s="199">
        <f t="shared" si="38"/>
        <v>0</v>
      </c>
      <c r="G380" s="629">
        <v>0.38</v>
      </c>
      <c r="H380" s="720" t="str">
        <f t="shared" si="37"/>
        <v>USD</v>
      </c>
      <c r="I380" s="821" t="s">
        <v>4590</v>
      </c>
      <c r="J380" s="155" t="s">
        <v>3971</v>
      </c>
      <c r="K380" s="155" t="s">
        <v>4591</v>
      </c>
      <c r="L380" s="247">
        <f t="shared" si="35"/>
        <v>1</v>
      </c>
      <c r="M380" s="121">
        <f>SUMIFS('Bilateral Assistance, MAIN DATA'!M:M,'Bilateral Assistance, MAIN DATA'!I:I,'Price List, Weapons &amp; Items'!B380)</f>
        <v>1500</v>
      </c>
      <c r="N380" s="19">
        <f>COUNTIFS('Bilateral Assistance, MAIN DATA'!M:M,"undisclosed",'Bilateral Assistance, MAIN DATA'!I:I,'Price List, Weapons &amp; Items'!B380)</f>
        <v>0</v>
      </c>
      <c r="O380" s="723">
        <f t="shared" si="36"/>
        <v>570</v>
      </c>
      <c r="P380" s="19">
        <f>IFERROR(IF(SEARCH(B380,_xlfn.ARRAYTOTEXT('Bilateral Assistance, MAIN DATA'!I$1:I$1622))&gt;0,1,""),0)</f>
        <v>1</v>
      </c>
      <c r="Q380" s="19">
        <f>IFERROR(IF(SEARCH(B380,_xlfn.ARRAYTOTEXT('Commercial Assistance'!I$1:I$1400))&gt;0,1,""),0)</f>
        <v>0</v>
      </c>
      <c r="R380" s="247" t="str">
        <f>IF(SUMIFS('Bilateral Assistance, MAIN DATA'!N:N,'Bilateral Assistance, MAIN DATA'!I:I,'Price List, Weapons &amp; Items'!B380)&gt;M380,1,".")</f>
        <v>.</v>
      </c>
    </row>
    <row r="381" spans="2:18" ht="15" customHeight="1" x14ac:dyDescent="0.3">
      <c r="B381" s="218" t="s">
        <v>4592</v>
      </c>
      <c r="C381" s="113" t="s">
        <v>3949</v>
      </c>
      <c r="D381" s="246" t="s">
        <v>3950</v>
      </c>
      <c r="E381" s="199">
        <v>0</v>
      </c>
      <c r="F381" s="199">
        <f t="shared" si="38"/>
        <v>0</v>
      </c>
      <c r="G381" s="629">
        <v>0.41799999999999998</v>
      </c>
      <c r="H381" s="720" t="str">
        <f t="shared" si="37"/>
        <v>USD</v>
      </c>
      <c r="I381" s="300" t="s">
        <v>4593</v>
      </c>
      <c r="J381" s="155" t="s">
        <v>3971</v>
      </c>
      <c r="K381" s="175" t="s">
        <v>4594</v>
      </c>
      <c r="L381" s="247">
        <f t="shared" si="35"/>
        <v>1</v>
      </c>
      <c r="M381" s="121">
        <f>SUMIFS('Bilateral Assistance, MAIN DATA'!M:M,'Bilateral Assistance, MAIN DATA'!I:I,'Price List, Weapons &amp; Items'!B381)</f>
        <v>108000</v>
      </c>
      <c r="N381" s="19">
        <f>COUNTIFS('Bilateral Assistance, MAIN DATA'!M:M,"undisclosed",'Bilateral Assistance, MAIN DATA'!I:I,'Price List, Weapons &amp; Items'!B381)</f>
        <v>0</v>
      </c>
      <c r="O381" s="723">
        <f t="shared" si="36"/>
        <v>45144</v>
      </c>
      <c r="P381" s="19">
        <f>IFERROR(IF(SEARCH(B381,_xlfn.ARRAYTOTEXT('Bilateral Assistance, MAIN DATA'!I$1:I$1622))&gt;0,1,""),0)</f>
        <v>1</v>
      </c>
      <c r="Q381" s="19">
        <f>IFERROR(IF(SEARCH(B381,_xlfn.ARRAYTOTEXT('Commercial Assistance'!I$1:I$1400))&gt;0,1,""),0)</f>
        <v>0</v>
      </c>
      <c r="R381" s="247" t="str">
        <f>IF(SUMIFS('Bilateral Assistance, MAIN DATA'!N:N,'Bilateral Assistance, MAIN DATA'!I:I,'Price List, Weapons &amp; Items'!B381)&gt;M381,1,".")</f>
        <v>.</v>
      </c>
    </row>
    <row r="382" spans="2:18" ht="15" customHeight="1" x14ac:dyDescent="0.3">
      <c r="B382" s="17" t="s">
        <v>4595</v>
      </c>
      <c r="C382" s="113" t="s">
        <v>3949</v>
      </c>
      <c r="D382" s="246" t="s">
        <v>4117</v>
      </c>
      <c r="E382" s="199">
        <v>0</v>
      </c>
      <c r="F382" s="199">
        <f t="shared" si="38"/>
        <v>0</v>
      </c>
      <c r="G382" s="629">
        <v>0.4</v>
      </c>
      <c r="H382" s="720" t="str">
        <f t="shared" si="37"/>
        <v>USD</v>
      </c>
      <c r="I382" s="834" t="s">
        <v>4596</v>
      </c>
      <c r="J382" s="155" t="s">
        <v>3971</v>
      </c>
      <c r="K382" s="251" t="s">
        <v>4597</v>
      </c>
      <c r="L382" s="247">
        <f t="shared" si="35"/>
        <v>1</v>
      </c>
      <c r="M382" s="121">
        <f>SUMIFS('Bilateral Assistance, MAIN DATA'!M:M,'Bilateral Assistance, MAIN DATA'!I:I,'Price List, Weapons &amp; Items'!B382)</f>
        <v>150000</v>
      </c>
      <c r="N382" s="19">
        <f>COUNTIFS('Bilateral Assistance, MAIN DATA'!M:M,"undisclosed",'Bilateral Assistance, MAIN DATA'!I:I,'Price List, Weapons &amp; Items'!B382)</f>
        <v>0</v>
      </c>
      <c r="O382" s="723">
        <f t="shared" si="36"/>
        <v>60000</v>
      </c>
      <c r="P382" s="19">
        <f>IFERROR(IF(SEARCH(B382,_xlfn.ARRAYTOTEXT('Bilateral Assistance, MAIN DATA'!I$1:I$1622))&gt;0,1,""),0)</f>
        <v>1</v>
      </c>
      <c r="Q382" s="19">
        <f>IFERROR(IF(SEARCH(B382,_xlfn.ARRAYTOTEXT('Commercial Assistance'!I$1:I$1400))&gt;0,1,""),0)</f>
        <v>0</v>
      </c>
      <c r="R382" s="247" t="str">
        <f>IF(SUMIFS('Bilateral Assistance, MAIN DATA'!N:N,'Bilateral Assistance, MAIN DATA'!I:I,'Price List, Weapons &amp; Items'!B382)&gt;M382,1,".")</f>
        <v>.</v>
      </c>
    </row>
    <row r="383" spans="2:18" ht="15" customHeight="1" x14ac:dyDescent="0.3">
      <c r="B383" s="188" t="s">
        <v>4598</v>
      </c>
      <c r="C383" s="113" t="s">
        <v>3949</v>
      </c>
      <c r="D383" s="246" t="s">
        <v>3950</v>
      </c>
      <c r="E383" s="199">
        <v>1</v>
      </c>
      <c r="F383" s="199">
        <f t="shared" si="38"/>
        <v>0</v>
      </c>
      <c r="G383" s="629">
        <v>0.4</v>
      </c>
      <c r="H383" s="720" t="str">
        <f t="shared" si="37"/>
        <v>USD</v>
      </c>
      <c r="I383" s="820" t="s">
        <v>4433</v>
      </c>
      <c r="J383" s="155" t="s">
        <v>3971</v>
      </c>
      <c r="K383" s="250" t="s">
        <v>4599</v>
      </c>
      <c r="L383" s="247">
        <f t="shared" si="35"/>
        <v>1</v>
      </c>
      <c r="M383" s="121">
        <f>SUMIFS('Bilateral Assistance, MAIN DATA'!M:M,'Bilateral Assistance, MAIN DATA'!I:I,'Price List, Weapons &amp; Items'!B383)</f>
        <v>500000</v>
      </c>
      <c r="N383" s="19">
        <f>COUNTIFS('Bilateral Assistance, MAIN DATA'!M:M,"undisclosed",'Bilateral Assistance, MAIN DATA'!I:I,'Price List, Weapons &amp; Items'!B383)</f>
        <v>0</v>
      </c>
      <c r="O383" s="723">
        <f t="shared" si="36"/>
        <v>200000</v>
      </c>
      <c r="P383" s="19">
        <f>IFERROR(IF(SEARCH(B383,_xlfn.ARRAYTOTEXT('Bilateral Assistance, MAIN DATA'!I$1:I$1622))&gt;0,1,""),0)</f>
        <v>1</v>
      </c>
      <c r="Q383" s="19">
        <f>IFERROR(IF(SEARCH(B383,_xlfn.ARRAYTOTEXT('Commercial Assistance'!I$1:I$1400))&gt;0,1,""),0)</f>
        <v>0</v>
      </c>
      <c r="R383" s="247" t="str">
        <f>IF(SUMIFS('Bilateral Assistance, MAIN DATA'!N:N,'Bilateral Assistance, MAIN DATA'!I:I,'Price List, Weapons &amp; Items'!B383)&gt;M383,1,".")</f>
        <v>.</v>
      </c>
    </row>
    <row r="384" spans="2:18" ht="15" customHeight="1" x14ac:dyDescent="0.3">
      <c r="B384" s="175" t="s">
        <v>1380</v>
      </c>
      <c r="C384" s="113" t="s">
        <v>812</v>
      </c>
      <c r="D384" s="246" t="s">
        <v>4190</v>
      </c>
      <c r="E384" s="199">
        <v>0</v>
      </c>
      <c r="F384" s="199">
        <f t="shared" si="38"/>
        <v>0</v>
      </c>
      <c r="G384" s="629">
        <v>32500</v>
      </c>
      <c r="H384" s="721" t="s">
        <v>346</v>
      </c>
      <c r="I384" s="853" t="s">
        <v>4600</v>
      </c>
      <c r="J384" s="249" t="s">
        <v>3971</v>
      </c>
      <c r="K384" s="155" t="s">
        <v>4601</v>
      </c>
      <c r="L384" s="247">
        <f t="shared" si="35"/>
        <v>1</v>
      </c>
      <c r="M384" s="121">
        <f>SUMIFS('Bilateral Assistance, MAIN DATA'!M:M,'Bilateral Assistance, MAIN DATA'!I:I,'Price List, Weapons &amp; Items'!B384)</f>
        <v>6</v>
      </c>
      <c r="N384" s="19">
        <f>COUNTIFS('Bilateral Assistance, MAIN DATA'!M:M,"undisclosed",'Bilateral Assistance, MAIN DATA'!I:I,'Price List, Weapons &amp; Items'!B384)</f>
        <v>0</v>
      </c>
      <c r="O384" s="723">
        <f t="shared" si="36"/>
        <v>195000</v>
      </c>
      <c r="P384" s="19">
        <f>IFERROR(IF(SEARCH(B384,_xlfn.ARRAYTOTEXT('Bilateral Assistance, MAIN DATA'!I$1:I$1622))&gt;0,1,""),0)</f>
        <v>1</v>
      </c>
      <c r="Q384" s="19">
        <f>IFERROR(IF(SEARCH(B384,_xlfn.ARRAYTOTEXT('Commercial Assistance'!I$1:I$1400))&gt;0,1,""),0)</f>
        <v>0</v>
      </c>
      <c r="R384" s="247" t="str">
        <f>IF(SUMIFS('Bilateral Assistance, MAIN DATA'!N:N,'Bilateral Assistance, MAIN DATA'!I:I,'Price List, Weapons &amp; Items'!B384)&gt;M384,1,".")</f>
        <v>.</v>
      </c>
    </row>
    <row r="385" spans="2:18" ht="15" customHeight="1" x14ac:dyDescent="0.3">
      <c r="B385" s="188" t="s">
        <v>4602</v>
      </c>
      <c r="C385" s="113" t="s">
        <v>812</v>
      </c>
      <c r="D385" s="113" t="s">
        <v>812</v>
      </c>
      <c r="E385" s="199">
        <v>0</v>
      </c>
      <c r="F385" s="199">
        <f t="shared" si="38"/>
        <v>0</v>
      </c>
      <c r="G385" s="629">
        <v>45</v>
      </c>
      <c r="H385" s="720" t="str">
        <f>IF(G385&lt;&gt;".","USD",".")</f>
        <v>USD</v>
      </c>
      <c r="I385" s="820" t="s">
        <v>4557</v>
      </c>
      <c r="J385" s="155" t="s">
        <v>3971</v>
      </c>
      <c r="K385" s="155" t="s">
        <v>4558</v>
      </c>
      <c r="L385" s="247">
        <f t="shared" si="35"/>
        <v>1</v>
      </c>
      <c r="M385" s="121">
        <f>SUMIFS('Bilateral Assistance, MAIN DATA'!M:M,'Bilateral Assistance, MAIN DATA'!I:I,'Price List, Weapons &amp; Items'!B385)</f>
        <v>2000</v>
      </c>
      <c r="N385" s="19">
        <f>COUNTIFS('Bilateral Assistance, MAIN DATA'!M:M,"undisclosed",'Bilateral Assistance, MAIN DATA'!I:I,'Price List, Weapons &amp; Items'!B385)</f>
        <v>3</v>
      </c>
      <c r="O385" s="723">
        <f t="shared" si="36"/>
        <v>90000</v>
      </c>
      <c r="P385" s="19">
        <f>IFERROR(IF(SEARCH(B385,_xlfn.ARRAYTOTEXT('Bilateral Assistance, MAIN DATA'!I$1:I$1622))&gt;0,1,""),0)</f>
        <v>1</v>
      </c>
      <c r="Q385" s="19">
        <f>IFERROR(IF(SEARCH(B385,_xlfn.ARRAYTOTEXT('Commercial Assistance'!I$1:I$1400))&gt;0,1,""),0)</f>
        <v>0</v>
      </c>
      <c r="R385" s="247" t="str">
        <f>IF(SUMIFS('Bilateral Assistance, MAIN DATA'!N:N,'Bilateral Assistance, MAIN DATA'!I:I,'Price List, Weapons &amp; Items'!B385)&gt;M385,1,".")</f>
        <v>.</v>
      </c>
    </row>
    <row r="386" spans="2:18" ht="15" customHeight="1" x14ac:dyDescent="0.3">
      <c r="B386" s="175" t="s">
        <v>1978</v>
      </c>
      <c r="C386" s="113" t="s">
        <v>812</v>
      </c>
      <c r="D386" s="246" t="s">
        <v>4040</v>
      </c>
      <c r="E386" s="199">
        <v>0</v>
      </c>
      <c r="F386" s="199">
        <f t="shared" si="38"/>
        <v>1</v>
      </c>
      <c r="G386" s="629">
        <f>60000</f>
        <v>60000</v>
      </c>
      <c r="H386" s="720" t="str">
        <f>IF(G386&lt;&gt;".","USD",".")</f>
        <v>USD</v>
      </c>
      <c r="I386" s="854" t="s">
        <v>4496</v>
      </c>
      <c r="J386" s="155" t="s">
        <v>3964</v>
      </c>
      <c r="K386" s="250" t="s">
        <v>4497</v>
      </c>
      <c r="L386" s="247">
        <f t="shared" si="35"/>
        <v>1</v>
      </c>
      <c r="M386" s="121">
        <f>SUMIFS('Bilateral Assistance, MAIN DATA'!M:M,'Bilateral Assistance, MAIN DATA'!I:I,'Price List, Weapons &amp; Items'!B386)</f>
        <v>7</v>
      </c>
      <c r="N386" s="19">
        <f>COUNTIFS('Bilateral Assistance, MAIN DATA'!M:M,"undisclosed",'Bilateral Assistance, MAIN DATA'!I:I,'Price List, Weapons &amp; Items'!B386)</f>
        <v>0</v>
      </c>
      <c r="O386" s="723">
        <f t="shared" si="36"/>
        <v>420000</v>
      </c>
      <c r="P386" s="19">
        <f>IFERROR(IF(SEARCH(B386,_xlfn.ARRAYTOTEXT('Bilateral Assistance, MAIN DATA'!I$1:I$1622))&gt;0,1,""),0)</f>
        <v>1</v>
      </c>
      <c r="Q386" s="19">
        <f>IFERROR(IF(SEARCH(B386,_xlfn.ARRAYTOTEXT('Commercial Assistance'!I$1:I$1400))&gt;0,1,""),0)</f>
        <v>0</v>
      </c>
      <c r="R386" s="247" t="str">
        <f>IF(SUMIFS('Bilateral Assistance, MAIN DATA'!N:N,'Bilateral Assistance, MAIN DATA'!I:I,'Price List, Weapons &amp; Items'!B386)&gt;M386,1,".")</f>
        <v>.</v>
      </c>
    </row>
    <row r="387" spans="2:18" ht="15" customHeight="1" x14ac:dyDescent="0.3">
      <c r="B387" s="185" t="s">
        <v>1397</v>
      </c>
      <c r="C387" s="113" t="s">
        <v>4034</v>
      </c>
      <c r="D387" s="113" t="s">
        <v>812</v>
      </c>
      <c r="E387" s="199">
        <v>0</v>
      </c>
      <c r="F387" s="199">
        <f t="shared" si="38"/>
        <v>0</v>
      </c>
      <c r="G387" s="629">
        <v>72000</v>
      </c>
      <c r="H387" s="721" t="s">
        <v>346</v>
      </c>
      <c r="I387" s="854" t="s">
        <v>4603</v>
      </c>
      <c r="J387" s="249" t="s">
        <v>4008</v>
      </c>
      <c r="K387" s="250" t="s">
        <v>4604</v>
      </c>
      <c r="L387" s="247">
        <f t="shared" si="35"/>
        <v>1</v>
      </c>
      <c r="M387" s="121">
        <f>SUMIFS('Bilateral Assistance, MAIN DATA'!M:M,'Bilateral Assistance, MAIN DATA'!I:I,'Price List, Weapons &amp; Items'!B387)</f>
        <v>7</v>
      </c>
      <c r="N387" s="19">
        <f>COUNTIFS('Bilateral Assistance, MAIN DATA'!M:M,"undisclosed",'Bilateral Assistance, MAIN DATA'!I:I,'Price List, Weapons &amp; Items'!B387)</f>
        <v>0</v>
      </c>
      <c r="O387" s="723">
        <f t="shared" si="36"/>
        <v>504000</v>
      </c>
      <c r="P387" s="19">
        <f>IFERROR(IF(SEARCH(B387,_xlfn.ARRAYTOTEXT('Bilateral Assistance, MAIN DATA'!I$1:I$1622))&gt;0,1,""),0)</f>
        <v>1</v>
      </c>
      <c r="Q387" s="19">
        <f>IFERROR(IF(SEARCH(B387,_xlfn.ARRAYTOTEXT('Commercial Assistance'!I$1:I$1400))&gt;0,1,""),0)</f>
        <v>0</v>
      </c>
      <c r="R387" s="247" t="str">
        <f>IF(SUMIFS('Bilateral Assistance, MAIN DATA'!N:N,'Bilateral Assistance, MAIN DATA'!I:I,'Price List, Weapons &amp; Items'!B387)&gt;M387,1,".")</f>
        <v>.</v>
      </c>
    </row>
    <row r="388" spans="2:18" ht="15" customHeight="1" x14ac:dyDescent="0.3">
      <c r="B388" s="175" t="s">
        <v>4605</v>
      </c>
      <c r="C388" s="113" t="s">
        <v>256</v>
      </c>
      <c r="D388" s="113" t="s">
        <v>256</v>
      </c>
      <c r="E388" s="199">
        <v>0</v>
      </c>
      <c r="F388" s="199">
        <f t="shared" si="38"/>
        <v>0</v>
      </c>
      <c r="G388" s="629" t="s">
        <v>260</v>
      </c>
      <c r="H388" s="720" t="str">
        <f t="shared" ref="H388:H409" si="39">IF(G388&lt;&gt;".","USD",".")</f>
        <v>.</v>
      </c>
      <c r="I388" s="155" t="s">
        <v>260</v>
      </c>
      <c r="J388" s="155" t="str">
        <f t="shared" ref="J388:J401" si="40">IF(I388&lt;&gt;".",".",".")</f>
        <v>.</v>
      </c>
      <c r="K388" s="155" t="s">
        <v>4606</v>
      </c>
      <c r="L388" s="247">
        <f t="shared" si="35"/>
        <v>0</v>
      </c>
      <c r="M388" s="121">
        <f>SUMIFS('Bilateral Assistance, MAIN DATA'!M:M,'Bilateral Assistance, MAIN DATA'!I:I,'Price List, Weapons &amp; Items'!B388)</f>
        <v>4000</v>
      </c>
      <c r="N388" s="19">
        <f>COUNTIFS('Bilateral Assistance, MAIN DATA'!M:M,"undisclosed",'Bilateral Assistance, MAIN DATA'!I:I,'Price List, Weapons &amp; Items'!B388)</f>
        <v>0</v>
      </c>
      <c r="O388" s="723" t="str">
        <f t="shared" si="36"/>
        <v>no price</v>
      </c>
      <c r="P388" s="19">
        <f>IFERROR(IF(SEARCH(B388,_xlfn.ARRAYTOTEXT('Bilateral Assistance, MAIN DATA'!I$1:I$1622))&gt;0,1,""),0)</f>
        <v>1</v>
      </c>
      <c r="Q388" s="19">
        <f>IFERROR(IF(SEARCH(B388,_xlfn.ARRAYTOTEXT('Commercial Assistance'!I$1:I$1400))&gt;0,1,""),0)</f>
        <v>0</v>
      </c>
      <c r="R388" s="247" t="str">
        <f>IF(SUMIFS('Bilateral Assistance, MAIN DATA'!N:N,'Bilateral Assistance, MAIN DATA'!I:I,'Price List, Weapons &amp; Items'!B388)&gt;M388,1,".")</f>
        <v>.</v>
      </c>
    </row>
    <row r="389" spans="2:18" ht="15" customHeight="1" x14ac:dyDescent="0.3">
      <c r="B389" s="175" t="s">
        <v>2227</v>
      </c>
      <c r="C389" s="113" t="s">
        <v>256</v>
      </c>
      <c r="D389" s="113" t="s">
        <v>256</v>
      </c>
      <c r="E389" s="199">
        <v>0</v>
      </c>
      <c r="F389" s="199">
        <f t="shared" si="38"/>
        <v>0</v>
      </c>
      <c r="G389" s="629" t="s">
        <v>260</v>
      </c>
      <c r="H389" s="720" t="str">
        <f t="shared" si="39"/>
        <v>.</v>
      </c>
      <c r="I389" s="249" t="s">
        <v>260</v>
      </c>
      <c r="J389" s="155" t="str">
        <f t="shared" si="40"/>
        <v>.</v>
      </c>
      <c r="K389" s="155" t="s">
        <v>260</v>
      </c>
      <c r="L389" s="247">
        <f t="shared" si="35"/>
        <v>0</v>
      </c>
      <c r="M389" s="121">
        <f>SUMIFS('Bilateral Assistance, MAIN DATA'!M:M,'Bilateral Assistance, MAIN DATA'!I:I,'Price List, Weapons &amp; Items'!B389)</f>
        <v>0</v>
      </c>
      <c r="N389" s="19">
        <f>COUNTIFS('Bilateral Assistance, MAIN DATA'!M:M,"undisclosed",'Bilateral Assistance, MAIN DATA'!I:I,'Price List, Weapons &amp; Items'!B389)</f>
        <v>1</v>
      </c>
      <c r="O389" s="723" t="str">
        <f t="shared" si="36"/>
        <v>no price</v>
      </c>
      <c r="P389" s="19">
        <f>IFERROR(IF(SEARCH(B389,_xlfn.ARRAYTOTEXT('Bilateral Assistance, MAIN DATA'!I$1:I$1622))&gt;0,1,""),0)</f>
        <v>1</v>
      </c>
      <c r="Q389" s="19">
        <f>IFERROR(IF(SEARCH(B389,_xlfn.ARRAYTOTEXT('Commercial Assistance'!I$1:I$1400))&gt;0,1,""),0)</f>
        <v>0</v>
      </c>
      <c r="R389" s="247" t="str">
        <f>IF(SUMIFS('Bilateral Assistance, MAIN DATA'!N:N,'Bilateral Assistance, MAIN DATA'!I:I,'Price List, Weapons &amp; Items'!B389)&gt;M389,1,".")</f>
        <v>.</v>
      </c>
    </row>
    <row r="390" spans="2:18" ht="15" customHeight="1" x14ac:dyDescent="0.3">
      <c r="B390" s="175" t="s">
        <v>4607</v>
      </c>
      <c r="C390" s="113" t="s">
        <v>812</v>
      </c>
      <c r="D390" s="113" t="s">
        <v>812</v>
      </c>
      <c r="E390" s="199">
        <v>0</v>
      </c>
      <c r="F390" s="199">
        <f t="shared" si="38"/>
        <v>0</v>
      </c>
      <c r="G390" s="863">
        <v>19354990.800000001</v>
      </c>
      <c r="H390" s="720" t="s">
        <v>346</v>
      </c>
      <c r="I390" s="978" t="s">
        <v>3958</v>
      </c>
      <c r="J390" s="252" t="s">
        <v>3959</v>
      </c>
      <c r="K390" s="864" t="s">
        <v>4608</v>
      </c>
      <c r="L390" s="247">
        <f t="shared" si="35"/>
        <v>2</v>
      </c>
      <c r="M390" s="121">
        <f>SUMIFS('Bilateral Assistance, MAIN DATA'!M:M,'Bilateral Assistance, MAIN DATA'!I:I,'Price List, Weapons &amp; Items'!B390)</f>
        <v>2</v>
      </c>
      <c r="N390" s="19">
        <f>COUNTIFS('Bilateral Assistance, MAIN DATA'!M:M,"undisclosed",'Bilateral Assistance, MAIN DATA'!I:I,'Price List, Weapons &amp; Items'!B390)</f>
        <v>0</v>
      </c>
      <c r="O390" s="723">
        <f t="shared" si="36"/>
        <v>38709981.600000001</v>
      </c>
      <c r="P390" s="19">
        <f>IFERROR(IF(SEARCH(B390,_xlfn.ARRAYTOTEXT('Bilateral Assistance, MAIN DATA'!I$1:I$1622))&gt;0,1,""),0)</f>
        <v>1</v>
      </c>
      <c r="Q390" s="19">
        <f>IFERROR(IF(SEARCH(B390,_xlfn.ARRAYTOTEXT('Commercial Assistance'!I$1:I$1400))&gt;0,1,""),0)</f>
        <v>0</v>
      </c>
      <c r="R390" s="247" t="str">
        <f>IF(SUMIFS('Bilateral Assistance, MAIN DATA'!N:N,'Bilateral Assistance, MAIN DATA'!I:I,'Price List, Weapons &amp; Items'!B390)&gt;M390,1,".")</f>
        <v>.</v>
      </c>
    </row>
    <row r="391" spans="2:18" ht="15" customHeight="1" x14ac:dyDescent="0.3">
      <c r="B391" s="175" t="s">
        <v>1457</v>
      </c>
      <c r="C391" s="113" t="s">
        <v>812</v>
      </c>
      <c r="D391" s="113" t="s">
        <v>812</v>
      </c>
      <c r="E391" s="199">
        <v>0</v>
      </c>
      <c r="F391" s="199">
        <f t="shared" si="38"/>
        <v>0</v>
      </c>
      <c r="G391" s="629">
        <v>22216</v>
      </c>
      <c r="H391" s="720" t="s">
        <v>346</v>
      </c>
      <c r="I391" s="820" t="s">
        <v>4609</v>
      </c>
      <c r="J391" s="155" t="s">
        <v>4008</v>
      </c>
      <c r="K391" s="155" t="s">
        <v>4610</v>
      </c>
      <c r="L391" s="247">
        <f t="shared" si="35"/>
        <v>2</v>
      </c>
      <c r="M391" s="121">
        <f>SUMIFS('Bilateral Assistance, MAIN DATA'!M:M,'Bilateral Assistance, MAIN DATA'!I:I,'Price List, Weapons &amp; Items'!B391)</f>
        <v>584</v>
      </c>
      <c r="N391" s="19">
        <f>COUNTIFS('Bilateral Assistance, MAIN DATA'!M:M,"undisclosed",'Bilateral Assistance, MAIN DATA'!I:I,'Price List, Weapons &amp; Items'!B391)</f>
        <v>2</v>
      </c>
      <c r="O391" s="723">
        <f t="shared" si="36"/>
        <v>12974144</v>
      </c>
      <c r="P391" s="19">
        <f>IFERROR(IF(SEARCH(B391,_xlfn.ARRAYTOTEXT('Bilateral Assistance, MAIN DATA'!I$1:I$1622))&gt;0,1,""),0)</f>
        <v>1</v>
      </c>
      <c r="Q391" s="19">
        <f>IFERROR(IF(SEARCH(B391,_xlfn.ARRAYTOTEXT('Commercial Assistance'!I$1:I$1400))&gt;0,1,""),0)</f>
        <v>0</v>
      </c>
      <c r="R391" s="247" t="str">
        <f>IF(SUMIFS('Bilateral Assistance, MAIN DATA'!N:N,'Bilateral Assistance, MAIN DATA'!I:I,'Price List, Weapons &amp; Items'!B391)&gt;M391,1,".")</f>
        <v>.</v>
      </c>
    </row>
    <row r="392" spans="2:18" ht="15" customHeight="1" x14ac:dyDescent="0.3">
      <c r="B392" s="175" t="s">
        <v>4611</v>
      </c>
      <c r="C392" s="113" t="s">
        <v>812</v>
      </c>
      <c r="D392" s="113" t="s">
        <v>812</v>
      </c>
      <c r="E392" s="199">
        <v>0</v>
      </c>
      <c r="F392" s="199">
        <f t="shared" si="38"/>
        <v>0</v>
      </c>
      <c r="G392" s="629" t="s">
        <v>260</v>
      </c>
      <c r="H392" s="720" t="str">
        <f t="shared" si="39"/>
        <v>.</v>
      </c>
      <c r="I392" s="155" t="s">
        <v>260</v>
      </c>
      <c r="J392" s="155" t="str">
        <f t="shared" si="40"/>
        <v>.</v>
      </c>
      <c r="K392" s="155" t="s">
        <v>260</v>
      </c>
      <c r="L392" s="247">
        <f t="shared" si="35"/>
        <v>0</v>
      </c>
      <c r="M392" s="121">
        <f>SUMIFS('Bilateral Assistance, MAIN DATA'!M:M,'Bilateral Assistance, MAIN DATA'!I:I,'Price List, Weapons &amp; Items'!B392)</f>
        <v>10</v>
      </c>
      <c r="N392" s="19">
        <f>COUNTIFS('Bilateral Assistance, MAIN DATA'!M:M,"undisclosed",'Bilateral Assistance, MAIN DATA'!I:I,'Price List, Weapons &amp; Items'!B392)</f>
        <v>0</v>
      </c>
      <c r="O392" s="723" t="str">
        <f t="shared" si="36"/>
        <v>no price</v>
      </c>
      <c r="P392" s="19">
        <f>IFERROR(IF(SEARCH(B392,_xlfn.ARRAYTOTEXT('Bilateral Assistance, MAIN DATA'!I$1:I$1622))&gt;0,1,""),0)</f>
        <v>1</v>
      </c>
      <c r="Q392" s="19">
        <f>IFERROR(IF(SEARCH(B392,_xlfn.ARRAYTOTEXT('Commercial Assistance'!I$1:I$1400))&gt;0,1,""),0)</f>
        <v>0</v>
      </c>
      <c r="R392" s="247" t="str">
        <f>IF(SUMIFS('Bilateral Assistance, MAIN DATA'!N:N,'Bilateral Assistance, MAIN DATA'!I:I,'Price List, Weapons &amp; Items'!B392)&gt;M392,1,".")</f>
        <v>.</v>
      </c>
    </row>
    <row r="393" spans="2:18" ht="15" customHeight="1" x14ac:dyDescent="0.3">
      <c r="B393" s="175" t="s">
        <v>1405</v>
      </c>
      <c r="C393" s="113" t="s">
        <v>812</v>
      </c>
      <c r="D393" s="113" t="s">
        <v>812</v>
      </c>
      <c r="E393" s="199">
        <v>0</v>
      </c>
      <c r="F393" s="199">
        <f t="shared" si="38"/>
        <v>0</v>
      </c>
      <c r="G393" s="629" t="s">
        <v>260</v>
      </c>
      <c r="H393" s="720" t="str">
        <f t="shared" si="39"/>
        <v>.</v>
      </c>
      <c r="I393" s="261" t="s">
        <v>260</v>
      </c>
      <c r="J393" s="155" t="str">
        <f t="shared" si="40"/>
        <v>.</v>
      </c>
      <c r="K393" s="260" t="s">
        <v>260</v>
      </c>
      <c r="L393" s="247">
        <f t="shared" si="35"/>
        <v>0</v>
      </c>
      <c r="M393" s="121">
        <f>SUMIFS('Bilateral Assistance, MAIN DATA'!M:M,'Bilateral Assistance, MAIN DATA'!I:I,'Price List, Weapons &amp; Items'!B393)</f>
        <v>7</v>
      </c>
      <c r="N393" s="19">
        <f>COUNTIFS('Bilateral Assistance, MAIN DATA'!M:M,"undisclosed",'Bilateral Assistance, MAIN DATA'!I:I,'Price List, Weapons &amp; Items'!B393)</f>
        <v>0</v>
      </c>
      <c r="O393" s="723" t="str">
        <f t="shared" si="36"/>
        <v>no price</v>
      </c>
      <c r="P393" s="19">
        <f>IFERROR(IF(SEARCH(B393,_xlfn.ARRAYTOTEXT('Bilateral Assistance, MAIN DATA'!I$1:I$1622))&gt;0,1,""),0)</f>
        <v>1</v>
      </c>
      <c r="Q393" s="19">
        <f>IFERROR(IF(SEARCH(B393,_xlfn.ARRAYTOTEXT('Commercial Assistance'!I$1:I$1400))&gt;0,1,""),0)</f>
        <v>0</v>
      </c>
      <c r="R393" s="247" t="str">
        <f>IF(SUMIFS('Bilateral Assistance, MAIN DATA'!N:N,'Bilateral Assistance, MAIN DATA'!I:I,'Price List, Weapons &amp; Items'!B393)&gt;M393,1,".")</f>
        <v>.</v>
      </c>
    </row>
    <row r="394" spans="2:18" ht="15" customHeight="1" x14ac:dyDescent="0.3">
      <c r="B394" s="185" t="s">
        <v>1347</v>
      </c>
      <c r="C394" s="113" t="s">
        <v>812</v>
      </c>
      <c r="D394" s="113" t="s">
        <v>812</v>
      </c>
      <c r="E394" s="199">
        <v>0</v>
      </c>
      <c r="F394" s="199">
        <f t="shared" si="38"/>
        <v>0</v>
      </c>
      <c r="G394" s="629" t="s">
        <v>260</v>
      </c>
      <c r="H394" s="720" t="str">
        <f t="shared" si="39"/>
        <v>.</v>
      </c>
      <c r="I394" s="249" t="s">
        <v>260</v>
      </c>
      <c r="J394" s="155" t="str">
        <f t="shared" si="40"/>
        <v>.</v>
      </c>
      <c r="K394" s="155" t="s">
        <v>4612</v>
      </c>
      <c r="L394" s="247">
        <f t="shared" si="35"/>
        <v>0</v>
      </c>
      <c r="M394" s="121">
        <f>SUMIFS('Bilateral Assistance, MAIN DATA'!M:M,'Bilateral Assistance, MAIN DATA'!I:I,'Price List, Weapons &amp; Items'!B394)</f>
        <v>12</v>
      </c>
      <c r="N394" s="19">
        <f>COUNTIFS('Bilateral Assistance, MAIN DATA'!M:M,"undisclosed",'Bilateral Assistance, MAIN DATA'!I:I,'Price List, Weapons &amp; Items'!B394)</f>
        <v>0</v>
      </c>
      <c r="O394" s="723" t="str">
        <f t="shared" si="36"/>
        <v>no price</v>
      </c>
      <c r="P394" s="19">
        <f>IFERROR(IF(SEARCH(B394,_xlfn.ARRAYTOTEXT('Bilateral Assistance, MAIN DATA'!I$1:I$1622))&gt;0,1,""),0)</f>
        <v>1</v>
      </c>
      <c r="Q394" s="19">
        <f>IFERROR(IF(SEARCH(B394,_xlfn.ARRAYTOTEXT('Commercial Assistance'!I$1:I$1400))&gt;0,1,""),0)</f>
        <v>0</v>
      </c>
      <c r="R394" s="247" t="str">
        <f>IF(SUMIFS('Bilateral Assistance, MAIN DATA'!N:N,'Bilateral Assistance, MAIN DATA'!I:I,'Price List, Weapons &amp; Items'!B394)&gt;M394,1,".")</f>
        <v>.</v>
      </c>
    </row>
    <row r="395" spans="2:18" ht="15" customHeight="1" x14ac:dyDescent="0.3">
      <c r="B395" s="188" t="s">
        <v>3330</v>
      </c>
      <c r="C395" s="113" t="s">
        <v>812</v>
      </c>
      <c r="D395" s="113" t="s">
        <v>812</v>
      </c>
      <c r="E395" s="199">
        <v>0</v>
      </c>
      <c r="F395" s="199">
        <f t="shared" si="38"/>
        <v>0</v>
      </c>
      <c r="G395" s="865" t="s">
        <v>260</v>
      </c>
      <c r="H395" s="720" t="str">
        <f t="shared" si="39"/>
        <v>.</v>
      </c>
      <c r="I395" s="979" t="s">
        <v>4613</v>
      </c>
      <c r="J395" s="155" t="s">
        <v>3959</v>
      </c>
      <c r="K395" s="19" t="s">
        <v>4614</v>
      </c>
      <c r="L395" s="247">
        <f t="shared" si="35"/>
        <v>0</v>
      </c>
      <c r="M395" s="121">
        <f>SUMIFS('Bilateral Assistance, MAIN DATA'!M:M,'Bilateral Assistance, MAIN DATA'!I:I,'Price List, Weapons &amp; Items'!B395)</f>
        <v>20</v>
      </c>
      <c r="N395" s="19">
        <f>COUNTIFS('Bilateral Assistance, MAIN DATA'!M:M,"undisclosed",'Bilateral Assistance, MAIN DATA'!I:I,'Price List, Weapons &amp; Items'!B395)</f>
        <v>0</v>
      </c>
      <c r="O395" s="723" t="str">
        <f t="shared" si="36"/>
        <v>no price</v>
      </c>
      <c r="P395" s="19">
        <f>IFERROR(IF(SEARCH(B395,_xlfn.ARRAYTOTEXT('Bilateral Assistance, MAIN DATA'!I$1:I$1622))&gt;0,1,""),0)</f>
        <v>1</v>
      </c>
      <c r="Q395" s="19">
        <f>IFERROR(IF(SEARCH(B395,_xlfn.ARRAYTOTEXT('Commercial Assistance'!I$1:I$1400))&gt;0,1,""),0)</f>
        <v>0</v>
      </c>
      <c r="R395" s="247" t="str">
        <f>IF(SUMIFS('Bilateral Assistance, MAIN DATA'!N:N,'Bilateral Assistance, MAIN DATA'!I:I,'Price List, Weapons &amp; Items'!B395)&gt;M395,1,".")</f>
        <v>.</v>
      </c>
    </row>
    <row r="396" spans="2:18" ht="15" customHeight="1" x14ac:dyDescent="0.3">
      <c r="B396" s="175" t="s">
        <v>4615</v>
      </c>
      <c r="C396" s="113" t="s">
        <v>812</v>
      </c>
      <c r="D396" s="113" t="s">
        <v>812</v>
      </c>
      <c r="E396" s="199">
        <v>0</v>
      </c>
      <c r="F396" s="199">
        <f t="shared" ref="F396:F409" si="41">IF(OR(D396="Armoured Personnel Carrier (APC)",D396="Armoured Recovery Vehicle (ARV)",D396="Armoured Utility Vehicle (AUV)",D396="152mm howitzer ammunition",D396="155mm howitzer ammunition",D396="300mm MLRS ammunition",D396="155mm howitzer",D396="227mm MLRS ammunition",D396="Infantry fighting vehicle (IFV)",D396="152mm howitzer",D396="227mm MLRS",D396="Main Battle Tank (MBT)",D396="Protected Patrol Vehicle (PPV)",D396="127mm MLRS",D396="122mm MLRS",D396="122mm MLRS ammunition",D396="122mm MLRS",D396="127mm MLRS",D396="127mm MLRS ammunition")=TRUE,1,0)</f>
        <v>0</v>
      </c>
      <c r="G396" s="629" t="s">
        <v>260</v>
      </c>
      <c r="H396" s="720" t="str">
        <f t="shared" si="39"/>
        <v>.</v>
      </c>
      <c r="I396" s="249" t="s">
        <v>260</v>
      </c>
      <c r="J396" s="155" t="str">
        <f t="shared" si="40"/>
        <v>.</v>
      </c>
      <c r="K396" s="155" t="s">
        <v>4616</v>
      </c>
      <c r="L396" s="247">
        <f t="shared" ref="L396:L459" si="42">IF(C396="Humanitarian",0,IF(M396&gt;0,IF(TYPE(O396)=1,IF(O396&gt;MEDIAN(O:O),2,1),0),"no price, 0 count"))</f>
        <v>0</v>
      </c>
      <c r="M396" s="121">
        <f>SUMIFS('Bilateral Assistance, MAIN DATA'!M:M,'Bilateral Assistance, MAIN DATA'!I:I,'Price List, Weapons &amp; Items'!B396)</f>
        <v>40</v>
      </c>
      <c r="N396" s="19">
        <f>COUNTIFS('Bilateral Assistance, MAIN DATA'!M:M,"undisclosed",'Bilateral Assistance, MAIN DATA'!I:I,'Price List, Weapons &amp; Items'!B396)</f>
        <v>0</v>
      </c>
      <c r="O396" s="723" t="str">
        <f t="shared" ref="O396:O457" si="43">IFERROR(M396*G396,"no price")</f>
        <v>no price</v>
      </c>
      <c r="P396" s="19">
        <f>IFERROR(IF(SEARCH(B396,_xlfn.ARRAYTOTEXT('Bilateral Assistance, MAIN DATA'!I$1:I$1622))&gt;0,1,""),0)</f>
        <v>1</v>
      </c>
      <c r="Q396" s="19">
        <f>IFERROR(IF(SEARCH(B396,_xlfn.ARRAYTOTEXT('Commercial Assistance'!I$1:I$1400))&gt;0,1,""),0)</f>
        <v>0</v>
      </c>
      <c r="R396" s="247" t="str">
        <f>IF(SUMIFS('Bilateral Assistance, MAIN DATA'!N:N,'Bilateral Assistance, MAIN DATA'!I:I,'Price List, Weapons &amp; Items'!B396)&gt;M396,1,".")</f>
        <v>.</v>
      </c>
    </row>
    <row r="397" spans="2:18" ht="15" customHeight="1" x14ac:dyDescent="0.3">
      <c r="B397" s="188" t="s">
        <v>3334</v>
      </c>
      <c r="C397" s="113" t="s">
        <v>812</v>
      </c>
      <c r="D397" s="113" t="s">
        <v>812</v>
      </c>
      <c r="E397" s="199">
        <v>0</v>
      </c>
      <c r="F397" s="199">
        <f t="shared" si="41"/>
        <v>0</v>
      </c>
      <c r="G397" s="865" t="s">
        <v>260</v>
      </c>
      <c r="H397" s="720" t="str">
        <f t="shared" si="39"/>
        <v>.</v>
      </c>
      <c r="I397" s="979" t="s">
        <v>4617</v>
      </c>
      <c r="J397" s="155" t="s">
        <v>3959</v>
      </c>
      <c r="K397" s="19" t="s">
        <v>4618</v>
      </c>
      <c r="L397" s="247">
        <f t="shared" si="42"/>
        <v>0</v>
      </c>
      <c r="M397" s="121">
        <f>SUMIFS('Bilateral Assistance, MAIN DATA'!M:M,'Bilateral Assistance, MAIN DATA'!I:I,'Price List, Weapons &amp; Items'!B397)</f>
        <v>16</v>
      </c>
      <c r="N397" s="19">
        <f>COUNTIFS('Bilateral Assistance, MAIN DATA'!M:M,"undisclosed",'Bilateral Assistance, MAIN DATA'!I:I,'Price List, Weapons &amp; Items'!B397)</f>
        <v>0</v>
      </c>
      <c r="O397" s="723" t="str">
        <f t="shared" si="43"/>
        <v>no price</v>
      </c>
      <c r="P397" s="19">
        <f>IFERROR(IF(SEARCH(B397,_xlfn.ARRAYTOTEXT('Bilateral Assistance, MAIN DATA'!I$1:I$1622))&gt;0,1,""),0)</f>
        <v>1</v>
      </c>
      <c r="Q397" s="19">
        <f>IFERROR(IF(SEARCH(B397,_xlfn.ARRAYTOTEXT('Commercial Assistance'!I$1:I$1400))&gt;0,1,""),0)</f>
        <v>0</v>
      </c>
      <c r="R397" s="247" t="str">
        <f>IF(SUMIFS('Bilateral Assistance, MAIN DATA'!N:N,'Bilateral Assistance, MAIN DATA'!I:I,'Price List, Weapons &amp; Items'!B397)&gt;M397,1,".")</f>
        <v>.</v>
      </c>
    </row>
    <row r="398" spans="2:18" ht="15" customHeight="1" x14ac:dyDescent="0.3">
      <c r="B398" s="175" t="s">
        <v>4619</v>
      </c>
      <c r="C398" s="113" t="s">
        <v>256</v>
      </c>
      <c r="D398" s="113" t="s">
        <v>256</v>
      </c>
      <c r="E398" s="199">
        <v>0</v>
      </c>
      <c r="F398" s="199">
        <f t="shared" si="41"/>
        <v>0</v>
      </c>
      <c r="G398" s="629" t="s">
        <v>260</v>
      </c>
      <c r="H398" s="720" t="str">
        <f t="shared" si="39"/>
        <v>.</v>
      </c>
      <c r="I398" s="175" t="s">
        <v>260</v>
      </c>
      <c r="J398" s="155" t="str">
        <f t="shared" si="40"/>
        <v>.</v>
      </c>
      <c r="K398" s="155" t="s">
        <v>260</v>
      </c>
      <c r="L398" s="247">
        <f t="shared" si="42"/>
        <v>0</v>
      </c>
      <c r="M398" s="121">
        <f>SUMIFS('Bilateral Assistance, MAIN DATA'!M:M,'Bilateral Assistance, MAIN DATA'!I:I,'Price List, Weapons &amp; Items'!B398)</f>
        <v>100</v>
      </c>
      <c r="N398" s="19">
        <f>COUNTIFS('Bilateral Assistance, MAIN DATA'!M:M,"undisclosed",'Bilateral Assistance, MAIN DATA'!I:I,'Price List, Weapons &amp; Items'!B398)</f>
        <v>0</v>
      </c>
      <c r="O398" s="723" t="str">
        <f t="shared" si="43"/>
        <v>no price</v>
      </c>
      <c r="P398" s="19">
        <f>IFERROR(IF(SEARCH(B398,_xlfn.ARRAYTOTEXT('Bilateral Assistance, MAIN DATA'!I$1:I$1622))&gt;0,1,""),0)</f>
        <v>1</v>
      </c>
      <c r="Q398" s="19">
        <f>IFERROR(IF(SEARCH(B398,_xlfn.ARRAYTOTEXT('Commercial Assistance'!I$1:I$1400))&gt;0,1,""),0)</f>
        <v>0</v>
      </c>
      <c r="R398" s="247" t="str">
        <f>IF(SUMIFS('Bilateral Assistance, MAIN DATA'!N:N,'Bilateral Assistance, MAIN DATA'!I:I,'Price List, Weapons &amp; Items'!B398)&gt;M398,1,".")</f>
        <v>.</v>
      </c>
    </row>
    <row r="399" spans="2:18" ht="15" customHeight="1" x14ac:dyDescent="0.3">
      <c r="B399" s="175" t="s">
        <v>1147</v>
      </c>
      <c r="C399" s="113" t="s">
        <v>812</v>
      </c>
      <c r="D399" s="246" t="s">
        <v>4190</v>
      </c>
      <c r="E399" s="199">
        <v>0</v>
      </c>
      <c r="F399" s="199">
        <f t="shared" si="41"/>
        <v>0</v>
      </c>
      <c r="G399" s="629" t="s">
        <v>260</v>
      </c>
      <c r="H399" s="720" t="str">
        <f t="shared" si="39"/>
        <v>.</v>
      </c>
      <c r="I399" s="155" t="s">
        <v>260</v>
      </c>
      <c r="J399" s="155" t="str">
        <f t="shared" si="40"/>
        <v>.</v>
      </c>
      <c r="K399" s="155" t="s">
        <v>4620</v>
      </c>
      <c r="L399" s="247">
        <f t="shared" si="42"/>
        <v>0</v>
      </c>
      <c r="M399" s="121">
        <f>SUMIFS('Bilateral Assistance, MAIN DATA'!M:M,'Bilateral Assistance, MAIN DATA'!I:I,'Price List, Weapons &amp; Items'!B399)</f>
        <v>53</v>
      </c>
      <c r="N399" s="19">
        <f>COUNTIFS('Bilateral Assistance, MAIN DATA'!M:M,"undisclosed",'Bilateral Assistance, MAIN DATA'!I:I,'Price List, Weapons &amp; Items'!B399)</f>
        <v>0</v>
      </c>
      <c r="O399" s="723" t="str">
        <f t="shared" si="43"/>
        <v>no price</v>
      </c>
      <c r="P399" s="19">
        <f>IFERROR(IF(SEARCH(B399,_xlfn.ARRAYTOTEXT('Bilateral Assistance, MAIN DATA'!I$1:I$1622))&gt;0,1,""),0)</f>
        <v>1</v>
      </c>
      <c r="Q399" s="19">
        <f>IFERROR(IF(SEARCH(B399,_xlfn.ARRAYTOTEXT('Commercial Assistance'!I$1:I$1400))&gt;0,1,""),0)</f>
        <v>0</v>
      </c>
      <c r="R399" s="247" t="str">
        <f>IF(SUMIFS('Bilateral Assistance, MAIN DATA'!N:N,'Bilateral Assistance, MAIN DATA'!I:I,'Price List, Weapons &amp; Items'!B399)&gt;M399,1,".")</f>
        <v>.</v>
      </c>
    </row>
    <row r="400" spans="2:18" ht="15" customHeight="1" x14ac:dyDescent="0.3">
      <c r="B400" s="218" t="s">
        <v>4621</v>
      </c>
      <c r="C400" s="113" t="s">
        <v>256</v>
      </c>
      <c r="D400" s="113" t="s">
        <v>256</v>
      </c>
      <c r="E400" s="199">
        <v>0</v>
      </c>
      <c r="F400" s="199">
        <f t="shared" si="41"/>
        <v>0</v>
      </c>
      <c r="G400" s="629" t="s">
        <v>260</v>
      </c>
      <c r="H400" s="720" t="str">
        <f t="shared" si="39"/>
        <v>.</v>
      </c>
      <c r="I400" s="249" t="s">
        <v>260</v>
      </c>
      <c r="J400" s="155" t="str">
        <f t="shared" si="40"/>
        <v>.</v>
      </c>
      <c r="K400" s="155" t="s">
        <v>260</v>
      </c>
      <c r="L400" s="247">
        <f t="shared" si="42"/>
        <v>0</v>
      </c>
      <c r="M400" s="121">
        <f>SUMIFS('Bilateral Assistance, MAIN DATA'!M:M,'Bilateral Assistance, MAIN DATA'!I:I,'Price List, Weapons &amp; Items'!B400)</f>
        <v>0</v>
      </c>
      <c r="N400" s="19">
        <f>COUNTIFS('Bilateral Assistance, MAIN DATA'!M:M,"undisclosed",'Bilateral Assistance, MAIN DATA'!I:I,'Price List, Weapons &amp; Items'!B400)</f>
        <v>3</v>
      </c>
      <c r="O400" s="723" t="str">
        <f t="shared" si="43"/>
        <v>no price</v>
      </c>
      <c r="P400" s="19">
        <f>IFERROR(IF(SEARCH(B400,_xlfn.ARRAYTOTEXT('Bilateral Assistance, MAIN DATA'!I$1:I$1622))&gt;0,1,""),0)</f>
        <v>1</v>
      </c>
      <c r="Q400" s="19">
        <f>IFERROR(IF(SEARCH(B400,_xlfn.ARRAYTOTEXT('Commercial Assistance'!I$1:I$1400))&gt;0,1,""),0)</f>
        <v>0</v>
      </c>
      <c r="R400" s="247" t="str">
        <f>IF(SUMIFS('Bilateral Assistance, MAIN DATA'!N:N,'Bilateral Assistance, MAIN DATA'!I:I,'Price List, Weapons &amp; Items'!B400)&gt;M400,1,".")</f>
        <v>.</v>
      </c>
    </row>
    <row r="401" spans="2:18" ht="15" customHeight="1" x14ac:dyDescent="0.3">
      <c r="B401" s="175" t="s">
        <v>4622</v>
      </c>
      <c r="C401" s="113" t="s">
        <v>256</v>
      </c>
      <c r="D401" s="113" t="s">
        <v>256</v>
      </c>
      <c r="E401" s="199">
        <v>0</v>
      </c>
      <c r="F401" s="199">
        <f t="shared" si="41"/>
        <v>0</v>
      </c>
      <c r="G401" s="629" t="s">
        <v>260</v>
      </c>
      <c r="H401" s="720" t="str">
        <f t="shared" si="39"/>
        <v>.</v>
      </c>
      <c r="I401" s="155" t="s">
        <v>260</v>
      </c>
      <c r="J401" s="155" t="str">
        <f t="shared" si="40"/>
        <v>.</v>
      </c>
      <c r="K401" s="155" t="s">
        <v>260</v>
      </c>
      <c r="L401" s="247">
        <f t="shared" si="42"/>
        <v>0</v>
      </c>
      <c r="M401" s="121">
        <f>SUMIFS('Bilateral Assistance, MAIN DATA'!M:M,'Bilateral Assistance, MAIN DATA'!I:I,'Price List, Weapons &amp; Items'!B401)</f>
        <v>5000</v>
      </c>
      <c r="N401" s="19">
        <f>COUNTIFS('Bilateral Assistance, MAIN DATA'!M:M,"undisclosed",'Bilateral Assistance, MAIN DATA'!I:I,'Price List, Weapons &amp; Items'!B401)</f>
        <v>0</v>
      </c>
      <c r="O401" s="723" t="str">
        <f t="shared" si="43"/>
        <v>no price</v>
      </c>
      <c r="P401" s="19">
        <f>IFERROR(IF(SEARCH(B401,_xlfn.ARRAYTOTEXT('Bilateral Assistance, MAIN DATA'!I$1:I$1622))&gt;0,1,""),0)</f>
        <v>1</v>
      </c>
      <c r="Q401" s="19">
        <f>IFERROR(IF(SEARCH(B401,_xlfn.ARRAYTOTEXT('Commercial Assistance'!I$1:I$1400))&gt;0,1,""),0)</f>
        <v>0</v>
      </c>
      <c r="R401" s="247" t="str">
        <f>IF(SUMIFS('Bilateral Assistance, MAIN DATA'!N:N,'Bilateral Assistance, MAIN DATA'!I:I,'Price List, Weapons &amp; Items'!B401)&gt;M401,1,".")</f>
        <v>.</v>
      </c>
    </row>
    <row r="402" spans="2:18" ht="15" customHeight="1" x14ac:dyDescent="0.3">
      <c r="B402" s="175" t="s">
        <v>704</v>
      </c>
      <c r="C402" s="113" t="s">
        <v>256</v>
      </c>
      <c r="D402" s="113" t="s">
        <v>256</v>
      </c>
      <c r="E402" s="199">
        <v>0</v>
      </c>
      <c r="F402" s="199">
        <f t="shared" si="41"/>
        <v>0</v>
      </c>
      <c r="G402" s="629" t="s">
        <v>260</v>
      </c>
      <c r="H402" s="720" t="str">
        <f t="shared" si="39"/>
        <v>.</v>
      </c>
      <c r="I402" s="820" t="s">
        <v>4623</v>
      </c>
      <c r="J402" s="155" t="s">
        <v>3964</v>
      </c>
      <c r="K402" s="155" t="s">
        <v>4624</v>
      </c>
      <c r="L402" s="247">
        <f t="shared" si="42"/>
        <v>0</v>
      </c>
      <c r="M402" s="121">
        <f>SUMIFS('Bilateral Assistance, MAIN DATA'!M:M,'Bilateral Assistance, MAIN DATA'!I:I,'Price List, Weapons &amp; Items'!B402)</f>
        <v>1330</v>
      </c>
      <c r="N402" s="19">
        <f>COUNTIFS('Bilateral Assistance, MAIN DATA'!M:M,"undisclosed",'Bilateral Assistance, MAIN DATA'!I:I,'Price List, Weapons &amp; Items'!B402)</f>
        <v>4</v>
      </c>
      <c r="O402" s="723" t="str">
        <f t="shared" si="43"/>
        <v>no price</v>
      </c>
      <c r="P402" s="19">
        <f>IFERROR(IF(SEARCH(B402,_xlfn.ARRAYTOTEXT('Bilateral Assistance, MAIN DATA'!I$1:I$1622))&gt;0,1,""),0)</f>
        <v>1</v>
      </c>
      <c r="Q402" s="19">
        <f>IFERROR(IF(SEARCH(B402,_xlfn.ARRAYTOTEXT('Commercial Assistance'!I$1:I$1400))&gt;0,1,""),0)</f>
        <v>0</v>
      </c>
      <c r="R402" s="247" t="str">
        <f>IF(SUMIFS('Bilateral Assistance, MAIN DATA'!N:N,'Bilateral Assistance, MAIN DATA'!I:I,'Price List, Weapons &amp; Items'!B402)&gt;M402,1,".")</f>
        <v>.</v>
      </c>
    </row>
    <row r="403" spans="2:18" ht="15" customHeight="1" x14ac:dyDescent="0.3">
      <c r="B403" s="175" t="s">
        <v>4625</v>
      </c>
      <c r="C403" s="113" t="s">
        <v>812</v>
      </c>
      <c r="D403" s="113" t="s">
        <v>812</v>
      </c>
      <c r="E403" s="199">
        <v>0</v>
      </c>
      <c r="F403" s="199">
        <f t="shared" si="41"/>
        <v>0</v>
      </c>
      <c r="G403" s="19" t="s">
        <v>260</v>
      </c>
      <c r="H403" s="720" t="str">
        <f t="shared" si="39"/>
        <v>.</v>
      </c>
      <c r="I403" s="980" t="s">
        <v>4626</v>
      </c>
      <c r="J403" s="155" t="s">
        <v>3959</v>
      </c>
      <c r="K403" s="19" t="s">
        <v>4627</v>
      </c>
      <c r="L403" s="247">
        <f t="shared" si="42"/>
        <v>0</v>
      </c>
      <c r="M403" s="121">
        <f>SUMIFS('Bilateral Assistance, MAIN DATA'!M:M,'Bilateral Assistance, MAIN DATA'!I:I,'Price List, Weapons &amp; Items'!B403)</f>
        <v>2000</v>
      </c>
      <c r="N403" s="19">
        <f>COUNTIFS('Bilateral Assistance, MAIN DATA'!M:M,"undisclosed",'Bilateral Assistance, MAIN DATA'!I:I,'Price List, Weapons &amp; Items'!B403)</f>
        <v>1</v>
      </c>
      <c r="O403" s="723" t="str">
        <f t="shared" si="43"/>
        <v>no price</v>
      </c>
      <c r="P403" s="19">
        <f>IFERROR(IF(SEARCH(B403,_xlfn.ARRAYTOTEXT('Bilateral Assistance, MAIN DATA'!I$1:I$1622))&gt;0,1,""),0)</f>
        <v>1</v>
      </c>
      <c r="Q403" s="19">
        <f>IFERROR(IF(SEARCH(B403,_xlfn.ARRAYTOTEXT('Commercial Assistance'!I$1:I$1400))&gt;0,1,""),0)</f>
        <v>0</v>
      </c>
      <c r="R403" s="247" t="str">
        <f>IF(SUMIFS('Bilateral Assistance, MAIN DATA'!N:N,'Bilateral Assistance, MAIN DATA'!I:I,'Price List, Weapons &amp; Items'!B403)&gt;M403,1,".")</f>
        <v>.</v>
      </c>
    </row>
    <row r="404" spans="2:18" ht="15" customHeight="1" x14ac:dyDescent="0.3">
      <c r="B404" s="175" t="s">
        <v>2760</v>
      </c>
      <c r="C404" s="113" t="s">
        <v>3945</v>
      </c>
      <c r="D404" s="246" t="s">
        <v>4212</v>
      </c>
      <c r="E404" s="199">
        <v>0</v>
      </c>
      <c r="F404" s="199">
        <f t="shared" si="41"/>
        <v>0</v>
      </c>
      <c r="G404" s="629" t="s">
        <v>260</v>
      </c>
      <c r="H404" s="720" t="str">
        <f t="shared" si="39"/>
        <v>.</v>
      </c>
      <c r="I404" s="249" t="s">
        <v>260</v>
      </c>
      <c r="J404" s="155" t="str">
        <f t="shared" ref="J404:J409" si="44">IF(I404&lt;&gt;".",".",".")</f>
        <v>.</v>
      </c>
      <c r="K404" s="155" t="s">
        <v>260</v>
      </c>
      <c r="L404" s="247">
        <f t="shared" si="42"/>
        <v>0</v>
      </c>
      <c r="M404" s="121">
        <f>SUMIFS('Bilateral Assistance, MAIN DATA'!M:M,'Bilateral Assistance, MAIN DATA'!I:I,'Price List, Weapons &amp; Items'!B404)</f>
        <v>1</v>
      </c>
      <c r="N404" s="19">
        <f>COUNTIFS('Bilateral Assistance, MAIN DATA'!M:M,"undisclosed",'Bilateral Assistance, MAIN DATA'!I:I,'Price List, Weapons &amp; Items'!B404)</f>
        <v>0</v>
      </c>
      <c r="O404" s="723" t="str">
        <f t="shared" si="43"/>
        <v>no price</v>
      </c>
      <c r="P404" s="19">
        <f>IFERROR(IF(SEARCH(B404,_xlfn.ARRAYTOTEXT('Bilateral Assistance, MAIN DATA'!I$1:I$1622))&gt;0,1,""),0)</f>
        <v>1</v>
      </c>
      <c r="Q404" s="19">
        <f>IFERROR(IF(SEARCH(B404,_xlfn.ARRAYTOTEXT('Commercial Assistance'!I$1:I$1400))&gt;0,1,""),0)</f>
        <v>0</v>
      </c>
      <c r="R404" s="247" t="str">
        <f>IF(SUMIFS('Bilateral Assistance, MAIN DATA'!N:N,'Bilateral Assistance, MAIN DATA'!I:I,'Price List, Weapons &amp; Items'!B404)&gt;M404,1,".")</f>
        <v>.</v>
      </c>
    </row>
    <row r="405" spans="2:18" ht="15" customHeight="1" x14ac:dyDescent="0.3">
      <c r="B405" s="175" t="s">
        <v>4628</v>
      </c>
      <c r="C405" s="113" t="s">
        <v>256</v>
      </c>
      <c r="D405" s="113" t="s">
        <v>256</v>
      </c>
      <c r="E405" s="199">
        <v>0</v>
      </c>
      <c r="F405" s="199">
        <f t="shared" si="41"/>
        <v>0</v>
      </c>
      <c r="G405" s="629" t="s">
        <v>260</v>
      </c>
      <c r="H405" s="720" t="str">
        <f t="shared" si="39"/>
        <v>.</v>
      </c>
      <c r="I405" s="249" t="s">
        <v>260</v>
      </c>
      <c r="J405" s="155" t="str">
        <f t="shared" si="44"/>
        <v>.</v>
      </c>
      <c r="K405" s="155" t="s">
        <v>260</v>
      </c>
      <c r="L405" s="247">
        <f t="shared" si="42"/>
        <v>0</v>
      </c>
      <c r="M405" s="121">
        <f>SUMIFS('Bilateral Assistance, MAIN DATA'!M:M,'Bilateral Assistance, MAIN DATA'!I:I,'Price List, Weapons &amp; Items'!B405)</f>
        <v>600000</v>
      </c>
      <c r="N405" s="19">
        <f>COUNTIFS('Bilateral Assistance, MAIN DATA'!M:M,"undisclosed",'Bilateral Assistance, MAIN DATA'!I:I,'Price List, Weapons &amp; Items'!B405)</f>
        <v>0</v>
      </c>
      <c r="O405" s="723" t="str">
        <f t="shared" si="43"/>
        <v>no price</v>
      </c>
      <c r="P405" s="19">
        <f>IFERROR(IF(SEARCH(B405,_xlfn.ARRAYTOTEXT('Bilateral Assistance, MAIN DATA'!I$1:I$1622))&gt;0,1,""),0)</f>
        <v>1</v>
      </c>
      <c r="Q405" s="19">
        <f>IFERROR(IF(SEARCH(B405,_xlfn.ARRAYTOTEXT('Commercial Assistance'!I$1:I$1400))&gt;0,1,""),0)</f>
        <v>0</v>
      </c>
      <c r="R405" s="247" t="str">
        <f>IF(SUMIFS('Bilateral Assistance, MAIN DATA'!N:N,'Bilateral Assistance, MAIN DATA'!I:I,'Price List, Weapons &amp; Items'!B405)&gt;M405,1,".")</f>
        <v>.</v>
      </c>
    </row>
    <row r="406" spans="2:18" ht="15" customHeight="1" x14ac:dyDescent="0.3">
      <c r="B406" s="175" t="s">
        <v>4629</v>
      </c>
      <c r="C406" s="113" t="s">
        <v>256</v>
      </c>
      <c r="D406" s="113" t="s">
        <v>256</v>
      </c>
      <c r="E406" s="199">
        <v>0</v>
      </c>
      <c r="F406" s="199">
        <f t="shared" si="41"/>
        <v>0</v>
      </c>
      <c r="G406" s="629" t="s">
        <v>260</v>
      </c>
      <c r="H406" s="720" t="str">
        <f t="shared" si="39"/>
        <v>.</v>
      </c>
      <c r="I406" s="249" t="s">
        <v>260</v>
      </c>
      <c r="J406" s="155" t="str">
        <f t="shared" si="44"/>
        <v>.</v>
      </c>
      <c r="K406" s="155" t="s">
        <v>260</v>
      </c>
      <c r="L406" s="247">
        <f t="shared" si="42"/>
        <v>0</v>
      </c>
      <c r="M406" s="121">
        <f>SUMIFS('Bilateral Assistance, MAIN DATA'!M:M,'Bilateral Assistance, MAIN DATA'!I:I,'Price List, Weapons &amp; Items'!B406)</f>
        <v>3</v>
      </c>
      <c r="N406" s="19">
        <f>COUNTIFS('Bilateral Assistance, MAIN DATA'!M:M,"undisclosed",'Bilateral Assistance, MAIN DATA'!I:I,'Price List, Weapons &amp; Items'!B406)</f>
        <v>0</v>
      </c>
      <c r="O406" s="723" t="str">
        <f t="shared" si="43"/>
        <v>no price</v>
      </c>
      <c r="P406" s="19">
        <f>IFERROR(IF(SEARCH(B406,_xlfn.ARRAYTOTEXT('Bilateral Assistance, MAIN DATA'!I$1:I$1622))&gt;0,1,""),0)</f>
        <v>1</v>
      </c>
      <c r="Q406" s="19">
        <f>IFERROR(IF(SEARCH(B406,_xlfn.ARRAYTOTEXT('Commercial Assistance'!I$1:I$1400))&gt;0,1,""),0)</f>
        <v>0</v>
      </c>
      <c r="R406" s="247" t="str">
        <f>IF(SUMIFS('Bilateral Assistance, MAIN DATA'!N:N,'Bilateral Assistance, MAIN DATA'!I:I,'Price List, Weapons &amp; Items'!B406)&gt;M406,1,".")</f>
        <v>.</v>
      </c>
    </row>
    <row r="407" spans="2:18" ht="15" customHeight="1" x14ac:dyDescent="0.3">
      <c r="B407" s="175" t="s">
        <v>1156</v>
      </c>
      <c r="C407" s="113" t="s">
        <v>256</v>
      </c>
      <c r="D407" s="113" t="s">
        <v>256</v>
      </c>
      <c r="E407" s="199">
        <v>0</v>
      </c>
      <c r="F407" s="199">
        <f t="shared" si="41"/>
        <v>0</v>
      </c>
      <c r="G407" s="629" t="s">
        <v>260</v>
      </c>
      <c r="H407" s="720" t="str">
        <f t="shared" si="39"/>
        <v>.</v>
      </c>
      <c r="I407" s="249" t="s">
        <v>260</v>
      </c>
      <c r="J407" s="155" t="str">
        <f t="shared" si="44"/>
        <v>.</v>
      </c>
      <c r="K407" s="155" t="s">
        <v>260</v>
      </c>
      <c r="L407" s="247">
        <f t="shared" si="42"/>
        <v>0</v>
      </c>
      <c r="M407" s="121">
        <f>SUMIFS('Bilateral Assistance, MAIN DATA'!M:M,'Bilateral Assistance, MAIN DATA'!I:I,'Price List, Weapons &amp; Items'!B407)</f>
        <v>50</v>
      </c>
      <c r="N407" s="19">
        <f>COUNTIFS('Bilateral Assistance, MAIN DATA'!M:M,"undisclosed",'Bilateral Assistance, MAIN DATA'!I:I,'Price List, Weapons &amp; Items'!B407)</f>
        <v>1</v>
      </c>
      <c r="O407" s="723" t="str">
        <f t="shared" si="43"/>
        <v>no price</v>
      </c>
      <c r="P407" s="19">
        <f>IFERROR(IF(SEARCH(B407,_xlfn.ARRAYTOTEXT('Bilateral Assistance, MAIN DATA'!I$1:I$1622))&gt;0,1,""),0)</f>
        <v>1</v>
      </c>
      <c r="Q407" s="19">
        <f>IFERROR(IF(SEARCH(B407,_xlfn.ARRAYTOTEXT('Commercial Assistance'!I$1:I$1400))&gt;0,1,""),0)</f>
        <v>0</v>
      </c>
      <c r="R407" s="247" t="str">
        <f>IF(SUMIFS('Bilateral Assistance, MAIN DATA'!N:N,'Bilateral Assistance, MAIN DATA'!I:I,'Price List, Weapons &amp; Items'!B407)&gt;M407,1,".")</f>
        <v>.</v>
      </c>
    </row>
    <row r="408" spans="2:18" ht="15" customHeight="1" x14ac:dyDescent="0.3">
      <c r="B408" s="175" t="s">
        <v>4630</v>
      </c>
      <c r="C408" s="113" t="s">
        <v>812</v>
      </c>
      <c r="D408" s="113" t="s">
        <v>812</v>
      </c>
      <c r="E408" s="199">
        <v>0</v>
      </c>
      <c r="F408" s="199">
        <f t="shared" si="41"/>
        <v>0</v>
      </c>
      <c r="G408" s="629" t="s">
        <v>260</v>
      </c>
      <c r="H408" s="720" t="str">
        <f t="shared" si="39"/>
        <v>.</v>
      </c>
      <c r="I408" s="249" t="s">
        <v>260</v>
      </c>
      <c r="J408" s="155" t="str">
        <f t="shared" si="44"/>
        <v>.</v>
      </c>
      <c r="K408" s="155" t="s">
        <v>260</v>
      </c>
      <c r="L408" s="247">
        <f t="shared" si="42"/>
        <v>0</v>
      </c>
      <c r="M408" s="121">
        <f>SUMIFS('Bilateral Assistance, MAIN DATA'!M:M,'Bilateral Assistance, MAIN DATA'!I:I,'Price List, Weapons &amp; Items'!B408)</f>
        <v>2</v>
      </c>
      <c r="N408" s="19">
        <f>COUNTIFS('Bilateral Assistance, MAIN DATA'!M:M,"undisclosed",'Bilateral Assistance, MAIN DATA'!I:I,'Price List, Weapons &amp; Items'!B408)</f>
        <v>0</v>
      </c>
      <c r="O408" s="723" t="str">
        <f t="shared" si="43"/>
        <v>no price</v>
      </c>
      <c r="P408" s="19">
        <f>IFERROR(IF(SEARCH(B408,_xlfn.ARRAYTOTEXT('Bilateral Assistance, MAIN DATA'!I$1:I$1622))&gt;0,1,""),0)</f>
        <v>1</v>
      </c>
      <c r="Q408" s="19">
        <f>IFERROR(IF(SEARCH(B408,_xlfn.ARRAYTOTEXT('Commercial Assistance'!I$1:I$1400))&gt;0,1,""),0)</f>
        <v>0</v>
      </c>
      <c r="R408" s="247" t="str">
        <f>IF(SUMIFS('Bilateral Assistance, MAIN DATA'!N:N,'Bilateral Assistance, MAIN DATA'!I:I,'Price List, Weapons &amp; Items'!B408)&gt;M408,1,".")</f>
        <v>.</v>
      </c>
    </row>
    <row r="409" spans="2:18" ht="15" customHeight="1" x14ac:dyDescent="0.3">
      <c r="B409" s="185" t="s">
        <v>1429</v>
      </c>
      <c r="C409" s="113" t="s">
        <v>812</v>
      </c>
      <c r="D409" s="246" t="s">
        <v>4040</v>
      </c>
      <c r="E409" s="199">
        <v>0</v>
      </c>
      <c r="F409" s="199">
        <f t="shared" si="41"/>
        <v>1</v>
      </c>
      <c r="G409" s="629" t="s">
        <v>260</v>
      </c>
      <c r="H409" s="720" t="str">
        <f t="shared" si="39"/>
        <v>.</v>
      </c>
      <c r="I409" s="818" t="s">
        <v>260</v>
      </c>
      <c r="J409" s="155" t="str">
        <f t="shared" si="44"/>
        <v>.</v>
      </c>
      <c r="K409" s="155" t="s">
        <v>260</v>
      </c>
      <c r="L409" s="247">
        <f t="shared" si="42"/>
        <v>0</v>
      </c>
      <c r="M409" s="121">
        <f>SUMIFS('Bilateral Assistance, MAIN DATA'!M:M,'Bilateral Assistance, MAIN DATA'!I:I,'Price List, Weapons &amp; Items'!B409)</f>
        <v>2</v>
      </c>
      <c r="N409" s="19">
        <f>COUNTIFS('Bilateral Assistance, MAIN DATA'!M:M,"undisclosed",'Bilateral Assistance, MAIN DATA'!I:I,'Price List, Weapons &amp; Items'!B409)</f>
        <v>0</v>
      </c>
      <c r="O409" s="723" t="str">
        <f t="shared" si="43"/>
        <v>no price</v>
      </c>
      <c r="P409" s="19">
        <f>IFERROR(IF(SEARCH(B409,_xlfn.ARRAYTOTEXT('Bilateral Assistance, MAIN DATA'!I$1:I$1622))&gt;0,1,""),0)</f>
        <v>1</v>
      </c>
      <c r="Q409" s="19">
        <f>IFERROR(IF(SEARCH(B409,_xlfn.ARRAYTOTEXT('Commercial Assistance'!I$1:I$1400))&gt;0,1,""),0)</f>
        <v>0</v>
      </c>
      <c r="R409" s="247" t="str">
        <f>IF(SUMIFS('Bilateral Assistance, MAIN DATA'!N:N,'Bilateral Assistance, MAIN DATA'!I:I,'Price List, Weapons &amp; Items'!B409)&gt;M409,1,".")</f>
        <v>.</v>
      </c>
    </row>
    <row r="410" spans="2:18" ht="15" customHeight="1" x14ac:dyDescent="0.3">
      <c r="B410" s="175" t="s">
        <v>1422</v>
      </c>
      <c r="C410" s="113" t="s">
        <v>812</v>
      </c>
      <c r="D410" s="246" t="s">
        <v>4190</v>
      </c>
      <c r="E410" s="199">
        <v>0</v>
      </c>
      <c r="F410" s="199">
        <f t="shared" ref="F410:F441" si="45">IF(OR(D410="Armoured Personnel Carrier (APC)",D410="Armoured Recovery Vehicle (ARV)",D410="Armoured Utility Vehicle (AUV)",D410="152mm howitzer ammunition",D410="155mm howitzer ammunition",D410="300mm MLRS ammunition",D410="155mm howitzer",D410="227mm MLRS ammunition",D410="Infantry fighting vehicle (IFV)",D410="152mm howitzer",D410="227mm MLRS",D410="Main Battle Tank (MBT)",D410="Protected Patrol Vehicle (PPV)",D410="127mm MLRS",D410="122mm MLRS",D410="122mm MLRS ammunition",D410="122mm MLRS",D410="127mm MLRS",D410="127mm MLRS ammunition")=TRUE,1,0)</f>
        <v>0</v>
      </c>
      <c r="G410" s="629" t="s">
        <v>260</v>
      </c>
      <c r="H410" s="720" t="str">
        <f>IF(G410&lt;&gt;".","USD",".")</f>
        <v>.</v>
      </c>
      <c r="I410" s="249" t="s">
        <v>260</v>
      </c>
      <c r="J410" s="155" t="str">
        <f>IF(I410&lt;&gt;".",".",".")</f>
        <v>.</v>
      </c>
      <c r="K410" s="155" t="s">
        <v>260</v>
      </c>
      <c r="L410" s="247">
        <f t="shared" si="42"/>
        <v>0</v>
      </c>
      <c r="M410" s="121">
        <f>SUMIFS('Bilateral Assistance, MAIN DATA'!M:M,'Bilateral Assistance, MAIN DATA'!I:I,'Price List, Weapons &amp; Items'!B410)</f>
        <v>14</v>
      </c>
      <c r="N410" s="19">
        <f>COUNTIFS('Bilateral Assistance, MAIN DATA'!M:M,"undisclosed",'Bilateral Assistance, MAIN DATA'!I:I,'Price List, Weapons &amp; Items'!B410)</f>
        <v>0</v>
      </c>
      <c r="O410" s="723" t="str">
        <f t="shared" si="43"/>
        <v>no price</v>
      </c>
      <c r="P410" s="19">
        <f>IFERROR(IF(SEARCH(B410,_xlfn.ARRAYTOTEXT('Bilateral Assistance, MAIN DATA'!I$1:I$1622))&gt;0,1,""),0)</f>
        <v>1</v>
      </c>
      <c r="Q410" s="19">
        <f>IFERROR(IF(SEARCH(B410,_xlfn.ARRAYTOTEXT('Commercial Assistance'!I$1:I$1400))&gt;0,1,""),0)</f>
        <v>0</v>
      </c>
      <c r="R410" s="247" t="str">
        <f>IF(SUMIFS('Bilateral Assistance, MAIN DATA'!N:N,'Bilateral Assistance, MAIN DATA'!I:I,'Price List, Weapons &amp; Items'!B410)&gt;M410,1,".")</f>
        <v>.</v>
      </c>
    </row>
    <row r="411" spans="2:18" ht="15" customHeight="1" x14ac:dyDescent="0.3">
      <c r="B411" s="175" t="s">
        <v>4631</v>
      </c>
      <c r="C411" s="113" t="s">
        <v>812</v>
      </c>
      <c r="D411" s="246" t="s">
        <v>4190</v>
      </c>
      <c r="E411" s="199">
        <v>0</v>
      </c>
      <c r="F411" s="199">
        <f t="shared" si="45"/>
        <v>0</v>
      </c>
      <c r="G411" s="629">
        <v>50000</v>
      </c>
      <c r="H411" s="720" t="str">
        <f>IF(G411&lt;&gt;".","USD",".")</f>
        <v>USD</v>
      </c>
      <c r="I411" s="980" t="s">
        <v>4632</v>
      </c>
      <c r="J411" s="155" t="s">
        <v>3975</v>
      </c>
      <c r="K411" s="19" t="s">
        <v>4633</v>
      </c>
      <c r="L411" s="247">
        <f t="shared" si="42"/>
        <v>2</v>
      </c>
      <c r="M411" s="121">
        <f>SUMIFS('Bilateral Assistance, MAIN DATA'!M:M,'Bilateral Assistance, MAIN DATA'!I:I,'Price List, Weapons &amp; Items'!B411)</f>
        <v>96</v>
      </c>
      <c r="N411" s="19">
        <f>COUNTIFS('Bilateral Assistance, MAIN DATA'!M:M,"undisclosed",'Bilateral Assistance, MAIN DATA'!I:I,'Price List, Weapons &amp; Items'!B411)</f>
        <v>0</v>
      </c>
      <c r="O411" s="723">
        <f t="shared" si="43"/>
        <v>4800000</v>
      </c>
      <c r="P411" s="19">
        <f>IFERROR(IF(SEARCH(B411,_xlfn.ARRAYTOTEXT('Bilateral Assistance, MAIN DATA'!I$1:I$1622))&gt;0,1,""),0)</f>
        <v>1</v>
      </c>
      <c r="Q411" s="19">
        <f>IFERROR(IF(SEARCH(B411,_xlfn.ARRAYTOTEXT('Commercial Assistance'!I$1:I$1400))&gt;0,1,""),0)</f>
        <v>0</v>
      </c>
      <c r="R411" s="247" t="str">
        <f>IF(SUMIFS('Bilateral Assistance, MAIN DATA'!N:N,'Bilateral Assistance, MAIN DATA'!I:I,'Price List, Weapons &amp; Items'!B411)&gt;M411,1,".")</f>
        <v>.</v>
      </c>
    </row>
    <row r="412" spans="2:18" ht="15" customHeight="1" x14ac:dyDescent="0.3">
      <c r="B412" s="175" t="s">
        <v>4634</v>
      </c>
      <c r="C412" s="113" t="s">
        <v>256</v>
      </c>
      <c r="D412" s="113" t="s">
        <v>256</v>
      </c>
      <c r="E412" s="199">
        <v>0</v>
      </c>
      <c r="F412" s="199">
        <f t="shared" si="45"/>
        <v>0</v>
      </c>
      <c r="G412" s="629" t="s">
        <v>260</v>
      </c>
      <c r="H412" s="721" t="s">
        <v>260</v>
      </c>
      <c r="I412" s="249" t="s">
        <v>260</v>
      </c>
      <c r="J412" s="155" t="str">
        <f>IF(I412&lt;&gt;".",".",".")</f>
        <v>.</v>
      </c>
      <c r="K412" s="155" t="s">
        <v>260</v>
      </c>
      <c r="L412" s="247">
        <f t="shared" si="42"/>
        <v>0</v>
      </c>
      <c r="M412" s="121">
        <f>SUMIFS('Bilateral Assistance, MAIN DATA'!M:M,'Bilateral Assistance, MAIN DATA'!I:I,'Price List, Weapons &amp; Items'!B412)</f>
        <v>1</v>
      </c>
      <c r="N412" s="19">
        <f>COUNTIFS('Bilateral Assistance, MAIN DATA'!M:M,"undisclosed",'Bilateral Assistance, MAIN DATA'!I:I,'Price List, Weapons &amp; Items'!B412)</f>
        <v>0</v>
      </c>
      <c r="O412" s="723" t="str">
        <f t="shared" si="43"/>
        <v>no price</v>
      </c>
      <c r="P412" s="19">
        <f>IFERROR(IF(SEARCH(B412,_xlfn.ARRAYTOTEXT('Bilateral Assistance, MAIN DATA'!I$1:I$1622))&gt;0,1,""),0)</f>
        <v>1</v>
      </c>
      <c r="Q412" s="19">
        <f>IFERROR(IF(SEARCH(B412,_xlfn.ARRAYTOTEXT('Commercial Assistance'!I$1:I$1400))&gt;0,1,""),0)</f>
        <v>0</v>
      </c>
      <c r="R412" s="247" t="str">
        <f>IF(SUMIFS('Bilateral Assistance, MAIN DATA'!N:N,'Bilateral Assistance, MAIN DATA'!I:I,'Price List, Weapons &amp; Items'!B412)&gt;M412,1,".")</f>
        <v>.</v>
      </c>
    </row>
    <row r="413" spans="2:18" ht="15" customHeight="1" x14ac:dyDescent="0.3">
      <c r="B413" s="175" t="s">
        <v>4635</v>
      </c>
      <c r="C413" s="113" t="s">
        <v>256</v>
      </c>
      <c r="D413" s="113" t="s">
        <v>256</v>
      </c>
      <c r="E413" s="199">
        <v>0</v>
      </c>
      <c r="F413" s="199">
        <f t="shared" si="45"/>
        <v>0</v>
      </c>
      <c r="G413" s="629">
        <v>125000000</v>
      </c>
      <c r="H413" s="720" t="str">
        <f t="shared" ref="H413:H444" si="46">IF(G413&lt;&gt;".","USD",".")</f>
        <v>USD</v>
      </c>
      <c r="I413" s="821" t="s">
        <v>4636</v>
      </c>
      <c r="J413" s="155" t="s">
        <v>3964</v>
      </c>
      <c r="K413" s="155" t="s">
        <v>4637</v>
      </c>
      <c r="L413" s="247">
        <f t="shared" si="42"/>
        <v>0</v>
      </c>
      <c r="M413" s="121">
        <f>SUMIFS('Bilateral Assistance, MAIN DATA'!M:M,'Bilateral Assistance, MAIN DATA'!I:I,'Price List, Weapons &amp; Items'!B413)</f>
        <v>1</v>
      </c>
      <c r="N413" s="19">
        <f>COUNTIFS('Bilateral Assistance, MAIN DATA'!M:M,"undisclosed",'Bilateral Assistance, MAIN DATA'!I:I,'Price List, Weapons &amp; Items'!B413)</f>
        <v>0</v>
      </c>
      <c r="O413" s="723">
        <f t="shared" si="43"/>
        <v>125000000</v>
      </c>
      <c r="P413" s="19">
        <f>IFERROR(IF(SEARCH(B413,_xlfn.ARRAYTOTEXT('Bilateral Assistance, MAIN DATA'!I$1:I$1622))&gt;0,1,""),0)</f>
        <v>1</v>
      </c>
      <c r="Q413" s="19">
        <f>IFERROR(IF(SEARCH(B413,_xlfn.ARRAYTOTEXT('Commercial Assistance'!I$1:I$1400))&gt;0,1,""),0)</f>
        <v>0</v>
      </c>
      <c r="R413" s="247" t="str">
        <f>IF(SUMIFS('Bilateral Assistance, MAIN DATA'!N:N,'Bilateral Assistance, MAIN DATA'!I:I,'Price List, Weapons &amp; Items'!B413)&gt;M413,1,".")</f>
        <v>.</v>
      </c>
    </row>
    <row r="414" spans="2:18" ht="15" customHeight="1" x14ac:dyDescent="0.3">
      <c r="B414" s="175" t="s">
        <v>4638</v>
      </c>
      <c r="C414" s="113" t="s">
        <v>256</v>
      </c>
      <c r="D414" s="113" t="s">
        <v>256</v>
      </c>
      <c r="E414" s="199">
        <v>0</v>
      </c>
      <c r="F414" s="199">
        <f t="shared" si="45"/>
        <v>0</v>
      </c>
      <c r="G414" s="629">
        <v>33960000</v>
      </c>
      <c r="H414" s="720" t="str">
        <f t="shared" si="46"/>
        <v>USD</v>
      </c>
      <c r="I414" s="821" t="s">
        <v>4639</v>
      </c>
      <c r="J414" s="155" t="s">
        <v>3964</v>
      </c>
      <c r="K414" s="155" t="s">
        <v>4640</v>
      </c>
      <c r="L414" s="247">
        <f t="shared" si="42"/>
        <v>0</v>
      </c>
      <c r="M414" s="121">
        <f>SUMIFS('Bilateral Assistance, MAIN DATA'!M:M,'Bilateral Assistance, MAIN DATA'!I:I,'Price List, Weapons &amp; Items'!B414)</f>
        <v>2</v>
      </c>
      <c r="N414" s="19">
        <f>COUNTIFS('Bilateral Assistance, MAIN DATA'!M:M,"undisclosed",'Bilateral Assistance, MAIN DATA'!I:I,'Price List, Weapons &amp; Items'!B414)</f>
        <v>0</v>
      </c>
      <c r="O414" s="723">
        <f t="shared" si="43"/>
        <v>67920000</v>
      </c>
      <c r="P414" s="19">
        <f>IFERROR(IF(SEARCH(B414,_xlfn.ARRAYTOTEXT('Bilateral Assistance, MAIN DATA'!I$1:I$1622))&gt;0,1,""),0)</f>
        <v>1</v>
      </c>
      <c r="Q414" s="19">
        <f>IFERROR(IF(SEARCH(B414,_xlfn.ARRAYTOTEXT('Commercial Assistance'!I$1:I$1400))&gt;0,1,""),0)</f>
        <v>0</v>
      </c>
      <c r="R414" s="247" t="str">
        <f>IF(SUMIFS('Bilateral Assistance, MAIN DATA'!N:N,'Bilateral Assistance, MAIN DATA'!I:I,'Price List, Weapons &amp; Items'!B414)&gt;M414,1,".")</f>
        <v>.</v>
      </c>
    </row>
    <row r="415" spans="2:18" ht="15" customHeight="1" x14ac:dyDescent="0.3">
      <c r="B415" s="175" t="s">
        <v>2656</v>
      </c>
      <c r="C415" s="113" t="s">
        <v>256</v>
      </c>
      <c r="D415" s="113" t="s">
        <v>256</v>
      </c>
      <c r="E415" s="199">
        <v>0</v>
      </c>
      <c r="F415" s="199">
        <f t="shared" si="45"/>
        <v>0</v>
      </c>
      <c r="G415" s="629">
        <v>644000</v>
      </c>
      <c r="H415" s="720" t="str">
        <f t="shared" si="46"/>
        <v>USD</v>
      </c>
      <c r="I415" s="820" t="s">
        <v>4641</v>
      </c>
      <c r="J415" s="155" t="s">
        <v>3975</v>
      </c>
      <c r="K415" s="155" t="s">
        <v>4642</v>
      </c>
      <c r="L415" s="247">
        <f t="shared" si="42"/>
        <v>0</v>
      </c>
      <c r="M415" s="121">
        <f>SUMIFS('Bilateral Assistance, MAIN DATA'!M:M,'Bilateral Assistance, MAIN DATA'!I:I,'Price List, Weapons &amp; Items'!B415)</f>
        <v>3</v>
      </c>
      <c r="N415" s="19">
        <f>COUNTIFS('Bilateral Assistance, MAIN DATA'!M:M,"undisclosed",'Bilateral Assistance, MAIN DATA'!I:I,'Price List, Weapons &amp; Items'!B415)</f>
        <v>0</v>
      </c>
      <c r="O415" s="723">
        <f t="shared" si="43"/>
        <v>1932000</v>
      </c>
      <c r="P415" s="19">
        <f>IFERROR(IF(SEARCH(B415,_xlfn.ARRAYTOTEXT('Bilateral Assistance, MAIN DATA'!I$1:I$1622))&gt;0,1,""),0)</f>
        <v>1</v>
      </c>
      <c r="Q415" s="19">
        <f>IFERROR(IF(SEARCH(B415,_xlfn.ARRAYTOTEXT('Commercial Assistance'!I$1:I$1400))&gt;0,1,""),0)</f>
        <v>0</v>
      </c>
      <c r="R415" s="247" t="str">
        <f>IF(SUMIFS('Bilateral Assistance, MAIN DATA'!N:N,'Bilateral Assistance, MAIN DATA'!I:I,'Price List, Weapons &amp; Items'!B415)&gt;M415,1,".")</f>
        <v>.</v>
      </c>
    </row>
    <row r="416" spans="2:18" ht="15" customHeight="1" x14ac:dyDescent="0.3">
      <c r="B416" s="175" t="s">
        <v>4643</v>
      </c>
      <c r="C416" s="113" t="s">
        <v>256</v>
      </c>
      <c r="D416" s="113" t="s">
        <v>256</v>
      </c>
      <c r="E416" s="199">
        <v>0</v>
      </c>
      <c r="F416" s="199">
        <f t="shared" si="45"/>
        <v>0</v>
      </c>
      <c r="G416" s="629">
        <v>400000</v>
      </c>
      <c r="H416" s="720" t="str">
        <f t="shared" si="46"/>
        <v>USD</v>
      </c>
      <c r="I416" s="820" t="s">
        <v>4644</v>
      </c>
      <c r="J416" s="155" t="s">
        <v>3964</v>
      </c>
      <c r="K416" s="155" t="s">
        <v>4645</v>
      </c>
      <c r="L416" s="247">
        <f t="shared" si="42"/>
        <v>0</v>
      </c>
      <c r="M416" s="121">
        <f>SUMIFS('Bilateral Assistance, MAIN DATA'!M:M,'Bilateral Assistance, MAIN DATA'!I:I,'Price List, Weapons &amp; Items'!B416)</f>
        <v>37</v>
      </c>
      <c r="N416" s="19">
        <f>COUNTIFS('Bilateral Assistance, MAIN DATA'!M:M,"undisclosed",'Bilateral Assistance, MAIN DATA'!I:I,'Price List, Weapons &amp; Items'!B416)</f>
        <v>0</v>
      </c>
      <c r="O416" s="723">
        <f t="shared" si="43"/>
        <v>14800000</v>
      </c>
      <c r="P416" s="19">
        <f>IFERROR(IF(SEARCH(B416,_xlfn.ARRAYTOTEXT('Bilateral Assistance, MAIN DATA'!I$1:I$1622))&gt;0,1,""),0)</f>
        <v>1</v>
      </c>
      <c r="Q416" s="19">
        <f>IFERROR(IF(SEARCH(B416,_xlfn.ARRAYTOTEXT('Commercial Assistance'!I$1:I$1400))&gt;0,1,""),0)</f>
        <v>0</v>
      </c>
      <c r="R416" s="247" t="str">
        <f>IF(SUMIFS('Bilateral Assistance, MAIN DATA'!N:N,'Bilateral Assistance, MAIN DATA'!I:I,'Price List, Weapons &amp; Items'!B416)&gt;M416,1,".")</f>
        <v>.</v>
      </c>
    </row>
    <row r="417" spans="2:18" ht="15" customHeight="1" x14ac:dyDescent="0.3">
      <c r="B417" s="175" t="s">
        <v>1153</v>
      </c>
      <c r="C417" s="113" t="s">
        <v>256</v>
      </c>
      <c r="D417" s="113" t="s">
        <v>256</v>
      </c>
      <c r="E417" s="199">
        <v>0</v>
      </c>
      <c r="F417" s="199">
        <f t="shared" si="45"/>
        <v>0</v>
      </c>
      <c r="G417" s="629">
        <v>400000</v>
      </c>
      <c r="H417" s="720" t="str">
        <f t="shared" si="46"/>
        <v>USD</v>
      </c>
      <c r="I417" s="820" t="s">
        <v>4644</v>
      </c>
      <c r="J417" s="155" t="s">
        <v>3975</v>
      </c>
      <c r="K417" s="155" t="s">
        <v>4646</v>
      </c>
      <c r="L417" s="247">
        <f t="shared" si="42"/>
        <v>0</v>
      </c>
      <c r="M417" s="121">
        <f>SUMIFS('Bilateral Assistance, MAIN DATA'!M:M,'Bilateral Assistance, MAIN DATA'!I:I,'Price List, Weapons &amp; Items'!B417)</f>
        <v>28</v>
      </c>
      <c r="N417" s="19">
        <f>COUNTIFS('Bilateral Assistance, MAIN DATA'!M:M,"undisclosed",'Bilateral Assistance, MAIN DATA'!I:I,'Price List, Weapons &amp; Items'!B417)</f>
        <v>0</v>
      </c>
      <c r="O417" s="723">
        <f t="shared" si="43"/>
        <v>11200000</v>
      </c>
      <c r="P417" s="19">
        <f>IFERROR(IF(SEARCH(B417,_xlfn.ARRAYTOTEXT('Bilateral Assistance, MAIN DATA'!I$1:I$1622))&gt;0,1,""),0)</f>
        <v>1</v>
      </c>
      <c r="Q417" s="19">
        <f>IFERROR(IF(SEARCH(B417,_xlfn.ARRAYTOTEXT('Commercial Assistance'!I$1:I$1400))&gt;0,1,""),0)</f>
        <v>0</v>
      </c>
      <c r="R417" s="247" t="str">
        <f>IF(SUMIFS('Bilateral Assistance, MAIN DATA'!N:N,'Bilateral Assistance, MAIN DATA'!I:I,'Price List, Weapons &amp; Items'!B417)&gt;M417,1,".")</f>
        <v>.</v>
      </c>
    </row>
    <row r="418" spans="2:18" ht="15" customHeight="1" x14ac:dyDescent="0.3">
      <c r="B418" s="175" t="s">
        <v>4647</v>
      </c>
      <c r="C418" s="113" t="s">
        <v>256</v>
      </c>
      <c r="D418" s="113" t="s">
        <v>256</v>
      </c>
      <c r="E418" s="199">
        <v>0</v>
      </c>
      <c r="F418" s="199">
        <f t="shared" si="45"/>
        <v>0</v>
      </c>
      <c r="G418" s="629">
        <v>317500</v>
      </c>
      <c r="H418" s="720" t="str">
        <f t="shared" si="46"/>
        <v>USD</v>
      </c>
      <c r="I418" s="820" t="s">
        <v>4648</v>
      </c>
      <c r="J418" s="155" t="s">
        <v>3964</v>
      </c>
      <c r="K418" s="155" t="s">
        <v>4649</v>
      </c>
      <c r="L418" s="247">
        <f t="shared" si="42"/>
        <v>0</v>
      </c>
      <c r="M418" s="121">
        <f>SUMIFS('Bilateral Assistance, MAIN DATA'!M:M,'Bilateral Assistance, MAIN DATA'!I:I,'Price List, Weapons &amp; Items'!B418)</f>
        <v>166</v>
      </c>
      <c r="N418" s="19">
        <f>COUNTIFS('Bilateral Assistance, MAIN DATA'!M:M,"undisclosed",'Bilateral Assistance, MAIN DATA'!I:I,'Price List, Weapons &amp; Items'!B418)</f>
        <v>0</v>
      </c>
      <c r="O418" s="723">
        <f t="shared" si="43"/>
        <v>52705000</v>
      </c>
      <c r="P418" s="19">
        <f>IFERROR(IF(SEARCH(B418,_xlfn.ARRAYTOTEXT('Bilateral Assistance, MAIN DATA'!I$1:I$1622))&gt;0,1,""),0)</f>
        <v>1</v>
      </c>
      <c r="Q418" s="19">
        <f>IFERROR(IF(SEARCH(B418,_xlfn.ARRAYTOTEXT('Commercial Assistance'!I$1:I$1400))&gt;0,1,""),0)</f>
        <v>0</v>
      </c>
      <c r="R418" s="247" t="str">
        <f>IF(SUMIFS('Bilateral Assistance, MAIN DATA'!N:N,'Bilateral Assistance, MAIN DATA'!I:I,'Price List, Weapons &amp; Items'!B418)&gt;M418,1,".")</f>
        <v>.</v>
      </c>
    </row>
    <row r="419" spans="2:18" ht="15" customHeight="1" x14ac:dyDescent="0.3">
      <c r="B419" s="175" t="s">
        <v>373</v>
      </c>
      <c r="C419" s="113" t="s">
        <v>256</v>
      </c>
      <c r="D419" s="113" t="s">
        <v>256</v>
      </c>
      <c r="E419" s="199">
        <v>0</v>
      </c>
      <c r="F419" s="199">
        <f t="shared" si="45"/>
        <v>0</v>
      </c>
      <c r="G419" s="629">
        <v>400000</v>
      </c>
      <c r="H419" s="720" t="str">
        <f t="shared" si="46"/>
        <v>USD</v>
      </c>
      <c r="I419" s="820" t="s">
        <v>4644</v>
      </c>
      <c r="J419" s="155" t="s">
        <v>3964</v>
      </c>
      <c r="K419" s="155" t="s">
        <v>4645</v>
      </c>
      <c r="L419" s="247">
        <f t="shared" si="42"/>
        <v>0</v>
      </c>
      <c r="M419" s="121">
        <f>SUMIFS('Bilateral Assistance, MAIN DATA'!M:M,'Bilateral Assistance, MAIN DATA'!I:I,'Price List, Weapons &amp; Items'!B419)</f>
        <v>80</v>
      </c>
      <c r="N419" s="19">
        <f>COUNTIFS('Bilateral Assistance, MAIN DATA'!M:M,"undisclosed",'Bilateral Assistance, MAIN DATA'!I:I,'Price List, Weapons &amp; Items'!B419)</f>
        <v>0</v>
      </c>
      <c r="O419" s="723">
        <f t="shared" si="43"/>
        <v>32000000</v>
      </c>
      <c r="P419" s="19">
        <f>IFERROR(IF(SEARCH(B419,_xlfn.ARRAYTOTEXT('Bilateral Assistance, MAIN DATA'!I$1:I$1622))&gt;0,1,""),0)</f>
        <v>1</v>
      </c>
      <c r="Q419" s="19">
        <f>IFERROR(IF(SEARCH(B419,_xlfn.ARRAYTOTEXT('Commercial Assistance'!I$1:I$1400))&gt;0,1,""),0)</f>
        <v>0</v>
      </c>
      <c r="R419" s="247" t="str">
        <f>IF(SUMIFS('Bilateral Assistance, MAIN DATA'!N:N,'Bilateral Assistance, MAIN DATA'!I:I,'Price List, Weapons &amp; Items'!B419)&gt;M419,1,".")</f>
        <v>.</v>
      </c>
    </row>
    <row r="420" spans="2:18" ht="15" customHeight="1" x14ac:dyDescent="0.3">
      <c r="B420" s="175" t="s">
        <v>4650</v>
      </c>
      <c r="C420" s="113" t="s">
        <v>256</v>
      </c>
      <c r="D420" s="113" t="s">
        <v>256</v>
      </c>
      <c r="E420" s="199">
        <v>0</v>
      </c>
      <c r="F420" s="199">
        <f t="shared" si="45"/>
        <v>0</v>
      </c>
      <c r="G420" s="629">
        <v>88347.31</v>
      </c>
      <c r="H420" s="720" t="str">
        <f t="shared" si="46"/>
        <v>USD</v>
      </c>
      <c r="I420" s="821" t="s">
        <v>1870</v>
      </c>
      <c r="J420" s="155" t="s">
        <v>4008</v>
      </c>
      <c r="K420" s="155" t="s">
        <v>4651</v>
      </c>
      <c r="L420" s="247">
        <f t="shared" si="42"/>
        <v>0</v>
      </c>
      <c r="M420" s="121">
        <f>SUMIFS('Bilateral Assistance, MAIN DATA'!M:M,'Bilateral Assistance, MAIN DATA'!I:I,'Price List, Weapons &amp; Items'!B420)</f>
        <v>2</v>
      </c>
      <c r="N420" s="19">
        <f>COUNTIFS('Bilateral Assistance, MAIN DATA'!M:M,"undisclosed",'Bilateral Assistance, MAIN DATA'!I:I,'Price List, Weapons &amp; Items'!B420)</f>
        <v>0</v>
      </c>
      <c r="O420" s="723">
        <f t="shared" si="43"/>
        <v>176694.62</v>
      </c>
      <c r="P420" s="19">
        <f>IFERROR(IF(SEARCH(B420,_xlfn.ARRAYTOTEXT('Bilateral Assistance, MAIN DATA'!I$1:I$1622))&gt;0,1,""),0)</f>
        <v>1</v>
      </c>
      <c r="Q420" s="19">
        <f>IFERROR(IF(SEARCH(B420,_xlfn.ARRAYTOTEXT('Commercial Assistance'!I$1:I$1400))&gt;0,1,""),0)</f>
        <v>0</v>
      </c>
      <c r="R420" s="247" t="str">
        <f>IF(SUMIFS('Bilateral Assistance, MAIN DATA'!N:N,'Bilateral Assistance, MAIN DATA'!I:I,'Price List, Weapons &amp; Items'!B420)&gt;M420,1,".")</f>
        <v>.</v>
      </c>
    </row>
    <row r="421" spans="2:18" ht="15" customHeight="1" x14ac:dyDescent="0.3">
      <c r="B421" s="175" t="s">
        <v>4652</v>
      </c>
      <c r="C421" s="113" t="s">
        <v>256</v>
      </c>
      <c r="D421" s="113" t="s">
        <v>256</v>
      </c>
      <c r="E421" s="199">
        <v>0</v>
      </c>
      <c r="F421" s="199">
        <f t="shared" si="45"/>
        <v>0</v>
      </c>
      <c r="G421" s="629">
        <v>76400</v>
      </c>
      <c r="H421" s="720" t="str">
        <f t="shared" si="46"/>
        <v>USD</v>
      </c>
      <c r="I421" s="827" t="s">
        <v>4653</v>
      </c>
      <c r="J421" s="155" t="s">
        <v>3964</v>
      </c>
      <c r="K421" s="155" t="s">
        <v>4654</v>
      </c>
      <c r="L421" s="247">
        <f t="shared" si="42"/>
        <v>0</v>
      </c>
      <c r="M421" s="121">
        <f>SUMIFS('Bilateral Assistance, MAIN DATA'!M:M,'Bilateral Assistance, MAIN DATA'!I:I,'Price List, Weapons &amp; Items'!B421)</f>
        <v>0</v>
      </c>
      <c r="N421" s="19">
        <f>COUNTIFS('Bilateral Assistance, MAIN DATA'!M:M,"undisclosed",'Bilateral Assistance, MAIN DATA'!I:I,'Price List, Weapons &amp; Items'!B421)</f>
        <v>1</v>
      </c>
      <c r="O421" s="723">
        <f t="shared" si="43"/>
        <v>0</v>
      </c>
      <c r="P421" s="19">
        <f>IFERROR(IF(SEARCH(B421,_xlfn.ARRAYTOTEXT('Bilateral Assistance, MAIN DATA'!I$1:I$1622))&gt;0,1,""),0)</f>
        <v>1</v>
      </c>
      <c r="Q421" s="19">
        <f>IFERROR(IF(SEARCH(B421,_xlfn.ARRAYTOTEXT('Commercial Assistance'!I$1:I$1400))&gt;0,1,""),0)</f>
        <v>0</v>
      </c>
      <c r="R421" s="247" t="str">
        <f>IF(SUMIFS('Bilateral Assistance, MAIN DATA'!N:N,'Bilateral Assistance, MAIN DATA'!I:I,'Price List, Weapons &amp; Items'!B421)&gt;M421,1,".")</f>
        <v>.</v>
      </c>
    </row>
    <row r="422" spans="2:18" ht="15" customHeight="1" x14ac:dyDescent="0.3">
      <c r="B422" s="175" t="s">
        <v>1002</v>
      </c>
      <c r="C422" s="113" t="s">
        <v>256</v>
      </c>
      <c r="D422" s="113" t="s">
        <v>256</v>
      </c>
      <c r="E422" s="199">
        <v>0</v>
      </c>
      <c r="F422" s="199">
        <f t="shared" si="45"/>
        <v>0</v>
      </c>
      <c r="G422" s="629">
        <v>27500</v>
      </c>
      <c r="H422" s="720" t="str">
        <f t="shared" si="46"/>
        <v>USD</v>
      </c>
      <c r="I422" s="820" t="s">
        <v>4655</v>
      </c>
      <c r="J422" s="155" t="s">
        <v>3975</v>
      </c>
      <c r="K422" s="245" t="s">
        <v>4656</v>
      </c>
      <c r="L422" s="247">
        <f t="shared" si="42"/>
        <v>0</v>
      </c>
      <c r="M422" s="121">
        <f>SUMIFS('Bilateral Assistance, MAIN DATA'!M:M,'Bilateral Assistance, MAIN DATA'!I:I,'Price List, Weapons &amp; Items'!B422)</f>
        <v>200</v>
      </c>
      <c r="N422" s="19">
        <f>COUNTIFS('Bilateral Assistance, MAIN DATA'!M:M,"undisclosed",'Bilateral Assistance, MAIN DATA'!I:I,'Price List, Weapons &amp; Items'!B422)</f>
        <v>1</v>
      </c>
      <c r="O422" s="723">
        <f t="shared" si="43"/>
        <v>5500000</v>
      </c>
      <c r="P422" s="19">
        <f>IFERROR(IF(SEARCH(B422,_xlfn.ARRAYTOTEXT('Bilateral Assistance, MAIN DATA'!I$1:I$1622))&gt;0,1,""),0)</f>
        <v>1</v>
      </c>
      <c r="Q422" s="19">
        <f>IFERROR(IF(SEARCH(B422,_xlfn.ARRAYTOTEXT('Commercial Assistance'!I$1:I$1400))&gt;0,1,""),0)</f>
        <v>0</v>
      </c>
      <c r="R422" s="247" t="str">
        <f>IF(SUMIFS('Bilateral Assistance, MAIN DATA'!N:N,'Bilateral Assistance, MAIN DATA'!I:I,'Price List, Weapons &amp; Items'!B422)&gt;M422,1,".")</f>
        <v>.</v>
      </c>
    </row>
    <row r="423" spans="2:18" ht="15" customHeight="1" x14ac:dyDescent="0.3">
      <c r="B423" s="175" t="s">
        <v>4657</v>
      </c>
      <c r="C423" s="113" t="s">
        <v>256</v>
      </c>
      <c r="D423" s="113" t="s">
        <v>256</v>
      </c>
      <c r="E423" s="199">
        <v>0</v>
      </c>
      <c r="F423" s="199">
        <f t="shared" si="45"/>
        <v>0</v>
      </c>
      <c r="G423" s="629">
        <v>10000</v>
      </c>
      <c r="H423" s="720" t="str">
        <f t="shared" si="46"/>
        <v>USD</v>
      </c>
      <c r="I423" s="820" t="s">
        <v>4658</v>
      </c>
      <c r="J423" s="155" t="s">
        <v>3975</v>
      </c>
      <c r="K423" s="155" t="s">
        <v>4659</v>
      </c>
      <c r="L423" s="247">
        <f t="shared" si="42"/>
        <v>0</v>
      </c>
      <c r="M423" s="121">
        <f>SUMIFS('Bilateral Assistance, MAIN DATA'!M:M,'Bilateral Assistance, MAIN DATA'!I:I,'Price List, Weapons &amp; Items'!B423)</f>
        <v>49</v>
      </c>
      <c r="N423" s="19">
        <f>COUNTIFS('Bilateral Assistance, MAIN DATA'!M:M,"undisclosed",'Bilateral Assistance, MAIN DATA'!I:I,'Price List, Weapons &amp; Items'!B423)</f>
        <v>0</v>
      </c>
      <c r="O423" s="723">
        <f t="shared" si="43"/>
        <v>490000</v>
      </c>
      <c r="P423" s="19">
        <f>IFERROR(IF(SEARCH(B423,_xlfn.ARRAYTOTEXT('Bilateral Assistance, MAIN DATA'!I$1:I$1622))&gt;0,1,""),0)</f>
        <v>1</v>
      </c>
      <c r="Q423" s="19">
        <f>IFERROR(IF(SEARCH(B423,_xlfn.ARRAYTOTEXT('Commercial Assistance'!I$1:I$1400))&gt;0,1,""),0)</f>
        <v>0</v>
      </c>
      <c r="R423" s="247" t="str">
        <f>IF(SUMIFS('Bilateral Assistance, MAIN DATA'!N:N,'Bilateral Assistance, MAIN DATA'!I:I,'Price List, Weapons &amp; Items'!B423)&gt;M423,1,".")</f>
        <v>.</v>
      </c>
    </row>
    <row r="424" spans="2:18" ht="15" customHeight="1" x14ac:dyDescent="0.3">
      <c r="B424" s="175" t="s">
        <v>1164</v>
      </c>
      <c r="C424" s="113" t="s">
        <v>256</v>
      </c>
      <c r="D424" s="113" t="s">
        <v>256</v>
      </c>
      <c r="E424" s="199">
        <v>0</v>
      </c>
      <c r="F424" s="199">
        <f t="shared" si="45"/>
        <v>0</v>
      </c>
      <c r="G424" s="629">
        <v>10000</v>
      </c>
      <c r="H424" s="720" t="str">
        <f t="shared" si="46"/>
        <v>USD</v>
      </c>
      <c r="I424" s="820" t="s">
        <v>4658</v>
      </c>
      <c r="J424" s="155" t="s">
        <v>3975</v>
      </c>
      <c r="K424" s="155" t="s">
        <v>4659</v>
      </c>
      <c r="L424" s="247">
        <f t="shared" si="42"/>
        <v>0</v>
      </c>
      <c r="M424" s="121">
        <f>SUMIFS('Bilateral Assistance, MAIN DATA'!M:M,'Bilateral Assistance, MAIN DATA'!I:I,'Price List, Weapons &amp; Items'!B424)</f>
        <v>435.72500000000002</v>
      </c>
      <c r="N424" s="19">
        <f>COUNTIFS('Bilateral Assistance, MAIN DATA'!M:M,"undisclosed",'Bilateral Assistance, MAIN DATA'!I:I,'Price List, Weapons &amp; Items'!B424)</f>
        <v>0</v>
      </c>
      <c r="O424" s="723">
        <f t="shared" si="43"/>
        <v>4357250</v>
      </c>
      <c r="P424" s="19">
        <f>IFERROR(IF(SEARCH(B424,_xlfn.ARRAYTOTEXT('Bilateral Assistance, MAIN DATA'!I$1:I$1622))&gt;0,1,""),0)</f>
        <v>1</v>
      </c>
      <c r="Q424" s="19">
        <f>IFERROR(IF(SEARCH(B424,_xlfn.ARRAYTOTEXT('Commercial Assistance'!I$1:I$1400))&gt;0,1,""),0)</f>
        <v>0</v>
      </c>
      <c r="R424" s="247" t="str">
        <f>IF(SUMIFS('Bilateral Assistance, MAIN DATA'!N:N,'Bilateral Assistance, MAIN DATA'!I:I,'Price List, Weapons &amp; Items'!B424)&gt;M424,1,".")</f>
        <v>.</v>
      </c>
    </row>
    <row r="425" spans="2:18" ht="15" customHeight="1" x14ac:dyDescent="0.3">
      <c r="B425" s="175" t="s">
        <v>4660</v>
      </c>
      <c r="C425" s="113" t="s">
        <v>256</v>
      </c>
      <c r="D425" s="113" t="s">
        <v>256</v>
      </c>
      <c r="E425" s="199">
        <v>0</v>
      </c>
      <c r="F425" s="199">
        <f t="shared" si="45"/>
        <v>0</v>
      </c>
      <c r="G425" s="629">
        <v>10000</v>
      </c>
      <c r="H425" s="720" t="str">
        <f t="shared" si="46"/>
        <v>USD</v>
      </c>
      <c r="I425" s="820" t="s">
        <v>4661</v>
      </c>
      <c r="J425" s="155" t="s">
        <v>3975</v>
      </c>
      <c r="K425" s="155" t="s">
        <v>4662</v>
      </c>
      <c r="L425" s="247">
        <f t="shared" si="42"/>
        <v>0</v>
      </c>
      <c r="M425" s="121">
        <f>SUMIFS('Bilateral Assistance, MAIN DATA'!M:M,'Bilateral Assistance, MAIN DATA'!I:I,'Price List, Weapons &amp; Items'!B425)</f>
        <v>236.66666666666666</v>
      </c>
      <c r="N425" s="19">
        <f>COUNTIFS('Bilateral Assistance, MAIN DATA'!M:M,"undisclosed",'Bilateral Assistance, MAIN DATA'!I:I,'Price List, Weapons &amp; Items'!B425)</f>
        <v>0</v>
      </c>
      <c r="O425" s="723">
        <f t="shared" si="43"/>
        <v>2366666.6666666665</v>
      </c>
      <c r="P425" s="19">
        <f>IFERROR(IF(SEARCH(B425,_xlfn.ARRAYTOTEXT('Bilateral Assistance, MAIN DATA'!I$1:I$1622))&gt;0,1,""),0)</f>
        <v>1</v>
      </c>
      <c r="Q425" s="19">
        <f>IFERROR(IF(SEARCH(B425,_xlfn.ARRAYTOTEXT('Commercial Assistance'!I$1:I$1400))&gt;0,1,""),0)</f>
        <v>0</v>
      </c>
      <c r="R425" s="247" t="str">
        <f>IF(SUMIFS('Bilateral Assistance, MAIN DATA'!N:N,'Bilateral Assistance, MAIN DATA'!I:I,'Price List, Weapons &amp; Items'!B425)&gt;M425,1,".")</f>
        <v>.</v>
      </c>
    </row>
    <row r="426" spans="2:18" ht="15" customHeight="1" x14ac:dyDescent="0.3">
      <c r="B426" s="175" t="s">
        <v>4663</v>
      </c>
      <c r="C426" s="113" t="s">
        <v>256</v>
      </c>
      <c r="D426" s="113" t="s">
        <v>256</v>
      </c>
      <c r="E426" s="199">
        <v>0</v>
      </c>
      <c r="F426" s="199">
        <f t="shared" si="45"/>
        <v>0</v>
      </c>
      <c r="G426" s="629">
        <v>4995</v>
      </c>
      <c r="H426" s="720" t="str">
        <f t="shared" si="46"/>
        <v>USD</v>
      </c>
      <c r="I426" s="821" t="s">
        <v>4664</v>
      </c>
      <c r="J426" s="155" t="s">
        <v>3971</v>
      </c>
      <c r="K426" s="155" t="s">
        <v>4665</v>
      </c>
      <c r="L426" s="247">
        <f t="shared" si="42"/>
        <v>0</v>
      </c>
      <c r="M426" s="121">
        <f>SUMIFS('Bilateral Assistance, MAIN DATA'!M:M,'Bilateral Assistance, MAIN DATA'!I:I,'Price List, Weapons &amp; Items'!B426)</f>
        <v>4</v>
      </c>
      <c r="N426" s="19">
        <f>COUNTIFS('Bilateral Assistance, MAIN DATA'!M:M,"undisclosed",'Bilateral Assistance, MAIN DATA'!I:I,'Price List, Weapons &amp; Items'!B426)</f>
        <v>0</v>
      </c>
      <c r="O426" s="723">
        <f t="shared" si="43"/>
        <v>19980</v>
      </c>
      <c r="P426" s="19">
        <f>IFERROR(IF(SEARCH(B426,_xlfn.ARRAYTOTEXT('Bilateral Assistance, MAIN DATA'!I$1:I$1622))&gt;0,1,""),0)</f>
        <v>1</v>
      </c>
      <c r="Q426" s="19">
        <f>IFERROR(IF(SEARCH(B426,_xlfn.ARRAYTOTEXT('Commercial Assistance'!I$1:I$1400))&gt;0,1,""),0)</f>
        <v>0</v>
      </c>
      <c r="R426" s="247" t="str">
        <f>IF(SUMIFS('Bilateral Assistance, MAIN DATA'!N:N,'Bilateral Assistance, MAIN DATA'!I:I,'Price List, Weapons &amp; Items'!B426)&gt;M426,1,".")</f>
        <v>.</v>
      </c>
    </row>
    <row r="427" spans="2:18" ht="15" customHeight="1" x14ac:dyDescent="0.3">
      <c r="B427" s="175" t="s">
        <v>4666</v>
      </c>
      <c r="C427" s="113" t="s">
        <v>256</v>
      </c>
      <c r="D427" s="113" t="s">
        <v>256</v>
      </c>
      <c r="E427" s="199">
        <v>0</v>
      </c>
      <c r="F427" s="199">
        <f t="shared" si="45"/>
        <v>0</v>
      </c>
      <c r="G427" s="629">
        <v>4173</v>
      </c>
      <c r="H427" s="720" t="str">
        <f t="shared" si="46"/>
        <v>USD</v>
      </c>
      <c r="I427" s="820" t="s">
        <v>4667</v>
      </c>
      <c r="J427" s="155" t="s">
        <v>3975</v>
      </c>
      <c r="K427" s="155" t="s">
        <v>4668</v>
      </c>
      <c r="L427" s="247">
        <f t="shared" si="42"/>
        <v>0</v>
      </c>
      <c r="M427" s="121">
        <f>SUMIFS('Bilateral Assistance, MAIN DATA'!M:M,'Bilateral Assistance, MAIN DATA'!I:I,'Price List, Weapons &amp; Items'!B427)</f>
        <v>250</v>
      </c>
      <c r="N427" s="19">
        <f>COUNTIFS('Bilateral Assistance, MAIN DATA'!M:M,"undisclosed",'Bilateral Assistance, MAIN DATA'!I:I,'Price List, Weapons &amp; Items'!B427)</f>
        <v>0</v>
      </c>
      <c r="O427" s="723">
        <f t="shared" si="43"/>
        <v>1043250</v>
      </c>
      <c r="P427" s="19">
        <f>IFERROR(IF(SEARCH(B427,_xlfn.ARRAYTOTEXT('Bilateral Assistance, MAIN DATA'!I$1:I$1622))&gt;0,1,""),0)</f>
        <v>1</v>
      </c>
      <c r="Q427" s="19">
        <f>IFERROR(IF(SEARCH(B427,_xlfn.ARRAYTOTEXT('Commercial Assistance'!I$1:I$1400))&gt;0,1,""),0)</f>
        <v>0</v>
      </c>
      <c r="R427" s="247" t="str">
        <f>IF(SUMIFS('Bilateral Assistance, MAIN DATA'!N:N,'Bilateral Assistance, MAIN DATA'!I:I,'Price List, Weapons &amp; Items'!B427)&gt;M427,1,".")</f>
        <v>.</v>
      </c>
    </row>
    <row r="428" spans="2:18" ht="15" customHeight="1" x14ac:dyDescent="0.3">
      <c r="B428" s="175" t="s">
        <v>4669</v>
      </c>
      <c r="C428" s="113" t="s">
        <v>256</v>
      </c>
      <c r="D428" s="113" t="s">
        <v>256</v>
      </c>
      <c r="E428" s="199">
        <v>0</v>
      </c>
      <c r="F428" s="199">
        <f t="shared" si="45"/>
        <v>0</v>
      </c>
      <c r="G428" s="629">
        <v>6000</v>
      </c>
      <c r="H428" s="720" t="str">
        <f t="shared" si="46"/>
        <v>USD</v>
      </c>
      <c r="I428" s="821" t="s">
        <v>4670</v>
      </c>
      <c r="J428" s="155" t="s">
        <v>3975</v>
      </c>
      <c r="K428" s="155" t="s">
        <v>4671</v>
      </c>
      <c r="L428" s="247">
        <f t="shared" si="42"/>
        <v>0</v>
      </c>
      <c r="M428" s="121">
        <f>SUMIFS('Bilateral Assistance, MAIN DATA'!M:M,'Bilateral Assistance, MAIN DATA'!I:I,'Price List, Weapons &amp; Items'!B428)</f>
        <v>5516</v>
      </c>
      <c r="N428" s="19">
        <f>COUNTIFS('Bilateral Assistance, MAIN DATA'!M:M,"undisclosed",'Bilateral Assistance, MAIN DATA'!I:I,'Price List, Weapons &amp; Items'!B428)</f>
        <v>0</v>
      </c>
      <c r="O428" s="723">
        <f t="shared" si="43"/>
        <v>33096000</v>
      </c>
      <c r="P428" s="19">
        <f>IFERROR(IF(SEARCH(B428,_xlfn.ARRAYTOTEXT('Bilateral Assistance, MAIN DATA'!I$1:I$1622))&gt;0,1,""),0)</f>
        <v>1</v>
      </c>
      <c r="Q428" s="19">
        <f>IFERROR(IF(SEARCH(B428,_xlfn.ARRAYTOTEXT('Commercial Assistance'!I$1:I$1400))&gt;0,1,""),0)</f>
        <v>0</v>
      </c>
      <c r="R428" s="247" t="str">
        <f>IF(SUMIFS('Bilateral Assistance, MAIN DATA'!N:N,'Bilateral Assistance, MAIN DATA'!I:I,'Price List, Weapons &amp; Items'!B428)&gt;M428,1,".")</f>
        <v>.</v>
      </c>
    </row>
    <row r="429" spans="2:18" ht="15" customHeight="1" x14ac:dyDescent="0.3">
      <c r="B429" s="175" t="s">
        <v>4672</v>
      </c>
      <c r="C429" s="113" t="s">
        <v>256</v>
      </c>
      <c r="D429" s="113" t="s">
        <v>256</v>
      </c>
      <c r="E429" s="199">
        <v>0</v>
      </c>
      <c r="F429" s="199">
        <f t="shared" si="45"/>
        <v>0</v>
      </c>
      <c r="G429" s="629">
        <v>2430</v>
      </c>
      <c r="H429" s="720" t="str">
        <f t="shared" si="46"/>
        <v>USD</v>
      </c>
      <c r="I429" s="820" t="s">
        <v>4673</v>
      </c>
      <c r="J429" s="155" t="s">
        <v>4008</v>
      </c>
      <c r="K429" s="155" t="s">
        <v>4674</v>
      </c>
      <c r="L429" s="247">
        <f t="shared" si="42"/>
        <v>0</v>
      </c>
      <c r="M429" s="121">
        <f>SUMIFS('Bilateral Assistance, MAIN DATA'!M:M,'Bilateral Assistance, MAIN DATA'!I:I,'Price List, Weapons &amp; Items'!B429)</f>
        <v>1608</v>
      </c>
      <c r="N429" s="19">
        <f>COUNTIFS('Bilateral Assistance, MAIN DATA'!M:M,"undisclosed",'Bilateral Assistance, MAIN DATA'!I:I,'Price List, Weapons &amp; Items'!B429)</f>
        <v>0</v>
      </c>
      <c r="O429" s="723">
        <f t="shared" si="43"/>
        <v>3907440</v>
      </c>
      <c r="P429" s="19">
        <f>IFERROR(IF(SEARCH(B429,_xlfn.ARRAYTOTEXT('Bilateral Assistance, MAIN DATA'!I$1:I$1622))&gt;0,1,""),0)</f>
        <v>1</v>
      </c>
      <c r="Q429" s="19">
        <f>IFERROR(IF(SEARCH(B429,_xlfn.ARRAYTOTEXT('Commercial Assistance'!I$1:I$1400))&gt;0,1,""),0)</f>
        <v>0</v>
      </c>
      <c r="R429" s="247" t="str">
        <f>IF(SUMIFS('Bilateral Assistance, MAIN DATA'!N:N,'Bilateral Assistance, MAIN DATA'!I:I,'Price List, Weapons &amp; Items'!B429)&gt;M429,1,".")</f>
        <v>.</v>
      </c>
    </row>
    <row r="430" spans="2:18" ht="15" customHeight="1" x14ac:dyDescent="0.3">
      <c r="B430" s="175" t="s">
        <v>4675</v>
      </c>
      <c r="C430" s="113" t="s">
        <v>256</v>
      </c>
      <c r="D430" s="113" t="s">
        <v>256</v>
      </c>
      <c r="E430" s="199">
        <v>0</v>
      </c>
      <c r="F430" s="199">
        <f t="shared" si="45"/>
        <v>0</v>
      </c>
      <c r="G430" s="629">
        <v>1500</v>
      </c>
      <c r="H430" s="720" t="str">
        <f t="shared" si="46"/>
        <v>USD</v>
      </c>
      <c r="I430" s="821" t="s">
        <v>4676</v>
      </c>
      <c r="J430" s="155" t="s">
        <v>3975</v>
      </c>
      <c r="K430" s="155" t="s">
        <v>4677</v>
      </c>
      <c r="L430" s="247">
        <f t="shared" si="42"/>
        <v>0</v>
      </c>
      <c r="M430" s="121">
        <f>SUMIFS('Bilateral Assistance, MAIN DATA'!M:M,'Bilateral Assistance, MAIN DATA'!I:I,'Price List, Weapons &amp; Items'!B430)</f>
        <v>0</v>
      </c>
      <c r="N430" s="19">
        <f>COUNTIFS('Bilateral Assistance, MAIN DATA'!M:M,"undisclosed",'Bilateral Assistance, MAIN DATA'!I:I,'Price List, Weapons &amp; Items'!B430)</f>
        <v>1</v>
      </c>
      <c r="O430" s="723">
        <f t="shared" si="43"/>
        <v>0</v>
      </c>
      <c r="P430" s="19">
        <f>IFERROR(IF(SEARCH(B430,_xlfn.ARRAYTOTEXT('Bilateral Assistance, MAIN DATA'!I$1:I$1622))&gt;0,1,""),0)</f>
        <v>1</v>
      </c>
      <c r="Q430" s="19">
        <f>IFERROR(IF(SEARCH(B430,_xlfn.ARRAYTOTEXT('Commercial Assistance'!I$1:I$1400))&gt;0,1,""),0)</f>
        <v>0</v>
      </c>
      <c r="R430" s="247" t="str">
        <f>IF(SUMIFS('Bilateral Assistance, MAIN DATA'!N:N,'Bilateral Assistance, MAIN DATA'!I:I,'Price List, Weapons &amp; Items'!B430)&gt;M430,1,".")</f>
        <v>.</v>
      </c>
    </row>
    <row r="431" spans="2:18" ht="15" customHeight="1" x14ac:dyDescent="0.3">
      <c r="B431" s="175" t="s">
        <v>4678</v>
      </c>
      <c r="C431" s="113" t="s">
        <v>256</v>
      </c>
      <c r="D431" s="113" t="s">
        <v>256</v>
      </c>
      <c r="E431" s="199">
        <v>0</v>
      </c>
      <c r="F431" s="199">
        <f t="shared" si="45"/>
        <v>0</v>
      </c>
      <c r="G431" s="629">
        <v>675</v>
      </c>
      <c r="H431" s="720" t="str">
        <f t="shared" si="46"/>
        <v>USD</v>
      </c>
      <c r="I431" s="821" t="s">
        <v>4679</v>
      </c>
      <c r="J431" s="155" t="s">
        <v>3975</v>
      </c>
      <c r="K431" s="155" t="s">
        <v>4680</v>
      </c>
      <c r="L431" s="247">
        <f t="shared" si="42"/>
        <v>0</v>
      </c>
      <c r="M431" s="121">
        <f>SUMIFS('Bilateral Assistance, MAIN DATA'!M:M,'Bilateral Assistance, MAIN DATA'!I:I,'Price List, Weapons &amp; Items'!B431)</f>
        <v>40</v>
      </c>
      <c r="N431" s="19">
        <f>COUNTIFS('Bilateral Assistance, MAIN DATA'!M:M,"undisclosed",'Bilateral Assistance, MAIN DATA'!I:I,'Price List, Weapons &amp; Items'!B431)</f>
        <v>0</v>
      </c>
      <c r="O431" s="723">
        <f t="shared" si="43"/>
        <v>27000</v>
      </c>
      <c r="P431" s="19">
        <f>IFERROR(IF(SEARCH(B431,_xlfn.ARRAYTOTEXT('Bilateral Assistance, MAIN DATA'!I$1:I$1622))&gt;0,1,""),0)</f>
        <v>1</v>
      </c>
      <c r="Q431" s="19">
        <f>IFERROR(IF(SEARCH(B431,_xlfn.ARRAYTOTEXT('Commercial Assistance'!I$1:I$1400))&gt;0,1,""),0)</f>
        <v>0</v>
      </c>
      <c r="R431" s="247" t="str">
        <f>IF(SUMIFS('Bilateral Assistance, MAIN DATA'!N:N,'Bilateral Assistance, MAIN DATA'!I:I,'Price List, Weapons &amp; Items'!B431)&gt;M431,1,".")</f>
        <v>.</v>
      </c>
    </row>
    <row r="432" spans="2:18" ht="15" customHeight="1" x14ac:dyDescent="0.3">
      <c r="B432" s="188" t="s">
        <v>4681</v>
      </c>
      <c r="C432" s="113" t="s">
        <v>256</v>
      </c>
      <c r="D432" s="113" t="s">
        <v>256</v>
      </c>
      <c r="E432" s="199">
        <v>0</v>
      </c>
      <c r="F432" s="199">
        <f t="shared" si="45"/>
        <v>0</v>
      </c>
      <c r="G432" s="629">
        <v>632</v>
      </c>
      <c r="H432" s="720" t="str">
        <f t="shared" si="46"/>
        <v>USD</v>
      </c>
      <c r="I432" s="821" t="s">
        <v>4682</v>
      </c>
      <c r="J432" s="155" t="s">
        <v>3975</v>
      </c>
      <c r="K432" s="155" t="s">
        <v>4683</v>
      </c>
      <c r="L432" s="247">
        <f t="shared" si="42"/>
        <v>0</v>
      </c>
      <c r="M432" s="121">
        <f>SUMIFS('Bilateral Assistance, MAIN DATA'!M:M,'Bilateral Assistance, MAIN DATA'!I:I,'Price List, Weapons &amp; Items'!B432)</f>
        <v>40</v>
      </c>
      <c r="N432" s="19">
        <f>COUNTIFS('Bilateral Assistance, MAIN DATA'!M:M,"undisclosed",'Bilateral Assistance, MAIN DATA'!I:I,'Price List, Weapons &amp; Items'!B432)</f>
        <v>0</v>
      </c>
      <c r="O432" s="723">
        <f t="shared" si="43"/>
        <v>25280</v>
      </c>
      <c r="P432" s="19">
        <f>IFERROR(IF(SEARCH(B432,_xlfn.ARRAYTOTEXT('Bilateral Assistance, MAIN DATA'!I$1:I$1622))&gt;0,1,""),0)</f>
        <v>1</v>
      </c>
      <c r="Q432" s="19">
        <f>IFERROR(IF(SEARCH(B432,_xlfn.ARRAYTOTEXT('Commercial Assistance'!I$1:I$1400))&gt;0,1,""),0)</f>
        <v>0</v>
      </c>
      <c r="R432" s="247" t="str">
        <f>IF(SUMIFS('Bilateral Assistance, MAIN DATA'!N:N,'Bilateral Assistance, MAIN DATA'!I:I,'Price List, Weapons &amp; Items'!B432)&gt;M432,1,".")</f>
        <v>.</v>
      </c>
    </row>
    <row r="433" spans="2:18" ht="15" customHeight="1" x14ac:dyDescent="0.3">
      <c r="B433" s="175" t="s">
        <v>4684</v>
      </c>
      <c r="C433" s="113" t="s">
        <v>256</v>
      </c>
      <c r="D433" s="113" t="s">
        <v>256</v>
      </c>
      <c r="E433" s="199">
        <v>0</v>
      </c>
      <c r="F433" s="199">
        <f t="shared" si="45"/>
        <v>0</v>
      </c>
      <c r="G433" s="629">
        <v>329</v>
      </c>
      <c r="H433" s="720" t="str">
        <f t="shared" si="46"/>
        <v>USD</v>
      </c>
      <c r="I433" s="844" t="s">
        <v>273</v>
      </c>
      <c r="J433" s="155" t="s">
        <v>3964</v>
      </c>
      <c r="K433" s="260" t="s">
        <v>4685</v>
      </c>
      <c r="L433" s="247">
        <f t="shared" si="42"/>
        <v>0</v>
      </c>
      <c r="M433" s="121">
        <f>SUMIFS('Bilateral Assistance, MAIN DATA'!M:M,'Bilateral Assistance, MAIN DATA'!I:I,'Price List, Weapons &amp; Items'!B433)</f>
        <v>70000</v>
      </c>
      <c r="N433" s="19">
        <f>COUNTIFS('Bilateral Assistance, MAIN DATA'!M:M,"undisclosed",'Bilateral Assistance, MAIN DATA'!I:I,'Price List, Weapons &amp; Items'!B433)</f>
        <v>0</v>
      </c>
      <c r="O433" s="723">
        <f t="shared" si="43"/>
        <v>23030000</v>
      </c>
      <c r="P433" s="19">
        <f>IFERROR(IF(SEARCH(B433,_xlfn.ARRAYTOTEXT('Bilateral Assistance, MAIN DATA'!I$1:I$1622))&gt;0,1,""),0)</f>
        <v>1</v>
      </c>
      <c r="Q433" s="19">
        <f>IFERROR(IF(SEARCH(B433,_xlfn.ARRAYTOTEXT('Commercial Assistance'!I$1:I$1400))&gt;0,1,""),0)</f>
        <v>0</v>
      </c>
      <c r="R433" s="247" t="str">
        <f>IF(SUMIFS('Bilateral Assistance, MAIN DATA'!N:N,'Bilateral Assistance, MAIN DATA'!I:I,'Price List, Weapons &amp; Items'!B433)&gt;M433,1,".")</f>
        <v>.</v>
      </c>
    </row>
    <row r="434" spans="2:18" ht="15" customHeight="1" x14ac:dyDescent="0.3">
      <c r="B434" s="175" t="s">
        <v>4686</v>
      </c>
      <c r="C434" s="113" t="s">
        <v>812</v>
      </c>
      <c r="D434" s="113" t="s">
        <v>812</v>
      </c>
      <c r="E434" s="199">
        <v>0</v>
      </c>
      <c r="F434" s="199">
        <f t="shared" si="45"/>
        <v>0</v>
      </c>
      <c r="G434" s="629">
        <v>310</v>
      </c>
      <c r="H434" s="720" t="str">
        <f t="shared" si="46"/>
        <v>USD</v>
      </c>
      <c r="I434" s="844" t="s">
        <v>4687</v>
      </c>
      <c r="J434" s="155" t="s">
        <v>3964</v>
      </c>
      <c r="K434" s="260" t="s">
        <v>4688</v>
      </c>
      <c r="L434" s="247" t="str">
        <f t="shared" si="42"/>
        <v>no price, 0 count</v>
      </c>
      <c r="M434" s="121">
        <f>SUMIFS('Bilateral Assistance, MAIN DATA'!M:M,'Bilateral Assistance, MAIN DATA'!I:I,'Price List, Weapons &amp; Items'!B434)</f>
        <v>0</v>
      </c>
      <c r="N434" s="19">
        <f>COUNTIFS('Bilateral Assistance, MAIN DATA'!M:M,"undisclosed",'Bilateral Assistance, MAIN DATA'!I:I,'Price List, Weapons &amp; Items'!B434)</f>
        <v>1</v>
      </c>
      <c r="O434" s="723">
        <f t="shared" si="43"/>
        <v>0</v>
      </c>
      <c r="P434" s="19">
        <f>IFERROR(IF(SEARCH(B434,_xlfn.ARRAYTOTEXT('Bilateral Assistance, MAIN DATA'!I$1:I$1622))&gt;0,1,""),0)</f>
        <v>1</v>
      </c>
      <c r="Q434" s="19">
        <f>IFERROR(IF(SEARCH(B434,_xlfn.ARRAYTOTEXT('Commercial Assistance'!I$1:I$1400))&gt;0,1,""),0)</f>
        <v>0</v>
      </c>
      <c r="R434" s="247" t="str">
        <f>IF(SUMIFS('Bilateral Assistance, MAIN DATA'!N:N,'Bilateral Assistance, MAIN DATA'!I:I,'Price List, Weapons &amp; Items'!B434)&gt;M434,1,".")</f>
        <v>.</v>
      </c>
    </row>
    <row r="435" spans="2:18" ht="15" customHeight="1" x14ac:dyDescent="0.3">
      <c r="B435" s="175" t="s">
        <v>4689</v>
      </c>
      <c r="C435" s="113" t="s">
        <v>256</v>
      </c>
      <c r="D435" s="113" t="s">
        <v>256</v>
      </c>
      <c r="E435" s="199">
        <v>0</v>
      </c>
      <c r="F435" s="199">
        <f t="shared" si="45"/>
        <v>0</v>
      </c>
      <c r="G435" s="629">
        <v>183</v>
      </c>
      <c r="H435" s="720" t="str">
        <f t="shared" si="46"/>
        <v>USD</v>
      </c>
      <c r="I435" s="820" t="s">
        <v>4690</v>
      </c>
      <c r="J435" s="155" t="s">
        <v>3975</v>
      </c>
      <c r="K435" s="155" t="s">
        <v>4691</v>
      </c>
      <c r="L435" s="247">
        <f t="shared" si="42"/>
        <v>0</v>
      </c>
      <c r="M435" s="121">
        <f>SUMIFS('Bilateral Assistance, MAIN DATA'!M:M,'Bilateral Assistance, MAIN DATA'!I:I,'Price List, Weapons &amp; Items'!B435)</f>
        <v>2000</v>
      </c>
      <c r="N435" s="19">
        <f>COUNTIFS('Bilateral Assistance, MAIN DATA'!M:M,"undisclosed",'Bilateral Assistance, MAIN DATA'!I:I,'Price List, Weapons &amp; Items'!B435)</f>
        <v>0</v>
      </c>
      <c r="O435" s="723">
        <f t="shared" si="43"/>
        <v>366000</v>
      </c>
      <c r="P435" s="19">
        <f>IFERROR(IF(SEARCH(B435,_xlfn.ARRAYTOTEXT('Bilateral Assistance, MAIN DATA'!I$1:I$1622))&gt;0,1,""),0)</f>
        <v>1</v>
      </c>
      <c r="Q435" s="19">
        <f>IFERROR(IF(SEARCH(B435,_xlfn.ARRAYTOTEXT('Commercial Assistance'!I$1:I$1400))&gt;0,1,""),0)</f>
        <v>0</v>
      </c>
      <c r="R435" s="247" t="str">
        <f>IF(SUMIFS('Bilateral Assistance, MAIN DATA'!N:N,'Bilateral Assistance, MAIN DATA'!I:I,'Price List, Weapons &amp; Items'!B435)&gt;M435,1,".")</f>
        <v>.</v>
      </c>
    </row>
    <row r="436" spans="2:18" ht="15" customHeight="1" x14ac:dyDescent="0.3">
      <c r="B436" s="175" t="s">
        <v>4692</v>
      </c>
      <c r="C436" s="113" t="s">
        <v>256</v>
      </c>
      <c r="D436" s="113" t="s">
        <v>256</v>
      </c>
      <c r="E436" s="199">
        <v>0</v>
      </c>
      <c r="F436" s="199">
        <f t="shared" si="45"/>
        <v>0</v>
      </c>
      <c r="G436" s="629">
        <v>250</v>
      </c>
      <c r="H436" s="720" t="str">
        <f t="shared" si="46"/>
        <v>USD</v>
      </c>
      <c r="I436" s="820" t="s">
        <v>4693</v>
      </c>
      <c r="J436" s="155" t="s">
        <v>3975</v>
      </c>
      <c r="K436" s="155" t="s">
        <v>4694</v>
      </c>
      <c r="L436" s="247">
        <f t="shared" si="42"/>
        <v>0</v>
      </c>
      <c r="M436" s="121">
        <f>SUMIFS('Bilateral Assistance, MAIN DATA'!M:M,'Bilateral Assistance, MAIN DATA'!I:I,'Price List, Weapons &amp; Items'!B436)</f>
        <v>25</v>
      </c>
      <c r="N436" s="19">
        <f>COUNTIFS('Bilateral Assistance, MAIN DATA'!M:M,"undisclosed",'Bilateral Assistance, MAIN DATA'!I:I,'Price List, Weapons &amp; Items'!B436)</f>
        <v>0</v>
      </c>
      <c r="O436" s="723">
        <f t="shared" si="43"/>
        <v>6250</v>
      </c>
      <c r="P436" s="19">
        <f>IFERROR(IF(SEARCH(B436,_xlfn.ARRAYTOTEXT('Bilateral Assistance, MAIN DATA'!I$1:I$1622))&gt;0,1,""),0)</f>
        <v>1</v>
      </c>
      <c r="Q436" s="19">
        <f>IFERROR(IF(SEARCH(B436,_xlfn.ARRAYTOTEXT('Commercial Assistance'!I$1:I$1400))&gt;0,1,""),0)</f>
        <v>0</v>
      </c>
      <c r="R436" s="247" t="str">
        <f>IF(SUMIFS('Bilateral Assistance, MAIN DATA'!N:N,'Bilateral Assistance, MAIN DATA'!I:I,'Price List, Weapons &amp; Items'!B436)&gt;M436,1,".")</f>
        <v>.</v>
      </c>
    </row>
    <row r="437" spans="2:18" ht="15" customHeight="1" x14ac:dyDescent="0.3">
      <c r="B437" s="175" t="s">
        <v>4695</v>
      </c>
      <c r="C437" s="113" t="s">
        <v>256</v>
      </c>
      <c r="D437" s="113" t="s">
        <v>256</v>
      </c>
      <c r="E437" s="199">
        <v>0</v>
      </c>
      <c r="F437" s="199">
        <f t="shared" si="45"/>
        <v>0</v>
      </c>
      <c r="G437" s="629">
        <v>200</v>
      </c>
      <c r="H437" s="720" t="str">
        <f t="shared" si="46"/>
        <v>USD</v>
      </c>
      <c r="I437" s="821" t="s">
        <v>4696</v>
      </c>
      <c r="J437" s="155" t="s">
        <v>3971</v>
      </c>
      <c r="K437" s="155" t="s">
        <v>4697</v>
      </c>
      <c r="L437" s="247">
        <f t="shared" si="42"/>
        <v>0</v>
      </c>
      <c r="M437" s="121">
        <f>SUMIFS('Bilateral Assistance, MAIN DATA'!M:M,'Bilateral Assistance, MAIN DATA'!I:I,'Price List, Weapons &amp; Items'!B437)</f>
        <v>1200</v>
      </c>
      <c r="N437" s="19">
        <f>COUNTIFS('Bilateral Assistance, MAIN DATA'!M:M,"undisclosed",'Bilateral Assistance, MAIN DATA'!I:I,'Price List, Weapons &amp; Items'!B437)</f>
        <v>0</v>
      </c>
      <c r="O437" s="723">
        <f t="shared" si="43"/>
        <v>240000</v>
      </c>
      <c r="P437" s="19">
        <f>IFERROR(IF(SEARCH(B437,_xlfn.ARRAYTOTEXT('Bilateral Assistance, MAIN DATA'!I$1:I$1622))&gt;0,1,""),0)</f>
        <v>1</v>
      </c>
      <c r="Q437" s="19">
        <f>IFERROR(IF(SEARCH(B437,_xlfn.ARRAYTOTEXT('Commercial Assistance'!I$1:I$1400))&gt;0,1,""),0)</f>
        <v>0</v>
      </c>
      <c r="R437" s="247" t="str">
        <f>IF(SUMIFS('Bilateral Assistance, MAIN DATA'!N:N,'Bilateral Assistance, MAIN DATA'!I:I,'Price List, Weapons &amp; Items'!B437)&gt;M437,1,".")</f>
        <v>.</v>
      </c>
    </row>
    <row r="438" spans="2:18" ht="15" customHeight="1" x14ac:dyDescent="0.3">
      <c r="B438" s="175" t="s">
        <v>4698</v>
      </c>
      <c r="C438" s="113" t="s">
        <v>256</v>
      </c>
      <c r="D438" s="113" t="s">
        <v>256</v>
      </c>
      <c r="E438" s="199">
        <v>0</v>
      </c>
      <c r="F438" s="199">
        <f t="shared" si="45"/>
        <v>0</v>
      </c>
      <c r="G438" s="629">
        <v>200</v>
      </c>
      <c r="H438" s="720" t="str">
        <f t="shared" si="46"/>
        <v>USD</v>
      </c>
      <c r="I438" s="820" t="s">
        <v>4699</v>
      </c>
      <c r="J438" s="155" t="s">
        <v>3964</v>
      </c>
      <c r="K438" s="155" t="s">
        <v>4700</v>
      </c>
      <c r="L438" s="247">
        <f t="shared" si="42"/>
        <v>0</v>
      </c>
      <c r="M438" s="121">
        <f>SUMIFS('Bilateral Assistance, MAIN DATA'!M:M,'Bilateral Assistance, MAIN DATA'!I:I,'Price List, Weapons &amp; Items'!B438)</f>
        <v>10000</v>
      </c>
      <c r="N438" s="19">
        <f>COUNTIFS('Bilateral Assistance, MAIN DATA'!M:M,"undisclosed",'Bilateral Assistance, MAIN DATA'!I:I,'Price List, Weapons &amp; Items'!B438)</f>
        <v>0</v>
      </c>
      <c r="O438" s="723">
        <f t="shared" si="43"/>
        <v>2000000</v>
      </c>
      <c r="P438" s="19">
        <f>IFERROR(IF(SEARCH(B438,_xlfn.ARRAYTOTEXT('Bilateral Assistance, MAIN DATA'!I$1:I$1622))&gt;0,1,""),0)</f>
        <v>1</v>
      </c>
      <c r="Q438" s="19">
        <f>IFERROR(IF(SEARCH(B438,_xlfn.ARRAYTOTEXT('Commercial Assistance'!I$1:I$1400))&gt;0,1,""),0)</f>
        <v>0</v>
      </c>
      <c r="R438" s="247" t="str">
        <f>IF(SUMIFS('Bilateral Assistance, MAIN DATA'!N:N,'Bilateral Assistance, MAIN DATA'!I:I,'Price List, Weapons &amp; Items'!B438)&gt;M438,1,".")</f>
        <v>.</v>
      </c>
    </row>
    <row r="439" spans="2:18" ht="15" customHeight="1" x14ac:dyDescent="0.3">
      <c r="B439" s="188" t="s">
        <v>4701</v>
      </c>
      <c r="C439" s="113" t="s">
        <v>256</v>
      </c>
      <c r="D439" s="113" t="s">
        <v>256</v>
      </c>
      <c r="E439" s="199">
        <v>0</v>
      </c>
      <c r="F439" s="199">
        <f t="shared" si="45"/>
        <v>0</v>
      </c>
      <c r="G439" s="629">
        <v>200</v>
      </c>
      <c r="H439" s="720" t="str">
        <f t="shared" si="46"/>
        <v>USD</v>
      </c>
      <c r="I439" s="820" t="s">
        <v>4702</v>
      </c>
      <c r="J439" s="155" t="s">
        <v>3964</v>
      </c>
      <c r="K439" s="155" t="s">
        <v>4703</v>
      </c>
      <c r="L439" s="247">
        <f t="shared" si="42"/>
        <v>0</v>
      </c>
      <c r="M439" s="121">
        <f>SUMIFS('Bilateral Assistance, MAIN DATA'!M:M,'Bilateral Assistance, MAIN DATA'!I:I,'Price List, Weapons &amp; Items'!B439)</f>
        <v>740</v>
      </c>
      <c r="N439" s="19">
        <f>COUNTIFS('Bilateral Assistance, MAIN DATA'!M:M,"undisclosed",'Bilateral Assistance, MAIN DATA'!I:I,'Price List, Weapons &amp; Items'!B439)</f>
        <v>0</v>
      </c>
      <c r="O439" s="723">
        <f t="shared" si="43"/>
        <v>148000</v>
      </c>
      <c r="P439" s="19">
        <f>IFERROR(IF(SEARCH(B439,_xlfn.ARRAYTOTEXT('Bilateral Assistance, MAIN DATA'!I$1:I$1622))&gt;0,1,""),0)</f>
        <v>1</v>
      </c>
      <c r="Q439" s="19">
        <f>IFERROR(IF(SEARCH(B439,_xlfn.ARRAYTOTEXT('Commercial Assistance'!I$1:I$1400))&gt;0,1,""),0)</f>
        <v>0</v>
      </c>
      <c r="R439" s="247" t="str">
        <f>IF(SUMIFS('Bilateral Assistance, MAIN DATA'!N:N,'Bilateral Assistance, MAIN DATA'!I:I,'Price List, Weapons &amp; Items'!B439)&gt;M439,1,".")</f>
        <v>.</v>
      </c>
    </row>
    <row r="440" spans="2:18" ht="15" customHeight="1" x14ac:dyDescent="0.3">
      <c r="B440" s="175" t="s">
        <v>2569</v>
      </c>
      <c r="C440" s="113" t="s">
        <v>256</v>
      </c>
      <c r="D440" s="113" t="s">
        <v>256</v>
      </c>
      <c r="E440" s="199">
        <v>0</v>
      </c>
      <c r="F440" s="199">
        <f t="shared" si="45"/>
        <v>0</v>
      </c>
      <c r="G440" s="629">
        <v>150</v>
      </c>
      <c r="H440" s="720" t="str">
        <f t="shared" si="46"/>
        <v>USD</v>
      </c>
      <c r="I440" s="821" t="s">
        <v>4704</v>
      </c>
      <c r="J440" s="155" t="s">
        <v>3975</v>
      </c>
      <c r="K440" s="155" t="s">
        <v>4705</v>
      </c>
      <c r="L440" s="247">
        <f t="shared" si="42"/>
        <v>0</v>
      </c>
      <c r="M440" s="121">
        <f>SUMIFS('Bilateral Assistance, MAIN DATA'!M:M,'Bilateral Assistance, MAIN DATA'!I:I,'Price List, Weapons &amp; Items'!B440)</f>
        <v>100</v>
      </c>
      <c r="N440" s="19">
        <f>COUNTIFS('Bilateral Assistance, MAIN DATA'!M:M,"undisclosed",'Bilateral Assistance, MAIN DATA'!I:I,'Price List, Weapons &amp; Items'!B440)</f>
        <v>0</v>
      </c>
      <c r="O440" s="723">
        <f t="shared" si="43"/>
        <v>15000</v>
      </c>
      <c r="P440" s="19">
        <f>IFERROR(IF(SEARCH(B440,_xlfn.ARRAYTOTEXT('Bilateral Assistance, MAIN DATA'!I$1:I$1622))&gt;0,1,""),0)</f>
        <v>1</v>
      </c>
      <c r="Q440" s="19">
        <f>IFERROR(IF(SEARCH(B440,_xlfn.ARRAYTOTEXT('Commercial Assistance'!I$1:I$1400))&gt;0,1,""),0)</f>
        <v>0</v>
      </c>
      <c r="R440" s="247" t="str">
        <f>IF(SUMIFS('Bilateral Assistance, MAIN DATA'!N:N,'Bilateral Assistance, MAIN DATA'!I:I,'Price List, Weapons &amp; Items'!B440)&gt;M440,1,".")</f>
        <v>.</v>
      </c>
    </row>
    <row r="441" spans="2:18" ht="15" customHeight="1" x14ac:dyDescent="0.3">
      <c r="B441" s="175" t="s">
        <v>4706</v>
      </c>
      <c r="C441" s="113" t="s">
        <v>256</v>
      </c>
      <c r="D441" s="113" t="s">
        <v>256</v>
      </c>
      <c r="E441" s="199">
        <v>0</v>
      </c>
      <c r="F441" s="199">
        <f t="shared" si="45"/>
        <v>0</v>
      </c>
      <c r="G441" s="629">
        <v>300</v>
      </c>
      <c r="H441" s="720" t="str">
        <f t="shared" si="46"/>
        <v>USD</v>
      </c>
      <c r="I441" s="821" t="s">
        <v>4707</v>
      </c>
      <c r="J441" s="155" t="s">
        <v>3971</v>
      </c>
      <c r="K441" s="155" t="s">
        <v>4708</v>
      </c>
      <c r="L441" s="247">
        <f t="shared" si="42"/>
        <v>0</v>
      </c>
      <c r="M441" s="121">
        <f>SUMIFS('Bilateral Assistance, MAIN DATA'!M:M,'Bilateral Assistance, MAIN DATA'!I:I,'Price List, Weapons &amp; Items'!B441)</f>
        <v>1184</v>
      </c>
      <c r="N441" s="19">
        <f>COUNTIFS('Bilateral Assistance, MAIN DATA'!M:M,"undisclosed",'Bilateral Assistance, MAIN DATA'!I:I,'Price List, Weapons &amp; Items'!B441)</f>
        <v>0</v>
      </c>
      <c r="O441" s="723">
        <f t="shared" si="43"/>
        <v>355200</v>
      </c>
      <c r="P441" s="19">
        <f>IFERROR(IF(SEARCH(B441,_xlfn.ARRAYTOTEXT('Bilateral Assistance, MAIN DATA'!I$1:I$1622))&gt;0,1,""),0)</f>
        <v>1</v>
      </c>
      <c r="Q441" s="19">
        <f>IFERROR(IF(SEARCH(B441,_xlfn.ARRAYTOTEXT('Commercial Assistance'!I$1:I$1400))&gt;0,1,""),0)</f>
        <v>0</v>
      </c>
      <c r="R441" s="247" t="str">
        <f>IF(SUMIFS('Bilateral Assistance, MAIN DATA'!N:N,'Bilateral Assistance, MAIN DATA'!I:I,'Price List, Weapons &amp; Items'!B441)&gt;M441,1,".")</f>
        <v>.</v>
      </c>
    </row>
    <row r="442" spans="2:18" ht="15" customHeight="1" x14ac:dyDescent="0.3">
      <c r="B442" s="175" t="s">
        <v>4709</v>
      </c>
      <c r="C442" s="113" t="s">
        <v>256</v>
      </c>
      <c r="D442" s="113" t="s">
        <v>256</v>
      </c>
      <c r="E442" s="199">
        <v>0</v>
      </c>
      <c r="F442" s="199">
        <f t="shared" ref="F442:F473" si="47">IF(OR(D442="Armoured Personnel Carrier (APC)",D442="Armoured Recovery Vehicle (ARV)",D442="Armoured Utility Vehicle (AUV)",D442="152mm howitzer ammunition",D442="155mm howitzer ammunition",D442="300mm MLRS ammunition",D442="155mm howitzer",D442="227mm MLRS ammunition",D442="Infantry fighting vehicle (IFV)",D442="152mm howitzer",D442="227mm MLRS",D442="Main Battle Tank (MBT)",D442="Protected Patrol Vehicle (PPV)",D442="127mm MLRS",D442="122mm MLRS",D442="122mm MLRS ammunition",D442="122mm MLRS",D442="127mm MLRS",D442="127mm MLRS ammunition")=TRUE,1,0)</f>
        <v>0</v>
      </c>
      <c r="G442" s="629">
        <v>95</v>
      </c>
      <c r="H442" s="720" t="str">
        <f t="shared" si="46"/>
        <v>USD</v>
      </c>
      <c r="I442" s="821" t="s">
        <v>4710</v>
      </c>
      <c r="J442" s="155" t="s">
        <v>3971</v>
      </c>
      <c r="K442" s="155" t="s">
        <v>4711</v>
      </c>
      <c r="L442" s="247">
        <f t="shared" si="42"/>
        <v>0</v>
      </c>
      <c r="M442" s="121">
        <f>SUMIFS('Bilateral Assistance, MAIN DATA'!M:M,'Bilateral Assistance, MAIN DATA'!I:I,'Price List, Weapons &amp; Items'!B442)</f>
        <v>2</v>
      </c>
      <c r="N442" s="19">
        <f>COUNTIFS('Bilateral Assistance, MAIN DATA'!M:M,"undisclosed",'Bilateral Assistance, MAIN DATA'!I:I,'Price List, Weapons &amp; Items'!B442)</f>
        <v>0</v>
      </c>
      <c r="O442" s="723">
        <f t="shared" si="43"/>
        <v>190</v>
      </c>
      <c r="P442" s="19">
        <f>IFERROR(IF(SEARCH(B442,_xlfn.ARRAYTOTEXT('Bilateral Assistance, MAIN DATA'!I$1:I$1622))&gt;0,1,""),0)</f>
        <v>1</v>
      </c>
      <c r="Q442" s="19">
        <f>IFERROR(IF(SEARCH(B442,_xlfn.ARRAYTOTEXT('Commercial Assistance'!I$1:I$1400))&gt;0,1,""),0)</f>
        <v>0</v>
      </c>
      <c r="R442" s="247" t="str">
        <f>IF(SUMIFS('Bilateral Assistance, MAIN DATA'!N:N,'Bilateral Assistance, MAIN DATA'!I:I,'Price List, Weapons &amp; Items'!B442)&gt;M442,1,".")</f>
        <v>.</v>
      </c>
    </row>
    <row r="443" spans="2:18" ht="15" customHeight="1" x14ac:dyDescent="0.3">
      <c r="B443" s="175" t="s">
        <v>4712</v>
      </c>
      <c r="C443" s="113" t="s">
        <v>256</v>
      </c>
      <c r="D443" s="113" t="s">
        <v>256</v>
      </c>
      <c r="E443" s="199">
        <v>0</v>
      </c>
      <c r="F443" s="199">
        <f t="shared" si="47"/>
        <v>0</v>
      </c>
      <c r="G443" s="629">
        <v>150</v>
      </c>
      <c r="H443" s="720" t="str">
        <f t="shared" si="46"/>
        <v>USD</v>
      </c>
      <c r="I443" s="820" t="s">
        <v>4713</v>
      </c>
      <c r="J443" s="155" t="s">
        <v>3975</v>
      </c>
      <c r="K443" s="155" t="s">
        <v>4714</v>
      </c>
      <c r="L443" s="247">
        <f t="shared" si="42"/>
        <v>0</v>
      </c>
      <c r="M443" s="121">
        <f>SUMIFS('Bilateral Assistance, MAIN DATA'!M:M,'Bilateral Assistance, MAIN DATA'!I:I,'Price List, Weapons &amp; Items'!B443)</f>
        <v>18558</v>
      </c>
      <c r="N443" s="19">
        <f>COUNTIFS('Bilateral Assistance, MAIN DATA'!M:M,"undisclosed",'Bilateral Assistance, MAIN DATA'!I:I,'Price List, Weapons &amp; Items'!B443)</f>
        <v>0</v>
      </c>
      <c r="O443" s="723">
        <f t="shared" si="43"/>
        <v>2783700</v>
      </c>
      <c r="P443" s="19">
        <f>IFERROR(IF(SEARCH(B443,_xlfn.ARRAYTOTEXT('Bilateral Assistance, MAIN DATA'!I$1:I$1622))&gt;0,1,""),0)</f>
        <v>1</v>
      </c>
      <c r="Q443" s="19">
        <f>IFERROR(IF(SEARCH(B443,_xlfn.ARRAYTOTEXT('Commercial Assistance'!I$1:I$1400))&gt;0,1,""),0)</f>
        <v>0</v>
      </c>
      <c r="R443" s="247" t="str">
        <f>IF(SUMIFS('Bilateral Assistance, MAIN DATA'!N:N,'Bilateral Assistance, MAIN DATA'!I:I,'Price List, Weapons &amp; Items'!B443)&gt;M443,1,".")</f>
        <v>.</v>
      </c>
    </row>
    <row r="444" spans="2:18" ht="15" customHeight="1" x14ac:dyDescent="0.3">
      <c r="B444" s="175" t="s">
        <v>4715</v>
      </c>
      <c r="C444" s="113" t="s">
        <v>256</v>
      </c>
      <c r="D444" s="113" t="s">
        <v>256</v>
      </c>
      <c r="E444" s="199">
        <v>0</v>
      </c>
      <c r="F444" s="199">
        <f t="shared" si="47"/>
        <v>0</v>
      </c>
      <c r="G444" s="629">
        <v>50</v>
      </c>
      <c r="H444" s="720" t="str">
        <f t="shared" si="46"/>
        <v>USD</v>
      </c>
      <c r="I444" s="300" t="s">
        <v>4716</v>
      </c>
      <c r="J444" s="155" t="s">
        <v>3971</v>
      </c>
      <c r="K444" s="175" t="s">
        <v>4717</v>
      </c>
      <c r="L444" s="247">
        <f t="shared" si="42"/>
        <v>0</v>
      </c>
      <c r="M444" s="121">
        <f>SUMIFS('Bilateral Assistance, MAIN DATA'!M:M,'Bilateral Assistance, MAIN DATA'!I:I,'Price List, Weapons &amp; Items'!B444)</f>
        <v>200</v>
      </c>
      <c r="N444" s="19">
        <f>COUNTIFS('Bilateral Assistance, MAIN DATA'!M:M,"undisclosed",'Bilateral Assistance, MAIN DATA'!I:I,'Price List, Weapons &amp; Items'!B444)</f>
        <v>0</v>
      </c>
      <c r="O444" s="723">
        <f t="shared" si="43"/>
        <v>10000</v>
      </c>
      <c r="P444" s="19">
        <f>IFERROR(IF(SEARCH(B444,_xlfn.ARRAYTOTEXT('Bilateral Assistance, MAIN DATA'!I$1:I$1622))&gt;0,1,""),0)</f>
        <v>1</v>
      </c>
      <c r="Q444" s="19">
        <f>IFERROR(IF(SEARCH(B444,_xlfn.ARRAYTOTEXT('Commercial Assistance'!I$1:I$1400))&gt;0,1,""),0)</f>
        <v>0</v>
      </c>
      <c r="R444" s="247" t="str">
        <f>IF(SUMIFS('Bilateral Assistance, MAIN DATA'!N:N,'Bilateral Assistance, MAIN DATA'!I:I,'Price List, Weapons &amp; Items'!B444)&gt;M444,1,".")</f>
        <v>.</v>
      </c>
    </row>
    <row r="445" spans="2:18" ht="15" customHeight="1" x14ac:dyDescent="0.3">
      <c r="B445" s="175" t="s">
        <v>4718</v>
      </c>
      <c r="C445" s="113" t="s">
        <v>256</v>
      </c>
      <c r="D445" s="113" t="s">
        <v>256</v>
      </c>
      <c r="E445" s="199">
        <v>0</v>
      </c>
      <c r="F445" s="199">
        <f t="shared" si="47"/>
        <v>0</v>
      </c>
      <c r="G445" s="629">
        <v>43</v>
      </c>
      <c r="H445" s="720" t="str">
        <f t="shared" ref="H445:H471" si="48">IF(G445&lt;&gt;".","USD",".")</f>
        <v>USD</v>
      </c>
      <c r="I445" s="855" t="s">
        <v>4719</v>
      </c>
      <c r="J445" s="155" t="s">
        <v>3964</v>
      </c>
      <c r="K445" s="155" t="s">
        <v>4720</v>
      </c>
      <c r="L445" s="247">
        <f t="shared" si="42"/>
        <v>0</v>
      </c>
      <c r="M445" s="121">
        <f>SUMIFS('Bilateral Assistance, MAIN DATA'!M:M,'Bilateral Assistance, MAIN DATA'!I:I,'Price List, Weapons &amp; Items'!B445)</f>
        <v>3980</v>
      </c>
      <c r="N445" s="19">
        <f>COUNTIFS('Bilateral Assistance, MAIN DATA'!M:M,"undisclosed",'Bilateral Assistance, MAIN DATA'!I:I,'Price List, Weapons &amp; Items'!B445)</f>
        <v>0</v>
      </c>
      <c r="O445" s="723">
        <f t="shared" si="43"/>
        <v>171140</v>
      </c>
      <c r="P445" s="19">
        <f>IFERROR(IF(SEARCH(B445,_xlfn.ARRAYTOTEXT('Bilateral Assistance, MAIN DATA'!I$1:I$1622))&gt;0,1,""),0)</f>
        <v>1</v>
      </c>
      <c r="Q445" s="19">
        <f>IFERROR(IF(SEARCH(B445,_xlfn.ARRAYTOTEXT('Commercial Assistance'!I$1:I$1400))&gt;0,1,""),0)</f>
        <v>0</v>
      </c>
      <c r="R445" s="247" t="str">
        <f>IF(SUMIFS('Bilateral Assistance, MAIN DATA'!N:N,'Bilateral Assistance, MAIN DATA'!I:I,'Price List, Weapons &amp; Items'!B445)&gt;M445,1,".")</f>
        <v>.</v>
      </c>
    </row>
    <row r="446" spans="2:18" ht="15" customHeight="1" x14ac:dyDescent="0.3">
      <c r="B446" s="175" t="s">
        <v>4721</v>
      </c>
      <c r="C446" s="113" t="s">
        <v>256</v>
      </c>
      <c r="D446" s="113" t="s">
        <v>256</v>
      </c>
      <c r="E446" s="199">
        <v>0</v>
      </c>
      <c r="F446" s="199">
        <f t="shared" si="47"/>
        <v>0</v>
      </c>
      <c r="G446" s="629">
        <v>40</v>
      </c>
      <c r="H446" s="720" t="str">
        <f t="shared" si="48"/>
        <v>USD</v>
      </c>
      <c r="I446" s="828" t="s">
        <v>4722</v>
      </c>
      <c r="J446" s="155" t="s">
        <v>3971</v>
      </c>
      <c r="K446" s="155" t="s">
        <v>4723</v>
      </c>
      <c r="L446" s="247">
        <f t="shared" si="42"/>
        <v>0</v>
      </c>
      <c r="M446" s="121">
        <f>SUMIFS('Bilateral Assistance, MAIN DATA'!M:M,'Bilateral Assistance, MAIN DATA'!I:I,'Price List, Weapons &amp; Items'!B446)</f>
        <v>10000</v>
      </c>
      <c r="N446" s="19">
        <f>COUNTIFS('Bilateral Assistance, MAIN DATA'!M:M,"undisclosed",'Bilateral Assistance, MAIN DATA'!I:I,'Price List, Weapons &amp; Items'!B446)</f>
        <v>0</v>
      </c>
      <c r="O446" s="723">
        <f t="shared" si="43"/>
        <v>400000</v>
      </c>
      <c r="P446" s="19">
        <f>IFERROR(IF(SEARCH(B446,_xlfn.ARRAYTOTEXT('Bilateral Assistance, MAIN DATA'!I$1:I$1622))&gt;0,1,""),0)</f>
        <v>1</v>
      </c>
      <c r="Q446" s="19">
        <f>IFERROR(IF(SEARCH(B446,_xlfn.ARRAYTOTEXT('Commercial Assistance'!I$1:I$1400))&gt;0,1,""),0)</f>
        <v>0</v>
      </c>
      <c r="R446" s="247" t="str">
        <f>IF(SUMIFS('Bilateral Assistance, MAIN DATA'!N:N,'Bilateral Assistance, MAIN DATA'!I:I,'Price List, Weapons &amp; Items'!B446)&gt;M446,1,".")</f>
        <v>.</v>
      </c>
    </row>
    <row r="447" spans="2:18" ht="15" customHeight="1" x14ac:dyDescent="0.3">
      <c r="B447" s="175" t="s">
        <v>4724</v>
      </c>
      <c r="C447" s="113" t="s">
        <v>256</v>
      </c>
      <c r="D447" s="113" t="s">
        <v>256</v>
      </c>
      <c r="E447" s="199">
        <v>0</v>
      </c>
      <c r="F447" s="199">
        <f t="shared" si="47"/>
        <v>0</v>
      </c>
      <c r="G447" s="629">
        <v>31.54</v>
      </c>
      <c r="H447" s="720" t="str">
        <f t="shared" si="48"/>
        <v>USD</v>
      </c>
      <c r="I447" s="821" t="s">
        <v>1870</v>
      </c>
      <c r="J447" s="155" t="s">
        <v>4008</v>
      </c>
      <c r="K447" s="155" t="s">
        <v>4725</v>
      </c>
      <c r="L447" s="247">
        <f t="shared" si="42"/>
        <v>0</v>
      </c>
      <c r="M447" s="121">
        <f>SUMIFS('Bilateral Assistance, MAIN DATA'!M:M,'Bilateral Assistance, MAIN DATA'!I:I,'Price List, Weapons &amp; Items'!B447)</f>
        <v>200</v>
      </c>
      <c r="N447" s="19">
        <f>COUNTIFS('Bilateral Assistance, MAIN DATA'!M:M,"undisclosed",'Bilateral Assistance, MAIN DATA'!I:I,'Price List, Weapons &amp; Items'!B447)</f>
        <v>0</v>
      </c>
      <c r="O447" s="723">
        <f t="shared" si="43"/>
        <v>6308</v>
      </c>
      <c r="P447" s="19">
        <f>IFERROR(IF(SEARCH(B447,_xlfn.ARRAYTOTEXT('Bilateral Assistance, MAIN DATA'!I$1:I$1622))&gt;0,1,""),0)</f>
        <v>1</v>
      </c>
      <c r="Q447" s="19">
        <f>IFERROR(IF(SEARCH(B447,_xlfn.ARRAYTOTEXT('Commercial Assistance'!I$1:I$1400))&gt;0,1,""),0)</f>
        <v>0</v>
      </c>
      <c r="R447" s="247" t="str">
        <f>IF(SUMIFS('Bilateral Assistance, MAIN DATA'!N:N,'Bilateral Assistance, MAIN DATA'!I:I,'Price List, Weapons &amp; Items'!B447)&gt;M447,1,".")</f>
        <v>.</v>
      </c>
    </row>
    <row r="448" spans="2:18" ht="15" customHeight="1" x14ac:dyDescent="0.3">
      <c r="B448" s="188" t="s">
        <v>1178</v>
      </c>
      <c r="C448" s="113" t="s">
        <v>256</v>
      </c>
      <c r="D448" s="113" t="s">
        <v>256</v>
      </c>
      <c r="E448" s="199">
        <v>0</v>
      </c>
      <c r="F448" s="199">
        <f t="shared" si="47"/>
        <v>0</v>
      </c>
      <c r="G448" s="629">
        <v>37609.264000000003</v>
      </c>
      <c r="H448" s="720" t="str">
        <f t="shared" si="48"/>
        <v>USD</v>
      </c>
      <c r="I448" s="820" t="s">
        <v>4726</v>
      </c>
      <c r="J448" s="155" t="s">
        <v>3975</v>
      </c>
      <c r="K448" s="155" t="s">
        <v>4727</v>
      </c>
      <c r="L448" s="247">
        <f t="shared" si="42"/>
        <v>0</v>
      </c>
      <c r="M448" s="121">
        <f>SUMIFS('Bilateral Assistance, MAIN DATA'!M:M,'Bilateral Assistance, MAIN DATA'!I:I,'Price List, Weapons &amp; Items'!B448)</f>
        <v>31</v>
      </c>
      <c r="N448" s="19">
        <f>COUNTIFS('Bilateral Assistance, MAIN DATA'!M:M,"undisclosed",'Bilateral Assistance, MAIN DATA'!I:I,'Price List, Weapons &amp; Items'!B448)</f>
        <v>0</v>
      </c>
      <c r="O448" s="723">
        <f t="shared" si="43"/>
        <v>1165887.1840000001</v>
      </c>
      <c r="P448" s="19">
        <f>IFERROR(IF(SEARCH(B448,_xlfn.ARRAYTOTEXT('Bilateral Assistance, MAIN DATA'!I$1:I$1622))&gt;0,1,""),0)</f>
        <v>1</v>
      </c>
      <c r="Q448" s="19">
        <f>IFERROR(IF(SEARCH(B448,_xlfn.ARRAYTOTEXT('Commercial Assistance'!I$1:I$1400))&gt;0,1,""),0)</f>
        <v>0</v>
      </c>
      <c r="R448" s="247" t="str">
        <f>IF(SUMIFS('Bilateral Assistance, MAIN DATA'!N:N,'Bilateral Assistance, MAIN DATA'!I:I,'Price List, Weapons &amp; Items'!B448)&gt;M448,1,".")</f>
        <v>.</v>
      </c>
    </row>
    <row r="449" spans="2:18" ht="15" customHeight="1" x14ac:dyDescent="0.3">
      <c r="B449" s="175" t="s">
        <v>4728</v>
      </c>
      <c r="C449" s="113" t="s">
        <v>256</v>
      </c>
      <c r="D449" s="113" t="s">
        <v>256</v>
      </c>
      <c r="E449" s="199">
        <v>0</v>
      </c>
      <c r="F449" s="199">
        <f t="shared" si="47"/>
        <v>0</v>
      </c>
      <c r="G449" s="629">
        <v>27.35</v>
      </c>
      <c r="H449" s="720" t="str">
        <f t="shared" si="48"/>
        <v>USD</v>
      </c>
      <c r="I449" s="821" t="s">
        <v>4729</v>
      </c>
      <c r="J449" s="155" t="s">
        <v>3971</v>
      </c>
      <c r="K449" s="155" t="s">
        <v>4730</v>
      </c>
      <c r="L449" s="247">
        <f t="shared" si="42"/>
        <v>0</v>
      </c>
      <c r="M449" s="121">
        <f>SUMIFS('Bilateral Assistance, MAIN DATA'!M:M,'Bilateral Assistance, MAIN DATA'!I:I,'Price List, Weapons &amp; Items'!B449)</f>
        <v>0</v>
      </c>
      <c r="N449" s="19">
        <f>COUNTIFS('Bilateral Assistance, MAIN DATA'!M:M,"undisclosed",'Bilateral Assistance, MAIN DATA'!I:I,'Price List, Weapons &amp; Items'!B449)</f>
        <v>1</v>
      </c>
      <c r="O449" s="723">
        <f t="shared" si="43"/>
        <v>0</v>
      </c>
      <c r="P449" s="19">
        <f>IFERROR(IF(SEARCH(B449,_xlfn.ARRAYTOTEXT('Bilateral Assistance, MAIN DATA'!I$1:I$1622))&gt;0,1,""),0)</f>
        <v>1</v>
      </c>
      <c r="Q449" s="19">
        <f>IFERROR(IF(SEARCH(B449,_xlfn.ARRAYTOTEXT('Commercial Assistance'!I$1:I$1400))&gt;0,1,""),0)</f>
        <v>0</v>
      </c>
      <c r="R449" s="247" t="str">
        <f>IF(SUMIFS('Bilateral Assistance, MAIN DATA'!N:N,'Bilateral Assistance, MAIN DATA'!I:I,'Price List, Weapons &amp; Items'!B449)&gt;M449,1,".")</f>
        <v>.</v>
      </c>
    </row>
    <row r="450" spans="2:18" ht="15" customHeight="1" x14ac:dyDescent="0.3">
      <c r="B450" s="175" t="s">
        <v>4731</v>
      </c>
      <c r="C450" s="113" t="s">
        <v>256</v>
      </c>
      <c r="D450" s="113" t="s">
        <v>256</v>
      </c>
      <c r="E450" s="199">
        <v>0</v>
      </c>
      <c r="F450" s="199">
        <f t="shared" si="47"/>
        <v>0</v>
      </c>
      <c r="G450" s="629">
        <v>3000</v>
      </c>
      <c r="H450" s="720" t="str">
        <f t="shared" si="48"/>
        <v>USD</v>
      </c>
      <c r="I450" s="821" t="s">
        <v>4732</v>
      </c>
      <c r="J450" s="155" t="s">
        <v>3971</v>
      </c>
      <c r="K450" s="155" t="s">
        <v>4733</v>
      </c>
      <c r="L450" s="247">
        <f t="shared" si="42"/>
        <v>0</v>
      </c>
      <c r="M450" s="121">
        <f>SUMIFS('Bilateral Assistance, MAIN DATA'!M:M,'Bilateral Assistance, MAIN DATA'!I:I,'Price List, Weapons &amp; Items'!B450)</f>
        <v>223</v>
      </c>
      <c r="N450" s="19">
        <f>COUNTIFS('Bilateral Assistance, MAIN DATA'!M:M,"undisclosed",'Bilateral Assistance, MAIN DATA'!I:I,'Price List, Weapons &amp; Items'!B450)</f>
        <v>0</v>
      </c>
      <c r="O450" s="723">
        <f t="shared" si="43"/>
        <v>669000</v>
      </c>
      <c r="P450" s="19">
        <f>IFERROR(IF(SEARCH(B450,_xlfn.ARRAYTOTEXT('Bilateral Assistance, MAIN DATA'!I$1:I$1622))&gt;0,1,""),0)</f>
        <v>1</v>
      </c>
      <c r="Q450" s="19">
        <f>IFERROR(IF(SEARCH(B450,_xlfn.ARRAYTOTEXT('Commercial Assistance'!I$1:I$1400))&gt;0,1,""),0)</f>
        <v>0</v>
      </c>
      <c r="R450" s="247" t="str">
        <f>IF(SUMIFS('Bilateral Assistance, MAIN DATA'!N:N,'Bilateral Assistance, MAIN DATA'!I:I,'Price List, Weapons &amp; Items'!B450)&gt;M450,1,".")</f>
        <v>.</v>
      </c>
    </row>
    <row r="451" spans="2:18" ht="15" customHeight="1" x14ac:dyDescent="0.3">
      <c r="B451" s="175" t="s">
        <v>2499</v>
      </c>
      <c r="C451" s="113" t="s">
        <v>256</v>
      </c>
      <c r="D451" s="113" t="s">
        <v>256</v>
      </c>
      <c r="E451" s="199">
        <v>0</v>
      </c>
      <c r="F451" s="199">
        <f t="shared" si="47"/>
        <v>0</v>
      </c>
      <c r="G451" s="629">
        <v>22</v>
      </c>
      <c r="H451" s="720" t="str">
        <f t="shared" si="48"/>
        <v>USD</v>
      </c>
      <c r="I451" s="840" t="s">
        <v>4418</v>
      </c>
      <c r="J451" s="155" t="s">
        <v>3971</v>
      </c>
      <c r="K451" s="155" t="s">
        <v>4419</v>
      </c>
      <c r="L451" s="247">
        <f t="shared" si="42"/>
        <v>0</v>
      </c>
      <c r="M451" s="121">
        <f>SUMIFS('Bilateral Assistance, MAIN DATA'!M:M,'Bilateral Assistance, MAIN DATA'!I:I,'Price List, Weapons &amp; Items'!B451)</f>
        <v>81536</v>
      </c>
      <c r="N451" s="19">
        <f>COUNTIFS('Bilateral Assistance, MAIN DATA'!M:M,"undisclosed",'Bilateral Assistance, MAIN DATA'!I:I,'Price List, Weapons &amp; Items'!B451)</f>
        <v>1</v>
      </c>
      <c r="O451" s="723">
        <f t="shared" si="43"/>
        <v>1793792</v>
      </c>
      <c r="P451" s="19">
        <f>IFERROR(IF(SEARCH(B451,_xlfn.ARRAYTOTEXT('Bilateral Assistance, MAIN DATA'!I$1:I$1622))&gt;0,1,""),0)</f>
        <v>1</v>
      </c>
      <c r="Q451" s="19">
        <f>IFERROR(IF(SEARCH(B451,_xlfn.ARRAYTOTEXT('Commercial Assistance'!I$1:I$1400))&gt;0,1,""),0)</f>
        <v>0</v>
      </c>
      <c r="R451" s="247" t="str">
        <f>IF(SUMIFS('Bilateral Assistance, MAIN DATA'!N:N,'Bilateral Assistance, MAIN DATA'!I:I,'Price List, Weapons &amp; Items'!B451)&gt;M451,1,".")</f>
        <v>.</v>
      </c>
    </row>
    <row r="452" spans="2:18" ht="15" customHeight="1" x14ac:dyDescent="0.3">
      <c r="B452" s="175" t="s">
        <v>4734</v>
      </c>
      <c r="C452" s="113" t="s">
        <v>256</v>
      </c>
      <c r="D452" s="113" t="s">
        <v>256</v>
      </c>
      <c r="E452" s="199">
        <v>0</v>
      </c>
      <c r="F452" s="199">
        <f t="shared" si="47"/>
        <v>0</v>
      </c>
      <c r="G452" s="629">
        <v>22</v>
      </c>
      <c r="H452" s="720" t="str">
        <f t="shared" si="48"/>
        <v>USD</v>
      </c>
      <c r="I452" s="820" t="s">
        <v>4735</v>
      </c>
      <c r="J452" s="155" t="s">
        <v>3975</v>
      </c>
      <c r="K452" s="155" t="s">
        <v>4736</v>
      </c>
      <c r="L452" s="247">
        <f t="shared" si="42"/>
        <v>0</v>
      </c>
      <c r="M452" s="121">
        <f>SUMIFS('Bilateral Assistance, MAIN DATA'!M:M,'Bilateral Assistance, MAIN DATA'!I:I,'Price List, Weapons &amp; Items'!B452)</f>
        <v>5000</v>
      </c>
      <c r="N452" s="19">
        <f>COUNTIFS('Bilateral Assistance, MAIN DATA'!M:M,"undisclosed",'Bilateral Assistance, MAIN DATA'!I:I,'Price List, Weapons &amp; Items'!B452)</f>
        <v>0</v>
      </c>
      <c r="O452" s="723">
        <f t="shared" si="43"/>
        <v>110000</v>
      </c>
      <c r="P452" s="19">
        <f>IFERROR(IF(SEARCH(B452,_xlfn.ARRAYTOTEXT('Bilateral Assistance, MAIN DATA'!I$1:I$1622))&gt;0,1,""),0)</f>
        <v>1</v>
      </c>
      <c r="Q452" s="19">
        <f>IFERROR(IF(SEARCH(B452,_xlfn.ARRAYTOTEXT('Commercial Assistance'!I$1:I$1400))&gt;0,1,""),0)</f>
        <v>0</v>
      </c>
      <c r="R452" s="247" t="str">
        <f>IF(SUMIFS('Bilateral Assistance, MAIN DATA'!N:N,'Bilateral Assistance, MAIN DATA'!I:I,'Price List, Weapons &amp; Items'!B452)&gt;M452,1,".")</f>
        <v>.</v>
      </c>
    </row>
    <row r="453" spans="2:18" ht="15" customHeight="1" x14ac:dyDescent="0.3">
      <c r="B453" s="175" t="s">
        <v>4737</v>
      </c>
      <c r="C453" s="113" t="s">
        <v>256</v>
      </c>
      <c r="D453" s="113" t="s">
        <v>256</v>
      </c>
      <c r="E453" s="199">
        <v>0</v>
      </c>
      <c r="F453" s="199">
        <f t="shared" si="47"/>
        <v>0</v>
      </c>
      <c r="G453" s="629">
        <v>20</v>
      </c>
      <c r="H453" s="720" t="str">
        <f t="shared" si="48"/>
        <v>USD</v>
      </c>
      <c r="I453" s="820" t="s">
        <v>4738</v>
      </c>
      <c r="J453" s="155" t="s">
        <v>3971</v>
      </c>
      <c r="K453" s="155" t="s">
        <v>4739</v>
      </c>
      <c r="L453" s="247">
        <f t="shared" si="42"/>
        <v>0</v>
      </c>
      <c r="M453" s="121">
        <f>SUMIFS('Bilateral Assistance, MAIN DATA'!M:M,'Bilateral Assistance, MAIN DATA'!I:I,'Price List, Weapons &amp; Items'!B453)</f>
        <v>5000</v>
      </c>
      <c r="N453" s="19">
        <f>COUNTIFS('Bilateral Assistance, MAIN DATA'!M:M,"undisclosed",'Bilateral Assistance, MAIN DATA'!I:I,'Price List, Weapons &amp; Items'!B453)</f>
        <v>0</v>
      </c>
      <c r="O453" s="723">
        <f t="shared" si="43"/>
        <v>100000</v>
      </c>
      <c r="P453" s="19">
        <f>IFERROR(IF(SEARCH(B453,_xlfn.ARRAYTOTEXT('Bilateral Assistance, MAIN DATA'!I$1:I$1622))&gt;0,1,""),0)</f>
        <v>1</v>
      </c>
      <c r="Q453" s="19">
        <f>IFERROR(IF(SEARCH(B453,_xlfn.ARRAYTOTEXT('Commercial Assistance'!I$1:I$1400))&gt;0,1,""),0)</f>
        <v>0</v>
      </c>
      <c r="R453" s="247" t="str">
        <f>IF(SUMIFS('Bilateral Assistance, MAIN DATA'!N:N,'Bilateral Assistance, MAIN DATA'!I:I,'Price List, Weapons &amp; Items'!B453)&gt;M453,1,".")</f>
        <v>.</v>
      </c>
    </row>
    <row r="454" spans="2:18" ht="15" customHeight="1" x14ac:dyDescent="0.3">
      <c r="B454" s="175" t="s">
        <v>4740</v>
      </c>
      <c r="C454" s="113" t="s">
        <v>256</v>
      </c>
      <c r="D454" s="113" t="s">
        <v>256</v>
      </c>
      <c r="E454" s="199">
        <v>0</v>
      </c>
      <c r="F454" s="199">
        <f t="shared" si="47"/>
        <v>0</v>
      </c>
      <c r="G454" s="629">
        <v>0.32</v>
      </c>
      <c r="H454" s="720" t="str">
        <f t="shared" si="48"/>
        <v>USD</v>
      </c>
      <c r="I454" s="300" t="s">
        <v>4741</v>
      </c>
      <c r="J454" s="155" t="s">
        <v>3971</v>
      </c>
      <c r="K454" s="155" t="s">
        <v>4742</v>
      </c>
      <c r="L454" s="247">
        <f t="shared" si="42"/>
        <v>0</v>
      </c>
      <c r="M454" s="121">
        <f>SUMIFS('Bilateral Assistance, MAIN DATA'!M:M,'Bilateral Assistance, MAIN DATA'!I:I,'Price List, Weapons &amp; Items'!B454)</f>
        <v>250000</v>
      </c>
      <c r="N454" s="19">
        <f>COUNTIFS('Bilateral Assistance, MAIN DATA'!M:M,"undisclosed",'Bilateral Assistance, MAIN DATA'!I:I,'Price List, Weapons &amp; Items'!B454)</f>
        <v>0</v>
      </c>
      <c r="O454" s="723">
        <f t="shared" si="43"/>
        <v>80000</v>
      </c>
      <c r="P454" s="19">
        <f>IFERROR(IF(SEARCH(B454,_xlfn.ARRAYTOTEXT('Bilateral Assistance, MAIN DATA'!I$1:I$1622))&gt;0,1,""),0)</f>
        <v>1</v>
      </c>
      <c r="Q454" s="19">
        <f>IFERROR(IF(SEARCH(B454,_xlfn.ARRAYTOTEXT('Commercial Assistance'!I$1:I$1400))&gt;0,1,""),0)</f>
        <v>0</v>
      </c>
      <c r="R454" s="247" t="str">
        <f>IF(SUMIFS('Bilateral Assistance, MAIN DATA'!N:N,'Bilateral Assistance, MAIN DATA'!I:I,'Price List, Weapons &amp; Items'!B454)&gt;M454,1,".")</f>
        <v>.</v>
      </c>
    </row>
    <row r="455" spans="2:18" ht="15" customHeight="1" x14ac:dyDescent="0.3">
      <c r="B455" s="175" t="s">
        <v>4743</v>
      </c>
      <c r="C455" s="113" t="s">
        <v>256</v>
      </c>
      <c r="D455" s="113" t="s">
        <v>256</v>
      </c>
      <c r="E455" s="199">
        <v>0</v>
      </c>
      <c r="F455" s="199">
        <f t="shared" si="47"/>
        <v>0</v>
      </c>
      <c r="G455" s="629">
        <v>0.26</v>
      </c>
      <c r="H455" s="720" t="str">
        <f t="shared" si="48"/>
        <v>USD</v>
      </c>
      <c r="I455" s="821" t="s">
        <v>4744</v>
      </c>
      <c r="J455" s="155" t="s">
        <v>3971</v>
      </c>
      <c r="K455" s="155" t="s">
        <v>4745</v>
      </c>
      <c r="L455" s="247">
        <f t="shared" si="42"/>
        <v>0</v>
      </c>
      <c r="M455" s="121">
        <f>SUMIFS('Bilateral Assistance, MAIN DATA'!M:M,'Bilateral Assistance, MAIN DATA'!I:I,'Price List, Weapons &amp; Items'!B455)</f>
        <v>250000</v>
      </c>
      <c r="N455" s="19">
        <f>COUNTIFS('Bilateral Assistance, MAIN DATA'!M:M,"undisclosed",'Bilateral Assistance, MAIN DATA'!I:I,'Price List, Weapons &amp; Items'!B455)</f>
        <v>0</v>
      </c>
      <c r="O455" s="723">
        <f t="shared" si="43"/>
        <v>65000</v>
      </c>
      <c r="P455" s="19">
        <f>IFERROR(IF(SEARCH(B455,_xlfn.ARRAYTOTEXT('Bilateral Assistance, MAIN DATA'!I$1:I$1622))&gt;0,1,""),0)</f>
        <v>1</v>
      </c>
      <c r="Q455" s="19">
        <f>IFERROR(IF(SEARCH(B455,_xlfn.ARRAYTOTEXT('Commercial Assistance'!I$1:I$1400))&gt;0,1,""),0)</f>
        <v>0</v>
      </c>
      <c r="R455" s="247" t="str">
        <f>IF(SUMIFS('Bilateral Assistance, MAIN DATA'!N:N,'Bilateral Assistance, MAIN DATA'!I:I,'Price List, Weapons &amp; Items'!B455)&gt;M455,1,".")</f>
        <v>.</v>
      </c>
    </row>
    <row r="456" spans="2:18" ht="15" customHeight="1" x14ac:dyDescent="0.3">
      <c r="B456" s="175" t="s">
        <v>4746</v>
      </c>
      <c r="C456" s="113" t="s">
        <v>256</v>
      </c>
      <c r="D456" s="113" t="s">
        <v>256</v>
      </c>
      <c r="E456" s="199">
        <v>0</v>
      </c>
      <c r="F456" s="199">
        <f t="shared" si="47"/>
        <v>0</v>
      </c>
      <c r="G456" s="629">
        <v>13.5</v>
      </c>
      <c r="H456" s="720" t="str">
        <f t="shared" si="48"/>
        <v>USD</v>
      </c>
      <c r="I456" s="821" t="s">
        <v>4747</v>
      </c>
      <c r="J456" s="155" t="s">
        <v>3971</v>
      </c>
      <c r="K456" s="155" t="s">
        <v>4748</v>
      </c>
      <c r="L456" s="247">
        <f t="shared" si="42"/>
        <v>0</v>
      </c>
      <c r="M456" s="121">
        <f>SUMIFS('Bilateral Assistance, MAIN DATA'!M:M,'Bilateral Assistance, MAIN DATA'!I:I,'Price List, Weapons &amp; Items'!B456)</f>
        <v>500000</v>
      </c>
      <c r="N456" s="19">
        <f>COUNTIFS('Bilateral Assistance, MAIN DATA'!M:M,"undisclosed",'Bilateral Assistance, MAIN DATA'!I:I,'Price List, Weapons &amp; Items'!B456)</f>
        <v>0</v>
      </c>
      <c r="O456" s="723">
        <f t="shared" si="43"/>
        <v>6750000</v>
      </c>
      <c r="P456" s="19">
        <f>IFERROR(IF(SEARCH(B456,_xlfn.ARRAYTOTEXT('Bilateral Assistance, MAIN DATA'!I$1:I$1622))&gt;0,1,""),0)</f>
        <v>1</v>
      </c>
      <c r="Q456" s="19">
        <f>IFERROR(IF(SEARCH(B456,_xlfn.ARRAYTOTEXT('Commercial Assistance'!I$1:I$1400))&gt;0,1,""),0)</f>
        <v>0</v>
      </c>
      <c r="R456" s="247" t="str">
        <f>IF(SUMIFS('Bilateral Assistance, MAIN DATA'!N:N,'Bilateral Assistance, MAIN DATA'!I:I,'Price List, Weapons &amp; Items'!B456)&gt;M456,1,".")</f>
        <v>.</v>
      </c>
    </row>
    <row r="457" spans="2:18" ht="15" customHeight="1" x14ac:dyDescent="0.3">
      <c r="B457" s="175" t="s">
        <v>4749</v>
      </c>
      <c r="C457" s="113" t="s">
        <v>256</v>
      </c>
      <c r="D457" s="113" t="s">
        <v>256</v>
      </c>
      <c r="E457" s="199">
        <v>0</v>
      </c>
      <c r="F457" s="199">
        <f t="shared" si="47"/>
        <v>0</v>
      </c>
      <c r="G457" s="629">
        <v>10</v>
      </c>
      <c r="H457" s="720" t="str">
        <f t="shared" si="48"/>
        <v>USD</v>
      </c>
      <c r="I457" s="820" t="s">
        <v>4750</v>
      </c>
      <c r="J457" s="155" t="s">
        <v>3971</v>
      </c>
      <c r="K457" s="155" t="s">
        <v>4751</v>
      </c>
      <c r="L457" s="247">
        <f t="shared" si="42"/>
        <v>0</v>
      </c>
      <c r="M457" s="121">
        <f>SUMIFS('Bilateral Assistance, MAIN DATA'!M:M,'Bilateral Assistance, MAIN DATA'!I:I,'Price List, Weapons &amp; Items'!B457)</f>
        <v>10000</v>
      </c>
      <c r="N457" s="19">
        <f>COUNTIFS('Bilateral Assistance, MAIN DATA'!M:M,"undisclosed",'Bilateral Assistance, MAIN DATA'!I:I,'Price List, Weapons &amp; Items'!B457)</f>
        <v>0</v>
      </c>
      <c r="O457" s="723">
        <f t="shared" si="43"/>
        <v>100000</v>
      </c>
      <c r="P457" s="19">
        <f>IFERROR(IF(SEARCH(B457,_xlfn.ARRAYTOTEXT('Bilateral Assistance, MAIN DATA'!I$1:I$1622))&gt;0,1,""),0)</f>
        <v>1</v>
      </c>
      <c r="Q457" s="19">
        <f>IFERROR(IF(SEARCH(B457,_xlfn.ARRAYTOTEXT('Commercial Assistance'!I$1:I$1400))&gt;0,1,""),0)</f>
        <v>0</v>
      </c>
      <c r="R457" s="247" t="str">
        <f>IF(SUMIFS('Bilateral Assistance, MAIN DATA'!N:N,'Bilateral Assistance, MAIN DATA'!I:I,'Price List, Weapons &amp; Items'!B457)&gt;M457,1,".")</f>
        <v>.</v>
      </c>
    </row>
    <row r="458" spans="2:18" ht="15" customHeight="1" x14ac:dyDescent="0.3">
      <c r="B458" s="175" t="s">
        <v>4752</v>
      </c>
      <c r="C458" s="113" t="s">
        <v>256</v>
      </c>
      <c r="D458" s="113" t="s">
        <v>256</v>
      </c>
      <c r="E458" s="199">
        <v>0</v>
      </c>
      <c r="F458" s="199">
        <f t="shared" si="47"/>
        <v>0</v>
      </c>
      <c r="G458" s="629">
        <v>10</v>
      </c>
      <c r="H458" s="720" t="str">
        <f t="shared" si="48"/>
        <v>USD</v>
      </c>
      <c r="I458" s="820" t="s">
        <v>4753</v>
      </c>
      <c r="J458" s="155" t="s">
        <v>3971</v>
      </c>
      <c r="K458" s="155" t="s">
        <v>4754</v>
      </c>
      <c r="L458" s="247">
        <f t="shared" si="42"/>
        <v>0</v>
      </c>
      <c r="M458" s="121">
        <f>SUMIFS('Bilateral Assistance, MAIN DATA'!M:M,'Bilateral Assistance, MAIN DATA'!I:I,'Price List, Weapons &amp; Items'!B458)</f>
        <v>50600</v>
      </c>
      <c r="N458" s="19">
        <f>COUNTIFS('Bilateral Assistance, MAIN DATA'!M:M,"undisclosed",'Bilateral Assistance, MAIN DATA'!I:I,'Price List, Weapons &amp; Items'!B458)</f>
        <v>0</v>
      </c>
      <c r="O458" s="723">
        <f t="shared" ref="O458:O521" si="49">IFERROR(M458*G458,"no price")</f>
        <v>506000</v>
      </c>
      <c r="P458" s="19">
        <f>IFERROR(IF(SEARCH(B458,_xlfn.ARRAYTOTEXT('Bilateral Assistance, MAIN DATA'!I$1:I$1622))&gt;0,1,""),0)</f>
        <v>1</v>
      </c>
      <c r="Q458" s="19">
        <f>IFERROR(IF(SEARCH(B458,_xlfn.ARRAYTOTEXT('Commercial Assistance'!I$1:I$1400))&gt;0,1,""),0)</f>
        <v>0</v>
      </c>
      <c r="R458" s="247" t="str">
        <f>IF(SUMIFS('Bilateral Assistance, MAIN DATA'!N:N,'Bilateral Assistance, MAIN DATA'!I:I,'Price List, Weapons &amp; Items'!B458)&gt;M458,1,".")</f>
        <v>.</v>
      </c>
    </row>
    <row r="459" spans="2:18" ht="15" customHeight="1" x14ac:dyDescent="0.3">
      <c r="B459" s="175" t="s">
        <v>4755</v>
      </c>
      <c r="C459" s="113" t="s">
        <v>256</v>
      </c>
      <c r="D459" s="113" t="s">
        <v>256</v>
      </c>
      <c r="E459" s="199">
        <v>0</v>
      </c>
      <c r="F459" s="199">
        <f t="shared" si="47"/>
        <v>0</v>
      </c>
      <c r="G459" s="629">
        <v>6.2</v>
      </c>
      <c r="H459" s="720" t="str">
        <f t="shared" si="48"/>
        <v>USD</v>
      </c>
      <c r="I459" s="820" t="s">
        <v>4756</v>
      </c>
      <c r="J459" s="155" t="s">
        <v>3971</v>
      </c>
      <c r="K459" s="155" t="s">
        <v>4757</v>
      </c>
      <c r="L459" s="247">
        <f t="shared" si="42"/>
        <v>0</v>
      </c>
      <c r="M459" s="121">
        <f>SUMIFS('Bilateral Assistance, MAIN DATA'!M:M,'Bilateral Assistance, MAIN DATA'!I:I,'Price List, Weapons &amp; Items'!B459)</f>
        <v>5000</v>
      </c>
      <c r="N459" s="19">
        <f>COUNTIFS('Bilateral Assistance, MAIN DATA'!M:M,"undisclosed",'Bilateral Assistance, MAIN DATA'!I:I,'Price List, Weapons &amp; Items'!B459)</f>
        <v>0</v>
      </c>
      <c r="O459" s="723">
        <f t="shared" si="49"/>
        <v>31000</v>
      </c>
      <c r="P459" s="19">
        <f>IFERROR(IF(SEARCH(B459,_xlfn.ARRAYTOTEXT('Bilateral Assistance, MAIN DATA'!I$1:I$1622))&gt;0,1,""),0)</f>
        <v>1</v>
      </c>
      <c r="Q459" s="19">
        <f>IFERROR(IF(SEARCH(B459,_xlfn.ARRAYTOTEXT('Commercial Assistance'!I$1:I$1400))&gt;0,1,""),0)</f>
        <v>0</v>
      </c>
      <c r="R459" s="247" t="str">
        <f>IF(SUMIFS('Bilateral Assistance, MAIN DATA'!N:N,'Bilateral Assistance, MAIN DATA'!I:I,'Price List, Weapons &amp; Items'!B459)&gt;M459,1,".")</f>
        <v>.</v>
      </c>
    </row>
    <row r="460" spans="2:18" ht="15" customHeight="1" x14ac:dyDescent="0.3">
      <c r="B460" s="175" t="s">
        <v>4758</v>
      </c>
      <c r="C460" s="113" t="s">
        <v>256</v>
      </c>
      <c r="D460" s="113" t="s">
        <v>256</v>
      </c>
      <c r="E460" s="199">
        <v>0</v>
      </c>
      <c r="F460" s="199">
        <f t="shared" si="47"/>
        <v>0</v>
      </c>
      <c r="G460" s="629">
        <v>12</v>
      </c>
      <c r="H460" s="720" t="str">
        <f t="shared" si="48"/>
        <v>USD</v>
      </c>
      <c r="I460" s="820" t="s">
        <v>4759</v>
      </c>
      <c r="J460" s="155" t="s">
        <v>3971</v>
      </c>
      <c r="K460" s="155" t="s">
        <v>4760</v>
      </c>
      <c r="L460" s="247">
        <f t="shared" ref="L460:L523" si="50">IF(C460="Humanitarian",0,IF(M460&gt;0,IF(TYPE(O460)=1,IF(O460&gt;MEDIAN(O:O),2,1),0),"no price, 0 count"))</f>
        <v>0</v>
      </c>
      <c r="M460" s="121">
        <f>SUMIFS('Bilateral Assistance, MAIN DATA'!M:M,'Bilateral Assistance, MAIN DATA'!I:I,'Price List, Weapons &amp; Items'!B460)</f>
        <v>11583</v>
      </c>
      <c r="N460" s="19">
        <f>COUNTIFS('Bilateral Assistance, MAIN DATA'!M:M,"undisclosed",'Bilateral Assistance, MAIN DATA'!I:I,'Price List, Weapons &amp; Items'!B460)</f>
        <v>0</v>
      </c>
      <c r="O460" s="723">
        <f t="shared" si="49"/>
        <v>138996</v>
      </c>
      <c r="P460" s="19">
        <f>IFERROR(IF(SEARCH(B460,_xlfn.ARRAYTOTEXT('Bilateral Assistance, MAIN DATA'!I$1:I$1622))&gt;0,1,""),0)</f>
        <v>1</v>
      </c>
      <c r="Q460" s="19">
        <f>IFERROR(IF(SEARCH(B460,_xlfn.ARRAYTOTEXT('Commercial Assistance'!I$1:I$1400))&gt;0,1,""),0)</f>
        <v>0</v>
      </c>
      <c r="R460" s="247" t="str">
        <f>IF(SUMIFS('Bilateral Assistance, MAIN DATA'!N:N,'Bilateral Assistance, MAIN DATA'!I:I,'Price List, Weapons &amp; Items'!B460)&gt;M460,1,".")</f>
        <v>.</v>
      </c>
    </row>
    <row r="461" spans="2:18" ht="15" customHeight="1" x14ac:dyDescent="0.3">
      <c r="B461" s="175" t="s">
        <v>4761</v>
      </c>
      <c r="C461" s="113" t="s">
        <v>256</v>
      </c>
      <c r="D461" s="113" t="s">
        <v>256</v>
      </c>
      <c r="E461" s="199">
        <v>0</v>
      </c>
      <c r="F461" s="199">
        <f t="shared" si="47"/>
        <v>0</v>
      </c>
      <c r="G461" s="629">
        <v>6.2309999999999999</v>
      </c>
      <c r="H461" s="720" t="str">
        <f t="shared" si="48"/>
        <v>USD</v>
      </c>
      <c r="I461" s="820" t="s">
        <v>4762</v>
      </c>
      <c r="J461" s="155" t="s">
        <v>3971</v>
      </c>
      <c r="K461" s="155" t="s">
        <v>4763</v>
      </c>
      <c r="L461" s="247">
        <f t="shared" si="50"/>
        <v>0</v>
      </c>
      <c r="M461" s="121">
        <f>SUMIFS('Bilateral Assistance, MAIN DATA'!M:M,'Bilateral Assistance, MAIN DATA'!I:I,'Price List, Weapons &amp; Items'!B461)</f>
        <v>50840</v>
      </c>
      <c r="N461" s="19">
        <f>COUNTIFS('Bilateral Assistance, MAIN DATA'!M:M,"undisclosed",'Bilateral Assistance, MAIN DATA'!I:I,'Price List, Weapons &amp; Items'!B461)</f>
        <v>0</v>
      </c>
      <c r="O461" s="723">
        <f t="shared" si="49"/>
        <v>316784.03999999998</v>
      </c>
      <c r="P461" s="19">
        <f>IFERROR(IF(SEARCH(B461,_xlfn.ARRAYTOTEXT('Bilateral Assistance, MAIN DATA'!I$1:I$1622))&gt;0,1,""),0)</f>
        <v>1</v>
      </c>
      <c r="Q461" s="19">
        <f>IFERROR(IF(SEARCH(B461,_xlfn.ARRAYTOTEXT('Commercial Assistance'!I$1:I$1400))&gt;0,1,""),0)</f>
        <v>0</v>
      </c>
      <c r="R461" s="247" t="str">
        <f>IF(SUMIFS('Bilateral Assistance, MAIN DATA'!N:N,'Bilateral Assistance, MAIN DATA'!I:I,'Price List, Weapons &amp; Items'!B461)&gt;M461,1,".")</f>
        <v>.</v>
      </c>
    </row>
    <row r="462" spans="2:18" ht="15" customHeight="1" x14ac:dyDescent="0.3">
      <c r="B462" s="175" t="s">
        <v>4764</v>
      </c>
      <c r="C462" s="113" t="s">
        <v>256</v>
      </c>
      <c r="D462" s="113" t="s">
        <v>256</v>
      </c>
      <c r="E462" s="199">
        <v>0</v>
      </c>
      <c r="F462" s="199">
        <f t="shared" si="47"/>
        <v>0</v>
      </c>
      <c r="G462" s="629">
        <v>1.5</v>
      </c>
      <c r="H462" s="720" t="str">
        <f t="shared" si="48"/>
        <v>USD</v>
      </c>
      <c r="I462" s="820" t="s">
        <v>4765</v>
      </c>
      <c r="J462" s="175" t="s">
        <v>3971</v>
      </c>
      <c r="K462" s="268" t="s">
        <v>4766</v>
      </c>
      <c r="L462" s="247">
        <f t="shared" si="50"/>
        <v>0</v>
      </c>
      <c r="M462" s="121">
        <f>SUMIFS('Bilateral Assistance, MAIN DATA'!M:M,'Bilateral Assistance, MAIN DATA'!I:I,'Price List, Weapons &amp; Items'!B462)</f>
        <v>22500</v>
      </c>
      <c r="N462" s="19">
        <f>COUNTIFS('Bilateral Assistance, MAIN DATA'!M:M,"undisclosed",'Bilateral Assistance, MAIN DATA'!I:I,'Price List, Weapons &amp; Items'!B462)</f>
        <v>0</v>
      </c>
      <c r="O462" s="723">
        <f t="shared" si="49"/>
        <v>33750</v>
      </c>
      <c r="P462" s="19">
        <f>IFERROR(IF(SEARCH(B462,_xlfn.ARRAYTOTEXT('Bilateral Assistance, MAIN DATA'!I$1:I$1622))&gt;0,1,""),0)</f>
        <v>1</v>
      </c>
      <c r="Q462" s="19">
        <f>IFERROR(IF(SEARCH(B462,_xlfn.ARRAYTOTEXT('Commercial Assistance'!I$1:I$1400))&gt;0,1,""),0)</f>
        <v>0</v>
      </c>
      <c r="R462" s="247" t="str">
        <f>IF(SUMIFS('Bilateral Assistance, MAIN DATA'!N:N,'Bilateral Assistance, MAIN DATA'!I:I,'Price List, Weapons &amp; Items'!B462)&gt;M462,1,".")</f>
        <v>.</v>
      </c>
    </row>
    <row r="463" spans="2:18" ht="15" customHeight="1" x14ac:dyDescent="0.3">
      <c r="B463" s="175" t="s">
        <v>4767</v>
      </c>
      <c r="C463" s="113" t="s">
        <v>256</v>
      </c>
      <c r="D463" s="113" t="s">
        <v>256</v>
      </c>
      <c r="E463" s="199">
        <v>0</v>
      </c>
      <c r="F463" s="199">
        <f t="shared" si="47"/>
        <v>0</v>
      </c>
      <c r="G463" s="629">
        <v>1.5</v>
      </c>
      <c r="H463" s="720" t="str">
        <f t="shared" si="48"/>
        <v>USD</v>
      </c>
      <c r="I463" s="820" t="s">
        <v>4765</v>
      </c>
      <c r="J463" s="155" t="s">
        <v>3971</v>
      </c>
      <c r="K463" s="155" t="s">
        <v>4768</v>
      </c>
      <c r="L463" s="247">
        <f t="shared" si="50"/>
        <v>0</v>
      </c>
      <c r="M463" s="121">
        <f>SUMIFS('Bilateral Assistance, MAIN DATA'!M:M,'Bilateral Assistance, MAIN DATA'!I:I,'Price List, Weapons &amp; Items'!B463)</f>
        <v>28000</v>
      </c>
      <c r="N463" s="19">
        <f>COUNTIFS('Bilateral Assistance, MAIN DATA'!M:M,"undisclosed",'Bilateral Assistance, MAIN DATA'!I:I,'Price List, Weapons &amp; Items'!B463)</f>
        <v>0</v>
      </c>
      <c r="O463" s="723">
        <f t="shared" si="49"/>
        <v>42000</v>
      </c>
      <c r="P463" s="19">
        <f>IFERROR(IF(SEARCH(B463,_xlfn.ARRAYTOTEXT('Bilateral Assistance, MAIN DATA'!I$1:I$1622))&gt;0,1,""),0)</f>
        <v>1</v>
      </c>
      <c r="Q463" s="19">
        <f>IFERROR(IF(SEARCH(B463,_xlfn.ARRAYTOTEXT('Commercial Assistance'!I$1:I$1400))&gt;0,1,""),0)</f>
        <v>0</v>
      </c>
      <c r="R463" s="247" t="str">
        <f>IF(SUMIFS('Bilateral Assistance, MAIN DATA'!N:N,'Bilateral Assistance, MAIN DATA'!I:I,'Price List, Weapons &amp; Items'!B463)&gt;M463,1,".")</f>
        <v>.</v>
      </c>
    </row>
    <row r="464" spans="2:18" ht="15" customHeight="1" x14ac:dyDescent="0.3">
      <c r="B464" s="175" t="s">
        <v>4769</v>
      </c>
      <c r="C464" s="113" t="s">
        <v>256</v>
      </c>
      <c r="D464" s="113" t="s">
        <v>256</v>
      </c>
      <c r="E464" s="199">
        <v>0</v>
      </c>
      <c r="F464" s="199">
        <f t="shared" si="47"/>
        <v>0</v>
      </c>
      <c r="G464" s="629">
        <v>1.29</v>
      </c>
      <c r="H464" s="720" t="str">
        <f t="shared" si="48"/>
        <v>USD</v>
      </c>
      <c r="I464" s="820" t="s">
        <v>4158</v>
      </c>
      <c r="J464" s="155" t="s">
        <v>3975</v>
      </c>
      <c r="K464" s="155" t="s">
        <v>4770</v>
      </c>
      <c r="L464" s="247">
        <f t="shared" si="50"/>
        <v>0</v>
      </c>
      <c r="M464" s="121">
        <f>SUMIFS('Bilateral Assistance, MAIN DATA'!M:M,'Bilateral Assistance, MAIN DATA'!I:I,'Price List, Weapons &amp; Items'!B464)</f>
        <v>68000</v>
      </c>
      <c r="N464" s="19">
        <f>COUNTIFS('Bilateral Assistance, MAIN DATA'!M:M,"undisclosed",'Bilateral Assistance, MAIN DATA'!I:I,'Price List, Weapons &amp; Items'!B464)</f>
        <v>1</v>
      </c>
      <c r="O464" s="723">
        <f t="shared" si="49"/>
        <v>87720</v>
      </c>
      <c r="P464" s="19">
        <f>IFERROR(IF(SEARCH(B464,_xlfn.ARRAYTOTEXT('Bilateral Assistance, MAIN DATA'!I$1:I$1622))&gt;0,1,""),0)</f>
        <v>1</v>
      </c>
      <c r="Q464" s="19">
        <f>IFERROR(IF(SEARCH(B464,_xlfn.ARRAYTOTEXT('Commercial Assistance'!I$1:I$1400))&gt;0,1,""),0)</f>
        <v>0</v>
      </c>
      <c r="R464" s="247" t="str">
        <f>IF(SUMIFS('Bilateral Assistance, MAIN DATA'!N:N,'Bilateral Assistance, MAIN DATA'!I:I,'Price List, Weapons &amp; Items'!B464)&gt;M464,1,".")</f>
        <v>.</v>
      </c>
    </row>
    <row r="465" spans="2:18" ht="15" customHeight="1" x14ac:dyDescent="0.3">
      <c r="B465" s="175" t="s">
        <v>4771</v>
      </c>
      <c r="C465" s="113" t="s">
        <v>256</v>
      </c>
      <c r="D465" s="113" t="s">
        <v>256</v>
      </c>
      <c r="E465" s="199">
        <v>0</v>
      </c>
      <c r="F465" s="199">
        <f t="shared" si="47"/>
        <v>0</v>
      </c>
      <c r="G465" s="629">
        <v>1.35</v>
      </c>
      <c r="H465" s="720" t="str">
        <f t="shared" si="48"/>
        <v>USD</v>
      </c>
      <c r="I465" s="855" t="s">
        <v>4584</v>
      </c>
      <c r="J465" s="155" t="s">
        <v>3975</v>
      </c>
      <c r="K465" s="155" t="s">
        <v>4585</v>
      </c>
      <c r="L465" s="247">
        <f t="shared" si="50"/>
        <v>0</v>
      </c>
      <c r="M465" s="121">
        <f>SUMIFS('Bilateral Assistance, MAIN DATA'!M:M,'Bilateral Assistance, MAIN DATA'!I:I,'Price List, Weapons &amp; Items'!B465)</f>
        <v>32000</v>
      </c>
      <c r="N465" s="19">
        <f>COUNTIFS('Bilateral Assistance, MAIN DATA'!M:M,"undisclosed",'Bilateral Assistance, MAIN DATA'!I:I,'Price List, Weapons &amp; Items'!B465)</f>
        <v>0</v>
      </c>
      <c r="O465" s="723">
        <f t="shared" si="49"/>
        <v>43200</v>
      </c>
      <c r="P465" s="19">
        <f>IFERROR(IF(SEARCH(B465,_xlfn.ARRAYTOTEXT('Bilateral Assistance, MAIN DATA'!I$1:I$1622))&gt;0,1,""),0)</f>
        <v>1</v>
      </c>
      <c r="Q465" s="19">
        <f>IFERROR(IF(SEARCH(B465,_xlfn.ARRAYTOTEXT('Commercial Assistance'!I$1:I$1400))&gt;0,1,""),0)</f>
        <v>0</v>
      </c>
      <c r="R465" s="247" t="str">
        <f>IF(SUMIFS('Bilateral Assistance, MAIN DATA'!N:N,'Bilateral Assistance, MAIN DATA'!I:I,'Price List, Weapons &amp; Items'!B465)&gt;M465,1,".")</f>
        <v>.</v>
      </c>
    </row>
    <row r="466" spans="2:18" ht="15" customHeight="1" x14ac:dyDescent="0.3">
      <c r="B466" s="175" t="s">
        <v>4772</v>
      </c>
      <c r="C466" s="113" t="s">
        <v>256</v>
      </c>
      <c r="D466" s="113" t="s">
        <v>256</v>
      </c>
      <c r="E466" s="199">
        <v>0</v>
      </c>
      <c r="F466" s="199">
        <f t="shared" si="47"/>
        <v>0</v>
      </c>
      <c r="G466" s="629">
        <v>0.24</v>
      </c>
      <c r="H466" s="720" t="str">
        <f t="shared" si="48"/>
        <v>USD</v>
      </c>
      <c r="I466" s="820" t="s">
        <v>4773</v>
      </c>
      <c r="J466" s="155" t="s">
        <v>3971</v>
      </c>
      <c r="K466" s="155" t="s">
        <v>4774</v>
      </c>
      <c r="L466" s="247">
        <f t="shared" si="50"/>
        <v>0</v>
      </c>
      <c r="M466" s="121">
        <f>SUMIFS('Bilateral Assistance, MAIN DATA'!M:M,'Bilateral Assistance, MAIN DATA'!I:I,'Price List, Weapons &amp; Items'!B466)</f>
        <v>0</v>
      </c>
      <c r="N466" s="19">
        <f>COUNTIFS('Bilateral Assistance, MAIN DATA'!M:M,"undisclosed",'Bilateral Assistance, MAIN DATA'!I:I,'Price List, Weapons &amp; Items'!B466)</f>
        <v>1</v>
      </c>
      <c r="O466" s="723">
        <f t="shared" si="49"/>
        <v>0</v>
      </c>
      <c r="P466" s="19">
        <f>IFERROR(IF(SEARCH(B466,_xlfn.ARRAYTOTEXT('Bilateral Assistance, MAIN DATA'!I$1:I$1622))&gt;0,1,""),0)</f>
        <v>1</v>
      </c>
      <c r="Q466" s="19">
        <f>IFERROR(IF(SEARCH(B466,_xlfn.ARRAYTOTEXT('Commercial Assistance'!I$1:I$1400))&gt;0,1,""),0)</f>
        <v>0</v>
      </c>
      <c r="R466" s="247" t="str">
        <f>IF(SUMIFS('Bilateral Assistance, MAIN DATA'!N:N,'Bilateral Assistance, MAIN DATA'!I:I,'Price List, Weapons &amp; Items'!B466)&gt;M466,1,".")</f>
        <v>.</v>
      </c>
    </row>
    <row r="467" spans="2:18" ht="15" customHeight="1" x14ac:dyDescent="0.3">
      <c r="B467" s="175" t="s">
        <v>4775</v>
      </c>
      <c r="C467" s="113" t="s">
        <v>256</v>
      </c>
      <c r="D467" s="113" t="s">
        <v>256</v>
      </c>
      <c r="E467" s="199">
        <v>0</v>
      </c>
      <c r="F467" s="199">
        <f t="shared" si="47"/>
        <v>0</v>
      </c>
      <c r="G467" s="629">
        <v>0.24</v>
      </c>
      <c r="H467" s="720" t="str">
        <f t="shared" si="48"/>
        <v>USD</v>
      </c>
      <c r="I467" s="820" t="s">
        <v>4773</v>
      </c>
      <c r="J467" s="155" t="s">
        <v>3971</v>
      </c>
      <c r="K467" s="155" t="s">
        <v>4774</v>
      </c>
      <c r="L467" s="247">
        <f t="shared" si="50"/>
        <v>0</v>
      </c>
      <c r="M467" s="121">
        <f>SUMIFS('Bilateral Assistance, MAIN DATA'!M:M,'Bilateral Assistance, MAIN DATA'!I:I,'Price List, Weapons &amp; Items'!B467)</f>
        <v>100000</v>
      </c>
      <c r="N467" s="19">
        <f>COUNTIFS('Bilateral Assistance, MAIN DATA'!M:M,"undisclosed",'Bilateral Assistance, MAIN DATA'!I:I,'Price List, Weapons &amp; Items'!B467)</f>
        <v>0</v>
      </c>
      <c r="O467" s="723">
        <f t="shared" si="49"/>
        <v>24000</v>
      </c>
      <c r="P467" s="19">
        <f>IFERROR(IF(SEARCH(B467,_xlfn.ARRAYTOTEXT('Bilateral Assistance, MAIN DATA'!I$1:I$1622))&gt;0,1,""),0)</f>
        <v>1</v>
      </c>
      <c r="Q467" s="19">
        <f>IFERROR(IF(SEARCH(B467,_xlfn.ARRAYTOTEXT('Commercial Assistance'!I$1:I$1400))&gt;0,1,""),0)</f>
        <v>0</v>
      </c>
      <c r="R467" s="247" t="str">
        <f>IF(SUMIFS('Bilateral Assistance, MAIN DATA'!N:N,'Bilateral Assistance, MAIN DATA'!I:I,'Price List, Weapons &amp; Items'!B467)&gt;M467,1,".")</f>
        <v>.</v>
      </c>
    </row>
    <row r="468" spans="2:18" ht="15" customHeight="1" x14ac:dyDescent="0.3">
      <c r="B468" s="175" t="s">
        <v>4776</v>
      </c>
      <c r="C468" s="113" t="s">
        <v>256</v>
      </c>
      <c r="D468" s="113" t="s">
        <v>256</v>
      </c>
      <c r="E468" s="199">
        <v>0</v>
      </c>
      <c r="F468" s="199">
        <f t="shared" si="47"/>
        <v>0</v>
      </c>
      <c r="G468" s="629">
        <v>0.24</v>
      </c>
      <c r="H468" s="720" t="str">
        <f t="shared" si="48"/>
        <v>USD</v>
      </c>
      <c r="I468" s="820" t="s">
        <v>4773</v>
      </c>
      <c r="J468" s="155" t="s">
        <v>3971</v>
      </c>
      <c r="K468" s="155" t="s">
        <v>4777</v>
      </c>
      <c r="L468" s="247">
        <f t="shared" si="50"/>
        <v>0</v>
      </c>
      <c r="M468" s="121">
        <f>SUMIFS('Bilateral Assistance, MAIN DATA'!M:M,'Bilateral Assistance, MAIN DATA'!I:I,'Price List, Weapons &amp; Items'!B468)</f>
        <v>650000</v>
      </c>
      <c r="N468" s="19">
        <f>COUNTIFS('Bilateral Assistance, MAIN DATA'!M:M,"undisclosed",'Bilateral Assistance, MAIN DATA'!I:I,'Price List, Weapons &amp; Items'!B468)</f>
        <v>0</v>
      </c>
      <c r="O468" s="723">
        <f t="shared" si="49"/>
        <v>156000</v>
      </c>
      <c r="P468" s="19">
        <f>IFERROR(IF(SEARCH(B468,_xlfn.ARRAYTOTEXT('Bilateral Assistance, MAIN DATA'!I$1:I$1622))&gt;0,1,""),0)</f>
        <v>1</v>
      </c>
      <c r="Q468" s="19">
        <f>IFERROR(IF(SEARCH(B468,_xlfn.ARRAYTOTEXT('Commercial Assistance'!I$1:I$1400))&gt;0,1,""),0)</f>
        <v>0</v>
      </c>
      <c r="R468" s="247" t="str">
        <f>IF(SUMIFS('Bilateral Assistance, MAIN DATA'!N:N,'Bilateral Assistance, MAIN DATA'!I:I,'Price List, Weapons &amp; Items'!B468)&gt;M468,1,".")</f>
        <v>.</v>
      </c>
    </row>
    <row r="469" spans="2:18" ht="15" customHeight="1" x14ac:dyDescent="0.3">
      <c r="B469" s="175" t="s">
        <v>4778</v>
      </c>
      <c r="C469" s="113" t="s">
        <v>256</v>
      </c>
      <c r="D469" s="113" t="s">
        <v>256</v>
      </c>
      <c r="E469" s="199">
        <v>0</v>
      </c>
      <c r="F469" s="199">
        <f t="shared" si="47"/>
        <v>0</v>
      </c>
      <c r="G469" s="629">
        <v>0.13</v>
      </c>
      <c r="H469" s="720" t="str">
        <f t="shared" si="48"/>
        <v>USD</v>
      </c>
      <c r="I469" s="820" t="s">
        <v>4744</v>
      </c>
      <c r="J469" s="155" t="s">
        <v>3971</v>
      </c>
      <c r="K469" s="155" t="s">
        <v>4779</v>
      </c>
      <c r="L469" s="247">
        <f t="shared" si="50"/>
        <v>0</v>
      </c>
      <c r="M469" s="121">
        <f>SUMIFS('Bilateral Assistance, MAIN DATA'!M:M,'Bilateral Assistance, MAIN DATA'!I:I,'Price List, Weapons &amp; Items'!B469)</f>
        <v>430000</v>
      </c>
      <c r="N469" s="19">
        <f>COUNTIFS('Bilateral Assistance, MAIN DATA'!M:M,"undisclosed",'Bilateral Assistance, MAIN DATA'!I:I,'Price List, Weapons &amp; Items'!B469)</f>
        <v>0</v>
      </c>
      <c r="O469" s="723">
        <f t="shared" si="49"/>
        <v>55900</v>
      </c>
      <c r="P469" s="19">
        <f>IFERROR(IF(SEARCH(B469,_xlfn.ARRAYTOTEXT('Bilateral Assistance, MAIN DATA'!I$1:I$1622))&gt;0,1,""),0)</f>
        <v>1</v>
      </c>
      <c r="Q469" s="19">
        <f>IFERROR(IF(SEARCH(B469,_xlfn.ARRAYTOTEXT('Commercial Assistance'!I$1:I$1400))&gt;0,1,""),0)</f>
        <v>0</v>
      </c>
      <c r="R469" s="247" t="str">
        <f>IF(SUMIFS('Bilateral Assistance, MAIN DATA'!N:N,'Bilateral Assistance, MAIN DATA'!I:I,'Price List, Weapons &amp; Items'!B469)&gt;M469,1,".")</f>
        <v>.</v>
      </c>
    </row>
    <row r="470" spans="2:18" ht="15" customHeight="1" x14ac:dyDescent="0.3">
      <c r="B470" s="175" t="s">
        <v>4780</v>
      </c>
      <c r="C470" s="113" t="s">
        <v>256</v>
      </c>
      <c r="D470" s="113" t="s">
        <v>256</v>
      </c>
      <c r="E470" s="199">
        <v>0</v>
      </c>
      <c r="F470" s="199">
        <f t="shared" si="47"/>
        <v>0</v>
      </c>
      <c r="G470" s="629">
        <v>0.13</v>
      </c>
      <c r="H470" s="720" t="str">
        <f t="shared" si="48"/>
        <v>USD</v>
      </c>
      <c r="I470" s="821" t="s">
        <v>4744</v>
      </c>
      <c r="J470" s="155" t="s">
        <v>3971</v>
      </c>
      <c r="K470" s="155" t="s">
        <v>4781</v>
      </c>
      <c r="L470" s="247">
        <f t="shared" si="50"/>
        <v>0</v>
      </c>
      <c r="M470" s="121">
        <f>SUMIFS('Bilateral Assistance, MAIN DATA'!M:M,'Bilateral Assistance, MAIN DATA'!I:I,'Price List, Weapons &amp; Items'!B470)</f>
        <v>3640000</v>
      </c>
      <c r="N470" s="19">
        <f>COUNTIFS('Bilateral Assistance, MAIN DATA'!M:M,"undisclosed",'Bilateral Assistance, MAIN DATA'!I:I,'Price List, Weapons &amp; Items'!B470)</f>
        <v>0</v>
      </c>
      <c r="O470" s="723">
        <f t="shared" si="49"/>
        <v>473200</v>
      </c>
      <c r="P470" s="19">
        <f>IFERROR(IF(SEARCH(B470,_xlfn.ARRAYTOTEXT('Bilateral Assistance, MAIN DATA'!I$1:I$1622))&gt;0,1,""),0)</f>
        <v>1</v>
      </c>
      <c r="Q470" s="19">
        <f>IFERROR(IF(SEARCH(B470,_xlfn.ARRAYTOTEXT('Commercial Assistance'!I$1:I$1400))&gt;0,1,""),0)</f>
        <v>0</v>
      </c>
      <c r="R470" s="247" t="str">
        <f>IF(SUMIFS('Bilateral Assistance, MAIN DATA'!N:N,'Bilateral Assistance, MAIN DATA'!I:I,'Price List, Weapons &amp; Items'!B470)&gt;M470,1,".")</f>
        <v>.</v>
      </c>
    </row>
    <row r="471" spans="2:18" ht="15" customHeight="1" x14ac:dyDescent="0.3">
      <c r="B471" s="175" t="s">
        <v>4782</v>
      </c>
      <c r="C471" s="113" t="s">
        <v>256</v>
      </c>
      <c r="D471" s="113" t="s">
        <v>256</v>
      </c>
      <c r="E471" s="199">
        <v>0</v>
      </c>
      <c r="F471" s="199">
        <f t="shared" si="47"/>
        <v>0</v>
      </c>
      <c r="G471" s="629">
        <v>4.4999999999999998E-2</v>
      </c>
      <c r="H471" s="720" t="str">
        <f t="shared" si="48"/>
        <v>USD</v>
      </c>
      <c r="I471" s="827" t="s">
        <v>4783</v>
      </c>
      <c r="J471" s="155" t="s">
        <v>3975</v>
      </c>
      <c r="K471" s="155" t="s">
        <v>4784</v>
      </c>
      <c r="L471" s="247">
        <f t="shared" si="50"/>
        <v>0</v>
      </c>
      <c r="M471" s="121">
        <f>SUMIFS('Bilateral Assistance, MAIN DATA'!M:M,'Bilateral Assistance, MAIN DATA'!I:I,'Price List, Weapons &amp; Items'!B471)</f>
        <v>10000000</v>
      </c>
      <c r="N471" s="19">
        <f>COUNTIFS('Bilateral Assistance, MAIN DATA'!M:M,"undisclosed",'Bilateral Assistance, MAIN DATA'!I:I,'Price List, Weapons &amp; Items'!B471)</f>
        <v>0</v>
      </c>
      <c r="O471" s="723">
        <f t="shared" si="49"/>
        <v>450000</v>
      </c>
      <c r="P471" s="19">
        <f>IFERROR(IF(SEARCH(B471,_xlfn.ARRAYTOTEXT('Bilateral Assistance, MAIN DATA'!I$1:I$1622))&gt;0,1,""),0)</f>
        <v>1</v>
      </c>
      <c r="Q471" s="19">
        <f>IFERROR(IF(SEARCH(B471,_xlfn.ARRAYTOTEXT('Commercial Assistance'!I$1:I$1400))&gt;0,1,""),0)</f>
        <v>0</v>
      </c>
      <c r="R471" s="247" t="str">
        <f>IF(SUMIFS('Bilateral Assistance, MAIN DATA'!N:N,'Bilateral Assistance, MAIN DATA'!I:I,'Price List, Weapons &amp; Items'!B471)&gt;M471,1,".")</f>
        <v>.</v>
      </c>
    </row>
    <row r="472" spans="2:18" ht="15" customHeight="1" x14ac:dyDescent="0.3">
      <c r="B472" s="175" t="s">
        <v>4785</v>
      </c>
      <c r="C472" s="113" t="s">
        <v>812</v>
      </c>
      <c r="D472" s="113" t="s">
        <v>812</v>
      </c>
      <c r="E472" s="199">
        <v>0</v>
      </c>
      <c r="F472" s="199">
        <f t="shared" si="47"/>
        <v>0</v>
      </c>
      <c r="G472" s="629">
        <v>102216.33</v>
      </c>
      <c r="H472" s="721" t="s">
        <v>346</v>
      </c>
      <c r="I472" s="821" t="s">
        <v>4786</v>
      </c>
      <c r="J472" s="249" t="s">
        <v>4008</v>
      </c>
      <c r="K472" s="155" t="s">
        <v>4787</v>
      </c>
      <c r="L472" s="247">
        <f t="shared" si="50"/>
        <v>2</v>
      </c>
      <c r="M472" s="121">
        <f>SUMIFS('Bilateral Assistance, MAIN DATA'!M:M,'Bilateral Assistance, MAIN DATA'!I:I,'Price List, Weapons &amp; Items'!B472)</f>
        <v>20</v>
      </c>
      <c r="N472" s="19">
        <f>COUNTIFS('Bilateral Assistance, MAIN DATA'!M:M,"undisclosed",'Bilateral Assistance, MAIN DATA'!I:I,'Price List, Weapons &amp; Items'!B472)</f>
        <v>0</v>
      </c>
      <c r="O472" s="723">
        <f t="shared" si="49"/>
        <v>2044326.6</v>
      </c>
      <c r="P472" s="19">
        <f>IFERROR(IF(SEARCH(B472,_xlfn.ARRAYTOTEXT('Bilateral Assistance, MAIN DATA'!I$1:I$1622))&gt;0,1,""),0)</f>
        <v>1</v>
      </c>
      <c r="Q472" s="19">
        <f>IFERROR(IF(SEARCH(B472,_xlfn.ARRAYTOTEXT('Commercial Assistance'!I$1:I$1400))&gt;0,1,""),0)</f>
        <v>0</v>
      </c>
      <c r="R472" s="247" t="str">
        <f>IF(SUMIFS('Bilateral Assistance, MAIN DATA'!N:N,'Bilateral Assistance, MAIN DATA'!I:I,'Price List, Weapons &amp; Items'!B472)&gt;M472,1,".")</f>
        <v>.</v>
      </c>
    </row>
    <row r="473" spans="2:18" ht="15" customHeight="1" x14ac:dyDescent="0.3">
      <c r="B473" s="185" t="s">
        <v>1368</v>
      </c>
      <c r="C473" s="113" t="s">
        <v>812</v>
      </c>
      <c r="D473" s="113" t="s">
        <v>812</v>
      </c>
      <c r="E473" s="199">
        <v>0</v>
      </c>
      <c r="F473" s="199">
        <f t="shared" si="47"/>
        <v>0</v>
      </c>
      <c r="G473" s="629" t="s">
        <v>260</v>
      </c>
      <c r="H473" s="721" t="s">
        <v>260</v>
      </c>
      <c r="I473" s="249" t="s">
        <v>260</v>
      </c>
      <c r="J473" s="249" t="s">
        <v>260</v>
      </c>
      <c r="K473" s="155" t="s">
        <v>4788</v>
      </c>
      <c r="L473" s="247">
        <f t="shared" si="50"/>
        <v>0</v>
      </c>
      <c r="M473" s="121">
        <f>SUMIFS('Bilateral Assistance, MAIN DATA'!M:M,'Bilateral Assistance, MAIN DATA'!I:I,'Price List, Weapons &amp; Items'!B473)</f>
        <v>1</v>
      </c>
      <c r="N473" s="19">
        <f>COUNTIFS('Bilateral Assistance, MAIN DATA'!M:M,"undisclosed",'Bilateral Assistance, MAIN DATA'!I:I,'Price List, Weapons &amp; Items'!B473)</f>
        <v>0</v>
      </c>
      <c r="O473" s="723" t="str">
        <f t="shared" si="49"/>
        <v>no price</v>
      </c>
      <c r="P473" s="19">
        <f>IFERROR(IF(SEARCH(B473,_xlfn.ARRAYTOTEXT('Bilateral Assistance, MAIN DATA'!I$1:I$1622))&gt;0,1,""),0)</f>
        <v>1</v>
      </c>
      <c r="Q473" s="19">
        <f>IFERROR(IF(SEARCH(B473,_xlfn.ARRAYTOTEXT('Commercial Assistance'!I$1:I$1400))&gt;0,1,""),0)</f>
        <v>0</v>
      </c>
      <c r="R473" s="247" t="str">
        <f>IF(SUMIFS('Bilateral Assistance, MAIN DATA'!N:N,'Bilateral Assistance, MAIN DATA'!I:I,'Price List, Weapons &amp; Items'!B473)&gt;M473,1,".")</f>
        <v>.</v>
      </c>
    </row>
    <row r="474" spans="2:18" ht="15" customHeight="1" x14ac:dyDescent="0.3">
      <c r="B474" s="185" t="s">
        <v>1362</v>
      </c>
      <c r="C474" s="113" t="s">
        <v>812</v>
      </c>
      <c r="D474" s="113" t="s">
        <v>812</v>
      </c>
      <c r="E474" s="199">
        <v>0</v>
      </c>
      <c r="F474" s="199">
        <f t="shared" ref="F474:F504" si="51">IF(OR(D474="Armoured Personnel Carrier (APC)",D474="Armoured Recovery Vehicle (ARV)",D474="Armoured Utility Vehicle (AUV)",D474="152mm howitzer ammunition",D474="155mm howitzer ammunition",D474="300mm MLRS ammunition",D474="155mm howitzer",D474="227mm MLRS ammunition",D474="Infantry fighting vehicle (IFV)",D474="152mm howitzer",D474="227mm MLRS",D474="Main Battle Tank (MBT)",D474="Protected Patrol Vehicle (PPV)",D474="127mm MLRS",D474="122mm MLRS",D474="122mm MLRS ammunition",D474="122mm MLRS",D474="127mm MLRS",D474="127mm MLRS ammunition")=TRUE,1,0)</f>
        <v>0</v>
      </c>
      <c r="G474" s="629" t="s">
        <v>260</v>
      </c>
      <c r="H474" s="721" t="s">
        <v>260</v>
      </c>
      <c r="I474" s="818" t="s">
        <v>260</v>
      </c>
      <c r="J474" s="249" t="s">
        <v>260</v>
      </c>
      <c r="K474" s="155" t="s">
        <v>4789</v>
      </c>
      <c r="L474" s="247">
        <f t="shared" si="50"/>
        <v>0</v>
      </c>
      <c r="M474" s="121">
        <f>SUMIFS('Bilateral Assistance, MAIN DATA'!M:M,'Bilateral Assistance, MAIN DATA'!I:I,'Price List, Weapons &amp; Items'!B474)</f>
        <v>40</v>
      </c>
      <c r="N474" s="19">
        <f>COUNTIFS('Bilateral Assistance, MAIN DATA'!M:M,"undisclosed",'Bilateral Assistance, MAIN DATA'!I:I,'Price List, Weapons &amp; Items'!B474)</f>
        <v>0</v>
      </c>
      <c r="O474" s="723" t="str">
        <f t="shared" si="49"/>
        <v>no price</v>
      </c>
      <c r="P474" s="19">
        <f>IFERROR(IF(SEARCH(B474,_xlfn.ARRAYTOTEXT('Bilateral Assistance, MAIN DATA'!I$1:I$1622))&gt;0,1,""),0)</f>
        <v>1</v>
      </c>
      <c r="Q474" s="19">
        <f>IFERROR(IF(SEARCH(B474,_xlfn.ARRAYTOTEXT('Commercial Assistance'!I$1:I$1400))&gt;0,1,""),0)</f>
        <v>0</v>
      </c>
      <c r="R474" s="247" t="str">
        <f>IF(SUMIFS('Bilateral Assistance, MAIN DATA'!N:N,'Bilateral Assistance, MAIN DATA'!I:I,'Price List, Weapons &amp; Items'!B474)&gt;M474,1,".")</f>
        <v>.</v>
      </c>
    </row>
    <row r="475" spans="2:18" ht="15" customHeight="1" x14ac:dyDescent="0.3">
      <c r="B475" s="175" t="s">
        <v>2735</v>
      </c>
      <c r="C475" s="113" t="s">
        <v>256</v>
      </c>
      <c r="D475" s="113" t="s">
        <v>256</v>
      </c>
      <c r="E475" s="199">
        <v>0</v>
      </c>
      <c r="F475" s="199">
        <f t="shared" si="51"/>
        <v>0</v>
      </c>
      <c r="G475" s="629">
        <v>19.5</v>
      </c>
      <c r="H475" s="721" t="s">
        <v>346</v>
      </c>
      <c r="I475" s="821" t="s">
        <v>4790</v>
      </c>
      <c r="J475" s="249" t="s">
        <v>3964</v>
      </c>
      <c r="K475" s="155" t="s">
        <v>4791</v>
      </c>
      <c r="L475" s="247">
        <f t="shared" si="50"/>
        <v>0</v>
      </c>
      <c r="M475" s="121">
        <f>SUMIFS('Bilateral Assistance, MAIN DATA'!M:M,'Bilateral Assistance, MAIN DATA'!I:I,'Price List, Weapons &amp; Items'!B475)</f>
        <v>500000</v>
      </c>
      <c r="N475" s="19">
        <f>COUNTIFS('Bilateral Assistance, MAIN DATA'!M:M,"undisclosed",'Bilateral Assistance, MAIN DATA'!I:I,'Price List, Weapons &amp; Items'!B475)</f>
        <v>0</v>
      </c>
      <c r="O475" s="723">
        <f t="shared" si="49"/>
        <v>9750000</v>
      </c>
      <c r="P475" s="19">
        <f>IFERROR(IF(SEARCH(B475,_xlfn.ARRAYTOTEXT('Bilateral Assistance, MAIN DATA'!I$1:I$1622))&gt;0,1,""),0)</f>
        <v>1</v>
      </c>
      <c r="Q475" s="19">
        <f>IFERROR(IF(SEARCH(B475,_xlfn.ARRAYTOTEXT('Commercial Assistance'!I$1:I$1400))&gt;0,1,""),0)</f>
        <v>0</v>
      </c>
      <c r="R475" s="247" t="str">
        <f>IF(SUMIFS('Bilateral Assistance, MAIN DATA'!N:N,'Bilateral Assistance, MAIN DATA'!I:I,'Price List, Weapons &amp; Items'!B475)&gt;M475,1,".")</f>
        <v>.</v>
      </c>
    </row>
    <row r="476" spans="2:18" ht="15" customHeight="1" x14ac:dyDescent="0.3">
      <c r="B476" s="175" t="s">
        <v>2688</v>
      </c>
      <c r="C476" s="113" t="s">
        <v>256</v>
      </c>
      <c r="D476" s="113" t="s">
        <v>256</v>
      </c>
      <c r="E476" s="199">
        <v>0</v>
      </c>
      <c r="F476" s="199">
        <f t="shared" si="51"/>
        <v>0</v>
      </c>
      <c r="G476" s="629">
        <f>(2500000/1000)/VLOOKUP("USD",'Exchange Rates'!B:C,2,0)</f>
        <v>2380.9523809523807</v>
      </c>
      <c r="H476" s="721" t="s">
        <v>346</v>
      </c>
      <c r="I476" s="821" t="s">
        <v>2683</v>
      </c>
      <c r="J476" s="249" t="s">
        <v>3964</v>
      </c>
      <c r="K476" s="155" t="s">
        <v>4792</v>
      </c>
      <c r="L476" s="247">
        <f t="shared" si="50"/>
        <v>0</v>
      </c>
      <c r="M476" s="121">
        <f>SUMIFS('Bilateral Assistance, MAIN DATA'!M:M,'Bilateral Assistance, MAIN DATA'!I:I,'Price List, Weapons &amp; Items'!B476)</f>
        <v>1000</v>
      </c>
      <c r="N476" s="19">
        <f>COUNTIFS('Bilateral Assistance, MAIN DATA'!M:M,"undisclosed",'Bilateral Assistance, MAIN DATA'!I:I,'Price List, Weapons &amp; Items'!B476)</f>
        <v>0</v>
      </c>
      <c r="O476" s="723">
        <f t="shared" si="49"/>
        <v>2380952.3809523806</v>
      </c>
      <c r="P476" s="19">
        <f>IFERROR(IF(SEARCH(B476,_xlfn.ARRAYTOTEXT('Bilateral Assistance, MAIN DATA'!I$1:I$1622))&gt;0,1,""),0)</f>
        <v>1</v>
      </c>
      <c r="Q476" s="19">
        <f>IFERROR(IF(SEARCH(B476,_xlfn.ARRAYTOTEXT('Commercial Assistance'!I$1:I$1400))&gt;0,1,""),0)</f>
        <v>0</v>
      </c>
      <c r="R476" s="247" t="str">
        <f>IF(SUMIFS('Bilateral Assistance, MAIN DATA'!N:N,'Bilateral Assistance, MAIN DATA'!I:I,'Price List, Weapons &amp; Items'!B476)&gt;M476,1,".")</f>
        <v>.</v>
      </c>
    </row>
    <row r="477" spans="2:18" ht="15" customHeight="1" x14ac:dyDescent="0.3">
      <c r="B477" s="175" t="s">
        <v>2251</v>
      </c>
      <c r="C477" s="113" t="s">
        <v>3954</v>
      </c>
      <c r="D477" s="246" t="s">
        <v>956</v>
      </c>
      <c r="E477" s="199">
        <v>0</v>
      </c>
      <c r="F477" s="199">
        <f t="shared" si="51"/>
        <v>0</v>
      </c>
      <c r="G477" s="629" t="s">
        <v>260</v>
      </c>
      <c r="H477" s="721" t="s">
        <v>346</v>
      </c>
      <c r="I477" s="249" t="s">
        <v>260</v>
      </c>
      <c r="J477" s="249" t="s">
        <v>260</v>
      </c>
      <c r="K477" s="155" t="s">
        <v>260</v>
      </c>
      <c r="L477" s="247">
        <f t="shared" si="50"/>
        <v>0</v>
      </c>
      <c r="M477" s="121">
        <f>SUMIFS('Bilateral Assistance, MAIN DATA'!M:M,'Bilateral Assistance, MAIN DATA'!I:I,'Price List, Weapons &amp; Items'!B477)</f>
        <v>850</v>
      </c>
      <c r="N477" s="19">
        <f>COUNTIFS('Bilateral Assistance, MAIN DATA'!M:M,"undisclosed",'Bilateral Assistance, MAIN DATA'!I:I,'Price List, Weapons &amp; Items'!B477)</f>
        <v>1</v>
      </c>
      <c r="O477" s="723" t="str">
        <f t="shared" si="49"/>
        <v>no price</v>
      </c>
      <c r="P477" s="19">
        <f>IFERROR(IF(SEARCH(B477,_xlfn.ARRAYTOTEXT('Bilateral Assistance, MAIN DATA'!I$1:I$1622))&gt;0,1,""),0)</f>
        <v>1</v>
      </c>
      <c r="Q477" s="19">
        <f>IFERROR(IF(SEARCH(B477,_xlfn.ARRAYTOTEXT('Commercial Assistance'!I$1:I$1400))&gt;0,1,""),0)</f>
        <v>0</v>
      </c>
      <c r="R477" s="247" t="str">
        <f>IF(SUMIFS('Bilateral Assistance, MAIN DATA'!N:N,'Bilateral Assistance, MAIN DATA'!I:I,'Price List, Weapons &amp; Items'!B477)&gt;M477,1,".")</f>
        <v>.</v>
      </c>
    </row>
    <row r="478" spans="2:18" ht="15" customHeight="1" x14ac:dyDescent="0.3">
      <c r="B478" s="175" t="s">
        <v>2974</v>
      </c>
      <c r="C478" s="113" t="s">
        <v>3954</v>
      </c>
      <c r="D478" s="246" t="s">
        <v>956</v>
      </c>
      <c r="E478" s="199">
        <v>0</v>
      </c>
      <c r="F478" s="199">
        <f t="shared" si="51"/>
        <v>0</v>
      </c>
      <c r="G478" s="629" t="s">
        <v>260</v>
      </c>
      <c r="H478" s="721" t="s">
        <v>346</v>
      </c>
      <c r="I478" s="249" t="s">
        <v>260</v>
      </c>
      <c r="J478" s="249" t="s">
        <v>260</v>
      </c>
      <c r="K478" s="155" t="s">
        <v>260</v>
      </c>
      <c r="L478" s="247">
        <f t="shared" si="50"/>
        <v>0</v>
      </c>
      <c r="M478" s="121">
        <f>SUMIFS('Bilateral Assistance, MAIN DATA'!M:M,'Bilateral Assistance, MAIN DATA'!I:I,'Price List, Weapons &amp; Items'!B478)</f>
        <v>6</v>
      </c>
      <c r="N478" s="19">
        <f>COUNTIFS('Bilateral Assistance, MAIN DATA'!M:M,"undisclosed",'Bilateral Assistance, MAIN DATA'!I:I,'Price List, Weapons &amp; Items'!B478)</f>
        <v>0</v>
      </c>
      <c r="O478" s="723" t="str">
        <f t="shared" si="49"/>
        <v>no price</v>
      </c>
      <c r="P478" s="19">
        <f>IFERROR(IF(SEARCH(B478,_xlfn.ARRAYTOTEXT('Bilateral Assistance, MAIN DATA'!I$1:I$1622))&gt;0,1,""),0)</f>
        <v>1</v>
      </c>
      <c r="Q478" s="19">
        <f>IFERROR(IF(SEARCH(B478,_xlfn.ARRAYTOTEXT('Commercial Assistance'!I$1:I$1400))&gt;0,1,""),0)</f>
        <v>0</v>
      </c>
      <c r="R478" s="247" t="str">
        <f>IF(SUMIFS('Bilateral Assistance, MAIN DATA'!N:N,'Bilateral Assistance, MAIN DATA'!I:I,'Price List, Weapons &amp; Items'!B478)&gt;M478,1,".")</f>
        <v>.</v>
      </c>
    </row>
    <row r="479" spans="2:18" ht="15" customHeight="1" x14ac:dyDescent="0.3">
      <c r="B479" s="175" t="s">
        <v>4793</v>
      </c>
      <c r="C479" s="113" t="s">
        <v>256</v>
      </c>
      <c r="D479" s="113" t="s">
        <v>256</v>
      </c>
      <c r="E479" s="199">
        <v>0</v>
      </c>
      <c r="F479" s="199">
        <f t="shared" si="51"/>
        <v>0</v>
      </c>
      <c r="G479" s="629">
        <f>80*1.1175</f>
        <v>89.399999999999991</v>
      </c>
      <c r="H479" s="721" t="s">
        <v>346</v>
      </c>
      <c r="I479" s="821" t="s">
        <v>1977</v>
      </c>
      <c r="J479" s="155" t="s">
        <v>4008</v>
      </c>
      <c r="K479" s="155" t="s">
        <v>4794</v>
      </c>
      <c r="L479" s="247">
        <f t="shared" si="50"/>
        <v>0</v>
      </c>
      <c r="M479" s="121">
        <f>SUMIFS('Bilateral Assistance, MAIN DATA'!M:M,'Bilateral Assistance, MAIN DATA'!I:I,'Price List, Weapons &amp; Items'!B479)</f>
        <v>35000</v>
      </c>
      <c r="N479" s="19">
        <f>COUNTIFS('Bilateral Assistance, MAIN DATA'!M:M,"undisclosed",'Bilateral Assistance, MAIN DATA'!I:I,'Price List, Weapons &amp; Items'!B479)</f>
        <v>0</v>
      </c>
      <c r="O479" s="723">
        <f t="shared" si="49"/>
        <v>3128999.9999999995</v>
      </c>
      <c r="P479" s="19">
        <f>IFERROR(IF(SEARCH(B479,_xlfn.ARRAYTOTEXT('Bilateral Assistance, MAIN DATA'!I$1:I$1622))&gt;0,1,""),0)</f>
        <v>1</v>
      </c>
      <c r="Q479" s="19">
        <f>IFERROR(IF(SEARCH(B479,_xlfn.ARRAYTOTEXT('Commercial Assistance'!I$1:I$1400))&gt;0,1,""),0)</f>
        <v>0</v>
      </c>
      <c r="R479" s="247" t="str">
        <f>IF(SUMIFS('Bilateral Assistance, MAIN DATA'!N:N,'Bilateral Assistance, MAIN DATA'!I:I,'Price List, Weapons &amp; Items'!B479)&gt;M479,1,".")</f>
        <v>.</v>
      </c>
    </row>
    <row r="480" spans="2:18" ht="15" customHeight="1" x14ac:dyDescent="0.3">
      <c r="B480" s="175" t="s">
        <v>455</v>
      </c>
      <c r="C480" s="113" t="s">
        <v>256</v>
      </c>
      <c r="D480" s="113" t="s">
        <v>256</v>
      </c>
      <c r="E480" s="199">
        <v>0</v>
      </c>
      <c r="F480" s="199">
        <f t="shared" si="51"/>
        <v>0</v>
      </c>
      <c r="G480" s="629" t="s">
        <v>260</v>
      </c>
      <c r="H480" s="720" t="str">
        <f>IF(G480&lt;&gt;".","USD",".")</f>
        <v>.</v>
      </c>
      <c r="I480" s="155" t="s">
        <v>260</v>
      </c>
      <c r="J480" s="155" t="str">
        <f>IF(I480&lt;&gt;".",".",".")</f>
        <v>.</v>
      </c>
      <c r="K480" s="155" t="s">
        <v>260</v>
      </c>
      <c r="L480" s="247">
        <f t="shared" si="50"/>
        <v>0</v>
      </c>
      <c r="M480" s="121">
        <f>SUMIFS('Bilateral Assistance, MAIN DATA'!M:M,'Bilateral Assistance, MAIN DATA'!I:I,'Price List, Weapons &amp; Items'!B480)</f>
        <v>0</v>
      </c>
      <c r="N480" s="19">
        <f>COUNTIFS('Bilateral Assistance, MAIN DATA'!M:M,"undisclosed",'Bilateral Assistance, MAIN DATA'!I:I,'Price List, Weapons &amp; Items'!B480)</f>
        <v>1</v>
      </c>
      <c r="O480" s="723" t="str">
        <f t="shared" si="49"/>
        <v>no price</v>
      </c>
      <c r="P480" s="19">
        <f>IFERROR(IF(SEARCH(B480,_xlfn.ARRAYTOTEXT('Bilateral Assistance, MAIN DATA'!I$1:I$1622))&gt;0,1,""),0)</f>
        <v>1</v>
      </c>
      <c r="Q480" s="19">
        <f>IFERROR(IF(SEARCH(B480,_xlfn.ARRAYTOTEXT('Commercial Assistance'!I$1:I$1400))&gt;0,1,""),0)</f>
        <v>0</v>
      </c>
      <c r="R480" s="247" t="str">
        <f>IF(SUMIFS('Bilateral Assistance, MAIN DATA'!N:N,'Bilateral Assistance, MAIN DATA'!I:I,'Price List, Weapons &amp; Items'!B480)&gt;M480,1,".")</f>
        <v>.</v>
      </c>
    </row>
    <row r="481" spans="2:18" ht="15" customHeight="1" x14ac:dyDescent="0.3">
      <c r="B481" s="175" t="s">
        <v>1155</v>
      </c>
      <c r="C481" s="113" t="s">
        <v>256</v>
      </c>
      <c r="D481" s="113" t="s">
        <v>256</v>
      </c>
      <c r="E481" s="199">
        <v>0</v>
      </c>
      <c r="F481" s="199">
        <f t="shared" si="51"/>
        <v>0</v>
      </c>
      <c r="G481" s="629" t="s">
        <v>260</v>
      </c>
      <c r="H481" s="720" t="s">
        <v>260</v>
      </c>
      <c r="I481" s="245" t="s">
        <v>260</v>
      </c>
      <c r="J481" s="155" t="s">
        <v>260</v>
      </c>
      <c r="K481" s="155" t="s">
        <v>260</v>
      </c>
      <c r="L481" s="247">
        <f t="shared" si="50"/>
        <v>0</v>
      </c>
      <c r="M481" s="121">
        <f>SUMIFS('Bilateral Assistance, MAIN DATA'!M:M,'Bilateral Assistance, MAIN DATA'!I:I,'Price List, Weapons &amp; Items'!B481)</f>
        <v>0</v>
      </c>
      <c r="N481" s="19">
        <f>COUNTIFS('Bilateral Assistance, MAIN DATA'!M:M,"undisclosed",'Bilateral Assistance, MAIN DATA'!I:I,'Price List, Weapons &amp; Items'!B481)</f>
        <v>2</v>
      </c>
      <c r="O481" s="723" t="str">
        <f t="shared" si="49"/>
        <v>no price</v>
      </c>
      <c r="P481" s="19">
        <f>IFERROR(IF(SEARCH(B481,_xlfn.ARRAYTOTEXT('Bilateral Assistance, MAIN DATA'!I$1:I$1622))&gt;0,1,""),0)</f>
        <v>1</v>
      </c>
      <c r="Q481" s="19">
        <f>IFERROR(IF(SEARCH(B481,_xlfn.ARRAYTOTEXT('Commercial Assistance'!I$1:I$1400))&gt;0,1,""),0)</f>
        <v>0</v>
      </c>
      <c r="R481" s="247" t="str">
        <f>IF(SUMIFS('Bilateral Assistance, MAIN DATA'!N:N,'Bilateral Assistance, MAIN DATA'!I:I,'Price List, Weapons &amp; Items'!B481)&gt;M481,1,".")</f>
        <v>.</v>
      </c>
    </row>
    <row r="482" spans="2:18" ht="15" customHeight="1" x14ac:dyDescent="0.3">
      <c r="B482" s="175" t="s">
        <v>1196</v>
      </c>
      <c r="C482" s="113" t="s">
        <v>256</v>
      </c>
      <c r="D482" s="113" t="s">
        <v>256</v>
      </c>
      <c r="E482" s="199">
        <v>0</v>
      </c>
      <c r="F482" s="199">
        <f t="shared" si="51"/>
        <v>0</v>
      </c>
      <c r="G482" s="629" t="s">
        <v>260</v>
      </c>
      <c r="H482" s="721" t="s">
        <v>260</v>
      </c>
      <c r="I482" s="249" t="s">
        <v>260</v>
      </c>
      <c r="J482" s="249" t="s">
        <v>260</v>
      </c>
      <c r="K482" s="155" t="s">
        <v>260</v>
      </c>
      <c r="L482" s="247">
        <f t="shared" si="50"/>
        <v>0</v>
      </c>
      <c r="M482" s="121">
        <f>SUMIFS('Bilateral Assistance, MAIN DATA'!M:M,'Bilateral Assistance, MAIN DATA'!I:I,'Price List, Weapons &amp; Items'!B482)</f>
        <v>200</v>
      </c>
      <c r="N482" s="19">
        <f>COUNTIFS('Bilateral Assistance, MAIN DATA'!M:M,"undisclosed",'Bilateral Assistance, MAIN DATA'!I:I,'Price List, Weapons &amp; Items'!B482)</f>
        <v>0</v>
      </c>
      <c r="O482" s="723" t="str">
        <f t="shared" si="49"/>
        <v>no price</v>
      </c>
      <c r="P482" s="19">
        <f>IFERROR(IF(SEARCH(B482,_xlfn.ARRAYTOTEXT('Bilateral Assistance, MAIN DATA'!I$1:I$1622))&gt;0,1,""),0)</f>
        <v>1</v>
      </c>
      <c r="Q482" s="19">
        <f>IFERROR(IF(SEARCH(B482,_xlfn.ARRAYTOTEXT('Commercial Assistance'!I$1:I$1400))&gt;0,1,""),0)</f>
        <v>0</v>
      </c>
      <c r="R482" s="247" t="str">
        <f>IF(SUMIFS('Bilateral Assistance, MAIN DATA'!N:N,'Bilateral Assistance, MAIN DATA'!I:I,'Price List, Weapons &amp; Items'!B482)&gt;M482,1,".")</f>
        <v>.</v>
      </c>
    </row>
    <row r="483" spans="2:18" ht="15" customHeight="1" x14ac:dyDescent="0.3">
      <c r="B483" s="175" t="s">
        <v>1197</v>
      </c>
      <c r="C483" s="113" t="s">
        <v>256</v>
      </c>
      <c r="D483" s="113" t="s">
        <v>256</v>
      </c>
      <c r="E483" s="199">
        <v>0</v>
      </c>
      <c r="F483" s="199">
        <f t="shared" si="51"/>
        <v>0</v>
      </c>
      <c r="G483" s="629" t="s">
        <v>260</v>
      </c>
      <c r="H483" s="721" t="s">
        <v>260</v>
      </c>
      <c r="I483" s="249" t="s">
        <v>260</v>
      </c>
      <c r="J483" s="249" t="s">
        <v>260</v>
      </c>
      <c r="K483" s="155" t="s">
        <v>260</v>
      </c>
      <c r="L483" s="247">
        <f t="shared" si="50"/>
        <v>0</v>
      </c>
      <c r="M483" s="121">
        <f>SUMIFS('Bilateral Assistance, MAIN DATA'!M:M,'Bilateral Assistance, MAIN DATA'!I:I,'Price List, Weapons &amp; Items'!B483)</f>
        <v>6</v>
      </c>
      <c r="N483" s="19">
        <f>COUNTIFS('Bilateral Assistance, MAIN DATA'!M:M,"undisclosed",'Bilateral Assistance, MAIN DATA'!I:I,'Price List, Weapons &amp; Items'!B483)</f>
        <v>0</v>
      </c>
      <c r="O483" s="723" t="str">
        <f t="shared" si="49"/>
        <v>no price</v>
      </c>
      <c r="P483" s="19">
        <f>IFERROR(IF(SEARCH(B483,_xlfn.ARRAYTOTEXT('Bilateral Assistance, MAIN DATA'!I$1:I$1622))&gt;0,1,""),0)</f>
        <v>1</v>
      </c>
      <c r="Q483" s="19">
        <f>IFERROR(IF(SEARCH(B483,_xlfn.ARRAYTOTEXT('Commercial Assistance'!I$1:I$1400))&gt;0,1,""),0)</f>
        <v>0</v>
      </c>
      <c r="R483" s="247" t="str">
        <f>IF(SUMIFS('Bilateral Assistance, MAIN DATA'!N:N,'Bilateral Assistance, MAIN DATA'!I:I,'Price List, Weapons &amp; Items'!B483)&gt;M483,1,".")</f>
        <v>.</v>
      </c>
    </row>
    <row r="484" spans="2:18" ht="15" customHeight="1" x14ac:dyDescent="0.3">
      <c r="B484" s="175" t="s">
        <v>2802</v>
      </c>
      <c r="C484" s="113" t="s">
        <v>256</v>
      </c>
      <c r="D484" s="113" t="s">
        <v>256</v>
      </c>
      <c r="E484" s="199">
        <v>0</v>
      </c>
      <c r="F484" s="199">
        <f t="shared" si="51"/>
        <v>0</v>
      </c>
      <c r="G484" s="631" t="s">
        <v>260</v>
      </c>
      <c r="H484" s="721" t="s">
        <v>260</v>
      </c>
      <c r="I484" s="249" t="s">
        <v>260</v>
      </c>
      <c r="J484" s="249" t="s">
        <v>260</v>
      </c>
      <c r="K484" s="155" t="s">
        <v>260</v>
      </c>
      <c r="L484" s="247">
        <f t="shared" si="50"/>
        <v>0</v>
      </c>
      <c r="M484" s="121">
        <f>SUMIFS('Bilateral Assistance, MAIN DATA'!M:M,'Bilateral Assistance, MAIN DATA'!I:I,'Price List, Weapons &amp; Items'!B484)</f>
        <v>71</v>
      </c>
      <c r="N484" s="19">
        <f>COUNTIFS('Bilateral Assistance, MAIN DATA'!M:M,"undisclosed",'Bilateral Assistance, MAIN DATA'!I:I,'Price List, Weapons &amp; Items'!B484)</f>
        <v>0</v>
      </c>
      <c r="O484" s="723" t="str">
        <f t="shared" si="49"/>
        <v>no price</v>
      </c>
      <c r="P484" s="19">
        <f>IFERROR(IF(SEARCH(B484,_xlfn.ARRAYTOTEXT('Bilateral Assistance, MAIN DATA'!I$1:I$1622))&gt;0,1,""),0)</f>
        <v>1</v>
      </c>
      <c r="Q484" s="19">
        <f>IFERROR(IF(SEARCH(B484,_xlfn.ARRAYTOTEXT('Commercial Assistance'!I$1:I$1400))&gt;0,1,""),0)</f>
        <v>0</v>
      </c>
      <c r="R484" s="247" t="str">
        <f>IF(SUMIFS('Bilateral Assistance, MAIN DATA'!N:N,'Bilateral Assistance, MAIN DATA'!I:I,'Price List, Weapons &amp; Items'!B484)&gt;M484,1,".")</f>
        <v>.</v>
      </c>
    </row>
    <row r="485" spans="2:18" ht="15" customHeight="1" x14ac:dyDescent="0.3">
      <c r="B485" s="175" t="s">
        <v>2803</v>
      </c>
      <c r="C485" s="113" t="s">
        <v>256</v>
      </c>
      <c r="D485" s="113" t="s">
        <v>256</v>
      </c>
      <c r="E485" s="199">
        <v>0</v>
      </c>
      <c r="F485" s="199">
        <f t="shared" si="51"/>
        <v>0</v>
      </c>
      <c r="G485" s="629">
        <v>11168</v>
      </c>
      <c r="H485" s="720" t="str">
        <f>IF(G485&lt;&gt;".","USD",".")</f>
        <v>USD</v>
      </c>
      <c r="I485" s="820" t="s">
        <v>4658</v>
      </c>
      <c r="J485" s="155" t="s">
        <v>3975</v>
      </c>
      <c r="K485" s="155" t="s">
        <v>4795</v>
      </c>
      <c r="L485" s="247">
        <f t="shared" si="50"/>
        <v>0</v>
      </c>
      <c r="M485" s="121">
        <f>SUMIFS('Bilateral Assistance, MAIN DATA'!M:M,'Bilateral Assistance, MAIN DATA'!I:I,'Price List, Weapons &amp; Items'!B485)</f>
        <v>10</v>
      </c>
      <c r="N485" s="19">
        <f>COUNTIFS('Bilateral Assistance, MAIN DATA'!M:M,"undisclosed",'Bilateral Assistance, MAIN DATA'!I:I,'Price List, Weapons &amp; Items'!B485)</f>
        <v>0</v>
      </c>
      <c r="O485" s="723">
        <f t="shared" si="49"/>
        <v>111680</v>
      </c>
      <c r="P485" s="19">
        <f>IFERROR(IF(SEARCH(B485,_xlfn.ARRAYTOTEXT('Bilateral Assistance, MAIN DATA'!I$1:I$1622))&gt;0,1,""),0)</f>
        <v>1</v>
      </c>
      <c r="Q485" s="19">
        <f>IFERROR(IF(SEARCH(B485,_xlfn.ARRAYTOTEXT('Commercial Assistance'!I$1:I$1400))&gt;0,1,""),0)</f>
        <v>0</v>
      </c>
      <c r="R485" s="247" t="str">
        <f>IF(SUMIFS('Bilateral Assistance, MAIN DATA'!N:N,'Bilateral Assistance, MAIN DATA'!I:I,'Price List, Weapons &amp; Items'!B485)&gt;M485,1,".")</f>
        <v>.</v>
      </c>
    </row>
    <row r="486" spans="2:18" ht="15" customHeight="1" x14ac:dyDescent="0.3">
      <c r="B486" s="175" t="s">
        <v>2804</v>
      </c>
      <c r="C486" s="113" t="s">
        <v>256</v>
      </c>
      <c r="D486" s="113" t="s">
        <v>256</v>
      </c>
      <c r="E486" s="199">
        <v>0</v>
      </c>
      <c r="F486" s="199">
        <f t="shared" si="51"/>
        <v>0</v>
      </c>
      <c r="G486" s="631">
        <v>325</v>
      </c>
      <c r="H486" s="721" t="s">
        <v>346</v>
      </c>
      <c r="I486" s="821" t="s">
        <v>4796</v>
      </c>
      <c r="J486" s="249" t="s">
        <v>4797</v>
      </c>
      <c r="K486" s="249" t="s">
        <v>4798</v>
      </c>
      <c r="L486" s="247">
        <f t="shared" si="50"/>
        <v>0</v>
      </c>
      <c r="M486" s="121">
        <f>SUMIFS('Bilateral Assistance, MAIN DATA'!M:M,'Bilateral Assistance, MAIN DATA'!I:I,'Price List, Weapons &amp; Items'!B486)</f>
        <v>15</v>
      </c>
      <c r="N486" s="19">
        <f>COUNTIFS('Bilateral Assistance, MAIN DATA'!M:M,"undisclosed",'Bilateral Assistance, MAIN DATA'!I:I,'Price List, Weapons &amp; Items'!B486)</f>
        <v>0</v>
      </c>
      <c r="O486" s="723">
        <f t="shared" si="49"/>
        <v>4875</v>
      </c>
      <c r="P486" s="19">
        <f>IFERROR(IF(SEARCH(B486,_xlfn.ARRAYTOTEXT('Bilateral Assistance, MAIN DATA'!I$1:I$1622))&gt;0,1,""),0)</f>
        <v>1</v>
      </c>
      <c r="Q486" s="19">
        <f>IFERROR(IF(SEARCH(B486,_xlfn.ARRAYTOTEXT('Commercial Assistance'!I$1:I$1400))&gt;0,1,""),0)</f>
        <v>0</v>
      </c>
      <c r="R486" s="247" t="str">
        <f>IF(SUMIFS('Bilateral Assistance, MAIN DATA'!N:N,'Bilateral Assistance, MAIN DATA'!I:I,'Price List, Weapons &amp; Items'!B486)&gt;M486,1,".")</f>
        <v>.</v>
      </c>
    </row>
    <row r="487" spans="2:18" ht="15" customHeight="1" x14ac:dyDescent="0.3">
      <c r="B487" s="175" t="s">
        <v>2805</v>
      </c>
      <c r="C487" s="113" t="s">
        <v>256</v>
      </c>
      <c r="D487" s="113" t="s">
        <v>256</v>
      </c>
      <c r="E487" s="199">
        <v>0</v>
      </c>
      <c r="F487" s="199">
        <f t="shared" si="51"/>
        <v>0</v>
      </c>
      <c r="G487" s="629" t="s">
        <v>260</v>
      </c>
      <c r="H487" s="721" t="s">
        <v>260</v>
      </c>
      <c r="I487" s="249" t="s">
        <v>260</v>
      </c>
      <c r="J487" s="249" t="s">
        <v>260</v>
      </c>
      <c r="K487" s="155" t="s">
        <v>260</v>
      </c>
      <c r="L487" s="247">
        <f t="shared" si="50"/>
        <v>0</v>
      </c>
      <c r="M487" s="121">
        <f>SUMIFS('Bilateral Assistance, MAIN DATA'!M:M,'Bilateral Assistance, MAIN DATA'!I:I,'Price List, Weapons &amp; Items'!B487)</f>
        <v>11</v>
      </c>
      <c r="N487" s="19">
        <f>COUNTIFS('Bilateral Assistance, MAIN DATA'!M:M,"undisclosed",'Bilateral Assistance, MAIN DATA'!I:I,'Price List, Weapons &amp; Items'!B487)</f>
        <v>0</v>
      </c>
      <c r="O487" s="723" t="str">
        <f t="shared" si="49"/>
        <v>no price</v>
      </c>
      <c r="P487" s="19">
        <f>IFERROR(IF(SEARCH(B487,_xlfn.ARRAYTOTEXT('Bilateral Assistance, MAIN DATA'!I$1:I$1622))&gt;0,1,""),0)</f>
        <v>1</v>
      </c>
      <c r="Q487" s="19">
        <f>IFERROR(IF(SEARCH(B487,_xlfn.ARRAYTOTEXT('Commercial Assistance'!I$1:I$1400))&gt;0,1,""),0)</f>
        <v>0</v>
      </c>
      <c r="R487" s="247" t="str">
        <f>IF(SUMIFS('Bilateral Assistance, MAIN DATA'!N:N,'Bilateral Assistance, MAIN DATA'!I:I,'Price List, Weapons &amp; Items'!B487)&gt;M487,1,".")</f>
        <v>.</v>
      </c>
    </row>
    <row r="488" spans="2:18" ht="15" customHeight="1" x14ac:dyDescent="0.3">
      <c r="B488" s="175" t="s">
        <v>3218</v>
      </c>
      <c r="C488" s="113" t="s">
        <v>3945</v>
      </c>
      <c r="D488" s="246" t="s">
        <v>4059</v>
      </c>
      <c r="E488" s="199">
        <v>0</v>
      </c>
      <c r="F488" s="199">
        <f t="shared" si="51"/>
        <v>0</v>
      </c>
      <c r="G488" s="865">
        <v>388500</v>
      </c>
      <c r="H488" s="720" t="str">
        <f>IF(G488&lt;&gt;".","USD",".")</f>
        <v>USD</v>
      </c>
      <c r="I488" s="814" t="s">
        <v>4188</v>
      </c>
      <c r="J488" s="155" t="s">
        <v>3967</v>
      </c>
      <c r="K488" s="19" t="s">
        <v>4799</v>
      </c>
      <c r="L488" s="247">
        <f t="shared" si="50"/>
        <v>2</v>
      </c>
      <c r="M488" s="121">
        <f>SUMIFS('Bilateral Assistance, MAIN DATA'!M:M,'Bilateral Assistance, MAIN DATA'!I:I,'Price List, Weapons &amp; Items'!B488)</f>
        <v>30</v>
      </c>
      <c r="N488" s="19">
        <f>COUNTIFS('Bilateral Assistance, MAIN DATA'!M:M,"undisclosed",'Bilateral Assistance, MAIN DATA'!I:I,'Price List, Weapons &amp; Items'!B488)</f>
        <v>0</v>
      </c>
      <c r="O488" s="723">
        <f t="shared" si="49"/>
        <v>11655000</v>
      </c>
      <c r="P488" s="19">
        <f>IFERROR(IF(SEARCH(B488,_xlfn.ARRAYTOTEXT('Bilateral Assistance, MAIN DATA'!I$1:I$1622))&gt;0,1,""),0)</f>
        <v>1</v>
      </c>
      <c r="Q488" s="19">
        <f>IFERROR(IF(SEARCH(B488,_xlfn.ARRAYTOTEXT('Commercial Assistance'!I$1:I$1400))&gt;0,1,""),0)</f>
        <v>0</v>
      </c>
      <c r="R488" s="247" t="str">
        <f>IF(SUMIFS('Bilateral Assistance, MAIN DATA'!N:N,'Bilateral Assistance, MAIN DATA'!I:I,'Price List, Weapons &amp; Items'!B488)&gt;M488,1,".")</f>
        <v>.</v>
      </c>
    </row>
    <row r="489" spans="2:18" ht="15" customHeight="1" x14ac:dyDescent="0.3">
      <c r="B489" s="175" t="s">
        <v>3220</v>
      </c>
      <c r="C489" s="113" t="s">
        <v>3949</v>
      </c>
      <c r="D489" s="246" t="s">
        <v>4084</v>
      </c>
      <c r="E489" s="199">
        <v>0</v>
      </c>
      <c r="F489" s="199">
        <f t="shared" si="51"/>
        <v>0</v>
      </c>
      <c r="G489" s="629">
        <v>109.89</v>
      </c>
      <c r="H489" s="720" t="s">
        <v>346</v>
      </c>
      <c r="I489" s="977" t="s">
        <v>4800</v>
      </c>
      <c r="J489" s="155" t="s">
        <v>4008</v>
      </c>
      <c r="K489" s="155" t="s">
        <v>4801</v>
      </c>
      <c r="L489" s="247">
        <f t="shared" si="50"/>
        <v>2</v>
      </c>
      <c r="M489" s="121">
        <f>SUMIFS('Bilateral Assistance, MAIN DATA'!M:M,'Bilateral Assistance, MAIN DATA'!I:I,'Price List, Weapons &amp; Items'!B489)</f>
        <v>125000</v>
      </c>
      <c r="N489" s="19">
        <f>COUNTIFS('Bilateral Assistance, MAIN DATA'!M:M,"undisclosed",'Bilateral Assistance, MAIN DATA'!I:I,'Price List, Weapons &amp; Items'!B489)</f>
        <v>1</v>
      </c>
      <c r="O489" s="723">
        <f t="shared" si="49"/>
        <v>13736250</v>
      </c>
      <c r="P489" s="19">
        <f>IFERROR(IF(SEARCH(B489,_xlfn.ARRAYTOTEXT('Bilateral Assistance, MAIN DATA'!I$1:I$1622))&gt;0,1,""),0)</f>
        <v>1</v>
      </c>
      <c r="Q489" s="19">
        <f>IFERROR(IF(SEARCH(B489,_xlfn.ARRAYTOTEXT('Commercial Assistance'!I$1:I$1400))&gt;0,1,""),0)</f>
        <v>0</v>
      </c>
      <c r="R489" s="247" t="str">
        <f>IF(SUMIFS('Bilateral Assistance, MAIN DATA'!N:N,'Bilateral Assistance, MAIN DATA'!I:I,'Price List, Weapons &amp; Items'!B489)&gt;M489,1,".")</f>
        <v>.</v>
      </c>
    </row>
    <row r="490" spans="2:18" ht="15" customHeight="1" x14ac:dyDescent="0.3">
      <c r="B490" s="175" t="s">
        <v>3225</v>
      </c>
      <c r="C490" s="113" t="s">
        <v>812</v>
      </c>
      <c r="D490" s="246" t="s">
        <v>4190</v>
      </c>
      <c r="E490" s="199">
        <v>0</v>
      </c>
      <c r="F490" s="199">
        <f t="shared" si="51"/>
        <v>0</v>
      </c>
      <c r="G490" s="865">
        <v>274051.65999999997</v>
      </c>
      <c r="H490" s="721" t="s">
        <v>346</v>
      </c>
      <c r="I490" s="814" t="s">
        <v>4047</v>
      </c>
      <c r="J490" s="249" t="s">
        <v>3967</v>
      </c>
      <c r="K490" s="19" t="s">
        <v>4802</v>
      </c>
      <c r="L490" s="247">
        <f t="shared" si="50"/>
        <v>2</v>
      </c>
      <c r="M490" s="121">
        <f>SUMIFS('Bilateral Assistance, MAIN DATA'!M:M,'Bilateral Assistance, MAIN DATA'!I:I,'Price List, Weapons &amp; Items'!B490)</f>
        <v>100</v>
      </c>
      <c r="N490" s="19">
        <f>COUNTIFS('Bilateral Assistance, MAIN DATA'!M:M,"undisclosed",'Bilateral Assistance, MAIN DATA'!I:I,'Price List, Weapons &amp; Items'!B490)</f>
        <v>0</v>
      </c>
      <c r="O490" s="723">
        <f t="shared" si="49"/>
        <v>27405165.999999996</v>
      </c>
      <c r="P490" s="19">
        <f>IFERROR(IF(SEARCH(B490,_xlfn.ARRAYTOTEXT('Bilateral Assistance, MAIN DATA'!I$1:I$1622))&gt;0,1,""),0)</f>
        <v>1</v>
      </c>
      <c r="Q490" s="19">
        <f>IFERROR(IF(SEARCH(B490,_xlfn.ARRAYTOTEXT('Commercial Assistance'!I$1:I$1400))&gt;0,1,""),0)</f>
        <v>0</v>
      </c>
      <c r="R490" s="247" t="str">
        <f>IF(SUMIFS('Bilateral Assistance, MAIN DATA'!N:N,'Bilateral Assistance, MAIN DATA'!I:I,'Price List, Weapons &amp; Items'!B490)&gt;M490,1,".")</f>
        <v>.</v>
      </c>
    </row>
    <row r="491" spans="2:18" ht="15" customHeight="1" x14ac:dyDescent="0.3">
      <c r="B491" s="19" t="s">
        <v>2033</v>
      </c>
      <c r="C491" s="113" t="s">
        <v>3949</v>
      </c>
      <c r="D491" s="246" t="s">
        <v>3950</v>
      </c>
      <c r="E491" s="199">
        <v>0</v>
      </c>
      <c r="F491" s="199">
        <f t="shared" si="51"/>
        <v>0</v>
      </c>
      <c r="G491" s="865">
        <v>0.47</v>
      </c>
      <c r="H491" s="720" t="str">
        <f>IF(G491&lt;&gt;".","USD",".")</f>
        <v>USD</v>
      </c>
      <c r="I491" s="814" t="s">
        <v>4803</v>
      </c>
      <c r="J491" s="249" t="s">
        <v>3975</v>
      </c>
      <c r="K491" s="19" t="s">
        <v>4804</v>
      </c>
      <c r="L491" s="247">
        <f t="shared" si="50"/>
        <v>2</v>
      </c>
      <c r="M491" s="121">
        <f>SUMIFS('Bilateral Assistance, MAIN DATA'!M:M,'Bilateral Assistance, MAIN DATA'!I:I,'Price List, Weapons &amp; Items'!B491)</f>
        <v>15020000</v>
      </c>
      <c r="N491" s="19">
        <f>COUNTIFS('Bilateral Assistance, MAIN DATA'!M:M,"undisclosed",'Bilateral Assistance, MAIN DATA'!I:I,'Price List, Weapons &amp; Items'!B491)</f>
        <v>0</v>
      </c>
      <c r="O491" s="723">
        <f t="shared" si="49"/>
        <v>7059400</v>
      </c>
      <c r="P491" s="19">
        <f>IFERROR(IF(SEARCH(B491,_xlfn.ARRAYTOTEXT('Bilateral Assistance, MAIN DATA'!I$1:I$1622))&gt;0,1,""),0)</f>
        <v>1</v>
      </c>
      <c r="Q491" s="19">
        <f>IFERROR(IF(SEARCH(B491,_xlfn.ARRAYTOTEXT('Commercial Assistance'!I$1:I$1400))&gt;0,1,""),0)</f>
        <v>0</v>
      </c>
      <c r="R491" s="247" t="str">
        <f>IF(SUMIFS('Bilateral Assistance, MAIN DATA'!N:N,'Bilateral Assistance, MAIN DATA'!I:I,'Price List, Weapons &amp; Items'!B491)&gt;M491,1,".")</f>
        <v>.</v>
      </c>
    </row>
    <row r="492" spans="2:18" ht="15" customHeight="1" x14ac:dyDescent="0.3">
      <c r="B492" s="175" t="s">
        <v>3273</v>
      </c>
      <c r="C492" s="113" t="s">
        <v>3942</v>
      </c>
      <c r="D492" s="246" t="s">
        <v>3943</v>
      </c>
      <c r="E492" s="199">
        <v>0</v>
      </c>
      <c r="F492" s="199">
        <f t="shared" si="51"/>
        <v>1</v>
      </c>
      <c r="G492" s="629" t="s">
        <v>260</v>
      </c>
      <c r="H492" s="721" t="s">
        <v>260</v>
      </c>
      <c r="I492" s="249" t="s">
        <v>260</v>
      </c>
      <c r="J492" s="249" t="s">
        <v>260</v>
      </c>
      <c r="K492" s="155" t="s">
        <v>260</v>
      </c>
      <c r="L492" s="247">
        <f t="shared" si="50"/>
        <v>0</v>
      </c>
      <c r="M492" s="121">
        <f>SUMIFS('Bilateral Assistance, MAIN DATA'!M:M,'Bilateral Assistance, MAIN DATA'!I:I,'Price List, Weapons &amp; Items'!B492)</f>
        <v>1000</v>
      </c>
      <c r="N492" s="19">
        <f>COUNTIFS('Bilateral Assistance, MAIN DATA'!M:M,"undisclosed",'Bilateral Assistance, MAIN DATA'!I:I,'Price List, Weapons &amp; Items'!B492)</f>
        <v>0</v>
      </c>
      <c r="O492" s="723" t="str">
        <f t="shared" si="49"/>
        <v>no price</v>
      </c>
      <c r="P492" s="19">
        <f>IFERROR(IF(SEARCH(B492,_xlfn.ARRAYTOTEXT('Bilateral Assistance, MAIN DATA'!I$1:I$1622))&gt;0,1,""),0)</f>
        <v>1</v>
      </c>
      <c r="Q492" s="19">
        <f>IFERROR(IF(SEARCH(B492,_xlfn.ARRAYTOTEXT('Commercial Assistance'!I$1:I$1400))&gt;0,1,""),0)</f>
        <v>0</v>
      </c>
      <c r="R492" s="247" t="str">
        <f>IF(SUMIFS('Bilateral Assistance, MAIN DATA'!N:N,'Bilateral Assistance, MAIN DATA'!I:I,'Price List, Weapons &amp; Items'!B492)&gt;M492,1,".")</f>
        <v>.</v>
      </c>
    </row>
    <row r="493" spans="2:18" ht="15" customHeight="1" x14ac:dyDescent="0.3">
      <c r="B493" s="19" t="s">
        <v>3296</v>
      </c>
      <c r="C493" s="113" t="s">
        <v>3949</v>
      </c>
      <c r="D493" s="246" t="s">
        <v>3950</v>
      </c>
      <c r="E493" s="199">
        <v>0</v>
      </c>
      <c r="F493" s="199">
        <f t="shared" si="51"/>
        <v>0</v>
      </c>
      <c r="G493" s="865">
        <v>0.47</v>
      </c>
      <c r="H493" s="720" t="s">
        <v>346</v>
      </c>
      <c r="I493" s="980" t="s">
        <v>4803</v>
      </c>
      <c r="J493" s="249" t="s">
        <v>3975</v>
      </c>
      <c r="K493" s="19" t="s">
        <v>4804</v>
      </c>
      <c r="L493" s="247">
        <f t="shared" si="50"/>
        <v>2</v>
      </c>
      <c r="M493" s="121">
        <f>SUMIFS('Bilateral Assistance, MAIN DATA'!M:M,'Bilateral Assistance, MAIN DATA'!I:I,'Price List, Weapons &amp; Items'!B493)</f>
        <v>50750000</v>
      </c>
      <c r="N493" s="19">
        <f>COUNTIFS('Bilateral Assistance, MAIN DATA'!M:M,"undisclosed",'Bilateral Assistance, MAIN DATA'!I:I,'Price List, Weapons &amp; Items'!B493)</f>
        <v>0</v>
      </c>
      <c r="O493" s="723">
        <f t="shared" si="49"/>
        <v>23852500</v>
      </c>
      <c r="P493" s="19">
        <f>IFERROR(IF(SEARCH(B493,_xlfn.ARRAYTOTEXT('Bilateral Assistance, MAIN DATA'!I$1:I$1622))&gt;0,1,""),0)</f>
        <v>1</v>
      </c>
      <c r="Q493" s="19">
        <f>IFERROR(IF(SEARCH(B493,_xlfn.ARRAYTOTEXT('Commercial Assistance'!I$1:I$1400))&gt;0,1,""),0)</f>
        <v>0</v>
      </c>
      <c r="R493" s="247" t="str">
        <f>IF(SUMIFS('Bilateral Assistance, MAIN DATA'!N:N,'Bilateral Assistance, MAIN DATA'!I:I,'Price List, Weapons &amp; Items'!B493)&gt;M493,1,".")</f>
        <v>.</v>
      </c>
    </row>
    <row r="494" spans="2:18" ht="15" customHeight="1" x14ac:dyDescent="0.3">
      <c r="B494" s="19" t="s">
        <v>3285</v>
      </c>
      <c r="C494" s="113" t="s">
        <v>462</v>
      </c>
      <c r="D494" s="246" t="s">
        <v>2946</v>
      </c>
      <c r="E494" s="199">
        <v>0</v>
      </c>
      <c r="F494" s="199">
        <f t="shared" si="51"/>
        <v>0</v>
      </c>
      <c r="G494" s="629" t="s">
        <v>260</v>
      </c>
      <c r="H494" s="721" t="s">
        <v>260</v>
      </c>
      <c r="I494" s="249" t="s">
        <v>260</v>
      </c>
      <c r="J494" s="249" t="s">
        <v>260</v>
      </c>
      <c r="K494" s="155" t="s">
        <v>260</v>
      </c>
      <c r="L494" s="247">
        <f t="shared" si="50"/>
        <v>0</v>
      </c>
      <c r="M494" s="121">
        <f>SUMIFS('Bilateral Assistance, MAIN DATA'!M:M,'Bilateral Assistance, MAIN DATA'!I:I,'Price List, Weapons &amp; Items'!B494)</f>
        <v>1000</v>
      </c>
      <c r="N494" s="19">
        <f>COUNTIFS('Bilateral Assistance, MAIN DATA'!M:M,"undisclosed",'Bilateral Assistance, MAIN DATA'!I:I,'Price List, Weapons &amp; Items'!B494)</f>
        <v>0</v>
      </c>
      <c r="O494" s="723" t="str">
        <f t="shared" si="49"/>
        <v>no price</v>
      </c>
      <c r="P494" s="19">
        <f>IFERROR(IF(SEARCH(B494,_xlfn.ARRAYTOTEXT('Bilateral Assistance, MAIN DATA'!I$1:I$1622))&gt;0,1,""),0)</f>
        <v>1</v>
      </c>
      <c r="Q494" s="19">
        <f>IFERROR(IF(SEARCH(B494,_xlfn.ARRAYTOTEXT('Commercial Assistance'!I$1:I$1400))&gt;0,1,""),0)</f>
        <v>0</v>
      </c>
      <c r="R494" s="247" t="str">
        <f>IF(SUMIFS('Bilateral Assistance, MAIN DATA'!N:N,'Bilateral Assistance, MAIN DATA'!I:I,'Price List, Weapons &amp; Items'!B494)&gt;M494,1,".")</f>
        <v>.</v>
      </c>
    </row>
    <row r="495" spans="2:18" ht="15" customHeight="1" x14ac:dyDescent="0.3">
      <c r="B495" s="19" t="s">
        <v>3362</v>
      </c>
      <c r="C495" s="113" t="s">
        <v>812</v>
      </c>
      <c r="D495" s="113" t="s">
        <v>812</v>
      </c>
      <c r="E495" s="199">
        <v>0</v>
      </c>
      <c r="F495" s="199">
        <f t="shared" si="51"/>
        <v>0</v>
      </c>
      <c r="G495" s="629" t="s">
        <v>260</v>
      </c>
      <c r="H495" s="721" t="s">
        <v>260</v>
      </c>
      <c r="I495" s="818" t="s">
        <v>260</v>
      </c>
      <c r="J495" s="249" t="s">
        <v>260</v>
      </c>
      <c r="K495" s="155" t="s">
        <v>260</v>
      </c>
      <c r="L495" s="247">
        <f t="shared" si="50"/>
        <v>0</v>
      </c>
      <c r="M495" s="121">
        <f>SUMIFS('Bilateral Assistance, MAIN DATA'!M:M,'Bilateral Assistance, MAIN DATA'!I:I,'Price List, Weapons &amp; Items'!B495)</f>
        <v>2</v>
      </c>
      <c r="N495" s="19">
        <f>COUNTIFS('Bilateral Assistance, MAIN DATA'!M:M,"undisclosed",'Bilateral Assistance, MAIN DATA'!I:I,'Price List, Weapons &amp; Items'!B495)</f>
        <v>0</v>
      </c>
      <c r="O495" s="723" t="str">
        <f t="shared" si="49"/>
        <v>no price</v>
      </c>
      <c r="P495" s="19">
        <f>IFERROR(IF(SEARCH(B495,_xlfn.ARRAYTOTEXT('Bilateral Assistance, MAIN DATA'!I$1:I$1622))&gt;0,1,""),0)</f>
        <v>1</v>
      </c>
      <c r="Q495" s="19">
        <f>IFERROR(IF(SEARCH(B495,_xlfn.ARRAYTOTEXT('Commercial Assistance'!I$1:I$1400))&gt;0,1,""),0)</f>
        <v>0</v>
      </c>
      <c r="R495" s="247" t="str">
        <f>IF(SUMIFS('Bilateral Assistance, MAIN DATA'!N:N,'Bilateral Assistance, MAIN DATA'!I:I,'Price List, Weapons &amp; Items'!B495)&gt;M495,1,".")</f>
        <v>.</v>
      </c>
    </row>
    <row r="496" spans="2:18" ht="15" customHeight="1" x14ac:dyDescent="0.3">
      <c r="B496" s="175" t="s">
        <v>374</v>
      </c>
      <c r="C496" s="113" t="s">
        <v>256</v>
      </c>
      <c r="D496" s="113" t="s">
        <v>256</v>
      </c>
      <c r="E496" s="199">
        <v>0</v>
      </c>
      <c r="F496" s="199">
        <f t="shared" si="51"/>
        <v>0</v>
      </c>
      <c r="G496" s="629">
        <v>300000</v>
      </c>
      <c r="H496" s="721" t="s">
        <v>346</v>
      </c>
      <c r="I496" s="821" t="s">
        <v>4805</v>
      </c>
      <c r="J496" s="252" t="s">
        <v>3971</v>
      </c>
      <c r="K496" s="155" t="s">
        <v>4806</v>
      </c>
      <c r="L496" s="247">
        <f t="shared" si="50"/>
        <v>0</v>
      </c>
      <c r="M496" s="121">
        <f>SUMIFS('Bilateral Assistance, MAIN DATA'!M:M,'Bilateral Assistance, MAIN DATA'!I:I,'Price List, Weapons &amp; Items'!B496)</f>
        <v>1</v>
      </c>
      <c r="N496" s="19">
        <f>COUNTIFS('Bilateral Assistance, MAIN DATA'!M:M,"undisclosed",'Bilateral Assistance, MAIN DATA'!I:I,'Price List, Weapons &amp; Items'!B496)</f>
        <v>0</v>
      </c>
      <c r="O496" s="723">
        <f t="shared" si="49"/>
        <v>300000</v>
      </c>
      <c r="P496" s="19">
        <f>IFERROR(IF(SEARCH(B496,_xlfn.ARRAYTOTEXT('Bilateral Assistance, MAIN DATA'!I$1:I$1622))&gt;0,1,""),0)</f>
        <v>1</v>
      </c>
      <c r="Q496" s="19">
        <f>IFERROR(IF(SEARCH(B496,_xlfn.ARRAYTOTEXT('Commercial Assistance'!I$1:I$1400))&gt;0,1,""),0)</f>
        <v>0</v>
      </c>
      <c r="R496" s="247" t="str">
        <f>IF(SUMIFS('Bilateral Assistance, MAIN DATA'!N:N,'Bilateral Assistance, MAIN DATA'!I:I,'Price List, Weapons &amp; Items'!B496)&gt;M496,1,".")</f>
        <v>.</v>
      </c>
    </row>
    <row r="497" spans="2:18" ht="15" customHeight="1" x14ac:dyDescent="0.3">
      <c r="B497" s="175" t="s">
        <v>466</v>
      </c>
      <c r="C497" s="113" t="s">
        <v>256</v>
      </c>
      <c r="D497" s="113" t="s">
        <v>256</v>
      </c>
      <c r="E497" s="199">
        <v>0</v>
      </c>
      <c r="F497" s="199">
        <f t="shared" si="51"/>
        <v>0</v>
      </c>
      <c r="G497" s="629">
        <v>220000</v>
      </c>
      <c r="H497" s="720" t="str">
        <f>IF(G497&lt;&gt;".","USD",".")</f>
        <v>USD</v>
      </c>
      <c r="I497" s="300" t="s">
        <v>4807</v>
      </c>
      <c r="J497" s="155" t="s">
        <v>3975</v>
      </c>
      <c r="K497" s="155" t="s">
        <v>4808</v>
      </c>
      <c r="L497" s="247">
        <f t="shared" si="50"/>
        <v>0</v>
      </c>
      <c r="M497" s="121">
        <f>SUMIFS('Bilateral Assistance, MAIN DATA'!M:M,'Bilateral Assistance, MAIN DATA'!I:I,'Price List, Weapons &amp; Items'!B497)</f>
        <v>39</v>
      </c>
      <c r="N497" s="19">
        <f>COUNTIFS('Bilateral Assistance, MAIN DATA'!M:M,"undisclosed",'Bilateral Assistance, MAIN DATA'!I:I,'Price List, Weapons &amp; Items'!B497)</f>
        <v>1</v>
      </c>
      <c r="O497" s="723">
        <f t="shared" si="49"/>
        <v>8580000</v>
      </c>
      <c r="P497" s="19">
        <f>IFERROR(IF(SEARCH(B497,_xlfn.ARRAYTOTEXT('Bilateral Assistance, MAIN DATA'!I$1:I$1622))&gt;0,1,""),0)</f>
        <v>1</v>
      </c>
      <c r="Q497" s="19">
        <f>IFERROR(IF(SEARCH(B497,_xlfn.ARRAYTOTEXT('Commercial Assistance'!I$1:I$1400))&gt;0,1,""),0)</f>
        <v>0</v>
      </c>
      <c r="R497" s="247" t="str">
        <f>IF(SUMIFS('Bilateral Assistance, MAIN DATA'!N:N,'Bilateral Assistance, MAIN DATA'!I:I,'Price List, Weapons &amp; Items'!B497)&gt;M497,1,".")</f>
        <v>.</v>
      </c>
    </row>
    <row r="498" spans="2:18" ht="15" customHeight="1" x14ac:dyDescent="0.3">
      <c r="B498" s="175" t="s">
        <v>467</v>
      </c>
      <c r="C498" s="113" t="s">
        <v>256</v>
      </c>
      <c r="D498" s="113" t="s">
        <v>256</v>
      </c>
      <c r="E498" s="199">
        <v>0</v>
      </c>
      <c r="F498" s="199">
        <f t="shared" si="51"/>
        <v>0</v>
      </c>
      <c r="G498" s="629" t="s">
        <v>260</v>
      </c>
      <c r="H498" s="721" t="s">
        <v>260</v>
      </c>
      <c r="I498" s="249" t="s">
        <v>260</v>
      </c>
      <c r="J498" s="249" t="s">
        <v>260</v>
      </c>
      <c r="K498" s="155" t="s">
        <v>260</v>
      </c>
      <c r="L498" s="247">
        <f t="shared" si="50"/>
        <v>0</v>
      </c>
      <c r="M498" s="121">
        <f>SUMIFS('Bilateral Assistance, MAIN DATA'!M:M,'Bilateral Assistance, MAIN DATA'!I:I,'Price List, Weapons &amp; Items'!B498)</f>
        <v>1</v>
      </c>
      <c r="N498" s="19">
        <f>COUNTIFS('Bilateral Assistance, MAIN DATA'!M:M,"undisclosed",'Bilateral Assistance, MAIN DATA'!I:I,'Price List, Weapons &amp; Items'!B498)</f>
        <v>1</v>
      </c>
      <c r="O498" s="723" t="str">
        <f t="shared" si="49"/>
        <v>no price</v>
      </c>
      <c r="P498" s="19">
        <f>IFERROR(IF(SEARCH(B498,_xlfn.ARRAYTOTEXT('Bilateral Assistance, MAIN DATA'!I$1:I$1622))&gt;0,1,""),0)</f>
        <v>1</v>
      </c>
      <c r="Q498" s="19">
        <f>IFERROR(IF(SEARCH(B498,_xlfn.ARRAYTOTEXT('Commercial Assistance'!I$1:I$1400))&gt;0,1,""),0)</f>
        <v>0</v>
      </c>
      <c r="R498" s="247" t="str">
        <f>IF(SUMIFS('Bilateral Assistance, MAIN DATA'!N:N,'Bilateral Assistance, MAIN DATA'!I:I,'Price List, Weapons &amp; Items'!B498)&gt;M498,1,".")</f>
        <v>.</v>
      </c>
    </row>
    <row r="499" spans="2:18" ht="15" customHeight="1" x14ac:dyDescent="0.3">
      <c r="B499" s="19" t="s">
        <v>1200</v>
      </c>
      <c r="C499" s="113" t="s">
        <v>256</v>
      </c>
      <c r="D499" s="113" t="s">
        <v>256</v>
      </c>
      <c r="E499" s="199">
        <v>0</v>
      </c>
      <c r="F499" s="199">
        <f t="shared" si="51"/>
        <v>0</v>
      </c>
      <c r="G499" s="629" t="s">
        <v>260</v>
      </c>
      <c r="H499" s="721" t="s">
        <v>260</v>
      </c>
      <c r="I499" s="249" t="s">
        <v>260</v>
      </c>
      <c r="J499" s="249" t="s">
        <v>260</v>
      </c>
      <c r="K499" s="155" t="s">
        <v>260</v>
      </c>
      <c r="L499" s="247">
        <f t="shared" si="50"/>
        <v>0</v>
      </c>
      <c r="M499" s="121">
        <f>SUMIFS('Bilateral Assistance, MAIN DATA'!M:M,'Bilateral Assistance, MAIN DATA'!I:I,'Price List, Weapons &amp; Items'!B499)</f>
        <v>25</v>
      </c>
      <c r="N499" s="19">
        <f>COUNTIFS('Bilateral Assistance, MAIN DATA'!M:M,"undisclosed",'Bilateral Assistance, MAIN DATA'!I:I,'Price List, Weapons &amp; Items'!B499)</f>
        <v>0</v>
      </c>
      <c r="O499" s="723" t="str">
        <f t="shared" si="49"/>
        <v>no price</v>
      </c>
      <c r="P499" s="19">
        <f>IFERROR(IF(SEARCH(B499,_xlfn.ARRAYTOTEXT('Bilateral Assistance, MAIN DATA'!I$1:I$1622))&gt;0,1,""),0)</f>
        <v>1</v>
      </c>
      <c r="Q499" s="19">
        <f>IFERROR(IF(SEARCH(B499,_xlfn.ARRAYTOTEXT('Commercial Assistance'!I$1:I$1400))&gt;0,1,""),0)</f>
        <v>0</v>
      </c>
      <c r="R499" s="247" t="str">
        <f>IF(SUMIFS('Bilateral Assistance, MAIN DATA'!N:N,'Bilateral Assistance, MAIN DATA'!I:I,'Price List, Weapons &amp; Items'!B499)&gt;M499,1,".")</f>
        <v>.</v>
      </c>
    </row>
    <row r="500" spans="2:18" ht="15" customHeight="1" x14ac:dyDescent="0.3">
      <c r="B500" s="175" t="s">
        <v>1198</v>
      </c>
      <c r="C500" s="113" t="s">
        <v>256</v>
      </c>
      <c r="D500" s="113" t="s">
        <v>256</v>
      </c>
      <c r="E500" s="199">
        <v>0</v>
      </c>
      <c r="F500" s="199">
        <f t="shared" si="51"/>
        <v>0</v>
      </c>
      <c r="G500" s="629" t="s">
        <v>260</v>
      </c>
      <c r="H500" s="721" t="s">
        <v>260</v>
      </c>
      <c r="I500" s="249" t="s">
        <v>260</v>
      </c>
      <c r="J500" s="249" t="s">
        <v>260</v>
      </c>
      <c r="K500" s="155" t="s">
        <v>260</v>
      </c>
      <c r="L500" s="247">
        <f t="shared" si="50"/>
        <v>0</v>
      </c>
      <c r="M500" s="121">
        <f>SUMIFS('Bilateral Assistance, MAIN DATA'!M:M,'Bilateral Assistance, MAIN DATA'!I:I,'Price List, Weapons &amp; Items'!B500)</f>
        <v>0</v>
      </c>
      <c r="N500" s="19">
        <f>COUNTIFS('Bilateral Assistance, MAIN DATA'!M:M,"undisclosed",'Bilateral Assistance, MAIN DATA'!I:I,'Price List, Weapons &amp; Items'!B500)</f>
        <v>1</v>
      </c>
      <c r="O500" s="723" t="str">
        <f t="shared" si="49"/>
        <v>no price</v>
      </c>
      <c r="P500" s="19">
        <f>IFERROR(IF(SEARCH(B500,_xlfn.ARRAYTOTEXT('Bilateral Assistance, MAIN DATA'!I$1:I$1622))&gt;0,1,""),0)</f>
        <v>1</v>
      </c>
      <c r="Q500" s="19">
        <f>IFERROR(IF(SEARCH(B500,_xlfn.ARRAYTOTEXT('Commercial Assistance'!I$1:I$1400))&gt;0,1,""),0)</f>
        <v>0</v>
      </c>
      <c r="R500" s="247" t="str">
        <f>IF(SUMIFS('Bilateral Assistance, MAIN DATA'!N:N,'Bilateral Assistance, MAIN DATA'!I:I,'Price List, Weapons &amp; Items'!B500)&gt;M500,1,".")</f>
        <v>.</v>
      </c>
    </row>
    <row r="501" spans="2:18" ht="15" customHeight="1" x14ac:dyDescent="0.3">
      <c r="B501" s="175" t="s">
        <v>1199</v>
      </c>
      <c r="C501" s="113" t="s">
        <v>256</v>
      </c>
      <c r="D501" s="113" t="s">
        <v>256</v>
      </c>
      <c r="E501" s="199">
        <v>0</v>
      </c>
      <c r="F501" s="199">
        <f t="shared" si="51"/>
        <v>0</v>
      </c>
      <c r="G501" s="629">
        <v>25</v>
      </c>
      <c r="H501" s="721" t="s">
        <v>346</v>
      </c>
      <c r="I501" s="821" t="s">
        <v>4809</v>
      </c>
      <c r="J501" s="249" t="s">
        <v>4797</v>
      </c>
      <c r="K501" s="155" t="s">
        <v>4810</v>
      </c>
      <c r="L501" s="247">
        <f t="shared" si="50"/>
        <v>0</v>
      </c>
      <c r="M501" s="121">
        <f>SUMIFS('Bilateral Assistance, MAIN DATA'!M:M,'Bilateral Assistance, MAIN DATA'!I:I,'Price List, Weapons &amp; Items'!B501)</f>
        <v>0</v>
      </c>
      <c r="N501" s="19">
        <f>COUNTIFS('Bilateral Assistance, MAIN DATA'!M:M,"undisclosed",'Bilateral Assistance, MAIN DATA'!I:I,'Price List, Weapons &amp; Items'!B501)</f>
        <v>1</v>
      </c>
      <c r="O501" s="723">
        <f t="shared" si="49"/>
        <v>0</v>
      </c>
      <c r="P501" s="19">
        <f>IFERROR(IF(SEARCH(B501,_xlfn.ARRAYTOTEXT('Bilateral Assistance, MAIN DATA'!I$1:I$1622))&gt;0,1,""),0)</f>
        <v>1</v>
      </c>
      <c r="Q501" s="19">
        <f>IFERROR(IF(SEARCH(B501,_xlfn.ARRAYTOTEXT('Commercial Assistance'!I$1:I$1400))&gt;0,1,""),0)</f>
        <v>0</v>
      </c>
      <c r="R501" s="247" t="str">
        <f>IF(SUMIFS('Bilateral Assistance, MAIN DATA'!N:N,'Bilateral Assistance, MAIN DATA'!I:I,'Price List, Weapons &amp; Items'!B501)&gt;M501,1,".")</f>
        <v>.</v>
      </c>
    </row>
    <row r="502" spans="2:18" ht="15" customHeight="1" x14ac:dyDescent="0.3">
      <c r="B502" s="175" t="s">
        <v>1010</v>
      </c>
      <c r="C502" s="113" t="s">
        <v>256</v>
      </c>
      <c r="D502" s="113" t="s">
        <v>256</v>
      </c>
      <c r="E502" s="199">
        <v>0</v>
      </c>
      <c r="F502" s="199">
        <f t="shared" si="51"/>
        <v>0</v>
      </c>
      <c r="G502" s="629">
        <f>74400*1.1175</f>
        <v>83142</v>
      </c>
      <c r="H502" s="721" t="s">
        <v>346</v>
      </c>
      <c r="I502" s="821" t="s">
        <v>4811</v>
      </c>
      <c r="J502" s="249" t="s">
        <v>4797</v>
      </c>
      <c r="K502" s="155" t="s">
        <v>4812</v>
      </c>
      <c r="L502" s="247">
        <f t="shared" si="50"/>
        <v>0</v>
      </c>
      <c r="M502" s="121">
        <f>SUMIFS('Bilateral Assistance, MAIN DATA'!M:M,'Bilateral Assistance, MAIN DATA'!I:I,'Price List, Weapons &amp; Items'!B502)</f>
        <v>17</v>
      </c>
      <c r="N502" s="19">
        <f>COUNTIFS('Bilateral Assistance, MAIN DATA'!M:M,"undisclosed",'Bilateral Assistance, MAIN DATA'!I:I,'Price List, Weapons &amp; Items'!B502)</f>
        <v>0</v>
      </c>
      <c r="O502" s="723">
        <f t="shared" si="49"/>
        <v>1413414</v>
      </c>
      <c r="P502" s="19">
        <f>IFERROR(IF(SEARCH(B502,_xlfn.ARRAYTOTEXT('Bilateral Assistance, MAIN DATA'!I$1:I$1622))&gt;0,1,""),0)</f>
        <v>1</v>
      </c>
      <c r="Q502" s="19">
        <f>IFERROR(IF(SEARCH(B502,_xlfn.ARRAYTOTEXT('Commercial Assistance'!I$1:I$1400))&gt;0,1,""),0)</f>
        <v>0</v>
      </c>
      <c r="R502" s="247" t="str">
        <f>IF(SUMIFS('Bilateral Assistance, MAIN DATA'!N:N,'Bilateral Assistance, MAIN DATA'!I:I,'Price List, Weapons &amp; Items'!B502)&gt;M502,1,".")</f>
        <v>.</v>
      </c>
    </row>
    <row r="503" spans="2:18" ht="15" customHeight="1" x14ac:dyDescent="0.3">
      <c r="B503" s="175" t="s">
        <v>1021</v>
      </c>
      <c r="C503" s="113" t="s">
        <v>256</v>
      </c>
      <c r="D503" s="113" t="s">
        <v>256</v>
      </c>
      <c r="E503" s="199">
        <v>0</v>
      </c>
      <c r="F503" s="199">
        <f t="shared" si="51"/>
        <v>0</v>
      </c>
      <c r="G503" s="629" t="s">
        <v>260</v>
      </c>
      <c r="H503" s="721" t="s">
        <v>260</v>
      </c>
      <c r="I503" s="249" t="s">
        <v>260</v>
      </c>
      <c r="J503" s="249" t="s">
        <v>260</v>
      </c>
      <c r="K503" s="155" t="s">
        <v>260</v>
      </c>
      <c r="L503" s="247">
        <f t="shared" si="50"/>
        <v>0</v>
      </c>
      <c r="M503" s="121">
        <f>SUMIFS('Bilateral Assistance, MAIN DATA'!M:M,'Bilateral Assistance, MAIN DATA'!I:I,'Price List, Weapons &amp; Items'!B503)</f>
        <v>0</v>
      </c>
      <c r="N503" s="19">
        <f>COUNTIFS('Bilateral Assistance, MAIN DATA'!M:M,"undisclosed",'Bilateral Assistance, MAIN DATA'!I:I,'Price List, Weapons &amp; Items'!B503)</f>
        <v>1</v>
      </c>
      <c r="O503" s="723" t="str">
        <f t="shared" si="49"/>
        <v>no price</v>
      </c>
      <c r="P503" s="19">
        <f>IFERROR(IF(SEARCH(B503,_xlfn.ARRAYTOTEXT('Bilateral Assistance, MAIN DATA'!I$1:I$1622))&gt;0,1,""),0)</f>
        <v>1</v>
      </c>
      <c r="Q503" s="19">
        <f>IFERROR(IF(SEARCH(B503,_xlfn.ARRAYTOTEXT('Commercial Assistance'!I$1:I$1400))&gt;0,1,""),0)</f>
        <v>0</v>
      </c>
      <c r="R503" s="247" t="str">
        <f>IF(SUMIFS('Bilateral Assistance, MAIN DATA'!N:N,'Bilateral Assistance, MAIN DATA'!I:I,'Price List, Weapons &amp; Items'!B503)&gt;M503,1,".")</f>
        <v>.</v>
      </c>
    </row>
    <row r="504" spans="2:18" ht="15" customHeight="1" x14ac:dyDescent="0.3">
      <c r="B504" s="175" t="s">
        <v>1819</v>
      </c>
      <c r="C504" s="113" t="s">
        <v>256</v>
      </c>
      <c r="D504" s="113" t="s">
        <v>256</v>
      </c>
      <c r="E504" s="199">
        <v>0</v>
      </c>
      <c r="F504" s="199">
        <f t="shared" si="51"/>
        <v>0</v>
      </c>
      <c r="G504" s="629" t="s">
        <v>260</v>
      </c>
      <c r="H504" s="721" t="s">
        <v>260</v>
      </c>
      <c r="I504" s="249" t="s">
        <v>260</v>
      </c>
      <c r="J504" s="249" t="s">
        <v>260</v>
      </c>
      <c r="K504" s="155" t="s">
        <v>260</v>
      </c>
      <c r="L504" s="247">
        <f t="shared" si="50"/>
        <v>0</v>
      </c>
      <c r="M504" s="121">
        <f>SUMIFS('Bilateral Assistance, MAIN DATA'!M:M,'Bilateral Assistance, MAIN DATA'!I:I,'Price List, Weapons &amp; Items'!B504)</f>
        <v>0</v>
      </c>
      <c r="N504" s="19">
        <f>COUNTIFS('Bilateral Assistance, MAIN DATA'!M:M,"undisclosed",'Bilateral Assistance, MAIN DATA'!I:I,'Price List, Weapons &amp; Items'!B504)</f>
        <v>1</v>
      </c>
      <c r="O504" s="723" t="str">
        <f t="shared" si="49"/>
        <v>no price</v>
      </c>
      <c r="P504" s="19">
        <f>IFERROR(IF(SEARCH(B504,_xlfn.ARRAYTOTEXT('Bilateral Assistance, MAIN DATA'!I$1:I$1622))&gt;0,1,""),0)</f>
        <v>1</v>
      </c>
      <c r="Q504" s="19">
        <f>IFERROR(IF(SEARCH(B504,_xlfn.ARRAYTOTEXT('Commercial Assistance'!I$1:I$1400))&gt;0,1,""),0)</f>
        <v>0</v>
      </c>
      <c r="R504" s="247" t="str">
        <f>IF(SUMIFS('Bilateral Assistance, MAIN DATA'!N:N,'Bilateral Assistance, MAIN DATA'!I:I,'Price List, Weapons &amp; Items'!B504)&gt;M504,1,".")</f>
        <v>.</v>
      </c>
    </row>
    <row r="505" spans="2:18" ht="15" customHeight="1" x14ac:dyDescent="0.3">
      <c r="B505" s="17" t="s">
        <v>1201</v>
      </c>
      <c r="C505" s="113" t="s">
        <v>256</v>
      </c>
      <c r="D505" s="113" t="s">
        <v>256</v>
      </c>
      <c r="E505" s="199">
        <v>0</v>
      </c>
      <c r="F505" s="199">
        <f t="shared" ref="F505:F526" si="52">IF(OR(D505="Armoured Personnel Carrier (APC)",D505="Armoured Recovery Vehicle (ARV)",D505="Armoured Utility Vehicle (AUV)",D505="152mm howitzer ammunition",D505="155mm howitzer ammunition",D505="300mm MLRS ammunition",D505="155mm howitzer",D505="227mm MLRS ammunition",D505="Infantry fighting vehicle (IFV)",D505="152mm howitzer",D505="227mm MLRS",D505="Main Battle Tank (MBT)",D505="Protected Patrol Vehicle (PPV)",D505="127mm MLRS",D505="122mm MLRS",D505="122mm MLRS ammunition",D505="122mm MLRS",D505="127mm MLRS",D505="127mm MLRS ammunition")=TRUE,1,0)</f>
        <v>0</v>
      </c>
      <c r="G505" s="629" t="s">
        <v>260</v>
      </c>
      <c r="H505" s="721" t="s">
        <v>346</v>
      </c>
      <c r="I505" s="837" t="s">
        <v>260</v>
      </c>
      <c r="J505" s="249" t="s">
        <v>260</v>
      </c>
      <c r="K505" s="155" t="s">
        <v>4813</v>
      </c>
      <c r="L505" s="247">
        <f t="shared" si="50"/>
        <v>0</v>
      </c>
      <c r="M505" s="121">
        <f>SUMIFS('Bilateral Assistance, MAIN DATA'!M:M,'Bilateral Assistance, MAIN DATA'!I:I,'Price List, Weapons &amp; Items'!B505)</f>
        <v>8</v>
      </c>
      <c r="N505" s="19">
        <f>COUNTIFS('Bilateral Assistance, MAIN DATA'!M:M,"undisclosed",'Bilateral Assistance, MAIN DATA'!I:I,'Price List, Weapons &amp; Items'!B505)</f>
        <v>0</v>
      </c>
      <c r="O505" s="723" t="str">
        <f t="shared" si="49"/>
        <v>no price</v>
      </c>
      <c r="P505" s="19">
        <f>IFERROR(IF(SEARCH(B505,_xlfn.ARRAYTOTEXT('Bilateral Assistance, MAIN DATA'!I$1:I$1622))&gt;0,1,""),0)</f>
        <v>1</v>
      </c>
      <c r="Q505" s="19">
        <f>IFERROR(IF(SEARCH(B505,_xlfn.ARRAYTOTEXT('Commercial Assistance'!I$1:I$1400))&gt;0,1,""),0)</f>
        <v>0</v>
      </c>
      <c r="R505" s="247" t="str">
        <f>IF(SUMIFS('Bilateral Assistance, MAIN DATA'!N:N,'Bilateral Assistance, MAIN DATA'!I:I,'Price List, Weapons &amp; Items'!B505)&gt;M505,1,".")</f>
        <v>.</v>
      </c>
    </row>
    <row r="506" spans="2:18" ht="15" customHeight="1" x14ac:dyDescent="0.3">
      <c r="B506" s="17" t="s">
        <v>1166</v>
      </c>
      <c r="C506" s="113" t="s">
        <v>256</v>
      </c>
      <c r="D506" s="113" t="s">
        <v>256</v>
      </c>
      <c r="E506" s="199">
        <v>0</v>
      </c>
      <c r="F506" s="199">
        <f t="shared" si="52"/>
        <v>0</v>
      </c>
      <c r="G506" s="629">
        <v>317500</v>
      </c>
      <c r="H506" s="720" t="str">
        <f>IF(G506&lt;&gt;".","USD",".")</f>
        <v>USD</v>
      </c>
      <c r="I506" s="820" t="s">
        <v>4648</v>
      </c>
      <c r="J506" s="155" t="s">
        <v>3964</v>
      </c>
      <c r="K506" s="155" t="s">
        <v>4814</v>
      </c>
      <c r="L506" s="247">
        <f t="shared" si="50"/>
        <v>0</v>
      </c>
      <c r="M506" s="121">
        <f>SUMIFS('Bilateral Assistance, MAIN DATA'!M:M,'Bilateral Assistance, MAIN DATA'!I:I,'Price List, Weapons &amp; Items'!B506)</f>
        <v>1</v>
      </c>
      <c r="N506" s="19">
        <f>COUNTIFS('Bilateral Assistance, MAIN DATA'!M:M,"undisclosed",'Bilateral Assistance, MAIN DATA'!I:I,'Price List, Weapons &amp; Items'!B506)</f>
        <v>0</v>
      </c>
      <c r="O506" s="723">
        <f t="shared" si="49"/>
        <v>317500</v>
      </c>
      <c r="P506" s="19">
        <f>IFERROR(IF(SEARCH(B506,_xlfn.ARRAYTOTEXT('Bilateral Assistance, MAIN DATA'!I$1:I$1622))&gt;0,1,""),0)</f>
        <v>1</v>
      </c>
      <c r="Q506" s="19">
        <f>IFERROR(IF(SEARCH(B506,_xlfn.ARRAYTOTEXT('Commercial Assistance'!I$1:I$1400))&gt;0,1,""),0)</f>
        <v>0</v>
      </c>
      <c r="R506" s="247" t="str">
        <f>IF(SUMIFS('Bilateral Assistance, MAIN DATA'!N:N,'Bilateral Assistance, MAIN DATA'!I:I,'Price List, Weapons &amp; Items'!B506)&gt;M506,1,".")</f>
        <v>.</v>
      </c>
    </row>
    <row r="507" spans="2:18" ht="15" customHeight="1" x14ac:dyDescent="0.3">
      <c r="B507" s="175" t="s">
        <v>1167</v>
      </c>
      <c r="C507" s="113" t="s">
        <v>256</v>
      </c>
      <c r="D507" s="113" t="s">
        <v>256</v>
      </c>
      <c r="E507" s="199">
        <v>0</v>
      </c>
      <c r="F507" s="199">
        <f t="shared" si="52"/>
        <v>0</v>
      </c>
      <c r="G507" s="629">
        <f>1250*1.1261</f>
        <v>1407.6250000000002</v>
      </c>
      <c r="H507" s="721" t="s">
        <v>346</v>
      </c>
      <c r="I507" s="821" t="s">
        <v>4815</v>
      </c>
      <c r="J507" s="249" t="s">
        <v>3971</v>
      </c>
      <c r="K507" s="155" t="s">
        <v>4816</v>
      </c>
      <c r="L507" s="247">
        <f t="shared" si="50"/>
        <v>0</v>
      </c>
      <c r="M507" s="121">
        <f>SUMIFS('Bilateral Assistance, MAIN DATA'!M:M,'Bilateral Assistance, MAIN DATA'!I:I,'Price List, Weapons &amp; Items'!B507)</f>
        <v>36</v>
      </c>
      <c r="N507" s="19">
        <f>COUNTIFS('Bilateral Assistance, MAIN DATA'!M:M,"undisclosed",'Bilateral Assistance, MAIN DATA'!I:I,'Price List, Weapons &amp; Items'!B507)</f>
        <v>0</v>
      </c>
      <c r="O507" s="723">
        <f t="shared" si="49"/>
        <v>50674.500000000007</v>
      </c>
      <c r="P507" s="19">
        <f>IFERROR(IF(SEARCH(B507,_xlfn.ARRAYTOTEXT('Bilateral Assistance, MAIN DATA'!I$1:I$1622))&gt;0,1,""),0)</f>
        <v>1</v>
      </c>
      <c r="Q507" s="19">
        <f>IFERROR(IF(SEARCH(B507,_xlfn.ARRAYTOTEXT('Commercial Assistance'!I$1:I$1400))&gt;0,1,""),0)</f>
        <v>0</v>
      </c>
      <c r="R507" s="247" t="str">
        <f>IF(SUMIFS('Bilateral Assistance, MAIN DATA'!N:N,'Bilateral Assistance, MAIN DATA'!I:I,'Price List, Weapons &amp; Items'!B507)&gt;M507,1,".")</f>
        <v>.</v>
      </c>
    </row>
    <row r="508" spans="2:18" ht="15" customHeight="1" x14ac:dyDescent="0.3">
      <c r="B508" s="17" t="s">
        <v>1168</v>
      </c>
      <c r="C508" s="113" t="s">
        <v>256</v>
      </c>
      <c r="D508" s="113" t="s">
        <v>256</v>
      </c>
      <c r="E508" s="199">
        <v>0</v>
      </c>
      <c r="F508" s="199">
        <f t="shared" si="52"/>
        <v>0</v>
      </c>
      <c r="G508" s="629">
        <f>9*1.1261</f>
        <v>10.134900000000002</v>
      </c>
      <c r="H508" s="721" t="s">
        <v>346</v>
      </c>
      <c r="I508" s="821" t="s">
        <v>4817</v>
      </c>
      <c r="J508" s="249" t="s">
        <v>3971</v>
      </c>
      <c r="K508" s="155" t="s">
        <v>4818</v>
      </c>
      <c r="L508" s="247">
        <f t="shared" si="50"/>
        <v>0</v>
      </c>
      <c r="M508" s="121">
        <f>SUMIFS('Bilateral Assistance, MAIN DATA'!M:M,'Bilateral Assistance, MAIN DATA'!I:I,'Price List, Weapons &amp; Items'!B508)</f>
        <v>56000</v>
      </c>
      <c r="N508" s="19">
        <f>COUNTIFS('Bilateral Assistance, MAIN DATA'!M:M,"undisclosed",'Bilateral Assistance, MAIN DATA'!I:I,'Price List, Weapons &amp; Items'!B508)</f>
        <v>0</v>
      </c>
      <c r="O508" s="723">
        <f t="shared" si="49"/>
        <v>567554.40000000014</v>
      </c>
      <c r="P508" s="19">
        <f>IFERROR(IF(SEARCH(B508,_xlfn.ARRAYTOTEXT('Bilateral Assistance, MAIN DATA'!I$1:I$1622))&gt;0,1,""),0)</f>
        <v>1</v>
      </c>
      <c r="Q508" s="19">
        <f>IFERROR(IF(SEARCH(B508,_xlfn.ARRAYTOTEXT('Commercial Assistance'!I$1:I$1400))&gt;0,1,""),0)</f>
        <v>0</v>
      </c>
      <c r="R508" s="247" t="str">
        <f>IF(SUMIFS('Bilateral Assistance, MAIN DATA'!N:N,'Bilateral Assistance, MAIN DATA'!I:I,'Price List, Weapons &amp; Items'!B508)&gt;M508,1,".")</f>
        <v>.</v>
      </c>
    </row>
    <row r="509" spans="2:18" ht="15" customHeight="1" x14ac:dyDescent="0.3">
      <c r="B509" s="17" t="s">
        <v>2387</v>
      </c>
      <c r="C509" s="113" t="s">
        <v>256</v>
      </c>
      <c r="D509" s="113" t="s">
        <v>256</v>
      </c>
      <c r="E509" s="199">
        <v>1</v>
      </c>
      <c r="F509" s="199">
        <f t="shared" si="52"/>
        <v>0</v>
      </c>
      <c r="G509" s="629">
        <f>(5200000+6500000)/2</f>
        <v>5850000</v>
      </c>
      <c r="H509" s="721" t="s">
        <v>346</v>
      </c>
      <c r="I509" s="821" t="s">
        <v>4819</v>
      </c>
      <c r="J509" s="155" t="s">
        <v>3964</v>
      </c>
      <c r="K509" s="155" t="s">
        <v>4820</v>
      </c>
      <c r="L509" s="247">
        <f t="shared" si="50"/>
        <v>0</v>
      </c>
      <c r="M509" s="121">
        <f>SUMIFS('Bilateral Assistance, MAIN DATA'!M:M,'Bilateral Assistance, MAIN DATA'!I:I,'Price List, Weapons &amp; Items'!B509)</f>
        <v>6</v>
      </c>
      <c r="N509" s="19">
        <f>COUNTIFS('Bilateral Assistance, MAIN DATA'!M:M,"undisclosed",'Bilateral Assistance, MAIN DATA'!I:I,'Price List, Weapons &amp; Items'!B509)</f>
        <v>0</v>
      </c>
      <c r="O509" s="723">
        <f t="shared" si="49"/>
        <v>35100000</v>
      </c>
      <c r="P509" s="19">
        <f>IFERROR(IF(SEARCH(B509,_xlfn.ARRAYTOTEXT('Bilateral Assistance, MAIN DATA'!I$1:I$1622))&gt;0,1,""),0)</f>
        <v>1</v>
      </c>
      <c r="Q509" s="19">
        <f>IFERROR(IF(SEARCH(B509,_xlfn.ARRAYTOTEXT('Commercial Assistance'!I$1:I$1400))&gt;0,1,""),0)</f>
        <v>0</v>
      </c>
      <c r="R509" s="247" t="str">
        <f>IF(SUMIFS('Bilateral Assistance, MAIN DATA'!N:N,'Bilateral Assistance, MAIN DATA'!I:I,'Price List, Weapons &amp; Items'!B509)&gt;M509,1,".")</f>
        <v>.</v>
      </c>
    </row>
    <row r="510" spans="2:18" ht="15" customHeight="1" x14ac:dyDescent="0.3">
      <c r="B510" s="175" t="s">
        <v>2989</v>
      </c>
      <c r="C510" s="113" t="s">
        <v>3945</v>
      </c>
      <c r="D510" s="246" t="s">
        <v>4032</v>
      </c>
      <c r="E510" s="199">
        <v>0</v>
      </c>
      <c r="F510" s="199">
        <f t="shared" si="52"/>
        <v>0</v>
      </c>
      <c r="G510" s="629" t="s">
        <v>260</v>
      </c>
      <c r="H510" s="721" t="s">
        <v>346</v>
      </c>
      <c r="I510" s="249" t="s">
        <v>260</v>
      </c>
      <c r="J510" s="249" t="s">
        <v>260</v>
      </c>
      <c r="K510" s="155" t="s">
        <v>260</v>
      </c>
      <c r="L510" s="247">
        <f t="shared" si="50"/>
        <v>0</v>
      </c>
      <c r="M510" s="121">
        <f>SUMIFS('Bilateral Assistance, MAIN DATA'!M:M,'Bilateral Assistance, MAIN DATA'!I:I,'Price List, Weapons &amp; Items'!B510)</f>
        <v>1000</v>
      </c>
      <c r="N510" s="19">
        <f>COUNTIFS('Bilateral Assistance, MAIN DATA'!M:M,"undisclosed",'Bilateral Assistance, MAIN DATA'!I:I,'Price List, Weapons &amp; Items'!B510)</f>
        <v>0</v>
      </c>
      <c r="O510" s="723" t="str">
        <f t="shared" si="49"/>
        <v>no price</v>
      </c>
      <c r="P510" s="19">
        <f>IFERROR(IF(SEARCH(B510,_xlfn.ARRAYTOTEXT('Bilateral Assistance, MAIN DATA'!I$1:I$1622))&gt;0,1,""),0)</f>
        <v>1</v>
      </c>
      <c r="Q510" s="19">
        <f>IFERROR(IF(SEARCH(B510,_xlfn.ARRAYTOTEXT('Commercial Assistance'!I$1:I$1400))&gt;0,1,""),0)</f>
        <v>0</v>
      </c>
      <c r="R510" s="247" t="str">
        <f>IF(SUMIFS('Bilateral Assistance, MAIN DATA'!N:N,'Bilateral Assistance, MAIN DATA'!I:I,'Price List, Weapons &amp; Items'!B510)&gt;M510,1,".")</f>
        <v>.</v>
      </c>
    </row>
    <row r="511" spans="2:18" ht="15" customHeight="1" x14ac:dyDescent="0.3">
      <c r="B511" s="175" t="s">
        <v>2984</v>
      </c>
      <c r="C511" s="113" t="s">
        <v>3945</v>
      </c>
      <c r="D511" s="246" t="s">
        <v>4032</v>
      </c>
      <c r="E511" s="199">
        <v>0</v>
      </c>
      <c r="F511" s="199">
        <f t="shared" si="52"/>
        <v>0</v>
      </c>
      <c r="G511" s="629" t="s">
        <v>260</v>
      </c>
      <c r="H511" s="721" t="s">
        <v>260</v>
      </c>
      <c r="I511" s="837" t="s">
        <v>260</v>
      </c>
      <c r="J511" s="155" t="s">
        <v>260</v>
      </c>
      <c r="K511" s="155" t="s">
        <v>260</v>
      </c>
      <c r="L511" s="247">
        <f t="shared" si="50"/>
        <v>0</v>
      </c>
      <c r="M511" s="121">
        <f>SUMIFS('Bilateral Assistance, MAIN DATA'!M:M,'Bilateral Assistance, MAIN DATA'!I:I,'Price List, Weapons &amp; Items'!B511)</f>
        <v>200</v>
      </c>
      <c r="N511" s="19">
        <f>COUNTIFS('Bilateral Assistance, MAIN DATA'!M:M,"undisclosed",'Bilateral Assistance, MAIN DATA'!I:I,'Price List, Weapons &amp; Items'!B511)</f>
        <v>0</v>
      </c>
      <c r="O511" s="723" t="str">
        <f t="shared" si="49"/>
        <v>no price</v>
      </c>
      <c r="P511" s="19">
        <f>IFERROR(IF(SEARCH(B511,_xlfn.ARRAYTOTEXT('Bilateral Assistance, MAIN DATA'!I$1:I$1622))&gt;0,1,""),0)</f>
        <v>1</v>
      </c>
      <c r="Q511" s="19">
        <f>IFERROR(IF(SEARCH(B511,_xlfn.ARRAYTOTEXT('Commercial Assistance'!I$1:I$1400))&gt;0,1,""),0)</f>
        <v>0</v>
      </c>
      <c r="R511" s="247" t="str">
        <f>IF(SUMIFS('Bilateral Assistance, MAIN DATA'!N:N,'Bilateral Assistance, MAIN DATA'!I:I,'Price List, Weapons &amp; Items'!B511)&gt;M511,1,".")</f>
        <v>.</v>
      </c>
    </row>
    <row r="512" spans="2:18" ht="15" customHeight="1" x14ac:dyDescent="0.3">
      <c r="B512" s="175" t="s">
        <v>2993</v>
      </c>
      <c r="C512" s="113" t="s">
        <v>3945</v>
      </c>
      <c r="D512" s="246" t="s">
        <v>4252</v>
      </c>
      <c r="E512" s="199">
        <v>0</v>
      </c>
      <c r="F512" s="199">
        <f t="shared" si="52"/>
        <v>0</v>
      </c>
      <c r="G512" s="629" t="s">
        <v>260</v>
      </c>
      <c r="H512" s="721" t="s">
        <v>260</v>
      </c>
      <c r="I512" s="249" t="s">
        <v>260</v>
      </c>
      <c r="J512" s="249" t="s">
        <v>260</v>
      </c>
      <c r="K512" s="155" t="s">
        <v>260</v>
      </c>
      <c r="L512" s="247">
        <f t="shared" si="50"/>
        <v>0</v>
      </c>
      <c r="M512" s="121">
        <f>SUMIFS('Bilateral Assistance, MAIN DATA'!M:M,'Bilateral Assistance, MAIN DATA'!I:I,'Price List, Weapons &amp; Items'!B512)</f>
        <v>125</v>
      </c>
      <c r="N512" s="19">
        <f>COUNTIFS('Bilateral Assistance, MAIN DATA'!M:M,"undisclosed",'Bilateral Assistance, MAIN DATA'!I:I,'Price List, Weapons &amp; Items'!B512)</f>
        <v>0</v>
      </c>
      <c r="O512" s="723" t="str">
        <f t="shared" si="49"/>
        <v>no price</v>
      </c>
      <c r="P512" s="19">
        <f>IFERROR(IF(SEARCH(B512,_xlfn.ARRAYTOTEXT('Bilateral Assistance, MAIN DATA'!I$1:I$1622))&gt;0,1,""),0)</f>
        <v>1</v>
      </c>
      <c r="Q512" s="19">
        <f>IFERROR(IF(SEARCH(B512,_xlfn.ARRAYTOTEXT('Commercial Assistance'!I$1:I$1400))&gt;0,1,""),0)</f>
        <v>0</v>
      </c>
      <c r="R512" s="247" t="str">
        <f>IF(SUMIFS('Bilateral Assistance, MAIN DATA'!N:N,'Bilateral Assistance, MAIN DATA'!I:I,'Price List, Weapons &amp; Items'!B512)&gt;M512,1,".")</f>
        <v>.</v>
      </c>
    </row>
    <row r="513" spans="2:18" ht="15" customHeight="1" x14ac:dyDescent="0.3">
      <c r="B513" s="17" t="s">
        <v>3380</v>
      </c>
      <c r="C513" s="113" t="s">
        <v>812</v>
      </c>
      <c r="D513" s="113" t="s">
        <v>812</v>
      </c>
      <c r="E513" s="199">
        <v>0</v>
      </c>
      <c r="F513" s="199">
        <f t="shared" si="52"/>
        <v>0</v>
      </c>
      <c r="G513" s="629" t="s">
        <v>260</v>
      </c>
      <c r="H513" s="721" t="s">
        <v>346</v>
      </c>
      <c r="I513" s="818" t="s">
        <v>260</v>
      </c>
      <c r="J513" s="249" t="s">
        <v>260</v>
      </c>
      <c r="K513" s="249" t="s">
        <v>4821</v>
      </c>
      <c r="L513" s="247">
        <f t="shared" si="50"/>
        <v>0</v>
      </c>
      <c r="M513" s="121">
        <f>SUMIFS('Bilateral Assistance, MAIN DATA'!M:M,'Bilateral Assistance, MAIN DATA'!I:I,'Price List, Weapons &amp; Items'!B513)</f>
        <v>4</v>
      </c>
      <c r="N513" s="19">
        <f>COUNTIFS('Bilateral Assistance, MAIN DATA'!M:M,"undisclosed",'Bilateral Assistance, MAIN DATA'!I:I,'Price List, Weapons &amp; Items'!B513)</f>
        <v>0</v>
      </c>
      <c r="O513" s="723" t="str">
        <f t="shared" si="49"/>
        <v>no price</v>
      </c>
      <c r="P513" s="19">
        <f>IFERROR(IF(SEARCH(B513,_xlfn.ARRAYTOTEXT('Bilateral Assistance, MAIN DATA'!I$1:I$1622))&gt;0,1,""),0)</f>
        <v>1</v>
      </c>
      <c r="Q513" s="19">
        <f>IFERROR(IF(SEARCH(B513,_xlfn.ARRAYTOTEXT('Commercial Assistance'!I$1:I$1400))&gt;0,1,""),0)</f>
        <v>0</v>
      </c>
      <c r="R513" s="247" t="str">
        <f>IF(SUMIFS('Bilateral Assistance, MAIN DATA'!N:N,'Bilateral Assistance, MAIN DATA'!I:I,'Price List, Weapons &amp; Items'!B513)&gt;M513,1,".")</f>
        <v>.</v>
      </c>
    </row>
    <row r="514" spans="2:18" ht="15" customHeight="1" x14ac:dyDescent="0.3">
      <c r="B514" s="185" t="s">
        <v>1489</v>
      </c>
      <c r="C514" s="113" t="s">
        <v>4822</v>
      </c>
      <c r="D514" s="113" t="s">
        <v>256</v>
      </c>
      <c r="E514" s="199">
        <v>0</v>
      </c>
      <c r="F514" s="199">
        <f t="shared" si="52"/>
        <v>0</v>
      </c>
      <c r="G514" s="629" t="s">
        <v>260</v>
      </c>
      <c r="H514" s="721" t="s">
        <v>346</v>
      </c>
      <c r="I514" s="249" t="s">
        <v>260</v>
      </c>
      <c r="J514" s="249" t="s">
        <v>260</v>
      </c>
      <c r="K514" s="155" t="s">
        <v>260</v>
      </c>
      <c r="L514" s="247">
        <f t="shared" si="50"/>
        <v>0</v>
      </c>
      <c r="M514" s="121">
        <f>SUMIFS('Bilateral Assistance, MAIN DATA'!M:M,'Bilateral Assistance, MAIN DATA'!I:I,'Price List, Weapons &amp; Items'!B514)</f>
        <v>240000</v>
      </c>
      <c r="N514" s="19">
        <f>COUNTIFS('Bilateral Assistance, MAIN DATA'!M:M,"undisclosed",'Bilateral Assistance, MAIN DATA'!I:I,'Price List, Weapons &amp; Items'!B514)</f>
        <v>0</v>
      </c>
      <c r="O514" s="723" t="str">
        <f t="shared" si="49"/>
        <v>no price</v>
      </c>
      <c r="P514" s="19">
        <f>IFERROR(IF(SEARCH(B514,_xlfn.ARRAYTOTEXT('Bilateral Assistance, MAIN DATA'!I$1:I$1622))&gt;0,1,""),0)</f>
        <v>1</v>
      </c>
      <c r="Q514" s="19">
        <f>IFERROR(IF(SEARCH(B514,_xlfn.ARRAYTOTEXT('Commercial Assistance'!I$1:I$1400))&gt;0,1,""),0)</f>
        <v>0</v>
      </c>
      <c r="R514" s="247" t="str">
        <f>IF(SUMIFS('Bilateral Assistance, MAIN DATA'!N:N,'Bilateral Assistance, MAIN DATA'!I:I,'Price List, Weapons &amp; Items'!B514)&gt;M514,1,".")</f>
        <v>.</v>
      </c>
    </row>
    <row r="515" spans="2:18" ht="15" customHeight="1" x14ac:dyDescent="0.3">
      <c r="B515" s="185" t="s">
        <v>1484</v>
      </c>
      <c r="C515" s="113" t="s">
        <v>4822</v>
      </c>
      <c r="D515" s="113" t="s">
        <v>256</v>
      </c>
      <c r="E515" s="199">
        <v>0</v>
      </c>
      <c r="F515" s="199">
        <f t="shared" si="52"/>
        <v>0</v>
      </c>
      <c r="G515" s="629" t="s">
        <v>260</v>
      </c>
      <c r="H515" s="721" t="s">
        <v>346</v>
      </c>
      <c r="I515" s="249" t="s">
        <v>260</v>
      </c>
      <c r="J515" s="249" t="s">
        <v>260</v>
      </c>
      <c r="K515" s="155" t="s">
        <v>260</v>
      </c>
      <c r="L515" s="247">
        <f t="shared" si="50"/>
        <v>0</v>
      </c>
      <c r="M515" s="121">
        <f>SUMIFS('Bilateral Assistance, MAIN DATA'!M:M,'Bilateral Assistance, MAIN DATA'!I:I,'Price List, Weapons &amp; Items'!B515)</f>
        <v>116000</v>
      </c>
      <c r="N515" s="19">
        <f>COUNTIFS('Bilateral Assistance, MAIN DATA'!M:M,"undisclosed",'Bilateral Assistance, MAIN DATA'!I:I,'Price List, Weapons &amp; Items'!B515)</f>
        <v>0</v>
      </c>
      <c r="O515" s="723" t="str">
        <f t="shared" si="49"/>
        <v>no price</v>
      </c>
      <c r="P515" s="19">
        <f>IFERROR(IF(SEARCH(B515,_xlfn.ARRAYTOTEXT('Bilateral Assistance, MAIN DATA'!I$1:I$1622))&gt;0,1,""),0)</f>
        <v>1</v>
      </c>
      <c r="Q515" s="19">
        <f>IFERROR(IF(SEARCH(B515,_xlfn.ARRAYTOTEXT('Commercial Assistance'!I$1:I$1400))&gt;0,1,""),0)</f>
        <v>0</v>
      </c>
      <c r="R515" s="247" t="str">
        <f>IF(SUMIFS('Bilateral Assistance, MAIN DATA'!N:N,'Bilateral Assistance, MAIN DATA'!I:I,'Price List, Weapons &amp; Items'!B515)&gt;M515,1,".")</f>
        <v>.</v>
      </c>
    </row>
    <row r="516" spans="2:18" ht="15" customHeight="1" x14ac:dyDescent="0.3">
      <c r="B516" s="185" t="s">
        <v>1486</v>
      </c>
      <c r="C516" s="113" t="s">
        <v>4822</v>
      </c>
      <c r="D516" s="113" t="s">
        <v>256</v>
      </c>
      <c r="E516" s="199">
        <v>0</v>
      </c>
      <c r="F516" s="199">
        <f t="shared" si="52"/>
        <v>0</v>
      </c>
      <c r="G516" s="629" t="s">
        <v>260</v>
      </c>
      <c r="H516" s="721" t="s">
        <v>346</v>
      </c>
      <c r="I516" s="249" t="s">
        <v>260</v>
      </c>
      <c r="J516" s="249" t="s">
        <v>260</v>
      </c>
      <c r="K516" s="155" t="s">
        <v>260</v>
      </c>
      <c r="L516" s="247">
        <f t="shared" si="50"/>
        <v>0</v>
      </c>
      <c r="M516" s="121">
        <f>SUMIFS('Bilateral Assistance, MAIN DATA'!M:M,'Bilateral Assistance, MAIN DATA'!I:I,'Price List, Weapons &amp; Items'!B516)</f>
        <v>80000</v>
      </c>
      <c r="N516" s="19">
        <f>COUNTIFS('Bilateral Assistance, MAIN DATA'!M:M,"undisclosed",'Bilateral Assistance, MAIN DATA'!I:I,'Price List, Weapons &amp; Items'!B516)</f>
        <v>0</v>
      </c>
      <c r="O516" s="723" t="str">
        <f t="shared" si="49"/>
        <v>no price</v>
      </c>
      <c r="P516" s="19">
        <f>IFERROR(IF(SEARCH(B516,_xlfn.ARRAYTOTEXT('Bilateral Assistance, MAIN DATA'!I$1:I$1622))&gt;0,1,""),0)</f>
        <v>1</v>
      </c>
      <c r="Q516" s="19">
        <f>IFERROR(IF(SEARCH(B516,_xlfn.ARRAYTOTEXT('Commercial Assistance'!I$1:I$1400))&gt;0,1,""),0)</f>
        <v>0</v>
      </c>
      <c r="R516" s="247" t="str">
        <f>IF(SUMIFS('Bilateral Assistance, MAIN DATA'!N:N,'Bilateral Assistance, MAIN DATA'!I:I,'Price List, Weapons &amp; Items'!B516)&gt;M516,1,".")</f>
        <v>.</v>
      </c>
    </row>
    <row r="517" spans="2:18" ht="15" customHeight="1" x14ac:dyDescent="0.3">
      <c r="B517" s="185" t="s">
        <v>504</v>
      </c>
      <c r="C517" s="113" t="s">
        <v>256</v>
      </c>
      <c r="D517" s="113" t="s">
        <v>256</v>
      </c>
      <c r="E517" s="199">
        <v>0</v>
      </c>
      <c r="F517" s="199">
        <v>0</v>
      </c>
      <c r="G517" s="629" t="s">
        <v>260</v>
      </c>
      <c r="H517" s="721" t="s">
        <v>260</v>
      </c>
      <c r="I517" s="249" t="s">
        <v>260</v>
      </c>
      <c r="J517" s="249" t="s">
        <v>260</v>
      </c>
      <c r="K517" s="155" t="s">
        <v>260</v>
      </c>
      <c r="L517" s="247">
        <f t="shared" si="50"/>
        <v>0</v>
      </c>
      <c r="M517" s="121">
        <f>SUMIFS('Bilateral Assistance, MAIN DATA'!M:M,'Bilateral Assistance, MAIN DATA'!I:I,'Price List, Weapons &amp; Items'!B517)</f>
        <v>5000</v>
      </c>
      <c r="N517" s="19">
        <f>COUNTIFS('Bilateral Assistance, MAIN DATA'!M:M,"undisclosed",'Bilateral Assistance, MAIN DATA'!I:I,'Price List, Weapons &amp; Items'!B517)</f>
        <v>0</v>
      </c>
      <c r="O517" s="723" t="str">
        <f t="shared" si="49"/>
        <v>no price</v>
      </c>
      <c r="P517" s="19">
        <f>IFERROR(IF(SEARCH(B517,_xlfn.ARRAYTOTEXT('Bilateral Assistance, MAIN DATA'!I$1:I$1622))&gt;0,1,""),0)</f>
        <v>1</v>
      </c>
      <c r="Q517" s="19">
        <f>IFERROR(IF(SEARCH(B517,_xlfn.ARRAYTOTEXT('Commercial Assistance'!I$1:I$1400))&gt;0,1,""),0)</f>
        <v>0</v>
      </c>
      <c r="R517" s="247" t="str">
        <f>IF(SUMIFS('Bilateral Assistance, MAIN DATA'!N:N,'Bilateral Assistance, MAIN DATA'!I:I,'Price List, Weapons &amp; Items'!B517)&gt;M517,1,".")</f>
        <v>.</v>
      </c>
    </row>
    <row r="518" spans="2:18" ht="15" customHeight="1" x14ac:dyDescent="0.3">
      <c r="B518" s="185" t="s">
        <v>1569</v>
      </c>
      <c r="C518" s="113" t="s">
        <v>256</v>
      </c>
      <c r="D518" s="113" t="s">
        <v>256</v>
      </c>
      <c r="E518" s="199">
        <v>0</v>
      </c>
      <c r="F518" s="199">
        <f t="shared" si="52"/>
        <v>0</v>
      </c>
      <c r="G518" s="629" t="s">
        <v>260</v>
      </c>
      <c r="H518" s="720" t="str">
        <f t="shared" ref="H518:H523" si="53">IF(G518&lt;&gt;".","USD",".")</f>
        <v>.</v>
      </c>
      <c r="I518" s="249" t="s">
        <v>260</v>
      </c>
      <c r="J518" s="249" t="s">
        <v>260</v>
      </c>
      <c r="K518" s="155" t="s">
        <v>260</v>
      </c>
      <c r="L518" s="247">
        <f t="shared" si="50"/>
        <v>0</v>
      </c>
      <c r="M518" s="121">
        <f>SUMIFS('Bilateral Assistance, MAIN DATA'!M:M,'Bilateral Assistance, MAIN DATA'!I:I,'Price List, Weapons &amp; Items'!B518)</f>
        <v>0</v>
      </c>
      <c r="N518" s="19">
        <f>COUNTIFS('Bilateral Assistance, MAIN DATA'!M:M,"undisclosed",'Bilateral Assistance, MAIN DATA'!I:I,'Price List, Weapons &amp; Items'!B518)</f>
        <v>1</v>
      </c>
      <c r="O518" s="723" t="str">
        <f t="shared" si="49"/>
        <v>no price</v>
      </c>
      <c r="P518" s="19">
        <f>IFERROR(IF(SEARCH(B518,_xlfn.ARRAYTOTEXT('Bilateral Assistance, MAIN DATA'!I$1:I$1622))&gt;0,1,""),0)</f>
        <v>1</v>
      </c>
      <c r="Q518" s="19">
        <f>IFERROR(IF(SEARCH(B518,_xlfn.ARRAYTOTEXT('Commercial Assistance'!I$1:I$1400))&gt;0,1,""),0)</f>
        <v>0</v>
      </c>
      <c r="R518" s="247" t="str">
        <f>IF(SUMIFS('Bilateral Assistance, MAIN DATA'!N:N,'Bilateral Assistance, MAIN DATA'!I:I,'Price List, Weapons &amp; Items'!B518)&gt;M518,1,".")</f>
        <v>.</v>
      </c>
    </row>
    <row r="519" spans="2:18" ht="15" customHeight="1" x14ac:dyDescent="0.3">
      <c r="B519" s="185" t="s">
        <v>1354</v>
      </c>
      <c r="C519" s="113" t="s">
        <v>812</v>
      </c>
      <c r="D519" s="113" t="s">
        <v>812</v>
      </c>
      <c r="E519" s="199">
        <v>0</v>
      </c>
      <c r="F519" s="199">
        <f t="shared" si="52"/>
        <v>0</v>
      </c>
      <c r="G519" s="629">
        <v>12000</v>
      </c>
      <c r="H519" s="720" t="s">
        <v>346</v>
      </c>
      <c r="I519" s="820" t="s">
        <v>4105</v>
      </c>
      <c r="J519" s="155" t="s">
        <v>3964</v>
      </c>
      <c r="K519" s="155" t="s">
        <v>4823</v>
      </c>
      <c r="L519" s="247">
        <f t="shared" si="50"/>
        <v>1</v>
      </c>
      <c r="M519" s="121">
        <f>SUMIFS('Bilateral Assistance, MAIN DATA'!M:M,'Bilateral Assistance, MAIN DATA'!I:I,'Price List, Weapons &amp; Items'!B519)</f>
        <v>12</v>
      </c>
      <c r="N519" s="19">
        <f>COUNTIFS('Bilateral Assistance, MAIN DATA'!M:M,"undisclosed",'Bilateral Assistance, MAIN DATA'!I:I,'Price List, Weapons &amp; Items'!B519)</f>
        <v>0</v>
      </c>
      <c r="O519" s="723">
        <f t="shared" si="49"/>
        <v>144000</v>
      </c>
      <c r="P519" s="19">
        <f>IFERROR(IF(SEARCH(B519,_xlfn.ARRAYTOTEXT('Bilateral Assistance, MAIN DATA'!I$1:I$1622))&gt;0,1,""),0)</f>
        <v>1</v>
      </c>
      <c r="Q519" s="19">
        <f>IFERROR(IF(SEARCH(B519,_xlfn.ARRAYTOTEXT('Commercial Assistance'!I$1:I$1400))&gt;0,1,""),0)</f>
        <v>0</v>
      </c>
      <c r="R519" s="247" t="str">
        <f>IF(SUMIFS('Bilateral Assistance, MAIN DATA'!N:N,'Bilateral Assistance, MAIN DATA'!I:I,'Price List, Weapons &amp; Items'!B519)&gt;M519,1,".")</f>
        <v>.</v>
      </c>
    </row>
    <row r="520" spans="2:18" ht="15" customHeight="1" x14ac:dyDescent="0.3">
      <c r="B520" s="185" t="s">
        <v>1553</v>
      </c>
      <c r="C520" s="113" t="s">
        <v>4822</v>
      </c>
      <c r="D520" s="113" t="s">
        <v>256</v>
      </c>
      <c r="E520" s="199">
        <v>0</v>
      </c>
      <c r="F520" s="199">
        <f t="shared" si="52"/>
        <v>0</v>
      </c>
      <c r="G520" s="629" t="s">
        <v>260</v>
      </c>
      <c r="H520" s="720" t="str">
        <f t="shared" si="53"/>
        <v>.</v>
      </c>
      <c r="I520" s="249" t="s">
        <v>260</v>
      </c>
      <c r="J520" s="249" t="s">
        <v>260</v>
      </c>
      <c r="K520" s="155" t="s">
        <v>260</v>
      </c>
      <c r="L520" s="247">
        <f t="shared" si="50"/>
        <v>0</v>
      </c>
      <c r="M520" s="121">
        <f>SUMIFS('Bilateral Assistance, MAIN DATA'!M:M,'Bilateral Assistance, MAIN DATA'!I:I,'Price List, Weapons &amp; Items'!B520)</f>
        <v>0</v>
      </c>
      <c r="N520" s="19">
        <f>COUNTIFS('Bilateral Assistance, MAIN DATA'!M:M,"undisclosed",'Bilateral Assistance, MAIN DATA'!I:I,'Price List, Weapons &amp; Items'!B520)</f>
        <v>1</v>
      </c>
      <c r="O520" s="723" t="str">
        <f t="shared" si="49"/>
        <v>no price</v>
      </c>
      <c r="P520" s="19">
        <f>IFERROR(IF(SEARCH(B520,_xlfn.ARRAYTOTEXT('Bilateral Assistance, MAIN DATA'!I$1:I$1622))&gt;0,1,""),0)</f>
        <v>1</v>
      </c>
      <c r="Q520" s="19">
        <f>IFERROR(IF(SEARCH(B520,_xlfn.ARRAYTOTEXT('Commercial Assistance'!I$1:I$1400))&gt;0,1,""),0)</f>
        <v>0</v>
      </c>
      <c r="R520" s="247" t="str">
        <f>IF(SUMIFS('Bilateral Assistance, MAIN DATA'!N:N,'Bilateral Assistance, MAIN DATA'!I:I,'Price List, Weapons &amp; Items'!B520)&gt;M520,1,".")</f>
        <v>.</v>
      </c>
    </row>
    <row r="521" spans="2:18" ht="15" customHeight="1" x14ac:dyDescent="0.3">
      <c r="B521" s="185" t="s">
        <v>1395</v>
      </c>
      <c r="C521" s="113" t="s">
        <v>256</v>
      </c>
      <c r="D521" s="113" t="s">
        <v>256</v>
      </c>
      <c r="E521" s="199">
        <v>0</v>
      </c>
      <c r="F521" s="199">
        <f t="shared" si="52"/>
        <v>0</v>
      </c>
      <c r="G521" s="629">
        <v>300</v>
      </c>
      <c r="H521" s="720" t="s">
        <v>346</v>
      </c>
      <c r="I521" s="980" t="s">
        <v>4824</v>
      </c>
      <c r="J521" s="249" t="s">
        <v>3975</v>
      </c>
      <c r="K521" s="155" t="s">
        <v>4825</v>
      </c>
      <c r="L521" s="247">
        <f t="shared" si="50"/>
        <v>0</v>
      </c>
      <c r="M521" s="121">
        <f>SUMIFS('Bilateral Assistance, MAIN DATA'!M:M,'Bilateral Assistance, MAIN DATA'!I:I,'Price List, Weapons &amp; Items'!B521)</f>
        <v>1841</v>
      </c>
      <c r="N521" s="19">
        <f>COUNTIFS('Bilateral Assistance, MAIN DATA'!M:M,"undisclosed",'Bilateral Assistance, MAIN DATA'!I:I,'Price List, Weapons &amp; Items'!B521)</f>
        <v>0</v>
      </c>
      <c r="O521" s="723">
        <f t="shared" si="49"/>
        <v>552300</v>
      </c>
      <c r="P521" s="19">
        <f>IFERROR(IF(SEARCH(B521,_xlfn.ARRAYTOTEXT('Bilateral Assistance, MAIN DATA'!I$1:I$1622))&gt;0,1,""),0)</f>
        <v>1</v>
      </c>
      <c r="Q521" s="19">
        <f>IFERROR(IF(SEARCH(B521,_xlfn.ARRAYTOTEXT('Commercial Assistance'!I$1:I$1400))&gt;0,1,""),0)</f>
        <v>0</v>
      </c>
      <c r="R521" s="247" t="str">
        <f>IF(SUMIFS('Bilateral Assistance, MAIN DATA'!N:N,'Bilateral Assistance, MAIN DATA'!I:I,'Price List, Weapons &amp; Items'!B521)&gt;M521,1,".")</f>
        <v>.</v>
      </c>
    </row>
    <row r="522" spans="2:18" ht="15" customHeight="1" x14ac:dyDescent="0.3">
      <c r="B522" s="185" t="s">
        <v>1538</v>
      </c>
      <c r="C522" s="113" t="s">
        <v>256</v>
      </c>
      <c r="D522" s="113" t="s">
        <v>256</v>
      </c>
      <c r="E522" s="199">
        <v>0</v>
      </c>
      <c r="F522" s="199">
        <f t="shared" si="52"/>
        <v>0</v>
      </c>
      <c r="G522" s="629" t="s">
        <v>260</v>
      </c>
      <c r="H522" s="720" t="str">
        <f t="shared" si="53"/>
        <v>.</v>
      </c>
      <c r="I522" s="249" t="s">
        <v>260</v>
      </c>
      <c r="J522" s="249" t="s">
        <v>260</v>
      </c>
      <c r="K522" s="155" t="s">
        <v>260</v>
      </c>
      <c r="L522" s="247">
        <f t="shared" si="50"/>
        <v>0</v>
      </c>
      <c r="M522" s="121">
        <f>SUMIFS('Bilateral Assistance, MAIN DATA'!M:M,'Bilateral Assistance, MAIN DATA'!I:I,'Price List, Weapons &amp; Items'!B522)</f>
        <v>18</v>
      </c>
      <c r="N522" s="19">
        <f>COUNTIFS('Bilateral Assistance, MAIN DATA'!M:M,"undisclosed",'Bilateral Assistance, MAIN DATA'!I:I,'Price List, Weapons &amp; Items'!B522)</f>
        <v>0</v>
      </c>
      <c r="O522" s="723" t="str">
        <f t="shared" ref="O522:O528" si="54">IFERROR(M522*G522,"no price")</f>
        <v>no price</v>
      </c>
      <c r="P522" s="19">
        <f>IFERROR(IF(SEARCH(B522,_xlfn.ARRAYTOTEXT('Bilateral Assistance, MAIN DATA'!I$1:I$1622))&gt;0,1,""),0)</f>
        <v>1</v>
      </c>
      <c r="Q522" s="19">
        <f>IFERROR(IF(SEARCH(B522,_xlfn.ARRAYTOTEXT('Commercial Assistance'!I$1:I$1400))&gt;0,1,""),0)</f>
        <v>0</v>
      </c>
      <c r="R522" s="247" t="str">
        <f>IF(SUMIFS('Bilateral Assistance, MAIN DATA'!N:N,'Bilateral Assistance, MAIN DATA'!I:I,'Price List, Weapons &amp; Items'!B522)&gt;M522,1,".")</f>
        <v>.</v>
      </c>
    </row>
    <row r="523" spans="2:18" ht="15" customHeight="1" x14ac:dyDescent="0.3">
      <c r="B523" s="185" t="s">
        <v>1542</v>
      </c>
      <c r="C523" s="113" t="s">
        <v>256</v>
      </c>
      <c r="D523" s="113" t="s">
        <v>256</v>
      </c>
      <c r="E523" s="199">
        <v>0</v>
      </c>
      <c r="F523" s="199">
        <f t="shared" si="52"/>
        <v>0</v>
      </c>
      <c r="G523" s="632" t="s">
        <v>260</v>
      </c>
      <c r="H523" s="722" t="str">
        <f t="shared" si="53"/>
        <v>.</v>
      </c>
      <c r="I523" s="269" t="s">
        <v>260</v>
      </c>
      <c r="J523" s="269" t="s">
        <v>260</v>
      </c>
      <c r="K523" s="250" t="s">
        <v>260</v>
      </c>
      <c r="L523" s="247">
        <f t="shared" si="50"/>
        <v>0</v>
      </c>
      <c r="M523" s="121">
        <f>SUMIFS('Bilateral Assistance, MAIN DATA'!M:M,'Bilateral Assistance, MAIN DATA'!I:I,'Price List, Weapons &amp; Items'!B523)</f>
        <v>0</v>
      </c>
      <c r="N523" s="19">
        <f>COUNTIFS('Bilateral Assistance, MAIN DATA'!M:M,"undisclosed",'Bilateral Assistance, MAIN DATA'!I:I,'Price List, Weapons &amp; Items'!B523)</f>
        <v>1</v>
      </c>
      <c r="O523" s="723" t="str">
        <f t="shared" si="54"/>
        <v>no price</v>
      </c>
      <c r="P523" s="19">
        <f>IFERROR(IF(SEARCH(B523,_xlfn.ARRAYTOTEXT('Bilateral Assistance, MAIN DATA'!I$1:I$1622))&gt;0,1,""),0)</f>
        <v>1</v>
      </c>
      <c r="Q523" s="19">
        <f>IFERROR(IF(SEARCH(B523,_xlfn.ARRAYTOTEXT('Commercial Assistance'!I$1:I$1400))&gt;0,1,""),0)</f>
        <v>0</v>
      </c>
      <c r="R523" s="247" t="str">
        <f>IF(SUMIFS('Bilateral Assistance, MAIN DATA'!N:N,'Bilateral Assistance, MAIN DATA'!I:I,'Price List, Weapons &amp; Items'!B523)&gt;M523,1,".")</f>
        <v>.</v>
      </c>
    </row>
    <row r="524" spans="2:18" ht="15" customHeight="1" x14ac:dyDescent="0.3">
      <c r="B524" s="185" t="s">
        <v>1384</v>
      </c>
      <c r="C524" s="113" t="s">
        <v>4822</v>
      </c>
      <c r="D524" s="113" t="s">
        <v>256</v>
      </c>
      <c r="E524" s="199">
        <v>0</v>
      </c>
      <c r="F524" s="199">
        <f t="shared" si="52"/>
        <v>0</v>
      </c>
      <c r="G524" s="629">
        <v>55</v>
      </c>
      <c r="H524" s="721" t="s">
        <v>346</v>
      </c>
      <c r="I524" s="856" t="s">
        <v>4826</v>
      </c>
      <c r="J524" s="269" t="s">
        <v>4797</v>
      </c>
      <c r="K524" s="250" t="s">
        <v>4827</v>
      </c>
      <c r="L524" s="247">
        <f t="shared" ref="L524:L542" si="55">IF(C524="Humanitarian",0,IF(M524&gt;0,IF(TYPE(O524)=1,IF(O524&gt;MEDIAN(O:O),2,1),0),"no price, 0 count"))</f>
        <v>0</v>
      </c>
      <c r="M524" s="121">
        <f>SUMIFS('Bilateral Assistance, MAIN DATA'!M:M,'Bilateral Assistance, MAIN DATA'!I:I,'Price List, Weapons &amp; Items'!B524)</f>
        <v>500</v>
      </c>
      <c r="N524" s="19">
        <f>COUNTIFS('Bilateral Assistance, MAIN DATA'!M:M,"undisclosed",'Bilateral Assistance, MAIN DATA'!I:I,'Price List, Weapons &amp; Items'!B524)</f>
        <v>0</v>
      </c>
      <c r="O524" s="723">
        <f t="shared" si="54"/>
        <v>27500</v>
      </c>
      <c r="P524" s="19">
        <f>IFERROR(IF(SEARCH(B524,_xlfn.ARRAYTOTEXT('Bilateral Assistance, MAIN DATA'!I$1:I$1622))&gt;0,1,""),0)</f>
        <v>1</v>
      </c>
      <c r="Q524" s="19">
        <f>IFERROR(IF(SEARCH(B524,_xlfn.ARRAYTOTEXT('Commercial Assistance'!I$1:I$1400))&gt;0,1,""),0)</f>
        <v>0</v>
      </c>
      <c r="R524" s="247" t="str">
        <f>IF(SUMIFS('Bilateral Assistance, MAIN DATA'!N:N,'Bilateral Assistance, MAIN DATA'!I:I,'Price List, Weapons &amp; Items'!B524)&gt;M524,1,".")</f>
        <v>.</v>
      </c>
    </row>
    <row r="525" spans="2:18" ht="15" customHeight="1" x14ac:dyDescent="0.3">
      <c r="B525" s="185" t="s">
        <v>1563</v>
      </c>
      <c r="C525" s="113" t="s">
        <v>4822</v>
      </c>
      <c r="D525" s="113" t="s">
        <v>256</v>
      </c>
      <c r="E525" s="199">
        <v>0</v>
      </c>
      <c r="F525" s="199">
        <v>0</v>
      </c>
      <c r="G525" s="629">
        <v>600000</v>
      </c>
      <c r="H525" s="721" t="s">
        <v>346</v>
      </c>
      <c r="I525" s="821" t="s">
        <v>4828</v>
      </c>
      <c r="J525" s="249" t="s">
        <v>4008</v>
      </c>
      <c r="K525" s="155" t="s">
        <v>4829</v>
      </c>
      <c r="L525" s="247">
        <f t="shared" si="55"/>
        <v>0</v>
      </c>
      <c r="M525" s="121">
        <f>SUMIFS('Bilateral Assistance, MAIN DATA'!M:M,'Bilateral Assistance, MAIN DATA'!I:I,'Price List, Weapons &amp; Items'!B525)</f>
        <v>1</v>
      </c>
      <c r="N525" s="19">
        <f>COUNTIFS('Bilateral Assistance, MAIN DATA'!M:M,"undisclosed",'Bilateral Assistance, MAIN DATA'!I:I,'Price List, Weapons &amp; Items'!B525)</f>
        <v>0</v>
      </c>
      <c r="O525" s="723">
        <f t="shared" si="54"/>
        <v>600000</v>
      </c>
      <c r="P525" s="19">
        <f>IFERROR(IF(SEARCH(B525,_xlfn.ARRAYTOTEXT('Bilateral Assistance, MAIN DATA'!I$1:I$1622))&gt;0,1,""),0)</f>
        <v>1</v>
      </c>
      <c r="Q525" s="19">
        <f>IFERROR(IF(SEARCH(B525,_xlfn.ARRAYTOTEXT('Commercial Assistance'!I$1:I$1400))&gt;0,1,""),0)</f>
        <v>0</v>
      </c>
      <c r="R525" s="247" t="str">
        <f>IF(SUMIFS('Bilateral Assistance, MAIN DATA'!N:N,'Bilateral Assistance, MAIN DATA'!I:I,'Price List, Weapons &amp; Items'!B525)&gt;M525,1,".")</f>
        <v>.</v>
      </c>
    </row>
    <row r="526" spans="2:18" ht="15" customHeight="1" x14ac:dyDescent="0.3">
      <c r="B526" s="175" t="s">
        <v>1323</v>
      </c>
      <c r="C526" s="113" t="s">
        <v>4822</v>
      </c>
      <c r="D526" s="113" t="s">
        <v>256</v>
      </c>
      <c r="E526" s="199">
        <v>0</v>
      </c>
      <c r="F526" s="199">
        <f t="shared" si="52"/>
        <v>0</v>
      </c>
      <c r="G526" s="629">
        <v>1500</v>
      </c>
      <c r="H526" s="721" t="s">
        <v>346</v>
      </c>
      <c r="I526" s="821" t="s">
        <v>4830</v>
      </c>
      <c r="J526" s="249" t="s">
        <v>3959</v>
      </c>
      <c r="K526" s="155" t="s">
        <v>4831</v>
      </c>
      <c r="L526" s="247">
        <f t="shared" si="55"/>
        <v>0</v>
      </c>
      <c r="M526" s="121">
        <f>SUMIFS('Bilateral Assistance, MAIN DATA'!M:M,'Bilateral Assistance, MAIN DATA'!I:I,'Price List, Weapons &amp; Items'!B526)</f>
        <v>16570</v>
      </c>
      <c r="N526" s="19">
        <f>COUNTIFS('Bilateral Assistance, MAIN DATA'!M:M,"undisclosed",'Bilateral Assistance, MAIN DATA'!I:I,'Price List, Weapons &amp; Items'!B526)</f>
        <v>0</v>
      </c>
      <c r="O526" s="723">
        <f t="shared" si="54"/>
        <v>24855000</v>
      </c>
      <c r="P526" s="19">
        <f>IFERROR(IF(SEARCH(B526,_xlfn.ARRAYTOTEXT('Bilateral Assistance, MAIN DATA'!I$1:I$1622))&gt;0,1,""),0)</f>
        <v>1</v>
      </c>
      <c r="Q526" s="19">
        <f>IFERROR(IF(SEARCH(B526,_xlfn.ARRAYTOTEXT('Commercial Assistance'!I$1:I$1400))&gt;0,1,""),0)</f>
        <v>0</v>
      </c>
      <c r="R526" s="247" t="str">
        <f>IF(SUMIFS('Bilateral Assistance, MAIN DATA'!N:N,'Bilateral Assistance, MAIN DATA'!I:I,'Price List, Weapons &amp; Items'!B526)&gt;M526,1,".")</f>
        <v>.</v>
      </c>
    </row>
    <row r="527" spans="2:18" ht="15" customHeight="1" x14ac:dyDescent="0.3">
      <c r="B527" s="175" t="s">
        <v>1555</v>
      </c>
      <c r="C527" s="113" t="s">
        <v>4822</v>
      </c>
      <c r="D527" s="113" t="s">
        <v>256</v>
      </c>
      <c r="E527" s="199">
        <v>0</v>
      </c>
      <c r="F527" s="199">
        <v>0</v>
      </c>
      <c r="G527" s="629">
        <v>600000</v>
      </c>
      <c r="H527" s="721" t="s">
        <v>346</v>
      </c>
      <c r="I527" s="821" t="s">
        <v>4828</v>
      </c>
      <c r="J527" s="249" t="s">
        <v>4008</v>
      </c>
      <c r="K527" s="155" t="s">
        <v>4832</v>
      </c>
      <c r="L527" s="247">
        <f t="shared" si="55"/>
        <v>0</v>
      </c>
      <c r="M527" s="121">
        <f>SUMIFS('Bilateral Assistance, MAIN DATA'!M:M,'Bilateral Assistance, MAIN DATA'!I:I,'Price List, Weapons &amp; Items'!B527)</f>
        <v>6</v>
      </c>
      <c r="N527" s="19">
        <f>COUNTIFS('Bilateral Assistance, MAIN DATA'!M:M,"undisclosed",'Bilateral Assistance, MAIN DATA'!I:I,'Price List, Weapons &amp; Items'!B527)</f>
        <v>0</v>
      </c>
      <c r="O527" s="723">
        <f t="shared" si="54"/>
        <v>3600000</v>
      </c>
      <c r="P527" s="19">
        <f>IFERROR(IF(SEARCH(B527,_xlfn.ARRAYTOTEXT('Bilateral Assistance, MAIN DATA'!I$1:I$1622))&gt;0,1,""),0)</f>
        <v>1</v>
      </c>
      <c r="Q527" s="19">
        <f>IFERROR(IF(SEARCH(B527,_xlfn.ARRAYTOTEXT('Commercial Assistance'!I$1:I$1400))&gt;0,1,""),0)</f>
        <v>0</v>
      </c>
      <c r="R527" s="247" t="str">
        <f>IF(SUMIFS('Bilateral Assistance, MAIN DATA'!N:N,'Bilateral Assistance, MAIN DATA'!I:I,'Price List, Weapons &amp; Items'!B527)&gt;M527,1,".")</f>
        <v>.</v>
      </c>
    </row>
    <row r="528" spans="2:18" ht="15" customHeight="1" x14ac:dyDescent="0.3">
      <c r="B528" s="185" t="s">
        <v>1530</v>
      </c>
      <c r="C528" s="113" t="s">
        <v>812</v>
      </c>
      <c r="D528" s="246" t="s">
        <v>4190</v>
      </c>
      <c r="E528" s="199">
        <v>0</v>
      </c>
      <c r="F528" s="199">
        <v>0</v>
      </c>
      <c r="G528" s="629">
        <v>31500</v>
      </c>
      <c r="H528" s="721" t="s">
        <v>346</v>
      </c>
      <c r="I528" s="857" t="s">
        <v>4833</v>
      </c>
      <c r="J528" s="249" t="s">
        <v>3971</v>
      </c>
      <c r="K528" s="155" t="s">
        <v>4834</v>
      </c>
      <c r="L528" s="247">
        <f t="shared" si="55"/>
        <v>2</v>
      </c>
      <c r="M528" s="121">
        <f>SUMIFS('Bilateral Assistance, MAIN DATA'!M:M,'Bilateral Assistance, MAIN DATA'!I:I,'Price List, Weapons &amp; Items'!B528)</f>
        <v>280</v>
      </c>
      <c r="N528" s="19">
        <f>COUNTIFS('Bilateral Assistance, MAIN DATA'!M:M,"undisclosed",'Bilateral Assistance, MAIN DATA'!I:I,'Price List, Weapons &amp; Items'!B528)</f>
        <v>0</v>
      </c>
      <c r="O528" s="723">
        <f t="shared" si="54"/>
        <v>8820000</v>
      </c>
      <c r="P528" s="19">
        <f>IFERROR(IF(SEARCH(B528,_xlfn.ARRAYTOTEXT('Bilateral Assistance, MAIN DATA'!I$1:I$1622))&gt;0,1,""),0)</f>
        <v>1</v>
      </c>
      <c r="Q528" s="19">
        <f>IFERROR(IF(SEARCH(B528,_xlfn.ARRAYTOTEXT('Commercial Assistance'!I$1:I$1400))&gt;0,1,""),0)</f>
        <v>0</v>
      </c>
      <c r="R528" s="247" t="str">
        <f>IF(SUMIFS('Bilateral Assistance, MAIN DATA'!N:N,'Bilateral Assistance, MAIN DATA'!I:I,'Price List, Weapons &amp; Items'!B528)&gt;M528,1,".")</f>
        <v>.</v>
      </c>
    </row>
    <row r="529" spans="1:18" ht="15" customHeight="1" x14ac:dyDescent="0.3">
      <c r="A529" s="32" t="s">
        <v>27</v>
      </c>
      <c r="B529" s="19" t="s">
        <v>2272</v>
      </c>
      <c r="C529" s="19" t="s">
        <v>3987</v>
      </c>
      <c r="D529" s="19" t="s">
        <v>4064</v>
      </c>
      <c r="E529" s="199">
        <v>0</v>
      </c>
      <c r="F529" s="199">
        <v>0</v>
      </c>
      <c r="G529" s="707">
        <v>17867.830000000002</v>
      </c>
      <c r="H529" s="301" t="s">
        <v>346</v>
      </c>
      <c r="I529" s="852" t="s">
        <v>4835</v>
      </c>
      <c r="J529" s="258" t="s">
        <v>3967</v>
      </c>
      <c r="K529" s="258" t="s">
        <v>4836</v>
      </c>
      <c r="L529" s="247" t="str">
        <f t="shared" si="55"/>
        <v>no price, 0 count</v>
      </c>
      <c r="M529" s="121">
        <f>SUMIFS('Bilateral Assistance, MAIN DATA'!M:M,'Bilateral Assistance, MAIN DATA'!I:I,'Price List, Weapons &amp; Items'!B529)</f>
        <v>0</v>
      </c>
      <c r="N529" s="19">
        <f>COUNTIFS('Bilateral Assistance, MAIN DATA'!M:M,"undisclosed",'Bilateral Assistance, MAIN DATA'!I:I,'Price List, Weapons &amp; Items'!B529)</f>
        <v>1</v>
      </c>
      <c r="O529" s="723">
        <f t="shared" ref="O529:O548" si="56">IFERROR(M529*G529,"no price")</f>
        <v>0</v>
      </c>
      <c r="P529" s="19">
        <f>IFERROR(IF(SEARCH(B529,_xlfn.ARRAYTOTEXT('Bilateral Assistance, MAIN DATA'!I$1:I$1622))&gt;0,1,""),0)</f>
        <v>1</v>
      </c>
      <c r="Q529" s="19">
        <f>IFERROR(IF(SEARCH(B529,_xlfn.ARRAYTOTEXT('Commercial Assistance'!I$1:I$1400))&gt;0,1,""),0)</f>
        <v>0</v>
      </c>
      <c r="R529" s="247" t="str">
        <f>IF(SUMIFS('Bilateral Assistance, MAIN DATA'!N:N,'Bilateral Assistance, MAIN DATA'!I:I,'Price List, Weapons &amp; Items'!B529)&gt;M529,1,".")</f>
        <v>.</v>
      </c>
    </row>
    <row r="530" spans="1:18" ht="15" customHeight="1" x14ac:dyDescent="0.3">
      <c r="B530" s="185" t="s">
        <v>826</v>
      </c>
      <c r="C530" s="113" t="s">
        <v>4837</v>
      </c>
      <c r="D530" s="246" t="s">
        <v>4040</v>
      </c>
      <c r="E530" s="199">
        <v>0</v>
      </c>
      <c r="F530" s="199">
        <v>0</v>
      </c>
      <c r="G530" s="629" t="s">
        <v>260</v>
      </c>
      <c r="H530" s="721" t="s">
        <v>260</v>
      </c>
      <c r="I530" s="249" t="s">
        <v>260</v>
      </c>
      <c r="J530" s="249" t="s">
        <v>260</v>
      </c>
      <c r="K530" s="155" t="s">
        <v>260</v>
      </c>
      <c r="L530" s="247" t="str">
        <f t="shared" si="55"/>
        <v>no price, 0 count</v>
      </c>
      <c r="M530" s="121">
        <f>SUMIFS('Bilateral Assistance, MAIN DATA'!M:M,'Bilateral Assistance, MAIN DATA'!I:I,'Price List, Weapons &amp; Items'!B530)</f>
        <v>0</v>
      </c>
      <c r="N530" s="19">
        <f>COUNTIFS('Bilateral Assistance, MAIN DATA'!M:M,"undisclosed",'Bilateral Assistance, MAIN DATA'!I:I,'Price List, Weapons &amp; Items'!B530)</f>
        <v>1</v>
      </c>
      <c r="O530" s="723" t="str">
        <f t="shared" si="56"/>
        <v>no price</v>
      </c>
      <c r="P530" s="19">
        <f>IFERROR(IF(SEARCH(B530,_xlfn.ARRAYTOTEXT('Bilateral Assistance, MAIN DATA'!I$1:I$1622))&gt;0,1,""),0)</f>
        <v>1</v>
      </c>
      <c r="Q530" s="19">
        <f>IFERROR(IF(SEARCH(B530,_xlfn.ARRAYTOTEXT('Commercial Assistance'!I$1:I$1400))&gt;0,1,""),0)</f>
        <v>0</v>
      </c>
      <c r="R530" s="247" t="str">
        <f>IF(SUMIFS('Bilateral Assistance, MAIN DATA'!N:N,'Bilateral Assistance, MAIN DATA'!I:I,'Price List, Weapons &amp; Items'!B530)&gt;M530,1,".")</f>
        <v>.</v>
      </c>
    </row>
    <row r="531" spans="1:18" ht="15" customHeight="1" x14ac:dyDescent="0.3">
      <c r="B531" s="219" t="s">
        <v>1001</v>
      </c>
      <c r="C531" s="113" t="s">
        <v>812</v>
      </c>
      <c r="D531" s="246" t="s">
        <v>812</v>
      </c>
      <c r="E531" s="199">
        <v>0</v>
      </c>
      <c r="F531" s="199">
        <v>0</v>
      </c>
      <c r="G531" s="629" t="s">
        <v>260</v>
      </c>
      <c r="H531" s="721" t="s">
        <v>260</v>
      </c>
      <c r="I531" s="249" t="s">
        <v>260</v>
      </c>
      <c r="J531" s="249" t="s">
        <v>260</v>
      </c>
      <c r="K531" s="155" t="s">
        <v>260</v>
      </c>
      <c r="L531" s="247" t="str">
        <f t="shared" si="55"/>
        <v>no price, 0 count</v>
      </c>
      <c r="M531" s="121">
        <f>SUMIFS('Bilateral Assistance, MAIN DATA'!M:M,'Bilateral Assistance, MAIN DATA'!I:I,'Price List, Weapons &amp; Items'!B531)</f>
        <v>0</v>
      </c>
      <c r="N531" s="19">
        <f>COUNTIFS('Bilateral Assistance, MAIN DATA'!M:M,"undisclosed",'Bilateral Assistance, MAIN DATA'!I:I,'Price List, Weapons &amp; Items'!B531)</f>
        <v>1</v>
      </c>
      <c r="O531" s="723" t="str">
        <f t="shared" si="56"/>
        <v>no price</v>
      </c>
      <c r="P531" s="19">
        <f>IFERROR(IF(SEARCH(B531,_xlfn.ARRAYTOTEXT('Bilateral Assistance, MAIN DATA'!I$1:I$1622))&gt;0,1,""),0)</f>
        <v>1</v>
      </c>
      <c r="Q531" s="19">
        <f>IFERROR(IF(SEARCH(B531,_xlfn.ARRAYTOTEXT('Commercial Assistance'!I$1:I$1400))&gt;0,1,""),0)</f>
        <v>0</v>
      </c>
      <c r="R531" s="247" t="str">
        <f>IF(SUMIFS('Bilateral Assistance, MAIN DATA'!N:N,'Bilateral Assistance, MAIN DATA'!I:I,'Price List, Weapons &amp; Items'!B531)&gt;M531,1,".")</f>
        <v>.</v>
      </c>
    </row>
    <row r="532" spans="1:18" ht="15" customHeight="1" x14ac:dyDescent="0.3">
      <c r="B532" s="219" t="s">
        <v>1283</v>
      </c>
      <c r="C532" s="113" t="s">
        <v>3945</v>
      </c>
      <c r="D532" s="246" t="s">
        <v>3962</v>
      </c>
      <c r="E532" s="199">
        <v>0</v>
      </c>
      <c r="F532" s="199">
        <v>0</v>
      </c>
      <c r="G532" s="629" t="s">
        <v>260</v>
      </c>
      <c r="H532" s="721" t="s">
        <v>260</v>
      </c>
      <c r="I532" s="249" t="s">
        <v>260</v>
      </c>
      <c r="J532" s="249" t="s">
        <v>260</v>
      </c>
      <c r="K532" s="155" t="s">
        <v>260</v>
      </c>
      <c r="L532" s="247" t="str">
        <f t="shared" si="55"/>
        <v>no price, 0 count</v>
      </c>
      <c r="M532" s="121">
        <f>SUMIFS('Bilateral Assistance, MAIN DATA'!M:M,'Bilateral Assistance, MAIN DATA'!I:I,'Price List, Weapons &amp; Items'!B532)</f>
        <v>0</v>
      </c>
      <c r="N532" s="19">
        <f>COUNTIFS('Bilateral Assistance, MAIN DATA'!M:M,"undisclosed",'Bilateral Assistance, MAIN DATA'!I:I,'Price List, Weapons &amp; Items'!B532)</f>
        <v>1</v>
      </c>
      <c r="O532" s="723" t="str">
        <f t="shared" si="56"/>
        <v>no price</v>
      </c>
      <c r="P532" s="19">
        <f>IFERROR(IF(SEARCH(B532,_xlfn.ARRAYTOTEXT('Bilateral Assistance, MAIN DATA'!I$1:I$1622))&gt;0,1,""),0)</f>
        <v>1</v>
      </c>
      <c r="Q532" s="19">
        <f>IFERROR(IF(SEARCH(B532,_xlfn.ARRAYTOTEXT('Commercial Assistance'!I$1:I$1400))&gt;0,1,""),0)</f>
        <v>0</v>
      </c>
      <c r="R532" s="247" t="str">
        <f>IF(SUMIFS('Bilateral Assistance, MAIN DATA'!N:N,'Bilateral Assistance, MAIN DATA'!I:I,'Price List, Weapons &amp; Items'!B532)&gt;M532,1,".")</f>
        <v>.</v>
      </c>
    </row>
    <row r="533" spans="1:18" ht="15" customHeight="1" x14ac:dyDescent="0.3">
      <c r="B533" s="219" t="s">
        <v>1791</v>
      </c>
      <c r="C533" s="113" t="s">
        <v>3945</v>
      </c>
      <c r="D533" s="246" t="s">
        <v>4197</v>
      </c>
      <c r="E533" s="199">
        <v>0</v>
      </c>
      <c r="F533" s="199">
        <v>0</v>
      </c>
      <c r="G533" s="629">
        <v>341770000</v>
      </c>
      <c r="H533" s="721" t="s">
        <v>346</v>
      </c>
      <c r="I533" s="978" t="s">
        <v>3958</v>
      </c>
      <c r="J533" s="249" t="s">
        <v>3959</v>
      </c>
      <c r="K533" s="155" t="s">
        <v>4838</v>
      </c>
      <c r="L533" s="247">
        <f t="shared" si="55"/>
        <v>2</v>
      </c>
      <c r="M533" s="121">
        <f>SUMIFS('Bilateral Assistance, MAIN DATA'!M:M,'Bilateral Assistance, MAIN DATA'!I:I,'Price List, Weapons &amp; Items'!B533)</f>
        <v>1</v>
      </c>
      <c r="N533" s="19">
        <f>COUNTIFS('Bilateral Assistance, MAIN DATA'!M:M,"undisclosed",'Bilateral Assistance, MAIN DATA'!I:I,'Price List, Weapons &amp; Items'!B533)</f>
        <v>0</v>
      </c>
      <c r="O533" s="723">
        <f t="shared" si="56"/>
        <v>341770000</v>
      </c>
      <c r="P533" s="19">
        <f>IFERROR(IF(SEARCH(B533,_xlfn.ARRAYTOTEXT('Bilateral Assistance, MAIN DATA'!I$1:I$1622))&gt;0,1,""),0)</f>
        <v>1</v>
      </c>
      <c r="Q533" s="19">
        <f>IFERROR(IF(SEARCH(B533,_xlfn.ARRAYTOTEXT('Commercial Assistance'!I$1:I$1400))&gt;0,1,""),0)</f>
        <v>0</v>
      </c>
      <c r="R533" s="247" t="str">
        <f>IF(SUMIFS('Bilateral Assistance, MAIN DATA'!N:N,'Bilateral Assistance, MAIN DATA'!I:I,'Price List, Weapons &amp; Items'!B533)&gt;M533,1,".")</f>
        <v>.</v>
      </c>
    </row>
    <row r="534" spans="1:18" ht="15" customHeight="1" x14ac:dyDescent="0.3">
      <c r="B534" s="219" t="s">
        <v>2381</v>
      </c>
      <c r="C534" s="113" t="s">
        <v>256</v>
      </c>
      <c r="D534" s="246" t="s">
        <v>256</v>
      </c>
      <c r="E534" s="199">
        <v>0</v>
      </c>
      <c r="F534" s="199">
        <v>1</v>
      </c>
      <c r="G534" s="629">
        <v>3.5</v>
      </c>
      <c r="H534" s="721" t="s">
        <v>346</v>
      </c>
      <c r="I534" s="980" t="s">
        <v>4839</v>
      </c>
      <c r="J534" s="249" t="s">
        <v>3975</v>
      </c>
      <c r="K534" s="155" t="s">
        <v>4840</v>
      </c>
      <c r="L534" s="247">
        <f t="shared" si="55"/>
        <v>0</v>
      </c>
      <c r="M534" s="121">
        <f>SUMIFS('Bilateral Assistance, MAIN DATA'!M:M,'Bilateral Assistance, MAIN DATA'!I:I,'Price List, Weapons &amp; Items'!B534)</f>
        <v>50000000</v>
      </c>
      <c r="N534" s="19">
        <f>COUNTIFS('Bilateral Assistance, MAIN DATA'!M:M,"undisclosed",'Bilateral Assistance, MAIN DATA'!I:I,'Price List, Weapons &amp; Items'!B534)</f>
        <v>0</v>
      </c>
      <c r="O534" s="723">
        <f t="shared" si="56"/>
        <v>175000000</v>
      </c>
      <c r="P534" s="19">
        <f>IFERROR(IF(SEARCH(B534,_xlfn.ARRAYTOTEXT('Bilateral Assistance, MAIN DATA'!I$1:I$1622))&gt;0,1,""),0)</f>
        <v>1</v>
      </c>
      <c r="Q534" s="19">
        <f>IFERROR(IF(SEARCH(B534,_xlfn.ARRAYTOTEXT('Commercial Assistance'!I$1:I$1400))&gt;0,1,""),0)</f>
        <v>0</v>
      </c>
      <c r="R534" s="247" t="str">
        <f>IF(SUMIFS('Bilateral Assistance, MAIN DATA'!N:N,'Bilateral Assistance, MAIN DATA'!I:I,'Price List, Weapons &amp; Items'!B534)&gt;M534,1,".")</f>
        <v>.</v>
      </c>
    </row>
    <row r="535" spans="1:18" ht="15" customHeight="1" x14ac:dyDescent="0.3">
      <c r="B535" s="219" t="s">
        <v>2543</v>
      </c>
      <c r="C535" s="113" t="s">
        <v>812</v>
      </c>
      <c r="D535" s="246" t="s">
        <v>4040</v>
      </c>
      <c r="E535" s="199">
        <v>0</v>
      </c>
      <c r="F535" s="199">
        <v>0</v>
      </c>
      <c r="G535" s="629" t="s">
        <v>260</v>
      </c>
      <c r="H535" s="721" t="s">
        <v>260</v>
      </c>
      <c r="I535" s="249" t="s">
        <v>260</v>
      </c>
      <c r="J535" s="249" t="s">
        <v>260</v>
      </c>
      <c r="K535" s="155" t="s">
        <v>260</v>
      </c>
      <c r="L535" s="247" t="str">
        <f t="shared" si="55"/>
        <v>no price, 0 count</v>
      </c>
      <c r="M535" s="121">
        <f>SUMIFS('Bilateral Assistance, MAIN DATA'!M:M,'Bilateral Assistance, MAIN DATA'!I:I,'Price List, Weapons &amp; Items'!B535)</f>
        <v>0</v>
      </c>
      <c r="N535" s="19">
        <f>COUNTIFS('Bilateral Assistance, MAIN DATA'!M:M,"undisclosed",'Bilateral Assistance, MAIN DATA'!I:I,'Price List, Weapons &amp; Items'!B535)</f>
        <v>1</v>
      </c>
      <c r="O535" s="723" t="str">
        <f t="shared" si="56"/>
        <v>no price</v>
      </c>
      <c r="P535" s="19">
        <f>IFERROR(IF(SEARCH(B535,_xlfn.ARRAYTOTEXT('Bilateral Assistance, MAIN DATA'!I$1:I$1622))&gt;0,1,""),0)</f>
        <v>1</v>
      </c>
      <c r="Q535" s="19">
        <f>IFERROR(IF(SEARCH(B535,_xlfn.ARRAYTOTEXT('Commercial Assistance'!I$1:I$1400))&gt;0,1,""),0)</f>
        <v>0</v>
      </c>
      <c r="R535" s="247" t="str">
        <f>IF(SUMIFS('Bilateral Assistance, MAIN DATA'!N:N,'Bilateral Assistance, MAIN DATA'!I:I,'Price List, Weapons &amp; Items'!B535)&gt;M535,1,".")</f>
        <v>.</v>
      </c>
    </row>
    <row r="536" spans="1:18" ht="15" customHeight="1" x14ac:dyDescent="0.3">
      <c r="B536" s="219" t="s">
        <v>2545</v>
      </c>
      <c r="C536" s="113" t="s">
        <v>462</v>
      </c>
      <c r="D536" s="246" t="s">
        <v>4841</v>
      </c>
      <c r="E536" s="199">
        <v>0</v>
      </c>
      <c r="F536" s="199">
        <v>0</v>
      </c>
      <c r="G536" s="629" t="s">
        <v>260</v>
      </c>
      <c r="H536" s="721" t="s">
        <v>260</v>
      </c>
      <c r="I536" s="249" t="s">
        <v>260</v>
      </c>
      <c r="J536" s="249" t="s">
        <v>260</v>
      </c>
      <c r="K536" s="155" t="s">
        <v>260</v>
      </c>
      <c r="L536" s="247" t="str">
        <f t="shared" si="55"/>
        <v>no price, 0 count</v>
      </c>
      <c r="M536" s="121">
        <f>SUMIFS('Bilateral Assistance, MAIN DATA'!M:M,'Bilateral Assistance, MAIN DATA'!I:I,'Price List, Weapons &amp; Items'!B536)</f>
        <v>0</v>
      </c>
      <c r="N536" s="19">
        <f>COUNTIFS('Bilateral Assistance, MAIN DATA'!M:M,"undisclosed",'Bilateral Assistance, MAIN DATA'!I:I,'Price List, Weapons &amp; Items'!B536)</f>
        <v>1</v>
      </c>
      <c r="O536" s="723" t="str">
        <f t="shared" si="56"/>
        <v>no price</v>
      </c>
      <c r="P536" s="19">
        <f>IFERROR(IF(SEARCH(B536,_xlfn.ARRAYTOTEXT('Bilateral Assistance, MAIN DATA'!I$1:I$1622))&gt;0,1,""),0)</f>
        <v>1</v>
      </c>
      <c r="Q536" s="19">
        <f>IFERROR(IF(SEARCH(B536,_xlfn.ARRAYTOTEXT('Commercial Assistance'!I$1:I$1400))&gt;0,1,""),0)</f>
        <v>0</v>
      </c>
      <c r="R536" s="247" t="str">
        <f>IF(SUMIFS('Bilateral Assistance, MAIN DATA'!N:N,'Bilateral Assistance, MAIN DATA'!I:I,'Price List, Weapons &amp; Items'!B536)&gt;M536,1,".")</f>
        <v>.</v>
      </c>
    </row>
    <row r="537" spans="1:18" ht="15" customHeight="1" x14ac:dyDescent="0.3">
      <c r="B537" s="175" t="s">
        <v>2498</v>
      </c>
      <c r="C537" s="113" t="s">
        <v>256</v>
      </c>
      <c r="D537" s="246" t="s">
        <v>256</v>
      </c>
      <c r="E537" s="199">
        <v>0</v>
      </c>
      <c r="F537" s="199">
        <v>0</v>
      </c>
      <c r="G537" s="629" t="s">
        <v>260</v>
      </c>
      <c r="H537" s="721" t="s">
        <v>260</v>
      </c>
      <c r="I537" s="249" t="s">
        <v>260</v>
      </c>
      <c r="J537" s="249" t="s">
        <v>260</v>
      </c>
      <c r="K537" s="19" t="s">
        <v>260</v>
      </c>
      <c r="L537" s="247">
        <f t="shared" si="55"/>
        <v>0</v>
      </c>
      <c r="M537" s="121">
        <f>SUMIFS('Bilateral Assistance, MAIN DATA'!M:M,'Bilateral Assistance, MAIN DATA'!I:I,'Price List, Weapons &amp; Items'!B537)</f>
        <v>0</v>
      </c>
      <c r="N537" s="19">
        <f>COUNTIFS('Bilateral Assistance, MAIN DATA'!M:M,"undisclosed",'Bilateral Assistance, MAIN DATA'!I:I,'Price List, Weapons &amp; Items'!B537)</f>
        <v>1</v>
      </c>
      <c r="O537" s="723" t="str">
        <f t="shared" si="56"/>
        <v>no price</v>
      </c>
      <c r="P537" s="19">
        <f>IFERROR(IF(SEARCH(B537,_xlfn.ARRAYTOTEXT('Bilateral Assistance, MAIN DATA'!I$1:I$1622))&gt;0,1,""),0)</f>
        <v>1</v>
      </c>
      <c r="Q537" s="19">
        <f>IFERROR(IF(SEARCH(B537,_xlfn.ARRAYTOTEXT('Commercial Assistance'!I$1:I$1400))&gt;0,1,""),0)</f>
        <v>0</v>
      </c>
      <c r="R537" s="247" t="str">
        <f>IF(SUMIFS('Bilateral Assistance, MAIN DATA'!N:N,'Bilateral Assistance, MAIN DATA'!I:I,'Price List, Weapons &amp; Items'!B537)&gt;M537,1,".")</f>
        <v>.</v>
      </c>
    </row>
    <row r="538" spans="1:18" ht="15" customHeight="1" x14ac:dyDescent="0.3">
      <c r="A538" s="32" t="s">
        <v>27</v>
      </c>
      <c r="B538" s="19" t="s">
        <v>470</v>
      </c>
      <c r="C538" s="19" t="s">
        <v>812</v>
      </c>
      <c r="D538" s="19" t="s">
        <v>812</v>
      </c>
      <c r="E538" s="199">
        <v>0</v>
      </c>
      <c r="F538" s="199">
        <v>0</v>
      </c>
      <c r="G538" s="707">
        <v>40000</v>
      </c>
      <c r="H538" s="301" t="s">
        <v>346</v>
      </c>
      <c r="I538" s="852" t="s">
        <v>4842</v>
      </c>
      <c r="J538" s="258" t="s">
        <v>4082</v>
      </c>
      <c r="K538" s="258" t="s">
        <v>4843</v>
      </c>
      <c r="L538" s="247">
        <f t="shared" si="55"/>
        <v>1</v>
      </c>
      <c r="M538" s="121">
        <f>SUMIFS('Bilateral Assistance, MAIN DATA'!M:M,'Bilateral Assistance, MAIN DATA'!I:I,'Price List, Weapons &amp; Items'!B538)</f>
        <v>10</v>
      </c>
      <c r="N538" s="19">
        <f>COUNTIFS('Bilateral Assistance, MAIN DATA'!M:M,"undisclosed",'Bilateral Assistance, MAIN DATA'!I:I,'Price List, Weapons &amp; Items'!B538)</f>
        <v>0</v>
      </c>
      <c r="O538" s="723">
        <f t="shared" si="56"/>
        <v>400000</v>
      </c>
      <c r="P538" s="19">
        <f>IFERROR(IF(SEARCH(B538,_xlfn.ARRAYTOTEXT('Bilateral Assistance, MAIN DATA'!I$1:I$1622))&gt;0,1,""),0)</f>
        <v>1</v>
      </c>
      <c r="Q538" s="19">
        <f>IFERROR(IF(SEARCH(B538,_xlfn.ARRAYTOTEXT('Commercial Assistance'!I$1:I$1400))&gt;0,1,""),0)</f>
        <v>0</v>
      </c>
      <c r="R538" s="247" t="str">
        <f>IF(SUMIFS('Bilateral Assistance, MAIN DATA'!N:N,'Bilateral Assistance, MAIN DATA'!I:I,'Price List, Weapons &amp; Items'!B538)&gt;M538,1,".")</f>
        <v>.</v>
      </c>
    </row>
    <row r="539" spans="1:18" ht="15" customHeight="1" x14ac:dyDescent="0.3">
      <c r="A539" s="32" t="s">
        <v>27</v>
      </c>
      <c r="B539" s="19" t="s">
        <v>473</v>
      </c>
      <c r="C539" s="19" t="s">
        <v>812</v>
      </c>
      <c r="D539" s="19" t="s">
        <v>4190</v>
      </c>
      <c r="E539" s="199">
        <v>0</v>
      </c>
      <c r="F539" s="199">
        <v>0</v>
      </c>
      <c r="G539" s="708" t="s">
        <v>260</v>
      </c>
      <c r="H539" s="302" t="s">
        <v>346</v>
      </c>
      <c r="I539" s="847" t="s">
        <v>4648</v>
      </c>
      <c r="J539" s="265" t="s">
        <v>27</v>
      </c>
      <c r="K539" s="265" t="s">
        <v>4844</v>
      </c>
      <c r="L539" s="247">
        <f t="shared" si="55"/>
        <v>0</v>
      </c>
      <c r="M539" s="121">
        <f>SUMIFS('Bilateral Assistance, MAIN DATA'!M:M,'Bilateral Assistance, MAIN DATA'!I:I,'Price List, Weapons &amp; Items'!B539)</f>
        <v>2</v>
      </c>
      <c r="N539" s="19">
        <f>COUNTIFS('Bilateral Assistance, MAIN DATA'!M:M,"undisclosed",'Bilateral Assistance, MAIN DATA'!I:I,'Price List, Weapons &amp; Items'!B539)</f>
        <v>0</v>
      </c>
      <c r="O539" s="723" t="str">
        <f t="shared" si="56"/>
        <v>no price</v>
      </c>
      <c r="P539" s="19">
        <f>IFERROR(IF(SEARCH(B539,_xlfn.ARRAYTOTEXT('Bilateral Assistance, MAIN DATA'!I$1:I$1622))&gt;0,1,""),0)</f>
        <v>1</v>
      </c>
      <c r="Q539" s="19">
        <f>IFERROR(IF(SEARCH(B539,_xlfn.ARRAYTOTEXT('Commercial Assistance'!I$1:I$1400))&gt;0,1,""),0)</f>
        <v>0</v>
      </c>
      <c r="R539" s="247" t="str">
        <f>IF(SUMIFS('Bilateral Assistance, MAIN DATA'!N:N,'Bilateral Assistance, MAIN DATA'!I:I,'Price List, Weapons &amp; Items'!B539)&gt;M539,1,".")</f>
        <v>.</v>
      </c>
    </row>
    <row r="540" spans="1:18" ht="15" customHeight="1" x14ac:dyDescent="0.3">
      <c r="A540" s="32" t="s">
        <v>27</v>
      </c>
      <c r="B540" s="19" t="s">
        <v>2034</v>
      </c>
      <c r="C540" s="19" t="s">
        <v>3987</v>
      </c>
      <c r="D540" s="19" t="s">
        <v>4064</v>
      </c>
      <c r="E540" s="199">
        <v>1</v>
      </c>
      <c r="F540" s="199">
        <v>0</v>
      </c>
      <c r="G540" s="708">
        <v>207.68</v>
      </c>
      <c r="H540" s="302" t="s">
        <v>346</v>
      </c>
      <c r="I540" s="847" t="s">
        <v>4540</v>
      </c>
      <c r="J540" s="265" t="s">
        <v>3971</v>
      </c>
      <c r="K540" s="265" t="s">
        <v>4541</v>
      </c>
      <c r="L540" s="247">
        <f t="shared" si="55"/>
        <v>2</v>
      </c>
      <c r="M540" s="121">
        <f>SUMIFS('Bilateral Assistance, MAIN DATA'!M:M,'Bilateral Assistance, MAIN DATA'!I:I,'Price List, Weapons &amp; Items'!B540)</f>
        <v>12500</v>
      </c>
      <c r="N540" s="19">
        <f>COUNTIFS('Bilateral Assistance, MAIN DATA'!M:M,"undisclosed",'Bilateral Assistance, MAIN DATA'!I:I,'Price List, Weapons &amp; Items'!B540)</f>
        <v>0</v>
      </c>
      <c r="O540" s="723">
        <f t="shared" si="56"/>
        <v>2596000</v>
      </c>
      <c r="P540" s="19">
        <f>IFERROR(IF(SEARCH(B540,_xlfn.ARRAYTOTEXT('Bilateral Assistance, MAIN DATA'!I$1:I$1622))&gt;0,1,""),0)</f>
        <v>1</v>
      </c>
      <c r="Q540" s="19">
        <f>IFERROR(IF(SEARCH(B540,_xlfn.ARRAYTOTEXT('Commercial Assistance'!I$1:I$1400))&gt;0,1,""),0)</f>
        <v>0</v>
      </c>
      <c r="R540" s="247" t="str">
        <f>IF(SUMIFS('Bilateral Assistance, MAIN DATA'!N:N,'Bilateral Assistance, MAIN DATA'!I:I,'Price List, Weapons &amp; Items'!B540)&gt;M540,1,".")</f>
        <v>.</v>
      </c>
    </row>
    <row r="541" spans="1:18" ht="15" customHeight="1" x14ac:dyDescent="0.3">
      <c r="A541" s="32" t="s">
        <v>27</v>
      </c>
      <c r="B541" s="19" t="s">
        <v>2037</v>
      </c>
      <c r="C541" s="19" t="s">
        <v>3954</v>
      </c>
      <c r="D541" s="19" t="s">
        <v>3966</v>
      </c>
      <c r="E541" s="199">
        <v>0</v>
      </c>
      <c r="F541" s="199">
        <v>1</v>
      </c>
      <c r="G541" s="708">
        <v>875000</v>
      </c>
      <c r="H541" s="302" t="s">
        <v>346</v>
      </c>
      <c r="I541" s="847" t="s">
        <v>4845</v>
      </c>
      <c r="J541" s="265" t="s">
        <v>3959</v>
      </c>
      <c r="K541" s="265" t="s">
        <v>4846</v>
      </c>
      <c r="L541" s="247">
        <f t="shared" si="55"/>
        <v>2</v>
      </c>
      <c r="M541" s="121">
        <f>SUMIFS('Bilateral Assistance, MAIN DATA'!M:M,'Bilateral Assistance, MAIN DATA'!I:I,'Price List, Weapons &amp; Items'!B541)</f>
        <v>6</v>
      </c>
      <c r="N541" s="19">
        <f>COUNTIFS('Bilateral Assistance, MAIN DATA'!M:M,"undisclosed",'Bilateral Assistance, MAIN DATA'!I:I,'Price List, Weapons &amp; Items'!B541)</f>
        <v>0</v>
      </c>
      <c r="O541" s="723">
        <f t="shared" si="56"/>
        <v>5250000</v>
      </c>
      <c r="P541" s="19">
        <f>IFERROR(IF(SEARCH(B541,_xlfn.ARRAYTOTEXT('Bilateral Assistance, MAIN DATA'!I$1:I$1622))&gt;0,1,""),0)</f>
        <v>1</v>
      </c>
      <c r="Q541" s="19">
        <f>IFERROR(IF(SEARCH(B541,_xlfn.ARRAYTOTEXT('Commercial Assistance'!I$1:I$1400))&gt;0,1,""),0)</f>
        <v>0</v>
      </c>
      <c r="R541" s="247" t="str">
        <f>IF(SUMIFS('Bilateral Assistance, MAIN DATA'!N:N,'Bilateral Assistance, MAIN DATA'!I:I,'Price List, Weapons &amp; Items'!B541)&gt;M541,1,".")</f>
        <v>.</v>
      </c>
    </row>
    <row r="542" spans="1:18" ht="15" customHeight="1" x14ac:dyDescent="0.3">
      <c r="A542" s="32" t="s">
        <v>27</v>
      </c>
      <c r="B542" s="19" t="s">
        <v>2040</v>
      </c>
      <c r="C542" s="19" t="s">
        <v>812</v>
      </c>
      <c r="D542" s="19" t="s">
        <v>812</v>
      </c>
      <c r="E542" s="199">
        <v>0</v>
      </c>
      <c r="F542" s="199">
        <v>0</v>
      </c>
      <c r="G542" s="708" t="s">
        <v>4847</v>
      </c>
      <c r="H542" s="302" t="s">
        <v>346</v>
      </c>
      <c r="I542" s="265" t="s">
        <v>260</v>
      </c>
      <c r="J542" s="265" t="s">
        <v>260</v>
      </c>
      <c r="K542" s="265" t="s">
        <v>4844</v>
      </c>
      <c r="L542" s="247">
        <f t="shared" si="55"/>
        <v>0</v>
      </c>
      <c r="M542" s="121">
        <f>SUMIFS('Bilateral Assistance, MAIN DATA'!M:M,'Bilateral Assistance, MAIN DATA'!I:I,'Price List, Weapons &amp; Items'!B542)</f>
        <v>30</v>
      </c>
      <c r="N542" s="19">
        <f>COUNTIFS('Bilateral Assistance, MAIN DATA'!M:M,"undisclosed",'Bilateral Assistance, MAIN DATA'!I:I,'Price List, Weapons &amp; Items'!B542)</f>
        <v>0</v>
      </c>
      <c r="O542" s="723" t="str">
        <f t="shared" si="56"/>
        <v>no price</v>
      </c>
      <c r="P542" s="19">
        <f>IFERROR(IF(SEARCH(B542,_xlfn.ARRAYTOTEXT('Bilateral Assistance, MAIN DATA'!I$1:I$1622))&gt;0,1,""),0)</f>
        <v>1</v>
      </c>
      <c r="Q542" s="19">
        <f>IFERROR(IF(SEARCH(B542,_xlfn.ARRAYTOTEXT('Commercial Assistance'!I$1:I$1400))&gt;0,1,""),0)</f>
        <v>0</v>
      </c>
      <c r="R542" s="247" t="str">
        <f>IF(SUMIFS('Bilateral Assistance, MAIN DATA'!N:N,'Bilateral Assistance, MAIN DATA'!I:I,'Price List, Weapons &amp; Items'!B542)&gt;M542,1,".")</f>
        <v>.</v>
      </c>
    </row>
    <row r="543" spans="1:18" ht="15" customHeight="1" x14ac:dyDescent="0.3">
      <c r="A543" s="32" t="s">
        <v>27</v>
      </c>
      <c r="B543" s="19" t="s">
        <v>4848</v>
      </c>
      <c r="C543" s="19" t="s">
        <v>812</v>
      </c>
      <c r="D543" s="19" t="s">
        <v>812</v>
      </c>
      <c r="E543" s="199">
        <v>0</v>
      </c>
      <c r="F543" s="199">
        <v>0</v>
      </c>
      <c r="G543" s="708" t="s">
        <v>4847</v>
      </c>
      <c r="H543" s="302" t="s">
        <v>346</v>
      </c>
      <c r="I543" s="265" t="s">
        <v>260</v>
      </c>
      <c r="J543" s="265" t="s">
        <v>260</v>
      </c>
      <c r="K543" s="265" t="s">
        <v>4849</v>
      </c>
      <c r="L543" s="247">
        <f t="shared" ref="L543:L548" si="57">IF(C543="Humanitarian",0,IF(M543&gt;0,IF(TYPE(O543)=1,IF(O543&gt;MEDIAN(O:O),2,1),0),"no price, 0 count"))</f>
        <v>0</v>
      </c>
      <c r="M543" s="121">
        <f>SUMIFS('Bilateral Assistance, MAIN DATA'!M:M,'Bilateral Assistance, MAIN DATA'!I:I,'Price List, Weapons &amp; Items'!B543)</f>
        <v>10</v>
      </c>
      <c r="N543" s="19">
        <f>COUNTIFS('Bilateral Assistance, MAIN DATA'!M:M,"undisclosed",'Bilateral Assistance, MAIN DATA'!I:I,'Price List, Weapons &amp; Items'!B543)</f>
        <v>0</v>
      </c>
      <c r="O543" s="723" t="str">
        <f t="shared" si="56"/>
        <v>no price</v>
      </c>
      <c r="P543" s="19">
        <f>IFERROR(IF(SEARCH(B543,_xlfn.ARRAYTOTEXT('Bilateral Assistance, MAIN DATA'!I$1:I$1622))&gt;0,1,""),0)</f>
        <v>1</v>
      </c>
      <c r="Q543" s="19">
        <f>IFERROR(IF(SEARCH(B543,_xlfn.ARRAYTOTEXT('Commercial Assistance'!I$1:I$1400))&gt;0,1,""),0)</f>
        <v>0</v>
      </c>
      <c r="R543" s="247" t="str">
        <f>IF(SUMIFS('Bilateral Assistance, MAIN DATA'!N:N,'Bilateral Assistance, MAIN DATA'!I:I,'Price List, Weapons &amp; Items'!B543)&gt;M543,1,".")</f>
        <v>.</v>
      </c>
    </row>
    <row r="544" spans="1:18" ht="15" customHeight="1" x14ac:dyDescent="0.3">
      <c r="A544" s="32" t="s">
        <v>27</v>
      </c>
      <c r="B544" s="19" t="s">
        <v>3000</v>
      </c>
      <c r="C544" s="19" t="s">
        <v>3954</v>
      </c>
      <c r="D544" s="19" t="s">
        <v>4850</v>
      </c>
      <c r="E544" s="199">
        <v>0</v>
      </c>
      <c r="F544" s="199">
        <v>0</v>
      </c>
      <c r="G544" s="708">
        <v>4078192.55</v>
      </c>
      <c r="H544" s="302" t="s">
        <v>346</v>
      </c>
      <c r="I544" s="858" t="s">
        <v>3958</v>
      </c>
      <c r="J544" s="265" t="s">
        <v>3959</v>
      </c>
      <c r="K544" s="709" t="s">
        <v>3960</v>
      </c>
      <c r="L544" s="247">
        <f t="shared" si="57"/>
        <v>2</v>
      </c>
      <c r="M544" s="121">
        <f>SUMIFS('Bilateral Assistance, MAIN DATA'!M:M,'Bilateral Assistance, MAIN DATA'!I:I,'Price List, Weapons &amp; Items'!B544)</f>
        <v>3</v>
      </c>
      <c r="N544" s="19">
        <f>COUNTIFS('Bilateral Assistance, MAIN DATA'!M:M,"undisclosed",'Bilateral Assistance, MAIN DATA'!I:I,'Price List, Weapons &amp; Items'!B544)</f>
        <v>0</v>
      </c>
      <c r="O544" s="723">
        <f t="shared" si="56"/>
        <v>12234577.649999999</v>
      </c>
      <c r="P544" s="19">
        <f>IFERROR(IF(SEARCH(B544,_xlfn.ARRAYTOTEXT('Bilateral Assistance, MAIN DATA'!I$1:I$1622))&gt;0,1,""),0)</f>
        <v>1</v>
      </c>
      <c r="Q544" s="19">
        <f>IFERROR(IF(SEARCH(B544,_xlfn.ARRAYTOTEXT('Commercial Assistance'!I$1:I$1400))&gt;0,1,""),0)</f>
        <v>0</v>
      </c>
      <c r="R544" s="247" t="str">
        <f>IF(SUMIFS('Bilateral Assistance, MAIN DATA'!N:N,'Bilateral Assistance, MAIN DATA'!I:I,'Price List, Weapons &amp; Items'!B544)&gt;M544,1,".")</f>
        <v>.</v>
      </c>
    </row>
    <row r="545" spans="2:18" ht="15" customHeight="1" x14ac:dyDescent="0.3">
      <c r="B545" s="17" t="s">
        <v>1579</v>
      </c>
      <c r="C545" s="113" t="s">
        <v>3945</v>
      </c>
      <c r="D545" s="246" t="s">
        <v>4197</v>
      </c>
      <c r="E545" s="199">
        <v>0</v>
      </c>
      <c r="F545" s="199">
        <v>1</v>
      </c>
      <c r="G545" s="710">
        <v>400000000</v>
      </c>
      <c r="H545" s="199" t="s">
        <v>346</v>
      </c>
      <c r="I545" s="305" t="s">
        <v>4851</v>
      </c>
      <c r="J545" s="258" t="s">
        <v>3967</v>
      </c>
      <c r="K545" s="19" t="s">
        <v>4852</v>
      </c>
      <c r="L545" s="247">
        <f t="shared" si="57"/>
        <v>2</v>
      </c>
      <c r="M545" s="121">
        <f>SUMIFS('Bilateral Assistance, MAIN DATA'!M:M,'Bilateral Assistance, MAIN DATA'!I:I,'Price List, Weapons &amp; Items'!B545)</f>
        <v>2</v>
      </c>
      <c r="N545" s="19">
        <f>COUNTIFS('Bilateral Assistance, MAIN DATA'!M:M,"undisclosed",'Bilateral Assistance, MAIN DATA'!I:I,'Price List, Weapons &amp; Items'!B545)</f>
        <v>0</v>
      </c>
      <c r="O545" s="723">
        <f t="shared" si="56"/>
        <v>800000000</v>
      </c>
      <c r="P545" s="19">
        <f>IFERROR(IF(SEARCH(B545,_xlfn.ARRAYTOTEXT('Bilateral Assistance, MAIN DATA'!I$1:I$1622))&gt;0,1,""),0)</f>
        <v>1</v>
      </c>
      <c r="Q545" s="19">
        <f>IFERROR(IF(SEARCH(B545,_xlfn.ARRAYTOTEXT('Commercial Assistance'!I$1:I$1400))&gt;0,1,""),0)</f>
        <v>0</v>
      </c>
      <c r="R545" s="247" t="str">
        <f>IF(SUMIFS('Bilateral Assistance, MAIN DATA'!N:N,'Bilateral Assistance, MAIN DATA'!I:I,'Price List, Weapons &amp; Items'!B545)&gt;M545,1,".")</f>
        <v>.</v>
      </c>
    </row>
    <row r="546" spans="2:18" ht="15" customHeight="1" x14ac:dyDescent="0.3">
      <c r="B546" s="17" t="s">
        <v>1581</v>
      </c>
      <c r="C546" s="113" t="s">
        <v>3945</v>
      </c>
      <c r="D546" s="246" t="s">
        <v>4032</v>
      </c>
      <c r="E546" s="199">
        <v>0</v>
      </c>
      <c r="F546" s="199">
        <v>1</v>
      </c>
      <c r="G546" s="710">
        <v>3000000</v>
      </c>
      <c r="H546" s="199" t="s">
        <v>346</v>
      </c>
      <c r="I546" s="305" t="s">
        <v>4853</v>
      </c>
      <c r="J546" s="155" t="s">
        <v>3964</v>
      </c>
      <c r="K546" s="19" t="s">
        <v>4854</v>
      </c>
      <c r="L546" s="247" t="str">
        <f t="shared" si="57"/>
        <v>no price, 0 count</v>
      </c>
      <c r="M546" s="121">
        <f>SUMIFS('Bilateral Assistance, MAIN DATA'!M:M,'Bilateral Assistance, MAIN DATA'!I:I,'Price List, Weapons &amp; Items'!B546)</f>
        <v>0</v>
      </c>
      <c r="N546" s="19">
        <f>COUNTIFS('Bilateral Assistance, MAIN DATA'!M:M,"undisclosed",'Bilateral Assistance, MAIN DATA'!I:I,'Price List, Weapons &amp; Items'!B546)</f>
        <v>2</v>
      </c>
      <c r="O546" s="723">
        <f t="shared" si="56"/>
        <v>0</v>
      </c>
      <c r="P546" s="19">
        <f>IFERROR(IF(SEARCH(B546,_xlfn.ARRAYTOTEXT('Bilateral Assistance, MAIN DATA'!I$1:I$1622))&gt;0,1,""),0)</f>
        <v>1</v>
      </c>
      <c r="Q546" s="19">
        <f>IFERROR(IF(SEARCH(B546,_xlfn.ARRAYTOTEXT('Commercial Assistance'!I$1:I$1400))&gt;0,1,""),0)</f>
        <v>0</v>
      </c>
      <c r="R546" s="247" t="str">
        <f>IF(SUMIFS('Bilateral Assistance, MAIN DATA'!N:N,'Bilateral Assistance, MAIN DATA'!I:I,'Price List, Weapons &amp; Items'!B546)&gt;M546,1,".")</f>
        <v>.</v>
      </c>
    </row>
    <row r="547" spans="2:18" ht="15" customHeight="1" x14ac:dyDescent="0.3">
      <c r="B547" s="175" t="s">
        <v>3392</v>
      </c>
      <c r="C547" s="113" t="s">
        <v>3939</v>
      </c>
      <c r="D547" s="246" t="s">
        <v>4059</v>
      </c>
      <c r="E547" s="199">
        <v>0</v>
      </c>
      <c r="F547" s="199">
        <f t="shared" ref="F547" si="58">IF(OR(D547="Armoured Personnel Carrier (APC)",D547="Armoured Recovery Vehicle (ARV)",D547="Armoured Utility Vehicle (AUV)",D547="152mm howitzer ammunition",D547="155mm howitzer ammunition",D547="300mm MLRS ammunition",D547="155mm howitzer",D547="227mm MLRS ammunition",D547="Infantry fighting vehicle (IFV)",D547="152mm howitzer",D547="227mm MLRS",D547="Main Battle Tank (MBT)",D547="Protected Patrol Vehicle (PPV)",D547="127mm MLRS",D547="122mm MLRS",D547="122mm MLRS ammunition",D547="122mm MLRS",D547="127mm MLRS",D547="127mm MLRS ammunition")=TRUE,1,0)</f>
        <v>0</v>
      </c>
      <c r="G547" s="629">
        <v>10658</v>
      </c>
      <c r="H547" s="720" t="str">
        <f t="shared" ref="H547" si="59">IF(G547&lt;&gt;".","USD",".")</f>
        <v>USD</v>
      </c>
      <c r="I547" s="821" t="s">
        <v>4060</v>
      </c>
      <c r="J547" s="155" t="s">
        <v>3967</v>
      </c>
      <c r="K547" s="155" t="s">
        <v>4061</v>
      </c>
      <c r="L547" s="247">
        <f t="shared" si="57"/>
        <v>1</v>
      </c>
      <c r="M547" s="121">
        <f>SUMIFS('Bilateral Assistance, MAIN DATA'!M:M,'Bilateral Assistance, MAIN DATA'!I:I,'Price List, Weapons &amp; Items'!B547)</f>
        <v>10</v>
      </c>
      <c r="N547" s="19">
        <f>COUNTIFS('Bilateral Assistance, MAIN DATA'!M:M,"undisclosed",'Bilateral Assistance, MAIN DATA'!I:I,'Price List, Weapons &amp; Items'!B547)</f>
        <v>0</v>
      </c>
      <c r="O547" s="723">
        <f t="shared" si="56"/>
        <v>106580</v>
      </c>
      <c r="P547" s="19">
        <f>IFERROR(IF(SEARCH(B547,_xlfn.ARRAYTOTEXT('Bilateral Assistance, MAIN DATA'!I$1:I$1622))&gt;0,1,""),0)</f>
        <v>1</v>
      </c>
      <c r="Q547" s="19">
        <f>IFERROR(IF(SEARCH(B547,_xlfn.ARRAYTOTEXT('Commercial Assistance'!I$1:I$1400))&gt;0,1,""),0)</f>
        <v>0</v>
      </c>
      <c r="R547" s="247" t="str">
        <f>IF(SUMIFS('Bilateral Assistance, MAIN DATA'!N:N,'Bilateral Assistance, MAIN DATA'!I:I,'Price List, Weapons &amp; Items'!B547)&gt;M547,1,".")</f>
        <v>.</v>
      </c>
    </row>
    <row r="548" spans="2:18" ht="15" customHeight="1" x14ac:dyDescent="0.3">
      <c r="B548" s="175" t="s">
        <v>3391</v>
      </c>
      <c r="C548" s="113" t="s">
        <v>3939</v>
      </c>
      <c r="D548" s="246" t="s">
        <v>4059</v>
      </c>
      <c r="E548" s="199">
        <v>0</v>
      </c>
      <c r="F548" s="199">
        <v>0</v>
      </c>
      <c r="G548" s="710">
        <v>24717</v>
      </c>
      <c r="H548" s="199" t="s">
        <v>346</v>
      </c>
      <c r="I548" s="305" t="s">
        <v>4855</v>
      </c>
      <c r="J548" s="155" t="s">
        <v>3967</v>
      </c>
      <c r="K548" s="19" t="s">
        <v>4856</v>
      </c>
      <c r="L548" s="247">
        <f t="shared" si="57"/>
        <v>1</v>
      </c>
      <c r="M548" s="121">
        <f>SUMIFS('Bilateral Assistance, MAIN DATA'!M:M,'Bilateral Assistance, MAIN DATA'!I:I,'Price List, Weapons &amp; Items'!B548)</f>
        <v>10</v>
      </c>
      <c r="N548" s="19">
        <f>COUNTIFS('Bilateral Assistance, MAIN DATA'!M:M,"undisclosed",'Bilateral Assistance, MAIN DATA'!I:I,'Price List, Weapons &amp; Items'!B548)</f>
        <v>0</v>
      </c>
      <c r="O548" s="723">
        <f t="shared" si="56"/>
        <v>247170</v>
      </c>
      <c r="P548" s="19">
        <f>IFERROR(IF(SEARCH(B548,_xlfn.ARRAYTOTEXT('Bilateral Assistance, MAIN DATA'!I$1:I$1622))&gt;0,1,""),0)</f>
        <v>1</v>
      </c>
      <c r="Q548" s="19">
        <f>IFERROR(IF(SEARCH(B548,_xlfn.ARRAYTOTEXT('Commercial Assistance'!I$1:I$1400))&gt;0,1,""),0)</f>
        <v>0</v>
      </c>
      <c r="R548" s="247" t="str">
        <f>IF(SUMIFS('Bilateral Assistance, MAIN DATA'!N:N,'Bilateral Assistance, MAIN DATA'!I:I,'Price List, Weapons &amp; Items'!B548)&gt;M548,1,".")</f>
        <v>.</v>
      </c>
    </row>
    <row r="549" spans="2:18" ht="15" customHeight="1" x14ac:dyDescent="0.3">
      <c r="B549" s="17" t="s">
        <v>1439</v>
      </c>
      <c r="C549" s="113" t="s">
        <v>4837</v>
      </c>
      <c r="D549" s="19" t="s">
        <v>4064</v>
      </c>
      <c r="E549" s="199">
        <v>0</v>
      </c>
      <c r="F549" s="199">
        <v>0</v>
      </c>
      <c r="G549" s="710" t="s">
        <v>260</v>
      </c>
      <c r="H549" s="199" t="s">
        <v>260</v>
      </c>
      <c r="I549" s="19" t="s">
        <v>260</v>
      </c>
      <c r="J549" s="19" t="s">
        <v>260</v>
      </c>
      <c r="K549" s="19" t="s">
        <v>260</v>
      </c>
      <c r="L549" s="247">
        <f t="shared" ref="L549:L568" si="60">IF(C549="Humanitarian",0,IF(M549&gt;0,IF(TYPE(O549)=1,IF(O549&gt;MEDIAN(O:O),2,1),0),"no price, 0 count"))</f>
        <v>0</v>
      </c>
      <c r="M549" s="121">
        <f>SUMIFS('Bilateral Assistance, MAIN DATA'!M:M,'Bilateral Assistance, MAIN DATA'!I:I,'Price List, Weapons &amp; Items'!B549)</f>
        <v>14</v>
      </c>
      <c r="N549" s="19">
        <f>COUNTIFS('Bilateral Assistance, MAIN DATA'!M:M,"undisclosed",'Bilateral Assistance, MAIN DATA'!I:I,'Price List, Weapons &amp; Items'!B549)</f>
        <v>0</v>
      </c>
      <c r="O549" s="723" t="str">
        <f t="shared" ref="O549:O573" si="61">IFERROR(M549*G549,"no price")</f>
        <v>no price</v>
      </c>
      <c r="P549" s="19">
        <f>IFERROR(IF(SEARCH(B549,_xlfn.ARRAYTOTEXT('Bilateral Assistance, MAIN DATA'!I$1:I$1622))&gt;0,1,""),0)</f>
        <v>1</v>
      </c>
      <c r="Q549" s="19">
        <f>IFERROR(IF(SEARCH(B549,_xlfn.ARRAYTOTEXT('Commercial Assistance'!I$1:I$1400))&gt;0,1,""),0)</f>
        <v>0</v>
      </c>
      <c r="R549" s="247" t="str">
        <f>IF(SUMIFS('Bilateral Assistance, MAIN DATA'!N:N,'Bilateral Assistance, MAIN DATA'!I:I,'Price List, Weapons &amp; Items'!B549)&gt;M549,1,".")</f>
        <v>.</v>
      </c>
    </row>
    <row r="550" spans="2:18" ht="15" customHeight="1" x14ac:dyDescent="0.3">
      <c r="B550" s="17" t="s">
        <v>1442</v>
      </c>
      <c r="C550" s="113" t="s">
        <v>812</v>
      </c>
      <c r="D550" s="19" t="s">
        <v>812</v>
      </c>
      <c r="E550" s="199">
        <v>0</v>
      </c>
      <c r="F550" s="199">
        <v>0</v>
      </c>
      <c r="G550" s="710" t="s">
        <v>260</v>
      </c>
      <c r="H550" s="199" t="s">
        <v>260</v>
      </c>
      <c r="I550" s="19" t="s">
        <v>260</v>
      </c>
      <c r="J550" s="19" t="s">
        <v>260</v>
      </c>
      <c r="K550" s="19" t="s">
        <v>260</v>
      </c>
      <c r="L550" s="247">
        <f t="shared" si="60"/>
        <v>0</v>
      </c>
      <c r="M550" s="121">
        <f>SUMIFS('Bilateral Assistance, MAIN DATA'!M:M,'Bilateral Assistance, MAIN DATA'!I:I,'Price List, Weapons &amp; Items'!B550)</f>
        <v>120</v>
      </c>
      <c r="N550" s="19">
        <f>COUNTIFS('Bilateral Assistance, MAIN DATA'!M:M,"undisclosed",'Bilateral Assistance, MAIN DATA'!I:I,'Price List, Weapons &amp; Items'!B550)</f>
        <v>0</v>
      </c>
      <c r="O550" s="723" t="str">
        <f t="shared" si="61"/>
        <v>no price</v>
      </c>
      <c r="P550" s="19">
        <f>IFERROR(IF(SEARCH(B550,_xlfn.ARRAYTOTEXT('Bilateral Assistance, MAIN DATA'!I$1:I$1622))&gt;0,1,""),0)</f>
        <v>1</v>
      </c>
      <c r="Q550" s="19">
        <f>IFERROR(IF(SEARCH(B550,_xlfn.ARRAYTOTEXT('Commercial Assistance'!I$1:I$1400))&gt;0,1,""),0)</f>
        <v>0</v>
      </c>
      <c r="R550" s="247" t="str">
        <f>IF(SUMIFS('Bilateral Assistance, MAIN DATA'!N:N,'Bilateral Assistance, MAIN DATA'!I:I,'Price List, Weapons &amp; Items'!B550)&gt;M550,1,".")</f>
        <v>.</v>
      </c>
    </row>
    <row r="551" spans="2:18" ht="15" customHeight="1" x14ac:dyDescent="0.3">
      <c r="B551" s="17" t="s">
        <v>1444</v>
      </c>
      <c r="C551" s="113" t="s">
        <v>812</v>
      </c>
      <c r="D551" s="19" t="s">
        <v>3140</v>
      </c>
      <c r="E551" s="199">
        <v>0</v>
      </c>
      <c r="F551" s="199">
        <v>0</v>
      </c>
      <c r="G551" s="710" t="s">
        <v>260</v>
      </c>
      <c r="H551" s="199" t="s">
        <v>260</v>
      </c>
      <c r="I551" s="19" t="s">
        <v>260</v>
      </c>
      <c r="J551" s="19" t="s">
        <v>260</v>
      </c>
      <c r="K551" s="19" t="s">
        <v>260</v>
      </c>
      <c r="L551" s="247" t="str">
        <f t="shared" si="60"/>
        <v>no price, 0 count</v>
      </c>
      <c r="M551" s="121">
        <f>SUMIFS('Bilateral Assistance, MAIN DATA'!M:M,'Bilateral Assistance, MAIN DATA'!I:I,'Price List, Weapons &amp; Items'!B551)</f>
        <v>0</v>
      </c>
      <c r="N551" s="19">
        <f>COUNTIFS('Bilateral Assistance, MAIN DATA'!M:M,"undisclosed",'Bilateral Assistance, MAIN DATA'!I:I,'Price List, Weapons &amp; Items'!B551)</f>
        <v>1</v>
      </c>
      <c r="O551" s="723" t="str">
        <f t="shared" si="61"/>
        <v>no price</v>
      </c>
      <c r="P551" s="19">
        <f>IFERROR(IF(SEARCH(B551,_xlfn.ARRAYTOTEXT('Bilateral Assistance, MAIN DATA'!I$1:I$1622))&gt;0,1,""),0)</f>
        <v>1</v>
      </c>
      <c r="Q551" s="19">
        <f>IFERROR(IF(SEARCH(B551,_xlfn.ARRAYTOTEXT('Commercial Assistance'!I$1:I$1400))&gt;0,1,""),0)</f>
        <v>0</v>
      </c>
      <c r="R551" s="247" t="str">
        <f>IF(SUMIFS('Bilateral Assistance, MAIN DATA'!N:N,'Bilateral Assistance, MAIN DATA'!I:I,'Price List, Weapons &amp; Items'!B551)&gt;M551,1,".")</f>
        <v>.</v>
      </c>
    </row>
    <row r="552" spans="2:18" ht="15" customHeight="1" x14ac:dyDescent="0.3">
      <c r="B552" s="17" t="s">
        <v>1446</v>
      </c>
      <c r="C552" s="113" t="s">
        <v>812</v>
      </c>
      <c r="D552" s="19" t="s">
        <v>812</v>
      </c>
      <c r="E552" s="199">
        <v>0</v>
      </c>
      <c r="F552" s="199">
        <v>0</v>
      </c>
      <c r="G552" s="710" t="s">
        <v>260</v>
      </c>
      <c r="H552" s="199" t="s">
        <v>260</v>
      </c>
      <c r="I552" s="19" t="s">
        <v>260</v>
      </c>
      <c r="J552" s="19" t="s">
        <v>260</v>
      </c>
      <c r="K552" s="19" t="s">
        <v>260</v>
      </c>
      <c r="L552" s="247">
        <f t="shared" si="60"/>
        <v>0</v>
      </c>
      <c r="M552" s="121">
        <f>SUMIFS('Bilateral Assistance, MAIN DATA'!M:M,'Bilateral Assistance, MAIN DATA'!I:I,'Price List, Weapons &amp; Items'!B552)</f>
        <v>6000</v>
      </c>
      <c r="N552" s="19">
        <f>COUNTIFS('Bilateral Assistance, MAIN DATA'!M:M,"undisclosed",'Bilateral Assistance, MAIN DATA'!I:I,'Price List, Weapons &amp; Items'!B552)</f>
        <v>0</v>
      </c>
      <c r="O552" s="723" t="str">
        <f t="shared" si="61"/>
        <v>no price</v>
      </c>
      <c r="P552" s="19">
        <f>IFERROR(IF(SEARCH(B552,_xlfn.ARRAYTOTEXT('Bilateral Assistance, MAIN DATA'!I$1:I$1622))&gt;0,1,""),0)</f>
        <v>1</v>
      </c>
      <c r="Q552" s="19">
        <f>IFERROR(IF(SEARCH(B552,_xlfn.ARRAYTOTEXT('Commercial Assistance'!I$1:I$1400))&gt;0,1,""),0)</f>
        <v>0</v>
      </c>
      <c r="R552" s="247" t="str">
        <f>IF(SUMIFS('Bilateral Assistance, MAIN DATA'!N:N,'Bilateral Assistance, MAIN DATA'!I:I,'Price List, Weapons &amp; Items'!B552)&gt;M552,1,".")</f>
        <v>.</v>
      </c>
    </row>
    <row r="553" spans="2:18" ht="15" customHeight="1" x14ac:dyDescent="0.3">
      <c r="B553" s="17" t="s">
        <v>1448</v>
      </c>
      <c r="C553" s="113" t="s">
        <v>3945</v>
      </c>
      <c r="D553" s="246" t="s">
        <v>3401</v>
      </c>
      <c r="E553" s="199">
        <v>0</v>
      </c>
      <c r="F553" s="199">
        <v>0</v>
      </c>
      <c r="G553" s="710">
        <v>12000000</v>
      </c>
      <c r="H553" s="199" t="s">
        <v>346</v>
      </c>
      <c r="I553" s="305" t="s">
        <v>4857</v>
      </c>
      <c r="J553" s="155" t="s">
        <v>3964</v>
      </c>
      <c r="K553" s="19" t="s">
        <v>4858</v>
      </c>
      <c r="L553" s="247">
        <f t="shared" si="60"/>
        <v>2</v>
      </c>
      <c r="M553" s="121">
        <f>SUMIFS('Bilateral Assistance, MAIN DATA'!M:M,'Bilateral Assistance, MAIN DATA'!I:I,'Price List, Weapons &amp; Items'!B553)</f>
        <v>18</v>
      </c>
      <c r="N553" s="19">
        <f>COUNTIFS('Bilateral Assistance, MAIN DATA'!M:M,"undisclosed",'Bilateral Assistance, MAIN DATA'!I:I,'Price List, Weapons &amp; Items'!B553)</f>
        <v>0</v>
      </c>
      <c r="O553" s="723">
        <f t="shared" si="61"/>
        <v>216000000</v>
      </c>
      <c r="P553" s="19">
        <f>IFERROR(IF(SEARCH(B553,_xlfn.ARRAYTOTEXT('Bilateral Assistance, MAIN DATA'!I$1:I$1622))&gt;0,1,""),0)</f>
        <v>1</v>
      </c>
      <c r="Q553" s="19">
        <f>IFERROR(IF(SEARCH(B553,_xlfn.ARRAYTOTEXT('Commercial Assistance'!I$1:I$1400))&gt;0,1,""),0)</f>
        <v>0</v>
      </c>
      <c r="R553" s="247" t="str">
        <f>IF(SUMIFS('Bilateral Assistance, MAIN DATA'!N:N,'Bilateral Assistance, MAIN DATA'!I:I,'Price List, Weapons &amp; Items'!B553)&gt;M553,1,".")</f>
        <v>.</v>
      </c>
    </row>
    <row r="554" spans="2:18" ht="15" customHeight="1" x14ac:dyDescent="0.3">
      <c r="B554" s="182" t="s">
        <v>1450</v>
      </c>
      <c r="C554" s="113" t="s">
        <v>812</v>
      </c>
      <c r="D554" s="19" t="s">
        <v>812</v>
      </c>
      <c r="E554" s="199">
        <v>0</v>
      </c>
      <c r="F554" s="199">
        <v>0</v>
      </c>
      <c r="G554" s="710" t="s">
        <v>260</v>
      </c>
      <c r="H554" s="199" t="s">
        <v>260</v>
      </c>
      <c r="I554" s="19" t="s">
        <v>260</v>
      </c>
      <c r="J554" s="19" t="s">
        <v>260</v>
      </c>
      <c r="K554" s="19" t="s">
        <v>260</v>
      </c>
      <c r="L554" s="247">
        <f t="shared" si="60"/>
        <v>0</v>
      </c>
      <c r="M554" s="121">
        <f>SUMIFS('Bilateral Assistance, MAIN DATA'!M:M,'Bilateral Assistance, MAIN DATA'!I:I,'Price List, Weapons &amp; Items'!B554)</f>
        <v>2</v>
      </c>
      <c r="N554" s="19">
        <f>COUNTIFS('Bilateral Assistance, MAIN DATA'!M:M,"undisclosed",'Bilateral Assistance, MAIN DATA'!I:I,'Price List, Weapons &amp; Items'!B554)</f>
        <v>0</v>
      </c>
      <c r="O554" s="723" t="str">
        <f t="shared" si="61"/>
        <v>no price</v>
      </c>
      <c r="P554" s="19">
        <f>IFERROR(IF(SEARCH(B554,_xlfn.ARRAYTOTEXT('Bilateral Assistance, MAIN DATA'!I$1:I$1622))&gt;0,1,""),0)</f>
        <v>1</v>
      </c>
      <c r="Q554" s="19">
        <f>IFERROR(IF(SEARCH(B554,_xlfn.ARRAYTOTEXT('Commercial Assistance'!I$1:I$1400))&gt;0,1,""),0)</f>
        <v>0</v>
      </c>
      <c r="R554" s="247" t="str">
        <f>IF(SUMIFS('Bilateral Assistance, MAIN DATA'!N:N,'Bilateral Assistance, MAIN DATA'!I:I,'Price List, Weapons &amp; Items'!B554)&gt;M554,1,".")</f>
        <v>.</v>
      </c>
    </row>
    <row r="555" spans="2:18" ht="15" customHeight="1" x14ac:dyDescent="0.3">
      <c r="B555" s="182" t="s">
        <v>1452</v>
      </c>
      <c r="C555" s="113" t="s">
        <v>812</v>
      </c>
      <c r="D555" s="246" t="s">
        <v>4190</v>
      </c>
      <c r="E555" s="199">
        <v>0</v>
      </c>
      <c r="F555" s="199">
        <f t="shared" ref="F555" si="62">IF(OR(D555="Armoured Personnel Carrier (APC)",D555="Armoured Recovery Vehicle (ARV)",D555="Armoured Utility Vehicle (AUV)",D555="152mm howitzer ammunition",D555="155mm howitzer ammunition",D555="300mm MLRS ammunition",D555="155mm howitzer",D555="227mm MLRS ammunition",D555="Infantry fighting vehicle (IFV)",D555="152mm howitzer",D555="227mm MLRS",D555="Main Battle Tank (MBT)",D555="Protected Patrol Vehicle (PPV)",D555="127mm MLRS",D555="122mm MLRS",D555="122mm MLRS ammunition",D555="122mm MLRS",D555="127mm MLRS",D555="127mm MLRS ammunition")=TRUE,1,0)</f>
        <v>0</v>
      </c>
      <c r="G555" s="629">
        <v>350000</v>
      </c>
      <c r="H555" s="720" t="str">
        <f t="shared" ref="H555" si="63">IF(G555&lt;&gt;".","USD",".")</f>
        <v>USD</v>
      </c>
      <c r="I555" s="842" t="s">
        <v>4283</v>
      </c>
      <c r="J555" s="155" t="s">
        <v>3964</v>
      </c>
      <c r="K555" s="262" t="s">
        <v>4284</v>
      </c>
      <c r="L555" s="247">
        <f t="shared" si="60"/>
        <v>2</v>
      </c>
      <c r="M555" s="121">
        <f>SUMIFS('Bilateral Assistance, MAIN DATA'!M:M,'Bilateral Assistance, MAIN DATA'!I:I,'Price List, Weapons &amp; Items'!B555)</f>
        <v>7</v>
      </c>
      <c r="N555" s="19">
        <f>COUNTIFS('Bilateral Assistance, MAIN DATA'!M:M,"undisclosed",'Bilateral Assistance, MAIN DATA'!I:I,'Price List, Weapons &amp; Items'!B555)</f>
        <v>0</v>
      </c>
      <c r="O555" s="723">
        <f t="shared" si="61"/>
        <v>2450000</v>
      </c>
      <c r="P555" s="19">
        <f>IFERROR(IF(SEARCH(B555,_xlfn.ARRAYTOTEXT('Bilateral Assistance, MAIN DATA'!I$1:I$1622))&gt;0,1,""),0)</f>
        <v>1</v>
      </c>
      <c r="Q555" s="19">
        <f>IFERROR(IF(SEARCH(B555,_xlfn.ARRAYTOTEXT('Commercial Assistance'!I$1:I$1400))&gt;0,1,""),0)</f>
        <v>0</v>
      </c>
      <c r="R555" s="247" t="str">
        <f>IF(SUMIFS('Bilateral Assistance, MAIN DATA'!N:N,'Bilateral Assistance, MAIN DATA'!I:I,'Price List, Weapons &amp; Items'!B555)&gt;M555,1,".")</f>
        <v>.</v>
      </c>
    </row>
    <row r="556" spans="2:18" ht="15" customHeight="1" x14ac:dyDescent="0.3">
      <c r="B556" s="17" t="s">
        <v>1461</v>
      </c>
      <c r="C556" s="113" t="s">
        <v>812</v>
      </c>
      <c r="D556" s="19" t="s">
        <v>812</v>
      </c>
      <c r="E556" s="199">
        <v>0</v>
      </c>
      <c r="F556" s="199">
        <v>0</v>
      </c>
      <c r="G556" s="710">
        <v>85</v>
      </c>
      <c r="H556" s="199" t="s">
        <v>346</v>
      </c>
      <c r="I556" s="305" t="s">
        <v>4859</v>
      </c>
      <c r="J556" s="265" t="s">
        <v>3971</v>
      </c>
      <c r="K556" s="19" t="s">
        <v>4860</v>
      </c>
      <c r="L556" s="247">
        <f t="shared" si="60"/>
        <v>2</v>
      </c>
      <c r="M556" s="121">
        <f>SUMIFS('Bilateral Assistance, MAIN DATA'!M:M,'Bilateral Assistance, MAIN DATA'!I:I,'Price List, Weapons &amp; Items'!B556)</f>
        <v>36400</v>
      </c>
      <c r="N556" s="19">
        <f>COUNTIFS('Bilateral Assistance, MAIN DATA'!M:M,"undisclosed",'Bilateral Assistance, MAIN DATA'!I:I,'Price List, Weapons &amp; Items'!B556)</f>
        <v>0</v>
      </c>
      <c r="O556" s="723">
        <f t="shared" si="61"/>
        <v>3094000</v>
      </c>
      <c r="P556" s="19">
        <f>IFERROR(IF(SEARCH(B556,_xlfn.ARRAYTOTEXT('Bilateral Assistance, MAIN DATA'!I$1:I$1622))&gt;0,1,""),0)</f>
        <v>1</v>
      </c>
      <c r="Q556" s="19">
        <f>IFERROR(IF(SEARCH(B556,_xlfn.ARRAYTOTEXT('Commercial Assistance'!I$1:I$1400))&gt;0,1,""),0)</f>
        <v>0</v>
      </c>
      <c r="R556" s="247" t="str">
        <f>IF(SUMIFS('Bilateral Assistance, MAIN DATA'!N:N,'Bilateral Assistance, MAIN DATA'!I:I,'Price List, Weapons &amp; Items'!B556)&gt;M556,1,".")</f>
        <v>.</v>
      </c>
    </row>
    <row r="557" spans="2:18" ht="15" customHeight="1" x14ac:dyDescent="0.3">
      <c r="B557" s="185" t="s">
        <v>1500</v>
      </c>
      <c r="C557" s="113" t="s">
        <v>812</v>
      </c>
      <c r="D557" s="19" t="s">
        <v>812</v>
      </c>
      <c r="E557" s="199">
        <v>0</v>
      </c>
      <c r="F557" s="199">
        <v>0</v>
      </c>
      <c r="G557" s="710" t="s">
        <v>260</v>
      </c>
      <c r="H557" s="199" t="s">
        <v>260</v>
      </c>
      <c r="I557" s="19" t="s">
        <v>260</v>
      </c>
      <c r="J557" s="19" t="s">
        <v>260</v>
      </c>
      <c r="K557" s="19" t="s">
        <v>260</v>
      </c>
      <c r="L557" s="247">
        <f t="shared" si="60"/>
        <v>0</v>
      </c>
      <c r="M557" s="121">
        <f>SUMIFS('Bilateral Assistance, MAIN DATA'!M:M,'Bilateral Assistance, MAIN DATA'!I:I,'Price List, Weapons &amp; Items'!B557)</f>
        <v>900</v>
      </c>
      <c r="N557" s="19">
        <f>COUNTIFS('Bilateral Assistance, MAIN DATA'!M:M,"undisclosed",'Bilateral Assistance, MAIN DATA'!I:I,'Price List, Weapons &amp; Items'!B557)</f>
        <v>0</v>
      </c>
      <c r="O557" s="723" t="str">
        <f t="shared" si="61"/>
        <v>no price</v>
      </c>
      <c r="P557" s="19">
        <f>IFERROR(IF(SEARCH(B557,_xlfn.ARRAYTOTEXT('Bilateral Assistance, MAIN DATA'!I$1:I$1622))&gt;0,1,""),0)</f>
        <v>1</v>
      </c>
      <c r="Q557" s="19">
        <f>IFERROR(IF(SEARCH(B557,_xlfn.ARRAYTOTEXT('Commercial Assistance'!I$1:I$1400))&gt;0,1,""),0)</f>
        <v>0</v>
      </c>
      <c r="R557" s="247" t="str">
        <f>IF(SUMIFS('Bilateral Assistance, MAIN DATA'!N:N,'Bilateral Assistance, MAIN DATA'!I:I,'Price List, Weapons &amp; Items'!B557)&gt;M557,1,".")</f>
        <v>.</v>
      </c>
    </row>
    <row r="558" spans="2:18" ht="15" customHeight="1" x14ac:dyDescent="0.3">
      <c r="B558" s="185" t="s">
        <v>1557</v>
      </c>
      <c r="C558" s="113" t="s">
        <v>812</v>
      </c>
      <c r="D558" s="246" t="s">
        <v>4190</v>
      </c>
      <c r="E558" s="199">
        <v>0</v>
      </c>
      <c r="F558" s="199">
        <f t="shared" ref="F558" si="64">IF(OR(D558="Armoured Personnel Carrier (APC)",D558="Armoured Recovery Vehicle (ARV)",D558="Armoured Utility Vehicle (AUV)",D558="152mm howitzer ammunition",D558="155mm howitzer ammunition",D558="300mm MLRS ammunition",D558="155mm howitzer",D558="227mm MLRS ammunition",D558="Infantry fighting vehicle (IFV)",D558="152mm howitzer",D558="227mm MLRS",D558="Main Battle Tank (MBT)",D558="Protected Patrol Vehicle (PPV)",D558="127mm MLRS",D558="122mm MLRS",D558="122mm MLRS ammunition",D558="122mm MLRS",D558="127mm MLRS",D558="127mm MLRS ammunition")=TRUE,1,0)</f>
        <v>0</v>
      </c>
      <c r="G558" s="629">
        <v>350000</v>
      </c>
      <c r="H558" s="720" t="str">
        <f t="shared" ref="H558" si="65">IF(G558&lt;&gt;".","USD",".")</f>
        <v>USD</v>
      </c>
      <c r="I558" s="842" t="s">
        <v>4283</v>
      </c>
      <c r="J558" s="155" t="s">
        <v>3964</v>
      </c>
      <c r="K558" s="262" t="s">
        <v>4284</v>
      </c>
      <c r="L558" s="247">
        <f t="shared" si="60"/>
        <v>2</v>
      </c>
      <c r="M558" s="121">
        <f>SUMIFS('Bilateral Assistance, MAIN DATA'!M:M,'Bilateral Assistance, MAIN DATA'!I:I,'Price List, Weapons &amp; Items'!B558)</f>
        <v>26</v>
      </c>
      <c r="N558" s="19">
        <f>COUNTIFS('Bilateral Assistance, MAIN DATA'!M:M,"undisclosed",'Bilateral Assistance, MAIN DATA'!I:I,'Price List, Weapons &amp; Items'!B558)</f>
        <v>0</v>
      </c>
      <c r="O558" s="723">
        <f t="shared" si="61"/>
        <v>9100000</v>
      </c>
      <c r="P558" s="19">
        <f>IFERROR(IF(SEARCH(B558,_xlfn.ARRAYTOTEXT('Bilateral Assistance, MAIN DATA'!I$1:I$1622))&gt;0,1,""),0)</f>
        <v>1</v>
      </c>
      <c r="Q558" s="19">
        <f>IFERROR(IF(SEARCH(B558,_xlfn.ARRAYTOTEXT('Commercial Assistance'!I$1:I$1400))&gt;0,1,""),0)</f>
        <v>0</v>
      </c>
      <c r="R558" s="247" t="str">
        <f>IF(SUMIFS('Bilateral Assistance, MAIN DATA'!N:N,'Bilateral Assistance, MAIN DATA'!I:I,'Price List, Weapons &amp; Items'!B558)&gt;M558,1,".")</f>
        <v>.</v>
      </c>
    </row>
    <row r="559" spans="2:18" ht="15" customHeight="1" x14ac:dyDescent="0.3">
      <c r="B559" s="185" t="s">
        <v>1561</v>
      </c>
      <c r="C559" s="113" t="s">
        <v>812</v>
      </c>
      <c r="D559" s="246" t="s">
        <v>4040</v>
      </c>
      <c r="E559" s="199">
        <v>0</v>
      </c>
      <c r="F559" s="199">
        <v>0</v>
      </c>
      <c r="G559" s="710" t="s">
        <v>260</v>
      </c>
      <c r="H559" s="199" t="s">
        <v>260</v>
      </c>
      <c r="I559" s="19" t="s">
        <v>260</v>
      </c>
      <c r="J559" s="19" t="s">
        <v>260</v>
      </c>
      <c r="K559" s="19" t="s">
        <v>260</v>
      </c>
      <c r="L559" s="247">
        <f t="shared" si="60"/>
        <v>0</v>
      </c>
      <c r="M559" s="121">
        <f>SUMIFS('Bilateral Assistance, MAIN DATA'!M:M,'Bilateral Assistance, MAIN DATA'!I:I,'Price List, Weapons &amp; Items'!B559)</f>
        <v>5</v>
      </c>
      <c r="N559" s="19">
        <f>COUNTIFS('Bilateral Assistance, MAIN DATA'!M:M,"undisclosed",'Bilateral Assistance, MAIN DATA'!I:I,'Price List, Weapons &amp; Items'!B559)</f>
        <v>0</v>
      </c>
      <c r="O559" s="723" t="str">
        <f t="shared" si="61"/>
        <v>no price</v>
      </c>
      <c r="P559" s="19">
        <f>IFERROR(IF(SEARCH(B559,_xlfn.ARRAYTOTEXT('Bilateral Assistance, MAIN DATA'!I$1:I$1622))&gt;0,1,""),0)</f>
        <v>1</v>
      </c>
      <c r="Q559" s="19">
        <f>IFERROR(IF(SEARCH(B559,_xlfn.ARRAYTOTEXT('Commercial Assistance'!I$1:I$1400))&gt;0,1,""),0)</f>
        <v>0</v>
      </c>
      <c r="R559" s="247" t="str">
        <f>IF(SUMIFS('Bilateral Assistance, MAIN DATA'!N:N,'Bilateral Assistance, MAIN DATA'!I:I,'Price List, Weapons &amp; Items'!B559)&gt;M559,1,".")</f>
        <v>.</v>
      </c>
    </row>
    <row r="560" spans="2:18" ht="15" customHeight="1" x14ac:dyDescent="0.3">
      <c r="B560" s="185" t="s">
        <v>1585</v>
      </c>
      <c r="C560" s="113" t="s">
        <v>812</v>
      </c>
      <c r="D560" s="113" t="s">
        <v>4043</v>
      </c>
      <c r="E560" s="199">
        <v>0</v>
      </c>
      <c r="F560" s="199">
        <v>0</v>
      </c>
      <c r="G560" s="710">
        <v>1530000</v>
      </c>
      <c r="H560" s="199" t="s">
        <v>346</v>
      </c>
      <c r="I560" s="305" t="s">
        <v>4861</v>
      </c>
      <c r="J560" s="155" t="s">
        <v>3964</v>
      </c>
      <c r="K560" s="19" t="s">
        <v>4862</v>
      </c>
      <c r="L560" s="247">
        <f t="shared" si="60"/>
        <v>2</v>
      </c>
      <c r="M560" s="121">
        <f>SUMIFS('Bilateral Assistance, MAIN DATA'!M:M,'Bilateral Assistance, MAIN DATA'!I:I,'Price List, Weapons &amp; Items'!B560)</f>
        <v>40</v>
      </c>
      <c r="N560" s="19">
        <f>COUNTIFS('Bilateral Assistance, MAIN DATA'!M:M,"undisclosed",'Bilateral Assistance, MAIN DATA'!I:I,'Price List, Weapons &amp; Items'!B560)</f>
        <v>0</v>
      </c>
      <c r="O560" s="723">
        <f t="shared" si="61"/>
        <v>61200000</v>
      </c>
      <c r="P560" s="19">
        <f>IFERROR(IF(SEARCH(B560,_xlfn.ARRAYTOTEXT('Bilateral Assistance, MAIN DATA'!I$1:I$1622))&gt;0,1,""),0)</f>
        <v>1</v>
      </c>
      <c r="Q560" s="19">
        <f>IFERROR(IF(SEARCH(B560,_xlfn.ARRAYTOTEXT('Commercial Assistance'!I$1:I$1400))&gt;0,1,""),0)</f>
        <v>0</v>
      </c>
      <c r="R560" s="247" t="str">
        <f>IF(SUMIFS('Bilateral Assistance, MAIN DATA'!N:N,'Bilateral Assistance, MAIN DATA'!I:I,'Price List, Weapons &amp; Items'!B560)&gt;M560,1,".")</f>
        <v>.</v>
      </c>
    </row>
    <row r="561" spans="2:18" ht="15" customHeight="1" x14ac:dyDescent="0.3">
      <c r="B561" s="185" t="s">
        <v>1587</v>
      </c>
      <c r="C561" s="113" t="s">
        <v>812</v>
      </c>
      <c r="D561" s="19" t="s">
        <v>812</v>
      </c>
      <c r="E561" s="199">
        <v>0</v>
      </c>
      <c r="F561" s="199">
        <v>0</v>
      </c>
      <c r="G561" s="710" t="s">
        <v>260</v>
      </c>
      <c r="H561" s="199" t="s">
        <v>260</v>
      </c>
      <c r="I561" s="19" t="s">
        <v>260</v>
      </c>
      <c r="J561" s="19" t="s">
        <v>260</v>
      </c>
      <c r="K561" s="19" t="s">
        <v>260</v>
      </c>
      <c r="L561" s="247" t="str">
        <f t="shared" si="60"/>
        <v>no price, 0 count</v>
      </c>
      <c r="M561" s="121">
        <f>SUMIFS('Bilateral Assistance, MAIN DATA'!M:M,'Bilateral Assistance, MAIN DATA'!I:I,'Price List, Weapons &amp; Items'!B561)</f>
        <v>0</v>
      </c>
      <c r="N561" s="19">
        <f>COUNTIFS('Bilateral Assistance, MAIN DATA'!M:M,"undisclosed",'Bilateral Assistance, MAIN DATA'!I:I,'Price List, Weapons &amp; Items'!B561)</f>
        <v>1</v>
      </c>
      <c r="O561" s="723" t="str">
        <f t="shared" si="61"/>
        <v>no price</v>
      </c>
      <c r="P561" s="19">
        <f>IFERROR(IF(SEARCH(B561,_xlfn.ARRAYTOTEXT('Bilateral Assistance, MAIN DATA'!I$1:I$1622))&gt;0,1,""),0)</f>
        <v>1</v>
      </c>
      <c r="Q561" s="19">
        <f>IFERROR(IF(SEARCH(B561,_xlfn.ARRAYTOTEXT('Commercial Assistance'!I$1:I$1400))&gt;0,1,""),0)</f>
        <v>0</v>
      </c>
      <c r="R561" s="247" t="str">
        <f>IF(SUMIFS('Bilateral Assistance, MAIN DATA'!N:N,'Bilateral Assistance, MAIN DATA'!I:I,'Price List, Weapons &amp; Items'!B561)&gt;M561,1,".")</f>
        <v>.</v>
      </c>
    </row>
    <row r="562" spans="2:18" ht="15" customHeight="1" x14ac:dyDescent="0.3">
      <c r="B562" s="154" t="s">
        <v>3003</v>
      </c>
      <c r="C562" s="113" t="s">
        <v>3945</v>
      </c>
      <c r="D562" s="246" t="s">
        <v>3962</v>
      </c>
      <c r="E562" s="199">
        <v>0</v>
      </c>
      <c r="F562" s="199">
        <f t="shared" ref="F562:F567" si="66">IF(OR(D562="Armoured Personnel Carrier (APC)",D562="Armoured Recovery Vehicle (ARV)",D562="Armoured Utility Vehicle (AUV)",D562="152mm howitzer ammunition",D562="155mm howitzer ammunition",D562="300mm MLRS ammunition",D562="155mm howitzer",D562="227mm MLRS ammunition",D562="Infantry fighting vehicle (IFV)",D562="152mm howitzer",D562="227mm MLRS",D562="Main Battle Tank (MBT)",D562="Protected Patrol Vehicle (PPV)",D562="127mm MLRS",D562="122mm MLRS",D562="122mm MLRS ammunition",D562="122mm MLRS",D562="127mm MLRS",D562="127mm MLRS ammunition")=TRUE,1,0)</f>
        <v>1</v>
      </c>
      <c r="G562" s="629">
        <v>13644373.365967626</v>
      </c>
      <c r="H562" s="721" t="s">
        <v>346</v>
      </c>
      <c r="I562" s="819" t="s">
        <v>3958</v>
      </c>
      <c r="J562" s="155" t="s">
        <v>3959</v>
      </c>
      <c r="K562" s="251" t="s">
        <v>3960</v>
      </c>
      <c r="L562" s="247">
        <f t="shared" si="60"/>
        <v>2</v>
      </c>
      <c r="M562" s="121">
        <f>SUMIFS('Bilateral Assistance, MAIN DATA'!M:M,'Bilateral Assistance, MAIN DATA'!I:I,'Price List, Weapons &amp; Items'!B562)</f>
        <v>14</v>
      </c>
      <c r="N562" s="19">
        <f>COUNTIFS('Bilateral Assistance, MAIN DATA'!M:M,"undisclosed",'Bilateral Assistance, MAIN DATA'!I:I,'Price List, Weapons &amp; Items'!B562)</f>
        <v>0</v>
      </c>
      <c r="O562" s="723">
        <f t="shared" si="61"/>
        <v>191021227.12354675</v>
      </c>
      <c r="P562" s="19">
        <f>IFERROR(IF(SEARCH(B562,_xlfn.ARRAYTOTEXT('Bilateral Assistance, MAIN DATA'!I$1:I$1622))&gt;0,1,""),0)</f>
        <v>1</v>
      </c>
      <c r="Q562" s="19">
        <f>IFERROR(IF(SEARCH(B562,_xlfn.ARRAYTOTEXT('Commercial Assistance'!I$1:I$1400))&gt;0,1,""),0)</f>
        <v>0</v>
      </c>
      <c r="R562" s="247" t="str">
        <f>IF(SUMIFS('Bilateral Assistance, MAIN DATA'!N:N,'Bilateral Assistance, MAIN DATA'!I:I,'Price List, Weapons &amp; Items'!B562)&gt;M562,1,".")</f>
        <v>.</v>
      </c>
    </row>
    <row r="563" spans="2:18" ht="15" customHeight="1" x14ac:dyDescent="0.3">
      <c r="B563" s="154" t="s">
        <v>3006</v>
      </c>
      <c r="C563" s="113" t="s">
        <v>3945</v>
      </c>
      <c r="D563" s="246" t="s">
        <v>3401</v>
      </c>
      <c r="E563" s="199">
        <v>0</v>
      </c>
      <c r="F563" s="199">
        <f t="shared" si="66"/>
        <v>1</v>
      </c>
      <c r="G563" s="629">
        <v>13280047.844250571</v>
      </c>
      <c r="H563" s="721" t="s">
        <v>346</v>
      </c>
      <c r="I563" s="249" t="s">
        <v>260</v>
      </c>
      <c r="J563" s="249" t="s">
        <v>3959</v>
      </c>
      <c r="K563" s="155" t="s">
        <v>4863</v>
      </c>
      <c r="L563" s="247">
        <f t="shared" si="60"/>
        <v>2</v>
      </c>
      <c r="M563" s="121">
        <f>SUMIFS('Bilateral Assistance, MAIN DATA'!M:M,'Bilateral Assistance, MAIN DATA'!I:I,'Price List, Weapons &amp; Items'!B563)</f>
        <v>30</v>
      </c>
      <c r="N563" s="19">
        <f>COUNTIFS('Bilateral Assistance, MAIN DATA'!M:M,"undisclosed",'Bilateral Assistance, MAIN DATA'!I:I,'Price List, Weapons &amp; Items'!B563)</f>
        <v>0</v>
      </c>
      <c r="O563" s="723">
        <f t="shared" si="61"/>
        <v>398401435.32751715</v>
      </c>
      <c r="P563" s="19">
        <f>IFERROR(IF(SEARCH(B563,_xlfn.ARRAYTOTEXT('Bilateral Assistance, MAIN DATA'!I$1:I$1622))&gt;0,1,""),0)</f>
        <v>1</v>
      </c>
      <c r="Q563" s="19">
        <f>IFERROR(IF(SEARCH(B563,_xlfn.ARRAYTOTEXT('Commercial Assistance'!I$1:I$1400))&gt;0,1,""),0)</f>
        <v>0</v>
      </c>
      <c r="R563" s="247" t="str">
        <f>IF(SUMIFS('Bilateral Assistance, MAIN DATA'!N:N,'Bilateral Assistance, MAIN DATA'!I:I,'Price List, Weapons &amp; Items'!B563)&gt;M563,1,".")</f>
        <v>.</v>
      </c>
    </row>
    <row r="564" spans="2:18" ht="15" customHeight="1" x14ac:dyDescent="0.3">
      <c r="B564" s="154" t="s">
        <v>3008</v>
      </c>
      <c r="C564" s="113" t="s">
        <v>3945</v>
      </c>
      <c r="D564" s="246" t="s">
        <v>4864</v>
      </c>
      <c r="E564" s="199">
        <v>0</v>
      </c>
      <c r="F564" s="199">
        <f t="shared" si="66"/>
        <v>0</v>
      </c>
      <c r="G564" s="629" t="s">
        <v>260</v>
      </c>
      <c r="H564" s="721" t="s">
        <v>346</v>
      </c>
      <c r="I564" s="249" t="s">
        <v>260</v>
      </c>
      <c r="J564" s="249" t="s">
        <v>260</v>
      </c>
      <c r="K564" s="155" t="s">
        <v>4849</v>
      </c>
      <c r="L564" s="247">
        <f t="shared" si="60"/>
        <v>0</v>
      </c>
      <c r="M564" s="121">
        <f>SUMIFS('Bilateral Assistance, MAIN DATA'!M:M,'Bilateral Assistance, MAIN DATA'!I:I,'Price List, Weapons &amp; Items'!B564)</f>
        <v>200</v>
      </c>
      <c r="N564" s="19">
        <f>COUNTIFS('Bilateral Assistance, MAIN DATA'!M:M,"undisclosed",'Bilateral Assistance, MAIN DATA'!I:I,'Price List, Weapons &amp; Items'!B564)</f>
        <v>0</v>
      </c>
      <c r="O564" s="723" t="str">
        <f t="shared" si="61"/>
        <v>no price</v>
      </c>
      <c r="P564" s="19">
        <f>IFERROR(IF(SEARCH(B564,_xlfn.ARRAYTOTEXT('Bilateral Assistance, MAIN DATA'!I$1:I$1622))&gt;0,1,""),0)</f>
        <v>1</v>
      </c>
      <c r="Q564" s="19">
        <f>IFERROR(IF(SEARCH(B564,_xlfn.ARRAYTOTEXT('Commercial Assistance'!I$1:I$1400))&gt;0,1,""),0)</f>
        <v>0</v>
      </c>
      <c r="R564" s="247" t="str">
        <f>IF(SUMIFS('Bilateral Assistance, MAIN DATA'!N:N,'Bilateral Assistance, MAIN DATA'!I:I,'Price List, Weapons &amp; Items'!B564)&gt;M564,1,".")</f>
        <v>.</v>
      </c>
    </row>
    <row r="565" spans="2:18" ht="15" customHeight="1" x14ac:dyDescent="0.3">
      <c r="B565" s="154" t="s">
        <v>3009</v>
      </c>
      <c r="C565" s="113" t="s">
        <v>812</v>
      </c>
      <c r="D565" s="113" t="s">
        <v>812</v>
      </c>
      <c r="E565" s="199">
        <v>0</v>
      </c>
      <c r="F565" s="199">
        <f t="shared" si="66"/>
        <v>0</v>
      </c>
      <c r="G565" s="629">
        <f>28000000*1.2362</f>
        <v>34613600</v>
      </c>
      <c r="H565" s="721" t="s">
        <v>346</v>
      </c>
      <c r="I565" s="821" t="s">
        <v>3005</v>
      </c>
      <c r="J565" s="249" t="s">
        <v>4008</v>
      </c>
      <c r="K565" s="155" t="s">
        <v>4865</v>
      </c>
      <c r="L565" s="247" t="str">
        <f t="shared" si="60"/>
        <v>no price, 0 count</v>
      </c>
      <c r="M565" s="121">
        <f>SUMIFS('Bilateral Assistance, MAIN DATA'!M:M,'Bilateral Assistance, MAIN DATA'!I:I,'Price List, Weapons &amp; Items'!B565)</f>
        <v>0</v>
      </c>
      <c r="N565" s="19">
        <f>COUNTIFS('Bilateral Assistance, MAIN DATA'!M:M,"undisclosed",'Bilateral Assistance, MAIN DATA'!I:I,'Price List, Weapons &amp; Items'!B565)</f>
        <v>1</v>
      </c>
      <c r="O565" s="723">
        <f t="shared" si="61"/>
        <v>0</v>
      </c>
      <c r="P565" s="19">
        <f>IFERROR(IF(SEARCH(B565,_xlfn.ARRAYTOTEXT('Bilateral Assistance, MAIN DATA'!I$1:I$1622))&gt;0,1,""),0)</f>
        <v>1</v>
      </c>
      <c r="Q565" s="19">
        <f>IFERROR(IF(SEARCH(B565,_xlfn.ARRAYTOTEXT('Commercial Assistance'!I$1:I$1400))&gt;0,1,""),0)</f>
        <v>0</v>
      </c>
      <c r="R565" s="247" t="str">
        <f>IF(SUMIFS('Bilateral Assistance, MAIN DATA'!N:N,'Bilateral Assistance, MAIN DATA'!I:I,'Price List, Weapons &amp; Items'!B565)&gt;M565,1,".")</f>
        <v>.</v>
      </c>
    </row>
    <row r="566" spans="2:18" ht="15" customHeight="1" x14ac:dyDescent="0.3">
      <c r="B566" s="154" t="s">
        <v>3010</v>
      </c>
      <c r="C566" s="113" t="s">
        <v>812</v>
      </c>
      <c r="D566" s="113" t="s">
        <v>812</v>
      </c>
      <c r="E566" s="199">
        <v>0</v>
      </c>
      <c r="F566" s="199">
        <f t="shared" si="66"/>
        <v>0</v>
      </c>
      <c r="G566" s="629">
        <f>20000000*1.2362</f>
        <v>24724000</v>
      </c>
      <c r="H566" s="721" t="s">
        <v>346</v>
      </c>
      <c r="I566" s="821" t="s">
        <v>3005</v>
      </c>
      <c r="J566" s="249" t="s">
        <v>4008</v>
      </c>
      <c r="K566" s="155" t="s">
        <v>4865</v>
      </c>
      <c r="L566" s="247" t="str">
        <f t="shared" si="60"/>
        <v>no price, 0 count</v>
      </c>
      <c r="M566" s="121">
        <f>SUMIFS('Bilateral Assistance, MAIN DATA'!M:M,'Bilateral Assistance, MAIN DATA'!I:I,'Price List, Weapons &amp; Items'!B566)</f>
        <v>0</v>
      </c>
      <c r="N566" s="19">
        <f>COUNTIFS('Bilateral Assistance, MAIN DATA'!M:M,"undisclosed",'Bilateral Assistance, MAIN DATA'!I:I,'Price List, Weapons &amp; Items'!B566)</f>
        <v>1</v>
      </c>
      <c r="O566" s="723">
        <f t="shared" si="61"/>
        <v>0</v>
      </c>
      <c r="P566" s="19">
        <f>IFERROR(IF(SEARCH(B566,_xlfn.ARRAYTOTEXT('Bilateral Assistance, MAIN DATA'!I$1:I$1622))&gt;0,1,""),0)</f>
        <v>1</v>
      </c>
      <c r="Q566" s="19">
        <f>IFERROR(IF(SEARCH(B566,_xlfn.ARRAYTOTEXT('Commercial Assistance'!I$1:I$1400))&gt;0,1,""),0)</f>
        <v>0</v>
      </c>
      <c r="R566" s="247" t="str">
        <f>IF(SUMIFS('Bilateral Assistance, MAIN DATA'!N:N,'Bilateral Assistance, MAIN DATA'!I:I,'Price List, Weapons &amp; Items'!B566)&gt;M566,1,".")</f>
        <v>.</v>
      </c>
    </row>
    <row r="567" spans="2:18" ht="15" customHeight="1" x14ac:dyDescent="0.3">
      <c r="B567" s="154" t="s">
        <v>3011</v>
      </c>
      <c r="C567" s="113" t="s">
        <v>812</v>
      </c>
      <c r="D567" s="113" t="s">
        <v>812</v>
      </c>
      <c r="E567" s="199">
        <v>0</v>
      </c>
      <c r="F567" s="199">
        <f t="shared" si="66"/>
        <v>0</v>
      </c>
      <c r="G567" s="629" t="s">
        <v>260</v>
      </c>
      <c r="H567" s="721" t="s">
        <v>346</v>
      </c>
      <c r="I567" s="249" t="s">
        <v>260</v>
      </c>
      <c r="J567" s="249" t="s">
        <v>260</v>
      </c>
      <c r="K567" s="155" t="s">
        <v>4844</v>
      </c>
      <c r="L567" s="247">
        <f t="shared" si="60"/>
        <v>0</v>
      </c>
      <c r="M567" s="121">
        <f>SUMIFS('Bilateral Assistance, MAIN DATA'!M:M,'Bilateral Assistance, MAIN DATA'!I:I,'Price List, Weapons &amp; Items'!B567)</f>
        <v>100</v>
      </c>
      <c r="N567" s="19">
        <f>COUNTIFS('Bilateral Assistance, MAIN DATA'!M:M,"undisclosed",'Bilateral Assistance, MAIN DATA'!I:I,'Price List, Weapons &amp; Items'!B567)</f>
        <v>0</v>
      </c>
      <c r="O567" s="723" t="str">
        <f t="shared" si="61"/>
        <v>no price</v>
      </c>
      <c r="P567" s="19">
        <f>IFERROR(IF(SEARCH(B567,_xlfn.ARRAYTOTEXT('Bilateral Assistance, MAIN DATA'!I$1:I$1622))&gt;0,1,""),0)</f>
        <v>1</v>
      </c>
      <c r="Q567" s="19">
        <f>IFERROR(IF(SEARCH(B567,_xlfn.ARRAYTOTEXT('Commercial Assistance'!I$1:I$1400))&gt;0,1,""),0)</f>
        <v>0</v>
      </c>
      <c r="R567" s="247" t="str">
        <f>IF(SUMIFS('Bilateral Assistance, MAIN DATA'!N:N,'Bilateral Assistance, MAIN DATA'!I:I,'Price List, Weapons &amp; Items'!B567)&gt;M567,1,".")</f>
        <v>.</v>
      </c>
    </row>
    <row r="568" spans="2:18" ht="15" customHeight="1" x14ac:dyDescent="0.3">
      <c r="B568" s="19" t="s">
        <v>2780</v>
      </c>
      <c r="C568" s="113" t="s">
        <v>3945</v>
      </c>
      <c r="D568" s="19" t="s">
        <v>3401</v>
      </c>
      <c r="E568" s="199">
        <v>0</v>
      </c>
      <c r="F568" s="199">
        <v>0</v>
      </c>
      <c r="G568" s="710">
        <v>4000000</v>
      </c>
      <c r="H568" s="199" t="s">
        <v>346</v>
      </c>
      <c r="I568" s="305" t="s">
        <v>4866</v>
      </c>
      <c r="J568" s="155" t="s">
        <v>3964</v>
      </c>
      <c r="K568" s="19" t="s">
        <v>4867</v>
      </c>
      <c r="L568" s="247" t="str">
        <f t="shared" si="60"/>
        <v>no price, 0 count</v>
      </c>
      <c r="M568" s="121">
        <f>SUMIFS('Bilateral Assistance, MAIN DATA'!M:M,'Bilateral Assistance, MAIN DATA'!I:I,'Price List, Weapons &amp; Items'!B568)</f>
        <v>0</v>
      </c>
      <c r="N568" s="19">
        <f>COUNTIFS('Bilateral Assistance, MAIN DATA'!M:M,"undisclosed",'Bilateral Assistance, MAIN DATA'!I:I,'Price List, Weapons &amp; Items'!B568)</f>
        <v>1</v>
      </c>
      <c r="O568" s="723">
        <f t="shared" si="61"/>
        <v>0</v>
      </c>
      <c r="P568" s="19">
        <f>IFERROR(IF(SEARCH(B568,_xlfn.ARRAYTOTEXT('Bilateral Assistance, MAIN DATA'!I$1:I$1622))&gt;0,1,""),0)</f>
        <v>1</v>
      </c>
      <c r="Q568" s="19">
        <f>IFERROR(IF(SEARCH(B568,_xlfn.ARRAYTOTEXT('Commercial Assistance'!I$1:I$1400))&gt;0,1,""),0)</f>
        <v>0</v>
      </c>
      <c r="R568" s="247" t="str">
        <f>IF(SUMIFS('Bilateral Assistance, MAIN DATA'!N:N,'Bilateral Assistance, MAIN DATA'!I:I,'Price List, Weapons &amp; Items'!B568)&gt;M568,1,".")</f>
        <v>.</v>
      </c>
    </row>
    <row r="569" spans="2:18" ht="15" customHeight="1" x14ac:dyDescent="0.3">
      <c r="B569" s="17" t="s">
        <v>3397</v>
      </c>
      <c r="C569" s="113" t="s">
        <v>3945</v>
      </c>
      <c r="D569" s="19" t="s">
        <v>4043</v>
      </c>
      <c r="E569" s="199">
        <v>0</v>
      </c>
      <c r="F569" s="199">
        <v>0</v>
      </c>
      <c r="G569" s="710">
        <v>1900000</v>
      </c>
      <c r="H569" s="199" t="s">
        <v>346</v>
      </c>
      <c r="I569" s="819" t="s">
        <v>3958</v>
      </c>
      <c r="J569" s="155" t="s">
        <v>3959</v>
      </c>
      <c r="K569" s="19"/>
      <c r="L569" s="247">
        <f t="shared" ref="L569:L573" si="67">IF(C569="Humanitarian",0,IF(M569&gt;0,IF(TYPE(O569)=1,IF(O569&gt;MEDIAN(O:O),2,1),0),"no price, 0 count"))</f>
        <v>2</v>
      </c>
      <c r="M569" s="121">
        <f>SUMIFS('Bilateral Assistance, MAIN DATA'!M:M,'Bilateral Assistance, MAIN DATA'!I:I,'Price List, Weapons &amp; Items'!B569)</f>
        <v>50</v>
      </c>
      <c r="N569" s="19">
        <f>COUNTIFS('Bilateral Assistance, MAIN DATA'!M:M,"undisclosed",'Bilateral Assistance, MAIN DATA'!I:I,'Price List, Weapons &amp; Items'!B569)</f>
        <v>0</v>
      </c>
      <c r="O569" s="723">
        <f t="shared" si="61"/>
        <v>95000000</v>
      </c>
      <c r="P569" s="19">
        <f>IFERROR(IF(SEARCH(B569,_xlfn.ARRAYTOTEXT('Bilateral Assistance, MAIN DATA'!I$1:I$1622))&gt;0,1,""),0)</f>
        <v>1</v>
      </c>
      <c r="Q569" s="19">
        <f>IFERROR(IF(SEARCH(B569,_xlfn.ARRAYTOTEXT('Commercial Assistance'!I$1:I$1400))&gt;0,1,""),0)</f>
        <v>0</v>
      </c>
      <c r="R569" s="247" t="str">
        <f>IF(SUMIFS('Bilateral Assistance, MAIN DATA'!N:N,'Bilateral Assistance, MAIN DATA'!I:I,'Price List, Weapons &amp; Items'!B569)&gt;M569,1,".")</f>
        <v>.</v>
      </c>
    </row>
    <row r="570" spans="2:18" ht="15" customHeight="1" x14ac:dyDescent="0.3">
      <c r="B570" s="17" t="s">
        <v>3398</v>
      </c>
      <c r="C570" s="113" t="s">
        <v>3942</v>
      </c>
      <c r="D570" s="246" t="s">
        <v>4011</v>
      </c>
      <c r="E570" s="199">
        <v>0</v>
      </c>
      <c r="F570" s="199">
        <v>0</v>
      </c>
      <c r="G570" s="710">
        <v>9000</v>
      </c>
      <c r="H570" s="199" t="s">
        <v>346</v>
      </c>
      <c r="I570" s="671" t="s">
        <v>4868</v>
      </c>
      <c r="J570" s="155" t="s">
        <v>3964</v>
      </c>
      <c r="K570" s="19" t="s">
        <v>4869</v>
      </c>
      <c r="L570" s="247">
        <f t="shared" si="67"/>
        <v>2</v>
      </c>
      <c r="M570" s="121">
        <f>SUMIFS('Bilateral Assistance, MAIN DATA'!M:M,'Bilateral Assistance, MAIN DATA'!I:I,'Price List, Weapons &amp; Items'!B570)</f>
        <v>500</v>
      </c>
      <c r="N570" s="19">
        <f>COUNTIFS('Bilateral Assistance, MAIN DATA'!M:M,"undisclosed",'Bilateral Assistance, MAIN DATA'!I:I,'Price List, Weapons &amp; Items'!B570)</f>
        <v>0</v>
      </c>
      <c r="O570" s="723">
        <f t="shared" si="61"/>
        <v>4500000</v>
      </c>
      <c r="P570" s="19">
        <f>IFERROR(IF(SEARCH(B570,_xlfn.ARRAYTOTEXT('Bilateral Assistance, MAIN DATA'!I$1:I$1622))&gt;0,1,""),0)</f>
        <v>1</v>
      </c>
      <c r="Q570" s="19">
        <f>IFERROR(IF(SEARCH(B570,_xlfn.ARRAYTOTEXT('Commercial Assistance'!I$1:I$1400))&gt;0,1,""),0)</f>
        <v>0</v>
      </c>
      <c r="R570" s="247" t="str">
        <f>IF(SUMIFS('Bilateral Assistance, MAIN DATA'!N:N,'Bilateral Assistance, MAIN DATA'!I:I,'Price List, Weapons &amp; Items'!B570)&gt;M570,1,".")</f>
        <v>.</v>
      </c>
    </row>
    <row r="571" spans="2:18" ht="15" customHeight="1" x14ac:dyDescent="0.3">
      <c r="B571" s="17" t="s">
        <v>3399</v>
      </c>
      <c r="C571" s="113" t="s">
        <v>462</v>
      </c>
      <c r="D571" s="19" t="s">
        <v>3977</v>
      </c>
      <c r="E571" s="199">
        <v>0</v>
      </c>
      <c r="F571" s="199">
        <v>0</v>
      </c>
      <c r="G571" s="865">
        <v>140.58000000000001</v>
      </c>
      <c r="H571" s="199" t="s">
        <v>346</v>
      </c>
      <c r="I571" s="1049" t="s">
        <v>4870</v>
      </c>
      <c r="J571" s="249" t="s">
        <v>3967</v>
      </c>
      <c r="K571" s="19" t="s">
        <v>4871</v>
      </c>
      <c r="L571" s="247">
        <f t="shared" si="67"/>
        <v>2</v>
      </c>
      <c r="M571" s="121">
        <f>SUMIFS('Bilateral Assistance, MAIN DATA'!M:M,'Bilateral Assistance, MAIN DATA'!I:I,'Price List, Weapons &amp; Items'!B571)</f>
        <v>250000</v>
      </c>
      <c r="N571" s="19">
        <f>COUNTIFS('Bilateral Assistance, MAIN DATA'!M:M,"undisclosed",'Bilateral Assistance, MAIN DATA'!I:I,'Price List, Weapons &amp; Items'!B571)</f>
        <v>0</v>
      </c>
      <c r="O571" s="723">
        <f t="shared" si="61"/>
        <v>35145000</v>
      </c>
      <c r="P571" s="19">
        <f>IFERROR(IF(SEARCH(B571,_xlfn.ARRAYTOTEXT('Bilateral Assistance, MAIN DATA'!I$1:I$1622))&gt;0,1,""),0)</f>
        <v>1</v>
      </c>
      <c r="Q571" s="19">
        <f>IFERROR(IF(SEARCH(B571,_xlfn.ARRAYTOTEXT('Commercial Assistance'!I$1:I$1400))&gt;0,1,""),0)</f>
        <v>0</v>
      </c>
      <c r="R571" s="247" t="str">
        <f>IF(SUMIFS('Bilateral Assistance, MAIN DATA'!N:N,'Bilateral Assistance, MAIN DATA'!I:I,'Price List, Weapons &amp; Items'!B571)&gt;M571,1,".")</f>
        <v>.</v>
      </c>
    </row>
    <row r="572" spans="2:18" ht="15" customHeight="1" x14ac:dyDescent="0.3">
      <c r="B572" s="17" t="s">
        <v>3402</v>
      </c>
      <c r="C572" s="113" t="s">
        <v>3942</v>
      </c>
      <c r="D572" s="246" t="s">
        <v>4011</v>
      </c>
      <c r="E572" s="199">
        <v>0</v>
      </c>
      <c r="F572" s="199">
        <v>0</v>
      </c>
      <c r="G572" s="710">
        <v>165900</v>
      </c>
      <c r="H572" s="199" t="s">
        <v>346</v>
      </c>
      <c r="I572" s="671" t="s">
        <v>4872</v>
      </c>
      <c r="J572" s="155" t="s">
        <v>3964</v>
      </c>
      <c r="K572" s="19" t="s">
        <v>4873</v>
      </c>
      <c r="L572" s="247" t="str">
        <f t="shared" si="67"/>
        <v>no price, 0 count</v>
      </c>
      <c r="M572" s="121">
        <f>SUMIFS('Bilateral Assistance, MAIN DATA'!M:M,'Bilateral Assistance, MAIN DATA'!I:I,'Price List, Weapons &amp; Items'!B572)</f>
        <v>0</v>
      </c>
      <c r="N572" s="19">
        <f>COUNTIFS('Bilateral Assistance, MAIN DATA'!M:M,"undisclosed",'Bilateral Assistance, MAIN DATA'!I:I,'Price List, Weapons &amp; Items'!B572)</f>
        <v>1</v>
      </c>
      <c r="O572" s="723">
        <f t="shared" si="61"/>
        <v>0</v>
      </c>
      <c r="P572" s="19">
        <f>IFERROR(IF(SEARCH(B572,_xlfn.ARRAYTOTEXT('Bilateral Assistance, MAIN DATA'!I$1:I$1622))&gt;0,1,""),0)</f>
        <v>1</v>
      </c>
      <c r="Q572" s="19">
        <f>IFERROR(IF(SEARCH(B572,_xlfn.ARRAYTOTEXT('Commercial Assistance'!I$1:I$1400))&gt;0,1,""),0)</f>
        <v>0</v>
      </c>
      <c r="R572" s="247" t="str">
        <f>IF(SUMIFS('Bilateral Assistance, MAIN DATA'!N:N,'Bilateral Assistance, MAIN DATA'!I:I,'Price List, Weapons &amp; Items'!B572)&gt;M572,1,".")</f>
        <v>.</v>
      </c>
    </row>
    <row r="573" spans="2:18" ht="15" customHeight="1" x14ac:dyDescent="0.3">
      <c r="B573" s="711" t="s">
        <v>3403</v>
      </c>
      <c r="C573" s="712" t="s">
        <v>3942</v>
      </c>
      <c r="D573" s="713" t="s">
        <v>4011</v>
      </c>
      <c r="E573" s="714">
        <v>0</v>
      </c>
      <c r="F573" s="714">
        <v>0</v>
      </c>
      <c r="G573" s="715">
        <v>400</v>
      </c>
      <c r="H573" s="714" t="s">
        <v>346</v>
      </c>
      <c r="I573" s="859" t="s">
        <v>4874</v>
      </c>
      <c r="J573" s="717" t="s">
        <v>3964</v>
      </c>
      <c r="K573" s="718" t="s">
        <v>4875</v>
      </c>
      <c r="L573" s="716">
        <f t="shared" si="67"/>
        <v>1</v>
      </c>
      <c r="M573" s="724">
        <f>SUMIFS('Bilateral Assistance, MAIN DATA'!M:M,'Bilateral Assistance, MAIN DATA'!I:I,'Price List, Weapons &amp; Items'!B573)</f>
        <v>4000</v>
      </c>
      <c r="N573" s="718">
        <f>COUNTIFS('Bilateral Assistance, MAIN DATA'!M:M,"undisclosed",'Bilateral Assistance, MAIN DATA'!I:I,'Price List, Weapons &amp; Items'!B573)</f>
        <v>0</v>
      </c>
      <c r="O573" s="725">
        <f t="shared" si="61"/>
        <v>1600000</v>
      </c>
      <c r="P573" s="718">
        <f>IFERROR(IF(SEARCH(B573,_xlfn.ARRAYTOTEXT('Bilateral Assistance, MAIN DATA'!I$1:I$1622))&gt;0,1,""),0)</f>
        <v>1</v>
      </c>
      <c r="Q573" s="718">
        <f>IFERROR(IF(SEARCH(B573,_xlfn.ARRAYTOTEXT('Commercial Assistance'!I$1:I$1400))&gt;0,1,""),0)</f>
        <v>0</v>
      </c>
      <c r="R573" s="716" t="str">
        <f>IF(SUMIFS('Bilateral Assistance, MAIN DATA'!N:N,'Bilateral Assistance, MAIN DATA'!I:I,'Price List, Weapons &amp; Items'!B573)&gt;M573,1,".")</f>
        <v>.</v>
      </c>
    </row>
    <row r="574" spans="2:18" ht="15" customHeight="1" x14ac:dyDescent="0.3">
      <c r="D574" s="32"/>
      <c r="G574" s="627"/>
      <c r="H574" s="456"/>
      <c r="I574" s="597"/>
      <c r="J574" s="32"/>
      <c r="K574" s="32"/>
      <c r="L574" s="32"/>
    </row>
    <row r="575" spans="2:18" ht="15" customHeight="1" x14ac:dyDescent="0.3">
      <c r="D575" s="32"/>
      <c r="G575" s="627"/>
      <c r="H575" s="456"/>
      <c r="I575" s="597"/>
      <c r="J575" s="32"/>
      <c r="K575" s="32"/>
      <c r="L575" s="32"/>
    </row>
    <row r="576" spans="2:18" ht="15" customHeight="1" x14ac:dyDescent="0.3">
      <c r="D576" s="32"/>
      <c r="G576" s="627"/>
      <c r="H576" s="456"/>
      <c r="I576" s="597"/>
      <c r="J576" s="32"/>
      <c r="K576" s="32"/>
      <c r="L576" s="32"/>
    </row>
    <row r="577" spans="4:12" ht="15" customHeight="1" x14ac:dyDescent="0.3">
      <c r="D577" s="32"/>
      <c r="G577" s="627"/>
      <c r="H577" s="456"/>
      <c r="I577" s="597"/>
      <c r="J577" s="32"/>
      <c r="K577" s="32"/>
      <c r="L577" s="32"/>
    </row>
    <row r="578" spans="4:12" ht="15" customHeight="1" x14ac:dyDescent="0.3">
      <c r="D578" s="32"/>
      <c r="G578" s="627"/>
      <c r="H578" s="456"/>
      <c r="I578" s="597"/>
      <c r="J578" s="32"/>
      <c r="K578" s="32"/>
      <c r="L578" s="32"/>
    </row>
    <row r="579" spans="4:12" ht="15" customHeight="1" x14ac:dyDescent="0.3">
      <c r="D579" s="32"/>
      <c r="G579" s="627"/>
      <c r="H579" s="456"/>
      <c r="I579" s="597"/>
      <c r="J579" s="32"/>
      <c r="K579" s="32"/>
      <c r="L579" s="32"/>
    </row>
    <row r="580" spans="4:12" ht="15" customHeight="1" x14ac:dyDescent="0.3">
      <c r="D580" s="32"/>
      <c r="G580" s="627"/>
      <c r="H580" s="456"/>
      <c r="I580" s="597"/>
      <c r="J580" s="32"/>
      <c r="K580" s="32"/>
      <c r="L580" s="32"/>
    </row>
    <row r="581" spans="4:12" ht="15" customHeight="1" x14ac:dyDescent="0.3">
      <c r="D581" s="32"/>
      <c r="G581" s="627"/>
      <c r="H581" s="456"/>
      <c r="I581" s="597"/>
      <c r="J581" s="32"/>
      <c r="K581" s="32"/>
      <c r="L581" s="32"/>
    </row>
    <row r="582" spans="4:12" ht="15" customHeight="1" x14ac:dyDescent="0.3">
      <c r="D582" s="32"/>
      <c r="G582" s="627"/>
      <c r="H582" s="456"/>
      <c r="I582" s="597"/>
      <c r="J582" s="32"/>
      <c r="K582" s="32"/>
      <c r="L582" s="32"/>
    </row>
    <row r="583" spans="4:12" ht="15" customHeight="1" x14ac:dyDescent="0.3">
      <c r="D583" s="32"/>
      <c r="G583" s="627"/>
      <c r="H583" s="456"/>
      <c r="I583" s="597"/>
      <c r="J583" s="32"/>
      <c r="K583" s="32"/>
      <c r="L583" s="32"/>
    </row>
    <row r="584" spans="4:12" ht="15" customHeight="1" x14ac:dyDescent="0.3">
      <c r="D584" s="32"/>
      <c r="G584" s="627"/>
      <c r="H584" s="456"/>
      <c r="I584" s="597"/>
      <c r="J584" s="32"/>
      <c r="K584" s="32"/>
      <c r="L584" s="32"/>
    </row>
    <row r="585" spans="4:12" ht="15" customHeight="1" x14ac:dyDescent="0.3">
      <c r="D585" s="32"/>
      <c r="G585" s="627"/>
      <c r="H585" s="456"/>
      <c r="I585" s="597"/>
      <c r="J585" s="32"/>
      <c r="K585" s="32"/>
      <c r="L585" s="32"/>
    </row>
    <row r="586" spans="4:12" ht="15" customHeight="1" x14ac:dyDescent="0.3">
      <c r="D586" s="32"/>
      <c r="G586" s="627"/>
      <c r="H586" s="456"/>
      <c r="I586" s="597"/>
      <c r="J586" s="32"/>
      <c r="K586" s="32"/>
      <c r="L586" s="32"/>
    </row>
    <row r="587" spans="4:12" ht="15" customHeight="1" x14ac:dyDescent="0.3">
      <c r="D587" s="32"/>
      <c r="G587" s="627"/>
      <c r="H587" s="456"/>
      <c r="I587" s="597"/>
      <c r="J587" s="32"/>
      <c r="K587" s="32"/>
      <c r="L587" s="32"/>
    </row>
    <row r="588" spans="4:12" ht="15" customHeight="1" x14ac:dyDescent="0.3">
      <c r="D588" s="32"/>
      <c r="G588" s="627"/>
      <c r="H588" s="456"/>
      <c r="I588" s="597"/>
      <c r="J588" s="32"/>
      <c r="K588" s="32"/>
      <c r="L588" s="32"/>
    </row>
    <row r="589" spans="4:12" ht="15" customHeight="1" x14ac:dyDescent="0.3">
      <c r="D589" s="32"/>
      <c r="G589" s="627"/>
      <c r="H589" s="456"/>
      <c r="I589" s="597"/>
      <c r="J589" s="32"/>
      <c r="K589" s="32"/>
      <c r="L589" s="32"/>
    </row>
    <row r="590" spans="4:12" ht="15" customHeight="1" x14ac:dyDescent="0.3">
      <c r="D590" s="32"/>
      <c r="G590" s="627"/>
      <c r="H590" s="456"/>
      <c r="I590" s="597"/>
      <c r="J590" s="32"/>
      <c r="K590" s="32"/>
      <c r="L590" s="32"/>
    </row>
    <row r="591" spans="4:12" ht="15" customHeight="1" x14ac:dyDescent="0.3">
      <c r="D591" s="32"/>
      <c r="G591" s="627"/>
      <c r="H591" s="456"/>
      <c r="I591" s="597"/>
      <c r="J591" s="32"/>
      <c r="K591" s="32"/>
      <c r="L591" s="32"/>
    </row>
    <row r="592" spans="4:12" ht="15" customHeight="1" x14ac:dyDescent="0.3">
      <c r="D592" s="32"/>
      <c r="G592" s="627"/>
      <c r="H592" s="456"/>
      <c r="I592" s="597"/>
      <c r="J592" s="32"/>
      <c r="K592" s="32"/>
      <c r="L592" s="32"/>
    </row>
    <row r="593" spans="4:12" ht="15" customHeight="1" x14ac:dyDescent="0.3">
      <c r="D593" s="32"/>
      <c r="G593" s="627"/>
      <c r="H593" s="456"/>
      <c r="I593" s="597"/>
      <c r="J593" s="32"/>
      <c r="K593" s="32"/>
      <c r="L593" s="32"/>
    </row>
    <row r="594" spans="4:12" ht="15" customHeight="1" x14ac:dyDescent="0.3">
      <c r="D594" s="32"/>
      <c r="G594" s="627"/>
      <c r="H594" s="456"/>
      <c r="I594" s="597"/>
      <c r="J594" s="32"/>
      <c r="K594" s="32"/>
      <c r="L594" s="32"/>
    </row>
    <row r="595" spans="4:12" ht="15" customHeight="1" x14ac:dyDescent="0.3">
      <c r="D595" s="32"/>
      <c r="G595" s="627"/>
      <c r="H595" s="456"/>
      <c r="I595" s="597"/>
      <c r="J595" s="32"/>
      <c r="K595" s="32"/>
      <c r="L595" s="32"/>
    </row>
    <row r="596" spans="4:12" ht="15" customHeight="1" x14ac:dyDescent="0.3">
      <c r="D596" s="32"/>
      <c r="G596" s="627"/>
      <c r="H596" s="456"/>
      <c r="I596" s="597"/>
      <c r="J596" s="32"/>
      <c r="K596" s="32"/>
      <c r="L596" s="32"/>
    </row>
    <row r="597" spans="4:12" ht="15" customHeight="1" x14ac:dyDescent="0.3">
      <c r="D597" s="32"/>
      <c r="G597" s="627"/>
      <c r="H597" s="456"/>
      <c r="I597" s="597"/>
      <c r="J597" s="32"/>
      <c r="K597" s="32"/>
      <c r="L597" s="32"/>
    </row>
    <row r="598" spans="4:12" ht="15" customHeight="1" x14ac:dyDescent="0.3">
      <c r="D598" s="32"/>
      <c r="G598" s="627"/>
      <c r="H598" s="456"/>
      <c r="I598" s="597"/>
      <c r="J598" s="32"/>
      <c r="K598" s="32"/>
      <c r="L598" s="32"/>
    </row>
    <row r="599" spans="4:12" ht="15" customHeight="1" x14ac:dyDescent="0.3">
      <c r="D599" s="32"/>
      <c r="G599" s="627"/>
      <c r="H599" s="456"/>
      <c r="I599" s="597"/>
      <c r="J599" s="32"/>
      <c r="K599" s="32"/>
      <c r="L599" s="32"/>
    </row>
    <row r="600" spans="4:12" ht="15" customHeight="1" x14ac:dyDescent="0.3">
      <c r="D600" s="32"/>
      <c r="G600" s="627"/>
      <c r="H600" s="456"/>
      <c r="I600" s="597"/>
      <c r="J600" s="32"/>
      <c r="K600" s="32"/>
      <c r="L600" s="32"/>
    </row>
    <row r="601" spans="4:12" ht="15" customHeight="1" x14ac:dyDescent="0.3">
      <c r="D601" s="32"/>
      <c r="G601" s="627"/>
      <c r="H601" s="456"/>
      <c r="I601" s="597"/>
      <c r="J601" s="32"/>
      <c r="K601" s="32"/>
      <c r="L601" s="32"/>
    </row>
    <row r="602" spans="4:12" ht="15" customHeight="1" x14ac:dyDescent="0.3">
      <c r="D602" s="32"/>
      <c r="G602" s="627"/>
      <c r="H602" s="456"/>
      <c r="I602" s="597"/>
      <c r="J602" s="32"/>
      <c r="K602" s="32"/>
      <c r="L602" s="32"/>
    </row>
    <row r="603" spans="4:12" ht="15" customHeight="1" x14ac:dyDescent="0.3">
      <c r="D603" s="32"/>
      <c r="G603" s="627"/>
      <c r="H603" s="456"/>
      <c r="I603" s="597"/>
      <c r="J603" s="32"/>
      <c r="K603" s="32"/>
      <c r="L603" s="32"/>
    </row>
    <row r="604" spans="4:12" ht="15" customHeight="1" x14ac:dyDescent="0.3">
      <c r="D604" s="32"/>
      <c r="G604" s="627"/>
      <c r="H604" s="456"/>
      <c r="I604" s="597"/>
      <c r="J604" s="32"/>
      <c r="K604" s="32"/>
      <c r="L604" s="32"/>
    </row>
    <row r="605" spans="4:12" ht="15" customHeight="1" x14ac:dyDescent="0.3">
      <c r="D605" s="32"/>
      <c r="G605" s="627"/>
      <c r="H605" s="456"/>
      <c r="I605" s="597"/>
      <c r="J605" s="32"/>
      <c r="K605" s="32"/>
      <c r="L605" s="32"/>
    </row>
    <row r="606" spans="4:12" ht="15" customHeight="1" x14ac:dyDescent="0.3">
      <c r="D606" s="32"/>
      <c r="G606" s="627"/>
      <c r="H606" s="456"/>
      <c r="I606" s="597"/>
      <c r="J606" s="32"/>
      <c r="K606" s="32"/>
      <c r="L606" s="32"/>
    </row>
    <row r="607" spans="4:12" ht="15" customHeight="1" x14ac:dyDescent="0.3">
      <c r="D607" s="32"/>
      <c r="G607" s="627"/>
      <c r="H607" s="456"/>
      <c r="I607" s="597"/>
      <c r="J607" s="32"/>
      <c r="K607" s="32"/>
      <c r="L607" s="32"/>
    </row>
    <row r="608" spans="4:12" ht="15" customHeight="1" x14ac:dyDescent="0.3">
      <c r="D608" s="32"/>
      <c r="G608" s="627"/>
      <c r="H608" s="456"/>
      <c r="I608" s="597"/>
      <c r="J608" s="32"/>
      <c r="K608" s="32"/>
      <c r="L608" s="32"/>
    </row>
    <row r="609" spans="4:12" ht="15" customHeight="1" x14ac:dyDescent="0.3">
      <c r="D609" s="32"/>
      <c r="G609" s="627"/>
      <c r="H609" s="456"/>
      <c r="I609" s="597"/>
      <c r="J609" s="32"/>
      <c r="K609" s="32"/>
      <c r="L609" s="32"/>
    </row>
    <row r="610" spans="4:12" ht="15" customHeight="1" x14ac:dyDescent="0.3">
      <c r="D610" s="32"/>
      <c r="G610" s="627"/>
      <c r="H610" s="456"/>
      <c r="I610" s="597"/>
      <c r="J610" s="32"/>
      <c r="K610" s="32"/>
      <c r="L610" s="32"/>
    </row>
    <row r="611" spans="4:12" ht="15" customHeight="1" x14ac:dyDescent="0.3">
      <c r="D611" s="32"/>
      <c r="G611" s="627"/>
      <c r="H611" s="456"/>
      <c r="I611" s="597"/>
      <c r="J611" s="32"/>
      <c r="K611" s="32"/>
      <c r="L611" s="32"/>
    </row>
    <row r="612" spans="4:12" ht="15" customHeight="1" x14ac:dyDescent="0.3">
      <c r="D612" s="32"/>
      <c r="G612" s="627"/>
      <c r="H612" s="456"/>
      <c r="I612" s="597"/>
      <c r="J612" s="32"/>
      <c r="K612" s="32"/>
      <c r="L612" s="32"/>
    </row>
    <row r="613" spans="4:12" ht="15" customHeight="1" x14ac:dyDescent="0.3">
      <c r="D613" s="32"/>
      <c r="G613" s="627"/>
      <c r="H613" s="456"/>
      <c r="I613" s="597"/>
      <c r="J613" s="32"/>
      <c r="K613" s="32"/>
      <c r="L613" s="32"/>
    </row>
    <row r="614" spans="4:12" ht="15" customHeight="1" x14ac:dyDescent="0.3">
      <c r="D614" s="32"/>
      <c r="G614" s="627"/>
      <c r="H614" s="456"/>
      <c r="I614" s="597"/>
      <c r="J614" s="32"/>
      <c r="K614" s="32"/>
      <c r="L614" s="32"/>
    </row>
    <row r="615" spans="4:12" ht="15" customHeight="1" x14ac:dyDescent="0.3">
      <c r="D615" s="32"/>
      <c r="G615" s="627"/>
      <c r="H615" s="456"/>
      <c r="I615" s="597"/>
      <c r="J615" s="32"/>
      <c r="K615" s="32"/>
      <c r="L615" s="32"/>
    </row>
    <row r="616" spans="4:12" ht="15" customHeight="1" x14ac:dyDescent="0.3">
      <c r="D616" s="32"/>
      <c r="G616" s="627"/>
      <c r="H616" s="456"/>
      <c r="I616" s="597"/>
      <c r="J616" s="32"/>
      <c r="K616" s="32"/>
      <c r="L616" s="32"/>
    </row>
    <row r="617" spans="4:12" ht="15" customHeight="1" x14ac:dyDescent="0.3">
      <c r="D617" s="32"/>
      <c r="G617" s="627"/>
      <c r="H617" s="456"/>
      <c r="I617" s="597"/>
      <c r="J617" s="32"/>
      <c r="K617" s="32"/>
      <c r="L617" s="32"/>
    </row>
    <row r="618" spans="4:12" ht="15" customHeight="1" x14ac:dyDescent="0.3">
      <c r="D618" s="32"/>
      <c r="G618" s="627"/>
      <c r="H618" s="456"/>
      <c r="I618" s="597"/>
      <c r="J618" s="32"/>
      <c r="K618" s="32"/>
      <c r="L618" s="32"/>
    </row>
    <row r="619" spans="4:12" ht="15" customHeight="1" x14ac:dyDescent="0.3">
      <c r="D619" s="32"/>
      <c r="G619" s="627"/>
      <c r="H619" s="456"/>
      <c r="I619" s="597"/>
      <c r="J619" s="32"/>
      <c r="K619" s="32"/>
      <c r="L619" s="32"/>
    </row>
    <row r="620" spans="4:12" ht="15" customHeight="1" x14ac:dyDescent="0.3">
      <c r="D620" s="32"/>
      <c r="G620" s="627"/>
      <c r="H620" s="456"/>
      <c r="I620" s="597"/>
      <c r="J620" s="32"/>
      <c r="K620" s="32"/>
      <c r="L620" s="32"/>
    </row>
    <row r="621" spans="4:12" ht="15" customHeight="1" x14ac:dyDescent="0.3">
      <c r="I621" s="635"/>
    </row>
    <row r="622" spans="4:12" ht="15" customHeight="1" x14ac:dyDescent="0.3">
      <c r="I622" s="635"/>
    </row>
    <row r="623" spans="4:12" ht="15" customHeight="1" x14ac:dyDescent="0.3">
      <c r="I623" s="635"/>
    </row>
    <row r="624" spans="4:12" ht="15" customHeight="1" x14ac:dyDescent="0.3">
      <c r="I624" s="635"/>
    </row>
    <row r="631" spans="9:9" ht="15" customHeight="1" x14ac:dyDescent="0.3">
      <c r="I631" s="635"/>
    </row>
    <row r="632" spans="9:9" ht="15" customHeight="1" x14ac:dyDescent="0.3">
      <c r="I632" s="635"/>
    </row>
    <row r="633" spans="9:9" ht="15" customHeight="1" x14ac:dyDescent="0.3">
      <c r="I633" s="635"/>
    </row>
    <row r="634" spans="9:9" ht="15" customHeight="1" x14ac:dyDescent="0.3">
      <c r="I634" s="635"/>
    </row>
    <row r="635" spans="9:9" ht="15" customHeight="1" x14ac:dyDescent="0.3">
      <c r="I635" s="635"/>
    </row>
    <row r="636" spans="9:9" ht="15" customHeight="1" x14ac:dyDescent="0.3">
      <c r="I636" s="635"/>
    </row>
    <row r="1921" spans="4:12" ht="15" customHeight="1" x14ac:dyDescent="0.3">
      <c r="D1921" s="32"/>
      <c r="G1921" s="627"/>
      <c r="H1921" s="456"/>
      <c r="I1921" s="597"/>
      <c r="J1921" s="32"/>
      <c r="K1921" s="32"/>
      <c r="L1921" s="32"/>
    </row>
    <row r="1922" spans="4:12" ht="15" customHeight="1" x14ac:dyDescent="0.3">
      <c r="D1922" s="32"/>
      <c r="G1922" s="627"/>
      <c r="H1922" s="456"/>
      <c r="I1922" s="597"/>
      <c r="J1922" s="32"/>
      <c r="K1922" s="32"/>
      <c r="L1922" s="32"/>
    </row>
    <row r="1923" spans="4:12" ht="15" customHeight="1" x14ac:dyDescent="0.3">
      <c r="D1923" s="32"/>
      <c r="G1923" s="627"/>
      <c r="H1923" s="456"/>
      <c r="I1923" s="597"/>
      <c r="J1923" s="32"/>
      <c r="K1923" s="32"/>
      <c r="L1923" s="32"/>
    </row>
    <row r="1924" spans="4:12" ht="15" customHeight="1" x14ac:dyDescent="0.3">
      <c r="D1924" s="32"/>
      <c r="G1924" s="627"/>
      <c r="H1924" s="456"/>
      <c r="I1924" s="597"/>
      <c r="J1924" s="32"/>
      <c r="K1924" s="32"/>
      <c r="L1924" s="32"/>
    </row>
    <row r="1925" spans="4:12" ht="15" customHeight="1" x14ac:dyDescent="0.3">
      <c r="D1925" s="32"/>
      <c r="G1925" s="627"/>
      <c r="H1925" s="456"/>
      <c r="I1925" s="597"/>
      <c r="J1925" s="32"/>
      <c r="K1925" s="32"/>
      <c r="L1925" s="32"/>
    </row>
    <row r="1926" spans="4:12" ht="15" customHeight="1" x14ac:dyDescent="0.3">
      <c r="D1926" s="32"/>
      <c r="G1926" s="627"/>
      <c r="H1926" s="456"/>
      <c r="I1926" s="597"/>
      <c r="J1926" s="32"/>
      <c r="K1926" s="32"/>
      <c r="L1926" s="32"/>
    </row>
    <row r="1927" spans="4:12" ht="15" customHeight="1" x14ac:dyDescent="0.3">
      <c r="D1927" s="32"/>
      <c r="G1927" s="627"/>
      <c r="H1927" s="456"/>
      <c r="I1927" s="597"/>
      <c r="J1927" s="32"/>
      <c r="K1927" s="32"/>
      <c r="L1927" s="32"/>
    </row>
    <row r="1928" spans="4:12" ht="15" customHeight="1" x14ac:dyDescent="0.3">
      <c r="D1928" s="32"/>
      <c r="G1928" s="627"/>
      <c r="H1928" s="456"/>
      <c r="I1928" s="597"/>
      <c r="J1928" s="32"/>
      <c r="K1928" s="32"/>
      <c r="L1928" s="32"/>
    </row>
    <row r="1929" spans="4:12" ht="15" customHeight="1" x14ac:dyDescent="0.3">
      <c r="D1929" s="32"/>
      <c r="G1929" s="627"/>
      <c r="H1929" s="456"/>
      <c r="I1929" s="597"/>
      <c r="J1929" s="32"/>
      <c r="K1929" s="32"/>
      <c r="L1929" s="32"/>
    </row>
    <row r="1930" spans="4:12" ht="15" customHeight="1" x14ac:dyDescent="0.3">
      <c r="D1930" s="32"/>
      <c r="G1930" s="627"/>
      <c r="H1930" s="456"/>
      <c r="I1930" s="597"/>
      <c r="J1930" s="32"/>
      <c r="K1930" s="32"/>
      <c r="L1930" s="32"/>
    </row>
    <row r="1931" spans="4:12" ht="15" customHeight="1" x14ac:dyDescent="0.3">
      <c r="D1931" s="32"/>
      <c r="G1931" s="627"/>
      <c r="H1931" s="456"/>
      <c r="I1931" s="597"/>
      <c r="J1931" s="32"/>
      <c r="K1931" s="32"/>
      <c r="L1931" s="32"/>
    </row>
    <row r="1932" spans="4:12" ht="15" customHeight="1" x14ac:dyDescent="0.3">
      <c r="D1932" s="32"/>
      <c r="G1932" s="627"/>
      <c r="H1932" s="456"/>
      <c r="I1932" s="597"/>
      <c r="J1932" s="32"/>
      <c r="K1932" s="32"/>
      <c r="L1932" s="32"/>
    </row>
    <row r="1933" spans="4:12" ht="15" customHeight="1" x14ac:dyDescent="0.3">
      <c r="D1933" s="32"/>
      <c r="G1933" s="627"/>
      <c r="H1933" s="456"/>
      <c r="I1933" s="597"/>
      <c r="J1933" s="32"/>
      <c r="K1933" s="32"/>
      <c r="L1933" s="32"/>
    </row>
    <row r="1934" spans="4:12" ht="15" customHeight="1" x14ac:dyDescent="0.3">
      <c r="D1934" s="32"/>
      <c r="G1934" s="627"/>
      <c r="H1934" s="456"/>
      <c r="I1934" s="597"/>
      <c r="J1934" s="32"/>
      <c r="K1934" s="32"/>
      <c r="L1934" s="32"/>
    </row>
    <row r="1935" spans="4:12" ht="15" customHeight="1" x14ac:dyDescent="0.3">
      <c r="D1935" s="32"/>
      <c r="G1935" s="627"/>
      <c r="H1935" s="456"/>
      <c r="I1935" s="597"/>
      <c r="J1935" s="32"/>
      <c r="K1935" s="32"/>
      <c r="L1935" s="32"/>
    </row>
    <row r="1936" spans="4:12" ht="15" customHeight="1" x14ac:dyDescent="0.3">
      <c r="D1936" s="32"/>
      <c r="G1936" s="627"/>
      <c r="H1936" s="456"/>
      <c r="I1936" s="597"/>
      <c r="J1936" s="32"/>
      <c r="K1936" s="32"/>
      <c r="L1936" s="32"/>
    </row>
    <row r="1937" spans="4:12" ht="15" customHeight="1" x14ac:dyDescent="0.3">
      <c r="D1937" s="32"/>
      <c r="G1937" s="627"/>
      <c r="H1937" s="456"/>
      <c r="I1937" s="597"/>
      <c r="J1937" s="32"/>
      <c r="K1937" s="32"/>
      <c r="L1937" s="32"/>
    </row>
    <row r="1938" spans="4:12" ht="15" customHeight="1" x14ac:dyDescent="0.3">
      <c r="D1938" s="32"/>
      <c r="G1938" s="627"/>
      <c r="H1938" s="456"/>
      <c r="I1938" s="597"/>
      <c r="J1938" s="32"/>
      <c r="K1938" s="32"/>
      <c r="L1938" s="32"/>
    </row>
    <row r="1939" spans="4:12" ht="15" customHeight="1" x14ac:dyDescent="0.3">
      <c r="D1939" s="32"/>
      <c r="G1939" s="627"/>
      <c r="H1939" s="456"/>
      <c r="I1939" s="597"/>
      <c r="J1939" s="32"/>
      <c r="K1939" s="32"/>
      <c r="L1939" s="32"/>
    </row>
    <row r="1940" spans="4:12" ht="15" customHeight="1" x14ac:dyDescent="0.3">
      <c r="D1940" s="32"/>
      <c r="G1940" s="627"/>
      <c r="H1940" s="456"/>
      <c r="I1940" s="597"/>
      <c r="J1940" s="32"/>
      <c r="K1940" s="32"/>
      <c r="L1940" s="32"/>
    </row>
    <row r="1941" spans="4:12" ht="15" customHeight="1" x14ac:dyDescent="0.3">
      <c r="D1941" s="32"/>
      <c r="G1941" s="627"/>
      <c r="H1941" s="456"/>
      <c r="I1941" s="597"/>
      <c r="J1941" s="32"/>
      <c r="K1941" s="32"/>
      <c r="L1941" s="32"/>
    </row>
    <row r="1942" spans="4:12" ht="15" customHeight="1" x14ac:dyDescent="0.3">
      <c r="D1942" s="32"/>
      <c r="G1942" s="627"/>
      <c r="H1942" s="456"/>
      <c r="I1942" s="597"/>
      <c r="J1942" s="32"/>
      <c r="K1942" s="32"/>
      <c r="L1942" s="32"/>
    </row>
    <row r="1943" spans="4:12" ht="15" customHeight="1" x14ac:dyDescent="0.3">
      <c r="D1943" s="32"/>
      <c r="G1943" s="627"/>
      <c r="H1943" s="456"/>
      <c r="I1943" s="597"/>
      <c r="J1943" s="32"/>
      <c r="K1943" s="32"/>
      <c r="L1943" s="32"/>
    </row>
    <row r="1944" spans="4:12" ht="15" customHeight="1" x14ac:dyDescent="0.3">
      <c r="D1944" s="32"/>
      <c r="G1944" s="627"/>
      <c r="H1944" s="456"/>
      <c r="I1944" s="597"/>
      <c r="J1944" s="32"/>
      <c r="K1944" s="32"/>
      <c r="L1944" s="32"/>
    </row>
    <row r="1945" spans="4:12" ht="15" customHeight="1" x14ac:dyDescent="0.3">
      <c r="D1945" s="32"/>
      <c r="G1945" s="627"/>
      <c r="H1945" s="456"/>
      <c r="I1945" s="597"/>
      <c r="J1945" s="32"/>
      <c r="K1945" s="32"/>
      <c r="L1945" s="32"/>
    </row>
    <row r="1946" spans="4:12" ht="15" customHeight="1" x14ac:dyDescent="0.3">
      <c r="D1946" s="32"/>
      <c r="G1946" s="627"/>
      <c r="H1946" s="456"/>
      <c r="I1946" s="597"/>
      <c r="J1946" s="32"/>
      <c r="K1946" s="32"/>
      <c r="L1946" s="32"/>
    </row>
    <row r="1947" spans="4:12" ht="15" customHeight="1" x14ac:dyDescent="0.3">
      <c r="D1947" s="32"/>
      <c r="G1947" s="627"/>
      <c r="H1947" s="456"/>
      <c r="I1947" s="597"/>
      <c r="J1947" s="32"/>
      <c r="K1947" s="32"/>
      <c r="L1947" s="32"/>
    </row>
    <row r="1948" spans="4:12" ht="15" customHeight="1" x14ac:dyDescent="0.3">
      <c r="D1948" s="32"/>
      <c r="G1948" s="627"/>
      <c r="H1948" s="456"/>
      <c r="I1948" s="597"/>
      <c r="J1948" s="32"/>
      <c r="K1948" s="32"/>
      <c r="L1948" s="32"/>
    </row>
    <row r="1949" spans="4:12" ht="15" customHeight="1" x14ac:dyDescent="0.3">
      <c r="D1949" s="32"/>
      <c r="G1949" s="627"/>
      <c r="H1949" s="456"/>
      <c r="I1949" s="597"/>
      <c r="J1949" s="32"/>
      <c r="K1949" s="32"/>
      <c r="L1949" s="32"/>
    </row>
    <row r="1950" spans="4:12" ht="15" customHeight="1" x14ac:dyDescent="0.3">
      <c r="D1950" s="32"/>
      <c r="G1950" s="627"/>
      <c r="H1950" s="456"/>
      <c r="I1950" s="597"/>
      <c r="J1950" s="32"/>
      <c r="K1950" s="32"/>
      <c r="L1950" s="32"/>
    </row>
    <row r="1951" spans="4:12" ht="15" customHeight="1" x14ac:dyDescent="0.3">
      <c r="D1951" s="32"/>
      <c r="G1951" s="627"/>
      <c r="H1951" s="456"/>
      <c r="I1951" s="597"/>
      <c r="J1951" s="32"/>
      <c r="K1951" s="32"/>
      <c r="L1951" s="32"/>
    </row>
    <row r="1952" spans="4:12" ht="15" customHeight="1" x14ac:dyDescent="0.3">
      <c r="D1952" s="32"/>
      <c r="G1952" s="627"/>
      <c r="H1952" s="456"/>
      <c r="I1952" s="597"/>
      <c r="J1952" s="32"/>
      <c r="K1952" s="32"/>
      <c r="L1952" s="32"/>
    </row>
    <row r="1953" spans="4:12" ht="15" customHeight="1" x14ac:dyDescent="0.3">
      <c r="D1953" s="32"/>
      <c r="G1953" s="627"/>
      <c r="H1953" s="456"/>
      <c r="I1953" s="597"/>
      <c r="J1953" s="32"/>
      <c r="K1953" s="32"/>
      <c r="L1953" s="32"/>
    </row>
    <row r="1954" spans="4:12" ht="15" customHeight="1" x14ac:dyDescent="0.3">
      <c r="D1954" s="32"/>
      <c r="G1954" s="627"/>
      <c r="H1954" s="456"/>
      <c r="I1954" s="597"/>
      <c r="J1954" s="32"/>
      <c r="K1954" s="32"/>
      <c r="L1954" s="32"/>
    </row>
    <row r="1955" spans="4:12" ht="15" customHeight="1" x14ac:dyDescent="0.3">
      <c r="D1955" s="32"/>
      <c r="G1955" s="627"/>
      <c r="H1955" s="456"/>
      <c r="I1955" s="597"/>
      <c r="J1955" s="32"/>
      <c r="K1955" s="32"/>
      <c r="L1955" s="32"/>
    </row>
    <row r="1956" spans="4:12" ht="15" customHeight="1" x14ac:dyDescent="0.3">
      <c r="D1956" s="32"/>
      <c r="G1956" s="627"/>
      <c r="H1956" s="456"/>
      <c r="I1956" s="597"/>
      <c r="J1956" s="32"/>
      <c r="K1956" s="32"/>
      <c r="L1956" s="32"/>
    </row>
    <row r="1957" spans="4:12" ht="15" customHeight="1" x14ac:dyDescent="0.3">
      <c r="D1957" s="32"/>
      <c r="G1957" s="627"/>
      <c r="H1957" s="456"/>
      <c r="I1957" s="597"/>
      <c r="J1957" s="32"/>
      <c r="K1957" s="32"/>
      <c r="L1957" s="32"/>
    </row>
    <row r="1958" spans="4:12" ht="15" customHeight="1" x14ac:dyDescent="0.3">
      <c r="D1958" s="32"/>
      <c r="G1958" s="627"/>
      <c r="H1958" s="456"/>
      <c r="I1958" s="597"/>
      <c r="J1958" s="32"/>
      <c r="K1958" s="32"/>
      <c r="L1958" s="32"/>
    </row>
    <row r="1959" spans="4:12" ht="15" customHeight="1" x14ac:dyDescent="0.3">
      <c r="D1959" s="32"/>
      <c r="G1959" s="627"/>
      <c r="H1959" s="456"/>
      <c r="I1959" s="597"/>
      <c r="J1959" s="32"/>
      <c r="K1959" s="32"/>
      <c r="L1959" s="32"/>
    </row>
    <row r="1960" spans="4:12" ht="15" customHeight="1" x14ac:dyDescent="0.3">
      <c r="D1960" s="32"/>
      <c r="G1960" s="627"/>
      <c r="H1960" s="456"/>
      <c r="I1960" s="597"/>
      <c r="J1960" s="32"/>
      <c r="K1960" s="32"/>
      <c r="L1960" s="32"/>
    </row>
    <row r="1961" spans="4:12" ht="15" customHeight="1" x14ac:dyDescent="0.3">
      <c r="D1961" s="32"/>
      <c r="G1961" s="627"/>
      <c r="H1961" s="456"/>
      <c r="I1961" s="597"/>
      <c r="J1961" s="32"/>
      <c r="K1961" s="32"/>
      <c r="L1961" s="32"/>
    </row>
    <row r="1962" spans="4:12" ht="15" customHeight="1" x14ac:dyDescent="0.3">
      <c r="D1962" s="32"/>
      <c r="G1962" s="627"/>
      <c r="H1962" s="456"/>
      <c r="I1962" s="597"/>
      <c r="J1962" s="32"/>
      <c r="K1962" s="32"/>
      <c r="L1962" s="32"/>
    </row>
    <row r="1963" spans="4:12" ht="15" customHeight="1" x14ac:dyDescent="0.3">
      <c r="D1963" s="32"/>
      <c r="G1963" s="627"/>
      <c r="H1963" s="456"/>
      <c r="I1963" s="597"/>
      <c r="J1963" s="32"/>
      <c r="K1963" s="32"/>
      <c r="L1963" s="32"/>
    </row>
    <row r="1964" spans="4:12" ht="15" customHeight="1" x14ac:dyDescent="0.3">
      <c r="D1964" s="32"/>
      <c r="G1964" s="627"/>
      <c r="H1964" s="456"/>
      <c r="I1964" s="597"/>
      <c r="J1964" s="32"/>
      <c r="K1964" s="32"/>
      <c r="L1964" s="32"/>
    </row>
    <row r="1965" spans="4:12" ht="15" customHeight="1" x14ac:dyDescent="0.3">
      <c r="I1965" s="635"/>
    </row>
    <row r="1966" spans="4:12" ht="15" customHeight="1" x14ac:dyDescent="0.3">
      <c r="I1966" s="635"/>
    </row>
    <row r="1967" spans="4:12" ht="15" customHeight="1" x14ac:dyDescent="0.3">
      <c r="I1967" s="635"/>
    </row>
    <row r="1968" spans="4:12" ht="15" customHeight="1" x14ac:dyDescent="0.3">
      <c r="I1968" s="635"/>
    </row>
    <row r="1969" spans="9:9" ht="15" customHeight="1" x14ac:dyDescent="0.3">
      <c r="I1969" s="635"/>
    </row>
    <row r="1970" spans="9:9" ht="15" customHeight="1" x14ac:dyDescent="0.3">
      <c r="I1970" s="635"/>
    </row>
    <row r="1971" spans="9:9" ht="15" customHeight="1" x14ac:dyDescent="0.3">
      <c r="I1971" s="635"/>
    </row>
    <row r="1972" spans="9:9" ht="15" customHeight="1" x14ac:dyDescent="0.3">
      <c r="I1972" s="635"/>
    </row>
    <row r="1973" spans="9:9" ht="15" customHeight="1" x14ac:dyDescent="0.3">
      <c r="I1973" s="635"/>
    </row>
    <row r="1974" spans="9:9" ht="15" customHeight="1" x14ac:dyDescent="0.3">
      <c r="I1974" s="635"/>
    </row>
  </sheetData>
  <mergeCells count="1">
    <mergeCell ref="B4:D9"/>
  </mergeCells>
  <hyperlinks>
    <hyperlink ref="I234" r:id="rId1" xr:uid="{00000000-0004-0000-2900-000000000000}"/>
    <hyperlink ref="I238" r:id="rId2" xr:uid="{00000000-0004-0000-2900-000001000000}"/>
    <hyperlink ref="I253" r:id="rId3" xr:uid="{00000000-0004-0000-2900-000002000000}"/>
    <hyperlink ref="I279" r:id="rId4" xr:uid="{00000000-0004-0000-2900-000003000000}"/>
    <hyperlink ref="I266" r:id="rId5" xr:uid="{00000000-0004-0000-2900-000004000000}"/>
    <hyperlink ref="I464" r:id="rId6" xr:uid="{00000000-0004-0000-2900-000005000000}"/>
    <hyperlink ref="I363" r:id="rId7" xr:uid="{00000000-0004-0000-2900-000006000000}"/>
    <hyperlink ref="I271" r:id="rId8" xr:uid="{00000000-0004-0000-2900-000007000000}"/>
    <hyperlink ref="I422" r:id="rId9" xr:uid="{00000000-0004-0000-2900-000008000000}"/>
    <hyperlink ref="I424" r:id="rId10" xr:uid="{00000000-0004-0000-2900-000009000000}"/>
    <hyperlink ref="I462" r:id="rId11" xr:uid="{00000000-0004-0000-2900-00000A000000}"/>
    <hyperlink ref="I418" r:id="rId12" xr:uid="{00000000-0004-0000-2900-00000B000000}"/>
    <hyperlink ref="I416" r:id="rId13" xr:uid="{00000000-0004-0000-2900-00000C000000}"/>
    <hyperlink ref="I417" r:id="rId14" xr:uid="{00000000-0004-0000-2900-00000D000000}"/>
    <hyperlink ref="I423" r:id="rId15" xr:uid="{00000000-0004-0000-2900-00000E000000}"/>
    <hyperlink ref="I467" r:id="rId16" xr:uid="{00000000-0004-0000-2900-00000F000000}"/>
    <hyperlink ref="I460" r:id="rId17" xr:uid="{00000000-0004-0000-2900-000010000000}"/>
    <hyperlink ref="I457" r:id="rId18" xr:uid="{00000000-0004-0000-2900-000011000000}"/>
    <hyperlink ref="I236" r:id="rId19" xr:uid="{00000000-0004-0000-2900-000012000000}"/>
    <hyperlink ref="I350" r:id="rId20" xr:uid="{00000000-0004-0000-2900-000013000000}"/>
    <hyperlink ref="I221" r:id="rId21" xr:uid="{00000000-0004-0000-2900-000014000000}"/>
    <hyperlink ref="I333" r:id="rId22" xr:uid="{00000000-0004-0000-2900-000015000000}"/>
    <hyperlink ref="I103" r:id="rId23" xr:uid="{00000000-0004-0000-2900-000016000000}"/>
    <hyperlink ref="I469" r:id="rId24" xr:uid="{00000000-0004-0000-2900-000017000000}"/>
    <hyperlink ref="I270" r:id="rId25" xr:uid="{00000000-0004-0000-2900-000018000000}"/>
    <hyperlink ref="I468" r:id="rId26" xr:uid="{00000000-0004-0000-2900-000019000000}"/>
    <hyperlink ref="I334" r:id="rId27" xr:uid="{00000000-0004-0000-2900-00001A000000}"/>
    <hyperlink ref="I438" r:id="rId28" xr:uid="{00000000-0004-0000-2900-00001B000000}"/>
    <hyperlink ref="I465" r:id="rId29" xr:uid="{00000000-0004-0000-2900-00001C000000}"/>
    <hyperlink ref="I360" r:id="rId30" xr:uid="{00000000-0004-0000-2900-00001D000000}"/>
    <hyperlink ref="I451" r:id="rId31" xr:uid="{00000000-0004-0000-2900-00001E000000}"/>
    <hyperlink ref="I273" r:id="rId32" xr:uid="{00000000-0004-0000-2900-00001F000000}"/>
    <hyperlink ref="I262" r:id="rId33" xr:uid="{00000000-0004-0000-2900-000020000000}"/>
    <hyperlink ref="I251" r:id="rId34" location=":~:text=Anyways%2C%20you%20can%20buy%20a,on%20a%20great%20little%20rifle" xr:uid="{00000000-0004-0000-2900-000021000000}"/>
    <hyperlink ref="I361" r:id="rId35" xr:uid="{00000000-0004-0000-2900-000022000000}"/>
    <hyperlink ref="I427" r:id="rId36" xr:uid="{00000000-0004-0000-2900-000023000000}"/>
    <hyperlink ref="I278" r:id="rId37" xr:uid="{00000000-0004-0000-2900-000024000000}"/>
    <hyperlink ref="I231" r:id="rId38" xr:uid="{00000000-0004-0000-2900-000025000000}"/>
    <hyperlink ref="I359" r:id="rId39" xr:uid="{00000000-0004-0000-2900-000026000000}"/>
    <hyperlink ref="I336" r:id="rId40" xr:uid="{00000000-0004-0000-2900-000027000000}"/>
    <hyperlink ref="K271" r:id="rId41" display="https://en.wikipedia.org/wiki/Comparison_of_the_AK-47_and_M16" xr:uid="{00000000-0004-0000-2900-000028000000}"/>
    <hyperlink ref="K422" r:id="rId42" display="https://hcpresources.medtronic.com/blog/high-acuity-ventilator-cost-guide" xr:uid="{00000000-0004-0000-2900-000029000000}"/>
    <hyperlink ref="I113" r:id="rId43" location=":~:text=It%20is%20estimated%20that%20there,them%20is%20%24300%20to%20%241000." xr:uid="{00000000-0004-0000-2900-00002A000000}"/>
    <hyperlink ref="I371" r:id="rId44" xr:uid="{00000000-0004-0000-2900-00002B000000}"/>
    <hyperlink ref="I107" r:id="rId45" location=":~:text=Der%20Einsatz%20von%20Linearladungen%20%28Sprengschnur%29%20stellt%20hier%20eine,Kosten%20von%2018%20Cent%20f%C3%BCr%20jeden%20vernichteten%20Datentr%C3%A4ger." xr:uid="{00000000-0004-0000-2900-00002C000000}"/>
    <hyperlink ref="I458" r:id="rId46" xr:uid="{00000000-0004-0000-2900-00002D000000}"/>
    <hyperlink ref="I402" r:id="rId47" xr:uid="{00000000-0004-0000-2900-00002E000000}"/>
    <hyperlink ref="I463" r:id="rId48" xr:uid="{00000000-0004-0000-2900-00002F000000}"/>
    <hyperlink ref="I215" r:id="rId49" xr:uid="{00000000-0004-0000-2900-000030000000}"/>
    <hyperlink ref="I346" r:id="rId50" xr:uid="{00000000-0004-0000-2900-000031000000}"/>
    <hyperlink ref="I267" r:id="rId51" xr:uid="{00000000-0004-0000-2900-000032000000}"/>
    <hyperlink ref="I351" r:id="rId52" xr:uid="{00000000-0004-0000-2900-000033000000}"/>
    <hyperlink ref="I247" r:id="rId53" xr:uid="{00000000-0004-0000-2900-000034000000}"/>
    <hyperlink ref="I268" r:id="rId54" xr:uid="{00000000-0004-0000-2900-000035000000}"/>
    <hyperlink ref="I358" r:id="rId55" xr:uid="{00000000-0004-0000-2900-000036000000}"/>
    <hyperlink ref="I160" r:id="rId56" xr:uid="{00000000-0004-0000-2900-000037000000}"/>
    <hyperlink ref="I171" r:id="rId57" xr:uid="{00000000-0004-0000-2900-000038000000}"/>
    <hyperlink ref="I74" r:id="rId58" xr:uid="{00000000-0004-0000-2900-000039000000}"/>
    <hyperlink ref="I226" r:id="rId59" xr:uid="{00000000-0004-0000-2900-00003A000000}"/>
    <hyperlink ref="I230" r:id="rId60" xr:uid="{00000000-0004-0000-2900-00003B000000}"/>
    <hyperlink ref="I108" r:id="rId61" xr:uid="{00000000-0004-0000-2900-00003C000000}"/>
    <hyperlink ref="I50" r:id="rId62" xr:uid="{00000000-0004-0000-2900-00003D000000}"/>
    <hyperlink ref="I45" r:id="rId63" xr:uid="{00000000-0004-0000-2900-00003E000000}"/>
    <hyperlink ref="I202" r:id="rId64" xr:uid="{00000000-0004-0000-2900-00003F000000}"/>
    <hyperlink ref="I106" r:id="rId65" location=":~:text=Fly%20Eye%20%E2%80%93%20%24149.99&amp;text=Trim%2Fstabilization%20adjustment.,-Camera%20%E2%80%93%20Wi%2DFi" xr:uid="{00000000-0004-0000-2900-000040000000}"/>
    <hyperlink ref="I82" r:id="rId66" xr:uid="{00000000-0004-0000-2900-000041000000}"/>
    <hyperlink ref="I213" r:id="rId67" location=":~:text=The%20unit%20cost%20of%20a,to%20A3%20costs%20%24160%20000" xr:uid="{00000000-0004-0000-2900-000042000000}"/>
    <hyperlink ref="I220" r:id="rId68" xr:uid="{00000000-0004-0000-2900-000043000000}"/>
    <hyperlink ref="I380" r:id="rId69" xr:uid="{00000000-0004-0000-2900-000044000000}"/>
    <hyperlink ref="I368" r:id="rId70" xr:uid="{00000000-0004-0000-2900-000045000000}"/>
    <hyperlink ref="I275" r:id="rId71" xr:uid="{00000000-0004-0000-2900-000046000000}"/>
    <hyperlink ref="I204" r:id="rId72" xr:uid="{00000000-0004-0000-2900-000047000000}"/>
    <hyperlink ref="I187" r:id="rId73" xr:uid="{00000000-0004-0000-2900-000048000000}"/>
    <hyperlink ref="I450" r:id="rId74" xr:uid="{00000000-0004-0000-2900-000049000000}"/>
    <hyperlink ref="I439" r:id="rId75" xr:uid="{00000000-0004-0000-2900-00004A000000}"/>
    <hyperlink ref="I445" r:id="rId76" xr:uid="{00000000-0004-0000-2900-00004B000000}"/>
    <hyperlink ref="I370" r:id="rId77" xr:uid="{00000000-0004-0000-2900-00004C000000}"/>
    <hyperlink ref="I413" r:id="rId78" location=":~:text=The%20average%20construction%20costs%20for,built%20in%20a%20larger%20city" xr:uid="{00000000-0004-0000-2900-00004D000000}"/>
    <hyperlink ref="I175" r:id="rId79" xr:uid="{00000000-0004-0000-2900-00004E000000}"/>
    <hyperlink ref="I188" r:id="rId80" xr:uid="{00000000-0004-0000-2900-00004F000000}"/>
    <hyperlink ref="I185" r:id="rId81" xr:uid="{00000000-0004-0000-2900-000050000000}"/>
    <hyperlink ref="I52" r:id="rId82" xr:uid="{00000000-0004-0000-2900-000051000000}"/>
    <hyperlink ref="I164" r:id="rId83" xr:uid="{00000000-0004-0000-2900-000052000000}"/>
    <hyperlink ref="I170" r:id="rId84" xr:uid="{00000000-0004-0000-2900-000053000000}"/>
    <hyperlink ref="I426" r:id="rId85" xr:uid="{00000000-0004-0000-2900-000054000000}"/>
    <hyperlink ref="I169" r:id="rId86" xr:uid="{00000000-0004-0000-2900-000055000000}"/>
    <hyperlink ref="I365" r:id="rId87" xr:uid="{00000000-0004-0000-2900-000056000000}"/>
    <hyperlink ref="I374" r:id="rId88" xr:uid="{00000000-0004-0000-2900-000057000000}"/>
    <hyperlink ref="I332" r:id="rId89" xr:uid="{00000000-0004-0000-2900-000058000000}"/>
    <hyperlink ref="I210" r:id="rId90" xr:uid="{00000000-0004-0000-2900-000059000000}"/>
    <hyperlink ref="I216" r:id="rId91" xr:uid="{00000000-0004-0000-2900-00005A000000}"/>
    <hyperlink ref="I335" r:id="rId92" location=":~:text=Unit%20cost%3A%20%24329%20(Fiscal%20Year%202002).&amp;text=The%20M766%2060mm%20mortar%20cartridge,the%2060mm%20mortar%20training%20strategy." xr:uid="{00000000-0004-0000-2900-00005B000000}"/>
    <hyperlink ref="I207" r:id="rId93" xr:uid="{00000000-0004-0000-2900-00005C000000}"/>
    <hyperlink ref="I244" r:id="rId94" xr:uid="{00000000-0004-0000-2900-00005D000000}"/>
    <hyperlink ref="I211" r:id="rId95" xr:uid="{00000000-0004-0000-2900-00005E000000}"/>
    <hyperlink ref="I264" r:id="rId96" xr:uid="{00000000-0004-0000-2900-00005F000000}"/>
    <hyperlink ref="I159" r:id="rId97" xr:uid="{00000000-0004-0000-2900-000060000000}"/>
    <hyperlink ref="I414" r:id="rId98" xr:uid="{00000000-0004-0000-2900-000061000000}"/>
    <hyperlink ref="I65" r:id="rId99" xr:uid="{00000000-0004-0000-2900-000062000000}"/>
    <hyperlink ref="I84" r:id="rId100" xr:uid="{00000000-0004-0000-2900-000063000000}"/>
    <hyperlink ref="I72" r:id="rId101" xr:uid="{00000000-0004-0000-2900-000064000000}"/>
    <hyperlink ref="I209" r:id="rId102" xr:uid="{00000000-0004-0000-2900-000065000000}"/>
    <hyperlink ref="I255" r:id="rId103" xr:uid="{00000000-0004-0000-2900-000066000000}"/>
    <hyperlink ref="I291" r:id="rId104" xr:uid="{00000000-0004-0000-2900-000067000000}"/>
    <hyperlink ref="I75" r:id="rId105" xr:uid="{00000000-0004-0000-2900-000068000000}"/>
    <hyperlink ref="I85" r:id="rId106" xr:uid="{00000000-0004-0000-2900-000069000000}"/>
    <hyperlink ref="I377" r:id="rId107" xr:uid="{00000000-0004-0000-2900-00006A000000}"/>
    <hyperlink ref="I114" r:id="rId108" xr:uid="{00000000-0004-0000-2900-00006B000000}"/>
    <hyperlink ref="I281" r:id="rId109" xr:uid="{00000000-0004-0000-2900-00006C000000}"/>
    <hyperlink ref="I420" r:id="rId110" xr:uid="{00000000-0004-0000-2900-00006D000000}"/>
    <hyperlink ref="I447" r:id="rId111" xr:uid="{00000000-0004-0000-2900-00006E000000}"/>
    <hyperlink ref="I100" r:id="rId112" xr:uid="{00000000-0004-0000-2900-00006F000000}"/>
    <hyperlink ref="I201" r:id="rId113" xr:uid="{00000000-0004-0000-2900-000070000000}"/>
    <hyperlink ref="I470" r:id="rId114" xr:uid="{00000000-0004-0000-2900-000071000000}"/>
    <hyperlink ref="I456" r:id="rId115" display="https://www.amazon.com/dp/B0B1GXZXPX/ref=sspa_dk_detail_0?psc=1&amp;pd_rd_i=B0B1GXZXPX&amp;pd_rd_w=8Luot&amp;content-id=amzn1.sym.46bad5f6-1f0a-4167-9a8b-c8a82fa48a54&amp;pf_rd_p=46bad5f6-1f0a-4167-9a8b-c8a82fa48a54&amp;pf_rd_r=KPTZZRY2RHA3S7A9N81M&amp;pd_rd_wg=0rtva&amp;pd_rd_r=2e01c8ed-97c3-43c5-85ac-23e35fef55bb&amp;s=hi&amp;sp_csd=d2lkZ2V0TmFtZT1zcF9kZXRhaWw" xr:uid="{00000000-0004-0000-2900-000072000000}"/>
    <hyperlink ref="I157" r:id="rId116" display="https://www.wiwo.de/politik/deutschland/140-millionen-euro-teures-luftabwehrsystem-ukraine-erwartet-im-oktober-erste-iris-t-lieferung/28393480.html. https://mil.in.ua/en/news/iris-t-slm-medium-range-air-defense-system-germany-released-an-updated-list-of-weapons-for-ukraine/ " xr:uid="{00000000-0004-0000-2900-000073000000}"/>
    <hyperlink ref="I214" r:id="rId117" xr:uid="{00000000-0004-0000-2900-000074000000}"/>
    <hyperlink ref="I257" r:id="rId118" location=":~:text=Regular%20artillery%20shells%20are%20estimated,up%20to%2040%20kilometres%20away" xr:uid="{00000000-0004-0000-2900-000075000000}"/>
    <hyperlink ref="I258" r:id="rId119" location=":~:text=Regular%20artillery%20shells%20are%20estimated,up%20to%2040%20kilometres%20away" xr:uid="{00000000-0004-0000-2900-000076000000}"/>
    <hyperlink ref="I73" r:id="rId120" location=":~:text=WARSAW%2C%20Poland%20%E2%80%94%20The%20Polish%20Ministry,systems%20for%20the%20country%27s%20military" xr:uid="{00000000-0004-0000-2900-000077000000}"/>
    <hyperlink ref="I217" r:id="rId121" xr:uid="{00000000-0004-0000-2900-000078000000}"/>
    <hyperlink ref="I69" r:id="rId122" location=":~:text=The%20cost%20of%20one%20RQ,NATO%20countries%20and%20their%20partners" xr:uid="{00000000-0004-0000-2900-000079000000}"/>
    <hyperlink ref="I442" r:id="rId123" xr:uid="{00000000-0004-0000-2900-00007A000000}"/>
    <hyperlink ref="I330" r:id="rId124" location=":~:text=The%20Mamba%204%C3%974,had%20developed%20at%20the%20time" xr:uid="{00000000-0004-0000-2900-00007B000000}"/>
    <hyperlink ref="I86" r:id="rId125" xr:uid="{00000000-0004-0000-2900-00007C000000}"/>
    <hyperlink ref="I110" r:id="rId126" xr:uid="{00000000-0004-0000-2900-00007D000000}"/>
    <hyperlink ref="I452" r:id="rId127" xr:uid="{00000000-0004-0000-2900-00007E000000}"/>
    <hyperlink ref="I459" r:id="rId128" xr:uid="{00000000-0004-0000-2900-00007F000000}"/>
    <hyperlink ref="I444" r:id="rId129" xr:uid="{00000000-0004-0000-2900-000080000000}"/>
    <hyperlink ref="I111" r:id="rId130" xr:uid="{00000000-0004-0000-2900-000081000000}"/>
    <hyperlink ref="I54" r:id="rId131" xr:uid="{00000000-0004-0000-2900-000082000000}"/>
    <hyperlink ref="I95" r:id="rId132" location="v=onepage&amp;q=66mm%20rocket%20cost&amp;f=false" xr:uid="{00000000-0004-0000-2900-000083000000}"/>
    <hyperlink ref="I471" r:id="rId133" xr:uid="{00000000-0004-0000-2900-000084000000}"/>
    <hyperlink ref="I404" r:id="rId134" display="https://en.wikipedia.org/wiki/AGM-114_Hellfire" xr:uid="{00000000-0004-0000-2900-000085000000}"/>
    <hyperlink ref="I440" r:id="rId135" xr:uid="{00000000-0004-0000-2900-000086000000}"/>
    <hyperlink ref="I430" r:id="rId136" xr:uid="{00000000-0004-0000-2900-000087000000}"/>
    <hyperlink ref="I434" r:id="rId137" xr:uid="{00000000-0004-0000-2900-000088000000}"/>
    <hyperlink ref="I449" r:id="rId138" xr:uid="{00000000-0004-0000-2900-000089000000}"/>
    <hyperlink ref="I421" r:id="rId139" location=":~:text=Single%2DWide%20or%20Single%2DSection%20Home,-As%20the%20smaller&amp;text=The%20Census%20Bureau%20reports%20that,was%20%2476%2C400%20in%20November%202021" xr:uid="{00000000-0004-0000-2900-00008A000000}"/>
    <hyperlink ref="I99" r:id="rId140" location=":~:text=The%20M72%20LAW%20is%20still,200%2C%20depending%20on%20the%20model" xr:uid="{00000000-0004-0000-2900-00008B000000}"/>
    <hyperlink ref="I83" r:id="rId141" xr:uid="{00000000-0004-0000-2900-00008C000000}"/>
    <hyperlink ref="I381" r:id="rId142" xr:uid="{00000000-0004-0000-2900-00008D000000}"/>
    <hyperlink ref="I436" r:id="rId143" location=":~:text=How%20much%20does%20a%20monitor,price%20is%20around%20%24200%20%2D%20%24300" xr:uid="{00000000-0004-0000-2900-00008E000000}"/>
    <hyperlink ref="I435" r:id="rId144" xr:uid="{00000000-0004-0000-2900-00008F000000}"/>
    <hyperlink ref="I342" r:id="rId145" xr:uid="{00000000-0004-0000-2900-000090000000}"/>
    <hyperlink ref="I105" r:id="rId146" xr:uid="{00000000-0004-0000-2900-000091000000}"/>
    <hyperlink ref="I354" r:id="rId147" xr:uid="{00000000-0004-0000-2900-000092000000}"/>
    <hyperlink ref="I289" r:id="rId148" xr:uid="{00000000-0004-0000-2900-000093000000}"/>
    <hyperlink ref="I378" r:id="rId149" xr:uid="{00000000-0004-0000-2900-000094000000}"/>
    <hyperlink ref="I290" r:id="rId150" xr:uid="{00000000-0004-0000-2900-000095000000}"/>
    <hyperlink ref="I454" r:id="rId151" xr:uid="{00000000-0004-0000-2900-000096000000}"/>
    <hyperlink ref="I379" r:id="rId152" xr:uid="{00000000-0004-0000-2900-000097000000}"/>
    <hyperlink ref="I90" r:id="rId153" xr:uid="{00000000-0004-0000-2900-000098000000}"/>
    <hyperlink ref="I432" r:id="rId154" location=":~:text=The%20average%20selling%20price%20of,U.S.%20dollars%20in%20constant%20currency" xr:uid="{00000000-0004-0000-2900-000099000000}"/>
    <hyperlink ref="I431" r:id="rId155" location=":~:text=The%20Average%20Cost%20of%20a%20Laptop,-Let%27s%20leave%20the&amp;text=For%20example%2C%20on%20average%2C%20the,Ultrabooks%20that%20satisfy%20your%20needs" xr:uid="{00000000-0004-0000-2900-00009A000000}"/>
    <hyperlink ref="I269" r:id="rId156" xr:uid="{00000000-0004-0000-2900-00009B000000}"/>
    <hyperlink ref="I252" r:id="rId157" xr:uid="{00000000-0004-0000-2900-00009C000000}"/>
    <hyperlink ref="I362" r:id="rId158" xr:uid="{00000000-0004-0000-2900-00009D000000}"/>
    <hyperlink ref="I366" r:id="rId159" xr:uid="{00000000-0004-0000-2900-00009E000000}"/>
    <hyperlink ref="I174" r:id="rId160" xr:uid="{00000000-0004-0000-2900-00009F000000}"/>
    <hyperlink ref="I31" r:id="rId161" xr:uid="{00000000-0004-0000-2900-0000A0000000}"/>
    <hyperlink ref="I355" r:id="rId162" xr:uid="{00000000-0004-0000-2900-0000A1000000}"/>
    <hyperlink ref="I98" r:id="rId163" location=":~:text=Regular%20artillery%20shells%20are%20estimated,up%20to%2040%20kilometres%20away" xr:uid="{00000000-0004-0000-2900-0000A2000000}"/>
    <hyperlink ref="I277" r:id="rId164" location="v=onepage&amp;q=oerlikon%2035%20mm%20ammunition%20cost&amp;f=false" display="https://books.google.de/books?id=8J43AAAAIAAJ&amp;pg=PA4558&amp;lpg=PA4558&amp;dq=oerlikon+35+mm+ammunition+cost&amp;source=bl&amp;ots=AckNN2-QzT&amp;sig=ACfU3U3R0hGRH6Ksb8A4zR7RyTB_hML2MA&amp;hl=en&amp;sa=X&amp;ved=2ahUKEwjhucjeza35AhXvMuwKHbDKC1YQ6AF6BAg_EAM#v=onepage&amp;q=oerlikon%2035%20mm%20ammunition%20cost&amp;f=false" xr:uid="{00000000-0004-0000-2900-0000A3000000}"/>
    <hyperlink ref="I191" r:id="rId165" location=":~:text=Bewaffnete%20Drohnen%20f%C3%BCr%20Bundeswehr%3A%20Heron,Munition%20%22Special%20Payload%22%20zu." xr:uid="{00000000-0004-0000-2900-0000A4000000}"/>
    <hyperlink ref="I353" r:id="rId166" display="https://www.praxisdienst.de/Einrichtung/Ablegen+und+lagern/Medikamentenkuehlschraenke/Liebherr+MKUv+1610+Medikamentenkuehlschrank+mit+Fachboeden.html?speed=1&amp;gclid=Cj0KCQjwntCVBhDdARIsAMEwACmOKJaqbtWlmkE3PwceLhHIP9m3qGdulBKn1kImSy42c3gxKcXCRD4aAhIXEALw_wcB" xr:uid="{00000000-0004-0000-2900-0000A5000000}"/>
    <hyperlink ref="I373" r:id="rId167" xr:uid="{00000000-0004-0000-2900-0000A6000000}"/>
    <hyperlink ref="I344" r:id="rId168" xr:uid="{00000000-0004-0000-2900-0000A7000000}"/>
    <hyperlink ref="I280" r:id="rId169" display="https://www.amazon.de/First-Boxes-Contents-according-13157/dp/B09JZKG84C/ref=sr_1_1_sspa?adgrpid=83827895404&amp;gclid=Cj0KCQjwntCVBhDdARIsAMEwACk2bt6E62FjoUVnx4hAM8fNlU9uHMkdNXGNk_yIBwENVDc98WeI9vkaAl0OEALw_wcB&amp;hvadid=394830971024&amp;hvdev=c&amp;hvlocphy=9061132&amp;hvnetw=g&amp;hvqmt=b&amp;hvrand=15040397051256604446&amp;hvtargid=kwd-14883146&amp;hydadcr=4261_1714685&amp;keywords=verbandskasten&amp;qid=1655989411&amp;sr=8-1-spons&amp;psc=1&amp;spLa=ZW5jcnlwdGVkUXVhbGlmaWVyPUFaVkYyNjI0RE1FT1QmZW5jcnlwdGVkSWQ9QTA0MTU0ODcxVkk2RjdJUTRWWVNJJmVuY3J5cHRlZEFkSWQ9QTA0NzgxOTQyMFYwMUw3R1M0QjBTJndpZGdldE5hbWU9c3BfYXRmJmFjdGlvbj1jbGlja1JlZGlyZWN0JmRvTm90TG9nQ2xpY2s9dHJ1ZQ==" xr:uid="{00000000-0004-0000-2900-0000A8000000}"/>
    <hyperlink ref="I448" r:id="rId170" xr:uid="{00000000-0004-0000-2900-0000A9000000}"/>
    <hyperlink ref="I29" r:id="rId171" xr:uid="{00000000-0004-0000-2900-0000AA000000}"/>
    <hyperlink ref="I168" r:id="rId172" location=":~:text=A%20Patrol%20Coastal%20boat%20has,cost%20around%20%2415%20million%20each" xr:uid="{00000000-0004-0000-2900-0000AB000000}"/>
    <hyperlink ref="I163" r:id="rId173" location=":~:text=A%20Patrol%20Coastal%20boat%20has,cost%20around%20%2415%20million%20each" xr:uid="{00000000-0004-0000-2900-0000AC000000}"/>
    <hyperlink ref="I165" r:id="rId174" xr:uid="{00000000-0004-0000-2900-0000AD000000}"/>
    <hyperlink ref="I199" r:id="rId175" xr:uid="{00000000-0004-0000-2900-0000AE000000}"/>
    <hyperlink ref="I49" r:id="rId176" xr:uid="{00000000-0004-0000-2900-0000AF000000}"/>
    <hyperlink ref="I183" r:id="rId177" xr:uid="{00000000-0004-0000-2900-0000B0000000}"/>
    <hyperlink ref="I162" r:id="rId178" xr:uid="{00000000-0004-0000-2900-0000B1000000}"/>
    <hyperlink ref="I177" r:id="rId179" xr:uid="{00000000-0004-0000-2900-0000B2000000}"/>
    <hyperlink ref="I197" r:id="rId180" xr:uid="{00000000-0004-0000-2900-0000B3000000}"/>
    <hyperlink ref="I343" r:id="rId181" xr:uid="{00000000-0004-0000-2900-0000B4000000}"/>
    <hyperlink ref="I433" r:id="rId182" xr:uid="{00000000-0004-0000-2900-0000B5000000}"/>
    <hyperlink ref="I376" r:id="rId183" xr:uid="{00000000-0004-0000-2900-0000B6000000}"/>
    <hyperlink ref="I446" r:id="rId184" xr:uid="{00000000-0004-0000-2900-0000B7000000}"/>
    <hyperlink ref="I437" r:id="rId185" xr:uid="{00000000-0004-0000-2900-0000B8000000}"/>
    <hyperlink ref="I357" r:id="rId186" xr:uid="{00000000-0004-0000-2900-0000B9000000}"/>
    <hyperlink ref="I250" r:id="rId187" xr:uid="{00000000-0004-0000-2900-0000BA000000}"/>
    <hyperlink ref="I67" r:id="rId188" xr:uid="{00000000-0004-0000-2900-0000BB000000}"/>
    <hyperlink ref="I205" r:id="rId189" xr:uid="{00000000-0004-0000-2900-0000BC000000}"/>
    <hyperlink ref="I206" r:id="rId190" xr:uid="{00000000-0004-0000-2900-0000BD000000}"/>
    <hyperlink ref="I102" r:id="rId191" xr:uid="{00000000-0004-0000-2900-0000BE000000}"/>
    <hyperlink ref="I101" r:id="rId192" xr:uid="{00000000-0004-0000-2900-0000BF000000}"/>
    <hyperlink ref="I64" r:id="rId193" xr:uid="{00000000-0004-0000-2900-0000C0000000}"/>
    <hyperlink ref="I224" r:id="rId194" xr:uid="{00000000-0004-0000-2900-0000C1000000}"/>
    <hyperlink ref="I225" r:id="rId195" xr:uid="{00000000-0004-0000-2900-0000C2000000}"/>
    <hyperlink ref="I219" r:id="rId196" xr:uid="{00000000-0004-0000-2900-0000C3000000}"/>
    <hyperlink ref="I274" r:id="rId197" xr:uid="{00000000-0004-0000-2900-0000C4000000}"/>
    <hyperlink ref="I94" r:id="rId198" xr:uid="{00000000-0004-0000-2900-0000C5000000}"/>
    <hyperlink ref="I227" r:id="rId199" xr:uid="{00000000-0004-0000-2900-0000C6000000}"/>
    <hyperlink ref="I115" r:id="rId200" xr:uid="{00000000-0004-0000-2900-0000C7000000}"/>
    <hyperlink ref="I340" r:id="rId201" xr:uid="{00000000-0004-0000-2900-0000C8000000}"/>
    <hyperlink ref="I364" r:id="rId202" xr:uid="{00000000-0004-0000-2900-0000C9000000}"/>
    <hyperlink ref="I461" r:id="rId203" xr:uid="{00000000-0004-0000-2900-0000CA000000}"/>
    <hyperlink ref="I441" r:id="rId204" xr:uid="{00000000-0004-0000-2900-0000CB000000}"/>
    <hyperlink ref="I425" r:id="rId205" display="https://www.ers.usda.gov/publications/pub-details/?pubid=43836 and source for medical supplies:https://economictimes.indiatimes.com/news/politics-and-nation/india-provided-15-tonnes-of-medical-supplies-worth-rs-2-11-crore-to-coronavirus-hit-china-government/articleshow/74693578.cms?from=mdr" xr:uid="{00000000-0004-0000-2900-0000CC000000}"/>
    <hyperlink ref="I429" r:id="rId206" xr:uid="{00000000-0004-0000-2900-0000CD000000}"/>
    <hyperlink ref="I443" r:id="rId207" xr:uid="{00000000-0004-0000-2900-0000CE000000}"/>
    <hyperlink ref="I415" r:id="rId208" xr:uid="{00000000-0004-0000-2900-0000CF000000}"/>
    <hyperlink ref="I223" r:id="rId209" xr:uid="{00000000-0004-0000-2900-0000D0000000}"/>
    <hyperlink ref="I237" r:id="rId210" xr:uid="{00000000-0004-0000-2900-0000D1000000}"/>
    <hyperlink ref="I248" r:id="rId211" xr:uid="{00000000-0004-0000-2900-0000D2000000}"/>
    <hyperlink ref="I352" r:id="rId212" xr:uid="{00000000-0004-0000-2900-0000D3000000}"/>
    <hyperlink ref="I356" r:id="rId213" xr:uid="{00000000-0004-0000-2900-0000D4000000}"/>
    <hyperlink ref="I263" r:id="rId214" location="Export_(Military/LE)" xr:uid="{00000000-0004-0000-2900-0000D5000000}"/>
    <hyperlink ref="I382" r:id="rId215" xr:uid="{00000000-0004-0000-2900-0000D6000000}"/>
    <hyperlink ref="I348" r:id="rId216" xr:uid="{00000000-0004-0000-2900-0000D7000000}"/>
    <hyperlink ref="I272" r:id="rId217" xr:uid="{00000000-0004-0000-2900-0000D8000000}"/>
    <hyperlink ref="I87" r:id="rId218" xr:uid="{00000000-0004-0000-2900-0000D9000000}"/>
    <hyperlink ref="I53" r:id="rId219" location=":~:text=According%20to%20Forecast%20International%2C%20the,in%202002%20was%20US%24594%2C000" xr:uid="{00000000-0004-0000-2900-0000DA000000}"/>
    <hyperlink ref="I28" r:id="rId220" xr:uid="{00000000-0004-0000-2900-0000DB000000}"/>
    <hyperlink ref="I195" r:id="rId221" xr:uid="{00000000-0004-0000-2900-0000DC000000}"/>
    <hyperlink ref="I200" r:id="rId222" xr:uid="{00000000-0004-0000-2900-0000DD000000}"/>
    <hyperlink ref="I109" r:id="rId223" xr:uid="{00000000-0004-0000-2900-0000DE000000}"/>
    <hyperlink ref="I254" r:id="rId224" location=":~:text=The%20AT4-CS%20will%20continue%20to%20be%20the%20U.S.,Classification%20Date%3A%203rd%20Quarter%20FY04.%20Unit%20cost%3A%20%242%2C700" xr:uid="{00000000-0004-0000-2900-0000DF000000}"/>
    <hyperlink ref="I256" r:id="rId225" xr:uid="{00000000-0004-0000-2900-0000E0000000}"/>
    <hyperlink ref="I203" r:id="rId226" xr:uid="{00000000-0004-0000-2900-0000E1000000}"/>
    <hyperlink ref="I166" r:id="rId227" xr:uid="{00000000-0004-0000-2900-0000E2000000}"/>
    <hyperlink ref="I245" r:id="rId228" xr:uid="{00000000-0004-0000-2900-0000E3000000}"/>
    <hyperlink ref="I66" r:id="rId229" xr:uid="{00000000-0004-0000-2900-0000E4000000}"/>
    <hyperlink ref="I453" r:id="rId230" xr:uid="{00000000-0004-0000-2900-0000E5000000}"/>
    <hyperlink ref="I240" r:id="rId231" xr:uid="{00000000-0004-0000-2900-0000E6000000}"/>
    <hyperlink ref="I76" r:id="rId232" xr:uid="{00000000-0004-0000-2900-0000E7000000}"/>
    <hyperlink ref="I193" r:id="rId233" xr:uid="{00000000-0004-0000-2900-0000E8000000}"/>
    <hyperlink ref="I198" r:id="rId234" xr:uid="{00000000-0004-0000-2900-0000E9000000}"/>
    <hyperlink ref="I186" r:id="rId235" xr:uid="{00000000-0004-0000-2900-0000EA000000}"/>
    <hyperlink ref="I192" r:id="rId236" xr:uid="{00000000-0004-0000-2900-0000EB000000}"/>
    <hyperlink ref="I189" r:id="rId237" xr:uid="{00000000-0004-0000-2900-0000EC000000}"/>
    <hyperlink ref="I179" r:id="rId238" xr:uid="{00000000-0004-0000-2900-0000ED000000}"/>
    <hyperlink ref="I112" r:id="rId239" xr:uid="{00000000-0004-0000-2900-0000EE000000}"/>
    <hyperlink ref="I222" r:id="rId240" xr:uid="{00000000-0004-0000-2900-0000EF000000}"/>
    <hyperlink ref="I63" r:id="rId241" xr:uid="{00000000-0004-0000-2900-0000F0000000}"/>
    <hyperlink ref="I194" r:id="rId242" xr:uid="{00000000-0004-0000-2900-0000F1000000}"/>
    <hyperlink ref="I208" r:id="rId243" xr:uid="{00000000-0004-0000-2900-0000F2000000}"/>
    <hyperlink ref="I71" r:id="rId244" xr:uid="{00000000-0004-0000-2900-0000F3000000}"/>
    <hyperlink ref="I80" r:id="rId245" xr:uid="{00000000-0004-0000-2900-0000F4000000}"/>
    <hyperlink ref="I93" r:id="rId246" xr:uid="{00000000-0004-0000-2900-0000F5000000}"/>
    <hyperlink ref="I92" r:id="rId247" xr:uid="{00000000-0004-0000-2900-0000F6000000}"/>
    <hyperlink ref="I91" r:id="rId248" xr:uid="{00000000-0004-0000-2900-0000F7000000}"/>
    <hyperlink ref="I77" r:id="rId249" location="v=onepage&amp;q&amp;f=false" xr:uid="{00000000-0004-0000-2900-0000F8000000}"/>
    <hyperlink ref="I96" r:id="rId250" location=":~:text=Regular%20artillery%20shells%20are%20estimated,up%20to%2040%20kilometres%20away" xr:uid="{00000000-0004-0000-2900-0000F9000000}"/>
    <hyperlink ref="I97" r:id="rId251" location=":~:text=Regular%20artillery%20shells%20are%20estimated,up%20to%2040%20kilometres%20away" xr:uid="{00000000-0004-0000-2900-0000FA000000}"/>
    <hyperlink ref="I55" r:id="rId252" xr:uid="{00000000-0004-0000-2900-0000FB000000}"/>
    <hyperlink ref="I30" r:id="rId253" xr:uid="{00000000-0004-0000-2900-0000FC000000}"/>
    <hyperlink ref="I383" r:id="rId254" xr:uid="{00000000-0004-0000-2900-0000FD000000}"/>
    <hyperlink ref="I375" r:id="rId255" xr:uid="{00000000-0004-0000-2900-0000FE000000}"/>
    <hyperlink ref="I337" r:id="rId256" xr:uid="{00000000-0004-0000-2900-0000FF000000}"/>
    <hyperlink ref="I167" r:id="rId257" xr:uid="{00000000-0004-0000-2900-000000010000}"/>
    <hyperlink ref="I156" r:id="rId258" xr:uid="{00000000-0004-0000-2900-000001010000}"/>
    <hyperlink ref="I218" r:id="rId259" xr:uid="{00000000-0004-0000-2900-000002010000}"/>
    <hyperlink ref="I196" r:id="rId260" xr:uid="{00000000-0004-0000-2900-000003010000}"/>
    <hyperlink ref="I172" r:id="rId261" xr:uid="{00000000-0004-0000-2900-000004010000}"/>
    <hyperlink ref="I176" r:id="rId262" xr:uid="{00000000-0004-0000-2900-000005010000}"/>
    <hyperlink ref="I180" r:id="rId263" xr:uid="{00000000-0004-0000-2900-000006010000}"/>
    <hyperlink ref="I178" r:id="rId264" xr:uid="{00000000-0004-0000-2900-000007010000}"/>
    <hyperlink ref="I292" r:id="rId265" location="v=onepage&amp;q=oerlikon%2035%20mm%20ammunition%20cost&amp;f=false" display="https://books.google.de/books?id=8J43AAAAIAAJ&amp;pg=PA4558&amp;lpg=PA4558&amp;dq=oerlikon+35+mm+ammunition+cost&amp;source=bl&amp;ots=AckNN2-QzT&amp;sig=ACfU3U3R0hGRH6Ksb8A4zR7RyTB_hML2MA&amp;hl=en&amp;sa=X&amp;ved=2ahUKEwjhucjeza35AhXvMuwKHbDKC1YQ6AF6BAg_EAM#v=onepage&amp;q=oerlikon%2035%20mm%20ammunition%20cost&amp;f=false" xr:uid="{00000000-0004-0000-2900-000008010000}"/>
    <hyperlink ref="I117" r:id="rId266" xr:uid="{00000000-0004-0000-2900-000009010000}"/>
    <hyperlink ref="I182" r:id="rId267" xr:uid="{00000000-0004-0000-2900-00000A010000}"/>
    <hyperlink ref="I116" r:id="rId268" xr:uid="{00000000-0004-0000-2900-00000B010000}"/>
    <hyperlink ref="I475" r:id="rId269" xr:uid="{00000000-0004-0000-2900-00000C010000}"/>
    <hyperlink ref="I476" r:id="rId270" xr:uid="{00000000-0004-0000-2900-00000D010000}"/>
    <hyperlink ref="I297" r:id="rId271" xr:uid="{00000000-0004-0000-2900-00000E010000}"/>
    <hyperlink ref="I32" r:id="rId272" xr:uid="{00000000-0004-0000-2900-00000F010000}"/>
    <hyperlink ref="I481" r:id="rId273" xr:uid="{00000000-0004-0000-2900-000010010000}"/>
    <hyperlink ref="I298" r:id="rId274" xr:uid="{00000000-0004-0000-2900-000011010000}"/>
    <hyperlink ref="I489" r:id="rId275" xr:uid="{00000000-0004-0000-2900-000012010000}"/>
    <hyperlink ref="I57" r:id="rId276" xr:uid="{00000000-0004-0000-2900-000013010000}"/>
    <hyperlink ref="I299" r:id="rId277" xr:uid="{00000000-0004-0000-2900-000014010000}"/>
    <hyperlink ref="I300" r:id="rId278" xr:uid="{00000000-0004-0000-2900-000015010000}"/>
    <hyperlink ref="I301" r:id="rId279" xr:uid="{00000000-0004-0000-2900-000016010000}"/>
    <hyperlink ref="I385" r:id="rId280" xr:uid="{00000000-0004-0000-2900-000017010000}"/>
    <hyperlink ref="I304" r:id="rId281" xr:uid="{00000000-0004-0000-2900-000018010000}"/>
    <hyperlink ref="I58" r:id="rId282" xr:uid="{00000000-0004-0000-2900-000019010000}"/>
    <hyperlink ref="I302" r:id="rId283" xr:uid="{00000000-0004-0000-2900-00001A010000}"/>
    <hyperlink ref="I308" r:id="rId284" xr:uid="{00000000-0004-0000-2900-00001B010000}"/>
    <hyperlink ref="I118" r:id="rId285" location=":~:text=La%20Junta%20de%20Contrataci%C3%B3n%20del,unitario%20de%202.099%2C35%20euros" xr:uid="{00000000-0004-0000-2900-00001C010000}"/>
    <hyperlink ref="I59" r:id="rId286" xr:uid="{00000000-0004-0000-2900-00001D010000}"/>
    <hyperlink ref="I310" r:id="rId287" location=":~:text=The%20Czech%20Republic%20yesterday%20signed,a%20cost%20of%20%24125m.&amp;text=The%20%24125m%20contract%20covers%20eight%20multi%2Dmission%20radars" xr:uid="{00000000-0004-0000-2900-00001E010000}"/>
    <hyperlink ref="I496" r:id="rId288" xr:uid="{00000000-0004-0000-2900-00001F010000}"/>
    <hyperlink ref="I497" r:id="rId289" xr:uid="{00000000-0004-0000-2900-000020010000}"/>
    <hyperlink ref="I485" r:id="rId290" xr:uid="{00000000-0004-0000-2900-000021010000}"/>
    <hyperlink ref="I502" r:id="rId291" xr:uid="{00000000-0004-0000-2900-000022010000}"/>
    <hyperlink ref="I40" r:id="rId292" xr:uid="{00000000-0004-0000-2900-000023010000}"/>
    <hyperlink ref="I311" r:id="rId293" xr:uid="{00000000-0004-0000-2900-000024010000}"/>
    <hyperlink ref="I56" r:id="rId294" xr:uid="{00000000-0004-0000-2900-000025010000}"/>
    <hyperlink ref="I35" r:id="rId295" xr:uid="{00000000-0004-0000-2900-000026010000}"/>
    <hyperlink ref="I36" r:id="rId296" xr:uid="{00000000-0004-0000-2900-000027010000}"/>
    <hyperlink ref="I305" r:id="rId297" xr:uid="{00000000-0004-0000-2900-000028010000}"/>
    <hyperlink ref="I309" r:id="rId298" xr:uid="{00000000-0004-0000-2900-000029010000}"/>
    <hyperlink ref="I181" r:id="rId299" xr:uid="{00000000-0004-0000-2900-00002A010000}"/>
    <hyperlink ref="I43" r:id="rId300" xr:uid="{00000000-0004-0000-2900-00002B010000}"/>
    <hyperlink ref="I48" r:id="rId301" xr:uid="{00000000-0004-0000-2900-00002C010000}"/>
    <hyperlink ref="I51" r:id="rId302" xr:uid="{00000000-0004-0000-2900-00002D010000}"/>
    <hyperlink ref="I68" r:id="rId303" xr:uid="{00000000-0004-0000-2900-00002E010000}"/>
    <hyperlink ref="I154" r:id="rId304" xr:uid="{00000000-0004-0000-2900-00002F010000}"/>
    <hyperlink ref="I158" r:id="rId305" xr:uid="{00000000-0004-0000-2900-000030010000}"/>
    <hyperlink ref="I173" r:id="rId306" xr:uid="{00000000-0004-0000-2900-000031010000}"/>
    <hyperlink ref="I212" r:id="rId307" xr:uid="{00000000-0004-0000-2900-000032010000}"/>
    <hyperlink ref="I70" r:id="rId308" location="11051744000014" xr:uid="{00000000-0004-0000-2900-000033010000}"/>
    <hyperlink ref="I419" r:id="rId309" xr:uid="{00000000-0004-0000-2900-000034010000}"/>
    <hyperlink ref="I228" r:id="rId310" xr:uid="{00000000-0004-0000-2900-000035010000}"/>
    <hyperlink ref="I303" r:id="rId311" xr:uid="{00000000-0004-0000-2900-000036010000}"/>
    <hyperlink ref="I501" r:id="rId312" display="https://www.amazon.com/GUARD-SHIELD-Medium-Purpose-Waterproof/dp/B0974LGBDM/ref=sxin_15_pa_sp_search_thematic_sspa?content-id=amzn1.sym.b5b80b36-fed9-4412-8be2-fe5bba09d25a%3Aamzn1.sym.b5b80b36-fed9-4412-8be2-fe5bba09d25a&amp;crid=1Y6ZMUK89WH8A&amp;cv_ct_cx=tarpaulin&amp;keywords=tarpaulin&amp;pd_rd_i=B0974LGBDM&amp;pd_rd_r=4ee90763-05e6-409c-bb1c-9075d3062221&amp;pd_rd_w=85ApN&amp;pd_rd_wg=UtiJn&amp;pf_rd_p=b5b80b36-fed9-4412-8be2-fe5bba09d25a&amp;pf_rd_r=3QEFJPT5JX03S1GD04F7&amp;qid=1667485169&amp;qu=eyJxc2MiOiI1LjM2IiwicXNhIjoiNS40NyIsInFzcCI6IjQuOTcifQ%3D%3D&amp;sprefix=tarpaulin%2Caps%2C198&amp;sr=1-1-a73d1c8c-2fd2-4f19-aa41-2df022bcb241-spons&amp;th=1" xr:uid="{00000000-0004-0000-2900-000037010000}"/>
    <hyperlink ref="I296" r:id="rId313" xr:uid="{00000000-0004-0000-2900-000038010000}"/>
    <hyperlink ref="I293" r:id="rId314" location=":~:text=The%20tactical%20rounds%20cost%20%2450,which%20will%20cost%20around%20%247" xr:uid="{00000000-0004-0000-2900-000039010000}"/>
    <hyperlink ref="I455" r:id="rId315" xr:uid="{00000000-0004-0000-2900-00003A010000}"/>
    <hyperlink ref="I282" r:id="rId316" xr:uid="{00000000-0004-0000-2900-00003B010000}"/>
    <hyperlink ref="I283" r:id="rId317" xr:uid="{00000000-0004-0000-2900-00003C010000}"/>
    <hyperlink ref="I285" r:id="rId318" xr:uid="{00000000-0004-0000-2900-00003D010000}"/>
    <hyperlink ref="I104" r:id="rId319" xr:uid="{00000000-0004-0000-2900-00003E010000}"/>
    <hyperlink ref="I276" r:id="rId320" xr:uid="{00000000-0004-0000-2900-00003F010000}"/>
    <hyperlink ref="I241" r:id="rId321" xr:uid="{00000000-0004-0000-2900-000040010000}"/>
    <hyperlink ref="I261" r:id="rId322" location=":~:text=The%20M72%20LAW%20is%20still,200%2C%20depending%20on%20the%20model" xr:uid="{00000000-0004-0000-2900-000041010000}"/>
    <hyperlink ref="I260" r:id="rId323" location=":~:text=The%20M72%20LAW%20is%20still,200%2C%20depending%20on%20the%20model" xr:uid="{00000000-0004-0000-2900-000042010000}"/>
    <hyperlink ref="I259" r:id="rId324" location=":~:text=The%20M72%20LAW%20is%20still,200%2C%20depending%20on%20the%20model" xr:uid="{00000000-0004-0000-2900-000043010000}"/>
    <hyperlink ref="I249" r:id="rId325" xr:uid="{00000000-0004-0000-2900-000044010000}"/>
    <hyperlink ref="I428" r:id="rId326" xr:uid="{00000000-0004-0000-2900-000045010000}"/>
    <hyperlink ref="I246" r:id="rId327" xr:uid="{00000000-0004-0000-2900-000046010000}"/>
    <hyperlink ref="I88" r:id="rId328" xr:uid="{00000000-0004-0000-2900-000047010000}"/>
    <hyperlink ref="I243" r:id="rId329" xr:uid="{00000000-0004-0000-2900-000048010000}"/>
    <hyperlink ref="I347" r:id="rId330" xr:uid="{00000000-0004-0000-2900-000049010000}"/>
    <hyperlink ref="I242" r:id="rId331" xr:uid="{00000000-0004-0000-2900-00004A010000}"/>
    <hyperlink ref="I345" r:id="rId332" xr:uid="{00000000-0004-0000-2900-00004B010000}"/>
    <hyperlink ref="I239" r:id="rId333" xr:uid="{00000000-0004-0000-2900-00004C010000}"/>
    <hyperlink ref="I81" r:id="rId334" xr:uid="{00000000-0004-0000-2900-00004D010000}"/>
    <hyperlink ref="I233" r:id="rId335" xr:uid="{00000000-0004-0000-2900-00004E010000}"/>
    <hyperlink ref="I79" r:id="rId336" xr:uid="{00000000-0004-0000-2900-00004F010000}"/>
    <hyperlink ref="I232" r:id="rId337" xr:uid="{00000000-0004-0000-2900-000050010000}"/>
    <hyperlink ref="I78" r:id="rId338" xr:uid="{00000000-0004-0000-2900-000051010000}"/>
    <hyperlink ref="I486" r:id="rId339" xr:uid="{00000000-0004-0000-2900-000052010000}"/>
    <hyperlink ref="I312" r:id="rId340" xr:uid="{00000000-0004-0000-2900-000053010000}"/>
    <hyperlink ref="I386" r:id="rId341" location=":~:text=Buying%20an%20armored%20car%20is,while%20others%20need%20special%20work" xr:uid="{00000000-0004-0000-2900-000054010000}"/>
    <hyperlink ref="I315" r:id="rId342" xr:uid="{00000000-0004-0000-2900-000055010000}"/>
    <hyperlink ref="I316" r:id="rId343" xr:uid="{00000000-0004-0000-2900-000056010000}"/>
    <hyperlink ref="I338" r:id="rId344" location=":~:text=Buying%20an%20armored%20car%20is,while%20others%20need%20special%20work" xr:uid="{00000000-0004-0000-2900-000057010000}"/>
    <hyperlink ref="I145" r:id="rId345" display="https://armstrade.sipri.org/armstrade/page/trade_register.php" xr:uid="{00000000-0004-0000-2900-000058010000}"/>
    <hyperlink ref="I60" r:id="rId346" xr:uid="{00000000-0004-0000-2900-000059010000}"/>
    <hyperlink ref="I319" r:id="rId347" xr:uid="{00000000-0004-0000-2900-00005A010000}"/>
    <hyperlink ref="I479" r:id="rId348" xr:uid="{00000000-0004-0000-2900-00005B010000}"/>
    <hyperlink ref="I509" r:id="rId349" xr:uid="{00000000-0004-0000-2900-00005C010000}"/>
    <hyperlink ref="I320" r:id="rId350" xr:uid="{00000000-0004-0000-2900-00005D010000}"/>
    <hyperlink ref="I119" r:id="rId351" xr:uid="{00000000-0004-0000-2900-00005E010000}"/>
    <hyperlink ref="I321" r:id="rId352" xr:uid="{00000000-0004-0000-2900-00005F010000}"/>
    <hyperlink ref="I322" r:id="rId353" xr:uid="{00000000-0004-0000-2900-000060010000}"/>
    <hyperlink ref="I367" r:id="rId354" xr:uid="{00000000-0004-0000-2900-000061010000}"/>
    <hyperlink ref="I265" r:id="rId355" xr:uid="{00000000-0004-0000-2900-000062010000}"/>
    <hyperlink ref="I286" r:id="rId356" display="https://www.ebay.de/itm/261421940408" xr:uid="{00000000-0004-0000-2900-000063010000}"/>
    <hyperlink ref="I372" r:id="rId357" xr:uid="{00000000-0004-0000-2900-000064010000}"/>
    <hyperlink ref="I331" r:id="rId358" xr:uid="{00000000-0004-0000-2900-000065010000}"/>
    <hyperlink ref="I235" r:id="rId359" xr:uid="{00000000-0004-0000-2900-000066010000}"/>
    <hyperlink ref="I466" r:id="rId360" xr:uid="{00000000-0004-0000-2900-000067010000}"/>
    <hyperlink ref="I323" r:id="rId361" xr:uid="{00000000-0004-0000-2900-000068010000}"/>
    <hyperlink ref="I284" r:id="rId362" xr:uid="{00000000-0004-0000-2900-000069010000}"/>
    <hyperlink ref="I349" r:id="rId363" xr:uid="{00000000-0004-0000-2900-00006A010000}"/>
    <hyperlink ref="I369" r:id="rId364" xr:uid="{00000000-0004-0000-2900-00006B010000}"/>
    <hyperlink ref="I89" r:id="rId365" xr:uid="{00000000-0004-0000-2900-00006C010000}"/>
    <hyperlink ref="I229" r:id="rId366" xr:uid="{00000000-0004-0000-2900-00006D010000}"/>
    <hyperlink ref="I507" r:id="rId367" display="https://www.amazon.de/Bauschlauch-Feuerwehrschlauch-C-Storz-Schlauch-Industrieschlauch/dp/B07VS3J1FD/ref=asc_df_B07VS3J1FD/?tag=googshopde-21&amp;linkCode=df0&amp;hvadid=427668035407&amp;hvpos=&amp;hvnetw=g&amp;hvrand=1020688947190500949&amp;hvpone=&amp;hvptwo=&amp;hvqmt=&amp;hvdev=c&amp;hvdvcmdl=&amp;hvlocint=&amp;hvlocphy=1004113&amp;hvtargid=pla-1106289525352&amp;psc=1&amp;th=1&amp;psc=1&amp;tag=&amp;ref=&amp;adgrpid=99764524455&amp;hvpone=&amp;hvptwo=&amp;hvadid=427668035407&amp;hvpos=&amp;hvnetw=g&amp;hvrand=1020688947190500949&amp;hvqmt=&amp;hvdev=c&amp;hvdvcmdl=&amp;hvlocint=&amp;hvlocphy=1004113&amp;hvtargid=pla-1106289525352" xr:uid="{00000000-0004-0000-2900-00006E010000}"/>
    <hyperlink ref="I508" r:id="rId368" xr:uid="{00000000-0004-0000-2900-00006F010000}"/>
    <hyperlink ref="I506" r:id="rId369" xr:uid="{00000000-0004-0000-2900-000070010000}"/>
    <hyperlink ref="I524" r:id="rId370" display="https://www.amazon.de/Celox-Haemostatische-Mullwindel-Z-Falz-52/dp/B07RWLK5VK/ref=asc_df_B07RWLK5VK/?tag=googshopde-21&amp;linkCode=df0&amp;hvadid=427748981932&amp;hvpos=&amp;hvnetw=g&amp;hvrand=10208160552108135736&amp;hvpone=&amp;hvptwo=&amp;hvqmt=&amp;hvdev=c&amp;hvdvcmdl=&amp;hvlocint=&amp;hvlocphy=9043596&amp;hvtargid=pla-815670292745&amp;psc=1&amp;th=1&amp;psc=1&amp;tag=&amp;ref=&amp;adgrpid=106322596704&amp;hvpone=&amp;hvptwo=&amp;hvadid=427748981932&amp;hvpos=&amp;hvnetw=g&amp;hvrand=10208160552108135736&amp;hvqmt=&amp;hvdev=c&amp;hvdvcmdl=&amp;hvlocint=&amp;hvlocphy=9043596&amp;hvtargid=pla-815670292745" xr:uid="{00000000-0004-0000-2900-000071010000}"/>
    <hyperlink ref="I120" r:id="rId371" xr:uid="{00000000-0004-0000-2900-000072010000}"/>
    <hyperlink ref="I121" r:id="rId372" xr:uid="{00000000-0004-0000-2900-000073010000}"/>
    <hyperlink ref="I153" r:id="rId373" xr:uid="{00000000-0004-0000-2900-000074010000}"/>
    <hyperlink ref="I324" r:id="rId374" xr:uid="{00000000-0004-0000-2900-000075010000}"/>
    <hyperlink ref="I341" r:id="rId375" xr:uid="{00000000-0004-0000-2900-000076010000}"/>
    <hyperlink ref="I307" r:id="rId376" xr:uid="{00000000-0004-0000-2900-000077010000}"/>
    <hyperlink ref="I306" r:id="rId377" xr:uid="{00000000-0004-0000-2900-000078010000}"/>
    <hyperlink ref="I184" r:id="rId378" xr:uid="{00000000-0004-0000-2900-000079010000}"/>
    <hyperlink ref="I325" r:id="rId379" xr:uid="{00000000-0004-0000-2900-00007A010000}"/>
    <hyperlink ref="I190" r:id="rId380" location=":~:text=Bewaffnete%20Drohnen%20f%C3%BCr%20Bundeswehr%3A%20Heron,Munition%20%22Special%20Payload%22%20zu." xr:uid="{00000000-0004-0000-2900-00007B010000}"/>
    <hyperlink ref="I387" r:id="rId381" xr:uid="{00000000-0004-0000-2900-00007C010000}"/>
    <hyperlink ref="I122" r:id="rId382" xr:uid="{00000000-0004-0000-2900-00007D010000}"/>
    <hyperlink ref="I314" r:id="rId383" xr:uid="{00000000-0004-0000-2900-00007E010000}"/>
    <hyperlink ref="I328" r:id="rId384" xr:uid="{00000000-0004-0000-2900-00007F010000}"/>
    <hyperlink ref="I526" r:id="rId385" xr:uid="{00000000-0004-0000-2900-000080010000}"/>
    <hyperlink ref="I152" r:id="rId386" xr:uid="{00000000-0004-0000-2900-000081010000}"/>
    <hyperlink ref="I161" r:id="rId387" xr:uid="{00000000-0004-0000-2900-000082010000}"/>
    <hyperlink ref="I62" r:id="rId388" xr:uid="{00000000-0004-0000-2900-000083010000}"/>
    <hyperlink ref="I294" r:id="rId389" xr:uid="{00000000-0004-0000-2900-000084010000}"/>
    <hyperlink ref="I295" r:id="rId390" xr:uid="{00000000-0004-0000-2900-000085010000}"/>
    <hyperlink ref="I155" r:id="rId391" xr:uid="{00000000-0004-0000-2900-000086010000}"/>
    <hyperlink ref="I326" r:id="rId392" xr:uid="{00000000-0004-0000-2900-000087010000}"/>
    <hyperlink ref="I327" r:id="rId393" xr:uid="{00000000-0004-0000-2900-000088010000}"/>
    <hyperlink ref="I61" r:id="rId394" xr:uid="{00000000-0004-0000-2900-000089010000}"/>
    <hyperlink ref="I527" r:id="rId395" xr:uid="{00000000-0004-0000-2900-00008A010000}"/>
    <hyperlink ref="I525" r:id="rId396" xr:uid="{00000000-0004-0000-2900-00008B010000}"/>
    <hyperlink ref="I519" r:id="rId397" xr:uid="{00000000-0004-0000-2900-00008C010000}"/>
    <hyperlink ref="I391" r:id="rId398" xr:uid="{00000000-0004-0000-2900-00008D010000}"/>
    <hyperlink ref="I472" r:id="rId399" xr:uid="{00000000-0004-0000-2900-00008E010000}"/>
    <hyperlink ref="I318" r:id="rId400" xr:uid="{00000000-0004-0000-2900-00008F010000}"/>
    <hyperlink ref="I384" r:id="rId401" xr:uid="{00000000-0004-0000-2900-000090010000}"/>
    <hyperlink ref="I529" r:id="rId402" xr:uid="{00000000-0004-0000-2900-000091010000}"/>
    <hyperlink ref="I538" r:id="rId403" xr:uid="{00000000-0004-0000-2900-000092010000}"/>
    <hyperlink ref="I539" r:id="rId404" xr:uid="{00000000-0004-0000-2900-000093010000}"/>
    <hyperlink ref="I540" r:id="rId405" xr:uid="{00000000-0004-0000-2900-000094010000}"/>
    <hyperlink ref="I541" r:id="rId406" xr:uid="{00000000-0004-0000-2900-000095010000}"/>
    <hyperlink ref="I544" r:id="rId407" xr:uid="{00000000-0004-0000-2900-000096010000}"/>
    <hyperlink ref="I47" r:id="rId408" xr:uid="{00000000-0004-0000-2900-000097010000}"/>
    <hyperlink ref="I545" r:id="rId409" xr:uid="{00000000-0004-0000-2900-000098010000}"/>
    <hyperlink ref="I546" r:id="rId410" xr:uid="{00000000-0004-0000-2900-000099010000}"/>
    <hyperlink ref="I547" r:id="rId411" xr:uid="{00000000-0004-0000-2900-00009A010000}"/>
    <hyperlink ref="I548" r:id="rId412" xr:uid="{00000000-0004-0000-2900-00009B010000}"/>
    <hyperlink ref="I562" r:id="rId413" xr:uid="{00000000-0004-0000-2900-00009C010000}"/>
    <hyperlink ref="I555" r:id="rId414" xr:uid="{00000000-0004-0000-2900-00009D010000}"/>
    <hyperlink ref="I558" r:id="rId415" xr:uid="{00000000-0004-0000-2900-00009E010000}"/>
    <hyperlink ref="I556" r:id="rId416" xr:uid="{00000000-0004-0000-2900-00009F010000}"/>
    <hyperlink ref="I553" r:id="rId417" xr:uid="{00000000-0004-0000-2900-0000A0010000}"/>
    <hyperlink ref="I560" r:id="rId418" xr:uid="{00000000-0004-0000-2900-0000A1010000}"/>
    <hyperlink ref="I565" r:id="rId419" xr:uid="{00000000-0004-0000-2900-0000A2010000}"/>
    <hyperlink ref="I566" r:id="rId420" xr:uid="{00000000-0004-0000-2900-0000A3010000}"/>
    <hyperlink ref="I568" r:id="rId421" xr:uid="{00000000-0004-0000-2900-0000A4010000}"/>
    <hyperlink ref="I572" r:id="rId422" xr:uid="{00000000-0004-0000-2900-0000A5010000}"/>
    <hyperlink ref="I573" r:id="rId423" location=":~:text=The%20Zuni%20was%20very%20inexpensive,1966%20by%20the%20U.S.%20Navy" xr:uid="{00000000-0004-0000-2900-0000A6010000}"/>
    <hyperlink ref="I570" r:id="rId424" xr:uid="{00000000-0004-0000-2900-0000A7010000}"/>
    <hyperlink ref="I569" r:id="rId425" xr:uid="{00000000-0004-0000-2900-0000A8010000}"/>
    <hyperlink ref="I390" r:id="rId426" xr:uid="{00000000-0004-0000-2900-0000A9010000}"/>
    <hyperlink ref="I488" r:id="rId427" xr:uid="{00000000-0004-0000-2900-0000AA010000}"/>
    <hyperlink ref="I490" r:id="rId428" xr:uid="{00000000-0004-0000-2900-0000AB010000}"/>
    <hyperlink ref="I491" r:id="rId429" xr:uid="{00000000-0004-0000-2900-0000AC010000}"/>
    <hyperlink ref="I411" r:id="rId430" xr:uid="{00000000-0004-0000-2900-0000AD010000}"/>
    <hyperlink ref="I493" r:id="rId431" xr:uid="{00000000-0004-0000-2900-0000AE010000}"/>
    <hyperlink ref="I395" r:id="rId432" xr:uid="{00000000-0004-0000-2900-0000AF010000}"/>
    <hyperlink ref="I397" r:id="rId433" xr:uid="{00000000-0004-0000-2900-0000B0010000}"/>
    <hyperlink ref="I403" r:id="rId434" xr:uid="{00000000-0004-0000-2900-0000B1010000}"/>
    <hyperlink ref="I571" r:id="rId435" xr:uid="{00000000-0004-0000-2900-0000B2010000}"/>
    <hyperlink ref="I521" r:id="rId436" xr:uid="{00000000-0004-0000-2900-0000B3010000}"/>
    <hyperlink ref="I534" r:id="rId437" xr:uid="{00000000-0004-0000-2900-0000B4010000}"/>
    <hyperlink ref="I533" r:id="rId438" xr:uid="{00000000-0004-0000-2900-0000B5010000}"/>
  </hyperlinks>
  <pageMargins left="0.7" right="0.7" top="0.78740157499999996" bottom="0.78740157499999996" header="0.3" footer="0.3"/>
  <pageSetup paperSize="9" orientation="portrait" r:id="rId439"/>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5" tint="0.59999389629810485"/>
  </sheetPr>
  <dimension ref="B1:N32"/>
  <sheetViews>
    <sheetView showGridLines="0" zoomScaleNormal="100" workbookViewId="0"/>
  </sheetViews>
  <sheetFormatPr baseColWidth="10" defaultColWidth="8.59765625" defaultRowHeight="15.9" customHeight="1" x14ac:dyDescent="0.3"/>
  <cols>
    <col min="1" max="1" width="8.59765625" style="31" customWidth="1"/>
    <col min="2" max="2" width="25.5" style="31" customWidth="1"/>
    <col min="3" max="3" width="8.59765625" style="31" customWidth="1"/>
    <col min="4" max="16384" width="8.59765625" style="31"/>
  </cols>
  <sheetData>
    <row r="1" spans="2:14" s="35" customFormat="1" ht="15.9" customHeight="1" x14ac:dyDescent="0.3">
      <c r="B1" s="39"/>
    </row>
    <row r="2" spans="2:14" s="39" customFormat="1" ht="24.75" customHeight="1" x14ac:dyDescent="0.35">
      <c r="B2" s="415" t="s">
        <v>4876</v>
      </c>
    </row>
    <row r="3" spans="2:14" s="116" customFormat="1" ht="15.9" customHeight="1" x14ac:dyDescent="0.25"/>
    <row r="4" spans="2:14" s="116" customFormat="1" ht="15.9" customHeight="1" x14ac:dyDescent="0.25">
      <c r="B4" s="1181" t="s">
        <v>4877</v>
      </c>
      <c r="C4" s="1181"/>
      <c r="D4" s="1181"/>
      <c r="E4" s="1181"/>
      <c r="F4" s="1181"/>
      <c r="G4" s="1181"/>
      <c r="H4" s="1181"/>
      <c r="I4" s="1181"/>
      <c r="J4" s="1181"/>
      <c r="K4" s="1181"/>
      <c r="L4" s="1181"/>
      <c r="M4" s="1181"/>
      <c r="N4" s="1181"/>
    </row>
    <row r="5" spans="2:14" s="116" customFormat="1" ht="15.9" customHeight="1" x14ac:dyDescent="0.25">
      <c r="B5" s="1181"/>
      <c r="C5" s="1181"/>
      <c r="D5" s="1181"/>
      <c r="E5" s="1181"/>
      <c r="F5" s="1181"/>
      <c r="G5" s="1181"/>
      <c r="H5" s="1181"/>
      <c r="I5" s="1181"/>
      <c r="J5" s="1181"/>
      <c r="K5" s="1181"/>
      <c r="L5" s="1181"/>
      <c r="M5" s="1181"/>
      <c r="N5" s="1181"/>
    </row>
    <row r="6" spans="2:14" s="116" customFormat="1" ht="15.9" customHeight="1" x14ac:dyDescent="0.25">
      <c r="B6" s="1181"/>
      <c r="C6" s="1181"/>
      <c r="D6" s="1181"/>
      <c r="E6" s="1181"/>
      <c r="F6" s="1181"/>
      <c r="G6" s="1181"/>
      <c r="H6" s="1181"/>
      <c r="I6" s="1181"/>
      <c r="J6" s="1181"/>
      <c r="K6" s="1181"/>
      <c r="L6" s="1181"/>
      <c r="M6" s="1181"/>
      <c r="N6" s="1181"/>
    </row>
    <row r="7" spans="2:14" s="116" customFormat="1" ht="15.9" customHeight="1" x14ac:dyDescent="0.25">
      <c r="B7" s="1181"/>
      <c r="C7" s="1181"/>
      <c r="D7" s="1181"/>
      <c r="E7" s="1181"/>
      <c r="F7" s="1181"/>
      <c r="G7" s="1181"/>
      <c r="H7" s="1181"/>
      <c r="I7" s="1181"/>
      <c r="J7" s="1181"/>
      <c r="K7" s="1181"/>
      <c r="L7" s="1181"/>
      <c r="M7" s="1181"/>
      <c r="N7" s="1181"/>
    </row>
    <row r="8" spans="2:14" s="116" customFormat="1" ht="15.9" customHeight="1" x14ac:dyDescent="0.25">
      <c r="B8" s="1181"/>
      <c r="C8" s="1181"/>
      <c r="D8" s="1181"/>
      <c r="E8" s="1181"/>
      <c r="F8" s="1181"/>
      <c r="G8" s="1181"/>
      <c r="H8" s="1181"/>
      <c r="I8" s="1181"/>
      <c r="J8" s="1181"/>
      <c r="K8" s="1181"/>
      <c r="L8" s="1181"/>
      <c r="M8" s="1181"/>
      <c r="N8" s="1181"/>
    </row>
    <row r="9" spans="2:14" s="116" customFormat="1" ht="15.9" customHeight="1" x14ac:dyDescent="0.25">
      <c r="B9" s="444"/>
      <c r="C9" s="444"/>
      <c r="D9" s="444"/>
      <c r="E9" s="444"/>
      <c r="F9" s="444"/>
      <c r="G9" s="444"/>
    </row>
    <row r="10" spans="2:14" ht="15.9" customHeight="1" x14ac:dyDescent="0.3">
      <c r="B10" s="24"/>
    </row>
    <row r="11" spans="2:14" ht="24.75" customHeight="1" x14ac:dyDescent="0.3">
      <c r="B11" s="413" t="s">
        <v>3928</v>
      </c>
      <c r="C11" s="396" t="s">
        <v>4878</v>
      </c>
      <c r="D11" s="31" t="s">
        <v>3584</v>
      </c>
    </row>
    <row r="12" spans="2:14" ht="15.9" customHeight="1" x14ac:dyDescent="0.3">
      <c r="B12" s="19" t="s">
        <v>364</v>
      </c>
      <c r="C12" s="62">
        <v>1</v>
      </c>
      <c r="D12" s="32" t="s">
        <v>3584</v>
      </c>
      <c r="E12" s="32"/>
    </row>
    <row r="13" spans="2:14" ht="15.9" customHeight="1" x14ac:dyDescent="0.3">
      <c r="B13" s="19" t="s">
        <v>346</v>
      </c>
      <c r="C13" s="136">
        <v>1.05</v>
      </c>
      <c r="D13" s="32" t="s">
        <v>3584</v>
      </c>
      <c r="E13" s="32"/>
    </row>
    <row r="14" spans="2:14" ht="15.9" customHeight="1" x14ac:dyDescent="0.3">
      <c r="B14" s="19" t="s">
        <v>520</v>
      </c>
      <c r="C14" s="136">
        <v>1.4298999999999999</v>
      </c>
      <c r="D14" s="32"/>
      <c r="E14" s="32"/>
    </row>
    <row r="15" spans="2:14" ht="15.9" customHeight="1" x14ac:dyDescent="0.3">
      <c r="B15" s="19" t="s">
        <v>2866</v>
      </c>
      <c r="C15" s="136">
        <v>0.86194000000000004</v>
      </c>
      <c r="D15" s="32" t="s">
        <v>3584</v>
      </c>
      <c r="E15" s="32"/>
    </row>
    <row r="16" spans="2:14" ht="15.9" customHeight="1" x14ac:dyDescent="0.3">
      <c r="B16" s="19" t="s">
        <v>2367</v>
      </c>
      <c r="C16" s="136">
        <v>4.6422999999999996</v>
      </c>
      <c r="D16" s="32" t="s">
        <v>3584</v>
      </c>
      <c r="E16" s="32"/>
    </row>
    <row r="17" spans="2:5" ht="15.9" customHeight="1" x14ac:dyDescent="0.3">
      <c r="B17" s="19" t="s">
        <v>2470</v>
      </c>
      <c r="C17" s="136">
        <v>4.8936999999999999</v>
      </c>
      <c r="D17" s="32" t="s">
        <v>3584</v>
      </c>
      <c r="E17" s="32"/>
    </row>
    <row r="18" spans="2:5" ht="15.9" customHeight="1" x14ac:dyDescent="0.3">
      <c r="B18" s="19" t="s">
        <v>2721</v>
      </c>
      <c r="C18" s="136">
        <v>10.898</v>
      </c>
      <c r="D18" s="32" t="s">
        <v>3584</v>
      </c>
      <c r="E18" s="32"/>
    </row>
    <row r="19" spans="2:5" ht="15.9" customHeight="1" x14ac:dyDescent="0.3">
      <c r="B19" s="19" t="s">
        <v>666</v>
      </c>
      <c r="C19" s="136">
        <v>7.54</v>
      </c>
      <c r="D19" s="32" t="s">
        <v>3584</v>
      </c>
      <c r="E19" s="32"/>
    </row>
    <row r="20" spans="2:5" ht="15.9" customHeight="1" x14ac:dyDescent="0.3">
      <c r="B20" s="19" t="s">
        <v>718</v>
      </c>
      <c r="C20" s="136">
        <v>23.984000000000002</v>
      </c>
      <c r="D20" s="32" t="s">
        <v>3584</v>
      </c>
      <c r="E20" s="32"/>
    </row>
    <row r="21" spans="2:5" ht="15.9" customHeight="1" x14ac:dyDescent="0.3">
      <c r="B21" s="19" t="s">
        <v>859</v>
      </c>
      <c r="C21" s="136">
        <v>7.4363999999999999</v>
      </c>
      <c r="D21" s="32" t="s">
        <v>3584</v>
      </c>
      <c r="E21" s="32"/>
    </row>
    <row r="22" spans="2:5" ht="15.9" customHeight="1" x14ac:dyDescent="0.3">
      <c r="B22" s="30" t="s">
        <v>259</v>
      </c>
      <c r="C22" s="137">
        <v>1.5446</v>
      </c>
      <c r="D22" s="32"/>
      <c r="E22" s="32"/>
    </row>
    <row r="23" spans="2:5" ht="15.9" customHeight="1" x14ac:dyDescent="0.3">
      <c r="B23" s="30" t="s">
        <v>2231</v>
      </c>
      <c r="C23" s="137">
        <v>10.401300000000001</v>
      </c>
      <c r="D23" s="32"/>
      <c r="E23" s="32"/>
    </row>
    <row r="24" spans="2:5" ht="15.9" customHeight="1" x14ac:dyDescent="0.3">
      <c r="B24" s="30" t="s">
        <v>2794</v>
      </c>
      <c r="C24" s="137">
        <v>0.98360000000000003</v>
      </c>
      <c r="D24" s="32"/>
      <c r="E24" s="32"/>
    </row>
    <row r="25" spans="2:5" ht="15.9" customHeight="1" x14ac:dyDescent="0.3">
      <c r="B25" s="30" t="s">
        <v>2176</v>
      </c>
      <c r="C25" s="137">
        <v>1.6628000000000001</v>
      </c>
      <c r="D25" s="32"/>
      <c r="E25" s="32"/>
    </row>
    <row r="26" spans="2:5" ht="15.9" customHeight="1" x14ac:dyDescent="0.3">
      <c r="B26" s="19" t="s">
        <v>1665</v>
      </c>
      <c r="C26" s="138">
        <v>395.85</v>
      </c>
      <c r="D26" s="32"/>
      <c r="E26" s="32"/>
    </row>
    <row r="27" spans="2:5" ht="15.9" customHeight="1" x14ac:dyDescent="0.3">
      <c r="B27" s="19" t="s">
        <v>495</v>
      </c>
      <c r="C27" s="138">
        <v>1.9558</v>
      </c>
      <c r="D27" s="32"/>
      <c r="E27" s="32"/>
    </row>
    <row r="28" spans="2:5" ht="15.9" customHeight="1" x14ac:dyDescent="0.3">
      <c r="B28" s="30" t="s">
        <v>658</v>
      </c>
      <c r="C28" s="137">
        <v>7.2045000000000003</v>
      </c>
      <c r="D28" s="32"/>
      <c r="E28" s="32"/>
    </row>
    <row r="29" spans="2:5" ht="15.9" customHeight="1" x14ac:dyDescent="0.3">
      <c r="B29" s="33" t="s">
        <v>4879</v>
      </c>
      <c r="C29" s="139">
        <v>33.423999999999999</v>
      </c>
      <c r="D29" s="32"/>
      <c r="E29" s="32"/>
    </row>
    <row r="30" spans="2:5" ht="15.9" customHeight="1" x14ac:dyDescent="0.3">
      <c r="C30" s="528"/>
      <c r="D30" s="32"/>
      <c r="E30" s="32"/>
    </row>
    <row r="32" spans="2:5" ht="15.9" customHeight="1" x14ac:dyDescent="0.3">
      <c r="B32" s="480"/>
    </row>
  </sheetData>
  <mergeCells count="1">
    <mergeCell ref="B4:N8"/>
  </mergeCells>
  <hyperlinks>
    <hyperlink ref="C13" r:id="rId1" display="1.0624" xr:uid="{00000000-0004-0000-2A00-000000000000}"/>
    <hyperlink ref="C14" r:id="rId2" display="1.36" xr:uid="{00000000-0004-0000-2A00-000001000000}"/>
    <hyperlink ref="C15" r:id="rId3" display="0.83523" xr:uid="{00000000-0004-0000-2A00-000002000000}"/>
    <hyperlink ref="C16" r:id="rId4" display="4.63" xr:uid="{00000000-0004-0000-2A00-000003000000}"/>
    <hyperlink ref="C17" r:id="rId5" display="4.945" xr:uid="{00000000-0004-0000-2A00-000004000000}"/>
    <hyperlink ref="C19" r:id="rId6" display="7.54" xr:uid="{00000000-0004-0000-2A00-000005000000}"/>
    <hyperlink ref="C21" r:id="rId7" display="7.4403" xr:uid="{00000000-0004-0000-2A00-000006000000}"/>
    <hyperlink ref="C22" r:id="rId8" display="1.4913" xr:uid="{00000000-0004-0000-2A00-000007000000}"/>
    <hyperlink ref="C23" r:id="rId9" display="9.9248" xr:uid="{00000000-0004-0000-2A00-000008000000}"/>
    <hyperlink ref="C25" r:id="rId10" display="1.6366" xr:uid="{00000000-0004-0000-2A00-000009000000}"/>
    <hyperlink ref="C26" r:id="rId11" display="389.33" xr:uid="{00000000-0004-0000-2A00-00000A000000}"/>
    <hyperlink ref="C28" r:id="rId12" display="7.1216" xr:uid="{00000000-0004-0000-2A00-00000B000000}"/>
    <hyperlink ref="C29" r:id="rId13" display="33.424" xr:uid="{00000000-0004-0000-2A00-00000C000000}"/>
    <hyperlink ref="C18" r:id="rId14" display="10.2553" xr:uid="{00000000-0004-0000-2A00-00000D000000}"/>
    <hyperlink ref="C24" r:id="rId15" display="1.0253" xr:uid="{00000000-0004-0000-2A00-00000E000000}"/>
    <hyperlink ref="C27" r:id="rId16" display="https://www.ecb.europa.eu/stats/policy_and_exchange_rates/euro_reference_exchange_rates/html/eurofxref-graph-bgn.en.html" xr:uid="{00000000-0004-0000-2A00-00000F000000}"/>
    <hyperlink ref="C20" r:id="rId17" display="https://www.ecb.europa.eu/stats/policy_and_exchange_rates/euro_reference_exchange_rates/html/eurofxref-graph-czk.en.html" xr:uid="{00000000-0004-0000-2A00-000010000000}"/>
  </hyperlinks>
  <pageMargins left="0.7" right="0.7" top="0.78740157499999996" bottom="0.78740157499999996"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5" tint="0.59999389629810485"/>
  </sheetPr>
  <dimension ref="B1:F53"/>
  <sheetViews>
    <sheetView showGridLines="0" zoomScaleNormal="100" workbookViewId="0"/>
  </sheetViews>
  <sheetFormatPr baseColWidth="10" defaultColWidth="8.59765625" defaultRowHeight="15.9" customHeight="1" x14ac:dyDescent="0.3"/>
  <cols>
    <col min="1" max="1" width="8.59765625" style="13" customWidth="1"/>
    <col min="2" max="2" width="25.5" style="13" customWidth="1"/>
    <col min="3" max="3" width="43" style="112" customWidth="1"/>
    <col min="4" max="4" width="43" style="115" customWidth="1"/>
    <col min="5" max="5" width="8.59765625" style="13" customWidth="1"/>
    <col min="6" max="16384" width="8.59765625" style="13"/>
  </cols>
  <sheetData>
    <row r="1" spans="2:6" s="35" customFormat="1" ht="15.9" customHeight="1" x14ac:dyDescent="0.3">
      <c r="B1" s="43"/>
      <c r="C1" s="148"/>
      <c r="D1" s="291"/>
    </row>
    <row r="2" spans="2:6" s="39" customFormat="1" ht="24.75" customHeight="1" x14ac:dyDescent="0.35">
      <c r="B2" s="167" t="s">
        <v>4880</v>
      </c>
      <c r="D2" s="291"/>
    </row>
    <row r="3" spans="2:6" s="116" customFormat="1" ht="15.9" customHeight="1" x14ac:dyDescent="0.25">
      <c r="B3" s="494"/>
      <c r="D3" s="445"/>
    </row>
    <row r="4" spans="2:6" s="116" customFormat="1" ht="15.9" customHeight="1" x14ac:dyDescent="0.25">
      <c r="B4" s="1181" t="s">
        <v>4881</v>
      </c>
      <c r="C4" s="1181"/>
      <c r="D4" s="1181"/>
      <c r="E4" s="1181"/>
      <c r="F4" s="1181"/>
    </row>
    <row r="5" spans="2:6" s="116" customFormat="1" ht="15.9" customHeight="1" x14ac:dyDescent="0.25">
      <c r="B5" s="1181"/>
      <c r="C5" s="1181"/>
      <c r="D5" s="1181"/>
      <c r="E5" s="1181"/>
      <c r="F5" s="1181"/>
    </row>
    <row r="6" spans="2:6" s="116" customFormat="1" ht="15.9" customHeight="1" x14ac:dyDescent="0.25">
      <c r="B6" s="1181"/>
      <c r="C6" s="1181"/>
      <c r="D6" s="1181"/>
      <c r="E6" s="1181"/>
      <c r="F6" s="1181"/>
    </row>
    <row r="7" spans="2:6" s="116" customFormat="1" ht="15.9" customHeight="1" x14ac:dyDescent="0.25">
      <c r="B7" s="1181"/>
      <c r="C7" s="1181"/>
      <c r="D7" s="1181"/>
      <c r="E7" s="1181"/>
      <c r="F7" s="1181"/>
    </row>
    <row r="8" spans="2:6" ht="15.9" customHeight="1" x14ac:dyDescent="0.3">
      <c r="B8" s="13" t="s">
        <v>3821</v>
      </c>
      <c r="C8" s="111" t="s">
        <v>4882</v>
      </c>
      <c r="D8" s="62"/>
    </row>
    <row r="9" spans="2:6" ht="15.9" customHeight="1" x14ac:dyDescent="0.3">
      <c r="C9" s="1049" t="s">
        <v>4883</v>
      </c>
    </row>
    <row r="10" spans="2:6" ht="15.9" customHeight="1" x14ac:dyDescent="0.3">
      <c r="B10" s="37"/>
    </row>
    <row r="11" spans="2:6" ht="24.75" customHeight="1" x14ac:dyDescent="0.3">
      <c r="B11" s="502" t="s">
        <v>3499</v>
      </c>
      <c r="C11" s="501" t="s">
        <v>4884</v>
      </c>
      <c r="D11" s="625" t="s">
        <v>4885</v>
      </c>
    </row>
    <row r="12" spans="2:6" ht="15.9" customHeight="1" x14ac:dyDescent="0.3">
      <c r="B12" s="37" t="s">
        <v>255</v>
      </c>
      <c r="C12" s="493">
        <v>0</v>
      </c>
      <c r="D12" s="62">
        <f>C12/(VLOOKUP(B12,'Country Summary'!B:I,8,0))*100</f>
        <v>0</v>
      </c>
    </row>
    <row r="13" spans="2:6" ht="15.9" customHeight="1" x14ac:dyDescent="0.3">
      <c r="B13" s="19" t="s">
        <v>344</v>
      </c>
      <c r="C13" s="247">
        <v>0.59199999999999997</v>
      </c>
      <c r="D13" s="62">
        <f>C13/(VLOOKUP(B13,'Country Summary'!B:I,8,0))*100</f>
        <v>0.14347094010649117</v>
      </c>
    </row>
    <row r="14" spans="2:6" ht="15.9" customHeight="1" x14ac:dyDescent="0.3">
      <c r="B14" s="19" t="s">
        <v>3543</v>
      </c>
      <c r="C14" s="247">
        <v>0</v>
      </c>
      <c r="D14" s="600" t="s">
        <v>4886</v>
      </c>
    </row>
    <row r="15" spans="2:6" ht="15.9" customHeight="1" x14ac:dyDescent="0.3">
      <c r="B15" s="19" t="s">
        <v>413</v>
      </c>
      <c r="C15" s="247">
        <v>0.58899999999999997</v>
      </c>
      <c r="D15" s="62">
        <f>C15/(VLOOKUP(B15,'Country Summary'!B:I,8,0))*100</f>
        <v>0.11850850251797751</v>
      </c>
      <c r="E15" s="110"/>
    </row>
    <row r="16" spans="2:6" ht="15.9" customHeight="1" x14ac:dyDescent="0.3">
      <c r="B16" s="19" t="s">
        <v>480</v>
      </c>
      <c r="C16" s="247">
        <v>0.20699999999999999</v>
      </c>
      <c r="D16" s="62">
        <f>C16/(VLOOKUP(B16,'Country Summary'!B:I,8,0))*100</f>
        <v>0.31099160026786582</v>
      </c>
    </row>
    <row r="17" spans="2:4" ht="15.9" customHeight="1" x14ac:dyDescent="0.3">
      <c r="B17" s="37" t="s">
        <v>517</v>
      </c>
      <c r="C17" s="493">
        <v>0</v>
      </c>
      <c r="D17" s="62">
        <f>C17/(VLOOKUP(B17,'Country Summary'!B:I,8,0))*100</f>
        <v>0</v>
      </c>
    </row>
    <row r="18" spans="2:4" ht="15.9" customHeight="1" x14ac:dyDescent="0.3">
      <c r="B18" s="13" t="s">
        <v>656</v>
      </c>
      <c r="C18" s="172">
        <v>0</v>
      </c>
      <c r="D18" s="62">
        <f>C18/(VLOOKUP(B18,'Country Summary'!B:I,8,0))*100</f>
        <v>0</v>
      </c>
    </row>
    <row r="19" spans="2:4" ht="15.9" customHeight="1" x14ac:dyDescent="0.3">
      <c r="B19" s="19" t="s">
        <v>664</v>
      </c>
      <c r="C19" s="247">
        <v>8.4000000000000005E-2</v>
      </c>
      <c r="D19" s="62">
        <f>C19/(VLOOKUP(B19,'Country Summary'!B:I,8,0))*100</f>
        <v>0.15418561500656078</v>
      </c>
    </row>
    <row r="20" spans="2:4" ht="15.9" customHeight="1" x14ac:dyDescent="0.3">
      <c r="B20" s="37" t="s">
        <v>696</v>
      </c>
      <c r="C20" s="247">
        <v>8.4000000000000005E-2</v>
      </c>
      <c r="D20" s="62">
        <f>C20/(VLOOKUP(B20,'Country Summary'!B:I,8,0))*100</f>
        <v>0.35835231070201712</v>
      </c>
    </row>
    <row r="21" spans="2:4" ht="15.9" customHeight="1" x14ac:dyDescent="0.3">
      <c r="B21" s="19" t="s">
        <v>716</v>
      </c>
      <c r="C21" s="247">
        <v>1.9570000000000001</v>
      </c>
      <c r="D21" s="62">
        <f>C21/(VLOOKUP(B21,'Country Summary'!B:I,8,0))*100</f>
        <v>0.83755429011542071</v>
      </c>
    </row>
    <row r="22" spans="2:4" ht="15.9" customHeight="1" x14ac:dyDescent="0.3">
      <c r="B22" s="19" t="s">
        <v>856</v>
      </c>
      <c r="C22" s="247">
        <v>0.25700000000000001</v>
      </c>
      <c r="D22" s="62">
        <f>C22/(VLOOKUP(B22,'Country Summary'!B:I,8,0))*100</f>
        <v>7.5782495336013583E-2</v>
      </c>
    </row>
    <row r="23" spans="2:4" ht="15.9" customHeight="1" x14ac:dyDescent="0.3">
      <c r="B23" s="19" t="s">
        <v>937</v>
      </c>
      <c r="C23" s="247">
        <v>0.16600000000000001</v>
      </c>
      <c r="D23" s="62">
        <f>C23/(VLOOKUP(B23,'Country Summary'!B:I,8,0))*100</f>
        <v>0.56867324909487005</v>
      </c>
    </row>
    <row r="24" spans="2:4" ht="15.9" customHeight="1" x14ac:dyDescent="0.3">
      <c r="B24" s="19" t="s">
        <v>1025</v>
      </c>
      <c r="C24" s="247">
        <v>0.16600000000000001</v>
      </c>
      <c r="D24" s="62">
        <f>C24/(VLOOKUP(B24,'Country Summary'!B:I,8,0))*100</f>
        <v>6.4652575125420622E-2</v>
      </c>
    </row>
    <row r="25" spans="2:4" ht="15.9" customHeight="1" x14ac:dyDescent="0.3">
      <c r="B25" s="19" t="s">
        <v>1131</v>
      </c>
      <c r="C25" s="247">
        <v>0.70599999999999996</v>
      </c>
      <c r="D25" s="62">
        <f>C25/(VLOOKUP(B25,'Country Summary'!B:I,8,0))*100</f>
        <v>2.8182907013290744E-2</v>
      </c>
    </row>
    <row r="26" spans="2:4" ht="15.9" customHeight="1" x14ac:dyDescent="0.3">
      <c r="B26" s="19" t="s">
        <v>1288</v>
      </c>
      <c r="C26" s="247">
        <v>6.8079999999999998</v>
      </c>
      <c r="D26" s="62">
        <f>C26/(VLOOKUP(B26,'Country Summary'!B:I,8,0))*100</f>
        <v>0.18584583277026556</v>
      </c>
    </row>
    <row r="27" spans="2:4" ht="15.9" customHeight="1" x14ac:dyDescent="0.3">
      <c r="B27" s="19" t="s">
        <v>1606</v>
      </c>
      <c r="C27" s="247">
        <v>7.8E-2</v>
      </c>
      <c r="D27" s="62">
        <f>C27/(VLOOKUP(B27,'Country Summary'!B:I,8,0))*100</f>
        <v>4.3371151141312639E-2</v>
      </c>
    </row>
    <row r="28" spans="2:4" ht="15.9" customHeight="1" x14ac:dyDescent="0.3">
      <c r="B28" s="19" t="s">
        <v>1646</v>
      </c>
      <c r="C28" s="247">
        <v>0.372</v>
      </c>
      <c r="D28" s="62">
        <f>C28/(VLOOKUP(B28,'Country Summary'!B:I,8,0))*100</f>
        <v>0.25069245286070518</v>
      </c>
    </row>
    <row r="29" spans="2:4" ht="15.9" customHeight="1" x14ac:dyDescent="0.3">
      <c r="B29" s="13" t="s">
        <v>1687</v>
      </c>
      <c r="C29" s="172">
        <v>0</v>
      </c>
      <c r="D29" s="62">
        <f>C29/(VLOOKUP(B29,'Country Summary'!B:I,8,0))*100</f>
        <v>0</v>
      </c>
    </row>
    <row r="30" spans="2:4" ht="15.9" customHeight="1" x14ac:dyDescent="0.3">
      <c r="B30" s="19" t="s">
        <v>1701</v>
      </c>
      <c r="C30" s="247">
        <v>0.29699999999999999</v>
      </c>
      <c r="D30" s="62">
        <f>C30/(VLOOKUP(B30,'Country Summary'!B:I,8,0))*100</f>
        <v>7.3223304663891306E-2</v>
      </c>
    </row>
    <row r="31" spans="2:4" ht="15.9" customHeight="1" x14ac:dyDescent="0.3">
      <c r="B31" s="19" t="s">
        <v>1730</v>
      </c>
      <c r="C31" s="247">
        <v>0.73699999999999999</v>
      </c>
      <c r="D31" s="62">
        <f>C31/(VLOOKUP(B31,'Country Summary'!B:I,8,0))*100</f>
        <v>4.0972421888249788E-2</v>
      </c>
    </row>
    <row r="32" spans="2:4" ht="15.9" customHeight="1" x14ac:dyDescent="0.3">
      <c r="B32" s="37" t="s">
        <v>1804</v>
      </c>
      <c r="C32" s="493">
        <v>0</v>
      </c>
      <c r="D32" s="62">
        <f>C32/(VLOOKUP(B32,'Country Summary'!B:I,8,0))*100</f>
        <v>0</v>
      </c>
    </row>
    <row r="33" spans="2:4" ht="15.9" customHeight="1" x14ac:dyDescent="0.3">
      <c r="B33" s="19" t="s">
        <v>1861</v>
      </c>
      <c r="C33" s="247">
        <v>0.107</v>
      </c>
      <c r="D33" s="62">
        <f>C33/(VLOOKUP(B33,'Country Summary'!B:I,8,0))*100</f>
        <v>0.33331039074005286</v>
      </c>
    </row>
    <row r="34" spans="2:4" ht="15.9" customHeight="1" x14ac:dyDescent="0.3">
      <c r="B34" s="19" t="s">
        <v>1919</v>
      </c>
      <c r="C34" s="247">
        <v>0.223</v>
      </c>
      <c r="D34" s="62">
        <f>C34/(VLOOKUP(B34,'Country Summary'!B:I,8,0))*100</f>
        <v>0.41408061547428909</v>
      </c>
    </row>
    <row r="35" spans="2:4" ht="15.9" customHeight="1" x14ac:dyDescent="0.3">
      <c r="B35" s="37" t="s">
        <v>2024</v>
      </c>
      <c r="C35" s="493">
        <v>6.3E-2</v>
      </c>
      <c r="D35" s="62">
        <f>C35/(VLOOKUP(B35,'Country Summary'!B:I,8,0))*100</f>
        <v>9.0180200899402665E-2</v>
      </c>
    </row>
    <row r="36" spans="2:4" ht="15.9" customHeight="1" x14ac:dyDescent="0.3">
      <c r="B36" s="37" t="s">
        <v>2066</v>
      </c>
      <c r="C36" s="493">
        <v>6.3E-2</v>
      </c>
      <c r="D36" s="62">
        <f>C36/(VLOOKUP(B36,'Country Summary'!B:I,8,0))*100</f>
        <v>0.45161660310581148</v>
      </c>
    </row>
    <row r="37" spans="2:4" ht="15.9" customHeight="1" x14ac:dyDescent="0.3">
      <c r="B37" s="19" t="s">
        <v>3542</v>
      </c>
      <c r="C37" s="247">
        <v>0</v>
      </c>
      <c r="D37" s="600" t="s">
        <v>4886</v>
      </c>
    </row>
    <row r="38" spans="2:4" ht="15.9" customHeight="1" x14ac:dyDescent="0.3">
      <c r="B38" s="19" t="s">
        <v>2076</v>
      </c>
      <c r="C38" s="247">
        <v>0.48799999999999999</v>
      </c>
      <c r="D38" s="62">
        <f>C38/(VLOOKUP(B38,'Country Summary'!B:I,8,0))*100</f>
        <v>5.6069526212503502E-2</v>
      </c>
    </row>
    <row r="39" spans="2:4" ht="15.9" customHeight="1" x14ac:dyDescent="0.3">
      <c r="B39" s="13" t="s">
        <v>2168</v>
      </c>
      <c r="C39" s="172">
        <v>0</v>
      </c>
      <c r="D39" s="62">
        <f>C39/(VLOOKUP(B39,'Country Summary'!B:I,8,0))*100</f>
        <v>0</v>
      </c>
    </row>
    <row r="40" spans="2:4" ht="15.9" customHeight="1" x14ac:dyDescent="0.3">
      <c r="B40" s="19" t="s">
        <v>2206</v>
      </c>
      <c r="C40" s="247">
        <v>0.23599999999999999</v>
      </c>
      <c r="D40" s="62">
        <f>C40/(VLOOKUP(B40,'Country Summary'!B:I,8,0))*100</f>
        <v>6.841555782769107E-2</v>
      </c>
    </row>
    <row r="41" spans="2:4" ht="15.9" customHeight="1" x14ac:dyDescent="0.3">
      <c r="B41" s="19" t="s">
        <v>2303</v>
      </c>
      <c r="C41" s="247">
        <v>8.36</v>
      </c>
      <c r="D41" s="62">
        <f>C41/(VLOOKUP(B41,'Country Summary'!B:I,8,0))*100</f>
        <v>1.4712775053301543</v>
      </c>
    </row>
    <row r="42" spans="2:4" ht="15.9" customHeight="1" x14ac:dyDescent="0.3">
      <c r="B42" s="19" t="s">
        <v>2370</v>
      </c>
      <c r="C42" s="247">
        <v>0.16800000000000001</v>
      </c>
      <c r="D42" s="62">
        <f>C42/(VLOOKUP(B42,'Country Summary'!B:I,8,0))*100</f>
        <v>7.7185950756763627E-2</v>
      </c>
    </row>
    <row r="43" spans="2:4" ht="15.9" customHeight="1" x14ac:dyDescent="0.3">
      <c r="B43" s="19" t="s">
        <v>2460</v>
      </c>
      <c r="C43" s="247">
        <v>1.002</v>
      </c>
      <c r="D43" s="62">
        <f>C43/(VLOOKUP(B43,'Country Summary'!B:I,8,0))*100</f>
        <v>0.42301335803089118</v>
      </c>
    </row>
    <row r="44" spans="2:4" ht="15.9" customHeight="1" x14ac:dyDescent="0.3">
      <c r="B44" s="19" t="s">
        <v>2489</v>
      </c>
      <c r="C44" s="247">
        <v>0.64200000000000002</v>
      </c>
      <c r="D44" s="62">
        <f>C44/(VLOOKUP(B44,'Country Summary'!B:I,8,0))*100</f>
        <v>0.64094664996268991</v>
      </c>
    </row>
    <row r="45" spans="2:4" ht="15.9" customHeight="1" x14ac:dyDescent="0.3">
      <c r="B45" s="19" t="s">
        <v>2547</v>
      </c>
      <c r="C45" s="247">
        <v>5.2999999999999999E-2</v>
      </c>
      <c r="D45" s="62">
        <f>C45/(VLOOKUP(B45,'Country Summary'!B:I,8,0))*100</f>
        <v>0.1038447572861783</v>
      </c>
    </row>
    <row r="46" spans="2:4" ht="15.9" customHeight="1" x14ac:dyDescent="0.3">
      <c r="B46" s="13" t="s">
        <v>2424</v>
      </c>
      <c r="C46" s="172">
        <v>0</v>
      </c>
      <c r="D46" s="62">
        <f>C46/(VLOOKUP(B46,'Country Summary'!B:I,8,0))*100</f>
        <v>0</v>
      </c>
    </row>
    <row r="47" spans="2:4" ht="15.9" customHeight="1" x14ac:dyDescent="0.3">
      <c r="B47" s="19" t="s">
        <v>2615</v>
      </c>
      <c r="C47" s="247">
        <v>1.359</v>
      </c>
      <c r="D47" s="62">
        <f>C47/(VLOOKUP(B47,'Country Summary'!B:I,8,0))*100</f>
        <v>0.11135131514334812</v>
      </c>
    </row>
    <row r="48" spans="2:4" ht="15.9" customHeight="1" x14ac:dyDescent="0.3">
      <c r="B48" s="19" t="s">
        <v>2715</v>
      </c>
      <c r="C48" s="247">
        <v>0.32500000000000001</v>
      </c>
      <c r="D48" s="62">
        <f>C48/(VLOOKUP(B48,'Country Summary'!B:I,8,0))*100</f>
        <v>6.305198665400541E-2</v>
      </c>
    </row>
    <row r="49" spans="2:4" ht="15.9" customHeight="1" x14ac:dyDescent="0.3">
      <c r="B49" s="19" t="s">
        <v>2792</v>
      </c>
      <c r="C49" s="247">
        <v>0.71399999999999997</v>
      </c>
      <c r="D49" s="62">
        <f>C49/(VLOOKUP(B49,'Country Summary'!B:I,8,0))*100</f>
        <v>9.9661275859130094E-2</v>
      </c>
    </row>
    <row r="50" spans="2:4" ht="15.9" customHeight="1" x14ac:dyDescent="0.3">
      <c r="B50" s="13" t="s">
        <v>2840</v>
      </c>
      <c r="C50" s="172">
        <v>0</v>
      </c>
      <c r="D50" s="62">
        <f>C50/(VLOOKUP(B50,'Country Summary'!B:I,8,0))*100</f>
        <v>0</v>
      </c>
    </row>
    <row r="51" spans="2:4" ht="15.9" customHeight="1" x14ac:dyDescent="0.3">
      <c r="B51" s="19" t="s">
        <v>2820</v>
      </c>
      <c r="C51" s="247">
        <v>0.20699999999999999</v>
      </c>
      <c r="D51" s="62">
        <f>C51/(VLOOKUP(B51,'Country Summary'!B:I,8,0))*100</f>
        <v>3.0189394313912488E-2</v>
      </c>
    </row>
    <row r="52" spans="2:4" ht="15.9" customHeight="1" x14ac:dyDescent="0.3">
      <c r="B52" s="19" t="s">
        <v>2864</v>
      </c>
      <c r="C52" s="247">
        <v>0.20699999999999999</v>
      </c>
      <c r="D52" s="62">
        <f>C52/(VLOOKUP(B52,'Country Summary'!B:I,8,0))*100</f>
        <v>7.875559107627373E-3</v>
      </c>
    </row>
    <row r="53" spans="2:4" ht="15.9" customHeight="1" x14ac:dyDescent="0.3">
      <c r="B53" s="37" t="s">
        <v>3038</v>
      </c>
      <c r="C53" s="493">
        <v>0</v>
      </c>
      <c r="D53" s="62">
        <f>C53/(VLOOKUP(B53,'Country Summary'!B:I,8,0))*100</f>
        <v>0</v>
      </c>
    </row>
  </sheetData>
  <sortState ref="B12:D53">
    <sortCondition ref="B12:B53"/>
  </sortState>
  <mergeCells count="1">
    <mergeCell ref="B4:F7"/>
  </mergeCells>
  <hyperlinks>
    <hyperlink ref="C9" r:id="rId1" xr:uid="{00000000-0004-0000-2B00-000000000000}"/>
    <hyperlink ref="C8" r:id="rId2" xr:uid="{00000000-0004-0000-2B00-000001000000}"/>
  </hyperlinks>
  <pageMargins left="0.7" right="0.7" top="0.75" bottom="0.75" header="0.3" footer="0.3"/>
  <pageSetup paperSize="9" orientation="portrait"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8CBAD"/>
  </sheetPr>
  <dimension ref="A1:R174"/>
  <sheetViews>
    <sheetView showGridLines="0" zoomScaleNormal="100" workbookViewId="0"/>
  </sheetViews>
  <sheetFormatPr baseColWidth="10" defaultColWidth="8.5" defaultRowHeight="15.9" customHeight="1" x14ac:dyDescent="0.3"/>
  <cols>
    <col min="1" max="1" width="8.59765625" style="3" customWidth="1"/>
    <col min="2" max="2" width="25.5" style="24" customWidth="1"/>
    <col min="3" max="3" width="10.5" style="339" bestFit="1" customWidth="1"/>
    <col min="4" max="4" width="22.3984375" style="339" customWidth="1"/>
    <col min="5" max="13" width="20.59765625" style="108" customWidth="1"/>
    <col min="14" max="14" width="20.59765625" style="344" customWidth="1"/>
    <col min="15" max="16" width="20.59765625" style="108" customWidth="1"/>
    <col min="17" max="17" width="20.59765625" style="24" customWidth="1"/>
    <col min="18" max="16384" width="8.5" style="24"/>
  </cols>
  <sheetData>
    <row r="1" spans="1:18" s="463" customFormat="1" ht="15.6" x14ac:dyDescent="0.3">
      <c r="A1" s="462"/>
    </row>
    <row r="2" spans="1:18" s="465" customFormat="1" ht="24.75" customHeight="1" x14ac:dyDescent="0.35">
      <c r="A2" s="462"/>
      <c r="B2" s="464" t="s">
        <v>4887</v>
      </c>
    </row>
    <row r="3" spans="1:18" s="465" customFormat="1" ht="15.9" customHeight="1" x14ac:dyDescent="0.35">
      <c r="A3" s="462"/>
      <c r="B3" s="466"/>
      <c r="F3" s="467"/>
    </row>
    <row r="4" spans="1:18" s="468" customFormat="1" ht="15.9" customHeight="1" x14ac:dyDescent="0.35">
      <c r="A4" s="462"/>
      <c r="B4" s="1178" t="s">
        <v>4888</v>
      </c>
      <c r="C4" s="1178"/>
      <c r="D4" s="1178"/>
      <c r="E4" s="1178"/>
      <c r="F4" s="1178"/>
      <c r="G4" s="1178"/>
      <c r="I4" s="469"/>
    </row>
    <row r="5" spans="1:18" s="468" customFormat="1" ht="15.9" customHeight="1" x14ac:dyDescent="0.35">
      <c r="A5" s="462"/>
      <c r="B5" s="1178"/>
      <c r="C5" s="1178"/>
      <c r="D5" s="1178"/>
      <c r="E5" s="1178"/>
      <c r="F5" s="1178"/>
      <c r="G5" s="1178"/>
      <c r="I5" s="469"/>
    </row>
    <row r="6" spans="1:18" s="468" customFormat="1" ht="15.9" customHeight="1" x14ac:dyDescent="0.35">
      <c r="A6" s="462"/>
      <c r="B6" s="1178"/>
      <c r="C6" s="1178"/>
      <c r="D6" s="1178"/>
      <c r="E6" s="1178"/>
      <c r="F6" s="1178"/>
      <c r="G6" s="1178"/>
      <c r="I6" s="469"/>
    </row>
    <row r="7" spans="1:18" s="468" customFormat="1" ht="15.9" customHeight="1" x14ac:dyDescent="0.35">
      <c r="A7" s="462"/>
      <c r="B7" s="1178"/>
      <c r="C7" s="1178"/>
      <c r="D7" s="1178"/>
      <c r="E7" s="1178"/>
      <c r="F7" s="1178"/>
      <c r="G7" s="1178"/>
      <c r="I7" s="469"/>
    </row>
    <row r="8" spans="1:18" s="468" customFormat="1" ht="15.9" customHeight="1" x14ac:dyDescent="0.35">
      <c r="A8" s="462"/>
      <c r="B8" s="1178"/>
      <c r="C8" s="1178"/>
      <c r="D8" s="1178"/>
      <c r="E8" s="1178"/>
      <c r="F8" s="1178"/>
      <c r="G8" s="1178"/>
      <c r="I8" s="469"/>
    </row>
    <row r="9" spans="1:18" s="468" customFormat="1" ht="15.9" customHeight="1" x14ac:dyDescent="0.35">
      <c r="A9" s="462"/>
      <c r="B9" s="1146"/>
      <c r="C9" s="1146"/>
      <c r="D9" s="1146"/>
      <c r="E9" s="1146"/>
      <c r="F9" s="1146"/>
      <c r="G9" s="1146"/>
      <c r="I9" s="469"/>
    </row>
    <row r="10" spans="1:18" s="339" customFormat="1" ht="15.9" customHeight="1" x14ac:dyDescent="0.3">
      <c r="A10" s="330"/>
      <c r="E10" s="351" t="s">
        <v>4889</v>
      </c>
      <c r="F10" s="351" t="s">
        <v>3664</v>
      </c>
      <c r="G10" s="351" t="s">
        <v>3665</v>
      </c>
      <c r="H10" s="351" t="s">
        <v>3666</v>
      </c>
      <c r="I10" s="351" t="s">
        <v>3667</v>
      </c>
      <c r="J10" s="351" t="s">
        <v>3668</v>
      </c>
      <c r="K10" s="351" t="s">
        <v>3669</v>
      </c>
      <c r="L10" s="351" t="s">
        <v>3670</v>
      </c>
      <c r="M10" s="351" t="s">
        <v>3671</v>
      </c>
      <c r="N10" s="351" t="s">
        <v>3672</v>
      </c>
      <c r="O10" s="351" t="s">
        <v>3673</v>
      </c>
      <c r="P10" s="351" t="s">
        <v>3674</v>
      </c>
      <c r="Q10" s="351" t="s">
        <v>4889</v>
      </c>
      <c r="R10" s="339" t="s">
        <v>4890</v>
      </c>
    </row>
    <row r="11" spans="1:18" s="352" customFormat="1" ht="15.9" customHeight="1" x14ac:dyDescent="0.3">
      <c r="A11" s="330"/>
      <c r="B11" s="1173" t="s">
        <v>3499</v>
      </c>
      <c r="C11" s="1175" t="s">
        <v>3500</v>
      </c>
      <c r="D11" s="1175" t="s">
        <v>4891</v>
      </c>
      <c r="E11" s="1175">
        <v>1</v>
      </c>
      <c r="F11" s="1214">
        <v>2</v>
      </c>
      <c r="G11" s="1175">
        <v>3</v>
      </c>
      <c r="H11" s="1214">
        <v>4</v>
      </c>
      <c r="I11" s="1175">
        <v>5</v>
      </c>
      <c r="J11" s="1214">
        <v>6</v>
      </c>
      <c r="K11" s="1175">
        <v>7</v>
      </c>
      <c r="L11" s="1214">
        <v>8</v>
      </c>
      <c r="M11" s="1175">
        <v>9</v>
      </c>
      <c r="N11" s="1214">
        <v>10</v>
      </c>
      <c r="O11" s="1175">
        <v>11</v>
      </c>
      <c r="P11" s="1214">
        <v>12</v>
      </c>
      <c r="Q11" s="1214">
        <v>13</v>
      </c>
    </row>
    <row r="12" spans="1:18" s="352" customFormat="1" ht="15.9" customHeight="1" x14ac:dyDescent="0.3">
      <c r="A12" s="5"/>
      <c r="B12" s="1174"/>
      <c r="C12" s="1176"/>
      <c r="D12" s="1176"/>
      <c r="E12" s="1176"/>
      <c r="F12" s="1215"/>
      <c r="G12" s="1176"/>
      <c r="H12" s="1215"/>
      <c r="I12" s="1176"/>
      <c r="J12" s="1215"/>
      <c r="K12" s="1176"/>
      <c r="L12" s="1215"/>
      <c r="M12" s="1176"/>
      <c r="N12" s="1215"/>
      <c r="O12" s="1176"/>
      <c r="P12" s="1215"/>
      <c r="Q12" s="1215"/>
    </row>
    <row r="13" spans="1:18" ht="15.9" customHeight="1" x14ac:dyDescent="0.3">
      <c r="A13" s="5"/>
      <c r="B13" s="2" t="s">
        <v>255</v>
      </c>
      <c r="C13" s="339">
        <v>0</v>
      </c>
      <c r="D13" s="339">
        <v>0</v>
      </c>
      <c r="E13" s="315">
        <f>(SUMIFS('Bilateral Assistance, MAIN DATA'!$P:$P,'Bilateral Assistance, MAIN DATA'!$B:$B,'Comm. per Month (Heavy Weapons)'!$B13,'Bilateral Assistance, MAIN DATA'!$AG:$AG,1,'Bilateral Assistance, MAIN DATA'!$AH:$AH,'Comm. per Month (Heavy Weapons)'!E$11, 'Bilateral Assistance, MAIN DATA'!$J:$J,"Heavy weapon")/VLOOKUP("USD",'Exchange Rates'!$B:$C,2,0))/1000000000</f>
        <v>0</v>
      </c>
      <c r="F13" s="315">
        <f>(SUMIFS('Bilateral Assistance, MAIN DATA'!$P:$P,'Bilateral Assistance, MAIN DATA'!$B:$B,'Comm. per Month (Heavy Weapons)'!$B13,'Bilateral Assistance, MAIN DATA'!$AG:$AG,1,'Bilateral Assistance, MAIN DATA'!$AH:$AH,'Comm. per Month (Heavy Weapons)'!F$11, 'Bilateral Assistance, MAIN DATA'!$J:$J,"Heavy weapon")/VLOOKUP("USD",'Exchange Rates'!$B:$C,2,0))/1000000000</f>
        <v>0</v>
      </c>
      <c r="G13" s="315">
        <f>(SUMIFS('Bilateral Assistance, MAIN DATA'!$P:$P,'Bilateral Assistance, MAIN DATA'!$B:$B,'Comm. per Month (Heavy Weapons)'!$B13,'Bilateral Assistance, MAIN DATA'!$AG:$AG,1,'Bilateral Assistance, MAIN DATA'!$AH:$AH,'Comm. per Month (Heavy Weapons)'!G$11, 'Bilateral Assistance, MAIN DATA'!$J:$J,"Heavy weapon")/VLOOKUP("USD",'Exchange Rates'!$B:$C,2,0))/1000000000</f>
        <v>0</v>
      </c>
      <c r="H13" s="315">
        <f>(SUMIFS('Bilateral Assistance, MAIN DATA'!$P:$P,'Bilateral Assistance, MAIN DATA'!$B:$B,'Comm. per Month (Heavy Weapons)'!$B13,'Bilateral Assistance, MAIN DATA'!$AG:$AG,1,'Bilateral Assistance, MAIN DATA'!$AH:$AH,'Comm. per Month (Heavy Weapons)'!H$11, 'Bilateral Assistance, MAIN DATA'!$J:$J,"Heavy weapon")/VLOOKUP("USD",'Exchange Rates'!$B:$C,2,0))/1000000000</f>
        <v>6.0971428571428565E-2</v>
      </c>
      <c r="I13" s="315">
        <f>(SUMIFS('Bilateral Assistance, MAIN DATA'!$P:$P,'Bilateral Assistance, MAIN DATA'!$B:$B,'Comm. per Month (Heavy Weapons)'!$B13,'Bilateral Assistance, MAIN DATA'!$AG:$AG,1,'Bilateral Assistance, MAIN DATA'!$AH:$AH,'Comm. per Month (Heavy Weapons)'!I$11, 'Bilateral Assistance, MAIN DATA'!$J:$J,"Heavy weapon")/VLOOKUP("USD",'Exchange Rates'!$B:$C,2,0))/1000000000</f>
        <v>3.5428571428571427E-2</v>
      </c>
      <c r="J13" s="315">
        <f>(SUMIFS('Bilateral Assistance, MAIN DATA'!$P:$P,'Bilateral Assistance, MAIN DATA'!$B:$B,'Comm. per Month (Heavy Weapons)'!$B13,'Bilateral Assistance, MAIN DATA'!$AG:$AG,1,'Bilateral Assistance, MAIN DATA'!$AH:$AH,'Comm. per Month (Heavy Weapons)'!J$11, 'Bilateral Assistance, MAIN DATA'!$J:$J,"Heavy weapon")/VLOOKUP("USD",'Exchange Rates'!$B:$C,2,0))/1000000000</f>
        <v>0</v>
      </c>
      <c r="K13" s="315">
        <f>(SUMIFS('Bilateral Assistance, MAIN DATA'!$P:$P,'Bilateral Assistance, MAIN DATA'!$B:$B,'Comm. per Month (Heavy Weapons)'!$B13,'Bilateral Assistance, MAIN DATA'!$AG:$AG,1,'Bilateral Assistance, MAIN DATA'!$AH:$AH,'Comm. per Month (Heavy Weapons)'!K$11, 'Bilateral Assistance, MAIN DATA'!$J:$J,"Heavy weapon")/VLOOKUP("USD",'Exchange Rates'!$B:$C,2,0))/1000000000</f>
        <v>3.5428571428571427E-2</v>
      </c>
      <c r="L13" s="315">
        <f>(SUMIFS('Bilateral Assistance, MAIN DATA'!$P:$P,'Bilateral Assistance, MAIN DATA'!$B:$B,'Comm. per Month (Heavy Weapons)'!$B13,'Bilateral Assistance, MAIN DATA'!$AG:$AG,1,'Bilateral Assistance, MAIN DATA'!$AH:$AH,'Comm. per Month (Heavy Weapons)'!L$11, 'Bilateral Assistance, MAIN DATA'!$J:$J,"Heavy weapon")/VLOOKUP("USD",'Exchange Rates'!$B:$C,2,0))/1000000000</f>
        <v>0</v>
      </c>
      <c r="M13" s="315">
        <f>(SUMIFS('Bilateral Assistance, MAIN DATA'!$P:$P,'Bilateral Assistance, MAIN DATA'!$B:$B,'Comm. per Month (Heavy Weapons)'!$B13,'Bilateral Assistance, MAIN DATA'!$AG:$AG,1,'Bilateral Assistance, MAIN DATA'!$AH:$AH,'Comm. per Month (Heavy Weapons)'!M$11, 'Bilateral Assistance, MAIN DATA'!$J:$J,"Heavy weapon")/VLOOKUP("USD",'Exchange Rates'!$B:$C,2,0))/1000000000</f>
        <v>0</v>
      </c>
      <c r="N13" s="315">
        <f>(SUMIFS('Bilateral Assistance, MAIN DATA'!$P:$P,'Bilateral Assistance, MAIN DATA'!$B:$B,'Comm. per Month (Heavy Weapons)'!$B13,'Bilateral Assistance, MAIN DATA'!$AG:$AG,1,'Bilateral Assistance, MAIN DATA'!$AH:$AH,'Comm. per Month (Heavy Weapons)'!N$11, 'Bilateral Assistance, MAIN DATA'!$J:$J,"Heavy weapon")/VLOOKUP("USD",'Exchange Rates'!$B:$C,2,0))/1000000000</f>
        <v>4.7142857142857139E-2</v>
      </c>
      <c r="O13" s="315">
        <f>(SUMIFS('Bilateral Assistance, MAIN DATA'!$P:$P,'Bilateral Assistance, MAIN DATA'!$B:$B,'Comm. per Month (Heavy Weapons)'!$B13,'Bilateral Assistance, MAIN DATA'!$AG:$AG,1,'Bilateral Assistance, MAIN DATA'!$AH:$AH,'Comm. per Month (Heavy Weapons)'!O$11, 'Bilateral Assistance, MAIN DATA'!$J:$J,"Heavy weapon")/VLOOKUP("USD",'Exchange Rates'!$B:$C,2,0))/1000000000</f>
        <v>0</v>
      </c>
      <c r="P13" s="315">
        <f>(SUMIFS('Bilateral Assistance, MAIN DATA'!$P:$P,'Bilateral Assistance, MAIN DATA'!$B:$B,'Comm. per Month (Heavy Weapons)'!$B13,'Bilateral Assistance, MAIN DATA'!$AG:$AG,1,'Bilateral Assistance, MAIN DATA'!$AH:$AH,'Comm. per Month (Heavy Weapons)'!P$11, 'Bilateral Assistance, MAIN DATA'!$J:$J,"Heavy weapon")/VLOOKUP("USD",'Exchange Rates'!$B:$C,2,0))/1000000000</f>
        <v>0</v>
      </c>
      <c r="Q13" s="315">
        <f>(SUMIFS('Bilateral Assistance, MAIN DATA'!$P:$P,'Bilateral Assistance, MAIN DATA'!$B:$B,'Comm. per Month (Heavy Weapons)'!$B13,'Bilateral Assistance, MAIN DATA'!$AG:$AG,1,'Bilateral Assistance, MAIN DATA'!$AH:$AH,'Comm. per Month (Heavy Weapons)'!Q$11, 'Bilateral Assistance, MAIN DATA'!$J:$J,"Heavy weapon")/VLOOKUP("USD",'Exchange Rates'!$B:$C,2,0))/1000000000</f>
        <v>0</v>
      </c>
      <c r="R13" s="140">
        <f>SUM(E13:Q13)</f>
        <v>0.17897142857142856</v>
      </c>
    </row>
    <row r="14" spans="1:18" ht="15.9" customHeight="1" x14ac:dyDescent="0.3">
      <c r="A14" s="5"/>
      <c r="B14" s="24" t="s">
        <v>344</v>
      </c>
      <c r="C14" s="339">
        <v>1</v>
      </c>
      <c r="D14" s="339">
        <v>0</v>
      </c>
      <c r="E14" s="315">
        <f>(SUMIFS('Bilateral Assistance, MAIN DATA'!$P:$P,'Bilateral Assistance, MAIN DATA'!$B:$B,'Comm. per Month (Heavy Weapons)'!$B14,'Bilateral Assistance, MAIN DATA'!$AG:$AG,1,'Bilateral Assistance, MAIN DATA'!$AH:$AH,'Comm. per Month (Heavy Weapons)'!E$11, 'Bilateral Assistance, MAIN DATA'!$J:$J,"Heavy weapon")/VLOOKUP("USD",'Exchange Rates'!$B:$C,2,0))/1000000000</f>
        <v>0</v>
      </c>
      <c r="F14" s="315">
        <f>(SUMIFS('Bilateral Assistance, MAIN DATA'!$P:$P,'Bilateral Assistance, MAIN DATA'!$B:$B,'Comm. per Month (Heavy Weapons)'!$B14,'Bilateral Assistance, MAIN DATA'!$AG:$AG,1,'Bilateral Assistance, MAIN DATA'!$AH:$AH,'Comm. per Month (Heavy Weapons)'!F$11, 'Bilateral Assistance, MAIN DATA'!$J:$J,"Heavy weapon")/VLOOKUP("USD",'Exchange Rates'!$B:$C,2,0))/1000000000</f>
        <v>0</v>
      </c>
      <c r="G14" s="315">
        <f>(SUMIFS('Bilateral Assistance, MAIN DATA'!$P:$P,'Bilateral Assistance, MAIN DATA'!$B:$B,'Comm. per Month (Heavy Weapons)'!$B14,'Bilateral Assistance, MAIN DATA'!$AG:$AG,1,'Bilateral Assistance, MAIN DATA'!$AH:$AH,'Comm. per Month (Heavy Weapons)'!G$11, 'Bilateral Assistance, MAIN DATA'!$J:$J,"Heavy weapon")/VLOOKUP("USD",'Exchange Rates'!$B:$C,2,0))/1000000000</f>
        <v>0</v>
      </c>
      <c r="H14" s="315">
        <f>(SUMIFS('Bilateral Assistance, MAIN DATA'!$P:$P,'Bilateral Assistance, MAIN DATA'!$B:$B,'Comm. per Month (Heavy Weapons)'!$B14,'Bilateral Assistance, MAIN DATA'!$AG:$AG,1,'Bilateral Assistance, MAIN DATA'!$AH:$AH,'Comm. per Month (Heavy Weapons)'!H$11, 'Bilateral Assistance, MAIN DATA'!$J:$J,"Heavy weapon")/VLOOKUP("USD",'Exchange Rates'!$B:$C,2,0))/1000000000</f>
        <v>0</v>
      </c>
      <c r="I14" s="315">
        <f>(SUMIFS('Bilateral Assistance, MAIN DATA'!$P:$P,'Bilateral Assistance, MAIN DATA'!$B:$B,'Comm. per Month (Heavy Weapons)'!$B14,'Bilateral Assistance, MAIN DATA'!$AG:$AG,1,'Bilateral Assistance, MAIN DATA'!$AH:$AH,'Comm. per Month (Heavy Weapons)'!I$11, 'Bilateral Assistance, MAIN DATA'!$J:$J,"Heavy weapon")/VLOOKUP("USD",'Exchange Rates'!$B:$C,2,0))/1000000000</f>
        <v>0</v>
      </c>
      <c r="J14" s="315">
        <f>(SUMIFS('Bilateral Assistance, MAIN DATA'!$P:$P,'Bilateral Assistance, MAIN DATA'!$B:$B,'Comm. per Month (Heavy Weapons)'!$B14,'Bilateral Assistance, MAIN DATA'!$AG:$AG,1,'Bilateral Assistance, MAIN DATA'!$AH:$AH,'Comm. per Month (Heavy Weapons)'!J$11, 'Bilateral Assistance, MAIN DATA'!$J:$J,"Heavy weapon")/VLOOKUP("USD",'Exchange Rates'!$B:$C,2,0))/1000000000</f>
        <v>0</v>
      </c>
      <c r="K14" s="315">
        <f>(SUMIFS('Bilateral Assistance, MAIN DATA'!$P:$P,'Bilateral Assistance, MAIN DATA'!$B:$B,'Comm. per Month (Heavy Weapons)'!$B14,'Bilateral Assistance, MAIN DATA'!$AG:$AG,1,'Bilateral Assistance, MAIN DATA'!$AH:$AH,'Comm. per Month (Heavy Weapons)'!K$11, 'Bilateral Assistance, MAIN DATA'!$J:$J,"Heavy weapon")/VLOOKUP("USD",'Exchange Rates'!$B:$C,2,0))/1000000000</f>
        <v>0</v>
      </c>
      <c r="L14" s="315">
        <f>(SUMIFS('Bilateral Assistance, MAIN DATA'!$P:$P,'Bilateral Assistance, MAIN DATA'!$B:$B,'Comm. per Month (Heavy Weapons)'!$B14,'Bilateral Assistance, MAIN DATA'!$AG:$AG,1,'Bilateral Assistance, MAIN DATA'!$AH:$AH,'Comm. per Month (Heavy Weapons)'!L$11, 'Bilateral Assistance, MAIN DATA'!$J:$J,"Heavy weapon")/VLOOKUP("USD",'Exchange Rates'!$B:$C,2,0))/1000000000</f>
        <v>0</v>
      </c>
      <c r="M14" s="315">
        <f>(SUMIFS('Bilateral Assistance, MAIN DATA'!$P:$P,'Bilateral Assistance, MAIN DATA'!$B:$B,'Comm. per Month (Heavy Weapons)'!$B14,'Bilateral Assistance, MAIN DATA'!$AG:$AG,1,'Bilateral Assistance, MAIN DATA'!$AH:$AH,'Comm. per Month (Heavy Weapons)'!M$11, 'Bilateral Assistance, MAIN DATA'!$J:$J,"Heavy weapon")/VLOOKUP("USD",'Exchange Rates'!$B:$C,2,0))/1000000000</f>
        <v>0</v>
      </c>
      <c r="N14" s="315">
        <f>(SUMIFS('Bilateral Assistance, MAIN DATA'!$P:$P,'Bilateral Assistance, MAIN DATA'!$B:$B,'Comm. per Month (Heavy Weapons)'!$B14,'Bilateral Assistance, MAIN DATA'!$AG:$AG,1,'Bilateral Assistance, MAIN DATA'!$AH:$AH,'Comm. per Month (Heavy Weapons)'!N$11, 'Bilateral Assistance, MAIN DATA'!$J:$J,"Heavy weapon")/VLOOKUP("USD",'Exchange Rates'!$B:$C,2,0))/1000000000</f>
        <v>0</v>
      </c>
      <c r="O14" s="315">
        <f>(SUMIFS('Bilateral Assistance, MAIN DATA'!$P:$P,'Bilateral Assistance, MAIN DATA'!$B:$B,'Comm. per Month (Heavy Weapons)'!$B14,'Bilateral Assistance, MAIN DATA'!$AG:$AG,1,'Bilateral Assistance, MAIN DATA'!$AH:$AH,'Comm. per Month (Heavy Weapons)'!O$11, 'Bilateral Assistance, MAIN DATA'!$J:$J,"Heavy weapon")/VLOOKUP("USD",'Exchange Rates'!$B:$C,2,0))/1000000000</f>
        <v>0</v>
      </c>
      <c r="P14" s="315">
        <f>(SUMIFS('Bilateral Assistance, MAIN DATA'!$P:$P,'Bilateral Assistance, MAIN DATA'!$B:$B,'Comm. per Month (Heavy Weapons)'!$B14,'Bilateral Assistance, MAIN DATA'!$AG:$AG,1,'Bilateral Assistance, MAIN DATA'!$AH:$AH,'Comm. per Month (Heavy Weapons)'!P$11, 'Bilateral Assistance, MAIN DATA'!$J:$J,"Heavy weapon")/VLOOKUP("USD",'Exchange Rates'!$B:$C,2,0))/1000000000</f>
        <v>0</v>
      </c>
      <c r="Q14" s="315">
        <f>(SUMIFS('Bilateral Assistance, MAIN DATA'!$P:$P,'Bilateral Assistance, MAIN DATA'!$B:$B,'Comm. per Month (Heavy Weapons)'!$B14,'Bilateral Assistance, MAIN DATA'!$AG:$AG,1,'Bilateral Assistance, MAIN DATA'!$AH:$AH,'Comm. per Month (Heavy Weapons)'!Q$11, 'Bilateral Assistance, MAIN DATA'!$J:$J,"Heavy weapon")/VLOOKUP("USD",'Exchange Rates'!$B:$C,2,0))/1000000000</f>
        <v>0</v>
      </c>
      <c r="R14" s="140">
        <f t="shared" ref="R14:R54" si="0">SUM(E14:Q14)</f>
        <v>0</v>
      </c>
    </row>
    <row r="15" spans="1:18" ht="15.9" customHeight="1" x14ac:dyDescent="0.3">
      <c r="A15" s="5"/>
      <c r="B15" s="24" t="s">
        <v>413</v>
      </c>
      <c r="C15" s="339">
        <v>1</v>
      </c>
      <c r="D15" s="339">
        <v>0</v>
      </c>
      <c r="E15" s="315">
        <f>(SUMIFS('Bilateral Assistance, MAIN DATA'!$P:$P,'Bilateral Assistance, MAIN DATA'!$B:$B,'Comm. per Month (Heavy Weapons)'!$B15,'Bilateral Assistance, MAIN DATA'!$AG:$AG,1,'Bilateral Assistance, MAIN DATA'!$AH:$AH,'Comm. per Month (Heavy Weapons)'!E$11, 'Bilateral Assistance, MAIN DATA'!$J:$J,"Heavy weapon")/VLOOKUP("USD",'Exchange Rates'!$B:$C,2,0))/1000000000</f>
        <v>0</v>
      </c>
      <c r="F15" s="315">
        <f>(SUMIFS('Bilateral Assistance, MAIN DATA'!$P:$P,'Bilateral Assistance, MAIN DATA'!$B:$B,'Comm. per Month (Heavy Weapons)'!$B15,'Bilateral Assistance, MAIN DATA'!$AG:$AG,1,'Bilateral Assistance, MAIN DATA'!$AH:$AH,'Comm. per Month (Heavy Weapons)'!F$11, 'Bilateral Assistance, MAIN DATA'!$J:$J,"Heavy weapon")/VLOOKUP("USD",'Exchange Rates'!$B:$C,2,0))/1000000000</f>
        <v>0</v>
      </c>
      <c r="G15" s="315">
        <f>(SUMIFS('Bilateral Assistance, MAIN DATA'!$P:$P,'Bilateral Assistance, MAIN DATA'!$B:$B,'Comm. per Month (Heavy Weapons)'!$B15,'Bilateral Assistance, MAIN DATA'!$AG:$AG,1,'Bilateral Assistance, MAIN DATA'!$AH:$AH,'Comm. per Month (Heavy Weapons)'!G$11, 'Bilateral Assistance, MAIN DATA'!$J:$J,"Heavy weapon")/VLOOKUP("USD",'Exchange Rates'!$B:$C,2,0))/1000000000</f>
        <v>0</v>
      </c>
      <c r="H15" s="315">
        <f>(SUMIFS('Bilateral Assistance, MAIN DATA'!$P:$P,'Bilateral Assistance, MAIN DATA'!$B:$B,'Comm. per Month (Heavy Weapons)'!$B15,'Bilateral Assistance, MAIN DATA'!$AG:$AG,1,'Bilateral Assistance, MAIN DATA'!$AH:$AH,'Comm. per Month (Heavy Weapons)'!H$11, 'Bilateral Assistance, MAIN DATA'!$J:$J,"Heavy weapon")/VLOOKUP("USD",'Exchange Rates'!$B:$C,2,0))/1000000000</f>
        <v>0</v>
      </c>
      <c r="I15" s="315">
        <f>(SUMIFS('Bilateral Assistance, MAIN DATA'!$P:$P,'Bilateral Assistance, MAIN DATA'!$B:$B,'Comm. per Month (Heavy Weapons)'!$B15,'Bilateral Assistance, MAIN DATA'!$AG:$AG,1,'Bilateral Assistance, MAIN DATA'!$AH:$AH,'Comm. per Month (Heavy Weapons)'!I$11, 'Bilateral Assistance, MAIN DATA'!$J:$J,"Heavy weapon")/VLOOKUP("USD",'Exchange Rates'!$B:$C,2,0))/1000000000</f>
        <v>0</v>
      </c>
      <c r="J15" s="315">
        <f>(SUMIFS('Bilateral Assistance, MAIN DATA'!$P:$P,'Bilateral Assistance, MAIN DATA'!$B:$B,'Comm. per Month (Heavy Weapons)'!$B15,'Bilateral Assistance, MAIN DATA'!$AG:$AG,1,'Bilateral Assistance, MAIN DATA'!$AH:$AH,'Comm. per Month (Heavy Weapons)'!J$11, 'Bilateral Assistance, MAIN DATA'!$J:$J,"Heavy weapon")/VLOOKUP("USD",'Exchange Rates'!$B:$C,2,0))/1000000000</f>
        <v>0</v>
      </c>
      <c r="K15" s="315">
        <f>(SUMIFS('Bilateral Assistance, MAIN DATA'!$P:$P,'Bilateral Assistance, MAIN DATA'!$B:$B,'Comm. per Month (Heavy Weapons)'!$B15,'Bilateral Assistance, MAIN DATA'!$AG:$AG,1,'Bilateral Assistance, MAIN DATA'!$AH:$AH,'Comm. per Month (Heavy Weapons)'!K$11, 'Bilateral Assistance, MAIN DATA'!$J:$J,"Heavy weapon")/VLOOKUP("USD",'Exchange Rates'!$B:$C,2,0))/1000000000</f>
        <v>0</v>
      </c>
      <c r="L15" s="315">
        <f>(SUMIFS('Bilateral Assistance, MAIN DATA'!$P:$P,'Bilateral Assistance, MAIN DATA'!$B:$B,'Comm. per Month (Heavy Weapons)'!$B15,'Bilateral Assistance, MAIN DATA'!$AG:$AG,1,'Bilateral Assistance, MAIN DATA'!$AH:$AH,'Comm. per Month (Heavy Weapons)'!L$11, 'Bilateral Assistance, MAIN DATA'!$J:$J,"Heavy weapon")/VLOOKUP("USD",'Exchange Rates'!$B:$C,2,0))/1000000000</f>
        <v>0</v>
      </c>
      <c r="M15" s="315">
        <f>(SUMIFS('Bilateral Assistance, MAIN DATA'!$P:$P,'Bilateral Assistance, MAIN DATA'!$B:$B,'Comm. per Month (Heavy Weapons)'!$B15,'Bilateral Assistance, MAIN DATA'!$AG:$AG,1,'Bilateral Assistance, MAIN DATA'!$AH:$AH,'Comm. per Month (Heavy Weapons)'!M$11, 'Bilateral Assistance, MAIN DATA'!$J:$J,"Heavy weapon")/VLOOKUP("USD",'Exchange Rates'!$B:$C,2,0))/1000000000</f>
        <v>0</v>
      </c>
      <c r="N15" s="315">
        <f>(SUMIFS('Bilateral Assistance, MAIN DATA'!$P:$P,'Bilateral Assistance, MAIN DATA'!$B:$B,'Comm. per Month (Heavy Weapons)'!$B15,'Bilateral Assistance, MAIN DATA'!$AG:$AG,1,'Bilateral Assistance, MAIN DATA'!$AH:$AH,'Comm. per Month (Heavy Weapons)'!N$11, 'Bilateral Assistance, MAIN DATA'!$J:$J,"Heavy weapon")/VLOOKUP("USD",'Exchange Rates'!$B:$C,2,0))/1000000000</f>
        <v>0</v>
      </c>
      <c r="O15" s="315">
        <f>(SUMIFS('Bilateral Assistance, MAIN DATA'!$P:$P,'Bilateral Assistance, MAIN DATA'!$B:$B,'Comm. per Month (Heavy Weapons)'!$B15,'Bilateral Assistance, MAIN DATA'!$AG:$AG,1,'Bilateral Assistance, MAIN DATA'!$AH:$AH,'Comm. per Month (Heavy Weapons)'!O$11, 'Bilateral Assistance, MAIN DATA'!$J:$J,"Heavy weapon")/VLOOKUP("USD",'Exchange Rates'!$B:$C,2,0))/1000000000</f>
        <v>0</v>
      </c>
      <c r="P15" s="315">
        <f>(SUMIFS('Bilateral Assistance, MAIN DATA'!$P:$P,'Bilateral Assistance, MAIN DATA'!$B:$B,'Comm. per Month (Heavy Weapons)'!$B15,'Bilateral Assistance, MAIN DATA'!$AG:$AG,1,'Bilateral Assistance, MAIN DATA'!$AH:$AH,'Comm. per Month (Heavy Weapons)'!P$11, 'Bilateral Assistance, MAIN DATA'!$J:$J,"Heavy weapon")/VLOOKUP("USD",'Exchange Rates'!$B:$C,2,0))/1000000000</f>
        <v>0</v>
      </c>
      <c r="Q15" s="315">
        <f>(SUMIFS('Bilateral Assistance, MAIN DATA'!$P:$P,'Bilateral Assistance, MAIN DATA'!$B:$B,'Comm. per Month (Heavy Weapons)'!$B15,'Bilateral Assistance, MAIN DATA'!$AG:$AG,1,'Bilateral Assistance, MAIN DATA'!$AH:$AH,'Comm. per Month (Heavy Weapons)'!Q$11, 'Bilateral Assistance, MAIN DATA'!$J:$J,"Heavy weapon")/VLOOKUP("USD",'Exchange Rates'!$B:$C,2,0))/1000000000</f>
        <v>0</v>
      </c>
      <c r="R15" s="140">
        <f t="shared" si="0"/>
        <v>0</v>
      </c>
    </row>
    <row r="16" spans="1:18" ht="15.9" customHeight="1" x14ac:dyDescent="0.3">
      <c r="A16" s="5"/>
      <c r="B16" s="24" t="s">
        <v>480</v>
      </c>
      <c r="C16" s="339">
        <v>1</v>
      </c>
      <c r="D16" s="339">
        <v>0</v>
      </c>
      <c r="E16" s="315">
        <f>(SUMIFS('Bilateral Assistance, MAIN DATA'!$P:$P,'Bilateral Assistance, MAIN DATA'!$B:$B,'Comm. per Month (Heavy Weapons)'!$B16,'Bilateral Assistance, MAIN DATA'!$AG:$AG,1,'Bilateral Assistance, MAIN DATA'!$AH:$AH,'Comm. per Month (Heavy Weapons)'!E$11, 'Bilateral Assistance, MAIN DATA'!$J:$J,"Heavy weapon")/VLOOKUP("USD",'Exchange Rates'!$B:$C,2,0))/1000000000</f>
        <v>0</v>
      </c>
      <c r="F16" s="315">
        <f>(SUMIFS('Bilateral Assistance, MAIN DATA'!$P:$P,'Bilateral Assistance, MAIN DATA'!$B:$B,'Comm. per Month (Heavy Weapons)'!$B16,'Bilateral Assistance, MAIN DATA'!$AG:$AG,1,'Bilateral Assistance, MAIN DATA'!$AH:$AH,'Comm. per Month (Heavy Weapons)'!F$11, 'Bilateral Assistance, MAIN DATA'!$J:$J,"Heavy weapon")/VLOOKUP("USD",'Exchange Rates'!$B:$C,2,0))/1000000000</f>
        <v>0</v>
      </c>
      <c r="G16" s="315">
        <f>(SUMIFS('Bilateral Assistance, MAIN DATA'!$P:$P,'Bilateral Assistance, MAIN DATA'!$B:$B,'Comm. per Month (Heavy Weapons)'!$B16,'Bilateral Assistance, MAIN DATA'!$AG:$AG,1,'Bilateral Assistance, MAIN DATA'!$AH:$AH,'Comm. per Month (Heavy Weapons)'!G$11, 'Bilateral Assistance, MAIN DATA'!$J:$J,"Heavy weapon")/VLOOKUP("USD",'Exchange Rates'!$B:$C,2,0))/1000000000</f>
        <v>0</v>
      </c>
      <c r="H16" s="315">
        <f>(SUMIFS('Bilateral Assistance, MAIN DATA'!$P:$P,'Bilateral Assistance, MAIN DATA'!$B:$B,'Comm. per Month (Heavy Weapons)'!$B16,'Bilateral Assistance, MAIN DATA'!$AG:$AG,1,'Bilateral Assistance, MAIN DATA'!$AH:$AH,'Comm. per Month (Heavy Weapons)'!H$11, 'Bilateral Assistance, MAIN DATA'!$J:$J,"Heavy weapon")/VLOOKUP("USD",'Exchange Rates'!$B:$C,2,0))/1000000000</f>
        <v>0</v>
      </c>
      <c r="I16" s="315">
        <f>(SUMIFS('Bilateral Assistance, MAIN DATA'!$P:$P,'Bilateral Assistance, MAIN DATA'!$B:$B,'Comm. per Month (Heavy Weapons)'!$B16,'Bilateral Assistance, MAIN DATA'!$AG:$AG,1,'Bilateral Assistance, MAIN DATA'!$AH:$AH,'Comm. per Month (Heavy Weapons)'!I$11, 'Bilateral Assistance, MAIN DATA'!$J:$J,"Heavy weapon")/VLOOKUP("USD",'Exchange Rates'!$B:$C,2,0))/1000000000</f>
        <v>0</v>
      </c>
      <c r="J16" s="315">
        <f>(SUMIFS('Bilateral Assistance, MAIN DATA'!$P:$P,'Bilateral Assistance, MAIN DATA'!$B:$B,'Comm. per Month (Heavy Weapons)'!$B16,'Bilateral Assistance, MAIN DATA'!$AG:$AG,1,'Bilateral Assistance, MAIN DATA'!$AH:$AH,'Comm. per Month (Heavy Weapons)'!J$11, 'Bilateral Assistance, MAIN DATA'!$J:$J,"Heavy weapon")/VLOOKUP("USD",'Exchange Rates'!$B:$C,2,0))/1000000000</f>
        <v>0</v>
      </c>
      <c r="K16" s="315">
        <f>(SUMIFS('Bilateral Assistance, MAIN DATA'!$P:$P,'Bilateral Assistance, MAIN DATA'!$B:$B,'Comm. per Month (Heavy Weapons)'!$B16,'Bilateral Assistance, MAIN DATA'!$AG:$AG,1,'Bilateral Assistance, MAIN DATA'!$AH:$AH,'Comm. per Month (Heavy Weapons)'!K$11, 'Bilateral Assistance, MAIN DATA'!$J:$J,"Heavy weapon")/VLOOKUP("USD",'Exchange Rates'!$B:$C,2,0))/1000000000</f>
        <v>0</v>
      </c>
      <c r="L16" s="315">
        <f>(SUMIFS('Bilateral Assistance, MAIN DATA'!$P:$P,'Bilateral Assistance, MAIN DATA'!$B:$B,'Comm. per Month (Heavy Weapons)'!$B16,'Bilateral Assistance, MAIN DATA'!$AG:$AG,1,'Bilateral Assistance, MAIN DATA'!$AH:$AH,'Comm. per Month (Heavy Weapons)'!L$11, 'Bilateral Assistance, MAIN DATA'!$J:$J,"Heavy weapon")/VLOOKUP("USD",'Exchange Rates'!$B:$C,2,0))/1000000000</f>
        <v>0</v>
      </c>
      <c r="M16" s="315">
        <f>(SUMIFS('Bilateral Assistance, MAIN DATA'!$P:$P,'Bilateral Assistance, MAIN DATA'!$B:$B,'Comm. per Month (Heavy Weapons)'!$B16,'Bilateral Assistance, MAIN DATA'!$AG:$AG,1,'Bilateral Assistance, MAIN DATA'!$AH:$AH,'Comm. per Month (Heavy Weapons)'!M$11, 'Bilateral Assistance, MAIN DATA'!$J:$J,"Heavy weapon")/VLOOKUP("USD",'Exchange Rates'!$B:$C,2,0))/1000000000</f>
        <v>0</v>
      </c>
      <c r="N16" s="315">
        <f>(SUMIFS('Bilateral Assistance, MAIN DATA'!$P:$P,'Bilateral Assistance, MAIN DATA'!$B:$B,'Comm. per Month (Heavy Weapons)'!$B16,'Bilateral Assistance, MAIN DATA'!$AG:$AG,1,'Bilateral Assistance, MAIN DATA'!$AH:$AH,'Comm. per Month (Heavy Weapons)'!N$11, 'Bilateral Assistance, MAIN DATA'!$J:$J,"Heavy weapon")/VLOOKUP("USD",'Exchange Rates'!$B:$C,2,0))/1000000000</f>
        <v>0</v>
      </c>
      <c r="O16" s="315">
        <f>(SUMIFS('Bilateral Assistance, MAIN DATA'!$P:$P,'Bilateral Assistance, MAIN DATA'!$B:$B,'Comm. per Month (Heavy Weapons)'!$B16,'Bilateral Assistance, MAIN DATA'!$AG:$AG,1,'Bilateral Assistance, MAIN DATA'!$AH:$AH,'Comm. per Month (Heavy Weapons)'!O$11, 'Bilateral Assistance, MAIN DATA'!$J:$J,"Heavy weapon")/VLOOKUP("USD",'Exchange Rates'!$B:$C,2,0))/1000000000</f>
        <v>0</v>
      </c>
      <c r="P16" s="315">
        <f>(SUMIFS('Bilateral Assistance, MAIN DATA'!$P:$P,'Bilateral Assistance, MAIN DATA'!$B:$B,'Comm. per Month (Heavy Weapons)'!$B16,'Bilateral Assistance, MAIN DATA'!$AG:$AG,1,'Bilateral Assistance, MAIN DATA'!$AH:$AH,'Comm. per Month (Heavy Weapons)'!P$11, 'Bilateral Assistance, MAIN DATA'!$J:$J,"Heavy weapon")/VLOOKUP("USD",'Exchange Rates'!$B:$C,2,0))/1000000000</f>
        <v>0</v>
      </c>
      <c r="Q16" s="315">
        <f>(SUMIFS('Bilateral Assistance, MAIN DATA'!$P:$P,'Bilateral Assistance, MAIN DATA'!$B:$B,'Comm. per Month (Heavy Weapons)'!$B16,'Bilateral Assistance, MAIN DATA'!$AG:$AG,1,'Bilateral Assistance, MAIN DATA'!$AH:$AH,'Comm. per Month (Heavy Weapons)'!Q$11, 'Bilateral Assistance, MAIN DATA'!$J:$J,"Heavy weapon")/VLOOKUP("USD",'Exchange Rates'!$B:$C,2,0))/1000000000</f>
        <v>0</v>
      </c>
      <c r="R16" s="140">
        <f t="shared" si="0"/>
        <v>0</v>
      </c>
    </row>
    <row r="17" spans="1:18" ht="15.9" customHeight="1" x14ac:dyDescent="0.3">
      <c r="A17" s="5"/>
      <c r="B17" s="24" t="s">
        <v>517</v>
      </c>
      <c r="C17" s="339">
        <v>0</v>
      </c>
      <c r="D17" s="339">
        <v>1</v>
      </c>
      <c r="E17" s="315">
        <f>(SUMIFS('Bilateral Assistance, MAIN DATA'!$P:$P,'Bilateral Assistance, MAIN DATA'!$B:$B,'Comm. per Month (Heavy Weapons)'!$B17,'Bilateral Assistance, MAIN DATA'!$AG:$AG,1,'Bilateral Assistance, MAIN DATA'!$AH:$AH,'Comm. per Month (Heavy Weapons)'!E$11, 'Bilateral Assistance, MAIN DATA'!$J:$J,"Heavy weapon")/VLOOKUP("USD",'Exchange Rates'!$B:$C,2,0))/1000000000</f>
        <v>0</v>
      </c>
      <c r="F17" s="315">
        <f>(SUMIFS('Bilateral Assistance, MAIN DATA'!$P:$P,'Bilateral Assistance, MAIN DATA'!$B:$B,'Comm. per Month (Heavy Weapons)'!$B17,'Bilateral Assistance, MAIN DATA'!$AG:$AG,1,'Bilateral Assistance, MAIN DATA'!$AH:$AH,'Comm. per Month (Heavy Weapons)'!F$11, 'Bilateral Assistance, MAIN DATA'!$J:$J,"Heavy weapon")/VLOOKUP("USD",'Exchange Rates'!$B:$C,2,0))/1000000000</f>
        <v>0</v>
      </c>
      <c r="G17" s="315">
        <f>(SUMIFS('Bilateral Assistance, MAIN DATA'!$P:$P,'Bilateral Assistance, MAIN DATA'!$B:$B,'Comm. per Month (Heavy Weapons)'!$B17,'Bilateral Assistance, MAIN DATA'!$AG:$AG,1,'Bilateral Assistance, MAIN DATA'!$AH:$AH,'Comm. per Month (Heavy Weapons)'!G$11, 'Bilateral Assistance, MAIN DATA'!$J:$J,"Heavy weapon")/VLOOKUP("USD",'Exchange Rates'!$B:$C,2,0))/1000000000</f>
        <v>0</v>
      </c>
      <c r="H17" s="315">
        <f>(SUMIFS('Bilateral Assistance, MAIN DATA'!$P:$P,'Bilateral Assistance, MAIN DATA'!$B:$B,'Comm. per Month (Heavy Weapons)'!$B17,'Bilateral Assistance, MAIN DATA'!$AG:$AG,1,'Bilateral Assistance, MAIN DATA'!$AH:$AH,'Comm. per Month (Heavy Weapons)'!H$11, 'Bilateral Assistance, MAIN DATA'!$J:$J,"Heavy weapon")/VLOOKUP("USD",'Exchange Rates'!$B:$C,2,0))/1000000000</f>
        <v>1.9695238095238092E-2</v>
      </c>
      <c r="I17" s="315">
        <f>(SUMIFS('Bilateral Assistance, MAIN DATA'!$P:$P,'Bilateral Assistance, MAIN DATA'!$B:$B,'Comm. per Month (Heavy Weapons)'!$B17,'Bilateral Assistance, MAIN DATA'!$AG:$AG,1,'Bilateral Assistance, MAIN DATA'!$AH:$AH,'Comm. per Month (Heavy Weapons)'!I$11, 'Bilateral Assistance, MAIN DATA'!$J:$J,"Heavy weapon")/VLOOKUP("USD",'Exchange Rates'!$B:$C,2,0))/1000000000</f>
        <v>0</v>
      </c>
      <c r="J17" s="315">
        <f>(SUMIFS('Bilateral Assistance, MAIN DATA'!$P:$P,'Bilateral Assistance, MAIN DATA'!$B:$B,'Comm. per Month (Heavy Weapons)'!$B17,'Bilateral Assistance, MAIN DATA'!$AG:$AG,1,'Bilateral Assistance, MAIN DATA'!$AH:$AH,'Comm. per Month (Heavy Weapons)'!J$11, 'Bilateral Assistance, MAIN DATA'!$J:$J,"Heavy weapon")/VLOOKUP("USD",'Exchange Rates'!$B:$C,2,0))/1000000000</f>
        <v>0.16144463537428572</v>
      </c>
      <c r="K17" s="315">
        <f>(SUMIFS('Bilateral Assistance, MAIN DATA'!$P:$P,'Bilateral Assistance, MAIN DATA'!$B:$B,'Comm. per Month (Heavy Weapons)'!$B17,'Bilateral Assistance, MAIN DATA'!$AG:$AG,1,'Bilateral Assistance, MAIN DATA'!$AH:$AH,'Comm. per Month (Heavy Weapons)'!K$11, 'Bilateral Assistance, MAIN DATA'!$J:$J,"Heavy weapon")/VLOOKUP("USD",'Exchange Rates'!$B:$C,2,0))/1000000000</f>
        <v>0</v>
      </c>
      <c r="L17" s="315">
        <f>(SUMIFS('Bilateral Assistance, MAIN DATA'!$P:$P,'Bilateral Assistance, MAIN DATA'!$B:$B,'Comm. per Month (Heavy Weapons)'!$B17,'Bilateral Assistance, MAIN DATA'!$AG:$AG,1,'Bilateral Assistance, MAIN DATA'!$AH:$AH,'Comm. per Month (Heavy Weapons)'!L$11, 'Bilateral Assistance, MAIN DATA'!$J:$J,"Heavy weapon")/VLOOKUP("USD",'Exchange Rates'!$B:$C,2,0))/1000000000</f>
        <v>0</v>
      </c>
      <c r="M17" s="315">
        <f>(SUMIFS('Bilateral Assistance, MAIN DATA'!$P:$P,'Bilateral Assistance, MAIN DATA'!$B:$B,'Comm. per Month (Heavy Weapons)'!$B17,'Bilateral Assistance, MAIN DATA'!$AG:$AG,1,'Bilateral Assistance, MAIN DATA'!$AH:$AH,'Comm. per Month (Heavy Weapons)'!M$11, 'Bilateral Assistance, MAIN DATA'!$J:$J,"Heavy weapon")/VLOOKUP("USD",'Exchange Rates'!$B:$C,2,0))/1000000000</f>
        <v>0</v>
      </c>
      <c r="N17" s="315">
        <f>(SUMIFS('Bilateral Assistance, MAIN DATA'!$P:$P,'Bilateral Assistance, MAIN DATA'!$B:$B,'Comm. per Month (Heavy Weapons)'!$B17,'Bilateral Assistance, MAIN DATA'!$AG:$AG,1,'Bilateral Assistance, MAIN DATA'!$AH:$AH,'Comm. per Month (Heavy Weapons)'!N$11, 'Bilateral Assistance, MAIN DATA'!$J:$J,"Heavy weapon")/VLOOKUP("USD",'Exchange Rates'!$B:$C,2,0))/1000000000</f>
        <v>0</v>
      </c>
      <c r="O17" s="315">
        <f>(SUMIFS('Bilateral Assistance, MAIN DATA'!$P:$P,'Bilateral Assistance, MAIN DATA'!$B:$B,'Comm. per Month (Heavy Weapons)'!$B17,'Bilateral Assistance, MAIN DATA'!$AG:$AG,1,'Bilateral Assistance, MAIN DATA'!$AH:$AH,'Comm. per Month (Heavy Weapons)'!O$11, 'Bilateral Assistance, MAIN DATA'!$J:$J,"Heavy weapon")/VLOOKUP("USD",'Exchange Rates'!$B:$C,2,0))/1000000000</f>
        <v>4.7619047619047616E-2</v>
      </c>
      <c r="P17" s="315">
        <f>(SUMIFS('Bilateral Assistance, MAIN DATA'!$P:$P,'Bilateral Assistance, MAIN DATA'!$B:$B,'Comm. per Month (Heavy Weapons)'!$B17,'Bilateral Assistance, MAIN DATA'!$AG:$AG,1,'Bilateral Assistance, MAIN DATA'!$AH:$AH,'Comm. per Month (Heavy Weapons)'!P$11, 'Bilateral Assistance, MAIN DATA'!$J:$J,"Heavy weapon")/VLOOKUP("USD",'Exchange Rates'!$B:$C,2,0))/1000000000</f>
        <v>0</v>
      </c>
      <c r="Q17" s="315">
        <f>(SUMIFS('Bilateral Assistance, MAIN DATA'!$P:$P,'Bilateral Assistance, MAIN DATA'!$B:$B,'Comm. per Month (Heavy Weapons)'!$B17,'Bilateral Assistance, MAIN DATA'!$AG:$AG,1,'Bilateral Assistance, MAIN DATA'!$AH:$AH,'Comm. per Month (Heavy Weapons)'!Q$11, 'Bilateral Assistance, MAIN DATA'!$J:$J,"Heavy weapon")/VLOOKUP("USD",'Exchange Rates'!$B:$C,2,0))/1000000000</f>
        <v>0</v>
      </c>
      <c r="R17" s="140">
        <f t="shared" si="0"/>
        <v>0.22875892108857143</v>
      </c>
    </row>
    <row r="18" spans="1:18" ht="15.9" customHeight="1" x14ac:dyDescent="0.3">
      <c r="A18" s="5"/>
      <c r="B18" s="24" t="s">
        <v>664</v>
      </c>
      <c r="C18" s="339">
        <v>1</v>
      </c>
      <c r="D18" s="339">
        <v>0</v>
      </c>
      <c r="E18" s="315">
        <f>(SUMIFS('Bilateral Assistance, MAIN DATA'!$P:$P,'Bilateral Assistance, MAIN DATA'!$B:$B,'Comm. per Month (Heavy Weapons)'!$B18,'Bilateral Assistance, MAIN DATA'!$AG:$AG,1,'Bilateral Assistance, MAIN DATA'!$AH:$AH,'Comm. per Month (Heavy Weapons)'!E$11, 'Bilateral Assistance, MAIN DATA'!$J:$J,"Heavy weapon")/VLOOKUP("USD",'Exchange Rates'!$B:$C,2,0))/1000000000</f>
        <v>0</v>
      </c>
      <c r="F18" s="315">
        <f>(SUMIFS('Bilateral Assistance, MAIN DATA'!$P:$P,'Bilateral Assistance, MAIN DATA'!$B:$B,'Comm. per Month (Heavy Weapons)'!$B18,'Bilateral Assistance, MAIN DATA'!$AG:$AG,1,'Bilateral Assistance, MAIN DATA'!$AH:$AH,'Comm. per Month (Heavy Weapons)'!F$11, 'Bilateral Assistance, MAIN DATA'!$J:$J,"Heavy weapon")/VLOOKUP("USD",'Exchange Rates'!$B:$C,2,0))/1000000000</f>
        <v>0</v>
      </c>
      <c r="G18" s="315">
        <f>(SUMIFS('Bilateral Assistance, MAIN DATA'!$P:$P,'Bilateral Assistance, MAIN DATA'!$B:$B,'Comm. per Month (Heavy Weapons)'!$B18,'Bilateral Assistance, MAIN DATA'!$AG:$AG,1,'Bilateral Assistance, MAIN DATA'!$AH:$AH,'Comm. per Month (Heavy Weapons)'!G$11, 'Bilateral Assistance, MAIN DATA'!$J:$J,"Heavy weapon")/VLOOKUP("USD",'Exchange Rates'!$B:$C,2,0))/1000000000</f>
        <v>0</v>
      </c>
      <c r="H18" s="315">
        <f>(SUMIFS('Bilateral Assistance, MAIN DATA'!$P:$P,'Bilateral Assistance, MAIN DATA'!$B:$B,'Comm. per Month (Heavy Weapons)'!$B18,'Bilateral Assistance, MAIN DATA'!$AG:$AG,1,'Bilateral Assistance, MAIN DATA'!$AH:$AH,'Comm. per Month (Heavy Weapons)'!H$11, 'Bilateral Assistance, MAIN DATA'!$J:$J,"Heavy weapon")/VLOOKUP("USD",'Exchange Rates'!$B:$C,2,0))/1000000000</f>
        <v>0</v>
      </c>
      <c r="I18" s="315">
        <f>(SUMIFS('Bilateral Assistance, MAIN DATA'!$P:$P,'Bilateral Assistance, MAIN DATA'!$B:$B,'Comm. per Month (Heavy Weapons)'!$B18,'Bilateral Assistance, MAIN DATA'!$AG:$AG,1,'Bilateral Assistance, MAIN DATA'!$AH:$AH,'Comm. per Month (Heavy Weapons)'!I$11, 'Bilateral Assistance, MAIN DATA'!$J:$J,"Heavy weapon")/VLOOKUP("USD",'Exchange Rates'!$B:$C,2,0))/1000000000</f>
        <v>0</v>
      </c>
      <c r="J18" s="315">
        <f>(SUMIFS('Bilateral Assistance, MAIN DATA'!$P:$P,'Bilateral Assistance, MAIN DATA'!$B:$B,'Comm. per Month (Heavy Weapons)'!$B18,'Bilateral Assistance, MAIN DATA'!$AG:$AG,1,'Bilateral Assistance, MAIN DATA'!$AH:$AH,'Comm. per Month (Heavy Weapons)'!J$11, 'Bilateral Assistance, MAIN DATA'!$J:$J,"Heavy weapon")/VLOOKUP("USD",'Exchange Rates'!$B:$C,2,0))/1000000000</f>
        <v>0</v>
      </c>
      <c r="K18" s="315">
        <f>(SUMIFS('Bilateral Assistance, MAIN DATA'!$P:$P,'Bilateral Assistance, MAIN DATA'!$B:$B,'Comm. per Month (Heavy Weapons)'!$B18,'Bilateral Assistance, MAIN DATA'!$AG:$AG,1,'Bilateral Assistance, MAIN DATA'!$AH:$AH,'Comm. per Month (Heavy Weapons)'!K$11, 'Bilateral Assistance, MAIN DATA'!$J:$J,"Heavy weapon")/VLOOKUP("USD",'Exchange Rates'!$B:$C,2,0))/1000000000</f>
        <v>0</v>
      </c>
      <c r="L18" s="315">
        <f>(SUMIFS('Bilateral Assistance, MAIN DATA'!$P:$P,'Bilateral Assistance, MAIN DATA'!$B:$B,'Comm. per Month (Heavy Weapons)'!$B18,'Bilateral Assistance, MAIN DATA'!$AG:$AG,1,'Bilateral Assistance, MAIN DATA'!$AH:$AH,'Comm. per Month (Heavy Weapons)'!L$11, 'Bilateral Assistance, MAIN DATA'!$J:$J,"Heavy weapon")/VLOOKUP("USD",'Exchange Rates'!$B:$C,2,0))/1000000000</f>
        <v>0</v>
      </c>
      <c r="M18" s="315">
        <f>(SUMIFS('Bilateral Assistance, MAIN DATA'!$P:$P,'Bilateral Assistance, MAIN DATA'!$B:$B,'Comm. per Month (Heavy Weapons)'!$B18,'Bilateral Assistance, MAIN DATA'!$AG:$AG,1,'Bilateral Assistance, MAIN DATA'!$AH:$AH,'Comm. per Month (Heavy Weapons)'!M$11, 'Bilateral Assistance, MAIN DATA'!$J:$J,"Heavy weapon")/VLOOKUP("USD",'Exchange Rates'!$B:$C,2,0))/1000000000</f>
        <v>0</v>
      </c>
      <c r="N18" s="315">
        <f>(SUMIFS('Bilateral Assistance, MAIN DATA'!$P:$P,'Bilateral Assistance, MAIN DATA'!$B:$B,'Comm. per Month (Heavy Weapons)'!$B18,'Bilateral Assistance, MAIN DATA'!$AG:$AG,1,'Bilateral Assistance, MAIN DATA'!$AH:$AH,'Comm. per Month (Heavy Weapons)'!N$11, 'Bilateral Assistance, MAIN DATA'!$J:$J,"Heavy weapon")/VLOOKUP("USD",'Exchange Rates'!$B:$C,2,0))/1000000000</f>
        <v>0</v>
      </c>
      <c r="O18" s="315">
        <f>(SUMIFS('Bilateral Assistance, MAIN DATA'!$P:$P,'Bilateral Assistance, MAIN DATA'!$B:$B,'Comm. per Month (Heavy Weapons)'!$B18,'Bilateral Assistance, MAIN DATA'!$AG:$AG,1,'Bilateral Assistance, MAIN DATA'!$AH:$AH,'Comm. per Month (Heavy Weapons)'!O$11, 'Bilateral Assistance, MAIN DATA'!$J:$J,"Heavy weapon")/VLOOKUP("USD",'Exchange Rates'!$B:$C,2,0))/1000000000</f>
        <v>0</v>
      </c>
      <c r="P18" s="315">
        <f>(SUMIFS('Bilateral Assistance, MAIN DATA'!$P:$P,'Bilateral Assistance, MAIN DATA'!$B:$B,'Comm. per Month (Heavy Weapons)'!$B18,'Bilateral Assistance, MAIN DATA'!$AG:$AG,1,'Bilateral Assistance, MAIN DATA'!$AH:$AH,'Comm. per Month (Heavy Weapons)'!P$11, 'Bilateral Assistance, MAIN DATA'!$J:$J,"Heavy weapon")/VLOOKUP("USD",'Exchange Rates'!$B:$C,2,0))/1000000000</f>
        <v>0</v>
      </c>
      <c r="Q18" s="315">
        <f>(SUMIFS('Bilateral Assistance, MAIN DATA'!$P:$P,'Bilateral Assistance, MAIN DATA'!$B:$B,'Comm. per Month (Heavy Weapons)'!$B18,'Bilateral Assistance, MAIN DATA'!$AG:$AG,1,'Bilateral Assistance, MAIN DATA'!$AH:$AH,'Comm. per Month (Heavy Weapons)'!Q$11, 'Bilateral Assistance, MAIN DATA'!$J:$J,"Heavy weapon")/VLOOKUP("USD",'Exchange Rates'!$B:$C,2,0))/1000000000</f>
        <v>0</v>
      </c>
      <c r="R18" s="140">
        <f t="shared" si="0"/>
        <v>0</v>
      </c>
    </row>
    <row r="19" spans="1:18" ht="15.9" customHeight="1" x14ac:dyDescent="0.3">
      <c r="A19" s="5"/>
      <c r="B19" s="24" t="s">
        <v>696</v>
      </c>
      <c r="C19" s="339">
        <v>1</v>
      </c>
      <c r="D19" s="339">
        <v>0</v>
      </c>
      <c r="E19" s="315">
        <f>(SUMIFS('Bilateral Assistance, MAIN DATA'!$P:$P,'Bilateral Assistance, MAIN DATA'!$B:$B,'Comm. per Month (Heavy Weapons)'!$B19,'Bilateral Assistance, MAIN DATA'!$AG:$AG,1,'Bilateral Assistance, MAIN DATA'!$AH:$AH,'Comm. per Month (Heavy Weapons)'!E$11, 'Bilateral Assistance, MAIN DATA'!$J:$J,"Heavy weapon")/VLOOKUP("USD",'Exchange Rates'!$B:$C,2,0))/1000000000</f>
        <v>0</v>
      </c>
      <c r="F19" s="315">
        <f>(SUMIFS('Bilateral Assistance, MAIN DATA'!$P:$P,'Bilateral Assistance, MAIN DATA'!$B:$B,'Comm. per Month (Heavy Weapons)'!$B19,'Bilateral Assistance, MAIN DATA'!$AG:$AG,1,'Bilateral Assistance, MAIN DATA'!$AH:$AH,'Comm. per Month (Heavy Weapons)'!F$11, 'Bilateral Assistance, MAIN DATA'!$J:$J,"Heavy weapon")/VLOOKUP("USD",'Exchange Rates'!$B:$C,2,0))/1000000000</f>
        <v>0</v>
      </c>
      <c r="G19" s="315">
        <f>(SUMIFS('Bilateral Assistance, MAIN DATA'!$P:$P,'Bilateral Assistance, MAIN DATA'!$B:$B,'Comm. per Month (Heavy Weapons)'!$B19,'Bilateral Assistance, MAIN DATA'!$AG:$AG,1,'Bilateral Assistance, MAIN DATA'!$AH:$AH,'Comm. per Month (Heavy Weapons)'!G$11, 'Bilateral Assistance, MAIN DATA'!$J:$J,"Heavy weapon")/VLOOKUP("USD",'Exchange Rates'!$B:$C,2,0))/1000000000</f>
        <v>0</v>
      </c>
      <c r="H19" s="315">
        <f>(SUMIFS('Bilateral Assistance, MAIN DATA'!$P:$P,'Bilateral Assistance, MAIN DATA'!$B:$B,'Comm. per Month (Heavy Weapons)'!$B19,'Bilateral Assistance, MAIN DATA'!$AG:$AG,1,'Bilateral Assistance, MAIN DATA'!$AH:$AH,'Comm. per Month (Heavy Weapons)'!H$11, 'Bilateral Assistance, MAIN DATA'!$J:$J,"Heavy weapon")/VLOOKUP("USD",'Exchange Rates'!$B:$C,2,0))/1000000000</f>
        <v>0</v>
      </c>
      <c r="I19" s="315">
        <f>(SUMIFS('Bilateral Assistance, MAIN DATA'!$P:$P,'Bilateral Assistance, MAIN DATA'!$B:$B,'Comm. per Month (Heavy Weapons)'!$B19,'Bilateral Assistance, MAIN DATA'!$AG:$AG,1,'Bilateral Assistance, MAIN DATA'!$AH:$AH,'Comm. per Month (Heavy Weapons)'!I$11, 'Bilateral Assistance, MAIN DATA'!$J:$J,"Heavy weapon")/VLOOKUP("USD",'Exchange Rates'!$B:$C,2,0))/1000000000</f>
        <v>0</v>
      </c>
      <c r="J19" s="315">
        <f>(SUMIFS('Bilateral Assistance, MAIN DATA'!$P:$P,'Bilateral Assistance, MAIN DATA'!$B:$B,'Comm. per Month (Heavy Weapons)'!$B19,'Bilateral Assistance, MAIN DATA'!$AG:$AG,1,'Bilateral Assistance, MAIN DATA'!$AH:$AH,'Comm. per Month (Heavy Weapons)'!J$11, 'Bilateral Assistance, MAIN DATA'!$J:$J,"Heavy weapon")/VLOOKUP("USD",'Exchange Rates'!$B:$C,2,0))/1000000000</f>
        <v>0</v>
      </c>
      <c r="K19" s="315">
        <f>(SUMIFS('Bilateral Assistance, MAIN DATA'!$P:$P,'Bilateral Assistance, MAIN DATA'!$B:$B,'Comm. per Month (Heavy Weapons)'!$B19,'Bilateral Assistance, MAIN DATA'!$AG:$AG,1,'Bilateral Assistance, MAIN DATA'!$AH:$AH,'Comm. per Month (Heavy Weapons)'!K$11, 'Bilateral Assistance, MAIN DATA'!$J:$J,"Heavy weapon")/VLOOKUP("USD",'Exchange Rates'!$B:$C,2,0))/1000000000</f>
        <v>0</v>
      </c>
      <c r="L19" s="315">
        <f>(SUMIFS('Bilateral Assistance, MAIN DATA'!$P:$P,'Bilateral Assistance, MAIN DATA'!$B:$B,'Comm. per Month (Heavy Weapons)'!$B19,'Bilateral Assistance, MAIN DATA'!$AG:$AG,1,'Bilateral Assistance, MAIN DATA'!$AH:$AH,'Comm. per Month (Heavy Weapons)'!L$11, 'Bilateral Assistance, MAIN DATA'!$J:$J,"Heavy weapon")/VLOOKUP("USD",'Exchange Rates'!$B:$C,2,0))/1000000000</f>
        <v>0</v>
      </c>
      <c r="M19" s="315">
        <f>(SUMIFS('Bilateral Assistance, MAIN DATA'!$P:$P,'Bilateral Assistance, MAIN DATA'!$B:$B,'Comm. per Month (Heavy Weapons)'!$B19,'Bilateral Assistance, MAIN DATA'!$AG:$AG,1,'Bilateral Assistance, MAIN DATA'!$AH:$AH,'Comm. per Month (Heavy Weapons)'!M$11, 'Bilateral Assistance, MAIN DATA'!$J:$J,"Heavy weapon")/VLOOKUP("USD",'Exchange Rates'!$B:$C,2,0))/1000000000</f>
        <v>0</v>
      </c>
      <c r="N19" s="315">
        <f>(SUMIFS('Bilateral Assistance, MAIN DATA'!$P:$P,'Bilateral Assistance, MAIN DATA'!$B:$B,'Comm. per Month (Heavy Weapons)'!$B19,'Bilateral Assistance, MAIN DATA'!$AG:$AG,1,'Bilateral Assistance, MAIN DATA'!$AH:$AH,'Comm. per Month (Heavy Weapons)'!N$11, 'Bilateral Assistance, MAIN DATA'!$J:$J,"Heavy weapon")/VLOOKUP("USD",'Exchange Rates'!$B:$C,2,0))/1000000000</f>
        <v>0</v>
      </c>
      <c r="O19" s="315">
        <f>(SUMIFS('Bilateral Assistance, MAIN DATA'!$P:$P,'Bilateral Assistance, MAIN DATA'!$B:$B,'Comm. per Month (Heavy Weapons)'!$B19,'Bilateral Assistance, MAIN DATA'!$AG:$AG,1,'Bilateral Assistance, MAIN DATA'!$AH:$AH,'Comm. per Month (Heavy Weapons)'!O$11, 'Bilateral Assistance, MAIN DATA'!$J:$J,"Heavy weapon")/VLOOKUP("USD",'Exchange Rates'!$B:$C,2,0))/1000000000</f>
        <v>0</v>
      </c>
      <c r="P19" s="315">
        <f>(SUMIFS('Bilateral Assistance, MAIN DATA'!$P:$P,'Bilateral Assistance, MAIN DATA'!$B:$B,'Comm. per Month (Heavy Weapons)'!$B19,'Bilateral Assistance, MAIN DATA'!$AG:$AG,1,'Bilateral Assistance, MAIN DATA'!$AH:$AH,'Comm. per Month (Heavy Weapons)'!P$11, 'Bilateral Assistance, MAIN DATA'!$J:$J,"Heavy weapon")/VLOOKUP("USD",'Exchange Rates'!$B:$C,2,0))/1000000000</f>
        <v>0</v>
      </c>
      <c r="Q19" s="315">
        <f>(SUMIFS('Bilateral Assistance, MAIN DATA'!$P:$P,'Bilateral Assistance, MAIN DATA'!$B:$B,'Comm. per Month (Heavy Weapons)'!$B19,'Bilateral Assistance, MAIN DATA'!$AG:$AG,1,'Bilateral Assistance, MAIN DATA'!$AH:$AH,'Comm. per Month (Heavy Weapons)'!Q$11, 'Bilateral Assistance, MAIN DATA'!$J:$J,"Heavy weapon")/VLOOKUP("USD",'Exchange Rates'!$B:$C,2,0))/1000000000</f>
        <v>0</v>
      </c>
      <c r="R19" s="140">
        <f t="shared" si="0"/>
        <v>0</v>
      </c>
    </row>
    <row r="20" spans="1:18" ht="15.9" customHeight="1" x14ac:dyDescent="0.3">
      <c r="A20" s="5"/>
      <c r="B20" s="24" t="s">
        <v>716</v>
      </c>
      <c r="C20" s="339">
        <v>1</v>
      </c>
      <c r="D20" s="339">
        <v>0</v>
      </c>
      <c r="E20" s="315">
        <f>(SUMIFS('Bilateral Assistance, MAIN DATA'!$P:$P,'Bilateral Assistance, MAIN DATA'!$B:$B,'Comm. per Month (Heavy Weapons)'!$B20,'Bilateral Assistance, MAIN DATA'!$AG:$AG,1,'Bilateral Assistance, MAIN DATA'!$AH:$AH,'Comm. per Month (Heavy Weapons)'!E$11, 'Bilateral Assistance, MAIN DATA'!$J:$J,"Heavy weapon")/VLOOKUP("USD",'Exchange Rates'!$B:$C,2,0))/1000000000</f>
        <v>0</v>
      </c>
      <c r="F20" s="315">
        <f>(SUMIFS('Bilateral Assistance, MAIN DATA'!$P:$P,'Bilateral Assistance, MAIN DATA'!$B:$B,'Comm. per Month (Heavy Weapons)'!$B20,'Bilateral Assistance, MAIN DATA'!$AG:$AG,1,'Bilateral Assistance, MAIN DATA'!$AH:$AH,'Comm. per Month (Heavy Weapons)'!F$11, 'Bilateral Assistance, MAIN DATA'!$J:$J,"Heavy weapon")/VLOOKUP("USD",'Exchange Rates'!$B:$C,2,0))/1000000000</f>
        <v>0</v>
      </c>
      <c r="G20" s="315">
        <f>(SUMIFS('Bilateral Assistance, MAIN DATA'!$P:$P,'Bilateral Assistance, MAIN DATA'!$B:$B,'Comm. per Month (Heavy Weapons)'!$B20,'Bilateral Assistance, MAIN DATA'!$AG:$AG,1,'Bilateral Assistance, MAIN DATA'!$AH:$AH,'Comm. per Month (Heavy Weapons)'!G$11, 'Bilateral Assistance, MAIN DATA'!$J:$J,"Heavy weapon")/VLOOKUP("USD",'Exchange Rates'!$B:$C,2,0))/1000000000</f>
        <v>0</v>
      </c>
      <c r="H20" s="315">
        <f>(SUMIFS('Bilateral Assistance, MAIN DATA'!$P:$P,'Bilateral Assistance, MAIN DATA'!$B:$B,'Comm. per Month (Heavy Weapons)'!$B20,'Bilateral Assistance, MAIN DATA'!$AG:$AG,1,'Bilateral Assistance, MAIN DATA'!$AH:$AH,'Comm. per Month (Heavy Weapons)'!H$11, 'Bilateral Assistance, MAIN DATA'!$J:$J,"Heavy weapon")/VLOOKUP("USD",'Exchange Rates'!$B:$C,2,0))/1000000000</f>
        <v>0.1234774435079478</v>
      </c>
      <c r="I20" s="315">
        <f>(SUMIFS('Bilateral Assistance, MAIN DATA'!$P:$P,'Bilateral Assistance, MAIN DATA'!$B:$B,'Comm. per Month (Heavy Weapons)'!$B20,'Bilateral Assistance, MAIN DATA'!$AG:$AG,1,'Bilateral Assistance, MAIN DATA'!$AH:$AH,'Comm. per Month (Heavy Weapons)'!I$11, 'Bilateral Assistance, MAIN DATA'!$J:$J,"Heavy weapon")/VLOOKUP("USD",'Exchange Rates'!$B:$C,2,0))/1000000000</f>
        <v>0</v>
      </c>
      <c r="J20" s="315">
        <f>(SUMIFS('Bilateral Assistance, MAIN DATA'!$P:$P,'Bilateral Assistance, MAIN DATA'!$B:$B,'Comm. per Month (Heavy Weapons)'!$B20,'Bilateral Assistance, MAIN DATA'!$AG:$AG,1,'Bilateral Assistance, MAIN DATA'!$AH:$AH,'Comm. per Month (Heavy Weapons)'!J$11, 'Bilateral Assistance, MAIN DATA'!$J:$J,"Heavy weapon")/VLOOKUP("USD",'Exchange Rates'!$B:$C,2,0))/1000000000</f>
        <v>0</v>
      </c>
      <c r="K20" s="315">
        <f>(SUMIFS('Bilateral Assistance, MAIN DATA'!$P:$P,'Bilateral Assistance, MAIN DATA'!$B:$B,'Comm. per Month (Heavy Weapons)'!$B20,'Bilateral Assistance, MAIN DATA'!$AG:$AG,1,'Bilateral Assistance, MAIN DATA'!$AH:$AH,'Comm. per Month (Heavy Weapons)'!K$11, 'Bilateral Assistance, MAIN DATA'!$J:$J,"Heavy weapon")/VLOOKUP("USD",'Exchange Rates'!$B:$C,2,0))/1000000000</f>
        <v>0</v>
      </c>
      <c r="L20" s="315">
        <f>(SUMIFS('Bilateral Assistance, MAIN DATA'!$P:$P,'Bilateral Assistance, MAIN DATA'!$B:$B,'Comm. per Month (Heavy Weapons)'!$B20,'Bilateral Assistance, MAIN DATA'!$AG:$AG,1,'Bilateral Assistance, MAIN DATA'!$AH:$AH,'Comm. per Month (Heavy Weapons)'!L$11, 'Bilateral Assistance, MAIN DATA'!$J:$J,"Heavy weapon")/VLOOKUP("USD",'Exchange Rates'!$B:$C,2,0))/1000000000</f>
        <v>0</v>
      </c>
      <c r="M20" s="315">
        <f>(SUMIFS('Bilateral Assistance, MAIN DATA'!$P:$P,'Bilateral Assistance, MAIN DATA'!$B:$B,'Comm. per Month (Heavy Weapons)'!$B20,'Bilateral Assistance, MAIN DATA'!$AG:$AG,1,'Bilateral Assistance, MAIN DATA'!$AH:$AH,'Comm. per Month (Heavy Weapons)'!M$11, 'Bilateral Assistance, MAIN DATA'!$J:$J,"Heavy weapon")/VLOOKUP("USD",'Exchange Rates'!$B:$C,2,0))/1000000000</f>
        <v>0</v>
      </c>
      <c r="N20" s="315">
        <f>(SUMIFS('Bilateral Assistance, MAIN DATA'!$P:$P,'Bilateral Assistance, MAIN DATA'!$B:$B,'Comm. per Month (Heavy Weapons)'!$B20,'Bilateral Assistance, MAIN DATA'!$AG:$AG,1,'Bilateral Assistance, MAIN DATA'!$AH:$AH,'Comm. per Month (Heavy Weapons)'!N$11, 'Bilateral Assistance, MAIN DATA'!$J:$J,"Heavy weapon")/VLOOKUP("USD",'Exchange Rates'!$B:$C,2,0))/1000000000</f>
        <v>0</v>
      </c>
      <c r="O20" s="315">
        <f>(SUMIFS('Bilateral Assistance, MAIN DATA'!$P:$P,'Bilateral Assistance, MAIN DATA'!$B:$B,'Comm. per Month (Heavy Weapons)'!$B20,'Bilateral Assistance, MAIN DATA'!$AG:$AG,1,'Bilateral Assistance, MAIN DATA'!$AH:$AH,'Comm. per Month (Heavy Weapons)'!O$11, 'Bilateral Assistance, MAIN DATA'!$J:$J,"Heavy weapon")/VLOOKUP("USD",'Exchange Rates'!$B:$C,2,0))/1000000000</f>
        <v>4.2857142857142858E-2</v>
      </c>
      <c r="P20" s="315">
        <f>(SUMIFS('Bilateral Assistance, MAIN DATA'!$P:$P,'Bilateral Assistance, MAIN DATA'!$B:$B,'Comm. per Month (Heavy Weapons)'!$B20,'Bilateral Assistance, MAIN DATA'!$AG:$AG,1,'Bilateral Assistance, MAIN DATA'!$AH:$AH,'Comm. per Month (Heavy Weapons)'!P$11, 'Bilateral Assistance, MAIN DATA'!$J:$J,"Heavy weapon")/VLOOKUP("USD",'Exchange Rates'!$B:$C,2,0))/1000000000</f>
        <v>0</v>
      </c>
      <c r="Q20" s="315">
        <f>(SUMIFS('Bilateral Assistance, MAIN DATA'!$P:$P,'Bilateral Assistance, MAIN DATA'!$B:$B,'Comm. per Month (Heavy Weapons)'!$B20,'Bilateral Assistance, MAIN DATA'!$AG:$AG,1,'Bilateral Assistance, MAIN DATA'!$AH:$AH,'Comm. per Month (Heavy Weapons)'!Q$11, 'Bilateral Assistance, MAIN DATA'!$J:$J,"Heavy weapon")/VLOOKUP("USD",'Exchange Rates'!$B:$C,2,0))/1000000000</f>
        <v>0</v>
      </c>
      <c r="R20" s="140">
        <f t="shared" si="0"/>
        <v>0.16633458636509066</v>
      </c>
    </row>
    <row r="21" spans="1:18" ht="15.9" customHeight="1" x14ac:dyDescent="0.3">
      <c r="A21" s="5"/>
      <c r="B21" s="24" t="s">
        <v>856</v>
      </c>
      <c r="C21" s="339">
        <v>1</v>
      </c>
      <c r="D21" s="339">
        <v>0</v>
      </c>
      <c r="E21" s="315">
        <f>(SUMIFS('Bilateral Assistance, MAIN DATA'!$P:$P,'Bilateral Assistance, MAIN DATA'!$B:$B,'Comm. per Month (Heavy Weapons)'!$B21,'Bilateral Assistance, MAIN DATA'!$AG:$AG,1,'Bilateral Assistance, MAIN DATA'!$AH:$AH,'Comm. per Month (Heavy Weapons)'!E$11, 'Bilateral Assistance, MAIN DATA'!$J:$J,"Heavy weapon")/VLOOKUP("USD",'Exchange Rates'!$B:$C,2,0))/1000000000</f>
        <v>0</v>
      </c>
      <c r="F21" s="315">
        <f>(SUMIFS('Bilateral Assistance, MAIN DATA'!$P:$P,'Bilateral Assistance, MAIN DATA'!$B:$B,'Comm. per Month (Heavy Weapons)'!$B21,'Bilateral Assistance, MAIN DATA'!$AG:$AG,1,'Bilateral Assistance, MAIN DATA'!$AH:$AH,'Comm. per Month (Heavy Weapons)'!F$11, 'Bilateral Assistance, MAIN DATA'!$J:$J,"Heavy weapon")/VLOOKUP("USD",'Exchange Rates'!$B:$C,2,0))/1000000000</f>
        <v>0</v>
      </c>
      <c r="G21" s="315">
        <f>(SUMIFS('Bilateral Assistance, MAIN DATA'!$P:$P,'Bilateral Assistance, MAIN DATA'!$B:$B,'Comm. per Month (Heavy Weapons)'!$B21,'Bilateral Assistance, MAIN DATA'!$AG:$AG,1,'Bilateral Assistance, MAIN DATA'!$AH:$AH,'Comm. per Month (Heavy Weapons)'!G$11, 'Bilateral Assistance, MAIN DATA'!$J:$J,"Heavy weapon")/VLOOKUP("USD",'Exchange Rates'!$B:$C,2,0))/1000000000</f>
        <v>0</v>
      </c>
      <c r="H21" s="315">
        <f>(SUMIFS('Bilateral Assistance, MAIN DATA'!$P:$P,'Bilateral Assistance, MAIN DATA'!$B:$B,'Comm. per Month (Heavy Weapons)'!$B21,'Bilateral Assistance, MAIN DATA'!$AG:$AG,1,'Bilateral Assistance, MAIN DATA'!$AH:$AH,'Comm. per Month (Heavy Weapons)'!H$11, 'Bilateral Assistance, MAIN DATA'!$J:$J,"Heavy weapon")/VLOOKUP("USD",'Exchange Rates'!$B:$C,2,0))/1000000000</f>
        <v>1.4285714285714285E-2</v>
      </c>
      <c r="I21" s="315">
        <f>(SUMIFS('Bilateral Assistance, MAIN DATA'!$P:$P,'Bilateral Assistance, MAIN DATA'!$B:$B,'Comm. per Month (Heavy Weapons)'!$B21,'Bilateral Assistance, MAIN DATA'!$AG:$AG,1,'Bilateral Assistance, MAIN DATA'!$AH:$AH,'Comm. per Month (Heavy Weapons)'!I$11, 'Bilateral Assistance, MAIN DATA'!$J:$J,"Heavy weapon")/VLOOKUP("USD",'Exchange Rates'!$B:$C,2,0))/1000000000</f>
        <v>3.3725105361904761E-2</v>
      </c>
      <c r="J21" s="315">
        <f>(SUMIFS('Bilateral Assistance, MAIN DATA'!$P:$P,'Bilateral Assistance, MAIN DATA'!$B:$B,'Comm. per Month (Heavy Weapons)'!$B21,'Bilateral Assistance, MAIN DATA'!$AG:$AG,1,'Bilateral Assistance, MAIN DATA'!$AH:$AH,'Comm. per Month (Heavy Weapons)'!J$11, 'Bilateral Assistance, MAIN DATA'!$J:$J,"Heavy weapon")/VLOOKUP("USD",'Exchange Rates'!$B:$C,2,0))/1000000000</f>
        <v>0</v>
      </c>
      <c r="K21" s="315">
        <f>(SUMIFS('Bilateral Assistance, MAIN DATA'!$P:$P,'Bilateral Assistance, MAIN DATA'!$B:$B,'Comm. per Month (Heavy Weapons)'!$B21,'Bilateral Assistance, MAIN DATA'!$AG:$AG,1,'Bilateral Assistance, MAIN DATA'!$AH:$AH,'Comm. per Month (Heavy Weapons)'!K$11, 'Bilateral Assistance, MAIN DATA'!$J:$J,"Heavy weapon")/VLOOKUP("USD",'Exchange Rates'!$B:$C,2,0))/1000000000</f>
        <v>0</v>
      </c>
      <c r="L21" s="315">
        <f>(SUMIFS('Bilateral Assistance, MAIN DATA'!$P:$P,'Bilateral Assistance, MAIN DATA'!$B:$B,'Comm. per Month (Heavy Weapons)'!$B21,'Bilateral Assistance, MAIN DATA'!$AG:$AG,1,'Bilateral Assistance, MAIN DATA'!$AH:$AH,'Comm. per Month (Heavy Weapons)'!L$11, 'Bilateral Assistance, MAIN DATA'!$J:$J,"Heavy weapon")/VLOOKUP("USD",'Exchange Rates'!$B:$C,2,0))/1000000000</f>
        <v>4.1244659291344452E-2</v>
      </c>
      <c r="M21" s="315">
        <f>(SUMIFS('Bilateral Assistance, MAIN DATA'!$P:$P,'Bilateral Assistance, MAIN DATA'!$B:$B,'Comm. per Month (Heavy Weapons)'!$B21,'Bilateral Assistance, MAIN DATA'!$AG:$AG,1,'Bilateral Assistance, MAIN DATA'!$AH:$AH,'Comm. per Month (Heavy Weapons)'!M$11, 'Bilateral Assistance, MAIN DATA'!$J:$J,"Heavy weapon")/VLOOKUP("USD",'Exchange Rates'!$B:$C,2,0))/1000000000</f>
        <v>0</v>
      </c>
      <c r="N21" s="315">
        <f>(SUMIFS('Bilateral Assistance, MAIN DATA'!$P:$P,'Bilateral Assistance, MAIN DATA'!$B:$B,'Comm. per Month (Heavy Weapons)'!$B21,'Bilateral Assistance, MAIN DATA'!$AG:$AG,1,'Bilateral Assistance, MAIN DATA'!$AH:$AH,'Comm. per Month (Heavy Weapons)'!N$11, 'Bilateral Assistance, MAIN DATA'!$J:$J,"Heavy weapon")/VLOOKUP("USD",'Exchange Rates'!$B:$C,2,0))/1000000000</f>
        <v>0</v>
      </c>
      <c r="O21" s="315">
        <f>(SUMIFS('Bilateral Assistance, MAIN DATA'!$P:$P,'Bilateral Assistance, MAIN DATA'!$B:$B,'Comm. per Month (Heavy Weapons)'!$B21,'Bilateral Assistance, MAIN DATA'!$AG:$AG,1,'Bilateral Assistance, MAIN DATA'!$AH:$AH,'Comm. per Month (Heavy Weapons)'!O$11, 'Bilateral Assistance, MAIN DATA'!$J:$J,"Heavy weapon")/VLOOKUP("USD",'Exchange Rates'!$B:$C,2,0))/1000000000</f>
        <v>0</v>
      </c>
      <c r="P21" s="315">
        <f>(SUMIFS('Bilateral Assistance, MAIN DATA'!$P:$P,'Bilateral Assistance, MAIN DATA'!$B:$B,'Comm. per Month (Heavy Weapons)'!$B21,'Bilateral Assistance, MAIN DATA'!$AG:$AG,1,'Bilateral Assistance, MAIN DATA'!$AH:$AH,'Comm. per Month (Heavy Weapons)'!P$11, 'Bilateral Assistance, MAIN DATA'!$J:$J,"Heavy weapon")/VLOOKUP("USD",'Exchange Rates'!$B:$C,2,0))/1000000000</f>
        <v>0</v>
      </c>
      <c r="Q21" s="315">
        <f>(SUMIFS('Bilateral Assistance, MAIN DATA'!$P:$P,'Bilateral Assistance, MAIN DATA'!$B:$B,'Comm. per Month (Heavy Weapons)'!$B21,'Bilateral Assistance, MAIN DATA'!$AG:$AG,1,'Bilateral Assistance, MAIN DATA'!$AH:$AH,'Comm. per Month (Heavy Weapons)'!Q$11, 'Bilateral Assistance, MAIN DATA'!$J:$J,"Heavy weapon")/VLOOKUP("USD",'Exchange Rates'!$B:$C,2,0))/1000000000</f>
        <v>0</v>
      </c>
      <c r="R21" s="140">
        <f t="shared" si="0"/>
        <v>8.9255478938963489E-2</v>
      </c>
    </row>
    <row r="22" spans="1:18" ht="15.9" customHeight="1" x14ac:dyDescent="0.3">
      <c r="A22" s="5"/>
      <c r="B22" s="24" t="s">
        <v>937</v>
      </c>
      <c r="C22" s="339">
        <v>1</v>
      </c>
      <c r="D22" s="339">
        <v>0</v>
      </c>
      <c r="E22" s="315">
        <f>(SUMIFS('Bilateral Assistance, MAIN DATA'!$P:$P,'Bilateral Assistance, MAIN DATA'!$B:$B,'Comm. per Month (Heavy Weapons)'!$B22,'Bilateral Assistance, MAIN DATA'!$AG:$AG,1,'Bilateral Assistance, MAIN DATA'!$AH:$AH,'Comm. per Month (Heavy Weapons)'!E$11, 'Bilateral Assistance, MAIN DATA'!$J:$J,"Heavy weapon")/VLOOKUP("USD",'Exchange Rates'!$B:$C,2,0))/1000000000</f>
        <v>0</v>
      </c>
      <c r="F22" s="315">
        <f>(SUMIFS('Bilateral Assistance, MAIN DATA'!$P:$P,'Bilateral Assistance, MAIN DATA'!$B:$B,'Comm. per Month (Heavy Weapons)'!$B22,'Bilateral Assistance, MAIN DATA'!$AG:$AG,1,'Bilateral Assistance, MAIN DATA'!$AH:$AH,'Comm. per Month (Heavy Weapons)'!F$11, 'Bilateral Assistance, MAIN DATA'!$J:$J,"Heavy weapon")/VLOOKUP("USD",'Exchange Rates'!$B:$C,2,0))/1000000000</f>
        <v>0</v>
      </c>
      <c r="G22" s="315">
        <f>(SUMIFS('Bilateral Assistance, MAIN DATA'!$P:$P,'Bilateral Assistance, MAIN DATA'!$B:$B,'Comm. per Month (Heavy Weapons)'!$B22,'Bilateral Assistance, MAIN DATA'!$AG:$AG,1,'Bilateral Assistance, MAIN DATA'!$AH:$AH,'Comm. per Month (Heavy Weapons)'!G$11, 'Bilateral Assistance, MAIN DATA'!$J:$J,"Heavy weapon")/VLOOKUP("USD",'Exchange Rates'!$B:$C,2,0))/1000000000</f>
        <v>0</v>
      </c>
      <c r="H22" s="315">
        <f>(SUMIFS('Bilateral Assistance, MAIN DATA'!$P:$P,'Bilateral Assistance, MAIN DATA'!$B:$B,'Comm. per Month (Heavy Weapons)'!$B22,'Bilateral Assistance, MAIN DATA'!$AG:$AG,1,'Bilateral Assistance, MAIN DATA'!$AH:$AH,'Comm. per Month (Heavy Weapons)'!H$11, 'Bilateral Assistance, MAIN DATA'!$J:$J,"Heavy weapon")/VLOOKUP("USD",'Exchange Rates'!$B:$C,2,0))/1000000000</f>
        <v>0</v>
      </c>
      <c r="I22" s="315">
        <f>(SUMIFS('Bilateral Assistance, MAIN DATA'!$P:$P,'Bilateral Assistance, MAIN DATA'!$B:$B,'Comm. per Month (Heavy Weapons)'!$B22,'Bilateral Assistance, MAIN DATA'!$AG:$AG,1,'Bilateral Assistance, MAIN DATA'!$AH:$AH,'Comm. per Month (Heavy Weapons)'!I$11, 'Bilateral Assistance, MAIN DATA'!$J:$J,"Heavy weapon")/VLOOKUP("USD",'Exchange Rates'!$B:$C,2,0))/1000000000</f>
        <v>0</v>
      </c>
      <c r="J22" s="315">
        <f>(SUMIFS('Bilateral Assistance, MAIN DATA'!$P:$P,'Bilateral Assistance, MAIN DATA'!$B:$B,'Comm. per Month (Heavy Weapons)'!$B22,'Bilateral Assistance, MAIN DATA'!$AG:$AG,1,'Bilateral Assistance, MAIN DATA'!$AH:$AH,'Comm. per Month (Heavy Weapons)'!J$11, 'Bilateral Assistance, MAIN DATA'!$J:$J,"Heavy weapon")/VLOOKUP("USD",'Exchange Rates'!$B:$C,2,0))/1000000000</f>
        <v>0</v>
      </c>
      <c r="K22" s="315">
        <f>(SUMIFS('Bilateral Assistance, MAIN DATA'!$P:$P,'Bilateral Assistance, MAIN DATA'!$B:$B,'Comm. per Month (Heavy Weapons)'!$B22,'Bilateral Assistance, MAIN DATA'!$AG:$AG,1,'Bilateral Assistance, MAIN DATA'!$AH:$AH,'Comm. per Month (Heavy Weapons)'!K$11, 'Bilateral Assistance, MAIN DATA'!$J:$J,"Heavy weapon")/VLOOKUP("USD",'Exchange Rates'!$B:$C,2,0))/1000000000</f>
        <v>0</v>
      </c>
      <c r="L22" s="315">
        <f>(SUMIFS('Bilateral Assistance, MAIN DATA'!$P:$P,'Bilateral Assistance, MAIN DATA'!$B:$B,'Comm. per Month (Heavy Weapons)'!$B22,'Bilateral Assistance, MAIN DATA'!$AG:$AG,1,'Bilateral Assistance, MAIN DATA'!$AH:$AH,'Comm. per Month (Heavy Weapons)'!L$11, 'Bilateral Assistance, MAIN DATA'!$J:$J,"Heavy weapon")/VLOOKUP("USD",'Exchange Rates'!$B:$C,2,0))/1000000000</f>
        <v>0</v>
      </c>
      <c r="M22" s="315">
        <f>(SUMIFS('Bilateral Assistance, MAIN DATA'!$P:$P,'Bilateral Assistance, MAIN DATA'!$B:$B,'Comm. per Month (Heavy Weapons)'!$B22,'Bilateral Assistance, MAIN DATA'!$AG:$AG,1,'Bilateral Assistance, MAIN DATA'!$AH:$AH,'Comm. per Month (Heavy Weapons)'!M$11, 'Bilateral Assistance, MAIN DATA'!$J:$J,"Heavy weapon")/VLOOKUP("USD",'Exchange Rates'!$B:$C,2,0))/1000000000</f>
        <v>0</v>
      </c>
      <c r="N22" s="315">
        <f>(SUMIFS('Bilateral Assistance, MAIN DATA'!$P:$P,'Bilateral Assistance, MAIN DATA'!$B:$B,'Comm. per Month (Heavy Weapons)'!$B22,'Bilateral Assistance, MAIN DATA'!$AG:$AG,1,'Bilateral Assistance, MAIN DATA'!$AH:$AH,'Comm. per Month (Heavy Weapons)'!N$11, 'Bilateral Assistance, MAIN DATA'!$J:$J,"Heavy weapon")/VLOOKUP("USD",'Exchange Rates'!$B:$C,2,0))/1000000000</f>
        <v>0</v>
      </c>
      <c r="O22" s="315">
        <f>(SUMIFS('Bilateral Assistance, MAIN DATA'!$P:$P,'Bilateral Assistance, MAIN DATA'!$B:$B,'Comm. per Month (Heavy Weapons)'!$B22,'Bilateral Assistance, MAIN DATA'!$AG:$AG,1,'Bilateral Assistance, MAIN DATA'!$AH:$AH,'Comm. per Month (Heavy Weapons)'!O$11, 'Bilateral Assistance, MAIN DATA'!$J:$J,"Heavy weapon")/VLOOKUP("USD",'Exchange Rates'!$B:$C,2,0))/1000000000</f>
        <v>0</v>
      </c>
      <c r="P22" s="315">
        <f>(SUMIFS('Bilateral Assistance, MAIN DATA'!$P:$P,'Bilateral Assistance, MAIN DATA'!$B:$B,'Comm. per Month (Heavy Weapons)'!$B22,'Bilateral Assistance, MAIN DATA'!$AG:$AG,1,'Bilateral Assistance, MAIN DATA'!$AH:$AH,'Comm. per Month (Heavy Weapons)'!P$11, 'Bilateral Assistance, MAIN DATA'!$J:$J,"Heavy weapon")/VLOOKUP("USD",'Exchange Rates'!$B:$C,2,0))/1000000000</f>
        <v>0</v>
      </c>
      <c r="Q22" s="315">
        <f>(SUMIFS('Bilateral Assistance, MAIN DATA'!$P:$P,'Bilateral Assistance, MAIN DATA'!$B:$B,'Comm. per Month (Heavy Weapons)'!$B22,'Bilateral Assistance, MAIN DATA'!$AG:$AG,1,'Bilateral Assistance, MAIN DATA'!$AH:$AH,'Comm. per Month (Heavy Weapons)'!Q$11, 'Bilateral Assistance, MAIN DATA'!$J:$J,"Heavy weapon")/VLOOKUP("USD",'Exchange Rates'!$B:$C,2,0))/1000000000</f>
        <v>0</v>
      </c>
      <c r="R22" s="140">
        <f t="shared" si="0"/>
        <v>0</v>
      </c>
    </row>
    <row r="23" spans="1:18" ht="15.9" customHeight="1" x14ac:dyDescent="0.3">
      <c r="A23" s="331"/>
      <c r="B23" s="37" t="s">
        <v>3426</v>
      </c>
      <c r="C23" s="339">
        <v>1</v>
      </c>
      <c r="D23" s="339">
        <v>1</v>
      </c>
      <c r="E23" s="315">
        <f>(SUMIFS('Bilateral Assistance, MAIN DATA'!$P:$P,'Bilateral Assistance, MAIN DATA'!$B:$B,'Comm. per Month (Heavy Weapons)'!$B23,'Bilateral Assistance, MAIN DATA'!$AG:$AG,1,'Bilateral Assistance, MAIN DATA'!$AH:$AH,'Comm. per Month (Heavy Weapons)'!E$11, 'Bilateral Assistance, MAIN DATA'!$J:$J,"Heavy weapon")/VLOOKUP("USD",'Exchange Rates'!$B:$C,2,0))/1000000000</f>
        <v>0</v>
      </c>
      <c r="F23" s="315">
        <f>(SUMIFS('Bilateral Assistance, MAIN DATA'!$P:$P,'Bilateral Assistance, MAIN DATA'!$B:$B,'Comm. per Month (Heavy Weapons)'!$B23,'Bilateral Assistance, MAIN DATA'!$AG:$AG,1,'Bilateral Assistance, MAIN DATA'!$AH:$AH,'Comm. per Month (Heavy Weapons)'!F$11, 'Bilateral Assistance, MAIN DATA'!$J:$J,"Heavy weapon")/VLOOKUP("USD",'Exchange Rates'!$B:$C,2,0))/1000000000</f>
        <v>0</v>
      </c>
      <c r="G23" s="315">
        <f>(SUMIFS('Bilateral Assistance, MAIN DATA'!$P:$P,'Bilateral Assistance, MAIN DATA'!$B:$B,'Comm. per Month (Heavy Weapons)'!$B23,'Bilateral Assistance, MAIN DATA'!$AG:$AG,1,'Bilateral Assistance, MAIN DATA'!$AH:$AH,'Comm. per Month (Heavy Weapons)'!G$11, 'Bilateral Assistance, MAIN DATA'!$J:$J,"Heavy weapon")/VLOOKUP("USD",'Exchange Rates'!$B:$C,2,0))/1000000000</f>
        <v>0</v>
      </c>
      <c r="H23" s="315">
        <f>(SUMIFS('Bilateral Assistance, MAIN DATA'!$P:$P,'Bilateral Assistance, MAIN DATA'!$B:$B,'Comm. per Month (Heavy Weapons)'!$B23,'Bilateral Assistance, MAIN DATA'!$AG:$AG,1,'Bilateral Assistance, MAIN DATA'!$AH:$AH,'Comm. per Month (Heavy Weapons)'!H$11, 'Bilateral Assistance, MAIN DATA'!$J:$J,"Heavy weapon")/VLOOKUP("USD",'Exchange Rates'!$B:$C,2,0))/1000000000</f>
        <v>0</v>
      </c>
      <c r="I23" s="315">
        <f>(SUMIFS('Bilateral Assistance, MAIN DATA'!$P:$P,'Bilateral Assistance, MAIN DATA'!$B:$B,'Comm. per Month (Heavy Weapons)'!$B23,'Bilateral Assistance, MAIN DATA'!$AG:$AG,1,'Bilateral Assistance, MAIN DATA'!$AH:$AH,'Comm. per Month (Heavy Weapons)'!I$11, 'Bilateral Assistance, MAIN DATA'!$J:$J,"Heavy weapon")/VLOOKUP("USD",'Exchange Rates'!$B:$C,2,0))/1000000000</f>
        <v>0</v>
      </c>
      <c r="J23" s="315">
        <f>(SUMIFS('Bilateral Assistance, MAIN DATA'!$P:$P,'Bilateral Assistance, MAIN DATA'!$B:$B,'Comm. per Month (Heavy Weapons)'!$B23,'Bilateral Assistance, MAIN DATA'!$AG:$AG,1,'Bilateral Assistance, MAIN DATA'!$AH:$AH,'Comm. per Month (Heavy Weapons)'!J$11, 'Bilateral Assistance, MAIN DATA'!$J:$J,"Heavy weapon")/VLOOKUP("USD",'Exchange Rates'!$B:$C,2,0))/1000000000</f>
        <v>0</v>
      </c>
      <c r="K23" s="315">
        <f>(SUMIFS('Bilateral Assistance, MAIN DATA'!$P:$P,'Bilateral Assistance, MAIN DATA'!$B:$B,'Comm. per Month (Heavy Weapons)'!$B23,'Bilateral Assistance, MAIN DATA'!$AG:$AG,1,'Bilateral Assistance, MAIN DATA'!$AH:$AH,'Comm. per Month (Heavy Weapons)'!K$11, 'Bilateral Assistance, MAIN DATA'!$J:$J,"Heavy weapon")/VLOOKUP("USD",'Exchange Rates'!$B:$C,2,0))/1000000000</f>
        <v>0</v>
      </c>
      <c r="L23" s="315">
        <f>(SUMIFS('Bilateral Assistance, MAIN DATA'!$P:$P,'Bilateral Assistance, MAIN DATA'!$B:$B,'Comm. per Month (Heavy Weapons)'!$B23,'Bilateral Assistance, MAIN DATA'!$AG:$AG,1,'Bilateral Assistance, MAIN DATA'!$AH:$AH,'Comm. per Month (Heavy Weapons)'!L$11, 'Bilateral Assistance, MAIN DATA'!$J:$J,"Heavy weapon")/VLOOKUP("USD",'Exchange Rates'!$B:$C,2,0))/1000000000</f>
        <v>0</v>
      </c>
      <c r="M23" s="315">
        <f>(SUMIFS('Bilateral Assistance, MAIN DATA'!$P:$P,'Bilateral Assistance, MAIN DATA'!$B:$B,'Comm. per Month (Heavy Weapons)'!$B23,'Bilateral Assistance, MAIN DATA'!$AG:$AG,1,'Bilateral Assistance, MAIN DATA'!$AH:$AH,'Comm. per Month (Heavy Weapons)'!M$11, 'Bilateral Assistance, MAIN DATA'!$J:$J,"Heavy weapon")/VLOOKUP("USD",'Exchange Rates'!$B:$C,2,0))/1000000000</f>
        <v>0</v>
      </c>
      <c r="N23" s="315">
        <f>(SUMIFS('Bilateral Assistance, MAIN DATA'!$P:$P,'Bilateral Assistance, MAIN DATA'!$B:$B,'Comm. per Month (Heavy Weapons)'!$B23,'Bilateral Assistance, MAIN DATA'!$AG:$AG,1,'Bilateral Assistance, MAIN DATA'!$AH:$AH,'Comm. per Month (Heavy Weapons)'!N$11, 'Bilateral Assistance, MAIN DATA'!$J:$J,"Heavy weapon")/VLOOKUP("USD",'Exchange Rates'!$B:$C,2,0))/1000000000</f>
        <v>0</v>
      </c>
      <c r="O23" s="315">
        <f>(SUMIFS('Bilateral Assistance, MAIN DATA'!$P:$P,'Bilateral Assistance, MAIN DATA'!$B:$B,'Comm. per Month (Heavy Weapons)'!$B23,'Bilateral Assistance, MAIN DATA'!$AG:$AG,1,'Bilateral Assistance, MAIN DATA'!$AH:$AH,'Comm. per Month (Heavy Weapons)'!O$11, 'Bilateral Assistance, MAIN DATA'!$J:$J,"Heavy weapon")/VLOOKUP("USD",'Exchange Rates'!$B:$C,2,0))/1000000000</f>
        <v>0</v>
      </c>
      <c r="P23" s="315">
        <f>(SUMIFS('Bilateral Assistance, MAIN DATA'!$P:$P,'Bilateral Assistance, MAIN DATA'!$B:$B,'Comm. per Month (Heavy Weapons)'!$B23,'Bilateral Assistance, MAIN DATA'!$AG:$AG,1,'Bilateral Assistance, MAIN DATA'!$AH:$AH,'Comm. per Month (Heavy Weapons)'!P$11, 'Bilateral Assistance, MAIN DATA'!$J:$J,"Heavy weapon")/VLOOKUP("USD",'Exchange Rates'!$B:$C,2,0))/1000000000</f>
        <v>0</v>
      </c>
      <c r="Q23" s="315">
        <f>(SUMIFS('Bilateral Assistance, MAIN DATA'!$P:$P,'Bilateral Assistance, MAIN DATA'!$B:$B,'Comm. per Month (Heavy Weapons)'!$B23,'Bilateral Assistance, MAIN DATA'!$AG:$AG,1,'Bilateral Assistance, MAIN DATA'!$AH:$AH,'Comm. per Month (Heavy Weapons)'!Q$11, 'Bilateral Assistance, MAIN DATA'!$J:$J,"Heavy weapon")/VLOOKUP("USD",'Exchange Rates'!$B:$C,2,0))/1000000000</f>
        <v>0</v>
      </c>
      <c r="R23" s="140">
        <f t="shared" si="0"/>
        <v>0</v>
      </c>
    </row>
    <row r="24" spans="1:18" ht="15.9" customHeight="1" x14ac:dyDescent="0.3">
      <c r="A24" s="331"/>
      <c r="B24" s="24" t="s">
        <v>1025</v>
      </c>
      <c r="C24" s="339">
        <v>1</v>
      </c>
      <c r="D24" s="339">
        <v>0</v>
      </c>
      <c r="E24" s="315">
        <f>(SUMIFS('Bilateral Assistance, MAIN DATA'!$P:$P,'Bilateral Assistance, MAIN DATA'!$B:$B,'Comm. per Month (Heavy Weapons)'!$B24,'Bilateral Assistance, MAIN DATA'!$AG:$AG,1,'Bilateral Assistance, MAIN DATA'!$AH:$AH,'Comm. per Month (Heavy Weapons)'!E$11, 'Bilateral Assistance, MAIN DATA'!$J:$J,"Heavy weapon")/VLOOKUP("USD",'Exchange Rates'!$B:$C,2,0))/1000000000</f>
        <v>0</v>
      </c>
      <c r="F24" s="315">
        <f>(SUMIFS('Bilateral Assistance, MAIN DATA'!$P:$P,'Bilateral Assistance, MAIN DATA'!$B:$B,'Comm. per Month (Heavy Weapons)'!$B24,'Bilateral Assistance, MAIN DATA'!$AG:$AG,1,'Bilateral Assistance, MAIN DATA'!$AH:$AH,'Comm. per Month (Heavy Weapons)'!F$11, 'Bilateral Assistance, MAIN DATA'!$J:$J,"Heavy weapon")/VLOOKUP("USD",'Exchange Rates'!$B:$C,2,0))/1000000000</f>
        <v>0</v>
      </c>
      <c r="G24" s="315">
        <f>(SUMIFS('Bilateral Assistance, MAIN DATA'!$P:$P,'Bilateral Assistance, MAIN DATA'!$B:$B,'Comm. per Month (Heavy Weapons)'!$B24,'Bilateral Assistance, MAIN DATA'!$AG:$AG,1,'Bilateral Assistance, MAIN DATA'!$AH:$AH,'Comm. per Month (Heavy Weapons)'!G$11, 'Bilateral Assistance, MAIN DATA'!$J:$J,"Heavy weapon")/VLOOKUP("USD",'Exchange Rates'!$B:$C,2,0))/1000000000</f>
        <v>0</v>
      </c>
      <c r="H24" s="315">
        <f>(SUMIFS('Bilateral Assistance, MAIN DATA'!$P:$P,'Bilateral Assistance, MAIN DATA'!$B:$B,'Comm. per Month (Heavy Weapons)'!$B24,'Bilateral Assistance, MAIN DATA'!$AG:$AG,1,'Bilateral Assistance, MAIN DATA'!$AH:$AH,'Comm. per Month (Heavy Weapons)'!H$11, 'Bilateral Assistance, MAIN DATA'!$J:$J,"Heavy weapon")/VLOOKUP("USD",'Exchange Rates'!$B:$C,2,0))/1000000000</f>
        <v>0</v>
      </c>
      <c r="I24" s="315">
        <f>(SUMIFS('Bilateral Assistance, MAIN DATA'!$P:$P,'Bilateral Assistance, MAIN DATA'!$B:$B,'Comm. per Month (Heavy Weapons)'!$B24,'Bilateral Assistance, MAIN DATA'!$AG:$AG,1,'Bilateral Assistance, MAIN DATA'!$AH:$AH,'Comm. per Month (Heavy Weapons)'!I$11, 'Bilateral Assistance, MAIN DATA'!$J:$J,"Heavy weapon")/VLOOKUP("USD",'Exchange Rates'!$B:$C,2,0))/1000000000</f>
        <v>0</v>
      </c>
      <c r="J24" s="315">
        <f>(SUMIFS('Bilateral Assistance, MAIN DATA'!$P:$P,'Bilateral Assistance, MAIN DATA'!$B:$B,'Comm. per Month (Heavy Weapons)'!$B24,'Bilateral Assistance, MAIN DATA'!$AG:$AG,1,'Bilateral Assistance, MAIN DATA'!$AH:$AH,'Comm. per Month (Heavy Weapons)'!J$11, 'Bilateral Assistance, MAIN DATA'!$J:$J,"Heavy weapon")/VLOOKUP("USD",'Exchange Rates'!$B:$C,2,0))/1000000000</f>
        <v>0</v>
      </c>
      <c r="K24" s="315">
        <f>(SUMIFS('Bilateral Assistance, MAIN DATA'!$P:$P,'Bilateral Assistance, MAIN DATA'!$B:$B,'Comm. per Month (Heavy Weapons)'!$B24,'Bilateral Assistance, MAIN DATA'!$AG:$AG,1,'Bilateral Assistance, MAIN DATA'!$AH:$AH,'Comm. per Month (Heavy Weapons)'!K$11, 'Bilateral Assistance, MAIN DATA'!$J:$J,"Heavy weapon")/VLOOKUP("USD",'Exchange Rates'!$B:$C,2,0))/1000000000</f>
        <v>0</v>
      </c>
      <c r="L24" s="315">
        <f>(SUMIFS('Bilateral Assistance, MAIN DATA'!$P:$P,'Bilateral Assistance, MAIN DATA'!$B:$B,'Comm. per Month (Heavy Weapons)'!$B24,'Bilateral Assistance, MAIN DATA'!$AG:$AG,1,'Bilateral Assistance, MAIN DATA'!$AH:$AH,'Comm. per Month (Heavy Weapons)'!L$11, 'Bilateral Assistance, MAIN DATA'!$J:$J,"Heavy weapon")/VLOOKUP("USD",'Exchange Rates'!$B:$C,2,0))/1000000000</f>
        <v>0</v>
      </c>
      <c r="M24" s="315">
        <f>(SUMIFS('Bilateral Assistance, MAIN DATA'!$P:$P,'Bilateral Assistance, MAIN DATA'!$B:$B,'Comm. per Month (Heavy Weapons)'!$B24,'Bilateral Assistance, MAIN DATA'!$AG:$AG,1,'Bilateral Assistance, MAIN DATA'!$AH:$AH,'Comm. per Month (Heavy Weapons)'!M$11, 'Bilateral Assistance, MAIN DATA'!$J:$J,"Heavy weapon")/VLOOKUP("USD",'Exchange Rates'!$B:$C,2,0))/1000000000</f>
        <v>0</v>
      </c>
      <c r="N24" s="315">
        <f>(SUMIFS('Bilateral Assistance, MAIN DATA'!$P:$P,'Bilateral Assistance, MAIN DATA'!$B:$B,'Comm. per Month (Heavy Weapons)'!$B24,'Bilateral Assistance, MAIN DATA'!$AG:$AG,1,'Bilateral Assistance, MAIN DATA'!$AH:$AH,'Comm. per Month (Heavy Weapons)'!N$11, 'Bilateral Assistance, MAIN DATA'!$J:$J,"Heavy weapon")/VLOOKUP("USD",'Exchange Rates'!$B:$C,2,0))/1000000000</f>
        <v>0</v>
      </c>
      <c r="O24" s="315">
        <f>(SUMIFS('Bilateral Assistance, MAIN DATA'!$P:$P,'Bilateral Assistance, MAIN DATA'!$B:$B,'Comm. per Month (Heavy Weapons)'!$B24,'Bilateral Assistance, MAIN DATA'!$AG:$AG,1,'Bilateral Assistance, MAIN DATA'!$AH:$AH,'Comm. per Month (Heavy Weapons)'!O$11, 'Bilateral Assistance, MAIN DATA'!$J:$J,"Heavy weapon")/VLOOKUP("USD",'Exchange Rates'!$B:$C,2,0))/1000000000</f>
        <v>0</v>
      </c>
      <c r="P24" s="315">
        <f>(SUMIFS('Bilateral Assistance, MAIN DATA'!$P:$P,'Bilateral Assistance, MAIN DATA'!$B:$B,'Comm. per Month (Heavy Weapons)'!$B24,'Bilateral Assistance, MAIN DATA'!$AG:$AG,1,'Bilateral Assistance, MAIN DATA'!$AH:$AH,'Comm. per Month (Heavy Weapons)'!P$11, 'Bilateral Assistance, MAIN DATA'!$J:$J,"Heavy weapon")/VLOOKUP("USD",'Exchange Rates'!$B:$C,2,0))/1000000000</f>
        <v>0</v>
      </c>
      <c r="Q24" s="315">
        <f>(SUMIFS('Bilateral Assistance, MAIN DATA'!$P:$P,'Bilateral Assistance, MAIN DATA'!$B:$B,'Comm. per Month (Heavy Weapons)'!$B24,'Bilateral Assistance, MAIN DATA'!$AG:$AG,1,'Bilateral Assistance, MAIN DATA'!$AH:$AH,'Comm. per Month (Heavy Weapons)'!Q$11, 'Bilateral Assistance, MAIN DATA'!$J:$J,"Heavy weapon")/VLOOKUP("USD",'Exchange Rates'!$B:$C,2,0))/1000000000</f>
        <v>0</v>
      </c>
      <c r="R24" s="140">
        <f t="shared" si="0"/>
        <v>0</v>
      </c>
    </row>
    <row r="25" spans="1:18" ht="15.9" customHeight="1" x14ac:dyDescent="0.3">
      <c r="A25" s="331"/>
      <c r="B25" s="24" t="s">
        <v>1131</v>
      </c>
      <c r="C25" s="339">
        <v>1</v>
      </c>
      <c r="D25" s="339">
        <v>0</v>
      </c>
      <c r="E25" s="315">
        <f>(SUMIFS('Bilateral Assistance, MAIN DATA'!$P:$P,'Bilateral Assistance, MAIN DATA'!$B:$B,'Comm. per Month (Heavy Weapons)'!$B25,'Bilateral Assistance, MAIN DATA'!$AG:$AG,1,'Bilateral Assistance, MAIN DATA'!$AH:$AH,'Comm. per Month (Heavy Weapons)'!E$11, 'Bilateral Assistance, MAIN DATA'!$J:$J,"Heavy weapon")/VLOOKUP("USD",'Exchange Rates'!$B:$C,2,0))/1000000000</f>
        <v>0</v>
      </c>
      <c r="F25" s="315">
        <f>(SUMIFS('Bilateral Assistance, MAIN DATA'!$P:$P,'Bilateral Assistance, MAIN DATA'!$B:$B,'Comm. per Month (Heavy Weapons)'!$B25,'Bilateral Assistance, MAIN DATA'!$AG:$AG,1,'Bilateral Assistance, MAIN DATA'!$AH:$AH,'Comm. per Month (Heavy Weapons)'!F$11, 'Bilateral Assistance, MAIN DATA'!$J:$J,"Heavy weapon")/VLOOKUP("USD",'Exchange Rates'!$B:$C,2,0))/1000000000</f>
        <v>0</v>
      </c>
      <c r="G25" s="315">
        <f>(SUMIFS('Bilateral Assistance, MAIN DATA'!$P:$P,'Bilateral Assistance, MAIN DATA'!$B:$B,'Comm. per Month (Heavy Weapons)'!$B25,'Bilateral Assistance, MAIN DATA'!$AG:$AG,1,'Bilateral Assistance, MAIN DATA'!$AH:$AH,'Comm. per Month (Heavy Weapons)'!G$11, 'Bilateral Assistance, MAIN DATA'!$J:$J,"Heavy weapon")/VLOOKUP("USD",'Exchange Rates'!$B:$C,2,0))/1000000000</f>
        <v>0</v>
      </c>
      <c r="H25" s="315">
        <f>(SUMIFS('Bilateral Assistance, MAIN DATA'!$P:$P,'Bilateral Assistance, MAIN DATA'!$B:$B,'Comm. per Month (Heavy Weapons)'!$B25,'Bilateral Assistance, MAIN DATA'!$AG:$AG,1,'Bilateral Assistance, MAIN DATA'!$AH:$AH,'Comm. per Month (Heavy Weapons)'!H$11, 'Bilateral Assistance, MAIN DATA'!$J:$J,"Heavy weapon")/VLOOKUP("USD",'Exchange Rates'!$B:$C,2,0))/1000000000</f>
        <v>7.2521925976230528E-2</v>
      </c>
      <c r="I25" s="315">
        <f>(SUMIFS('Bilateral Assistance, MAIN DATA'!$P:$P,'Bilateral Assistance, MAIN DATA'!$B:$B,'Comm. per Month (Heavy Weapons)'!$B25,'Bilateral Assistance, MAIN DATA'!$AG:$AG,1,'Bilateral Assistance, MAIN DATA'!$AH:$AH,'Comm. per Month (Heavy Weapons)'!I$11, 'Bilateral Assistance, MAIN DATA'!$J:$J,"Heavy weapon")/VLOOKUP("USD",'Exchange Rates'!$B:$C,2,0))/1000000000</f>
        <v>0</v>
      </c>
      <c r="J25" s="315">
        <f>(SUMIFS('Bilateral Assistance, MAIN DATA'!$P:$P,'Bilateral Assistance, MAIN DATA'!$B:$B,'Comm. per Month (Heavy Weapons)'!$B25,'Bilateral Assistance, MAIN DATA'!$AG:$AG,1,'Bilateral Assistance, MAIN DATA'!$AH:$AH,'Comm. per Month (Heavy Weapons)'!J$11, 'Bilateral Assistance, MAIN DATA'!$J:$J,"Heavy weapon")/VLOOKUP("USD",'Exchange Rates'!$B:$C,2,0))/1000000000</f>
        <v>0.10522291213097242</v>
      </c>
      <c r="K25" s="315">
        <f>(SUMIFS('Bilateral Assistance, MAIN DATA'!$P:$P,'Bilateral Assistance, MAIN DATA'!$B:$B,'Comm. per Month (Heavy Weapons)'!$B25,'Bilateral Assistance, MAIN DATA'!$AG:$AG,1,'Bilateral Assistance, MAIN DATA'!$AH:$AH,'Comm. per Month (Heavy Weapons)'!K$11, 'Bilateral Assistance, MAIN DATA'!$J:$J,"Heavy weapon")/VLOOKUP("USD",'Exchange Rates'!$B:$C,2,0))/1000000000</f>
        <v>0</v>
      </c>
      <c r="L25" s="315">
        <f>(SUMIFS('Bilateral Assistance, MAIN DATA'!$P:$P,'Bilateral Assistance, MAIN DATA'!$B:$B,'Comm. per Month (Heavy Weapons)'!$B25,'Bilateral Assistance, MAIN DATA'!$AG:$AG,1,'Bilateral Assistance, MAIN DATA'!$AH:$AH,'Comm. per Month (Heavy Weapons)'!L$11, 'Bilateral Assistance, MAIN DATA'!$J:$J,"Heavy weapon")/VLOOKUP("USD",'Exchange Rates'!$B:$C,2,0))/1000000000</f>
        <v>0</v>
      </c>
      <c r="M25" s="315">
        <f>(SUMIFS('Bilateral Assistance, MAIN DATA'!$P:$P,'Bilateral Assistance, MAIN DATA'!$B:$B,'Comm. per Month (Heavy Weapons)'!$B25,'Bilateral Assistance, MAIN DATA'!$AG:$AG,1,'Bilateral Assistance, MAIN DATA'!$AH:$AH,'Comm. per Month (Heavy Weapons)'!M$11, 'Bilateral Assistance, MAIN DATA'!$J:$J,"Heavy weapon")/VLOOKUP("USD",'Exchange Rates'!$B:$C,2,0))/1000000000</f>
        <v>0</v>
      </c>
      <c r="N25" s="315">
        <f>(SUMIFS('Bilateral Assistance, MAIN DATA'!$P:$P,'Bilateral Assistance, MAIN DATA'!$B:$B,'Comm. per Month (Heavy Weapons)'!$B25,'Bilateral Assistance, MAIN DATA'!$AG:$AG,1,'Bilateral Assistance, MAIN DATA'!$AH:$AH,'Comm. per Month (Heavy Weapons)'!N$11, 'Bilateral Assistance, MAIN DATA'!$J:$J,"Heavy weapon")/VLOOKUP("USD",'Exchange Rates'!$B:$C,2,0))/1000000000</f>
        <v>0</v>
      </c>
      <c r="O25" s="315">
        <f>(SUMIFS('Bilateral Assistance, MAIN DATA'!$P:$P,'Bilateral Assistance, MAIN DATA'!$B:$B,'Comm. per Month (Heavy Weapons)'!$B25,'Bilateral Assistance, MAIN DATA'!$AG:$AG,1,'Bilateral Assistance, MAIN DATA'!$AH:$AH,'Comm. per Month (Heavy Weapons)'!O$11, 'Bilateral Assistance, MAIN DATA'!$J:$J,"Heavy weapon")/VLOOKUP("USD",'Exchange Rates'!$B:$C,2,0))/1000000000</f>
        <v>6.2195551805032001E-2</v>
      </c>
      <c r="P25" s="315">
        <f>(SUMIFS('Bilateral Assistance, MAIN DATA'!$P:$P,'Bilateral Assistance, MAIN DATA'!$B:$B,'Comm. per Month (Heavy Weapons)'!$B25,'Bilateral Assistance, MAIN DATA'!$AG:$AG,1,'Bilateral Assistance, MAIN DATA'!$AH:$AH,'Comm. per Month (Heavy Weapons)'!P$11, 'Bilateral Assistance, MAIN DATA'!$J:$J,"Heavy weapon")/VLOOKUP("USD",'Exchange Rates'!$B:$C,2,0))/1000000000</f>
        <v>0</v>
      </c>
      <c r="Q25" s="315">
        <f>(SUMIFS('Bilateral Assistance, MAIN DATA'!$P:$P,'Bilateral Assistance, MAIN DATA'!$B:$B,'Comm. per Month (Heavy Weapons)'!$B25,'Bilateral Assistance, MAIN DATA'!$AG:$AG,1,'Bilateral Assistance, MAIN DATA'!$AH:$AH,'Comm. per Month (Heavy Weapons)'!Q$11, 'Bilateral Assistance, MAIN DATA'!$J:$J,"Heavy weapon")/VLOOKUP("USD",'Exchange Rates'!$B:$C,2,0))/1000000000</f>
        <v>0</v>
      </c>
      <c r="R25" s="140">
        <f t="shared" si="0"/>
        <v>0.23994038991223493</v>
      </c>
    </row>
    <row r="26" spans="1:18" ht="15.9" customHeight="1" x14ac:dyDescent="0.3">
      <c r="A26" s="19"/>
      <c r="B26" s="24" t="s">
        <v>1288</v>
      </c>
      <c r="C26" s="339">
        <v>1</v>
      </c>
      <c r="D26" s="339">
        <v>0</v>
      </c>
      <c r="E26" s="315">
        <f>(SUMIFS('Bilateral Assistance, MAIN DATA'!$P:$P,'Bilateral Assistance, MAIN DATA'!$B:$B,'Comm. per Month (Heavy Weapons)'!$B26,'Bilateral Assistance, MAIN DATA'!$AG:$AG,1,'Bilateral Assistance, MAIN DATA'!$AH:$AH,'Comm. per Month (Heavy Weapons)'!E$11, 'Bilateral Assistance, MAIN DATA'!$J:$J,"Heavy weapon")/VLOOKUP("USD",'Exchange Rates'!$B:$C,2,0))/1000000000</f>
        <v>0</v>
      </c>
      <c r="F26" s="315">
        <f>(SUMIFS('Bilateral Assistance, MAIN DATA'!$P:$P,'Bilateral Assistance, MAIN DATA'!$B:$B,'Comm. per Month (Heavy Weapons)'!$B26,'Bilateral Assistance, MAIN DATA'!$AG:$AG,1,'Bilateral Assistance, MAIN DATA'!$AH:$AH,'Comm. per Month (Heavy Weapons)'!F$11, 'Bilateral Assistance, MAIN DATA'!$J:$J,"Heavy weapon")/VLOOKUP("USD",'Exchange Rates'!$B:$C,2,0))/1000000000</f>
        <v>0</v>
      </c>
      <c r="G26" s="315">
        <f>(SUMIFS('Bilateral Assistance, MAIN DATA'!$P:$P,'Bilateral Assistance, MAIN DATA'!$B:$B,'Comm. per Month (Heavy Weapons)'!$B26,'Bilateral Assistance, MAIN DATA'!$AG:$AG,1,'Bilateral Assistance, MAIN DATA'!$AH:$AH,'Comm. per Month (Heavy Weapons)'!G$11, 'Bilateral Assistance, MAIN DATA'!$J:$J,"Heavy weapon")/VLOOKUP("USD",'Exchange Rates'!$B:$C,2,0))/1000000000</f>
        <v>0</v>
      </c>
      <c r="H26" s="315">
        <f>(SUMIFS('Bilateral Assistance, MAIN DATA'!$P:$P,'Bilateral Assistance, MAIN DATA'!$B:$B,'Comm. per Month (Heavy Weapons)'!$B26,'Bilateral Assistance, MAIN DATA'!$AG:$AG,1,'Bilateral Assistance, MAIN DATA'!$AH:$AH,'Comm. per Month (Heavy Weapons)'!H$11, 'Bilateral Assistance, MAIN DATA'!$J:$J,"Heavy weapon")/VLOOKUP("USD",'Exchange Rates'!$B:$C,2,0))/1000000000</f>
        <v>0.12587800782810285</v>
      </c>
      <c r="I26" s="315">
        <f>(SUMIFS('Bilateral Assistance, MAIN DATA'!$P:$P,'Bilateral Assistance, MAIN DATA'!$B:$B,'Comm. per Month (Heavy Weapons)'!$B26,'Bilateral Assistance, MAIN DATA'!$AG:$AG,1,'Bilateral Assistance, MAIN DATA'!$AH:$AH,'Comm. per Month (Heavy Weapons)'!I$11, 'Bilateral Assistance, MAIN DATA'!$J:$J,"Heavy weapon")/VLOOKUP("USD",'Exchange Rates'!$B:$C,2,0))/1000000000</f>
        <v>0</v>
      </c>
      <c r="J26" s="315">
        <f>(SUMIFS('Bilateral Assistance, MAIN DATA'!$P:$P,'Bilateral Assistance, MAIN DATA'!$B:$B,'Comm. per Month (Heavy Weapons)'!$B26,'Bilateral Assistance, MAIN DATA'!$AG:$AG,1,'Bilateral Assistance, MAIN DATA'!$AH:$AH,'Comm. per Month (Heavy Weapons)'!J$11, 'Bilateral Assistance, MAIN DATA'!$J:$J,"Heavy weapon")/VLOOKUP("USD",'Exchange Rates'!$B:$C,2,0))/1000000000</f>
        <v>5.9381039857142853E-2</v>
      </c>
      <c r="K26" s="315">
        <f>(SUMIFS('Bilateral Assistance, MAIN DATA'!$P:$P,'Bilateral Assistance, MAIN DATA'!$B:$B,'Comm. per Month (Heavy Weapons)'!$B26,'Bilateral Assistance, MAIN DATA'!$AG:$AG,1,'Bilateral Assistance, MAIN DATA'!$AH:$AH,'Comm. per Month (Heavy Weapons)'!K$11, 'Bilateral Assistance, MAIN DATA'!$J:$J,"Heavy weapon")/VLOOKUP("USD",'Exchange Rates'!$B:$C,2,0))/1000000000</f>
        <v>0.10732057601476516</v>
      </c>
      <c r="L26" s="315">
        <f>(SUMIFS('Bilateral Assistance, MAIN DATA'!$P:$P,'Bilateral Assistance, MAIN DATA'!$B:$B,'Comm. per Month (Heavy Weapons)'!$B26,'Bilateral Assistance, MAIN DATA'!$AG:$AG,1,'Bilateral Assistance, MAIN DATA'!$AH:$AH,'Comm. per Month (Heavy Weapons)'!L$11, 'Bilateral Assistance, MAIN DATA'!$J:$J,"Heavy weapon")/VLOOKUP("USD",'Exchange Rates'!$B:$C,2,0))/1000000000</f>
        <v>4.9624935961904759E-2</v>
      </c>
      <c r="M26" s="315">
        <f>(SUMIFS('Bilateral Assistance, MAIN DATA'!$P:$P,'Bilateral Assistance, MAIN DATA'!$B:$B,'Comm. per Month (Heavy Weapons)'!$B26,'Bilateral Assistance, MAIN DATA'!$AG:$AG,1,'Bilateral Assistance, MAIN DATA'!$AH:$AH,'Comm. per Month (Heavy Weapons)'!M$11, 'Bilateral Assistance, MAIN DATA'!$J:$J,"Heavy weapon")/VLOOKUP("USD",'Exchange Rates'!$B:$C,2,0))/1000000000</f>
        <v>0.67588795871809959</v>
      </c>
      <c r="N26" s="315">
        <f>(SUMIFS('Bilateral Assistance, MAIN DATA'!$P:$P,'Bilateral Assistance, MAIN DATA'!$B:$B,'Comm. per Month (Heavy Weapons)'!$B26,'Bilateral Assistance, MAIN DATA'!$AG:$AG,1,'Bilateral Assistance, MAIN DATA'!$AH:$AH,'Comm. per Month (Heavy Weapons)'!N$11, 'Bilateral Assistance, MAIN DATA'!$J:$J,"Heavy weapon")/VLOOKUP("USD",'Exchange Rates'!$B:$C,2,0))/1000000000</f>
        <v>4.1244659291344452E-2</v>
      </c>
      <c r="O26" s="315">
        <f>(SUMIFS('Bilateral Assistance, MAIN DATA'!$P:$P,'Bilateral Assistance, MAIN DATA'!$B:$B,'Comm. per Month (Heavy Weapons)'!$B26,'Bilateral Assistance, MAIN DATA'!$AG:$AG,1,'Bilateral Assistance, MAIN DATA'!$AH:$AH,'Comm. per Month (Heavy Weapons)'!O$11, 'Bilateral Assistance, MAIN DATA'!$J:$J,"Heavy weapon")/VLOOKUP("USD",'Exchange Rates'!$B:$C,2,0))/1000000000</f>
        <v>0</v>
      </c>
      <c r="P26" s="315">
        <f>(SUMIFS('Bilateral Assistance, MAIN DATA'!$P:$P,'Bilateral Assistance, MAIN DATA'!$B:$B,'Comm. per Month (Heavy Weapons)'!$B26,'Bilateral Assistance, MAIN DATA'!$AG:$AG,1,'Bilateral Assistance, MAIN DATA'!$AH:$AH,'Comm. per Month (Heavy Weapons)'!P$11, 'Bilateral Assistance, MAIN DATA'!$J:$J,"Heavy weapon")/VLOOKUP("USD",'Exchange Rates'!$B:$C,2,0))/1000000000</f>
        <v>0.21365196524761904</v>
      </c>
      <c r="Q26" s="315">
        <f>(SUMIFS('Bilateral Assistance, MAIN DATA'!$P:$P,'Bilateral Assistance, MAIN DATA'!$B:$B,'Comm. per Month (Heavy Weapons)'!$B26,'Bilateral Assistance, MAIN DATA'!$AG:$AG,1,'Bilateral Assistance, MAIN DATA'!$AH:$AH,'Comm. per Month (Heavy Weapons)'!Q$11, 'Bilateral Assistance, MAIN DATA'!$J:$J,"Heavy weapon")/VLOOKUP("USD",'Exchange Rates'!$B:$C,2,0))/1000000000</f>
        <v>0.38095238095238093</v>
      </c>
      <c r="R26" s="140">
        <f t="shared" si="0"/>
        <v>1.6539415238713595</v>
      </c>
    </row>
    <row r="27" spans="1:18" ht="15.9" customHeight="1" x14ac:dyDescent="0.3">
      <c r="A27" s="19"/>
      <c r="B27" s="24" t="s">
        <v>1606</v>
      </c>
      <c r="C27" s="339">
        <v>1</v>
      </c>
      <c r="D27" s="339">
        <v>0</v>
      </c>
      <c r="E27" s="315">
        <f>(SUMIFS('Bilateral Assistance, MAIN DATA'!$P:$P,'Bilateral Assistance, MAIN DATA'!$B:$B,'Comm. per Month (Heavy Weapons)'!$B27,'Bilateral Assistance, MAIN DATA'!$AG:$AG,1,'Bilateral Assistance, MAIN DATA'!$AH:$AH,'Comm. per Month (Heavy Weapons)'!E$11, 'Bilateral Assistance, MAIN DATA'!$J:$J,"Heavy weapon")/VLOOKUP("USD",'Exchange Rates'!$B:$C,2,0))/1000000000</f>
        <v>0</v>
      </c>
      <c r="F27" s="315">
        <f>(SUMIFS('Bilateral Assistance, MAIN DATA'!$P:$P,'Bilateral Assistance, MAIN DATA'!$B:$B,'Comm. per Month (Heavy Weapons)'!$B27,'Bilateral Assistance, MAIN DATA'!$AG:$AG,1,'Bilateral Assistance, MAIN DATA'!$AH:$AH,'Comm. per Month (Heavy Weapons)'!F$11, 'Bilateral Assistance, MAIN DATA'!$J:$J,"Heavy weapon")/VLOOKUP("USD",'Exchange Rates'!$B:$C,2,0))/1000000000</f>
        <v>0</v>
      </c>
      <c r="G27" s="315">
        <f>(SUMIFS('Bilateral Assistance, MAIN DATA'!$P:$P,'Bilateral Assistance, MAIN DATA'!$B:$B,'Comm. per Month (Heavy Weapons)'!$B27,'Bilateral Assistance, MAIN DATA'!$AG:$AG,1,'Bilateral Assistance, MAIN DATA'!$AH:$AH,'Comm. per Month (Heavy Weapons)'!G$11, 'Bilateral Assistance, MAIN DATA'!$J:$J,"Heavy weapon")/VLOOKUP("USD",'Exchange Rates'!$B:$C,2,0))/1000000000</f>
        <v>0</v>
      </c>
      <c r="H27" s="315">
        <f>(SUMIFS('Bilateral Assistance, MAIN DATA'!$P:$P,'Bilateral Assistance, MAIN DATA'!$B:$B,'Comm. per Month (Heavy Weapons)'!$B27,'Bilateral Assistance, MAIN DATA'!$AG:$AG,1,'Bilateral Assistance, MAIN DATA'!$AH:$AH,'Comm. per Month (Heavy Weapons)'!H$11, 'Bilateral Assistance, MAIN DATA'!$J:$J,"Heavy weapon")/VLOOKUP("USD",'Exchange Rates'!$B:$C,2,0))/1000000000</f>
        <v>0</v>
      </c>
      <c r="I27" s="315">
        <f>(SUMIFS('Bilateral Assistance, MAIN DATA'!$P:$P,'Bilateral Assistance, MAIN DATA'!$B:$B,'Comm. per Month (Heavy Weapons)'!$B27,'Bilateral Assistance, MAIN DATA'!$AG:$AG,1,'Bilateral Assistance, MAIN DATA'!$AH:$AH,'Comm. per Month (Heavy Weapons)'!I$11, 'Bilateral Assistance, MAIN DATA'!$J:$J,"Heavy weapon")/VLOOKUP("USD",'Exchange Rates'!$B:$C,2,0))/1000000000</f>
        <v>0</v>
      </c>
      <c r="J27" s="315">
        <f>(SUMIFS('Bilateral Assistance, MAIN DATA'!$P:$P,'Bilateral Assistance, MAIN DATA'!$B:$B,'Comm. per Month (Heavy Weapons)'!$B27,'Bilateral Assistance, MAIN DATA'!$AG:$AG,1,'Bilateral Assistance, MAIN DATA'!$AH:$AH,'Comm. per Month (Heavy Weapons)'!J$11, 'Bilateral Assistance, MAIN DATA'!$J:$J,"Heavy weapon")/VLOOKUP("USD",'Exchange Rates'!$B:$C,2,0))/1000000000</f>
        <v>0</v>
      </c>
      <c r="K27" s="315">
        <f>(SUMIFS('Bilateral Assistance, MAIN DATA'!$P:$P,'Bilateral Assistance, MAIN DATA'!$B:$B,'Comm. per Month (Heavy Weapons)'!$B27,'Bilateral Assistance, MAIN DATA'!$AG:$AG,1,'Bilateral Assistance, MAIN DATA'!$AH:$AH,'Comm. per Month (Heavy Weapons)'!K$11, 'Bilateral Assistance, MAIN DATA'!$J:$J,"Heavy weapon")/VLOOKUP("USD",'Exchange Rates'!$B:$C,2,0))/1000000000</f>
        <v>0</v>
      </c>
      <c r="L27" s="315">
        <f>(SUMIFS('Bilateral Assistance, MAIN DATA'!$P:$P,'Bilateral Assistance, MAIN DATA'!$B:$B,'Comm. per Month (Heavy Weapons)'!$B27,'Bilateral Assistance, MAIN DATA'!$AG:$AG,1,'Bilateral Assistance, MAIN DATA'!$AH:$AH,'Comm. per Month (Heavy Weapons)'!L$11, 'Bilateral Assistance, MAIN DATA'!$J:$J,"Heavy weapon")/VLOOKUP("USD",'Exchange Rates'!$B:$C,2,0))/1000000000</f>
        <v>0</v>
      </c>
      <c r="M27" s="315">
        <f>(SUMIFS('Bilateral Assistance, MAIN DATA'!$P:$P,'Bilateral Assistance, MAIN DATA'!$B:$B,'Comm. per Month (Heavy Weapons)'!$B27,'Bilateral Assistance, MAIN DATA'!$AG:$AG,1,'Bilateral Assistance, MAIN DATA'!$AH:$AH,'Comm. per Month (Heavy Weapons)'!M$11, 'Bilateral Assistance, MAIN DATA'!$J:$J,"Heavy weapon")/VLOOKUP("USD",'Exchange Rates'!$B:$C,2,0))/1000000000</f>
        <v>2.1392096380952384E-2</v>
      </c>
      <c r="N27" s="315">
        <f>(SUMIFS('Bilateral Assistance, MAIN DATA'!$P:$P,'Bilateral Assistance, MAIN DATA'!$B:$B,'Comm. per Month (Heavy Weapons)'!$B27,'Bilateral Assistance, MAIN DATA'!$AG:$AG,1,'Bilateral Assistance, MAIN DATA'!$AH:$AH,'Comm. per Month (Heavy Weapons)'!N$11, 'Bilateral Assistance, MAIN DATA'!$J:$J,"Heavy weapon")/VLOOKUP("USD",'Exchange Rates'!$B:$C,2,0))/1000000000</f>
        <v>0</v>
      </c>
      <c r="O27" s="315">
        <f>(SUMIFS('Bilateral Assistance, MAIN DATA'!$P:$P,'Bilateral Assistance, MAIN DATA'!$B:$B,'Comm. per Month (Heavy Weapons)'!$B27,'Bilateral Assistance, MAIN DATA'!$AG:$AG,1,'Bilateral Assistance, MAIN DATA'!$AH:$AH,'Comm. per Month (Heavy Weapons)'!O$11, 'Bilateral Assistance, MAIN DATA'!$J:$J,"Heavy weapon")/VLOOKUP("USD",'Exchange Rates'!$B:$C,2,0))/1000000000</f>
        <v>0</v>
      </c>
      <c r="P27" s="315">
        <f>(SUMIFS('Bilateral Assistance, MAIN DATA'!$P:$P,'Bilateral Assistance, MAIN DATA'!$B:$B,'Comm. per Month (Heavy Weapons)'!$B27,'Bilateral Assistance, MAIN DATA'!$AG:$AG,1,'Bilateral Assistance, MAIN DATA'!$AH:$AH,'Comm. per Month (Heavy Weapons)'!P$11, 'Bilateral Assistance, MAIN DATA'!$J:$J,"Heavy weapon")/VLOOKUP("USD",'Exchange Rates'!$B:$C,2,0))/1000000000</f>
        <v>0</v>
      </c>
      <c r="Q27" s="315">
        <f>(SUMIFS('Bilateral Assistance, MAIN DATA'!$P:$P,'Bilateral Assistance, MAIN DATA'!$B:$B,'Comm. per Month (Heavy Weapons)'!$B27,'Bilateral Assistance, MAIN DATA'!$AG:$AG,1,'Bilateral Assistance, MAIN DATA'!$AH:$AH,'Comm. per Month (Heavy Weapons)'!Q$11, 'Bilateral Assistance, MAIN DATA'!$J:$J,"Heavy weapon")/VLOOKUP("USD",'Exchange Rates'!$B:$C,2,0))/1000000000</f>
        <v>0</v>
      </c>
      <c r="R27" s="140">
        <f t="shared" si="0"/>
        <v>2.1392096380952384E-2</v>
      </c>
    </row>
    <row r="28" spans="1:18" ht="15.9" customHeight="1" x14ac:dyDescent="0.3">
      <c r="A28" s="19"/>
      <c r="B28" s="24" t="s">
        <v>1646</v>
      </c>
      <c r="C28" s="339">
        <v>1</v>
      </c>
      <c r="D28" s="339">
        <v>0</v>
      </c>
      <c r="E28" s="315">
        <f>(SUMIFS('Bilateral Assistance, MAIN DATA'!$P:$P,'Bilateral Assistance, MAIN DATA'!$B:$B,'Comm. per Month (Heavy Weapons)'!$B28,'Bilateral Assistance, MAIN DATA'!$AG:$AG,1,'Bilateral Assistance, MAIN DATA'!$AH:$AH,'Comm. per Month (Heavy Weapons)'!E$11, 'Bilateral Assistance, MAIN DATA'!$J:$J,"Heavy weapon")/VLOOKUP("USD",'Exchange Rates'!$B:$C,2,0))/1000000000</f>
        <v>0</v>
      </c>
      <c r="F28" s="315">
        <f>(SUMIFS('Bilateral Assistance, MAIN DATA'!$P:$P,'Bilateral Assistance, MAIN DATA'!$B:$B,'Comm. per Month (Heavy Weapons)'!$B28,'Bilateral Assistance, MAIN DATA'!$AG:$AG,1,'Bilateral Assistance, MAIN DATA'!$AH:$AH,'Comm. per Month (Heavy Weapons)'!F$11, 'Bilateral Assistance, MAIN DATA'!$J:$J,"Heavy weapon")/VLOOKUP("USD",'Exchange Rates'!$B:$C,2,0))/1000000000</f>
        <v>0</v>
      </c>
      <c r="G28" s="315">
        <f>(SUMIFS('Bilateral Assistance, MAIN DATA'!$P:$P,'Bilateral Assistance, MAIN DATA'!$B:$B,'Comm. per Month (Heavy Weapons)'!$B28,'Bilateral Assistance, MAIN DATA'!$AG:$AG,1,'Bilateral Assistance, MAIN DATA'!$AH:$AH,'Comm. per Month (Heavy Weapons)'!G$11, 'Bilateral Assistance, MAIN DATA'!$J:$J,"Heavy weapon")/VLOOKUP("USD",'Exchange Rates'!$B:$C,2,0))/1000000000</f>
        <v>0</v>
      </c>
      <c r="H28" s="315">
        <f>(SUMIFS('Bilateral Assistance, MAIN DATA'!$P:$P,'Bilateral Assistance, MAIN DATA'!$B:$B,'Comm. per Month (Heavy Weapons)'!$B28,'Bilateral Assistance, MAIN DATA'!$AG:$AG,1,'Bilateral Assistance, MAIN DATA'!$AH:$AH,'Comm. per Month (Heavy Weapons)'!H$11, 'Bilateral Assistance, MAIN DATA'!$J:$J,"Heavy weapon")/VLOOKUP("USD",'Exchange Rates'!$B:$C,2,0))/1000000000</f>
        <v>0</v>
      </c>
      <c r="I28" s="315">
        <f>(SUMIFS('Bilateral Assistance, MAIN DATA'!$P:$P,'Bilateral Assistance, MAIN DATA'!$B:$B,'Comm. per Month (Heavy Weapons)'!$B28,'Bilateral Assistance, MAIN DATA'!$AG:$AG,1,'Bilateral Assistance, MAIN DATA'!$AH:$AH,'Comm. per Month (Heavy Weapons)'!I$11, 'Bilateral Assistance, MAIN DATA'!$J:$J,"Heavy weapon")/VLOOKUP("USD",'Exchange Rates'!$B:$C,2,0))/1000000000</f>
        <v>0</v>
      </c>
      <c r="J28" s="315">
        <f>(SUMIFS('Bilateral Assistance, MAIN DATA'!$P:$P,'Bilateral Assistance, MAIN DATA'!$B:$B,'Comm. per Month (Heavy Weapons)'!$B28,'Bilateral Assistance, MAIN DATA'!$AG:$AG,1,'Bilateral Assistance, MAIN DATA'!$AH:$AH,'Comm. per Month (Heavy Weapons)'!J$11, 'Bilateral Assistance, MAIN DATA'!$J:$J,"Heavy weapon")/VLOOKUP("USD",'Exchange Rates'!$B:$C,2,0))/1000000000</f>
        <v>0</v>
      </c>
      <c r="K28" s="315">
        <f>(SUMIFS('Bilateral Assistance, MAIN DATA'!$P:$P,'Bilateral Assistance, MAIN DATA'!$B:$B,'Comm. per Month (Heavy Weapons)'!$B28,'Bilateral Assistance, MAIN DATA'!$AG:$AG,1,'Bilateral Assistance, MAIN DATA'!$AH:$AH,'Comm. per Month (Heavy Weapons)'!K$11, 'Bilateral Assistance, MAIN DATA'!$J:$J,"Heavy weapon")/VLOOKUP("USD",'Exchange Rates'!$B:$C,2,0))/1000000000</f>
        <v>0</v>
      </c>
      <c r="L28" s="315">
        <f>(SUMIFS('Bilateral Assistance, MAIN DATA'!$P:$P,'Bilateral Assistance, MAIN DATA'!$B:$B,'Comm. per Month (Heavy Weapons)'!$B28,'Bilateral Assistance, MAIN DATA'!$AG:$AG,1,'Bilateral Assistance, MAIN DATA'!$AH:$AH,'Comm. per Month (Heavy Weapons)'!L$11, 'Bilateral Assistance, MAIN DATA'!$J:$J,"Heavy weapon")/VLOOKUP("USD",'Exchange Rates'!$B:$C,2,0))/1000000000</f>
        <v>0</v>
      </c>
      <c r="M28" s="315">
        <f>(SUMIFS('Bilateral Assistance, MAIN DATA'!$P:$P,'Bilateral Assistance, MAIN DATA'!$B:$B,'Comm. per Month (Heavy Weapons)'!$B28,'Bilateral Assistance, MAIN DATA'!$AG:$AG,1,'Bilateral Assistance, MAIN DATA'!$AH:$AH,'Comm. per Month (Heavy Weapons)'!M$11, 'Bilateral Assistance, MAIN DATA'!$J:$J,"Heavy weapon")/VLOOKUP("USD",'Exchange Rates'!$B:$C,2,0))/1000000000</f>
        <v>0</v>
      </c>
      <c r="N28" s="315">
        <f>(SUMIFS('Bilateral Assistance, MAIN DATA'!$P:$P,'Bilateral Assistance, MAIN DATA'!$B:$B,'Comm. per Month (Heavy Weapons)'!$B28,'Bilateral Assistance, MAIN DATA'!$AG:$AG,1,'Bilateral Assistance, MAIN DATA'!$AH:$AH,'Comm. per Month (Heavy Weapons)'!N$11, 'Bilateral Assistance, MAIN DATA'!$J:$J,"Heavy weapon")/VLOOKUP("USD",'Exchange Rates'!$B:$C,2,0))/1000000000</f>
        <v>0</v>
      </c>
      <c r="O28" s="315">
        <f>(SUMIFS('Bilateral Assistance, MAIN DATA'!$P:$P,'Bilateral Assistance, MAIN DATA'!$B:$B,'Comm. per Month (Heavy Weapons)'!$B28,'Bilateral Assistance, MAIN DATA'!$AG:$AG,1,'Bilateral Assistance, MAIN DATA'!$AH:$AH,'Comm. per Month (Heavy Weapons)'!O$11, 'Bilateral Assistance, MAIN DATA'!$J:$J,"Heavy weapon")/VLOOKUP("USD",'Exchange Rates'!$B:$C,2,0))/1000000000</f>
        <v>0</v>
      </c>
      <c r="P28" s="315">
        <f>(SUMIFS('Bilateral Assistance, MAIN DATA'!$P:$P,'Bilateral Assistance, MAIN DATA'!$B:$B,'Comm. per Month (Heavy Weapons)'!$B28,'Bilateral Assistance, MAIN DATA'!$AG:$AG,1,'Bilateral Assistance, MAIN DATA'!$AH:$AH,'Comm. per Month (Heavy Weapons)'!P$11, 'Bilateral Assistance, MAIN DATA'!$J:$J,"Heavy weapon")/VLOOKUP("USD",'Exchange Rates'!$B:$C,2,0))/1000000000</f>
        <v>0</v>
      </c>
      <c r="Q28" s="315">
        <f>(SUMIFS('Bilateral Assistance, MAIN DATA'!$P:$P,'Bilateral Assistance, MAIN DATA'!$B:$B,'Comm. per Month (Heavy Weapons)'!$B28,'Bilateral Assistance, MAIN DATA'!$AG:$AG,1,'Bilateral Assistance, MAIN DATA'!$AH:$AH,'Comm. per Month (Heavy Weapons)'!Q$11, 'Bilateral Assistance, MAIN DATA'!$J:$J,"Heavy weapon")/VLOOKUP("USD",'Exchange Rates'!$B:$C,2,0))/1000000000</f>
        <v>0</v>
      </c>
      <c r="R28" s="140">
        <f t="shared" si="0"/>
        <v>0</v>
      </c>
    </row>
    <row r="29" spans="1:18" ht="15.9" customHeight="1" x14ac:dyDescent="0.3">
      <c r="A29" s="19"/>
      <c r="B29" s="24" t="s">
        <v>1701</v>
      </c>
      <c r="C29" s="339">
        <v>1</v>
      </c>
      <c r="D29" s="339">
        <v>0</v>
      </c>
      <c r="E29" s="315">
        <f>(SUMIFS('Bilateral Assistance, MAIN DATA'!$P:$P,'Bilateral Assistance, MAIN DATA'!$B:$B,'Comm. per Month (Heavy Weapons)'!$B29,'Bilateral Assistance, MAIN DATA'!$AG:$AG,1,'Bilateral Assistance, MAIN DATA'!$AH:$AH,'Comm. per Month (Heavy Weapons)'!E$11, 'Bilateral Assistance, MAIN DATA'!$J:$J,"Heavy weapon")/VLOOKUP("USD",'Exchange Rates'!$B:$C,2,0))/1000000000</f>
        <v>0</v>
      </c>
      <c r="F29" s="315">
        <f>(SUMIFS('Bilateral Assistance, MAIN DATA'!$P:$P,'Bilateral Assistance, MAIN DATA'!$B:$B,'Comm. per Month (Heavy Weapons)'!$B29,'Bilateral Assistance, MAIN DATA'!$AG:$AG,1,'Bilateral Assistance, MAIN DATA'!$AH:$AH,'Comm. per Month (Heavy Weapons)'!F$11, 'Bilateral Assistance, MAIN DATA'!$J:$J,"Heavy weapon")/VLOOKUP("USD",'Exchange Rates'!$B:$C,2,0))/1000000000</f>
        <v>0</v>
      </c>
      <c r="G29" s="315">
        <f>(SUMIFS('Bilateral Assistance, MAIN DATA'!$P:$P,'Bilateral Assistance, MAIN DATA'!$B:$B,'Comm. per Month (Heavy Weapons)'!$B29,'Bilateral Assistance, MAIN DATA'!$AG:$AG,1,'Bilateral Assistance, MAIN DATA'!$AH:$AH,'Comm. per Month (Heavy Weapons)'!G$11, 'Bilateral Assistance, MAIN DATA'!$J:$J,"Heavy weapon")/VLOOKUP("USD",'Exchange Rates'!$B:$C,2,0))/1000000000</f>
        <v>0</v>
      </c>
      <c r="H29" s="315">
        <f>(SUMIFS('Bilateral Assistance, MAIN DATA'!$P:$P,'Bilateral Assistance, MAIN DATA'!$B:$B,'Comm. per Month (Heavy Weapons)'!$B29,'Bilateral Assistance, MAIN DATA'!$AG:$AG,1,'Bilateral Assistance, MAIN DATA'!$AH:$AH,'Comm. per Month (Heavy Weapons)'!H$11, 'Bilateral Assistance, MAIN DATA'!$J:$J,"Heavy weapon")/VLOOKUP("USD",'Exchange Rates'!$B:$C,2,0))/1000000000</f>
        <v>0</v>
      </c>
      <c r="I29" s="315">
        <f>(SUMIFS('Bilateral Assistance, MAIN DATA'!$P:$P,'Bilateral Assistance, MAIN DATA'!$B:$B,'Comm. per Month (Heavy Weapons)'!$B29,'Bilateral Assistance, MAIN DATA'!$AG:$AG,1,'Bilateral Assistance, MAIN DATA'!$AH:$AH,'Comm. per Month (Heavy Weapons)'!I$11, 'Bilateral Assistance, MAIN DATA'!$J:$J,"Heavy weapon")/VLOOKUP("USD",'Exchange Rates'!$B:$C,2,0))/1000000000</f>
        <v>0</v>
      </c>
      <c r="J29" s="315">
        <f>(SUMIFS('Bilateral Assistance, MAIN DATA'!$P:$P,'Bilateral Assistance, MAIN DATA'!$B:$B,'Comm. per Month (Heavy Weapons)'!$B29,'Bilateral Assistance, MAIN DATA'!$AG:$AG,1,'Bilateral Assistance, MAIN DATA'!$AH:$AH,'Comm. per Month (Heavy Weapons)'!J$11, 'Bilateral Assistance, MAIN DATA'!$J:$J,"Heavy weapon")/VLOOKUP("USD",'Exchange Rates'!$B:$C,2,0))/1000000000</f>
        <v>0</v>
      </c>
      <c r="K29" s="315">
        <f>(SUMIFS('Bilateral Assistance, MAIN DATA'!$P:$P,'Bilateral Assistance, MAIN DATA'!$B:$B,'Comm. per Month (Heavy Weapons)'!$B29,'Bilateral Assistance, MAIN DATA'!$AG:$AG,1,'Bilateral Assistance, MAIN DATA'!$AH:$AH,'Comm. per Month (Heavy Weapons)'!K$11, 'Bilateral Assistance, MAIN DATA'!$J:$J,"Heavy weapon")/VLOOKUP("USD",'Exchange Rates'!$B:$C,2,0))/1000000000</f>
        <v>0</v>
      </c>
      <c r="L29" s="315">
        <f>(SUMIFS('Bilateral Assistance, MAIN DATA'!$P:$P,'Bilateral Assistance, MAIN DATA'!$B:$B,'Comm. per Month (Heavy Weapons)'!$B29,'Bilateral Assistance, MAIN DATA'!$AG:$AG,1,'Bilateral Assistance, MAIN DATA'!$AH:$AH,'Comm. per Month (Heavy Weapons)'!L$11, 'Bilateral Assistance, MAIN DATA'!$J:$J,"Heavy weapon")/VLOOKUP("USD",'Exchange Rates'!$B:$C,2,0))/1000000000</f>
        <v>0</v>
      </c>
      <c r="M29" s="315">
        <f>(SUMIFS('Bilateral Assistance, MAIN DATA'!$P:$P,'Bilateral Assistance, MAIN DATA'!$B:$B,'Comm. per Month (Heavy Weapons)'!$B29,'Bilateral Assistance, MAIN DATA'!$AG:$AG,1,'Bilateral Assistance, MAIN DATA'!$AH:$AH,'Comm. per Month (Heavy Weapons)'!M$11, 'Bilateral Assistance, MAIN DATA'!$J:$J,"Heavy weapon")/VLOOKUP("USD",'Exchange Rates'!$B:$C,2,0))/1000000000</f>
        <v>0</v>
      </c>
      <c r="N29" s="315">
        <f>(SUMIFS('Bilateral Assistance, MAIN DATA'!$P:$P,'Bilateral Assistance, MAIN DATA'!$B:$B,'Comm. per Month (Heavy Weapons)'!$B29,'Bilateral Assistance, MAIN DATA'!$AG:$AG,1,'Bilateral Assistance, MAIN DATA'!$AH:$AH,'Comm. per Month (Heavy Weapons)'!N$11, 'Bilateral Assistance, MAIN DATA'!$J:$J,"Heavy weapon")/VLOOKUP("USD",'Exchange Rates'!$B:$C,2,0))/1000000000</f>
        <v>0</v>
      </c>
      <c r="O29" s="315">
        <f>(SUMIFS('Bilateral Assistance, MAIN DATA'!$P:$P,'Bilateral Assistance, MAIN DATA'!$B:$B,'Comm. per Month (Heavy Weapons)'!$B29,'Bilateral Assistance, MAIN DATA'!$AG:$AG,1,'Bilateral Assistance, MAIN DATA'!$AH:$AH,'Comm. per Month (Heavy Weapons)'!O$11, 'Bilateral Assistance, MAIN DATA'!$J:$J,"Heavy weapon")/VLOOKUP("USD",'Exchange Rates'!$B:$C,2,0))/1000000000</f>
        <v>0</v>
      </c>
      <c r="P29" s="315">
        <f>(SUMIFS('Bilateral Assistance, MAIN DATA'!$P:$P,'Bilateral Assistance, MAIN DATA'!$B:$B,'Comm. per Month (Heavy Weapons)'!$B29,'Bilateral Assistance, MAIN DATA'!$AG:$AG,1,'Bilateral Assistance, MAIN DATA'!$AH:$AH,'Comm. per Month (Heavy Weapons)'!P$11, 'Bilateral Assistance, MAIN DATA'!$J:$J,"Heavy weapon")/VLOOKUP("USD",'Exchange Rates'!$B:$C,2,0))/1000000000</f>
        <v>0</v>
      </c>
      <c r="Q29" s="315">
        <f>(SUMIFS('Bilateral Assistance, MAIN DATA'!$P:$P,'Bilateral Assistance, MAIN DATA'!$B:$B,'Comm. per Month (Heavy Weapons)'!$B29,'Bilateral Assistance, MAIN DATA'!$AG:$AG,1,'Bilateral Assistance, MAIN DATA'!$AH:$AH,'Comm. per Month (Heavy Weapons)'!Q$11, 'Bilateral Assistance, MAIN DATA'!$J:$J,"Heavy weapon")/VLOOKUP("USD",'Exchange Rates'!$B:$C,2,0))/1000000000</f>
        <v>0</v>
      </c>
      <c r="R29" s="140">
        <f t="shared" si="0"/>
        <v>0</v>
      </c>
    </row>
    <row r="30" spans="1:18" ht="15.9" customHeight="1" x14ac:dyDescent="0.3">
      <c r="A30" s="19"/>
      <c r="B30" s="24" t="s">
        <v>1730</v>
      </c>
      <c r="C30" s="339">
        <v>1</v>
      </c>
      <c r="D30" s="339">
        <v>0</v>
      </c>
      <c r="E30" s="315">
        <f>(SUMIFS('Bilateral Assistance, MAIN DATA'!$P:$P,'Bilateral Assistance, MAIN DATA'!$B:$B,'Comm. per Month (Heavy Weapons)'!$B30,'Bilateral Assistance, MAIN DATA'!$AG:$AG,1,'Bilateral Assistance, MAIN DATA'!$AH:$AH,'Comm. per Month (Heavy Weapons)'!E$11, 'Bilateral Assistance, MAIN DATA'!$J:$J,"Heavy weapon")/VLOOKUP("USD",'Exchange Rates'!$B:$C,2,0))/1000000000</f>
        <v>0</v>
      </c>
      <c r="F30" s="315">
        <f>(SUMIFS('Bilateral Assistance, MAIN DATA'!$P:$P,'Bilateral Assistance, MAIN DATA'!$B:$B,'Comm. per Month (Heavy Weapons)'!$B30,'Bilateral Assistance, MAIN DATA'!$AG:$AG,1,'Bilateral Assistance, MAIN DATA'!$AH:$AH,'Comm. per Month (Heavy Weapons)'!F$11, 'Bilateral Assistance, MAIN DATA'!$J:$J,"Heavy weapon")/VLOOKUP("USD",'Exchange Rates'!$B:$C,2,0))/1000000000</f>
        <v>0</v>
      </c>
      <c r="G30" s="315">
        <f>(SUMIFS('Bilateral Assistance, MAIN DATA'!$P:$P,'Bilateral Assistance, MAIN DATA'!$B:$B,'Comm. per Month (Heavy Weapons)'!$B30,'Bilateral Assistance, MAIN DATA'!$AG:$AG,1,'Bilateral Assistance, MAIN DATA'!$AH:$AH,'Comm. per Month (Heavy Weapons)'!G$11, 'Bilateral Assistance, MAIN DATA'!$J:$J,"Heavy weapon")/VLOOKUP("USD",'Exchange Rates'!$B:$C,2,0))/1000000000</f>
        <v>0</v>
      </c>
      <c r="H30" s="315">
        <f>(SUMIFS('Bilateral Assistance, MAIN DATA'!$P:$P,'Bilateral Assistance, MAIN DATA'!$B:$B,'Comm. per Month (Heavy Weapons)'!$B30,'Bilateral Assistance, MAIN DATA'!$AG:$AG,1,'Bilateral Assistance, MAIN DATA'!$AH:$AH,'Comm. per Month (Heavy Weapons)'!H$11, 'Bilateral Assistance, MAIN DATA'!$J:$J,"Heavy weapon")/VLOOKUP("USD",'Exchange Rates'!$B:$C,2,0))/1000000000</f>
        <v>0</v>
      </c>
      <c r="I30" s="315">
        <f>(SUMIFS('Bilateral Assistance, MAIN DATA'!$P:$P,'Bilateral Assistance, MAIN DATA'!$B:$B,'Comm. per Month (Heavy Weapons)'!$B30,'Bilateral Assistance, MAIN DATA'!$AG:$AG,1,'Bilateral Assistance, MAIN DATA'!$AH:$AH,'Comm. per Month (Heavy Weapons)'!I$11, 'Bilateral Assistance, MAIN DATA'!$J:$J,"Heavy weapon")/VLOOKUP("USD",'Exchange Rates'!$B:$C,2,0))/1000000000</f>
        <v>0</v>
      </c>
      <c r="J30" s="315">
        <f>(SUMIFS('Bilateral Assistance, MAIN DATA'!$P:$P,'Bilateral Assistance, MAIN DATA'!$B:$B,'Comm. per Month (Heavy Weapons)'!$B30,'Bilateral Assistance, MAIN DATA'!$AG:$AG,1,'Bilateral Assistance, MAIN DATA'!$AH:$AH,'Comm. per Month (Heavy Weapons)'!J$11, 'Bilateral Assistance, MAIN DATA'!$J:$J,"Heavy weapon")/VLOOKUP("USD",'Exchange Rates'!$B:$C,2,0))/1000000000</f>
        <v>0</v>
      </c>
      <c r="K30" s="315">
        <f>(SUMIFS('Bilateral Assistance, MAIN DATA'!$P:$P,'Bilateral Assistance, MAIN DATA'!$B:$B,'Comm. per Month (Heavy Weapons)'!$B30,'Bilateral Assistance, MAIN DATA'!$AG:$AG,1,'Bilateral Assistance, MAIN DATA'!$AH:$AH,'Comm. per Month (Heavy Weapons)'!K$11, 'Bilateral Assistance, MAIN DATA'!$J:$J,"Heavy weapon")/VLOOKUP("USD",'Exchange Rates'!$B:$C,2,0))/1000000000</f>
        <v>0</v>
      </c>
      <c r="L30" s="315">
        <f>(SUMIFS('Bilateral Assistance, MAIN DATA'!$P:$P,'Bilateral Assistance, MAIN DATA'!$B:$B,'Comm. per Month (Heavy Weapons)'!$B30,'Bilateral Assistance, MAIN DATA'!$AG:$AG,1,'Bilateral Assistance, MAIN DATA'!$AH:$AH,'Comm. per Month (Heavy Weapons)'!L$11, 'Bilateral Assistance, MAIN DATA'!$J:$J,"Heavy weapon")/VLOOKUP("USD",'Exchange Rates'!$B:$C,2,0))/1000000000</f>
        <v>0</v>
      </c>
      <c r="M30" s="315">
        <f>(SUMIFS('Bilateral Assistance, MAIN DATA'!$P:$P,'Bilateral Assistance, MAIN DATA'!$B:$B,'Comm. per Month (Heavy Weapons)'!$B30,'Bilateral Assistance, MAIN DATA'!$AG:$AG,1,'Bilateral Assistance, MAIN DATA'!$AH:$AH,'Comm. per Month (Heavy Weapons)'!M$11, 'Bilateral Assistance, MAIN DATA'!$J:$J,"Heavy weapon")/VLOOKUP("USD",'Exchange Rates'!$B:$C,2,0))/1000000000</f>
        <v>0</v>
      </c>
      <c r="N30" s="315">
        <f>(SUMIFS('Bilateral Assistance, MAIN DATA'!$P:$P,'Bilateral Assistance, MAIN DATA'!$B:$B,'Comm. per Month (Heavy Weapons)'!$B30,'Bilateral Assistance, MAIN DATA'!$AG:$AG,1,'Bilateral Assistance, MAIN DATA'!$AH:$AH,'Comm. per Month (Heavy Weapons)'!N$11, 'Bilateral Assistance, MAIN DATA'!$J:$J,"Heavy weapon")/VLOOKUP("USD",'Exchange Rates'!$B:$C,2,0))/1000000000</f>
        <v>0.16109369583395583</v>
      </c>
      <c r="O30" s="315">
        <f>(SUMIFS('Bilateral Assistance, MAIN DATA'!$P:$P,'Bilateral Assistance, MAIN DATA'!$B:$B,'Comm. per Month (Heavy Weapons)'!$B30,'Bilateral Assistance, MAIN DATA'!$AG:$AG,1,'Bilateral Assistance, MAIN DATA'!$AH:$AH,'Comm. per Month (Heavy Weapons)'!O$11, 'Bilateral Assistance, MAIN DATA'!$J:$J,"Heavy weapon")/VLOOKUP("USD",'Exchange Rates'!$B:$C,2,0))/1000000000</f>
        <v>0</v>
      </c>
      <c r="P30" s="315">
        <f>(SUMIFS('Bilateral Assistance, MAIN DATA'!$P:$P,'Bilateral Assistance, MAIN DATA'!$B:$B,'Comm. per Month (Heavy Weapons)'!$B30,'Bilateral Assistance, MAIN DATA'!$AG:$AG,1,'Bilateral Assistance, MAIN DATA'!$AH:$AH,'Comm. per Month (Heavy Weapons)'!P$11, 'Bilateral Assistance, MAIN DATA'!$J:$J,"Heavy weapon")/VLOOKUP("USD",'Exchange Rates'!$B:$C,2,0))/1000000000</f>
        <v>0</v>
      </c>
      <c r="Q30" s="315">
        <f>(SUMIFS('Bilateral Assistance, MAIN DATA'!$P:$P,'Bilateral Assistance, MAIN DATA'!$B:$B,'Comm. per Month (Heavy Weapons)'!$B30,'Bilateral Assistance, MAIN DATA'!$AG:$AG,1,'Bilateral Assistance, MAIN DATA'!$AH:$AH,'Comm. per Month (Heavy Weapons)'!Q$11, 'Bilateral Assistance, MAIN DATA'!$J:$J,"Heavy weapon")/VLOOKUP("USD",'Exchange Rates'!$B:$C,2,0))/1000000000</f>
        <v>0.32549523809523812</v>
      </c>
      <c r="R30" s="140">
        <f t="shared" si="0"/>
        <v>0.48658893392919395</v>
      </c>
    </row>
    <row r="31" spans="1:18" ht="15.9" customHeight="1" x14ac:dyDescent="0.3">
      <c r="A31" s="19"/>
      <c r="B31" s="24" t="s">
        <v>1804</v>
      </c>
      <c r="C31" s="339">
        <v>0</v>
      </c>
      <c r="D31" s="339">
        <v>0</v>
      </c>
      <c r="E31" s="315">
        <f>(SUMIFS('Bilateral Assistance, MAIN DATA'!$P:$P,'Bilateral Assistance, MAIN DATA'!$B:$B,'Comm. per Month (Heavy Weapons)'!$B31,'Bilateral Assistance, MAIN DATA'!$AG:$AG,1,'Bilateral Assistance, MAIN DATA'!$AH:$AH,'Comm. per Month (Heavy Weapons)'!E$11, 'Bilateral Assistance, MAIN DATA'!$J:$J,"Heavy weapon")/VLOOKUP("USD",'Exchange Rates'!$B:$C,2,0))/1000000000</f>
        <v>0</v>
      </c>
      <c r="F31" s="315">
        <f>(SUMIFS('Bilateral Assistance, MAIN DATA'!$P:$P,'Bilateral Assistance, MAIN DATA'!$B:$B,'Comm. per Month (Heavy Weapons)'!$B31,'Bilateral Assistance, MAIN DATA'!$AG:$AG,1,'Bilateral Assistance, MAIN DATA'!$AH:$AH,'Comm. per Month (Heavy Weapons)'!F$11, 'Bilateral Assistance, MAIN DATA'!$J:$J,"Heavy weapon")/VLOOKUP("USD",'Exchange Rates'!$B:$C,2,0))/1000000000</f>
        <v>0</v>
      </c>
      <c r="G31" s="315">
        <f>(SUMIFS('Bilateral Assistance, MAIN DATA'!$P:$P,'Bilateral Assistance, MAIN DATA'!$B:$B,'Comm. per Month (Heavy Weapons)'!$B31,'Bilateral Assistance, MAIN DATA'!$AG:$AG,1,'Bilateral Assistance, MAIN DATA'!$AH:$AH,'Comm. per Month (Heavy Weapons)'!G$11, 'Bilateral Assistance, MAIN DATA'!$J:$J,"Heavy weapon")/VLOOKUP("USD",'Exchange Rates'!$B:$C,2,0))/1000000000</f>
        <v>0</v>
      </c>
      <c r="H31" s="315">
        <f>(SUMIFS('Bilateral Assistance, MAIN DATA'!$P:$P,'Bilateral Assistance, MAIN DATA'!$B:$B,'Comm. per Month (Heavy Weapons)'!$B31,'Bilateral Assistance, MAIN DATA'!$AG:$AG,1,'Bilateral Assistance, MAIN DATA'!$AH:$AH,'Comm. per Month (Heavy Weapons)'!H$11, 'Bilateral Assistance, MAIN DATA'!$J:$J,"Heavy weapon")/VLOOKUP("USD",'Exchange Rates'!$B:$C,2,0))/1000000000</f>
        <v>0</v>
      </c>
      <c r="I31" s="315">
        <f>(SUMIFS('Bilateral Assistance, MAIN DATA'!$P:$P,'Bilateral Assistance, MAIN DATA'!$B:$B,'Comm. per Month (Heavy Weapons)'!$B31,'Bilateral Assistance, MAIN DATA'!$AG:$AG,1,'Bilateral Assistance, MAIN DATA'!$AH:$AH,'Comm. per Month (Heavy Weapons)'!I$11, 'Bilateral Assistance, MAIN DATA'!$J:$J,"Heavy weapon")/VLOOKUP("USD",'Exchange Rates'!$B:$C,2,0))/1000000000</f>
        <v>0</v>
      </c>
      <c r="J31" s="315">
        <f>(SUMIFS('Bilateral Assistance, MAIN DATA'!$P:$P,'Bilateral Assistance, MAIN DATA'!$B:$B,'Comm. per Month (Heavy Weapons)'!$B31,'Bilateral Assistance, MAIN DATA'!$AG:$AG,1,'Bilateral Assistance, MAIN DATA'!$AH:$AH,'Comm. per Month (Heavy Weapons)'!J$11, 'Bilateral Assistance, MAIN DATA'!$J:$J,"Heavy weapon")/VLOOKUP("USD",'Exchange Rates'!$B:$C,2,0))/1000000000</f>
        <v>0</v>
      </c>
      <c r="K31" s="315">
        <f>(SUMIFS('Bilateral Assistance, MAIN DATA'!$P:$P,'Bilateral Assistance, MAIN DATA'!$B:$B,'Comm. per Month (Heavy Weapons)'!$B31,'Bilateral Assistance, MAIN DATA'!$AG:$AG,1,'Bilateral Assistance, MAIN DATA'!$AH:$AH,'Comm. per Month (Heavy Weapons)'!K$11, 'Bilateral Assistance, MAIN DATA'!$J:$J,"Heavy weapon")/VLOOKUP("USD",'Exchange Rates'!$B:$C,2,0))/1000000000</f>
        <v>0</v>
      </c>
      <c r="L31" s="315">
        <f>(SUMIFS('Bilateral Assistance, MAIN DATA'!$P:$P,'Bilateral Assistance, MAIN DATA'!$B:$B,'Comm. per Month (Heavy Weapons)'!$B31,'Bilateral Assistance, MAIN DATA'!$AG:$AG,1,'Bilateral Assistance, MAIN DATA'!$AH:$AH,'Comm. per Month (Heavy Weapons)'!L$11, 'Bilateral Assistance, MAIN DATA'!$J:$J,"Heavy weapon")/VLOOKUP("USD",'Exchange Rates'!$B:$C,2,0))/1000000000</f>
        <v>0</v>
      </c>
      <c r="M31" s="315">
        <f>(SUMIFS('Bilateral Assistance, MAIN DATA'!$P:$P,'Bilateral Assistance, MAIN DATA'!$B:$B,'Comm. per Month (Heavy Weapons)'!$B31,'Bilateral Assistance, MAIN DATA'!$AG:$AG,1,'Bilateral Assistance, MAIN DATA'!$AH:$AH,'Comm. per Month (Heavy Weapons)'!M$11, 'Bilateral Assistance, MAIN DATA'!$J:$J,"Heavy weapon")/VLOOKUP("USD",'Exchange Rates'!$B:$C,2,0))/1000000000</f>
        <v>0</v>
      </c>
      <c r="N31" s="315">
        <f>(SUMIFS('Bilateral Assistance, MAIN DATA'!$P:$P,'Bilateral Assistance, MAIN DATA'!$B:$B,'Comm. per Month (Heavy Weapons)'!$B31,'Bilateral Assistance, MAIN DATA'!$AG:$AG,1,'Bilateral Assistance, MAIN DATA'!$AH:$AH,'Comm. per Month (Heavy Weapons)'!N$11, 'Bilateral Assistance, MAIN DATA'!$J:$J,"Heavy weapon")/VLOOKUP("USD",'Exchange Rates'!$B:$C,2,0))/1000000000</f>
        <v>0</v>
      </c>
      <c r="O31" s="315">
        <f>(SUMIFS('Bilateral Assistance, MAIN DATA'!$P:$P,'Bilateral Assistance, MAIN DATA'!$B:$B,'Comm. per Month (Heavy Weapons)'!$B31,'Bilateral Assistance, MAIN DATA'!$AG:$AG,1,'Bilateral Assistance, MAIN DATA'!$AH:$AH,'Comm. per Month (Heavy Weapons)'!O$11, 'Bilateral Assistance, MAIN DATA'!$J:$J,"Heavy weapon")/VLOOKUP("USD",'Exchange Rates'!$B:$C,2,0))/1000000000</f>
        <v>0</v>
      </c>
      <c r="P31" s="315">
        <f>(SUMIFS('Bilateral Assistance, MAIN DATA'!$P:$P,'Bilateral Assistance, MAIN DATA'!$B:$B,'Comm. per Month (Heavy Weapons)'!$B31,'Bilateral Assistance, MAIN DATA'!$AG:$AG,1,'Bilateral Assistance, MAIN DATA'!$AH:$AH,'Comm. per Month (Heavy Weapons)'!P$11, 'Bilateral Assistance, MAIN DATA'!$J:$J,"Heavy weapon")/VLOOKUP("USD",'Exchange Rates'!$B:$C,2,0))/1000000000</f>
        <v>0</v>
      </c>
      <c r="Q31" s="315">
        <f>(SUMIFS('Bilateral Assistance, MAIN DATA'!$P:$P,'Bilateral Assistance, MAIN DATA'!$B:$B,'Comm. per Month (Heavy Weapons)'!$B31,'Bilateral Assistance, MAIN DATA'!$AG:$AG,1,'Bilateral Assistance, MAIN DATA'!$AH:$AH,'Comm. per Month (Heavy Weapons)'!Q$11, 'Bilateral Assistance, MAIN DATA'!$J:$J,"Heavy weapon")/VLOOKUP("USD",'Exchange Rates'!$B:$C,2,0))/1000000000</f>
        <v>0</v>
      </c>
      <c r="R31" s="140">
        <f t="shared" si="0"/>
        <v>0</v>
      </c>
    </row>
    <row r="32" spans="1:18" ht="15.9" customHeight="1" x14ac:dyDescent="0.3">
      <c r="A32" s="19"/>
      <c r="B32" s="24" t="s">
        <v>1861</v>
      </c>
      <c r="C32" s="339">
        <v>1</v>
      </c>
      <c r="D32" s="339">
        <v>0</v>
      </c>
      <c r="E32" s="315">
        <f>(SUMIFS('Bilateral Assistance, MAIN DATA'!$P:$P,'Bilateral Assistance, MAIN DATA'!$B:$B,'Comm. per Month (Heavy Weapons)'!$B32,'Bilateral Assistance, MAIN DATA'!$AG:$AG,1,'Bilateral Assistance, MAIN DATA'!$AH:$AH,'Comm. per Month (Heavy Weapons)'!E$11, 'Bilateral Assistance, MAIN DATA'!$J:$J,"Heavy weapon")/VLOOKUP("USD",'Exchange Rates'!$B:$C,2,0))/1000000000</f>
        <v>0</v>
      </c>
      <c r="F32" s="315">
        <f>(SUMIFS('Bilateral Assistance, MAIN DATA'!$P:$P,'Bilateral Assistance, MAIN DATA'!$B:$B,'Comm. per Month (Heavy Weapons)'!$B32,'Bilateral Assistance, MAIN DATA'!$AG:$AG,1,'Bilateral Assistance, MAIN DATA'!$AH:$AH,'Comm. per Month (Heavy Weapons)'!F$11, 'Bilateral Assistance, MAIN DATA'!$J:$J,"Heavy weapon")/VLOOKUP("USD",'Exchange Rates'!$B:$C,2,0))/1000000000</f>
        <v>0</v>
      </c>
      <c r="G32" s="315">
        <f>(SUMIFS('Bilateral Assistance, MAIN DATA'!$P:$P,'Bilateral Assistance, MAIN DATA'!$B:$B,'Comm. per Month (Heavy Weapons)'!$B32,'Bilateral Assistance, MAIN DATA'!$AG:$AG,1,'Bilateral Assistance, MAIN DATA'!$AH:$AH,'Comm. per Month (Heavy Weapons)'!G$11, 'Bilateral Assistance, MAIN DATA'!$J:$J,"Heavy weapon")/VLOOKUP("USD",'Exchange Rates'!$B:$C,2,0))/1000000000</f>
        <v>0</v>
      </c>
      <c r="H32" s="315">
        <f>(SUMIFS('Bilateral Assistance, MAIN DATA'!$P:$P,'Bilateral Assistance, MAIN DATA'!$B:$B,'Comm. per Month (Heavy Weapons)'!$B32,'Bilateral Assistance, MAIN DATA'!$AG:$AG,1,'Bilateral Assistance, MAIN DATA'!$AH:$AH,'Comm. per Month (Heavy Weapons)'!H$11, 'Bilateral Assistance, MAIN DATA'!$J:$J,"Heavy weapon")/VLOOKUP("USD",'Exchange Rates'!$B:$C,2,0))/1000000000</f>
        <v>0</v>
      </c>
      <c r="I32" s="315">
        <f>(SUMIFS('Bilateral Assistance, MAIN DATA'!$P:$P,'Bilateral Assistance, MAIN DATA'!$B:$B,'Comm. per Month (Heavy Weapons)'!$B32,'Bilateral Assistance, MAIN DATA'!$AG:$AG,1,'Bilateral Assistance, MAIN DATA'!$AH:$AH,'Comm. per Month (Heavy Weapons)'!I$11, 'Bilateral Assistance, MAIN DATA'!$J:$J,"Heavy weapon")/VLOOKUP("USD",'Exchange Rates'!$B:$C,2,0))/1000000000</f>
        <v>0</v>
      </c>
      <c r="J32" s="315">
        <f>(SUMIFS('Bilateral Assistance, MAIN DATA'!$P:$P,'Bilateral Assistance, MAIN DATA'!$B:$B,'Comm. per Month (Heavy Weapons)'!$B32,'Bilateral Assistance, MAIN DATA'!$AG:$AG,1,'Bilateral Assistance, MAIN DATA'!$AH:$AH,'Comm. per Month (Heavy Weapons)'!J$11, 'Bilateral Assistance, MAIN DATA'!$J:$J,"Heavy weapon")/VLOOKUP("USD",'Exchange Rates'!$B:$C,2,0))/1000000000</f>
        <v>0</v>
      </c>
      <c r="K32" s="315">
        <f>(SUMIFS('Bilateral Assistance, MAIN DATA'!$P:$P,'Bilateral Assistance, MAIN DATA'!$B:$B,'Comm. per Month (Heavy Weapons)'!$B32,'Bilateral Assistance, MAIN DATA'!$AG:$AG,1,'Bilateral Assistance, MAIN DATA'!$AH:$AH,'Comm. per Month (Heavy Weapons)'!K$11, 'Bilateral Assistance, MAIN DATA'!$J:$J,"Heavy weapon")/VLOOKUP("USD",'Exchange Rates'!$B:$C,2,0))/1000000000</f>
        <v>0</v>
      </c>
      <c r="L32" s="315">
        <f>(SUMIFS('Bilateral Assistance, MAIN DATA'!$P:$P,'Bilateral Assistance, MAIN DATA'!$B:$B,'Comm. per Month (Heavy Weapons)'!$B32,'Bilateral Assistance, MAIN DATA'!$AG:$AG,1,'Bilateral Assistance, MAIN DATA'!$AH:$AH,'Comm. per Month (Heavy Weapons)'!L$11, 'Bilateral Assistance, MAIN DATA'!$J:$J,"Heavy weapon")/VLOOKUP("USD",'Exchange Rates'!$B:$C,2,0))/1000000000</f>
        <v>9.9130703308350845E-3</v>
      </c>
      <c r="M32" s="315">
        <f>(SUMIFS('Bilateral Assistance, MAIN DATA'!$P:$P,'Bilateral Assistance, MAIN DATA'!$B:$B,'Comm. per Month (Heavy Weapons)'!$B32,'Bilateral Assistance, MAIN DATA'!$AG:$AG,1,'Bilateral Assistance, MAIN DATA'!$AH:$AH,'Comm. per Month (Heavy Weapons)'!M$11, 'Bilateral Assistance, MAIN DATA'!$J:$J,"Heavy weapon")/VLOOKUP("USD",'Exchange Rates'!$B:$C,2,0))/1000000000</f>
        <v>0</v>
      </c>
      <c r="N32" s="315">
        <f>(SUMIFS('Bilateral Assistance, MAIN DATA'!$P:$P,'Bilateral Assistance, MAIN DATA'!$B:$B,'Comm. per Month (Heavy Weapons)'!$B32,'Bilateral Assistance, MAIN DATA'!$AG:$AG,1,'Bilateral Assistance, MAIN DATA'!$AH:$AH,'Comm. per Month (Heavy Weapons)'!N$11, 'Bilateral Assistance, MAIN DATA'!$J:$J,"Heavy weapon")/VLOOKUP("USD",'Exchange Rates'!$B:$C,2,0))/1000000000</f>
        <v>0</v>
      </c>
      <c r="O32" s="315">
        <f>(SUMIFS('Bilateral Assistance, MAIN DATA'!$P:$P,'Bilateral Assistance, MAIN DATA'!$B:$B,'Comm. per Month (Heavy Weapons)'!$B32,'Bilateral Assistance, MAIN DATA'!$AG:$AG,1,'Bilateral Assistance, MAIN DATA'!$AH:$AH,'Comm. per Month (Heavy Weapons)'!O$11, 'Bilateral Assistance, MAIN DATA'!$J:$J,"Heavy weapon")/VLOOKUP("USD",'Exchange Rates'!$B:$C,2,0))/1000000000</f>
        <v>0</v>
      </c>
      <c r="P32" s="315">
        <f>(SUMIFS('Bilateral Assistance, MAIN DATA'!$P:$P,'Bilateral Assistance, MAIN DATA'!$B:$B,'Comm. per Month (Heavy Weapons)'!$B32,'Bilateral Assistance, MAIN DATA'!$AG:$AG,1,'Bilateral Assistance, MAIN DATA'!$AH:$AH,'Comm. per Month (Heavy Weapons)'!P$11, 'Bilateral Assistance, MAIN DATA'!$J:$J,"Heavy weapon")/VLOOKUP("USD",'Exchange Rates'!$B:$C,2,0))/1000000000</f>
        <v>0</v>
      </c>
      <c r="Q32" s="315">
        <f>(SUMIFS('Bilateral Assistance, MAIN DATA'!$P:$P,'Bilateral Assistance, MAIN DATA'!$B:$B,'Comm. per Month (Heavy Weapons)'!$B32,'Bilateral Assistance, MAIN DATA'!$AG:$AG,1,'Bilateral Assistance, MAIN DATA'!$AH:$AH,'Comm. per Month (Heavy Weapons)'!Q$11, 'Bilateral Assistance, MAIN DATA'!$J:$J,"Heavy weapon")/VLOOKUP("USD",'Exchange Rates'!$B:$C,2,0))/1000000000</f>
        <v>0</v>
      </c>
      <c r="R32" s="140">
        <f t="shared" si="0"/>
        <v>9.9130703308350845E-3</v>
      </c>
    </row>
    <row r="33" spans="1:18" ht="15.9" customHeight="1" x14ac:dyDescent="0.3">
      <c r="A33" s="19"/>
      <c r="B33" s="24" t="s">
        <v>1919</v>
      </c>
      <c r="C33" s="339">
        <v>1</v>
      </c>
      <c r="D33" s="339">
        <v>0</v>
      </c>
      <c r="E33" s="315">
        <f>(SUMIFS('Bilateral Assistance, MAIN DATA'!$P:$P,'Bilateral Assistance, MAIN DATA'!$B:$B,'Comm. per Month (Heavy Weapons)'!$B33,'Bilateral Assistance, MAIN DATA'!$AG:$AG,1,'Bilateral Assistance, MAIN DATA'!$AH:$AH,'Comm. per Month (Heavy Weapons)'!E$11, 'Bilateral Assistance, MAIN DATA'!$J:$J,"Heavy weapon")/VLOOKUP("USD",'Exchange Rates'!$B:$C,2,0))/1000000000</f>
        <v>0</v>
      </c>
      <c r="F33" s="315">
        <f>(SUMIFS('Bilateral Assistance, MAIN DATA'!$P:$P,'Bilateral Assistance, MAIN DATA'!$B:$B,'Comm. per Month (Heavy Weapons)'!$B33,'Bilateral Assistance, MAIN DATA'!$AG:$AG,1,'Bilateral Assistance, MAIN DATA'!$AH:$AH,'Comm. per Month (Heavy Weapons)'!F$11, 'Bilateral Assistance, MAIN DATA'!$J:$J,"Heavy weapon")/VLOOKUP("USD",'Exchange Rates'!$B:$C,2,0))/1000000000</f>
        <v>0</v>
      </c>
      <c r="G33" s="315">
        <f>(SUMIFS('Bilateral Assistance, MAIN DATA'!$P:$P,'Bilateral Assistance, MAIN DATA'!$B:$B,'Comm. per Month (Heavy Weapons)'!$B33,'Bilateral Assistance, MAIN DATA'!$AG:$AG,1,'Bilateral Assistance, MAIN DATA'!$AH:$AH,'Comm. per Month (Heavy Weapons)'!G$11, 'Bilateral Assistance, MAIN DATA'!$J:$J,"Heavy weapon")/VLOOKUP("USD",'Exchange Rates'!$B:$C,2,0))/1000000000</f>
        <v>0</v>
      </c>
      <c r="H33" s="315">
        <f>(SUMIFS('Bilateral Assistance, MAIN DATA'!$P:$P,'Bilateral Assistance, MAIN DATA'!$B:$B,'Comm. per Month (Heavy Weapons)'!$B33,'Bilateral Assistance, MAIN DATA'!$AG:$AG,1,'Bilateral Assistance, MAIN DATA'!$AH:$AH,'Comm. per Month (Heavy Weapons)'!H$11, 'Bilateral Assistance, MAIN DATA'!$J:$J,"Heavy weapon")/VLOOKUP("USD",'Exchange Rates'!$B:$C,2,0))/1000000000</f>
        <v>0</v>
      </c>
      <c r="I33" s="315">
        <f>(SUMIFS('Bilateral Assistance, MAIN DATA'!$P:$P,'Bilateral Assistance, MAIN DATA'!$B:$B,'Comm. per Month (Heavy Weapons)'!$B33,'Bilateral Assistance, MAIN DATA'!$AG:$AG,1,'Bilateral Assistance, MAIN DATA'!$AH:$AH,'Comm. per Month (Heavy Weapons)'!I$11, 'Bilateral Assistance, MAIN DATA'!$J:$J,"Heavy weapon")/VLOOKUP("USD",'Exchange Rates'!$B:$C,2,0))/1000000000</f>
        <v>5.7142857142857134E-3</v>
      </c>
      <c r="J33" s="315">
        <f>(SUMIFS('Bilateral Assistance, MAIN DATA'!$P:$P,'Bilateral Assistance, MAIN DATA'!$B:$B,'Comm. per Month (Heavy Weapons)'!$B33,'Bilateral Assistance, MAIN DATA'!$AG:$AG,1,'Bilateral Assistance, MAIN DATA'!$AH:$AH,'Comm. per Month (Heavy Weapons)'!J$11, 'Bilateral Assistance, MAIN DATA'!$J:$J,"Heavy weapon")/VLOOKUP("USD",'Exchange Rates'!$B:$C,2,0))/1000000000</f>
        <v>0</v>
      </c>
      <c r="K33" s="315">
        <f>(SUMIFS('Bilateral Assistance, MAIN DATA'!$P:$P,'Bilateral Assistance, MAIN DATA'!$B:$B,'Comm. per Month (Heavy Weapons)'!$B33,'Bilateral Assistance, MAIN DATA'!$AG:$AG,1,'Bilateral Assistance, MAIN DATA'!$AH:$AH,'Comm. per Month (Heavy Weapons)'!K$11, 'Bilateral Assistance, MAIN DATA'!$J:$J,"Heavy weapon")/VLOOKUP("USD",'Exchange Rates'!$B:$C,2,0))/1000000000</f>
        <v>8.5714285714285701E-3</v>
      </c>
      <c r="L33" s="315">
        <f>(SUMIFS('Bilateral Assistance, MAIN DATA'!$P:$P,'Bilateral Assistance, MAIN DATA'!$B:$B,'Comm. per Month (Heavy Weapons)'!$B33,'Bilateral Assistance, MAIN DATA'!$AG:$AG,1,'Bilateral Assistance, MAIN DATA'!$AH:$AH,'Comm. per Month (Heavy Weapons)'!L$11, 'Bilateral Assistance, MAIN DATA'!$J:$J,"Heavy weapon")/VLOOKUP("USD",'Exchange Rates'!$B:$C,2,0))/1000000000</f>
        <v>0</v>
      </c>
      <c r="M33" s="315">
        <f>(SUMIFS('Bilateral Assistance, MAIN DATA'!$P:$P,'Bilateral Assistance, MAIN DATA'!$B:$B,'Comm. per Month (Heavy Weapons)'!$B33,'Bilateral Assistance, MAIN DATA'!$AG:$AG,1,'Bilateral Assistance, MAIN DATA'!$AH:$AH,'Comm. per Month (Heavy Weapons)'!M$11, 'Bilateral Assistance, MAIN DATA'!$J:$J,"Heavy weapon")/VLOOKUP("USD",'Exchange Rates'!$B:$C,2,0))/1000000000</f>
        <v>0</v>
      </c>
      <c r="N33" s="315">
        <f>(SUMIFS('Bilateral Assistance, MAIN DATA'!$P:$P,'Bilateral Assistance, MAIN DATA'!$B:$B,'Comm. per Month (Heavy Weapons)'!$B33,'Bilateral Assistance, MAIN DATA'!$AG:$AG,1,'Bilateral Assistance, MAIN DATA'!$AH:$AH,'Comm. per Month (Heavy Weapons)'!N$11, 'Bilateral Assistance, MAIN DATA'!$J:$J,"Heavy weapon")/VLOOKUP("USD",'Exchange Rates'!$B:$C,2,0))/1000000000</f>
        <v>7.839887619047619E-3</v>
      </c>
      <c r="O33" s="315">
        <f>(SUMIFS('Bilateral Assistance, MAIN DATA'!$P:$P,'Bilateral Assistance, MAIN DATA'!$B:$B,'Comm. per Month (Heavy Weapons)'!$B33,'Bilateral Assistance, MAIN DATA'!$AG:$AG,1,'Bilateral Assistance, MAIN DATA'!$AH:$AH,'Comm. per Month (Heavy Weapons)'!O$11, 'Bilateral Assistance, MAIN DATA'!$J:$J,"Heavy weapon")/VLOOKUP("USD",'Exchange Rates'!$B:$C,2,0))/1000000000</f>
        <v>0</v>
      </c>
      <c r="P33" s="315">
        <f>(SUMIFS('Bilateral Assistance, MAIN DATA'!$P:$P,'Bilateral Assistance, MAIN DATA'!$B:$B,'Comm. per Month (Heavy Weapons)'!$B33,'Bilateral Assistance, MAIN DATA'!$AG:$AG,1,'Bilateral Assistance, MAIN DATA'!$AH:$AH,'Comm. per Month (Heavy Weapons)'!P$11, 'Bilateral Assistance, MAIN DATA'!$J:$J,"Heavy weapon")/VLOOKUP("USD",'Exchange Rates'!$B:$C,2,0))/1000000000</f>
        <v>0</v>
      </c>
      <c r="Q33" s="315">
        <f>(SUMIFS('Bilateral Assistance, MAIN DATA'!$P:$P,'Bilateral Assistance, MAIN DATA'!$B:$B,'Comm. per Month (Heavy Weapons)'!$B33,'Bilateral Assistance, MAIN DATA'!$AG:$AG,1,'Bilateral Assistance, MAIN DATA'!$AH:$AH,'Comm. per Month (Heavy Weapons)'!Q$11, 'Bilateral Assistance, MAIN DATA'!$J:$J,"Heavy weapon")/VLOOKUP("USD",'Exchange Rates'!$B:$C,2,0))/1000000000</f>
        <v>0</v>
      </c>
      <c r="R33" s="140">
        <f t="shared" si="0"/>
        <v>2.2125601904761902E-2</v>
      </c>
    </row>
    <row r="34" spans="1:18" ht="15.9" customHeight="1" x14ac:dyDescent="0.3">
      <c r="A34" s="19"/>
      <c r="B34" s="24" t="s">
        <v>2024</v>
      </c>
      <c r="C34" s="339">
        <v>1</v>
      </c>
      <c r="D34" s="339">
        <v>0</v>
      </c>
      <c r="E34" s="315">
        <f>(SUMIFS('Bilateral Assistance, MAIN DATA'!$P:$P,'Bilateral Assistance, MAIN DATA'!$B:$B,'Comm. per Month (Heavy Weapons)'!$B34,'Bilateral Assistance, MAIN DATA'!$AG:$AG,1,'Bilateral Assistance, MAIN DATA'!$AH:$AH,'Comm. per Month (Heavy Weapons)'!E$11, 'Bilateral Assistance, MAIN DATA'!$J:$J,"Heavy weapon")/VLOOKUP("USD",'Exchange Rates'!$B:$C,2,0))/1000000000</f>
        <v>0</v>
      </c>
      <c r="F34" s="315">
        <f>(SUMIFS('Bilateral Assistance, MAIN DATA'!$P:$P,'Bilateral Assistance, MAIN DATA'!$B:$B,'Comm. per Month (Heavy Weapons)'!$B34,'Bilateral Assistance, MAIN DATA'!$AG:$AG,1,'Bilateral Assistance, MAIN DATA'!$AH:$AH,'Comm. per Month (Heavy Weapons)'!F$11, 'Bilateral Assistance, MAIN DATA'!$J:$J,"Heavy weapon")/VLOOKUP("USD",'Exchange Rates'!$B:$C,2,0))/1000000000</f>
        <v>0</v>
      </c>
      <c r="G34" s="315">
        <f>(SUMIFS('Bilateral Assistance, MAIN DATA'!$P:$P,'Bilateral Assistance, MAIN DATA'!$B:$B,'Comm. per Month (Heavy Weapons)'!$B34,'Bilateral Assistance, MAIN DATA'!$AG:$AG,1,'Bilateral Assistance, MAIN DATA'!$AH:$AH,'Comm. per Month (Heavy Weapons)'!G$11, 'Bilateral Assistance, MAIN DATA'!$J:$J,"Heavy weapon")/VLOOKUP("USD",'Exchange Rates'!$B:$C,2,0))/1000000000</f>
        <v>6.7924533333333327E-3</v>
      </c>
      <c r="H34" s="315">
        <f>(SUMIFS('Bilateral Assistance, MAIN DATA'!$P:$P,'Bilateral Assistance, MAIN DATA'!$B:$B,'Comm. per Month (Heavy Weapons)'!$B34,'Bilateral Assistance, MAIN DATA'!$AG:$AG,1,'Bilateral Assistance, MAIN DATA'!$AH:$AH,'Comm. per Month (Heavy Weapons)'!H$11, 'Bilateral Assistance, MAIN DATA'!$J:$J,"Heavy weapon")/VLOOKUP("USD",'Exchange Rates'!$B:$C,2,0))/1000000000</f>
        <v>0</v>
      </c>
      <c r="I34" s="315">
        <f>(SUMIFS('Bilateral Assistance, MAIN DATA'!$P:$P,'Bilateral Assistance, MAIN DATA'!$B:$B,'Comm. per Month (Heavy Weapons)'!$B34,'Bilateral Assistance, MAIN DATA'!$AG:$AG,1,'Bilateral Assistance, MAIN DATA'!$AH:$AH,'Comm. per Month (Heavy Weapons)'!I$11, 'Bilateral Assistance, MAIN DATA'!$J:$J,"Heavy weapon")/VLOOKUP("USD",'Exchange Rates'!$B:$C,2,0))/1000000000</f>
        <v>0</v>
      </c>
      <c r="J34" s="315">
        <f>(SUMIFS('Bilateral Assistance, MAIN DATA'!$P:$P,'Bilateral Assistance, MAIN DATA'!$B:$B,'Comm. per Month (Heavy Weapons)'!$B34,'Bilateral Assistance, MAIN DATA'!$AG:$AG,1,'Bilateral Assistance, MAIN DATA'!$AH:$AH,'Comm. per Month (Heavy Weapons)'!J$11, 'Bilateral Assistance, MAIN DATA'!$J:$J,"Heavy weapon")/VLOOKUP("USD",'Exchange Rates'!$B:$C,2,0))/1000000000</f>
        <v>0</v>
      </c>
      <c r="K34" s="315">
        <f>(SUMIFS('Bilateral Assistance, MAIN DATA'!$P:$P,'Bilateral Assistance, MAIN DATA'!$B:$B,'Comm. per Month (Heavy Weapons)'!$B34,'Bilateral Assistance, MAIN DATA'!$AG:$AG,1,'Bilateral Assistance, MAIN DATA'!$AH:$AH,'Comm. per Month (Heavy Weapons)'!K$11, 'Bilateral Assistance, MAIN DATA'!$J:$J,"Heavy weapon")/VLOOKUP("USD",'Exchange Rates'!$B:$C,2,0))/1000000000</f>
        <v>0</v>
      </c>
      <c r="L34" s="315">
        <f>(SUMIFS('Bilateral Assistance, MAIN DATA'!$P:$P,'Bilateral Assistance, MAIN DATA'!$B:$B,'Comm. per Month (Heavy Weapons)'!$B34,'Bilateral Assistance, MAIN DATA'!$AG:$AG,1,'Bilateral Assistance, MAIN DATA'!$AH:$AH,'Comm. per Month (Heavy Weapons)'!L$11, 'Bilateral Assistance, MAIN DATA'!$J:$J,"Heavy weapon")/VLOOKUP("USD",'Exchange Rates'!$B:$C,2,0))/1000000000</f>
        <v>0</v>
      </c>
      <c r="M34" s="315">
        <f>(SUMIFS('Bilateral Assistance, MAIN DATA'!$P:$P,'Bilateral Assistance, MAIN DATA'!$B:$B,'Comm. per Month (Heavy Weapons)'!$B34,'Bilateral Assistance, MAIN DATA'!$AG:$AG,1,'Bilateral Assistance, MAIN DATA'!$AH:$AH,'Comm. per Month (Heavy Weapons)'!M$11, 'Bilateral Assistance, MAIN DATA'!$J:$J,"Heavy weapon")/VLOOKUP("USD",'Exchange Rates'!$B:$C,2,0))/1000000000</f>
        <v>0</v>
      </c>
      <c r="N34" s="315">
        <f>(SUMIFS('Bilateral Assistance, MAIN DATA'!$P:$P,'Bilateral Assistance, MAIN DATA'!$B:$B,'Comm. per Month (Heavy Weapons)'!$B34,'Bilateral Assistance, MAIN DATA'!$AG:$AG,1,'Bilateral Assistance, MAIN DATA'!$AH:$AH,'Comm. per Month (Heavy Weapons)'!N$11, 'Bilateral Assistance, MAIN DATA'!$J:$J,"Heavy weapon")/VLOOKUP("USD",'Exchange Rates'!$B:$C,2,0))/1000000000</f>
        <v>0</v>
      </c>
      <c r="O34" s="315">
        <f>(SUMIFS('Bilateral Assistance, MAIN DATA'!$P:$P,'Bilateral Assistance, MAIN DATA'!$B:$B,'Comm. per Month (Heavy Weapons)'!$B34,'Bilateral Assistance, MAIN DATA'!$AG:$AG,1,'Bilateral Assistance, MAIN DATA'!$AH:$AH,'Comm. per Month (Heavy Weapons)'!O$11, 'Bilateral Assistance, MAIN DATA'!$J:$J,"Heavy weapon")/VLOOKUP("USD",'Exchange Rates'!$B:$C,2,0))/1000000000</f>
        <v>0</v>
      </c>
      <c r="P34" s="315">
        <f>(SUMIFS('Bilateral Assistance, MAIN DATA'!$P:$P,'Bilateral Assistance, MAIN DATA'!$B:$B,'Comm. per Month (Heavy Weapons)'!$B34,'Bilateral Assistance, MAIN DATA'!$AG:$AG,1,'Bilateral Assistance, MAIN DATA'!$AH:$AH,'Comm. per Month (Heavy Weapons)'!P$11, 'Bilateral Assistance, MAIN DATA'!$J:$J,"Heavy weapon")/VLOOKUP("USD",'Exchange Rates'!$B:$C,2,0))/1000000000</f>
        <v>0</v>
      </c>
      <c r="Q34" s="315">
        <f>(SUMIFS('Bilateral Assistance, MAIN DATA'!$P:$P,'Bilateral Assistance, MAIN DATA'!$B:$B,'Comm. per Month (Heavy Weapons)'!$B34,'Bilateral Assistance, MAIN DATA'!$AG:$AG,1,'Bilateral Assistance, MAIN DATA'!$AH:$AH,'Comm. per Month (Heavy Weapons)'!Q$11, 'Bilateral Assistance, MAIN DATA'!$J:$J,"Heavy weapon")/VLOOKUP("USD",'Exchange Rates'!$B:$C,2,0))/1000000000</f>
        <v>0</v>
      </c>
      <c r="R34" s="140">
        <f t="shared" si="0"/>
        <v>6.7924533333333327E-3</v>
      </c>
    </row>
    <row r="35" spans="1:18" ht="15.9" customHeight="1" x14ac:dyDescent="0.3">
      <c r="A35" s="19"/>
      <c r="B35" s="24" t="s">
        <v>2066</v>
      </c>
      <c r="C35" s="339">
        <v>1</v>
      </c>
      <c r="D35" s="339">
        <v>0</v>
      </c>
      <c r="E35" s="315">
        <f>(SUMIFS('Bilateral Assistance, MAIN DATA'!$P:$P,'Bilateral Assistance, MAIN DATA'!$B:$B,'Comm. per Month (Heavy Weapons)'!$B35,'Bilateral Assistance, MAIN DATA'!$AG:$AG,1,'Bilateral Assistance, MAIN DATA'!$AH:$AH,'Comm. per Month (Heavy Weapons)'!E$11, 'Bilateral Assistance, MAIN DATA'!$J:$J,"Heavy weapon")/VLOOKUP("USD",'Exchange Rates'!$B:$C,2,0))/1000000000</f>
        <v>0</v>
      </c>
      <c r="F35" s="315">
        <f>(SUMIFS('Bilateral Assistance, MAIN DATA'!$P:$P,'Bilateral Assistance, MAIN DATA'!$B:$B,'Comm. per Month (Heavy Weapons)'!$B35,'Bilateral Assistance, MAIN DATA'!$AG:$AG,1,'Bilateral Assistance, MAIN DATA'!$AH:$AH,'Comm. per Month (Heavy Weapons)'!F$11, 'Bilateral Assistance, MAIN DATA'!$J:$J,"Heavy weapon")/VLOOKUP("USD",'Exchange Rates'!$B:$C,2,0))/1000000000</f>
        <v>0</v>
      </c>
      <c r="G35" s="315">
        <f>(SUMIFS('Bilateral Assistance, MAIN DATA'!$P:$P,'Bilateral Assistance, MAIN DATA'!$B:$B,'Comm. per Month (Heavy Weapons)'!$B35,'Bilateral Assistance, MAIN DATA'!$AG:$AG,1,'Bilateral Assistance, MAIN DATA'!$AH:$AH,'Comm. per Month (Heavy Weapons)'!G$11, 'Bilateral Assistance, MAIN DATA'!$J:$J,"Heavy weapon")/VLOOKUP("USD",'Exchange Rates'!$B:$C,2,0))/1000000000</f>
        <v>0</v>
      </c>
      <c r="H35" s="315">
        <f>(SUMIFS('Bilateral Assistance, MAIN DATA'!$P:$P,'Bilateral Assistance, MAIN DATA'!$B:$B,'Comm. per Month (Heavy Weapons)'!$B35,'Bilateral Assistance, MAIN DATA'!$AG:$AG,1,'Bilateral Assistance, MAIN DATA'!$AH:$AH,'Comm. per Month (Heavy Weapons)'!H$11, 'Bilateral Assistance, MAIN DATA'!$J:$J,"Heavy weapon")/VLOOKUP("USD",'Exchange Rates'!$B:$C,2,0))/1000000000</f>
        <v>0</v>
      </c>
      <c r="I35" s="315">
        <f>(SUMIFS('Bilateral Assistance, MAIN DATA'!$P:$P,'Bilateral Assistance, MAIN DATA'!$B:$B,'Comm. per Month (Heavy Weapons)'!$B35,'Bilateral Assistance, MAIN DATA'!$AG:$AG,1,'Bilateral Assistance, MAIN DATA'!$AH:$AH,'Comm. per Month (Heavy Weapons)'!I$11, 'Bilateral Assistance, MAIN DATA'!$J:$J,"Heavy weapon")/VLOOKUP("USD",'Exchange Rates'!$B:$C,2,0))/1000000000</f>
        <v>0</v>
      </c>
      <c r="J35" s="315">
        <f>(SUMIFS('Bilateral Assistance, MAIN DATA'!$P:$P,'Bilateral Assistance, MAIN DATA'!$B:$B,'Comm. per Month (Heavy Weapons)'!$B35,'Bilateral Assistance, MAIN DATA'!$AG:$AG,1,'Bilateral Assistance, MAIN DATA'!$AH:$AH,'Comm. per Month (Heavy Weapons)'!J$11, 'Bilateral Assistance, MAIN DATA'!$J:$J,"Heavy weapon")/VLOOKUP("USD",'Exchange Rates'!$B:$C,2,0))/1000000000</f>
        <v>0</v>
      </c>
      <c r="K35" s="315">
        <f>(SUMIFS('Bilateral Assistance, MAIN DATA'!$P:$P,'Bilateral Assistance, MAIN DATA'!$B:$B,'Comm. per Month (Heavy Weapons)'!$B35,'Bilateral Assistance, MAIN DATA'!$AG:$AG,1,'Bilateral Assistance, MAIN DATA'!$AH:$AH,'Comm. per Month (Heavy Weapons)'!K$11, 'Bilateral Assistance, MAIN DATA'!$J:$J,"Heavy weapon")/VLOOKUP("USD",'Exchange Rates'!$B:$C,2,0))/1000000000</f>
        <v>0</v>
      </c>
      <c r="L35" s="315">
        <f>(SUMIFS('Bilateral Assistance, MAIN DATA'!$P:$P,'Bilateral Assistance, MAIN DATA'!$B:$B,'Comm. per Month (Heavy Weapons)'!$B35,'Bilateral Assistance, MAIN DATA'!$AG:$AG,1,'Bilateral Assistance, MAIN DATA'!$AH:$AH,'Comm. per Month (Heavy Weapons)'!L$11, 'Bilateral Assistance, MAIN DATA'!$J:$J,"Heavy weapon")/VLOOKUP("USD",'Exchange Rates'!$B:$C,2,0))/1000000000</f>
        <v>0</v>
      </c>
      <c r="M35" s="315">
        <f>(SUMIFS('Bilateral Assistance, MAIN DATA'!$P:$P,'Bilateral Assistance, MAIN DATA'!$B:$B,'Comm. per Month (Heavy Weapons)'!$B35,'Bilateral Assistance, MAIN DATA'!$AG:$AG,1,'Bilateral Assistance, MAIN DATA'!$AH:$AH,'Comm. per Month (Heavy Weapons)'!M$11, 'Bilateral Assistance, MAIN DATA'!$J:$J,"Heavy weapon")/VLOOKUP("USD",'Exchange Rates'!$B:$C,2,0))/1000000000</f>
        <v>0</v>
      </c>
      <c r="N35" s="315">
        <f>(SUMIFS('Bilateral Assistance, MAIN DATA'!$P:$P,'Bilateral Assistance, MAIN DATA'!$B:$B,'Comm. per Month (Heavy Weapons)'!$B35,'Bilateral Assistance, MAIN DATA'!$AG:$AG,1,'Bilateral Assistance, MAIN DATA'!$AH:$AH,'Comm. per Month (Heavy Weapons)'!N$11, 'Bilateral Assistance, MAIN DATA'!$J:$J,"Heavy weapon")/VLOOKUP("USD",'Exchange Rates'!$B:$C,2,0))/1000000000</f>
        <v>0</v>
      </c>
      <c r="O35" s="315">
        <f>(SUMIFS('Bilateral Assistance, MAIN DATA'!$P:$P,'Bilateral Assistance, MAIN DATA'!$B:$B,'Comm. per Month (Heavy Weapons)'!$B35,'Bilateral Assistance, MAIN DATA'!$AG:$AG,1,'Bilateral Assistance, MAIN DATA'!$AH:$AH,'Comm. per Month (Heavy Weapons)'!O$11, 'Bilateral Assistance, MAIN DATA'!$J:$J,"Heavy weapon")/VLOOKUP("USD",'Exchange Rates'!$B:$C,2,0))/1000000000</f>
        <v>0</v>
      </c>
      <c r="P35" s="315">
        <f>(SUMIFS('Bilateral Assistance, MAIN DATA'!$P:$P,'Bilateral Assistance, MAIN DATA'!$B:$B,'Comm. per Month (Heavy Weapons)'!$B35,'Bilateral Assistance, MAIN DATA'!$AG:$AG,1,'Bilateral Assistance, MAIN DATA'!$AH:$AH,'Comm. per Month (Heavy Weapons)'!P$11, 'Bilateral Assistance, MAIN DATA'!$J:$J,"Heavy weapon")/VLOOKUP("USD",'Exchange Rates'!$B:$C,2,0))/1000000000</f>
        <v>0</v>
      </c>
      <c r="Q35" s="315">
        <f>(SUMIFS('Bilateral Assistance, MAIN DATA'!$P:$P,'Bilateral Assistance, MAIN DATA'!$B:$B,'Comm. per Month (Heavy Weapons)'!$B35,'Bilateral Assistance, MAIN DATA'!$AG:$AG,1,'Bilateral Assistance, MAIN DATA'!$AH:$AH,'Comm. per Month (Heavy Weapons)'!Q$11, 'Bilateral Assistance, MAIN DATA'!$J:$J,"Heavy weapon")/VLOOKUP("USD",'Exchange Rates'!$B:$C,2,0))/1000000000</f>
        <v>0</v>
      </c>
      <c r="R35" s="140">
        <f t="shared" si="0"/>
        <v>0</v>
      </c>
    </row>
    <row r="36" spans="1:18" ht="15.9" customHeight="1" x14ac:dyDescent="0.3">
      <c r="A36" s="19"/>
      <c r="B36" s="24" t="s">
        <v>2076</v>
      </c>
      <c r="C36" s="339">
        <v>1</v>
      </c>
      <c r="D36" s="339">
        <v>0</v>
      </c>
      <c r="E36" s="315">
        <f>(SUMIFS('Bilateral Assistance, MAIN DATA'!$P:$P,'Bilateral Assistance, MAIN DATA'!$B:$B,'Comm. per Month (Heavy Weapons)'!$B36,'Bilateral Assistance, MAIN DATA'!$AG:$AG,1,'Bilateral Assistance, MAIN DATA'!$AH:$AH,'Comm. per Month (Heavy Weapons)'!E$11, 'Bilateral Assistance, MAIN DATA'!$J:$J,"Heavy weapon")/VLOOKUP("USD",'Exchange Rates'!$B:$C,2,0))/1000000000</f>
        <v>0</v>
      </c>
      <c r="F36" s="315">
        <f>(SUMIFS('Bilateral Assistance, MAIN DATA'!$P:$P,'Bilateral Assistance, MAIN DATA'!$B:$B,'Comm. per Month (Heavy Weapons)'!$B36,'Bilateral Assistance, MAIN DATA'!$AG:$AG,1,'Bilateral Assistance, MAIN DATA'!$AH:$AH,'Comm. per Month (Heavy Weapons)'!F$11, 'Bilateral Assistance, MAIN DATA'!$J:$J,"Heavy weapon")/VLOOKUP("USD",'Exchange Rates'!$B:$C,2,0))/1000000000</f>
        <v>0</v>
      </c>
      <c r="G36" s="315">
        <f>(SUMIFS('Bilateral Assistance, MAIN DATA'!$P:$P,'Bilateral Assistance, MAIN DATA'!$B:$B,'Comm. per Month (Heavy Weapons)'!$B36,'Bilateral Assistance, MAIN DATA'!$AG:$AG,1,'Bilateral Assistance, MAIN DATA'!$AH:$AH,'Comm. per Month (Heavy Weapons)'!G$11, 'Bilateral Assistance, MAIN DATA'!$J:$J,"Heavy weapon")/VLOOKUP("USD",'Exchange Rates'!$B:$C,2,0))/1000000000</f>
        <v>0</v>
      </c>
      <c r="H36" s="315">
        <f>(SUMIFS('Bilateral Assistance, MAIN DATA'!$P:$P,'Bilateral Assistance, MAIN DATA'!$B:$B,'Comm. per Month (Heavy Weapons)'!$B36,'Bilateral Assistance, MAIN DATA'!$AG:$AG,1,'Bilateral Assistance, MAIN DATA'!$AH:$AH,'Comm. per Month (Heavy Weapons)'!H$11, 'Bilateral Assistance, MAIN DATA'!$J:$J,"Heavy weapon")/VLOOKUP("USD",'Exchange Rates'!$B:$C,2,0))/1000000000</f>
        <v>6.5613843754767337E-2</v>
      </c>
      <c r="I36" s="315">
        <f>(SUMIFS('Bilateral Assistance, MAIN DATA'!$P:$P,'Bilateral Assistance, MAIN DATA'!$B:$B,'Comm. per Month (Heavy Weapons)'!$B36,'Bilateral Assistance, MAIN DATA'!$AG:$AG,1,'Bilateral Assistance, MAIN DATA'!$AH:$AH,'Comm. per Month (Heavy Weapons)'!I$11, 'Bilateral Assistance, MAIN DATA'!$J:$J,"Heavy weapon")/VLOOKUP("USD",'Exchange Rates'!$B:$C,2,0))/1000000000</f>
        <v>0</v>
      </c>
      <c r="J36" s="315">
        <f>(SUMIFS('Bilateral Assistance, MAIN DATA'!$P:$P,'Bilateral Assistance, MAIN DATA'!$B:$B,'Comm. per Month (Heavy Weapons)'!$B36,'Bilateral Assistance, MAIN DATA'!$AG:$AG,1,'Bilateral Assistance, MAIN DATA'!$AH:$AH,'Comm. per Month (Heavy Weapons)'!J$11, 'Bilateral Assistance, MAIN DATA'!$J:$J,"Heavy weapon")/VLOOKUP("USD",'Exchange Rates'!$B:$C,2,0))/1000000000</f>
        <v>3.9368306252860405E-2</v>
      </c>
      <c r="K36" s="315">
        <f>(SUMIFS('Bilateral Assistance, MAIN DATA'!$P:$P,'Bilateral Assistance, MAIN DATA'!$B:$B,'Comm. per Month (Heavy Weapons)'!$B36,'Bilateral Assistance, MAIN DATA'!$AG:$AG,1,'Bilateral Assistance, MAIN DATA'!$AH:$AH,'Comm. per Month (Heavy Weapons)'!K$11, 'Bilateral Assistance, MAIN DATA'!$J:$J,"Heavy weapon")/VLOOKUP("USD",'Exchange Rates'!$B:$C,2,0))/1000000000</f>
        <v>0</v>
      </c>
      <c r="L36" s="315">
        <f>(SUMIFS('Bilateral Assistance, MAIN DATA'!$P:$P,'Bilateral Assistance, MAIN DATA'!$B:$B,'Comm. per Month (Heavy Weapons)'!$B36,'Bilateral Assistance, MAIN DATA'!$AG:$AG,1,'Bilateral Assistance, MAIN DATA'!$AH:$AH,'Comm. per Month (Heavy Weapons)'!L$11, 'Bilateral Assistance, MAIN DATA'!$J:$J,"Heavy weapon")/VLOOKUP("USD",'Exchange Rates'!$B:$C,2,0))/1000000000</f>
        <v>0</v>
      </c>
      <c r="M36" s="315">
        <f>(SUMIFS('Bilateral Assistance, MAIN DATA'!$P:$P,'Bilateral Assistance, MAIN DATA'!$B:$B,'Comm. per Month (Heavy Weapons)'!$B36,'Bilateral Assistance, MAIN DATA'!$AG:$AG,1,'Bilateral Assistance, MAIN DATA'!$AH:$AH,'Comm. per Month (Heavy Weapons)'!M$11, 'Bilateral Assistance, MAIN DATA'!$J:$J,"Heavy weapon")/VLOOKUP("USD",'Exchange Rates'!$B:$C,2,0))/1000000000</f>
        <v>0</v>
      </c>
      <c r="N36" s="315">
        <f>(SUMIFS('Bilateral Assistance, MAIN DATA'!$P:$P,'Bilateral Assistance, MAIN DATA'!$B:$B,'Comm. per Month (Heavy Weapons)'!$B36,'Bilateral Assistance, MAIN DATA'!$AG:$AG,1,'Bilateral Assistance, MAIN DATA'!$AH:$AH,'Comm. per Month (Heavy Weapons)'!N$11, 'Bilateral Assistance, MAIN DATA'!$J:$J,"Heavy weapon")/VLOOKUP("USD",'Exchange Rates'!$B:$C,2,0))/1000000000</f>
        <v>0</v>
      </c>
      <c r="O36" s="315">
        <f>(SUMIFS('Bilateral Assistance, MAIN DATA'!$P:$P,'Bilateral Assistance, MAIN DATA'!$B:$B,'Comm. per Month (Heavy Weapons)'!$B36,'Bilateral Assistance, MAIN DATA'!$AG:$AG,1,'Bilateral Assistance, MAIN DATA'!$AH:$AH,'Comm. per Month (Heavy Weapons)'!O$11, 'Bilateral Assistance, MAIN DATA'!$J:$J,"Heavy weapon")/VLOOKUP("USD",'Exchange Rates'!$B:$C,2,0))/1000000000</f>
        <v>4.2857142857142858E-2</v>
      </c>
      <c r="P36" s="315">
        <f>(SUMIFS('Bilateral Assistance, MAIN DATA'!$P:$P,'Bilateral Assistance, MAIN DATA'!$B:$B,'Comm. per Month (Heavy Weapons)'!$B36,'Bilateral Assistance, MAIN DATA'!$AG:$AG,1,'Bilateral Assistance, MAIN DATA'!$AH:$AH,'Comm. per Month (Heavy Weapons)'!P$11, 'Bilateral Assistance, MAIN DATA'!$J:$J,"Heavy weapon")/VLOOKUP("USD",'Exchange Rates'!$B:$C,2,0))/1000000000</f>
        <v>0</v>
      </c>
      <c r="Q36" s="315">
        <f>(SUMIFS('Bilateral Assistance, MAIN DATA'!$P:$P,'Bilateral Assistance, MAIN DATA'!$B:$B,'Comm. per Month (Heavy Weapons)'!$B36,'Bilateral Assistance, MAIN DATA'!$AG:$AG,1,'Bilateral Assistance, MAIN DATA'!$AH:$AH,'Comm. per Month (Heavy Weapons)'!Q$11, 'Bilateral Assistance, MAIN DATA'!$J:$J,"Heavy weapon")/VLOOKUP("USD",'Exchange Rates'!$B:$C,2,0))/1000000000</f>
        <v>0</v>
      </c>
      <c r="R36" s="140">
        <f t="shared" si="0"/>
        <v>0.1478392928647706</v>
      </c>
    </row>
    <row r="37" spans="1:18" ht="15.9" customHeight="1" x14ac:dyDescent="0.3">
      <c r="A37" s="19"/>
      <c r="B37" s="2" t="s">
        <v>2168</v>
      </c>
      <c r="C37" s="339">
        <v>0</v>
      </c>
      <c r="D37" s="339">
        <v>0</v>
      </c>
      <c r="E37" s="315">
        <f>(SUMIFS('Bilateral Assistance, MAIN DATA'!$P:$P,'Bilateral Assistance, MAIN DATA'!$B:$B,'Comm. per Month (Heavy Weapons)'!$B37,'Bilateral Assistance, MAIN DATA'!$AG:$AG,1,'Bilateral Assistance, MAIN DATA'!$AH:$AH,'Comm. per Month (Heavy Weapons)'!E$11, 'Bilateral Assistance, MAIN DATA'!$J:$J,"Heavy weapon")/VLOOKUP("USD",'Exchange Rates'!$B:$C,2,0))/1000000000</f>
        <v>0</v>
      </c>
      <c r="F37" s="315">
        <f>(SUMIFS('Bilateral Assistance, MAIN DATA'!$P:$P,'Bilateral Assistance, MAIN DATA'!$B:$B,'Comm. per Month (Heavy Weapons)'!$B37,'Bilateral Assistance, MAIN DATA'!$AG:$AG,1,'Bilateral Assistance, MAIN DATA'!$AH:$AH,'Comm. per Month (Heavy Weapons)'!F$11, 'Bilateral Assistance, MAIN DATA'!$J:$J,"Heavy weapon")/VLOOKUP("USD",'Exchange Rates'!$B:$C,2,0))/1000000000</f>
        <v>0</v>
      </c>
      <c r="G37" s="315">
        <f>(SUMIFS('Bilateral Assistance, MAIN DATA'!$P:$P,'Bilateral Assistance, MAIN DATA'!$B:$B,'Comm. per Month (Heavy Weapons)'!$B37,'Bilateral Assistance, MAIN DATA'!$AG:$AG,1,'Bilateral Assistance, MAIN DATA'!$AH:$AH,'Comm. per Month (Heavy Weapons)'!G$11, 'Bilateral Assistance, MAIN DATA'!$J:$J,"Heavy weapon")/VLOOKUP("USD",'Exchange Rates'!$B:$C,2,0))/1000000000</f>
        <v>0</v>
      </c>
      <c r="H37" s="315">
        <f>(SUMIFS('Bilateral Assistance, MAIN DATA'!$P:$P,'Bilateral Assistance, MAIN DATA'!$B:$B,'Comm. per Month (Heavy Weapons)'!$B37,'Bilateral Assistance, MAIN DATA'!$AG:$AG,1,'Bilateral Assistance, MAIN DATA'!$AH:$AH,'Comm. per Month (Heavy Weapons)'!H$11, 'Bilateral Assistance, MAIN DATA'!$J:$J,"Heavy weapon")/VLOOKUP("USD",'Exchange Rates'!$B:$C,2,0))/1000000000</f>
        <v>0</v>
      </c>
      <c r="I37" s="315">
        <f>(SUMIFS('Bilateral Assistance, MAIN DATA'!$P:$P,'Bilateral Assistance, MAIN DATA'!$B:$B,'Comm. per Month (Heavy Weapons)'!$B37,'Bilateral Assistance, MAIN DATA'!$AG:$AG,1,'Bilateral Assistance, MAIN DATA'!$AH:$AH,'Comm. per Month (Heavy Weapons)'!I$11, 'Bilateral Assistance, MAIN DATA'!$J:$J,"Heavy weapon")/VLOOKUP("USD",'Exchange Rates'!$B:$C,2,0))/1000000000</f>
        <v>0</v>
      </c>
      <c r="J37" s="315">
        <f>(SUMIFS('Bilateral Assistance, MAIN DATA'!$P:$P,'Bilateral Assistance, MAIN DATA'!$B:$B,'Comm. per Month (Heavy Weapons)'!$B37,'Bilateral Assistance, MAIN DATA'!$AG:$AG,1,'Bilateral Assistance, MAIN DATA'!$AH:$AH,'Comm. per Month (Heavy Weapons)'!J$11, 'Bilateral Assistance, MAIN DATA'!$J:$J,"Heavy weapon")/VLOOKUP("USD",'Exchange Rates'!$B:$C,2,0))/1000000000</f>
        <v>0</v>
      </c>
      <c r="K37" s="315">
        <f>(SUMIFS('Bilateral Assistance, MAIN DATA'!$P:$P,'Bilateral Assistance, MAIN DATA'!$B:$B,'Comm. per Month (Heavy Weapons)'!$B37,'Bilateral Assistance, MAIN DATA'!$AG:$AG,1,'Bilateral Assistance, MAIN DATA'!$AH:$AH,'Comm. per Month (Heavy Weapons)'!K$11, 'Bilateral Assistance, MAIN DATA'!$J:$J,"Heavy weapon")/VLOOKUP("USD",'Exchange Rates'!$B:$C,2,0))/1000000000</f>
        <v>0</v>
      </c>
      <c r="L37" s="315">
        <f>(SUMIFS('Bilateral Assistance, MAIN DATA'!$P:$P,'Bilateral Assistance, MAIN DATA'!$B:$B,'Comm. per Month (Heavy Weapons)'!$B37,'Bilateral Assistance, MAIN DATA'!$AG:$AG,1,'Bilateral Assistance, MAIN DATA'!$AH:$AH,'Comm. per Month (Heavy Weapons)'!L$11, 'Bilateral Assistance, MAIN DATA'!$J:$J,"Heavy weapon")/VLOOKUP("USD",'Exchange Rates'!$B:$C,2,0))/1000000000</f>
        <v>0</v>
      </c>
      <c r="M37" s="315">
        <f>(SUMIFS('Bilateral Assistance, MAIN DATA'!$P:$P,'Bilateral Assistance, MAIN DATA'!$B:$B,'Comm. per Month (Heavy Weapons)'!$B37,'Bilateral Assistance, MAIN DATA'!$AG:$AG,1,'Bilateral Assistance, MAIN DATA'!$AH:$AH,'Comm. per Month (Heavy Weapons)'!M$11, 'Bilateral Assistance, MAIN DATA'!$J:$J,"Heavy weapon")/VLOOKUP("USD",'Exchange Rates'!$B:$C,2,0))/1000000000</f>
        <v>0</v>
      </c>
      <c r="N37" s="315">
        <f>(SUMIFS('Bilateral Assistance, MAIN DATA'!$P:$P,'Bilateral Assistance, MAIN DATA'!$B:$B,'Comm. per Month (Heavy Weapons)'!$B37,'Bilateral Assistance, MAIN DATA'!$AG:$AG,1,'Bilateral Assistance, MAIN DATA'!$AH:$AH,'Comm. per Month (Heavy Weapons)'!N$11, 'Bilateral Assistance, MAIN DATA'!$J:$J,"Heavy weapon")/VLOOKUP("USD",'Exchange Rates'!$B:$C,2,0))/1000000000</f>
        <v>0</v>
      </c>
      <c r="O37" s="315">
        <f>(SUMIFS('Bilateral Assistance, MAIN DATA'!$P:$P,'Bilateral Assistance, MAIN DATA'!$B:$B,'Comm. per Month (Heavy Weapons)'!$B37,'Bilateral Assistance, MAIN DATA'!$AG:$AG,1,'Bilateral Assistance, MAIN DATA'!$AH:$AH,'Comm. per Month (Heavy Weapons)'!O$11, 'Bilateral Assistance, MAIN DATA'!$J:$J,"Heavy weapon")/VLOOKUP("USD",'Exchange Rates'!$B:$C,2,0))/1000000000</f>
        <v>0</v>
      </c>
      <c r="P37" s="315">
        <f>(SUMIFS('Bilateral Assistance, MAIN DATA'!$P:$P,'Bilateral Assistance, MAIN DATA'!$B:$B,'Comm. per Month (Heavy Weapons)'!$B37,'Bilateral Assistance, MAIN DATA'!$AG:$AG,1,'Bilateral Assistance, MAIN DATA'!$AH:$AH,'Comm. per Month (Heavy Weapons)'!P$11, 'Bilateral Assistance, MAIN DATA'!$J:$J,"Heavy weapon")/VLOOKUP("USD",'Exchange Rates'!$B:$C,2,0))/1000000000</f>
        <v>0</v>
      </c>
      <c r="Q37" s="315">
        <f>(SUMIFS('Bilateral Assistance, MAIN DATA'!$P:$P,'Bilateral Assistance, MAIN DATA'!$B:$B,'Comm. per Month (Heavy Weapons)'!$B37,'Bilateral Assistance, MAIN DATA'!$AG:$AG,1,'Bilateral Assistance, MAIN DATA'!$AH:$AH,'Comm. per Month (Heavy Weapons)'!Q$11, 'Bilateral Assistance, MAIN DATA'!$J:$J,"Heavy weapon")/VLOOKUP("USD",'Exchange Rates'!$B:$C,2,0))/1000000000</f>
        <v>0</v>
      </c>
      <c r="R37" s="140">
        <f t="shared" si="0"/>
        <v>0</v>
      </c>
    </row>
    <row r="38" spans="1:18" ht="15.9" customHeight="1" x14ac:dyDescent="0.3">
      <c r="A38" s="19"/>
      <c r="B38" s="2" t="s">
        <v>2206</v>
      </c>
      <c r="C38" s="339">
        <v>0</v>
      </c>
      <c r="D38" s="339">
        <v>1</v>
      </c>
      <c r="E38" s="315">
        <f>(SUMIFS('Bilateral Assistance, MAIN DATA'!$P:$P,'Bilateral Assistance, MAIN DATA'!$B:$B,'Comm. per Month (Heavy Weapons)'!$B38,'Bilateral Assistance, MAIN DATA'!$AG:$AG,1,'Bilateral Assistance, MAIN DATA'!$AH:$AH,'Comm. per Month (Heavy Weapons)'!E$11, 'Bilateral Assistance, MAIN DATA'!$J:$J,"Heavy weapon")/VLOOKUP("USD",'Exchange Rates'!$B:$C,2,0))/1000000000</f>
        <v>0</v>
      </c>
      <c r="F38" s="315">
        <f>(SUMIFS('Bilateral Assistance, MAIN DATA'!$P:$P,'Bilateral Assistance, MAIN DATA'!$B:$B,'Comm. per Month (Heavy Weapons)'!$B38,'Bilateral Assistance, MAIN DATA'!$AG:$AG,1,'Bilateral Assistance, MAIN DATA'!$AH:$AH,'Comm. per Month (Heavy Weapons)'!F$11, 'Bilateral Assistance, MAIN DATA'!$J:$J,"Heavy weapon")/VLOOKUP("USD",'Exchange Rates'!$B:$C,2,0))/1000000000</f>
        <v>0</v>
      </c>
      <c r="G38" s="315">
        <f>(SUMIFS('Bilateral Assistance, MAIN DATA'!$P:$P,'Bilateral Assistance, MAIN DATA'!$B:$B,'Comm. per Month (Heavy Weapons)'!$B38,'Bilateral Assistance, MAIN DATA'!$AG:$AG,1,'Bilateral Assistance, MAIN DATA'!$AH:$AH,'Comm. per Month (Heavy Weapons)'!G$11, 'Bilateral Assistance, MAIN DATA'!$J:$J,"Heavy weapon")/VLOOKUP("USD",'Exchange Rates'!$B:$C,2,0))/1000000000</f>
        <v>0</v>
      </c>
      <c r="H38" s="315">
        <f>(SUMIFS('Bilateral Assistance, MAIN DATA'!$P:$P,'Bilateral Assistance, MAIN DATA'!$B:$B,'Comm. per Month (Heavy Weapons)'!$B38,'Bilateral Assistance, MAIN DATA'!$AG:$AG,1,'Bilateral Assistance, MAIN DATA'!$AH:$AH,'Comm. per Month (Heavy Weapons)'!H$11, 'Bilateral Assistance, MAIN DATA'!$J:$J,"Heavy weapon")/VLOOKUP("USD",'Exchange Rates'!$B:$C,2,0))/1000000000</f>
        <v>0</v>
      </c>
      <c r="I38" s="315">
        <f>(SUMIFS('Bilateral Assistance, MAIN DATA'!$P:$P,'Bilateral Assistance, MAIN DATA'!$B:$B,'Comm. per Month (Heavy Weapons)'!$B38,'Bilateral Assistance, MAIN DATA'!$AG:$AG,1,'Bilateral Assistance, MAIN DATA'!$AH:$AH,'Comm. per Month (Heavy Weapons)'!I$11, 'Bilateral Assistance, MAIN DATA'!$J:$J,"Heavy weapon")/VLOOKUP("USD",'Exchange Rates'!$B:$C,2,0))/1000000000</f>
        <v>0</v>
      </c>
      <c r="J38" s="315">
        <f>(SUMIFS('Bilateral Assistance, MAIN DATA'!$P:$P,'Bilateral Assistance, MAIN DATA'!$B:$B,'Comm. per Month (Heavy Weapons)'!$B38,'Bilateral Assistance, MAIN DATA'!$AG:$AG,1,'Bilateral Assistance, MAIN DATA'!$AH:$AH,'Comm. per Month (Heavy Weapons)'!J$11, 'Bilateral Assistance, MAIN DATA'!$J:$J,"Heavy weapon")/VLOOKUP("USD",'Exchange Rates'!$B:$C,2,0))/1000000000</f>
        <v>4.7124399163439259E-2</v>
      </c>
      <c r="K38" s="315">
        <f>(SUMIFS('Bilateral Assistance, MAIN DATA'!$P:$P,'Bilateral Assistance, MAIN DATA'!$B:$B,'Comm. per Month (Heavy Weapons)'!$B38,'Bilateral Assistance, MAIN DATA'!$AG:$AG,1,'Bilateral Assistance, MAIN DATA'!$AH:$AH,'Comm. per Month (Heavy Weapons)'!K$11, 'Bilateral Assistance, MAIN DATA'!$J:$J,"Heavy weapon")/VLOOKUP("USD",'Exchange Rates'!$B:$C,2,0))/1000000000</f>
        <v>1.5831498399999998E-2</v>
      </c>
      <c r="L38" s="315">
        <f>(SUMIFS('Bilateral Assistance, MAIN DATA'!$P:$P,'Bilateral Assistance, MAIN DATA'!$B:$B,'Comm. per Month (Heavy Weapons)'!$B38,'Bilateral Assistance, MAIN DATA'!$AG:$AG,1,'Bilateral Assistance, MAIN DATA'!$AH:$AH,'Comm. per Month (Heavy Weapons)'!L$11, 'Bilateral Assistance, MAIN DATA'!$J:$J,"Heavy weapon")/VLOOKUP("USD",'Exchange Rates'!$B:$C,2,0))/1000000000</f>
        <v>0</v>
      </c>
      <c r="M38" s="315">
        <f>(SUMIFS('Bilateral Assistance, MAIN DATA'!$P:$P,'Bilateral Assistance, MAIN DATA'!$B:$B,'Comm. per Month (Heavy Weapons)'!$B38,'Bilateral Assistance, MAIN DATA'!$AG:$AG,1,'Bilateral Assistance, MAIN DATA'!$AH:$AH,'Comm. per Month (Heavy Weapons)'!M$11, 'Bilateral Assistance, MAIN DATA'!$J:$J,"Heavy weapon")/VLOOKUP("USD",'Exchange Rates'!$B:$C,2,0))/1000000000</f>
        <v>0</v>
      </c>
      <c r="N38" s="315">
        <f>(SUMIFS('Bilateral Assistance, MAIN DATA'!$P:$P,'Bilateral Assistance, MAIN DATA'!$B:$B,'Comm. per Month (Heavy Weapons)'!$B38,'Bilateral Assistance, MAIN DATA'!$AG:$AG,1,'Bilateral Assistance, MAIN DATA'!$AH:$AH,'Comm. per Month (Heavy Weapons)'!N$11, 'Bilateral Assistance, MAIN DATA'!$J:$J,"Heavy weapon")/VLOOKUP("USD",'Exchange Rates'!$B:$C,2,0))/1000000000</f>
        <v>4.1244659291344452E-2</v>
      </c>
      <c r="O38" s="315">
        <f>(SUMIFS('Bilateral Assistance, MAIN DATA'!$P:$P,'Bilateral Assistance, MAIN DATA'!$B:$B,'Comm. per Month (Heavy Weapons)'!$B38,'Bilateral Assistance, MAIN DATA'!$AG:$AG,1,'Bilateral Assistance, MAIN DATA'!$AH:$AH,'Comm. per Month (Heavy Weapons)'!O$11, 'Bilateral Assistance, MAIN DATA'!$J:$J,"Heavy weapon")/VLOOKUP("USD",'Exchange Rates'!$B:$C,2,0))/1000000000</f>
        <v>0</v>
      </c>
      <c r="P38" s="315">
        <f>(SUMIFS('Bilateral Assistance, MAIN DATA'!$P:$P,'Bilateral Assistance, MAIN DATA'!$B:$B,'Comm. per Month (Heavy Weapons)'!$B38,'Bilateral Assistance, MAIN DATA'!$AG:$AG,1,'Bilateral Assistance, MAIN DATA'!$AH:$AH,'Comm. per Month (Heavy Weapons)'!P$11, 'Bilateral Assistance, MAIN DATA'!$J:$J,"Heavy weapon")/VLOOKUP("USD",'Exchange Rates'!$B:$C,2,0))/1000000000</f>
        <v>0</v>
      </c>
      <c r="Q38" s="315">
        <f>(SUMIFS('Bilateral Assistance, MAIN DATA'!$P:$P,'Bilateral Assistance, MAIN DATA'!$B:$B,'Comm. per Month (Heavy Weapons)'!$B38,'Bilateral Assistance, MAIN DATA'!$AG:$AG,1,'Bilateral Assistance, MAIN DATA'!$AH:$AH,'Comm. per Month (Heavy Weapons)'!Q$11, 'Bilateral Assistance, MAIN DATA'!$J:$J,"Heavy weapon")/VLOOKUP("USD",'Exchange Rates'!$B:$C,2,0))/1000000000</f>
        <v>0</v>
      </c>
      <c r="R38" s="140">
        <f t="shared" si="0"/>
        <v>0.1042005568547837</v>
      </c>
    </row>
    <row r="39" spans="1:18" ht="15.9" customHeight="1" x14ac:dyDescent="0.3">
      <c r="A39" s="19"/>
      <c r="B39" s="24" t="s">
        <v>2303</v>
      </c>
      <c r="C39" s="339">
        <v>1</v>
      </c>
      <c r="D39" s="339">
        <v>0</v>
      </c>
      <c r="E39" s="315">
        <f>(SUMIFS('Bilateral Assistance, MAIN DATA'!$P:$P,'Bilateral Assistance, MAIN DATA'!$B:$B,'Comm. per Month (Heavy Weapons)'!$B39,'Bilateral Assistance, MAIN DATA'!$AG:$AG,1,'Bilateral Assistance, MAIN DATA'!$AH:$AH,'Comm. per Month (Heavy Weapons)'!E$11, 'Bilateral Assistance, MAIN DATA'!$J:$J,"Heavy weapon")/VLOOKUP("USD",'Exchange Rates'!$B:$C,2,0))/1000000000</f>
        <v>0</v>
      </c>
      <c r="F39" s="315">
        <f>(SUMIFS('Bilateral Assistance, MAIN DATA'!$P:$P,'Bilateral Assistance, MAIN DATA'!$B:$B,'Comm. per Month (Heavy Weapons)'!$B39,'Bilateral Assistance, MAIN DATA'!$AG:$AG,1,'Bilateral Assistance, MAIN DATA'!$AH:$AH,'Comm. per Month (Heavy Weapons)'!F$11, 'Bilateral Assistance, MAIN DATA'!$J:$J,"Heavy weapon")/VLOOKUP("USD",'Exchange Rates'!$B:$C,2,0))/1000000000</f>
        <v>0</v>
      </c>
      <c r="G39" s="315">
        <f>(SUMIFS('Bilateral Assistance, MAIN DATA'!$P:$P,'Bilateral Assistance, MAIN DATA'!$B:$B,'Comm. per Month (Heavy Weapons)'!$B39,'Bilateral Assistance, MAIN DATA'!$AG:$AG,1,'Bilateral Assistance, MAIN DATA'!$AH:$AH,'Comm. per Month (Heavy Weapons)'!G$11, 'Bilateral Assistance, MAIN DATA'!$J:$J,"Heavy weapon")/VLOOKUP("USD",'Exchange Rates'!$B:$C,2,0))/1000000000</f>
        <v>0</v>
      </c>
      <c r="H39" s="315">
        <f>(SUMIFS('Bilateral Assistance, MAIN DATA'!$P:$P,'Bilateral Assistance, MAIN DATA'!$B:$B,'Comm. per Month (Heavy Weapons)'!$B39,'Bilateral Assistance, MAIN DATA'!$AG:$AG,1,'Bilateral Assistance, MAIN DATA'!$AH:$AH,'Comm. per Month (Heavy Weapons)'!H$11, 'Bilateral Assistance, MAIN DATA'!$J:$J,"Heavy weapon")/VLOOKUP("USD",'Exchange Rates'!$B:$C,2,0))/1000000000</f>
        <v>0.39077860067312153</v>
      </c>
      <c r="I39" s="315">
        <f>(SUMIFS('Bilateral Assistance, MAIN DATA'!$P:$P,'Bilateral Assistance, MAIN DATA'!$B:$B,'Comm. per Month (Heavy Weapons)'!$B39,'Bilateral Assistance, MAIN DATA'!$AG:$AG,1,'Bilateral Assistance, MAIN DATA'!$AH:$AH,'Comm. per Month (Heavy Weapons)'!I$11, 'Bilateral Assistance, MAIN DATA'!$J:$J,"Heavy weapon")/VLOOKUP("USD",'Exchange Rates'!$B:$C,2,0))/1000000000</f>
        <v>0</v>
      </c>
      <c r="J39" s="315">
        <f>(SUMIFS('Bilateral Assistance, MAIN DATA'!$P:$P,'Bilateral Assistance, MAIN DATA'!$B:$B,'Comm. per Month (Heavy Weapons)'!$B39,'Bilateral Assistance, MAIN DATA'!$AG:$AG,1,'Bilateral Assistance, MAIN DATA'!$AH:$AH,'Comm. per Month (Heavy Weapons)'!J$11, 'Bilateral Assistance, MAIN DATA'!$J:$J,"Heavy weapon")/VLOOKUP("USD",'Exchange Rates'!$B:$C,2,0))/1000000000</f>
        <v>0.21910608857142858</v>
      </c>
      <c r="K39" s="315">
        <f>(SUMIFS('Bilateral Assistance, MAIN DATA'!$P:$P,'Bilateral Assistance, MAIN DATA'!$B:$B,'Comm. per Month (Heavy Weapons)'!$B39,'Bilateral Assistance, MAIN DATA'!$AG:$AG,1,'Bilateral Assistance, MAIN DATA'!$AH:$AH,'Comm. per Month (Heavy Weapons)'!K$11, 'Bilateral Assistance, MAIN DATA'!$J:$J,"Heavy weapon")/VLOOKUP("USD",'Exchange Rates'!$B:$C,2,0))/1000000000</f>
        <v>0.18961889200000001</v>
      </c>
      <c r="L39" s="315">
        <f>(SUMIFS('Bilateral Assistance, MAIN DATA'!$P:$P,'Bilateral Assistance, MAIN DATA'!$B:$B,'Comm. per Month (Heavy Weapons)'!$B39,'Bilateral Assistance, MAIN DATA'!$AG:$AG,1,'Bilateral Assistance, MAIN DATA'!$AH:$AH,'Comm. per Month (Heavy Weapons)'!L$11, 'Bilateral Assistance, MAIN DATA'!$J:$J,"Heavy weapon")/VLOOKUP("USD",'Exchange Rates'!$B:$C,2,0))/1000000000</f>
        <v>0</v>
      </c>
      <c r="M39" s="315">
        <f>(SUMIFS('Bilateral Assistance, MAIN DATA'!$P:$P,'Bilateral Assistance, MAIN DATA'!$B:$B,'Comm. per Month (Heavy Weapons)'!$B39,'Bilateral Assistance, MAIN DATA'!$AG:$AG,1,'Bilateral Assistance, MAIN DATA'!$AH:$AH,'Comm. per Month (Heavy Weapons)'!M$11, 'Bilateral Assistance, MAIN DATA'!$J:$J,"Heavy weapon")/VLOOKUP("USD",'Exchange Rates'!$B:$C,2,0))/1000000000</f>
        <v>0</v>
      </c>
      <c r="N39" s="315">
        <f>(SUMIFS('Bilateral Assistance, MAIN DATA'!$P:$P,'Bilateral Assistance, MAIN DATA'!$B:$B,'Comm. per Month (Heavy Weapons)'!$B39,'Bilateral Assistance, MAIN DATA'!$AG:$AG,1,'Bilateral Assistance, MAIN DATA'!$AH:$AH,'Comm. per Month (Heavy Weapons)'!N$11, 'Bilateral Assistance, MAIN DATA'!$J:$J,"Heavy weapon")/VLOOKUP("USD",'Exchange Rates'!$B:$C,2,0))/1000000000</f>
        <v>0</v>
      </c>
      <c r="O39" s="315">
        <f>(SUMIFS('Bilateral Assistance, MAIN DATA'!$P:$P,'Bilateral Assistance, MAIN DATA'!$B:$B,'Comm. per Month (Heavy Weapons)'!$B39,'Bilateral Assistance, MAIN DATA'!$AG:$AG,1,'Bilateral Assistance, MAIN DATA'!$AH:$AH,'Comm. per Month (Heavy Weapons)'!O$11, 'Bilateral Assistance, MAIN DATA'!$J:$J,"Heavy weapon")/VLOOKUP("USD",'Exchange Rates'!$B:$C,2,0))/1000000000</f>
        <v>0</v>
      </c>
      <c r="P39" s="315">
        <f>(SUMIFS('Bilateral Assistance, MAIN DATA'!$P:$P,'Bilateral Assistance, MAIN DATA'!$B:$B,'Comm. per Month (Heavy Weapons)'!$B39,'Bilateral Assistance, MAIN DATA'!$AG:$AG,1,'Bilateral Assistance, MAIN DATA'!$AH:$AH,'Comm. per Month (Heavy Weapons)'!P$11, 'Bilateral Assistance, MAIN DATA'!$J:$J,"Heavy weapon")/VLOOKUP("USD",'Exchange Rates'!$B:$C,2,0))/1000000000</f>
        <v>0.43821217714285715</v>
      </c>
      <c r="Q39" s="315">
        <f>(SUMIFS('Bilateral Assistance, MAIN DATA'!$P:$P,'Bilateral Assistance, MAIN DATA'!$B:$B,'Comm. per Month (Heavy Weapons)'!$B39,'Bilateral Assistance, MAIN DATA'!$AG:$AG,1,'Bilateral Assistance, MAIN DATA'!$AH:$AH,'Comm. per Month (Heavy Weapons)'!Q$11, 'Bilateral Assistance, MAIN DATA'!$J:$J,"Heavy weapon")/VLOOKUP("USD",'Exchange Rates'!$B:$C,2,0))/1000000000</f>
        <v>0</v>
      </c>
      <c r="R39" s="140">
        <f t="shared" si="0"/>
        <v>1.2377157583874072</v>
      </c>
    </row>
    <row r="40" spans="1:18" ht="15.9" customHeight="1" x14ac:dyDescent="0.3">
      <c r="A40" s="19"/>
      <c r="B40" s="24" t="s">
        <v>2370</v>
      </c>
      <c r="C40" s="339">
        <v>1</v>
      </c>
      <c r="D40" s="339">
        <v>0</v>
      </c>
      <c r="E40" s="315">
        <f>(SUMIFS('Bilateral Assistance, MAIN DATA'!$P:$P,'Bilateral Assistance, MAIN DATA'!$B:$B,'Comm. per Month (Heavy Weapons)'!$B40,'Bilateral Assistance, MAIN DATA'!$AG:$AG,1,'Bilateral Assistance, MAIN DATA'!$AH:$AH,'Comm. per Month (Heavy Weapons)'!E$11, 'Bilateral Assistance, MAIN DATA'!$J:$J,"Heavy weapon")/VLOOKUP("USD",'Exchange Rates'!$B:$C,2,0))/1000000000</f>
        <v>0</v>
      </c>
      <c r="F40" s="315">
        <f>(SUMIFS('Bilateral Assistance, MAIN DATA'!$P:$P,'Bilateral Assistance, MAIN DATA'!$B:$B,'Comm. per Month (Heavy Weapons)'!$B40,'Bilateral Assistance, MAIN DATA'!$AG:$AG,1,'Bilateral Assistance, MAIN DATA'!$AH:$AH,'Comm. per Month (Heavy Weapons)'!F$11, 'Bilateral Assistance, MAIN DATA'!$J:$J,"Heavy weapon")/VLOOKUP("USD",'Exchange Rates'!$B:$C,2,0))/1000000000</f>
        <v>0</v>
      </c>
      <c r="G40" s="315">
        <f>(SUMIFS('Bilateral Assistance, MAIN DATA'!$P:$P,'Bilateral Assistance, MAIN DATA'!$B:$B,'Comm. per Month (Heavy Weapons)'!$B40,'Bilateral Assistance, MAIN DATA'!$AG:$AG,1,'Bilateral Assistance, MAIN DATA'!$AH:$AH,'Comm. per Month (Heavy Weapons)'!G$11, 'Bilateral Assistance, MAIN DATA'!$J:$J,"Heavy weapon")/VLOOKUP("USD",'Exchange Rates'!$B:$C,2,0))/1000000000</f>
        <v>0</v>
      </c>
      <c r="H40" s="315">
        <f>(SUMIFS('Bilateral Assistance, MAIN DATA'!$P:$P,'Bilateral Assistance, MAIN DATA'!$B:$B,'Comm. per Month (Heavy Weapons)'!$B40,'Bilateral Assistance, MAIN DATA'!$AG:$AG,1,'Bilateral Assistance, MAIN DATA'!$AH:$AH,'Comm. per Month (Heavy Weapons)'!H$11, 'Bilateral Assistance, MAIN DATA'!$J:$J,"Heavy weapon")/VLOOKUP("USD",'Exchange Rates'!$B:$C,2,0))/1000000000</f>
        <v>0</v>
      </c>
      <c r="I40" s="315">
        <f>(SUMIFS('Bilateral Assistance, MAIN DATA'!$P:$P,'Bilateral Assistance, MAIN DATA'!$B:$B,'Comm. per Month (Heavy Weapons)'!$B40,'Bilateral Assistance, MAIN DATA'!$AG:$AG,1,'Bilateral Assistance, MAIN DATA'!$AH:$AH,'Comm. per Month (Heavy Weapons)'!I$11, 'Bilateral Assistance, MAIN DATA'!$J:$J,"Heavy weapon")/VLOOKUP("USD",'Exchange Rates'!$B:$C,2,0))/1000000000</f>
        <v>8.408784553516107E-3</v>
      </c>
      <c r="J40" s="315">
        <f>(SUMIFS('Bilateral Assistance, MAIN DATA'!$P:$P,'Bilateral Assistance, MAIN DATA'!$B:$B,'Comm. per Month (Heavy Weapons)'!$B40,'Bilateral Assistance, MAIN DATA'!$AG:$AG,1,'Bilateral Assistance, MAIN DATA'!$AH:$AH,'Comm. per Month (Heavy Weapons)'!J$11, 'Bilateral Assistance, MAIN DATA'!$J:$J,"Heavy weapon")/VLOOKUP("USD",'Exchange Rates'!$B:$C,2,0))/1000000000</f>
        <v>0</v>
      </c>
      <c r="K40" s="315">
        <f>(SUMIFS('Bilateral Assistance, MAIN DATA'!$P:$P,'Bilateral Assistance, MAIN DATA'!$B:$B,'Comm. per Month (Heavy Weapons)'!$B40,'Bilateral Assistance, MAIN DATA'!$AG:$AG,1,'Bilateral Assistance, MAIN DATA'!$AH:$AH,'Comm. per Month (Heavy Weapons)'!K$11, 'Bilateral Assistance, MAIN DATA'!$J:$J,"Heavy weapon")/VLOOKUP("USD",'Exchange Rates'!$B:$C,2,0))/1000000000</f>
        <v>0</v>
      </c>
      <c r="L40" s="315">
        <f>(SUMIFS('Bilateral Assistance, MAIN DATA'!$P:$P,'Bilateral Assistance, MAIN DATA'!$B:$B,'Comm. per Month (Heavy Weapons)'!$B40,'Bilateral Assistance, MAIN DATA'!$AG:$AG,1,'Bilateral Assistance, MAIN DATA'!$AH:$AH,'Comm. per Month (Heavy Weapons)'!L$11, 'Bilateral Assistance, MAIN DATA'!$J:$J,"Heavy weapon")/VLOOKUP("USD",'Exchange Rates'!$B:$C,2,0))/1000000000</f>
        <v>0</v>
      </c>
      <c r="M40" s="315">
        <f>(SUMIFS('Bilateral Assistance, MAIN DATA'!$P:$P,'Bilateral Assistance, MAIN DATA'!$B:$B,'Comm. per Month (Heavy Weapons)'!$B40,'Bilateral Assistance, MAIN DATA'!$AG:$AG,1,'Bilateral Assistance, MAIN DATA'!$AH:$AH,'Comm. per Month (Heavy Weapons)'!M$11, 'Bilateral Assistance, MAIN DATA'!$J:$J,"Heavy weapon")/VLOOKUP("USD",'Exchange Rates'!$B:$C,2,0))/1000000000</f>
        <v>0</v>
      </c>
      <c r="N40" s="315">
        <f>(SUMIFS('Bilateral Assistance, MAIN DATA'!$P:$P,'Bilateral Assistance, MAIN DATA'!$B:$B,'Comm. per Month (Heavy Weapons)'!$B40,'Bilateral Assistance, MAIN DATA'!$AG:$AG,1,'Bilateral Assistance, MAIN DATA'!$AH:$AH,'Comm. per Month (Heavy Weapons)'!N$11, 'Bilateral Assistance, MAIN DATA'!$J:$J,"Heavy weapon")/VLOOKUP("USD",'Exchange Rates'!$B:$C,2,0))/1000000000</f>
        <v>0</v>
      </c>
      <c r="O40" s="315">
        <f>(SUMIFS('Bilateral Assistance, MAIN DATA'!$P:$P,'Bilateral Assistance, MAIN DATA'!$B:$B,'Comm. per Month (Heavy Weapons)'!$B40,'Bilateral Assistance, MAIN DATA'!$AG:$AG,1,'Bilateral Assistance, MAIN DATA'!$AH:$AH,'Comm. per Month (Heavy Weapons)'!O$11, 'Bilateral Assistance, MAIN DATA'!$J:$J,"Heavy weapon")/VLOOKUP("USD",'Exchange Rates'!$B:$C,2,0))/1000000000</f>
        <v>0</v>
      </c>
      <c r="P40" s="315">
        <f>(SUMIFS('Bilateral Assistance, MAIN DATA'!$P:$P,'Bilateral Assistance, MAIN DATA'!$B:$B,'Comm. per Month (Heavy Weapons)'!$B40,'Bilateral Assistance, MAIN DATA'!$AG:$AG,1,'Bilateral Assistance, MAIN DATA'!$AH:$AH,'Comm. per Month (Heavy Weapons)'!P$11, 'Bilateral Assistance, MAIN DATA'!$J:$J,"Heavy weapon")/VLOOKUP("USD",'Exchange Rates'!$B:$C,2,0))/1000000000</f>
        <v>0</v>
      </c>
      <c r="Q40" s="315">
        <f>(SUMIFS('Bilateral Assistance, MAIN DATA'!$P:$P,'Bilateral Assistance, MAIN DATA'!$B:$B,'Comm. per Month (Heavy Weapons)'!$B40,'Bilateral Assistance, MAIN DATA'!$AG:$AG,1,'Bilateral Assistance, MAIN DATA'!$AH:$AH,'Comm. per Month (Heavy Weapons)'!Q$11, 'Bilateral Assistance, MAIN DATA'!$J:$J,"Heavy weapon")/VLOOKUP("USD",'Exchange Rates'!$B:$C,2,0))/1000000000</f>
        <v>0</v>
      </c>
      <c r="R40" s="140">
        <f t="shared" si="0"/>
        <v>8.408784553516107E-3</v>
      </c>
    </row>
    <row r="41" spans="1:18" ht="15.9" customHeight="1" x14ac:dyDescent="0.3">
      <c r="B41" s="2" t="s">
        <v>2424</v>
      </c>
      <c r="C41" s="339">
        <v>0</v>
      </c>
      <c r="D41" s="339">
        <v>0</v>
      </c>
      <c r="E41" s="315">
        <f>(SUMIFS('Bilateral Assistance, MAIN DATA'!$P:$P,'Bilateral Assistance, MAIN DATA'!$B:$B,'Comm. per Month (Heavy Weapons)'!$B41,'Bilateral Assistance, MAIN DATA'!$AG:$AG,1,'Bilateral Assistance, MAIN DATA'!$AH:$AH,'Comm. per Month (Heavy Weapons)'!E$11, 'Bilateral Assistance, MAIN DATA'!$J:$J,"Heavy weapon")/VLOOKUP("USD",'Exchange Rates'!$B:$C,2,0))/1000000000</f>
        <v>0</v>
      </c>
      <c r="F41" s="315">
        <f>(SUMIFS('Bilateral Assistance, MAIN DATA'!$P:$P,'Bilateral Assistance, MAIN DATA'!$B:$B,'Comm. per Month (Heavy Weapons)'!$B41,'Bilateral Assistance, MAIN DATA'!$AG:$AG,1,'Bilateral Assistance, MAIN DATA'!$AH:$AH,'Comm. per Month (Heavy Weapons)'!F$11, 'Bilateral Assistance, MAIN DATA'!$J:$J,"Heavy weapon")/VLOOKUP("USD",'Exchange Rates'!$B:$C,2,0))/1000000000</f>
        <v>0</v>
      </c>
      <c r="G41" s="315">
        <f>(SUMIFS('Bilateral Assistance, MAIN DATA'!$P:$P,'Bilateral Assistance, MAIN DATA'!$B:$B,'Comm. per Month (Heavy Weapons)'!$B41,'Bilateral Assistance, MAIN DATA'!$AG:$AG,1,'Bilateral Assistance, MAIN DATA'!$AH:$AH,'Comm. per Month (Heavy Weapons)'!G$11, 'Bilateral Assistance, MAIN DATA'!$J:$J,"Heavy weapon")/VLOOKUP("USD",'Exchange Rates'!$B:$C,2,0))/1000000000</f>
        <v>0</v>
      </c>
      <c r="H41" s="315">
        <f>(SUMIFS('Bilateral Assistance, MAIN DATA'!$P:$P,'Bilateral Assistance, MAIN DATA'!$B:$B,'Comm. per Month (Heavy Weapons)'!$B41,'Bilateral Assistance, MAIN DATA'!$AG:$AG,1,'Bilateral Assistance, MAIN DATA'!$AH:$AH,'Comm. per Month (Heavy Weapons)'!H$11, 'Bilateral Assistance, MAIN DATA'!$J:$J,"Heavy weapon")/VLOOKUP("USD",'Exchange Rates'!$B:$C,2,0))/1000000000</f>
        <v>0</v>
      </c>
      <c r="I41" s="315">
        <f>(SUMIFS('Bilateral Assistance, MAIN DATA'!$P:$P,'Bilateral Assistance, MAIN DATA'!$B:$B,'Comm. per Month (Heavy Weapons)'!$B41,'Bilateral Assistance, MAIN DATA'!$AG:$AG,1,'Bilateral Assistance, MAIN DATA'!$AH:$AH,'Comm. per Month (Heavy Weapons)'!I$11, 'Bilateral Assistance, MAIN DATA'!$J:$J,"Heavy weapon")/VLOOKUP("USD",'Exchange Rates'!$B:$C,2,0))/1000000000</f>
        <v>0</v>
      </c>
      <c r="J41" s="315">
        <f>(SUMIFS('Bilateral Assistance, MAIN DATA'!$P:$P,'Bilateral Assistance, MAIN DATA'!$B:$B,'Comm. per Month (Heavy Weapons)'!$B41,'Bilateral Assistance, MAIN DATA'!$AG:$AG,1,'Bilateral Assistance, MAIN DATA'!$AH:$AH,'Comm. per Month (Heavy Weapons)'!J$11, 'Bilateral Assistance, MAIN DATA'!$J:$J,"Heavy weapon")/VLOOKUP("USD",'Exchange Rates'!$B:$C,2,0))/1000000000</f>
        <v>0</v>
      </c>
      <c r="K41" s="315">
        <f>(SUMIFS('Bilateral Assistance, MAIN DATA'!$P:$P,'Bilateral Assistance, MAIN DATA'!$B:$B,'Comm. per Month (Heavy Weapons)'!$B41,'Bilateral Assistance, MAIN DATA'!$AG:$AG,1,'Bilateral Assistance, MAIN DATA'!$AH:$AH,'Comm. per Month (Heavy Weapons)'!K$11, 'Bilateral Assistance, MAIN DATA'!$J:$J,"Heavy weapon")/VLOOKUP("USD",'Exchange Rates'!$B:$C,2,0))/1000000000</f>
        <v>0</v>
      </c>
      <c r="L41" s="315">
        <f>(SUMIFS('Bilateral Assistance, MAIN DATA'!$P:$P,'Bilateral Assistance, MAIN DATA'!$B:$B,'Comm. per Month (Heavy Weapons)'!$B41,'Bilateral Assistance, MAIN DATA'!$AG:$AG,1,'Bilateral Assistance, MAIN DATA'!$AH:$AH,'Comm. per Month (Heavy Weapons)'!L$11, 'Bilateral Assistance, MAIN DATA'!$J:$J,"Heavy weapon")/VLOOKUP("USD",'Exchange Rates'!$B:$C,2,0))/1000000000</f>
        <v>0</v>
      </c>
      <c r="M41" s="315">
        <f>(SUMIFS('Bilateral Assistance, MAIN DATA'!$P:$P,'Bilateral Assistance, MAIN DATA'!$B:$B,'Comm. per Month (Heavy Weapons)'!$B41,'Bilateral Assistance, MAIN DATA'!$AG:$AG,1,'Bilateral Assistance, MAIN DATA'!$AH:$AH,'Comm. per Month (Heavy Weapons)'!M$11, 'Bilateral Assistance, MAIN DATA'!$J:$J,"Heavy weapon")/VLOOKUP("USD",'Exchange Rates'!$B:$C,2,0))/1000000000</f>
        <v>0</v>
      </c>
      <c r="N41" s="315">
        <f>(SUMIFS('Bilateral Assistance, MAIN DATA'!$P:$P,'Bilateral Assistance, MAIN DATA'!$B:$B,'Comm. per Month (Heavy Weapons)'!$B41,'Bilateral Assistance, MAIN DATA'!$AG:$AG,1,'Bilateral Assistance, MAIN DATA'!$AH:$AH,'Comm. per Month (Heavy Weapons)'!N$11, 'Bilateral Assistance, MAIN DATA'!$J:$J,"Heavy weapon")/VLOOKUP("USD",'Exchange Rates'!$B:$C,2,0))/1000000000</f>
        <v>0</v>
      </c>
      <c r="O41" s="315">
        <f>(SUMIFS('Bilateral Assistance, MAIN DATA'!$P:$P,'Bilateral Assistance, MAIN DATA'!$B:$B,'Comm. per Month (Heavy Weapons)'!$B41,'Bilateral Assistance, MAIN DATA'!$AG:$AG,1,'Bilateral Assistance, MAIN DATA'!$AH:$AH,'Comm. per Month (Heavy Weapons)'!O$11, 'Bilateral Assistance, MAIN DATA'!$J:$J,"Heavy weapon")/VLOOKUP("USD",'Exchange Rates'!$B:$C,2,0))/1000000000</f>
        <v>0</v>
      </c>
      <c r="P41" s="315">
        <f>(SUMIFS('Bilateral Assistance, MAIN DATA'!$P:$P,'Bilateral Assistance, MAIN DATA'!$B:$B,'Comm. per Month (Heavy Weapons)'!$B41,'Bilateral Assistance, MAIN DATA'!$AG:$AG,1,'Bilateral Assistance, MAIN DATA'!$AH:$AH,'Comm. per Month (Heavy Weapons)'!P$11, 'Bilateral Assistance, MAIN DATA'!$J:$J,"Heavy weapon")/VLOOKUP("USD",'Exchange Rates'!$B:$C,2,0))/1000000000</f>
        <v>0</v>
      </c>
      <c r="Q41" s="315">
        <f>(SUMIFS('Bilateral Assistance, MAIN DATA'!$P:$P,'Bilateral Assistance, MAIN DATA'!$B:$B,'Comm. per Month (Heavy Weapons)'!$B41,'Bilateral Assistance, MAIN DATA'!$AG:$AG,1,'Bilateral Assistance, MAIN DATA'!$AH:$AH,'Comm. per Month (Heavy Weapons)'!Q$11, 'Bilateral Assistance, MAIN DATA'!$J:$J,"Heavy weapon")/VLOOKUP("USD",'Exchange Rates'!$B:$C,2,0))/1000000000</f>
        <v>0</v>
      </c>
      <c r="R41" s="140">
        <f t="shared" si="0"/>
        <v>0</v>
      </c>
    </row>
    <row r="42" spans="1:18" ht="15.9" customHeight="1" x14ac:dyDescent="0.3">
      <c r="B42" s="24" t="s">
        <v>2460</v>
      </c>
      <c r="C42" s="339">
        <v>1</v>
      </c>
      <c r="D42" s="339">
        <v>0</v>
      </c>
      <c r="E42" s="315">
        <f>(SUMIFS('Bilateral Assistance, MAIN DATA'!$P:$P,'Bilateral Assistance, MAIN DATA'!$B:$B,'Comm. per Month (Heavy Weapons)'!$B42,'Bilateral Assistance, MAIN DATA'!$AG:$AG,1,'Bilateral Assistance, MAIN DATA'!$AH:$AH,'Comm. per Month (Heavy Weapons)'!E$11, 'Bilateral Assistance, MAIN DATA'!$J:$J,"Heavy weapon")/VLOOKUP("USD",'Exchange Rates'!$B:$C,2,0))/1000000000</f>
        <v>0</v>
      </c>
      <c r="F42" s="315">
        <f>(SUMIFS('Bilateral Assistance, MAIN DATA'!$P:$P,'Bilateral Assistance, MAIN DATA'!$B:$B,'Comm. per Month (Heavy Weapons)'!$B42,'Bilateral Assistance, MAIN DATA'!$AG:$AG,1,'Bilateral Assistance, MAIN DATA'!$AH:$AH,'Comm. per Month (Heavy Weapons)'!F$11, 'Bilateral Assistance, MAIN DATA'!$J:$J,"Heavy weapon")/VLOOKUP("USD",'Exchange Rates'!$B:$C,2,0))/1000000000</f>
        <v>0</v>
      </c>
      <c r="G42" s="315">
        <f>(SUMIFS('Bilateral Assistance, MAIN DATA'!$P:$P,'Bilateral Assistance, MAIN DATA'!$B:$B,'Comm. per Month (Heavy Weapons)'!$B42,'Bilateral Assistance, MAIN DATA'!$AG:$AG,1,'Bilateral Assistance, MAIN DATA'!$AH:$AH,'Comm. per Month (Heavy Weapons)'!G$11, 'Bilateral Assistance, MAIN DATA'!$J:$J,"Heavy weapon")/VLOOKUP("USD",'Exchange Rates'!$B:$C,2,0))/1000000000</f>
        <v>0</v>
      </c>
      <c r="H42" s="315">
        <f>(SUMIFS('Bilateral Assistance, MAIN DATA'!$P:$P,'Bilateral Assistance, MAIN DATA'!$B:$B,'Comm. per Month (Heavy Weapons)'!$B42,'Bilateral Assistance, MAIN DATA'!$AG:$AG,1,'Bilateral Assistance, MAIN DATA'!$AH:$AH,'Comm. per Month (Heavy Weapons)'!H$11, 'Bilateral Assistance, MAIN DATA'!$J:$J,"Heavy weapon")/VLOOKUP("USD",'Exchange Rates'!$B:$C,2,0))/1000000000</f>
        <v>0</v>
      </c>
      <c r="I42" s="315">
        <f>(SUMIFS('Bilateral Assistance, MAIN DATA'!$P:$P,'Bilateral Assistance, MAIN DATA'!$B:$B,'Comm. per Month (Heavy Weapons)'!$B42,'Bilateral Assistance, MAIN DATA'!$AG:$AG,1,'Bilateral Assistance, MAIN DATA'!$AH:$AH,'Comm. per Month (Heavy Weapons)'!I$11, 'Bilateral Assistance, MAIN DATA'!$J:$J,"Heavy weapon")/VLOOKUP("USD",'Exchange Rates'!$B:$C,2,0))/1000000000</f>
        <v>0</v>
      </c>
      <c r="J42" s="315">
        <f>(SUMIFS('Bilateral Assistance, MAIN DATA'!$P:$P,'Bilateral Assistance, MAIN DATA'!$B:$B,'Comm. per Month (Heavy Weapons)'!$B42,'Bilateral Assistance, MAIN DATA'!$AG:$AG,1,'Bilateral Assistance, MAIN DATA'!$AH:$AH,'Comm. per Month (Heavy Weapons)'!J$11, 'Bilateral Assistance, MAIN DATA'!$J:$J,"Heavy weapon")/VLOOKUP("USD",'Exchange Rates'!$B:$C,2,0))/1000000000</f>
        <v>0</v>
      </c>
      <c r="K42" s="315">
        <f>(SUMIFS('Bilateral Assistance, MAIN DATA'!$P:$P,'Bilateral Assistance, MAIN DATA'!$B:$B,'Comm. per Month (Heavy Weapons)'!$B42,'Bilateral Assistance, MAIN DATA'!$AG:$AG,1,'Bilateral Assistance, MAIN DATA'!$AH:$AH,'Comm. per Month (Heavy Weapons)'!K$11, 'Bilateral Assistance, MAIN DATA'!$J:$J,"Heavy weapon")/VLOOKUP("USD",'Exchange Rates'!$B:$C,2,0))/1000000000</f>
        <v>0</v>
      </c>
      <c r="L42" s="315">
        <f>(SUMIFS('Bilateral Assistance, MAIN DATA'!$P:$P,'Bilateral Assistance, MAIN DATA'!$B:$B,'Comm. per Month (Heavy Weapons)'!$B42,'Bilateral Assistance, MAIN DATA'!$AG:$AG,1,'Bilateral Assistance, MAIN DATA'!$AH:$AH,'Comm. per Month (Heavy Weapons)'!L$11, 'Bilateral Assistance, MAIN DATA'!$J:$J,"Heavy weapon")/VLOOKUP("USD",'Exchange Rates'!$B:$C,2,0))/1000000000</f>
        <v>0</v>
      </c>
      <c r="M42" s="315">
        <f>(SUMIFS('Bilateral Assistance, MAIN DATA'!$P:$P,'Bilateral Assistance, MAIN DATA'!$B:$B,'Comm. per Month (Heavy Weapons)'!$B42,'Bilateral Assistance, MAIN DATA'!$AG:$AG,1,'Bilateral Assistance, MAIN DATA'!$AH:$AH,'Comm. per Month (Heavy Weapons)'!M$11, 'Bilateral Assistance, MAIN DATA'!$J:$J,"Heavy weapon")/VLOOKUP("USD",'Exchange Rates'!$B:$C,2,0))/1000000000</f>
        <v>0</v>
      </c>
      <c r="N42" s="315">
        <f>(SUMIFS('Bilateral Assistance, MAIN DATA'!$P:$P,'Bilateral Assistance, MAIN DATA'!$B:$B,'Comm. per Month (Heavy Weapons)'!$B42,'Bilateral Assistance, MAIN DATA'!$AG:$AG,1,'Bilateral Assistance, MAIN DATA'!$AH:$AH,'Comm. per Month (Heavy Weapons)'!N$11, 'Bilateral Assistance, MAIN DATA'!$J:$J,"Heavy weapon")/VLOOKUP("USD",'Exchange Rates'!$B:$C,2,0))/1000000000</f>
        <v>0</v>
      </c>
      <c r="O42" s="315">
        <f>(SUMIFS('Bilateral Assistance, MAIN DATA'!$P:$P,'Bilateral Assistance, MAIN DATA'!$B:$B,'Comm. per Month (Heavy Weapons)'!$B42,'Bilateral Assistance, MAIN DATA'!$AG:$AG,1,'Bilateral Assistance, MAIN DATA'!$AH:$AH,'Comm. per Month (Heavy Weapons)'!O$11, 'Bilateral Assistance, MAIN DATA'!$J:$J,"Heavy weapon")/VLOOKUP("USD",'Exchange Rates'!$B:$C,2,0))/1000000000</f>
        <v>0</v>
      </c>
      <c r="P42" s="315">
        <f>(SUMIFS('Bilateral Assistance, MAIN DATA'!$P:$P,'Bilateral Assistance, MAIN DATA'!$B:$B,'Comm. per Month (Heavy Weapons)'!$B42,'Bilateral Assistance, MAIN DATA'!$AG:$AG,1,'Bilateral Assistance, MAIN DATA'!$AH:$AH,'Comm. per Month (Heavy Weapons)'!P$11, 'Bilateral Assistance, MAIN DATA'!$J:$J,"Heavy weapon")/VLOOKUP("USD",'Exchange Rates'!$B:$C,2,0))/1000000000</f>
        <v>0</v>
      </c>
      <c r="Q42" s="315">
        <f>(SUMIFS('Bilateral Assistance, MAIN DATA'!$P:$P,'Bilateral Assistance, MAIN DATA'!$B:$B,'Comm. per Month (Heavy Weapons)'!$B42,'Bilateral Assistance, MAIN DATA'!$AG:$AG,1,'Bilateral Assistance, MAIN DATA'!$AH:$AH,'Comm. per Month (Heavy Weapons)'!Q$11, 'Bilateral Assistance, MAIN DATA'!$J:$J,"Heavy weapon")/VLOOKUP("USD",'Exchange Rates'!$B:$C,2,0))/1000000000</f>
        <v>0</v>
      </c>
      <c r="R42" s="140">
        <f t="shared" si="0"/>
        <v>0</v>
      </c>
    </row>
    <row r="43" spans="1:18" ht="15.9" customHeight="1" x14ac:dyDescent="0.3">
      <c r="B43" s="24" t="s">
        <v>2489</v>
      </c>
      <c r="C43" s="339">
        <v>1</v>
      </c>
      <c r="D43" s="339">
        <v>0</v>
      </c>
      <c r="E43" s="315">
        <f>(SUMIFS('Bilateral Assistance, MAIN DATA'!$P:$P,'Bilateral Assistance, MAIN DATA'!$B:$B,'Comm. per Month (Heavy Weapons)'!$B43,'Bilateral Assistance, MAIN DATA'!$AG:$AG,1,'Bilateral Assistance, MAIN DATA'!$AH:$AH,'Comm. per Month (Heavy Weapons)'!E$11, 'Bilateral Assistance, MAIN DATA'!$J:$J,"Heavy weapon")/VLOOKUP("USD",'Exchange Rates'!$B:$C,2,0))/1000000000</f>
        <v>0</v>
      </c>
      <c r="F43" s="315">
        <f>(SUMIFS('Bilateral Assistance, MAIN DATA'!$P:$P,'Bilateral Assistance, MAIN DATA'!$B:$B,'Comm. per Month (Heavy Weapons)'!$B43,'Bilateral Assistance, MAIN DATA'!$AG:$AG,1,'Bilateral Assistance, MAIN DATA'!$AH:$AH,'Comm. per Month (Heavy Weapons)'!F$11, 'Bilateral Assistance, MAIN DATA'!$J:$J,"Heavy weapon")/VLOOKUP("USD",'Exchange Rates'!$B:$C,2,0))/1000000000</f>
        <v>0</v>
      </c>
      <c r="G43" s="315">
        <f>(SUMIFS('Bilateral Assistance, MAIN DATA'!$P:$P,'Bilateral Assistance, MAIN DATA'!$B:$B,'Comm. per Month (Heavy Weapons)'!$B43,'Bilateral Assistance, MAIN DATA'!$AG:$AG,1,'Bilateral Assistance, MAIN DATA'!$AH:$AH,'Comm. per Month (Heavy Weapons)'!G$11, 'Bilateral Assistance, MAIN DATA'!$J:$J,"Heavy weapon")/VLOOKUP("USD",'Exchange Rates'!$B:$C,2,0))/1000000000</f>
        <v>0</v>
      </c>
      <c r="H43" s="315">
        <f>(SUMIFS('Bilateral Assistance, MAIN DATA'!$P:$P,'Bilateral Assistance, MAIN DATA'!$B:$B,'Comm. per Month (Heavy Weapons)'!$B43,'Bilateral Assistance, MAIN DATA'!$AG:$AG,1,'Bilateral Assistance, MAIN DATA'!$AH:$AH,'Comm. per Month (Heavy Weapons)'!H$11, 'Bilateral Assistance, MAIN DATA'!$J:$J,"Heavy weapon")/VLOOKUP("USD",'Exchange Rates'!$B:$C,2,0))/1000000000</f>
        <v>0.19887390393333332</v>
      </c>
      <c r="I43" s="315">
        <f>(SUMIFS('Bilateral Assistance, MAIN DATA'!$P:$P,'Bilateral Assistance, MAIN DATA'!$B:$B,'Comm. per Month (Heavy Weapons)'!$B43,'Bilateral Assistance, MAIN DATA'!$AG:$AG,1,'Bilateral Assistance, MAIN DATA'!$AH:$AH,'Comm. per Month (Heavy Weapons)'!I$11, 'Bilateral Assistance, MAIN DATA'!$J:$J,"Heavy weapon")/VLOOKUP("USD",'Exchange Rates'!$B:$C,2,0))/1000000000</f>
        <v>0</v>
      </c>
      <c r="J43" s="315">
        <f>(SUMIFS('Bilateral Assistance, MAIN DATA'!$P:$P,'Bilateral Assistance, MAIN DATA'!$B:$B,'Comm. per Month (Heavy Weapons)'!$B43,'Bilateral Assistance, MAIN DATA'!$AG:$AG,1,'Bilateral Assistance, MAIN DATA'!$AH:$AH,'Comm. per Month (Heavy Weapons)'!J$11, 'Bilateral Assistance, MAIN DATA'!$J:$J,"Heavy weapon")/VLOOKUP("USD",'Exchange Rates'!$B:$C,2,0))/1000000000</f>
        <v>0</v>
      </c>
      <c r="K43" s="315">
        <f>(SUMIFS('Bilateral Assistance, MAIN DATA'!$P:$P,'Bilateral Assistance, MAIN DATA'!$B:$B,'Comm. per Month (Heavy Weapons)'!$B43,'Bilateral Assistance, MAIN DATA'!$AG:$AG,1,'Bilateral Assistance, MAIN DATA'!$AH:$AH,'Comm. per Month (Heavy Weapons)'!K$11, 'Bilateral Assistance, MAIN DATA'!$J:$J,"Heavy weapon")/VLOOKUP("USD",'Exchange Rates'!$B:$C,2,0))/1000000000</f>
        <v>0</v>
      </c>
      <c r="L43" s="315">
        <f>(SUMIFS('Bilateral Assistance, MAIN DATA'!$P:$P,'Bilateral Assistance, MAIN DATA'!$B:$B,'Comm. per Month (Heavy Weapons)'!$B43,'Bilateral Assistance, MAIN DATA'!$AG:$AG,1,'Bilateral Assistance, MAIN DATA'!$AH:$AH,'Comm. per Month (Heavy Weapons)'!L$11, 'Bilateral Assistance, MAIN DATA'!$J:$J,"Heavy weapon")/VLOOKUP("USD",'Exchange Rates'!$B:$C,2,0))/1000000000</f>
        <v>1.6044072285714289E-2</v>
      </c>
      <c r="M43" s="315">
        <f>(SUMIFS('Bilateral Assistance, MAIN DATA'!$P:$P,'Bilateral Assistance, MAIN DATA'!$B:$B,'Comm. per Month (Heavy Weapons)'!$B43,'Bilateral Assistance, MAIN DATA'!$AG:$AG,1,'Bilateral Assistance, MAIN DATA'!$AH:$AH,'Comm. per Month (Heavy Weapons)'!M$11, 'Bilateral Assistance, MAIN DATA'!$J:$J,"Heavy weapon")/VLOOKUP("USD",'Exchange Rates'!$B:$C,2,0))/1000000000</f>
        <v>0</v>
      </c>
      <c r="N43" s="315">
        <f>(SUMIFS('Bilateral Assistance, MAIN DATA'!$P:$P,'Bilateral Assistance, MAIN DATA'!$B:$B,'Comm. per Month (Heavy Weapons)'!$B43,'Bilateral Assistance, MAIN DATA'!$AG:$AG,1,'Bilateral Assistance, MAIN DATA'!$AH:$AH,'Comm. per Month (Heavy Weapons)'!N$11, 'Bilateral Assistance, MAIN DATA'!$J:$J,"Heavy weapon")/VLOOKUP("USD",'Exchange Rates'!$B:$C,2,0))/1000000000</f>
        <v>0</v>
      </c>
      <c r="O43" s="315">
        <f>(SUMIFS('Bilateral Assistance, MAIN DATA'!$P:$P,'Bilateral Assistance, MAIN DATA'!$B:$B,'Comm. per Month (Heavy Weapons)'!$B43,'Bilateral Assistance, MAIN DATA'!$AG:$AG,1,'Bilateral Assistance, MAIN DATA'!$AH:$AH,'Comm. per Month (Heavy Weapons)'!O$11, 'Bilateral Assistance, MAIN DATA'!$J:$J,"Heavy weapon")/VLOOKUP("USD",'Exchange Rates'!$B:$C,2,0))/1000000000</f>
        <v>0</v>
      </c>
      <c r="P43" s="315">
        <f>(SUMIFS('Bilateral Assistance, MAIN DATA'!$P:$P,'Bilateral Assistance, MAIN DATA'!$B:$B,'Comm. per Month (Heavy Weapons)'!$B43,'Bilateral Assistance, MAIN DATA'!$AG:$AG,1,'Bilateral Assistance, MAIN DATA'!$AH:$AH,'Comm. per Month (Heavy Weapons)'!P$11, 'Bilateral Assistance, MAIN DATA'!$J:$J,"Heavy weapon")/VLOOKUP("USD",'Exchange Rates'!$B:$C,2,0))/1000000000</f>
        <v>0</v>
      </c>
      <c r="Q43" s="315">
        <f>(SUMIFS('Bilateral Assistance, MAIN DATA'!$P:$P,'Bilateral Assistance, MAIN DATA'!$B:$B,'Comm. per Month (Heavy Weapons)'!$B43,'Bilateral Assistance, MAIN DATA'!$AG:$AG,1,'Bilateral Assistance, MAIN DATA'!$AH:$AH,'Comm. per Month (Heavy Weapons)'!Q$11, 'Bilateral Assistance, MAIN DATA'!$J:$J,"Heavy weapon")/VLOOKUP("USD",'Exchange Rates'!$B:$C,2,0))/1000000000</f>
        <v>0</v>
      </c>
      <c r="R43" s="140">
        <f t="shared" si="0"/>
        <v>0.2149179762190476</v>
      </c>
    </row>
    <row r="44" spans="1:18" ht="15.9" customHeight="1" x14ac:dyDescent="0.3">
      <c r="B44" s="24" t="s">
        <v>2547</v>
      </c>
      <c r="C44" s="339">
        <v>1</v>
      </c>
      <c r="D44" s="339">
        <v>0</v>
      </c>
      <c r="E44" s="315">
        <f>(SUMIFS('Bilateral Assistance, MAIN DATA'!$P:$P,'Bilateral Assistance, MAIN DATA'!$B:$B,'Comm. per Month (Heavy Weapons)'!$B44,'Bilateral Assistance, MAIN DATA'!$AG:$AG,1,'Bilateral Assistance, MAIN DATA'!$AH:$AH,'Comm. per Month (Heavy Weapons)'!E$11, 'Bilateral Assistance, MAIN DATA'!$J:$J,"Heavy weapon")/VLOOKUP("USD",'Exchange Rates'!$B:$C,2,0))/1000000000</f>
        <v>0</v>
      </c>
      <c r="F44" s="315">
        <f>(SUMIFS('Bilateral Assistance, MAIN DATA'!$P:$P,'Bilateral Assistance, MAIN DATA'!$B:$B,'Comm. per Month (Heavy Weapons)'!$B44,'Bilateral Assistance, MAIN DATA'!$AG:$AG,1,'Bilateral Assistance, MAIN DATA'!$AH:$AH,'Comm. per Month (Heavy Weapons)'!F$11, 'Bilateral Assistance, MAIN DATA'!$J:$J,"Heavy weapon")/VLOOKUP("USD",'Exchange Rates'!$B:$C,2,0))/1000000000</f>
        <v>0</v>
      </c>
      <c r="G44" s="315">
        <f>(SUMIFS('Bilateral Assistance, MAIN DATA'!$P:$P,'Bilateral Assistance, MAIN DATA'!$B:$B,'Comm. per Month (Heavy Weapons)'!$B44,'Bilateral Assistance, MAIN DATA'!$AG:$AG,1,'Bilateral Assistance, MAIN DATA'!$AH:$AH,'Comm. per Month (Heavy Weapons)'!G$11, 'Bilateral Assistance, MAIN DATA'!$J:$J,"Heavy weapon")/VLOOKUP("USD",'Exchange Rates'!$B:$C,2,0))/1000000000</f>
        <v>0</v>
      </c>
      <c r="H44" s="315">
        <f>(SUMIFS('Bilateral Assistance, MAIN DATA'!$P:$P,'Bilateral Assistance, MAIN DATA'!$B:$B,'Comm. per Month (Heavy Weapons)'!$B44,'Bilateral Assistance, MAIN DATA'!$AG:$AG,1,'Bilateral Assistance, MAIN DATA'!$AH:$AH,'Comm. per Month (Heavy Weapons)'!H$11, 'Bilateral Assistance, MAIN DATA'!$J:$J,"Heavy weapon")/VLOOKUP("USD",'Exchange Rates'!$B:$C,2,0))/1000000000</f>
        <v>0</v>
      </c>
      <c r="I44" s="315">
        <f>(SUMIFS('Bilateral Assistance, MAIN DATA'!$P:$P,'Bilateral Assistance, MAIN DATA'!$B:$B,'Comm. per Month (Heavy Weapons)'!$B44,'Bilateral Assistance, MAIN DATA'!$AG:$AG,1,'Bilateral Assistance, MAIN DATA'!$AH:$AH,'Comm. per Month (Heavy Weapons)'!I$11, 'Bilateral Assistance, MAIN DATA'!$J:$J,"Heavy weapon")/VLOOKUP("USD",'Exchange Rates'!$B:$C,2,0))/1000000000</f>
        <v>0</v>
      </c>
      <c r="J44" s="315">
        <f>(SUMIFS('Bilateral Assistance, MAIN DATA'!$P:$P,'Bilateral Assistance, MAIN DATA'!$B:$B,'Comm. per Month (Heavy Weapons)'!$B44,'Bilateral Assistance, MAIN DATA'!$AG:$AG,1,'Bilateral Assistance, MAIN DATA'!$AH:$AH,'Comm. per Month (Heavy Weapons)'!J$11, 'Bilateral Assistance, MAIN DATA'!$J:$J,"Heavy weapon")/VLOOKUP("USD",'Exchange Rates'!$B:$C,2,0))/1000000000</f>
        <v>2.3634496239999997E-2</v>
      </c>
      <c r="K44" s="315">
        <f>(SUMIFS('Bilateral Assistance, MAIN DATA'!$P:$P,'Bilateral Assistance, MAIN DATA'!$B:$B,'Comm. per Month (Heavy Weapons)'!$B44,'Bilateral Assistance, MAIN DATA'!$AG:$AG,1,'Bilateral Assistance, MAIN DATA'!$AH:$AH,'Comm. per Month (Heavy Weapons)'!K$11, 'Bilateral Assistance, MAIN DATA'!$J:$J,"Heavy weapon")/VLOOKUP("USD",'Exchange Rates'!$B:$C,2,0))/1000000000</f>
        <v>0</v>
      </c>
      <c r="L44" s="315">
        <f>(SUMIFS('Bilateral Assistance, MAIN DATA'!$P:$P,'Bilateral Assistance, MAIN DATA'!$B:$B,'Comm. per Month (Heavy Weapons)'!$B44,'Bilateral Assistance, MAIN DATA'!$AG:$AG,1,'Bilateral Assistance, MAIN DATA'!$AH:$AH,'Comm. per Month (Heavy Weapons)'!L$11, 'Bilateral Assistance, MAIN DATA'!$J:$J,"Heavy weapon")/VLOOKUP("USD",'Exchange Rates'!$B:$C,2,0))/1000000000</f>
        <v>0</v>
      </c>
      <c r="M44" s="315">
        <f>(SUMIFS('Bilateral Assistance, MAIN DATA'!$P:$P,'Bilateral Assistance, MAIN DATA'!$B:$B,'Comm. per Month (Heavy Weapons)'!$B44,'Bilateral Assistance, MAIN DATA'!$AG:$AG,1,'Bilateral Assistance, MAIN DATA'!$AH:$AH,'Comm. per Month (Heavy Weapons)'!M$11, 'Bilateral Assistance, MAIN DATA'!$J:$J,"Heavy weapon")/VLOOKUP("USD",'Exchange Rates'!$B:$C,2,0))/1000000000</f>
        <v>2.5824533333333333E-2</v>
      </c>
      <c r="N44" s="315">
        <f>(SUMIFS('Bilateral Assistance, MAIN DATA'!$P:$P,'Bilateral Assistance, MAIN DATA'!$B:$B,'Comm. per Month (Heavy Weapons)'!$B44,'Bilateral Assistance, MAIN DATA'!$AG:$AG,1,'Bilateral Assistance, MAIN DATA'!$AH:$AH,'Comm. per Month (Heavy Weapons)'!N$11, 'Bilateral Assistance, MAIN DATA'!$J:$J,"Heavy weapon")/VLOOKUP("USD",'Exchange Rates'!$B:$C,2,0))/1000000000</f>
        <v>0</v>
      </c>
      <c r="O44" s="315">
        <f>(SUMIFS('Bilateral Assistance, MAIN DATA'!$P:$P,'Bilateral Assistance, MAIN DATA'!$B:$B,'Comm. per Month (Heavy Weapons)'!$B44,'Bilateral Assistance, MAIN DATA'!$AG:$AG,1,'Bilateral Assistance, MAIN DATA'!$AH:$AH,'Comm. per Month (Heavy Weapons)'!O$11, 'Bilateral Assistance, MAIN DATA'!$J:$J,"Heavy weapon")/VLOOKUP("USD",'Exchange Rates'!$B:$C,2,0))/1000000000</f>
        <v>0</v>
      </c>
      <c r="P44" s="315">
        <f>(SUMIFS('Bilateral Assistance, MAIN DATA'!$P:$P,'Bilateral Assistance, MAIN DATA'!$B:$B,'Comm. per Month (Heavy Weapons)'!$B44,'Bilateral Assistance, MAIN DATA'!$AG:$AG,1,'Bilateral Assistance, MAIN DATA'!$AH:$AH,'Comm. per Month (Heavy Weapons)'!P$11, 'Bilateral Assistance, MAIN DATA'!$J:$J,"Heavy weapon")/VLOOKUP("USD",'Exchange Rates'!$B:$C,2,0))/1000000000</f>
        <v>0</v>
      </c>
      <c r="Q44" s="315">
        <f>(SUMIFS('Bilateral Assistance, MAIN DATA'!$P:$P,'Bilateral Assistance, MAIN DATA'!$B:$B,'Comm. per Month (Heavy Weapons)'!$B44,'Bilateral Assistance, MAIN DATA'!$AG:$AG,1,'Bilateral Assistance, MAIN DATA'!$AH:$AH,'Comm. per Month (Heavy Weapons)'!Q$11, 'Bilateral Assistance, MAIN DATA'!$J:$J,"Heavy weapon")/VLOOKUP("USD",'Exchange Rates'!$B:$C,2,0))/1000000000</f>
        <v>0</v>
      </c>
      <c r="R44" s="140">
        <f t="shared" si="0"/>
        <v>4.9459029573333327E-2</v>
      </c>
    </row>
    <row r="45" spans="1:18" ht="15.9" customHeight="1" x14ac:dyDescent="0.3">
      <c r="B45" s="24" t="s">
        <v>2615</v>
      </c>
      <c r="C45" s="339">
        <v>1</v>
      </c>
      <c r="D45" s="339">
        <v>0</v>
      </c>
      <c r="E45" s="315">
        <f>(SUMIFS('Bilateral Assistance, MAIN DATA'!$P:$P,'Bilateral Assistance, MAIN DATA'!$B:$B,'Comm. per Month (Heavy Weapons)'!$B45,'Bilateral Assistance, MAIN DATA'!$AG:$AG,1,'Bilateral Assistance, MAIN DATA'!$AH:$AH,'Comm. per Month (Heavy Weapons)'!E$11, 'Bilateral Assistance, MAIN DATA'!$J:$J,"Heavy weapon")/VLOOKUP("USD",'Exchange Rates'!$B:$C,2,0))/1000000000</f>
        <v>0</v>
      </c>
      <c r="F45" s="315">
        <f>(SUMIFS('Bilateral Assistance, MAIN DATA'!$P:$P,'Bilateral Assistance, MAIN DATA'!$B:$B,'Comm. per Month (Heavy Weapons)'!$B45,'Bilateral Assistance, MAIN DATA'!$AG:$AG,1,'Bilateral Assistance, MAIN DATA'!$AH:$AH,'Comm. per Month (Heavy Weapons)'!F$11, 'Bilateral Assistance, MAIN DATA'!$J:$J,"Heavy weapon")/VLOOKUP("USD",'Exchange Rates'!$B:$C,2,0))/1000000000</f>
        <v>0</v>
      </c>
      <c r="G45" s="315">
        <f>(SUMIFS('Bilateral Assistance, MAIN DATA'!$P:$P,'Bilateral Assistance, MAIN DATA'!$B:$B,'Comm. per Month (Heavy Weapons)'!$B45,'Bilateral Assistance, MAIN DATA'!$AG:$AG,1,'Bilateral Assistance, MAIN DATA'!$AH:$AH,'Comm. per Month (Heavy Weapons)'!G$11, 'Bilateral Assistance, MAIN DATA'!$J:$J,"Heavy weapon")/VLOOKUP("USD",'Exchange Rates'!$B:$C,2,0))/1000000000</f>
        <v>0</v>
      </c>
      <c r="H45" s="315">
        <f>(SUMIFS('Bilateral Assistance, MAIN DATA'!$P:$P,'Bilateral Assistance, MAIN DATA'!$B:$B,'Comm. per Month (Heavy Weapons)'!$B45,'Bilateral Assistance, MAIN DATA'!$AG:$AG,1,'Bilateral Assistance, MAIN DATA'!$AH:$AH,'Comm. per Month (Heavy Weapons)'!H$11, 'Bilateral Assistance, MAIN DATA'!$J:$J,"Heavy weapon")/VLOOKUP("USD",'Exchange Rates'!$B:$C,2,0))/1000000000</f>
        <v>0</v>
      </c>
      <c r="I45" s="315">
        <f>(SUMIFS('Bilateral Assistance, MAIN DATA'!$P:$P,'Bilateral Assistance, MAIN DATA'!$B:$B,'Comm. per Month (Heavy Weapons)'!$B45,'Bilateral Assistance, MAIN DATA'!$AG:$AG,1,'Bilateral Assistance, MAIN DATA'!$AH:$AH,'Comm. per Month (Heavy Weapons)'!I$11, 'Bilateral Assistance, MAIN DATA'!$J:$J,"Heavy weapon")/VLOOKUP("USD",'Exchange Rates'!$B:$C,2,0))/1000000000</f>
        <v>0</v>
      </c>
      <c r="J45" s="315">
        <f>(SUMIFS('Bilateral Assistance, MAIN DATA'!$P:$P,'Bilateral Assistance, MAIN DATA'!$B:$B,'Comm. per Month (Heavy Weapons)'!$B45,'Bilateral Assistance, MAIN DATA'!$AG:$AG,1,'Bilateral Assistance, MAIN DATA'!$AH:$AH,'Comm. per Month (Heavy Weapons)'!J$11, 'Bilateral Assistance, MAIN DATA'!$J:$J,"Heavy weapon")/VLOOKUP("USD",'Exchange Rates'!$B:$C,2,0))/1000000000</f>
        <v>0</v>
      </c>
      <c r="K45" s="315">
        <f>(SUMIFS('Bilateral Assistance, MAIN DATA'!$P:$P,'Bilateral Assistance, MAIN DATA'!$B:$B,'Comm. per Month (Heavy Weapons)'!$B45,'Bilateral Assistance, MAIN DATA'!$AG:$AG,1,'Bilateral Assistance, MAIN DATA'!$AH:$AH,'Comm. per Month (Heavy Weapons)'!K$11, 'Bilateral Assistance, MAIN DATA'!$J:$J,"Heavy weapon")/VLOOKUP("USD",'Exchange Rates'!$B:$C,2,0))/1000000000</f>
        <v>5.7142857142857134E-3</v>
      </c>
      <c r="L45" s="315">
        <f>(SUMIFS('Bilateral Assistance, MAIN DATA'!$P:$P,'Bilateral Assistance, MAIN DATA'!$B:$B,'Comm. per Month (Heavy Weapons)'!$B45,'Bilateral Assistance, MAIN DATA'!$AG:$AG,1,'Bilateral Assistance, MAIN DATA'!$AH:$AH,'Comm. per Month (Heavy Weapons)'!L$11, 'Bilateral Assistance, MAIN DATA'!$J:$J,"Heavy weapon")/VLOOKUP("USD",'Exchange Rates'!$B:$C,2,0))/1000000000</f>
        <v>0</v>
      </c>
      <c r="M45" s="315">
        <f>(SUMIFS('Bilateral Assistance, MAIN DATA'!$P:$P,'Bilateral Assistance, MAIN DATA'!$B:$B,'Comm. per Month (Heavy Weapons)'!$B45,'Bilateral Assistance, MAIN DATA'!$AG:$AG,1,'Bilateral Assistance, MAIN DATA'!$AH:$AH,'Comm. per Month (Heavy Weapons)'!M$11, 'Bilateral Assistance, MAIN DATA'!$J:$J,"Heavy weapon")/VLOOKUP("USD",'Exchange Rates'!$B:$C,2,0))/1000000000</f>
        <v>0</v>
      </c>
      <c r="N45" s="315">
        <f>(SUMIFS('Bilateral Assistance, MAIN DATA'!$P:$P,'Bilateral Assistance, MAIN DATA'!$B:$B,'Comm. per Month (Heavy Weapons)'!$B45,'Bilateral Assistance, MAIN DATA'!$AG:$AG,1,'Bilateral Assistance, MAIN DATA'!$AH:$AH,'Comm. per Month (Heavy Weapons)'!N$11, 'Bilateral Assistance, MAIN DATA'!$J:$J,"Heavy weapon")/VLOOKUP("USD",'Exchange Rates'!$B:$C,2,0))/1000000000</f>
        <v>1.2403972683188668E-3</v>
      </c>
      <c r="O45" s="315">
        <f>(SUMIFS('Bilateral Assistance, MAIN DATA'!$P:$P,'Bilateral Assistance, MAIN DATA'!$B:$B,'Comm. per Month (Heavy Weapons)'!$B45,'Bilateral Assistance, MAIN DATA'!$AG:$AG,1,'Bilateral Assistance, MAIN DATA'!$AH:$AH,'Comm. per Month (Heavy Weapons)'!O$11, 'Bilateral Assistance, MAIN DATA'!$J:$J,"Heavy weapon")/VLOOKUP("USD",'Exchange Rates'!$B:$C,2,0))/1000000000</f>
        <v>8.5066502113840779E-3</v>
      </c>
      <c r="P45" s="315">
        <f>(SUMIFS('Bilateral Assistance, MAIN DATA'!$P:$P,'Bilateral Assistance, MAIN DATA'!$B:$B,'Comm. per Month (Heavy Weapons)'!$B45,'Bilateral Assistance, MAIN DATA'!$AG:$AG,1,'Bilateral Assistance, MAIN DATA'!$AH:$AH,'Comm. per Month (Heavy Weapons)'!P$11, 'Bilateral Assistance, MAIN DATA'!$J:$J,"Heavy weapon")/VLOOKUP("USD",'Exchange Rates'!$B:$C,2,0))/1000000000</f>
        <v>0</v>
      </c>
      <c r="Q45" s="315">
        <f>(SUMIFS('Bilateral Assistance, MAIN DATA'!$P:$P,'Bilateral Assistance, MAIN DATA'!$B:$B,'Comm. per Month (Heavy Weapons)'!$B45,'Bilateral Assistance, MAIN DATA'!$AG:$AG,1,'Bilateral Assistance, MAIN DATA'!$AH:$AH,'Comm. per Month (Heavy Weapons)'!Q$11, 'Bilateral Assistance, MAIN DATA'!$J:$J,"Heavy weapon")/VLOOKUP("USD",'Exchange Rates'!$B:$C,2,0))/1000000000</f>
        <v>0</v>
      </c>
      <c r="R45" s="140">
        <f t="shared" si="0"/>
        <v>1.5461333193988659E-2</v>
      </c>
    </row>
    <row r="46" spans="1:18" ht="15.9" customHeight="1" x14ac:dyDescent="0.3">
      <c r="B46" s="24" t="s">
        <v>2715</v>
      </c>
      <c r="C46" s="339">
        <v>1</v>
      </c>
      <c r="D46" s="339">
        <v>0</v>
      </c>
      <c r="E46" s="315">
        <f>(SUMIFS('Bilateral Assistance, MAIN DATA'!$P:$P,'Bilateral Assistance, MAIN DATA'!$B:$B,'Comm. per Month (Heavy Weapons)'!$B46,'Bilateral Assistance, MAIN DATA'!$AG:$AG,1,'Bilateral Assistance, MAIN DATA'!$AH:$AH,'Comm. per Month (Heavy Weapons)'!E$11, 'Bilateral Assistance, MAIN DATA'!$J:$J,"Heavy weapon")/VLOOKUP("USD",'Exchange Rates'!$B:$C,2,0))/1000000000</f>
        <v>0</v>
      </c>
      <c r="F46" s="315">
        <f>(SUMIFS('Bilateral Assistance, MAIN DATA'!$P:$P,'Bilateral Assistance, MAIN DATA'!$B:$B,'Comm. per Month (Heavy Weapons)'!$B46,'Bilateral Assistance, MAIN DATA'!$AG:$AG,1,'Bilateral Assistance, MAIN DATA'!$AH:$AH,'Comm. per Month (Heavy Weapons)'!F$11, 'Bilateral Assistance, MAIN DATA'!$J:$J,"Heavy weapon")/VLOOKUP("USD",'Exchange Rates'!$B:$C,2,0))/1000000000</f>
        <v>0</v>
      </c>
      <c r="G46" s="315">
        <f>(SUMIFS('Bilateral Assistance, MAIN DATA'!$P:$P,'Bilateral Assistance, MAIN DATA'!$B:$B,'Comm. per Month (Heavy Weapons)'!$B46,'Bilateral Assistance, MAIN DATA'!$AG:$AG,1,'Bilateral Assistance, MAIN DATA'!$AH:$AH,'Comm. per Month (Heavy Weapons)'!G$11, 'Bilateral Assistance, MAIN DATA'!$J:$J,"Heavy weapon")/VLOOKUP("USD",'Exchange Rates'!$B:$C,2,0))/1000000000</f>
        <v>0</v>
      </c>
      <c r="H46" s="315">
        <f>(SUMIFS('Bilateral Assistance, MAIN DATA'!$P:$P,'Bilateral Assistance, MAIN DATA'!$B:$B,'Comm. per Month (Heavy Weapons)'!$B46,'Bilateral Assistance, MAIN DATA'!$AG:$AG,1,'Bilateral Assistance, MAIN DATA'!$AH:$AH,'Comm. per Month (Heavy Weapons)'!H$11, 'Bilateral Assistance, MAIN DATA'!$J:$J,"Heavy weapon")/VLOOKUP("USD",'Exchange Rates'!$B:$C,2,0))/1000000000</f>
        <v>0</v>
      </c>
      <c r="I46" s="315">
        <f>(SUMIFS('Bilateral Assistance, MAIN DATA'!$P:$P,'Bilateral Assistance, MAIN DATA'!$B:$B,'Comm. per Month (Heavy Weapons)'!$B46,'Bilateral Assistance, MAIN DATA'!$AG:$AG,1,'Bilateral Assistance, MAIN DATA'!$AH:$AH,'Comm. per Month (Heavy Weapons)'!I$11, 'Bilateral Assistance, MAIN DATA'!$J:$J,"Heavy weapon")/VLOOKUP("USD",'Exchange Rates'!$B:$C,2,0))/1000000000</f>
        <v>0</v>
      </c>
      <c r="J46" s="315">
        <f>(SUMIFS('Bilateral Assistance, MAIN DATA'!$P:$P,'Bilateral Assistance, MAIN DATA'!$B:$B,'Comm. per Month (Heavy Weapons)'!$B46,'Bilateral Assistance, MAIN DATA'!$AG:$AG,1,'Bilateral Assistance, MAIN DATA'!$AH:$AH,'Comm. per Month (Heavy Weapons)'!J$11, 'Bilateral Assistance, MAIN DATA'!$J:$J,"Heavy weapon")/VLOOKUP("USD",'Exchange Rates'!$B:$C,2,0))/1000000000</f>
        <v>0</v>
      </c>
      <c r="K46" s="315">
        <f>(SUMIFS('Bilateral Assistance, MAIN DATA'!$P:$P,'Bilateral Assistance, MAIN DATA'!$B:$B,'Comm. per Month (Heavy Weapons)'!$B46,'Bilateral Assistance, MAIN DATA'!$AG:$AG,1,'Bilateral Assistance, MAIN DATA'!$AH:$AH,'Comm. per Month (Heavy Weapons)'!K$11, 'Bilateral Assistance, MAIN DATA'!$J:$J,"Heavy weapon")/VLOOKUP("USD",'Exchange Rates'!$B:$C,2,0))/1000000000</f>
        <v>0</v>
      </c>
      <c r="L46" s="315">
        <f>(SUMIFS('Bilateral Assistance, MAIN DATA'!$P:$P,'Bilateral Assistance, MAIN DATA'!$B:$B,'Comm. per Month (Heavy Weapons)'!$B46,'Bilateral Assistance, MAIN DATA'!$AG:$AG,1,'Bilateral Assistance, MAIN DATA'!$AH:$AH,'Comm. per Month (Heavy Weapons)'!L$11, 'Bilateral Assistance, MAIN DATA'!$J:$J,"Heavy weapon")/VLOOKUP("USD",'Exchange Rates'!$B:$C,2,0))/1000000000</f>
        <v>0</v>
      </c>
      <c r="M46" s="315">
        <f>(SUMIFS('Bilateral Assistance, MAIN DATA'!$P:$P,'Bilateral Assistance, MAIN DATA'!$B:$B,'Comm. per Month (Heavy Weapons)'!$B46,'Bilateral Assistance, MAIN DATA'!$AG:$AG,1,'Bilateral Assistance, MAIN DATA'!$AH:$AH,'Comm. per Month (Heavy Weapons)'!M$11, 'Bilateral Assistance, MAIN DATA'!$J:$J,"Heavy weapon")/VLOOKUP("USD",'Exchange Rates'!$B:$C,2,0))/1000000000</f>
        <v>0</v>
      </c>
      <c r="N46" s="315">
        <f>(SUMIFS('Bilateral Assistance, MAIN DATA'!$P:$P,'Bilateral Assistance, MAIN DATA'!$B:$B,'Comm. per Month (Heavy Weapons)'!$B46,'Bilateral Assistance, MAIN DATA'!$AG:$AG,1,'Bilateral Assistance, MAIN DATA'!$AH:$AH,'Comm. per Month (Heavy Weapons)'!N$11, 'Bilateral Assistance, MAIN DATA'!$J:$J,"Heavy weapon")/VLOOKUP("USD",'Exchange Rates'!$B:$C,2,0))/1000000000</f>
        <v>0</v>
      </c>
      <c r="O46" s="315">
        <f>(SUMIFS('Bilateral Assistance, MAIN DATA'!$P:$P,'Bilateral Assistance, MAIN DATA'!$B:$B,'Comm. per Month (Heavy Weapons)'!$B46,'Bilateral Assistance, MAIN DATA'!$AG:$AG,1,'Bilateral Assistance, MAIN DATA'!$AH:$AH,'Comm. per Month (Heavy Weapons)'!O$11, 'Bilateral Assistance, MAIN DATA'!$J:$J,"Heavy weapon")/VLOOKUP("USD",'Exchange Rates'!$B:$C,2,0))/1000000000</f>
        <v>0</v>
      </c>
      <c r="P46" s="315">
        <f>(SUMIFS('Bilateral Assistance, MAIN DATA'!$P:$P,'Bilateral Assistance, MAIN DATA'!$B:$B,'Comm. per Month (Heavy Weapons)'!$B46,'Bilateral Assistance, MAIN DATA'!$AG:$AG,1,'Bilateral Assistance, MAIN DATA'!$AH:$AH,'Comm. per Month (Heavy Weapons)'!P$11, 'Bilateral Assistance, MAIN DATA'!$J:$J,"Heavy weapon")/VLOOKUP("USD",'Exchange Rates'!$B:$C,2,0))/1000000000</f>
        <v>0</v>
      </c>
      <c r="Q46" s="315">
        <f>(SUMIFS('Bilateral Assistance, MAIN DATA'!$P:$P,'Bilateral Assistance, MAIN DATA'!$B:$B,'Comm. per Month (Heavy Weapons)'!$B46,'Bilateral Assistance, MAIN DATA'!$AG:$AG,1,'Bilateral Assistance, MAIN DATA'!$AH:$AH,'Comm. per Month (Heavy Weapons)'!Q$11, 'Bilateral Assistance, MAIN DATA'!$J:$J,"Heavy weapon")/VLOOKUP("USD",'Exchange Rates'!$B:$C,2,0))/1000000000</f>
        <v>0</v>
      </c>
      <c r="R46" s="140">
        <f t="shared" si="0"/>
        <v>0</v>
      </c>
    </row>
    <row r="47" spans="1:18" ht="15.9" customHeight="1" x14ac:dyDescent="0.3">
      <c r="B47" s="2" t="s">
        <v>2792</v>
      </c>
      <c r="C47" s="339">
        <v>0</v>
      </c>
      <c r="D47" s="339">
        <v>0</v>
      </c>
      <c r="E47" s="315">
        <f>(SUMIFS('Bilateral Assistance, MAIN DATA'!$P:$P,'Bilateral Assistance, MAIN DATA'!$B:$B,'Comm. per Month (Heavy Weapons)'!$B47,'Bilateral Assistance, MAIN DATA'!$AG:$AG,1,'Bilateral Assistance, MAIN DATA'!$AH:$AH,'Comm. per Month (Heavy Weapons)'!E$11, 'Bilateral Assistance, MAIN DATA'!$J:$J,"Heavy weapon")/VLOOKUP("USD",'Exchange Rates'!$B:$C,2,0))/1000000000</f>
        <v>0</v>
      </c>
      <c r="F47" s="315">
        <f>(SUMIFS('Bilateral Assistance, MAIN DATA'!$P:$P,'Bilateral Assistance, MAIN DATA'!$B:$B,'Comm. per Month (Heavy Weapons)'!$B47,'Bilateral Assistance, MAIN DATA'!$AG:$AG,1,'Bilateral Assistance, MAIN DATA'!$AH:$AH,'Comm. per Month (Heavy Weapons)'!F$11, 'Bilateral Assistance, MAIN DATA'!$J:$J,"Heavy weapon")/VLOOKUP("USD",'Exchange Rates'!$B:$C,2,0))/1000000000</f>
        <v>0</v>
      </c>
      <c r="G47" s="315">
        <f>(SUMIFS('Bilateral Assistance, MAIN DATA'!$P:$P,'Bilateral Assistance, MAIN DATA'!$B:$B,'Comm. per Month (Heavy Weapons)'!$B47,'Bilateral Assistance, MAIN DATA'!$AG:$AG,1,'Bilateral Assistance, MAIN DATA'!$AH:$AH,'Comm. per Month (Heavy Weapons)'!G$11, 'Bilateral Assistance, MAIN DATA'!$J:$J,"Heavy weapon")/VLOOKUP("USD",'Exchange Rates'!$B:$C,2,0))/1000000000</f>
        <v>0</v>
      </c>
      <c r="H47" s="315">
        <f>(SUMIFS('Bilateral Assistance, MAIN DATA'!$P:$P,'Bilateral Assistance, MAIN DATA'!$B:$B,'Comm. per Month (Heavy Weapons)'!$B47,'Bilateral Assistance, MAIN DATA'!$AG:$AG,1,'Bilateral Assistance, MAIN DATA'!$AH:$AH,'Comm. per Month (Heavy Weapons)'!H$11, 'Bilateral Assistance, MAIN DATA'!$J:$J,"Heavy weapon")/VLOOKUP("USD",'Exchange Rates'!$B:$C,2,0))/1000000000</f>
        <v>0</v>
      </c>
      <c r="I47" s="315">
        <f>(SUMIFS('Bilateral Assistance, MAIN DATA'!$P:$P,'Bilateral Assistance, MAIN DATA'!$B:$B,'Comm. per Month (Heavy Weapons)'!$B47,'Bilateral Assistance, MAIN DATA'!$AG:$AG,1,'Bilateral Assistance, MAIN DATA'!$AH:$AH,'Comm. per Month (Heavy Weapons)'!I$11, 'Bilateral Assistance, MAIN DATA'!$J:$J,"Heavy weapon")/VLOOKUP("USD",'Exchange Rates'!$B:$C,2,0))/1000000000</f>
        <v>0</v>
      </c>
      <c r="J47" s="315">
        <f>(SUMIFS('Bilateral Assistance, MAIN DATA'!$P:$P,'Bilateral Assistance, MAIN DATA'!$B:$B,'Comm. per Month (Heavy Weapons)'!$B47,'Bilateral Assistance, MAIN DATA'!$AG:$AG,1,'Bilateral Assistance, MAIN DATA'!$AH:$AH,'Comm. per Month (Heavy Weapons)'!J$11, 'Bilateral Assistance, MAIN DATA'!$J:$J,"Heavy weapon")/VLOOKUP("USD",'Exchange Rates'!$B:$C,2,0))/1000000000</f>
        <v>0</v>
      </c>
      <c r="K47" s="315">
        <f>(SUMIFS('Bilateral Assistance, MAIN DATA'!$P:$P,'Bilateral Assistance, MAIN DATA'!$B:$B,'Comm. per Month (Heavy Weapons)'!$B47,'Bilateral Assistance, MAIN DATA'!$AG:$AG,1,'Bilateral Assistance, MAIN DATA'!$AH:$AH,'Comm. per Month (Heavy Weapons)'!K$11, 'Bilateral Assistance, MAIN DATA'!$J:$J,"Heavy weapon")/VLOOKUP("USD",'Exchange Rates'!$B:$C,2,0))/1000000000</f>
        <v>0</v>
      </c>
      <c r="L47" s="315">
        <f>(SUMIFS('Bilateral Assistance, MAIN DATA'!$P:$P,'Bilateral Assistance, MAIN DATA'!$B:$B,'Comm. per Month (Heavy Weapons)'!$B47,'Bilateral Assistance, MAIN DATA'!$AG:$AG,1,'Bilateral Assistance, MAIN DATA'!$AH:$AH,'Comm. per Month (Heavy Weapons)'!L$11, 'Bilateral Assistance, MAIN DATA'!$J:$J,"Heavy weapon")/VLOOKUP("USD",'Exchange Rates'!$B:$C,2,0))/1000000000</f>
        <v>0</v>
      </c>
      <c r="M47" s="315">
        <f>(SUMIFS('Bilateral Assistance, MAIN DATA'!$P:$P,'Bilateral Assistance, MAIN DATA'!$B:$B,'Comm. per Month (Heavy Weapons)'!$B47,'Bilateral Assistance, MAIN DATA'!$AG:$AG,1,'Bilateral Assistance, MAIN DATA'!$AH:$AH,'Comm. per Month (Heavy Weapons)'!M$11, 'Bilateral Assistance, MAIN DATA'!$J:$J,"Heavy weapon")/VLOOKUP("USD",'Exchange Rates'!$B:$C,2,0))/1000000000</f>
        <v>0</v>
      </c>
      <c r="N47" s="315">
        <f>(SUMIFS('Bilateral Assistance, MAIN DATA'!$P:$P,'Bilateral Assistance, MAIN DATA'!$B:$B,'Comm. per Month (Heavy Weapons)'!$B47,'Bilateral Assistance, MAIN DATA'!$AG:$AG,1,'Bilateral Assistance, MAIN DATA'!$AH:$AH,'Comm. per Month (Heavy Weapons)'!N$11, 'Bilateral Assistance, MAIN DATA'!$J:$J,"Heavy weapon")/VLOOKUP("USD",'Exchange Rates'!$B:$C,2,0))/1000000000</f>
        <v>0</v>
      </c>
      <c r="O47" s="315">
        <f>(SUMIFS('Bilateral Assistance, MAIN DATA'!$P:$P,'Bilateral Assistance, MAIN DATA'!$B:$B,'Comm. per Month (Heavy Weapons)'!$B47,'Bilateral Assistance, MAIN DATA'!$AG:$AG,1,'Bilateral Assistance, MAIN DATA'!$AH:$AH,'Comm. per Month (Heavy Weapons)'!O$11, 'Bilateral Assistance, MAIN DATA'!$J:$J,"Heavy weapon")/VLOOKUP("USD",'Exchange Rates'!$B:$C,2,0))/1000000000</f>
        <v>0</v>
      </c>
      <c r="P47" s="315">
        <f>(SUMIFS('Bilateral Assistance, MAIN DATA'!$P:$P,'Bilateral Assistance, MAIN DATA'!$B:$B,'Comm. per Month (Heavy Weapons)'!$B47,'Bilateral Assistance, MAIN DATA'!$AG:$AG,1,'Bilateral Assistance, MAIN DATA'!$AH:$AH,'Comm. per Month (Heavy Weapons)'!P$11, 'Bilateral Assistance, MAIN DATA'!$J:$J,"Heavy weapon")/VLOOKUP("USD",'Exchange Rates'!$B:$C,2,0))/1000000000</f>
        <v>0</v>
      </c>
      <c r="Q47" s="315">
        <f>(SUMIFS('Bilateral Assistance, MAIN DATA'!$P:$P,'Bilateral Assistance, MAIN DATA'!$B:$B,'Comm. per Month (Heavy Weapons)'!$B47,'Bilateral Assistance, MAIN DATA'!$AG:$AG,1,'Bilateral Assistance, MAIN DATA'!$AH:$AH,'Comm. per Month (Heavy Weapons)'!Q$11, 'Bilateral Assistance, MAIN DATA'!$J:$J,"Heavy weapon")/VLOOKUP("USD",'Exchange Rates'!$B:$C,2,0))/1000000000</f>
        <v>0</v>
      </c>
      <c r="R47" s="140">
        <f t="shared" si="0"/>
        <v>0</v>
      </c>
    </row>
    <row r="48" spans="1:18" ht="15.9" customHeight="1" x14ac:dyDescent="0.3">
      <c r="B48" s="2" t="s">
        <v>2820</v>
      </c>
      <c r="C48" s="339">
        <v>0</v>
      </c>
      <c r="D48" s="339">
        <v>1</v>
      </c>
      <c r="E48" s="315">
        <f>(SUMIFS('Bilateral Assistance, MAIN DATA'!$P:$P,'Bilateral Assistance, MAIN DATA'!$B:$B,'Comm. per Month (Heavy Weapons)'!$B48,'Bilateral Assistance, MAIN DATA'!$AG:$AG,1,'Bilateral Assistance, MAIN DATA'!$AH:$AH,'Comm. per Month (Heavy Weapons)'!E$11, 'Bilateral Assistance, MAIN DATA'!$J:$J,"Heavy weapon")/VLOOKUP("USD",'Exchange Rates'!$B:$C,2,0))/1000000000</f>
        <v>0</v>
      </c>
      <c r="F48" s="315">
        <f>(SUMIFS('Bilateral Assistance, MAIN DATA'!$P:$P,'Bilateral Assistance, MAIN DATA'!$B:$B,'Comm. per Month (Heavy Weapons)'!$B48,'Bilateral Assistance, MAIN DATA'!$AG:$AG,1,'Bilateral Assistance, MAIN DATA'!$AH:$AH,'Comm. per Month (Heavy Weapons)'!F$11, 'Bilateral Assistance, MAIN DATA'!$J:$J,"Heavy weapon")/VLOOKUP("USD",'Exchange Rates'!$B:$C,2,0))/1000000000</f>
        <v>0</v>
      </c>
      <c r="G48" s="315">
        <f>(SUMIFS('Bilateral Assistance, MAIN DATA'!$P:$P,'Bilateral Assistance, MAIN DATA'!$B:$B,'Comm. per Month (Heavy Weapons)'!$B48,'Bilateral Assistance, MAIN DATA'!$AG:$AG,1,'Bilateral Assistance, MAIN DATA'!$AH:$AH,'Comm. per Month (Heavy Weapons)'!G$11, 'Bilateral Assistance, MAIN DATA'!$J:$J,"Heavy weapon")/VLOOKUP("USD",'Exchange Rates'!$B:$C,2,0))/1000000000</f>
        <v>0</v>
      </c>
      <c r="H48" s="315">
        <f>(SUMIFS('Bilateral Assistance, MAIN DATA'!$P:$P,'Bilateral Assistance, MAIN DATA'!$B:$B,'Comm. per Month (Heavy Weapons)'!$B48,'Bilateral Assistance, MAIN DATA'!$AG:$AG,1,'Bilateral Assistance, MAIN DATA'!$AH:$AH,'Comm. per Month (Heavy Weapons)'!H$11, 'Bilateral Assistance, MAIN DATA'!$J:$J,"Heavy weapon")/VLOOKUP("USD",'Exchange Rates'!$B:$C,2,0))/1000000000</f>
        <v>0</v>
      </c>
      <c r="I48" s="315">
        <f>(SUMIFS('Bilateral Assistance, MAIN DATA'!$P:$P,'Bilateral Assistance, MAIN DATA'!$B:$B,'Comm. per Month (Heavy Weapons)'!$B48,'Bilateral Assistance, MAIN DATA'!$AG:$AG,1,'Bilateral Assistance, MAIN DATA'!$AH:$AH,'Comm. per Month (Heavy Weapons)'!I$11, 'Bilateral Assistance, MAIN DATA'!$J:$J,"Heavy weapon")/VLOOKUP("USD",'Exchange Rates'!$B:$C,2,0))/1000000000</f>
        <v>0</v>
      </c>
      <c r="J48" s="315">
        <f>(SUMIFS('Bilateral Assistance, MAIN DATA'!$P:$P,'Bilateral Assistance, MAIN DATA'!$B:$B,'Comm. per Month (Heavy Weapons)'!$B48,'Bilateral Assistance, MAIN DATA'!$AG:$AG,1,'Bilateral Assistance, MAIN DATA'!$AH:$AH,'Comm. per Month (Heavy Weapons)'!J$11, 'Bilateral Assistance, MAIN DATA'!$J:$J,"Heavy weapon")/VLOOKUP("USD",'Exchange Rates'!$B:$C,2,0))/1000000000</f>
        <v>0</v>
      </c>
      <c r="K48" s="315">
        <f>(SUMIFS('Bilateral Assistance, MAIN DATA'!$P:$P,'Bilateral Assistance, MAIN DATA'!$B:$B,'Comm. per Month (Heavy Weapons)'!$B48,'Bilateral Assistance, MAIN DATA'!$AG:$AG,1,'Bilateral Assistance, MAIN DATA'!$AH:$AH,'Comm. per Month (Heavy Weapons)'!K$11, 'Bilateral Assistance, MAIN DATA'!$J:$J,"Heavy weapon")/VLOOKUP("USD",'Exchange Rates'!$B:$C,2,0))/1000000000</f>
        <v>0</v>
      </c>
      <c r="L48" s="315">
        <f>(SUMIFS('Bilateral Assistance, MAIN DATA'!$P:$P,'Bilateral Assistance, MAIN DATA'!$B:$B,'Comm. per Month (Heavy Weapons)'!$B48,'Bilateral Assistance, MAIN DATA'!$AG:$AG,1,'Bilateral Assistance, MAIN DATA'!$AH:$AH,'Comm. per Month (Heavy Weapons)'!L$11, 'Bilateral Assistance, MAIN DATA'!$J:$J,"Heavy weapon")/VLOOKUP("USD",'Exchange Rates'!$B:$C,2,0))/1000000000</f>
        <v>1.5974761904761905E-2</v>
      </c>
      <c r="M48" s="315">
        <f>(SUMIFS('Bilateral Assistance, MAIN DATA'!$P:$P,'Bilateral Assistance, MAIN DATA'!$B:$B,'Comm. per Month (Heavy Weapons)'!$B48,'Bilateral Assistance, MAIN DATA'!$AG:$AG,1,'Bilateral Assistance, MAIN DATA'!$AH:$AH,'Comm. per Month (Heavy Weapons)'!M$11, 'Bilateral Assistance, MAIN DATA'!$J:$J,"Heavy weapon")/VLOOKUP("USD",'Exchange Rates'!$B:$C,2,0))/1000000000</f>
        <v>0</v>
      </c>
      <c r="N48" s="315">
        <f>(SUMIFS('Bilateral Assistance, MAIN DATA'!$P:$P,'Bilateral Assistance, MAIN DATA'!$B:$B,'Comm. per Month (Heavy Weapons)'!$B48,'Bilateral Assistance, MAIN DATA'!$AG:$AG,1,'Bilateral Assistance, MAIN DATA'!$AH:$AH,'Comm. per Month (Heavy Weapons)'!N$11, 'Bilateral Assistance, MAIN DATA'!$J:$J,"Heavy weapon")/VLOOKUP("USD",'Exchange Rates'!$B:$C,2,0))/1000000000</f>
        <v>0</v>
      </c>
      <c r="O48" s="315">
        <f>(SUMIFS('Bilateral Assistance, MAIN DATA'!$P:$P,'Bilateral Assistance, MAIN DATA'!$B:$B,'Comm. per Month (Heavy Weapons)'!$B48,'Bilateral Assistance, MAIN DATA'!$AG:$AG,1,'Bilateral Assistance, MAIN DATA'!$AH:$AH,'Comm. per Month (Heavy Weapons)'!O$11, 'Bilateral Assistance, MAIN DATA'!$J:$J,"Heavy weapon")/VLOOKUP("USD",'Exchange Rates'!$B:$C,2,0))/1000000000</f>
        <v>0</v>
      </c>
      <c r="P48" s="315">
        <f>(SUMIFS('Bilateral Assistance, MAIN DATA'!$P:$P,'Bilateral Assistance, MAIN DATA'!$B:$B,'Comm. per Month (Heavy Weapons)'!$B48,'Bilateral Assistance, MAIN DATA'!$AG:$AG,1,'Bilateral Assistance, MAIN DATA'!$AH:$AH,'Comm. per Month (Heavy Weapons)'!P$11, 'Bilateral Assistance, MAIN DATA'!$J:$J,"Heavy weapon")/VLOOKUP("USD",'Exchange Rates'!$B:$C,2,0))/1000000000</f>
        <v>0</v>
      </c>
      <c r="Q48" s="315">
        <f>(SUMIFS('Bilateral Assistance, MAIN DATA'!$P:$P,'Bilateral Assistance, MAIN DATA'!$B:$B,'Comm. per Month (Heavy Weapons)'!$B48,'Bilateral Assistance, MAIN DATA'!$AG:$AG,1,'Bilateral Assistance, MAIN DATA'!$AH:$AH,'Comm. per Month (Heavy Weapons)'!Q$11, 'Bilateral Assistance, MAIN DATA'!$J:$J,"Heavy weapon")/VLOOKUP("USD",'Exchange Rates'!$B:$C,2,0))/1000000000</f>
        <v>0</v>
      </c>
      <c r="R48" s="140">
        <f t="shared" si="0"/>
        <v>1.5974761904761905E-2</v>
      </c>
    </row>
    <row r="49" spans="1:18" ht="15.9" customHeight="1" x14ac:dyDescent="0.3">
      <c r="B49" s="24" t="s">
        <v>2864</v>
      </c>
      <c r="C49" s="339">
        <v>0</v>
      </c>
      <c r="D49" s="339">
        <v>1</v>
      </c>
      <c r="E49" s="315">
        <f>(SUMIFS('Bilateral Assistance, MAIN DATA'!$P:$P,'Bilateral Assistance, MAIN DATA'!$B:$B,'Comm. per Month (Heavy Weapons)'!$B49,'Bilateral Assistance, MAIN DATA'!$AG:$AG,1,'Bilateral Assistance, MAIN DATA'!$AH:$AH,'Comm. per Month (Heavy Weapons)'!E$11, 'Bilateral Assistance, MAIN DATA'!$J:$J,"Heavy weapon")/VLOOKUP("USD",'Exchange Rates'!$B:$C,2,0))/1000000000</f>
        <v>0</v>
      </c>
      <c r="F49" s="315">
        <f>(SUMIFS('Bilateral Assistance, MAIN DATA'!$P:$P,'Bilateral Assistance, MAIN DATA'!$B:$B,'Comm. per Month (Heavy Weapons)'!$B49,'Bilateral Assistance, MAIN DATA'!$AG:$AG,1,'Bilateral Assistance, MAIN DATA'!$AH:$AH,'Comm. per Month (Heavy Weapons)'!F$11, 'Bilateral Assistance, MAIN DATA'!$J:$J,"Heavy weapon")/VLOOKUP("USD",'Exchange Rates'!$B:$C,2,0))/1000000000</f>
        <v>0</v>
      </c>
      <c r="G49" s="315">
        <f>(SUMIFS('Bilateral Assistance, MAIN DATA'!$P:$P,'Bilateral Assistance, MAIN DATA'!$B:$B,'Comm. per Month (Heavy Weapons)'!$B49,'Bilateral Assistance, MAIN DATA'!$AG:$AG,1,'Bilateral Assistance, MAIN DATA'!$AH:$AH,'Comm. per Month (Heavy Weapons)'!G$11, 'Bilateral Assistance, MAIN DATA'!$J:$J,"Heavy weapon")/VLOOKUP("USD",'Exchange Rates'!$B:$C,2,0))/1000000000</f>
        <v>0</v>
      </c>
      <c r="H49" s="315">
        <f>(SUMIFS('Bilateral Assistance, MAIN DATA'!$P:$P,'Bilateral Assistance, MAIN DATA'!$B:$B,'Comm. per Month (Heavy Weapons)'!$B49,'Bilateral Assistance, MAIN DATA'!$AG:$AG,1,'Bilateral Assistance, MAIN DATA'!$AH:$AH,'Comm. per Month (Heavy Weapons)'!H$11, 'Bilateral Assistance, MAIN DATA'!$J:$J,"Heavy weapon")/VLOOKUP("USD",'Exchange Rates'!$B:$C,2,0))/1000000000</f>
        <v>6.0506509014317887E-2</v>
      </c>
      <c r="I49" s="315">
        <f>(SUMIFS('Bilateral Assistance, MAIN DATA'!$P:$P,'Bilateral Assistance, MAIN DATA'!$B:$B,'Comm. per Month (Heavy Weapons)'!$B49,'Bilateral Assistance, MAIN DATA'!$AG:$AG,1,'Bilateral Assistance, MAIN DATA'!$AH:$AH,'Comm. per Month (Heavy Weapons)'!I$11, 'Bilateral Assistance, MAIN DATA'!$J:$J,"Heavy weapon")/VLOOKUP("USD",'Exchange Rates'!$B:$C,2,0))/1000000000</f>
        <v>9.1428571428571419E-5</v>
      </c>
      <c r="J49" s="315">
        <f>(SUMIFS('Bilateral Assistance, MAIN DATA'!$P:$P,'Bilateral Assistance, MAIN DATA'!$B:$B,'Comm. per Month (Heavy Weapons)'!$B49,'Bilateral Assistance, MAIN DATA'!$AG:$AG,1,'Bilateral Assistance, MAIN DATA'!$AH:$AH,'Comm. per Month (Heavy Weapons)'!J$11, 'Bilateral Assistance, MAIN DATA'!$J:$J,"Heavy weapon")/VLOOKUP("USD",'Exchange Rates'!$B:$C,2,0))/1000000000</f>
        <v>8.2529846974034052E-2</v>
      </c>
      <c r="K49" s="315">
        <f>(SUMIFS('Bilateral Assistance, MAIN DATA'!$P:$P,'Bilateral Assistance, MAIN DATA'!$B:$B,'Comm. per Month (Heavy Weapons)'!$B49,'Bilateral Assistance, MAIN DATA'!$AG:$AG,1,'Bilateral Assistance, MAIN DATA'!$AH:$AH,'Comm. per Month (Heavy Weapons)'!K$11, 'Bilateral Assistance, MAIN DATA'!$J:$J,"Heavy weapon")/VLOOKUP("USD",'Exchange Rates'!$B:$C,2,0))/1000000000</f>
        <v>0</v>
      </c>
      <c r="L49" s="315">
        <f>(SUMIFS('Bilateral Assistance, MAIN DATA'!$P:$P,'Bilateral Assistance, MAIN DATA'!$B:$B,'Comm. per Month (Heavy Weapons)'!$B49,'Bilateral Assistance, MAIN DATA'!$AG:$AG,1,'Bilateral Assistance, MAIN DATA'!$AH:$AH,'Comm. per Month (Heavy Weapons)'!L$11, 'Bilateral Assistance, MAIN DATA'!$J:$J,"Heavy weapon")/VLOOKUP("USD",'Exchange Rates'!$B:$C,2,0))/1000000000</f>
        <v>0.20461616893966081</v>
      </c>
      <c r="M49" s="315">
        <f>(SUMIFS('Bilateral Assistance, MAIN DATA'!$P:$P,'Bilateral Assistance, MAIN DATA'!$B:$B,'Comm. per Month (Heavy Weapons)'!$B49,'Bilateral Assistance, MAIN DATA'!$AG:$AG,1,'Bilateral Assistance, MAIN DATA'!$AH:$AH,'Comm. per Month (Heavy Weapons)'!M$11, 'Bilateral Assistance, MAIN DATA'!$J:$J,"Heavy weapon")/VLOOKUP("USD",'Exchange Rates'!$B:$C,2,0))/1000000000</f>
        <v>0</v>
      </c>
      <c r="N49" s="315">
        <f>(SUMIFS('Bilateral Assistance, MAIN DATA'!$P:$P,'Bilateral Assistance, MAIN DATA'!$B:$B,'Comm. per Month (Heavy Weapons)'!$B49,'Bilateral Assistance, MAIN DATA'!$AG:$AG,1,'Bilateral Assistance, MAIN DATA'!$AH:$AH,'Comm. per Month (Heavy Weapons)'!N$11, 'Bilateral Assistance, MAIN DATA'!$J:$J,"Heavy weapon")/VLOOKUP("USD",'Exchange Rates'!$B:$C,2,0))/1000000000</f>
        <v>2.1813981874329477E-2</v>
      </c>
      <c r="O49" s="315">
        <f>(SUMIFS('Bilateral Assistance, MAIN DATA'!$P:$P,'Bilateral Assistance, MAIN DATA'!$B:$B,'Comm. per Month (Heavy Weapons)'!$B49,'Bilateral Assistance, MAIN DATA'!$AG:$AG,1,'Bilateral Assistance, MAIN DATA'!$AH:$AH,'Comm. per Month (Heavy Weapons)'!O$11, 'Bilateral Assistance, MAIN DATA'!$J:$J,"Heavy weapon")/VLOOKUP("USD",'Exchange Rates'!$B:$C,2,0))/1000000000</f>
        <v>0</v>
      </c>
      <c r="P49" s="315">
        <f>(SUMIFS('Bilateral Assistance, MAIN DATA'!$P:$P,'Bilateral Assistance, MAIN DATA'!$B:$B,'Comm. per Month (Heavy Weapons)'!$B49,'Bilateral Assistance, MAIN DATA'!$AG:$AG,1,'Bilateral Assistance, MAIN DATA'!$AH:$AH,'Comm. per Month (Heavy Weapons)'!P$11, 'Bilateral Assistance, MAIN DATA'!$J:$J,"Heavy weapon")/VLOOKUP("USD",'Exchange Rates'!$B:$C,2,0))/1000000000</f>
        <v>0</v>
      </c>
      <c r="Q49" s="315">
        <f>(SUMIFS('Bilateral Assistance, MAIN DATA'!$P:$P,'Bilateral Assistance, MAIN DATA'!$B:$B,'Comm. per Month (Heavy Weapons)'!$B49,'Bilateral Assistance, MAIN DATA'!$AG:$AG,1,'Bilateral Assistance, MAIN DATA'!$AH:$AH,'Comm. per Month (Heavy Weapons)'!Q$11, 'Bilateral Assistance, MAIN DATA'!$J:$J,"Heavy weapon")/VLOOKUP("USD",'Exchange Rates'!$B:$C,2,0))/1000000000</f>
        <v>0.56135491662006076</v>
      </c>
      <c r="R49" s="140">
        <f t="shared" si="0"/>
        <v>0.93091285199383156</v>
      </c>
    </row>
    <row r="50" spans="1:18" ht="15.9" customHeight="1" x14ac:dyDescent="0.3">
      <c r="B50" s="24" t="s">
        <v>3038</v>
      </c>
      <c r="C50" s="339">
        <v>0</v>
      </c>
      <c r="D50" s="339">
        <v>1</v>
      </c>
      <c r="E50" s="315">
        <f>(SUMIFS('Bilateral Assistance, MAIN DATA'!$P:$P,'Bilateral Assistance, MAIN DATA'!$B:$B,'Comm. per Month (Heavy Weapons)'!$B50,'Bilateral Assistance, MAIN DATA'!$AG:$AG,1,'Bilateral Assistance, MAIN DATA'!$AH:$AH,'Comm. per Month (Heavy Weapons)'!E$11, 'Bilateral Assistance, MAIN DATA'!$J:$J,"Heavy weapon")/VLOOKUP("USD",'Exchange Rates'!$B:$C,2,0))/1000000000</f>
        <v>0</v>
      </c>
      <c r="F50" s="315">
        <f>(SUMIFS('Bilateral Assistance, MAIN DATA'!$P:$P,'Bilateral Assistance, MAIN DATA'!$B:$B,'Comm. per Month (Heavy Weapons)'!$B50,'Bilateral Assistance, MAIN DATA'!$AG:$AG,1,'Bilateral Assistance, MAIN DATA'!$AH:$AH,'Comm. per Month (Heavy Weapons)'!F$11, 'Bilateral Assistance, MAIN DATA'!$J:$J,"Heavy weapon")/VLOOKUP("USD",'Exchange Rates'!$B:$C,2,0))/1000000000</f>
        <v>0</v>
      </c>
      <c r="G50" s="315">
        <f>(SUMIFS('Bilateral Assistance, MAIN DATA'!$P:$P,'Bilateral Assistance, MAIN DATA'!$B:$B,'Comm. per Month (Heavy Weapons)'!$B50,'Bilateral Assistance, MAIN DATA'!$AG:$AG,1,'Bilateral Assistance, MAIN DATA'!$AH:$AH,'Comm. per Month (Heavy Weapons)'!G$11, 'Bilateral Assistance, MAIN DATA'!$J:$J,"Heavy weapon")/VLOOKUP("USD",'Exchange Rates'!$B:$C,2,0))/1000000000</f>
        <v>0</v>
      </c>
      <c r="H50" s="315">
        <f>(SUMIFS('Bilateral Assistance, MAIN DATA'!$P:$P,'Bilateral Assistance, MAIN DATA'!$B:$B,'Comm. per Month (Heavy Weapons)'!$B50,'Bilateral Assistance, MAIN DATA'!$AG:$AG,1,'Bilateral Assistance, MAIN DATA'!$AH:$AH,'Comm. per Month (Heavy Weapons)'!H$11, 'Bilateral Assistance, MAIN DATA'!$J:$J,"Heavy weapon")/VLOOKUP("USD",'Exchange Rates'!$B:$C,2,0))/1000000000</f>
        <v>0.52454447619047617</v>
      </c>
      <c r="I50" s="315">
        <f>(SUMIFS('Bilateral Assistance, MAIN DATA'!$P:$P,'Bilateral Assistance, MAIN DATA'!$B:$B,'Comm. per Month (Heavy Weapons)'!$B50,'Bilateral Assistance, MAIN DATA'!$AG:$AG,1,'Bilateral Assistance, MAIN DATA'!$AH:$AH,'Comm. per Month (Heavy Weapons)'!I$11, 'Bilateral Assistance, MAIN DATA'!$J:$J,"Heavy weapon")/VLOOKUP("USD",'Exchange Rates'!$B:$C,2,0))/1000000000</f>
        <v>0.3846502107238095</v>
      </c>
      <c r="J50" s="315">
        <f>(SUMIFS('Bilateral Assistance, MAIN DATA'!$P:$P,'Bilateral Assistance, MAIN DATA'!$B:$B,'Comm. per Month (Heavy Weapons)'!$B50,'Bilateral Assistance, MAIN DATA'!$AG:$AG,1,'Bilateral Assistance, MAIN DATA'!$AH:$AH,'Comm. per Month (Heavy Weapons)'!J$11, 'Bilateral Assistance, MAIN DATA'!$J:$J,"Heavy weapon")/VLOOKUP("USD",'Exchange Rates'!$B:$C,2,0))/1000000000</f>
        <v>0.88778248232380941</v>
      </c>
      <c r="K50" s="315">
        <f>(SUMIFS('Bilateral Assistance, MAIN DATA'!$P:$P,'Bilateral Assistance, MAIN DATA'!$B:$B,'Comm. per Month (Heavy Weapons)'!$B50,'Bilateral Assistance, MAIN DATA'!$AG:$AG,1,'Bilateral Assistance, MAIN DATA'!$AH:$AH,'Comm. per Month (Heavy Weapons)'!K$11, 'Bilateral Assistance, MAIN DATA'!$J:$J,"Heavy weapon")/VLOOKUP("USD",'Exchange Rates'!$B:$C,2,0))/1000000000</f>
        <v>0.2113501107047619</v>
      </c>
      <c r="L50" s="315">
        <f>(SUMIFS('Bilateral Assistance, MAIN DATA'!$P:$P,'Bilateral Assistance, MAIN DATA'!$B:$B,'Comm. per Month (Heavy Weapons)'!$B50,'Bilateral Assistance, MAIN DATA'!$AG:$AG,1,'Bilateral Assistance, MAIN DATA'!$AH:$AH,'Comm. per Month (Heavy Weapons)'!L$11, 'Bilateral Assistance, MAIN DATA'!$J:$J,"Heavy weapon")/VLOOKUP("USD",'Exchange Rates'!$B:$C,2,0))/1000000000</f>
        <v>0.34008263468194366</v>
      </c>
      <c r="M50" s="315">
        <f>(SUMIFS('Bilateral Assistance, MAIN DATA'!$P:$P,'Bilateral Assistance, MAIN DATA'!$B:$B,'Comm. per Month (Heavy Weapons)'!$B50,'Bilateral Assistance, MAIN DATA'!$AG:$AG,1,'Bilateral Assistance, MAIN DATA'!$AH:$AH,'Comm. per Month (Heavy Weapons)'!M$11, 'Bilateral Assistance, MAIN DATA'!$J:$J,"Heavy weapon")/VLOOKUP("USD",'Exchange Rates'!$B:$C,2,0))/1000000000</f>
        <v>0.32394553680381921</v>
      </c>
      <c r="N50" s="315">
        <f>(SUMIFS('Bilateral Assistance, MAIN DATA'!$P:$P,'Bilateral Assistance, MAIN DATA'!$B:$B,'Comm. per Month (Heavy Weapons)'!$B50,'Bilateral Assistance, MAIN DATA'!$AG:$AG,1,'Bilateral Assistance, MAIN DATA'!$AH:$AH,'Comm. per Month (Heavy Weapons)'!N$11, 'Bilateral Assistance, MAIN DATA'!$J:$J,"Heavy weapon")/VLOOKUP("USD",'Exchange Rates'!$B:$C,2,0))/1000000000</f>
        <v>0.37108026392380955</v>
      </c>
      <c r="O50" s="315">
        <f>(SUMIFS('Bilateral Assistance, MAIN DATA'!$P:$P,'Bilateral Assistance, MAIN DATA'!$B:$B,'Comm. per Month (Heavy Weapons)'!$B50,'Bilateral Assistance, MAIN DATA'!$AG:$AG,1,'Bilateral Assistance, MAIN DATA'!$AH:$AH,'Comm. per Month (Heavy Weapons)'!O$11, 'Bilateral Assistance, MAIN DATA'!$J:$J,"Heavy weapon")/VLOOKUP("USD",'Exchange Rates'!$B:$C,2,0))/1000000000</f>
        <v>1.5883934351306395</v>
      </c>
      <c r="P50" s="315">
        <f>(SUMIFS('Bilateral Assistance, MAIN DATA'!$P:$P,'Bilateral Assistance, MAIN DATA'!$B:$B,'Comm. per Month (Heavy Weapons)'!$B50,'Bilateral Assistance, MAIN DATA'!$AG:$AG,1,'Bilateral Assistance, MAIN DATA'!$AH:$AH,'Comm. per Month (Heavy Weapons)'!P$11, 'Bilateral Assistance, MAIN DATA'!$J:$J,"Heavy weapon")/VLOOKUP("USD",'Exchange Rates'!$B:$C,2,0))/1000000000</f>
        <v>0.42805300000000002</v>
      </c>
      <c r="Q50" s="315">
        <f>(SUMIFS('Bilateral Assistance, MAIN DATA'!$P:$P,'Bilateral Assistance, MAIN DATA'!$B:$B,'Comm. per Month (Heavy Weapons)'!$B50,'Bilateral Assistance, MAIN DATA'!$AG:$AG,1,'Bilateral Assistance, MAIN DATA'!$AH:$AH,'Comm. per Month (Heavy Weapons)'!Q$11, 'Bilateral Assistance, MAIN DATA'!$J:$J,"Heavy weapon")/VLOOKUP("USD",'Exchange Rates'!$B:$C,2,0))/1000000000</f>
        <v>0.30602329327246847</v>
      </c>
      <c r="R50" s="140">
        <f t="shared" si="0"/>
        <v>5.3659054437555378</v>
      </c>
    </row>
    <row r="51" spans="1:18" ht="15.9" customHeight="1" x14ac:dyDescent="0.3">
      <c r="B51" s="24" t="s">
        <v>656</v>
      </c>
      <c r="C51" s="339">
        <v>0</v>
      </c>
      <c r="D51" s="339">
        <v>0</v>
      </c>
      <c r="E51" s="315">
        <f>(SUMIFS('Bilateral Assistance, MAIN DATA'!$P:$P,'Bilateral Assistance, MAIN DATA'!$B:$B,'Comm. per Month (Heavy Weapons)'!$B51,'Bilateral Assistance, MAIN DATA'!$AG:$AG,1,'Bilateral Assistance, MAIN DATA'!$AH:$AH,'Comm. per Month (Heavy Weapons)'!E$11, 'Bilateral Assistance, MAIN DATA'!$J:$J,"Heavy weapon")/VLOOKUP("USD",'Exchange Rates'!$B:$C,2,0))/1000000000</f>
        <v>0</v>
      </c>
      <c r="F51" s="315">
        <f>(SUMIFS('Bilateral Assistance, MAIN DATA'!$P:$P,'Bilateral Assistance, MAIN DATA'!$B:$B,'Comm. per Month (Heavy Weapons)'!$B51,'Bilateral Assistance, MAIN DATA'!$AG:$AG,1,'Bilateral Assistance, MAIN DATA'!$AH:$AH,'Comm. per Month (Heavy Weapons)'!F$11, 'Bilateral Assistance, MAIN DATA'!$J:$J,"Heavy weapon")/VLOOKUP("USD",'Exchange Rates'!$B:$C,2,0))/1000000000</f>
        <v>0</v>
      </c>
      <c r="G51" s="315">
        <f>(SUMIFS('Bilateral Assistance, MAIN DATA'!$P:$P,'Bilateral Assistance, MAIN DATA'!$B:$B,'Comm. per Month (Heavy Weapons)'!$B51,'Bilateral Assistance, MAIN DATA'!$AG:$AG,1,'Bilateral Assistance, MAIN DATA'!$AH:$AH,'Comm. per Month (Heavy Weapons)'!G$11, 'Bilateral Assistance, MAIN DATA'!$J:$J,"Heavy weapon")/VLOOKUP("USD",'Exchange Rates'!$B:$C,2,0))/1000000000</f>
        <v>0</v>
      </c>
      <c r="H51" s="315">
        <f>(SUMIFS('Bilateral Assistance, MAIN DATA'!$P:$P,'Bilateral Assistance, MAIN DATA'!$B:$B,'Comm. per Month (Heavy Weapons)'!$B51,'Bilateral Assistance, MAIN DATA'!$AG:$AG,1,'Bilateral Assistance, MAIN DATA'!$AH:$AH,'Comm. per Month (Heavy Weapons)'!H$11, 'Bilateral Assistance, MAIN DATA'!$J:$J,"Heavy weapon")/VLOOKUP("USD",'Exchange Rates'!$B:$C,2,0))/1000000000</f>
        <v>0</v>
      </c>
      <c r="I51" s="315">
        <f>(SUMIFS('Bilateral Assistance, MAIN DATA'!$P:$P,'Bilateral Assistance, MAIN DATA'!$B:$B,'Comm. per Month (Heavy Weapons)'!$B51,'Bilateral Assistance, MAIN DATA'!$AG:$AG,1,'Bilateral Assistance, MAIN DATA'!$AH:$AH,'Comm. per Month (Heavy Weapons)'!I$11, 'Bilateral Assistance, MAIN DATA'!$J:$J,"Heavy weapon")/VLOOKUP("USD",'Exchange Rates'!$B:$C,2,0))/1000000000</f>
        <v>0</v>
      </c>
      <c r="J51" s="315">
        <f>(SUMIFS('Bilateral Assistance, MAIN DATA'!$P:$P,'Bilateral Assistance, MAIN DATA'!$B:$B,'Comm. per Month (Heavy Weapons)'!$B51,'Bilateral Assistance, MAIN DATA'!$AG:$AG,1,'Bilateral Assistance, MAIN DATA'!$AH:$AH,'Comm. per Month (Heavy Weapons)'!J$11, 'Bilateral Assistance, MAIN DATA'!$J:$J,"Heavy weapon")/VLOOKUP("USD",'Exchange Rates'!$B:$C,2,0))/1000000000</f>
        <v>0</v>
      </c>
      <c r="K51" s="315">
        <f>(SUMIFS('Bilateral Assistance, MAIN DATA'!$P:$P,'Bilateral Assistance, MAIN DATA'!$B:$B,'Comm. per Month (Heavy Weapons)'!$B51,'Bilateral Assistance, MAIN DATA'!$AG:$AG,1,'Bilateral Assistance, MAIN DATA'!$AH:$AH,'Comm. per Month (Heavy Weapons)'!K$11, 'Bilateral Assistance, MAIN DATA'!$J:$J,"Heavy weapon")/VLOOKUP("USD",'Exchange Rates'!$B:$C,2,0))/1000000000</f>
        <v>0</v>
      </c>
      <c r="L51" s="315">
        <f>(SUMIFS('Bilateral Assistance, MAIN DATA'!$P:$P,'Bilateral Assistance, MAIN DATA'!$B:$B,'Comm. per Month (Heavy Weapons)'!$B51,'Bilateral Assistance, MAIN DATA'!$AG:$AG,1,'Bilateral Assistance, MAIN DATA'!$AH:$AH,'Comm. per Month (Heavy Weapons)'!L$11, 'Bilateral Assistance, MAIN DATA'!$J:$J,"Heavy weapon")/VLOOKUP("USD",'Exchange Rates'!$B:$C,2,0))/1000000000</f>
        <v>0</v>
      </c>
      <c r="M51" s="315">
        <f>(SUMIFS('Bilateral Assistance, MAIN DATA'!$P:$P,'Bilateral Assistance, MAIN DATA'!$B:$B,'Comm. per Month (Heavy Weapons)'!$B51,'Bilateral Assistance, MAIN DATA'!$AG:$AG,1,'Bilateral Assistance, MAIN DATA'!$AH:$AH,'Comm. per Month (Heavy Weapons)'!M$11, 'Bilateral Assistance, MAIN DATA'!$J:$J,"Heavy weapon")/VLOOKUP("USD",'Exchange Rates'!$B:$C,2,0))/1000000000</f>
        <v>0</v>
      </c>
      <c r="N51" s="315">
        <f>(SUMIFS('Bilateral Assistance, MAIN DATA'!$P:$P,'Bilateral Assistance, MAIN DATA'!$B:$B,'Comm. per Month (Heavy Weapons)'!$B51,'Bilateral Assistance, MAIN DATA'!$AG:$AG,1,'Bilateral Assistance, MAIN DATA'!$AH:$AH,'Comm. per Month (Heavy Weapons)'!N$11, 'Bilateral Assistance, MAIN DATA'!$J:$J,"Heavy weapon")/VLOOKUP("USD",'Exchange Rates'!$B:$C,2,0))/1000000000</f>
        <v>0</v>
      </c>
      <c r="O51" s="315">
        <f>(SUMIFS('Bilateral Assistance, MAIN DATA'!$P:$P,'Bilateral Assistance, MAIN DATA'!$B:$B,'Comm. per Month (Heavy Weapons)'!$B51,'Bilateral Assistance, MAIN DATA'!$AG:$AG,1,'Bilateral Assistance, MAIN DATA'!$AH:$AH,'Comm. per Month (Heavy Weapons)'!O$11, 'Bilateral Assistance, MAIN DATA'!$J:$J,"Heavy weapon")/VLOOKUP("USD",'Exchange Rates'!$B:$C,2,0))/1000000000</f>
        <v>0</v>
      </c>
      <c r="P51" s="315">
        <f>(SUMIFS('Bilateral Assistance, MAIN DATA'!$P:$P,'Bilateral Assistance, MAIN DATA'!$B:$B,'Comm. per Month (Heavy Weapons)'!$B51,'Bilateral Assistance, MAIN DATA'!$AG:$AG,1,'Bilateral Assistance, MAIN DATA'!$AH:$AH,'Comm. per Month (Heavy Weapons)'!P$11, 'Bilateral Assistance, MAIN DATA'!$J:$J,"Heavy weapon")/VLOOKUP("USD",'Exchange Rates'!$B:$C,2,0))/1000000000</f>
        <v>0</v>
      </c>
      <c r="Q51" s="315">
        <f>(SUMIFS('Bilateral Assistance, MAIN DATA'!$P:$P,'Bilateral Assistance, MAIN DATA'!$B:$B,'Comm. per Month (Heavy Weapons)'!$B51,'Bilateral Assistance, MAIN DATA'!$AG:$AG,1,'Bilateral Assistance, MAIN DATA'!$AH:$AH,'Comm. per Month (Heavy Weapons)'!Q$11, 'Bilateral Assistance, MAIN DATA'!$J:$J,"Heavy weapon")/VLOOKUP("USD",'Exchange Rates'!$B:$C,2,0))/1000000000</f>
        <v>0</v>
      </c>
      <c r="R51" s="140">
        <f t="shared" si="0"/>
        <v>0</v>
      </c>
    </row>
    <row r="52" spans="1:18" ht="15.9" customHeight="1" x14ac:dyDescent="0.3">
      <c r="B52" s="24" t="s">
        <v>2840</v>
      </c>
      <c r="C52" s="339">
        <v>0</v>
      </c>
      <c r="D52" s="339">
        <v>0</v>
      </c>
      <c r="E52" s="315">
        <f>(SUMIFS('Bilateral Assistance, MAIN DATA'!$P:$P,'Bilateral Assistance, MAIN DATA'!$B:$B,'Comm. per Month (Heavy Weapons)'!$B52,'Bilateral Assistance, MAIN DATA'!$AG:$AG,1,'Bilateral Assistance, MAIN DATA'!$AH:$AH,'Comm. per Month (Heavy Weapons)'!E$11, 'Bilateral Assistance, MAIN DATA'!$J:$J,"Heavy weapon")/VLOOKUP("USD",'Exchange Rates'!$B:$C,2,0))/1000000000</f>
        <v>0</v>
      </c>
      <c r="F52" s="315">
        <f>(SUMIFS('Bilateral Assistance, MAIN DATA'!$P:$P,'Bilateral Assistance, MAIN DATA'!$B:$B,'Comm. per Month (Heavy Weapons)'!$B52,'Bilateral Assistance, MAIN DATA'!$AG:$AG,1,'Bilateral Assistance, MAIN DATA'!$AH:$AH,'Comm. per Month (Heavy Weapons)'!F$11, 'Bilateral Assistance, MAIN DATA'!$J:$J,"Heavy weapon")/VLOOKUP("USD",'Exchange Rates'!$B:$C,2,0))/1000000000</f>
        <v>0</v>
      </c>
      <c r="G52" s="315">
        <f>(SUMIFS('Bilateral Assistance, MAIN DATA'!$P:$P,'Bilateral Assistance, MAIN DATA'!$B:$B,'Comm. per Month (Heavy Weapons)'!$B52,'Bilateral Assistance, MAIN DATA'!$AG:$AG,1,'Bilateral Assistance, MAIN DATA'!$AH:$AH,'Comm. per Month (Heavy Weapons)'!G$11, 'Bilateral Assistance, MAIN DATA'!$J:$J,"Heavy weapon")/VLOOKUP("USD",'Exchange Rates'!$B:$C,2,0))/1000000000</f>
        <v>0</v>
      </c>
      <c r="H52" s="315">
        <f>(SUMIFS('Bilateral Assistance, MAIN DATA'!$P:$P,'Bilateral Assistance, MAIN DATA'!$B:$B,'Comm. per Month (Heavy Weapons)'!$B52,'Bilateral Assistance, MAIN DATA'!$AG:$AG,1,'Bilateral Assistance, MAIN DATA'!$AH:$AH,'Comm. per Month (Heavy Weapons)'!H$11, 'Bilateral Assistance, MAIN DATA'!$J:$J,"Heavy weapon")/VLOOKUP("USD",'Exchange Rates'!$B:$C,2,0))/1000000000</f>
        <v>0</v>
      </c>
      <c r="I52" s="315">
        <f>(SUMIFS('Bilateral Assistance, MAIN DATA'!$P:$P,'Bilateral Assistance, MAIN DATA'!$B:$B,'Comm. per Month (Heavy Weapons)'!$B52,'Bilateral Assistance, MAIN DATA'!$AG:$AG,1,'Bilateral Assistance, MAIN DATA'!$AH:$AH,'Comm. per Month (Heavy Weapons)'!I$11, 'Bilateral Assistance, MAIN DATA'!$J:$J,"Heavy weapon")/VLOOKUP("USD",'Exchange Rates'!$B:$C,2,0))/1000000000</f>
        <v>0</v>
      </c>
      <c r="J52" s="315">
        <f>(SUMIFS('Bilateral Assistance, MAIN DATA'!$P:$P,'Bilateral Assistance, MAIN DATA'!$B:$B,'Comm. per Month (Heavy Weapons)'!$B52,'Bilateral Assistance, MAIN DATA'!$AG:$AG,1,'Bilateral Assistance, MAIN DATA'!$AH:$AH,'Comm. per Month (Heavy Weapons)'!J$11, 'Bilateral Assistance, MAIN DATA'!$J:$J,"Heavy weapon")/VLOOKUP("USD",'Exchange Rates'!$B:$C,2,0))/1000000000</f>
        <v>0</v>
      </c>
      <c r="K52" s="315">
        <f>(SUMIFS('Bilateral Assistance, MAIN DATA'!$P:$P,'Bilateral Assistance, MAIN DATA'!$B:$B,'Comm. per Month (Heavy Weapons)'!$B52,'Bilateral Assistance, MAIN DATA'!$AG:$AG,1,'Bilateral Assistance, MAIN DATA'!$AH:$AH,'Comm. per Month (Heavy Weapons)'!K$11, 'Bilateral Assistance, MAIN DATA'!$J:$J,"Heavy weapon")/VLOOKUP("USD",'Exchange Rates'!$B:$C,2,0))/1000000000</f>
        <v>0</v>
      </c>
      <c r="L52" s="315">
        <f>(SUMIFS('Bilateral Assistance, MAIN DATA'!$P:$P,'Bilateral Assistance, MAIN DATA'!$B:$B,'Comm. per Month (Heavy Weapons)'!$B52,'Bilateral Assistance, MAIN DATA'!$AG:$AG,1,'Bilateral Assistance, MAIN DATA'!$AH:$AH,'Comm. per Month (Heavy Weapons)'!L$11, 'Bilateral Assistance, MAIN DATA'!$J:$J,"Heavy weapon")/VLOOKUP("USD",'Exchange Rates'!$B:$C,2,0))/1000000000</f>
        <v>0</v>
      </c>
      <c r="M52" s="315">
        <f>(SUMIFS('Bilateral Assistance, MAIN DATA'!$P:$P,'Bilateral Assistance, MAIN DATA'!$B:$B,'Comm. per Month (Heavy Weapons)'!$B52,'Bilateral Assistance, MAIN DATA'!$AG:$AG,1,'Bilateral Assistance, MAIN DATA'!$AH:$AH,'Comm. per Month (Heavy Weapons)'!M$11, 'Bilateral Assistance, MAIN DATA'!$J:$J,"Heavy weapon")/VLOOKUP("USD",'Exchange Rates'!$B:$C,2,0))/1000000000</f>
        <v>0</v>
      </c>
      <c r="N52" s="315">
        <f>(SUMIFS('Bilateral Assistance, MAIN DATA'!$P:$P,'Bilateral Assistance, MAIN DATA'!$B:$B,'Comm. per Month (Heavy Weapons)'!$B52,'Bilateral Assistance, MAIN DATA'!$AG:$AG,1,'Bilateral Assistance, MAIN DATA'!$AH:$AH,'Comm. per Month (Heavy Weapons)'!N$11, 'Bilateral Assistance, MAIN DATA'!$J:$J,"Heavy weapon")/VLOOKUP("USD",'Exchange Rates'!$B:$C,2,0))/1000000000</f>
        <v>0</v>
      </c>
      <c r="O52" s="315">
        <f>(SUMIFS('Bilateral Assistance, MAIN DATA'!$P:$P,'Bilateral Assistance, MAIN DATA'!$B:$B,'Comm. per Month (Heavy Weapons)'!$B52,'Bilateral Assistance, MAIN DATA'!$AG:$AG,1,'Bilateral Assistance, MAIN DATA'!$AH:$AH,'Comm. per Month (Heavy Weapons)'!O$11, 'Bilateral Assistance, MAIN DATA'!$J:$J,"Heavy weapon")/VLOOKUP("USD",'Exchange Rates'!$B:$C,2,0))/1000000000</f>
        <v>0</v>
      </c>
      <c r="P52" s="315">
        <f>(SUMIFS('Bilateral Assistance, MAIN DATA'!$P:$P,'Bilateral Assistance, MAIN DATA'!$B:$B,'Comm. per Month (Heavy Weapons)'!$B52,'Bilateral Assistance, MAIN DATA'!$AG:$AG,1,'Bilateral Assistance, MAIN DATA'!$AH:$AH,'Comm. per Month (Heavy Weapons)'!P$11, 'Bilateral Assistance, MAIN DATA'!$J:$J,"Heavy weapon")/VLOOKUP("USD",'Exchange Rates'!$B:$C,2,0))/1000000000</f>
        <v>0</v>
      </c>
      <c r="Q52" s="315">
        <f>(SUMIFS('Bilateral Assistance, MAIN DATA'!$P:$P,'Bilateral Assistance, MAIN DATA'!$B:$B,'Comm. per Month (Heavy Weapons)'!$B52,'Bilateral Assistance, MAIN DATA'!$AG:$AG,1,'Bilateral Assistance, MAIN DATA'!$AH:$AH,'Comm. per Month (Heavy Weapons)'!Q$11, 'Bilateral Assistance, MAIN DATA'!$J:$J,"Heavy weapon")/VLOOKUP("USD",'Exchange Rates'!$B:$C,2,0))/1000000000</f>
        <v>0</v>
      </c>
      <c r="R52" s="140">
        <f t="shared" si="0"/>
        <v>0</v>
      </c>
    </row>
    <row r="53" spans="1:18" ht="15.9" customHeight="1" x14ac:dyDescent="0.3">
      <c r="B53" s="289" t="s">
        <v>1687</v>
      </c>
      <c r="C53" s="370">
        <v>0</v>
      </c>
      <c r="D53" s="339">
        <v>0</v>
      </c>
      <c r="E53" s="315">
        <f>(SUMIFS('Bilateral Assistance, MAIN DATA'!$P:$P,'Bilateral Assistance, MAIN DATA'!$B:$B,'Comm. per Month (Heavy Weapons)'!$B53,'Bilateral Assistance, MAIN DATA'!$AG:$AG,1,'Bilateral Assistance, MAIN DATA'!$AH:$AH,'Comm. per Month (Heavy Weapons)'!E$11, 'Bilateral Assistance, MAIN DATA'!$J:$J,"Heavy weapon")/VLOOKUP("USD",'Exchange Rates'!$B:$C,2,0))/1000000000</f>
        <v>0</v>
      </c>
      <c r="F53" s="315">
        <f>(SUMIFS('Bilateral Assistance, MAIN DATA'!$P:$P,'Bilateral Assistance, MAIN DATA'!$B:$B,'Comm. per Month (Heavy Weapons)'!$B53,'Bilateral Assistance, MAIN DATA'!$AG:$AG,1,'Bilateral Assistance, MAIN DATA'!$AH:$AH,'Comm. per Month (Heavy Weapons)'!F$11, 'Bilateral Assistance, MAIN DATA'!$J:$J,"Heavy weapon")/VLOOKUP("USD",'Exchange Rates'!$B:$C,2,0))/1000000000</f>
        <v>0</v>
      </c>
      <c r="G53" s="315">
        <f>(SUMIFS('Bilateral Assistance, MAIN DATA'!$P:$P,'Bilateral Assistance, MAIN DATA'!$B:$B,'Comm. per Month (Heavy Weapons)'!$B53,'Bilateral Assistance, MAIN DATA'!$AG:$AG,1,'Bilateral Assistance, MAIN DATA'!$AH:$AH,'Comm. per Month (Heavy Weapons)'!G$11, 'Bilateral Assistance, MAIN DATA'!$J:$J,"Heavy weapon")/VLOOKUP("USD",'Exchange Rates'!$B:$C,2,0))/1000000000</f>
        <v>0</v>
      </c>
      <c r="H53" s="315">
        <f>(SUMIFS('Bilateral Assistance, MAIN DATA'!$P:$P,'Bilateral Assistance, MAIN DATA'!$B:$B,'Comm. per Month (Heavy Weapons)'!$B53,'Bilateral Assistance, MAIN DATA'!$AG:$AG,1,'Bilateral Assistance, MAIN DATA'!$AH:$AH,'Comm. per Month (Heavy Weapons)'!H$11, 'Bilateral Assistance, MAIN DATA'!$J:$J,"Heavy weapon")/VLOOKUP("USD",'Exchange Rates'!$B:$C,2,0))/1000000000</f>
        <v>0</v>
      </c>
      <c r="I53" s="315">
        <f>(SUMIFS('Bilateral Assistance, MAIN DATA'!$P:$P,'Bilateral Assistance, MAIN DATA'!$B:$B,'Comm. per Month (Heavy Weapons)'!$B53,'Bilateral Assistance, MAIN DATA'!$AG:$AG,1,'Bilateral Assistance, MAIN DATA'!$AH:$AH,'Comm. per Month (Heavy Weapons)'!I$11, 'Bilateral Assistance, MAIN DATA'!$J:$J,"Heavy weapon")/VLOOKUP("USD",'Exchange Rates'!$B:$C,2,0))/1000000000</f>
        <v>0</v>
      </c>
      <c r="J53" s="315">
        <f>(SUMIFS('Bilateral Assistance, MAIN DATA'!$P:$P,'Bilateral Assistance, MAIN DATA'!$B:$B,'Comm. per Month (Heavy Weapons)'!$B53,'Bilateral Assistance, MAIN DATA'!$AG:$AG,1,'Bilateral Assistance, MAIN DATA'!$AH:$AH,'Comm. per Month (Heavy Weapons)'!J$11, 'Bilateral Assistance, MAIN DATA'!$J:$J,"Heavy weapon")/VLOOKUP("USD",'Exchange Rates'!$B:$C,2,0))/1000000000</f>
        <v>0</v>
      </c>
      <c r="K53" s="315">
        <f>(SUMIFS('Bilateral Assistance, MAIN DATA'!$P:$P,'Bilateral Assistance, MAIN DATA'!$B:$B,'Comm. per Month (Heavy Weapons)'!$B53,'Bilateral Assistance, MAIN DATA'!$AG:$AG,1,'Bilateral Assistance, MAIN DATA'!$AH:$AH,'Comm. per Month (Heavy Weapons)'!K$11, 'Bilateral Assistance, MAIN DATA'!$J:$J,"Heavy weapon")/VLOOKUP("USD",'Exchange Rates'!$B:$C,2,0))/1000000000</f>
        <v>0</v>
      </c>
      <c r="L53" s="315">
        <f>(SUMIFS('Bilateral Assistance, MAIN DATA'!$P:$P,'Bilateral Assistance, MAIN DATA'!$B:$B,'Comm. per Month (Heavy Weapons)'!$B53,'Bilateral Assistance, MAIN DATA'!$AG:$AG,1,'Bilateral Assistance, MAIN DATA'!$AH:$AH,'Comm. per Month (Heavy Weapons)'!L$11, 'Bilateral Assistance, MAIN DATA'!$J:$J,"Heavy weapon")/VLOOKUP("USD",'Exchange Rates'!$B:$C,2,0))/1000000000</f>
        <v>0</v>
      </c>
      <c r="M53" s="315">
        <f>(SUMIFS('Bilateral Assistance, MAIN DATA'!$P:$P,'Bilateral Assistance, MAIN DATA'!$B:$B,'Comm. per Month (Heavy Weapons)'!$B53,'Bilateral Assistance, MAIN DATA'!$AG:$AG,1,'Bilateral Assistance, MAIN DATA'!$AH:$AH,'Comm. per Month (Heavy Weapons)'!M$11, 'Bilateral Assistance, MAIN DATA'!$J:$J,"Heavy weapon")/VLOOKUP("USD",'Exchange Rates'!$B:$C,2,0))/1000000000</f>
        <v>0</v>
      </c>
      <c r="N53" s="315">
        <f>(SUMIFS('Bilateral Assistance, MAIN DATA'!$P:$P,'Bilateral Assistance, MAIN DATA'!$B:$B,'Comm. per Month (Heavy Weapons)'!$B53,'Bilateral Assistance, MAIN DATA'!$AG:$AG,1,'Bilateral Assistance, MAIN DATA'!$AH:$AH,'Comm. per Month (Heavy Weapons)'!N$11, 'Bilateral Assistance, MAIN DATA'!$J:$J,"Heavy weapon")/VLOOKUP("USD",'Exchange Rates'!$B:$C,2,0))/1000000000</f>
        <v>0</v>
      </c>
      <c r="O53" s="315">
        <f>(SUMIFS('Bilateral Assistance, MAIN DATA'!$P:$P,'Bilateral Assistance, MAIN DATA'!$B:$B,'Comm. per Month (Heavy Weapons)'!$B53,'Bilateral Assistance, MAIN DATA'!$AG:$AG,1,'Bilateral Assistance, MAIN DATA'!$AH:$AH,'Comm. per Month (Heavy Weapons)'!O$11, 'Bilateral Assistance, MAIN DATA'!$J:$J,"Heavy weapon")/VLOOKUP("USD",'Exchange Rates'!$B:$C,2,0))/1000000000</f>
        <v>0</v>
      </c>
      <c r="P53" s="315">
        <f>(SUMIFS('Bilateral Assistance, MAIN DATA'!$P:$P,'Bilateral Assistance, MAIN DATA'!$B:$B,'Comm. per Month (Heavy Weapons)'!$B53,'Bilateral Assistance, MAIN DATA'!$AG:$AG,1,'Bilateral Assistance, MAIN DATA'!$AH:$AH,'Comm. per Month (Heavy Weapons)'!P$11, 'Bilateral Assistance, MAIN DATA'!$J:$J,"Heavy weapon")/VLOOKUP("USD",'Exchange Rates'!$B:$C,2,0))/1000000000</f>
        <v>0</v>
      </c>
      <c r="Q53" s="315">
        <f>(SUMIFS('Bilateral Assistance, MAIN DATA'!$P:$P,'Bilateral Assistance, MAIN DATA'!$B:$B,'Comm. per Month (Heavy Weapons)'!$B53,'Bilateral Assistance, MAIN DATA'!$AG:$AG,1,'Bilateral Assistance, MAIN DATA'!$AH:$AH,'Comm. per Month (Heavy Weapons)'!Q$11, 'Bilateral Assistance, MAIN DATA'!$J:$J,"Heavy weapon")/VLOOKUP("USD",'Exchange Rates'!$B:$C,2,0))/1000000000</f>
        <v>0</v>
      </c>
      <c r="R53" s="140">
        <f t="shared" si="0"/>
        <v>0</v>
      </c>
    </row>
    <row r="54" spans="1:18" ht="15.9" customHeight="1" x14ac:dyDescent="0.3">
      <c r="B54" s="65" t="s">
        <v>3517</v>
      </c>
      <c r="C54" s="374" t="s">
        <v>260</v>
      </c>
      <c r="D54" s="374" t="s">
        <v>260</v>
      </c>
      <c r="E54" s="603">
        <f t="shared" ref="E54:P54" si="1">SUM(E13:E53)</f>
        <v>0</v>
      </c>
      <c r="F54" s="603">
        <f t="shared" si="1"/>
        <v>0</v>
      </c>
      <c r="G54" s="603">
        <f t="shared" si="1"/>
        <v>6.7924533333333327E-3</v>
      </c>
      <c r="H54" s="603">
        <f t="shared" si="1"/>
        <v>1.6571470918306783</v>
      </c>
      <c r="I54" s="603">
        <f t="shared" si="1"/>
        <v>0.46801838635351611</v>
      </c>
      <c r="J54" s="603">
        <f t="shared" si="1"/>
        <v>1.6255942068879727</v>
      </c>
      <c r="K54" s="603">
        <f t="shared" si="1"/>
        <v>0.57383536283381276</v>
      </c>
      <c r="L54" s="603">
        <f t="shared" si="1"/>
        <v>0.67750030339616496</v>
      </c>
      <c r="M54" s="603">
        <f t="shared" si="1"/>
        <v>1.0470501252362046</v>
      </c>
      <c r="N54" s="603">
        <f t="shared" si="1"/>
        <v>0.6927004022450074</v>
      </c>
      <c r="O54" s="603">
        <f t="shared" si="1"/>
        <v>1.7924289704803889</v>
      </c>
      <c r="P54" s="603">
        <f t="shared" si="1"/>
        <v>1.0799171423904763</v>
      </c>
      <c r="Q54" s="603">
        <f t="shared" ref="Q54" si="2">SUM(Q13:Q53)</f>
        <v>1.5738258289401481</v>
      </c>
      <c r="R54" s="140">
        <f t="shared" si="0"/>
        <v>11.194810273927704</v>
      </c>
    </row>
    <row r="55" spans="1:18" ht="15.9" customHeight="1" x14ac:dyDescent="0.3">
      <c r="B55" s="2"/>
      <c r="C55" s="377"/>
      <c r="D55" s="377"/>
      <c r="H55" s="379"/>
      <c r="I55" s="379"/>
      <c r="J55" s="379"/>
      <c r="K55" s="379"/>
      <c r="L55" s="379"/>
    </row>
    <row r="56" spans="1:18" s="108" customFormat="1" ht="15.9" customHeight="1" x14ac:dyDescent="0.3">
      <c r="A56" s="3"/>
      <c r="B56" s="24"/>
      <c r="C56" s="339"/>
      <c r="D56" s="339"/>
      <c r="E56" s="379"/>
      <c r="F56" s="379"/>
      <c r="G56" s="379"/>
      <c r="H56" s="379"/>
      <c r="I56" s="379"/>
      <c r="J56" s="379"/>
      <c r="K56" s="379"/>
      <c r="L56" s="379"/>
      <c r="N56" s="344"/>
      <c r="Q56" s="24"/>
      <c r="R56" s="24"/>
    </row>
    <row r="57" spans="1:18" s="108" customFormat="1" ht="15.9" customHeight="1" x14ac:dyDescent="0.3">
      <c r="A57" s="3"/>
      <c r="B57" s="24"/>
      <c r="C57" s="339"/>
      <c r="D57" s="339"/>
      <c r="E57" s="379"/>
      <c r="F57" s="379"/>
      <c r="G57" s="379"/>
      <c r="H57" s="379"/>
      <c r="I57" s="379"/>
      <c r="J57" s="379"/>
      <c r="K57" s="379"/>
      <c r="L57" s="379"/>
      <c r="N57" s="344"/>
      <c r="Q57" s="24"/>
      <c r="R57" s="24"/>
    </row>
    <row r="58" spans="1:18" s="108" customFormat="1" ht="15.9" customHeight="1" x14ac:dyDescent="0.3">
      <c r="A58" s="3"/>
      <c r="B58" s="24"/>
      <c r="C58" s="339"/>
      <c r="D58" s="339"/>
      <c r="E58" s="379"/>
      <c r="F58" s="379"/>
      <c r="G58" s="379"/>
      <c r="H58" s="379"/>
      <c r="I58" s="379"/>
      <c r="J58" s="379"/>
      <c r="K58" s="379"/>
      <c r="L58" s="379"/>
      <c r="N58" s="344"/>
      <c r="Q58" s="24"/>
      <c r="R58" s="24"/>
    </row>
    <row r="59" spans="1:18" s="108" customFormat="1" ht="15.9" customHeight="1" x14ac:dyDescent="0.3">
      <c r="A59" s="3"/>
      <c r="B59" s="24"/>
      <c r="C59" s="339"/>
      <c r="D59" s="339"/>
      <c r="E59" s="379"/>
      <c r="F59" s="379"/>
      <c r="G59" s="379"/>
      <c r="H59" s="379"/>
      <c r="I59" s="379"/>
      <c r="J59" s="379"/>
      <c r="K59" s="379"/>
      <c r="L59" s="379"/>
      <c r="N59" s="344"/>
      <c r="Q59" s="24"/>
      <c r="R59" s="24"/>
    </row>
    <row r="60" spans="1:18" s="108" customFormat="1" ht="15.9" customHeight="1" x14ac:dyDescent="0.3">
      <c r="A60" s="3"/>
      <c r="B60" s="24"/>
      <c r="C60" s="339"/>
      <c r="D60" s="339"/>
      <c r="E60" s="379"/>
      <c r="F60" s="379"/>
      <c r="G60" s="379"/>
      <c r="H60" s="379"/>
      <c r="I60" s="379"/>
      <c r="J60" s="379"/>
      <c r="K60" s="379"/>
      <c r="L60" s="379"/>
      <c r="N60" s="344"/>
      <c r="Q60" s="24"/>
      <c r="R60" s="24"/>
    </row>
    <row r="61" spans="1:18" s="108" customFormat="1" ht="15.9" customHeight="1" x14ac:dyDescent="0.3">
      <c r="A61" s="3"/>
      <c r="B61" s="109"/>
      <c r="C61" s="380"/>
      <c r="D61" s="380"/>
      <c r="E61" s="379"/>
      <c r="F61" s="379"/>
      <c r="G61" s="379"/>
      <c r="H61" s="379"/>
      <c r="I61" s="379"/>
      <c r="J61" s="379"/>
      <c r="K61" s="379"/>
      <c r="L61" s="379"/>
      <c r="N61" s="344"/>
      <c r="Q61" s="24"/>
      <c r="R61" s="24"/>
    </row>
    <row r="62" spans="1:18" s="108" customFormat="1" ht="15.9" customHeight="1" x14ac:dyDescent="0.3">
      <c r="A62" s="3"/>
      <c r="B62" s="24"/>
      <c r="C62" s="339"/>
      <c r="D62" s="339"/>
      <c r="E62" s="379"/>
      <c r="F62" s="379"/>
      <c r="G62" s="379"/>
      <c r="H62" s="379"/>
      <c r="I62" s="379"/>
      <c r="J62" s="379"/>
      <c r="K62" s="379"/>
      <c r="L62" s="379"/>
      <c r="N62" s="344"/>
      <c r="Q62" s="24"/>
      <c r="R62" s="24"/>
    </row>
    <row r="63" spans="1:18" s="108" customFormat="1" ht="15.9" customHeight="1" x14ac:dyDescent="0.3">
      <c r="A63" s="3"/>
      <c r="B63" s="22"/>
      <c r="C63" s="381"/>
      <c r="D63" s="381"/>
      <c r="E63" s="379"/>
      <c r="F63" s="379"/>
      <c r="G63" s="379"/>
      <c r="H63" s="379"/>
      <c r="I63" s="379"/>
      <c r="J63" s="379"/>
      <c r="K63" s="379"/>
      <c r="L63" s="379"/>
      <c r="N63" s="344"/>
      <c r="Q63" s="24"/>
      <c r="R63" s="24"/>
    </row>
    <row r="64" spans="1:18" s="108" customFormat="1" ht="15.9" customHeight="1" x14ac:dyDescent="0.3">
      <c r="A64" s="3"/>
      <c r="B64" s="24"/>
      <c r="C64" s="339"/>
      <c r="D64" s="339"/>
      <c r="E64" s="379"/>
      <c r="F64" s="379"/>
      <c r="G64" s="379"/>
      <c r="H64" s="379"/>
      <c r="I64" s="379"/>
      <c r="J64" s="379"/>
      <c r="K64" s="379"/>
      <c r="L64" s="379"/>
      <c r="N64" s="344"/>
      <c r="Q64" s="24"/>
      <c r="R64" s="24"/>
    </row>
    <row r="65" spans="1:18" s="108" customFormat="1" ht="15.9" customHeight="1" x14ac:dyDescent="0.3">
      <c r="A65" s="3"/>
      <c r="B65" s="24"/>
      <c r="C65" s="339"/>
      <c r="D65" s="339"/>
      <c r="E65" s="379"/>
      <c r="F65" s="379"/>
      <c r="G65" s="379"/>
      <c r="H65" s="379"/>
      <c r="I65" s="379"/>
      <c r="J65" s="379"/>
      <c r="K65" s="379"/>
      <c r="L65" s="379"/>
      <c r="N65" s="344"/>
      <c r="Q65" s="24"/>
      <c r="R65" s="24"/>
    </row>
    <row r="66" spans="1:18" s="108" customFormat="1" ht="15.9" customHeight="1" x14ac:dyDescent="0.3">
      <c r="A66" s="3"/>
      <c r="B66" s="24"/>
      <c r="C66" s="339"/>
      <c r="D66" s="339"/>
      <c r="E66" s="379"/>
      <c r="F66" s="379"/>
      <c r="G66" s="379"/>
      <c r="H66" s="379"/>
      <c r="I66" s="379"/>
      <c r="J66" s="379"/>
      <c r="K66" s="379"/>
      <c r="L66" s="379"/>
      <c r="N66" s="344"/>
      <c r="Q66" s="24"/>
      <c r="R66" s="24"/>
    </row>
    <row r="67" spans="1:18" s="108" customFormat="1" ht="15.9" customHeight="1" x14ac:dyDescent="0.3">
      <c r="A67" s="3"/>
      <c r="B67" s="24"/>
      <c r="C67" s="339"/>
      <c r="D67" s="339"/>
      <c r="E67" s="379"/>
      <c r="F67" s="379"/>
      <c r="G67" s="379"/>
      <c r="H67" s="379"/>
      <c r="I67" s="379"/>
      <c r="J67" s="379"/>
      <c r="K67" s="379"/>
      <c r="L67" s="379"/>
      <c r="N67" s="344"/>
      <c r="Q67" s="24"/>
      <c r="R67" s="24"/>
    </row>
    <row r="68" spans="1:18" s="108" customFormat="1" ht="15.9" customHeight="1" x14ac:dyDescent="0.3">
      <c r="A68" s="3"/>
      <c r="B68" s="24"/>
      <c r="C68" s="339"/>
      <c r="D68" s="339"/>
      <c r="E68" s="379"/>
      <c r="F68" s="379"/>
      <c r="G68" s="379"/>
      <c r="H68" s="379"/>
      <c r="I68" s="379"/>
      <c r="J68" s="379"/>
      <c r="K68" s="379"/>
      <c r="L68" s="379"/>
      <c r="N68" s="344"/>
      <c r="Q68" s="24"/>
      <c r="R68" s="24"/>
    </row>
    <row r="69" spans="1:18" s="108" customFormat="1" ht="15.9" customHeight="1" x14ac:dyDescent="0.3">
      <c r="A69" s="3"/>
      <c r="B69" s="24"/>
      <c r="C69" s="339"/>
      <c r="D69" s="339"/>
      <c r="E69" s="379"/>
      <c r="F69" s="379"/>
      <c r="G69" s="379"/>
      <c r="H69" s="379"/>
      <c r="I69" s="379"/>
      <c r="J69" s="379"/>
      <c r="K69" s="379"/>
      <c r="L69" s="379"/>
      <c r="N69" s="344"/>
      <c r="Q69" s="24"/>
      <c r="R69" s="24"/>
    </row>
    <row r="70" spans="1:18" s="108" customFormat="1" ht="15.9" customHeight="1" x14ac:dyDescent="0.3">
      <c r="A70" s="3"/>
      <c r="B70" s="24"/>
      <c r="C70" s="339"/>
      <c r="D70" s="339"/>
      <c r="E70" s="379"/>
      <c r="F70" s="379"/>
      <c r="G70" s="379"/>
      <c r="H70" s="379"/>
      <c r="I70" s="379"/>
      <c r="J70" s="379"/>
      <c r="K70" s="379"/>
      <c r="L70" s="379"/>
      <c r="N70" s="344"/>
      <c r="Q70" s="24"/>
      <c r="R70" s="24"/>
    </row>
    <row r="71" spans="1:18" s="108" customFormat="1" ht="15.9" customHeight="1" x14ac:dyDescent="0.3">
      <c r="A71" s="3"/>
      <c r="B71" s="24"/>
      <c r="C71" s="339"/>
      <c r="D71" s="339"/>
      <c r="E71" s="379"/>
      <c r="F71" s="379"/>
      <c r="G71" s="379"/>
      <c r="H71" s="379"/>
      <c r="I71" s="379"/>
      <c r="J71" s="379"/>
      <c r="K71" s="379"/>
      <c r="L71" s="379"/>
      <c r="N71" s="344"/>
      <c r="Q71" s="24"/>
      <c r="R71" s="24"/>
    </row>
    <row r="72" spans="1:18" s="108" customFormat="1" ht="15.9" customHeight="1" x14ac:dyDescent="0.3">
      <c r="A72" s="3"/>
      <c r="B72" s="24"/>
      <c r="C72" s="339"/>
      <c r="D72" s="339"/>
      <c r="E72" s="379"/>
      <c r="F72" s="379"/>
      <c r="G72" s="379"/>
      <c r="H72" s="379"/>
      <c r="I72" s="379"/>
      <c r="J72" s="379"/>
      <c r="K72" s="379"/>
      <c r="L72" s="379"/>
      <c r="N72" s="344"/>
      <c r="Q72" s="24"/>
      <c r="R72" s="24"/>
    </row>
    <row r="73" spans="1:18" s="108" customFormat="1" ht="15.9" customHeight="1" x14ac:dyDescent="0.3">
      <c r="A73" s="3"/>
      <c r="B73" s="24"/>
      <c r="C73" s="339"/>
      <c r="D73" s="339"/>
      <c r="E73" s="379"/>
      <c r="F73" s="379"/>
      <c r="G73" s="379"/>
      <c r="H73" s="379"/>
      <c r="I73" s="379"/>
      <c r="J73" s="379"/>
      <c r="K73" s="379"/>
      <c r="L73" s="379"/>
      <c r="N73" s="344"/>
      <c r="Q73" s="24"/>
      <c r="R73" s="24"/>
    </row>
    <row r="74" spans="1:18" s="108" customFormat="1" ht="15.9" customHeight="1" x14ac:dyDescent="0.3">
      <c r="A74" s="3"/>
      <c r="B74" s="24"/>
      <c r="C74" s="339"/>
      <c r="D74" s="339"/>
      <c r="E74" s="379"/>
      <c r="F74" s="379"/>
      <c r="G74" s="379"/>
      <c r="H74" s="379"/>
      <c r="I74" s="379"/>
      <c r="J74" s="379"/>
      <c r="K74" s="379"/>
      <c r="L74" s="379"/>
      <c r="N74" s="344"/>
      <c r="Q74" s="24"/>
      <c r="R74" s="24"/>
    </row>
    <row r="75" spans="1:18" s="108" customFormat="1" ht="15.9" customHeight="1" x14ac:dyDescent="0.3">
      <c r="A75" s="3"/>
      <c r="B75" s="24"/>
      <c r="C75" s="339"/>
      <c r="D75" s="339"/>
      <c r="E75" s="379"/>
      <c r="F75" s="379"/>
      <c r="G75" s="379"/>
      <c r="H75" s="379"/>
      <c r="I75" s="379"/>
      <c r="J75" s="379"/>
      <c r="K75" s="379"/>
      <c r="L75" s="379"/>
      <c r="N75" s="344"/>
      <c r="Q75" s="24"/>
      <c r="R75" s="24"/>
    </row>
    <row r="76" spans="1:18" s="108" customFormat="1" ht="15.9" customHeight="1" x14ac:dyDescent="0.3">
      <c r="A76" s="3"/>
      <c r="B76" s="24"/>
      <c r="C76" s="339"/>
      <c r="D76" s="339"/>
      <c r="E76" s="379"/>
      <c r="F76" s="379"/>
      <c r="G76" s="379"/>
      <c r="H76" s="379"/>
      <c r="I76" s="379"/>
      <c r="J76" s="379"/>
      <c r="K76" s="379"/>
      <c r="L76" s="379"/>
      <c r="N76" s="344"/>
      <c r="Q76" s="24"/>
      <c r="R76" s="24"/>
    </row>
    <row r="77" spans="1:18" s="108" customFormat="1" ht="15.9" customHeight="1" x14ac:dyDescent="0.3">
      <c r="A77" s="3"/>
      <c r="B77" s="24"/>
      <c r="C77" s="339"/>
      <c r="D77" s="339"/>
      <c r="E77" s="379"/>
      <c r="F77" s="379"/>
      <c r="G77" s="379"/>
      <c r="H77" s="379"/>
      <c r="I77" s="379"/>
      <c r="J77" s="379"/>
      <c r="K77" s="379"/>
      <c r="L77" s="379"/>
      <c r="N77" s="344"/>
      <c r="Q77" s="24"/>
      <c r="R77" s="24"/>
    </row>
    <row r="78" spans="1:18" s="108" customFormat="1" ht="15.9" customHeight="1" x14ac:dyDescent="0.3">
      <c r="A78" s="3"/>
      <c r="B78" s="24"/>
      <c r="C78" s="339"/>
      <c r="D78" s="339"/>
      <c r="E78" s="379"/>
      <c r="F78" s="379"/>
      <c r="G78" s="379"/>
      <c r="H78" s="379"/>
      <c r="I78" s="379"/>
      <c r="J78" s="379"/>
      <c r="K78" s="379"/>
      <c r="L78" s="379"/>
      <c r="N78" s="344"/>
      <c r="Q78" s="24"/>
      <c r="R78" s="24"/>
    </row>
    <row r="79" spans="1:18" s="108" customFormat="1" ht="15.9" customHeight="1" x14ac:dyDescent="0.3">
      <c r="A79" s="3"/>
      <c r="B79" s="24"/>
      <c r="C79" s="339"/>
      <c r="D79" s="339"/>
      <c r="E79" s="379"/>
      <c r="F79" s="379"/>
      <c r="G79" s="379"/>
      <c r="H79" s="379"/>
      <c r="I79" s="379"/>
      <c r="J79" s="379"/>
      <c r="K79" s="379"/>
      <c r="L79" s="379"/>
      <c r="N79" s="344"/>
      <c r="Q79" s="24"/>
      <c r="R79" s="24"/>
    </row>
    <row r="80" spans="1:18" s="108" customFormat="1" ht="15.9" customHeight="1" x14ac:dyDescent="0.3">
      <c r="A80" s="3"/>
      <c r="B80" s="24"/>
      <c r="C80" s="339"/>
      <c r="D80" s="339"/>
      <c r="E80" s="379"/>
      <c r="F80" s="379"/>
      <c r="G80" s="379"/>
      <c r="H80" s="379"/>
      <c r="I80" s="379"/>
      <c r="J80" s="379"/>
      <c r="K80" s="379"/>
      <c r="L80" s="379"/>
      <c r="N80" s="344"/>
      <c r="Q80" s="24"/>
      <c r="R80" s="24"/>
    </row>
    <row r="81" spans="1:18" s="108" customFormat="1" ht="15.9" customHeight="1" x14ac:dyDescent="0.3">
      <c r="A81" s="3"/>
      <c r="B81" s="24"/>
      <c r="C81" s="339"/>
      <c r="D81" s="339"/>
      <c r="E81" s="379"/>
      <c r="F81" s="379"/>
      <c r="G81" s="379"/>
      <c r="H81" s="379"/>
      <c r="I81" s="379"/>
      <c r="J81" s="379"/>
      <c r="K81" s="379"/>
      <c r="L81" s="379"/>
      <c r="N81" s="344"/>
      <c r="Q81" s="24"/>
      <c r="R81" s="24"/>
    </row>
    <row r="82" spans="1:18" s="108" customFormat="1" ht="15.9" customHeight="1" x14ac:dyDescent="0.3">
      <c r="A82" s="3"/>
      <c r="B82" s="24"/>
      <c r="C82" s="339"/>
      <c r="D82" s="339"/>
      <c r="E82" s="379"/>
      <c r="F82" s="379"/>
      <c r="G82" s="379"/>
      <c r="H82" s="379"/>
      <c r="I82" s="379"/>
      <c r="J82" s="379"/>
      <c r="K82" s="379"/>
      <c r="L82" s="379"/>
      <c r="N82" s="344"/>
      <c r="Q82" s="24"/>
      <c r="R82" s="24"/>
    </row>
    <row r="83" spans="1:18" s="108" customFormat="1" ht="15.9" customHeight="1" x14ac:dyDescent="0.3">
      <c r="A83" s="3"/>
      <c r="B83" s="24"/>
      <c r="C83" s="339"/>
      <c r="D83" s="339"/>
      <c r="E83" s="379"/>
      <c r="F83" s="379"/>
      <c r="G83" s="379"/>
      <c r="H83" s="379"/>
      <c r="I83" s="379"/>
      <c r="J83" s="379"/>
      <c r="K83" s="379"/>
      <c r="L83" s="379"/>
      <c r="N83" s="344"/>
      <c r="Q83" s="24"/>
      <c r="R83" s="24"/>
    </row>
    <row r="84" spans="1:18" s="108" customFormat="1" ht="15.9" customHeight="1" x14ac:dyDescent="0.3">
      <c r="A84" s="3"/>
      <c r="B84" s="24"/>
      <c r="C84" s="339"/>
      <c r="D84" s="339"/>
      <c r="E84" s="379"/>
      <c r="F84" s="379"/>
      <c r="G84" s="379"/>
      <c r="H84" s="379"/>
      <c r="I84" s="379"/>
      <c r="J84" s="379"/>
      <c r="K84" s="379"/>
      <c r="L84" s="379"/>
      <c r="N84" s="344"/>
      <c r="Q84" s="24"/>
      <c r="R84" s="24"/>
    </row>
    <row r="85" spans="1:18" s="108" customFormat="1" ht="15.9" customHeight="1" x14ac:dyDescent="0.3">
      <c r="A85" s="3"/>
      <c r="B85" s="24"/>
      <c r="C85" s="339"/>
      <c r="D85" s="339"/>
      <c r="E85" s="379"/>
      <c r="F85" s="379"/>
      <c r="G85" s="379"/>
      <c r="H85" s="379"/>
      <c r="I85" s="379"/>
      <c r="J85" s="379"/>
      <c r="K85" s="379"/>
      <c r="L85" s="379"/>
      <c r="N85" s="344"/>
      <c r="Q85" s="24"/>
      <c r="R85" s="24"/>
    </row>
    <row r="86" spans="1:18" s="108" customFormat="1" ht="15.9" customHeight="1" x14ac:dyDescent="0.3">
      <c r="A86" s="3"/>
      <c r="B86" s="24"/>
      <c r="C86" s="339"/>
      <c r="D86" s="339"/>
      <c r="E86" s="379"/>
      <c r="F86" s="379"/>
      <c r="G86" s="379"/>
      <c r="H86" s="379"/>
      <c r="I86" s="379"/>
      <c r="J86" s="379"/>
      <c r="K86" s="379"/>
      <c r="L86" s="379"/>
      <c r="N86" s="344"/>
      <c r="Q86" s="24"/>
      <c r="R86" s="24"/>
    </row>
    <row r="87" spans="1:18" s="108" customFormat="1" ht="15.9" customHeight="1" x14ac:dyDescent="0.3">
      <c r="A87" s="3"/>
      <c r="B87" s="24"/>
      <c r="C87" s="339"/>
      <c r="D87" s="339"/>
      <c r="E87" s="379"/>
      <c r="F87" s="379"/>
      <c r="G87" s="379"/>
      <c r="H87" s="379"/>
      <c r="I87" s="379"/>
      <c r="J87" s="379"/>
      <c r="K87" s="379"/>
      <c r="L87" s="379"/>
      <c r="N87" s="344"/>
      <c r="Q87" s="24"/>
      <c r="R87" s="24"/>
    </row>
    <row r="88" spans="1:18" s="108" customFormat="1" ht="15.9" customHeight="1" x14ac:dyDescent="0.3">
      <c r="A88" s="3"/>
      <c r="B88" s="24"/>
      <c r="C88" s="339"/>
      <c r="D88" s="339"/>
      <c r="E88" s="379"/>
      <c r="F88" s="379"/>
      <c r="G88" s="379"/>
      <c r="H88" s="379"/>
      <c r="I88" s="379"/>
      <c r="J88" s="379"/>
      <c r="K88" s="379"/>
      <c r="L88" s="379"/>
      <c r="N88" s="344"/>
      <c r="Q88" s="24"/>
      <c r="R88" s="24"/>
    </row>
    <row r="89" spans="1:18" s="108" customFormat="1" ht="15.9" customHeight="1" x14ac:dyDescent="0.3">
      <c r="A89" s="3"/>
      <c r="B89" s="24"/>
      <c r="C89" s="339"/>
      <c r="D89" s="339"/>
      <c r="E89" s="379"/>
      <c r="F89" s="379"/>
      <c r="G89" s="379"/>
      <c r="H89" s="379"/>
      <c r="I89" s="379"/>
      <c r="J89" s="379"/>
      <c r="K89" s="379"/>
      <c r="L89" s="379"/>
      <c r="N89" s="344"/>
      <c r="Q89" s="24"/>
      <c r="R89" s="24"/>
    </row>
    <row r="90" spans="1:18" s="108" customFormat="1" ht="15.9" customHeight="1" x14ac:dyDescent="0.3">
      <c r="A90" s="3"/>
      <c r="B90" s="24"/>
      <c r="C90" s="339"/>
      <c r="D90" s="339"/>
      <c r="E90" s="379"/>
      <c r="F90" s="379"/>
      <c r="G90" s="379"/>
      <c r="H90" s="379"/>
      <c r="I90" s="379"/>
      <c r="J90" s="379"/>
      <c r="K90" s="379"/>
      <c r="L90" s="379"/>
      <c r="N90" s="344"/>
      <c r="Q90" s="24"/>
      <c r="R90" s="24"/>
    </row>
    <row r="91" spans="1:18" s="108" customFormat="1" ht="15.9" customHeight="1" x14ac:dyDescent="0.3">
      <c r="A91" s="3"/>
      <c r="B91" s="24"/>
      <c r="C91" s="339"/>
      <c r="D91" s="339"/>
      <c r="E91" s="379"/>
      <c r="F91" s="379"/>
      <c r="G91" s="379"/>
      <c r="H91" s="379"/>
      <c r="I91" s="379"/>
      <c r="J91" s="379"/>
      <c r="K91" s="379"/>
      <c r="L91" s="379"/>
      <c r="N91" s="344"/>
      <c r="Q91" s="24"/>
      <c r="R91" s="24"/>
    </row>
    <row r="92" spans="1:18" s="108" customFormat="1" ht="15.9" customHeight="1" x14ac:dyDescent="0.3">
      <c r="A92" s="3"/>
      <c r="B92" s="24"/>
      <c r="C92" s="339"/>
      <c r="D92" s="339"/>
      <c r="E92" s="379"/>
      <c r="F92" s="379"/>
      <c r="G92" s="379"/>
      <c r="H92" s="379"/>
      <c r="I92" s="379"/>
      <c r="J92" s="379"/>
      <c r="K92" s="379"/>
      <c r="L92" s="379"/>
      <c r="N92" s="344"/>
      <c r="Q92" s="24"/>
      <c r="R92" s="24"/>
    </row>
    <row r="93" spans="1:18" s="108" customFormat="1" ht="15.9" customHeight="1" x14ac:dyDescent="0.3">
      <c r="A93" s="3"/>
      <c r="B93" s="24"/>
      <c r="C93" s="339"/>
      <c r="D93" s="339"/>
      <c r="E93" s="379"/>
      <c r="F93" s="379"/>
      <c r="G93" s="379"/>
      <c r="H93" s="379"/>
      <c r="I93" s="379"/>
      <c r="J93" s="379"/>
      <c r="K93" s="379"/>
      <c r="L93" s="379"/>
      <c r="N93" s="344"/>
      <c r="Q93" s="24"/>
      <c r="R93" s="24"/>
    </row>
    <row r="94" spans="1:18" s="108" customFormat="1" ht="15.9" customHeight="1" x14ac:dyDescent="0.3">
      <c r="A94" s="3"/>
      <c r="B94" s="24"/>
      <c r="C94" s="339"/>
      <c r="D94" s="339"/>
      <c r="E94" s="379"/>
      <c r="F94" s="379"/>
      <c r="G94" s="379"/>
      <c r="H94" s="379"/>
      <c r="I94" s="379"/>
      <c r="J94" s="379"/>
      <c r="K94" s="379"/>
      <c r="L94" s="379"/>
      <c r="N94" s="344"/>
      <c r="Q94" s="24"/>
      <c r="R94" s="24"/>
    </row>
    <row r="95" spans="1:18" s="108" customFormat="1" ht="15.9" customHeight="1" x14ac:dyDescent="0.3">
      <c r="A95" s="3"/>
      <c r="B95" s="24"/>
      <c r="C95" s="339"/>
      <c r="D95" s="339"/>
      <c r="E95" s="379"/>
      <c r="F95" s="379"/>
      <c r="G95" s="379"/>
      <c r="H95" s="379"/>
      <c r="I95" s="379"/>
      <c r="J95" s="379"/>
      <c r="K95" s="379"/>
      <c r="L95" s="379"/>
      <c r="N95" s="344"/>
      <c r="Q95" s="24"/>
      <c r="R95" s="24"/>
    </row>
    <row r="96" spans="1:18" s="108" customFormat="1" ht="15.9" customHeight="1" x14ac:dyDescent="0.3">
      <c r="A96" s="3"/>
      <c r="B96" s="24"/>
      <c r="C96" s="339"/>
      <c r="D96" s="339"/>
      <c r="E96" s="379"/>
      <c r="F96" s="379"/>
      <c r="G96" s="379"/>
      <c r="H96" s="379"/>
      <c r="I96" s="379"/>
      <c r="J96" s="379"/>
      <c r="K96" s="379"/>
      <c r="L96" s="379"/>
      <c r="N96" s="344"/>
      <c r="Q96" s="24"/>
      <c r="R96" s="24"/>
    </row>
    <row r="97" spans="1:18" s="108" customFormat="1" ht="15.9" customHeight="1" x14ac:dyDescent="0.3">
      <c r="A97" s="3"/>
      <c r="B97" s="24"/>
      <c r="C97" s="339"/>
      <c r="D97" s="339"/>
      <c r="E97" s="379"/>
      <c r="F97" s="379"/>
      <c r="G97" s="379"/>
      <c r="H97" s="379"/>
      <c r="I97" s="379"/>
      <c r="J97" s="379"/>
      <c r="K97" s="379"/>
      <c r="L97" s="379"/>
      <c r="N97" s="344"/>
      <c r="Q97" s="24"/>
      <c r="R97" s="24"/>
    </row>
    <row r="98" spans="1:18" s="108" customFormat="1" ht="15.9" customHeight="1" x14ac:dyDescent="0.3">
      <c r="A98" s="3"/>
      <c r="B98" s="24"/>
      <c r="C98" s="339"/>
      <c r="D98" s="339"/>
      <c r="E98" s="379"/>
      <c r="F98" s="379"/>
      <c r="G98" s="379"/>
      <c r="H98" s="379"/>
      <c r="I98" s="379"/>
      <c r="J98" s="379"/>
      <c r="K98" s="379"/>
      <c r="L98" s="379"/>
      <c r="N98" s="344"/>
      <c r="Q98" s="24"/>
      <c r="R98" s="24"/>
    </row>
    <row r="99" spans="1:18" s="108" customFormat="1" ht="15.9" customHeight="1" x14ac:dyDescent="0.3">
      <c r="A99" s="3"/>
      <c r="B99" s="24"/>
      <c r="C99" s="339"/>
      <c r="D99" s="339"/>
      <c r="E99" s="379"/>
      <c r="F99" s="379"/>
      <c r="G99" s="379"/>
      <c r="H99" s="379"/>
      <c r="I99" s="379"/>
      <c r="J99" s="379"/>
      <c r="K99" s="379"/>
      <c r="L99" s="379"/>
      <c r="N99" s="344"/>
      <c r="Q99" s="24"/>
      <c r="R99" s="24"/>
    </row>
    <row r="100" spans="1:18" s="108" customFormat="1" ht="15.9" customHeight="1" x14ac:dyDescent="0.3">
      <c r="A100" s="3"/>
      <c r="B100" s="24"/>
      <c r="C100" s="339"/>
      <c r="D100" s="339"/>
      <c r="E100" s="379"/>
      <c r="F100" s="379"/>
      <c r="G100" s="379"/>
      <c r="H100" s="379"/>
      <c r="I100" s="379"/>
      <c r="J100" s="379"/>
      <c r="K100" s="379"/>
      <c r="L100" s="379"/>
      <c r="N100" s="344"/>
      <c r="Q100" s="24"/>
      <c r="R100" s="24"/>
    </row>
    <row r="101" spans="1:18" s="108" customFormat="1" ht="15.9" customHeight="1" x14ac:dyDescent="0.3">
      <c r="A101" s="3"/>
      <c r="B101" s="24"/>
      <c r="C101" s="339"/>
      <c r="D101" s="339"/>
      <c r="E101" s="379"/>
      <c r="F101" s="379"/>
      <c r="G101" s="379"/>
      <c r="H101" s="379"/>
      <c r="I101" s="379"/>
      <c r="J101" s="379"/>
      <c r="K101" s="379"/>
      <c r="L101" s="379"/>
      <c r="N101" s="344"/>
      <c r="Q101" s="24"/>
      <c r="R101" s="24"/>
    </row>
    <row r="102" spans="1:18" s="108" customFormat="1" ht="15.9" customHeight="1" x14ac:dyDescent="0.3">
      <c r="A102" s="3"/>
      <c r="B102" s="24"/>
      <c r="C102" s="339"/>
      <c r="D102" s="339"/>
      <c r="E102" s="379"/>
      <c r="F102" s="379"/>
      <c r="G102" s="379"/>
      <c r="H102" s="379"/>
      <c r="I102" s="379"/>
      <c r="J102" s="379"/>
      <c r="K102" s="379"/>
      <c r="L102" s="379"/>
      <c r="N102" s="344"/>
      <c r="Q102" s="24"/>
      <c r="R102" s="24"/>
    </row>
    <row r="103" spans="1:18" s="108" customFormat="1" ht="15.9" customHeight="1" x14ac:dyDescent="0.3">
      <c r="A103" s="3"/>
      <c r="B103" s="24"/>
      <c r="C103" s="339"/>
      <c r="D103" s="339"/>
      <c r="E103" s="379"/>
      <c r="F103" s="379"/>
      <c r="G103" s="379"/>
      <c r="H103" s="379"/>
      <c r="I103" s="379"/>
      <c r="J103" s="379"/>
      <c r="K103" s="379"/>
      <c r="L103" s="379"/>
      <c r="N103" s="344"/>
      <c r="Q103" s="24"/>
      <c r="R103" s="24"/>
    </row>
    <row r="104" spans="1:18" s="108" customFormat="1" ht="15.9" customHeight="1" x14ac:dyDescent="0.3">
      <c r="A104" s="3"/>
      <c r="B104" s="24"/>
      <c r="C104" s="339"/>
      <c r="D104" s="339"/>
      <c r="E104" s="379"/>
      <c r="F104" s="379"/>
      <c r="G104" s="379"/>
      <c r="H104" s="379"/>
      <c r="I104" s="379"/>
      <c r="J104" s="379"/>
      <c r="K104" s="379"/>
      <c r="L104" s="379"/>
      <c r="N104" s="344"/>
      <c r="Q104" s="24"/>
      <c r="R104" s="24"/>
    </row>
    <row r="105" spans="1:18" s="108" customFormat="1" ht="15.9" customHeight="1" x14ac:dyDescent="0.3">
      <c r="A105" s="3"/>
      <c r="B105" s="24"/>
      <c r="C105" s="339"/>
      <c r="D105" s="339"/>
      <c r="E105" s="379"/>
      <c r="F105" s="379"/>
      <c r="G105" s="379"/>
      <c r="H105" s="379"/>
      <c r="I105" s="379"/>
      <c r="J105" s="379"/>
      <c r="K105" s="379"/>
      <c r="L105" s="379"/>
      <c r="N105" s="344"/>
      <c r="Q105" s="24"/>
      <c r="R105" s="24"/>
    </row>
    <row r="106" spans="1:18" s="108" customFormat="1" ht="15.9" customHeight="1" x14ac:dyDescent="0.3">
      <c r="A106" s="3"/>
      <c r="B106" s="24"/>
      <c r="C106" s="339"/>
      <c r="D106" s="339"/>
      <c r="E106" s="379"/>
      <c r="F106" s="379"/>
      <c r="G106" s="379"/>
      <c r="H106" s="379"/>
      <c r="I106" s="379"/>
      <c r="J106" s="379"/>
      <c r="K106" s="379"/>
      <c r="L106" s="379"/>
      <c r="N106" s="344"/>
      <c r="Q106" s="24"/>
      <c r="R106" s="24"/>
    </row>
    <row r="107" spans="1:18" s="108" customFormat="1" ht="15.9" customHeight="1" x14ac:dyDescent="0.3">
      <c r="A107" s="3"/>
      <c r="B107" s="24"/>
      <c r="C107" s="339"/>
      <c r="D107" s="339"/>
      <c r="E107" s="379"/>
      <c r="F107" s="379"/>
      <c r="G107" s="379"/>
      <c r="H107" s="379"/>
      <c r="I107" s="379"/>
      <c r="J107" s="379"/>
      <c r="K107" s="379"/>
      <c r="L107" s="379"/>
      <c r="N107" s="344"/>
      <c r="Q107" s="24"/>
      <c r="R107" s="24"/>
    </row>
    <row r="108" spans="1:18" s="108" customFormat="1" ht="15.9" customHeight="1" x14ac:dyDescent="0.3">
      <c r="A108" s="3"/>
      <c r="B108" s="24"/>
      <c r="C108" s="339"/>
      <c r="D108" s="339"/>
      <c r="E108" s="379"/>
      <c r="F108" s="379"/>
      <c r="G108" s="379"/>
      <c r="H108" s="379"/>
      <c r="I108" s="379"/>
      <c r="J108" s="379"/>
      <c r="K108" s="379"/>
      <c r="L108" s="379"/>
      <c r="N108" s="344"/>
      <c r="Q108" s="24"/>
      <c r="R108" s="24"/>
    </row>
    <row r="109" spans="1:18" s="108" customFormat="1" ht="15.9" customHeight="1" x14ac:dyDescent="0.3">
      <c r="A109" s="3"/>
      <c r="B109" s="24"/>
      <c r="C109" s="339"/>
      <c r="D109" s="339"/>
      <c r="E109" s="379"/>
      <c r="F109" s="379"/>
      <c r="G109" s="379"/>
      <c r="H109" s="379"/>
      <c r="I109" s="379"/>
      <c r="J109" s="379"/>
      <c r="K109" s="379"/>
      <c r="L109" s="379"/>
      <c r="N109" s="344"/>
      <c r="Q109" s="24"/>
      <c r="R109" s="24"/>
    </row>
    <row r="110" spans="1:18" s="108" customFormat="1" ht="15.9" customHeight="1" x14ac:dyDescent="0.3">
      <c r="A110" s="3"/>
      <c r="B110" s="24"/>
      <c r="C110" s="339"/>
      <c r="D110" s="339"/>
      <c r="E110" s="379"/>
      <c r="F110" s="379"/>
      <c r="G110" s="379"/>
      <c r="H110" s="379"/>
      <c r="I110" s="379"/>
      <c r="J110" s="379"/>
      <c r="K110" s="379"/>
      <c r="L110" s="379"/>
      <c r="N110" s="344"/>
      <c r="Q110" s="24"/>
      <c r="R110" s="24"/>
    </row>
    <row r="111" spans="1:18" s="108" customFormat="1" ht="15.9" customHeight="1" x14ac:dyDescent="0.3">
      <c r="A111" s="3"/>
      <c r="B111" s="24"/>
      <c r="C111" s="339"/>
      <c r="D111" s="339"/>
      <c r="E111" s="379"/>
      <c r="F111" s="379"/>
      <c r="G111" s="379"/>
      <c r="H111" s="379"/>
      <c r="I111" s="379"/>
      <c r="J111" s="379"/>
      <c r="K111" s="379"/>
      <c r="L111" s="379"/>
      <c r="N111" s="344"/>
      <c r="Q111" s="24"/>
      <c r="R111" s="24"/>
    </row>
    <row r="112" spans="1:18" s="108" customFormat="1" ht="15.9" customHeight="1" x14ac:dyDescent="0.3">
      <c r="A112" s="3"/>
      <c r="B112" s="24"/>
      <c r="C112" s="339"/>
      <c r="D112" s="339"/>
      <c r="E112" s="379"/>
      <c r="F112" s="379"/>
      <c r="G112" s="379"/>
      <c r="H112" s="379"/>
      <c r="I112" s="379"/>
      <c r="J112" s="379"/>
      <c r="K112" s="379"/>
      <c r="L112" s="379"/>
      <c r="N112" s="344"/>
      <c r="Q112" s="24"/>
      <c r="R112" s="24"/>
    </row>
    <row r="113" spans="1:18" s="108" customFormat="1" ht="15.9" customHeight="1" x14ac:dyDescent="0.3">
      <c r="A113" s="3"/>
      <c r="B113" s="24"/>
      <c r="C113" s="339"/>
      <c r="D113" s="339"/>
      <c r="E113" s="379"/>
      <c r="F113" s="379"/>
      <c r="G113" s="379"/>
      <c r="H113" s="379"/>
      <c r="I113" s="379"/>
      <c r="J113" s="379"/>
      <c r="K113" s="379"/>
      <c r="L113" s="379"/>
      <c r="N113" s="344"/>
      <c r="Q113" s="24"/>
      <c r="R113" s="24"/>
    </row>
    <row r="114" spans="1:18" s="108" customFormat="1" ht="15.9" customHeight="1" x14ac:dyDescent="0.3">
      <c r="A114" s="3"/>
      <c r="B114" s="24"/>
      <c r="C114" s="339"/>
      <c r="D114" s="339"/>
      <c r="E114" s="379"/>
      <c r="F114" s="379"/>
      <c r="G114" s="379"/>
      <c r="H114" s="379"/>
      <c r="I114" s="379"/>
      <c r="J114" s="379"/>
      <c r="K114" s="379"/>
      <c r="L114" s="379"/>
      <c r="N114" s="344"/>
      <c r="Q114" s="24"/>
      <c r="R114" s="24"/>
    </row>
    <row r="115" spans="1:18" s="108" customFormat="1" ht="15.9" customHeight="1" x14ac:dyDescent="0.3">
      <c r="A115" s="3"/>
      <c r="B115" s="24"/>
      <c r="C115" s="339"/>
      <c r="D115" s="339"/>
      <c r="E115" s="379"/>
      <c r="F115" s="379"/>
      <c r="G115" s="379"/>
      <c r="H115" s="379"/>
      <c r="I115" s="379"/>
      <c r="J115" s="379"/>
      <c r="K115" s="379"/>
      <c r="L115" s="379"/>
      <c r="N115" s="344"/>
      <c r="Q115" s="24"/>
      <c r="R115" s="24"/>
    </row>
    <row r="116" spans="1:18" s="108" customFormat="1" ht="15.9" customHeight="1" x14ac:dyDescent="0.3">
      <c r="A116" s="3"/>
      <c r="B116" s="24"/>
      <c r="C116" s="339"/>
      <c r="D116" s="339"/>
      <c r="E116" s="379"/>
      <c r="F116" s="379"/>
      <c r="G116" s="379"/>
      <c r="H116" s="379"/>
      <c r="I116" s="379"/>
      <c r="J116" s="379"/>
      <c r="K116" s="379"/>
      <c r="L116" s="379"/>
      <c r="N116" s="344"/>
      <c r="Q116" s="24"/>
      <c r="R116" s="24"/>
    </row>
    <row r="117" spans="1:18" s="108" customFormat="1" ht="15.9" customHeight="1" x14ac:dyDescent="0.3">
      <c r="A117" s="3"/>
      <c r="B117" s="24"/>
      <c r="C117" s="339"/>
      <c r="D117" s="339"/>
      <c r="E117" s="379"/>
      <c r="F117" s="379"/>
      <c r="G117" s="379"/>
      <c r="H117" s="379"/>
      <c r="I117" s="379"/>
      <c r="J117" s="379"/>
      <c r="K117" s="379"/>
      <c r="L117" s="379"/>
      <c r="N117" s="344"/>
      <c r="Q117" s="24"/>
      <c r="R117" s="24"/>
    </row>
    <row r="118" spans="1:18" s="108" customFormat="1" ht="15.9" customHeight="1" x14ac:dyDescent="0.3">
      <c r="A118" s="3"/>
      <c r="B118" s="24"/>
      <c r="C118" s="339"/>
      <c r="D118" s="339"/>
      <c r="E118" s="379"/>
      <c r="F118" s="379"/>
      <c r="G118" s="379"/>
      <c r="H118" s="379"/>
      <c r="I118" s="379"/>
      <c r="J118" s="379"/>
      <c r="K118" s="379"/>
      <c r="L118" s="379"/>
      <c r="N118" s="344"/>
      <c r="Q118" s="24"/>
      <c r="R118" s="24"/>
    </row>
    <row r="119" spans="1:18" s="108" customFormat="1" ht="15.9" customHeight="1" x14ac:dyDescent="0.3">
      <c r="A119" s="3"/>
      <c r="B119" s="24"/>
      <c r="C119" s="339"/>
      <c r="D119" s="339"/>
      <c r="E119" s="379"/>
      <c r="F119" s="379"/>
      <c r="G119" s="379"/>
      <c r="H119" s="379"/>
      <c r="I119" s="379"/>
      <c r="J119" s="379"/>
      <c r="K119" s="379"/>
      <c r="L119" s="379"/>
      <c r="N119" s="344"/>
      <c r="Q119" s="24"/>
      <c r="R119" s="24"/>
    </row>
    <row r="120" spans="1:18" s="108" customFormat="1" ht="15.9" customHeight="1" x14ac:dyDescent="0.3">
      <c r="A120" s="3"/>
      <c r="B120" s="24"/>
      <c r="C120" s="339"/>
      <c r="D120" s="339"/>
      <c r="E120" s="379"/>
      <c r="F120" s="379"/>
      <c r="G120" s="379"/>
      <c r="H120" s="379"/>
      <c r="I120" s="379"/>
      <c r="J120" s="379"/>
      <c r="K120" s="379"/>
      <c r="L120" s="379"/>
      <c r="N120" s="344"/>
      <c r="Q120" s="24"/>
      <c r="R120" s="24"/>
    </row>
    <row r="121" spans="1:18" s="108" customFormat="1" ht="15.9" customHeight="1" x14ac:dyDescent="0.3">
      <c r="A121" s="3"/>
      <c r="B121" s="24"/>
      <c r="C121" s="339"/>
      <c r="D121" s="339"/>
      <c r="E121" s="379"/>
      <c r="F121" s="379"/>
      <c r="G121" s="379"/>
      <c r="H121" s="379"/>
      <c r="I121" s="379"/>
      <c r="J121" s="379"/>
      <c r="K121" s="379"/>
      <c r="L121" s="379"/>
      <c r="N121" s="344"/>
      <c r="Q121" s="24"/>
      <c r="R121" s="24"/>
    </row>
    <row r="122" spans="1:18" s="108" customFormat="1" ht="15.9" customHeight="1" x14ac:dyDescent="0.3">
      <c r="A122" s="3"/>
      <c r="B122" s="24"/>
      <c r="C122" s="339"/>
      <c r="D122" s="339"/>
      <c r="E122" s="379"/>
      <c r="F122" s="379"/>
      <c r="G122" s="382"/>
      <c r="H122" s="379"/>
      <c r="I122" s="379"/>
      <c r="J122" s="379"/>
      <c r="K122" s="379"/>
      <c r="L122" s="379"/>
      <c r="N122" s="344"/>
      <c r="Q122" s="24"/>
      <c r="R122" s="24"/>
    </row>
    <row r="123" spans="1:18" s="108" customFormat="1" ht="15.9" customHeight="1" x14ac:dyDescent="0.3">
      <c r="A123" s="3"/>
      <c r="B123" s="24"/>
      <c r="C123" s="339"/>
      <c r="D123" s="339"/>
      <c r="E123" s="379"/>
      <c r="F123" s="379"/>
      <c r="G123" s="379"/>
      <c r="H123" s="379"/>
      <c r="I123" s="379"/>
      <c r="J123" s="379"/>
      <c r="K123" s="379"/>
      <c r="L123" s="379"/>
      <c r="N123" s="344"/>
      <c r="Q123" s="24"/>
      <c r="R123" s="24"/>
    </row>
    <row r="124" spans="1:18" s="108" customFormat="1" ht="15.9" customHeight="1" x14ac:dyDescent="0.3">
      <c r="A124" s="3"/>
      <c r="B124" s="24"/>
      <c r="C124" s="339"/>
      <c r="D124" s="339"/>
      <c r="E124" s="379"/>
      <c r="F124" s="379"/>
      <c r="G124" s="379"/>
      <c r="H124" s="379"/>
      <c r="I124" s="379"/>
      <c r="J124" s="379"/>
      <c r="K124" s="379"/>
      <c r="L124" s="379"/>
      <c r="N124" s="344"/>
      <c r="Q124" s="24"/>
      <c r="R124" s="24"/>
    </row>
    <row r="125" spans="1:18" s="108" customFormat="1" ht="15.9" customHeight="1" x14ac:dyDescent="0.3">
      <c r="A125" s="3"/>
      <c r="B125" s="24"/>
      <c r="C125" s="339"/>
      <c r="D125" s="339"/>
      <c r="E125" s="379"/>
      <c r="F125" s="379"/>
      <c r="G125" s="379"/>
      <c r="H125" s="379"/>
      <c r="I125" s="379"/>
      <c r="J125" s="379"/>
      <c r="K125" s="379"/>
      <c r="L125" s="379"/>
      <c r="N125" s="344"/>
      <c r="Q125" s="24"/>
      <c r="R125" s="24"/>
    </row>
    <row r="126" spans="1:18" s="108" customFormat="1" ht="15.9" customHeight="1" x14ac:dyDescent="0.3">
      <c r="A126" s="3"/>
      <c r="B126" s="24"/>
      <c r="C126" s="339"/>
      <c r="D126" s="339"/>
      <c r="E126" s="379"/>
      <c r="F126" s="379"/>
      <c r="G126" s="379"/>
      <c r="H126" s="379"/>
      <c r="I126" s="379"/>
      <c r="J126" s="379"/>
      <c r="K126" s="379"/>
      <c r="L126" s="379"/>
      <c r="N126" s="344"/>
      <c r="Q126" s="24"/>
      <c r="R126" s="24"/>
    </row>
    <row r="127" spans="1:18" s="108" customFormat="1" ht="15.9" customHeight="1" x14ac:dyDescent="0.3">
      <c r="A127" s="3"/>
      <c r="B127" s="24"/>
      <c r="C127" s="339"/>
      <c r="D127" s="339"/>
      <c r="E127" s="379"/>
      <c r="F127" s="379"/>
      <c r="G127" s="383"/>
      <c r="H127" s="379"/>
      <c r="I127" s="379"/>
      <c r="J127" s="379"/>
      <c r="K127" s="379"/>
      <c r="L127" s="379"/>
      <c r="N127" s="344"/>
      <c r="Q127" s="24"/>
      <c r="R127" s="24"/>
    </row>
    <row r="128" spans="1:18" s="108" customFormat="1" ht="15.9" customHeight="1" x14ac:dyDescent="0.3">
      <c r="A128" s="3"/>
      <c r="B128" s="24"/>
      <c r="C128" s="339"/>
      <c r="D128" s="339"/>
      <c r="E128" s="379"/>
      <c r="F128" s="379"/>
      <c r="G128" s="379"/>
      <c r="H128" s="379"/>
      <c r="I128" s="379"/>
      <c r="J128" s="379"/>
      <c r="K128" s="379"/>
      <c r="L128" s="379"/>
      <c r="N128" s="344"/>
      <c r="Q128" s="24"/>
      <c r="R128" s="24"/>
    </row>
    <row r="129" spans="1:18" s="108" customFormat="1" ht="15.9" customHeight="1" x14ac:dyDescent="0.3">
      <c r="A129" s="3"/>
      <c r="B129" s="24"/>
      <c r="C129" s="339"/>
      <c r="D129" s="339"/>
      <c r="E129" s="379"/>
      <c r="F129" s="379"/>
      <c r="G129" s="379"/>
      <c r="H129" s="379"/>
      <c r="I129" s="379"/>
      <c r="J129" s="379"/>
      <c r="K129" s="379"/>
      <c r="L129" s="379"/>
      <c r="N129" s="344"/>
      <c r="Q129" s="24"/>
      <c r="R129" s="24"/>
    </row>
    <row r="130" spans="1:18" s="108" customFormat="1" ht="15.9" customHeight="1" x14ac:dyDescent="0.3">
      <c r="A130" s="3"/>
      <c r="B130" s="24"/>
      <c r="C130" s="339"/>
      <c r="D130" s="339"/>
      <c r="E130" s="379"/>
      <c r="F130" s="379"/>
      <c r="G130" s="379"/>
      <c r="H130" s="379"/>
      <c r="I130" s="379"/>
      <c r="J130" s="379"/>
      <c r="K130" s="379"/>
      <c r="L130" s="379"/>
      <c r="N130" s="344"/>
      <c r="Q130" s="24"/>
      <c r="R130" s="24"/>
    </row>
    <row r="131" spans="1:18" s="108" customFormat="1" ht="15.9" customHeight="1" x14ac:dyDescent="0.3">
      <c r="A131" s="3"/>
      <c r="B131" s="24"/>
      <c r="C131" s="339"/>
      <c r="D131" s="339"/>
      <c r="H131" s="379"/>
      <c r="I131" s="379"/>
      <c r="J131" s="379"/>
      <c r="K131" s="379"/>
      <c r="L131" s="379"/>
      <c r="N131" s="344"/>
      <c r="Q131" s="24"/>
      <c r="R131" s="24"/>
    </row>
    <row r="132" spans="1:18" s="108" customFormat="1" ht="15.9" customHeight="1" x14ac:dyDescent="0.3">
      <c r="A132" s="3"/>
      <c r="B132" s="24"/>
      <c r="C132" s="339"/>
      <c r="D132" s="339"/>
      <c r="E132" s="379"/>
      <c r="F132" s="379"/>
      <c r="G132" s="379"/>
      <c r="H132" s="379"/>
      <c r="I132" s="379"/>
      <c r="J132" s="379"/>
      <c r="K132" s="379"/>
      <c r="L132" s="379"/>
      <c r="N132" s="344"/>
      <c r="Q132" s="24"/>
      <c r="R132" s="24"/>
    </row>
    <row r="133" spans="1:18" s="108" customFormat="1" ht="15.9" customHeight="1" x14ac:dyDescent="0.3">
      <c r="A133" s="3"/>
      <c r="B133" s="24"/>
      <c r="C133" s="339"/>
      <c r="D133" s="339"/>
      <c r="E133" s="379"/>
      <c r="F133" s="379"/>
      <c r="G133" s="379"/>
      <c r="H133" s="379"/>
      <c r="I133" s="379"/>
      <c r="J133" s="379"/>
      <c r="K133" s="379"/>
      <c r="L133" s="379"/>
      <c r="N133" s="344"/>
      <c r="Q133" s="24"/>
      <c r="R133" s="24"/>
    </row>
    <row r="134" spans="1:18" s="108" customFormat="1" ht="15.9" customHeight="1" x14ac:dyDescent="0.3">
      <c r="A134" s="3"/>
      <c r="B134" s="24"/>
      <c r="C134" s="339"/>
      <c r="D134" s="339"/>
      <c r="E134" s="379"/>
      <c r="F134" s="379"/>
      <c r="G134" s="379"/>
      <c r="H134" s="379"/>
      <c r="I134" s="379"/>
      <c r="J134" s="379"/>
      <c r="K134" s="379"/>
      <c r="L134" s="379"/>
      <c r="N134" s="344"/>
      <c r="Q134" s="24"/>
      <c r="R134" s="24"/>
    </row>
    <row r="135" spans="1:18" s="108" customFormat="1" ht="15.9" customHeight="1" x14ac:dyDescent="0.3">
      <c r="A135" s="3"/>
      <c r="B135" s="24"/>
      <c r="C135" s="339"/>
      <c r="D135" s="339"/>
      <c r="E135" s="379"/>
      <c r="F135" s="379"/>
      <c r="G135" s="379"/>
      <c r="H135" s="379"/>
      <c r="I135" s="379"/>
      <c r="J135" s="379"/>
      <c r="K135" s="379"/>
      <c r="L135" s="379"/>
      <c r="N135" s="344"/>
      <c r="Q135" s="24"/>
      <c r="R135" s="24"/>
    </row>
    <row r="136" spans="1:18" s="108" customFormat="1" ht="15.9" customHeight="1" x14ac:dyDescent="0.3">
      <c r="A136" s="3"/>
      <c r="B136" s="24"/>
      <c r="C136" s="339"/>
      <c r="D136" s="339"/>
      <c r="E136" s="379"/>
      <c r="F136" s="379"/>
      <c r="G136" s="379"/>
      <c r="H136" s="379"/>
      <c r="I136" s="379"/>
      <c r="J136" s="379"/>
      <c r="K136" s="379"/>
      <c r="L136" s="379"/>
      <c r="N136" s="344"/>
      <c r="Q136" s="24"/>
      <c r="R136" s="24"/>
    </row>
    <row r="137" spans="1:18" s="108" customFormat="1" ht="15.9" customHeight="1" x14ac:dyDescent="0.3">
      <c r="A137" s="3"/>
      <c r="B137" s="24"/>
      <c r="C137" s="339"/>
      <c r="D137" s="339"/>
      <c r="E137" s="379"/>
      <c r="F137" s="379"/>
      <c r="G137" s="379"/>
      <c r="H137" s="379"/>
      <c r="I137" s="379"/>
      <c r="J137" s="379"/>
      <c r="K137" s="379"/>
      <c r="L137" s="379"/>
      <c r="N137" s="344"/>
      <c r="Q137" s="24"/>
      <c r="R137" s="24"/>
    </row>
    <row r="138" spans="1:18" s="108" customFormat="1" ht="15.9" customHeight="1" x14ac:dyDescent="0.3">
      <c r="A138" s="3"/>
      <c r="B138" s="24"/>
      <c r="C138" s="339"/>
      <c r="D138" s="339"/>
      <c r="E138" s="379"/>
      <c r="F138" s="379"/>
      <c r="G138" s="379"/>
      <c r="H138" s="379"/>
      <c r="I138" s="379"/>
      <c r="J138" s="379"/>
      <c r="K138" s="379"/>
      <c r="L138" s="379"/>
      <c r="N138" s="344"/>
      <c r="Q138" s="24"/>
      <c r="R138" s="24"/>
    </row>
    <row r="139" spans="1:18" s="108" customFormat="1" ht="15.9" customHeight="1" x14ac:dyDescent="0.3">
      <c r="A139" s="3"/>
      <c r="B139" s="24"/>
      <c r="C139" s="339"/>
      <c r="D139" s="339"/>
      <c r="E139" s="379"/>
      <c r="F139" s="379"/>
      <c r="G139" s="379"/>
      <c r="H139" s="379"/>
      <c r="I139" s="379"/>
      <c r="J139" s="379"/>
      <c r="K139" s="379"/>
      <c r="L139" s="379"/>
      <c r="N139" s="344"/>
      <c r="Q139" s="24"/>
      <c r="R139" s="24"/>
    </row>
    <row r="140" spans="1:18" s="108" customFormat="1" ht="15.9" customHeight="1" x14ac:dyDescent="0.3">
      <c r="A140" s="3"/>
      <c r="B140" s="24"/>
      <c r="C140" s="339"/>
      <c r="D140" s="339"/>
      <c r="E140" s="379"/>
      <c r="F140" s="379"/>
      <c r="G140" s="379"/>
      <c r="H140" s="379"/>
      <c r="I140" s="379"/>
      <c r="J140" s="379"/>
      <c r="K140" s="379"/>
      <c r="L140" s="379"/>
      <c r="N140" s="344"/>
      <c r="Q140" s="24"/>
      <c r="R140" s="24"/>
    </row>
    <row r="141" spans="1:18" s="108" customFormat="1" ht="15.9" customHeight="1" x14ac:dyDescent="0.3">
      <c r="A141" s="3"/>
      <c r="B141" s="24"/>
      <c r="C141" s="339"/>
      <c r="D141" s="339"/>
      <c r="E141" s="379"/>
      <c r="F141" s="379"/>
      <c r="G141" s="379"/>
      <c r="H141" s="379"/>
      <c r="I141" s="379"/>
      <c r="J141" s="379"/>
      <c r="K141" s="379"/>
      <c r="L141" s="379"/>
      <c r="N141" s="344"/>
      <c r="Q141" s="24"/>
      <c r="R141" s="24"/>
    </row>
    <row r="142" spans="1:18" s="108" customFormat="1" ht="15.9" customHeight="1" x14ac:dyDescent="0.3">
      <c r="A142" s="3"/>
      <c r="B142" s="24"/>
      <c r="C142" s="339"/>
      <c r="D142" s="339"/>
      <c r="E142" s="379"/>
      <c r="F142" s="379"/>
      <c r="G142" s="379"/>
      <c r="H142" s="379"/>
      <c r="I142" s="379"/>
      <c r="J142" s="379"/>
      <c r="K142" s="379"/>
      <c r="L142" s="379"/>
      <c r="N142" s="344"/>
      <c r="Q142" s="24"/>
      <c r="R142" s="24"/>
    </row>
    <row r="143" spans="1:18" s="108" customFormat="1" ht="15.9" customHeight="1" x14ac:dyDescent="0.3">
      <c r="A143" s="3"/>
      <c r="B143" s="24"/>
      <c r="C143" s="339"/>
      <c r="D143" s="339"/>
      <c r="E143" s="379"/>
      <c r="F143" s="379"/>
      <c r="G143" s="379"/>
      <c r="H143" s="379"/>
      <c r="I143" s="379"/>
      <c r="J143" s="379"/>
      <c r="K143" s="379"/>
      <c r="L143" s="379"/>
      <c r="N143" s="344"/>
      <c r="Q143" s="24"/>
      <c r="R143" s="24"/>
    </row>
    <row r="144" spans="1:18" s="108" customFormat="1" ht="15.9" customHeight="1" x14ac:dyDescent="0.3">
      <c r="A144" s="3"/>
      <c r="B144" s="24"/>
      <c r="C144" s="339"/>
      <c r="D144" s="339"/>
      <c r="E144" s="379"/>
      <c r="F144" s="379"/>
      <c r="G144" s="379"/>
      <c r="H144" s="379"/>
      <c r="I144" s="379"/>
      <c r="J144" s="379"/>
      <c r="K144" s="379"/>
      <c r="L144" s="379"/>
      <c r="N144" s="344"/>
      <c r="Q144" s="24"/>
      <c r="R144" s="24"/>
    </row>
    <row r="145" spans="1:18" s="108" customFormat="1" ht="15.9" customHeight="1" x14ac:dyDescent="0.3">
      <c r="A145" s="3"/>
      <c r="B145" s="24"/>
      <c r="C145" s="339"/>
      <c r="D145" s="339"/>
      <c r="E145" s="379"/>
      <c r="F145" s="379"/>
      <c r="G145" s="379"/>
      <c r="H145" s="379"/>
      <c r="I145" s="379"/>
      <c r="J145" s="379"/>
      <c r="K145" s="379"/>
      <c r="L145" s="379"/>
      <c r="N145" s="344"/>
      <c r="Q145" s="24"/>
      <c r="R145" s="24"/>
    </row>
    <row r="146" spans="1:18" s="108" customFormat="1" ht="15.9" customHeight="1" x14ac:dyDescent="0.3">
      <c r="A146" s="3"/>
      <c r="B146" s="24"/>
      <c r="C146" s="339"/>
      <c r="D146" s="339"/>
      <c r="E146" s="379"/>
      <c r="F146" s="379"/>
      <c r="G146" s="379"/>
      <c r="H146" s="379"/>
      <c r="I146" s="379"/>
      <c r="J146" s="379"/>
      <c r="K146" s="379"/>
      <c r="L146" s="379"/>
      <c r="N146" s="344"/>
      <c r="Q146" s="24"/>
      <c r="R146" s="24"/>
    </row>
    <row r="147" spans="1:18" s="108" customFormat="1" ht="15.9" customHeight="1" x14ac:dyDescent="0.3">
      <c r="A147" s="3"/>
      <c r="B147" s="24"/>
      <c r="C147" s="339"/>
      <c r="D147" s="339"/>
      <c r="E147" s="379"/>
      <c r="F147" s="379"/>
      <c r="G147" s="379"/>
      <c r="H147" s="379"/>
      <c r="I147" s="379"/>
      <c r="J147" s="379"/>
      <c r="K147" s="379"/>
      <c r="L147" s="379"/>
      <c r="N147" s="344"/>
      <c r="Q147" s="24"/>
      <c r="R147" s="24"/>
    </row>
    <row r="148" spans="1:18" s="108" customFormat="1" ht="15.9" customHeight="1" x14ac:dyDescent="0.3">
      <c r="A148" s="3"/>
      <c r="B148" s="24"/>
      <c r="C148" s="339"/>
      <c r="D148" s="339"/>
      <c r="E148" s="379"/>
      <c r="F148" s="379"/>
      <c r="G148" s="379"/>
      <c r="H148" s="379"/>
      <c r="I148" s="379"/>
      <c r="J148" s="379"/>
      <c r="K148" s="379"/>
      <c r="L148" s="379"/>
      <c r="N148" s="344"/>
      <c r="Q148" s="24"/>
      <c r="R148" s="24"/>
    </row>
    <row r="149" spans="1:18" s="108" customFormat="1" ht="15.9" customHeight="1" x14ac:dyDescent="0.3">
      <c r="A149" s="3"/>
      <c r="B149" s="24"/>
      <c r="C149" s="339"/>
      <c r="D149" s="339"/>
      <c r="E149" s="379"/>
      <c r="F149" s="379"/>
      <c r="G149" s="379"/>
      <c r="H149" s="379"/>
      <c r="I149" s="379"/>
      <c r="J149" s="379"/>
      <c r="K149" s="379"/>
      <c r="L149" s="379"/>
      <c r="N149" s="344"/>
      <c r="Q149" s="24"/>
      <c r="R149" s="24"/>
    </row>
    <row r="150" spans="1:18" s="108" customFormat="1" ht="15.9" customHeight="1" x14ac:dyDescent="0.3">
      <c r="A150" s="3"/>
      <c r="B150" s="24"/>
      <c r="C150" s="339"/>
      <c r="D150" s="339"/>
      <c r="E150" s="379"/>
      <c r="F150" s="379"/>
      <c r="G150" s="379"/>
      <c r="H150" s="379"/>
      <c r="I150" s="379"/>
      <c r="J150" s="379"/>
      <c r="K150" s="379"/>
      <c r="L150" s="379"/>
      <c r="N150" s="344"/>
      <c r="Q150" s="24"/>
      <c r="R150" s="24"/>
    </row>
    <row r="151" spans="1:18" s="108" customFormat="1" ht="15.9" customHeight="1" x14ac:dyDescent="0.3">
      <c r="A151" s="3"/>
      <c r="B151" s="24"/>
      <c r="C151" s="339"/>
      <c r="D151" s="339"/>
      <c r="E151" s="379"/>
      <c r="F151" s="379"/>
      <c r="G151" s="379"/>
      <c r="H151" s="379"/>
      <c r="I151" s="379"/>
      <c r="J151" s="379"/>
      <c r="K151" s="379"/>
      <c r="L151" s="379"/>
      <c r="N151" s="344"/>
      <c r="Q151" s="24"/>
      <c r="R151" s="24"/>
    </row>
    <row r="152" spans="1:18" s="108" customFormat="1" ht="15.9" customHeight="1" x14ac:dyDescent="0.3">
      <c r="A152" s="3"/>
      <c r="B152" s="24"/>
      <c r="C152" s="339"/>
      <c r="D152" s="339"/>
      <c r="E152" s="379"/>
      <c r="F152" s="379"/>
      <c r="G152" s="379"/>
      <c r="H152" s="379"/>
      <c r="I152" s="379"/>
      <c r="J152" s="379"/>
      <c r="K152" s="379"/>
      <c r="L152" s="379"/>
      <c r="N152" s="344"/>
      <c r="Q152" s="24"/>
      <c r="R152" s="24"/>
    </row>
    <row r="153" spans="1:18" s="108" customFormat="1" ht="15.9" customHeight="1" x14ac:dyDescent="0.3">
      <c r="A153" s="3"/>
      <c r="B153" s="24"/>
      <c r="C153" s="339"/>
      <c r="D153" s="339"/>
      <c r="E153" s="379"/>
      <c r="F153" s="379"/>
      <c r="G153" s="379"/>
      <c r="H153" s="379"/>
      <c r="I153" s="379"/>
      <c r="J153" s="379"/>
      <c r="K153" s="379"/>
      <c r="L153" s="379"/>
      <c r="N153" s="344"/>
      <c r="Q153" s="24"/>
      <c r="R153" s="24"/>
    </row>
    <row r="154" spans="1:18" s="108" customFormat="1" ht="15.9" customHeight="1" x14ac:dyDescent="0.3">
      <c r="A154" s="3"/>
      <c r="B154" s="24"/>
      <c r="C154" s="339"/>
      <c r="D154" s="339"/>
      <c r="E154" s="379"/>
      <c r="F154" s="379"/>
      <c r="G154" s="379"/>
      <c r="H154" s="379"/>
      <c r="I154" s="379"/>
      <c r="J154" s="379"/>
      <c r="K154" s="379"/>
      <c r="L154" s="379"/>
      <c r="N154" s="344"/>
      <c r="Q154" s="24"/>
      <c r="R154" s="24"/>
    </row>
    <row r="155" spans="1:18" s="108" customFormat="1" ht="15.9" customHeight="1" x14ac:dyDescent="0.3">
      <c r="A155" s="3"/>
      <c r="B155" s="24"/>
      <c r="C155" s="339"/>
      <c r="D155" s="339"/>
      <c r="E155" s="379"/>
      <c r="F155" s="379"/>
      <c r="G155" s="379"/>
      <c r="H155" s="379"/>
      <c r="I155" s="379"/>
      <c r="J155" s="379"/>
      <c r="K155" s="379"/>
      <c r="L155" s="379"/>
      <c r="N155" s="344"/>
      <c r="Q155" s="24"/>
      <c r="R155" s="24"/>
    </row>
    <row r="156" spans="1:18" s="108" customFormat="1" ht="15.9" customHeight="1" x14ac:dyDescent="0.3">
      <c r="A156" s="3"/>
      <c r="B156" s="24"/>
      <c r="C156" s="339"/>
      <c r="D156" s="339"/>
      <c r="E156" s="379"/>
      <c r="F156" s="379"/>
      <c r="G156" s="379"/>
      <c r="H156" s="379"/>
      <c r="I156" s="379"/>
      <c r="J156" s="379"/>
      <c r="K156" s="379"/>
      <c r="L156" s="379"/>
      <c r="N156" s="344"/>
      <c r="Q156" s="24"/>
      <c r="R156" s="24"/>
    </row>
    <row r="157" spans="1:18" s="108" customFormat="1" ht="15.9" customHeight="1" x14ac:dyDescent="0.3">
      <c r="A157" s="3"/>
      <c r="B157" s="24"/>
      <c r="C157" s="339"/>
      <c r="D157" s="339"/>
      <c r="E157" s="379"/>
      <c r="F157" s="379"/>
      <c r="G157" s="379"/>
      <c r="H157" s="379"/>
      <c r="I157" s="379"/>
      <c r="J157" s="379"/>
      <c r="K157" s="379"/>
      <c r="L157" s="379"/>
      <c r="N157" s="344"/>
      <c r="Q157" s="24"/>
      <c r="R157" s="24"/>
    </row>
    <row r="158" spans="1:18" s="108" customFormat="1" ht="15.9" customHeight="1" x14ac:dyDescent="0.3">
      <c r="A158" s="3"/>
      <c r="B158" s="24"/>
      <c r="C158" s="339"/>
      <c r="D158" s="339"/>
      <c r="E158" s="379"/>
      <c r="F158" s="379"/>
      <c r="G158" s="379"/>
      <c r="H158" s="379"/>
      <c r="I158" s="379"/>
      <c r="J158" s="379"/>
      <c r="K158" s="379"/>
      <c r="L158" s="379"/>
      <c r="N158" s="344"/>
      <c r="Q158" s="24"/>
      <c r="R158" s="24"/>
    </row>
    <row r="159" spans="1:18" s="108" customFormat="1" ht="15.9" customHeight="1" x14ac:dyDescent="0.3">
      <c r="A159" s="3"/>
      <c r="B159" s="24"/>
      <c r="C159" s="339"/>
      <c r="D159" s="339"/>
      <c r="E159" s="379"/>
      <c r="F159" s="379"/>
      <c r="G159" s="379"/>
      <c r="H159" s="379"/>
      <c r="I159" s="379"/>
      <c r="J159" s="379"/>
      <c r="K159" s="379"/>
      <c r="L159" s="379"/>
      <c r="N159" s="344"/>
      <c r="Q159" s="24"/>
      <c r="R159" s="24"/>
    </row>
    <row r="160" spans="1:18" s="108" customFormat="1" ht="15.9" customHeight="1" x14ac:dyDescent="0.3">
      <c r="A160" s="3"/>
      <c r="B160" s="24"/>
      <c r="C160" s="339"/>
      <c r="D160" s="339"/>
      <c r="E160" s="379"/>
      <c r="F160" s="379"/>
      <c r="G160" s="379"/>
      <c r="H160" s="379"/>
      <c r="I160" s="379"/>
      <c r="J160" s="379"/>
      <c r="K160" s="379"/>
      <c r="L160" s="379"/>
      <c r="N160" s="344"/>
      <c r="Q160" s="24"/>
      <c r="R160" s="24"/>
    </row>
    <row r="161" spans="1:18" s="108" customFormat="1" ht="15.9" customHeight="1" x14ac:dyDescent="0.3">
      <c r="A161" s="3"/>
      <c r="B161" s="24"/>
      <c r="C161" s="339"/>
      <c r="D161" s="339"/>
      <c r="E161" s="379"/>
      <c r="F161" s="379"/>
      <c r="G161" s="379"/>
      <c r="H161" s="379"/>
      <c r="I161" s="379"/>
      <c r="J161" s="379"/>
      <c r="K161" s="379"/>
      <c r="L161" s="379"/>
      <c r="N161" s="344"/>
      <c r="Q161" s="24"/>
      <c r="R161" s="24"/>
    </row>
    <row r="162" spans="1:18" s="108" customFormat="1" ht="15.9" customHeight="1" x14ac:dyDescent="0.3">
      <c r="A162" s="3"/>
      <c r="B162" s="24"/>
      <c r="C162" s="339"/>
      <c r="D162" s="339"/>
      <c r="E162" s="379"/>
      <c r="F162" s="379"/>
      <c r="G162" s="379"/>
      <c r="H162" s="379"/>
      <c r="I162" s="379"/>
      <c r="J162" s="379"/>
      <c r="K162" s="379"/>
      <c r="L162" s="379"/>
      <c r="N162" s="344"/>
      <c r="Q162" s="24"/>
      <c r="R162" s="24"/>
    </row>
    <row r="163" spans="1:18" s="108" customFormat="1" ht="15.9" customHeight="1" x14ac:dyDescent="0.3">
      <c r="A163" s="3"/>
      <c r="B163" s="24"/>
      <c r="C163" s="339"/>
      <c r="D163" s="339"/>
      <c r="E163" s="379"/>
      <c r="F163" s="379"/>
      <c r="G163" s="379"/>
      <c r="H163" s="379"/>
      <c r="I163" s="379"/>
      <c r="J163" s="379"/>
      <c r="K163" s="379"/>
      <c r="L163" s="379"/>
      <c r="N163" s="344"/>
      <c r="Q163" s="24"/>
      <c r="R163" s="24"/>
    </row>
    <row r="164" spans="1:18" s="108" customFormat="1" ht="15.9" customHeight="1" x14ac:dyDescent="0.3">
      <c r="A164" s="3"/>
      <c r="B164" s="24"/>
      <c r="C164" s="339"/>
      <c r="D164" s="339"/>
      <c r="E164" s="379"/>
      <c r="F164" s="379"/>
      <c r="G164" s="379"/>
      <c r="H164" s="379"/>
      <c r="I164" s="379"/>
      <c r="J164" s="379"/>
      <c r="K164" s="379"/>
      <c r="L164" s="379"/>
      <c r="N164" s="344"/>
      <c r="Q164" s="24"/>
      <c r="R164" s="24"/>
    </row>
    <row r="165" spans="1:18" s="108" customFormat="1" ht="15.9" customHeight="1" x14ac:dyDescent="0.3">
      <c r="A165" s="3"/>
      <c r="B165" s="24"/>
      <c r="C165" s="339"/>
      <c r="D165" s="339"/>
      <c r="E165" s="379"/>
      <c r="F165" s="379"/>
      <c r="G165" s="379"/>
      <c r="H165" s="379"/>
      <c r="I165" s="379"/>
      <c r="J165" s="379"/>
      <c r="K165" s="379"/>
      <c r="L165" s="379"/>
      <c r="N165" s="344"/>
      <c r="Q165" s="24"/>
      <c r="R165" s="24"/>
    </row>
    <row r="166" spans="1:18" s="108" customFormat="1" ht="15.9" customHeight="1" x14ac:dyDescent="0.3">
      <c r="A166" s="3"/>
      <c r="B166" s="24"/>
      <c r="C166" s="339"/>
      <c r="D166" s="339"/>
      <c r="H166" s="379"/>
      <c r="I166" s="379"/>
      <c r="J166" s="379"/>
      <c r="K166" s="379"/>
      <c r="L166" s="379"/>
      <c r="N166" s="344"/>
      <c r="Q166" s="24"/>
      <c r="R166" s="24"/>
    </row>
    <row r="167" spans="1:18" s="108" customFormat="1" ht="15.9" customHeight="1" x14ac:dyDescent="0.3">
      <c r="A167" s="3"/>
      <c r="B167" s="24"/>
      <c r="C167" s="339"/>
      <c r="D167" s="339"/>
      <c r="H167" s="379"/>
      <c r="I167" s="379"/>
      <c r="J167" s="379"/>
      <c r="K167" s="379"/>
      <c r="L167" s="379"/>
      <c r="N167" s="344"/>
      <c r="Q167" s="24"/>
      <c r="R167" s="24"/>
    </row>
    <row r="168" spans="1:18" s="108" customFormat="1" ht="15.9" customHeight="1" x14ac:dyDescent="0.3">
      <c r="A168" s="3"/>
      <c r="B168" s="24"/>
      <c r="C168" s="339"/>
      <c r="D168" s="339"/>
      <c r="H168" s="379"/>
      <c r="I168" s="379"/>
      <c r="J168" s="379"/>
      <c r="K168" s="379"/>
      <c r="L168" s="379"/>
      <c r="N168" s="344"/>
      <c r="Q168" s="24"/>
      <c r="R168" s="24"/>
    </row>
    <row r="169" spans="1:18" s="108" customFormat="1" ht="15.9" customHeight="1" x14ac:dyDescent="0.3">
      <c r="A169" s="3"/>
      <c r="B169" s="24"/>
      <c r="C169" s="339"/>
      <c r="D169" s="339"/>
      <c r="H169" s="379"/>
      <c r="I169" s="379"/>
      <c r="J169" s="379"/>
      <c r="K169" s="379"/>
      <c r="L169" s="379"/>
      <c r="N169" s="344"/>
      <c r="Q169" s="24"/>
      <c r="R169" s="24"/>
    </row>
    <row r="170" spans="1:18" s="108" customFormat="1" ht="15.9" customHeight="1" x14ac:dyDescent="0.3">
      <c r="A170" s="3"/>
      <c r="B170" s="24"/>
      <c r="C170" s="339"/>
      <c r="D170" s="339"/>
      <c r="H170" s="379"/>
      <c r="I170" s="379"/>
      <c r="J170" s="379"/>
      <c r="K170" s="379"/>
      <c r="L170" s="379"/>
      <c r="N170" s="344"/>
      <c r="Q170" s="24"/>
      <c r="R170" s="24"/>
    </row>
    <row r="171" spans="1:18" s="108" customFormat="1" ht="15.9" customHeight="1" x14ac:dyDescent="0.3">
      <c r="A171" s="3"/>
      <c r="B171" s="24"/>
      <c r="C171" s="339"/>
      <c r="D171" s="339"/>
      <c r="H171" s="379"/>
      <c r="I171" s="379"/>
      <c r="J171" s="379"/>
      <c r="K171" s="379"/>
      <c r="L171" s="379"/>
      <c r="N171" s="344"/>
      <c r="Q171" s="24"/>
      <c r="R171" s="24"/>
    </row>
    <row r="172" spans="1:18" s="108" customFormat="1" ht="15.9" customHeight="1" x14ac:dyDescent="0.3">
      <c r="A172" s="3"/>
      <c r="B172" s="24"/>
      <c r="C172" s="339"/>
      <c r="D172" s="339"/>
      <c r="H172" s="379"/>
      <c r="I172" s="379"/>
      <c r="J172" s="379"/>
      <c r="K172" s="379"/>
      <c r="L172" s="379"/>
      <c r="N172" s="344"/>
      <c r="Q172" s="24"/>
      <c r="R172" s="24"/>
    </row>
    <row r="173" spans="1:18" s="108" customFormat="1" ht="15.9" customHeight="1" x14ac:dyDescent="0.3">
      <c r="A173" s="3"/>
      <c r="B173" s="24"/>
      <c r="C173" s="339"/>
      <c r="D173" s="339"/>
      <c r="H173" s="379"/>
      <c r="I173" s="379"/>
      <c r="J173" s="379"/>
      <c r="K173" s="379"/>
      <c r="L173" s="379"/>
      <c r="N173" s="344"/>
      <c r="Q173" s="24"/>
      <c r="R173" s="24"/>
    </row>
    <row r="174" spans="1:18" s="108" customFormat="1" ht="15.9" customHeight="1" x14ac:dyDescent="0.3">
      <c r="A174" s="3"/>
      <c r="B174" s="24"/>
      <c r="C174" s="339"/>
      <c r="D174" s="339"/>
      <c r="H174" s="379"/>
      <c r="I174" s="379"/>
      <c r="J174" s="379"/>
      <c r="K174" s="379"/>
      <c r="L174" s="379"/>
      <c r="N174" s="344"/>
      <c r="Q174" s="24"/>
      <c r="R174" s="24"/>
    </row>
  </sheetData>
  <mergeCells count="17">
    <mergeCell ref="Q11:Q12"/>
    <mergeCell ref="D11:D12"/>
    <mergeCell ref="N11:N12"/>
    <mergeCell ref="O11:O12"/>
    <mergeCell ref="P11:P12"/>
    <mergeCell ref="H11:H12"/>
    <mergeCell ref="I11:I12"/>
    <mergeCell ref="J11:J12"/>
    <mergeCell ref="K11:K12"/>
    <mergeCell ref="L11:L12"/>
    <mergeCell ref="M11:M12"/>
    <mergeCell ref="B4:G8"/>
    <mergeCell ref="B11:B12"/>
    <mergeCell ref="C11:C12"/>
    <mergeCell ref="E11:E12"/>
    <mergeCell ref="F11:F12"/>
    <mergeCell ref="G11:G12"/>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5" tint="0.59999389629810485"/>
  </sheetPr>
  <dimension ref="A1:M51"/>
  <sheetViews>
    <sheetView zoomScaleNormal="100" workbookViewId="0"/>
  </sheetViews>
  <sheetFormatPr baseColWidth="10" defaultColWidth="8.59765625" defaultRowHeight="15.9" customHeight="1" x14ac:dyDescent="0.3"/>
  <cols>
    <col min="1" max="1" width="8.59765625" style="391" customWidth="1"/>
    <col min="2" max="2" width="25.5" style="391" customWidth="1"/>
    <col min="3" max="4" width="22.5" style="391" customWidth="1"/>
    <col min="5" max="5" width="8.59765625" style="392" customWidth="1"/>
    <col min="6" max="6" width="25.5" style="391" customWidth="1"/>
    <col min="7" max="8" width="22.5" style="391" customWidth="1"/>
    <col min="9" max="9" width="8.59765625" style="391" customWidth="1"/>
    <col min="10" max="10" width="26" style="391" bestFit="1" customWidth="1"/>
    <col min="11" max="12" width="22.5" style="391" customWidth="1"/>
    <col min="13" max="13" width="8.59765625" style="392" customWidth="1"/>
    <col min="14" max="14" width="8.59765625" style="391" customWidth="1"/>
    <col min="15" max="16384" width="8.59765625" style="391"/>
  </cols>
  <sheetData>
    <row r="1" spans="2:12" s="35" customFormat="1" ht="15.9" customHeight="1" x14ac:dyDescent="0.3">
      <c r="B1" s="39"/>
      <c r="C1" s="148"/>
      <c r="D1" s="148"/>
      <c r="F1" s="148"/>
      <c r="G1" s="39"/>
      <c r="H1" s="39"/>
      <c r="J1" s="39"/>
      <c r="K1" s="39"/>
      <c r="L1" s="39"/>
    </row>
    <row r="2" spans="2:12" s="39" customFormat="1" ht="24.75" customHeight="1" x14ac:dyDescent="0.35">
      <c r="B2" s="415" t="s">
        <v>4892</v>
      </c>
    </row>
    <row r="3" spans="2:12" s="116" customFormat="1" ht="15.9" customHeight="1" x14ac:dyDescent="0.25"/>
    <row r="4" spans="2:12" s="116" customFormat="1" ht="15.9" customHeight="1" x14ac:dyDescent="0.25">
      <c r="B4" s="1181" t="s">
        <v>4893</v>
      </c>
      <c r="C4" s="1181"/>
      <c r="D4" s="1181"/>
      <c r="E4" s="1181"/>
      <c r="F4" s="1181"/>
      <c r="G4" s="1181"/>
    </row>
    <row r="5" spans="2:12" s="116" customFormat="1" ht="15.9" customHeight="1" x14ac:dyDescent="0.25">
      <c r="B5" s="1181"/>
      <c r="C5" s="1181"/>
      <c r="D5" s="1181"/>
      <c r="E5" s="1181"/>
      <c r="F5" s="1181"/>
      <c r="G5" s="1181"/>
    </row>
    <row r="6" spans="2:12" s="116" customFormat="1" ht="15.9" customHeight="1" x14ac:dyDescent="0.25">
      <c r="B6" s="1181"/>
      <c r="C6" s="1181"/>
      <c r="D6" s="1181"/>
      <c r="E6" s="1181"/>
      <c r="F6" s="1181"/>
      <c r="G6" s="1181"/>
    </row>
    <row r="7" spans="2:12" s="116" customFormat="1" ht="15.9" customHeight="1" x14ac:dyDescent="0.25">
      <c r="B7" s="1181"/>
      <c r="C7" s="1181"/>
      <c r="D7" s="1181"/>
      <c r="E7" s="1181"/>
      <c r="F7" s="1181"/>
      <c r="G7" s="1181"/>
    </row>
    <row r="8" spans="2:12" s="116" customFormat="1" ht="15.9" customHeight="1" x14ac:dyDescent="0.25">
      <c r="B8" s="1181"/>
      <c r="C8" s="1181"/>
      <c r="D8" s="1181"/>
      <c r="E8" s="1181"/>
      <c r="F8" s="1181"/>
      <c r="G8" s="1181"/>
    </row>
    <row r="9" spans="2:12" s="116" customFormat="1" ht="15.9" customHeight="1" x14ac:dyDescent="0.25">
      <c r="B9" s="1181"/>
      <c r="C9" s="1181"/>
      <c r="D9" s="1181"/>
      <c r="E9" s="1181"/>
      <c r="F9" s="1181"/>
      <c r="G9" s="1181"/>
    </row>
    <row r="10" spans="2:12" ht="15.9" customHeight="1" x14ac:dyDescent="0.3">
      <c r="B10" s="732"/>
      <c r="C10" s="732"/>
      <c r="D10" s="732"/>
      <c r="E10" s="394"/>
      <c r="F10" s="393"/>
      <c r="G10" s="393"/>
      <c r="H10" s="393"/>
      <c r="I10" s="392"/>
      <c r="J10" s="393"/>
      <c r="K10" s="393"/>
      <c r="L10" s="393"/>
    </row>
    <row r="11" spans="2:12" ht="15.9" customHeight="1" x14ac:dyDescent="0.3">
      <c r="B11" s="1216" t="s">
        <v>3499</v>
      </c>
      <c r="C11" s="1220" t="s">
        <v>4894</v>
      </c>
      <c r="D11" s="1221"/>
      <c r="F11" s="1216" t="s">
        <v>3499</v>
      </c>
      <c r="G11" s="1222" t="s">
        <v>3595</v>
      </c>
      <c r="H11" s="1223"/>
      <c r="I11" s="392"/>
      <c r="J11" s="1216" t="s">
        <v>3499</v>
      </c>
      <c r="K11" s="1218" t="s">
        <v>3646</v>
      </c>
      <c r="L11" s="1219"/>
    </row>
    <row r="12" spans="2:12" ht="15.9" customHeight="1" x14ac:dyDescent="0.3">
      <c r="B12" s="1217"/>
      <c r="C12" s="601" t="s">
        <v>3603</v>
      </c>
      <c r="D12" s="602" t="s">
        <v>3605</v>
      </c>
      <c r="F12" s="1217"/>
      <c r="G12" s="601" t="s">
        <v>3603</v>
      </c>
      <c r="H12" s="602" t="s">
        <v>3605</v>
      </c>
      <c r="I12" s="392"/>
      <c r="J12" s="1217"/>
      <c r="K12" s="601" t="s">
        <v>3603</v>
      </c>
      <c r="L12" s="602" t="s">
        <v>3605</v>
      </c>
    </row>
    <row r="13" spans="2:12" ht="15.9" customHeight="1" x14ac:dyDescent="0.3">
      <c r="B13" s="391" t="s">
        <v>3038</v>
      </c>
      <c r="C13" s="394">
        <f>VLOOKUP(B13,'Share, Heavy Weapons to Ukraine'!B:AH,COLUMN('Share, Heavy Weapons to Ukraine'!AB12)-1,FALSE)</f>
        <v>144</v>
      </c>
      <c r="D13" s="394">
        <f>VLOOKUP(B13,'Share, Heavy Weapons to Ukraine'!B:AP,COLUMN('Share, Heavy Weapons to Ukraine'!AP12)-1,FALSE)</f>
        <v>126</v>
      </c>
      <c r="F13" s="391" t="s">
        <v>3038</v>
      </c>
      <c r="G13" s="392">
        <f>VLOOKUP(F13,'Share, Heavy Weapons to Ukraine'!B:AH,COLUMN('Share, Heavy Weapons to Ukraine'!AC13)-1,FALSE)</f>
        <v>38</v>
      </c>
      <c r="H13" s="392">
        <f>VLOOKUP(F13,'Share, Heavy Weapons to Ukraine'!B:AQ,COLUMN('Share, Heavy Weapons to Ukraine'!AQ13)-1,FALSE)</f>
        <v>16</v>
      </c>
      <c r="I13" s="392"/>
      <c r="J13" s="391" t="s">
        <v>2303</v>
      </c>
      <c r="K13" s="392">
        <f>VLOOKUP(J13,'Share, Heavy Weapons to Ukraine'!B:AH,COLUMN('Share, Heavy Weapons to Ukraine'!V12)-1,FALSE)</f>
        <v>300</v>
      </c>
      <c r="L13" s="392">
        <f>VLOOKUP(J13,'Share, Heavy Weapons to Ukraine'!B:AJ,COLUMN('Share, Heavy Weapons to Ukraine'!AJ12)-1,FALSE)</f>
        <v>300</v>
      </c>
    </row>
    <row r="14" spans="2:12" ht="15.9" customHeight="1" x14ac:dyDescent="0.3">
      <c r="B14" s="391" t="s">
        <v>2864</v>
      </c>
      <c r="C14" s="394">
        <f>VLOOKUP(B14,'Share, Heavy Weapons to Ukraine'!B:AH,COLUMN('Share, Heavy Weapons to Ukraine'!AB14)-1,FALSE)</f>
        <v>58</v>
      </c>
      <c r="D14" s="394">
        <f>VLOOKUP(B14,'Share, Heavy Weapons to Ukraine'!B:AP,COLUMN('Share, Heavy Weapons to Ukraine'!AP14)-1,FALSE)</f>
        <v>28</v>
      </c>
      <c r="F14" s="391" t="s">
        <v>716</v>
      </c>
      <c r="G14" s="392">
        <f>VLOOKUP(F14,'Share, Heavy Weapons to Ukraine'!B:AH,COLUMN('Share, Heavy Weapons to Ukraine'!AC12)-1,FALSE)</f>
        <v>20</v>
      </c>
      <c r="H14" s="392">
        <f>VLOOKUP(F14,'Share, Heavy Weapons to Ukraine'!B:AQ,COLUMN('Share, Heavy Weapons to Ukraine'!AQ14)-1,FALSE)</f>
        <v>20</v>
      </c>
      <c r="I14" s="392"/>
      <c r="J14" s="391" t="s">
        <v>716</v>
      </c>
      <c r="K14" s="392">
        <f>VLOOKUP(J14,'Share, Heavy Weapons to Ukraine'!B:AH,COLUMN('Share, Heavy Weapons to Ukraine'!V13)-1,FALSE)</f>
        <v>130</v>
      </c>
      <c r="L14" s="392">
        <f>VLOOKUP(J14,'Share, Heavy Weapons to Ukraine'!B:AJ,COLUMN('Share, Heavy Weapons to Ukraine'!AJ13)-1,FALSE)</f>
        <v>40</v>
      </c>
    </row>
    <row r="15" spans="2:12" ht="15.9" customHeight="1" x14ac:dyDescent="0.3">
      <c r="B15" s="391" t="s">
        <v>2303</v>
      </c>
      <c r="C15" s="394">
        <f>VLOOKUP(B15,'Share, Heavy Weapons to Ukraine'!B:AH,COLUMN('Share, Heavy Weapons to Ukraine'!AB13)-1,FALSE)</f>
        <v>54</v>
      </c>
      <c r="D15" s="394">
        <f>VLOOKUP(B15,'Share, Heavy Weapons to Ukraine'!B:AP,COLUMN('Share, Heavy Weapons to Ukraine'!AP13)-1,FALSE)</f>
        <v>54</v>
      </c>
      <c r="F15" s="391" t="s">
        <v>2864</v>
      </c>
      <c r="G15" s="392">
        <f>VLOOKUP(F15,'Share, Heavy Weapons to Ukraine'!B:AH,COLUMN('Share, Heavy Weapons to Ukraine'!AC15)-1,FALSE)</f>
        <v>6</v>
      </c>
      <c r="H15" s="392">
        <f>VLOOKUP(F15,'Share, Heavy Weapons to Ukraine'!B:AQ,COLUMN('Share, Heavy Weapons to Ukraine'!AQ15)-1,FALSE)</f>
        <v>3</v>
      </c>
      <c r="I15" s="392"/>
      <c r="J15" s="391" t="s">
        <v>2547</v>
      </c>
      <c r="K15" s="392">
        <f>VLOOKUP(J15,'Share, Heavy Weapons to Ukraine'!B:AH,COLUMN('Share, Heavy Weapons to Ukraine'!V14)-1,FALSE)</f>
        <v>28</v>
      </c>
      <c r="L15" s="392">
        <f>VLOOKUP(J15,'Share, Heavy Weapons to Ukraine'!B:AJ,COLUMN('Share, Heavy Weapons to Ukraine'!AJ14)-1,FALSE)</f>
        <v>28</v>
      </c>
    </row>
    <row r="16" spans="2:12" ht="15.9" customHeight="1" x14ac:dyDescent="0.3">
      <c r="B16" s="391" t="s">
        <v>1288</v>
      </c>
      <c r="C16" s="394">
        <f>VLOOKUP(B16,'Share, Heavy Weapons to Ukraine'!B:AH,COLUMN('Share, Heavy Weapons to Ukraine'!AB17)-1,FALSE)</f>
        <v>37</v>
      </c>
      <c r="D16" s="394">
        <f>VLOOKUP(B16,'Share, Heavy Weapons to Ukraine'!B:AP,COLUMN('Share, Heavy Weapons to Ukraine'!AP17)-1,FALSE)</f>
        <v>14</v>
      </c>
      <c r="F16" s="391" t="s">
        <v>1288</v>
      </c>
      <c r="G16" s="392">
        <f>VLOOKUP(F16,'Share, Heavy Weapons to Ukraine'!B:AH,COLUMN('Share, Heavy Weapons to Ukraine'!AC14)-1,FALSE)</f>
        <v>5</v>
      </c>
      <c r="H16" s="392">
        <f>VLOOKUP(F16,'Share, Heavy Weapons to Ukraine'!B:AQ,COLUMN('Share, Heavy Weapons to Ukraine'!AQ16)-1,FALSE)</f>
        <v>5</v>
      </c>
      <c r="I16" s="392"/>
      <c r="J16" s="391" t="s">
        <v>2864</v>
      </c>
      <c r="K16" s="392">
        <f>VLOOKUP(J16,'Share, Heavy Weapons to Ukraine'!B:AH,COLUMN('Share, Heavy Weapons to Ukraine'!V16)-1,FALSE)</f>
        <v>14</v>
      </c>
      <c r="L16" s="392">
        <f>VLOOKUP(J16,'Share, Heavy Weapons to Ukraine'!B:AJ,COLUMN('Share, Heavy Weapons to Ukraine'!AJ15)-1,FALSE)</f>
        <v>0</v>
      </c>
    </row>
    <row r="17" spans="2:12" ht="15.9" customHeight="1" x14ac:dyDescent="0.3">
      <c r="B17" s="391" t="s">
        <v>1730</v>
      </c>
      <c r="C17" s="394">
        <f>VLOOKUP(B17,'Share, Heavy Weapons to Ukraine'!B:AH,COLUMN('Share, Heavy Weapons to Ukraine'!AB23)-1,FALSE)</f>
        <v>36</v>
      </c>
      <c r="D17" s="394">
        <f>VLOOKUP(B17,'Share, Heavy Weapons to Ukraine'!B:AP,COLUMN('Share, Heavy Weapons to Ukraine'!AP23)-1,FALSE)</f>
        <v>0</v>
      </c>
      <c r="F17" s="391" t="s">
        <v>2206</v>
      </c>
      <c r="G17" s="392">
        <f>VLOOKUP(F17,'Share, Heavy Weapons to Ukraine'!B:AH,COLUMN('Share, Heavy Weapons to Ukraine'!AC16)-1,FALSE)</f>
        <v>3</v>
      </c>
      <c r="H17" s="392">
        <f>VLOOKUP(F17,'Share, Heavy Weapons to Ukraine'!B:AQ,COLUMN('Share, Heavy Weapons to Ukraine'!AQ17)-1,FALSE)</f>
        <v>3</v>
      </c>
      <c r="I17" s="392"/>
      <c r="J17" s="391" t="s">
        <v>3038</v>
      </c>
      <c r="K17" s="392">
        <f>VLOOKUP(J17,'Share, Heavy Weapons to Ukraine'!B:AH,COLUMN('Share, Heavy Weapons to Ukraine'!V15)-1,FALSE)</f>
        <v>0</v>
      </c>
      <c r="L17" s="392">
        <f>VLOOKUP(J17,'Share, Heavy Weapons to Ukraine'!B:AJ,COLUMN('Share, Heavy Weapons to Ukraine'!AJ16)-1,FALSE)</f>
        <v>0</v>
      </c>
    </row>
    <row r="18" spans="2:12" ht="15.9" customHeight="1" x14ac:dyDescent="0.3">
      <c r="B18" s="391" t="s">
        <v>2206</v>
      </c>
      <c r="C18" s="394">
        <f>VLOOKUP(B18,'Share, Heavy Weapons to Ukraine'!B:AH,COLUMN('Share, Heavy Weapons to Ukraine'!AB15)-1,FALSE)</f>
        <v>28</v>
      </c>
      <c r="D18" s="394">
        <f>VLOOKUP(B18,'Share, Heavy Weapons to Ukraine'!B:AP,COLUMN('Share, Heavy Weapons to Ukraine'!AP15)-1,FALSE)</f>
        <v>23</v>
      </c>
      <c r="F18" s="391" t="s">
        <v>1131</v>
      </c>
      <c r="G18" s="392">
        <f>VLOOKUP(F18,'Share, Heavy Weapons to Ukraine'!B:AH,COLUMN('Share, Heavy Weapons to Ukraine'!AC17)-1,FALSE)</f>
        <v>2</v>
      </c>
      <c r="H18" s="392">
        <f>VLOOKUP(F18,'Share, Heavy Weapons to Ukraine'!B:AQ,COLUMN('Share, Heavy Weapons to Ukraine'!AQ18)-1,FALSE)</f>
        <v>2</v>
      </c>
      <c r="I18" s="392"/>
      <c r="J18" s="391" t="s">
        <v>1131</v>
      </c>
      <c r="K18" s="392">
        <f>VLOOKUP(J18,'Share, Heavy Weapons to Ukraine'!B:AH,COLUMN('Share, Heavy Weapons to Ukraine'!V17)-1,FALSE)</f>
        <v>0</v>
      </c>
      <c r="L18" s="392">
        <f>VLOOKUP(J18,'Share, Heavy Weapons to Ukraine'!B:AJ,COLUMN('Share, Heavy Weapons to Ukraine'!AJ17)-1,FALSE)</f>
        <v>0</v>
      </c>
    </row>
    <row r="19" spans="2:12" ht="15.9" customHeight="1" x14ac:dyDescent="0.3">
      <c r="B19" s="391" t="s">
        <v>1131</v>
      </c>
      <c r="C19" s="394">
        <f>VLOOKUP(B19,'Share, Heavy Weapons to Ukraine'!B:AH,COLUMN('Share, Heavy Weapons to Ukraine'!AB16)-1,FALSE)</f>
        <v>24</v>
      </c>
      <c r="D19" s="394">
        <f>VLOOKUP(B19,'Share, Heavy Weapons to Ukraine'!B:AP,COLUMN('Share, Heavy Weapons to Ukraine'!AP16)-1,FALSE)</f>
        <v>18</v>
      </c>
      <c r="F19" s="391" t="s">
        <v>1730</v>
      </c>
      <c r="G19" s="392">
        <f>VLOOKUP(F19,'Share, Heavy Weapons to Ukraine'!B:AH,COLUMN('Share, Heavy Weapons to Ukraine'!AC20)-1,FALSE)</f>
        <v>2</v>
      </c>
      <c r="H19" s="392">
        <f>VLOOKUP(F19,'Share, Heavy Weapons to Ukraine'!B:AQ,COLUMN('Share, Heavy Weapons to Ukraine'!AQ19)-1,FALSE)</f>
        <v>0</v>
      </c>
      <c r="I19" s="392"/>
      <c r="J19" s="391" t="s">
        <v>1288</v>
      </c>
      <c r="K19" s="392">
        <f>VLOOKUP(J19,'Share, Heavy Weapons to Ukraine'!B:AH,COLUMN('Share, Heavy Weapons to Ukraine'!V18)-1,FALSE)</f>
        <v>0</v>
      </c>
      <c r="L19" s="392">
        <f>VLOOKUP(J19,'Share, Heavy Weapons to Ukraine'!B:AJ,COLUMN('Share, Heavy Weapons to Ukraine'!AJ18)-1,FALSE)</f>
        <v>0</v>
      </c>
    </row>
    <row r="20" spans="2:12" ht="15.9" customHeight="1" x14ac:dyDescent="0.3">
      <c r="B20" s="391" t="s">
        <v>2076</v>
      </c>
      <c r="C20" s="394">
        <f>VLOOKUP(B20,'Share, Heavy Weapons to Ukraine'!B:AH,COLUMN('Share, Heavy Weapons to Ukraine'!AB18)-1,FALSE)</f>
        <v>8</v>
      </c>
      <c r="D20" s="394">
        <f>VLOOKUP(B20,'Share, Heavy Weapons to Ukraine'!B:AP,COLUMN('Share, Heavy Weapons to Ukraine'!AP18)-1,FALSE)</f>
        <v>8</v>
      </c>
      <c r="F20" s="391" t="s">
        <v>2424</v>
      </c>
      <c r="G20" s="392">
        <f>VLOOKUP(F20,'Share, Heavy Weapons to Ukraine'!B:AH,COLUMN('Share, Heavy Weapons to Ukraine'!AC18)-1,FALSE)</f>
        <v>0</v>
      </c>
      <c r="H20" s="392">
        <f>VLOOKUP(F20,'Share, Heavy Weapons to Ukraine'!B:AQ,COLUMN('Share, Heavy Weapons to Ukraine'!AQ20)-1,FALSE)</f>
        <v>0</v>
      </c>
      <c r="I20" s="392"/>
      <c r="J20" s="391" t="s">
        <v>2424</v>
      </c>
      <c r="K20" s="392">
        <f>VLOOKUP(J20,'Share, Heavy Weapons to Ukraine'!B:AH,COLUMN('Share, Heavy Weapons to Ukraine'!V19)-1,FALSE)</f>
        <v>0</v>
      </c>
      <c r="L20" s="392">
        <f>VLOOKUP(J20,'Share, Heavy Weapons to Ukraine'!B:AJ,COLUMN('Share, Heavy Weapons to Ukraine'!AJ19)-1,FALSE)</f>
        <v>0</v>
      </c>
    </row>
    <row r="21" spans="2:12" ht="15.9" customHeight="1" x14ac:dyDescent="0.3">
      <c r="B21" s="391" t="s">
        <v>255</v>
      </c>
      <c r="C21" s="394">
        <f>VLOOKUP(B21,'Share, Heavy Weapons to Ukraine'!B:AH,COLUMN('Share, Heavy Weapons to Ukraine'!AB19)-1,FALSE)</f>
        <v>6</v>
      </c>
      <c r="D21" s="394">
        <f>VLOOKUP(B21,'Share, Heavy Weapons to Ukraine'!B:AP,COLUMN('Share, Heavy Weapons to Ukraine'!AP19)-1,FALSE)</f>
        <v>6</v>
      </c>
      <c r="F21" s="391" t="s">
        <v>255</v>
      </c>
      <c r="G21" s="392">
        <f>VLOOKUP(F21,'Share, Heavy Weapons to Ukraine'!B:AH,COLUMN('Share, Heavy Weapons to Ukraine'!AC19)-1,FALSE)</f>
        <v>0</v>
      </c>
      <c r="H21" s="392">
        <f>VLOOKUP(F21,'Share, Heavy Weapons to Ukraine'!B:AQ,COLUMN('Share, Heavy Weapons to Ukraine'!AQ21)-1,FALSE)</f>
        <v>0</v>
      </c>
      <c r="I21" s="392"/>
      <c r="J21" s="391" t="s">
        <v>255</v>
      </c>
      <c r="K21" s="392">
        <f>VLOOKUP(J21,'Share, Heavy Weapons to Ukraine'!B:AH,COLUMN('Share, Heavy Weapons to Ukraine'!V20)-1,FALSE)</f>
        <v>0</v>
      </c>
      <c r="L21" s="392">
        <f>VLOOKUP(J21,'Share, Heavy Weapons to Ukraine'!B:AJ,COLUMN('Share, Heavy Weapons to Ukraine'!AJ20)-1,FALSE)</f>
        <v>0</v>
      </c>
    </row>
    <row r="22" spans="2:12" ht="15.9" customHeight="1" x14ac:dyDescent="0.3">
      <c r="B22" s="391" t="s">
        <v>1861</v>
      </c>
      <c r="C22" s="394">
        <f>VLOOKUP(B22,'Share, Heavy Weapons to Ukraine'!B:AH,COLUMN('Share, Heavy Weapons to Ukraine'!AB20)-1,FALSE)</f>
        <v>6</v>
      </c>
      <c r="D22" s="394">
        <f>VLOOKUP(B22,'Share, Heavy Weapons to Ukraine'!B:AP,COLUMN('Share, Heavy Weapons to Ukraine'!AP20)-1,FALSE)</f>
        <v>6</v>
      </c>
      <c r="F22" s="391" t="s">
        <v>517</v>
      </c>
      <c r="G22" s="392">
        <f>VLOOKUP(F22,'Share, Heavy Weapons to Ukraine'!B:AH,COLUMN('Share, Heavy Weapons to Ukraine'!AC21)-1,FALSE)</f>
        <v>0</v>
      </c>
      <c r="H22" s="392">
        <f>VLOOKUP(F22,'Share, Heavy Weapons to Ukraine'!B:AQ,COLUMN('Share, Heavy Weapons to Ukraine'!AQ22)-1,FALSE)</f>
        <v>0</v>
      </c>
      <c r="I22" s="392"/>
      <c r="J22" s="391" t="s">
        <v>1730</v>
      </c>
      <c r="K22" s="392">
        <f>VLOOKUP(J22,'Share, Heavy Weapons to Ukraine'!B:AH,COLUMN('Share, Heavy Weapons to Ukraine'!V21)-1,FALSE)</f>
        <v>0</v>
      </c>
      <c r="L22" s="392">
        <f>VLOOKUP(J22,'Share, Heavy Weapons to Ukraine'!B:AJ,COLUMN('Share, Heavy Weapons to Ukraine'!AJ21)-1,FALSE)</f>
        <v>0</v>
      </c>
    </row>
    <row r="23" spans="2:12" ht="15.9" customHeight="1" x14ac:dyDescent="0.3">
      <c r="B23" s="391" t="s">
        <v>856</v>
      </c>
      <c r="C23" s="394">
        <f>VLOOKUP(B23,'Share, Heavy Weapons to Ukraine'!B:AH,COLUMN('Share, Heavy Weapons to Ukraine'!AB31)-1,FALSE)</f>
        <v>5</v>
      </c>
      <c r="D23" s="394">
        <f>VLOOKUP(B23,'Share, Heavy Weapons to Ukraine'!B:AP,COLUMN('Share, Heavy Weapons to Ukraine'!AP31)-1,FALSE)</f>
        <v>0</v>
      </c>
      <c r="F23" s="391" t="s">
        <v>2076</v>
      </c>
      <c r="G23" s="392">
        <f>VLOOKUP(F23,'Share, Heavy Weapons to Ukraine'!B:AH,COLUMN('Share, Heavy Weapons to Ukraine'!AC22)-1,FALSE)</f>
        <v>0</v>
      </c>
      <c r="H23" s="392">
        <f>VLOOKUP(F23,'Share, Heavy Weapons to Ukraine'!B:AQ,COLUMN('Share, Heavy Weapons to Ukraine'!AQ23)-1,FALSE)</f>
        <v>0</v>
      </c>
      <c r="I23" s="392"/>
      <c r="J23" s="391" t="s">
        <v>517</v>
      </c>
      <c r="K23" s="392">
        <f>VLOOKUP(J23,'Share, Heavy Weapons to Ukraine'!B:AH,COLUMN('Share, Heavy Weapons to Ukraine'!V22)-1,FALSE)</f>
        <v>0</v>
      </c>
      <c r="L23" s="392">
        <f>VLOOKUP(J23,'Share, Heavy Weapons to Ukraine'!B:AJ,COLUMN('Share, Heavy Weapons to Ukraine'!AJ22)-1,FALSE)</f>
        <v>0</v>
      </c>
    </row>
    <row r="24" spans="2:12" ht="15.9" customHeight="1" x14ac:dyDescent="0.3">
      <c r="B24" s="391" t="s">
        <v>2370</v>
      </c>
      <c r="C24" s="394">
        <f>VLOOKUP(B24,'Share, Heavy Weapons to Ukraine'!B:AH,COLUMN('Share, Heavy Weapons to Ukraine'!AB35)-1,FALSE)</f>
        <v>5</v>
      </c>
      <c r="D24" s="394">
        <f>VLOOKUP(B24,'Share, Heavy Weapons to Ukraine'!B:AP,COLUMN('Share, Heavy Weapons to Ukraine'!AP35)-1,FALSE)</f>
        <v>0</v>
      </c>
      <c r="F24" s="391" t="s">
        <v>2615</v>
      </c>
      <c r="G24" s="392">
        <f>VLOOKUP(F24,'Share, Heavy Weapons to Ukraine'!B:AH,COLUMN('Share, Heavy Weapons to Ukraine'!AC23)-1,FALSE)</f>
        <v>0</v>
      </c>
      <c r="H24" s="392">
        <f>VLOOKUP(F24,'Share, Heavy Weapons to Ukraine'!B:AQ,COLUMN('Share, Heavy Weapons to Ukraine'!AQ24)-1,FALSE)</f>
        <v>0</v>
      </c>
      <c r="I24" s="392"/>
      <c r="J24" s="391" t="s">
        <v>2076</v>
      </c>
      <c r="K24" s="392">
        <f>VLOOKUP(J24,'Share, Heavy Weapons to Ukraine'!B:AH,COLUMN('Share, Heavy Weapons to Ukraine'!V23)-1,FALSE)</f>
        <v>0</v>
      </c>
      <c r="L24" s="392">
        <f>VLOOKUP(J24,'Share, Heavy Weapons to Ukraine'!B:AJ,COLUMN('Share, Heavy Weapons to Ukraine'!AJ23)-1,FALSE)</f>
        <v>0</v>
      </c>
    </row>
    <row r="25" spans="2:12" ht="15.9" customHeight="1" x14ac:dyDescent="0.3">
      <c r="B25" s="391" t="s">
        <v>517</v>
      </c>
      <c r="C25" s="394">
        <f>VLOOKUP(B25,'Share, Heavy Weapons to Ukraine'!B:AH,COLUMN('Share, Heavy Weapons to Ukraine'!AB21)-1,FALSE)</f>
        <v>4</v>
      </c>
      <c r="D25" s="394">
        <f>VLOOKUP(B25,'Share, Heavy Weapons to Ukraine'!B:AP,COLUMN('Share, Heavy Weapons to Ukraine'!AP21)-1,FALSE)</f>
        <v>4</v>
      </c>
      <c r="F25" s="391" t="s">
        <v>2303</v>
      </c>
      <c r="G25" s="392">
        <f>VLOOKUP(F25,'Share, Heavy Weapons to Ukraine'!B:AH,COLUMN('Share, Heavy Weapons to Ukraine'!AC24)-1,FALSE)</f>
        <v>0</v>
      </c>
      <c r="H25" s="392">
        <f>VLOOKUP(F25,'Share, Heavy Weapons to Ukraine'!B:AQ,COLUMN('Share, Heavy Weapons to Ukraine'!AQ25)-1,FALSE)</f>
        <v>0</v>
      </c>
      <c r="I25" s="392"/>
      <c r="J25" s="391" t="s">
        <v>2615</v>
      </c>
      <c r="K25" s="392">
        <f>VLOOKUP(J25,'Share, Heavy Weapons to Ukraine'!B:AH,COLUMN('Share, Heavy Weapons to Ukraine'!V24)-1,FALSE)</f>
        <v>0</v>
      </c>
      <c r="L25" s="392">
        <f>VLOOKUP(J25,'Share, Heavy Weapons to Ukraine'!B:AJ,COLUMN('Share, Heavy Weapons to Ukraine'!AJ24)-1,FALSE)</f>
        <v>0</v>
      </c>
    </row>
    <row r="26" spans="2:12" ht="15.9" customHeight="1" x14ac:dyDescent="0.3">
      <c r="B26" s="391" t="s">
        <v>2424</v>
      </c>
      <c r="C26" s="394">
        <f>VLOOKUP(B26,'Share, Heavy Weapons to Ukraine'!B:AH,COLUMN('Share, Heavy Weapons to Ukraine'!AB22)-1,FALSE)</f>
        <v>0</v>
      </c>
      <c r="D26" s="394">
        <f>VLOOKUP(B26,'Share, Heavy Weapons to Ukraine'!B:AP,COLUMN('Share, Heavy Weapons to Ukraine'!AP22)-1,FALSE)</f>
        <v>0</v>
      </c>
      <c r="F26" s="391" t="s">
        <v>2820</v>
      </c>
      <c r="G26" s="392">
        <f>VLOOKUP(F26,'Share, Heavy Weapons to Ukraine'!B:AH,COLUMN('Share, Heavy Weapons to Ukraine'!AC25)-1,FALSE)</f>
        <v>0</v>
      </c>
      <c r="H26" s="392">
        <f>VLOOKUP(F26,'Share, Heavy Weapons to Ukraine'!B:AQ,COLUMN('Share, Heavy Weapons to Ukraine'!AQ26)-1,FALSE)</f>
        <v>0</v>
      </c>
      <c r="I26" s="392"/>
      <c r="J26" s="391" t="s">
        <v>2820</v>
      </c>
      <c r="K26" s="392">
        <f>VLOOKUP(J26,'Share, Heavy Weapons to Ukraine'!B:AH,COLUMN('Share, Heavy Weapons to Ukraine'!V25)-1,FALSE)</f>
        <v>0</v>
      </c>
      <c r="L26" s="392">
        <f>VLOOKUP(J26,'Share, Heavy Weapons to Ukraine'!B:AJ,COLUMN('Share, Heavy Weapons to Ukraine'!AJ25)-1,FALSE)</f>
        <v>0</v>
      </c>
    </row>
    <row r="27" spans="2:12" ht="15.9" customHeight="1" x14ac:dyDescent="0.3">
      <c r="B27" s="391" t="s">
        <v>2615</v>
      </c>
      <c r="C27" s="394">
        <f>VLOOKUP(B27,'Share, Heavy Weapons to Ukraine'!B:AH,COLUMN('Share, Heavy Weapons to Ukraine'!AB24)-1,FALSE)</f>
        <v>0</v>
      </c>
      <c r="D27" s="394">
        <f>VLOOKUP(B27,'Share, Heavy Weapons to Ukraine'!B:AP,COLUMN('Share, Heavy Weapons to Ukraine'!AP24)-1,FALSE)</f>
        <v>0</v>
      </c>
      <c r="F27" s="391" t="s">
        <v>2715</v>
      </c>
      <c r="G27" s="392">
        <f>VLOOKUP(F27,'Share, Heavy Weapons to Ukraine'!B:AH,COLUMN('Share, Heavy Weapons to Ukraine'!AC26)-1,FALSE)</f>
        <v>0</v>
      </c>
      <c r="H27" s="392">
        <f>VLOOKUP(F27,'Share, Heavy Weapons to Ukraine'!B:AQ,COLUMN('Share, Heavy Weapons to Ukraine'!AQ27)-1,FALSE)</f>
        <v>0</v>
      </c>
      <c r="I27" s="392"/>
      <c r="J27" s="391" t="s">
        <v>2715</v>
      </c>
      <c r="K27" s="392">
        <f>VLOOKUP(J27,'Share, Heavy Weapons to Ukraine'!B:AH,COLUMN('Share, Heavy Weapons to Ukraine'!V26)-1,FALSE)</f>
        <v>0</v>
      </c>
      <c r="L27" s="392">
        <f>VLOOKUP(J27,'Share, Heavy Weapons to Ukraine'!B:AJ,COLUMN('Share, Heavy Weapons to Ukraine'!AJ26)-1,FALSE)</f>
        <v>0</v>
      </c>
    </row>
    <row r="28" spans="2:12" ht="15.9" customHeight="1" x14ac:dyDescent="0.3">
      <c r="B28" s="391" t="s">
        <v>2820</v>
      </c>
      <c r="C28" s="394">
        <f>VLOOKUP(B28,'Share, Heavy Weapons to Ukraine'!B:AH,COLUMN('Share, Heavy Weapons to Ukraine'!AB25)-1,FALSE)</f>
        <v>0</v>
      </c>
      <c r="D28" s="394">
        <f>VLOOKUP(B28,'Share, Heavy Weapons to Ukraine'!B:AP,COLUMN('Share, Heavy Weapons to Ukraine'!AP25)-1,FALSE)</f>
        <v>0</v>
      </c>
      <c r="F28" s="391" t="s">
        <v>1606</v>
      </c>
      <c r="G28" s="392">
        <f>VLOOKUP(F28,'Share, Heavy Weapons to Ukraine'!B:AH,COLUMN('Share, Heavy Weapons to Ukraine'!AC27)-1,FALSE)</f>
        <v>0</v>
      </c>
      <c r="H28" s="392">
        <f>VLOOKUP(F28,'Share, Heavy Weapons to Ukraine'!B:AQ,COLUMN('Share, Heavy Weapons to Ukraine'!AQ28)-1,FALSE)</f>
        <v>0</v>
      </c>
      <c r="I28" s="392"/>
      <c r="J28" s="391" t="s">
        <v>1606</v>
      </c>
      <c r="K28" s="392">
        <f>VLOOKUP(J28,'Share, Heavy Weapons to Ukraine'!B:AH,COLUMN('Share, Heavy Weapons to Ukraine'!V27)-1,FALSE)</f>
        <v>0</v>
      </c>
      <c r="L28" s="392">
        <f>VLOOKUP(J28,'Share, Heavy Weapons to Ukraine'!B:AJ,COLUMN('Share, Heavy Weapons to Ukraine'!AJ27)-1,FALSE)</f>
        <v>0</v>
      </c>
    </row>
    <row r="29" spans="2:12" ht="15.9" customHeight="1" x14ac:dyDescent="0.3">
      <c r="B29" s="391" t="s">
        <v>2715</v>
      </c>
      <c r="C29" s="394">
        <f>VLOOKUP(B29,'Share, Heavy Weapons to Ukraine'!B:AH,COLUMN('Share, Heavy Weapons to Ukraine'!AB26)-1,FALSE)</f>
        <v>0</v>
      </c>
      <c r="D29" s="394">
        <f>VLOOKUP(B29,'Share, Heavy Weapons to Ukraine'!B:AP,COLUMN('Share, Heavy Weapons to Ukraine'!AP26)-1,FALSE)</f>
        <v>0</v>
      </c>
      <c r="F29" s="391" t="s">
        <v>413</v>
      </c>
      <c r="G29" s="392">
        <f>VLOOKUP(F29,'Share, Heavy Weapons to Ukraine'!B:AH,COLUMN('Share, Heavy Weapons to Ukraine'!AC28)-1,FALSE)</f>
        <v>0</v>
      </c>
      <c r="H29" s="392">
        <f>VLOOKUP(F29,'Share, Heavy Weapons to Ukraine'!B:AQ,COLUMN('Share, Heavy Weapons to Ukraine'!AQ29)-1,FALSE)</f>
        <v>0</v>
      </c>
      <c r="I29" s="392"/>
      <c r="J29" s="391" t="s">
        <v>2206</v>
      </c>
      <c r="K29" s="392">
        <f>VLOOKUP(J29,'Share, Heavy Weapons to Ukraine'!B:AH,COLUMN('Share, Heavy Weapons to Ukraine'!V28)-1,FALSE)</f>
        <v>0</v>
      </c>
      <c r="L29" s="392">
        <f>VLOOKUP(J29,'Share, Heavy Weapons to Ukraine'!B:AJ,COLUMN('Share, Heavy Weapons to Ukraine'!AJ28)-1,FALSE)</f>
        <v>0</v>
      </c>
    </row>
    <row r="30" spans="2:12" ht="15.9" customHeight="1" x14ac:dyDescent="0.3">
      <c r="B30" s="391" t="s">
        <v>1606</v>
      </c>
      <c r="C30" s="394">
        <f>VLOOKUP(B30,'Share, Heavy Weapons to Ukraine'!B:AH,COLUMN('Share, Heavy Weapons to Ukraine'!AB27)-1,FALSE)</f>
        <v>0</v>
      </c>
      <c r="D30" s="394">
        <f>VLOOKUP(B30,'Share, Heavy Weapons to Ukraine'!B:AP,COLUMN('Share, Heavy Weapons to Ukraine'!AP27)-1,FALSE)</f>
        <v>0</v>
      </c>
      <c r="F30" s="391" t="s">
        <v>1025</v>
      </c>
      <c r="G30" s="392">
        <f>VLOOKUP(F30,'Share, Heavy Weapons to Ukraine'!B:AH,COLUMN('Share, Heavy Weapons to Ukraine'!AC29)-1,FALSE)</f>
        <v>0</v>
      </c>
      <c r="H30" s="392">
        <f>VLOOKUP(F30,'Share, Heavy Weapons to Ukraine'!B:AQ,COLUMN('Share, Heavy Weapons to Ukraine'!AQ30)-1,FALSE)</f>
        <v>0</v>
      </c>
      <c r="I30" s="392"/>
      <c r="J30" s="391" t="s">
        <v>413</v>
      </c>
      <c r="K30" s="392">
        <f>VLOOKUP(J30,'Share, Heavy Weapons to Ukraine'!B:AH,COLUMN('Share, Heavy Weapons to Ukraine'!V29)-1,FALSE)</f>
        <v>0</v>
      </c>
      <c r="L30" s="392">
        <f>VLOOKUP(J30,'Share, Heavy Weapons to Ukraine'!B:AJ,COLUMN('Share, Heavy Weapons to Ukraine'!AJ29)-1,FALSE)</f>
        <v>0</v>
      </c>
    </row>
    <row r="31" spans="2:12" ht="15.9" customHeight="1" x14ac:dyDescent="0.3">
      <c r="B31" s="391" t="s">
        <v>413</v>
      </c>
      <c r="C31" s="394">
        <f>VLOOKUP(B31,'Share, Heavy Weapons to Ukraine'!B:AH,COLUMN('Share, Heavy Weapons to Ukraine'!AB28)-1,FALSE)</f>
        <v>0</v>
      </c>
      <c r="D31" s="394">
        <f>VLOOKUP(B31,'Share, Heavy Weapons to Ukraine'!B:AP,COLUMN('Share, Heavy Weapons to Ukraine'!AP28)-1,FALSE)</f>
        <v>0</v>
      </c>
      <c r="F31" s="391" t="s">
        <v>2460</v>
      </c>
      <c r="G31" s="392">
        <f>VLOOKUP(F31,'Share, Heavy Weapons to Ukraine'!B:AH,COLUMN('Share, Heavy Weapons to Ukraine'!AC30)-1,FALSE)</f>
        <v>0</v>
      </c>
      <c r="H31" s="392">
        <f>VLOOKUP(F31,'Share, Heavy Weapons to Ukraine'!B:AQ,COLUMN('Share, Heavy Weapons to Ukraine'!AQ31)-1,FALSE)</f>
        <v>0</v>
      </c>
      <c r="I31" s="392"/>
      <c r="J31" s="391" t="s">
        <v>1025</v>
      </c>
      <c r="K31" s="392">
        <f>VLOOKUP(J31,'Share, Heavy Weapons to Ukraine'!B:AH,COLUMN('Share, Heavy Weapons to Ukraine'!V30)-1,FALSE)</f>
        <v>0</v>
      </c>
      <c r="L31" s="392">
        <f>VLOOKUP(J31,'Share, Heavy Weapons to Ukraine'!B:AJ,COLUMN('Share, Heavy Weapons to Ukraine'!AJ30)-1,FALSE)</f>
        <v>0</v>
      </c>
    </row>
    <row r="32" spans="2:12" ht="15.9" customHeight="1" x14ac:dyDescent="0.3">
      <c r="B32" s="391" t="s">
        <v>1025</v>
      </c>
      <c r="C32" s="394">
        <f>VLOOKUP(B32,'Share, Heavy Weapons to Ukraine'!B:AH,COLUMN('Share, Heavy Weapons to Ukraine'!AB29)-1,FALSE)</f>
        <v>0</v>
      </c>
      <c r="D32" s="394">
        <f>VLOOKUP(B32,'Share, Heavy Weapons to Ukraine'!B:AP,COLUMN('Share, Heavy Weapons to Ukraine'!AP29)-1,FALSE)</f>
        <v>0</v>
      </c>
      <c r="F32" s="391" t="s">
        <v>856</v>
      </c>
      <c r="G32" s="392">
        <f>VLOOKUP(F32,'Share, Heavy Weapons to Ukraine'!B:AH,COLUMN('Share, Heavy Weapons to Ukraine'!AC31)-1,FALSE)</f>
        <v>0</v>
      </c>
      <c r="H32" s="392">
        <f>VLOOKUP(F32,'Share, Heavy Weapons to Ukraine'!B:AQ,COLUMN('Share, Heavy Weapons to Ukraine'!AQ32)-1,FALSE)</f>
        <v>0</v>
      </c>
      <c r="I32" s="392"/>
      <c r="J32" s="391" t="s">
        <v>2460</v>
      </c>
      <c r="K32" s="392">
        <f>VLOOKUP(J32,'Share, Heavy Weapons to Ukraine'!B:AH,COLUMN('Share, Heavy Weapons to Ukraine'!V31)-1,FALSE)</f>
        <v>0</v>
      </c>
      <c r="L32" s="392">
        <f>VLOOKUP(J32,'Share, Heavy Weapons to Ukraine'!B:AJ,COLUMN('Share, Heavy Weapons to Ukraine'!AJ31)-1,FALSE)</f>
        <v>0</v>
      </c>
    </row>
    <row r="33" spans="2:13" ht="15.9" customHeight="1" x14ac:dyDescent="0.3">
      <c r="B33" s="391" t="s">
        <v>2460</v>
      </c>
      <c r="C33" s="394">
        <f>VLOOKUP(B33,'Share, Heavy Weapons to Ukraine'!B:AH,COLUMN('Share, Heavy Weapons to Ukraine'!AB30)-1,FALSE)</f>
        <v>0</v>
      </c>
      <c r="D33" s="394">
        <f>VLOOKUP(B33,'Share, Heavy Weapons to Ukraine'!B:AP,COLUMN('Share, Heavy Weapons to Ukraine'!AP30)-1,FALSE)</f>
        <v>0</v>
      </c>
      <c r="F33" s="391" t="s">
        <v>344</v>
      </c>
      <c r="G33" s="392">
        <f>VLOOKUP(F33,'Share, Heavy Weapons to Ukraine'!B:AH,COLUMN('Share, Heavy Weapons to Ukraine'!AC32)-1,FALSE)</f>
        <v>0</v>
      </c>
      <c r="H33" s="392">
        <f>VLOOKUP(F33,'Share, Heavy Weapons to Ukraine'!B:AQ,COLUMN('Share, Heavy Weapons to Ukraine'!AQ33)-1,FALSE)</f>
        <v>0</v>
      </c>
      <c r="I33" s="392"/>
      <c r="J33" s="391" t="s">
        <v>856</v>
      </c>
      <c r="K33" s="392">
        <f>VLOOKUP(J33,'Share, Heavy Weapons to Ukraine'!B:AH,COLUMN('Share, Heavy Weapons to Ukraine'!V32)-1,FALSE)</f>
        <v>0</v>
      </c>
      <c r="L33" s="392">
        <f>VLOOKUP(J33,'Share, Heavy Weapons to Ukraine'!B:AJ,COLUMN('Share, Heavy Weapons to Ukraine'!AJ32)-1,FALSE)</f>
        <v>0</v>
      </c>
    </row>
    <row r="34" spans="2:13" ht="15.9" customHeight="1" x14ac:dyDescent="0.3">
      <c r="B34" s="391" t="s">
        <v>716</v>
      </c>
      <c r="C34" s="394">
        <f>VLOOKUP(B34,'Share, Heavy Weapons to Ukraine'!B:AH,COLUMN('Share, Heavy Weapons to Ukraine'!AB32)-1,FALSE)</f>
        <v>0</v>
      </c>
      <c r="D34" s="394">
        <f>VLOOKUP(B34,'Share, Heavy Weapons to Ukraine'!B:AP,COLUMN('Share, Heavy Weapons to Ukraine'!AP32)-1,FALSE)</f>
        <v>0</v>
      </c>
      <c r="F34" s="391" t="s">
        <v>2168</v>
      </c>
      <c r="G34" s="392">
        <f>VLOOKUP(F34,'Share, Heavy Weapons to Ukraine'!B:AH,COLUMN('Share, Heavy Weapons to Ukraine'!AC33)-1,FALSE)</f>
        <v>0</v>
      </c>
      <c r="H34" s="392">
        <f>VLOOKUP(F34,'Share, Heavy Weapons to Ukraine'!B:AQ,COLUMN('Share, Heavy Weapons to Ukraine'!AQ34)-1,FALSE)</f>
        <v>0</v>
      </c>
      <c r="I34" s="392"/>
      <c r="J34" s="391" t="s">
        <v>344</v>
      </c>
      <c r="K34" s="392">
        <f>VLOOKUP(J34,'Share, Heavy Weapons to Ukraine'!B:AH,COLUMN('Share, Heavy Weapons to Ukraine'!V33)-1,FALSE)</f>
        <v>0</v>
      </c>
      <c r="L34" s="392">
        <f>VLOOKUP(J34,'Share, Heavy Weapons to Ukraine'!B:AJ,COLUMN('Share, Heavy Weapons to Ukraine'!AJ33)-1,FALSE)</f>
        <v>0</v>
      </c>
    </row>
    <row r="35" spans="2:13" ht="15.9" customHeight="1" x14ac:dyDescent="0.3">
      <c r="B35" s="391" t="s">
        <v>344</v>
      </c>
      <c r="C35" s="394">
        <f>VLOOKUP(B35,'Share, Heavy Weapons to Ukraine'!B:AH,COLUMN('Share, Heavy Weapons to Ukraine'!AB33)-1,FALSE)</f>
        <v>0</v>
      </c>
      <c r="D35" s="394">
        <f>VLOOKUP(B35,'Share, Heavy Weapons to Ukraine'!B:AP,COLUMN('Share, Heavy Weapons to Ukraine'!AP33)-1,FALSE)</f>
        <v>0</v>
      </c>
      <c r="F35" s="391" t="s">
        <v>2370</v>
      </c>
      <c r="G35" s="392">
        <f>VLOOKUP(F35,'Share, Heavy Weapons to Ukraine'!B:AH,COLUMN('Share, Heavy Weapons to Ukraine'!AC34)-1,FALSE)</f>
        <v>0</v>
      </c>
      <c r="H35" s="392">
        <f>VLOOKUP(F35,'Share, Heavy Weapons to Ukraine'!B:AQ,COLUMN('Share, Heavy Weapons to Ukraine'!AQ35)-1,FALSE)</f>
        <v>0</v>
      </c>
      <c r="I35" s="392"/>
      <c r="J35" s="391" t="s">
        <v>2168</v>
      </c>
      <c r="K35" s="392">
        <f>VLOOKUP(J35,'Share, Heavy Weapons to Ukraine'!B:AH,COLUMN('Share, Heavy Weapons to Ukraine'!V34)-1,FALSE)</f>
        <v>0</v>
      </c>
      <c r="L35" s="392">
        <f>VLOOKUP(J35,'Share, Heavy Weapons to Ukraine'!B:AJ,COLUMN('Share, Heavy Weapons to Ukraine'!AJ34)-1,FALSE)</f>
        <v>0</v>
      </c>
    </row>
    <row r="36" spans="2:13" ht="15.9" customHeight="1" x14ac:dyDescent="0.3">
      <c r="B36" s="391" t="s">
        <v>2168</v>
      </c>
      <c r="C36" s="394">
        <f>VLOOKUP(B36,'Share, Heavy Weapons to Ukraine'!B:AH,COLUMN('Share, Heavy Weapons to Ukraine'!AB34)-1,FALSE)</f>
        <v>0</v>
      </c>
      <c r="D36" s="394">
        <f>VLOOKUP(B36,'Share, Heavy Weapons to Ukraine'!B:AP,COLUMN('Share, Heavy Weapons to Ukraine'!AP34)-1,FALSE)</f>
        <v>0</v>
      </c>
      <c r="F36" s="391" t="s">
        <v>1646</v>
      </c>
      <c r="G36" s="392">
        <f>VLOOKUP(F36,'Share, Heavy Weapons to Ukraine'!B:AH,COLUMN('Share, Heavy Weapons to Ukraine'!AC35)-1,FALSE)</f>
        <v>0</v>
      </c>
      <c r="H36" s="392">
        <f>VLOOKUP(F36,'Share, Heavy Weapons to Ukraine'!B:AQ,COLUMN('Share, Heavy Weapons to Ukraine'!AQ36)-1,FALSE)</f>
        <v>0</v>
      </c>
      <c r="I36" s="392"/>
      <c r="J36" s="391" t="s">
        <v>2370</v>
      </c>
      <c r="K36" s="392">
        <f>VLOOKUP(J36,'Share, Heavy Weapons to Ukraine'!B:AH,COLUMN('Share, Heavy Weapons to Ukraine'!V35)-1,FALSE)</f>
        <v>0</v>
      </c>
      <c r="L36" s="392">
        <f>VLOOKUP(J36,'Share, Heavy Weapons to Ukraine'!B:AJ,COLUMN('Share, Heavy Weapons to Ukraine'!AJ35)-1,FALSE)</f>
        <v>0</v>
      </c>
    </row>
    <row r="37" spans="2:13" ht="15.9" customHeight="1" x14ac:dyDescent="0.3">
      <c r="B37" s="391" t="s">
        <v>1646</v>
      </c>
      <c r="C37" s="394">
        <f>VLOOKUP(B37,'Share, Heavy Weapons to Ukraine'!B:AH,COLUMN('Share, Heavy Weapons to Ukraine'!AB36)-1,FALSE)</f>
        <v>0</v>
      </c>
      <c r="D37" s="394">
        <f>VLOOKUP(B37,'Share, Heavy Weapons to Ukraine'!B:AP,COLUMN('Share, Heavy Weapons to Ukraine'!AP36)-1,FALSE)</f>
        <v>0</v>
      </c>
      <c r="F37" s="391" t="s">
        <v>2489</v>
      </c>
      <c r="G37" s="392">
        <f>VLOOKUP(F37,'Share, Heavy Weapons to Ukraine'!B:AH,COLUMN('Share, Heavy Weapons to Ukraine'!AC36)-1,FALSE)</f>
        <v>0</v>
      </c>
      <c r="H37" s="392">
        <f>VLOOKUP(F37,'Share, Heavy Weapons to Ukraine'!B:AQ,COLUMN('Share, Heavy Weapons to Ukraine'!AQ37)-1,FALSE)</f>
        <v>0</v>
      </c>
      <c r="I37" s="392"/>
      <c r="J37" s="391" t="s">
        <v>1646</v>
      </c>
      <c r="K37" s="392">
        <f>VLOOKUP(J37,'Share, Heavy Weapons to Ukraine'!B:AH,COLUMN('Share, Heavy Weapons to Ukraine'!V36)-1,FALSE)</f>
        <v>0</v>
      </c>
      <c r="L37" s="392">
        <f>VLOOKUP(J37,'Share, Heavy Weapons to Ukraine'!B:AJ,COLUMN('Share, Heavy Weapons to Ukraine'!AJ36)-1,FALSE)</f>
        <v>0</v>
      </c>
    </row>
    <row r="38" spans="2:13" ht="15.9" customHeight="1" x14ac:dyDescent="0.3">
      <c r="B38" s="391" t="s">
        <v>2489</v>
      </c>
      <c r="C38" s="394">
        <f>VLOOKUP(B38,'Share, Heavy Weapons to Ukraine'!B:AH,COLUMN('Share, Heavy Weapons to Ukraine'!AB37)-1,FALSE)</f>
        <v>0</v>
      </c>
      <c r="D38" s="394">
        <f>VLOOKUP(B38,'Share, Heavy Weapons to Ukraine'!B:AP,COLUMN('Share, Heavy Weapons to Ukraine'!AP37)-1,FALSE)</f>
        <v>0</v>
      </c>
      <c r="F38" s="391" t="s">
        <v>480</v>
      </c>
      <c r="G38" s="392">
        <f>VLOOKUP(F38,'Share, Heavy Weapons to Ukraine'!B:AH,COLUMN('Share, Heavy Weapons to Ukraine'!AC37)-1,FALSE)</f>
        <v>0</v>
      </c>
      <c r="H38" s="392">
        <f>VLOOKUP(F38,'Share, Heavy Weapons to Ukraine'!B:AQ,COLUMN('Share, Heavy Weapons to Ukraine'!AQ38)-1,FALSE)</f>
        <v>0</v>
      </c>
      <c r="I38" s="392"/>
      <c r="J38" s="391" t="s">
        <v>2489</v>
      </c>
      <c r="K38" s="392">
        <f>VLOOKUP(J38,'Share, Heavy Weapons to Ukraine'!B:AH,COLUMN('Share, Heavy Weapons to Ukraine'!V37)-1,FALSE)</f>
        <v>0</v>
      </c>
      <c r="L38" s="392">
        <f>VLOOKUP(J38,'Share, Heavy Weapons to Ukraine'!B:AJ,COLUMN('Share, Heavy Weapons to Ukraine'!AJ37)-1,FALSE)</f>
        <v>0</v>
      </c>
    </row>
    <row r="39" spans="2:13" ht="15.9" customHeight="1" x14ac:dyDescent="0.3">
      <c r="B39" s="391" t="s">
        <v>480</v>
      </c>
      <c r="C39" s="394">
        <f>VLOOKUP(B39,'Share, Heavy Weapons to Ukraine'!B:AH,COLUMN('Share, Heavy Weapons to Ukraine'!AB38)-1,FALSE)</f>
        <v>0</v>
      </c>
      <c r="D39" s="394">
        <f>VLOOKUP(B39,'Share, Heavy Weapons to Ukraine'!B:AP,COLUMN('Share, Heavy Weapons to Ukraine'!AP38)-1,FALSE)</f>
        <v>0</v>
      </c>
      <c r="F39" s="391" t="s">
        <v>1701</v>
      </c>
      <c r="G39" s="392">
        <f>VLOOKUP(F39,'Share, Heavy Weapons to Ukraine'!B:AH,COLUMN('Share, Heavy Weapons to Ukraine'!AC38)-1,FALSE)</f>
        <v>0</v>
      </c>
      <c r="H39" s="392">
        <f>VLOOKUP(F39,'Share, Heavy Weapons to Ukraine'!B:AQ,COLUMN('Share, Heavy Weapons to Ukraine'!AQ39)-1,FALSE)</f>
        <v>0</v>
      </c>
      <c r="I39" s="392"/>
      <c r="J39" s="391" t="s">
        <v>480</v>
      </c>
      <c r="K39" s="392">
        <f>VLOOKUP(J39,'Share, Heavy Weapons to Ukraine'!B:AH,COLUMN('Share, Heavy Weapons to Ukraine'!V38)-1,FALSE)</f>
        <v>0</v>
      </c>
      <c r="L39" s="392">
        <f>VLOOKUP(J39,'Share, Heavy Weapons to Ukraine'!B:AJ,COLUMN('Share, Heavy Weapons to Ukraine'!AJ38)-1,FALSE)</f>
        <v>0</v>
      </c>
    </row>
    <row r="40" spans="2:13" ht="15.9" customHeight="1" x14ac:dyDescent="0.3">
      <c r="B40" s="391" t="s">
        <v>1701</v>
      </c>
      <c r="C40" s="394">
        <f>VLOOKUP(B40,'Share, Heavy Weapons to Ukraine'!B:AH,COLUMN('Share, Heavy Weapons to Ukraine'!AB39)-1,FALSE)</f>
        <v>0</v>
      </c>
      <c r="D40" s="394">
        <f>VLOOKUP(B40,'Share, Heavy Weapons to Ukraine'!B:AP,COLUMN('Share, Heavy Weapons to Ukraine'!AP39)-1,FALSE)</f>
        <v>0</v>
      </c>
      <c r="F40" s="391" t="s">
        <v>1919</v>
      </c>
      <c r="G40" s="392">
        <f>VLOOKUP(F40,'Share, Heavy Weapons to Ukraine'!B:AH,COLUMN('Share, Heavy Weapons to Ukraine'!AC39)-1,FALSE)</f>
        <v>0</v>
      </c>
      <c r="H40" s="392">
        <f>VLOOKUP(F40,'Share, Heavy Weapons to Ukraine'!B:AQ,COLUMN('Share, Heavy Weapons to Ukraine'!AQ40)-1,FALSE)</f>
        <v>0</v>
      </c>
      <c r="I40" s="392"/>
      <c r="J40" s="391" t="s">
        <v>1701</v>
      </c>
      <c r="K40" s="392">
        <f>VLOOKUP(J40,'Share, Heavy Weapons to Ukraine'!B:AH,COLUMN('Share, Heavy Weapons to Ukraine'!V39)-1,FALSE)</f>
        <v>0</v>
      </c>
      <c r="L40" s="392">
        <f>VLOOKUP(J40,'Share, Heavy Weapons to Ukraine'!B:AJ,COLUMN('Share, Heavy Weapons to Ukraine'!AJ39)-1,FALSE)</f>
        <v>0</v>
      </c>
    </row>
    <row r="41" spans="2:13" ht="15.9" customHeight="1" x14ac:dyDescent="0.3">
      <c r="B41" s="391" t="s">
        <v>1919</v>
      </c>
      <c r="C41" s="394">
        <f>VLOOKUP(B41,'Share, Heavy Weapons to Ukraine'!B:AH,COLUMN('Share, Heavy Weapons to Ukraine'!AB40)-1,FALSE)</f>
        <v>0</v>
      </c>
      <c r="D41" s="394">
        <f>VLOOKUP(B41,'Share, Heavy Weapons to Ukraine'!B:AP,COLUMN('Share, Heavy Weapons to Ukraine'!AP40)-1,FALSE)</f>
        <v>0</v>
      </c>
      <c r="F41" s="391" t="s">
        <v>664</v>
      </c>
      <c r="G41" s="392">
        <f>VLOOKUP(F41,'Share, Heavy Weapons to Ukraine'!B:AH,COLUMN('Share, Heavy Weapons to Ukraine'!AC40)-1,FALSE)</f>
        <v>0</v>
      </c>
      <c r="H41" s="392">
        <f>VLOOKUP(F41,'Share, Heavy Weapons to Ukraine'!B:AQ,COLUMN('Share, Heavy Weapons to Ukraine'!AQ41)-1,FALSE)</f>
        <v>0</v>
      </c>
      <c r="I41" s="392"/>
      <c r="J41" s="391" t="s">
        <v>1919</v>
      </c>
      <c r="K41" s="392">
        <f>VLOOKUP(J41,'Share, Heavy Weapons to Ukraine'!B:AH,COLUMN('Share, Heavy Weapons to Ukraine'!V40)-1,FALSE)</f>
        <v>0</v>
      </c>
      <c r="L41" s="392">
        <f>VLOOKUP(J41,'Share, Heavy Weapons to Ukraine'!B:AJ,COLUMN('Share, Heavy Weapons to Ukraine'!AJ40)-1,FALSE)</f>
        <v>0</v>
      </c>
    </row>
    <row r="42" spans="2:13" ht="15.9" customHeight="1" x14ac:dyDescent="0.3">
      <c r="B42" s="391" t="s">
        <v>664</v>
      </c>
      <c r="C42" s="394">
        <f>VLOOKUP(B42,'Share, Heavy Weapons to Ukraine'!B:AH,COLUMN('Share, Heavy Weapons to Ukraine'!AB41)-1,FALSE)</f>
        <v>0</v>
      </c>
      <c r="D42" s="394">
        <f>VLOOKUP(B42,'Share, Heavy Weapons to Ukraine'!B:AP,COLUMN('Share, Heavy Weapons to Ukraine'!AP41)-1,FALSE)</f>
        <v>0</v>
      </c>
      <c r="F42" s="391" t="s">
        <v>1861</v>
      </c>
      <c r="G42" s="392">
        <f>VLOOKUP(F42,'Share, Heavy Weapons to Ukraine'!B:AH,COLUMN('Share, Heavy Weapons to Ukraine'!AC41)-1,FALSE)</f>
        <v>0</v>
      </c>
      <c r="H42" s="392">
        <f>VLOOKUP(F42,'Share, Heavy Weapons to Ukraine'!B:AQ,COLUMN('Share, Heavy Weapons to Ukraine'!AQ42)-1,FALSE)</f>
        <v>0</v>
      </c>
      <c r="I42" s="392"/>
      <c r="J42" s="391" t="s">
        <v>664</v>
      </c>
      <c r="K42" s="392">
        <f>VLOOKUP(J42,'Share, Heavy Weapons to Ukraine'!B:AH,COLUMN('Share, Heavy Weapons to Ukraine'!V41)-1,FALSE)</f>
        <v>0</v>
      </c>
      <c r="L42" s="392">
        <f>VLOOKUP(J42,'Share, Heavy Weapons to Ukraine'!B:AJ,COLUMN('Share, Heavy Weapons to Ukraine'!AJ41)-1,FALSE)</f>
        <v>0</v>
      </c>
    </row>
    <row r="43" spans="2:13" ht="15.9" customHeight="1" x14ac:dyDescent="0.3">
      <c r="B43" s="391" t="s">
        <v>937</v>
      </c>
      <c r="C43" s="394">
        <f>VLOOKUP(B43,'Share, Heavy Weapons to Ukraine'!B:AH,COLUMN('Share, Heavy Weapons to Ukraine'!AB42)-1,FALSE)</f>
        <v>0</v>
      </c>
      <c r="D43" s="394">
        <f>VLOOKUP(B43,'Share, Heavy Weapons to Ukraine'!B:AP,COLUMN('Share, Heavy Weapons to Ukraine'!AP42)-1,FALSE)</f>
        <v>0</v>
      </c>
      <c r="F43" s="391" t="s">
        <v>937</v>
      </c>
      <c r="G43" s="392">
        <f>VLOOKUP(F43,'Share, Heavy Weapons to Ukraine'!B:AH,COLUMN('Share, Heavy Weapons to Ukraine'!AC42)-1,FALSE)</f>
        <v>0</v>
      </c>
      <c r="H43" s="392">
        <f>VLOOKUP(F43,'Share, Heavy Weapons to Ukraine'!B:AQ,COLUMN('Share, Heavy Weapons to Ukraine'!AQ43)-1,FALSE)</f>
        <v>0</v>
      </c>
      <c r="I43" s="392"/>
      <c r="J43" s="391" t="s">
        <v>1861</v>
      </c>
      <c r="K43" s="392">
        <f>VLOOKUP(J43,'Share, Heavy Weapons to Ukraine'!B:AH,COLUMN('Share, Heavy Weapons to Ukraine'!V42)-1,FALSE)</f>
        <v>0</v>
      </c>
      <c r="L43" s="392">
        <f>VLOOKUP(J43,'Share, Heavy Weapons to Ukraine'!B:AJ,COLUMN('Share, Heavy Weapons to Ukraine'!AJ42)-1,FALSE)</f>
        <v>0</v>
      </c>
    </row>
    <row r="44" spans="2:13" ht="15.9" customHeight="1" x14ac:dyDescent="0.3">
      <c r="B44" s="391" t="s">
        <v>2547</v>
      </c>
      <c r="C44" s="394">
        <f>VLOOKUP(B44,'Share, Heavy Weapons to Ukraine'!B:AH,COLUMN('Share, Heavy Weapons to Ukraine'!AB43)-1,FALSE)</f>
        <v>0</v>
      </c>
      <c r="D44" s="394">
        <f>VLOOKUP(B44,'Share, Heavy Weapons to Ukraine'!B:AP,COLUMN('Share, Heavy Weapons to Ukraine'!AP43)-1,FALSE)</f>
        <v>0</v>
      </c>
      <c r="F44" s="391" t="s">
        <v>2547</v>
      </c>
      <c r="G44" s="392">
        <f>VLOOKUP(F44,'Share, Heavy Weapons to Ukraine'!B:AH,COLUMN('Share, Heavy Weapons to Ukraine'!AC43)-1,FALSE)</f>
        <v>0</v>
      </c>
      <c r="H44" s="392">
        <f>VLOOKUP(F44,'Share, Heavy Weapons to Ukraine'!B:AQ,COLUMN('Share, Heavy Weapons to Ukraine'!AQ44)-1,FALSE)</f>
        <v>0</v>
      </c>
      <c r="I44" s="392"/>
      <c r="J44" s="391" t="s">
        <v>937</v>
      </c>
      <c r="K44" s="392">
        <f>VLOOKUP(J44,'Share, Heavy Weapons to Ukraine'!B:AH,COLUMN('Share, Heavy Weapons to Ukraine'!V43)-1,FALSE)</f>
        <v>0</v>
      </c>
      <c r="L44" s="392">
        <f>VLOOKUP(J44,'Share, Heavy Weapons to Ukraine'!B:AJ,COLUMN('Share, Heavy Weapons to Ukraine'!AJ43)-1,FALSE)</f>
        <v>0</v>
      </c>
    </row>
    <row r="45" spans="2:13" ht="15.9" customHeight="1" x14ac:dyDescent="0.3">
      <c r="B45" s="391" t="s">
        <v>696</v>
      </c>
      <c r="C45" s="394">
        <f>VLOOKUP(B45,'Share, Heavy Weapons to Ukraine'!B:AH,COLUMN('Share, Heavy Weapons to Ukraine'!AB44)-1,FALSE)</f>
        <v>0</v>
      </c>
      <c r="D45" s="394">
        <f>VLOOKUP(B45,'Share, Heavy Weapons to Ukraine'!B:AP,COLUMN('Share, Heavy Weapons to Ukraine'!AP44)-1,FALSE)</f>
        <v>0</v>
      </c>
      <c r="F45" s="391" t="s">
        <v>696</v>
      </c>
      <c r="G45" s="392">
        <f>VLOOKUP(F45,'Share, Heavy Weapons to Ukraine'!B:AH,COLUMN('Share, Heavy Weapons to Ukraine'!AC44)-1,FALSE)</f>
        <v>0</v>
      </c>
      <c r="H45" s="392">
        <f>VLOOKUP(F45,'Share, Heavy Weapons to Ukraine'!B:AQ,COLUMN('Share, Heavy Weapons to Ukraine'!AQ45)-1,FALSE)</f>
        <v>0</v>
      </c>
      <c r="I45" s="392"/>
      <c r="J45" s="391" t="s">
        <v>696</v>
      </c>
      <c r="K45" s="392">
        <f>VLOOKUP(J45,'Share, Heavy Weapons to Ukraine'!B:AH,COLUMN('Share, Heavy Weapons to Ukraine'!V44)-1,FALSE)</f>
        <v>0</v>
      </c>
      <c r="L45" s="392">
        <f>VLOOKUP(J45,'Share, Heavy Weapons to Ukraine'!B:AJ,COLUMN('Share, Heavy Weapons to Ukraine'!AJ44)-1,FALSE)</f>
        <v>0</v>
      </c>
    </row>
    <row r="46" spans="2:13" ht="15.9" customHeight="1" x14ac:dyDescent="0.3">
      <c r="B46" s="391" t="s">
        <v>2024</v>
      </c>
      <c r="C46" s="394">
        <f>VLOOKUP(B46,'Share, Heavy Weapons to Ukraine'!B:AH,COLUMN('Share, Heavy Weapons to Ukraine'!AB45)-1,FALSE)</f>
        <v>0</v>
      </c>
      <c r="D46" s="394">
        <f>VLOOKUP(B46,'Share, Heavy Weapons to Ukraine'!B:AP,COLUMN('Share, Heavy Weapons to Ukraine'!AP45)-1,FALSE)</f>
        <v>0</v>
      </c>
      <c r="F46" s="391" t="s">
        <v>2024</v>
      </c>
      <c r="G46" s="392">
        <f>VLOOKUP(F46,'Share, Heavy Weapons to Ukraine'!B:AH,COLUMN('Share, Heavy Weapons to Ukraine'!AC45)-1,FALSE)</f>
        <v>0</v>
      </c>
      <c r="H46" s="392">
        <f>VLOOKUP(F46,'Share, Heavy Weapons to Ukraine'!B:AQ,COLUMN('Share, Heavy Weapons to Ukraine'!AQ46)-1,FALSE)</f>
        <v>0</v>
      </c>
      <c r="I46" s="392"/>
      <c r="J46" s="391" t="s">
        <v>2024</v>
      </c>
      <c r="K46" s="392">
        <f>VLOOKUP(J46,'Share, Heavy Weapons to Ukraine'!B:AH,COLUMN('Share, Heavy Weapons to Ukraine'!V45)-1,FALSE)</f>
        <v>0</v>
      </c>
      <c r="L46" s="392">
        <f>VLOOKUP(J46,'Share, Heavy Weapons to Ukraine'!B:AJ,COLUMN('Share, Heavy Weapons to Ukraine'!AJ45)-1,FALSE)</f>
        <v>0</v>
      </c>
    </row>
    <row r="47" spans="2:13" ht="15.9" customHeight="1" x14ac:dyDescent="0.3">
      <c r="B47" s="391" t="s">
        <v>4895</v>
      </c>
      <c r="C47" s="394">
        <f>VLOOKUP(B47,'Share, Heavy Weapons to Ukraine'!B:AH,COLUMN('Share, Heavy Weapons to Ukraine'!AB46)-1,FALSE)</f>
        <v>0</v>
      </c>
      <c r="D47" s="394">
        <f>VLOOKUP(B47,'Share, Heavy Weapons to Ukraine'!B:AP,COLUMN('Share, Heavy Weapons to Ukraine'!AP46)-1,FALSE)</f>
        <v>0</v>
      </c>
      <c r="F47" s="391" t="s">
        <v>4895</v>
      </c>
      <c r="G47" s="392">
        <f>VLOOKUP(F47,'Share, Heavy Weapons to Ukraine'!B:AH,COLUMN('Share, Heavy Weapons to Ukraine'!AC46)-1,FALSE)</f>
        <v>0</v>
      </c>
      <c r="H47" s="392">
        <f>VLOOKUP(F47,'Share, Heavy Weapons to Ukraine'!B:AQ,COLUMN('Share, Heavy Weapons to Ukraine'!AQ47)-1,FALSE)</f>
        <v>0</v>
      </c>
      <c r="I47" s="392"/>
      <c r="J47" s="391" t="s">
        <v>4895</v>
      </c>
      <c r="K47" s="392">
        <f>VLOOKUP(J47,'Share, Heavy Weapons to Ukraine'!B:AH,COLUMN('Share, Heavy Weapons to Ukraine'!V46)-1,FALSE)</f>
        <v>0</v>
      </c>
      <c r="L47" s="392">
        <f>VLOOKUP(J47,'Share, Heavy Weapons to Ukraine'!B:AJ,COLUMN('Share, Heavy Weapons to Ukraine'!AJ46)-1,FALSE)</f>
        <v>0</v>
      </c>
    </row>
    <row r="48" spans="2:13" ht="15.9" customHeight="1" x14ac:dyDescent="0.3">
      <c r="B48" s="391" t="s">
        <v>4896</v>
      </c>
      <c r="C48" s="394">
        <f>VLOOKUP(B48,'Share, Heavy Weapons to Ukraine'!B:AH,COLUMN('Share, Heavy Weapons to Ukraine'!AB47)-1,FALSE)</f>
        <v>0</v>
      </c>
      <c r="D48" s="394">
        <f>VLOOKUP(B48,'Share, Heavy Weapons to Ukraine'!B:AP,COLUMN('Share, Heavy Weapons to Ukraine'!AP47)-1,FALSE)</f>
        <v>0</v>
      </c>
      <c r="E48" s="391"/>
      <c r="F48" s="391" t="s">
        <v>4896</v>
      </c>
      <c r="G48" s="392">
        <f>VLOOKUP(F48,'Share, Heavy Weapons to Ukraine'!B:AH,COLUMN('Share, Heavy Weapons to Ukraine'!AC47)-1,FALSE)</f>
        <v>0</v>
      </c>
      <c r="H48" s="392">
        <f>VLOOKUP(F48,'Share, Heavy Weapons to Ukraine'!B:AQ,COLUMN('Share, Heavy Weapons to Ukraine'!AQ48)-1,FALSE)</f>
        <v>0</v>
      </c>
      <c r="I48" s="392"/>
      <c r="J48" s="391" t="s">
        <v>4896</v>
      </c>
      <c r="K48" s="392">
        <f>VLOOKUP(J48,'Share, Heavy Weapons to Ukraine'!B:AH,COLUMN('Share, Heavy Weapons to Ukraine'!V47)-1,FALSE)</f>
        <v>0</v>
      </c>
      <c r="L48" s="1160">
        <f>VLOOKUP(J48,'Share, Heavy Weapons to Ukraine'!B:AJ,COLUMN('Share, Heavy Weapons to Ukraine'!AJ47)-1,FALSE)</f>
        <v>0</v>
      </c>
      <c r="M48" s="391"/>
    </row>
    <row r="49" spans="1:13" ht="15.9" customHeight="1" x14ac:dyDescent="0.3">
      <c r="B49" s="617" t="s">
        <v>4897</v>
      </c>
      <c r="C49" s="617">
        <f>VLOOKUP(B49,'Share, Heavy Weapons to Ukraine'!B:AH,COLUMN('Share, Heavy Weapons to Ukraine'!AB48)-1,FALSE)</f>
        <v>0</v>
      </c>
      <c r="D49" s="1137">
        <f>VLOOKUP(B49,'Share, Heavy Weapons to Ukraine'!B:AP,COLUMN('Share, Heavy Weapons to Ukraine'!AP48)-1,FALSE)</f>
        <v>0</v>
      </c>
      <c r="E49" s="391"/>
      <c r="F49" s="617" t="s">
        <v>4897</v>
      </c>
      <c r="G49" s="618">
        <f>VLOOKUP(F49,'Share, Heavy Weapons to Ukraine'!B:AH,COLUMN('Share, Heavy Weapons to Ukraine'!AC48)-1,FALSE)</f>
        <v>0</v>
      </c>
      <c r="H49" s="392">
        <f>VLOOKUP(F49,'Share, Heavy Weapons to Ukraine'!B:AQ,COLUMN('Share, Heavy Weapons to Ukraine'!AQ49)-1,FALSE)</f>
        <v>0</v>
      </c>
      <c r="J49" s="617" t="s">
        <v>4897</v>
      </c>
      <c r="K49" s="1158">
        <f>VLOOKUP(J49,'Share, Heavy Weapons to Ukraine'!B:AH,COLUMN('Share, Heavy Weapons to Ukraine'!V48)-1,FALSE)</f>
        <v>0</v>
      </c>
      <c r="L49" s="1157">
        <f>VLOOKUP(J49,'Share, Heavy Weapons to Ukraine'!B:AJ,COLUMN('Share, Heavy Weapons to Ukraine'!AJ48)-1,FALSE)</f>
        <v>0</v>
      </c>
      <c r="M49" s="1159"/>
    </row>
    <row r="50" spans="1:13" s="395" customFormat="1" ht="15.9" customHeight="1" x14ac:dyDescent="0.3">
      <c r="A50" s="391"/>
      <c r="E50" s="391"/>
      <c r="I50" s="391"/>
      <c r="M50" s="391"/>
    </row>
    <row r="51" spans="1:13" ht="15.9" customHeight="1" x14ac:dyDescent="0.3">
      <c r="E51" s="391"/>
      <c r="M51" s="391"/>
    </row>
  </sheetData>
  <mergeCells count="7">
    <mergeCell ref="J11:J12"/>
    <mergeCell ref="K11:L11"/>
    <mergeCell ref="B4:G9"/>
    <mergeCell ref="B11:B12"/>
    <mergeCell ref="C11:D11"/>
    <mergeCell ref="F11:F12"/>
    <mergeCell ref="G11:H11"/>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8CBAD"/>
  </sheetPr>
  <dimension ref="B2:CI52"/>
  <sheetViews>
    <sheetView zoomScaleNormal="100" workbookViewId="0"/>
  </sheetViews>
  <sheetFormatPr baseColWidth="10" defaultColWidth="8.5" defaultRowHeight="15.75" customHeight="1" x14ac:dyDescent="0.3"/>
  <cols>
    <col min="1" max="1" width="8.59765625" style="2" customWidth="1"/>
    <col min="2" max="2" width="28" style="470" customWidth="1"/>
    <col min="3" max="3" width="14.09765625" style="470" bestFit="1" customWidth="1"/>
    <col min="4" max="4" width="8" style="2"/>
    <col min="5" max="5" width="16.5" style="377" customWidth="1"/>
    <col min="6" max="6" width="8.5" style="472"/>
    <col min="7" max="20" width="8.5" style="470"/>
    <col min="21" max="21" width="16.5" style="377" customWidth="1"/>
    <col min="22" max="34" width="8.5" style="2"/>
    <col min="35" max="35" width="16.5" style="377" customWidth="1"/>
    <col min="36" max="48" width="8.5" style="2"/>
    <col min="49" max="49" width="16.5" style="377" customWidth="1"/>
    <col min="50" max="50" width="11" style="2" bestFit="1" customWidth="1"/>
    <col min="51" max="52" width="8.5" style="2"/>
    <col min="53" max="53" width="8.09765625" style="2" customWidth="1"/>
    <col min="54" max="62" width="8.5" style="2"/>
    <col min="63" max="63" width="16.5" style="377" customWidth="1"/>
    <col min="64" max="76" width="8.5" style="2"/>
    <col min="77" max="77" width="16.5" style="377" customWidth="1"/>
    <col min="78" max="81" width="8.5" style="2"/>
    <col min="82" max="82" width="16.5" style="377" customWidth="1"/>
    <col min="83" max="16384" width="8.5" style="2"/>
  </cols>
  <sheetData>
    <row r="2" spans="2:87" ht="24.75" customHeight="1" x14ac:dyDescent="0.35">
      <c r="B2" s="482" t="s">
        <v>4898</v>
      </c>
    </row>
    <row r="4" spans="2:87" ht="15.75" customHeight="1" x14ac:dyDescent="0.3">
      <c r="B4" s="1224" t="s">
        <v>4899</v>
      </c>
      <c r="C4" s="1224"/>
      <c r="D4" s="1224"/>
      <c r="E4" s="1224"/>
      <c r="F4" s="1224"/>
      <c r="G4" s="1224"/>
      <c r="H4" s="1224"/>
      <c r="I4" s="1224"/>
      <c r="J4" s="1224"/>
      <c r="K4" s="1224"/>
      <c r="L4" s="1224"/>
    </row>
    <row r="5" spans="2:87" ht="15.75" customHeight="1" x14ac:dyDescent="0.3">
      <c r="B5" s="1224"/>
      <c r="C5" s="1224"/>
      <c r="D5" s="1224"/>
      <c r="E5" s="1224"/>
      <c r="F5" s="1224"/>
      <c r="G5" s="1224"/>
      <c r="H5" s="1224"/>
      <c r="I5" s="1224"/>
      <c r="J5" s="1224"/>
      <c r="K5" s="1224"/>
      <c r="L5" s="1224"/>
    </row>
    <row r="6" spans="2:87" ht="15.75" customHeight="1" x14ac:dyDescent="0.3">
      <c r="B6" s="1224"/>
      <c r="C6" s="1224"/>
      <c r="D6" s="1224"/>
      <c r="E6" s="1224"/>
      <c r="F6" s="1224"/>
      <c r="G6" s="1224"/>
      <c r="H6" s="1224"/>
      <c r="I6" s="1224"/>
      <c r="J6" s="1224"/>
      <c r="K6" s="1224"/>
      <c r="L6" s="1224"/>
    </row>
    <row r="7" spans="2:87" ht="15.75" customHeight="1" x14ac:dyDescent="0.3">
      <c r="B7" s="1224"/>
      <c r="C7" s="1224"/>
      <c r="D7" s="1224"/>
      <c r="E7" s="1224"/>
      <c r="F7" s="1224"/>
      <c r="G7" s="1224"/>
      <c r="H7" s="1224"/>
      <c r="I7" s="1224"/>
      <c r="J7" s="1224"/>
      <c r="K7" s="1224"/>
      <c r="L7" s="1224"/>
    </row>
    <row r="8" spans="2:87" ht="15.75" customHeight="1" x14ac:dyDescent="0.3">
      <c r="B8" s="1224"/>
      <c r="C8" s="1224"/>
      <c r="D8" s="1224"/>
      <c r="E8" s="1224"/>
      <c r="F8" s="1224"/>
      <c r="G8" s="1224"/>
      <c r="H8" s="1224"/>
      <c r="I8" s="1224"/>
      <c r="J8" s="1224"/>
      <c r="K8" s="1224"/>
      <c r="L8" s="1224"/>
    </row>
    <row r="9" spans="2:87" ht="15.75" customHeight="1" x14ac:dyDescent="0.3">
      <c r="B9" s="1224"/>
      <c r="C9" s="1224"/>
      <c r="D9" s="1224"/>
      <c r="E9" s="1224"/>
      <c r="F9" s="1224"/>
      <c r="G9" s="1224"/>
      <c r="H9" s="1224"/>
      <c r="I9" s="1224"/>
      <c r="J9" s="1224"/>
      <c r="K9" s="1224"/>
      <c r="L9" s="1224"/>
    </row>
    <row r="11" spans="2:87" ht="24.75" customHeight="1" x14ac:dyDescent="0.3">
      <c r="B11" s="792" t="s">
        <v>3499</v>
      </c>
      <c r="C11" s="792" t="s">
        <v>4900</v>
      </c>
      <c r="D11" s="793" t="s">
        <v>251</v>
      </c>
      <c r="E11" s="794" t="s">
        <v>4901</v>
      </c>
      <c r="F11" s="795" t="s">
        <v>4902</v>
      </c>
      <c r="G11" s="792" t="s">
        <v>3962</v>
      </c>
      <c r="H11" s="792" t="s">
        <v>4046</v>
      </c>
      <c r="I11" s="792" t="s">
        <v>3957</v>
      </c>
      <c r="J11" s="792" t="s">
        <v>4040</v>
      </c>
      <c r="K11" s="792" t="s">
        <v>4043</v>
      </c>
      <c r="L11" s="792" t="s">
        <v>3695</v>
      </c>
      <c r="M11" s="792" t="s">
        <v>4903</v>
      </c>
      <c r="N11" s="792" t="s">
        <v>3648</v>
      </c>
      <c r="O11" s="792" t="s">
        <v>4904</v>
      </c>
      <c r="P11" s="792" t="s">
        <v>4252</v>
      </c>
      <c r="Q11" s="792" t="s">
        <v>4197</v>
      </c>
      <c r="R11" s="792" t="s">
        <v>4198</v>
      </c>
      <c r="S11" s="792" t="s">
        <v>3651</v>
      </c>
      <c r="T11" s="792" t="s">
        <v>4003</v>
      </c>
      <c r="U11" s="794" t="s">
        <v>4905</v>
      </c>
      <c r="V11" s="796" t="s">
        <v>3962</v>
      </c>
      <c r="W11" s="796" t="s">
        <v>4046</v>
      </c>
      <c r="X11" s="796" t="s">
        <v>3957</v>
      </c>
      <c r="Y11" s="796" t="s">
        <v>4040</v>
      </c>
      <c r="Z11" s="479" t="s">
        <v>4043</v>
      </c>
      <c r="AA11" s="479" t="s">
        <v>3695</v>
      </c>
      <c r="AB11" s="796" t="s">
        <v>3401</v>
      </c>
      <c r="AC11" s="796" t="s">
        <v>3648</v>
      </c>
      <c r="AD11" s="796" t="s">
        <v>4906</v>
      </c>
      <c r="AE11" s="792" t="s">
        <v>4197</v>
      </c>
      <c r="AF11" s="792" t="s">
        <v>4198</v>
      </c>
      <c r="AG11" s="792" t="s">
        <v>3651</v>
      </c>
      <c r="AH11" s="792" t="s">
        <v>4003</v>
      </c>
      <c r="AI11" s="794" t="s">
        <v>4907</v>
      </c>
      <c r="AJ11" s="796" t="s">
        <v>3962</v>
      </c>
      <c r="AK11" s="796" t="s">
        <v>4046</v>
      </c>
      <c r="AL11" s="796" t="s">
        <v>3957</v>
      </c>
      <c r="AM11" s="796" t="s">
        <v>4040</v>
      </c>
      <c r="AN11" s="479" t="s">
        <v>4043</v>
      </c>
      <c r="AO11" s="479" t="s">
        <v>3695</v>
      </c>
      <c r="AP11" s="796" t="s">
        <v>3401</v>
      </c>
      <c r="AQ11" s="796" t="s">
        <v>3648</v>
      </c>
      <c r="AR11" s="796" t="s">
        <v>4906</v>
      </c>
      <c r="AS11" s="792" t="s">
        <v>4197</v>
      </c>
      <c r="AT11" s="792" t="s">
        <v>4198</v>
      </c>
      <c r="AU11" s="792" t="s">
        <v>3651</v>
      </c>
      <c r="AV11" s="792" t="s">
        <v>4003</v>
      </c>
      <c r="AW11" s="794" t="s">
        <v>4908</v>
      </c>
      <c r="AX11" s="796" t="s">
        <v>3962</v>
      </c>
      <c r="AY11" s="796" t="s">
        <v>4046</v>
      </c>
      <c r="AZ11" s="796" t="s">
        <v>3957</v>
      </c>
      <c r="BA11" s="796" t="s">
        <v>4040</v>
      </c>
      <c r="BB11" s="479" t="s">
        <v>4043</v>
      </c>
      <c r="BC11" s="479" t="s">
        <v>3695</v>
      </c>
      <c r="BD11" s="796" t="s">
        <v>3401</v>
      </c>
      <c r="BE11" s="793" t="s">
        <v>3648</v>
      </c>
      <c r="BF11" s="796" t="s">
        <v>4906</v>
      </c>
      <c r="BG11" s="792" t="s">
        <v>4197</v>
      </c>
      <c r="BH11" s="792" t="s">
        <v>4198</v>
      </c>
      <c r="BI11" s="792" t="s">
        <v>3651</v>
      </c>
      <c r="BJ11" s="792" t="s">
        <v>4003</v>
      </c>
      <c r="BK11" s="794" t="s">
        <v>4909</v>
      </c>
      <c r="BL11" s="796" t="s">
        <v>3962</v>
      </c>
      <c r="BM11" s="796" t="s">
        <v>4046</v>
      </c>
      <c r="BN11" s="796" t="s">
        <v>3957</v>
      </c>
      <c r="BO11" s="796" t="s">
        <v>4040</v>
      </c>
      <c r="BP11" s="479" t="s">
        <v>4043</v>
      </c>
      <c r="BQ11" s="479" t="s">
        <v>3695</v>
      </c>
      <c r="BR11" s="796" t="s">
        <v>3401</v>
      </c>
      <c r="BS11" s="796" t="s">
        <v>3648</v>
      </c>
      <c r="BT11" s="796" t="s">
        <v>4906</v>
      </c>
      <c r="BU11" s="792" t="s">
        <v>4197</v>
      </c>
      <c r="BV11" s="792" t="s">
        <v>4198</v>
      </c>
      <c r="BW11" s="792" t="s">
        <v>3651</v>
      </c>
      <c r="BX11" s="792" t="s">
        <v>4003</v>
      </c>
      <c r="BY11" s="794" t="s">
        <v>4910</v>
      </c>
      <c r="BZ11" s="792" t="s">
        <v>4197</v>
      </c>
      <c r="CA11" s="792" t="s">
        <v>4198</v>
      </c>
      <c r="CB11" s="792" t="s">
        <v>3651</v>
      </c>
      <c r="CC11" s="792" t="s">
        <v>4003</v>
      </c>
      <c r="CD11" s="794" t="s">
        <v>4911</v>
      </c>
      <c r="CE11" s="792" t="s">
        <v>4197</v>
      </c>
      <c r="CF11" s="792" t="s">
        <v>4198</v>
      </c>
      <c r="CG11" s="792" t="s">
        <v>3651</v>
      </c>
      <c r="CH11" s="792" t="s">
        <v>4003</v>
      </c>
      <c r="CI11" s="2" t="s">
        <v>260</v>
      </c>
    </row>
    <row r="12" spans="2:87" ht="15.6" x14ac:dyDescent="0.3">
      <c r="B12" s="470" t="s">
        <v>3038</v>
      </c>
      <c r="C12" s="470">
        <v>1</v>
      </c>
      <c r="D12" s="2">
        <v>0</v>
      </c>
      <c r="E12" s="471"/>
      <c r="F12" s="472">
        <v>754</v>
      </c>
      <c r="G12" s="470">
        <f>VLOOKUP(B12,'Heavy Weapon Stocks'!B:OE,COLUMN('Heavy Weapon Stocks'!$C$11)-1,FALSE)</f>
        <v>6095</v>
      </c>
      <c r="H12" s="470">
        <f>VLOOKUP(B12,'Heavy Weapon Stocks'!B:OE,COLUMN('Heavy Weapon Stocks'!$AT$11)-1,FALSE)</f>
        <v>15908</v>
      </c>
      <c r="I12" s="470">
        <f>VLOOKUP(B12,'Heavy Weapon Stocks'!B:OE,COLUMN('Heavy Weapon Stocks'!$DN$11)-1,FALSE)</f>
        <v>2934</v>
      </c>
      <c r="J12" s="470">
        <f>VLOOKUP(B12,'Heavy Weapon Stocks'!B:OE,COLUMN('Heavy Weapon Stocks'!$EB$11)-1,FALSE)</f>
        <v>26285</v>
      </c>
      <c r="K12" s="470">
        <f>VLOOKUP(B12,'Heavy Weapon Stocks'!B:OE,COLUMN('Heavy Weapon Stocks'!$FD$11)-1,FALSE)</f>
        <v>5419</v>
      </c>
      <c r="L12" s="470">
        <f>SUM(H12:K12)</f>
        <v>50546</v>
      </c>
      <c r="M12" s="470">
        <f>VLOOKUP(B12,'Heavy Weapon Stocks'!B:OE,COLUMN('Heavy Weapon Stocks'!$GZ$11)-1,FALSE)+VLOOKUP(B12,'Heavy Weapon Stocks'!B:OE,COLUMN('Heavy Weapon Stocks'!$IF$11)-1,FALSE)</f>
        <v>2538</v>
      </c>
      <c r="N12" s="470">
        <f>VLOOKUP(B12,'Heavy Weapon Stocks'!B:OE,COLUMN('Heavy Weapon Stocks'!$IK$11)-1,FALSE)</f>
        <v>635</v>
      </c>
      <c r="O12" s="470">
        <f>VLOOKUP(B12,'Heavy Weapon Stocks'!B:OE,COLUMN('Heavy Weapon Stocks'!$JE$11)-1,FALSE)+VLOOKUP(B12,'Heavy Weapon Stocks'!B:OE,COLUMN('Heavy Weapon Stocks'!$KB$11)-1,FALSE)</f>
        <v>2920</v>
      </c>
      <c r="Q12" s="470">
        <f>VLOOKUP(B12,'Heavy Weapon Stocks'!B:OE,COLUMN('Heavy Weapon Stocks'!$LS$11)-1,FALSE)</f>
        <v>480</v>
      </c>
      <c r="R12" s="470">
        <f>VLOOKUP(B12,'Heavy Weapon Stocks'!B:OE,COLUMN('Heavy Weapon Stocks'!$MC$11)-1,FALSE)</f>
        <v>0</v>
      </c>
      <c r="S12" s="470">
        <f>VLOOKUP(B12,'Heavy Weapon Stocks'!B:OE,COLUMN('Heavy Weapon Stocks'!$MJ$11)-1,FALSE)</f>
        <v>81</v>
      </c>
      <c r="T12" s="470">
        <f>VLOOKUP(B12,'Heavy Weapon Stocks'!B:OE,COLUMN('Heavy Weapon Stocks'!$NO$11)-1,FALSE)</f>
        <v>457</v>
      </c>
      <c r="U12" s="471"/>
      <c r="V12" s="2">
        <f>SUMIFS('Bilateral Assistance, MAIN DATA'!$M:$M,'Bilateral Assistance, MAIN DATA'!$B:$B,'Share, Heavy Weapons to Ukraine'!$B12,'Bilateral Assistance, MAIN DATA'!$AO:$AO,'Share, Heavy Weapons to Ukraine'!V$11)</f>
        <v>0</v>
      </c>
      <c r="W12" s="2">
        <f>SUMIFS('Bilateral Assistance, MAIN DATA'!$M:$M,'Bilateral Assistance, MAIN DATA'!$B:$B,'Share, Heavy Weapons to Ukraine'!$B12,'Bilateral Assistance, MAIN DATA'!$AO:$AO,'Share, Heavy Weapons to Ukraine'!W$11)</f>
        <v>304</v>
      </c>
      <c r="X12" s="2">
        <f>SUMIFS('Bilateral Assistance, MAIN DATA'!$M:$M,'Bilateral Assistance, MAIN DATA'!$B:$B,'Share, Heavy Weapons to Ukraine'!$B12,'Bilateral Assistance, MAIN DATA'!$AO:$AO,'Share, Heavy Weapons to Ukraine'!X$11)</f>
        <v>0</v>
      </c>
      <c r="Y12" s="2">
        <f>SUMIFS('Bilateral Assistance, MAIN DATA'!$M:$M,'Bilateral Assistance, MAIN DATA'!$B:$B,'Share, Heavy Weapons to Ukraine'!$B12,'Bilateral Assistance, MAIN DATA'!$AO:$AO,'Share, Heavy Weapons to Ukraine'!Y$11)</f>
        <v>1233</v>
      </c>
      <c r="Z12" s="2">
        <f>SUMIFS('Bilateral Assistance, MAIN DATA'!$M:$M,'Bilateral Assistance, MAIN DATA'!$B:$B,'Share, Heavy Weapons to Ukraine'!$B12,'Bilateral Assistance, MAIN DATA'!$AO:$AO,'Share, Heavy Weapons to Ukraine'!Z$11)</f>
        <v>50</v>
      </c>
      <c r="AA12" s="2">
        <f>SUM(W12:Z12)</f>
        <v>1587</v>
      </c>
      <c r="AB12" s="2">
        <f>SUMIFS('Bilateral Assistance, MAIN DATA'!$M:$M,'Bilateral Assistance, MAIN DATA'!$B:$B,'Share, Heavy Weapons to Ukraine'!$B12,'Bilateral Assistance, MAIN DATA'!$AO:$AO,'Share, Heavy Weapons to Ukraine'!AB$11)</f>
        <v>144</v>
      </c>
      <c r="AC12" s="25">
        <f>SUMIFS('Bilateral Assistance, MAIN DATA'!$M:$M,'Bilateral Assistance, MAIN DATA'!$B:$B,'Share, Heavy Weapons to Ukraine'!$B12,'Bilateral Assistance, MAIN DATA'!$AO:$AO,"122mm MLRS")+SUMIFS('Bilateral Assistance, MAIN DATA'!$M:$M,'Bilateral Assistance, MAIN DATA'!$B:$B,'Share, Heavy Weapons to Ukraine'!$B12,'Bilateral Assistance, MAIN DATA'!$AO:$AO,"127mm MLRS")+SUMIFS('Bilateral Assistance, MAIN DATA'!$M:$M,'Bilateral Assistance, MAIN DATA'!$B:$B,'Share, Heavy Weapons to Ukraine'!$B12,'Bilateral Assistance, MAIN DATA'!$AO:$AO,"227mm MLRS")</f>
        <v>38</v>
      </c>
      <c r="AD12" s="2">
        <f>SUMIFS('Bilateral Assistance, MAIN DATA'!$M:$M,'Bilateral Assistance, MAIN DATA'!$B:$B,'Share, Heavy Weapons to Ukraine'!$B12,'Bilateral Assistance, MAIN DATA'!$AO:$AO,'Share, Heavy Weapons to Ukraine'!AD$11)</f>
        <v>0</v>
      </c>
      <c r="AE12" s="2">
        <f>SUMIFS('Bilateral Assistance, MAIN DATA'!$M:$M,'Bilateral Assistance, MAIN DATA'!$B:$B,'Share, Heavy Weapons to Ukraine'!$B12,'Bilateral Assistance, MAIN DATA'!$AO:$AO,'Share, Heavy Weapons to Ukraine'!AE$11)</f>
        <v>1</v>
      </c>
      <c r="AF12" s="2">
        <f>SUMIFS('Bilateral Assistance, MAIN DATA'!$M:$M,'Bilateral Assistance, MAIN DATA'!$B:$B,'Share, Heavy Weapons to Ukraine'!$B12,'Bilateral Assistance, MAIN DATA'!$AO:$AO,'Share, Heavy Weapons to Ukraine'!AF$11)</f>
        <v>0</v>
      </c>
      <c r="AG12" s="2">
        <f>SUMIFS('Bilateral Assistance, MAIN DATA'!$M:$M,'Bilateral Assistance, MAIN DATA'!$B:$B,'Share, Heavy Weapons to Ukraine'!$B12,'Bilateral Assistance, MAIN DATA'!$AO:$AO,'Share, Heavy Weapons to Ukraine'!AG$11)</f>
        <v>8</v>
      </c>
      <c r="AH12" s="2">
        <f>SUMIFS('Bilateral Assistance, MAIN DATA'!$M:$M,'Bilateral Assistance, MAIN DATA'!$B:$B,'Share, Heavy Weapons to Ukraine'!$B12,'Bilateral Assistance, MAIN DATA'!$AO:$AO,'Share, Heavy Weapons to Ukraine'!AH$11)</f>
        <v>4</v>
      </c>
      <c r="AI12" s="471"/>
      <c r="AJ12" s="2">
        <f>SUMIFS('Bilateral Assistance, MAIN DATA'!$N:$N,'Bilateral Assistance, MAIN DATA'!$B:$B,'Share, Heavy Weapons to Ukraine'!$B12,'Bilateral Assistance, MAIN DATA'!$AO:$AO,'Share, Heavy Weapons to Ukraine'!AJ$11)</f>
        <v>0</v>
      </c>
      <c r="AK12" s="2">
        <f>SUMIFS('Bilateral Assistance, MAIN DATA'!$N:$N,'Bilateral Assistance, MAIN DATA'!$B:$B,'Share, Heavy Weapons to Ukraine'!$B12,'Bilateral Assistance, MAIN DATA'!$AO:$AO,'Share, Heavy Weapons to Ukraine'!AK$11)</f>
        <v>204</v>
      </c>
      <c r="AL12" s="2">
        <f>SUMIFS('Bilateral Assistance, MAIN DATA'!$N:$N,'Bilateral Assistance, MAIN DATA'!$B:$B,'Share, Heavy Weapons to Ukraine'!$B12,'Bilateral Assistance, MAIN DATA'!$AO:$AO,'Share, Heavy Weapons to Ukraine'!AL$11)</f>
        <v>0</v>
      </c>
      <c r="AM12" s="2">
        <f>SUMIFS('Bilateral Assistance, MAIN DATA'!$N:$N,'Bilateral Assistance, MAIN DATA'!$B:$B,'Share, Heavy Weapons to Ukraine'!$B12,'Bilateral Assistance, MAIN DATA'!$AO:$AO,'Share, Heavy Weapons to Ukraine'!AM$11)</f>
        <v>250</v>
      </c>
      <c r="AN12" s="2">
        <f>SUMIFS('Bilateral Assistance, MAIN DATA'!$N:$N,'Bilateral Assistance, MAIN DATA'!$B:$B,'Share, Heavy Weapons to Ukraine'!$B12,'Bilateral Assistance, MAIN DATA'!$AO:$AO,'Share, Heavy Weapons to Ukraine'!AN$11)</f>
        <v>0</v>
      </c>
      <c r="AO12" s="2">
        <f>SUM(AK12:AN12)</f>
        <v>454</v>
      </c>
      <c r="AP12" s="2">
        <f>SUMIFS('Bilateral Assistance, MAIN DATA'!$N:$N,'Bilateral Assistance, MAIN DATA'!$B:$B,'Share, Heavy Weapons to Ukraine'!$B12,'Bilateral Assistance, MAIN DATA'!$AO:$AO,'Share, Heavy Weapons to Ukraine'!AP$11)</f>
        <v>126</v>
      </c>
      <c r="AQ12" s="25">
        <f>SUMIFS('Bilateral Assistance, MAIN DATA'!$N:$N,'Bilateral Assistance, MAIN DATA'!$B:$B,'Share, Heavy Weapons to Ukraine'!$B12,'Bilateral Assistance, MAIN DATA'!$AO:$AO,"122mm MLRS")+SUMIFS('Bilateral Assistance, MAIN DATA'!$N:$N,'Bilateral Assistance, MAIN DATA'!$B:$B,'Share, Heavy Weapons to Ukraine'!$B12,'Bilateral Assistance, MAIN DATA'!$AO:$AO,"127mm MLRS")+SUMIFS('Bilateral Assistance, MAIN DATA'!$N:$N,'Bilateral Assistance, MAIN DATA'!$B:$B,'Share, Heavy Weapons to Ukraine'!$B12,'Bilateral Assistance, MAIN DATA'!$AO:$AO,"227mm MLRS")</f>
        <v>16</v>
      </c>
      <c r="AR12" s="2">
        <f>SUMIFS('Bilateral Assistance, MAIN DATA'!$N:$N,'Bilateral Assistance, MAIN DATA'!$B:$B,'Share, Heavy Weapons to Ukraine'!$B12,'Bilateral Assistance, MAIN DATA'!$AO:$AO,'Share, Heavy Weapons to Ukraine'!AR$11)</f>
        <v>0</v>
      </c>
      <c r="AS12" s="2">
        <f>SUMIFS('Bilateral Assistance, MAIN DATA'!$N:$N,'Bilateral Assistance, MAIN DATA'!$B:$B,'Share, Heavy Weapons to Ukraine'!$B12,'Bilateral Assistance, MAIN DATA'!$AO:$AO,'Share, Heavy Weapons to Ukraine'!AS$11)</f>
        <v>0</v>
      </c>
      <c r="AT12" s="2">
        <f>SUMIFS('Bilateral Assistance, MAIN DATA'!$N:$N,'Bilateral Assistance, MAIN DATA'!$B:$B,'Share, Heavy Weapons to Ukraine'!$B12,'Bilateral Assistance, MAIN DATA'!$AO:$AO,'Share, Heavy Weapons to Ukraine'!AT$11)</f>
        <v>0</v>
      </c>
      <c r="AU12" s="2">
        <f>SUMIFS('Bilateral Assistance, MAIN DATA'!$N:$N,'Bilateral Assistance, MAIN DATA'!$B:$B,'Share, Heavy Weapons to Ukraine'!$B12,'Bilateral Assistance, MAIN DATA'!$AO:$AO,'Share, Heavy Weapons to Ukraine'!AU$11)</f>
        <v>8</v>
      </c>
      <c r="AV12" s="2">
        <f>SUMIFS('Bilateral Assistance, MAIN DATA'!$N:$N,'Bilateral Assistance, MAIN DATA'!$B:$B,'Share, Heavy Weapons to Ukraine'!$B12,'Bilateral Assistance, MAIN DATA'!$AO:$AO,'Share, Heavy Weapons to Ukraine'!AV$11)</f>
        <v>0</v>
      </c>
      <c r="AW12" s="471"/>
      <c r="AX12" s="292">
        <f>IF(VLOOKUP($B12,$B:G,COLUMN(G11)-1,FALSE)&lt;&gt;0,VLOOKUP($B12,$B:V,COLUMN(V11)-1,FALSE)/VLOOKUP($B12,$B:G,COLUMN(G11)-1,FALSE),IF(VLOOKUP($B12,$B:V,COLUMN(V11)-1,FALSE)&lt;&gt;0,"Strange",0))</f>
        <v>0</v>
      </c>
      <c r="AY12" s="292">
        <f>IF(VLOOKUP($B12,$B:H,COLUMN(H11)-1,FALSE)&lt;&gt;0,VLOOKUP($B12,$B:W,COLUMN(W11)-1,FALSE)/VLOOKUP($B12,$B:H,COLUMN(H11)-1,FALSE),IF(VLOOKUP($B12,$B:W,COLUMN(W11)-1,FALSE)&lt;&gt;0,"Strange",0))</f>
        <v>1.9109881820467689E-2</v>
      </c>
      <c r="AZ12" s="292">
        <f>IF(VLOOKUP($B12,$B:I,COLUMN(I11)-1,FALSE)&lt;&gt;0,VLOOKUP($B12,$B:X,COLUMN(X11)-1,FALSE)/VLOOKUP($B12,$B:I,COLUMN(I11)-1,FALSE),IF(VLOOKUP($B12,$B:X,COLUMN(X11)-1,FALSE)&lt;&gt;0,"Strange",0))</f>
        <v>0</v>
      </c>
      <c r="BA12" s="292">
        <f>IF(VLOOKUP($B12,$B:J,COLUMN(J11)-1,FALSE)&lt;&gt;0,VLOOKUP($B12,$B:Y,COLUMN(Y11)-1,FALSE)/VLOOKUP($B12,$B:J,COLUMN(J11)-1,FALSE),IF(VLOOKUP($B12,$B:Y,COLUMN(Y11)-1,FALSE)&lt;&gt;0,"Strange",0))</f>
        <v>4.690888339357048E-2</v>
      </c>
      <c r="BB12" s="292">
        <f>IF(VLOOKUP($B12,$B:K,COLUMN(K11)-1,FALSE)&lt;&gt;0,VLOOKUP($B12,$B:Z,COLUMN(Z11)-1,FALSE)/VLOOKUP($B12,$B:K,COLUMN(K11)-1,FALSE),IF(VLOOKUP($B12,$B:Z,COLUMN(Z11)-1,FALSE)&lt;&gt;0,"Strange",0))</f>
        <v>9.2267946115519462E-3</v>
      </c>
      <c r="BC12" s="292">
        <f>IF(VLOOKUP($B12,$B:L,COLUMN(L11)-1,FALSE)&lt;&gt;0,VLOOKUP($B12,$B:AA,COLUMN(AA11)-1,FALSE)/VLOOKUP($B12,$B:L,COLUMN(L11)-1,FALSE),IF(VLOOKUP($B12,$B:AA,COLUMN(AA11)-1,FALSE)&lt;&gt;0,"Strange",0))</f>
        <v>3.139714319629644E-2</v>
      </c>
      <c r="BD12" s="292">
        <f>IF(VLOOKUP($B12,$B:M,COLUMN(M11)-1,FALSE)&lt;&gt;0,VLOOKUP($B12,$B:AB,COLUMN(AB11)-1,FALSE)/VLOOKUP($B12,$B:M,COLUMN(M11)-1,FALSE),IF(VLOOKUP($B12,$B:AB,COLUMN(AB11)-1,FALSE)&lt;&gt;0,"Strange",0))</f>
        <v>5.6737588652482268E-2</v>
      </c>
      <c r="BE12" s="292">
        <f>IF(VLOOKUP($B12,$B:N,COLUMN(N11)-1,FALSE)&lt;&gt;0,VLOOKUP($B12,$B:AC,COLUMN(AC11)-1,FALSE)/VLOOKUP($B12,$B:N,COLUMN(N11)-1,FALSE),IF(VLOOKUP($B12,$B:AC,COLUMN(AC11)-1,FALSE)&lt;&gt;0,"Strange",0))</f>
        <v>5.9842519685039369E-2</v>
      </c>
      <c r="BF12" s="292">
        <f>IF(VLOOKUP($B12,$B:O,COLUMN(O11)-1,FALSE)&lt;&gt;0,VLOOKUP($B12,$B:AD,COLUMN(AD11)-1,FALSE)/VLOOKUP($B12,$B:O,COLUMN(O11)-1,FALSE),IF(VLOOKUP($B12,$B:AD,COLUMN(AD11)-1,FALSE)&lt;&gt;0,"Strange",0))</f>
        <v>0</v>
      </c>
      <c r="BG12" s="292">
        <f>IF(VLOOKUP($B12,$B:Q,COLUMN(Q11)-1,FALSE)&lt;&gt;0,VLOOKUP($B12,$B:AE,COLUMN(AE11)-1,FALSE)/VLOOKUP($B12,$B:Q,COLUMN(Q11)-1,FALSE),IF(VLOOKUP($B12,$B:AE,COLUMN(AE11)-1,FALSE)&lt;&gt;0,"Strange",0))</f>
        <v>2.0833333333333333E-3</v>
      </c>
      <c r="BH12" s="292">
        <f>IF(VLOOKUP($B12,$B:R,COLUMN(R11)-1,FALSE)&lt;&gt;0,VLOOKUP($B12,$B:AF,COLUMN(AF11)-1,FALSE)/VLOOKUP($B12,$B:R,COLUMN(R11)-1,FALSE),IF(VLOOKUP($B12,$B:AF,COLUMN(AF11)-1,FALSE)&lt;&gt;0,"Strange",0))</f>
        <v>0</v>
      </c>
      <c r="BI12" s="292">
        <f>IF(VLOOKUP($B12,$B:S,COLUMN(S11)-1,FALSE)&lt;&gt;0,VLOOKUP($B12,$B:AG,COLUMN(AG11)-1,FALSE)/VLOOKUP($B12,$B:S,COLUMN(S11)-1,FALSE),IF(VLOOKUP($B12,$B:AG,COLUMN(AG11)-1,FALSE)&lt;&gt;0,"Strange",0))</f>
        <v>9.8765432098765427E-2</v>
      </c>
      <c r="BJ12" s="292">
        <f>IF(VLOOKUP($B12,$B:T,COLUMN(T11)-1,FALSE)&lt;&gt;0,VLOOKUP($B12,$B:AH,COLUMN(AH11)-1,FALSE)/VLOOKUP($B12,$B:T,COLUMN(T11)-1,FALSE),IF(VLOOKUP($B12,$B:AH,COLUMN(AH11)-1,FALSE)&lt;&gt;0,"Strange",0))</f>
        <v>8.7527352297592995E-3</v>
      </c>
      <c r="BK12" s="471"/>
      <c r="BL12" s="2">
        <f>IF(VLOOKUP($B12,$B:W,COLUMN(G11)-1,FALSE)&lt;&gt;0,VLOOKUP($B12,$B:AK,COLUMN(AJ11)-1,FALSE)/VLOOKUP($B12,$B:W,COLUMN(G11)-1,FALSE),IF(VLOOKUP($B12,$B:AK,COLUMN(AJ11)-1,FALSE)&lt;&gt;0,"Strange",0))</f>
        <v>0</v>
      </c>
      <c r="BM12" s="2">
        <f>IF(VLOOKUP($B12,$B:X,COLUMN(H11)-1,FALSE)&lt;&gt;0,VLOOKUP($B12,$B:AL,COLUMN(AK11)-1,FALSE)/VLOOKUP($B12,$B:X,COLUMN(H11)-1,FALSE),IF(VLOOKUP($B12,$B:AL,COLUMN(AK11)-1,FALSE)&lt;&gt;0,"Strange",0))</f>
        <v>1.2823736484787528E-2</v>
      </c>
      <c r="BN12" s="2">
        <f>IF(VLOOKUP($B12,$B:Y,COLUMN(I11)-1,FALSE)&lt;&gt;0,VLOOKUP($B12,$B:AM,COLUMN(AL11)-1,FALSE)/VLOOKUP($B12,$B:Y,COLUMN(I11)-1,FALSE),IF(VLOOKUP($B12,$B:AM,COLUMN(AL11)-1,FALSE)&lt;&gt;0,"Strange",0))</f>
        <v>0</v>
      </c>
      <c r="BO12" s="2">
        <f>IF(VLOOKUP($B12,$B:Z,COLUMN(J11)-1,FALSE)&lt;&gt;0,VLOOKUP($B12,$B:AN,COLUMN(AM11)-1,FALSE)/VLOOKUP($B12,$B:Z,COLUMN(J11)-1,FALSE),IF(VLOOKUP($B12,$B:AN,COLUMN(AM11)-1,FALSE)&lt;&gt;0,"Strange",0))</f>
        <v>9.5111280197831462E-3</v>
      </c>
      <c r="BP12" s="2">
        <f>IF(VLOOKUP($B12,$B:AB,COLUMN(K11)-1,FALSE)&lt;&gt;0,VLOOKUP($B12,$B:AP,COLUMN(AN11)-1,FALSE)/VLOOKUP($B12,$B:AB,COLUMN(K11)-1,FALSE),IF(VLOOKUP($B12,$B:AP,COLUMN(AN11)-1,FALSE)&lt;&gt;0,"Strange",0))</f>
        <v>0</v>
      </c>
      <c r="BQ12" s="2">
        <f>IF(VLOOKUP($B12,$B:AC,COLUMN(L11)-1,FALSE)&lt;&gt;0,VLOOKUP($B12,$B:AQ,COLUMN(AO11)-1,FALSE)/VLOOKUP($B12,$B:AC,COLUMN(L11)-1,FALSE),IF(VLOOKUP($B12,$B:AQ,COLUMN(AO11)-1,FALSE)&lt;&gt;0,"Strange",0))</f>
        <v>8.9819174613223595E-3</v>
      </c>
      <c r="BR12" s="2">
        <f>IF(VLOOKUP($B12,$B:AC,COLUMN(M11)-1,FALSE)&lt;&gt;0,VLOOKUP($B12,$B:AQ,COLUMN(AP11)-1,FALSE)/VLOOKUP($B12,$B:AC,COLUMN(M11)-1,FALSE),IF(VLOOKUP($B12,$B:AQ,COLUMN(AP11)-1,FALSE)&lt;&gt;0,"Strange",0))</f>
        <v>4.9645390070921988E-2</v>
      </c>
      <c r="BS12" s="2">
        <f>IF(VLOOKUP($B12,$B:AD,COLUMN(N11)-1,FALSE)&lt;&gt;0,VLOOKUP($B12,$B:AR,COLUMN(AQ11)-1,FALSE)/VLOOKUP($B12,$B:AD,COLUMN(N11)-1,FALSE),IF(VLOOKUP($B12,$B:AR,COLUMN(AQ11)-1,FALSE)&lt;&gt;0,"Strange",0))</f>
        <v>2.5196850393700787E-2</v>
      </c>
      <c r="BT12" s="2">
        <f>IF(VLOOKUP($B12,$B:AD,COLUMN(O11)-1,FALSE)&lt;&gt;0,VLOOKUP($B12,$B:AR,COLUMN(AR11)-1,FALSE)/VLOOKUP($B12,$B:AD,COLUMN(O11)-1,FALSE),IF(VLOOKUP($B12,$B:AR,COLUMN(AR11)-1,FALSE)&lt;&gt;0,"Strange",0))</f>
        <v>0</v>
      </c>
      <c r="BU12" s="2">
        <f>IF(VLOOKUP($B12,$B:AE,COLUMN(Q11)-1,FALSE)&lt;&gt;0,VLOOKUP($B12,$B:AS,COLUMN(AS11)-1,FALSE)/VLOOKUP($B12,$B:AE,COLUMN(Q11)-1,FALSE),IF(VLOOKUP($B12,$B:AS,COLUMN(AS11)-1,FALSE)&lt;&gt;0,"Strange",0))</f>
        <v>0</v>
      </c>
      <c r="BV12" s="2">
        <f>IF(VLOOKUP($B12,$B:AF,COLUMN(R11)-1,FALSE)&lt;&gt;0,VLOOKUP($B12,$B:AT,COLUMN(AT11)-1,FALSE)/VLOOKUP($B12,$B:AF,COLUMN(R11)-1,FALSE),IF(VLOOKUP($B12,$B:AT,COLUMN(AT11)-1,FALSE)&lt;&gt;0,"Strange",0))</f>
        <v>0</v>
      </c>
      <c r="BW12" s="2">
        <f>IF(VLOOKUP($B12,$B:AG,COLUMN(S11)-1,FALSE)&lt;&gt;0,VLOOKUP($B12,$B:AU,COLUMN(AU11)-1,FALSE)/VLOOKUP($B12,$B:AG,COLUMN(S11)-1,FALSE),IF(VLOOKUP($B12,$B:AU,COLUMN(AU11)-1,FALSE)&lt;&gt;0,"Strange",0))</f>
        <v>9.8765432098765427E-2</v>
      </c>
      <c r="BX12" s="2">
        <f>IF(VLOOKUP($B12,$B:AH,COLUMN(T11)-1,FALSE)&lt;&gt;0,VLOOKUP($B12,$B:AV,COLUMN(AV11)-1,FALSE)/VLOOKUP($B12,$B:AH,COLUMN(T11)-1,FALSE),IF(VLOOKUP($B12,$B:AV,COLUMN(AV11)-1,FALSE)&lt;&gt;0,"Strange",0))</f>
        <v>0</v>
      </c>
      <c r="BY12" s="471"/>
      <c r="BZ12" s="2">
        <f>SUMIFS('Bilateral Assistance, MAIN DATA'!$M:$M,'Bilateral Assistance, MAIN DATA'!$B:$B,'Share, Heavy Weapons to Ukraine'!$B12,'Bilateral Assistance, MAIN DATA'!$AO:$AO,'Share, Heavy Weapons to Ukraine'!BZ$11, 'Bilateral Assistance, MAIN DATA'!$AA:$AA,1)</f>
        <v>1</v>
      </c>
      <c r="CA12" s="2">
        <f>SUMIFS('Bilateral Assistance, MAIN DATA'!$M:$M,'Bilateral Assistance, MAIN DATA'!$B:$B,'Share, Heavy Weapons to Ukraine'!$B12,'Bilateral Assistance, MAIN DATA'!$AO:$AO,'Share, Heavy Weapons to Ukraine'!CA$11, 'Bilateral Assistance, MAIN DATA'!$AA:$AA,1)</f>
        <v>0</v>
      </c>
      <c r="CB12" s="2">
        <f>SUMIFS('Bilateral Assistance, MAIN DATA'!$M:$M,'Bilateral Assistance, MAIN DATA'!$B:$B,'Share, Heavy Weapons to Ukraine'!$B12,'Bilateral Assistance, MAIN DATA'!$AO:$AO,'Share, Heavy Weapons to Ukraine'!CB$11, 'Bilateral Assistance, MAIN DATA'!$AA:$AA,1)</f>
        <v>0</v>
      </c>
      <c r="CC12" s="2">
        <f>SUMIFS('Bilateral Assistance, MAIN DATA'!$M:$M,'Bilateral Assistance, MAIN DATA'!$B:$B,'Share, Heavy Weapons to Ukraine'!$B12,'Bilateral Assistance, MAIN DATA'!$AO:$AO,'Share, Heavy Weapons to Ukraine'!CC$11, 'Bilateral Assistance, MAIN DATA'!$AA:$AA,1)</f>
        <v>0</v>
      </c>
      <c r="CD12" s="471"/>
      <c r="CE12" s="2">
        <f>SUMIFS('Bilateral Assistance, MAIN DATA'!$N:$N,'Bilateral Assistance, MAIN DATA'!$B:$B,'Share, Heavy Weapons to Ukraine'!$B12,'Bilateral Assistance, MAIN DATA'!$AO:$AO,'Share, Heavy Weapons to Ukraine'!CE$11, 'Bilateral Assistance, MAIN DATA'!$AA:$AA,1)</f>
        <v>0</v>
      </c>
      <c r="CF12" s="2">
        <f>SUMIFS('Bilateral Assistance, MAIN DATA'!$N:$N,'Bilateral Assistance, MAIN DATA'!$B:$B,'Share, Heavy Weapons to Ukraine'!$B12,'Bilateral Assistance, MAIN DATA'!$AO:$AO,'Share, Heavy Weapons to Ukraine'!CF$11, 'Bilateral Assistance, MAIN DATA'!$AA:$AA,1)</f>
        <v>0</v>
      </c>
      <c r="CG12" s="2">
        <f>SUMIFS('Bilateral Assistance, MAIN DATA'!$N:$N,'Bilateral Assistance, MAIN DATA'!$B:$B,'Share, Heavy Weapons to Ukraine'!$B12,'Bilateral Assistance, MAIN DATA'!$AO:$AO,'Share, Heavy Weapons to Ukraine'!CG$11, 'Bilateral Assistance, MAIN DATA'!$AA:$AA,1)</f>
        <v>0</v>
      </c>
      <c r="CH12" s="2">
        <f>SUMIFS('Bilateral Assistance, MAIN DATA'!$N:$N,'Bilateral Assistance, MAIN DATA'!$B:$B,'Share, Heavy Weapons to Ukraine'!$B12,'Bilateral Assistance, MAIN DATA'!$AO:$AO,'Share, Heavy Weapons to Ukraine'!CH$11, 'Bilateral Assistance, MAIN DATA'!$AA:$AA,1)</f>
        <v>0</v>
      </c>
    </row>
    <row r="13" spans="2:87" ht="15.6" x14ac:dyDescent="0.3">
      <c r="B13" s="470" t="s">
        <v>2864</v>
      </c>
      <c r="C13" s="470">
        <v>1</v>
      </c>
      <c r="D13" s="2">
        <v>0</v>
      </c>
      <c r="E13" s="471"/>
      <c r="F13" s="472">
        <v>71.599999999999994</v>
      </c>
      <c r="G13" s="470">
        <f>VLOOKUP(B13,'Heavy Weapon Stocks'!B:OE,COLUMN('Heavy Weapon Stocks'!$C$11)-1,FALSE)</f>
        <v>227</v>
      </c>
      <c r="H13" s="470">
        <f>VLOOKUP(B13,'Heavy Weapon Stocks'!B:OE,COLUMN('Heavy Weapon Stocks'!$AT$11)-1,FALSE)</f>
        <v>409</v>
      </c>
      <c r="I13" s="470">
        <f>VLOOKUP(B13,'Heavy Weapon Stocks'!B:OE,COLUMN('Heavy Weapon Stocks'!$DN$11)-1,FALSE)</f>
        <v>396</v>
      </c>
      <c r="J13" s="470">
        <f>VLOOKUP(B13,'Heavy Weapon Stocks'!B:OE,COLUMN('Heavy Weapon Stocks'!$EB$11)-1,FALSE)</f>
        <v>1262</v>
      </c>
      <c r="K13" s="470">
        <f>VLOOKUP(B13,'Heavy Weapon Stocks'!B:OE,COLUMN('Heavy Weapon Stocks'!$FD$11)-1,FALSE)</f>
        <v>388</v>
      </c>
      <c r="L13" s="470">
        <f t="shared" ref="L13:L48" si="0">SUM(H13:K13)</f>
        <v>2455</v>
      </c>
      <c r="M13" s="470">
        <f>VLOOKUP(B13,'Heavy Weapon Stocks'!B:OE,COLUMN('Heavy Weapon Stocks'!$GZ$11)-1,FALSE)+VLOOKUP(B13,'Heavy Weapon Stocks'!B:OE,COLUMN('Heavy Weapon Stocks'!$IF$11)-1,FALSE)</f>
        <v>109</v>
      </c>
      <c r="N13" s="470">
        <f>VLOOKUP(B13,'Heavy Weapon Stocks'!B:OE,COLUMN('Heavy Weapon Stocks'!$IK$11)-1,FALSE)</f>
        <v>35</v>
      </c>
      <c r="O13" s="470">
        <f>VLOOKUP(B13,'Heavy Weapon Stocks'!B:OE,COLUMN('Heavy Weapon Stocks'!$JE$11)-1,FALSE)+VLOOKUP(B13,'Heavy Weapon Stocks'!B:OE,COLUMN('Heavy Weapon Stocks'!$KB$11)-1,FALSE)</f>
        <v>167</v>
      </c>
      <c r="P13" s="470">
        <v>60</v>
      </c>
      <c r="Q13" s="470">
        <f>VLOOKUP(B13,'Heavy Weapon Stocks'!B:OE,COLUMN('Heavy Weapon Stocks'!$LS$11)-1,FALSE)</f>
        <v>0</v>
      </c>
      <c r="R13" s="470">
        <f>VLOOKUP(B13,'Heavy Weapon Stocks'!B:OE,COLUMN('Heavy Weapon Stocks'!$MC$11)-1,FALSE)</f>
        <v>0</v>
      </c>
      <c r="S13" s="470">
        <f>VLOOKUP(B13,'Heavy Weapon Stocks'!B:OE,COLUMN('Heavy Weapon Stocks'!$MJ$11)-1,FALSE)</f>
        <v>0</v>
      </c>
      <c r="T13" s="470">
        <f>VLOOKUP(B13,'Heavy Weapon Stocks'!B:OE,COLUMN('Heavy Weapon Stocks'!$NO$11)-1,FALSE)</f>
        <v>74</v>
      </c>
      <c r="U13" s="471"/>
      <c r="V13" s="2">
        <f>SUMIFS('Bilateral Assistance, MAIN DATA'!$M:$M,'Bilateral Assistance, MAIN DATA'!$B:$B,'Share, Heavy Weapons to Ukraine'!$B13,'Bilateral Assistance, MAIN DATA'!$AO:$AO,'Share, Heavy Weapons to Ukraine'!V$11)</f>
        <v>14</v>
      </c>
      <c r="W13" s="2">
        <f>SUMIFS('Bilateral Assistance, MAIN DATA'!$M:$M,'Bilateral Assistance, MAIN DATA'!$B:$B,'Share, Heavy Weapons to Ukraine'!$B13,'Bilateral Assistance, MAIN DATA'!$AO:$AO,'Share, Heavy Weapons to Ukraine'!W$11)</f>
        <v>35</v>
      </c>
      <c r="X13" s="2">
        <f>SUMIFS('Bilateral Assistance, MAIN DATA'!$M:$M,'Bilateral Assistance, MAIN DATA'!$B:$B,'Share, Heavy Weapons to Ukraine'!$B13,'Bilateral Assistance, MAIN DATA'!$AO:$AO,'Share, Heavy Weapons to Ukraine'!X$11)</f>
        <v>80</v>
      </c>
      <c r="Y13" s="2">
        <f>SUMIFS('Bilateral Assistance, MAIN DATA'!$M:$M,'Bilateral Assistance, MAIN DATA'!$B:$B,'Share, Heavy Weapons to Ukraine'!$B13,'Bilateral Assistance, MAIN DATA'!$AO:$AO,'Share, Heavy Weapons to Ukraine'!Y$11)</f>
        <v>5</v>
      </c>
      <c r="Z13" s="2">
        <f>SUMIFS('Bilateral Assistance, MAIN DATA'!$M:$M,'Bilateral Assistance, MAIN DATA'!$B:$B,'Share, Heavy Weapons to Ukraine'!$B13,'Bilateral Assistance, MAIN DATA'!$AO:$AO,'Share, Heavy Weapons to Ukraine'!Z$11)</f>
        <v>0</v>
      </c>
      <c r="AA13" s="2">
        <f t="shared" ref="AA13:AA48" si="1">SUM(W13:Z13)</f>
        <v>120</v>
      </c>
      <c r="AB13" s="2">
        <f>SUMIFS('Bilateral Assistance, MAIN DATA'!$M:$M,'Bilateral Assistance, MAIN DATA'!$B:$B,'Share, Heavy Weapons to Ukraine'!$B13,'Bilateral Assistance, MAIN DATA'!$AO:$AO,'Share, Heavy Weapons to Ukraine'!AB$11)</f>
        <v>58</v>
      </c>
      <c r="AC13" s="25">
        <f>SUMIFS('Bilateral Assistance, MAIN DATA'!$M:$M,'Bilateral Assistance, MAIN DATA'!$B:$B,'Share, Heavy Weapons to Ukraine'!$B13,'Bilateral Assistance, MAIN DATA'!$AO:$AO,"122mm MLRS")+SUMIFS('Bilateral Assistance, MAIN DATA'!$M:$M,'Bilateral Assistance, MAIN DATA'!$B:$B,'Share, Heavy Weapons to Ukraine'!$B13,'Bilateral Assistance, MAIN DATA'!$AO:$AO,"127mm MLRS")+SUMIFS('Bilateral Assistance, MAIN DATA'!$M:$M,'Bilateral Assistance, MAIN DATA'!$B:$B,'Share, Heavy Weapons to Ukraine'!$B13,'Bilateral Assistance, MAIN DATA'!$AO:$AO,"227mm MLRS")</f>
        <v>6</v>
      </c>
      <c r="AD13" s="2">
        <f>SUMIFS('Bilateral Assistance, MAIN DATA'!$M:$M,'Bilateral Assistance, MAIN DATA'!$B:$B,'Share, Heavy Weapons to Ukraine'!$B13,'Bilateral Assistance, MAIN DATA'!$AO:$AO,'Share, Heavy Weapons to Ukraine'!AD$11)</f>
        <v>0</v>
      </c>
      <c r="AE13" s="2">
        <f>SUMIFS('Bilateral Assistance, MAIN DATA'!$M:$M,'Bilateral Assistance, MAIN DATA'!$B:$B,'Share, Heavy Weapons to Ukraine'!$B13,'Bilateral Assistance, MAIN DATA'!$AO:$AO,'Share, Heavy Weapons to Ukraine'!AE$11)</f>
        <v>0</v>
      </c>
      <c r="AF13" s="2">
        <f>SUMIFS('Bilateral Assistance, MAIN DATA'!$M:$M,'Bilateral Assistance, MAIN DATA'!$B:$B,'Share, Heavy Weapons to Ukraine'!$B13,'Bilateral Assistance, MAIN DATA'!$AO:$AO,'Share, Heavy Weapons to Ukraine'!AF$11)</f>
        <v>0</v>
      </c>
      <c r="AG13" s="2">
        <f>SUMIFS('Bilateral Assistance, MAIN DATA'!$M:$M,'Bilateral Assistance, MAIN DATA'!$B:$B,'Share, Heavy Weapons to Ukraine'!$B13,'Bilateral Assistance, MAIN DATA'!$AO:$AO,'Share, Heavy Weapons to Ukraine'!AG$11)</f>
        <v>0</v>
      </c>
      <c r="AH13" s="2">
        <f>SUMIFS('Bilateral Assistance, MAIN DATA'!$M:$M,'Bilateral Assistance, MAIN DATA'!$B:$B,'Share, Heavy Weapons to Ukraine'!$B13,'Bilateral Assistance, MAIN DATA'!$AO:$AO,'Share, Heavy Weapons to Ukraine'!AH$11)</f>
        <v>6</v>
      </c>
      <c r="AI13" s="471"/>
      <c r="AJ13" s="2">
        <f>SUMIFS('Bilateral Assistance, MAIN DATA'!$N:$N,'Bilateral Assistance, MAIN DATA'!$B:$B,'Share, Heavy Weapons to Ukraine'!$B13,'Bilateral Assistance, MAIN DATA'!$AO:$AO,'Share, Heavy Weapons to Ukraine'!AJ$11)</f>
        <v>0</v>
      </c>
      <c r="AK13" s="2">
        <f>SUMIFS('Bilateral Assistance, MAIN DATA'!$N:$N,'Bilateral Assistance, MAIN DATA'!$B:$B,'Share, Heavy Weapons to Ukraine'!$B13,'Bilateral Assistance, MAIN DATA'!$AO:$AO,'Share, Heavy Weapons to Ukraine'!AK$11)</f>
        <v>35</v>
      </c>
      <c r="AL13" s="2">
        <f>SUMIFS('Bilateral Assistance, MAIN DATA'!$N:$N,'Bilateral Assistance, MAIN DATA'!$B:$B,'Share, Heavy Weapons to Ukraine'!$B13,'Bilateral Assistance, MAIN DATA'!$AO:$AO,'Share, Heavy Weapons to Ukraine'!AL$11)</f>
        <v>80</v>
      </c>
      <c r="AM13" s="2">
        <f>SUMIFS('Bilateral Assistance, MAIN DATA'!$N:$N,'Bilateral Assistance, MAIN DATA'!$B:$B,'Share, Heavy Weapons to Ukraine'!$B13,'Bilateral Assistance, MAIN DATA'!$AO:$AO,'Share, Heavy Weapons to Ukraine'!AM$11)</f>
        <v>5</v>
      </c>
      <c r="AN13" s="2">
        <f>SUMIFS('Bilateral Assistance, MAIN DATA'!$N:$N,'Bilateral Assistance, MAIN DATA'!$B:$B,'Share, Heavy Weapons to Ukraine'!$B13,'Bilateral Assistance, MAIN DATA'!$AO:$AO,'Share, Heavy Weapons to Ukraine'!AN$11)</f>
        <v>0</v>
      </c>
      <c r="AO13" s="2">
        <f t="shared" ref="AO13:AO48" si="2">SUM(AK13:AN13)</f>
        <v>120</v>
      </c>
      <c r="AP13" s="2">
        <f>SUMIFS('Bilateral Assistance, MAIN DATA'!$N:$N,'Bilateral Assistance, MAIN DATA'!$B:$B,'Share, Heavy Weapons to Ukraine'!$B13,'Bilateral Assistance, MAIN DATA'!$AO:$AO,'Share, Heavy Weapons to Ukraine'!AP$11)</f>
        <v>28</v>
      </c>
      <c r="AQ13" s="25">
        <f>SUMIFS('Bilateral Assistance, MAIN DATA'!$N:$N,'Bilateral Assistance, MAIN DATA'!$B:$B,'Share, Heavy Weapons to Ukraine'!$B13,'Bilateral Assistance, MAIN DATA'!$AO:$AO,"122mm MLRS")+SUMIFS('Bilateral Assistance, MAIN DATA'!$N:$N,'Bilateral Assistance, MAIN DATA'!$B:$B,'Share, Heavy Weapons to Ukraine'!$B13,'Bilateral Assistance, MAIN DATA'!$AO:$AO,"127mm MLRS")+SUMIFS('Bilateral Assistance, MAIN DATA'!$N:$N,'Bilateral Assistance, MAIN DATA'!$B:$B,'Share, Heavy Weapons to Ukraine'!$B13,'Bilateral Assistance, MAIN DATA'!$AO:$AO,"227mm MLRS")</f>
        <v>3</v>
      </c>
      <c r="AR13" s="2">
        <f>SUMIFS('Bilateral Assistance, MAIN DATA'!$N:$N,'Bilateral Assistance, MAIN DATA'!$B:$B,'Share, Heavy Weapons to Ukraine'!$B13,'Bilateral Assistance, MAIN DATA'!$AO:$AO,'Share, Heavy Weapons to Ukraine'!AR$11)</f>
        <v>0</v>
      </c>
      <c r="AS13" s="2">
        <f>SUMIFS('Bilateral Assistance, MAIN DATA'!$N:$N,'Bilateral Assistance, MAIN DATA'!$B:$B,'Share, Heavy Weapons to Ukraine'!$B13,'Bilateral Assistance, MAIN DATA'!$AO:$AO,'Share, Heavy Weapons to Ukraine'!AS$11)</f>
        <v>0</v>
      </c>
      <c r="AT13" s="2">
        <f>SUMIFS('Bilateral Assistance, MAIN DATA'!$N:$N,'Bilateral Assistance, MAIN DATA'!$B:$B,'Share, Heavy Weapons to Ukraine'!$B13,'Bilateral Assistance, MAIN DATA'!$AO:$AO,'Share, Heavy Weapons to Ukraine'!AT$11)</f>
        <v>0</v>
      </c>
      <c r="AU13" s="2">
        <f>SUMIFS('Bilateral Assistance, MAIN DATA'!$N:$N,'Bilateral Assistance, MAIN DATA'!$B:$B,'Share, Heavy Weapons to Ukraine'!$B13,'Bilateral Assistance, MAIN DATA'!$AO:$AO,'Share, Heavy Weapons to Ukraine'!AU$11)</f>
        <v>0</v>
      </c>
      <c r="AV13" s="2">
        <f>SUMIFS('Bilateral Assistance, MAIN DATA'!$N:$N,'Bilateral Assistance, MAIN DATA'!$B:$B,'Share, Heavy Weapons to Ukraine'!$B13,'Bilateral Assistance, MAIN DATA'!$AO:$AO,'Share, Heavy Weapons to Ukraine'!AV$11)</f>
        <v>6</v>
      </c>
      <c r="AW13" s="471"/>
      <c r="AX13" s="292">
        <f>IF(VLOOKUP($B13,$B:G,COLUMN(G12)-1,FALSE)&lt;&gt;0,VLOOKUP($B13,$B:V,COLUMN(V12)-1,FALSE)/VLOOKUP($B13,$B:G,COLUMN(G12)-1,FALSE),IF(VLOOKUP($B13,$B:V,COLUMN(V12)-1,FALSE)&lt;&gt;0,"Strange",0))</f>
        <v>6.1674008810572688E-2</v>
      </c>
      <c r="AY13" s="292">
        <f>IF(VLOOKUP($B13,$B:H,COLUMN(H12)-1,FALSE)&lt;&gt;0,VLOOKUP($B13,$B:W,COLUMN(W12)-1,FALSE)/VLOOKUP($B13,$B:H,COLUMN(H12)-1,FALSE),IF(VLOOKUP($B13,$B:W,COLUMN(W12)-1,FALSE)&lt;&gt;0,"Strange",0))</f>
        <v>8.557457212713937E-2</v>
      </c>
      <c r="AZ13" s="292">
        <f>IF(VLOOKUP($B13,$B:I,COLUMN(I12)-1,FALSE)&lt;&gt;0,VLOOKUP($B13,$B:X,COLUMN(X12)-1,FALSE)/VLOOKUP($B13,$B:I,COLUMN(I12)-1,FALSE),IF(VLOOKUP($B13,$B:X,COLUMN(X12)-1,FALSE)&lt;&gt;0,"Strange",0))</f>
        <v>0.20202020202020202</v>
      </c>
      <c r="BA13" s="292">
        <f>IF(VLOOKUP($B13,$B:J,COLUMN(J12)-1,FALSE)&lt;&gt;0,VLOOKUP($B13,$B:Y,COLUMN(Y12)-1,FALSE)/VLOOKUP($B13,$B:J,COLUMN(J12)-1,FALSE),IF(VLOOKUP($B13,$B:Y,COLUMN(Y12)-1,FALSE)&lt;&gt;0,"Strange",0))</f>
        <v>3.9619651347068147E-3</v>
      </c>
      <c r="BB13" s="292">
        <f>IF(VLOOKUP($B13,$B:K,COLUMN(K12)-1,FALSE)&lt;&gt;0,VLOOKUP($B13,$B:Z,COLUMN(Z12)-1,FALSE)/VLOOKUP($B13,$B:K,COLUMN(K12)-1,FALSE),IF(VLOOKUP($B13,$B:Z,COLUMN(Z12)-1,FALSE)&lt;&gt;0,"Strange",0))</f>
        <v>0</v>
      </c>
      <c r="BC13" s="292">
        <f>IF(VLOOKUP($B13,$B:L,COLUMN(L12)-1,FALSE)&lt;&gt;0,VLOOKUP($B13,$B:AA,COLUMN(AA12)-1,FALSE)/VLOOKUP($B13,$B:L,COLUMN(L12)-1,FALSE),IF(VLOOKUP($B13,$B:AA,COLUMN(AA12)-1,FALSE)&lt;&gt;0,"Strange",0))</f>
        <v>4.8879837067209775E-2</v>
      </c>
      <c r="BD13" s="292">
        <f>IF(VLOOKUP($B13,$B:M,COLUMN(M12)-1,FALSE)&lt;&gt;0,VLOOKUP($B13,$B:AB,COLUMN(AB12)-1,FALSE)/VLOOKUP($B13,$B:M,COLUMN(M12)-1,FALSE),IF(VLOOKUP($B13,$B:AB,COLUMN(AB12)-1,FALSE)&lt;&gt;0,"Strange",0))</f>
        <v>0.5321100917431193</v>
      </c>
      <c r="BE13" s="292">
        <f>IF(VLOOKUP($B13,$B:N,COLUMN(N12)-1,FALSE)&lt;&gt;0,VLOOKUP($B13,$B:AC,COLUMN(AC12)-1,FALSE)/VLOOKUP($B13,$B:N,COLUMN(N12)-1,FALSE),IF(VLOOKUP($B13,$B:AC,COLUMN(AC12)-1,FALSE)&lt;&gt;0,"Strange",0))</f>
        <v>0.17142857142857143</v>
      </c>
      <c r="BF13" s="292">
        <f>IF(VLOOKUP($B13,$B:O,COLUMN(O12)-1,FALSE)&lt;&gt;0,VLOOKUP($B13,$B:AD,COLUMN(AD12)-1,FALSE)/VLOOKUP($B13,$B:O,COLUMN(O12)-1,FALSE),IF(VLOOKUP($B13,$B:AD,COLUMN(AD12)-1,FALSE)&lt;&gt;0,"Strange",0))</f>
        <v>0</v>
      </c>
      <c r="BG13" s="292">
        <f>IF(VLOOKUP($B13,$B:Q,COLUMN(Q12)-1,FALSE)&lt;&gt;0,VLOOKUP($B13,$B:AE,COLUMN(AE12)-1,FALSE)/VLOOKUP($B13,$B:Q,COLUMN(Q12)-1,FALSE),IF(VLOOKUP($B13,$B:AE,COLUMN(AE12)-1,FALSE)&lt;&gt;0,"Strange",0))</f>
        <v>0</v>
      </c>
      <c r="BH13" s="292">
        <f>IF(VLOOKUP($B13,$B:R,COLUMN(R12)-1,FALSE)&lt;&gt;0,VLOOKUP($B13,$B:AF,COLUMN(AF12)-1,FALSE)/VLOOKUP($B13,$B:R,COLUMN(R12)-1,FALSE),IF(VLOOKUP($B13,$B:AF,COLUMN(AF12)-1,FALSE)&lt;&gt;0,"Strange",0))</f>
        <v>0</v>
      </c>
      <c r="BI13" s="292">
        <f>IF(VLOOKUP($B13,$B:S,COLUMN(S12)-1,FALSE)&lt;&gt;0,VLOOKUP($B13,$B:AG,COLUMN(AG12)-1,FALSE)/VLOOKUP($B13,$B:S,COLUMN(S12)-1,FALSE),IF(VLOOKUP($B13,$B:AG,COLUMN(AG12)-1,FALSE)&lt;&gt;0,"Strange",0))</f>
        <v>0</v>
      </c>
      <c r="BJ13" s="292">
        <f>IF(VLOOKUP($B13,$B:T,COLUMN(T12)-1,FALSE)&lt;&gt;0,VLOOKUP($B13,$B:AH,COLUMN(AH12)-1,FALSE)/VLOOKUP($B13,$B:T,COLUMN(T12)-1,FALSE),IF(VLOOKUP($B13,$B:AH,COLUMN(AH12)-1,FALSE)&lt;&gt;0,"Strange",0))</f>
        <v>8.1081081081081086E-2</v>
      </c>
      <c r="BK13" s="471"/>
      <c r="BL13" s="2">
        <f>IF(VLOOKUP($B13,$B:W,COLUMN(G12)-1,FALSE)&lt;&gt;0,VLOOKUP($B13,$B:AK,COLUMN(AJ12)-1,FALSE)/VLOOKUP($B13,$B:W,COLUMN(G12)-1,FALSE),IF(VLOOKUP($B13,$B:AK,COLUMN(AJ12)-1,FALSE)&lt;&gt;0,"Strange",0))</f>
        <v>0</v>
      </c>
      <c r="BM13" s="2">
        <f>IF(VLOOKUP($B13,$B:X,COLUMN(H12)-1,FALSE)&lt;&gt;0,VLOOKUP($B13,$B:AL,COLUMN(AK12)-1,FALSE)/VLOOKUP($B13,$B:X,COLUMN(H12)-1,FALSE),IF(VLOOKUP($B13,$B:AL,COLUMN(AK12)-1,FALSE)&lt;&gt;0,"Strange",0))</f>
        <v>8.557457212713937E-2</v>
      </c>
      <c r="BN13" s="2">
        <f>IF(VLOOKUP($B13,$B:Y,COLUMN(I12)-1,FALSE)&lt;&gt;0,VLOOKUP($B13,$B:AM,COLUMN(AL12)-1,FALSE)/VLOOKUP($B13,$B:Y,COLUMN(I12)-1,FALSE),IF(VLOOKUP($B13,$B:AM,COLUMN(AL12)-1,FALSE)&lt;&gt;0,"Strange",0))</f>
        <v>0.20202020202020202</v>
      </c>
      <c r="BO13" s="2">
        <f>IF(VLOOKUP($B13,$B:Z,COLUMN(J12)-1,FALSE)&lt;&gt;0,VLOOKUP($B13,$B:AN,COLUMN(AM12)-1,FALSE)/VLOOKUP($B13,$B:Z,COLUMN(J12)-1,FALSE),IF(VLOOKUP($B13,$B:AN,COLUMN(AM12)-1,FALSE)&lt;&gt;0,"Strange",0))</f>
        <v>3.9619651347068147E-3</v>
      </c>
      <c r="BP13" s="2">
        <f>IF(VLOOKUP($B13,$B:AB,COLUMN(K12)-1,FALSE)&lt;&gt;0,VLOOKUP($B13,$B:AP,COLUMN(AN12)-1,FALSE)/VLOOKUP($B13,$B:AB,COLUMN(K12)-1,FALSE),IF(VLOOKUP($B13,$B:AP,COLUMN(AN12)-1,FALSE)&lt;&gt;0,"Strange",0))</f>
        <v>0</v>
      </c>
      <c r="BQ13" s="2">
        <f>IF(VLOOKUP($B13,$B:AC,COLUMN(L12)-1,FALSE)&lt;&gt;0,VLOOKUP($B13,$B:AQ,COLUMN(AO12)-1,FALSE)/VLOOKUP($B13,$B:AC,COLUMN(L12)-1,FALSE),IF(VLOOKUP($B13,$B:AQ,COLUMN(AO12)-1,FALSE)&lt;&gt;0,"Strange",0))</f>
        <v>4.8879837067209775E-2</v>
      </c>
      <c r="BR13" s="2">
        <f>IF(VLOOKUP($B13,$B:AC,COLUMN(M12)-1,FALSE)&lt;&gt;0,VLOOKUP($B13,$B:AQ,COLUMN(AP12)-1,FALSE)/VLOOKUP($B13,$B:AC,COLUMN(M12)-1,FALSE),IF(VLOOKUP($B13,$B:AQ,COLUMN(AP12)-1,FALSE)&lt;&gt;0,"Strange",0))</f>
        <v>0.25688073394495414</v>
      </c>
      <c r="BS13" s="2">
        <f>IF(VLOOKUP($B13,$B:AD,COLUMN(N12)-1,FALSE)&lt;&gt;0,VLOOKUP($B13,$B:AR,COLUMN(AQ12)-1,FALSE)/VLOOKUP($B13,$B:AD,COLUMN(N12)-1,FALSE),IF(VLOOKUP($B13,$B:AR,COLUMN(AQ12)-1,FALSE)&lt;&gt;0,"Strange",0))</f>
        <v>8.5714285714285715E-2</v>
      </c>
      <c r="BT13" s="2">
        <f>IF(VLOOKUP($B13,$B:AD,COLUMN(O12)-1,FALSE)&lt;&gt;0,VLOOKUP($B13,$B:AR,COLUMN(AR12)-1,FALSE)/VLOOKUP($B13,$B:AD,COLUMN(O12)-1,FALSE),IF(VLOOKUP($B13,$B:AR,COLUMN(AR12)-1,FALSE)&lt;&gt;0,"Strange",0))</f>
        <v>0</v>
      </c>
      <c r="BU13" s="2">
        <f>IF(VLOOKUP($B13,$B:AE,COLUMN(Q12)-1,FALSE)&lt;&gt;0,VLOOKUP($B13,$B:AS,COLUMN(AS12)-1,FALSE)/VLOOKUP($B13,$B:AE,COLUMN(Q12)-1,FALSE),IF(VLOOKUP($B13,$B:AS,COLUMN(AS12)-1,FALSE)&lt;&gt;0,"Strange",0))</f>
        <v>0</v>
      </c>
      <c r="BV13" s="2">
        <f>IF(VLOOKUP($B13,$B:AF,COLUMN(R12)-1,FALSE)&lt;&gt;0,VLOOKUP($B13,$B:AT,COLUMN(AT12)-1,FALSE)/VLOOKUP($B13,$B:AF,COLUMN(R12)-1,FALSE),IF(VLOOKUP($B13,$B:AT,COLUMN(AT12)-1,FALSE)&lt;&gt;0,"Strange",0))</f>
        <v>0</v>
      </c>
      <c r="BW13" s="2">
        <f>IF(VLOOKUP($B13,$B:AG,COLUMN(S12)-1,FALSE)&lt;&gt;0,VLOOKUP($B13,$B:AU,COLUMN(AU12)-1,FALSE)/VLOOKUP($B13,$B:AG,COLUMN(S12)-1,FALSE),IF(VLOOKUP($B13,$B:AU,COLUMN(AU12)-1,FALSE)&lt;&gt;0,"Strange",0))</f>
        <v>0</v>
      </c>
      <c r="BX13" s="2">
        <f>IF(VLOOKUP($B13,$B:AH,COLUMN(T12)-1,FALSE)&lt;&gt;0,VLOOKUP($B13,$B:AV,COLUMN(AV12)-1,FALSE)/VLOOKUP($B13,$B:AH,COLUMN(T12)-1,FALSE),IF(VLOOKUP($B13,$B:AV,COLUMN(AV12)-1,FALSE)&lt;&gt;0,"Strange",0))</f>
        <v>8.1081081081081086E-2</v>
      </c>
      <c r="BY13" s="471"/>
      <c r="BZ13" s="2">
        <f>SUMIFS('Bilateral Assistance, MAIN DATA'!$M:$M,'Bilateral Assistance, MAIN DATA'!$B:$B,'Share, Heavy Weapons to Ukraine'!$B13,'Bilateral Assistance, MAIN DATA'!$AO:$AO,'Share, Heavy Weapons to Ukraine'!BZ$11, 'Bilateral Assistance, MAIN DATA'!$AA:$AA,1)</f>
        <v>0</v>
      </c>
      <c r="CA13" s="2">
        <f>SUMIFS('Bilateral Assistance, MAIN DATA'!$M:$M,'Bilateral Assistance, MAIN DATA'!$B:$B,'Share, Heavy Weapons to Ukraine'!$B13,'Bilateral Assistance, MAIN DATA'!$AO:$AO,'Share, Heavy Weapons to Ukraine'!CA$11, 'Bilateral Assistance, MAIN DATA'!$AA:$AA,1)</f>
        <v>0</v>
      </c>
      <c r="CB13" s="2">
        <f>SUMIFS('Bilateral Assistance, MAIN DATA'!$M:$M,'Bilateral Assistance, MAIN DATA'!$B:$B,'Share, Heavy Weapons to Ukraine'!$B13,'Bilateral Assistance, MAIN DATA'!$AO:$AO,'Share, Heavy Weapons to Ukraine'!CB$11, 'Bilateral Assistance, MAIN DATA'!$AA:$AA,1)</f>
        <v>0</v>
      </c>
      <c r="CC13" s="2">
        <f>SUMIFS('Bilateral Assistance, MAIN DATA'!$M:$M,'Bilateral Assistance, MAIN DATA'!$B:$B,'Share, Heavy Weapons to Ukraine'!$B13,'Bilateral Assistance, MAIN DATA'!$AO:$AO,'Share, Heavy Weapons to Ukraine'!CC$11, 'Bilateral Assistance, MAIN DATA'!$AA:$AA,1)</f>
        <v>0</v>
      </c>
      <c r="CD13" s="471"/>
      <c r="CE13" s="2">
        <f>SUMIFS('Bilateral Assistance, MAIN DATA'!$N:$N,'Bilateral Assistance, MAIN DATA'!$B:$B,'Share, Heavy Weapons to Ukraine'!$B13,'Bilateral Assistance, MAIN DATA'!$AO:$AO,'Share, Heavy Weapons to Ukraine'!CE$11, 'Bilateral Assistance, MAIN DATA'!$AA:$AA,1)</f>
        <v>0</v>
      </c>
      <c r="CF13" s="2">
        <f>SUMIFS('Bilateral Assistance, MAIN DATA'!$N:$N,'Bilateral Assistance, MAIN DATA'!$B:$B,'Share, Heavy Weapons to Ukraine'!$B13,'Bilateral Assistance, MAIN DATA'!$AO:$AO,'Share, Heavy Weapons to Ukraine'!CF$11, 'Bilateral Assistance, MAIN DATA'!$AA:$AA,1)</f>
        <v>0</v>
      </c>
      <c r="CG13" s="2">
        <f>SUMIFS('Bilateral Assistance, MAIN DATA'!$N:$N,'Bilateral Assistance, MAIN DATA'!$B:$B,'Share, Heavy Weapons to Ukraine'!$B13,'Bilateral Assistance, MAIN DATA'!$AO:$AO,'Share, Heavy Weapons to Ukraine'!CG$11, 'Bilateral Assistance, MAIN DATA'!$AA:$AA,1)</f>
        <v>0</v>
      </c>
      <c r="CH13" s="2">
        <f>SUMIFS('Bilateral Assistance, MAIN DATA'!$N:$N,'Bilateral Assistance, MAIN DATA'!$B:$B,'Share, Heavy Weapons to Ukraine'!$B13,'Bilateral Assistance, MAIN DATA'!$AO:$AO,'Share, Heavy Weapons to Ukraine'!CH$11, 'Bilateral Assistance, MAIN DATA'!$AA:$AA,1)</f>
        <v>0</v>
      </c>
    </row>
    <row r="14" spans="2:87" ht="15.6" x14ac:dyDescent="0.3">
      <c r="B14" s="470" t="s">
        <v>1131</v>
      </c>
      <c r="C14" s="470">
        <v>0</v>
      </c>
      <c r="D14" s="2">
        <v>1</v>
      </c>
      <c r="E14" s="471"/>
      <c r="F14" s="472">
        <v>59.3</v>
      </c>
      <c r="G14" s="470">
        <f>VLOOKUP(B14,'Heavy Weapon Stocks'!B:OE,COLUMN('Heavy Weapon Stocks'!$C$11)-1,FALSE)</f>
        <v>467</v>
      </c>
      <c r="H14" s="470">
        <f>VLOOKUP(B14,'Heavy Weapon Stocks'!B:OE,COLUMN('Heavy Weapon Stocks'!$AT$11)-1,FALSE)</f>
        <v>2596</v>
      </c>
      <c r="I14" s="470">
        <f>VLOOKUP(B14,'Heavy Weapon Stocks'!B:OE,COLUMN('Heavy Weapon Stocks'!$DN$11)-1,FALSE)</f>
        <v>20</v>
      </c>
      <c r="J14" s="470">
        <f>VLOOKUP(B14,'Heavy Weapon Stocks'!B:OE,COLUMN('Heavy Weapon Stocks'!$EB$11)-1,FALSE)</f>
        <v>0</v>
      </c>
      <c r="K14" s="470">
        <f>VLOOKUP(B14,'Heavy Weapon Stocks'!B:OE,COLUMN('Heavy Weapon Stocks'!$FD$11)-1,FALSE)</f>
        <v>706</v>
      </c>
      <c r="L14" s="470">
        <f t="shared" ref="L14:L45" si="3">SUM(H14:K14)</f>
        <v>3322</v>
      </c>
      <c r="M14" s="470">
        <f>VLOOKUP(B14,'Heavy Weapon Stocks'!B:OE,COLUMN('Heavy Weapon Stocks'!$GZ$11)-1,FALSE)+VLOOKUP(B14,'Heavy Weapon Stocks'!B:OE,COLUMN('Heavy Weapon Stocks'!$IF$11)-1,FALSE)</f>
        <v>120</v>
      </c>
      <c r="N14" s="470">
        <f>VLOOKUP(B14,'Heavy Weapon Stocks'!B:OE,COLUMN('Heavy Weapon Stocks'!$IK$11)-1,FALSE)</f>
        <v>13</v>
      </c>
      <c r="O14" s="470">
        <f>VLOOKUP(B14,'Heavy Weapon Stocks'!B:OE,COLUMN('Heavy Weapon Stocks'!$JE$11)-1,FALSE)+VLOOKUP(B14,'Heavy Weapon Stocks'!B:OE,COLUMN('Heavy Weapon Stocks'!$KB$11)-1,FALSE)</f>
        <v>250</v>
      </c>
      <c r="Q14" s="470">
        <f>VLOOKUP(B14,'Heavy Weapon Stocks'!B:OE,COLUMN('Heavy Weapon Stocks'!$LS$11)-1,FALSE)</f>
        <v>40</v>
      </c>
      <c r="R14" s="470">
        <f>VLOOKUP(B14,'Heavy Weapon Stocks'!B:OE,COLUMN('Heavy Weapon Stocks'!$MC$11)-1,FALSE)</f>
        <v>0</v>
      </c>
      <c r="S14" s="470">
        <f>VLOOKUP(B14,'Heavy Weapon Stocks'!B:OE,COLUMN('Heavy Weapon Stocks'!$MJ$11)-1,FALSE)</f>
        <v>24</v>
      </c>
      <c r="T14" s="470">
        <f>VLOOKUP(B14,'Heavy Weapon Stocks'!B:OE,COLUMN('Heavy Weapon Stocks'!$NO$11)-1,FALSE)</f>
        <v>0</v>
      </c>
      <c r="U14" s="471"/>
      <c r="V14" s="2">
        <f>SUMIFS('Bilateral Assistance, MAIN DATA'!$M:$M,'Bilateral Assistance, MAIN DATA'!$B:$B,'Share, Heavy Weapons to Ukraine'!$B14,'Bilateral Assistance, MAIN DATA'!$AO:$AO,'Share, Heavy Weapons to Ukraine'!V$11)</f>
        <v>0</v>
      </c>
      <c r="W14" s="2">
        <f>SUMIFS('Bilateral Assistance, MAIN DATA'!$M:$M,'Bilateral Assistance, MAIN DATA'!$B:$B,'Share, Heavy Weapons to Ukraine'!$B14,'Bilateral Assistance, MAIN DATA'!$AO:$AO,'Share, Heavy Weapons to Ukraine'!W$11)</f>
        <v>60</v>
      </c>
      <c r="X14" s="2">
        <f>SUMIFS('Bilateral Assistance, MAIN DATA'!$M:$M,'Bilateral Assistance, MAIN DATA'!$B:$B,'Share, Heavy Weapons to Ukraine'!$B14,'Bilateral Assistance, MAIN DATA'!$AO:$AO,'Share, Heavy Weapons to Ukraine'!X$11)</f>
        <v>0</v>
      </c>
      <c r="Y14" s="2">
        <f>SUMIFS('Bilateral Assistance, MAIN DATA'!$M:$M,'Bilateral Assistance, MAIN DATA'!$B:$B,'Share, Heavy Weapons to Ukraine'!$B14,'Bilateral Assistance, MAIN DATA'!$AO:$AO,'Share, Heavy Weapons to Ukraine'!Y$11)</f>
        <v>0</v>
      </c>
      <c r="Z14" s="2">
        <f>SUMIFS('Bilateral Assistance, MAIN DATA'!$M:$M,'Bilateral Assistance, MAIN DATA'!$B:$B,'Share, Heavy Weapons to Ukraine'!$B14,'Bilateral Assistance, MAIN DATA'!$AO:$AO,'Share, Heavy Weapons to Ukraine'!Z$11)</f>
        <v>0</v>
      </c>
      <c r="AA14" s="2">
        <f t="shared" si="1"/>
        <v>60</v>
      </c>
      <c r="AB14" s="2">
        <f>SUMIFS('Bilateral Assistance, MAIN DATA'!$M:$M,'Bilateral Assistance, MAIN DATA'!$B:$B,'Share, Heavy Weapons to Ukraine'!$B14,'Bilateral Assistance, MAIN DATA'!$AO:$AO,'Share, Heavy Weapons to Ukraine'!AB$11)</f>
        <v>24</v>
      </c>
      <c r="AC14" s="25">
        <f>SUMIFS('Bilateral Assistance, MAIN DATA'!$M:$M,'Bilateral Assistance, MAIN DATA'!$B:$B,'Share, Heavy Weapons to Ukraine'!$B14,'Bilateral Assistance, MAIN DATA'!$AO:$AO,"122mm MLRS")+SUMIFS('Bilateral Assistance, MAIN DATA'!$M:$M,'Bilateral Assistance, MAIN DATA'!$B:$B,'Share, Heavy Weapons to Ukraine'!$B14,'Bilateral Assistance, MAIN DATA'!$AO:$AO,"127mm MLRS")+SUMIFS('Bilateral Assistance, MAIN DATA'!$M:$M,'Bilateral Assistance, MAIN DATA'!$B:$B,'Share, Heavy Weapons to Ukraine'!$B14,'Bilateral Assistance, MAIN DATA'!$AO:$AO,"227mm MLRS")</f>
        <v>2</v>
      </c>
      <c r="AD14" s="2">
        <f>SUMIFS('Bilateral Assistance, MAIN DATA'!$M:$M,'Bilateral Assistance, MAIN DATA'!$B:$B,'Share, Heavy Weapons to Ukraine'!$B14,'Bilateral Assistance, MAIN DATA'!$AO:$AO,'Share, Heavy Weapons to Ukraine'!AD$11)</f>
        <v>0</v>
      </c>
      <c r="AE14" s="2">
        <f>SUMIFS('Bilateral Assistance, MAIN DATA'!$M:$M,'Bilateral Assistance, MAIN DATA'!$B:$B,'Share, Heavy Weapons to Ukraine'!$B14,'Bilateral Assistance, MAIN DATA'!$AO:$AO,'Share, Heavy Weapons to Ukraine'!AE$11)</f>
        <v>0</v>
      </c>
      <c r="AF14" s="2">
        <f>SUMIFS('Bilateral Assistance, MAIN DATA'!$M:$M,'Bilateral Assistance, MAIN DATA'!$B:$B,'Share, Heavy Weapons to Ukraine'!$B14,'Bilateral Assistance, MAIN DATA'!$AO:$AO,'Share, Heavy Weapons to Ukraine'!AF$11)</f>
        <v>0</v>
      </c>
      <c r="AG14" s="2">
        <f>SUMIFS('Bilateral Assistance, MAIN DATA'!$M:$M,'Bilateral Assistance, MAIN DATA'!$B:$B,'Share, Heavy Weapons to Ukraine'!$B14,'Bilateral Assistance, MAIN DATA'!$AO:$AO,'Share, Heavy Weapons to Ukraine'!AG$11)</f>
        <v>2</v>
      </c>
      <c r="AH14" s="2">
        <f>SUMIFS('Bilateral Assistance, MAIN DATA'!$M:$M,'Bilateral Assistance, MAIN DATA'!$B:$B,'Share, Heavy Weapons to Ukraine'!$B14,'Bilateral Assistance, MAIN DATA'!$AO:$AO,'Share, Heavy Weapons to Ukraine'!AH$11)</f>
        <v>0</v>
      </c>
      <c r="AI14" s="471"/>
      <c r="AJ14" s="2">
        <f>SUMIFS('Bilateral Assistance, MAIN DATA'!$N:$N,'Bilateral Assistance, MAIN DATA'!$B:$B,'Share, Heavy Weapons to Ukraine'!$B14,'Bilateral Assistance, MAIN DATA'!$AO:$AO,'Share, Heavy Weapons to Ukraine'!AJ$11)</f>
        <v>0</v>
      </c>
      <c r="AK14" s="2">
        <f>SUMIFS('Bilateral Assistance, MAIN DATA'!$N:$N,'Bilateral Assistance, MAIN DATA'!$B:$B,'Share, Heavy Weapons to Ukraine'!$B14,'Bilateral Assistance, MAIN DATA'!$AO:$AO,'Share, Heavy Weapons to Ukraine'!AK$11)</f>
        <v>60</v>
      </c>
      <c r="AL14" s="2">
        <f>SUMIFS('Bilateral Assistance, MAIN DATA'!$N:$N,'Bilateral Assistance, MAIN DATA'!$B:$B,'Share, Heavy Weapons to Ukraine'!$B14,'Bilateral Assistance, MAIN DATA'!$AO:$AO,'Share, Heavy Weapons to Ukraine'!AL$11)</f>
        <v>0</v>
      </c>
      <c r="AM14" s="2">
        <f>SUMIFS('Bilateral Assistance, MAIN DATA'!$N:$N,'Bilateral Assistance, MAIN DATA'!$B:$B,'Share, Heavy Weapons to Ukraine'!$B14,'Bilateral Assistance, MAIN DATA'!$AO:$AO,'Share, Heavy Weapons to Ukraine'!AM$11)</f>
        <v>0</v>
      </c>
      <c r="AN14" s="2">
        <f>SUMIFS('Bilateral Assistance, MAIN DATA'!$N:$N,'Bilateral Assistance, MAIN DATA'!$B:$B,'Share, Heavy Weapons to Ukraine'!$B14,'Bilateral Assistance, MAIN DATA'!$AO:$AO,'Share, Heavy Weapons to Ukraine'!AN$11)</f>
        <v>0</v>
      </c>
      <c r="AO14" s="2">
        <f t="shared" si="2"/>
        <v>60</v>
      </c>
      <c r="AP14" s="2">
        <f>SUMIFS('Bilateral Assistance, MAIN DATA'!$N:$N,'Bilateral Assistance, MAIN DATA'!$B:$B,'Share, Heavy Weapons to Ukraine'!$B14,'Bilateral Assistance, MAIN DATA'!$AO:$AO,'Share, Heavy Weapons to Ukraine'!AP$11)</f>
        <v>18</v>
      </c>
      <c r="AQ14" s="25">
        <f>SUMIFS('Bilateral Assistance, MAIN DATA'!$N:$N,'Bilateral Assistance, MAIN DATA'!$B:$B,'Share, Heavy Weapons to Ukraine'!$B14,'Bilateral Assistance, MAIN DATA'!$AO:$AO,"122mm MLRS")+SUMIFS('Bilateral Assistance, MAIN DATA'!$N:$N,'Bilateral Assistance, MAIN DATA'!$B:$B,'Share, Heavy Weapons to Ukraine'!$B14,'Bilateral Assistance, MAIN DATA'!$AO:$AO,"127mm MLRS")+SUMIFS('Bilateral Assistance, MAIN DATA'!$N:$N,'Bilateral Assistance, MAIN DATA'!$B:$B,'Share, Heavy Weapons to Ukraine'!$B14,'Bilateral Assistance, MAIN DATA'!$AO:$AO,"227mm MLRS")</f>
        <v>2</v>
      </c>
      <c r="AR14" s="2">
        <f>SUMIFS('Bilateral Assistance, MAIN DATA'!$N:$N,'Bilateral Assistance, MAIN DATA'!$B:$B,'Share, Heavy Weapons to Ukraine'!$B14,'Bilateral Assistance, MAIN DATA'!$AO:$AO,'Share, Heavy Weapons to Ukraine'!AR$11)</f>
        <v>0</v>
      </c>
      <c r="AS14" s="2">
        <f>SUMIFS('Bilateral Assistance, MAIN DATA'!$N:$N,'Bilateral Assistance, MAIN DATA'!$B:$B,'Share, Heavy Weapons to Ukraine'!$B14,'Bilateral Assistance, MAIN DATA'!$AO:$AO,'Share, Heavy Weapons to Ukraine'!AS$11)</f>
        <v>0</v>
      </c>
      <c r="AT14" s="2">
        <f>SUMIFS('Bilateral Assistance, MAIN DATA'!$N:$N,'Bilateral Assistance, MAIN DATA'!$B:$B,'Share, Heavy Weapons to Ukraine'!$B14,'Bilateral Assistance, MAIN DATA'!$AO:$AO,'Share, Heavy Weapons to Ukraine'!AT$11)</f>
        <v>0</v>
      </c>
      <c r="AU14" s="2">
        <f>SUMIFS('Bilateral Assistance, MAIN DATA'!$N:$N,'Bilateral Assistance, MAIN DATA'!$B:$B,'Share, Heavy Weapons to Ukraine'!$B14,'Bilateral Assistance, MAIN DATA'!$AO:$AO,'Share, Heavy Weapons to Ukraine'!AU$11)</f>
        <v>2</v>
      </c>
      <c r="AV14" s="2">
        <f>SUMIFS('Bilateral Assistance, MAIN DATA'!$N:$N,'Bilateral Assistance, MAIN DATA'!$B:$B,'Share, Heavy Weapons to Ukraine'!$B14,'Bilateral Assistance, MAIN DATA'!$AO:$AO,'Share, Heavy Weapons to Ukraine'!AV$11)</f>
        <v>0</v>
      </c>
      <c r="AW14" s="471"/>
      <c r="AX14" s="292">
        <f>IF(VLOOKUP($B14,$B:G,COLUMN(G13)-1,FALSE)&lt;&gt;0,VLOOKUP($B14,$B:V,COLUMN(V13)-1,FALSE)/VLOOKUP($B14,$B:G,COLUMN(G13)-1,FALSE),IF(VLOOKUP($B14,$B:V,COLUMN(V13)-1,FALSE)&lt;&gt;0,"Strange",0))</f>
        <v>0</v>
      </c>
      <c r="AY14" s="292">
        <f>IF(VLOOKUP($B14,$B:H,COLUMN(H13)-1,FALSE)&lt;&gt;0,VLOOKUP($B14,$B:W,COLUMN(W13)-1,FALSE)/VLOOKUP($B14,$B:H,COLUMN(H13)-1,FALSE),IF(VLOOKUP($B14,$B:W,COLUMN(W13)-1,FALSE)&lt;&gt;0,"Strange",0))</f>
        <v>2.3112480739599383E-2</v>
      </c>
      <c r="AZ14" s="292">
        <f>IF(VLOOKUP($B14,$B:I,COLUMN(I13)-1,FALSE)&lt;&gt;0,VLOOKUP($B14,$B:X,COLUMN(X13)-1,FALSE)/VLOOKUP($B14,$B:I,COLUMN(I13)-1,FALSE),IF(VLOOKUP($B14,$B:X,COLUMN(X13)-1,FALSE)&lt;&gt;0,"Strange",0))</f>
        <v>0</v>
      </c>
      <c r="BA14" s="292">
        <f>IF(VLOOKUP($B14,$B:J,COLUMN(J13)-1,FALSE)&lt;&gt;0,VLOOKUP($B14,$B:Y,COLUMN(Y13)-1,FALSE)/VLOOKUP($B14,$B:J,COLUMN(J13)-1,FALSE),IF(VLOOKUP($B14,$B:Y,COLUMN(Y13)-1,FALSE)&lt;&gt;0,"Strange",0))</f>
        <v>0</v>
      </c>
      <c r="BB14" s="292">
        <f>IF(VLOOKUP($B14,$B:K,COLUMN(K13)-1,FALSE)&lt;&gt;0,VLOOKUP($B14,$B:Z,COLUMN(Z13)-1,FALSE)/VLOOKUP($B14,$B:K,COLUMN(K13)-1,FALSE),IF(VLOOKUP($B14,$B:Z,COLUMN(Z13)-1,FALSE)&lt;&gt;0,"Strange",0))</f>
        <v>0</v>
      </c>
      <c r="BC14" s="292">
        <f>IF(VLOOKUP($B14,$B:L,COLUMN(L13)-1,FALSE)&lt;&gt;0,VLOOKUP($B14,$B:AA,COLUMN(AA13)-1,FALSE)/VLOOKUP($B14,$B:L,COLUMN(L13)-1,FALSE),IF(VLOOKUP($B14,$B:AA,COLUMN(AA13)-1,FALSE)&lt;&gt;0,"Strange",0))</f>
        <v>1.8061408789885613E-2</v>
      </c>
      <c r="BD14" s="292">
        <f>IF(VLOOKUP($B14,$B:M,COLUMN(M13)-1,FALSE)&lt;&gt;0,VLOOKUP($B14,$B:AB,COLUMN(AB13)-1,FALSE)/VLOOKUP($B14,$B:M,COLUMN(M13)-1,FALSE),IF(VLOOKUP($B14,$B:AB,COLUMN(AB13)-1,FALSE)&lt;&gt;0,"Strange",0))</f>
        <v>0.2</v>
      </c>
      <c r="BE14" s="292">
        <f>IF(VLOOKUP($B14,$B:N,COLUMN(N13)-1,FALSE)&lt;&gt;0,VLOOKUP($B14,$B:AC,COLUMN(AC13)-1,FALSE)/VLOOKUP($B14,$B:N,COLUMN(N13)-1,FALSE),IF(VLOOKUP($B14,$B:AC,COLUMN(AC13)-1,FALSE)&lt;&gt;0,"Strange",0))</f>
        <v>0.15384615384615385</v>
      </c>
      <c r="BF14" s="292">
        <f>IF(VLOOKUP($B14,$B:O,COLUMN(O13)-1,FALSE)&lt;&gt;0,VLOOKUP($B14,$B:AD,COLUMN(AD13)-1,FALSE)/VLOOKUP($B14,$B:O,COLUMN(O13)-1,FALSE),IF(VLOOKUP($B14,$B:AD,COLUMN(AD13)-1,FALSE)&lt;&gt;0,"Strange",0))</f>
        <v>0</v>
      </c>
      <c r="BG14" s="292">
        <f>IF(VLOOKUP($B14,$B:Q,COLUMN(Q13)-1,FALSE)&lt;&gt;0,VLOOKUP($B14,$B:AE,COLUMN(AE13)-1,FALSE)/VLOOKUP($B14,$B:Q,COLUMN(Q13)-1,FALSE),IF(VLOOKUP($B14,$B:AE,COLUMN(AE13)-1,FALSE)&lt;&gt;0,"Strange",0))</f>
        <v>0</v>
      </c>
      <c r="BH14" s="292">
        <f>IF(VLOOKUP($B14,$B:R,COLUMN(R13)-1,FALSE)&lt;&gt;0,VLOOKUP($B14,$B:AF,COLUMN(AF13)-1,FALSE)/VLOOKUP($B14,$B:R,COLUMN(R13)-1,FALSE),IF(VLOOKUP($B14,$B:AF,COLUMN(AF13)-1,FALSE)&lt;&gt;0,"Strange",0))</f>
        <v>0</v>
      </c>
      <c r="BI14" s="292">
        <f>IF(VLOOKUP($B14,$B:S,COLUMN(S13)-1,FALSE)&lt;&gt;0,VLOOKUP($B14,$B:AG,COLUMN(AG13)-1,FALSE)/VLOOKUP($B14,$B:S,COLUMN(S13)-1,FALSE),IF(VLOOKUP($B14,$B:AG,COLUMN(AG13)-1,FALSE)&lt;&gt;0,"Strange",0))</f>
        <v>8.3333333333333329E-2</v>
      </c>
      <c r="BJ14" s="292">
        <f>IF(VLOOKUP($B14,$B:T,COLUMN(T13)-1,FALSE)&lt;&gt;0,VLOOKUP($B14,$B:AH,COLUMN(AH13)-1,FALSE)/VLOOKUP($B14,$B:T,COLUMN(T13)-1,FALSE),IF(VLOOKUP($B14,$B:AH,COLUMN(AH13)-1,FALSE)&lt;&gt;0,"Strange",0))</f>
        <v>0</v>
      </c>
      <c r="BK14" s="471"/>
      <c r="BL14" s="2">
        <f>IF(VLOOKUP($B14,$B:W,COLUMN(G13)-1,FALSE)&lt;&gt;0,VLOOKUP($B14,$B:AK,COLUMN(AJ13)-1,FALSE)/VLOOKUP($B14,$B:W,COLUMN(G13)-1,FALSE),IF(VLOOKUP($B14,$B:AK,COLUMN(AJ13)-1,FALSE)&lt;&gt;0,"Strange",0))</f>
        <v>0</v>
      </c>
      <c r="BM14" s="2">
        <f>IF(VLOOKUP($B14,$B:X,COLUMN(H13)-1,FALSE)&lt;&gt;0,VLOOKUP($B14,$B:AL,COLUMN(AK13)-1,FALSE)/VLOOKUP($B14,$B:X,COLUMN(H13)-1,FALSE),IF(VLOOKUP($B14,$B:AL,COLUMN(AK13)-1,FALSE)&lt;&gt;0,"Strange",0))</f>
        <v>2.3112480739599383E-2</v>
      </c>
      <c r="BN14" s="2">
        <f>IF(VLOOKUP($B14,$B:Y,COLUMN(I13)-1,FALSE)&lt;&gt;0,VLOOKUP($B14,$B:AM,COLUMN(AL13)-1,FALSE)/VLOOKUP($B14,$B:Y,COLUMN(I13)-1,FALSE),IF(VLOOKUP($B14,$B:AM,COLUMN(AL13)-1,FALSE)&lt;&gt;0,"Strange",0))</f>
        <v>0</v>
      </c>
      <c r="BO14" s="2">
        <f>IF(VLOOKUP($B14,$B:Z,COLUMN(J13)-1,FALSE)&lt;&gt;0,VLOOKUP($B14,$B:AN,COLUMN(AM13)-1,FALSE)/VLOOKUP($B14,$B:Z,COLUMN(J13)-1,FALSE),IF(VLOOKUP($B14,$B:AN,COLUMN(AM13)-1,FALSE)&lt;&gt;0,"Strange",0))</f>
        <v>0</v>
      </c>
      <c r="BP14" s="2">
        <f>IF(VLOOKUP($B14,$B:AB,COLUMN(K13)-1,FALSE)&lt;&gt;0,VLOOKUP($B14,$B:AP,COLUMN(AN13)-1,FALSE)/VLOOKUP($B14,$B:AB,COLUMN(K13)-1,FALSE),IF(VLOOKUP($B14,$B:AP,COLUMN(AN13)-1,FALSE)&lt;&gt;0,"Strange",0))</f>
        <v>0</v>
      </c>
      <c r="BQ14" s="2">
        <f>IF(VLOOKUP($B14,$B:AC,COLUMN(L13)-1,FALSE)&lt;&gt;0,VLOOKUP($B14,$B:AQ,COLUMN(AO13)-1,FALSE)/VLOOKUP($B14,$B:AC,COLUMN(L13)-1,FALSE),IF(VLOOKUP($B14,$B:AQ,COLUMN(AO13)-1,FALSE)&lt;&gt;0,"Strange",0))</f>
        <v>1.8061408789885613E-2</v>
      </c>
      <c r="BR14" s="2">
        <f>IF(VLOOKUP($B14,$B:AC,COLUMN(M13)-1,FALSE)&lt;&gt;0,VLOOKUP($B14,$B:AQ,COLUMN(AP13)-1,FALSE)/VLOOKUP($B14,$B:AC,COLUMN(M13)-1,FALSE),IF(VLOOKUP($B14,$B:AQ,COLUMN(AP13)-1,FALSE)&lt;&gt;0,"Strange",0))</f>
        <v>0.15</v>
      </c>
      <c r="BS14" s="2">
        <f>IF(VLOOKUP($B14,$B:AD,COLUMN(N13)-1,FALSE)&lt;&gt;0,VLOOKUP($B14,$B:AR,COLUMN(AQ13)-1,FALSE)/VLOOKUP($B14,$B:AD,COLUMN(N13)-1,FALSE),IF(VLOOKUP($B14,$B:AR,COLUMN(AQ13)-1,FALSE)&lt;&gt;0,"Strange",0))</f>
        <v>0.15384615384615385</v>
      </c>
      <c r="BT14" s="2">
        <f>IF(VLOOKUP($B14,$B:AD,COLUMN(O13)-1,FALSE)&lt;&gt;0,VLOOKUP($B14,$B:AR,COLUMN(AR13)-1,FALSE)/VLOOKUP($B14,$B:AD,COLUMN(O13)-1,FALSE),IF(VLOOKUP($B14,$B:AR,COLUMN(AR13)-1,FALSE)&lt;&gt;0,"Strange",0))</f>
        <v>0</v>
      </c>
      <c r="BU14" s="2">
        <f>IF(VLOOKUP($B14,$B:AE,COLUMN(Q13)-1,FALSE)&lt;&gt;0,VLOOKUP($B14,$B:AS,COLUMN(AS13)-1,FALSE)/VLOOKUP($B14,$B:AE,COLUMN(Q13)-1,FALSE),IF(VLOOKUP($B14,$B:AS,COLUMN(AS13)-1,FALSE)&lt;&gt;0,"Strange",0))</f>
        <v>0</v>
      </c>
      <c r="BV14" s="2">
        <f>IF(VLOOKUP($B14,$B:AF,COLUMN(R13)-1,FALSE)&lt;&gt;0,VLOOKUP($B14,$B:AT,COLUMN(AT13)-1,FALSE)/VLOOKUP($B14,$B:AF,COLUMN(R13)-1,FALSE),IF(VLOOKUP($B14,$B:AT,COLUMN(AT13)-1,FALSE)&lt;&gt;0,"Strange",0))</f>
        <v>0</v>
      </c>
      <c r="BW14" s="2">
        <f>IF(VLOOKUP($B14,$B:AG,COLUMN(S13)-1,FALSE)&lt;&gt;0,VLOOKUP($B14,$B:AU,COLUMN(AU13)-1,FALSE)/VLOOKUP($B14,$B:AG,COLUMN(S13)-1,FALSE),IF(VLOOKUP($B14,$B:AU,COLUMN(AU13)-1,FALSE)&lt;&gt;0,"Strange",0))</f>
        <v>8.3333333333333329E-2</v>
      </c>
      <c r="BX14" s="2">
        <f>IF(VLOOKUP($B14,$B:AH,COLUMN(T13)-1,FALSE)&lt;&gt;0,VLOOKUP($B14,$B:AV,COLUMN(AV13)-1,FALSE)/VLOOKUP($B14,$B:AH,COLUMN(T13)-1,FALSE),IF(VLOOKUP($B14,$B:AV,COLUMN(AV13)-1,FALSE)&lt;&gt;0,"Strange",0))</f>
        <v>0</v>
      </c>
      <c r="BY14" s="471"/>
      <c r="BZ14" s="2">
        <f>SUMIFS('Bilateral Assistance, MAIN DATA'!$M:$M,'Bilateral Assistance, MAIN DATA'!$B:$B,'Share, Heavy Weapons to Ukraine'!$B14,'Bilateral Assistance, MAIN DATA'!$AO:$AO,'Share, Heavy Weapons to Ukraine'!BZ$11, 'Bilateral Assistance, MAIN DATA'!$AA:$AA,1)</f>
        <v>0</v>
      </c>
      <c r="CA14" s="2">
        <f>SUMIFS('Bilateral Assistance, MAIN DATA'!$M:$M,'Bilateral Assistance, MAIN DATA'!$B:$B,'Share, Heavy Weapons to Ukraine'!$B14,'Bilateral Assistance, MAIN DATA'!$AO:$AO,'Share, Heavy Weapons to Ukraine'!CA$11, 'Bilateral Assistance, MAIN DATA'!$AA:$AA,1)</f>
        <v>0</v>
      </c>
      <c r="CB14" s="2">
        <f>SUMIFS('Bilateral Assistance, MAIN DATA'!$M:$M,'Bilateral Assistance, MAIN DATA'!$B:$B,'Share, Heavy Weapons to Ukraine'!$B14,'Bilateral Assistance, MAIN DATA'!$AO:$AO,'Share, Heavy Weapons to Ukraine'!CB$11, 'Bilateral Assistance, MAIN DATA'!$AA:$AA,1)</f>
        <v>2</v>
      </c>
      <c r="CC14" s="2">
        <f>SUMIFS('Bilateral Assistance, MAIN DATA'!$M:$M,'Bilateral Assistance, MAIN DATA'!$B:$B,'Share, Heavy Weapons to Ukraine'!$B14,'Bilateral Assistance, MAIN DATA'!$AO:$AO,'Share, Heavy Weapons to Ukraine'!CC$11, 'Bilateral Assistance, MAIN DATA'!$AA:$AA,1)</f>
        <v>0</v>
      </c>
      <c r="CD14" s="471"/>
      <c r="CE14" s="2">
        <f>SUMIFS('Bilateral Assistance, MAIN DATA'!$N:$N,'Bilateral Assistance, MAIN DATA'!$B:$B,'Share, Heavy Weapons to Ukraine'!$B14,'Bilateral Assistance, MAIN DATA'!$AO:$AO,'Share, Heavy Weapons to Ukraine'!CE$11, 'Bilateral Assistance, MAIN DATA'!$AA:$AA,1)</f>
        <v>0</v>
      </c>
      <c r="CF14" s="2">
        <f>SUMIFS('Bilateral Assistance, MAIN DATA'!$N:$N,'Bilateral Assistance, MAIN DATA'!$B:$B,'Share, Heavy Weapons to Ukraine'!$B14,'Bilateral Assistance, MAIN DATA'!$AO:$AO,'Share, Heavy Weapons to Ukraine'!CF$11, 'Bilateral Assistance, MAIN DATA'!$AA:$AA,1)</f>
        <v>0</v>
      </c>
      <c r="CG14" s="2">
        <f>SUMIFS('Bilateral Assistance, MAIN DATA'!$N:$N,'Bilateral Assistance, MAIN DATA'!$B:$B,'Share, Heavy Weapons to Ukraine'!$B14,'Bilateral Assistance, MAIN DATA'!$AO:$AO,'Share, Heavy Weapons to Ukraine'!CG$11, 'Bilateral Assistance, MAIN DATA'!$AA:$AA,1)</f>
        <v>2</v>
      </c>
      <c r="CH14" s="2">
        <f>SUMIFS('Bilateral Assistance, MAIN DATA'!$N:$N,'Bilateral Assistance, MAIN DATA'!$B:$B,'Share, Heavy Weapons to Ukraine'!$B14,'Bilateral Assistance, MAIN DATA'!$AO:$AO,'Share, Heavy Weapons to Ukraine'!CH$11, 'Bilateral Assistance, MAIN DATA'!$AA:$AA,1)</f>
        <v>0</v>
      </c>
    </row>
    <row r="15" spans="2:87" ht="15.6" x14ac:dyDescent="0.3">
      <c r="B15" s="470" t="s">
        <v>1288</v>
      </c>
      <c r="C15" s="470">
        <v>0</v>
      </c>
      <c r="D15" s="2">
        <v>1</v>
      </c>
      <c r="E15" s="471"/>
      <c r="F15" s="472">
        <v>56.1</v>
      </c>
      <c r="G15" s="470">
        <f>VLOOKUP(B15,'Heavy Weapon Stocks'!B:OE,COLUMN('Heavy Weapon Stocks'!$C$11)-1,FALSE)</f>
        <v>619</v>
      </c>
      <c r="H15" s="470">
        <f>VLOOKUP(B15,'Heavy Weapon Stocks'!B:OE,COLUMN('Heavy Weapon Stocks'!$AT$11)-1,FALSE)</f>
        <v>728</v>
      </c>
      <c r="I15" s="470">
        <f>VLOOKUP(B15,'Heavy Weapon Stocks'!B:OE,COLUMN('Heavy Weapon Stocks'!$DN$11)-1,FALSE)</f>
        <v>0</v>
      </c>
      <c r="J15" s="470">
        <f>VLOOKUP(B15,'Heavy Weapon Stocks'!B:OE,COLUMN('Heavy Weapon Stocks'!$EB$11)-1,FALSE)</f>
        <v>683</v>
      </c>
      <c r="K15" s="470">
        <f>VLOOKUP(B15,'Heavy Weapon Stocks'!B:OE,COLUMN('Heavy Weapon Stocks'!$FD$11)-1,FALSE)</f>
        <v>674</v>
      </c>
      <c r="L15" s="470">
        <f>SUM(H15:K15)</f>
        <v>2085</v>
      </c>
      <c r="M15" s="470">
        <f>VLOOKUP(B15,'Heavy Weapon Stocks'!B:OE,COLUMN('Heavy Weapon Stocks'!$GZ$11)-1,FALSE)+VLOOKUP(B15,'Heavy Weapon Stocks'!B:OE,COLUMN('Heavy Weapon Stocks'!$IF$11)-1,FALSE)+18</f>
        <v>144</v>
      </c>
      <c r="N15" s="470">
        <f>VLOOKUP(B15,'Heavy Weapon Stocks'!B:OE,COLUMN('Heavy Weapon Stocks'!$IK$11)-1,FALSE)</f>
        <v>41</v>
      </c>
      <c r="O15" s="470">
        <f>VLOOKUP(B15,'Heavy Weapon Stocks'!B:OE,COLUMN('Heavy Weapon Stocks'!$JE$11)-1,FALSE)+VLOOKUP(B15,'Heavy Weapon Stocks'!B:OE,COLUMN('Heavy Weapon Stocks'!$KB$11)-1,FALSE)</f>
        <v>138</v>
      </c>
      <c r="P15" s="470">
        <v>90</v>
      </c>
      <c r="Q15" s="470">
        <f>VLOOKUP(B15,'Heavy Weapon Stocks'!B:OE,COLUMN('Heavy Weapon Stocks'!$LS$11)-1,FALSE)</f>
        <v>30</v>
      </c>
      <c r="R15" s="470">
        <v>7</v>
      </c>
      <c r="S15" s="470">
        <f>VLOOKUP(B15,'Heavy Weapon Stocks'!B:OE,COLUMN('Heavy Weapon Stocks'!$MJ$11)-1,FALSE)</f>
        <v>0</v>
      </c>
      <c r="T15" s="470">
        <f>VLOOKUP(B15,'Heavy Weapon Stocks'!B:OE,COLUMN('Heavy Weapon Stocks'!$NO$11)-1,FALSE)</f>
        <v>20</v>
      </c>
      <c r="U15" s="471"/>
      <c r="V15" s="2">
        <f>SUMIFS('Bilateral Assistance, MAIN DATA'!$M:$M,'Bilateral Assistance, MAIN DATA'!$B:$B,'Share, Heavy Weapons to Ukraine'!$B15,'Bilateral Assistance, MAIN DATA'!$AO:$AO,'Share, Heavy Weapons to Ukraine'!V$11)</f>
        <v>0</v>
      </c>
      <c r="W15" s="2">
        <f>SUMIFS('Bilateral Assistance, MAIN DATA'!$M:$M,'Bilateral Assistance, MAIN DATA'!$B:$B,'Share, Heavy Weapons to Ukraine'!$B15,'Bilateral Assistance, MAIN DATA'!$AO:$AO,'Share, Heavy Weapons to Ukraine'!W$11)</f>
        <v>0</v>
      </c>
      <c r="X15" s="2">
        <f>SUMIFS('Bilateral Assistance, MAIN DATA'!$M:$M,'Bilateral Assistance, MAIN DATA'!$B:$B,'Share, Heavy Weapons to Ukraine'!$B15,'Bilateral Assistance, MAIN DATA'!$AO:$AO,'Share, Heavy Weapons to Ukraine'!X$11)</f>
        <v>0</v>
      </c>
      <c r="Y15" s="2">
        <f>SUMIFS('Bilateral Assistance, MAIN DATA'!$M:$M,'Bilateral Assistance, MAIN DATA'!$B:$B,'Share, Heavy Weapons to Ukraine'!$B15,'Bilateral Assistance, MAIN DATA'!$AO:$AO,'Share, Heavy Weapons to Ukraine'!Y$11)</f>
        <v>139</v>
      </c>
      <c r="Z15" s="2">
        <f>SUMIFS('Bilateral Assistance, MAIN DATA'!$M:$M,'Bilateral Assistance, MAIN DATA'!$B:$B,'Share, Heavy Weapons to Ukraine'!$B15,'Bilateral Assistance, MAIN DATA'!$AO:$AO,'Share, Heavy Weapons to Ukraine'!Z$11)</f>
        <v>40</v>
      </c>
      <c r="AA15" s="2">
        <f t="shared" si="1"/>
        <v>179</v>
      </c>
      <c r="AB15" s="2">
        <f>SUMIFS('Bilateral Assistance, MAIN DATA'!$M:$M,'Bilateral Assistance, MAIN DATA'!$B:$B,'Share, Heavy Weapons to Ukraine'!$B15,'Bilateral Assistance, MAIN DATA'!$AO:$AO,'Share, Heavy Weapons to Ukraine'!AB$11)</f>
        <v>37</v>
      </c>
      <c r="AC15" s="25">
        <f>SUMIFS('Bilateral Assistance, MAIN DATA'!$M:$M,'Bilateral Assistance, MAIN DATA'!$B:$B,'Share, Heavy Weapons to Ukraine'!$B15,'Bilateral Assistance, MAIN DATA'!$AO:$AO,"122mm MLRS")+SUMIFS('Bilateral Assistance, MAIN DATA'!$M:$M,'Bilateral Assistance, MAIN DATA'!$B:$B,'Share, Heavy Weapons to Ukraine'!$B15,'Bilateral Assistance, MAIN DATA'!$AO:$AO,"127mm MLRS")+SUMIFS('Bilateral Assistance, MAIN DATA'!$M:$M,'Bilateral Assistance, MAIN DATA'!$B:$B,'Share, Heavy Weapons to Ukraine'!$B15,'Bilateral Assistance, MAIN DATA'!$AO:$AO,"227mm MLRS")</f>
        <v>5</v>
      </c>
      <c r="AD15" s="2">
        <f>SUMIFS('Bilateral Assistance, MAIN DATA'!$M:$M,'Bilateral Assistance, MAIN DATA'!$B:$B,'Share, Heavy Weapons to Ukraine'!$B15,'Bilateral Assistance, MAIN DATA'!$AO:$AO,'Share, Heavy Weapons to Ukraine'!AD$11)</f>
        <v>0</v>
      </c>
      <c r="AE15" s="2">
        <f>SUMIFS('Bilateral Assistance, MAIN DATA'!$M:$M,'Bilateral Assistance, MAIN DATA'!$B:$B,'Share, Heavy Weapons to Ukraine'!$B15,'Bilateral Assistance, MAIN DATA'!$AO:$AO,'Share, Heavy Weapons to Ukraine'!AE$11)</f>
        <v>1</v>
      </c>
      <c r="AF15" s="2">
        <f>SUMIFS('Bilateral Assistance, MAIN DATA'!$M:$M,'Bilateral Assistance, MAIN DATA'!$B:$B,'Share, Heavy Weapons to Ukraine'!$B15,'Bilateral Assistance, MAIN DATA'!$AO:$AO,'Share, Heavy Weapons to Ukraine'!AF$11)</f>
        <v>4</v>
      </c>
      <c r="AG15" s="2">
        <f>SUMIFS('Bilateral Assistance, MAIN DATA'!$M:$M,'Bilateral Assistance, MAIN DATA'!$B:$B,'Share, Heavy Weapons to Ukraine'!$B15,'Bilateral Assistance, MAIN DATA'!$AO:$AO,'Share, Heavy Weapons to Ukraine'!AG$11)</f>
        <v>0</v>
      </c>
      <c r="AH15" s="2">
        <f>SUMIFS('Bilateral Assistance, MAIN DATA'!$M:$M,'Bilateral Assistance, MAIN DATA'!$B:$B,'Share, Heavy Weapons to Ukraine'!$B15,'Bilateral Assistance, MAIN DATA'!$AO:$AO,'Share, Heavy Weapons to Ukraine'!AH$11)</f>
        <v>0</v>
      </c>
      <c r="AI15" s="471"/>
      <c r="AJ15" s="2">
        <f>SUMIFS('Bilateral Assistance, MAIN DATA'!$N:$N,'Bilateral Assistance, MAIN DATA'!$B:$B,'Share, Heavy Weapons to Ukraine'!$B15,'Bilateral Assistance, MAIN DATA'!$AO:$AO,'Share, Heavy Weapons to Ukraine'!AJ$11)</f>
        <v>0</v>
      </c>
      <c r="AK15" s="2">
        <f>SUMIFS('Bilateral Assistance, MAIN DATA'!$N:$N,'Bilateral Assistance, MAIN DATA'!$B:$B,'Share, Heavy Weapons to Ukraine'!$B15,'Bilateral Assistance, MAIN DATA'!$AO:$AO,'Share, Heavy Weapons to Ukraine'!AK$11)</f>
        <v>0</v>
      </c>
      <c r="AL15" s="2">
        <f>SUMIFS('Bilateral Assistance, MAIN DATA'!$N:$N,'Bilateral Assistance, MAIN DATA'!$B:$B,'Share, Heavy Weapons to Ukraine'!$B15,'Bilateral Assistance, MAIN DATA'!$AO:$AO,'Share, Heavy Weapons to Ukraine'!AL$11)</f>
        <v>0</v>
      </c>
      <c r="AM15" s="2">
        <f>SUMIFS('Bilateral Assistance, MAIN DATA'!$N:$N,'Bilateral Assistance, MAIN DATA'!$B:$B,'Share, Heavy Weapons to Ukraine'!$B15,'Bilateral Assistance, MAIN DATA'!$AO:$AO,'Share, Heavy Weapons to Ukraine'!AM$11)</f>
        <v>103</v>
      </c>
      <c r="AN15" s="2">
        <f>SUMIFS('Bilateral Assistance, MAIN DATA'!$N:$N,'Bilateral Assistance, MAIN DATA'!$B:$B,'Share, Heavy Weapons to Ukraine'!$B15,'Bilateral Assistance, MAIN DATA'!$AO:$AO,'Share, Heavy Weapons to Ukraine'!AN$11)</f>
        <v>0</v>
      </c>
      <c r="AO15" s="2">
        <f t="shared" si="2"/>
        <v>103</v>
      </c>
      <c r="AP15" s="2">
        <f>SUMIFS('Bilateral Assistance, MAIN DATA'!$N:$N,'Bilateral Assistance, MAIN DATA'!$B:$B,'Share, Heavy Weapons to Ukraine'!$B15,'Bilateral Assistance, MAIN DATA'!$AO:$AO,'Share, Heavy Weapons to Ukraine'!AP$11)</f>
        <v>14</v>
      </c>
      <c r="AQ15" s="25">
        <f>SUMIFS('Bilateral Assistance, MAIN DATA'!$N:$N,'Bilateral Assistance, MAIN DATA'!$B:$B,'Share, Heavy Weapons to Ukraine'!$B15,'Bilateral Assistance, MAIN DATA'!$AO:$AO,"122mm MLRS")+SUMIFS('Bilateral Assistance, MAIN DATA'!$N:$N,'Bilateral Assistance, MAIN DATA'!$B:$B,'Share, Heavy Weapons to Ukraine'!$B15,'Bilateral Assistance, MAIN DATA'!$AO:$AO,"127mm MLRS")+SUMIFS('Bilateral Assistance, MAIN DATA'!$N:$N,'Bilateral Assistance, MAIN DATA'!$B:$B,'Share, Heavy Weapons to Ukraine'!$B15,'Bilateral Assistance, MAIN DATA'!$AO:$AO,"227mm MLRS")</f>
        <v>5</v>
      </c>
      <c r="AR15" s="2">
        <f>SUMIFS('Bilateral Assistance, MAIN DATA'!$N:$N,'Bilateral Assistance, MAIN DATA'!$B:$B,'Share, Heavy Weapons to Ukraine'!$B15,'Bilateral Assistance, MAIN DATA'!$AO:$AO,'Share, Heavy Weapons to Ukraine'!AR$11)</f>
        <v>0</v>
      </c>
      <c r="AS15" s="2">
        <f>SUMIFS('Bilateral Assistance, MAIN DATA'!$N:$N,'Bilateral Assistance, MAIN DATA'!$B:$B,'Share, Heavy Weapons to Ukraine'!$B15,'Bilateral Assistance, MAIN DATA'!$AO:$AO,'Share, Heavy Weapons to Ukraine'!AS$11)</f>
        <v>0</v>
      </c>
      <c r="AT15" s="2">
        <f>SUMIFS('Bilateral Assistance, MAIN DATA'!$N:$N,'Bilateral Assistance, MAIN DATA'!$B:$B,'Share, Heavy Weapons to Ukraine'!$B15,'Bilateral Assistance, MAIN DATA'!$AO:$AO,'Share, Heavy Weapons to Ukraine'!AT$11)</f>
        <v>1</v>
      </c>
      <c r="AU15" s="2">
        <f>SUMIFS('Bilateral Assistance, MAIN DATA'!$N:$N,'Bilateral Assistance, MAIN DATA'!$B:$B,'Share, Heavy Weapons to Ukraine'!$B15,'Bilateral Assistance, MAIN DATA'!$AO:$AO,'Share, Heavy Weapons to Ukraine'!AU$11)</f>
        <v>0</v>
      </c>
      <c r="AV15" s="2">
        <f>SUMIFS('Bilateral Assistance, MAIN DATA'!$N:$N,'Bilateral Assistance, MAIN DATA'!$B:$B,'Share, Heavy Weapons to Ukraine'!$B15,'Bilateral Assistance, MAIN DATA'!$AO:$AO,'Share, Heavy Weapons to Ukraine'!AV$11)</f>
        <v>0</v>
      </c>
      <c r="AW15" s="471"/>
      <c r="AX15" s="292">
        <f>IF(VLOOKUP($B15,$B:G,COLUMN(G14)-1,FALSE)&lt;&gt;0,VLOOKUP($B15,$B:V,COLUMN(V14)-1,FALSE)/VLOOKUP($B15,$B:G,COLUMN(G14)-1,FALSE),IF(VLOOKUP($B15,$B:V,COLUMN(V14)-1,FALSE)&lt;&gt;0,"Strange",0))</f>
        <v>0</v>
      </c>
      <c r="AY15" s="292">
        <f>IF(VLOOKUP($B15,$B:H,COLUMN(H14)-1,FALSE)&lt;&gt;0,VLOOKUP($B15,$B:W,COLUMN(W14)-1,FALSE)/VLOOKUP($B15,$B:H,COLUMN(H14)-1,FALSE),IF(VLOOKUP($B15,$B:W,COLUMN(W14)-1,FALSE)&lt;&gt;0,"Strange",0))</f>
        <v>0</v>
      </c>
      <c r="AZ15" s="292">
        <f>IF(VLOOKUP($B15,$B:I,COLUMN(I14)-1,FALSE)&lt;&gt;0,VLOOKUP($B15,$B:X,COLUMN(X14)-1,FALSE)/VLOOKUP($B15,$B:I,COLUMN(I14)-1,FALSE),IF(VLOOKUP($B15,$B:X,COLUMN(X14)-1,FALSE)&lt;&gt;0,"Strange",0))</f>
        <v>0</v>
      </c>
      <c r="BA15" s="292">
        <f>IF(VLOOKUP($B15,$B:J,COLUMN(J14)-1,FALSE)&lt;&gt;0,VLOOKUP($B15,$B:Y,COLUMN(Y14)-1,FALSE)/VLOOKUP($B15,$B:J,COLUMN(J14)-1,FALSE),IF(VLOOKUP($B15,$B:Y,COLUMN(Y14)-1,FALSE)&lt;&gt;0,"Strange",0))</f>
        <v>0.20351390922401172</v>
      </c>
      <c r="BB15" s="292">
        <f>IF(VLOOKUP($B15,$B:K,COLUMN(K14)-1,FALSE)&lt;&gt;0,VLOOKUP($B15,$B:Z,COLUMN(Z14)-1,FALSE)/VLOOKUP($B15,$B:K,COLUMN(K14)-1,FALSE),IF(VLOOKUP($B15,$B:Z,COLUMN(Z14)-1,FALSE)&lt;&gt;0,"Strange",0))</f>
        <v>5.9347181008902079E-2</v>
      </c>
      <c r="BC15" s="292">
        <f>IF(VLOOKUP($B15,$B:L,COLUMN(L14)-1,FALSE)&lt;&gt;0,VLOOKUP($B15,$B:AA,COLUMN(AA14)-1,FALSE)/VLOOKUP($B15,$B:L,COLUMN(L14)-1,FALSE),IF(VLOOKUP($B15,$B:AA,COLUMN(AA14)-1,FALSE)&lt;&gt;0,"Strange",0))</f>
        <v>8.5851318944844129E-2</v>
      </c>
      <c r="BD15" s="292">
        <f>IF(VLOOKUP($B15,$B:M,COLUMN(M14)-1,FALSE)&lt;&gt;0,VLOOKUP($B15,$B:AB,COLUMN(AB14)-1,FALSE)/VLOOKUP($B15,$B:M,COLUMN(M14)-1,FALSE),IF(VLOOKUP($B15,$B:AB,COLUMN(AB14)-1,FALSE)&lt;&gt;0,"Strange",0))</f>
        <v>0.25694444444444442</v>
      </c>
      <c r="BE15" s="292">
        <f>IF(VLOOKUP($B15,$B:N,COLUMN(N14)-1,FALSE)&lt;&gt;0,VLOOKUP($B15,$B:AC,COLUMN(AC14)-1,FALSE)/VLOOKUP($B15,$B:N,COLUMN(N14)-1,FALSE),IF(VLOOKUP($B15,$B:AC,COLUMN(AC14)-1,FALSE)&lt;&gt;0,"Strange",0))</f>
        <v>0.12195121951219512</v>
      </c>
      <c r="BF15" s="292">
        <f>IF(VLOOKUP($B15,$B:O,COLUMN(O14)-1,FALSE)&lt;&gt;0,VLOOKUP($B15,$B:AD,COLUMN(AD14)-1,FALSE)/VLOOKUP($B15,$B:O,COLUMN(O14)-1,FALSE),IF(VLOOKUP($B15,$B:AD,COLUMN(AD14)-1,FALSE)&lt;&gt;0,"Strange",0))</f>
        <v>0</v>
      </c>
      <c r="BG15" s="292">
        <f>IF(VLOOKUP($B15,$B:Q,COLUMN(Q14)-1,FALSE)&lt;&gt;0,VLOOKUP($B15,$B:AE,COLUMN(AE14)-1,FALSE)/VLOOKUP($B15,$B:Q,COLUMN(Q14)-1,FALSE),IF(VLOOKUP($B15,$B:AE,COLUMN(AE14)-1,FALSE)&lt;&gt;0,"Strange",0))</f>
        <v>3.3333333333333333E-2</v>
      </c>
      <c r="BH15" s="292">
        <f>IF(VLOOKUP($B15,$B:R,COLUMN(R14)-1,FALSE)&lt;&gt;0,VLOOKUP($B15,$B:AF,COLUMN(AF14)-1,FALSE)/VLOOKUP($B15,$B:R,COLUMN(R14)-1,FALSE),IF(VLOOKUP($B15,$B:AF,COLUMN(AF14)-1,FALSE)&lt;&gt;0,"Strange",0))</f>
        <v>0.5714285714285714</v>
      </c>
      <c r="BI15" s="292">
        <f>IF(VLOOKUP($B15,$B:S,COLUMN(S14)-1,FALSE)&lt;&gt;0,VLOOKUP($B15,$B:AG,COLUMN(AG14)-1,FALSE)/VLOOKUP($B15,$B:S,COLUMN(S14)-1,FALSE),IF(VLOOKUP($B15,$B:AG,COLUMN(AG14)-1,FALSE)&lt;&gt;0,"Strange",0))</f>
        <v>0</v>
      </c>
      <c r="BJ15" s="292">
        <f>IF(VLOOKUP($B15,$B:T,COLUMN(T14)-1,FALSE)&lt;&gt;0,VLOOKUP($B15,$B:AH,COLUMN(AH14)-1,FALSE)/VLOOKUP($B15,$B:T,COLUMN(T14)-1,FALSE),IF(VLOOKUP($B15,$B:AH,COLUMN(AH14)-1,FALSE)&lt;&gt;0,"Strange",0))</f>
        <v>0</v>
      </c>
      <c r="BK15" s="471"/>
      <c r="BL15" s="2">
        <f>IF(VLOOKUP($B15,$B:W,COLUMN(G14)-1,FALSE)&lt;&gt;0,VLOOKUP($B15,$B:AK,COLUMN(AJ14)-1,FALSE)/VLOOKUP($B15,$B:W,COLUMN(G14)-1,FALSE),IF(VLOOKUP($B15,$B:AK,COLUMN(AJ14)-1,FALSE)&lt;&gt;0,"Strange",0))</f>
        <v>0</v>
      </c>
      <c r="BM15" s="2">
        <f>IF(VLOOKUP($B15,$B:X,COLUMN(H14)-1,FALSE)&lt;&gt;0,VLOOKUP($B15,$B:AL,COLUMN(AK14)-1,FALSE)/VLOOKUP($B15,$B:X,COLUMN(H14)-1,FALSE),IF(VLOOKUP($B15,$B:AL,COLUMN(AK14)-1,FALSE)&lt;&gt;0,"Strange",0))</f>
        <v>0</v>
      </c>
      <c r="BN15" s="2">
        <f>IF(VLOOKUP($B15,$B:Y,COLUMN(I14)-1,FALSE)&lt;&gt;0,VLOOKUP($B15,$B:AM,COLUMN(AL14)-1,FALSE)/VLOOKUP($B15,$B:Y,COLUMN(I14)-1,FALSE),IF(VLOOKUP($B15,$B:AM,COLUMN(AL14)-1,FALSE)&lt;&gt;0,"Strange",0))</f>
        <v>0</v>
      </c>
      <c r="BO15" s="2">
        <f>IF(VLOOKUP($B15,$B:Z,COLUMN(J14)-1,FALSE)&lt;&gt;0,VLOOKUP($B15,$B:AN,COLUMN(AM14)-1,FALSE)/VLOOKUP($B15,$B:Z,COLUMN(J14)-1,FALSE),IF(VLOOKUP($B15,$B:AN,COLUMN(AM14)-1,FALSE)&lt;&gt;0,"Strange",0))</f>
        <v>0.15080527086383602</v>
      </c>
      <c r="BP15" s="2">
        <f>IF(VLOOKUP($B15,$B:AB,COLUMN(K14)-1,FALSE)&lt;&gt;0,VLOOKUP($B15,$B:AP,COLUMN(AN14)-1,FALSE)/VLOOKUP($B15,$B:AB,COLUMN(K14)-1,FALSE),IF(VLOOKUP($B15,$B:AP,COLUMN(AN14)-1,FALSE)&lt;&gt;0,"Strange",0))</f>
        <v>0</v>
      </c>
      <c r="BQ15" s="2">
        <f>IF(VLOOKUP($B15,$B:AC,COLUMN(L14)-1,FALSE)&lt;&gt;0,VLOOKUP($B15,$B:AQ,COLUMN(AO14)-1,FALSE)/VLOOKUP($B15,$B:AC,COLUMN(L14)-1,FALSE),IF(VLOOKUP($B15,$B:AQ,COLUMN(AO14)-1,FALSE)&lt;&gt;0,"Strange",0))</f>
        <v>4.9400479616306954E-2</v>
      </c>
      <c r="BR15" s="2">
        <f>IF(VLOOKUP($B15,$B:AC,COLUMN(M14)-1,FALSE)&lt;&gt;0,VLOOKUP($B15,$B:AQ,COLUMN(AP14)-1,FALSE)/VLOOKUP($B15,$B:AC,COLUMN(M14)-1,FALSE),IF(VLOOKUP($B15,$B:AQ,COLUMN(AP14)-1,FALSE)&lt;&gt;0,"Strange",0))</f>
        <v>9.7222222222222224E-2</v>
      </c>
      <c r="BS15" s="2">
        <f>IF(VLOOKUP($B15,$B:AD,COLUMN(N14)-1,FALSE)&lt;&gt;0,VLOOKUP($B15,$B:AR,COLUMN(AQ14)-1,FALSE)/VLOOKUP($B15,$B:AD,COLUMN(N14)-1,FALSE),IF(VLOOKUP($B15,$B:AR,COLUMN(AQ14)-1,FALSE)&lt;&gt;0,"Strange",0))</f>
        <v>0.12195121951219512</v>
      </c>
      <c r="BT15" s="2">
        <f>IF(VLOOKUP($B15,$B:AD,COLUMN(O14)-1,FALSE)&lt;&gt;0,VLOOKUP($B15,$B:AR,COLUMN(AR14)-1,FALSE)/VLOOKUP($B15,$B:AD,COLUMN(O14)-1,FALSE),IF(VLOOKUP($B15,$B:AR,COLUMN(AR14)-1,FALSE)&lt;&gt;0,"Strange",0))</f>
        <v>0</v>
      </c>
      <c r="BU15" s="2">
        <f>IF(VLOOKUP($B15,$B:AE,COLUMN(Q14)-1,FALSE)&lt;&gt;0,VLOOKUP($B15,$B:AS,COLUMN(AS14)-1,FALSE)/VLOOKUP($B15,$B:AE,COLUMN(Q14)-1,FALSE),IF(VLOOKUP($B15,$B:AS,COLUMN(AS14)-1,FALSE)&lt;&gt;0,"Strange",0))</f>
        <v>0</v>
      </c>
      <c r="BV15" s="2">
        <f>IF(VLOOKUP($B15,$B:AF,COLUMN(R14)-1,FALSE)&lt;&gt;0,VLOOKUP($B15,$B:AT,COLUMN(AT14)-1,FALSE)/VLOOKUP($B15,$B:AF,COLUMN(R14)-1,FALSE),IF(VLOOKUP($B15,$B:AT,COLUMN(AT14)-1,FALSE)&lt;&gt;0,"Strange",0))</f>
        <v>0.14285714285714285</v>
      </c>
      <c r="BW15" s="2">
        <f>IF(VLOOKUP($B15,$B:AG,COLUMN(S14)-1,FALSE)&lt;&gt;0,VLOOKUP($B15,$B:AU,COLUMN(AU14)-1,FALSE)/VLOOKUP($B15,$B:AG,COLUMN(S14)-1,FALSE),IF(VLOOKUP($B15,$B:AU,COLUMN(AU14)-1,FALSE)&lt;&gt;0,"Strange",0))</f>
        <v>0</v>
      </c>
      <c r="BX15" s="2">
        <f>IF(VLOOKUP($B15,$B:AH,COLUMN(T14)-1,FALSE)&lt;&gt;0,VLOOKUP($B15,$B:AV,COLUMN(AV14)-1,FALSE)/VLOOKUP($B15,$B:AH,COLUMN(T14)-1,FALSE),IF(VLOOKUP($B15,$B:AV,COLUMN(AV14)-1,FALSE)&lt;&gt;0,"Strange",0))</f>
        <v>0</v>
      </c>
      <c r="BY15" s="471"/>
      <c r="BZ15" s="2">
        <f>SUMIFS('Bilateral Assistance, MAIN DATA'!$M:$M,'Bilateral Assistance, MAIN DATA'!$B:$B,'Share, Heavy Weapons to Ukraine'!$B15,'Bilateral Assistance, MAIN DATA'!$AO:$AO,'Share, Heavy Weapons to Ukraine'!BZ$11, 'Bilateral Assistance, MAIN DATA'!$AA:$AA,1)</f>
        <v>1</v>
      </c>
      <c r="CA15" s="2">
        <f>SUMIFS('Bilateral Assistance, MAIN DATA'!$M:$M,'Bilateral Assistance, MAIN DATA'!$B:$B,'Share, Heavy Weapons to Ukraine'!$B15,'Bilateral Assistance, MAIN DATA'!$AO:$AO,'Share, Heavy Weapons to Ukraine'!CA$11, 'Bilateral Assistance, MAIN DATA'!$AA:$AA,1)</f>
        <v>4</v>
      </c>
      <c r="CB15" s="2">
        <f>SUMIFS('Bilateral Assistance, MAIN DATA'!$M:$M,'Bilateral Assistance, MAIN DATA'!$B:$B,'Share, Heavy Weapons to Ukraine'!$B15,'Bilateral Assistance, MAIN DATA'!$AO:$AO,'Share, Heavy Weapons to Ukraine'!CB$11, 'Bilateral Assistance, MAIN DATA'!$AA:$AA,1)</f>
        <v>0</v>
      </c>
      <c r="CC15" s="2">
        <f>SUMIFS('Bilateral Assistance, MAIN DATA'!$M:$M,'Bilateral Assistance, MAIN DATA'!$B:$B,'Share, Heavy Weapons to Ukraine'!$B15,'Bilateral Assistance, MAIN DATA'!$AO:$AO,'Share, Heavy Weapons to Ukraine'!CC$11, 'Bilateral Assistance, MAIN DATA'!$AA:$AA,1)</f>
        <v>0</v>
      </c>
      <c r="CD15" s="471"/>
      <c r="CE15" s="2">
        <f>SUMIFS('Bilateral Assistance, MAIN DATA'!$N:$N,'Bilateral Assistance, MAIN DATA'!$B:$B,'Share, Heavy Weapons to Ukraine'!$B15,'Bilateral Assistance, MAIN DATA'!$AO:$AO,'Share, Heavy Weapons to Ukraine'!CE$11, 'Bilateral Assistance, MAIN DATA'!$AA:$AA,1)</f>
        <v>0</v>
      </c>
      <c r="CF15" s="2">
        <f>SUMIFS('Bilateral Assistance, MAIN DATA'!$N:$N,'Bilateral Assistance, MAIN DATA'!$B:$B,'Share, Heavy Weapons to Ukraine'!$B15,'Bilateral Assistance, MAIN DATA'!$AO:$AO,'Share, Heavy Weapons to Ukraine'!CF$11, 'Bilateral Assistance, MAIN DATA'!$AA:$AA,1)</f>
        <v>1</v>
      </c>
      <c r="CG15" s="2">
        <f>SUMIFS('Bilateral Assistance, MAIN DATA'!$N:$N,'Bilateral Assistance, MAIN DATA'!$B:$B,'Share, Heavy Weapons to Ukraine'!$B15,'Bilateral Assistance, MAIN DATA'!$AO:$AO,'Share, Heavy Weapons to Ukraine'!CG$11, 'Bilateral Assistance, MAIN DATA'!$AA:$AA,1)</f>
        <v>0</v>
      </c>
      <c r="CH15" s="2">
        <f>SUMIFS('Bilateral Assistance, MAIN DATA'!$N:$N,'Bilateral Assistance, MAIN DATA'!$B:$B,'Share, Heavy Weapons to Ukraine'!$B15,'Bilateral Assistance, MAIN DATA'!$AO:$AO,'Share, Heavy Weapons to Ukraine'!CH$11, 'Bilateral Assistance, MAIN DATA'!$AA:$AA,1)</f>
        <v>0</v>
      </c>
    </row>
    <row r="16" spans="2:87" ht="15.6" x14ac:dyDescent="0.3">
      <c r="B16" s="470" t="s">
        <v>2424</v>
      </c>
      <c r="C16" s="470">
        <v>0</v>
      </c>
      <c r="D16" s="2">
        <v>0</v>
      </c>
      <c r="E16" s="471"/>
      <c r="F16" s="472">
        <v>46.7</v>
      </c>
      <c r="G16" s="470">
        <f>VLOOKUP(B16,'Heavy Weapon Stocks'!B:OE,COLUMN('Heavy Weapon Stocks'!$C$11)-1,FALSE)</f>
        <v>2174</v>
      </c>
      <c r="H16" s="470">
        <f>VLOOKUP(B16,'Heavy Weapon Stocks'!B:OE,COLUMN('Heavy Weapon Stocks'!$AT$11)-1,FALSE)</f>
        <v>2480</v>
      </c>
      <c r="I16" s="470">
        <f>VLOOKUP(B16,'Heavy Weapon Stocks'!B:OE,COLUMN('Heavy Weapon Stocks'!$DN$11)-1,FALSE)</f>
        <v>10</v>
      </c>
      <c r="J16" s="470">
        <f>VLOOKUP(B16,'Heavy Weapon Stocks'!B:OE,COLUMN('Heavy Weapon Stocks'!$EB$11)-1,FALSE)</f>
        <v>0</v>
      </c>
      <c r="K16" s="470">
        <f>VLOOKUP(B16,'Heavy Weapon Stocks'!B:OE,COLUMN('Heavy Weapon Stocks'!$FD$11)-1,FALSE)</f>
        <v>540</v>
      </c>
      <c r="L16" s="470">
        <f t="shared" si="3"/>
        <v>3030</v>
      </c>
      <c r="M16" s="470">
        <f>VLOOKUP(B16,'Heavy Weapon Stocks'!B:OE,COLUMN('Heavy Weapon Stocks'!$GZ$11)-1,FALSE)+VLOOKUP(B16,'Heavy Weapon Stocks'!B:OE,COLUMN('Heavy Weapon Stocks'!$IF$11)-1,FALSE)</f>
        <v>4200</v>
      </c>
      <c r="N16" s="470">
        <f>VLOOKUP(B16,'Heavy Weapon Stocks'!B:OE,COLUMN('Heavy Weapon Stocks'!$IK$11)-1,FALSE)</f>
        <v>316</v>
      </c>
      <c r="O16" s="470">
        <f>VLOOKUP(B16,'Heavy Weapon Stocks'!B:OE,COLUMN('Heavy Weapon Stocks'!$JE$11)-1,FALSE)+VLOOKUP(B16,'Heavy Weapon Stocks'!B:OE,COLUMN('Heavy Weapon Stocks'!$KB$11)-1,FALSE)</f>
        <v>521</v>
      </c>
      <c r="Q16" s="470">
        <f>VLOOKUP(B16,'Heavy Weapon Stocks'!B:OE,COLUMN('Heavy Weapon Stocks'!$LS$11)-1,FALSE)</f>
        <v>48</v>
      </c>
      <c r="R16" s="470">
        <f>VLOOKUP(B16,'Heavy Weapon Stocks'!B:OE,COLUMN('Heavy Weapon Stocks'!$MC$11)-1,FALSE)</f>
        <v>72</v>
      </c>
      <c r="S16" s="470">
        <f>VLOOKUP(B16,'Heavy Weapon Stocks'!B:OE,COLUMN('Heavy Weapon Stocks'!$MJ$11)-1,FALSE)</f>
        <v>0</v>
      </c>
      <c r="T16" s="470">
        <f>VLOOKUP(B16,'Heavy Weapon Stocks'!B:OE,COLUMN('Heavy Weapon Stocks'!$NO$11)-1,FALSE)</f>
        <v>0</v>
      </c>
      <c r="U16" s="471"/>
      <c r="V16" s="2">
        <f>SUMIFS('Bilateral Assistance, MAIN DATA'!$M:$M,'Bilateral Assistance, MAIN DATA'!$B:$B,'Share, Heavy Weapons to Ukraine'!$B16,'Bilateral Assistance, MAIN DATA'!$AO:$AO,'Share, Heavy Weapons to Ukraine'!V$11)</f>
        <v>0</v>
      </c>
      <c r="W16" s="2">
        <f>SUMIFS('Bilateral Assistance, MAIN DATA'!$M:$M,'Bilateral Assistance, MAIN DATA'!$B:$B,'Share, Heavy Weapons to Ukraine'!$B16,'Bilateral Assistance, MAIN DATA'!$AO:$AO,'Share, Heavy Weapons to Ukraine'!W$11)</f>
        <v>0</v>
      </c>
      <c r="X16" s="2">
        <f>SUMIFS('Bilateral Assistance, MAIN DATA'!$M:$M,'Bilateral Assistance, MAIN DATA'!$B:$B,'Share, Heavy Weapons to Ukraine'!$B16,'Bilateral Assistance, MAIN DATA'!$AO:$AO,'Share, Heavy Weapons to Ukraine'!X$11)</f>
        <v>0</v>
      </c>
      <c r="Y16" s="2">
        <f>SUMIFS('Bilateral Assistance, MAIN DATA'!$M:$M,'Bilateral Assistance, MAIN DATA'!$B:$B,'Share, Heavy Weapons to Ukraine'!$B16,'Bilateral Assistance, MAIN DATA'!$AO:$AO,'Share, Heavy Weapons to Ukraine'!Y$11)</f>
        <v>0</v>
      </c>
      <c r="Z16" s="2">
        <f>SUMIFS('Bilateral Assistance, MAIN DATA'!$M:$M,'Bilateral Assistance, MAIN DATA'!$B:$B,'Share, Heavy Weapons to Ukraine'!$B16,'Bilateral Assistance, MAIN DATA'!$AO:$AO,'Share, Heavy Weapons to Ukraine'!Z$11)</f>
        <v>0</v>
      </c>
      <c r="AA16" s="2">
        <f t="shared" si="1"/>
        <v>0</v>
      </c>
      <c r="AB16" s="2">
        <f>SUMIFS('Bilateral Assistance, MAIN DATA'!$M:$M,'Bilateral Assistance, MAIN DATA'!$B:$B,'Share, Heavy Weapons to Ukraine'!$B16,'Bilateral Assistance, MAIN DATA'!$AO:$AO,'Share, Heavy Weapons to Ukraine'!AB$11)</f>
        <v>0</v>
      </c>
      <c r="AC16" s="25">
        <f>SUMIFS('Bilateral Assistance, MAIN DATA'!$M:$M,'Bilateral Assistance, MAIN DATA'!$B:$B,'Share, Heavy Weapons to Ukraine'!$B16,'Bilateral Assistance, MAIN DATA'!$AO:$AO,"122mm MLRS")+SUMIFS('Bilateral Assistance, MAIN DATA'!$M:$M,'Bilateral Assistance, MAIN DATA'!$B:$B,'Share, Heavy Weapons to Ukraine'!$B16,'Bilateral Assistance, MAIN DATA'!$AO:$AO,"127mm MLRS")+SUMIFS('Bilateral Assistance, MAIN DATA'!$M:$M,'Bilateral Assistance, MAIN DATA'!$B:$B,'Share, Heavy Weapons to Ukraine'!$B16,'Bilateral Assistance, MAIN DATA'!$AO:$AO,"227mm MLRS")</f>
        <v>0</v>
      </c>
      <c r="AD16" s="2">
        <f>SUMIFS('Bilateral Assistance, MAIN DATA'!$M:$M,'Bilateral Assistance, MAIN DATA'!$B:$B,'Share, Heavy Weapons to Ukraine'!$B16,'Bilateral Assistance, MAIN DATA'!$AO:$AO,'Share, Heavy Weapons to Ukraine'!AD$11)</f>
        <v>0</v>
      </c>
      <c r="AE16" s="2">
        <f>SUMIFS('Bilateral Assistance, MAIN DATA'!$M:$M,'Bilateral Assistance, MAIN DATA'!$B:$B,'Share, Heavy Weapons to Ukraine'!$B16,'Bilateral Assistance, MAIN DATA'!$AO:$AO,'Share, Heavy Weapons to Ukraine'!AE$11)</f>
        <v>0</v>
      </c>
      <c r="AF16" s="2">
        <f>SUMIFS('Bilateral Assistance, MAIN DATA'!$M:$M,'Bilateral Assistance, MAIN DATA'!$B:$B,'Share, Heavy Weapons to Ukraine'!$B16,'Bilateral Assistance, MAIN DATA'!$AO:$AO,'Share, Heavy Weapons to Ukraine'!AF$11)</f>
        <v>0</v>
      </c>
      <c r="AG16" s="2">
        <f>SUMIFS('Bilateral Assistance, MAIN DATA'!$M:$M,'Bilateral Assistance, MAIN DATA'!$B:$B,'Share, Heavy Weapons to Ukraine'!$B16,'Bilateral Assistance, MAIN DATA'!$AO:$AO,'Share, Heavy Weapons to Ukraine'!AG$11)</f>
        <v>0</v>
      </c>
      <c r="AH16" s="2">
        <f>SUMIFS('Bilateral Assistance, MAIN DATA'!$M:$M,'Bilateral Assistance, MAIN DATA'!$B:$B,'Share, Heavy Weapons to Ukraine'!$B16,'Bilateral Assistance, MAIN DATA'!$AO:$AO,'Share, Heavy Weapons to Ukraine'!AH$11)</f>
        <v>0</v>
      </c>
      <c r="AI16" s="471"/>
      <c r="AJ16" s="2">
        <f>SUMIFS('Bilateral Assistance, MAIN DATA'!$N:$N,'Bilateral Assistance, MAIN DATA'!$B:$B,'Share, Heavy Weapons to Ukraine'!$B16,'Bilateral Assistance, MAIN DATA'!$AO:$AO,'Share, Heavy Weapons to Ukraine'!AJ$11)</f>
        <v>0</v>
      </c>
      <c r="AK16" s="2">
        <f>SUMIFS('Bilateral Assistance, MAIN DATA'!$N:$N,'Bilateral Assistance, MAIN DATA'!$B:$B,'Share, Heavy Weapons to Ukraine'!$B16,'Bilateral Assistance, MAIN DATA'!$AO:$AO,'Share, Heavy Weapons to Ukraine'!AK$11)</f>
        <v>0</v>
      </c>
      <c r="AL16" s="2">
        <f>SUMIFS('Bilateral Assistance, MAIN DATA'!$N:$N,'Bilateral Assistance, MAIN DATA'!$B:$B,'Share, Heavy Weapons to Ukraine'!$B16,'Bilateral Assistance, MAIN DATA'!$AO:$AO,'Share, Heavy Weapons to Ukraine'!AL$11)</f>
        <v>0</v>
      </c>
      <c r="AM16" s="2">
        <f>SUMIFS('Bilateral Assistance, MAIN DATA'!$N:$N,'Bilateral Assistance, MAIN DATA'!$B:$B,'Share, Heavy Weapons to Ukraine'!$B16,'Bilateral Assistance, MAIN DATA'!$AO:$AO,'Share, Heavy Weapons to Ukraine'!AM$11)</f>
        <v>0</v>
      </c>
      <c r="AN16" s="2">
        <f>SUMIFS('Bilateral Assistance, MAIN DATA'!$N:$N,'Bilateral Assistance, MAIN DATA'!$B:$B,'Share, Heavy Weapons to Ukraine'!$B16,'Bilateral Assistance, MAIN DATA'!$AO:$AO,'Share, Heavy Weapons to Ukraine'!AN$11)</f>
        <v>0</v>
      </c>
      <c r="AO16" s="2">
        <f t="shared" si="2"/>
        <v>0</v>
      </c>
      <c r="AP16" s="2">
        <f>SUMIFS('Bilateral Assistance, MAIN DATA'!$N:$N,'Bilateral Assistance, MAIN DATA'!$B:$B,'Share, Heavy Weapons to Ukraine'!$B16,'Bilateral Assistance, MAIN DATA'!$AO:$AO,'Share, Heavy Weapons to Ukraine'!AP$11)</f>
        <v>0</v>
      </c>
      <c r="AQ16" s="25">
        <f>SUMIFS('Bilateral Assistance, MAIN DATA'!$N:$N,'Bilateral Assistance, MAIN DATA'!$B:$B,'Share, Heavy Weapons to Ukraine'!$B16,'Bilateral Assistance, MAIN DATA'!$AO:$AO,"122mm MLRS")+SUMIFS('Bilateral Assistance, MAIN DATA'!$N:$N,'Bilateral Assistance, MAIN DATA'!$B:$B,'Share, Heavy Weapons to Ukraine'!$B16,'Bilateral Assistance, MAIN DATA'!$AO:$AO,"127mm MLRS")+SUMIFS('Bilateral Assistance, MAIN DATA'!$N:$N,'Bilateral Assistance, MAIN DATA'!$B:$B,'Share, Heavy Weapons to Ukraine'!$B16,'Bilateral Assistance, MAIN DATA'!$AO:$AO,"227mm MLRS")</f>
        <v>0</v>
      </c>
      <c r="AR16" s="2">
        <f>SUMIFS('Bilateral Assistance, MAIN DATA'!$N:$N,'Bilateral Assistance, MAIN DATA'!$B:$B,'Share, Heavy Weapons to Ukraine'!$B16,'Bilateral Assistance, MAIN DATA'!$AO:$AO,'Share, Heavy Weapons to Ukraine'!AR$11)</f>
        <v>0</v>
      </c>
      <c r="AS16" s="2">
        <f>SUMIFS('Bilateral Assistance, MAIN DATA'!$N:$N,'Bilateral Assistance, MAIN DATA'!$B:$B,'Share, Heavy Weapons to Ukraine'!$B16,'Bilateral Assistance, MAIN DATA'!$AO:$AO,'Share, Heavy Weapons to Ukraine'!AS$11)</f>
        <v>0</v>
      </c>
      <c r="AT16" s="2">
        <f>SUMIFS('Bilateral Assistance, MAIN DATA'!$N:$N,'Bilateral Assistance, MAIN DATA'!$B:$B,'Share, Heavy Weapons to Ukraine'!$B16,'Bilateral Assistance, MAIN DATA'!$AO:$AO,'Share, Heavy Weapons to Ukraine'!AT$11)</f>
        <v>0</v>
      </c>
      <c r="AU16" s="2">
        <f>SUMIFS('Bilateral Assistance, MAIN DATA'!$N:$N,'Bilateral Assistance, MAIN DATA'!$B:$B,'Share, Heavy Weapons to Ukraine'!$B16,'Bilateral Assistance, MAIN DATA'!$AO:$AO,'Share, Heavy Weapons to Ukraine'!AU$11)</f>
        <v>0</v>
      </c>
      <c r="AV16" s="2">
        <f>SUMIFS('Bilateral Assistance, MAIN DATA'!$N:$N,'Bilateral Assistance, MAIN DATA'!$B:$B,'Share, Heavy Weapons to Ukraine'!$B16,'Bilateral Assistance, MAIN DATA'!$AO:$AO,'Share, Heavy Weapons to Ukraine'!AV$11)</f>
        <v>0</v>
      </c>
      <c r="AW16" s="471"/>
      <c r="AX16" s="292">
        <f>IF(VLOOKUP($B16,$B:G,COLUMN(G15)-1,FALSE)&lt;&gt;0,VLOOKUP($B16,$B:V,COLUMN(V15)-1,FALSE)/VLOOKUP($B16,$B:G,COLUMN(G15)-1,FALSE),IF(VLOOKUP($B16,$B:V,COLUMN(V15)-1,FALSE)&lt;&gt;0,"Strange",0))</f>
        <v>0</v>
      </c>
      <c r="AY16" s="292">
        <f>IF(VLOOKUP($B16,$B:H,COLUMN(H15)-1,FALSE)&lt;&gt;0,VLOOKUP($B16,$B:W,COLUMN(W15)-1,FALSE)/VLOOKUP($B16,$B:H,COLUMN(H15)-1,FALSE),IF(VLOOKUP($B16,$B:W,COLUMN(W15)-1,FALSE)&lt;&gt;0,"Strange",0))</f>
        <v>0</v>
      </c>
      <c r="AZ16" s="292">
        <f>IF(VLOOKUP($B16,$B:I,COLUMN(I15)-1,FALSE)&lt;&gt;0,VLOOKUP($B16,$B:X,COLUMN(X15)-1,FALSE)/VLOOKUP($B16,$B:I,COLUMN(I15)-1,FALSE),IF(VLOOKUP($B16,$B:X,COLUMN(X15)-1,FALSE)&lt;&gt;0,"Strange",0))</f>
        <v>0</v>
      </c>
      <c r="BA16" s="292">
        <f>IF(VLOOKUP($B16,$B:J,COLUMN(J15)-1,FALSE)&lt;&gt;0,VLOOKUP($B16,$B:Y,COLUMN(Y15)-1,FALSE)/VLOOKUP($B16,$B:J,COLUMN(J15)-1,FALSE),IF(VLOOKUP($B16,$B:Y,COLUMN(Y15)-1,FALSE)&lt;&gt;0,"Strange",0))</f>
        <v>0</v>
      </c>
      <c r="BB16" s="292">
        <f>IF(VLOOKUP($B16,$B:K,COLUMN(K15)-1,FALSE)&lt;&gt;0,VLOOKUP($B16,$B:Z,COLUMN(Z15)-1,FALSE)/VLOOKUP($B16,$B:K,COLUMN(K15)-1,FALSE),IF(VLOOKUP($B16,$B:Z,COLUMN(Z15)-1,FALSE)&lt;&gt;0,"Strange",0))</f>
        <v>0</v>
      </c>
      <c r="BC16" s="292">
        <f>IF(VLOOKUP($B16,$B:L,COLUMN(L15)-1,FALSE)&lt;&gt;0,VLOOKUP($B16,$B:AA,COLUMN(AA15)-1,FALSE)/VLOOKUP($B16,$B:L,COLUMN(L15)-1,FALSE),IF(VLOOKUP($B16,$B:AA,COLUMN(AA15)-1,FALSE)&lt;&gt;0,"Strange",0))</f>
        <v>0</v>
      </c>
      <c r="BD16" s="292">
        <f>IF(VLOOKUP($B16,$B:M,COLUMN(M15)-1,FALSE)&lt;&gt;0,VLOOKUP($B16,$B:AB,COLUMN(AB15)-1,FALSE)/VLOOKUP($B16,$B:M,COLUMN(M15)-1,FALSE),IF(VLOOKUP($B16,$B:AB,COLUMN(AB15)-1,FALSE)&lt;&gt;0,"Strange",0))</f>
        <v>0</v>
      </c>
      <c r="BE16" s="292">
        <f>IF(VLOOKUP($B16,$B:N,COLUMN(N15)-1,FALSE)&lt;&gt;0,VLOOKUP($B16,$B:AC,COLUMN(AC15)-1,FALSE)/VLOOKUP($B16,$B:N,COLUMN(N15)-1,FALSE),IF(VLOOKUP($B16,$B:AC,COLUMN(AC15)-1,FALSE)&lt;&gt;0,"Strange",0))</f>
        <v>0</v>
      </c>
      <c r="BF16" s="292">
        <f>IF(VLOOKUP($B16,$B:O,COLUMN(O15)-1,FALSE)&lt;&gt;0,VLOOKUP($B16,$B:AD,COLUMN(AD15)-1,FALSE)/VLOOKUP($B16,$B:O,COLUMN(O15)-1,FALSE),IF(VLOOKUP($B16,$B:AD,COLUMN(AD15)-1,FALSE)&lt;&gt;0,"Strange",0))</f>
        <v>0</v>
      </c>
      <c r="BG16" s="292">
        <f>IF(VLOOKUP($B16,$B:Q,COLUMN(Q15)-1,FALSE)&lt;&gt;0,VLOOKUP($B16,$B:AE,COLUMN(AE15)-1,FALSE)/VLOOKUP($B16,$B:Q,COLUMN(Q15)-1,FALSE),IF(VLOOKUP($B16,$B:AE,COLUMN(AE15)-1,FALSE)&lt;&gt;0,"Strange",0))</f>
        <v>0</v>
      </c>
      <c r="BH16" s="292">
        <f>IF(VLOOKUP($B16,$B:R,COLUMN(R15)-1,FALSE)&lt;&gt;0,VLOOKUP($B16,$B:AF,COLUMN(AF15)-1,FALSE)/VLOOKUP($B16,$B:R,COLUMN(R15)-1,FALSE),IF(VLOOKUP($B16,$B:AF,COLUMN(AF15)-1,FALSE)&lt;&gt;0,"Strange",0))</f>
        <v>0</v>
      </c>
      <c r="BI16" s="292">
        <f>IF(VLOOKUP($B16,$B:S,COLUMN(S15)-1,FALSE)&lt;&gt;0,VLOOKUP($B16,$B:AG,COLUMN(AG15)-1,FALSE)/VLOOKUP($B16,$B:S,COLUMN(S15)-1,FALSE),IF(VLOOKUP($B16,$B:AG,COLUMN(AG15)-1,FALSE)&lt;&gt;0,"Strange",0))</f>
        <v>0</v>
      </c>
      <c r="BJ16" s="292">
        <f>IF(VLOOKUP($B16,$B:T,COLUMN(T15)-1,FALSE)&lt;&gt;0,VLOOKUP($B16,$B:AH,COLUMN(AH15)-1,FALSE)/VLOOKUP($B16,$B:T,COLUMN(T15)-1,FALSE),IF(VLOOKUP($B16,$B:AH,COLUMN(AH15)-1,FALSE)&lt;&gt;0,"Strange",0))</f>
        <v>0</v>
      </c>
      <c r="BK16" s="471"/>
      <c r="BL16" s="2">
        <f>IF(VLOOKUP($B16,$B:W,COLUMN(G15)-1,FALSE)&lt;&gt;0,VLOOKUP($B16,$B:AK,COLUMN(AJ15)-1,FALSE)/VLOOKUP($B16,$B:W,COLUMN(G15)-1,FALSE),IF(VLOOKUP($B16,$B:AK,COLUMN(AJ15)-1,FALSE)&lt;&gt;0,"Strange",0))</f>
        <v>0</v>
      </c>
      <c r="BM16" s="2">
        <f>IF(VLOOKUP($B16,$B:X,COLUMN(H15)-1,FALSE)&lt;&gt;0,VLOOKUP($B16,$B:AL,COLUMN(AK15)-1,FALSE)/VLOOKUP($B16,$B:X,COLUMN(H15)-1,FALSE),IF(VLOOKUP($B16,$B:AL,COLUMN(AK15)-1,FALSE)&lt;&gt;0,"Strange",0))</f>
        <v>0</v>
      </c>
      <c r="BN16" s="2">
        <f>IF(VLOOKUP($B16,$B:Y,COLUMN(I15)-1,FALSE)&lt;&gt;0,VLOOKUP($B16,$B:AM,COLUMN(AL15)-1,FALSE)/VLOOKUP($B16,$B:Y,COLUMN(I15)-1,FALSE),IF(VLOOKUP($B16,$B:AM,COLUMN(AL15)-1,FALSE)&lt;&gt;0,"Strange",0))</f>
        <v>0</v>
      </c>
      <c r="BO16" s="2">
        <f>IF(VLOOKUP($B16,$B:Z,COLUMN(J15)-1,FALSE)&lt;&gt;0,VLOOKUP($B16,$B:AN,COLUMN(AM15)-1,FALSE)/VLOOKUP($B16,$B:Z,COLUMN(J15)-1,FALSE),IF(VLOOKUP($B16,$B:AN,COLUMN(AM15)-1,FALSE)&lt;&gt;0,"Strange",0))</f>
        <v>0</v>
      </c>
      <c r="BP16" s="2">
        <f>IF(VLOOKUP($B16,$B:AB,COLUMN(K15)-1,FALSE)&lt;&gt;0,VLOOKUP($B16,$B:AP,COLUMN(AN15)-1,FALSE)/VLOOKUP($B16,$B:AB,COLUMN(K15)-1,FALSE),IF(VLOOKUP($B16,$B:AP,COLUMN(AN15)-1,FALSE)&lt;&gt;0,"Strange",0))</f>
        <v>0</v>
      </c>
      <c r="BQ16" s="2">
        <f>IF(VLOOKUP($B16,$B:AC,COLUMN(L15)-1,FALSE)&lt;&gt;0,VLOOKUP($B16,$B:AQ,COLUMN(AO15)-1,FALSE)/VLOOKUP($B16,$B:AC,COLUMN(L15)-1,FALSE),IF(VLOOKUP($B16,$B:AQ,COLUMN(AO15)-1,FALSE)&lt;&gt;0,"Strange",0))</f>
        <v>0</v>
      </c>
      <c r="BR16" s="2">
        <f>IF(VLOOKUP($B16,$B:AC,COLUMN(M15)-1,FALSE)&lt;&gt;0,VLOOKUP($B16,$B:AQ,COLUMN(AP15)-1,FALSE)/VLOOKUP($B16,$B:AC,COLUMN(M15)-1,FALSE),IF(VLOOKUP($B16,$B:AQ,COLUMN(AP15)-1,FALSE)&lt;&gt;0,"Strange",0))</f>
        <v>0</v>
      </c>
      <c r="BS16" s="2">
        <f>IF(VLOOKUP($B16,$B:AD,COLUMN(N15)-1,FALSE)&lt;&gt;0,VLOOKUP($B16,$B:AR,COLUMN(AQ15)-1,FALSE)/VLOOKUP($B16,$B:AD,COLUMN(N15)-1,FALSE),IF(VLOOKUP($B16,$B:AR,COLUMN(AQ15)-1,FALSE)&lt;&gt;0,"Strange",0))</f>
        <v>0</v>
      </c>
      <c r="BT16" s="2">
        <f>IF(VLOOKUP($B16,$B:AD,COLUMN(O15)-1,FALSE)&lt;&gt;0,VLOOKUP($B16,$B:AR,COLUMN(AR15)-1,FALSE)/VLOOKUP($B16,$B:AD,COLUMN(O15)-1,FALSE),IF(VLOOKUP($B16,$B:AR,COLUMN(AR15)-1,FALSE)&lt;&gt;0,"Strange",0))</f>
        <v>0</v>
      </c>
      <c r="BU16" s="2">
        <f>IF(VLOOKUP($B16,$B:AE,COLUMN(Q15)-1,FALSE)&lt;&gt;0,VLOOKUP($B16,$B:AS,COLUMN(AS15)-1,FALSE)/VLOOKUP($B16,$B:AE,COLUMN(Q15)-1,FALSE),IF(VLOOKUP($B16,$B:AS,COLUMN(AS15)-1,FALSE)&lt;&gt;0,"Strange",0))</f>
        <v>0</v>
      </c>
      <c r="BV16" s="2">
        <f>IF(VLOOKUP($B16,$B:AF,COLUMN(R15)-1,FALSE)&lt;&gt;0,VLOOKUP($B16,$B:AT,COLUMN(AT15)-1,FALSE)/VLOOKUP($B16,$B:AF,COLUMN(R15)-1,FALSE),IF(VLOOKUP($B16,$B:AT,COLUMN(AT15)-1,FALSE)&lt;&gt;0,"Strange",0))</f>
        <v>0</v>
      </c>
      <c r="BW16" s="2">
        <f>IF(VLOOKUP($B16,$B:AG,COLUMN(S15)-1,FALSE)&lt;&gt;0,VLOOKUP($B16,$B:AU,COLUMN(AU15)-1,FALSE)/VLOOKUP($B16,$B:AG,COLUMN(S15)-1,FALSE),IF(VLOOKUP($B16,$B:AU,COLUMN(AU15)-1,FALSE)&lt;&gt;0,"Strange",0))</f>
        <v>0</v>
      </c>
      <c r="BX16" s="2">
        <f>IF(VLOOKUP($B16,$B:AH,COLUMN(T15)-1,FALSE)&lt;&gt;0,VLOOKUP($B16,$B:AV,COLUMN(AV15)-1,FALSE)/VLOOKUP($B16,$B:AH,COLUMN(T15)-1,FALSE),IF(VLOOKUP($B16,$B:AV,COLUMN(AV15)-1,FALSE)&lt;&gt;0,"Strange",0))</f>
        <v>0</v>
      </c>
      <c r="BY16" s="471"/>
      <c r="BZ16" s="2">
        <f>SUMIFS('Bilateral Assistance, MAIN DATA'!$M:$M,'Bilateral Assistance, MAIN DATA'!$B:$B,'Share, Heavy Weapons to Ukraine'!$B16,'Bilateral Assistance, MAIN DATA'!$AO:$AO,'Share, Heavy Weapons to Ukraine'!BZ$11, 'Bilateral Assistance, MAIN DATA'!$AA:$AA,1)</f>
        <v>0</v>
      </c>
      <c r="CA16" s="2">
        <f>SUMIFS('Bilateral Assistance, MAIN DATA'!$M:$M,'Bilateral Assistance, MAIN DATA'!$B:$B,'Share, Heavy Weapons to Ukraine'!$B16,'Bilateral Assistance, MAIN DATA'!$AO:$AO,'Share, Heavy Weapons to Ukraine'!CA$11, 'Bilateral Assistance, MAIN DATA'!$AA:$AA,1)</f>
        <v>0</v>
      </c>
      <c r="CB16" s="2">
        <f>SUMIFS('Bilateral Assistance, MAIN DATA'!$M:$M,'Bilateral Assistance, MAIN DATA'!$B:$B,'Share, Heavy Weapons to Ukraine'!$B16,'Bilateral Assistance, MAIN DATA'!$AO:$AO,'Share, Heavy Weapons to Ukraine'!CB$11, 'Bilateral Assistance, MAIN DATA'!$AA:$AA,1)</f>
        <v>0</v>
      </c>
      <c r="CC16" s="2">
        <f>SUMIFS('Bilateral Assistance, MAIN DATA'!$M:$M,'Bilateral Assistance, MAIN DATA'!$B:$B,'Share, Heavy Weapons to Ukraine'!$B16,'Bilateral Assistance, MAIN DATA'!$AO:$AO,'Share, Heavy Weapons to Ukraine'!CC$11, 'Bilateral Assistance, MAIN DATA'!$AA:$AA,1)</f>
        <v>0</v>
      </c>
      <c r="CD16" s="471"/>
      <c r="CE16" s="2">
        <f>SUMIFS('Bilateral Assistance, MAIN DATA'!$N:$N,'Bilateral Assistance, MAIN DATA'!$B:$B,'Share, Heavy Weapons to Ukraine'!$B16,'Bilateral Assistance, MAIN DATA'!$AO:$AO,'Share, Heavy Weapons to Ukraine'!CE$11, 'Bilateral Assistance, MAIN DATA'!$AA:$AA,1)</f>
        <v>0</v>
      </c>
      <c r="CF16" s="2">
        <f>SUMIFS('Bilateral Assistance, MAIN DATA'!$N:$N,'Bilateral Assistance, MAIN DATA'!$B:$B,'Share, Heavy Weapons to Ukraine'!$B16,'Bilateral Assistance, MAIN DATA'!$AO:$AO,'Share, Heavy Weapons to Ukraine'!CF$11, 'Bilateral Assistance, MAIN DATA'!$AA:$AA,1)</f>
        <v>0</v>
      </c>
      <c r="CG16" s="2">
        <f>SUMIFS('Bilateral Assistance, MAIN DATA'!$N:$N,'Bilateral Assistance, MAIN DATA'!$B:$B,'Share, Heavy Weapons to Ukraine'!$B16,'Bilateral Assistance, MAIN DATA'!$AO:$AO,'Share, Heavy Weapons to Ukraine'!CG$11, 'Bilateral Assistance, MAIN DATA'!$AA:$AA,1)</f>
        <v>0</v>
      </c>
      <c r="CH16" s="2">
        <f>SUMIFS('Bilateral Assistance, MAIN DATA'!$N:$N,'Bilateral Assistance, MAIN DATA'!$B:$B,'Share, Heavy Weapons to Ukraine'!$B16,'Bilateral Assistance, MAIN DATA'!$AO:$AO,'Share, Heavy Weapons to Ukraine'!CH$11, 'Bilateral Assistance, MAIN DATA'!$AA:$AA,1)</f>
        <v>0</v>
      </c>
    </row>
    <row r="17" spans="2:86" ht="15.6" x14ac:dyDescent="0.3">
      <c r="B17" s="470" t="s">
        <v>255</v>
      </c>
      <c r="C17" s="470">
        <v>0</v>
      </c>
      <c r="D17" s="2">
        <v>0</v>
      </c>
      <c r="E17" s="471"/>
      <c r="F17" s="472">
        <v>34.299999999999997</v>
      </c>
      <c r="G17" s="470">
        <f>VLOOKUP(B17,'Heavy Weapon Stocks'!B:OE,COLUMN('Heavy Weapon Stocks'!$C$11)-1,FALSE)</f>
        <v>59</v>
      </c>
      <c r="H17" s="470">
        <f>VLOOKUP(B17,'Heavy Weapon Stocks'!B:OE,COLUMN('Heavy Weapon Stocks'!$AT$11)-1,FALSE)</f>
        <v>431</v>
      </c>
      <c r="I17" s="470">
        <f>VLOOKUP(B17,'Heavy Weapon Stocks'!B:OE,COLUMN('Heavy Weapon Stocks'!$DN$11)-1,FALSE)</f>
        <v>0</v>
      </c>
      <c r="J17" s="470">
        <f>VLOOKUP(B17,'Heavy Weapon Stocks'!B:OE,COLUMN('Heavy Weapon Stocks'!$EB$11)-1,FALSE)</f>
        <v>1120</v>
      </c>
      <c r="K17" s="470">
        <f>VLOOKUP(B17,'Heavy Weapon Stocks'!B:OE,COLUMN('Heavy Weapon Stocks'!$FD$11)-1,FALSE)</f>
        <v>253</v>
      </c>
      <c r="L17" s="470">
        <f t="shared" si="3"/>
        <v>1804</v>
      </c>
      <c r="M17" s="470">
        <f>VLOOKUP(B17,'Heavy Weapon Stocks'!B:OE,COLUMN('Heavy Weapon Stocks'!$GZ$11)-1,FALSE)+VLOOKUP(B17,'Heavy Weapon Stocks'!B:OE,COLUMN('Heavy Weapon Stocks'!$IF$11)-1,FALSE)</f>
        <v>54</v>
      </c>
      <c r="N17" s="470">
        <f>VLOOKUP(B17,'Heavy Weapon Stocks'!B:OE,COLUMN('Heavy Weapon Stocks'!$IK$11)-1,FALSE)</f>
        <v>0</v>
      </c>
      <c r="O17" s="470">
        <f>VLOOKUP(B17,'Heavy Weapon Stocks'!B:OE,COLUMN('Heavy Weapon Stocks'!$JE$11)-1,FALSE)+VLOOKUP(B17,'Heavy Weapon Stocks'!B:OE,COLUMN('Heavy Weapon Stocks'!$KB$11)-1,FALSE)</f>
        <v>68</v>
      </c>
      <c r="Q17" s="470">
        <f>VLOOKUP(B17,'Heavy Weapon Stocks'!B:OE,COLUMN('Heavy Weapon Stocks'!$LS$11)-1,FALSE)</f>
        <v>0</v>
      </c>
      <c r="R17" s="470">
        <f>VLOOKUP(B17,'Heavy Weapon Stocks'!B:OE,COLUMN('Heavy Weapon Stocks'!$MC$11)-1,FALSE)</f>
        <v>0</v>
      </c>
      <c r="S17" s="470">
        <f>VLOOKUP(B17,'Heavy Weapon Stocks'!B:OE,COLUMN('Heavy Weapon Stocks'!$MJ$11)-1,FALSE)</f>
        <v>0</v>
      </c>
      <c r="T17" s="470">
        <f>VLOOKUP(B17,'Heavy Weapon Stocks'!B:OE,COLUMN('Heavy Weapon Stocks'!$NO$11)-1,FALSE)</f>
        <v>0</v>
      </c>
      <c r="U17" s="471"/>
      <c r="V17" s="2">
        <f>SUMIFS('Bilateral Assistance, MAIN DATA'!$M:$M,'Bilateral Assistance, MAIN DATA'!$B:$B,'Share, Heavy Weapons to Ukraine'!$B17,'Bilateral Assistance, MAIN DATA'!$AO:$AO,'Share, Heavy Weapons to Ukraine'!V$11)</f>
        <v>0</v>
      </c>
      <c r="W17" s="2">
        <f>SUMIFS('Bilateral Assistance, MAIN DATA'!$M:$M,'Bilateral Assistance, MAIN DATA'!$B:$B,'Share, Heavy Weapons to Ukraine'!$B17,'Bilateral Assistance, MAIN DATA'!$AO:$AO,'Share, Heavy Weapons to Ukraine'!W$11)</f>
        <v>28</v>
      </c>
      <c r="X17" s="2">
        <f>SUMIFS('Bilateral Assistance, MAIN DATA'!$M:$M,'Bilateral Assistance, MAIN DATA'!$B:$B,'Share, Heavy Weapons to Ukraine'!$B17,'Bilateral Assistance, MAIN DATA'!$AO:$AO,'Share, Heavy Weapons to Ukraine'!X$11)</f>
        <v>0</v>
      </c>
      <c r="Y17" s="2">
        <f>SUMIFS('Bilateral Assistance, MAIN DATA'!$M:$M,'Bilateral Assistance, MAIN DATA'!$B:$B,'Share, Heavy Weapons to Ukraine'!$B17,'Bilateral Assistance, MAIN DATA'!$AO:$AO,'Share, Heavy Weapons to Ukraine'!Y$11)</f>
        <v>90</v>
      </c>
      <c r="Z17" s="2">
        <f>SUMIFS('Bilateral Assistance, MAIN DATA'!$M:$M,'Bilateral Assistance, MAIN DATA'!$B:$B,'Share, Heavy Weapons to Ukraine'!$B17,'Bilateral Assistance, MAIN DATA'!$AO:$AO,'Share, Heavy Weapons to Ukraine'!Z$11)</f>
        <v>0</v>
      </c>
      <c r="AA17" s="2">
        <f t="shared" si="1"/>
        <v>118</v>
      </c>
      <c r="AB17" s="2">
        <f>SUMIFS('Bilateral Assistance, MAIN DATA'!$M:$M,'Bilateral Assistance, MAIN DATA'!$B:$B,'Share, Heavy Weapons to Ukraine'!$B17,'Bilateral Assistance, MAIN DATA'!$AO:$AO,'Share, Heavy Weapons to Ukraine'!AB$11)</f>
        <v>6</v>
      </c>
      <c r="AC17" s="25">
        <f>SUMIFS('Bilateral Assistance, MAIN DATA'!$M:$M,'Bilateral Assistance, MAIN DATA'!$B:$B,'Share, Heavy Weapons to Ukraine'!$B17,'Bilateral Assistance, MAIN DATA'!$AO:$AO,"122mm MLRS")+SUMIFS('Bilateral Assistance, MAIN DATA'!$M:$M,'Bilateral Assistance, MAIN DATA'!$B:$B,'Share, Heavy Weapons to Ukraine'!$B17,'Bilateral Assistance, MAIN DATA'!$AO:$AO,"127mm MLRS")+SUMIFS('Bilateral Assistance, MAIN DATA'!$M:$M,'Bilateral Assistance, MAIN DATA'!$B:$B,'Share, Heavy Weapons to Ukraine'!$B17,'Bilateral Assistance, MAIN DATA'!$AO:$AO,"227mm MLRS")</f>
        <v>0</v>
      </c>
      <c r="AD17" s="2">
        <f>SUMIFS('Bilateral Assistance, MAIN DATA'!$M:$M,'Bilateral Assistance, MAIN DATA'!$B:$B,'Share, Heavy Weapons to Ukraine'!$B17,'Bilateral Assistance, MAIN DATA'!$AO:$AO,'Share, Heavy Weapons to Ukraine'!AD$11)</f>
        <v>0</v>
      </c>
      <c r="AE17" s="2">
        <f>SUMIFS('Bilateral Assistance, MAIN DATA'!$M:$M,'Bilateral Assistance, MAIN DATA'!$B:$B,'Share, Heavy Weapons to Ukraine'!$B17,'Bilateral Assistance, MAIN DATA'!$AO:$AO,'Share, Heavy Weapons to Ukraine'!AE$11)</f>
        <v>0</v>
      </c>
      <c r="AF17" s="2">
        <f>SUMIFS('Bilateral Assistance, MAIN DATA'!$M:$M,'Bilateral Assistance, MAIN DATA'!$B:$B,'Share, Heavy Weapons to Ukraine'!$B17,'Bilateral Assistance, MAIN DATA'!$AO:$AO,'Share, Heavy Weapons to Ukraine'!AF$11)</f>
        <v>0</v>
      </c>
      <c r="AG17" s="2">
        <f>SUMIFS('Bilateral Assistance, MAIN DATA'!$M:$M,'Bilateral Assistance, MAIN DATA'!$B:$B,'Share, Heavy Weapons to Ukraine'!$B17,'Bilateral Assistance, MAIN DATA'!$AO:$AO,'Share, Heavy Weapons to Ukraine'!AG$11)</f>
        <v>0</v>
      </c>
      <c r="AH17" s="2">
        <f>SUMIFS('Bilateral Assistance, MAIN DATA'!$M:$M,'Bilateral Assistance, MAIN DATA'!$B:$B,'Share, Heavy Weapons to Ukraine'!$B17,'Bilateral Assistance, MAIN DATA'!$AO:$AO,'Share, Heavy Weapons to Ukraine'!AH$11)</f>
        <v>0</v>
      </c>
      <c r="AI17" s="471"/>
      <c r="AJ17" s="2">
        <f>SUMIFS('Bilateral Assistance, MAIN DATA'!$N:$N,'Bilateral Assistance, MAIN DATA'!$B:$B,'Share, Heavy Weapons to Ukraine'!$B17,'Bilateral Assistance, MAIN DATA'!$AO:$AO,'Share, Heavy Weapons to Ukraine'!AJ$11)</f>
        <v>0</v>
      </c>
      <c r="AK17" s="2">
        <f>SUMIFS('Bilateral Assistance, MAIN DATA'!$N:$N,'Bilateral Assistance, MAIN DATA'!$B:$B,'Share, Heavy Weapons to Ukraine'!$B17,'Bilateral Assistance, MAIN DATA'!$AO:$AO,'Share, Heavy Weapons to Ukraine'!AK$11)</f>
        <v>28</v>
      </c>
      <c r="AL17" s="2">
        <f>SUMIFS('Bilateral Assistance, MAIN DATA'!$N:$N,'Bilateral Assistance, MAIN DATA'!$B:$B,'Share, Heavy Weapons to Ukraine'!$B17,'Bilateral Assistance, MAIN DATA'!$AO:$AO,'Share, Heavy Weapons to Ukraine'!AL$11)</f>
        <v>0</v>
      </c>
      <c r="AM17" s="2">
        <f>SUMIFS('Bilateral Assistance, MAIN DATA'!$N:$N,'Bilateral Assistance, MAIN DATA'!$B:$B,'Share, Heavy Weapons to Ukraine'!$B17,'Bilateral Assistance, MAIN DATA'!$AO:$AO,'Share, Heavy Weapons to Ukraine'!AM$11)</f>
        <v>60</v>
      </c>
      <c r="AN17" s="2">
        <f>SUMIFS('Bilateral Assistance, MAIN DATA'!$N:$N,'Bilateral Assistance, MAIN DATA'!$B:$B,'Share, Heavy Weapons to Ukraine'!$B17,'Bilateral Assistance, MAIN DATA'!$AO:$AO,'Share, Heavy Weapons to Ukraine'!AN$11)</f>
        <v>0</v>
      </c>
      <c r="AO17" s="2">
        <f t="shared" si="2"/>
        <v>88</v>
      </c>
      <c r="AP17" s="2">
        <f>SUMIFS('Bilateral Assistance, MAIN DATA'!$N:$N,'Bilateral Assistance, MAIN DATA'!$B:$B,'Share, Heavy Weapons to Ukraine'!$B17,'Bilateral Assistance, MAIN DATA'!$AO:$AO,'Share, Heavy Weapons to Ukraine'!AP$11)</f>
        <v>6</v>
      </c>
      <c r="AQ17" s="25">
        <f>SUMIFS('Bilateral Assistance, MAIN DATA'!$N:$N,'Bilateral Assistance, MAIN DATA'!$B:$B,'Share, Heavy Weapons to Ukraine'!$B17,'Bilateral Assistance, MAIN DATA'!$AO:$AO,"122mm MLRS")+SUMIFS('Bilateral Assistance, MAIN DATA'!$N:$N,'Bilateral Assistance, MAIN DATA'!$B:$B,'Share, Heavy Weapons to Ukraine'!$B17,'Bilateral Assistance, MAIN DATA'!$AO:$AO,"127mm MLRS")+SUMIFS('Bilateral Assistance, MAIN DATA'!$N:$N,'Bilateral Assistance, MAIN DATA'!$B:$B,'Share, Heavy Weapons to Ukraine'!$B17,'Bilateral Assistance, MAIN DATA'!$AO:$AO,"227mm MLRS")</f>
        <v>0</v>
      </c>
      <c r="AR17" s="2">
        <f>SUMIFS('Bilateral Assistance, MAIN DATA'!$N:$N,'Bilateral Assistance, MAIN DATA'!$B:$B,'Share, Heavy Weapons to Ukraine'!$B17,'Bilateral Assistance, MAIN DATA'!$AO:$AO,'Share, Heavy Weapons to Ukraine'!AR$11)</f>
        <v>0</v>
      </c>
      <c r="AS17" s="2">
        <f>SUMIFS('Bilateral Assistance, MAIN DATA'!$N:$N,'Bilateral Assistance, MAIN DATA'!$B:$B,'Share, Heavy Weapons to Ukraine'!$B17,'Bilateral Assistance, MAIN DATA'!$AO:$AO,'Share, Heavy Weapons to Ukraine'!AS$11)</f>
        <v>0</v>
      </c>
      <c r="AT17" s="2">
        <f>SUMIFS('Bilateral Assistance, MAIN DATA'!$N:$N,'Bilateral Assistance, MAIN DATA'!$B:$B,'Share, Heavy Weapons to Ukraine'!$B17,'Bilateral Assistance, MAIN DATA'!$AO:$AO,'Share, Heavy Weapons to Ukraine'!AT$11)</f>
        <v>0</v>
      </c>
      <c r="AU17" s="2">
        <f>SUMIFS('Bilateral Assistance, MAIN DATA'!$N:$N,'Bilateral Assistance, MAIN DATA'!$B:$B,'Share, Heavy Weapons to Ukraine'!$B17,'Bilateral Assistance, MAIN DATA'!$AO:$AO,'Share, Heavy Weapons to Ukraine'!AU$11)</f>
        <v>0</v>
      </c>
      <c r="AV17" s="2">
        <f>SUMIFS('Bilateral Assistance, MAIN DATA'!$N:$N,'Bilateral Assistance, MAIN DATA'!$B:$B,'Share, Heavy Weapons to Ukraine'!$B17,'Bilateral Assistance, MAIN DATA'!$AO:$AO,'Share, Heavy Weapons to Ukraine'!AV$11)</f>
        <v>0</v>
      </c>
      <c r="AW17" s="471"/>
      <c r="AX17" s="292">
        <f>IF(VLOOKUP($B17,$B:G,COLUMN(G16)-1,FALSE)&lt;&gt;0,VLOOKUP($B17,$B:V,COLUMN(V16)-1,FALSE)/VLOOKUP($B17,$B:G,COLUMN(G16)-1,FALSE),IF(VLOOKUP($B17,$B:V,COLUMN(V16)-1,FALSE)&lt;&gt;0,"Strange",0))</f>
        <v>0</v>
      </c>
      <c r="AY17" s="292">
        <f>IF(VLOOKUP($B17,$B:H,COLUMN(H16)-1,FALSE)&lt;&gt;0,VLOOKUP($B17,$B:W,COLUMN(W16)-1,FALSE)/VLOOKUP($B17,$B:H,COLUMN(H16)-1,FALSE),IF(VLOOKUP($B17,$B:W,COLUMN(W16)-1,FALSE)&lt;&gt;0,"Strange",0))</f>
        <v>6.4965197215777259E-2</v>
      </c>
      <c r="AZ17" s="292">
        <f>IF(VLOOKUP($B17,$B:I,COLUMN(I16)-1,FALSE)&lt;&gt;0,VLOOKUP($B17,$B:X,COLUMN(X16)-1,FALSE)/VLOOKUP($B17,$B:I,COLUMN(I16)-1,FALSE),IF(VLOOKUP($B17,$B:X,COLUMN(X16)-1,FALSE)&lt;&gt;0,"Strange",0))</f>
        <v>0</v>
      </c>
      <c r="BA17" s="292">
        <f>IF(VLOOKUP($B17,$B:J,COLUMN(J16)-1,FALSE)&lt;&gt;0,VLOOKUP($B17,$B:Y,COLUMN(Y16)-1,FALSE)/VLOOKUP($B17,$B:J,COLUMN(J16)-1,FALSE),IF(VLOOKUP($B17,$B:Y,COLUMN(Y16)-1,FALSE)&lt;&gt;0,"Strange",0))</f>
        <v>8.0357142857142863E-2</v>
      </c>
      <c r="BB17" s="292">
        <f>IF(VLOOKUP($B17,$B:K,COLUMN(K16)-1,FALSE)&lt;&gt;0,VLOOKUP($B17,$B:Z,COLUMN(Z16)-1,FALSE)/VLOOKUP($B17,$B:K,COLUMN(K16)-1,FALSE),IF(VLOOKUP($B17,$B:Z,COLUMN(Z16)-1,FALSE)&lt;&gt;0,"Strange",0))</f>
        <v>0</v>
      </c>
      <c r="BC17" s="292">
        <f>IF(VLOOKUP($B17,$B:L,COLUMN(L16)-1,FALSE)&lt;&gt;0,VLOOKUP($B17,$B:AA,COLUMN(AA16)-1,FALSE)/VLOOKUP($B17,$B:L,COLUMN(L16)-1,FALSE),IF(VLOOKUP($B17,$B:AA,COLUMN(AA16)-1,FALSE)&lt;&gt;0,"Strange",0))</f>
        <v>6.5410199556541024E-2</v>
      </c>
      <c r="BD17" s="292">
        <f>IF(VLOOKUP($B17,$B:M,COLUMN(M16)-1,FALSE)&lt;&gt;0,VLOOKUP($B17,$B:AB,COLUMN(AB16)-1,FALSE)/VLOOKUP($B17,$B:M,COLUMN(M16)-1,FALSE),IF(VLOOKUP($B17,$B:AB,COLUMN(AB16)-1,FALSE)&lt;&gt;0,"Strange",0))</f>
        <v>0.1111111111111111</v>
      </c>
      <c r="BE17" s="292">
        <f>IF(VLOOKUP($B17,$B:N,COLUMN(N16)-1,FALSE)&lt;&gt;0,VLOOKUP($B17,$B:AC,COLUMN(AC16)-1,FALSE)/VLOOKUP($B17,$B:N,COLUMN(N16)-1,FALSE),IF(VLOOKUP($B17,$B:AC,COLUMN(AC16)-1,FALSE)&lt;&gt;0,"Strange",0))</f>
        <v>0</v>
      </c>
      <c r="BF17" s="292">
        <f>IF(VLOOKUP($B17,$B:O,COLUMN(O16)-1,FALSE)&lt;&gt;0,VLOOKUP($B17,$B:AD,COLUMN(AD16)-1,FALSE)/VLOOKUP($B17,$B:O,COLUMN(O16)-1,FALSE),IF(VLOOKUP($B17,$B:AD,COLUMN(AD16)-1,FALSE)&lt;&gt;0,"Strange",0))</f>
        <v>0</v>
      </c>
      <c r="BG17" s="292">
        <f>IF(VLOOKUP($B17,$B:Q,COLUMN(Q16)-1,FALSE)&lt;&gt;0,VLOOKUP($B17,$B:AE,COLUMN(AE16)-1,FALSE)/VLOOKUP($B17,$B:Q,COLUMN(Q16)-1,FALSE),IF(VLOOKUP($B17,$B:AE,COLUMN(AE16)-1,FALSE)&lt;&gt;0,"Strange",0))</f>
        <v>0</v>
      </c>
      <c r="BH17" s="292">
        <f>IF(VLOOKUP($B17,$B:R,COLUMN(R16)-1,FALSE)&lt;&gt;0,VLOOKUP($B17,$B:AF,COLUMN(AF16)-1,FALSE)/VLOOKUP($B17,$B:R,COLUMN(R16)-1,FALSE),IF(VLOOKUP($B17,$B:AF,COLUMN(AF16)-1,FALSE)&lt;&gt;0,"Strange",0))</f>
        <v>0</v>
      </c>
      <c r="BI17" s="292">
        <f>IF(VLOOKUP($B17,$B:S,COLUMN(S16)-1,FALSE)&lt;&gt;0,VLOOKUP($B17,$B:AG,COLUMN(AG16)-1,FALSE)/VLOOKUP($B17,$B:S,COLUMN(S16)-1,FALSE),IF(VLOOKUP($B17,$B:AG,COLUMN(AG16)-1,FALSE)&lt;&gt;0,"Strange",0))</f>
        <v>0</v>
      </c>
      <c r="BJ17" s="292">
        <f>IF(VLOOKUP($B17,$B:T,COLUMN(T16)-1,FALSE)&lt;&gt;0,VLOOKUP($B17,$B:AH,COLUMN(AH16)-1,FALSE)/VLOOKUP($B17,$B:T,COLUMN(T16)-1,FALSE),IF(VLOOKUP($B17,$B:AH,COLUMN(AH16)-1,FALSE)&lt;&gt;0,"Strange",0))</f>
        <v>0</v>
      </c>
      <c r="BK17" s="471"/>
      <c r="BL17" s="2">
        <f>IF(VLOOKUP($B17,$B:W,COLUMN(G16)-1,FALSE)&lt;&gt;0,VLOOKUP($B17,$B:AK,COLUMN(AJ16)-1,FALSE)/VLOOKUP($B17,$B:W,COLUMN(G16)-1,FALSE),IF(VLOOKUP($B17,$B:AK,COLUMN(AJ16)-1,FALSE)&lt;&gt;0,"Strange",0))</f>
        <v>0</v>
      </c>
      <c r="BM17" s="2">
        <f>IF(VLOOKUP($B17,$B:X,COLUMN(H16)-1,FALSE)&lt;&gt;0,VLOOKUP($B17,$B:AL,COLUMN(AK16)-1,FALSE)/VLOOKUP($B17,$B:X,COLUMN(H16)-1,FALSE),IF(VLOOKUP($B17,$B:AL,COLUMN(AK16)-1,FALSE)&lt;&gt;0,"Strange",0))</f>
        <v>6.4965197215777259E-2</v>
      </c>
      <c r="BN17" s="2">
        <f>IF(VLOOKUP($B17,$B:Y,COLUMN(I16)-1,FALSE)&lt;&gt;0,VLOOKUP($B17,$B:AM,COLUMN(AL16)-1,FALSE)/VLOOKUP($B17,$B:Y,COLUMN(I16)-1,FALSE),IF(VLOOKUP($B17,$B:AM,COLUMN(AL16)-1,FALSE)&lt;&gt;0,"Strange",0))</f>
        <v>0</v>
      </c>
      <c r="BO17" s="2">
        <f>IF(VLOOKUP($B17,$B:Z,COLUMN(J16)-1,FALSE)&lt;&gt;0,VLOOKUP($B17,$B:AN,COLUMN(AM16)-1,FALSE)/VLOOKUP($B17,$B:Z,COLUMN(J16)-1,FALSE),IF(VLOOKUP($B17,$B:AN,COLUMN(AM16)-1,FALSE)&lt;&gt;0,"Strange",0))</f>
        <v>5.3571428571428568E-2</v>
      </c>
      <c r="BP17" s="2">
        <f>IF(VLOOKUP($B17,$B:AB,COLUMN(K16)-1,FALSE)&lt;&gt;0,VLOOKUP($B17,$B:AP,COLUMN(AN16)-1,FALSE)/VLOOKUP($B17,$B:AB,COLUMN(K16)-1,FALSE),IF(VLOOKUP($B17,$B:AP,COLUMN(AN16)-1,FALSE)&lt;&gt;0,"Strange",0))</f>
        <v>0</v>
      </c>
      <c r="BQ17" s="2">
        <f>IF(VLOOKUP($B17,$B:AC,COLUMN(L16)-1,FALSE)&lt;&gt;0,VLOOKUP($B17,$B:AQ,COLUMN(AO16)-1,FALSE)/VLOOKUP($B17,$B:AC,COLUMN(L16)-1,FALSE),IF(VLOOKUP($B17,$B:AQ,COLUMN(AO16)-1,FALSE)&lt;&gt;0,"Strange",0))</f>
        <v>4.878048780487805E-2</v>
      </c>
      <c r="BR17" s="2">
        <f>IF(VLOOKUP($B17,$B:AC,COLUMN(M16)-1,FALSE)&lt;&gt;0,VLOOKUP($B17,$B:AQ,COLUMN(AP16)-1,FALSE)/VLOOKUP($B17,$B:AC,COLUMN(M16)-1,FALSE),IF(VLOOKUP($B17,$B:AQ,COLUMN(AP16)-1,FALSE)&lt;&gt;0,"Strange",0))</f>
        <v>0.1111111111111111</v>
      </c>
      <c r="BS17" s="2">
        <f>IF(VLOOKUP($B17,$B:AD,COLUMN(N16)-1,FALSE)&lt;&gt;0,VLOOKUP($B17,$B:AR,COLUMN(AQ16)-1,FALSE)/VLOOKUP($B17,$B:AD,COLUMN(N16)-1,FALSE),IF(VLOOKUP($B17,$B:AR,COLUMN(AQ16)-1,FALSE)&lt;&gt;0,"Strange",0))</f>
        <v>0</v>
      </c>
      <c r="BT17" s="2">
        <f>IF(VLOOKUP($B17,$B:AD,COLUMN(O16)-1,FALSE)&lt;&gt;0,VLOOKUP($B17,$B:AR,COLUMN(AR16)-1,FALSE)/VLOOKUP($B17,$B:AD,COLUMN(O16)-1,FALSE),IF(VLOOKUP($B17,$B:AR,COLUMN(AR16)-1,FALSE)&lt;&gt;0,"Strange",0))</f>
        <v>0</v>
      </c>
      <c r="BU17" s="2">
        <f>IF(VLOOKUP($B17,$B:AE,COLUMN(Q16)-1,FALSE)&lt;&gt;0,VLOOKUP($B17,$B:AS,COLUMN(AS16)-1,FALSE)/VLOOKUP($B17,$B:AE,COLUMN(Q16)-1,FALSE),IF(VLOOKUP($B17,$B:AS,COLUMN(AS16)-1,FALSE)&lt;&gt;0,"Strange",0))</f>
        <v>0</v>
      </c>
      <c r="BV17" s="2">
        <f>IF(VLOOKUP($B17,$B:AF,COLUMN(R16)-1,FALSE)&lt;&gt;0,VLOOKUP($B17,$B:AT,COLUMN(AT16)-1,FALSE)/VLOOKUP($B17,$B:AF,COLUMN(R16)-1,FALSE),IF(VLOOKUP($B17,$B:AT,COLUMN(AT16)-1,FALSE)&lt;&gt;0,"Strange",0))</f>
        <v>0</v>
      </c>
      <c r="BW17" s="2">
        <f>IF(VLOOKUP($B17,$B:AG,COLUMN(S16)-1,FALSE)&lt;&gt;0,VLOOKUP($B17,$B:AU,COLUMN(AU16)-1,FALSE)/VLOOKUP($B17,$B:AG,COLUMN(S16)-1,FALSE),IF(VLOOKUP($B17,$B:AU,COLUMN(AU16)-1,FALSE)&lt;&gt;0,"Strange",0))</f>
        <v>0</v>
      </c>
      <c r="BX17" s="2">
        <f>IF(VLOOKUP($B17,$B:AH,COLUMN(T16)-1,FALSE)&lt;&gt;0,VLOOKUP($B17,$B:AV,COLUMN(AV16)-1,FALSE)/VLOOKUP($B17,$B:AH,COLUMN(T16)-1,FALSE),IF(VLOOKUP($B17,$B:AV,COLUMN(AV16)-1,FALSE)&lt;&gt;0,"Strange",0))</f>
        <v>0</v>
      </c>
      <c r="BY17" s="471"/>
      <c r="BZ17" s="2">
        <f>SUMIFS('Bilateral Assistance, MAIN DATA'!$M:$M,'Bilateral Assistance, MAIN DATA'!$B:$B,'Share, Heavy Weapons to Ukraine'!$B17,'Bilateral Assistance, MAIN DATA'!$AO:$AO,'Share, Heavy Weapons to Ukraine'!BZ$11, 'Bilateral Assistance, MAIN DATA'!$AA:$AA,1)</f>
        <v>0</v>
      </c>
      <c r="CA17" s="2">
        <f>SUMIFS('Bilateral Assistance, MAIN DATA'!$M:$M,'Bilateral Assistance, MAIN DATA'!$B:$B,'Share, Heavy Weapons to Ukraine'!$B17,'Bilateral Assistance, MAIN DATA'!$AO:$AO,'Share, Heavy Weapons to Ukraine'!CA$11, 'Bilateral Assistance, MAIN DATA'!$AA:$AA,1)</f>
        <v>0</v>
      </c>
      <c r="CB17" s="2">
        <f>SUMIFS('Bilateral Assistance, MAIN DATA'!$M:$M,'Bilateral Assistance, MAIN DATA'!$B:$B,'Share, Heavy Weapons to Ukraine'!$B17,'Bilateral Assistance, MAIN DATA'!$AO:$AO,'Share, Heavy Weapons to Ukraine'!CB$11, 'Bilateral Assistance, MAIN DATA'!$AA:$AA,1)</f>
        <v>0</v>
      </c>
      <c r="CC17" s="2">
        <f>SUMIFS('Bilateral Assistance, MAIN DATA'!$M:$M,'Bilateral Assistance, MAIN DATA'!$B:$B,'Share, Heavy Weapons to Ukraine'!$B17,'Bilateral Assistance, MAIN DATA'!$AO:$AO,'Share, Heavy Weapons to Ukraine'!CC$11, 'Bilateral Assistance, MAIN DATA'!$AA:$AA,1)</f>
        <v>0</v>
      </c>
      <c r="CD17" s="471"/>
      <c r="CE17" s="2">
        <f>SUMIFS('Bilateral Assistance, MAIN DATA'!$N:$N,'Bilateral Assistance, MAIN DATA'!$B:$B,'Share, Heavy Weapons to Ukraine'!$B17,'Bilateral Assistance, MAIN DATA'!$AO:$AO,'Share, Heavy Weapons to Ukraine'!CE$11, 'Bilateral Assistance, MAIN DATA'!$AA:$AA,1)</f>
        <v>0</v>
      </c>
      <c r="CF17" s="2">
        <f>SUMIFS('Bilateral Assistance, MAIN DATA'!$N:$N,'Bilateral Assistance, MAIN DATA'!$B:$B,'Share, Heavy Weapons to Ukraine'!$B17,'Bilateral Assistance, MAIN DATA'!$AO:$AO,'Share, Heavy Weapons to Ukraine'!CF$11, 'Bilateral Assistance, MAIN DATA'!$AA:$AA,1)</f>
        <v>0</v>
      </c>
      <c r="CG17" s="2">
        <f>SUMIFS('Bilateral Assistance, MAIN DATA'!$N:$N,'Bilateral Assistance, MAIN DATA'!$B:$B,'Share, Heavy Weapons to Ukraine'!$B17,'Bilateral Assistance, MAIN DATA'!$AO:$AO,'Share, Heavy Weapons to Ukraine'!CG$11, 'Bilateral Assistance, MAIN DATA'!$AA:$AA,1)</f>
        <v>0</v>
      </c>
      <c r="CH17" s="2">
        <f>SUMIFS('Bilateral Assistance, MAIN DATA'!$N:$N,'Bilateral Assistance, MAIN DATA'!$B:$B,'Share, Heavy Weapons to Ukraine'!$B17,'Bilateral Assistance, MAIN DATA'!$AO:$AO,'Share, Heavy Weapons to Ukraine'!CH$11, 'Bilateral Assistance, MAIN DATA'!$AA:$AA,1)</f>
        <v>0</v>
      </c>
    </row>
    <row r="18" spans="2:86" ht="15.6" x14ac:dyDescent="0.3">
      <c r="B18" s="470" t="s">
        <v>1730</v>
      </c>
      <c r="C18" s="470">
        <v>0</v>
      </c>
      <c r="D18" s="2">
        <v>1</v>
      </c>
      <c r="E18" s="471"/>
      <c r="F18" s="472">
        <v>33.799999999999997</v>
      </c>
      <c r="G18" s="470">
        <f>VLOOKUP(B18,'Heavy Weapon Stocks'!B:OE,COLUMN('Heavy Weapon Stocks'!$C$11)-1,FALSE)</f>
        <v>150</v>
      </c>
      <c r="H18" s="470">
        <f>VLOOKUP(B18,'Heavy Weapon Stocks'!B:OE,COLUMN('Heavy Weapon Stocks'!$AT$11)-1,FALSE)</f>
        <v>346</v>
      </c>
      <c r="I18" s="470">
        <f>VLOOKUP(B18,'Heavy Weapon Stocks'!B:OE,COLUMN('Heavy Weapon Stocks'!$DN$11)-1,FALSE)</f>
        <v>33</v>
      </c>
      <c r="J18" s="470">
        <f>VLOOKUP(B18,'Heavy Weapon Stocks'!B:OE,COLUMN('Heavy Weapon Stocks'!$EB$11)-1,FALSE)</f>
        <v>1884</v>
      </c>
      <c r="K18" s="470">
        <f>VLOOKUP(B18,'Heavy Weapon Stocks'!B:OE,COLUMN('Heavy Weapon Stocks'!$FD$11)-1,FALSE)</f>
        <v>681</v>
      </c>
      <c r="L18" s="470">
        <f t="shared" si="3"/>
        <v>2944</v>
      </c>
      <c r="M18" s="470">
        <f>VLOOKUP(B18,'Heavy Weapon Stocks'!B:OE,COLUMN('Heavy Weapon Stocks'!$GZ$11)-1,FALSE)+VLOOKUP(B18,'Heavy Weapon Stocks'!B:OE,COLUMN('Heavy Weapon Stocks'!$IF$11)-1,FALSE)+30</f>
        <v>263</v>
      </c>
      <c r="N18" s="470">
        <f>VLOOKUP(B18,'Heavy Weapon Stocks'!B:OE,COLUMN('Heavy Weapon Stocks'!$IK$11)-1,FALSE)</f>
        <v>22</v>
      </c>
      <c r="O18" s="470">
        <f>VLOOKUP(B18,'Heavy Weapon Stocks'!B:OE,COLUMN('Heavy Weapon Stocks'!$JE$11)-1,FALSE)+VLOOKUP(B18,'Heavy Weapon Stocks'!B:OE,COLUMN('Heavy Weapon Stocks'!$KB$11)-1,FALSE)</f>
        <v>148</v>
      </c>
      <c r="Q18" s="470">
        <f>VLOOKUP(B18,'Heavy Weapon Stocks'!B:OE,COLUMN('Heavy Weapon Stocks'!$LS$11)-1,FALSE)</f>
        <v>20</v>
      </c>
      <c r="R18" s="470">
        <f>VLOOKUP(B18,'Heavy Weapon Stocks'!B:OE,COLUMN('Heavy Weapon Stocks'!$MC$11)-1,FALSE)</f>
        <v>0</v>
      </c>
      <c r="S18" s="470">
        <f>VLOOKUP(B18,'Heavy Weapon Stocks'!B:OE,COLUMN('Heavy Weapon Stocks'!$MJ$11)-1,FALSE)</f>
        <v>32</v>
      </c>
      <c r="T18" s="470">
        <f>VLOOKUP(B18,'Heavy Weapon Stocks'!B:OE,COLUMN('Heavy Weapon Stocks'!$NO$11)-1,FALSE)</f>
        <v>0</v>
      </c>
      <c r="U18" s="471"/>
      <c r="V18" s="2">
        <f>SUMIFS('Bilateral Assistance, MAIN DATA'!$M:$M,'Bilateral Assistance, MAIN DATA'!$B:$B,'Share, Heavy Weapons to Ukraine'!$B18,'Bilateral Assistance, MAIN DATA'!$AO:$AO,'Share, Heavy Weapons to Ukraine'!V$11)</f>
        <v>0</v>
      </c>
      <c r="W18" s="2">
        <f>SUMIFS('Bilateral Assistance, MAIN DATA'!$M:$M,'Bilateral Assistance, MAIN DATA'!$B:$B,'Share, Heavy Weapons to Ukraine'!$B18,'Bilateral Assistance, MAIN DATA'!$AO:$AO,'Share, Heavy Weapons to Ukraine'!W$11)</f>
        <v>24</v>
      </c>
      <c r="X18" s="2">
        <f>SUMIFS('Bilateral Assistance, MAIN DATA'!$M:$M,'Bilateral Assistance, MAIN DATA'!$B:$B,'Share, Heavy Weapons to Ukraine'!$B18,'Bilateral Assistance, MAIN DATA'!$AO:$AO,'Share, Heavy Weapons to Ukraine'!X$11)</f>
        <v>0</v>
      </c>
      <c r="Y18" s="2">
        <f>SUMIFS('Bilateral Assistance, MAIN DATA'!$M:$M,'Bilateral Assistance, MAIN DATA'!$B:$B,'Share, Heavy Weapons to Ukraine'!$B18,'Bilateral Assistance, MAIN DATA'!$AO:$AO,'Share, Heavy Weapons to Ukraine'!Y$11)</f>
        <v>0</v>
      </c>
      <c r="Z18" s="2">
        <f>SUMIFS('Bilateral Assistance, MAIN DATA'!$M:$M,'Bilateral Assistance, MAIN DATA'!$B:$B,'Share, Heavy Weapons to Ukraine'!$B18,'Bilateral Assistance, MAIN DATA'!$AO:$AO,'Share, Heavy Weapons to Ukraine'!Z$11)</f>
        <v>0</v>
      </c>
      <c r="AA18" s="2">
        <f t="shared" si="1"/>
        <v>24</v>
      </c>
      <c r="AB18" s="2">
        <f>SUMIFS('Bilateral Assistance, MAIN DATA'!$M:$M,'Bilateral Assistance, MAIN DATA'!$B:$B,'Share, Heavy Weapons to Ukraine'!$B18,'Bilateral Assistance, MAIN DATA'!$AO:$AO,'Share, Heavy Weapons to Ukraine'!AB$11)</f>
        <v>36</v>
      </c>
      <c r="AC18" s="25">
        <f>SUMIFS('Bilateral Assistance, MAIN DATA'!$M:$M,'Bilateral Assistance, MAIN DATA'!$B:$B,'Share, Heavy Weapons to Ukraine'!$B18,'Bilateral Assistance, MAIN DATA'!$AO:$AO,"122mm MLRS")+SUMIFS('Bilateral Assistance, MAIN DATA'!$M:$M,'Bilateral Assistance, MAIN DATA'!$B:$B,'Share, Heavy Weapons to Ukraine'!$B18,'Bilateral Assistance, MAIN DATA'!$AO:$AO,"127mm MLRS")+SUMIFS('Bilateral Assistance, MAIN DATA'!$M:$M,'Bilateral Assistance, MAIN DATA'!$B:$B,'Share, Heavy Weapons to Ukraine'!$B18,'Bilateral Assistance, MAIN DATA'!$AO:$AO,"227mm MLRS")</f>
        <v>2</v>
      </c>
      <c r="AD18" s="2">
        <f>SUMIFS('Bilateral Assistance, MAIN DATA'!$M:$M,'Bilateral Assistance, MAIN DATA'!$B:$B,'Share, Heavy Weapons to Ukraine'!$B18,'Bilateral Assistance, MAIN DATA'!$AO:$AO,'Share, Heavy Weapons to Ukraine'!AD$11)</f>
        <v>0</v>
      </c>
      <c r="AE18" s="2">
        <f>SUMIFS('Bilateral Assistance, MAIN DATA'!$M:$M,'Bilateral Assistance, MAIN DATA'!$B:$B,'Share, Heavy Weapons to Ukraine'!$B18,'Bilateral Assistance, MAIN DATA'!$AO:$AO,'Share, Heavy Weapons to Ukraine'!AE$11)</f>
        <v>1</v>
      </c>
      <c r="AF18" s="2">
        <f>SUMIFS('Bilateral Assistance, MAIN DATA'!$M:$M,'Bilateral Assistance, MAIN DATA'!$B:$B,'Share, Heavy Weapons to Ukraine'!$B18,'Bilateral Assistance, MAIN DATA'!$AO:$AO,'Share, Heavy Weapons to Ukraine'!AF$11)</f>
        <v>0</v>
      </c>
      <c r="AG18" s="2">
        <f>SUMIFS('Bilateral Assistance, MAIN DATA'!$M:$M,'Bilateral Assistance, MAIN DATA'!$B:$B,'Share, Heavy Weapons to Ukraine'!$B18,'Bilateral Assistance, MAIN DATA'!$AO:$AO,'Share, Heavy Weapons to Ukraine'!AG$11)</f>
        <v>0</v>
      </c>
      <c r="AH18" s="2">
        <f>SUMIFS('Bilateral Assistance, MAIN DATA'!$M:$M,'Bilateral Assistance, MAIN DATA'!$B:$B,'Share, Heavy Weapons to Ukraine'!$B18,'Bilateral Assistance, MAIN DATA'!$AO:$AO,'Share, Heavy Weapons to Ukraine'!AH$11)</f>
        <v>0</v>
      </c>
      <c r="AI18" s="471"/>
      <c r="AJ18" s="2">
        <f>SUMIFS('Bilateral Assistance, MAIN DATA'!$N:$N,'Bilateral Assistance, MAIN DATA'!$B:$B,'Share, Heavy Weapons to Ukraine'!$B18,'Bilateral Assistance, MAIN DATA'!$AO:$AO,'Share, Heavy Weapons to Ukraine'!AJ$11)</f>
        <v>0</v>
      </c>
      <c r="AK18" s="2">
        <f>SUMIFS('Bilateral Assistance, MAIN DATA'!$N:$N,'Bilateral Assistance, MAIN DATA'!$B:$B,'Share, Heavy Weapons to Ukraine'!$B18,'Bilateral Assistance, MAIN DATA'!$AO:$AO,'Share, Heavy Weapons to Ukraine'!AK$11)</f>
        <v>0</v>
      </c>
      <c r="AL18" s="2">
        <f>SUMIFS('Bilateral Assistance, MAIN DATA'!$N:$N,'Bilateral Assistance, MAIN DATA'!$B:$B,'Share, Heavy Weapons to Ukraine'!$B18,'Bilateral Assistance, MAIN DATA'!$AO:$AO,'Share, Heavy Weapons to Ukraine'!AL$11)</f>
        <v>0</v>
      </c>
      <c r="AM18" s="2">
        <f>SUMIFS('Bilateral Assistance, MAIN DATA'!$N:$N,'Bilateral Assistance, MAIN DATA'!$B:$B,'Share, Heavy Weapons to Ukraine'!$B18,'Bilateral Assistance, MAIN DATA'!$AO:$AO,'Share, Heavy Weapons to Ukraine'!AM$11)</f>
        <v>0</v>
      </c>
      <c r="AN18" s="2">
        <f>SUMIFS('Bilateral Assistance, MAIN DATA'!$N:$N,'Bilateral Assistance, MAIN DATA'!$B:$B,'Share, Heavy Weapons to Ukraine'!$B18,'Bilateral Assistance, MAIN DATA'!$AO:$AO,'Share, Heavy Weapons to Ukraine'!AN$11)</f>
        <v>0</v>
      </c>
      <c r="AO18" s="2">
        <f t="shared" si="2"/>
        <v>0</v>
      </c>
      <c r="AP18" s="2">
        <f>SUMIFS('Bilateral Assistance, MAIN DATA'!$N:$N,'Bilateral Assistance, MAIN DATA'!$B:$B,'Share, Heavy Weapons to Ukraine'!$B18,'Bilateral Assistance, MAIN DATA'!$AO:$AO,'Share, Heavy Weapons to Ukraine'!AP$11)</f>
        <v>0</v>
      </c>
      <c r="AQ18" s="25">
        <f>SUMIFS('Bilateral Assistance, MAIN DATA'!$N:$N,'Bilateral Assistance, MAIN DATA'!$B:$B,'Share, Heavy Weapons to Ukraine'!$B18,'Bilateral Assistance, MAIN DATA'!$AO:$AO,"122mm MLRS")+SUMIFS('Bilateral Assistance, MAIN DATA'!$N:$N,'Bilateral Assistance, MAIN DATA'!$B:$B,'Share, Heavy Weapons to Ukraine'!$B18,'Bilateral Assistance, MAIN DATA'!$AO:$AO,"127mm MLRS")+SUMIFS('Bilateral Assistance, MAIN DATA'!$N:$N,'Bilateral Assistance, MAIN DATA'!$B:$B,'Share, Heavy Weapons to Ukraine'!$B18,'Bilateral Assistance, MAIN DATA'!$AO:$AO,"227mm MLRS")</f>
        <v>0</v>
      </c>
      <c r="AR18" s="2">
        <f>SUMIFS('Bilateral Assistance, MAIN DATA'!$N:$N,'Bilateral Assistance, MAIN DATA'!$B:$B,'Share, Heavy Weapons to Ukraine'!$B18,'Bilateral Assistance, MAIN DATA'!$AO:$AO,'Share, Heavy Weapons to Ukraine'!AR$11)</f>
        <v>0</v>
      </c>
      <c r="AS18" s="2">
        <f>SUMIFS('Bilateral Assistance, MAIN DATA'!$N:$N,'Bilateral Assistance, MAIN DATA'!$B:$B,'Share, Heavy Weapons to Ukraine'!$B18,'Bilateral Assistance, MAIN DATA'!$AO:$AO,'Share, Heavy Weapons to Ukraine'!AS$11)</f>
        <v>0</v>
      </c>
      <c r="AT18" s="2">
        <f>SUMIFS('Bilateral Assistance, MAIN DATA'!$N:$N,'Bilateral Assistance, MAIN DATA'!$B:$B,'Share, Heavy Weapons to Ukraine'!$B18,'Bilateral Assistance, MAIN DATA'!$AO:$AO,'Share, Heavy Weapons to Ukraine'!AT$11)</f>
        <v>0</v>
      </c>
      <c r="AU18" s="2">
        <f>SUMIFS('Bilateral Assistance, MAIN DATA'!$N:$N,'Bilateral Assistance, MAIN DATA'!$B:$B,'Share, Heavy Weapons to Ukraine'!$B18,'Bilateral Assistance, MAIN DATA'!$AO:$AO,'Share, Heavy Weapons to Ukraine'!AU$11)</f>
        <v>0</v>
      </c>
      <c r="AV18" s="2">
        <f>SUMIFS('Bilateral Assistance, MAIN DATA'!$N:$N,'Bilateral Assistance, MAIN DATA'!$B:$B,'Share, Heavy Weapons to Ukraine'!$B18,'Bilateral Assistance, MAIN DATA'!$AO:$AO,'Share, Heavy Weapons to Ukraine'!AV$11)</f>
        <v>0</v>
      </c>
      <c r="AW18" s="471"/>
      <c r="AX18" s="292">
        <f>IF(VLOOKUP($B18,$B:G,COLUMN(G17)-1,FALSE)&lt;&gt;0,VLOOKUP($B18,$B:V,COLUMN(V17)-1,FALSE)/VLOOKUP($B18,$B:G,COLUMN(G17)-1,FALSE),IF(VLOOKUP($B18,$B:V,COLUMN(V17)-1,FALSE)&lt;&gt;0,"Strange",0))</f>
        <v>0</v>
      </c>
      <c r="AY18" s="292">
        <f>IF(VLOOKUP($B18,$B:H,COLUMN(H17)-1,FALSE)&lt;&gt;0,VLOOKUP($B18,$B:W,COLUMN(W17)-1,FALSE)/VLOOKUP($B18,$B:H,COLUMN(H17)-1,FALSE),IF(VLOOKUP($B18,$B:W,COLUMN(W17)-1,FALSE)&lt;&gt;0,"Strange",0))</f>
        <v>6.9364161849710976E-2</v>
      </c>
      <c r="AZ18" s="292">
        <f>IF(VLOOKUP($B18,$B:I,COLUMN(I17)-1,FALSE)&lt;&gt;0,VLOOKUP($B18,$B:X,COLUMN(X17)-1,FALSE)/VLOOKUP($B18,$B:I,COLUMN(I17)-1,FALSE),IF(VLOOKUP($B18,$B:X,COLUMN(X17)-1,FALSE)&lt;&gt;0,"Strange",0))</f>
        <v>0</v>
      </c>
      <c r="BA18" s="292">
        <f>IF(VLOOKUP($B18,$B:J,COLUMN(J17)-1,FALSE)&lt;&gt;0,VLOOKUP($B18,$B:Y,COLUMN(Y17)-1,FALSE)/VLOOKUP($B18,$B:J,COLUMN(J17)-1,FALSE),IF(VLOOKUP($B18,$B:Y,COLUMN(Y17)-1,FALSE)&lt;&gt;0,"Strange",0))</f>
        <v>0</v>
      </c>
      <c r="BB18" s="292">
        <f>IF(VLOOKUP($B18,$B:K,COLUMN(K17)-1,FALSE)&lt;&gt;0,VLOOKUP($B18,$B:Z,COLUMN(Z17)-1,FALSE)/VLOOKUP($B18,$B:K,COLUMN(K17)-1,FALSE),IF(VLOOKUP($B18,$B:Z,COLUMN(Z17)-1,FALSE)&lt;&gt;0,"Strange",0))</f>
        <v>0</v>
      </c>
      <c r="BC18" s="292">
        <f>IF(VLOOKUP($B18,$B:L,COLUMN(L17)-1,FALSE)&lt;&gt;0,VLOOKUP($B18,$B:AA,COLUMN(AA17)-1,FALSE)/VLOOKUP($B18,$B:L,COLUMN(L17)-1,FALSE),IF(VLOOKUP($B18,$B:AA,COLUMN(AA17)-1,FALSE)&lt;&gt;0,"Strange",0))</f>
        <v>8.152173913043478E-3</v>
      </c>
      <c r="BD18" s="292">
        <f>IF(VLOOKUP($B18,$B:M,COLUMN(M17)-1,FALSE)&lt;&gt;0,VLOOKUP($B18,$B:AB,COLUMN(AB17)-1,FALSE)/VLOOKUP($B18,$B:M,COLUMN(M17)-1,FALSE),IF(VLOOKUP($B18,$B:AB,COLUMN(AB17)-1,FALSE)&lt;&gt;0,"Strange",0))</f>
        <v>0.13688212927756654</v>
      </c>
      <c r="BE18" s="292">
        <f>IF(VLOOKUP($B18,$B:N,COLUMN(N17)-1,FALSE)&lt;&gt;0,VLOOKUP($B18,$B:AC,COLUMN(AC17)-1,FALSE)/VLOOKUP($B18,$B:N,COLUMN(N17)-1,FALSE),IF(VLOOKUP($B18,$B:AC,COLUMN(AC17)-1,FALSE)&lt;&gt;0,"Strange",0))</f>
        <v>9.0909090909090912E-2</v>
      </c>
      <c r="BF18" s="292">
        <f>IF(VLOOKUP($B18,$B:O,COLUMN(O17)-1,FALSE)&lt;&gt;0,VLOOKUP($B18,$B:AD,COLUMN(AD17)-1,FALSE)/VLOOKUP($B18,$B:O,COLUMN(O17)-1,FALSE),IF(VLOOKUP($B18,$B:AD,COLUMN(AD17)-1,FALSE)&lt;&gt;0,"Strange",0))</f>
        <v>0</v>
      </c>
      <c r="BG18" s="292">
        <f>IF(VLOOKUP($B18,$B:Q,COLUMN(Q17)-1,FALSE)&lt;&gt;0,VLOOKUP($B18,$B:AE,COLUMN(AE17)-1,FALSE)/VLOOKUP($B18,$B:Q,COLUMN(Q17)-1,FALSE),IF(VLOOKUP($B18,$B:AE,COLUMN(AE17)-1,FALSE)&lt;&gt;0,"Strange",0))</f>
        <v>0.05</v>
      </c>
      <c r="BH18" s="292">
        <f>IF(VLOOKUP($B18,$B:R,COLUMN(R17)-1,FALSE)&lt;&gt;0,VLOOKUP($B18,$B:AF,COLUMN(AF17)-1,FALSE)/VLOOKUP($B18,$B:R,COLUMN(R17)-1,FALSE),IF(VLOOKUP($B18,$B:AF,COLUMN(AF17)-1,FALSE)&lt;&gt;0,"Strange",0))</f>
        <v>0</v>
      </c>
      <c r="BI18" s="292">
        <f>IF(VLOOKUP($B18,$B:S,COLUMN(S17)-1,FALSE)&lt;&gt;0,VLOOKUP($B18,$B:AG,COLUMN(AG17)-1,FALSE)/VLOOKUP($B18,$B:S,COLUMN(S17)-1,FALSE),IF(VLOOKUP($B18,$B:AG,COLUMN(AG17)-1,FALSE)&lt;&gt;0,"Strange",0))</f>
        <v>0</v>
      </c>
      <c r="BJ18" s="292">
        <f>IF(VLOOKUP($B18,$B:T,COLUMN(T17)-1,FALSE)&lt;&gt;0,VLOOKUP($B18,$B:AH,COLUMN(AH17)-1,FALSE)/VLOOKUP($B18,$B:T,COLUMN(T17)-1,FALSE),IF(VLOOKUP($B18,$B:AH,COLUMN(AH17)-1,FALSE)&lt;&gt;0,"Strange",0))</f>
        <v>0</v>
      </c>
      <c r="BK18" s="471"/>
      <c r="BL18" s="2">
        <f>IF(VLOOKUP($B18,$B:W,COLUMN(G17)-1,FALSE)&lt;&gt;0,VLOOKUP($B18,$B:AK,COLUMN(AJ17)-1,FALSE)/VLOOKUP($B18,$B:W,COLUMN(G17)-1,FALSE),IF(VLOOKUP($B18,$B:AK,COLUMN(AJ17)-1,FALSE)&lt;&gt;0,"Strange",0))</f>
        <v>0</v>
      </c>
      <c r="BM18" s="2">
        <f>IF(VLOOKUP($B18,$B:X,COLUMN(H17)-1,FALSE)&lt;&gt;0,VLOOKUP($B18,$B:AL,COLUMN(AK17)-1,FALSE)/VLOOKUP($B18,$B:X,COLUMN(H17)-1,FALSE),IF(VLOOKUP($B18,$B:AL,COLUMN(AK17)-1,FALSE)&lt;&gt;0,"Strange",0))</f>
        <v>0</v>
      </c>
      <c r="BN18" s="2">
        <f>IF(VLOOKUP($B18,$B:Y,COLUMN(I17)-1,FALSE)&lt;&gt;0,VLOOKUP($B18,$B:AM,COLUMN(AL17)-1,FALSE)/VLOOKUP($B18,$B:Y,COLUMN(I17)-1,FALSE),IF(VLOOKUP($B18,$B:AM,COLUMN(AL17)-1,FALSE)&lt;&gt;0,"Strange",0))</f>
        <v>0</v>
      </c>
      <c r="BO18" s="2">
        <f>IF(VLOOKUP($B18,$B:Z,COLUMN(J17)-1,FALSE)&lt;&gt;0,VLOOKUP($B18,$B:AN,COLUMN(AM17)-1,FALSE)/VLOOKUP($B18,$B:Z,COLUMN(J17)-1,FALSE),IF(VLOOKUP($B18,$B:AN,COLUMN(AM17)-1,FALSE)&lt;&gt;0,"Strange",0))</f>
        <v>0</v>
      </c>
      <c r="BP18" s="2">
        <f>IF(VLOOKUP($B18,$B:AB,COLUMN(K17)-1,FALSE)&lt;&gt;0,VLOOKUP($B18,$B:AP,COLUMN(AN17)-1,FALSE)/VLOOKUP($B18,$B:AB,COLUMN(K17)-1,FALSE),IF(VLOOKUP($B18,$B:AP,COLUMN(AN17)-1,FALSE)&lt;&gt;0,"Strange",0))</f>
        <v>0</v>
      </c>
      <c r="BQ18" s="2">
        <f>IF(VLOOKUP($B18,$B:AC,COLUMN(L17)-1,FALSE)&lt;&gt;0,VLOOKUP($B18,$B:AQ,COLUMN(AO17)-1,FALSE)/VLOOKUP($B18,$B:AC,COLUMN(L17)-1,FALSE),IF(VLOOKUP($B18,$B:AQ,COLUMN(AO17)-1,FALSE)&lt;&gt;0,"Strange",0))</f>
        <v>0</v>
      </c>
      <c r="BR18" s="2">
        <f>IF(VLOOKUP($B18,$B:AC,COLUMN(M17)-1,FALSE)&lt;&gt;0,VLOOKUP($B18,$B:AQ,COLUMN(AP17)-1,FALSE)/VLOOKUP($B18,$B:AC,COLUMN(M17)-1,FALSE),IF(VLOOKUP($B18,$B:AQ,COLUMN(AP17)-1,FALSE)&lt;&gt;0,"Strange",0))</f>
        <v>0</v>
      </c>
      <c r="BS18" s="2">
        <f>IF(VLOOKUP($B18,$B:AD,COLUMN(N17)-1,FALSE)&lt;&gt;0,VLOOKUP($B18,$B:AR,COLUMN(AQ17)-1,FALSE)/VLOOKUP($B18,$B:AD,COLUMN(N17)-1,FALSE),IF(VLOOKUP($B18,$B:AR,COLUMN(AQ17)-1,FALSE)&lt;&gt;0,"Strange",0))</f>
        <v>0</v>
      </c>
      <c r="BT18" s="2">
        <f>IF(VLOOKUP($B18,$B:AD,COLUMN(O17)-1,FALSE)&lt;&gt;0,VLOOKUP($B18,$B:AR,COLUMN(AR17)-1,FALSE)/VLOOKUP($B18,$B:AD,COLUMN(O17)-1,FALSE),IF(VLOOKUP($B18,$B:AR,COLUMN(AR17)-1,FALSE)&lt;&gt;0,"Strange",0))</f>
        <v>0</v>
      </c>
      <c r="BU18" s="2">
        <f>IF(VLOOKUP($B18,$B:AE,COLUMN(Q17)-1,FALSE)&lt;&gt;0,VLOOKUP($B18,$B:AS,COLUMN(AS17)-1,FALSE)/VLOOKUP($B18,$B:AE,COLUMN(Q17)-1,FALSE),IF(VLOOKUP($B18,$B:AS,COLUMN(AS17)-1,FALSE)&lt;&gt;0,"Strange",0))</f>
        <v>0</v>
      </c>
      <c r="BV18" s="2">
        <f>IF(VLOOKUP($B18,$B:AF,COLUMN(R17)-1,FALSE)&lt;&gt;0,VLOOKUP($B18,$B:AT,COLUMN(AT17)-1,FALSE)/VLOOKUP($B18,$B:AF,COLUMN(R17)-1,FALSE),IF(VLOOKUP($B18,$B:AT,COLUMN(AT17)-1,FALSE)&lt;&gt;0,"Strange",0))</f>
        <v>0</v>
      </c>
      <c r="BW18" s="2">
        <f>IF(VLOOKUP($B18,$B:AG,COLUMN(S17)-1,FALSE)&lt;&gt;0,VLOOKUP($B18,$B:AU,COLUMN(AU17)-1,FALSE)/VLOOKUP($B18,$B:AG,COLUMN(S17)-1,FALSE),IF(VLOOKUP($B18,$B:AU,COLUMN(AU17)-1,FALSE)&lt;&gt;0,"Strange",0))</f>
        <v>0</v>
      </c>
      <c r="BX18" s="2">
        <f>IF(VLOOKUP($B18,$B:AH,COLUMN(T17)-1,FALSE)&lt;&gt;0,VLOOKUP($B18,$B:AV,COLUMN(AV17)-1,FALSE)/VLOOKUP($B18,$B:AH,COLUMN(T17)-1,FALSE),IF(VLOOKUP($B18,$B:AV,COLUMN(AV17)-1,FALSE)&lt;&gt;0,"Strange",0))</f>
        <v>0</v>
      </c>
      <c r="BY18" s="471"/>
      <c r="BZ18" s="2">
        <f>SUMIFS('Bilateral Assistance, MAIN DATA'!$M:$M,'Bilateral Assistance, MAIN DATA'!$B:$B,'Share, Heavy Weapons to Ukraine'!$B18,'Bilateral Assistance, MAIN DATA'!$AO:$AO,'Share, Heavy Weapons to Ukraine'!BZ$11, 'Bilateral Assistance, MAIN DATA'!$AA:$AA,1)</f>
        <v>1</v>
      </c>
      <c r="CA18" s="2">
        <f>SUMIFS('Bilateral Assistance, MAIN DATA'!$M:$M,'Bilateral Assistance, MAIN DATA'!$B:$B,'Share, Heavy Weapons to Ukraine'!$B18,'Bilateral Assistance, MAIN DATA'!$AO:$AO,'Share, Heavy Weapons to Ukraine'!CA$11, 'Bilateral Assistance, MAIN DATA'!$AA:$AA,1)</f>
        <v>0</v>
      </c>
      <c r="CB18" s="2">
        <f>SUMIFS('Bilateral Assistance, MAIN DATA'!$M:$M,'Bilateral Assistance, MAIN DATA'!$B:$B,'Share, Heavy Weapons to Ukraine'!$B18,'Bilateral Assistance, MAIN DATA'!$AO:$AO,'Share, Heavy Weapons to Ukraine'!CB$11, 'Bilateral Assistance, MAIN DATA'!$AA:$AA,1)</f>
        <v>0</v>
      </c>
      <c r="CC18" s="2">
        <f>SUMIFS('Bilateral Assistance, MAIN DATA'!$M:$M,'Bilateral Assistance, MAIN DATA'!$B:$B,'Share, Heavy Weapons to Ukraine'!$B18,'Bilateral Assistance, MAIN DATA'!$AO:$AO,'Share, Heavy Weapons to Ukraine'!CC$11, 'Bilateral Assistance, MAIN DATA'!$AA:$AA,1)</f>
        <v>0</v>
      </c>
      <c r="CD18" s="471"/>
      <c r="CE18" s="2">
        <f>SUMIFS('Bilateral Assistance, MAIN DATA'!$N:$N,'Bilateral Assistance, MAIN DATA'!$B:$B,'Share, Heavy Weapons to Ukraine'!$B18,'Bilateral Assistance, MAIN DATA'!$AO:$AO,'Share, Heavy Weapons to Ukraine'!CE$11, 'Bilateral Assistance, MAIN DATA'!$AA:$AA,1)</f>
        <v>0</v>
      </c>
      <c r="CF18" s="2">
        <f>SUMIFS('Bilateral Assistance, MAIN DATA'!$N:$N,'Bilateral Assistance, MAIN DATA'!$B:$B,'Share, Heavy Weapons to Ukraine'!$B18,'Bilateral Assistance, MAIN DATA'!$AO:$AO,'Share, Heavy Weapons to Ukraine'!CF$11, 'Bilateral Assistance, MAIN DATA'!$AA:$AA,1)</f>
        <v>0</v>
      </c>
      <c r="CG18" s="2">
        <f>SUMIFS('Bilateral Assistance, MAIN DATA'!$N:$N,'Bilateral Assistance, MAIN DATA'!$B:$B,'Share, Heavy Weapons to Ukraine'!$B18,'Bilateral Assistance, MAIN DATA'!$AO:$AO,'Share, Heavy Weapons to Ukraine'!CG$11, 'Bilateral Assistance, MAIN DATA'!$AA:$AA,1)</f>
        <v>0</v>
      </c>
      <c r="CH18" s="2">
        <f>SUMIFS('Bilateral Assistance, MAIN DATA'!$N:$N,'Bilateral Assistance, MAIN DATA'!$B:$B,'Share, Heavy Weapons to Ukraine'!$B18,'Bilateral Assistance, MAIN DATA'!$AO:$AO,'Share, Heavy Weapons to Ukraine'!CH$11, 'Bilateral Assistance, MAIN DATA'!$AA:$AA,1)</f>
        <v>0</v>
      </c>
    </row>
    <row r="19" spans="2:86" ht="15.6" x14ac:dyDescent="0.3">
      <c r="B19" s="470" t="s">
        <v>517</v>
      </c>
      <c r="C19" s="470">
        <v>1</v>
      </c>
      <c r="D19" s="2">
        <v>0</v>
      </c>
      <c r="E19" s="471"/>
      <c r="F19" s="472">
        <v>23.2</v>
      </c>
      <c r="G19" s="470">
        <f>VLOOKUP(B19,'Heavy Weapon Stocks'!B:OE,COLUMN('Heavy Weapon Stocks'!$C$11)-1,FALSE)</f>
        <v>196</v>
      </c>
      <c r="H19" s="470">
        <f>VLOOKUP(B19,'Heavy Weapon Stocks'!B:OE,COLUMN('Heavy Weapon Stocks'!$AT$11)-1,FALSE)</f>
        <v>443</v>
      </c>
      <c r="I19" s="470">
        <f>VLOOKUP(B19,'Heavy Weapon Stocks'!B:OE,COLUMN('Heavy Weapon Stocks'!$DN$11)-1,FALSE)</f>
        <v>0</v>
      </c>
      <c r="J19" s="470">
        <f>VLOOKUP(B19,'Heavy Weapon Stocks'!B:OE,COLUMN('Heavy Weapon Stocks'!$EB$11)-1,FALSE)</f>
        <v>507</v>
      </c>
      <c r="K19" s="470">
        <f>VLOOKUP(B19,'Heavy Weapon Stocks'!B:OE,COLUMN('Heavy Weapon Stocks'!$FD$11)-1,FALSE)</f>
        <v>550</v>
      </c>
      <c r="L19" s="470">
        <f t="shared" si="3"/>
        <v>1500</v>
      </c>
      <c r="M19" s="470">
        <f>VLOOKUP(B19,'Heavy Weapon Stocks'!B:OE,COLUMN('Heavy Weapon Stocks'!$GZ$11)-1,FALSE)+VLOOKUP(B19,'Heavy Weapon Stocks'!B:OE,COLUMN('Heavy Weapon Stocks'!$IF$11)-1,FALSE)</f>
        <v>37</v>
      </c>
      <c r="N19" s="470">
        <f>VLOOKUP(B19,'Heavy Weapon Stocks'!B:OE,COLUMN('Heavy Weapon Stocks'!$IK$11)-1,FALSE)</f>
        <v>0</v>
      </c>
      <c r="O19" s="470">
        <f>VLOOKUP(B19,'Heavy Weapon Stocks'!B:OE,COLUMN('Heavy Weapon Stocks'!$JE$11)-1,FALSE)+VLOOKUP(B19,'Heavy Weapon Stocks'!B:OE,COLUMN('Heavy Weapon Stocks'!$KB$11)-1,FALSE)</f>
        <v>96</v>
      </c>
      <c r="Q19" s="470">
        <f>VLOOKUP(B19,'Heavy Weapon Stocks'!B:OE,COLUMN('Heavy Weapon Stocks'!$LS$11)-1,FALSE)</f>
        <v>0</v>
      </c>
      <c r="R19" s="470">
        <f>VLOOKUP(B19,'Heavy Weapon Stocks'!B:OE,COLUMN('Heavy Weapon Stocks'!$MC$11)-1,FALSE)</f>
        <v>0</v>
      </c>
      <c r="S19" s="470">
        <f>VLOOKUP(B19,'Heavy Weapon Stocks'!B:OE,COLUMN('Heavy Weapon Stocks'!$MJ$11)-1,FALSE)</f>
        <v>0</v>
      </c>
      <c r="T19" s="470">
        <f>VLOOKUP(B19,'Heavy Weapon Stocks'!B:OE,COLUMN('Heavy Weapon Stocks'!$NO$11)-1,FALSE)</f>
        <v>0</v>
      </c>
      <c r="U19" s="471"/>
      <c r="V19" s="2">
        <f>SUMIFS('Bilateral Assistance, MAIN DATA'!$M:$M,'Bilateral Assistance, MAIN DATA'!$B:$B,'Share, Heavy Weapons to Ukraine'!$B19,'Bilateral Assistance, MAIN DATA'!$AO:$AO,'Share, Heavy Weapons to Ukraine'!V$11)</f>
        <v>0</v>
      </c>
      <c r="W19" s="2">
        <f>SUMIFS('Bilateral Assistance, MAIN DATA'!$M:$M,'Bilateral Assistance, MAIN DATA'!$B:$B,'Share, Heavy Weapons to Ukraine'!$B19,'Bilateral Assistance, MAIN DATA'!$AO:$AO,'Share, Heavy Weapons to Ukraine'!W$11)</f>
        <v>47</v>
      </c>
      <c r="X19" s="2">
        <f>SUMIFS('Bilateral Assistance, MAIN DATA'!$M:$M,'Bilateral Assistance, MAIN DATA'!$B:$B,'Share, Heavy Weapons to Ukraine'!$B19,'Bilateral Assistance, MAIN DATA'!$AO:$AO,'Share, Heavy Weapons to Ukraine'!X$11)</f>
        <v>0</v>
      </c>
      <c r="Y19" s="2">
        <f>SUMIFS('Bilateral Assistance, MAIN DATA'!$M:$M,'Bilateral Assistance, MAIN DATA'!$B:$B,'Share, Heavy Weapons to Ukraine'!$B19,'Bilateral Assistance, MAIN DATA'!$AO:$AO,'Share, Heavy Weapons to Ukraine'!Y$11)</f>
        <v>0</v>
      </c>
      <c r="Z19" s="2">
        <f>SUMIFS('Bilateral Assistance, MAIN DATA'!$M:$M,'Bilateral Assistance, MAIN DATA'!$B:$B,'Share, Heavy Weapons to Ukraine'!$B19,'Bilateral Assistance, MAIN DATA'!$AO:$AO,'Share, Heavy Weapons to Ukraine'!Z$11)</f>
        <v>0</v>
      </c>
      <c r="AA19" s="2">
        <f t="shared" si="1"/>
        <v>47</v>
      </c>
      <c r="AB19" s="2">
        <f>SUMIFS('Bilateral Assistance, MAIN DATA'!$M:$M,'Bilateral Assistance, MAIN DATA'!$B:$B,'Share, Heavy Weapons to Ukraine'!$B19,'Bilateral Assistance, MAIN DATA'!$AO:$AO,'Share, Heavy Weapons to Ukraine'!AB$11)</f>
        <v>4</v>
      </c>
      <c r="AC19" s="25">
        <f>SUMIFS('Bilateral Assistance, MAIN DATA'!$M:$M,'Bilateral Assistance, MAIN DATA'!$B:$B,'Share, Heavy Weapons to Ukraine'!$B19,'Bilateral Assistance, MAIN DATA'!$AO:$AO,"122mm MLRS")+SUMIFS('Bilateral Assistance, MAIN DATA'!$M:$M,'Bilateral Assistance, MAIN DATA'!$B:$B,'Share, Heavy Weapons to Ukraine'!$B19,'Bilateral Assistance, MAIN DATA'!$AO:$AO,"127mm MLRS")+SUMIFS('Bilateral Assistance, MAIN DATA'!$M:$M,'Bilateral Assistance, MAIN DATA'!$B:$B,'Share, Heavy Weapons to Ukraine'!$B19,'Bilateral Assistance, MAIN DATA'!$AO:$AO,"227mm MLRS")</f>
        <v>0</v>
      </c>
      <c r="AD19" s="2">
        <f>SUMIFS('Bilateral Assistance, MAIN DATA'!$M:$M,'Bilateral Assistance, MAIN DATA'!$B:$B,'Share, Heavy Weapons to Ukraine'!$B19,'Bilateral Assistance, MAIN DATA'!$AO:$AO,'Share, Heavy Weapons to Ukraine'!AD$11)</f>
        <v>0</v>
      </c>
      <c r="AE19" s="2">
        <f>SUMIFS('Bilateral Assistance, MAIN DATA'!$M:$M,'Bilateral Assistance, MAIN DATA'!$B:$B,'Share, Heavy Weapons to Ukraine'!$B19,'Bilateral Assistance, MAIN DATA'!$AO:$AO,'Share, Heavy Weapons to Ukraine'!AE$11)</f>
        <v>0</v>
      </c>
      <c r="AF19" s="2">
        <f>SUMIFS('Bilateral Assistance, MAIN DATA'!$M:$M,'Bilateral Assistance, MAIN DATA'!$B:$B,'Share, Heavy Weapons to Ukraine'!$B19,'Bilateral Assistance, MAIN DATA'!$AO:$AO,'Share, Heavy Weapons to Ukraine'!AF$11)</f>
        <v>0</v>
      </c>
      <c r="AG19" s="2">
        <v>0</v>
      </c>
      <c r="AH19" s="2">
        <f>SUMIFS('Bilateral Assistance, MAIN DATA'!$M:$M,'Bilateral Assistance, MAIN DATA'!$B:$B,'Share, Heavy Weapons to Ukraine'!$B19,'Bilateral Assistance, MAIN DATA'!$AO:$AO,'Share, Heavy Weapons to Ukraine'!AH$11)</f>
        <v>0</v>
      </c>
      <c r="AI19" s="471"/>
      <c r="AJ19" s="2">
        <f>SUMIFS('Bilateral Assistance, MAIN DATA'!$N:$N,'Bilateral Assistance, MAIN DATA'!$B:$B,'Share, Heavy Weapons to Ukraine'!$B19,'Bilateral Assistance, MAIN DATA'!$AO:$AO,'Share, Heavy Weapons to Ukraine'!AJ$11)</f>
        <v>0</v>
      </c>
      <c r="AK19" s="2">
        <f>SUMIFS('Bilateral Assistance, MAIN DATA'!$N:$N,'Bilateral Assistance, MAIN DATA'!$B:$B,'Share, Heavy Weapons to Ukraine'!$B19,'Bilateral Assistance, MAIN DATA'!$AO:$AO,'Share, Heavy Weapons to Ukraine'!AK$11)</f>
        <v>47</v>
      </c>
      <c r="AL19" s="2">
        <f>SUMIFS('Bilateral Assistance, MAIN DATA'!$N:$N,'Bilateral Assistance, MAIN DATA'!$B:$B,'Share, Heavy Weapons to Ukraine'!$B19,'Bilateral Assistance, MAIN DATA'!$AO:$AO,'Share, Heavy Weapons to Ukraine'!AL$11)</f>
        <v>0</v>
      </c>
      <c r="AM19" s="2">
        <f>SUMIFS('Bilateral Assistance, MAIN DATA'!$N:$N,'Bilateral Assistance, MAIN DATA'!$B:$B,'Share, Heavy Weapons to Ukraine'!$B19,'Bilateral Assistance, MAIN DATA'!$AO:$AO,'Share, Heavy Weapons to Ukraine'!AM$11)</f>
        <v>0</v>
      </c>
      <c r="AN19" s="2">
        <f>SUMIFS('Bilateral Assistance, MAIN DATA'!$N:$N,'Bilateral Assistance, MAIN DATA'!$B:$B,'Share, Heavy Weapons to Ukraine'!$B19,'Bilateral Assistance, MAIN DATA'!$AO:$AO,'Share, Heavy Weapons to Ukraine'!AN$11)</f>
        <v>0</v>
      </c>
      <c r="AO19" s="2">
        <f t="shared" si="2"/>
        <v>47</v>
      </c>
      <c r="AP19" s="2">
        <f>SUMIFS('Bilateral Assistance, MAIN DATA'!$N:$N,'Bilateral Assistance, MAIN DATA'!$B:$B,'Share, Heavy Weapons to Ukraine'!$B19,'Bilateral Assistance, MAIN DATA'!$AO:$AO,'Share, Heavy Weapons to Ukraine'!AP$11)</f>
        <v>4</v>
      </c>
      <c r="AQ19" s="25">
        <f>SUMIFS('Bilateral Assistance, MAIN DATA'!$N:$N,'Bilateral Assistance, MAIN DATA'!$B:$B,'Share, Heavy Weapons to Ukraine'!$B19,'Bilateral Assistance, MAIN DATA'!$AO:$AO,"122mm MLRS")+SUMIFS('Bilateral Assistance, MAIN DATA'!$N:$N,'Bilateral Assistance, MAIN DATA'!$B:$B,'Share, Heavy Weapons to Ukraine'!$B19,'Bilateral Assistance, MAIN DATA'!$AO:$AO,"127mm MLRS")+SUMIFS('Bilateral Assistance, MAIN DATA'!$N:$N,'Bilateral Assistance, MAIN DATA'!$B:$B,'Share, Heavy Weapons to Ukraine'!$B19,'Bilateral Assistance, MAIN DATA'!$AO:$AO,"227mm MLRS")</f>
        <v>0</v>
      </c>
      <c r="AR19" s="2">
        <f>SUMIFS('Bilateral Assistance, MAIN DATA'!$N:$N,'Bilateral Assistance, MAIN DATA'!$B:$B,'Share, Heavy Weapons to Ukraine'!$B19,'Bilateral Assistance, MAIN DATA'!$AO:$AO,'Share, Heavy Weapons to Ukraine'!AR$11)</f>
        <v>0</v>
      </c>
      <c r="AS19" s="2">
        <f>SUMIFS('Bilateral Assistance, MAIN DATA'!$N:$N,'Bilateral Assistance, MAIN DATA'!$B:$B,'Share, Heavy Weapons to Ukraine'!$B19,'Bilateral Assistance, MAIN DATA'!$AO:$AO,'Share, Heavy Weapons to Ukraine'!AS$11)</f>
        <v>0</v>
      </c>
      <c r="AT19" s="2">
        <f>SUMIFS('Bilateral Assistance, MAIN DATA'!$N:$N,'Bilateral Assistance, MAIN DATA'!$B:$B,'Share, Heavy Weapons to Ukraine'!$B19,'Bilateral Assistance, MAIN DATA'!$AO:$AO,'Share, Heavy Weapons to Ukraine'!AT$11)</f>
        <v>0</v>
      </c>
      <c r="AU19" s="2">
        <f>SUMIFS('Bilateral Assistance, MAIN DATA'!$N:$N,'Bilateral Assistance, MAIN DATA'!$B:$B,'Share, Heavy Weapons to Ukraine'!$B19,'Bilateral Assistance, MAIN DATA'!$AO:$AO,'Share, Heavy Weapons to Ukraine'!AU$11)</f>
        <v>0</v>
      </c>
      <c r="AV19" s="2">
        <f>SUMIFS('Bilateral Assistance, MAIN DATA'!$N:$N,'Bilateral Assistance, MAIN DATA'!$B:$B,'Share, Heavy Weapons to Ukraine'!$B19,'Bilateral Assistance, MAIN DATA'!$AO:$AO,'Share, Heavy Weapons to Ukraine'!AV$11)</f>
        <v>0</v>
      </c>
      <c r="AW19" s="471"/>
      <c r="AX19" s="292">
        <f>IF(VLOOKUP($B19,$B:G,COLUMN(G18)-1,FALSE)&lt;&gt;0,VLOOKUP($B19,$B:V,COLUMN(V18)-1,FALSE)/VLOOKUP($B19,$B:G,COLUMN(G18)-1,FALSE),IF(VLOOKUP($B19,$B:V,COLUMN(V18)-1,FALSE)&lt;&gt;0,"Strange",0))</f>
        <v>0</v>
      </c>
      <c r="AY19" s="292">
        <f>IF(VLOOKUP($B19,$B:H,COLUMN(H18)-1,FALSE)&lt;&gt;0,VLOOKUP($B19,$B:W,COLUMN(W18)-1,FALSE)/VLOOKUP($B19,$B:H,COLUMN(H18)-1,FALSE),IF(VLOOKUP($B19,$B:W,COLUMN(W18)-1,FALSE)&lt;&gt;0,"Strange",0))</f>
        <v>0.10609480812641084</v>
      </c>
      <c r="AZ19" s="292">
        <f>IF(VLOOKUP($B19,$B:I,COLUMN(I18)-1,FALSE)&lt;&gt;0,VLOOKUP($B19,$B:X,COLUMN(X18)-1,FALSE)/VLOOKUP($B19,$B:I,COLUMN(I18)-1,FALSE),IF(VLOOKUP($B19,$B:X,COLUMN(X18)-1,FALSE)&lt;&gt;0,"Strange",0))</f>
        <v>0</v>
      </c>
      <c r="BA19" s="292">
        <f>IF(VLOOKUP($B19,$B:J,COLUMN(J18)-1,FALSE)&lt;&gt;0,VLOOKUP($B19,$B:Y,COLUMN(Y18)-1,FALSE)/VLOOKUP($B19,$B:J,COLUMN(J18)-1,FALSE),IF(VLOOKUP($B19,$B:Y,COLUMN(Y18)-1,FALSE)&lt;&gt;0,"Strange",0))</f>
        <v>0</v>
      </c>
      <c r="BB19" s="292">
        <f>IF(VLOOKUP($B19,$B:K,COLUMN(K18)-1,FALSE)&lt;&gt;0,VLOOKUP($B19,$B:Z,COLUMN(Z18)-1,FALSE)/VLOOKUP($B19,$B:K,COLUMN(K18)-1,FALSE),IF(VLOOKUP($B19,$B:Z,COLUMN(Z18)-1,FALSE)&lt;&gt;0,"Strange",0))</f>
        <v>0</v>
      </c>
      <c r="BC19" s="292">
        <f>IF(VLOOKUP($B19,$B:L,COLUMN(L18)-1,FALSE)&lt;&gt;0,VLOOKUP($B19,$B:AA,COLUMN(AA18)-1,FALSE)/VLOOKUP($B19,$B:L,COLUMN(L18)-1,FALSE),IF(VLOOKUP($B19,$B:AA,COLUMN(AA18)-1,FALSE)&lt;&gt;0,"Strange",0))</f>
        <v>3.1333333333333331E-2</v>
      </c>
      <c r="BD19" s="292">
        <f>IF(VLOOKUP($B19,$B:M,COLUMN(M18)-1,FALSE)&lt;&gt;0,VLOOKUP($B19,$B:AB,COLUMN(AB18)-1,FALSE)/VLOOKUP($B19,$B:M,COLUMN(M18)-1,FALSE),IF(VLOOKUP($B19,$B:AB,COLUMN(AB18)-1,FALSE)&lt;&gt;0,"Strange",0))</f>
        <v>0.10810810810810811</v>
      </c>
      <c r="BE19" s="292">
        <f>IF(VLOOKUP($B19,$B:N,COLUMN(N18)-1,FALSE)&lt;&gt;0,VLOOKUP($B19,$B:AC,COLUMN(AC18)-1,FALSE)/VLOOKUP($B19,$B:N,COLUMN(N18)-1,FALSE),IF(VLOOKUP($B19,$B:AC,COLUMN(AC18)-1,FALSE)&lt;&gt;0,"Strange",0))</f>
        <v>0</v>
      </c>
      <c r="BF19" s="292">
        <f>IF(VLOOKUP($B19,$B:O,COLUMN(O18)-1,FALSE)&lt;&gt;0,VLOOKUP($B19,$B:AD,COLUMN(AD18)-1,FALSE)/VLOOKUP($B19,$B:O,COLUMN(O18)-1,FALSE),IF(VLOOKUP($B19,$B:AD,COLUMN(AD18)-1,FALSE)&lt;&gt;0,"Strange",0))</f>
        <v>0</v>
      </c>
      <c r="BG19" s="292">
        <f>IF(VLOOKUP($B19,$B:Q,COLUMN(Q18)-1,FALSE)&lt;&gt;0,VLOOKUP($B19,$B:AE,COLUMN(AE18)-1,FALSE)/VLOOKUP($B19,$B:Q,COLUMN(Q18)-1,FALSE),IF(VLOOKUP($B19,$B:AE,COLUMN(AE18)-1,FALSE)&lt;&gt;0,"Strange",0))</f>
        <v>0</v>
      </c>
      <c r="BH19" s="292">
        <f>IF(VLOOKUP($B19,$B:R,COLUMN(R18)-1,FALSE)&lt;&gt;0,VLOOKUP($B19,$B:AF,COLUMN(AF18)-1,FALSE)/VLOOKUP($B19,$B:R,COLUMN(R18)-1,FALSE),IF(VLOOKUP($B19,$B:AF,COLUMN(AF18)-1,FALSE)&lt;&gt;0,"Strange",0))</f>
        <v>0</v>
      </c>
      <c r="BI19" s="292">
        <f>IF(VLOOKUP($B19,$B:S,COLUMN(S18)-1,FALSE)&lt;&gt;0,VLOOKUP($B19,$B:AG,COLUMN(AG18)-1,FALSE)/VLOOKUP($B19,$B:S,COLUMN(S18)-1,FALSE),IF(VLOOKUP($B19,$B:AG,COLUMN(AG18)-1,FALSE)&lt;&gt;0,"Strange",0))</f>
        <v>0</v>
      </c>
      <c r="BJ19" s="292">
        <f>IF(VLOOKUP($B19,$B:T,COLUMN(T18)-1,FALSE)&lt;&gt;0,VLOOKUP($B19,$B:AH,COLUMN(AH18)-1,FALSE)/VLOOKUP($B19,$B:T,COLUMN(T18)-1,FALSE),IF(VLOOKUP($B19,$B:AH,COLUMN(AH18)-1,FALSE)&lt;&gt;0,"Strange",0))</f>
        <v>0</v>
      </c>
      <c r="BK19" s="471"/>
      <c r="BL19" s="2">
        <f>IF(VLOOKUP($B19,$B:W,COLUMN(G18)-1,FALSE)&lt;&gt;0,VLOOKUP($B19,$B:AK,COLUMN(AJ18)-1,FALSE)/VLOOKUP($B19,$B:W,COLUMN(G18)-1,FALSE),IF(VLOOKUP($B19,$B:AK,COLUMN(AJ18)-1,FALSE)&lt;&gt;0,"Strange",0))</f>
        <v>0</v>
      </c>
      <c r="BM19" s="2">
        <f>IF(VLOOKUP($B19,$B:X,COLUMN(H18)-1,FALSE)&lt;&gt;0,VLOOKUP($B19,$B:AL,COLUMN(AK18)-1,FALSE)/VLOOKUP($B19,$B:X,COLUMN(H18)-1,FALSE),IF(VLOOKUP($B19,$B:AL,COLUMN(AK18)-1,FALSE)&lt;&gt;0,"Strange",0))</f>
        <v>0.10609480812641084</v>
      </c>
      <c r="BN19" s="2">
        <f>IF(VLOOKUP($B19,$B:Y,COLUMN(I18)-1,FALSE)&lt;&gt;0,VLOOKUP($B19,$B:AM,COLUMN(AL18)-1,FALSE)/VLOOKUP($B19,$B:Y,COLUMN(I18)-1,FALSE),IF(VLOOKUP($B19,$B:AM,COLUMN(AL18)-1,FALSE)&lt;&gt;0,"Strange",0))</f>
        <v>0</v>
      </c>
      <c r="BO19" s="2">
        <f>IF(VLOOKUP($B19,$B:Z,COLUMN(J18)-1,FALSE)&lt;&gt;0,VLOOKUP($B19,$B:AN,COLUMN(AM18)-1,FALSE)/VLOOKUP($B19,$B:Z,COLUMN(J18)-1,FALSE),IF(VLOOKUP($B19,$B:AN,COLUMN(AM18)-1,FALSE)&lt;&gt;0,"Strange",0))</f>
        <v>0</v>
      </c>
      <c r="BP19" s="2">
        <f>IF(VLOOKUP($B19,$B:AB,COLUMN(K18)-1,FALSE)&lt;&gt;0,VLOOKUP($B19,$B:AP,COLUMN(AN18)-1,FALSE)/VLOOKUP($B19,$B:AB,COLUMN(K18)-1,FALSE),IF(VLOOKUP($B19,$B:AP,COLUMN(AN18)-1,FALSE)&lt;&gt;0,"Strange",0))</f>
        <v>0</v>
      </c>
      <c r="BQ19" s="2">
        <f>IF(VLOOKUP($B19,$B:AC,COLUMN(L18)-1,FALSE)&lt;&gt;0,VLOOKUP($B19,$B:AQ,COLUMN(AO18)-1,FALSE)/VLOOKUP($B19,$B:AC,COLUMN(L18)-1,FALSE),IF(VLOOKUP($B19,$B:AQ,COLUMN(AO18)-1,FALSE)&lt;&gt;0,"Strange",0))</f>
        <v>3.1333333333333331E-2</v>
      </c>
      <c r="BR19" s="2">
        <f>IF(VLOOKUP($B19,$B:AC,COLUMN(M18)-1,FALSE)&lt;&gt;0,VLOOKUP($B19,$B:AQ,COLUMN(AP18)-1,FALSE)/VLOOKUP($B19,$B:AC,COLUMN(M18)-1,FALSE),IF(VLOOKUP($B19,$B:AQ,COLUMN(AP18)-1,FALSE)&lt;&gt;0,"Strange",0))</f>
        <v>0.10810810810810811</v>
      </c>
      <c r="BS19" s="2">
        <f>IF(VLOOKUP($B19,$B:AD,COLUMN(N18)-1,FALSE)&lt;&gt;0,VLOOKUP($B19,$B:AR,COLUMN(AQ18)-1,FALSE)/VLOOKUP($B19,$B:AD,COLUMN(N18)-1,FALSE),IF(VLOOKUP($B19,$B:AR,COLUMN(AQ18)-1,FALSE)&lt;&gt;0,"Strange",0))</f>
        <v>0</v>
      </c>
      <c r="BT19" s="2">
        <f>IF(VLOOKUP($B19,$B:AD,COLUMN(O18)-1,FALSE)&lt;&gt;0,VLOOKUP($B19,$B:AR,COLUMN(AR18)-1,FALSE)/VLOOKUP($B19,$B:AD,COLUMN(O18)-1,FALSE),IF(VLOOKUP($B19,$B:AR,COLUMN(AR18)-1,FALSE)&lt;&gt;0,"Strange",0))</f>
        <v>0</v>
      </c>
      <c r="BU19" s="2">
        <f>IF(VLOOKUP($B19,$B:AE,COLUMN(Q18)-1,FALSE)&lt;&gt;0,VLOOKUP($B19,$B:AS,COLUMN(AS18)-1,FALSE)/VLOOKUP($B19,$B:AE,COLUMN(Q18)-1,FALSE),IF(VLOOKUP($B19,$B:AS,COLUMN(AS18)-1,FALSE)&lt;&gt;0,"Strange",0))</f>
        <v>0</v>
      </c>
      <c r="BV19" s="2">
        <f>IF(VLOOKUP($B19,$B:AF,COLUMN(R18)-1,FALSE)&lt;&gt;0,VLOOKUP($B19,$B:AT,COLUMN(AT18)-1,FALSE)/VLOOKUP($B19,$B:AF,COLUMN(R18)-1,FALSE),IF(VLOOKUP($B19,$B:AT,COLUMN(AT18)-1,FALSE)&lt;&gt;0,"Strange",0))</f>
        <v>0</v>
      </c>
      <c r="BW19" s="2">
        <f>IF(VLOOKUP($B19,$B:AG,COLUMN(S18)-1,FALSE)&lt;&gt;0,VLOOKUP($B19,$B:AU,COLUMN(AU18)-1,FALSE)/VLOOKUP($B19,$B:AG,COLUMN(S18)-1,FALSE),IF(VLOOKUP($B19,$B:AU,COLUMN(AU18)-1,FALSE)&lt;&gt;0,"Strange",0))</f>
        <v>0</v>
      </c>
      <c r="BX19" s="2">
        <f>IF(VLOOKUP($B19,$B:AH,COLUMN(T18)-1,FALSE)&lt;&gt;0,VLOOKUP($B19,$B:AV,COLUMN(AV18)-1,FALSE)/VLOOKUP($B19,$B:AH,COLUMN(T18)-1,FALSE),IF(VLOOKUP($B19,$B:AV,COLUMN(AV18)-1,FALSE)&lt;&gt;0,"Strange",0))</f>
        <v>0</v>
      </c>
      <c r="BY19" s="471"/>
      <c r="BZ19" s="2">
        <f>SUMIFS('Bilateral Assistance, MAIN DATA'!$M:$M,'Bilateral Assistance, MAIN DATA'!$B:$B,'Share, Heavy Weapons to Ukraine'!$B19,'Bilateral Assistance, MAIN DATA'!$AO:$AO,'Share, Heavy Weapons to Ukraine'!BZ$11, 'Bilateral Assistance, MAIN DATA'!$AA:$AA,1)</f>
        <v>0</v>
      </c>
      <c r="CA19" s="2">
        <f>SUMIFS('Bilateral Assistance, MAIN DATA'!$M:$M,'Bilateral Assistance, MAIN DATA'!$B:$B,'Share, Heavy Weapons to Ukraine'!$B19,'Bilateral Assistance, MAIN DATA'!$AO:$AO,'Share, Heavy Weapons to Ukraine'!CA$11, 'Bilateral Assistance, MAIN DATA'!$AA:$AA,1)</f>
        <v>0</v>
      </c>
      <c r="CB19" s="2">
        <f>SUMIFS('Bilateral Assistance, MAIN DATA'!$M:$M,'Bilateral Assistance, MAIN DATA'!$B:$B,'Share, Heavy Weapons to Ukraine'!$B19,'Bilateral Assistance, MAIN DATA'!$AO:$AO,'Share, Heavy Weapons to Ukraine'!CB$11, 'Bilateral Assistance, MAIN DATA'!$AA:$AA,1)</f>
        <v>1</v>
      </c>
      <c r="CC19" s="2">
        <f>SUMIFS('Bilateral Assistance, MAIN DATA'!$M:$M,'Bilateral Assistance, MAIN DATA'!$B:$B,'Share, Heavy Weapons to Ukraine'!$B19,'Bilateral Assistance, MAIN DATA'!$AO:$AO,'Share, Heavy Weapons to Ukraine'!CC$11, 'Bilateral Assistance, MAIN DATA'!$AA:$AA,1)</f>
        <v>0</v>
      </c>
      <c r="CD19" s="471"/>
      <c r="CE19" s="2">
        <f>SUMIFS('Bilateral Assistance, MAIN DATA'!$N:$N,'Bilateral Assistance, MAIN DATA'!$B:$B,'Share, Heavy Weapons to Ukraine'!$B19,'Bilateral Assistance, MAIN DATA'!$AO:$AO,'Share, Heavy Weapons to Ukraine'!CE$11, 'Bilateral Assistance, MAIN DATA'!$AA:$AA,1)</f>
        <v>0</v>
      </c>
      <c r="CF19" s="2">
        <f>SUMIFS('Bilateral Assistance, MAIN DATA'!$N:$N,'Bilateral Assistance, MAIN DATA'!$B:$B,'Share, Heavy Weapons to Ukraine'!$B19,'Bilateral Assistance, MAIN DATA'!$AO:$AO,'Share, Heavy Weapons to Ukraine'!CF$11, 'Bilateral Assistance, MAIN DATA'!$AA:$AA,1)</f>
        <v>0</v>
      </c>
      <c r="CG19" s="2">
        <f>SUMIFS('Bilateral Assistance, MAIN DATA'!$N:$N,'Bilateral Assistance, MAIN DATA'!$B:$B,'Share, Heavy Weapons to Ukraine'!$B19,'Bilateral Assistance, MAIN DATA'!$AO:$AO,'Share, Heavy Weapons to Ukraine'!CG$11, 'Bilateral Assistance, MAIN DATA'!$AA:$AA,1)</f>
        <v>0</v>
      </c>
      <c r="CH19" s="2">
        <f>SUMIFS('Bilateral Assistance, MAIN DATA'!$N:$N,'Bilateral Assistance, MAIN DATA'!$B:$B,'Share, Heavy Weapons to Ukraine'!$B19,'Bilateral Assistance, MAIN DATA'!$AO:$AO,'Share, Heavy Weapons to Ukraine'!CH$11, 'Bilateral Assistance, MAIN DATA'!$AA:$AA,1)</f>
        <v>0</v>
      </c>
    </row>
    <row r="20" spans="2:86" ht="15.6" x14ac:dyDescent="0.3">
      <c r="B20" s="470" t="s">
        <v>2076</v>
      </c>
      <c r="C20" s="470">
        <v>0</v>
      </c>
      <c r="D20" s="2">
        <v>1</v>
      </c>
      <c r="E20" s="471"/>
      <c r="F20" s="472">
        <v>14.8</v>
      </c>
      <c r="G20" s="470">
        <f>VLOOKUP(B20,'Heavy Weapon Stocks'!B:OE,COLUMN('Heavy Weapon Stocks'!$C$11)-1,FALSE)</f>
        <v>0</v>
      </c>
      <c r="H20" s="470">
        <f>VLOOKUP(B20,'Heavy Weapon Stocks'!B:OE,COLUMN('Heavy Weapon Stocks'!$AT$11)-1,FALSE)</f>
        <v>265</v>
      </c>
      <c r="I20" s="470">
        <f>VLOOKUP(B20,'Heavy Weapon Stocks'!B:OE,COLUMN('Heavy Weapon Stocks'!$DN$11)-1,FALSE)</f>
        <v>0</v>
      </c>
      <c r="J20" s="470">
        <f>VLOOKUP(B20,'Heavy Weapon Stocks'!B:OE,COLUMN('Heavy Weapon Stocks'!$EB$11)-1,FALSE)</f>
        <v>248</v>
      </c>
      <c r="K20" s="470">
        <f>VLOOKUP(B20,'Heavy Weapon Stocks'!B:OE,COLUMN('Heavy Weapon Stocks'!$FD$11)-1,FALSE)</f>
        <v>149</v>
      </c>
      <c r="L20" s="470">
        <f t="shared" si="3"/>
        <v>662</v>
      </c>
      <c r="M20" s="470">
        <f>VLOOKUP(B20,'Heavy Weapon Stocks'!B:OE,COLUMN('Heavy Weapon Stocks'!$GZ$11)-1,FALSE)+VLOOKUP(B20,'Heavy Weapon Stocks'!B:OE,COLUMN('Heavy Weapon Stocks'!$IF$11)-1,FALSE)</f>
        <v>56</v>
      </c>
      <c r="N20" s="470">
        <f>VLOOKUP(B20,'Heavy Weapon Stocks'!B:OE,COLUMN('Heavy Weapon Stocks'!$IK$11)-1,FALSE)</f>
        <v>0</v>
      </c>
      <c r="O20" s="470">
        <f>VLOOKUP(B20,'Heavy Weapon Stocks'!B:OE,COLUMN('Heavy Weapon Stocks'!$JE$11)-1,FALSE)+VLOOKUP(B20,'Heavy Weapon Stocks'!B:OE,COLUMN('Heavy Weapon Stocks'!$KB$11)-1,FALSE)</f>
        <v>61</v>
      </c>
      <c r="Q20" s="470">
        <f>VLOOKUP(B20,'Heavy Weapon Stocks'!B:OE,COLUMN('Heavy Weapon Stocks'!$LS$11)-1,FALSE)</f>
        <v>18</v>
      </c>
      <c r="R20" s="470">
        <f>VLOOKUP(B20,'Heavy Weapon Stocks'!B:OE,COLUMN('Heavy Weapon Stocks'!$MC$11)-1,FALSE)</f>
        <v>0</v>
      </c>
      <c r="S20" s="470">
        <f>VLOOKUP(B20,'Heavy Weapon Stocks'!B:OE,COLUMN('Heavy Weapon Stocks'!$MJ$11)-1,FALSE)</f>
        <v>6</v>
      </c>
      <c r="T20" s="470">
        <f>VLOOKUP(B20,'Heavy Weapon Stocks'!B:OE,COLUMN('Heavy Weapon Stocks'!$NO$11)-1,FALSE)</f>
        <v>18</v>
      </c>
      <c r="U20" s="471"/>
      <c r="V20" s="2">
        <f>SUMIFS('Bilateral Assistance, MAIN DATA'!$M:$M,'Bilateral Assistance, MAIN DATA'!$B:$B,'Share, Heavy Weapons to Ukraine'!$B20,'Bilateral Assistance, MAIN DATA'!$AO:$AO,'Share, Heavy Weapons to Ukraine'!V$11)</f>
        <v>0</v>
      </c>
      <c r="W20" s="2">
        <f>SUMIFS('Bilateral Assistance, MAIN DATA'!$M:$M,'Bilateral Assistance, MAIN DATA'!$B:$B,'Share, Heavy Weapons to Ukraine'!$B20,'Bilateral Assistance, MAIN DATA'!$AO:$AO,'Share, Heavy Weapons to Ukraine'!W$11)</f>
        <v>0</v>
      </c>
      <c r="X20" s="2">
        <f>SUMIFS('Bilateral Assistance, MAIN DATA'!$M:$M,'Bilateral Assistance, MAIN DATA'!$B:$B,'Share, Heavy Weapons to Ukraine'!$B20,'Bilateral Assistance, MAIN DATA'!$AO:$AO,'Share, Heavy Weapons to Ukraine'!X$11)</f>
        <v>0</v>
      </c>
      <c r="Y20" s="2">
        <f>SUMIFS('Bilateral Assistance, MAIN DATA'!$M:$M,'Bilateral Assistance, MAIN DATA'!$B:$B,'Share, Heavy Weapons to Ukraine'!$B20,'Bilateral Assistance, MAIN DATA'!$AO:$AO,'Share, Heavy Weapons to Ukraine'!Y$11)</f>
        <v>0</v>
      </c>
      <c r="Z20" s="2">
        <f>SUMIFS('Bilateral Assistance, MAIN DATA'!$M:$M,'Bilateral Assistance, MAIN DATA'!$B:$B,'Share, Heavy Weapons to Ukraine'!$B20,'Bilateral Assistance, MAIN DATA'!$AO:$AO,'Share, Heavy Weapons to Ukraine'!Z$11)</f>
        <v>0</v>
      </c>
      <c r="AA20" s="2">
        <f t="shared" si="1"/>
        <v>0</v>
      </c>
      <c r="AB20" s="2">
        <f>SUMIFS('Bilateral Assistance, MAIN DATA'!$M:$M,'Bilateral Assistance, MAIN DATA'!$B:$B,'Share, Heavy Weapons to Ukraine'!$B20,'Bilateral Assistance, MAIN DATA'!$AO:$AO,'Share, Heavy Weapons to Ukraine'!AB$11)</f>
        <v>8</v>
      </c>
      <c r="AC20" s="25">
        <f>SUMIFS('Bilateral Assistance, MAIN DATA'!$M:$M,'Bilateral Assistance, MAIN DATA'!$B:$B,'Share, Heavy Weapons to Ukraine'!$B20,'Bilateral Assistance, MAIN DATA'!$AO:$AO,"122mm MLRS")+SUMIFS('Bilateral Assistance, MAIN DATA'!$M:$M,'Bilateral Assistance, MAIN DATA'!$B:$B,'Share, Heavy Weapons to Ukraine'!$B20,'Bilateral Assistance, MAIN DATA'!$AO:$AO,"127mm MLRS")+SUMIFS('Bilateral Assistance, MAIN DATA'!$M:$M,'Bilateral Assistance, MAIN DATA'!$B:$B,'Share, Heavy Weapons to Ukraine'!$B20,'Bilateral Assistance, MAIN DATA'!$AO:$AO,"227mm MLRS")</f>
        <v>0</v>
      </c>
      <c r="AD20" s="2">
        <f>SUMIFS('Bilateral Assistance, MAIN DATA'!$M:$M,'Bilateral Assistance, MAIN DATA'!$B:$B,'Share, Heavy Weapons to Ukraine'!$B20,'Bilateral Assistance, MAIN DATA'!$AO:$AO,'Share, Heavy Weapons to Ukraine'!AD$11)</f>
        <v>0</v>
      </c>
      <c r="AE20" s="2">
        <f>SUMIFS('Bilateral Assistance, MAIN DATA'!$M:$M,'Bilateral Assistance, MAIN DATA'!$B:$B,'Share, Heavy Weapons to Ukraine'!$B20,'Bilateral Assistance, MAIN DATA'!$AO:$AO,'Share, Heavy Weapons to Ukraine'!AE$11)</f>
        <v>0</v>
      </c>
      <c r="AF20" s="2">
        <f>SUMIFS('Bilateral Assistance, MAIN DATA'!$M:$M,'Bilateral Assistance, MAIN DATA'!$B:$B,'Share, Heavy Weapons to Ukraine'!$B20,'Bilateral Assistance, MAIN DATA'!$AO:$AO,'Share, Heavy Weapons to Ukraine'!AF$11)</f>
        <v>0</v>
      </c>
      <c r="AG20" s="2">
        <f>SUMIFS('Bilateral Assistance, MAIN DATA'!$M:$M,'Bilateral Assistance, MAIN DATA'!$B:$B,'Share, Heavy Weapons to Ukraine'!$B20,'Bilateral Assistance, MAIN DATA'!$AO:$AO,'Share, Heavy Weapons to Ukraine'!AG$11)</f>
        <v>0</v>
      </c>
      <c r="AH20" s="2">
        <f>SUMIFS('Bilateral Assistance, MAIN DATA'!$M:$M,'Bilateral Assistance, MAIN DATA'!$B:$B,'Share, Heavy Weapons to Ukraine'!$B20,'Bilateral Assistance, MAIN DATA'!$AO:$AO,'Share, Heavy Weapons to Ukraine'!AH$11)</f>
        <v>0</v>
      </c>
      <c r="AI20" s="471"/>
      <c r="AJ20" s="2">
        <f>SUMIFS('Bilateral Assistance, MAIN DATA'!$N:$N,'Bilateral Assistance, MAIN DATA'!$B:$B,'Share, Heavy Weapons to Ukraine'!$B20,'Bilateral Assistance, MAIN DATA'!$AO:$AO,'Share, Heavy Weapons to Ukraine'!AJ$11)</f>
        <v>0</v>
      </c>
      <c r="AK20" s="2">
        <f>SUMIFS('Bilateral Assistance, MAIN DATA'!$N:$N,'Bilateral Assistance, MAIN DATA'!$B:$B,'Share, Heavy Weapons to Ukraine'!$B20,'Bilateral Assistance, MAIN DATA'!$AO:$AO,'Share, Heavy Weapons to Ukraine'!AK$11)</f>
        <v>0</v>
      </c>
      <c r="AL20" s="2">
        <f>SUMIFS('Bilateral Assistance, MAIN DATA'!$N:$N,'Bilateral Assistance, MAIN DATA'!$B:$B,'Share, Heavy Weapons to Ukraine'!$B20,'Bilateral Assistance, MAIN DATA'!$AO:$AO,'Share, Heavy Weapons to Ukraine'!AL$11)</f>
        <v>0</v>
      </c>
      <c r="AM20" s="2">
        <f>SUMIFS('Bilateral Assistance, MAIN DATA'!$N:$N,'Bilateral Assistance, MAIN DATA'!$B:$B,'Share, Heavy Weapons to Ukraine'!$B20,'Bilateral Assistance, MAIN DATA'!$AO:$AO,'Share, Heavy Weapons to Ukraine'!AM$11)</f>
        <v>0</v>
      </c>
      <c r="AN20" s="2">
        <f>SUMIFS('Bilateral Assistance, MAIN DATA'!$N:$N,'Bilateral Assistance, MAIN DATA'!$B:$B,'Share, Heavy Weapons to Ukraine'!$B20,'Bilateral Assistance, MAIN DATA'!$AO:$AO,'Share, Heavy Weapons to Ukraine'!AN$11)</f>
        <v>0</v>
      </c>
      <c r="AO20" s="2">
        <f t="shared" si="2"/>
        <v>0</v>
      </c>
      <c r="AP20" s="2">
        <f>SUMIFS('Bilateral Assistance, MAIN DATA'!$N:$N,'Bilateral Assistance, MAIN DATA'!$B:$B,'Share, Heavy Weapons to Ukraine'!$B20,'Bilateral Assistance, MAIN DATA'!$AO:$AO,'Share, Heavy Weapons to Ukraine'!AP$11)</f>
        <v>8</v>
      </c>
      <c r="AQ20" s="25">
        <f>SUMIFS('Bilateral Assistance, MAIN DATA'!$N:$N,'Bilateral Assistance, MAIN DATA'!$B:$B,'Share, Heavy Weapons to Ukraine'!$B20,'Bilateral Assistance, MAIN DATA'!$AO:$AO,"122mm MLRS")+SUMIFS('Bilateral Assistance, MAIN DATA'!$N:$N,'Bilateral Assistance, MAIN DATA'!$B:$B,'Share, Heavy Weapons to Ukraine'!$B20,'Bilateral Assistance, MAIN DATA'!$AO:$AO,"127mm MLRS")+SUMIFS('Bilateral Assistance, MAIN DATA'!$N:$N,'Bilateral Assistance, MAIN DATA'!$B:$B,'Share, Heavy Weapons to Ukraine'!$B20,'Bilateral Assistance, MAIN DATA'!$AO:$AO,"227mm MLRS")</f>
        <v>0</v>
      </c>
      <c r="AR20" s="2">
        <f>SUMIFS('Bilateral Assistance, MAIN DATA'!$N:$N,'Bilateral Assistance, MAIN DATA'!$B:$B,'Share, Heavy Weapons to Ukraine'!$B20,'Bilateral Assistance, MAIN DATA'!$AO:$AO,'Share, Heavy Weapons to Ukraine'!AR$11)</f>
        <v>0</v>
      </c>
      <c r="AS20" s="2">
        <f>SUMIFS('Bilateral Assistance, MAIN DATA'!$N:$N,'Bilateral Assistance, MAIN DATA'!$B:$B,'Share, Heavy Weapons to Ukraine'!$B20,'Bilateral Assistance, MAIN DATA'!$AO:$AO,'Share, Heavy Weapons to Ukraine'!AS$11)</f>
        <v>0</v>
      </c>
      <c r="AT20" s="2">
        <f>SUMIFS('Bilateral Assistance, MAIN DATA'!$N:$N,'Bilateral Assistance, MAIN DATA'!$B:$B,'Share, Heavy Weapons to Ukraine'!$B20,'Bilateral Assistance, MAIN DATA'!$AO:$AO,'Share, Heavy Weapons to Ukraine'!AT$11)</f>
        <v>0</v>
      </c>
      <c r="AU20" s="2">
        <f>SUMIFS('Bilateral Assistance, MAIN DATA'!$N:$N,'Bilateral Assistance, MAIN DATA'!$B:$B,'Share, Heavy Weapons to Ukraine'!$B20,'Bilateral Assistance, MAIN DATA'!$AO:$AO,'Share, Heavy Weapons to Ukraine'!AU$11)</f>
        <v>0</v>
      </c>
      <c r="AV20" s="2">
        <f>SUMIFS('Bilateral Assistance, MAIN DATA'!$N:$N,'Bilateral Assistance, MAIN DATA'!$B:$B,'Share, Heavy Weapons to Ukraine'!$B20,'Bilateral Assistance, MAIN DATA'!$AO:$AO,'Share, Heavy Weapons to Ukraine'!AV$11)</f>
        <v>0</v>
      </c>
      <c r="AW20" s="471"/>
      <c r="AX20" s="292">
        <f>IF(VLOOKUP($B20,$B:G,COLUMN(G19)-1,FALSE)&lt;&gt;0,VLOOKUP($B20,$B:V,COLUMN(V19)-1,FALSE)/VLOOKUP($B20,$B:G,COLUMN(G19)-1,FALSE),IF(VLOOKUP($B20,$B:V,COLUMN(V19)-1,FALSE)&lt;&gt;0,"Strange",0))</f>
        <v>0</v>
      </c>
      <c r="AY20" s="292">
        <f>IF(VLOOKUP($B20,$B:H,COLUMN(H19)-1,FALSE)&lt;&gt;0,VLOOKUP($B20,$B:W,COLUMN(W19)-1,FALSE)/VLOOKUP($B20,$B:H,COLUMN(H19)-1,FALSE),IF(VLOOKUP($B20,$B:W,COLUMN(W19)-1,FALSE)&lt;&gt;0,"Strange",0))</f>
        <v>0</v>
      </c>
      <c r="AZ20" s="292">
        <f>IF(VLOOKUP($B20,$B:I,COLUMN(I19)-1,FALSE)&lt;&gt;0,VLOOKUP($B20,$B:X,COLUMN(X19)-1,FALSE)/VLOOKUP($B20,$B:I,COLUMN(I19)-1,FALSE),IF(VLOOKUP($B20,$B:X,COLUMN(X19)-1,FALSE)&lt;&gt;0,"Strange",0))</f>
        <v>0</v>
      </c>
      <c r="BA20" s="292">
        <f>IF(VLOOKUP($B20,$B:J,COLUMN(J19)-1,FALSE)&lt;&gt;0,VLOOKUP($B20,$B:Y,COLUMN(Y19)-1,FALSE)/VLOOKUP($B20,$B:J,COLUMN(J19)-1,FALSE),IF(VLOOKUP($B20,$B:Y,COLUMN(Y19)-1,FALSE)&lt;&gt;0,"Strange",0))</f>
        <v>0</v>
      </c>
      <c r="BB20" s="292">
        <f>IF(VLOOKUP($B20,$B:K,COLUMN(K19)-1,FALSE)&lt;&gt;0,VLOOKUP($B20,$B:Z,COLUMN(Z19)-1,FALSE)/VLOOKUP($B20,$B:K,COLUMN(K19)-1,FALSE),IF(VLOOKUP($B20,$B:Z,COLUMN(Z19)-1,FALSE)&lt;&gt;0,"Strange",0))</f>
        <v>0</v>
      </c>
      <c r="BC20" s="292">
        <f>IF(VLOOKUP($B20,$B:L,COLUMN(L19)-1,FALSE)&lt;&gt;0,VLOOKUP($B20,$B:AA,COLUMN(AA19)-1,FALSE)/VLOOKUP($B20,$B:L,COLUMN(L19)-1,FALSE),IF(VLOOKUP($B20,$B:AA,COLUMN(AA19)-1,FALSE)&lt;&gt;0,"Strange",0))</f>
        <v>0</v>
      </c>
      <c r="BD20" s="292">
        <f>IF(VLOOKUP($B20,$B:M,COLUMN(M19)-1,FALSE)&lt;&gt;0,VLOOKUP($B20,$B:AB,COLUMN(AB19)-1,FALSE)/VLOOKUP($B20,$B:M,COLUMN(M19)-1,FALSE),IF(VLOOKUP($B20,$B:AB,COLUMN(AB19)-1,FALSE)&lt;&gt;0,"Strange",0))</f>
        <v>0.14285714285714285</v>
      </c>
      <c r="BE20" s="292">
        <f>IF(VLOOKUP($B20,$B:N,COLUMN(N19)-1,FALSE)&lt;&gt;0,VLOOKUP($B20,$B:AC,COLUMN(AC19)-1,FALSE)/VLOOKUP($B20,$B:N,COLUMN(N19)-1,FALSE),IF(VLOOKUP($B20,$B:AC,COLUMN(AC19)-1,FALSE)&lt;&gt;0,"Strange",0))</f>
        <v>0</v>
      </c>
      <c r="BF20" s="292">
        <f>IF(VLOOKUP($B20,$B:O,COLUMN(O19)-1,FALSE)&lt;&gt;0,VLOOKUP($B20,$B:AD,COLUMN(AD19)-1,FALSE)/VLOOKUP($B20,$B:O,COLUMN(O19)-1,FALSE),IF(VLOOKUP($B20,$B:AD,COLUMN(AD19)-1,FALSE)&lt;&gt;0,"Strange",0))</f>
        <v>0</v>
      </c>
      <c r="BG20" s="292">
        <f>IF(VLOOKUP($B20,$B:Q,COLUMN(Q19)-1,FALSE)&lt;&gt;0,VLOOKUP($B20,$B:AE,COLUMN(AE19)-1,FALSE)/VLOOKUP($B20,$B:Q,COLUMN(Q19)-1,FALSE),IF(VLOOKUP($B20,$B:AE,COLUMN(AE19)-1,FALSE)&lt;&gt;0,"Strange",0))</f>
        <v>0</v>
      </c>
      <c r="BH20" s="292">
        <f>IF(VLOOKUP($B20,$B:R,COLUMN(R19)-1,FALSE)&lt;&gt;0,VLOOKUP($B20,$B:AF,COLUMN(AF19)-1,FALSE)/VLOOKUP($B20,$B:R,COLUMN(R19)-1,FALSE),IF(VLOOKUP($B20,$B:AF,COLUMN(AF19)-1,FALSE)&lt;&gt;0,"Strange",0))</f>
        <v>0</v>
      </c>
      <c r="BI20" s="292">
        <f>IF(VLOOKUP($B20,$B:S,COLUMN(S19)-1,FALSE)&lt;&gt;0,VLOOKUP($B20,$B:AG,COLUMN(AG19)-1,FALSE)/VLOOKUP($B20,$B:S,COLUMN(S19)-1,FALSE),IF(VLOOKUP($B20,$B:AG,COLUMN(AG19)-1,FALSE)&lt;&gt;0,"Strange",0))</f>
        <v>0</v>
      </c>
      <c r="BJ20" s="292">
        <f>IF(VLOOKUP($B20,$B:T,COLUMN(T19)-1,FALSE)&lt;&gt;0,VLOOKUP($B20,$B:AH,COLUMN(AH19)-1,FALSE)/VLOOKUP($B20,$B:T,COLUMN(T19)-1,FALSE),IF(VLOOKUP($B20,$B:AH,COLUMN(AH19)-1,FALSE)&lt;&gt;0,"Strange",0))</f>
        <v>0</v>
      </c>
      <c r="BK20" s="471"/>
      <c r="BL20" s="2">
        <f>IF(VLOOKUP($B20,$B:W,COLUMN(G19)-1,FALSE)&lt;&gt;0,VLOOKUP($B20,$B:AK,COLUMN(AJ19)-1,FALSE)/VLOOKUP($B20,$B:W,COLUMN(G19)-1,FALSE),IF(VLOOKUP($B20,$B:AK,COLUMN(AJ19)-1,FALSE)&lt;&gt;0,"Strange",0))</f>
        <v>0</v>
      </c>
      <c r="BM20" s="2">
        <f>IF(VLOOKUP($B20,$B:X,COLUMN(H19)-1,FALSE)&lt;&gt;0,VLOOKUP($B20,$B:AL,COLUMN(AK19)-1,FALSE)/VLOOKUP($B20,$B:X,COLUMN(H19)-1,FALSE),IF(VLOOKUP($B20,$B:AL,COLUMN(AK19)-1,FALSE)&lt;&gt;0,"Strange",0))</f>
        <v>0</v>
      </c>
      <c r="BN20" s="2">
        <f>IF(VLOOKUP($B20,$B:Y,COLUMN(I19)-1,FALSE)&lt;&gt;0,VLOOKUP($B20,$B:AM,COLUMN(AL19)-1,FALSE)/VLOOKUP($B20,$B:Y,COLUMN(I19)-1,FALSE),IF(VLOOKUP($B20,$B:AM,COLUMN(AL19)-1,FALSE)&lt;&gt;0,"Strange",0))</f>
        <v>0</v>
      </c>
      <c r="BO20" s="2">
        <f>IF(VLOOKUP($B20,$B:Z,COLUMN(J19)-1,FALSE)&lt;&gt;0,VLOOKUP($B20,$B:AN,COLUMN(AM19)-1,FALSE)/VLOOKUP($B20,$B:Z,COLUMN(J19)-1,FALSE),IF(VLOOKUP($B20,$B:AN,COLUMN(AM19)-1,FALSE)&lt;&gt;0,"Strange",0))</f>
        <v>0</v>
      </c>
      <c r="BP20" s="2">
        <f>IF(VLOOKUP($B20,$B:AB,COLUMN(K19)-1,FALSE)&lt;&gt;0,VLOOKUP($B20,$B:AP,COLUMN(AN19)-1,FALSE)/VLOOKUP($B20,$B:AB,COLUMN(K19)-1,FALSE),IF(VLOOKUP($B20,$B:AP,COLUMN(AN19)-1,FALSE)&lt;&gt;0,"Strange",0))</f>
        <v>0</v>
      </c>
      <c r="BQ20" s="2">
        <f>IF(VLOOKUP($B20,$B:AC,COLUMN(L19)-1,FALSE)&lt;&gt;0,VLOOKUP($B20,$B:AQ,COLUMN(AO19)-1,FALSE)/VLOOKUP($B20,$B:AC,COLUMN(L19)-1,FALSE),IF(VLOOKUP($B20,$B:AQ,COLUMN(AO19)-1,FALSE)&lt;&gt;0,"Strange",0))</f>
        <v>0</v>
      </c>
      <c r="BR20" s="2">
        <f>IF(VLOOKUP($B20,$B:AC,COLUMN(M19)-1,FALSE)&lt;&gt;0,VLOOKUP($B20,$B:AQ,COLUMN(AP19)-1,FALSE)/VLOOKUP($B20,$B:AC,COLUMN(M19)-1,FALSE),IF(VLOOKUP($B20,$B:AQ,COLUMN(AP19)-1,FALSE)&lt;&gt;0,"Strange",0))</f>
        <v>0.14285714285714285</v>
      </c>
      <c r="BS20" s="2">
        <f>IF(VLOOKUP($B20,$B:AD,COLUMN(N19)-1,FALSE)&lt;&gt;0,VLOOKUP($B20,$B:AR,COLUMN(AQ19)-1,FALSE)/VLOOKUP($B20,$B:AD,COLUMN(N19)-1,FALSE),IF(VLOOKUP($B20,$B:AR,COLUMN(AQ19)-1,FALSE)&lt;&gt;0,"Strange",0))</f>
        <v>0</v>
      </c>
      <c r="BT20" s="2">
        <f>IF(VLOOKUP($B20,$B:AD,COLUMN(O19)-1,FALSE)&lt;&gt;0,VLOOKUP($B20,$B:AR,COLUMN(AR19)-1,FALSE)/VLOOKUP($B20,$B:AD,COLUMN(O19)-1,FALSE),IF(VLOOKUP($B20,$B:AR,COLUMN(AR19)-1,FALSE)&lt;&gt;0,"Strange",0))</f>
        <v>0</v>
      </c>
      <c r="BU20" s="2">
        <f>IF(VLOOKUP($B20,$B:AE,COLUMN(Q19)-1,FALSE)&lt;&gt;0,VLOOKUP($B20,$B:AS,COLUMN(AS19)-1,FALSE)/VLOOKUP($B20,$B:AE,COLUMN(Q19)-1,FALSE),IF(VLOOKUP($B20,$B:AS,COLUMN(AS19)-1,FALSE)&lt;&gt;0,"Strange",0))</f>
        <v>0</v>
      </c>
      <c r="BV20" s="2">
        <f>IF(VLOOKUP($B20,$B:AF,COLUMN(R19)-1,FALSE)&lt;&gt;0,VLOOKUP($B20,$B:AT,COLUMN(AT19)-1,FALSE)/VLOOKUP($B20,$B:AF,COLUMN(R19)-1,FALSE),IF(VLOOKUP($B20,$B:AT,COLUMN(AT19)-1,FALSE)&lt;&gt;0,"Strange",0))</f>
        <v>0</v>
      </c>
      <c r="BW20" s="2">
        <f>IF(VLOOKUP($B20,$B:AG,COLUMN(S19)-1,FALSE)&lt;&gt;0,VLOOKUP($B20,$B:AU,COLUMN(AU19)-1,FALSE)/VLOOKUP($B20,$B:AG,COLUMN(S19)-1,FALSE),IF(VLOOKUP($B20,$B:AU,COLUMN(AU19)-1,FALSE)&lt;&gt;0,"Strange",0))</f>
        <v>0</v>
      </c>
      <c r="BX20" s="2">
        <f>IF(VLOOKUP($B20,$B:AH,COLUMN(T19)-1,FALSE)&lt;&gt;0,VLOOKUP($B20,$B:AV,COLUMN(AV19)-1,FALSE)/VLOOKUP($B20,$B:AH,COLUMN(T19)-1,FALSE),IF(VLOOKUP($B20,$B:AV,COLUMN(AV19)-1,FALSE)&lt;&gt;0,"Strange",0))</f>
        <v>0</v>
      </c>
      <c r="BY20" s="471"/>
      <c r="BZ20" s="2">
        <f>SUMIFS('Bilateral Assistance, MAIN DATA'!$M:$M,'Bilateral Assistance, MAIN DATA'!$B:$B,'Share, Heavy Weapons to Ukraine'!$B20,'Bilateral Assistance, MAIN DATA'!$AO:$AO,'Share, Heavy Weapons to Ukraine'!BZ$11, 'Bilateral Assistance, MAIN DATA'!$AA:$AA,1)</f>
        <v>0</v>
      </c>
      <c r="CA20" s="2">
        <f>SUMIFS('Bilateral Assistance, MAIN DATA'!$M:$M,'Bilateral Assistance, MAIN DATA'!$B:$B,'Share, Heavy Weapons to Ukraine'!$B20,'Bilateral Assistance, MAIN DATA'!$AO:$AO,'Share, Heavy Weapons to Ukraine'!CA$11, 'Bilateral Assistance, MAIN DATA'!$AA:$AA,1)</f>
        <v>0</v>
      </c>
      <c r="CB20" s="2">
        <f>SUMIFS('Bilateral Assistance, MAIN DATA'!$M:$M,'Bilateral Assistance, MAIN DATA'!$B:$B,'Share, Heavy Weapons to Ukraine'!$B20,'Bilateral Assistance, MAIN DATA'!$AO:$AO,'Share, Heavy Weapons to Ukraine'!CB$11, 'Bilateral Assistance, MAIN DATA'!$AA:$AA,1)</f>
        <v>0</v>
      </c>
      <c r="CC20" s="2">
        <f>SUMIFS('Bilateral Assistance, MAIN DATA'!$M:$M,'Bilateral Assistance, MAIN DATA'!$B:$B,'Share, Heavy Weapons to Ukraine'!$B20,'Bilateral Assistance, MAIN DATA'!$AO:$AO,'Share, Heavy Weapons to Ukraine'!CC$11, 'Bilateral Assistance, MAIN DATA'!$AA:$AA,1)</f>
        <v>0</v>
      </c>
      <c r="CD20" s="471"/>
      <c r="CE20" s="2">
        <f>SUMIFS('Bilateral Assistance, MAIN DATA'!$N:$N,'Bilateral Assistance, MAIN DATA'!$B:$B,'Share, Heavy Weapons to Ukraine'!$B20,'Bilateral Assistance, MAIN DATA'!$AO:$AO,'Share, Heavy Weapons to Ukraine'!CE$11, 'Bilateral Assistance, MAIN DATA'!$AA:$AA,1)</f>
        <v>0</v>
      </c>
      <c r="CF20" s="2">
        <f>SUMIFS('Bilateral Assistance, MAIN DATA'!$N:$N,'Bilateral Assistance, MAIN DATA'!$B:$B,'Share, Heavy Weapons to Ukraine'!$B20,'Bilateral Assistance, MAIN DATA'!$AO:$AO,'Share, Heavy Weapons to Ukraine'!CF$11, 'Bilateral Assistance, MAIN DATA'!$AA:$AA,1)</f>
        <v>0</v>
      </c>
      <c r="CG20" s="2">
        <f>SUMIFS('Bilateral Assistance, MAIN DATA'!$N:$N,'Bilateral Assistance, MAIN DATA'!$B:$B,'Share, Heavy Weapons to Ukraine'!$B20,'Bilateral Assistance, MAIN DATA'!$AO:$AO,'Share, Heavy Weapons to Ukraine'!CG$11, 'Bilateral Assistance, MAIN DATA'!$AA:$AA,1)</f>
        <v>0</v>
      </c>
      <c r="CH20" s="2">
        <f>SUMIFS('Bilateral Assistance, MAIN DATA'!$N:$N,'Bilateral Assistance, MAIN DATA'!$B:$B,'Share, Heavy Weapons to Ukraine'!$B20,'Bilateral Assistance, MAIN DATA'!$AO:$AO,'Share, Heavy Weapons to Ukraine'!CH$11, 'Bilateral Assistance, MAIN DATA'!$AA:$AA,1)</f>
        <v>0</v>
      </c>
    </row>
    <row r="21" spans="2:86" ht="15.6" x14ac:dyDescent="0.3">
      <c r="B21" s="470" t="s">
        <v>2615</v>
      </c>
      <c r="C21" s="470">
        <v>0</v>
      </c>
      <c r="D21" s="2">
        <v>1</v>
      </c>
      <c r="E21" s="471"/>
      <c r="F21" s="472">
        <v>13.8</v>
      </c>
      <c r="G21" s="470">
        <f>VLOOKUP(B21,'Heavy Weapon Stocks'!B:OE,COLUMN('Heavy Weapon Stocks'!$C$11)-1,FALSE)</f>
        <v>435</v>
      </c>
      <c r="H21" s="470">
        <f>VLOOKUP(B21,'Heavy Weapon Stocks'!B:OE,COLUMN('Heavy Weapon Stocks'!$AT$11)-1,FALSE)</f>
        <v>793</v>
      </c>
      <c r="I21" s="470">
        <f>VLOOKUP(B21,'Heavy Weapon Stocks'!B:OE,COLUMN('Heavy Weapon Stocks'!$DN$11)-1,FALSE)</f>
        <v>110</v>
      </c>
      <c r="J21" s="470">
        <f>VLOOKUP(B21,'Heavy Weapon Stocks'!B:OE,COLUMN('Heavy Weapon Stocks'!$EB$11)-1,FALSE)</f>
        <v>260</v>
      </c>
      <c r="K21" s="470">
        <f>VLOOKUP(B21,'Heavy Weapon Stocks'!B:OE,COLUMN('Heavy Weapon Stocks'!$FD$11)-1,FALSE)</f>
        <v>309</v>
      </c>
      <c r="L21" s="470">
        <f t="shared" si="3"/>
        <v>1472</v>
      </c>
      <c r="M21" s="470">
        <f>VLOOKUP(B21,'Heavy Weapon Stocks'!B:OE,COLUMN('Heavy Weapon Stocks'!$GZ$11)-1,FALSE)+VLOOKUP(B21,'Heavy Weapon Stocks'!B:OE,COLUMN('Heavy Weapon Stocks'!$IF$11)-1,FALSE)</f>
        <v>159</v>
      </c>
      <c r="N21" s="470">
        <f>VLOOKUP(B21,'Heavy Weapon Stocks'!B:OE,COLUMN('Heavy Weapon Stocks'!$IK$11)-1,FALSE)</f>
        <v>0</v>
      </c>
      <c r="O21" s="470">
        <f>VLOOKUP(B21,'Heavy Weapon Stocks'!B:OE,COLUMN('Heavy Weapon Stocks'!$JE$11)-1,FALSE)+VLOOKUP(B21,'Heavy Weapon Stocks'!B:OE,COLUMN('Heavy Weapon Stocks'!$KB$11)-1,FALSE)</f>
        <v>172</v>
      </c>
      <c r="Q21" s="470">
        <f>VLOOKUP(B21,'Heavy Weapon Stocks'!B:OE,COLUMN('Heavy Weapon Stocks'!$LS$11)-1,FALSE)</f>
        <v>18</v>
      </c>
      <c r="R21" s="470">
        <f>VLOOKUP(B21,'Heavy Weapon Stocks'!B:OE,COLUMN('Heavy Weapon Stocks'!$MC$11)-1,FALSE)</f>
        <v>38</v>
      </c>
      <c r="S21" s="470">
        <f>VLOOKUP(B21,'Heavy Weapon Stocks'!B:OE,COLUMN('Heavy Weapon Stocks'!$MJ$11)-1,FALSE)</f>
        <v>21</v>
      </c>
      <c r="T21" s="470">
        <f>VLOOKUP(B21,'Heavy Weapon Stocks'!B:OE,COLUMN('Heavy Weapon Stocks'!$NO$11)-1,FALSE)</f>
        <v>0</v>
      </c>
      <c r="U21" s="471"/>
      <c r="V21" s="2">
        <f>SUMIFS('Bilateral Assistance, MAIN DATA'!$M:$M,'Bilateral Assistance, MAIN DATA'!$B:$B,'Share, Heavy Weapons to Ukraine'!$B21,'Bilateral Assistance, MAIN DATA'!$AO:$AO,'Share, Heavy Weapons to Ukraine'!V$11)</f>
        <v>0</v>
      </c>
      <c r="W21" s="2">
        <f>SUMIFS('Bilateral Assistance, MAIN DATA'!$M:$M,'Bilateral Assistance, MAIN DATA'!$B:$B,'Share, Heavy Weapons to Ukraine'!$B21,'Bilateral Assistance, MAIN DATA'!$AO:$AO,'Share, Heavy Weapons to Ukraine'!W$11)</f>
        <v>20</v>
      </c>
      <c r="X21" s="2">
        <f>SUMIFS('Bilateral Assistance, MAIN DATA'!$M:$M,'Bilateral Assistance, MAIN DATA'!$B:$B,'Share, Heavy Weapons to Ukraine'!$B21,'Bilateral Assistance, MAIN DATA'!$AO:$AO,'Share, Heavy Weapons to Ukraine'!X$11)</f>
        <v>0</v>
      </c>
      <c r="Y21" s="2">
        <f>SUMIFS('Bilateral Assistance, MAIN DATA'!$M:$M,'Bilateral Assistance, MAIN DATA'!$B:$B,'Share, Heavy Weapons to Ukraine'!$B21,'Bilateral Assistance, MAIN DATA'!$AO:$AO,'Share, Heavy Weapons to Ukraine'!Y$11)</f>
        <v>29</v>
      </c>
      <c r="Z21" s="2">
        <f>SUMIFS('Bilateral Assistance, MAIN DATA'!$M:$M,'Bilateral Assistance, MAIN DATA'!$B:$B,'Share, Heavy Weapons to Ukraine'!$B21,'Bilateral Assistance, MAIN DATA'!$AO:$AO,'Share, Heavy Weapons to Ukraine'!Z$11)</f>
        <v>0</v>
      </c>
      <c r="AA21" s="2">
        <f t="shared" si="1"/>
        <v>49</v>
      </c>
      <c r="AB21" s="2">
        <f>SUMIFS('Bilateral Assistance, MAIN DATA'!$M:$M,'Bilateral Assistance, MAIN DATA'!$B:$B,'Share, Heavy Weapons to Ukraine'!$B21,'Bilateral Assistance, MAIN DATA'!$AO:$AO,'Share, Heavy Weapons to Ukraine'!AB$11)</f>
        <v>0</v>
      </c>
      <c r="AC21" s="25">
        <f>SUMIFS('Bilateral Assistance, MAIN DATA'!$M:$M,'Bilateral Assistance, MAIN DATA'!$B:$B,'Share, Heavy Weapons to Ukraine'!$B21,'Bilateral Assistance, MAIN DATA'!$AO:$AO,"122mm MLRS")+SUMIFS('Bilateral Assistance, MAIN DATA'!$M:$M,'Bilateral Assistance, MAIN DATA'!$B:$B,'Share, Heavy Weapons to Ukraine'!$B21,'Bilateral Assistance, MAIN DATA'!$AO:$AO,"127mm MLRS")+SUMIFS('Bilateral Assistance, MAIN DATA'!$M:$M,'Bilateral Assistance, MAIN DATA'!$B:$B,'Share, Heavy Weapons to Ukraine'!$B21,'Bilateral Assistance, MAIN DATA'!$AO:$AO,"227mm MLRS")</f>
        <v>0</v>
      </c>
      <c r="AD21" s="2">
        <f>SUMIFS('Bilateral Assistance, MAIN DATA'!$M:$M,'Bilateral Assistance, MAIN DATA'!$B:$B,'Share, Heavy Weapons to Ukraine'!$B21,'Bilateral Assistance, MAIN DATA'!$AO:$AO,'Share, Heavy Weapons to Ukraine'!AD$11)</f>
        <v>0</v>
      </c>
      <c r="AE21" s="2">
        <f>SUMIFS('Bilateral Assistance, MAIN DATA'!$M:$M,'Bilateral Assistance, MAIN DATA'!$B:$B,'Share, Heavy Weapons to Ukraine'!$B21,'Bilateral Assistance, MAIN DATA'!$AO:$AO,'Share, Heavy Weapons to Ukraine'!AE$11)</f>
        <v>0</v>
      </c>
      <c r="AF21" s="2">
        <f>SUMIFS('Bilateral Assistance, MAIN DATA'!$M:$M,'Bilateral Assistance, MAIN DATA'!$B:$B,'Share, Heavy Weapons to Ukraine'!$B21,'Bilateral Assistance, MAIN DATA'!$AO:$AO,'Share, Heavy Weapons to Ukraine'!AF$11)</f>
        <v>6</v>
      </c>
      <c r="AG21" s="2">
        <f>SUMIFS('Bilateral Assistance, MAIN DATA'!$M:$M,'Bilateral Assistance, MAIN DATA'!$B:$B,'Share, Heavy Weapons to Ukraine'!$B21,'Bilateral Assistance, MAIN DATA'!$AO:$AO,'Share, Heavy Weapons to Ukraine'!AG$11)</f>
        <v>0</v>
      </c>
      <c r="AH21" s="2">
        <f>SUMIFS('Bilateral Assistance, MAIN DATA'!$M:$M,'Bilateral Assistance, MAIN DATA'!$B:$B,'Share, Heavy Weapons to Ukraine'!$B21,'Bilateral Assistance, MAIN DATA'!$AO:$AO,'Share, Heavy Weapons to Ukraine'!AH$11)</f>
        <v>0</v>
      </c>
      <c r="AI21" s="471"/>
      <c r="AJ21" s="2">
        <f>SUMIFS('Bilateral Assistance, MAIN DATA'!$N:$N,'Bilateral Assistance, MAIN DATA'!$B:$B,'Share, Heavy Weapons to Ukraine'!$B21,'Bilateral Assistance, MAIN DATA'!$AO:$AO,'Share, Heavy Weapons to Ukraine'!AJ$11)</f>
        <v>0</v>
      </c>
      <c r="AK21" s="2">
        <f>SUMIFS('Bilateral Assistance, MAIN DATA'!$N:$N,'Bilateral Assistance, MAIN DATA'!$B:$B,'Share, Heavy Weapons to Ukraine'!$B21,'Bilateral Assistance, MAIN DATA'!$AO:$AO,'Share, Heavy Weapons to Ukraine'!AK$11)</f>
        <v>0</v>
      </c>
      <c r="AL21" s="2">
        <f>SUMIFS('Bilateral Assistance, MAIN DATA'!$N:$N,'Bilateral Assistance, MAIN DATA'!$B:$B,'Share, Heavy Weapons to Ukraine'!$B21,'Bilateral Assistance, MAIN DATA'!$AO:$AO,'Share, Heavy Weapons to Ukraine'!AL$11)</f>
        <v>0</v>
      </c>
      <c r="AM21" s="2">
        <f>SUMIFS('Bilateral Assistance, MAIN DATA'!$N:$N,'Bilateral Assistance, MAIN DATA'!$B:$B,'Share, Heavy Weapons to Ukraine'!$B21,'Bilateral Assistance, MAIN DATA'!$AO:$AO,'Share, Heavy Weapons to Ukraine'!AM$11)</f>
        <v>29</v>
      </c>
      <c r="AN21" s="2">
        <f>SUMIFS('Bilateral Assistance, MAIN DATA'!$N:$N,'Bilateral Assistance, MAIN DATA'!$B:$B,'Share, Heavy Weapons to Ukraine'!$B21,'Bilateral Assistance, MAIN DATA'!$AO:$AO,'Share, Heavy Weapons to Ukraine'!AN$11)</f>
        <v>0</v>
      </c>
      <c r="AO21" s="2">
        <f t="shared" si="2"/>
        <v>29</v>
      </c>
      <c r="AP21" s="2">
        <f>SUMIFS('Bilateral Assistance, MAIN DATA'!$N:$N,'Bilateral Assistance, MAIN DATA'!$B:$B,'Share, Heavy Weapons to Ukraine'!$B21,'Bilateral Assistance, MAIN DATA'!$AO:$AO,'Share, Heavy Weapons to Ukraine'!AP$11)</f>
        <v>0</v>
      </c>
      <c r="AQ21" s="25">
        <f>SUMIFS('Bilateral Assistance, MAIN DATA'!$N:$N,'Bilateral Assistance, MAIN DATA'!$B:$B,'Share, Heavy Weapons to Ukraine'!$B21,'Bilateral Assistance, MAIN DATA'!$AO:$AO,"122mm MLRS")+SUMIFS('Bilateral Assistance, MAIN DATA'!$N:$N,'Bilateral Assistance, MAIN DATA'!$B:$B,'Share, Heavy Weapons to Ukraine'!$B21,'Bilateral Assistance, MAIN DATA'!$AO:$AO,"127mm MLRS")+SUMIFS('Bilateral Assistance, MAIN DATA'!$N:$N,'Bilateral Assistance, MAIN DATA'!$B:$B,'Share, Heavy Weapons to Ukraine'!$B21,'Bilateral Assistance, MAIN DATA'!$AO:$AO,"227mm MLRS")</f>
        <v>0</v>
      </c>
      <c r="AR21" s="2">
        <f>SUMIFS('Bilateral Assistance, MAIN DATA'!$N:$N,'Bilateral Assistance, MAIN DATA'!$B:$B,'Share, Heavy Weapons to Ukraine'!$B21,'Bilateral Assistance, MAIN DATA'!$AO:$AO,'Share, Heavy Weapons to Ukraine'!AR$11)</f>
        <v>0</v>
      </c>
      <c r="AS21" s="2">
        <f>SUMIFS('Bilateral Assistance, MAIN DATA'!$N:$N,'Bilateral Assistance, MAIN DATA'!$B:$B,'Share, Heavy Weapons to Ukraine'!$B21,'Bilateral Assistance, MAIN DATA'!$AO:$AO,'Share, Heavy Weapons to Ukraine'!AS$11)</f>
        <v>0</v>
      </c>
      <c r="AT21" s="2">
        <f>SUMIFS('Bilateral Assistance, MAIN DATA'!$N:$N,'Bilateral Assistance, MAIN DATA'!$B:$B,'Share, Heavy Weapons to Ukraine'!$B21,'Bilateral Assistance, MAIN DATA'!$AO:$AO,'Share, Heavy Weapons to Ukraine'!AT$11)</f>
        <v>6</v>
      </c>
      <c r="AU21" s="2">
        <f>SUMIFS('Bilateral Assistance, MAIN DATA'!$N:$N,'Bilateral Assistance, MAIN DATA'!$B:$B,'Share, Heavy Weapons to Ukraine'!$B21,'Bilateral Assistance, MAIN DATA'!$AO:$AO,'Share, Heavy Weapons to Ukraine'!AU$11)</f>
        <v>0</v>
      </c>
      <c r="AV21" s="2">
        <f>SUMIFS('Bilateral Assistance, MAIN DATA'!$N:$N,'Bilateral Assistance, MAIN DATA'!$B:$B,'Share, Heavy Weapons to Ukraine'!$B21,'Bilateral Assistance, MAIN DATA'!$AO:$AO,'Share, Heavy Weapons to Ukraine'!AV$11)</f>
        <v>0</v>
      </c>
      <c r="AW21" s="471"/>
      <c r="AX21" s="292">
        <f>IF(VLOOKUP($B21,$B:G,COLUMN(G20)-1,FALSE)&lt;&gt;0,VLOOKUP($B21,$B:V,COLUMN(V20)-1,FALSE)/VLOOKUP($B21,$B:G,COLUMN(G20)-1,FALSE),IF(VLOOKUP($B21,$B:V,COLUMN(V20)-1,FALSE)&lt;&gt;0,"Strange",0))</f>
        <v>0</v>
      </c>
      <c r="AY21" s="292">
        <f>IF(VLOOKUP($B21,$B:H,COLUMN(H20)-1,FALSE)&lt;&gt;0,VLOOKUP($B21,$B:W,COLUMN(W20)-1,FALSE)/VLOOKUP($B21,$B:H,COLUMN(H20)-1,FALSE),IF(VLOOKUP($B21,$B:W,COLUMN(W20)-1,FALSE)&lt;&gt;0,"Strange",0))</f>
        <v>2.5220680958385876E-2</v>
      </c>
      <c r="AZ21" s="292">
        <f>IF(VLOOKUP($B21,$B:I,COLUMN(I20)-1,FALSE)&lt;&gt;0,VLOOKUP($B21,$B:X,COLUMN(X20)-1,FALSE)/VLOOKUP($B21,$B:I,COLUMN(I20)-1,FALSE),IF(VLOOKUP($B21,$B:X,COLUMN(X20)-1,FALSE)&lt;&gt;0,"Strange",0))</f>
        <v>0</v>
      </c>
      <c r="BA21" s="292">
        <f>IF(VLOOKUP($B21,$B:J,COLUMN(J20)-1,FALSE)&lt;&gt;0,VLOOKUP($B21,$B:Y,COLUMN(Y20)-1,FALSE)/VLOOKUP($B21,$B:J,COLUMN(J20)-1,FALSE),IF(VLOOKUP($B21,$B:Y,COLUMN(Y20)-1,FALSE)&lt;&gt;0,"Strange",0))</f>
        <v>0.11153846153846154</v>
      </c>
      <c r="BB21" s="292">
        <f>IF(VLOOKUP($B21,$B:K,COLUMN(K20)-1,FALSE)&lt;&gt;0,VLOOKUP($B21,$B:Z,COLUMN(Z20)-1,FALSE)/VLOOKUP($B21,$B:K,COLUMN(K20)-1,FALSE),IF(VLOOKUP($B21,$B:Z,COLUMN(Z20)-1,FALSE)&lt;&gt;0,"Strange",0))</f>
        <v>0</v>
      </c>
      <c r="BC21" s="292">
        <f>IF(VLOOKUP($B21,$B:L,COLUMN(L20)-1,FALSE)&lt;&gt;0,VLOOKUP($B21,$B:AA,COLUMN(AA20)-1,FALSE)/VLOOKUP($B21,$B:L,COLUMN(L20)-1,FALSE),IF(VLOOKUP($B21,$B:AA,COLUMN(AA20)-1,FALSE)&lt;&gt;0,"Strange",0))</f>
        <v>3.3288043478260872E-2</v>
      </c>
      <c r="BD21" s="292">
        <f>IF(VLOOKUP($B21,$B:M,COLUMN(M20)-1,FALSE)&lt;&gt;0,VLOOKUP($B21,$B:AB,COLUMN(AB20)-1,FALSE)/VLOOKUP($B21,$B:M,COLUMN(M20)-1,FALSE),IF(VLOOKUP($B21,$B:AB,COLUMN(AB20)-1,FALSE)&lt;&gt;0,"Strange",0))</f>
        <v>0</v>
      </c>
      <c r="BE21" s="292">
        <f>IF(VLOOKUP($B21,$B:N,COLUMN(N20)-1,FALSE)&lt;&gt;0,VLOOKUP($B21,$B:AC,COLUMN(AC20)-1,FALSE)/VLOOKUP($B21,$B:N,COLUMN(N20)-1,FALSE),IF(VLOOKUP($B21,$B:AC,COLUMN(AC20)-1,FALSE)&lt;&gt;0,"Strange",0))</f>
        <v>0</v>
      </c>
      <c r="BF21" s="292">
        <f>IF(VLOOKUP($B21,$B:O,COLUMN(O20)-1,FALSE)&lt;&gt;0,VLOOKUP($B21,$B:AD,COLUMN(AD20)-1,FALSE)/VLOOKUP($B21,$B:O,COLUMN(O20)-1,FALSE),IF(VLOOKUP($B21,$B:AD,COLUMN(AD20)-1,FALSE)&lt;&gt;0,"Strange",0))</f>
        <v>0</v>
      </c>
      <c r="BG21" s="292">
        <f>IF(VLOOKUP($B21,$B:Q,COLUMN(Q20)-1,FALSE)&lt;&gt;0,VLOOKUP($B21,$B:AE,COLUMN(AE20)-1,FALSE)/VLOOKUP($B21,$B:Q,COLUMN(Q20)-1,FALSE),IF(VLOOKUP($B21,$B:AE,COLUMN(AE20)-1,FALSE)&lt;&gt;0,"Strange",0))</f>
        <v>0</v>
      </c>
      <c r="BH21" s="292">
        <f>IF(VLOOKUP($B21,$B:R,COLUMN(R20)-1,FALSE)&lt;&gt;0,VLOOKUP($B21,$B:AF,COLUMN(AF20)-1,FALSE)/VLOOKUP($B21,$B:R,COLUMN(R20)-1,FALSE),IF(VLOOKUP($B21,$B:AF,COLUMN(AF20)-1,FALSE)&lt;&gt;0,"Strange",0))</f>
        <v>0.15789473684210525</v>
      </c>
      <c r="BI21" s="292">
        <f>IF(VLOOKUP($B21,$B:S,COLUMN(S20)-1,FALSE)&lt;&gt;0,VLOOKUP($B21,$B:AG,COLUMN(AG20)-1,FALSE)/VLOOKUP($B21,$B:S,COLUMN(S20)-1,FALSE),IF(VLOOKUP($B21,$B:AG,COLUMN(AG20)-1,FALSE)&lt;&gt;0,"Strange",0))</f>
        <v>0</v>
      </c>
      <c r="BJ21" s="292">
        <f>IF(VLOOKUP($B21,$B:T,COLUMN(T20)-1,FALSE)&lt;&gt;0,VLOOKUP($B21,$B:AH,COLUMN(AH20)-1,FALSE)/VLOOKUP($B21,$B:T,COLUMN(T20)-1,FALSE),IF(VLOOKUP($B21,$B:AH,COLUMN(AH20)-1,FALSE)&lt;&gt;0,"Strange",0))</f>
        <v>0</v>
      </c>
      <c r="BK21" s="471"/>
      <c r="BL21" s="2">
        <f>IF(VLOOKUP($B21,$B:W,COLUMN(G20)-1,FALSE)&lt;&gt;0,VLOOKUP($B21,$B:AK,COLUMN(AJ20)-1,FALSE)/VLOOKUP($B21,$B:W,COLUMN(G20)-1,FALSE),IF(VLOOKUP($B21,$B:AK,COLUMN(AJ20)-1,FALSE)&lt;&gt;0,"Strange",0))</f>
        <v>0</v>
      </c>
      <c r="BM21" s="2">
        <f>IF(VLOOKUP($B21,$B:X,COLUMN(H20)-1,FALSE)&lt;&gt;0,VLOOKUP($B21,$B:AL,COLUMN(AK20)-1,FALSE)/VLOOKUP($B21,$B:X,COLUMN(H20)-1,FALSE),IF(VLOOKUP($B21,$B:AL,COLUMN(AK20)-1,FALSE)&lt;&gt;0,"Strange",0))</f>
        <v>0</v>
      </c>
      <c r="BN21" s="2">
        <f>IF(VLOOKUP($B21,$B:Y,COLUMN(I20)-1,FALSE)&lt;&gt;0,VLOOKUP($B21,$B:AM,COLUMN(AL20)-1,FALSE)/VLOOKUP($B21,$B:Y,COLUMN(I20)-1,FALSE),IF(VLOOKUP($B21,$B:AM,COLUMN(AL20)-1,FALSE)&lt;&gt;0,"Strange",0))</f>
        <v>0</v>
      </c>
      <c r="BO21" s="2">
        <f>IF(VLOOKUP($B21,$B:Z,COLUMN(J20)-1,FALSE)&lt;&gt;0,VLOOKUP($B21,$B:AN,COLUMN(AM20)-1,FALSE)/VLOOKUP($B21,$B:Z,COLUMN(J20)-1,FALSE),IF(VLOOKUP($B21,$B:AN,COLUMN(AM20)-1,FALSE)&lt;&gt;0,"Strange",0))</f>
        <v>0.11153846153846154</v>
      </c>
      <c r="BP21" s="2">
        <f>IF(VLOOKUP($B21,$B:AB,COLUMN(K20)-1,FALSE)&lt;&gt;0,VLOOKUP($B21,$B:AP,COLUMN(AN20)-1,FALSE)/VLOOKUP($B21,$B:AB,COLUMN(K20)-1,FALSE),IF(VLOOKUP($B21,$B:AP,COLUMN(AN20)-1,FALSE)&lt;&gt;0,"Strange",0))</f>
        <v>0</v>
      </c>
      <c r="BQ21" s="2">
        <f>IF(VLOOKUP($B21,$B:AC,COLUMN(L20)-1,FALSE)&lt;&gt;0,VLOOKUP($B21,$B:AQ,COLUMN(AO20)-1,FALSE)/VLOOKUP($B21,$B:AC,COLUMN(L20)-1,FALSE),IF(VLOOKUP($B21,$B:AQ,COLUMN(AO20)-1,FALSE)&lt;&gt;0,"Strange",0))</f>
        <v>1.970108695652174E-2</v>
      </c>
      <c r="BR21" s="2">
        <f>IF(VLOOKUP($B21,$B:AC,COLUMN(M20)-1,FALSE)&lt;&gt;0,VLOOKUP($B21,$B:AQ,COLUMN(AP20)-1,FALSE)/VLOOKUP($B21,$B:AC,COLUMN(M20)-1,FALSE),IF(VLOOKUP($B21,$B:AQ,COLUMN(AP20)-1,FALSE)&lt;&gt;0,"Strange",0))</f>
        <v>0</v>
      </c>
      <c r="BS21" s="2">
        <f>IF(VLOOKUP($B21,$B:AD,COLUMN(N20)-1,FALSE)&lt;&gt;0,VLOOKUP($B21,$B:AR,COLUMN(AQ20)-1,FALSE)/VLOOKUP($B21,$B:AD,COLUMN(N20)-1,FALSE),IF(VLOOKUP($B21,$B:AR,COLUMN(AQ20)-1,FALSE)&lt;&gt;0,"Strange",0))</f>
        <v>0</v>
      </c>
      <c r="BT21" s="2">
        <f>IF(VLOOKUP($B21,$B:AD,COLUMN(O20)-1,FALSE)&lt;&gt;0,VLOOKUP($B21,$B:AR,COLUMN(AR20)-1,FALSE)/VLOOKUP($B21,$B:AD,COLUMN(O20)-1,FALSE),IF(VLOOKUP($B21,$B:AR,COLUMN(AR20)-1,FALSE)&lt;&gt;0,"Strange",0))</f>
        <v>0</v>
      </c>
      <c r="BU21" s="2">
        <f>IF(VLOOKUP($B21,$B:AE,COLUMN(Q20)-1,FALSE)&lt;&gt;0,VLOOKUP($B21,$B:AS,COLUMN(AS20)-1,FALSE)/VLOOKUP($B21,$B:AE,COLUMN(Q20)-1,FALSE),IF(VLOOKUP($B21,$B:AS,COLUMN(AS20)-1,FALSE)&lt;&gt;0,"Strange",0))</f>
        <v>0</v>
      </c>
      <c r="BV21" s="2">
        <f>IF(VLOOKUP($B21,$B:AF,COLUMN(R20)-1,FALSE)&lt;&gt;0,VLOOKUP($B21,$B:AT,COLUMN(AT20)-1,FALSE)/VLOOKUP($B21,$B:AF,COLUMN(R20)-1,FALSE),IF(VLOOKUP($B21,$B:AT,COLUMN(AT20)-1,FALSE)&lt;&gt;0,"Strange",0))</f>
        <v>0.15789473684210525</v>
      </c>
      <c r="BW21" s="2">
        <f>IF(VLOOKUP($B21,$B:AG,COLUMN(S20)-1,FALSE)&lt;&gt;0,VLOOKUP($B21,$B:AU,COLUMN(AU20)-1,FALSE)/VLOOKUP($B21,$B:AG,COLUMN(S20)-1,FALSE),IF(VLOOKUP($B21,$B:AU,COLUMN(AU20)-1,FALSE)&lt;&gt;0,"Strange",0))</f>
        <v>0</v>
      </c>
      <c r="BX21" s="2">
        <f>IF(VLOOKUP($B21,$B:AH,COLUMN(T20)-1,FALSE)&lt;&gt;0,VLOOKUP($B21,$B:AV,COLUMN(AV20)-1,FALSE)/VLOOKUP($B21,$B:AH,COLUMN(T20)-1,FALSE),IF(VLOOKUP($B21,$B:AV,COLUMN(AV20)-1,FALSE)&lt;&gt;0,"Strange",0))</f>
        <v>0</v>
      </c>
      <c r="BY21" s="471"/>
      <c r="BZ21" s="2">
        <f>SUMIFS('Bilateral Assistance, MAIN DATA'!$M:$M,'Bilateral Assistance, MAIN DATA'!$B:$B,'Share, Heavy Weapons to Ukraine'!$B21,'Bilateral Assistance, MAIN DATA'!$AO:$AO,'Share, Heavy Weapons to Ukraine'!BZ$11, 'Bilateral Assistance, MAIN DATA'!$AA:$AA,1)</f>
        <v>0</v>
      </c>
      <c r="CA21" s="2">
        <f>SUMIFS('Bilateral Assistance, MAIN DATA'!$M:$M,'Bilateral Assistance, MAIN DATA'!$B:$B,'Share, Heavy Weapons to Ukraine'!$B21,'Bilateral Assistance, MAIN DATA'!$AO:$AO,'Share, Heavy Weapons to Ukraine'!CA$11, 'Bilateral Assistance, MAIN DATA'!$AA:$AA,1)</f>
        <v>0</v>
      </c>
      <c r="CB21" s="2">
        <f>SUMIFS('Bilateral Assistance, MAIN DATA'!$M:$M,'Bilateral Assistance, MAIN DATA'!$B:$B,'Share, Heavy Weapons to Ukraine'!$B21,'Bilateral Assistance, MAIN DATA'!$AO:$AO,'Share, Heavy Weapons to Ukraine'!CB$11, 'Bilateral Assistance, MAIN DATA'!$AA:$AA,1)</f>
        <v>0</v>
      </c>
      <c r="CC21" s="2">
        <f>SUMIFS('Bilateral Assistance, MAIN DATA'!$M:$M,'Bilateral Assistance, MAIN DATA'!$B:$B,'Share, Heavy Weapons to Ukraine'!$B21,'Bilateral Assistance, MAIN DATA'!$AO:$AO,'Share, Heavy Weapons to Ukraine'!CC$11, 'Bilateral Assistance, MAIN DATA'!$AA:$AA,1)</f>
        <v>0</v>
      </c>
      <c r="CD21" s="471"/>
      <c r="CE21" s="2">
        <f>SUMIFS('Bilateral Assistance, MAIN DATA'!$N:$N,'Bilateral Assistance, MAIN DATA'!$B:$B,'Share, Heavy Weapons to Ukraine'!$B21,'Bilateral Assistance, MAIN DATA'!$AO:$AO,'Share, Heavy Weapons to Ukraine'!CE$11, 'Bilateral Assistance, MAIN DATA'!$AA:$AA,1)</f>
        <v>0</v>
      </c>
      <c r="CF21" s="2">
        <f>SUMIFS('Bilateral Assistance, MAIN DATA'!$N:$N,'Bilateral Assistance, MAIN DATA'!$B:$B,'Share, Heavy Weapons to Ukraine'!$B21,'Bilateral Assistance, MAIN DATA'!$AO:$AO,'Share, Heavy Weapons to Ukraine'!CF$11, 'Bilateral Assistance, MAIN DATA'!$AA:$AA,1)</f>
        <v>0</v>
      </c>
      <c r="CG21" s="2">
        <f>SUMIFS('Bilateral Assistance, MAIN DATA'!$N:$N,'Bilateral Assistance, MAIN DATA'!$B:$B,'Share, Heavy Weapons to Ukraine'!$B21,'Bilateral Assistance, MAIN DATA'!$AO:$AO,'Share, Heavy Weapons to Ukraine'!CG$11, 'Bilateral Assistance, MAIN DATA'!$AA:$AA,1)</f>
        <v>0</v>
      </c>
      <c r="CH21" s="2">
        <f>SUMIFS('Bilateral Assistance, MAIN DATA'!$N:$N,'Bilateral Assistance, MAIN DATA'!$B:$B,'Share, Heavy Weapons to Ukraine'!$B21,'Bilateral Assistance, MAIN DATA'!$AO:$AO,'Share, Heavy Weapons to Ukraine'!CH$11, 'Bilateral Assistance, MAIN DATA'!$AA:$AA,1)</f>
        <v>0</v>
      </c>
    </row>
    <row r="22" spans="2:86" ht="15.6" x14ac:dyDescent="0.3">
      <c r="B22" s="470" t="s">
        <v>2303</v>
      </c>
      <c r="C22" s="470">
        <v>0</v>
      </c>
      <c r="D22" s="2">
        <v>1</v>
      </c>
      <c r="E22" s="471"/>
      <c r="F22" s="472">
        <v>13.4</v>
      </c>
      <c r="G22" s="470">
        <f>VLOOKUP(B22,'Heavy Weapon Stocks'!B:OE,COLUMN('Heavy Weapon Stocks'!$C$11)-1,FALSE)</f>
        <v>1028</v>
      </c>
      <c r="H22" s="470">
        <f>VLOOKUP(B22,'Heavy Weapon Stocks'!B:OE,COLUMN('Heavy Weapon Stocks'!$AT$11)-1,FALSE)</f>
        <v>342</v>
      </c>
      <c r="I22" s="470">
        <f>VLOOKUP(B22,'Heavy Weapon Stocks'!B:OE,COLUMN('Heavy Weapon Stocks'!$DN$11)-1,FALSE)</f>
        <v>30</v>
      </c>
      <c r="J22" s="470">
        <f>VLOOKUP(B22,'Heavy Weapon Stocks'!B:OE,COLUMN('Heavy Weapon Stocks'!$EB$11)-1,FALSE)</f>
        <v>85</v>
      </c>
      <c r="K22" s="470">
        <f>VLOOKUP(B22,'Heavy Weapon Stocks'!B:OE,COLUMN('Heavy Weapon Stocks'!$FD$11)-1,FALSE)</f>
        <v>1611</v>
      </c>
      <c r="L22" s="470">
        <f t="shared" si="3"/>
        <v>2068</v>
      </c>
      <c r="M22" s="470">
        <f>VLOOKUP(B22,'Heavy Weapon Stocks'!B:OE,COLUMN('Heavy Weapon Stocks'!$GZ$11)-1,FALSE)+VLOOKUP(B22,'Heavy Weapon Stocks'!B:OE,COLUMN('Heavy Weapon Stocks'!$IF$11)-1,FALSE)+5</f>
        <v>188</v>
      </c>
      <c r="N22" s="470">
        <f>VLOOKUP(B22,'Heavy Weapon Stocks'!B:OE,COLUMN('Heavy Weapon Stocks'!$IK$11)-1,FALSE)</f>
        <v>179</v>
      </c>
      <c r="O22" s="470">
        <f>VLOOKUP(B22,'Heavy Weapon Stocks'!B:OE,COLUMN('Heavy Weapon Stocks'!$JE$11)-1,FALSE)+VLOOKUP(B22,'Heavy Weapon Stocks'!B:OE,COLUMN('Heavy Weapon Stocks'!$KB$11)-1,FALSE)</f>
        <v>66</v>
      </c>
      <c r="Q22" s="470">
        <f>VLOOKUP(B22,'Heavy Weapon Stocks'!B:OE,COLUMN('Heavy Weapon Stocks'!$LS$11)-1,FALSE)</f>
        <v>1</v>
      </c>
      <c r="R22" s="470">
        <f>VLOOKUP(B22,'Heavy Weapon Stocks'!B:OE,COLUMN('Heavy Weapon Stocks'!$MC$11)-1,FALSE)</f>
        <v>0</v>
      </c>
      <c r="S22" s="470">
        <f>VLOOKUP(B22,'Heavy Weapon Stocks'!B:OE,COLUMN('Heavy Weapon Stocks'!$MJ$11)-1,FALSE)</f>
        <v>37</v>
      </c>
      <c r="T22" s="470">
        <f>VLOOKUP(B22,'Heavy Weapon Stocks'!B:OE,COLUMN('Heavy Weapon Stocks'!$NO$11)-1,FALSE)</f>
        <v>228</v>
      </c>
      <c r="U22" s="471"/>
      <c r="V22" s="2">
        <f>SUMIFS('Bilateral Assistance, MAIN DATA'!$M:$M,'Bilateral Assistance, MAIN DATA'!$B:$B,'Share, Heavy Weapons to Ukraine'!$B22,'Bilateral Assistance, MAIN DATA'!$AO:$AO,'Share, Heavy Weapons to Ukraine'!V$11)</f>
        <v>300</v>
      </c>
      <c r="W22" s="2">
        <f>SUMIFS('Bilateral Assistance, MAIN DATA'!$M:$M,'Bilateral Assistance, MAIN DATA'!$B:$B,'Share, Heavy Weapons to Ukraine'!$B22,'Bilateral Assistance, MAIN DATA'!$AO:$AO,'Share, Heavy Weapons to Ukraine'!W$11)</f>
        <v>0</v>
      </c>
      <c r="X22" s="2">
        <f>SUMIFS('Bilateral Assistance, MAIN DATA'!$M:$M,'Bilateral Assistance, MAIN DATA'!$B:$B,'Share, Heavy Weapons to Ukraine'!$B22,'Bilateral Assistance, MAIN DATA'!$AO:$AO,'Share, Heavy Weapons to Ukraine'!X$11)</f>
        <v>0</v>
      </c>
      <c r="Y22" s="2">
        <f>SUMIFS('Bilateral Assistance, MAIN DATA'!$M:$M,'Bilateral Assistance, MAIN DATA'!$B:$B,'Share, Heavy Weapons to Ukraine'!$B22,'Bilateral Assistance, MAIN DATA'!$AO:$AO,'Share, Heavy Weapons to Ukraine'!Y$11)</f>
        <v>0</v>
      </c>
      <c r="Z22" s="2">
        <f>SUMIFS('Bilateral Assistance, MAIN DATA'!$M:$M,'Bilateral Assistance, MAIN DATA'!$B:$B,'Share, Heavy Weapons to Ukraine'!$B22,'Bilateral Assistance, MAIN DATA'!$AO:$AO,'Share, Heavy Weapons to Ukraine'!Z$11)</f>
        <v>40</v>
      </c>
      <c r="AA22" s="2">
        <f t="shared" si="1"/>
        <v>40</v>
      </c>
      <c r="AB22" s="2">
        <f>SUMIFS('Bilateral Assistance, MAIN DATA'!$M:$M,'Bilateral Assistance, MAIN DATA'!$B:$B,'Share, Heavy Weapons to Ukraine'!$B22,'Bilateral Assistance, MAIN DATA'!$AO:$AO,'Share, Heavy Weapons to Ukraine'!AB$11)</f>
        <v>54</v>
      </c>
      <c r="AC22" s="25">
        <f>SUMIFS('Bilateral Assistance, MAIN DATA'!$M:$M,'Bilateral Assistance, MAIN DATA'!$B:$B,'Share, Heavy Weapons to Ukraine'!$B22,'Bilateral Assistance, MAIN DATA'!$AO:$AO,"122mm MLRS")+SUMIFS('Bilateral Assistance, MAIN DATA'!$M:$M,'Bilateral Assistance, MAIN DATA'!$B:$B,'Share, Heavy Weapons to Ukraine'!$B22,'Bilateral Assistance, MAIN DATA'!$AO:$AO,"127mm MLRS")+SUMIFS('Bilateral Assistance, MAIN DATA'!$M:$M,'Bilateral Assistance, MAIN DATA'!$B:$B,'Share, Heavy Weapons to Ukraine'!$B22,'Bilateral Assistance, MAIN DATA'!$AO:$AO,"227mm MLRS")</f>
        <v>0</v>
      </c>
      <c r="AD22" s="2">
        <f>SUMIFS('Bilateral Assistance, MAIN DATA'!$M:$M,'Bilateral Assistance, MAIN DATA'!$B:$B,'Share, Heavy Weapons to Ukraine'!$B22,'Bilateral Assistance, MAIN DATA'!$AO:$AO,'Share, Heavy Weapons to Ukraine'!AD$11)</f>
        <v>0</v>
      </c>
      <c r="AE22" s="2">
        <f>SUMIFS('Bilateral Assistance, MAIN DATA'!$M:$M,'Bilateral Assistance, MAIN DATA'!$B:$B,'Share, Heavy Weapons to Ukraine'!$B22,'Bilateral Assistance, MAIN DATA'!$AO:$AO,'Share, Heavy Weapons to Ukraine'!AE$11)</f>
        <v>0</v>
      </c>
      <c r="AF22" s="2">
        <f>SUMIFS('Bilateral Assistance, MAIN DATA'!$M:$M,'Bilateral Assistance, MAIN DATA'!$B:$B,'Share, Heavy Weapons to Ukraine'!$B22,'Bilateral Assistance, MAIN DATA'!$AO:$AO,'Share, Heavy Weapons to Ukraine'!AF$11)</f>
        <v>0</v>
      </c>
      <c r="AG22" s="2">
        <f>SUMIFS('Bilateral Assistance, MAIN DATA'!$M:$M,'Bilateral Assistance, MAIN DATA'!$B:$B,'Share, Heavy Weapons to Ukraine'!$B22,'Bilateral Assistance, MAIN DATA'!$AO:$AO,'Share, Heavy Weapons to Ukraine'!AG$11)</f>
        <v>0</v>
      </c>
      <c r="AH22" s="2">
        <f>SUMIFS('Bilateral Assistance, MAIN DATA'!$M:$M,'Bilateral Assistance, MAIN DATA'!$B:$B,'Share, Heavy Weapons to Ukraine'!$B22,'Bilateral Assistance, MAIN DATA'!$AO:$AO,'Share, Heavy Weapons to Ukraine'!AH$11)</f>
        <v>0</v>
      </c>
      <c r="AI22" s="471"/>
      <c r="AJ22" s="2">
        <f>SUMIFS('Bilateral Assistance, MAIN DATA'!$N:$N,'Bilateral Assistance, MAIN DATA'!$B:$B,'Share, Heavy Weapons to Ukraine'!$B22,'Bilateral Assistance, MAIN DATA'!$AO:$AO,'Share, Heavy Weapons to Ukraine'!AJ$11)</f>
        <v>300</v>
      </c>
      <c r="AK22" s="2">
        <f>SUMIFS('Bilateral Assistance, MAIN DATA'!$N:$N,'Bilateral Assistance, MAIN DATA'!$B:$B,'Share, Heavy Weapons to Ukraine'!$B22,'Bilateral Assistance, MAIN DATA'!$AO:$AO,'Share, Heavy Weapons to Ukraine'!AK$11)</f>
        <v>0</v>
      </c>
      <c r="AL22" s="2">
        <f>SUMIFS('Bilateral Assistance, MAIN DATA'!$N:$N,'Bilateral Assistance, MAIN DATA'!$B:$B,'Share, Heavy Weapons to Ukraine'!$B22,'Bilateral Assistance, MAIN DATA'!$AO:$AO,'Share, Heavy Weapons to Ukraine'!AL$11)</f>
        <v>0</v>
      </c>
      <c r="AM22" s="2">
        <f>SUMIFS('Bilateral Assistance, MAIN DATA'!$N:$N,'Bilateral Assistance, MAIN DATA'!$B:$B,'Share, Heavy Weapons to Ukraine'!$B22,'Bilateral Assistance, MAIN DATA'!$AO:$AO,'Share, Heavy Weapons to Ukraine'!AM$11)</f>
        <v>0</v>
      </c>
      <c r="AN22" s="2">
        <f>SUMIFS('Bilateral Assistance, MAIN DATA'!$N:$N,'Bilateral Assistance, MAIN DATA'!$B:$B,'Share, Heavy Weapons to Ukraine'!$B22,'Bilateral Assistance, MAIN DATA'!$AO:$AO,'Share, Heavy Weapons to Ukraine'!AN$11)</f>
        <v>40</v>
      </c>
      <c r="AO22" s="2">
        <f t="shared" si="2"/>
        <v>40</v>
      </c>
      <c r="AP22" s="2">
        <f>SUMIFS('Bilateral Assistance, MAIN DATA'!$N:$N,'Bilateral Assistance, MAIN DATA'!$B:$B,'Share, Heavy Weapons to Ukraine'!$B22,'Bilateral Assistance, MAIN DATA'!$AO:$AO,'Share, Heavy Weapons to Ukraine'!AP$11)</f>
        <v>54</v>
      </c>
      <c r="AQ22" s="25">
        <f>SUMIFS('Bilateral Assistance, MAIN DATA'!$N:$N,'Bilateral Assistance, MAIN DATA'!$B:$B,'Share, Heavy Weapons to Ukraine'!$B22,'Bilateral Assistance, MAIN DATA'!$AO:$AO,"122mm MLRS")+SUMIFS('Bilateral Assistance, MAIN DATA'!$N:$N,'Bilateral Assistance, MAIN DATA'!$B:$B,'Share, Heavy Weapons to Ukraine'!$B22,'Bilateral Assistance, MAIN DATA'!$AO:$AO,"127mm MLRS")+SUMIFS('Bilateral Assistance, MAIN DATA'!$N:$N,'Bilateral Assistance, MAIN DATA'!$B:$B,'Share, Heavy Weapons to Ukraine'!$B22,'Bilateral Assistance, MAIN DATA'!$AO:$AO,"227mm MLRS")</f>
        <v>0</v>
      </c>
      <c r="AR22" s="2">
        <f>SUMIFS('Bilateral Assistance, MAIN DATA'!$N:$N,'Bilateral Assistance, MAIN DATA'!$B:$B,'Share, Heavy Weapons to Ukraine'!$B22,'Bilateral Assistance, MAIN DATA'!$AO:$AO,'Share, Heavy Weapons to Ukraine'!AR$11)</f>
        <v>0</v>
      </c>
      <c r="AS22" s="2">
        <f>SUMIFS('Bilateral Assistance, MAIN DATA'!$N:$N,'Bilateral Assistance, MAIN DATA'!$B:$B,'Share, Heavy Weapons to Ukraine'!$B22,'Bilateral Assistance, MAIN DATA'!$AO:$AO,'Share, Heavy Weapons to Ukraine'!AS$11)</f>
        <v>0</v>
      </c>
      <c r="AT22" s="2">
        <f>SUMIFS('Bilateral Assistance, MAIN DATA'!$N:$N,'Bilateral Assistance, MAIN DATA'!$B:$B,'Share, Heavy Weapons to Ukraine'!$B22,'Bilateral Assistance, MAIN DATA'!$AO:$AO,'Share, Heavy Weapons to Ukraine'!AT$11)</f>
        <v>0</v>
      </c>
      <c r="AU22" s="2">
        <f>SUMIFS('Bilateral Assistance, MAIN DATA'!$N:$N,'Bilateral Assistance, MAIN DATA'!$B:$B,'Share, Heavy Weapons to Ukraine'!$B22,'Bilateral Assistance, MAIN DATA'!$AO:$AO,'Share, Heavy Weapons to Ukraine'!AU$11)</f>
        <v>0</v>
      </c>
      <c r="AV22" s="2">
        <f>SUMIFS('Bilateral Assistance, MAIN DATA'!$N:$N,'Bilateral Assistance, MAIN DATA'!$B:$B,'Share, Heavy Weapons to Ukraine'!$B22,'Bilateral Assistance, MAIN DATA'!$AO:$AO,'Share, Heavy Weapons to Ukraine'!AV$11)</f>
        <v>0</v>
      </c>
      <c r="AW22" s="471"/>
      <c r="AX22" s="292">
        <f>IF(VLOOKUP($B22,$B:G,COLUMN(G21)-1,FALSE)&lt;&gt;0,VLOOKUP($B22,$B:V,COLUMN(V21)-1,FALSE)/VLOOKUP($B22,$B:G,COLUMN(G21)-1,FALSE),IF(VLOOKUP($B22,$B:V,COLUMN(V21)-1,FALSE)&lt;&gt;0,"Strange",0))</f>
        <v>0.29182879377431908</v>
      </c>
      <c r="AY22" s="292">
        <f>IF(VLOOKUP($B22,$B:H,COLUMN(H21)-1,FALSE)&lt;&gt;0,VLOOKUP($B22,$B:W,COLUMN(W21)-1,FALSE)/VLOOKUP($B22,$B:H,COLUMN(H21)-1,FALSE),IF(VLOOKUP($B22,$B:W,COLUMN(W21)-1,FALSE)&lt;&gt;0,"Strange",0))</f>
        <v>0</v>
      </c>
      <c r="AZ22" s="292">
        <f>IF(VLOOKUP($B22,$B:I,COLUMN(I21)-1,FALSE)&lt;&gt;0,VLOOKUP($B22,$B:X,COLUMN(X21)-1,FALSE)/VLOOKUP($B22,$B:I,COLUMN(I21)-1,FALSE),IF(VLOOKUP($B22,$B:X,COLUMN(X21)-1,FALSE)&lt;&gt;0,"Strange",0))</f>
        <v>0</v>
      </c>
      <c r="BA22" s="292">
        <f>IF(VLOOKUP($B22,$B:J,COLUMN(J21)-1,FALSE)&lt;&gt;0,VLOOKUP($B22,$B:Y,COLUMN(Y21)-1,FALSE)/VLOOKUP($B22,$B:J,COLUMN(J21)-1,FALSE),IF(VLOOKUP($B22,$B:Y,COLUMN(Y21)-1,FALSE)&lt;&gt;0,"Strange",0))</f>
        <v>0</v>
      </c>
      <c r="BB22" s="292">
        <f>IF(VLOOKUP($B22,$B:K,COLUMN(K21)-1,FALSE)&lt;&gt;0,VLOOKUP($B22,$B:Z,COLUMN(Z21)-1,FALSE)/VLOOKUP($B22,$B:K,COLUMN(K21)-1,FALSE),IF(VLOOKUP($B22,$B:Z,COLUMN(Z21)-1,FALSE)&lt;&gt;0,"Strange",0))</f>
        <v>2.4829298572315334E-2</v>
      </c>
      <c r="BC22" s="292">
        <f>IF(VLOOKUP($B22,$B:L,COLUMN(L21)-1,FALSE)&lt;&gt;0,VLOOKUP($B22,$B:AA,COLUMN(AA21)-1,FALSE)/VLOOKUP($B22,$B:L,COLUMN(L21)-1,FALSE),IF(VLOOKUP($B22,$B:AA,COLUMN(AA21)-1,FALSE)&lt;&gt;0,"Strange",0))</f>
        <v>1.9342359767891684E-2</v>
      </c>
      <c r="BD22" s="292">
        <f>IF(VLOOKUP($B22,$B:M,COLUMN(M21)-1,FALSE)&lt;&gt;0,VLOOKUP($B22,$B:AB,COLUMN(AB21)-1,FALSE)/VLOOKUP($B22,$B:M,COLUMN(M21)-1,FALSE),IF(VLOOKUP($B22,$B:AB,COLUMN(AB21)-1,FALSE)&lt;&gt;0,"Strange",0))</f>
        <v>0.28723404255319152</v>
      </c>
      <c r="BE22" s="292">
        <f>IF(VLOOKUP($B22,$B:N,COLUMN(N21)-1,FALSE)&lt;&gt;0,VLOOKUP($B22,$B:AC,COLUMN(AC21)-1,FALSE)/VLOOKUP($B22,$B:N,COLUMN(N21)-1,FALSE),IF(VLOOKUP($B22,$B:AC,COLUMN(AC21)-1,FALSE)&lt;&gt;0,"Strange",0))</f>
        <v>0</v>
      </c>
      <c r="BF22" s="292">
        <f>IF(VLOOKUP($B22,$B:O,COLUMN(O21)-1,FALSE)&lt;&gt;0,VLOOKUP($B22,$B:AD,COLUMN(AD21)-1,FALSE)/VLOOKUP($B22,$B:O,COLUMN(O21)-1,FALSE),IF(VLOOKUP($B22,$B:AD,COLUMN(AD21)-1,FALSE)&lt;&gt;0,"Strange",0))</f>
        <v>0</v>
      </c>
      <c r="BG22" s="292">
        <f>IF(VLOOKUP($B22,$B:Q,COLUMN(Q21)-1,FALSE)&lt;&gt;0,VLOOKUP($B22,$B:AE,COLUMN(AE21)-1,FALSE)/VLOOKUP($B22,$B:Q,COLUMN(Q21)-1,FALSE),IF(VLOOKUP($B22,$B:AE,COLUMN(AE21)-1,FALSE)&lt;&gt;0,"Strange",0))</f>
        <v>0</v>
      </c>
      <c r="BH22" s="292">
        <f>IF(VLOOKUP($B22,$B:R,COLUMN(R21)-1,FALSE)&lt;&gt;0,VLOOKUP($B22,$B:AF,COLUMN(AF21)-1,FALSE)/VLOOKUP($B22,$B:R,COLUMN(R21)-1,FALSE),IF(VLOOKUP($B22,$B:AF,COLUMN(AF21)-1,FALSE)&lt;&gt;0,"Strange",0))</f>
        <v>0</v>
      </c>
      <c r="BI22" s="292">
        <f>IF(VLOOKUP($B22,$B:S,COLUMN(S21)-1,FALSE)&lt;&gt;0,VLOOKUP($B22,$B:AG,COLUMN(AG21)-1,FALSE)/VLOOKUP($B22,$B:S,COLUMN(S21)-1,FALSE),IF(VLOOKUP($B22,$B:AG,COLUMN(AG21)-1,FALSE)&lt;&gt;0,"Strange",0))</f>
        <v>0</v>
      </c>
      <c r="BJ22" s="292">
        <f>IF(VLOOKUP($B22,$B:T,COLUMN(T21)-1,FALSE)&lt;&gt;0,VLOOKUP($B22,$B:AH,COLUMN(AH21)-1,FALSE)/VLOOKUP($B22,$B:T,COLUMN(T21)-1,FALSE),IF(VLOOKUP($B22,$B:AH,COLUMN(AH21)-1,FALSE)&lt;&gt;0,"Strange",0))</f>
        <v>0</v>
      </c>
      <c r="BK22" s="471"/>
      <c r="BL22" s="2">
        <f>IF(VLOOKUP($B22,$B:W,COLUMN(G21)-1,FALSE)&lt;&gt;0,VLOOKUP($B22,$B:AK,COLUMN(AJ21)-1,FALSE)/VLOOKUP($B22,$B:W,COLUMN(G21)-1,FALSE),IF(VLOOKUP($B22,$B:AK,COLUMN(AJ21)-1,FALSE)&lt;&gt;0,"Strange",0))</f>
        <v>0.29182879377431908</v>
      </c>
      <c r="BM22" s="2">
        <f>IF(VLOOKUP($B22,$B:X,COLUMN(H21)-1,FALSE)&lt;&gt;0,VLOOKUP($B22,$B:AL,COLUMN(AK21)-1,FALSE)/VLOOKUP($B22,$B:X,COLUMN(H21)-1,FALSE),IF(VLOOKUP($B22,$B:AL,COLUMN(AK21)-1,FALSE)&lt;&gt;0,"Strange",0))</f>
        <v>0</v>
      </c>
      <c r="BN22" s="2">
        <f>IF(VLOOKUP($B22,$B:Y,COLUMN(I21)-1,FALSE)&lt;&gt;0,VLOOKUP($B22,$B:AM,COLUMN(AL21)-1,FALSE)/VLOOKUP($B22,$B:Y,COLUMN(I21)-1,FALSE),IF(VLOOKUP($B22,$B:AM,COLUMN(AL21)-1,FALSE)&lt;&gt;0,"Strange",0))</f>
        <v>0</v>
      </c>
      <c r="BO22" s="2">
        <f>IF(VLOOKUP($B22,$B:Z,COLUMN(J21)-1,FALSE)&lt;&gt;0,VLOOKUP($B22,$B:AN,COLUMN(AM21)-1,FALSE)/VLOOKUP($B22,$B:Z,COLUMN(J21)-1,FALSE),IF(VLOOKUP($B22,$B:AN,COLUMN(AM21)-1,FALSE)&lt;&gt;0,"Strange",0))</f>
        <v>0</v>
      </c>
      <c r="BP22" s="2">
        <f>IF(VLOOKUP($B22,$B:AB,COLUMN(K21)-1,FALSE)&lt;&gt;0,VLOOKUP($B22,$B:AP,COLUMN(AN21)-1,FALSE)/VLOOKUP($B22,$B:AB,COLUMN(K21)-1,FALSE),IF(VLOOKUP($B22,$B:AP,COLUMN(AN21)-1,FALSE)&lt;&gt;0,"Strange",0))</f>
        <v>2.4829298572315334E-2</v>
      </c>
      <c r="BQ22" s="2">
        <f>IF(VLOOKUP($B22,$B:AC,COLUMN(L21)-1,FALSE)&lt;&gt;0,VLOOKUP($B22,$B:AQ,COLUMN(AO21)-1,FALSE)/VLOOKUP($B22,$B:AC,COLUMN(L21)-1,FALSE),IF(VLOOKUP($B22,$B:AQ,COLUMN(AO21)-1,FALSE)&lt;&gt;0,"Strange",0))</f>
        <v>1.9342359767891684E-2</v>
      </c>
      <c r="BR22" s="2">
        <f>IF(VLOOKUP($B22,$B:AC,COLUMN(M21)-1,FALSE)&lt;&gt;0,VLOOKUP($B22,$B:AQ,COLUMN(AP21)-1,FALSE)/VLOOKUP($B22,$B:AC,COLUMN(M21)-1,FALSE),IF(VLOOKUP($B22,$B:AQ,COLUMN(AP21)-1,FALSE)&lt;&gt;0,"Strange",0))</f>
        <v>0.28723404255319152</v>
      </c>
      <c r="BS22" s="2">
        <f>IF(VLOOKUP($B22,$B:AD,COLUMN(N21)-1,FALSE)&lt;&gt;0,VLOOKUP($B22,$B:AR,COLUMN(AQ21)-1,FALSE)/VLOOKUP($B22,$B:AD,COLUMN(N21)-1,FALSE),IF(VLOOKUP($B22,$B:AR,COLUMN(AQ21)-1,FALSE)&lt;&gt;0,"Strange",0))</f>
        <v>0</v>
      </c>
      <c r="BT22" s="2">
        <f>IF(VLOOKUP($B22,$B:AD,COLUMN(O21)-1,FALSE)&lt;&gt;0,VLOOKUP($B22,$B:AR,COLUMN(AR21)-1,FALSE)/VLOOKUP($B22,$B:AD,COLUMN(O21)-1,FALSE),IF(VLOOKUP($B22,$B:AR,COLUMN(AR21)-1,FALSE)&lt;&gt;0,"Strange",0))</f>
        <v>0</v>
      </c>
      <c r="BU22" s="2">
        <f>IF(VLOOKUP($B22,$B:AE,COLUMN(Q21)-1,FALSE)&lt;&gt;0,VLOOKUP($B22,$B:AS,COLUMN(AS21)-1,FALSE)/VLOOKUP($B22,$B:AE,COLUMN(Q21)-1,FALSE),IF(VLOOKUP($B22,$B:AS,COLUMN(AS21)-1,FALSE)&lt;&gt;0,"Strange",0))</f>
        <v>0</v>
      </c>
      <c r="BV22" s="2">
        <f>IF(VLOOKUP($B22,$B:AF,COLUMN(R21)-1,FALSE)&lt;&gt;0,VLOOKUP($B22,$B:AT,COLUMN(AT21)-1,FALSE)/VLOOKUP($B22,$B:AF,COLUMN(R21)-1,FALSE),IF(VLOOKUP($B22,$B:AT,COLUMN(AT21)-1,FALSE)&lt;&gt;0,"Strange",0))</f>
        <v>0</v>
      </c>
      <c r="BW22" s="2">
        <f>IF(VLOOKUP($B22,$B:AG,COLUMN(S21)-1,FALSE)&lt;&gt;0,VLOOKUP($B22,$B:AU,COLUMN(AU21)-1,FALSE)/VLOOKUP($B22,$B:AG,COLUMN(S21)-1,FALSE),IF(VLOOKUP($B22,$B:AU,COLUMN(AU21)-1,FALSE)&lt;&gt;0,"Strange",0))</f>
        <v>0</v>
      </c>
      <c r="BX22" s="2">
        <f>IF(VLOOKUP($B22,$B:AH,COLUMN(T21)-1,FALSE)&lt;&gt;0,VLOOKUP($B22,$B:AV,COLUMN(AV21)-1,FALSE)/VLOOKUP($B22,$B:AH,COLUMN(T21)-1,FALSE),IF(VLOOKUP($B22,$B:AV,COLUMN(AV21)-1,FALSE)&lt;&gt;0,"Strange",0))</f>
        <v>0</v>
      </c>
      <c r="BY22" s="471"/>
      <c r="BZ22" s="2">
        <f>SUMIFS('Bilateral Assistance, MAIN DATA'!$M:$M,'Bilateral Assistance, MAIN DATA'!$B:$B,'Share, Heavy Weapons to Ukraine'!$B22,'Bilateral Assistance, MAIN DATA'!$AO:$AO,'Share, Heavy Weapons to Ukraine'!BZ$11, 'Bilateral Assistance, MAIN DATA'!$AA:$AA,1)</f>
        <v>0</v>
      </c>
      <c r="CA22" s="2">
        <f>SUMIFS('Bilateral Assistance, MAIN DATA'!$M:$M,'Bilateral Assistance, MAIN DATA'!$B:$B,'Share, Heavy Weapons to Ukraine'!$B22,'Bilateral Assistance, MAIN DATA'!$AO:$AO,'Share, Heavy Weapons to Ukraine'!CA$11, 'Bilateral Assistance, MAIN DATA'!$AA:$AA,1)</f>
        <v>0</v>
      </c>
      <c r="CB22" s="2">
        <f>SUMIFS('Bilateral Assistance, MAIN DATA'!$M:$M,'Bilateral Assistance, MAIN DATA'!$B:$B,'Share, Heavy Weapons to Ukraine'!$B22,'Bilateral Assistance, MAIN DATA'!$AO:$AO,'Share, Heavy Weapons to Ukraine'!CB$11, 'Bilateral Assistance, MAIN DATA'!$AA:$AA,1)</f>
        <v>0</v>
      </c>
      <c r="CC22" s="2">
        <f>SUMIFS('Bilateral Assistance, MAIN DATA'!$M:$M,'Bilateral Assistance, MAIN DATA'!$B:$B,'Share, Heavy Weapons to Ukraine'!$B22,'Bilateral Assistance, MAIN DATA'!$AO:$AO,'Share, Heavy Weapons to Ukraine'!CC$11, 'Bilateral Assistance, MAIN DATA'!$AA:$AA,1)</f>
        <v>0</v>
      </c>
      <c r="CD22" s="471"/>
      <c r="CE22" s="2">
        <f>SUMIFS('Bilateral Assistance, MAIN DATA'!$N:$N,'Bilateral Assistance, MAIN DATA'!$B:$B,'Share, Heavy Weapons to Ukraine'!$B22,'Bilateral Assistance, MAIN DATA'!$AO:$AO,'Share, Heavy Weapons to Ukraine'!CE$11, 'Bilateral Assistance, MAIN DATA'!$AA:$AA,1)</f>
        <v>0</v>
      </c>
      <c r="CF22" s="2">
        <f>SUMIFS('Bilateral Assistance, MAIN DATA'!$N:$N,'Bilateral Assistance, MAIN DATA'!$B:$B,'Share, Heavy Weapons to Ukraine'!$B22,'Bilateral Assistance, MAIN DATA'!$AO:$AO,'Share, Heavy Weapons to Ukraine'!CF$11, 'Bilateral Assistance, MAIN DATA'!$AA:$AA,1)</f>
        <v>0</v>
      </c>
      <c r="CG22" s="2">
        <f>SUMIFS('Bilateral Assistance, MAIN DATA'!$N:$N,'Bilateral Assistance, MAIN DATA'!$B:$B,'Share, Heavy Weapons to Ukraine'!$B22,'Bilateral Assistance, MAIN DATA'!$AO:$AO,'Share, Heavy Weapons to Ukraine'!CG$11, 'Bilateral Assistance, MAIN DATA'!$AA:$AA,1)</f>
        <v>0</v>
      </c>
      <c r="CH22" s="2">
        <f>SUMIFS('Bilateral Assistance, MAIN DATA'!$N:$N,'Bilateral Assistance, MAIN DATA'!$B:$B,'Share, Heavy Weapons to Ukraine'!$B22,'Bilateral Assistance, MAIN DATA'!$AO:$AO,'Share, Heavy Weapons to Ukraine'!CH$11, 'Bilateral Assistance, MAIN DATA'!$AA:$AA,1)</f>
        <v>0</v>
      </c>
    </row>
    <row r="23" spans="2:86" ht="15.6" x14ac:dyDescent="0.3">
      <c r="B23" s="470" t="s">
        <v>2820</v>
      </c>
      <c r="C23" s="470">
        <v>1</v>
      </c>
      <c r="D23" s="2">
        <v>0</v>
      </c>
      <c r="E23" s="471"/>
      <c r="F23" s="472">
        <v>10.199999999999999</v>
      </c>
      <c r="G23" s="470">
        <f>VLOOKUP(B23,'Heavy Weapon Stocks'!B:OE,COLUMN('Heavy Weapon Stocks'!$C$11)-1,FALSE)</f>
        <v>5339</v>
      </c>
      <c r="H23" s="470">
        <f>VLOOKUP(B23,'Heavy Weapon Stocks'!B:OE,COLUMN('Heavy Weapon Stocks'!$AT$11)-1,FALSE)</f>
        <v>3636</v>
      </c>
      <c r="I23" s="470">
        <f>VLOOKUP(B23,'Heavy Weapon Stocks'!B:OE,COLUMN('Heavy Weapon Stocks'!$DN$11)-1,FALSE)</f>
        <v>1630</v>
      </c>
      <c r="J23" s="470">
        <f>VLOOKUP(B23,'Heavy Weapon Stocks'!B:OE,COLUMN('Heavy Weapon Stocks'!$EB$11)-1,FALSE)</f>
        <v>1200</v>
      </c>
      <c r="K23" s="470">
        <f>VLOOKUP(B23,'Heavy Weapon Stocks'!B:OE,COLUMN('Heavy Weapon Stocks'!$FD$11)-1,FALSE)</f>
        <v>0</v>
      </c>
      <c r="L23" s="470">
        <f t="shared" si="3"/>
        <v>6466</v>
      </c>
      <c r="M23" s="470">
        <f>VLOOKUP(B23,'Heavy Weapon Stocks'!B:OE,COLUMN('Heavy Weapon Stocks'!$GZ$11)-1,FALSE)+VLOOKUP(B23,'Heavy Weapon Stocks'!B:OE,COLUMN('Heavy Weapon Stocks'!$IF$11)-1,FALSE)</f>
        <v>1385</v>
      </c>
      <c r="N23" s="470">
        <f>VLOOKUP(B23,'Heavy Weapon Stocks'!B:OE,COLUMN('Heavy Weapon Stocks'!$IK$11)-1,FALSE)</f>
        <v>146</v>
      </c>
      <c r="O23" s="470">
        <f>VLOOKUP(B23,'Heavy Weapon Stocks'!B:OE,COLUMN('Heavy Weapon Stocks'!$JE$11)-1,FALSE)+VLOOKUP(B23,'Heavy Weapon Stocks'!B:OE,COLUMN('Heavy Weapon Stocks'!$KB$11)-1,FALSE)</f>
        <v>306</v>
      </c>
      <c r="Q23" s="470">
        <f>VLOOKUP(B23,'Heavy Weapon Stocks'!B:OE,COLUMN('Heavy Weapon Stocks'!$LS$11)-1,FALSE)</f>
        <v>32</v>
      </c>
      <c r="R23" s="470">
        <f>VLOOKUP(B23,'Heavy Weapon Stocks'!B:OE,COLUMN('Heavy Weapon Stocks'!$MC$11)-1,FALSE)</f>
        <v>0</v>
      </c>
      <c r="S23" s="470">
        <f>VLOOKUP(B23,'Heavy Weapon Stocks'!B:OE,COLUMN('Heavy Weapon Stocks'!$MJ$11)-1,FALSE)</f>
        <v>0</v>
      </c>
      <c r="T23" s="470">
        <f>VLOOKUP(B23,'Heavy Weapon Stocks'!B:OE,COLUMN('Heavy Weapon Stocks'!$NO$11)-1,FALSE)</f>
        <v>148</v>
      </c>
      <c r="U23" s="471"/>
      <c r="V23" s="2">
        <f>SUMIFS('Bilateral Assistance, MAIN DATA'!$M:$M,'Bilateral Assistance, MAIN DATA'!$B:$B,'Share, Heavy Weapons to Ukraine'!$B23,'Bilateral Assistance, MAIN DATA'!$AO:$AO,'Share, Heavy Weapons to Ukraine'!V$11)</f>
        <v>0</v>
      </c>
      <c r="W23" s="2">
        <f>SUMIFS('Bilateral Assistance, MAIN DATA'!$M:$M,'Bilateral Assistance, MAIN DATA'!$B:$B,'Share, Heavy Weapons to Ukraine'!$B23,'Bilateral Assistance, MAIN DATA'!$AO:$AO,'Share, Heavy Weapons to Ukraine'!W$11)</f>
        <v>0</v>
      </c>
      <c r="X23" s="2">
        <f>SUMIFS('Bilateral Assistance, MAIN DATA'!$M:$M,'Bilateral Assistance, MAIN DATA'!$B:$B,'Share, Heavy Weapons to Ukraine'!$B23,'Bilateral Assistance, MAIN DATA'!$AO:$AO,'Share, Heavy Weapons to Ukraine'!X$11)</f>
        <v>0</v>
      </c>
      <c r="Y23" s="2">
        <f>SUMIFS('Bilateral Assistance, MAIN DATA'!$M:$M,'Bilateral Assistance, MAIN DATA'!$B:$B,'Share, Heavy Weapons to Ukraine'!$B23,'Bilateral Assistance, MAIN DATA'!$AO:$AO,'Share, Heavy Weapons to Ukraine'!Y$11)</f>
        <v>50</v>
      </c>
      <c r="Z23" s="2">
        <f>SUMIFS('Bilateral Assistance, MAIN DATA'!$M:$M,'Bilateral Assistance, MAIN DATA'!$B:$B,'Share, Heavy Weapons to Ukraine'!$B23,'Bilateral Assistance, MAIN DATA'!$AO:$AO,'Share, Heavy Weapons to Ukraine'!Z$11)</f>
        <v>0</v>
      </c>
      <c r="AA23" s="2">
        <f t="shared" si="1"/>
        <v>50</v>
      </c>
      <c r="AB23" s="2">
        <f>SUMIFS('Bilateral Assistance, MAIN DATA'!$M:$M,'Bilateral Assistance, MAIN DATA'!$B:$B,'Share, Heavy Weapons to Ukraine'!$B23,'Bilateral Assistance, MAIN DATA'!$AO:$AO,'Share, Heavy Weapons to Ukraine'!AB$11)</f>
        <v>0</v>
      </c>
      <c r="AC23" s="25">
        <f>SUMIFS('Bilateral Assistance, MAIN DATA'!$M:$M,'Bilateral Assistance, MAIN DATA'!$B:$B,'Share, Heavy Weapons to Ukraine'!$B23,'Bilateral Assistance, MAIN DATA'!$AO:$AO,"122mm MLRS")+SUMIFS('Bilateral Assistance, MAIN DATA'!$M:$M,'Bilateral Assistance, MAIN DATA'!$B:$B,'Share, Heavy Weapons to Ukraine'!$B23,'Bilateral Assistance, MAIN DATA'!$AO:$AO,"127mm MLRS")+SUMIFS('Bilateral Assistance, MAIN DATA'!$M:$M,'Bilateral Assistance, MAIN DATA'!$B:$B,'Share, Heavy Weapons to Ukraine'!$B23,'Bilateral Assistance, MAIN DATA'!$AO:$AO,"227mm MLRS")</f>
        <v>0</v>
      </c>
      <c r="AD23" s="2">
        <f>SUMIFS('Bilateral Assistance, MAIN DATA'!$M:$M,'Bilateral Assistance, MAIN DATA'!$B:$B,'Share, Heavy Weapons to Ukraine'!$B23,'Bilateral Assistance, MAIN DATA'!$AO:$AO,'Share, Heavy Weapons to Ukraine'!AD$11)</f>
        <v>0</v>
      </c>
      <c r="AE23" s="2">
        <f>SUMIFS('Bilateral Assistance, MAIN DATA'!$M:$M,'Bilateral Assistance, MAIN DATA'!$B:$B,'Share, Heavy Weapons to Ukraine'!$B23,'Bilateral Assistance, MAIN DATA'!$AO:$AO,'Share, Heavy Weapons to Ukraine'!AE$11)</f>
        <v>0</v>
      </c>
      <c r="AF23" s="2">
        <f>SUMIFS('Bilateral Assistance, MAIN DATA'!$M:$M,'Bilateral Assistance, MAIN DATA'!$B:$B,'Share, Heavy Weapons to Ukraine'!$B23,'Bilateral Assistance, MAIN DATA'!$AO:$AO,'Share, Heavy Weapons to Ukraine'!AF$11)</f>
        <v>0</v>
      </c>
      <c r="AG23" s="2">
        <f>SUMIFS('Bilateral Assistance, MAIN DATA'!$M:$M,'Bilateral Assistance, MAIN DATA'!$B:$B,'Share, Heavy Weapons to Ukraine'!$B23,'Bilateral Assistance, MAIN DATA'!$AO:$AO,'Share, Heavy Weapons to Ukraine'!AG$11)</f>
        <v>0</v>
      </c>
      <c r="AH23" s="2">
        <f>SUMIFS('Bilateral Assistance, MAIN DATA'!$M:$M,'Bilateral Assistance, MAIN DATA'!$B:$B,'Share, Heavy Weapons to Ukraine'!$B23,'Bilateral Assistance, MAIN DATA'!$AO:$AO,'Share, Heavy Weapons to Ukraine'!AH$11)</f>
        <v>0</v>
      </c>
      <c r="AI23" s="471"/>
      <c r="AJ23" s="2">
        <f>SUMIFS('Bilateral Assistance, MAIN DATA'!$N:$N,'Bilateral Assistance, MAIN DATA'!$B:$B,'Share, Heavy Weapons to Ukraine'!$B23,'Bilateral Assistance, MAIN DATA'!$AO:$AO,'Share, Heavy Weapons to Ukraine'!AJ$11)</f>
        <v>0</v>
      </c>
      <c r="AK23" s="2">
        <f>SUMIFS('Bilateral Assistance, MAIN DATA'!$N:$N,'Bilateral Assistance, MAIN DATA'!$B:$B,'Share, Heavy Weapons to Ukraine'!$B23,'Bilateral Assistance, MAIN DATA'!$AO:$AO,'Share, Heavy Weapons to Ukraine'!AK$11)</f>
        <v>0</v>
      </c>
      <c r="AL23" s="2">
        <f>SUMIFS('Bilateral Assistance, MAIN DATA'!$N:$N,'Bilateral Assistance, MAIN DATA'!$B:$B,'Share, Heavy Weapons to Ukraine'!$B23,'Bilateral Assistance, MAIN DATA'!$AO:$AO,'Share, Heavy Weapons to Ukraine'!AL$11)</f>
        <v>0</v>
      </c>
      <c r="AM23" s="2">
        <f>SUMIFS('Bilateral Assistance, MAIN DATA'!$N:$N,'Bilateral Assistance, MAIN DATA'!$B:$B,'Share, Heavy Weapons to Ukraine'!$B23,'Bilateral Assistance, MAIN DATA'!$AO:$AO,'Share, Heavy Weapons to Ukraine'!AM$11)</f>
        <v>50</v>
      </c>
      <c r="AN23" s="2">
        <f>SUMIFS('Bilateral Assistance, MAIN DATA'!$N:$N,'Bilateral Assistance, MAIN DATA'!$B:$B,'Share, Heavy Weapons to Ukraine'!$B23,'Bilateral Assistance, MAIN DATA'!$AO:$AO,'Share, Heavy Weapons to Ukraine'!AN$11)</f>
        <v>0</v>
      </c>
      <c r="AO23" s="2">
        <f t="shared" si="2"/>
        <v>50</v>
      </c>
      <c r="AP23" s="2">
        <f>SUMIFS('Bilateral Assistance, MAIN DATA'!$N:$N,'Bilateral Assistance, MAIN DATA'!$B:$B,'Share, Heavy Weapons to Ukraine'!$B23,'Bilateral Assistance, MAIN DATA'!$AO:$AO,'Share, Heavy Weapons to Ukraine'!AP$11)</f>
        <v>0</v>
      </c>
      <c r="AQ23" s="25">
        <f>SUMIFS('Bilateral Assistance, MAIN DATA'!$N:$N,'Bilateral Assistance, MAIN DATA'!$B:$B,'Share, Heavy Weapons to Ukraine'!$B23,'Bilateral Assistance, MAIN DATA'!$AO:$AO,"122mm MLRS")+SUMIFS('Bilateral Assistance, MAIN DATA'!$N:$N,'Bilateral Assistance, MAIN DATA'!$B:$B,'Share, Heavy Weapons to Ukraine'!$B23,'Bilateral Assistance, MAIN DATA'!$AO:$AO,"127mm MLRS")+SUMIFS('Bilateral Assistance, MAIN DATA'!$N:$N,'Bilateral Assistance, MAIN DATA'!$B:$B,'Share, Heavy Weapons to Ukraine'!$B23,'Bilateral Assistance, MAIN DATA'!$AO:$AO,"227mm MLRS")</f>
        <v>0</v>
      </c>
      <c r="AR23" s="2">
        <f>SUMIFS('Bilateral Assistance, MAIN DATA'!$N:$N,'Bilateral Assistance, MAIN DATA'!$B:$B,'Share, Heavy Weapons to Ukraine'!$B23,'Bilateral Assistance, MAIN DATA'!$AO:$AO,'Share, Heavy Weapons to Ukraine'!AR$11)</f>
        <v>0</v>
      </c>
      <c r="AS23" s="2">
        <f>SUMIFS('Bilateral Assistance, MAIN DATA'!$N:$N,'Bilateral Assistance, MAIN DATA'!$B:$B,'Share, Heavy Weapons to Ukraine'!$B23,'Bilateral Assistance, MAIN DATA'!$AO:$AO,'Share, Heavy Weapons to Ukraine'!AS$11)</f>
        <v>0</v>
      </c>
      <c r="AT23" s="2">
        <f>SUMIFS('Bilateral Assistance, MAIN DATA'!$N:$N,'Bilateral Assistance, MAIN DATA'!$B:$B,'Share, Heavy Weapons to Ukraine'!$B23,'Bilateral Assistance, MAIN DATA'!$AO:$AO,'Share, Heavy Weapons to Ukraine'!AT$11)</f>
        <v>0</v>
      </c>
      <c r="AU23" s="2">
        <f>SUMIFS('Bilateral Assistance, MAIN DATA'!$N:$N,'Bilateral Assistance, MAIN DATA'!$B:$B,'Share, Heavy Weapons to Ukraine'!$B23,'Bilateral Assistance, MAIN DATA'!$AO:$AO,'Share, Heavy Weapons to Ukraine'!AU$11)</f>
        <v>0</v>
      </c>
      <c r="AV23" s="2">
        <f>SUMIFS('Bilateral Assistance, MAIN DATA'!$N:$N,'Bilateral Assistance, MAIN DATA'!$B:$B,'Share, Heavy Weapons to Ukraine'!$B23,'Bilateral Assistance, MAIN DATA'!$AO:$AO,'Share, Heavy Weapons to Ukraine'!AV$11)</f>
        <v>0</v>
      </c>
      <c r="AW23" s="471"/>
      <c r="AX23" s="292">
        <f>IF(VLOOKUP($B23,$B:G,COLUMN(G22)-1,FALSE)&lt;&gt;0,VLOOKUP($B23,$B:V,COLUMN(V22)-1,FALSE)/VLOOKUP($B23,$B:G,COLUMN(G22)-1,FALSE),IF(VLOOKUP($B23,$B:V,COLUMN(V22)-1,FALSE)&lt;&gt;0,"Strange",0))</f>
        <v>0</v>
      </c>
      <c r="AY23" s="292">
        <f>IF(VLOOKUP($B23,$B:H,COLUMN(H22)-1,FALSE)&lt;&gt;0,VLOOKUP($B23,$B:W,COLUMN(W22)-1,FALSE)/VLOOKUP($B23,$B:H,COLUMN(H22)-1,FALSE),IF(VLOOKUP($B23,$B:W,COLUMN(W22)-1,FALSE)&lt;&gt;0,"Strange",0))</f>
        <v>0</v>
      </c>
      <c r="AZ23" s="292">
        <f>IF(VLOOKUP($B23,$B:I,COLUMN(I22)-1,FALSE)&lt;&gt;0,VLOOKUP($B23,$B:X,COLUMN(X22)-1,FALSE)/VLOOKUP($B23,$B:I,COLUMN(I22)-1,FALSE),IF(VLOOKUP($B23,$B:X,COLUMN(X22)-1,FALSE)&lt;&gt;0,"Strange",0))</f>
        <v>0</v>
      </c>
      <c r="BA23" s="292">
        <f>IF(VLOOKUP($B23,$B:J,COLUMN(J22)-1,FALSE)&lt;&gt;0,VLOOKUP($B23,$B:Y,COLUMN(Y22)-1,FALSE)/VLOOKUP($B23,$B:J,COLUMN(J22)-1,FALSE),IF(VLOOKUP($B23,$B:Y,COLUMN(Y22)-1,FALSE)&lt;&gt;0,"Strange",0))</f>
        <v>4.1666666666666664E-2</v>
      </c>
      <c r="BB23" s="292">
        <f>IF(VLOOKUP($B23,$B:K,COLUMN(K22)-1,FALSE)&lt;&gt;0,VLOOKUP($B23,$B:Z,COLUMN(Z22)-1,FALSE)/VLOOKUP($B23,$B:K,COLUMN(K22)-1,FALSE),IF(VLOOKUP($B23,$B:Z,COLUMN(Z22)-1,FALSE)&lt;&gt;0,"Strange",0))</f>
        <v>0</v>
      </c>
      <c r="BC23" s="292">
        <f>IF(VLOOKUP($B23,$B:L,COLUMN(L22)-1,FALSE)&lt;&gt;0,VLOOKUP($B23,$B:AA,COLUMN(AA22)-1,FALSE)/VLOOKUP($B23,$B:L,COLUMN(L22)-1,FALSE),IF(VLOOKUP($B23,$B:AA,COLUMN(AA22)-1,FALSE)&lt;&gt;0,"Strange",0))</f>
        <v>7.732755954222085E-3</v>
      </c>
      <c r="BD23" s="292">
        <f>IF(VLOOKUP($B23,$B:M,COLUMN(M22)-1,FALSE)&lt;&gt;0,VLOOKUP($B23,$B:AB,COLUMN(AB22)-1,FALSE)/VLOOKUP($B23,$B:M,COLUMN(M22)-1,FALSE),IF(VLOOKUP($B23,$B:AB,COLUMN(AB22)-1,FALSE)&lt;&gt;0,"Strange",0))</f>
        <v>0</v>
      </c>
      <c r="BE23" s="292">
        <f>IF(VLOOKUP($B23,$B:N,COLUMN(N22)-1,FALSE)&lt;&gt;0,VLOOKUP($B23,$B:AC,COLUMN(AC22)-1,FALSE)/VLOOKUP($B23,$B:N,COLUMN(N22)-1,FALSE),IF(VLOOKUP($B23,$B:AC,COLUMN(AC22)-1,FALSE)&lt;&gt;0,"Strange",0))</f>
        <v>0</v>
      </c>
      <c r="BF23" s="292">
        <f>IF(VLOOKUP($B23,$B:O,COLUMN(O22)-1,FALSE)&lt;&gt;0,VLOOKUP($B23,$B:AD,COLUMN(AD22)-1,FALSE)/VLOOKUP($B23,$B:O,COLUMN(O22)-1,FALSE),IF(VLOOKUP($B23,$B:AD,COLUMN(AD22)-1,FALSE)&lt;&gt;0,"Strange",0))</f>
        <v>0</v>
      </c>
      <c r="BG23" s="292">
        <f>IF(VLOOKUP($B23,$B:Q,COLUMN(Q22)-1,FALSE)&lt;&gt;0,VLOOKUP($B23,$B:AE,COLUMN(AE22)-1,FALSE)/VLOOKUP($B23,$B:Q,COLUMN(Q22)-1,FALSE),IF(VLOOKUP($B23,$B:AE,COLUMN(AE22)-1,FALSE)&lt;&gt;0,"Strange",0))</f>
        <v>0</v>
      </c>
      <c r="BH23" s="292">
        <f>IF(VLOOKUP($B23,$B:R,COLUMN(R22)-1,FALSE)&lt;&gt;0,VLOOKUP($B23,$B:AF,COLUMN(AF22)-1,FALSE)/VLOOKUP($B23,$B:R,COLUMN(R22)-1,FALSE),IF(VLOOKUP($B23,$B:AF,COLUMN(AF22)-1,FALSE)&lt;&gt;0,"Strange",0))</f>
        <v>0</v>
      </c>
      <c r="BI23" s="292">
        <f>IF(VLOOKUP($B23,$B:S,COLUMN(S22)-1,FALSE)&lt;&gt;0,VLOOKUP($B23,$B:AG,COLUMN(AG22)-1,FALSE)/VLOOKUP($B23,$B:S,COLUMN(S22)-1,FALSE),IF(VLOOKUP($B23,$B:AG,COLUMN(AG22)-1,FALSE)&lt;&gt;0,"Strange",0))</f>
        <v>0</v>
      </c>
      <c r="BJ23" s="292">
        <f>IF(VLOOKUP($B23,$B:T,COLUMN(T22)-1,FALSE)&lt;&gt;0,VLOOKUP($B23,$B:AH,COLUMN(AH22)-1,FALSE)/VLOOKUP($B23,$B:T,COLUMN(T22)-1,FALSE),IF(VLOOKUP($B23,$B:AH,COLUMN(AH22)-1,FALSE)&lt;&gt;0,"Strange",0))</f>
        <v>0</v>
      </c>
      <c r="BK23" s="471"/>
      <c r="BL23" s="2">
        <f>IF(VLOOKUP($B23,$B:W,COLUMN(G22)-1,FALSE)&lt;&gt;0,VLOOKUP($B23,$B:AK,COLUMN(AJ22)-1,FALSE)/VLOOKUP($B23,$B:W,COLUMN(G22)-1,FALSE),IF(VLOOKUP($B23,$B:AK,COLUMN(AJ22)-1,FALSE)&lt;&gt;0,"Strange",0))</f>
        <v>0</v>
      </c>
      <c r="BM23" s="2">
        <f>IF(VLOOKUP($B23,$B:X,COLUMN(H22)-1,FALSE)&lt;&gt;0,VLOOKUP($B23,$B:AL,COLUMN(AK22)-1,FALSE)/VLOOKUP($B23,$B:X,COLUMN(H22)-1,FALSE),IF(VLOOKUP($B23,$B:AL,COLUMN(AK22)-1,FALSE)&lt;&gt;0,"Strange",0))</f>
        <v>0</v>
      </c>
      <c r="BN23" s="2">
        <f>IF(VLOOKUP($B23,$B:Y,COLUMN(I22)-1,FALSE)&lt;&gt;0,VLOOKUP($B23,$B:AM,COLUMN(AL22)-1,FALSE)/VLOOKUP($B23,$B:Y,COLUMN(I22)-1,FALSE),IF(VLOOKUP($B23,$B:AM,COLUMN(AL22)-1,FALSE)&lt;&gt;0,"Strange",0))</f>
        <v>0</v>
      </c>
      <c r="BO23" s="2">
        <f>IF(VLOOKUP($B23,$B:Z,COLUMN(J22)-1,FALSE)&lt;&gt;0,VLOOKUP($B23,$B:AN,COLUMN(AM22)-1,FALSE)/VLOOKUP($B23,$B:Z,COLUMN(J22)-1,FALSE),IF(VLOOKUP($B23,$B:AN,COLUMN(AM22)-1,FALSE)&lt;&gt;0,"Strange",0))</f>
        <v>4.1666666666666664E-2</v>
      </c>
      <c r="BP23" s="2">
        <f>IF(VLOOKUP($B23,$B:AB,COLUMN(K22)-1,FALSE)&lt;&gt;0,VLOOKUP($B23,$B:AP,COLUMN(AN22)-1,FALSE)/VLOOKUP($B23,$B:AB,COLUMN(K22)-1,FALSE),IF(VLOOKUP($B23,$B:AP,COLUMN(AN22)-1,FALSE)&lt;&gt;0,"Strange",0))</f>
        <v>0</v>
      </c>
      <c r="BQ23" s="2">
        <f>IF(VLOOKUP($B23,$B:AC,COLUMN(L22)-1,FALSE)&lt;&gt;0,VLOOKUP($B23,$B:AQ,COLUMN(AO22)-1,FALSE)/VLOOKUP($B23,$B:AC,COLUMN(L22)-1,FALSE),IF(VLOOKUP($B23,$B:AQ,COLUMN(AO22)-1,FALSE)&lt;&gt;0,"Strange",0))</f>
        <v>7.732755954222085E-3</v>
      </c>
      <c r="BR23" s="2">
        <f>IF(VLOOKUP($B23,$B:AC,COLUMN(M22)-1,FALSE)&lt;&gt;0,VLOOKUP($B23,$B:AQ,COLUMN(AP22)-1,FALSE)/VLOOKUP($B23,$B:AC,COLUMN(M22)-1,FALSE),IF(VLOOKUP($B23,$B:AQ,COLUMN(AP22)-1,FALSE)&lt;&gt;0,"Strange",0))</f>
        <v>0</v>
      </c>
      <c r="BS23" s="2">
        <f>IF(VLOOKUP($B23,$B:AD,COLUMN(N22)-1,FALSE)&lt;&gt;0,VLOOKUP($B23,$B:AR,COLUMN(AQ22)-1,FALSE)/VLOOKUP($B23,$B:AD,COLUMN(N22)-1,FALSE),IF(VLOOKUP($B23,$B:AR,COLUMN(AQ22)-1,FALSE)&lt;&gt;0,"Strange",0))</f>
        <v>0</v>
      </c>
      <c r="BT23" s="2">
        <f>IF(VLOOKUP($B23,$B:AD,COLUMN(O22)-1,FALSE)&lt;&gt;0,VLOOKUP($B23,$B:AR,COLUMN(AR22)-1,FALSE)/VLOOKUP($B23,$B:AD,COLUMN(O22)-1,FALSE),IF(VLOOKUP($B23,$B:AR,COLUMN(AR22)-1,FALSE)&lt;&gt;0,"Strange",0))</f>
        <v>0</v>
      </c>
      <c r="BU23" s="2">
        <f>IF(VLOOKUP($B23,$B:AE,COLUMN(Q22)-1,FALSE)&lt;&gt;0,VLOOKUP($B23,$B:AS,COLUMN(AS22)-1,FALSE)/VLOOKUP($B23,$B:AE,COLUMN(Q22)-1,FALSE),IF(VLOOKUP($B23,$B:AS,COLUMN(AS22)-1,FALSE)&lt;&gt;0,"Strange",0))</f>
        <v>0</v>
      </c>
      <c r="BV23" s="2">
        <f>IF(VLOOKUP($B23,$B:AF,COLUMN(R22)-1,FALSE)&lt;&gt;0,VLOOKUP($B23,$B:AT,COLUMN(AT22)-1,FALSE)/VLOOKUP($B23,$B:AF,COLUMN(R22)-1,FALSE),IF(VLOOKUP($B23,$B:AT,COLUMN(AT22)-1,FALSE)&lt;&gt;0,"Strange",0))</f>
        <v>0</v>
      </c>
      <c r="BW23" s="2">
        <f>IF(VLOOKUP($B23,$B:AG,COLUMN(S22)-1,FALSE)&lt;&gt;0,VLOOKUP($B23,$B:AU,COLUMN(AU22)-1,FALSE)/VLOOKUP($B23,$B:AG,COLUMN(S22)-1,FALSE),IF(VLOOKUP($B23,$B:AU,COLUMN(AU22)-1,FALSE)&lt;&gt;0,"Strange",0))</f>
        <v>0</v>
      </c>
      <c r="BX23" s="2">
        <f>IF(VLOOKUP($B23,$B:AH,COLUMN(T22)-1,FALSE)&lt;&gt;0,VLOOKUP($B23,$B:AV,COLUMN(AV22)-1,FALSE)/VLOOKUP($B23,$B:AH,COLUMN(T22)-1,FALSE),IF(VLOOKUP($B23,$B:AV,COLUMN(AV22)-1,FALSE)&lt;&gt;0,"Strange",0))</f>
        <v>0</v>
      </c>
      <c r="BY23" s="471"/>
      <c r="BZ23" s="2">
        <f>SUMIFS('Bilateral Assistance, MAIN DATA'!$M:$M,'Bilateral Assistance, MAIN DATA'!$B:$B,'Share, Heavy Weapons to Ukraine'!$B23,'Bilateral Assistance, MAIN DATA'!$AO:$AO,'Share, Heavy Weapons to Ukraine'!BZ$11, 'Bilateral Assistance, MAIN DATA'!$AA:$AA,1)</f>
        <v>0</v>
      </c>
      <c r="CA23" s="2">
        <f>SUMIFS('Bilateral Assistance, MAIN DATA'!$M:$M,'Bilateral Assistance, MAIN DATA'!$B:$B,'Share, Heavy Weapons to Ukraine'!$B23,'Bilateral Assistance, MAIN DATA'!$AO:$AO,'Share, Heavy Weapons to Ukraine'!CA$11, 'Bilateral Assistance, MAIN DATA'!$AA:$AA,1)</f>
        <v>0</v>
      </c>
      <c r="CB23" s="2">
        <f>SUMIFS('Bilateral Assistance, MAIN DATA'!$M:$M,'Bilateral Assistance, MAIN DATA'!$B:$B,'Share, Heavy Weapons to Ukraine'!$B23,'Bilateral Assistance, MAIN DATA'!$AO:$AO,'Share, Heavy Weapons to Ukraine'!CB$11, 'Bilateral Assistance, MAIN DATA'!$AA:$AA,1)</f>
        <v>0</v>
      </c>
      <c r="CC23" s="2">
        <f>SUMIFS('Bilateral Assistance, MAIN DATA'!$M:$M,'Bilateral Assistance, MAIN DATA'!$B:$B,'Share, Heavy Weapons to Ukraine'!$B23,'Bilateral Assistance, MAIN DATA'!$AO:$AO,'Share, Heavy Weapons to Ukraine'!CC$11, 'Bilateral Assistance, MAIN DATA'!$AA:$AA,1)</f>
        <v>0</v>
      </c>
      <c r="CD23" s="471"/>
      <c r="CE23" s="2">
        <f>SUMIFS('Bilateral Assistance, MAIN DATA'!$N:$N,'Bilateral Assistance, MAIN DATA'!$B:$B,'Share, Heavy Weapons to Ukraine'!$B23,'Bilateral Assistance, MAIN DATA'!$AO:$AO,'Share, Heavy Weapons to Ukraine'!CE$11, 'Bilateral Assistance, MAIN DATA'!$AA:$AA,1)</f>
        <v>0</v>
      </c>
      <c r="CF23" s="2">
        <f>SUMIFS('Bilateral Assistance, MAIN DATA'!$N:$N,'Bilateral Assistance, MAIN DATA'!$B:$B,'Share, Heavy Weapons to Ukraine'!$B23,'Bilateral Assistance, MAIN DATA'!$AO:$AO,'Share, Heavy Weapons to Ukraine'!CF$11, 'Bilateral Assistance, MAIN DATA'!$AA:$AA,1)</f>
        <v>0</v>
      </c>
      <c r="CG23" s="2">
        <f>SUMIFS('Bilateral Assistance, MAIN DATA'!$N:$N,'Bilateral Assistance, MAIN DATA'!$B:$B,'Share, Heavy Weapons to Ukraine'!$B23,'Bilateral Assistance, MAIN DATA'!$AO:$AO,'Share, Heavy Weapons to Ukraine'!CG$11, 'Bilateral Assistance, MAIN DATA'!$AA:$AA,1)</f>
        <v>0</v>
      </c>
      <c r="CH23" s="2">
        <f>SUMIFS('Bilateral Assistance, MAIN DATA'!$N:$N,'Bilateral Assistance, MAIN DATA'!$B:$B,'Share, Heavy Weapons to Ukraine'!$B23,'Bilateral Assistance, MAIN DATA'!$AO:$AO,'Share, Heavy Weapons to Ukraine'!CH$11, 'Bilateral Assistance, MAIN DATA'!$AA:$AA,1)</f>
        <v>0</v>
      </c>
    </row>
    <row r="24" spans="2:86" ht="15.6" x14ac:dyDescent="0.3">
      <c r="B24" s="470" t="s">
        <v>2715</v>
      </c>
      <c r="C24" s="470">
        <v>0</v>
      </c>
      <c r="D24" s="2">
        <v>1</v>
      </c>
      <c r="E24" s="471"/>
      <c r="F24" s="472">
        <v>8.36</v>
      </c>
      <c r="G24" s="470">
        <f>VLOOKUP(B24,'Heavy Weapon Stocks'!B:OE,COLUMN('Heavy Weapon Stocks'!$C$11)-1,FALSE)</f>
        <v>240</v>
      </c>
      <c r="H24" s="470">
        <f>VLOOKUP(B24,'Heavy Weapon Stocks'!B:OE,COLUMN('Heavy Weapon Stocks'!$AT$11)-1,FALSE)</f>
        <v>704</v>
      </c>
      <c r="I24" s="470">
        <f>VLOOKUP(B24,'Heavy Weapon Stocks'!B:OE,COLUMN('Heavy Weapon Stocks'!$DN$11)-1,FALSE)</f>
        <v>360</v>
      </c>
      <c r="J24" s="470">
        <f>VLOOKUP(B24,'Heavy Weapon Stocks'!B:OE,COLUMN('Heavy Weapon Stocks'!$EB$11)-1,FALSE)</f>
        <v>0</v>
      </c>
      <c r="K24" s="470">
        <f>VLOOKUP(B24,'Heavy Weapon Stocks'!B:OE,COLUMN('Heavy Weapon Stocks'!$FD$11)-1,FALSE)</f>
        <v>411</v>
      </c>
      <c r="L24" s="470">
        <f t="shared" si="3"/>
        <v>1475</v>
      </c>
      <c r="M24" s="470">
        <f>VLOOKUP(B24,'Heavy Weapon Stocks'!B:OE,COLUMN('Heavy Weapon Stocks'!$GZ$11)-1,FALSE)+VLOOKUP(B24,'Heavy Weapon Stocks'!B:OE,COLUMN('Heavy Weapon Stocks'!$IF$11)-1,FALSE)</f>
        <v>35</v>
      </c>
      <c r="N24" s="470">
        <f>VLOOKUP(B24,'Heavy Weapon Stocks'!B:OE,COLUMN('Heavy Weapon Stocks'!$IK$11)-1,FALSE)</f>
        <v>0</v>
      </c>
      <c r="O24" s="470">
        <f>VLOOKUP(B24,'Heavy Weapon Stocks'!B:OE,COLUMN('Heavy Weapon Stocks'!$JE$11)-1,FALSE)+VLOOKUP(B24,'Heavy Weapon Stocks'!B:OE,COLUMN('Heavy Weapon Stocks'!$KB$11)-1,FALSE)</f>
        <v>96</v>
      </c>
      <c r="Q24" s="470">
        <f>VLOOKUP(B24,'Heavy Weapon Stocks'!B:OE,COLUMN('Heavy Weapon Stocks'!$LS$11)-1,FALSE)</f>
        <v>3</v>
      </c>
      <c r="R24" s="470">
        <f>VLOOKUP(B24,'Heavy Weapon Stocks'!B:OE,COLUMN('Heavy Weapon Stocks'!$MC$11)-1,FALSE)</f>
        <v>8</v>
      </c>
      <c r="S24" s="470">
        <f>VLOOKUP(B24,'Heavy Weapon Stocks'!B:OE,COLUMN('Heavy Weapon Stocks'!$MJ$11)-1,FALSE)</f>
        <v>0</v>
      </c>
      <c r="T24" s="470">
        <f>VLOOKUP(B24,'Heavy Weapon Stocks'!B:OE,COLUMN('Heavy Weapon Stocks'!$NO$11)-1,FALSE)</f>
        <v>0</v>
      </c>
      <c r="U24" s="471"/>
      <c r="V24" s="2">
        <f>SUMIFS('Bilateral Assistance, MAIN DATA'!$M:$M,'Bilateral Assistance, MAIN DATA'!$B:$B,'Share, Heavy Weapons to Ukraine'!$B24,'Bilateral Assistance, MAIN DATA'!$AO:$AO,'Share, Heavy Weapons to Ukraine'!V$11)</f>
        <v>0</v>
      </c>
      <c r="W24" s="2">
        <f>SUMIFS('Bilateral Assistance, MAIN DATA'!$M:$M,'Bilateral Assistance, MAIN DATA'!$B:$B,'Share, Heavy Weapons to Ukraine'!$B24,'Bilateral Assistance, MAIN DATA'!$AO:$AO,'Share, Heavy Weapons to Ukraine'!W$11)</f>
        <v>0</v>
      </c>
      <c r="X24" s="2">
        <f>SUMIFS('Bilateral Assistance, MAIN DATA'!$M:$M,'Bilateral Assistance, MAIN DATA'!$B:$B,'Share, Heavy Weapons to Ukraine'!$B24,'Bilateral Assistance, MAIN DATA'!$AO:$AO,'Share, Heavy Weapons to Ukraine'!X$11)</f>
        <v>0</v>
      </c>
      <c r="Y24" s="2">
        <f>SUMIFS('Bilateral Assistance, MAIN DATA'!$M:$M,'Bilateral Assistance, MAIN DATA'!$B:$B,'Share, Heavy Weapons to Ukraine'!$B24,'Bilateral Assistance, MAIN DATA'!$AO:$AO,'Share, Heavy Weapons to Ukraine'!Y$11)</f>
        <v>0</v>
      </c>
      <c r="Z24" s="2">
        <f>SUMIFS('Bilateral Assistance, MAIN DATA'!$M:$M,'Bilateral Assistance, MAIN DATA'!$B:$B,'Share, Heavy Weapons to Ukraine'!$B24,'Bilateral Assistance, MAIN DATA'!$AO:$AO,'Share, Heavy Weapons to Ukraine'!Z$11)</f>
        <v>0</v>
      </c>
      <c r="AA24" s="2">
        <f t="shared" si="1"/>
        <v>0</v>
      </c>
      <c r="AB24" s="2">
        <f>SUMIFS('Bilateral Assistance, MAIN DATA'!$M:$M,'Bilateral Assistance, MAIN DATA'!$B:$B,'Share, Heavy Weapons to Ukraine'!$B24,'Bilateral Assistance, MAIN DATA'!$AO:$AO,'Share, Heavy Weapons to Ukraine'!AB$11)</f>
        <v>0</v>
      </c>
      <c r="AC24" s="25">
        <f>SUMIFS('Bilateral Assistance, MAIN DATA'!$M:$M,'Bilateral Assistance, MAIN DATA'!$B:$B,'Share, Heavy Weapons to Ukraine'!$B24,'Bilateral Assistance, MAIN DATA'!$AO:$AO,"122mm MLRS")+SUMIFS('Bilateral Assistance, MAIN DATA'!$M:$M,'Bilateral Assistance, MAIN DATA'!$B:$B,'Share, Heavy Weapons to Ukraine'!$B24,'Bilateral Assistance, MAIN DATA'!$AO:$AO,"127mm MLRS")+SUMIFS('Bilateral Assistance, MAIN DATA'!$M:$M,'Bilateral Assistance, MAIN DATA'!$B:$B,'Share, Heavy Weapons to Ukraine'!$B24,'Bilateral Assistance, MAIN DATA'!$AO:$AO,"227mm MLRS")</f>
        <v>0</v>
      </c>
      <c r="AD24" s="2">
        <f>SUMIFS('Bilateral Assistance, MAIN DATA'!$M:$M,'Bilateral Assistance, MAIN DATA'!$B:$B,'Share, Heavy Weapons to Ukraine'!$B24,'Bilateral Assistance, MAIN DATA'!$AO:$AO,'Share, Heavy Weapons to Ukraine'!AD$11)</f>
        <v>0</v>
      </c>
      <c r="AE24" s="2">
        <f>SUMIFS('Bilateral Assistance, MAIN DATA'!$M:$M,'Bilateral Assistance, MAIN DATA'!$B:$B,'Share, Heavy Weapons to Ukraine'!$B24,'Bilateral Assistance, MAIN DATA'!$AO:$AO,'Share, Heavy Weapons to Ukraine'!AE$11)</f>
        <v>0</v>
      </c>
      <c r="AF24" s="2">
        <f>SUMIFS('Bilateral Assistance, MAIN DATA'!$M:$M,'Bilateral Assistance, MAIN DATA'!$B:$B,'Share, Heavy Weapons to Ukraine'!$B24,'Bilateral Assistance, MAIN DATA'!$AO:$AO,'Share, Heavy Weapons to Ukraine'!AF$11)</f>
        <v>0</v>
      </c>
      <c r="AG24" s="2">
        <f>SUMIFS('Bilateral Assistance, MAIN DATA'!$M:$M,'Bilateral Assistance, MAIN DATA'!$B:$B,'Share, Heavy Weapons to Ukraine'!$B24,'Bilateral Assistance, MAIN DATA'!$AO:$AO,'Share, Heavy Weapons to Ukraine'!AG$11)</f>
        <v>0</v>
      </c>
      <c r="AH24" s="2">
        <f>SUMIFS('Bilateral Assistance, MAIN DATA'!$M:$M,'Bilateral Assistance, MAIN DATA'!$B:$B,'Share, Heavy Weapons to Ukraine'!$B24,'Bilateral Assistance, MAIN DATA'!$AO:$AO,'Share, Heavy Weapons to Ukraine'!AH$11)</f>
        <v>0</v>
      </c>
      <c r="AI24" s="471"/>
      <c r="AJ24" s="2">
        <f>SUMIFS('Bilateral Assistance, MAIN DATA'!$N:$N,'Bilateral Assistance, MAIN DATA'!$B:$B,'Share, Heavy Weapons to Ukraine'!$B24,'Bilateral Assistance, MAIN DATA'!$AO:$AO,'Share, Heavy Weapons to Ukraine'!AJ$11)</f>
        <v>0</v>
      </c>
      <c r="AK24" s="2">
        <f>SUMIFS('Bilateral Assistance, MAIN DATA'!$N:$N,'Bilateral Assistance, MAIN DATA'!$B:$B,'Share, Heavy Weapons to Ukraine'!$B24,'Bilateral Assistance, MAIN DATA'!$AO:$AO,'Share, Heavy Weapons to Ukraine'!AK$11)</f>
        <v>0</v>
      </c>
      <c r="AL24" s="2">
        <f>SUMIFS('Bilateral Assistance, MAIN DATA'!$N:$N,'Bilateral Assistance, MAIN DATA'!$B:$B,'Share, Heavy Weapons to Ukraine'!$B24,'Bilateral Assistance, MAIN DATA'!$AO:$AO,'Share, Heavy Weapons to Ukraine'!AL$11)</f>
        <v>0</v>
      </c>
      <c r="AM24" s="2">
        <f>SUMIFS('Bilateral Assistance, MAIN DATA'!$N:$N,'Bilateral Assistance, MAIN DATA'!$B:$B,'Share, Heavy Weapons to Ukraine'!$B24,'Bilateral Assistance, MAIN DATA'!$AO:$AO,'Share, Heavy Weapons to Ukraine'!AM$11)</f>
        <v>0</v>
      </c>
      <c r="AN24" s="2">
        <f>SUMIFS('Bilateral Assistance, MAIN DATA'!$N:$N,'Bilateral Assistance, MAIN DATA'!$B:$B,'Share, Heavy Weapons to Ukraine'!$B24,'Bilateral Assistance, MAIN DATA'!$AO:$AO,'Share, Heavy Weapons to Ukraine'!AN$11)</f>
        <v>0</v>
      </c>
      <c r="AO24" s="2">
        <f t="shared" si="2"/>
        <v>0</v>
      </c>
      <c r="AP24" s="2">
        <f>SUMIFS('Bilateral Assistance, MAIN DATA'!$N:$N,'Bilateral Assistance, MAIN DATA'!$B:$B,'Share, Heavy Weapons to Ukraine'!$B24,'Bilateral Assistance, MAIN DATA'!$AO:$AO,'Share, Heavy Weapons to Ukraine'!AP$11)</f>
        <v>0</v>
      </c>
      <c r="AQ24" s="25">
        <f>SUMIFS('Bilateral Assistance, MAIN DATA'!$N:$N,'Bilateral Assistance, MAIN DATA'!$B:$B,'Share, Heavy Weapons to Ukraine'!$B24,'Bilateral Assistance, MAIN DATA'!$AO:$AO,"122mm MLRS")+SUMIFS('Bilateral Assistance, MAIN DATA'!$N:$N,'Bilateral Assistance, MAIN DATA'!$B:$B,'Share, Heavy Weapons to Ukraine'!$B24,'Bilateral Assistance, MAIN DATA'!$AO:$AO,"127mm MLRS")+SUMIFS('Bilateral Assistance, MAIN DATA'!$N:$N,'Bilateral Assistance, MAIN DATA'!$B:$B,'Share, Heavy Weapons to Ukraine'!$B24,'Bilateral Assistance, MAIN DATA'!$AO:$AO,"227mm MLRS")</f>
        <v>0</v>
      </c>
      <c r="AR24" s="2">
        <f>SUMIFS('Bilateral Assistance, MAIN DATA'!$N:$N,'Bilateral Assistance, MAIN DATA'!$B:$B,'Share, Heavy Weapons to Ukraine'!$B24,'Bilateral Assistance, MAIN DATA'!$AO:$AO,'Share, Heavy Weapons to Ukraine'!AR$11)</f>
        <v>0</v>
      </c>
      <c r="AS24" s="2">
        <f>SUMIFS('Bilateral Assistance, MAIN DATA'!$N:$N,'Bilateral Assistance, MAIN DATA'!$B:$B,'Share, Heavy Weapons to Ukraine'!$B24,'Bilateral Assistance, MAIN DATA'!$AO:$AO,'Share, Heavy Weapons to Ukraine'!AS$11)</f>
        <v>0</v>
      </c>
      <c r="AT24" s="2">
        <f>SUMIFS('Bilateral Assistance, MAIN DATA'!$N:$N,'Bilateral Assistance, MAIN DATA'!$B:$B,'Share, Heavy Weapons to Ukraine'!$B24,'Bilateral Assistance, MAIN DATA'!$AO:$AO,'Share, Heavy Weapons to Ukraine'!AT$11)</f>
        <v>0</v>
      </c>
      <c r="AU24" s="2">
        <f>SUMIFS('Bilateral Assistance, MAIN DATA'!$N:$N,'Bilateral Assistance, MAIN DATA'!$B:$B,'Share, Heavy Weapons to Ukraine'!$B24,'Bilateral Assistance, MAIN DATA'!$AO:$AO,'Share, Heavy Weapons to Ukraine'!AU$11)</f>
        <v>0</v>
      </c>
      <c r="AV24" s="2">
        <f>SUMIFS('Bilateral Assistance, MAIN DATA'!$N:$N,'Bilateral Assistance, MAIN DATA'!$B:$B,'Share, Heavy Weapons to Ukraine'!$B24,'Bilateral Assistance, MAIN DATA'!$AO:$AO,'Share, Heavy Weapons to Ukraine'!AV$11)</f>
        <v>0</v>
      </c>
      <c r="AW24" s="471"/>
      <c r="AX24" s="292">
        <f>IF(VLOOKUP($B24,$B:G,COLUMN(G23)-1,FALSE)&lt;&gt;0,VLOOKUP($B24,$B:V,COLUMN(V23)-1,FALSE)/VLOOKUP($B24,$B:G,COLUMN(G23)-1,FALSE),IF(VLOOKUP($B24,$B:V,COLUMN(V23)-1,FALSE)&lt;&gt;0,"Strange",0))</f>
        <v>0</v>
      </c>
      <c r="AY24" s="292">
        <f>IF(VLOOKUP($B24,$B:H,COLUMN(H23)-1,FALSE)&lt;&gt;0,VLOOKUP($B24,$B:W,COLUMN(W23)-1,FALSE)/VLOOKUP($B24,$B:H,COLUMN(H23)-1,FALSE),IF(VLOOKUP($B24,$B:W,COLUMN(W23)-1,FALSE)&lt;&gt;0,"Strange",0))</f>
        <v>0</v>
      </c>
      <c r="AZ24" s="292">
        <f>IF(VLOOKUP($B24,$B:I,COLUMN(I23)-1,FALSE)&lt;&gt;0,VLOOKUP($B24,$B:X,COLUMN(X23)-1,FALSE)/VLOOKUP($B24,$B:I,COLUMN(I23)-1,FALSE),IF(VLOOKUP($B24,$B:X,COLUMN(X23)-1,FALSE)&lt;&gt;0,"Strange",0))</f>
        <v>0</v>
      </c>
      <c r="BA24" s="292">
        <f>IF(VLOOKUP($B24,$B:J,COLUMN(J23)-1,FALSE)&lt;&gt;0,VLOOKUP($B24,$B:Y,COLUMN(Y23)-1,FALSE)/VLOOKUP($B24,$B:J,COLUMN(J23)-1,FALSE),IF(VLOOKUP($B24,$B:Y,COLUMN(Y23)-1,FALSE)&lt;&gt;0,"Strange",0))</f>
        <v>0</v>
      </c>
      <c r="BB24" s="292">
        <f>IF(VLOOKUP($B24,$B:K,COLUMN(K23)-1,FALSE)&lt;&gt;0,VLOOKUP($B24,$B:Z,COLUMN(Z23)-1,FALSE)/VLOOKUP($B24,$B:K,COLUMN(K23)-1,FALSE),IF(VLOOKUP($B24,$B:Z,COLUMN(Z23)-1,FALSE)&lt;&gt;0,"Strange",0))</f>
        <v>0</v>
      </c>
      <c r="BC24" s="292">
        <f>IF(VLOOKUP($B24,$B:L,COLUMN(L23)-1,FALSE)&lt;&gt;0,VLOOKUP($B24,$B:AA,COLUMN(AA23)-1,FALSE)/VLOOKUP($B24,$B:L,COLUMN(L23)-1,FALSE),IF(VLOOKUP($B24,$B:AA,COLUMN(AA23)-1,FALSE)&lt;&gt;0,"Strange",0))</f>
        <v>0</v>
      </c>
      <c r="BD24" s="292">
        <f>IF(VLOOKUP($B24,$B:M,COLUMN(M23)-1,FALSE)&lt;&gt;0,VLOOKUP($B24,$B:AB,COLUMN(AB23)-1,FALSE)/VLOOKUP($B24,$B:M,COLUMN(M23)-1,FALSE),IF(VLOOKUP($B24,$B:AB,COLUMN(AB23)-1,FALSE)&lt;&gt;0,"Strange",0))</f>
        <v>0</v>
      </c>
      <c r="BE24" s="292">
        <f>IF(VLOOKUP($B24,$B:N,COLUMN(N23)-1,FALSE)&lt;&gt;0,VLOOKUP($B24,$B:AC,COLUMN(AC23)-1,FALSE)/VLOOKUP($B24,$B:N,COLUMN(N23)-1,FALSE),IF(VLOOKUP($B24,$B:AC,COLUMN(AC23)-1,FALSE)&lt;&gt;0,"Strange",0))</f>
        <v>0</v>
      </c>
      <c r="BF24" s="292">
        <f>IF(VLOOKUP($B24,$B:O,COLUMN(O23)-1,FALSE)&lt;&gt;0,VLOOKUP($B24,$B:AD,COLUMN(AD23)-1,FALSE)/VLOOKUP($B24,$B:O,COLUMN(O23)-1,FALSE),IF(VLOOKUP($B24,$B:AD,COLUMN(AD23)-1,FALSE)&lt;&gt;0,"Strange",0))</f>
        <v>0</v>
      </c>
      <c r="BG24" s="292">
        <f>IF(VLOOKUP($B24,$B:Q,COLUMN(Q23)-1,FALSE)&lt;&gt;0,VLOOKUP($B24,$B:AE,COLUMN(AE23)-1,FALSE)/VLOOKUP($B24,$B:Q,COLUMN(Q23)-1,FALSE),IF(VLOOKUP($B24,$B:AE,COLUMN(AE23)-1,FALSE)&lt;&gt;0,"Strange",0))</f>
        <v>0</v>
      </c>
      <c r="BH24" s="292">
        <f>IF(VLOOKUP($B24,$B:R,COLUMN(R23)-1,FALSE)&lt;&gt;0,VLOOKUP($B24,$B:AF,COLUMN(AF23)-1,FALSE)/VLOOKUP($B24,$B:R,COLUMN(R23)-1,FALSE),IF(VLOOKUP($B24,$B:AF,COLUMN(AF23)-1,FALSE)&lt;&gt;0,"Strange",0))</f>
        <v>0</v>
      </c>
      <c r="BI24" s="292">
        <f>IF(VLOOKUP($B24,$B:S,COLUMN(S23)-1,FALSE)&lt;&gt;0,VLOOKUP($B24,$B:AG,COLUMN(AG23)-1,FALSE)/VLOOKUP($B24,$B:S,COLUMN(S23)-1,FALSE),IF(VLOOKUP($B24,$B:AG,COLUMN(AG23)-1,FALSE)&lt;&gt;0,"Strange",0))</f>
        <v>0</v>
      </c>
      <c r="BJ24" s="292">
        <f>IF(VLOOKUP($B24,$B:T,COLUMN(T23)-1,FALSE)&lt;&gt;0,VLOOKUP($B24,$B:AH,COLUMN(AH23)-1,FALSE)/VLOOKUP($B24,$B:T,COLUMN(T23)-1,FALSE),IF(VLOOKUP($B24,$B:AH,COLUMN(AH23)-1,FALSE)&lt;&gt;0,"Strange",0))</f>
        <v>0</v>
      </c>
      <c r="BK24" s="471"/>
      <c r="BL24" s="2">
        <f>IF(VLOOKUP($B24,$B:W,COLUMN(G23)-1,FALSE)&lt;&gt;0,VLOOKUP($B24,$B:AK,COLUMN(AJ23)-1,FALSE)/VLOOKUP($B24,$B:W,COLUMN(G23)-1,FALSE),IF(VLOOKUP($B24,$B:AK,COLUMN(AJ23)-1,FALSE)&lt;&gt;0,"Strange",0))</f>
        <v>0</v>
      </c>
      <c r="BM24" s="2">
        <f>IF(VLOOKUP($B24,$B:X,COLUMN(H23)-1,FALSE)&lt;&gt;0,VLOOKUP($B24,$B:AL,COLUMN(AK23)-1,FALSE)/VLOOKUP($B24,$B:X,COLUMN(H23)-1,FALSE),IF(VLOOKUP($B24,$B:AL,COLUMN(AK23)-1,FALSE)&lt;&gt;0,"Strange",0))</f>
        <v>0</v>
      </c>
      <c r="BN24" s="2">
        <f>IF(VLOOKUP($B24,$B:Y,COLUMN(I23)-1,FALSE)&lt;&gt;0,VLOOKUP($B24,$B:AM,COLUMN(AL23)-1,FALSE)/VLOOKUP($B24,$B:Y,COLUMN(I23)-1,FALSE),IF(VLOOKUP($B24,$B:AM,COLUMN(AL23)-1,FALSE)&lt;&gt;0,"Strange",0))</f>
        <v>0</v>
      </c>
      <c r="BO24" s="2">
        <f>IF(VLOOKUP($B24,$B:Z,COLUMN(J23)-1,FALSE)&lt;&gt;0,VLOOKUP($B24,$B:AN,COLUMN(AM23)-1,FALSE)/VLOOKUP($B24,$B:Z,COLUMN(J23)-1,FALSE),IF(VLOOKUP($B24,$B:AN,COLUMN(AM23)-1,FALSE)&lt;&gt;0,"Strange",0))</f>
        <v>0</v>
      </c>
      <c r="BP24" s="2">
        <f>IF(VLOOKUP($B24,$B:AB,COLUMN(K23)-1,FALSE)&lt;&gt;0,VLOOKUP($B24,$B:AP,COLUMN(AN23)-1,FALSE)/VLOOKUP($B24,$B:AB,COLUMN(K23)-1,FALSE),IF(VLOOKUP($B24,$B:AP,COLUMN(AN23)-1,FALSE)&lt;&gt;0,"Strange",0))</f>
        <v>0</v>
      </c>
      <c r="BQ24" s="2">
        <f>IF(VLOOKUP($B24,$B:AC,COLUMN(L23)-1,FALSE)&lt;&gt;0,VLOOKUP($B24,$B:AQ,COLUMN(AO23)-1,FALSE)/VLOOKUP($B24,$B:AC,COLUMN(L23)-1,FALSE),IF(VLOOKUP($B24,$B:AQ,COLUMN(AO23)-1,FALSE)&lt;&gt;0,"Strange",0))</f>
        <v>0</v>
      </c>
      <c r="BR24" s="2">
        <f>IF(VLOOKUP($B24,$B:AC,COLUMN(M23)-1,FALSE)&lt;&gt;0,VLOOKUP($B24,$B:AQ,COLUMN(AP23)-1,FALSE)/VLOOKUP($B24,$B:AC,COLUMN(M23)-1,FALSE),IF(VLOOKUP($B24,$B:AQ,COLUMN(AP23)-1,FALSE)&lt;&gt;0,"Strange",0))</f>
        <v>0</v>
      </c>
      <c r="BS24" s="2">
        <f>IF(VLOOKUP($B24,$B:AD,COLUMN(N23)-1,FALSE)&lt;&gt;0,VLOOKUP($B24,$B:AR,COLUMN(AQ23)-1,FALSE)/VLOOKUP($B24,$B:AD,COLUMN(N23)-1,FALSE),IF(VLOOKUP($B24,$B:AR,COLUMN(AQ23)-1,FALSE)&lt;&gt;0,"Strange",0))</f>
        <v>0</v>
      </c>
      <c r="BT24" s="2">
        <f>IF(VLOOKUP($B24,$B:AD,COLUMN(O23)-1,FALSE)&lt;&gt;0,VLOOKUP($B24,$B:AR,COLUMN(AR23)-1,FALSE)/VLOOKUP($B24,$B:AD,COLUMN(O23)-1,FALSE),IF(VLOOKUP($B24,$B:AR,COLUMN(AR23)-1,FALSE)&lt;&gt;0,"Strange",0))</f>
        <v>0</v>
      </c>
      <c r="BU24" s="2">
        <f>IF(VLOOKUP($B24,$B:AE,COLUMN(Q23)-1,FALSE)&lt;&gt;0,VLOOKUP($B24,$B:AS,COLUMN(AS23)-1,FALSE)/VLOOKUP($B24,$B:AE,COLUMN(Q23)-1,FALSE),IF(VLOOKUP($B24,$B:AS,COLUMN(AS23)-1,FALSE)&lt;&gt;0,"Strange",0))</f>
        <v>0</v>
      </c>
      <c r="BV24" s="2">
        <f>IF(VLOOKUP($B24,$B:AF,COLUMN(R23)-1,FALSE)&lt;&gt;0,VLOOKUP($B24,$B:AT,COLUMN(AT23)-1,FALSE)/VLOOKUP($B24,$B:AF,COLUMN(R23)-1,FALSE),IF(VLOOKUP($B24,$B:AT,COLUMN(AT23)-1,FALSE)&lt;&gt;0,"Strange",0))</f>
        <v>0</v>
      </c>
      <c r="BW24" s="2">
        <f>IF(VLOOKUP($B24,$B:AG,COLUMN(S23)-1,FALSE)&lt;&gt;0,VLOOKUP($B24,$B:AU,COLUMN(AU23)-1,FALSE)/VLOOKUP($B24,$B:AG,COLUMN(S23)-1,FALSE),IF(VLOOKUP($B24,$B:AU,COLUMN(AU23)-1,FALSE)&lt;&gt;0,"Strange",0))</f>
        <v>0</v>
      </c>
      <c r="BX24" s="2">
        <f>IF(VLOOKUP($B24,$B:AH,COLUMN(T23)-1,FALSE)&lt;&gt;0,VLOOKUP($B24,$B:AV,COLUMN(AV23)-1,FALSE)/VLOOKUP($B24,$B:AH,COLUMN(T23)-1,FALSE),IF(VLOOKUP($B24,$B:AV,COLUMN(AV23)-1,FALSE)&lt;&gt;0,"Strange",0))</f>
        <v>0</v>
      </c>
      <c r="BY24" s="471"/>
      <c r="BZ24" s="2">
        <f>SUMIFS('Bilateral Assistance, MAIN DATA'!$M:$M,'Bilateral Assistance, MAIN DATA'!$B:$B,'Share, Heavy Weapons to Ukraine'!$B24,'Bilateral Assistance, MAIN DATA'!$AO:$AO,'Share, Heavy Weapons to Ukraine'!BZ$11, 'Bilateral Assistance, MAIN DATA'!$AA:$AA,1)</f>
        <v>0</v>
      </c>
      <c r="CA24" s="2">
        <f>SUMIFS('Bilateral Assistance, MAIN DATA'!$M:$M,'Bilateral Assistance, MAIN DATA'!$B:$B,'Share, Heavy Weapons to Ukraine'!$B24,'Bilateral Assistance, MAIN DATA'!$AO:$AO,'Share, Heavy Weapons to Ukraine'!CA$11, 'Bilateral Assistance, MAIN DATA'!$AA:$AA,1)</f>
        <v>0</v>
      </c>
      <c r="CB24" s="2">
        <f>SUMIFS('Bilateral Assistance, MAIN DATA'!$M:$M,'Bilateral Assistance, MAIN DATA'!$B:$B,'Share, Heavy Weapons to Ukraine'!$B24,'Bilateral Assistance, MAIN DATA'!$AO:$AO,'Share, Heavy Weapons to Ukraine'!CB$11, 'Bilateral Assistance, MAIN DATA'!$AA:$AA,1)</f>
        <v>0</v>
      </c>
      <c r="CC24" s="2">
        <f>SUMIFS('Bilateral Assistance, MAIN DATA'!$M:$M,'Bilateral Assistance, MAIN DATA'!$B:$B,'Share, Heavy Weapons to Ukraine'!$B24,'Bilateral Assistance, MAIN DATA'!$AO:$AO,'Share, Heavy Weapons to Ukraine'!CC$11, 'Bilateral Assistance, MAIN DATA'!$AA:$AA,1)</f>
        <v>0</v>
      </c>
      <c r="CD24" s="471"/>
      <c r="CE24" s="2">
        <f>SUMIFS('Bilateral Assistance, MAIN DATA'!$N:$N,'Bilateral Assistance, MAIN DATA'!$B:$B,'Share, Heavy Weapons to Ukraine'!$B24,'Bilateral Assistance, MAIN DATA'!$AO:$AO,'Share, Heavy Weapons to Ukraine'!CE$11, 'Bilateral Assistance, MAIN DATA'!$AA:$AA,1)</f>
        <v>0</v>
      </c>
      <c r="CF24" s="2">
        <f>SUMIFS('Bilateral Assistance, MAIN DATA'!$N:$N,'Bilateral Assistance, MAIN DATA'!$B:$B,'Share, Heavy Weapons to Ukraine'!$B24,'Bilateral Assistance, MAIN DATA'!$AO:$AO,'Share, Heavy Weapons to Ukraine'!CF$11, 'Bilateral Assistance, MAIN DATA'!$AA:$AA,1)</f>
        <v>0</v>
      </c>
      <c r="CG24" s="2">
        <f>SUMIFS('Bilateral Assistance, MAIN DATA'!$N:$N,'Bilateral Assistance, MAIN DATA'!$B:$B,'Share, Heavy Weapons to Ukraine'!$B24,'Bilateral Assistance, MAIN DATA'!$AO:$AO,'Share, Heavy Weapons to Ukraine'!CG$11, 'Bilateral Assistance, MAIN DATA'!$AA:$AA,1)</f>
        <v>0</v>
      </c>
      <c r="CH24" s="2">
        <f>SUMIFS('Bilateral Assistance, MAIN DATA'!$N:$N,'Bilateral Assistance, MAIN DATA'!$B:$B,'Share, Heavy Weapons to Ukraine'!$B24,'Bilateral Assistance, MAIN DATA'!$AO:$AO,'Share, Heavy Weapons to Ukraine'!CH$11, 'Bilateral Assistance, MAIN DATA'!$AA:$AA,1)</f>
        <v>0</v>
      </c>
    </row>
    <row r="25" spans="2:86" ht="15.6" x14ac:dyDescent="0.3">
      <c r="B25" s="470" t="s">
        <v>1606</v>
      </c>
      <c r="C25" s="470">
        <v>0</v>
      </c>
      <c r="D25" s="2">
        <v>1</v>
      </c>
      <c r="E25" s="471"/>
      <c r="F25" s="472">
        <v>7.73</v>
      </c>
      <c r="G25" s="470">
        <f>VLOOKUP(B25,'Heavy Weapon Stocks'!B:OE,COLUMN('Heavy Weapon Stocks'!$C$11)-1,FALSE)</f>
        <v>1411</v>
      </c>
      <c r="H25" s="470">
        <f>VLOOKUP(B25,'Heavy Weapon Stocks'!B:OE,COLUMN('Heavy Weapon Stocks'!$AT$11)-1,FALSE)</f>
        <v>2130</v>
      </c>
      <c r="I25" s="470">
        <f>VLOOKUP(B25,'Heavy Weapon Stocks'!B:OE,COLUMN('Heavy Weapon Stocks'!$DN$11)-1,FALSE)</f>
        <v>0</v>
      </c>
      <c r="J25" s="470">
        <f>VLOOKUP(B25,'Heavy Weapon Stocks'!B:OE,COLUMN('Heavy Weapon Stocks'!$EB$11)-1,FALSE)</f>
        <v>0</v>
      </c>
      <c r="K25" s="470">
        <f>VLOOKUP(B25,'Heavy Weapon Stocks'!B:OE,COLUMN('Heavy Weapon Stocks'!$FD$11)-1,FALSE)</f>
        <v>169</v>
      </c>
      <c r="L25" s="470">
        <f t="shared" si="3"/>
        <v>2299</v>
      </c>
      <c r="M25" s="470">
        <f>VLOOKUP(B25,'Heavy Weapon Stocks'!B:OE,COLUMN('Heavy Weapon Stocks'!$GZ$11)-1,FALSE)+VLOOKUP(B25,'Heavy Weapon Stocks'!B:OE,COLUMN('Heavy Weapon Stocks'!$IF$11)-1,FALSE)</f>
        <v>672</v>
      </c>
      <c r="N25" s="470">
        <f>VLOOKUP(B25,'Heavy Weapon Stocks'!B:OE,COLUMN('Heavy Weapon Stocks'!$IK$11)-1,FALSE)</f>
        <v>145</v>
      </c>
      <c r="O25" s="470">
        <f>VLOOKUP(B25,'Heavy Weapon Stocks'!B:OE,COLUMN('Heavy Weapon Stocks'!$JE$11)-1,FALSE)+VLOOKUP(B25,'Heavy Weapon Stocks'!B:OE,COLUMN('Heavy Weapon Stocks'!$KB$11)-1,FALSE)</f>
        <v>0</v>
      </c>
      <c r="Q25" s="470">
        <f>VLOOKUP(B25,'Heavy Weapon Stocks'!B:OE,COLUMN('Heavy Weapon Stocks'!$LS$11)-1,FALSE)</f>
        <v>48</v>
      </c>
      <c r="R25" s="470">
        <f>VLOOKUP(B25,'Heavy Weapon Stocks'!B:OE,COLUMN('Heavy Weapon Stocks'!$MC$11)-1,FALSE)</f>
        <v>42</v>
      </c>
      <c r="S25" s="470">
        <f>VLOOKUP(B25,'Heavy Weapon Stocks'!B:OE,COLUMN('Heavy Weapon Stocks'!$MJ$11)-1,FALSE)</f>
        <v>34</v>
      </c>
      <c r="T25" s="470">
        <f>VLOOKUP(B25,'Heavy Weapon Stocks'!B:OE,COLUMN('Heavy Weapon Stocks'!$NO$11)-1,FALSE)</f>
        <v>112</v>
      </c>
      <c r="U25" s="471"/>
      <c r="V25" s="2">
        <f>SUMIFS('Bilateral Assistance, MAIN DATA'!$M:$M,'Bilateral Assistance, MAIN DATA'!$B:$B,'Share, Heavy Weapons to Ukraine'!$B25,'Bilateral Assistance, MAIN DATA'!$AO:$AO,'Share, Heavy Weapons to Ukraine'!V$11)</f>
        <v>0</v>
      </c>
      <c r="W25" s="2">
        <f>SUMIFS('Bilateral Assistance, MAIN DATA'!$M:$M,'Bilateral Assistance, MAIN DATA'!$B:$B,'Share, Heavy Weapons to Ukraine'!$B25,'Bilateral Assistance, MAIN DATA'!$AO:$AO,'Share, Heavy Weapons to Ukraine'!W$11)</f>
        <v>0</v>
      </c>
      <c r="X25" s="2">
        <f>SUMIFS('Bilateral Assistance, MAIN DATA'!$M:$M,'Bilateral Assistance, MAIN DATA'!$B:$B,'Share, Heavy Weapons to Ukraine'!$B25,'Bilateral Assistance, MAIN DATA'!$AO:$AO,'Share, Heavy Weapons to Ukraine'!X$11)</f>
        <v>0</v>
      </c>
      <c r="Y25" s="2">
        <f>SUMIFS('Bilateral Assistance, MAIN DATA'!$M:$M,'Bilateral Assistance, MAIN DATA'!$B:$B,'Share, Heavy Weapons to Ukraine'!$B25,'Bilateral Assistance, MAIN DATA'!$AO:$AO,'Share, Heavy Weapons to Ukraine'!Y$11)</f>
        <v>0</v>
      </c>
      <c r="Z25" s="2">
        <f>SUMIFS('Bilateral Assistance, MAIN DATA'!$M:$M,'Bilateral Assistance, MAIN DATA'!$B:$B,'Share, Heavy Weapons to Ukraine'!$B25,'Bilateral Assistance, MAIN DATA'!$AO:$AO,'Share, Heavy Weapons to Ukraine'!Z$11)</f>
        <v>40</v>
      </c>
      <c r="AA25" s="2">
        <f t="shared" si="1"/>
        <v>40</v>
      </c>
      <c r="AB25" s="2">
        <f>SUMIFS('Bilateral Assistance, MAIN DATA'!$M:$M,'Bilateral Assistance, MAIN DATA'!$B:$B,'Share, Heavy Weapons to Ukraine'!$B25,'Bilateral Assistance, MAIN DATA'!$AO:$AO,'Share, Heavy Weapons to Ukraine'!AB$11)</f>
        <v>0</v>
      </c>
      <c r="AC25" s="25">
        <f>SUMIFS('Bilateral Assistance, MAIN DATA'!$M:$M,'Bilateral Assistance, MAIN DATA'!$B:$B,'Share, Heavy Weapons to Ukraine'!$B25,'Bilateral Assistance, MAIN DATA'!$AO:$AO,"122mm MLRS")+SUMIFS('Bilateral Assistance, MAIN DATA'!$M:$M,'Bilateral Assistance, MAIN DATA'!$B:$B,'Share, Heavy Weapons to Ukraine'!$B25,'Bilateral Assistance, MAIN DATA'!$AO:$AO,"127mm MLRS")+SUMIFS('Bilateral Assistance, MAIN DATA'!$M:$M,'Bilateral Assistance, MAIN DATA'!$B:$B,'Share, Heavy Weapons to Ukraine'!$B25,'Bilateral Assistance, MAIN DATA'!$AO:$AO,"227mm MLRS")</f>
        <v>0</v>
      </c>
      <c r="AD25" s="2">
        <f>SUMIFS('Bilateral Assistance, MAIN DATA'!$M:$M,'Bilateral Assistance, MAIN DATA'!$B:$B,'Share, Heavy Weapons to Ukraine'!$B25,'Bilateral Assistance, MAIN DATA'!$AO:$AO,'Share, Heavy Weapons to Ukraine'!AD$11)</f>
        <v>0</v>
      </c>
      <c r="AE25" s="2">
        <f>SUMIFS('Bilateral Assistance, MAIN DATA'!$M:$M,'Bilateral Assistance, MAIN DATA'!$B:$B,'Share, Heavy Weapons to Ukraine'!$B25,'Bilateral Assistance, MAIN DATA'!$AO:$AO,'Share, Heavy Weapons to Ukraine'!AE$11)</f>
        <v>0</v>
      </c>
      <c r="AF25" s="2">
        <f>SUMIFS('Bilateral Assistance, MAIN DATA'!$M:$M,'Bilateral Assistance, MAIN DATA'!$B:$B,'Share, Heavy Weapons to Ukraine'!$B25,'Bilateral Assistance, MAIN DATA'!$AO:$AO,'Share, Heavy Weapons to Ukraine'!AF$11)</f>
        <v>0</v>
      </c>
      <c r="AG25" s="2">
        <f>SUMIFS('Bilateral Assistance, MAIN DATA'!$M:$M,'Bilateral Assistance, MAIN DATA'!$B:$B,'Share, Heavy Weapons to Ukraine'!$B25,'Bilateral Assistance, MAIN DATA'!$AO:$AO,'Share, Heavy Weapons to Ukraine'!AG$11)</f>
        <v>0</v>
      </c>
      <c r="AH25" s="2">
        <f>SUMIFS('Bilateral Assistance, MAIN DATA'!$M:$M,'Bilateral Assistance, MAIN DATA'!$B:$B,'Share, Heavy Weapons to Ukraine'!$B25,'Bilateral Assistance, MAIN DATA'!$AO:$AO,'Share, Heavy Weapons to Ukraine'!AH$11)</f>
        <v>0</v>
      </c>
      <c r="AI25" s="471"/>
      <c r="AJ25" s="2">
        <f>SUMIFS('Bilateral Assistance, MAIN DATA'!$N:$N,'Bilateral Assistance, MAIN DATA'!$B:$B,'Share, Heavy Weapons to Ukraine'!$B25,'Bilateral Assistance, MAIN DATA'!$AO:$AO,'Share, Heavy Weapons to Ukraine'!AJ$11)</f>
        <v>0</v>
      </c>
      <c r="AK25" s="2">
        <f>SUMIFS('Bilateral Assistance, MAIN DATA'!$N:$N,'Bilateral Assistance, MAIN DATA'!$B:$B,'Share, Heavy Weapons to Ukraine'!$B25,'Bilateral Assistance, MAIN DATA'!$AO:$AO,'Share, Heavy Weapons to Ukraine'!AK$11)</f>
        <v>0</v>
      </c>
      <c r="AL25" s="2">
        <f>SUMIFS('Bilateral Assistance, MAIN DATA'!$N:$N,'Bilateral Assistance, MAIN DATA'!$B:$B,'Share, Heavy Weapons to Ukraine'!$B25,'Bilateral Assistance, MAIN DATA'!$AO:$AO,'Share, Heavy Weapons to Ukraine'!AL$11)</f>
        <v>0</v>
      </c>
      <c r="AM25" s="2">
        <f>SUMIFS('Bilateral Assistance, MAIN DATA'!$N:$N,'Bilateral Assistance, MAIN DATA'!$B:$B,'Share, Heavy Weapons to Ukraine'!$B25,'Bilateral Assistance, MAIN DATA'!$AO:$AO,'Share, Heavy Weapons to Ukraine'!AM$11)</f>
        <v>0</v>
      </c>
      <c r="AN25" s="2">
        <f>SUMIFS('Bilateral Assistance, MAIN DATA'!$N:$N,'Bilateral Assistance, MAIN DATA'!$B:$B,'Share, Heavy Weapons to Ukraine'!$B25,'Bilateral Assistance, MAIN DATA'!$AO:$AO,'Share, Heavy Weapons to Ukraine'!AN$11)</f>
        <v>40</v>
      </c>
      <c r="AO25" s="2">
        <f t="shared" si="2"/>
        <v>40</v>
      </c>
      <c r="AP25" s="2">
        <f>SUMIFS('Bilateral Assistance, MAIN DATA'!$N:$N,'Bilateral Assistance, MAIN DATA'!$B:$B,'Share, Heavy Weapons to Ukraine'!$B25,'Bilateral Assistance, MAIN DATA'!$AO:$AO,'Share, Heavy Weapons to Ukraine'!AP$11)</f>
        <v>0</v>
      </c>
      <c r="AQ25" s="25">
        <f>SUMIFS('Bilateral Assistance, MAIN DATA'!$N:$N,'Bilateral Assistance, MAIN DATA'!$B:$B,'Share, Heavy Weapons to Ukraine'!$B25,'Bilateral Assistance, MAIN DATA'!$AO:$AO,"122mm MLRS")+SUMIFS('Bilateral Assistance, MAIN DATA'!$N:$N,'Bilateral Assistance, MAIN DATA'!$B:$B,'Share, Heavy Weapons to Ukraine'!$B25,'Bilateral Assistance, MAIN DATA'!$AO:$AO,"127mm MLRS")+SUMIFS('Bilateral Assistance, MAIN DATA'!$N:$N,'Bilateral Assistance, MAIN DATA'!$B:$B,'Share, Heavy Weapons to Ukraine'!$B25,'Bilateral Assistance, MAIN DATA'!$AO:$AO,"227mm MLRS")</f>
        <v>0</v>
      </c>
      <c r="AR25" s="2">
        <f>SUMIFS('Bilateral Assistance, MAIN DATA'!$N:$N,'Bilateral Assistance, MAIN DATA'!$B:$B,'Share, Heavy Weapons to Ukraine'!$B25,'Bilateral Assistance, MAIN DATA'!$AO:$AO,'Share, Heavy Weapons to Ukraine'!AR$11)</f>
        <v>0</v>
      </c>
      <c r="AS25" s="2">
        <f>SUMIFS('Bilateral Assistance, MAIN DATA'!$N:$N,'Bilateral Assistance, MAIN DATA'!$B:$B,'Share, Heavy Weapons to Ukraine'!$B25,'Bilateral Assistance, MAIN DATA'!$AO:$AO,'Share, Heavy Weapons to Ukraine'!AS$11)</f>
        <v>0</v>
      </c>
      <c r="AT25" s="2">
        <f>SUMIFS('Bilateral Assistance, MAIN DATA'!$N:$N,'Bilateral Assistance, MAIN DATA'!$B:$B,'Share, Heavy Weapons to Ukraine'!$B25,'Bilateral Assistance, MAIN DATA'!$AO:$AO,'Share, Heavy Weapons to Ukraine'!AT$11)</f>
        <v>0</v>
      </c>
      <c r="AU25" s="2">
        <f>SUMIFS('Bilateral Assistance, MAIN DATA'!$N:$N,'Bilateral Assistance, MAIN DATA'!$B:$B,'Share, Heavy Weapons to Ukraine'!$B25,'Bilateral Assistance, MAIN DATA'!$AO:$AO,'Share, Heavy Weapons to Ukraine'!AU$11)</f>
        <v>0</v>
      </c>
      <c r="AV25" s="2">
        <f>SUMIFS('Bilateral Assistance, MAIN DATA'!$N:$N,'Bilateral Assistance, MAIN DATA'!$B:$B,'Share, Heavy Weapons to Ukraine'!$B25,'Bilateral Assistance, MAIN DATA'!$AO:$AO,'Share, Heavy Weapons to Ukraine'!AV$11)</f>
        <v>0</v>
      </c>
      <c r="AW25" s="471"/>
      <c r="AX25" s="292">
        <f>IF(VLOOKUP($B25,$B:G,COLUMN(G24)-1,FALSE)&lt;&gt;0,VLOOKUP($B25,$B:V,COLUMN(V24)-1,FALSE)/VLOOKUP($B25,$B:G,COLUMN(G24)-1,FALSE),IF(VLOOKUP($B25,$B:V,COLUMN(V24)-1,FALSE)&lt;&gt;0,"Strange",0))</f>
        <v>0</v>
      </c>
      <c r="AY25" s="292">
        <f>IF(VLOOKUP($B25,$B:H,COLUMN(H24)-1,FALSE)&lt;&gt;0,VLOOKUP($B25,$B:W,COLUMN(W24)-1,FALSE)/VLOOKUP($B25,$B:H,COLUMN(H24)-1,FALSE),IF(VLOOKUP($B25,$B:W,COLUMN(W24)-1,FALSE)&lt;&gt;0,"Strange",0))</f>
        <v>0</v>
      </c>
      <c r="AZ25" s="292">
        <f>IF(VLOOKUP($B25,$B:I,COLUMN(I24)-1,FALSE)&lt;&gt;0,VLOOKUP($B25,$B:X,COLUMN(X24)-1,FALSE)/VLOOKUP($B25,$B:I,COLUMN(I24)-1,FALSE),IF(VLOOKUP($B25,$B:X,COLUMN(X24)-1,FALSE)&lt;&gt;0,"Strange",0))</f>
        <v>0</v>
      </c>
      <c r="BA25" s="292">
        <f>IF(VLOOKUP($B25,$B:J,COLUMN(J24)-1,FALSE)&lt;&gt;0,VLOOKUP($B25,$B:Y,COLUMN(Y24)-1,FALSE)/VLOOKUP($B25,$B:J,COLUMN(J24)-1,FALSE),IF(VLOOKUP($B25,$B:Y,COLUMN(Y24)-1,FALSE)&lt;&gt;0,"Strange",0))</f>
        <v>0</v>
      </c>
      <c r="BB25" s="292">
        <f>IF(VLOOKUP($B25,$B:K,COLUMN(K24)-1,FALSE)&lt;&gt;0,VLOOKUP($B25,$B:Z,COLUMN(Z24)-1,FALSE)/VLOOKUP($B25,$B:K,COLUMN(K24)-1,FALSE),IF(VLOOKUP($B25,$B:Z,COLUMN(Z24)-1,FALSE)&lt;&gt;0,"Strange",0))</f>
        <v>0.23668639053254437</v>
      </c>
      <c r="BC25" s="292">
        <f>IF(VLOOKUP($B25,$B:L,COLUMN(L24)-1,FALSE)&lt;&gt;0,VLOOKUP($B25,$B:AA,COLUMN(AA24)-1,FALSE)/VLOOKUP($B25,$B:L,COLUMN(L24)-1,FALSE),IF(VLOOKUP($B25,$B:AA,COLUMN(AA24)-1,FALSE)&lt;&gt;0,"Strange",0))</f>
        <v>1.7398869073510223E-2</v>
      </c>
      <c r="BD25" s="292">
        <f>IF(VLOOKUP($B25,$B:M,COLUMN(M24)-1,FALSE)&lt;&gt;0,VLOOKUP($B25,$B:AB,COLUMN(AB24)-1,FALSE)/VLOOKUP($B25,$B:M,COLUMN(M24)-1,FALSE),IF(VLOOKUP($B25,$B:AB,COLUMN(AB24)-1,FALSE)&lt;&gt;0,"Strange",0))</f>
        <v>0</v>
      </c>
      <c r="BE25" s="292">
        <f>IF(VLOOKUP($B25,$B:N,COLUMN(N24)-1,FALSE)&lt;&gt;0,VLOOKUP($B25,$B:AC,COLUMN(AC24)-1,FALSE)/VLOOKUP($B25,$B:N,COLUMN(N24)-1,FALSE),IF(VLOOKUP($B25,$B:AC,COLUMN(AC24)-1,FALSE)&lt;&gt;0,"Strange",0))</f>
        <v>0</v>
      </c>
      <c r="BF25" s="292">
        <f>IF(VLOOKUP($B25,$B:O,COLUMN(O24)-1,FALSE)&lt;&gt;0,VLOOKUP($B25,$B:AD,COLUMN(AD24)-1,FALSE)/VLOOKUP($B25,$B:O,COLUMN(O24)-1,FALSE),IF(VLOOKUP($B25,$B:AD,COLUMN(AD24)-1,FALSE)&lt;&gt;0,"Strange",0))</f>
        <v>0</v>
      </c>
      <c r="BG25" s="292">
        <f>IF(VLOOKUP($B25,$B:Q,COLUMN(Q24)-1,FALSE)&lt;&gt;0,VLOOKUP($B25,$B:AE,COLUMN(AE24)-1,FALSE)/VLOOKUP($B25,$B:Q,COLUMN(Q24)-1,FALSE),IF(VLOOKUP($B25,$B:AE,COLUMN(AE24)-1,FALSE)&lt;&gt;0,"Strange",0))</f>
        <v>0</v>
      </c>
      <c r="BH25" s="292">
        <f>IF(VLOOKUP($B25,$B:R,COLUMN(R24)-1,FALSE)&lt;&gt;0,VLOOKUP($B25,$B:AF,COLUMN(AF24)-1,FALSE)/VLOOKUP($B25,$B:R,COLUMN(R24)-1,FALSE),IF(VLOOKUP($B25,$B:AF,COLUMN(AF24)-1,FALSE)&lt;&gt;0,"Strange",0))</f>
        <v>0</v>
      </c>
      <c r="BI25" s="292">
        <f>IF(VLOOKUP($B25,$B:S,COLUMN(S24)-1,FALSE)&lt;&gt;0,VLOOKUP($B25,$B:AG,COLUMN(AG24)-1,FALSE)/VLOOKUP($B25,$B:S,COLUMN(S24)-1,FALSE),IF(VLOOKUP($B25,$B:AG,COLUMN(AG24)-1,FALSE)&lt;&gt;0,"Strange",0))</f>
        <v>0</v>
      </c>
      <c r="BJ25" s="292">
        <f>IF(VLOOKUP($B25,$B:T,COLUMN(T24)-1,FALSE)&lt;&gt;0,VLOOKUP($B25,$B:AH,COLUMN(AH24)-1,FALSE)/VLOOKUP($B25,$B:T,COLUMN(T24)-1,FALSE),IF(VLOOKUP($B25,$B:AH,COLUMN(AH24)-1,FALSE)&lt;&gt;0,"Strange",0))</f>
        <v>0</v>
      </c>
      <c r="BK25" s="471"/>
      <c r="BL25" s="2">
        <f>IF(VLOOKUP($B25,$B:W,COLUMN(G24)-1,FALSE)&lt;&gt;0,VLOOKUP($B25,$B:AK,COLUMN(AJ24)-1,FALSE)/VLOOKUP($B25,$B:W,COLUMN(G24)-1,FALSE),IF(VLOOKUP($B25,$B:AK,COLUMN(AJ24)-1,FALSE)&lt;&gt;0,"Strange",0))</f>
        <v>0</v>
      </c>
      <c r="BM25" s="2">
        <f>IF(VLOOKUP($B25,$B:X,COLUMN(H24)-1,FALSE)&lt;&gt;0,VLOOKUP($B25,$B:AL,COLUMN(AK24)-1,FALSE)/VLOOKUP($B25,$B:X,COLUMN(H24)-1,FALSE),IF(VLOOKUP($B25,$B:AL,COLUMN(AK24)-1,FALSE)&lt;&gt;0,"Strange",0))</f>
        <v>0</v>
      </c>
      <c r="BN25" s="2">
        <f>IF(VLOOKUP($B25,$B:Y,COLUMN(I24)-1,FALSE)&lt;&gt;0,VLOOKUP($B25,$B:AM,COLUMN(AL24)-1,FALSE)/VLOOKUP($B25,$B:Y,COLUMN(I24)-1,FALSE),IF(VLOOKUP($B25,$B:AM,COLUMN(AL24)-1,FALSE)&lt;&gt;0,"Strange",0))</f>
        <v>0</v>
      </c>
      <c r="BO25" s="2">
        <f>IF(VLOOKUP($B25,$B:Z,COLUMN(J24)-1,FALSE)&lt;&gt;0,VLOOKUP($B25,$B:AN,COLUMN(AM24)-1,FALSE)/VLOOKUP($B25,$B:Z,COLUMN(J24)-1,FALSE),IF(VLOOKUP($B25,$B:AN,COLUMN(AM24)-1,FALSE)&lt;&gt;0,"Strange",0))</f>
        <v>0</v>
      </c>
      <c r="BP25" s="2">
        <f>IF(VLOOKUP($B25,$B:AB,COLUMN(K24)-1,FALSE)&lt;&gt;0,VLOOKUP($B25,$B:AP,COLUMN(AN24)-1,FALSE)/VLOOKUP($B25,$B:AB,COLUMN(K24)-1,FALSE),IF(VLOOKUP($B25,$B:AP,COLUMN(AN24)-1,FALSE)&lt;&gt;0,"Strange",0))</f>
        <v>0.23668639053254437</v>
      </c>
      <c r="BQ25" s="2">
        <f>IF(VLOOKUP($B25,$B:AC,COLUMN(L24)-1,FALSE)&lt;&gt;0,VLOOKUP($B25,$B:AQ,COLUMN(AO24)-1,FALSE)/VLOOKUP($B25,$B:AC,COLUMN(L24)-1,FALSE),IF(VLOOKUP($B25,$B:AQ,COLUMN(AO24)-1,FALSE)&lt;&gt;0,"Strange",0))</f>
        <v>1.7398869073510223E-2</v>
      </c>
      <c r="BR25" s="2">
        <f>IF(VLOOKUP($B25,$B:AC,COLUMN(M24)-1,FALSE)&lt;&gt;0,VLOOKUP($B25,$B:AQ,COLUMN(AP24)-1,FALSE)/VLOOKUP($B25,$B:AC,COLUMN(M24)-1,FALSE),IF(VLOOKUP($B25,$B:AQ,COLUMN(AP24)-1,FALSE)&lt;&gt;0,"Strange",0))</f>
        <v>0</v>
      </c>
      <c r="BS25" s="2">
        <f>IF(VLOOKUP($B25,$B:AD,COLUMN(N24)-1,FALSE)&lt;&gt;0,VLOOKUP($B25,$B:AR,COLUMN(AQ24)-1,FALSE)/VLOOKUP($B25,$B:AD,COLUMN(N24)-1,FALSE),IF(VLOOKUP($B25,$B:AR,COLUMN(AQ24)-1,FALSE)&lt;&gt;0,"Strange",0))</f>
        <v>0</v>
      </c>
      <c r="BT25" s="2">
        <f>IF(VLOOKUP($B25,$B:AD,COLUMN(O24)-1,FALSE)&lt;&gt;0,VLOOKUP($B25,$B:AR,COLUMN(AR24)-1,FALSE)/VLOOKUP($B25,$B:AD,COLUMN(O24)-1,FALSE),IF(VLOOKUP($B25,$B:AR,COLUMN(AR24)-1,FALSE)&lt;&gt;0,"Strange",0))</f>
        <v>0</v>
      </c>
      <c r="BU25" s="2">
        <f>IF(VLOOKUP($B25,$B:AE,COLUMN(Q24)-1,FALSE)&lt;&gt;0,VLOOKUP($B25,$B:AS,COLUMN(AS24)-1,FALSE)/VLOOKUP($B25,$B:AE,COLUMN(Q24)-1,FALSE),IF(VLOOKUP($B25,$B:AS,COLUMN(AS24)-1,FALSE)&lt;&gt;0,"Strange",0))</f>
        <v>0</v>
      </c>
      <c r="BV25" s="2">
        <f>IF(VLOOKUP($B25,$B:AF,COLUMN(R24)-1,FALSE)&lt;&gt;0,VLOOKUP($B25,$B:AT,COLUMN(AT24)-1,FALSE)/VLOOKUP($B25,$B:AF,COLUMN(R24)-1,FALSE),IF(VLOOKUP($B25,$B:AT,COLUMN(AT24)-1,FALSE)&lt;&gt;0,"Strange",0))</f>
        <v>0</v>
      </c>
      <c r="BW25" s="2">
        <f>IF(VLOOKUP($B25,$B:AG,COLUMN(S24)-1,FALSE)&lt;&gt;0,VLOOKUP($B25,$B:AU,COLUMN(AU24)-1,FALSE)/VLOOKUP($B25,$B:AG,COLUMN(S24)-1,FALSE),IF(VLOOKUP($B25,$B:AU,COLUMN(AU24)-1,FALSE)&lt;&gt;0,"Strange",0))</f>
        <v>0</v>
      </c>
      <c r="BX25" s="2">
        <f>IF(VLOOKUP($B25,$B:AH,COLUMN(T24)-1,FALSE)&lt;&gt;0,VLOOKUP($B25,$B:AV,COLUMN(AV24)-1,FALSE)/VLOOKUP($B25,$B:AH,COLUMN(T24)-1,FALSE),IF(VLOOKUP($B25,$B:AV,COLUMN(AV24)-1,FALSE)&lt;&gt;0,"Strange",0))</f>
        <v>0</v>
      </c>
      <c r="BY25" s="471"/>
      <c r="BZ25" s="2">
        <f>SUMIFS('Bilateral Assistance, MAIN DATA'!$M:$M,'Bilateral Assistance, MAIN DATA'!$B:$B,'Share, Heavy Weapons to Ukraine'!$B25,'Bilateral Assistance, MAIN DATA'!$AO:$AO,'Share, Heavy Weapons to Ukraine'!BZ$11, 'Bilateral Assistance, MAIN DATA'!$AA:$AA,1)</f>
        <v>0</v>
      </c>
      <c r="CA25" s="2">
        <f>SUMIFS('Bilateral Assistance, MAIN DATA'!$M:$M,'Bilateral Assistance, MAIN DATA'!$B:$B,'Share, Heavy Weapons to Ukraine'!$B25,'Bilateral Assistance, MAIN DATA'!$AO:$AO,'Share, Heavy Weapons to Ukraine'!CA$11, 'Bilateral Assistance, MAIN DATA'!$AA:$AA,1)</f>
        <v>0</v>
      </c>
      <c r="CB25" s="2">
        <f>SUMIFS('Bilateral Assistance, MAIN DATA'!$M:$M,'Bilateral Assistance, MAIN DATA'!$B:$B,'Share, Heavy Weapons to Ukraine'!$B25,'Bilateral Assistance, MAIN DATA'!$AO:$AO,'Share, Heavy Weapons to Ukraine'!CB$11, 'Bilateral Assistance, MAIN DATA'!$AA:$AA,1)</f>
        <v>0</v>
      </c>
      <c r="CC25" s="2">
        <f>SUMIFS('Bilateral Assistance, MAIN DATA'!$M:$M,'Bilateral Assistance, MAIN DATA'!$B:$B,'Share, Heavy Weapons to Ukraine'!$B25,'Bilateral Assistance, MAIN DATA'!$AO:$AO,'Share, Heavy Weapons to Ukraine'!CC$11, 'Bilateral Assistance, MAIN DATA'!$AA:$AA,1)</f>
        <v>0</v>
      </c>
      <c r="CD25" s="471"/>
      <c r="CE25" s="2">
        <f>SUMIFS('Bilateral Assistance, MAIN DATA'!$N:$N,'Bilateral Assistance, MAIN DATA'!$B:$B,'Share, Heavy Weapons to Ukraine'!$B25,'Bilateral Assistance, MAIN DATA'!$AO:$AO,'Share, Heavy Weapons to Ukraine'!CE$11, 'Bilateral Assistance, MAIN DATA'!$AA:$AA,1)</f>
        <v>0</v>
      </c>
      <c r="CF25" s="2">
        <f>SUMIFS('Bilateral Assistance, MAIN DATA'!$N:$N,'Bilateral Assistance, MAIN DATA'!$B:$B,'Share, Heavy Weapons to Ukraine'!$B25,'Bilateral Assistance, MAIN DATA'!$AO:$AO,'Share, Heavy Weapons to Ukraine'!CF$11, 'Bilateral Assistance, MAIN DATA'!$AA:$AA,1)</f>
        <v>0</v>
      </c>
      <c r="CG25" s="2">
        <f>SUMIFS('Bilateral Assistance, MAIN DATA'!$N:$N,'Bilateral Assistance, MAIN DATA'!$B:$B,'Share, Heavy Weapons to Ukraine'!$B25,'Bilateral Assistance, MAIN DATA'!$AO:$AO,'Share, Heavy Weapons to Ukraine'!CG$11, 'Bilateral Assistance, MAIN DATA'!$AA:$AA,1)</f>
        <v>0</v>
      </c>
      <c r="CH25" s="2">
        <f>SUMIFS('Bilateral Assistance, MAIN DATA'!$N:$N,'Bilateral Assistance, MAIN DATA'!$B:$B,'Share, Heavy Weapons to Ukraine'!$B25,'Bilateral Assistance, MAIN DATA'!$AO:$AO,'Share, Heavy Weapons to Ukraine'!CH$11, 'Bilateral Assistance, MAIN DATA'!$AA:$AA,1)</f>
        <v>0</v>
      </c>
    </row>
    <row r="26" spans="2:86" ht="15.6" x14ac:dyDescent="0.3">
      <c r="B26" s="470" t="s">
        <v>2206</v>
      </c>
      <c r="C26" s="470">
        <v>1</v>
      </c>
      <c r="D26" s="2">
        <v>0</v>
      </c>
      <c r="E26" s="471"/>
      <c r="F26" s="472">
        <v>7.46</v>
      </c>
      <c r="G26" s="470">
        <f>VLOOKUP(B26,'Heavy Weapon Stocks'!B:OE,COLUMN('Heavy Weapon Stocks'!$C$11)-1,FALSE)</f>
        <v>104</v>
      </c>
      <c r="H26" s="470">
        <f>VLOOKUP(B26,'Heavy Weapon Stocks'!B:OE,COLUMN('Heavy Weapon Stocks'!$AT$11)-1,FALSE)</f>
        <v>390</v>
      </c>
      <c r="I26" s="470">
        <f>VLOOKUP(B26,'Heavy Weapon Stocks'!B:OE,COLUMN('Heavy Weapon Stocks'!$DN$11)-1,FALSE)</f>
        <v>0</v>
      </c>
      <c r="J26" s="470">
        <f>VLOOKUP(B26,'Heavy Weapon Stocks'!B:OE,COLUMN('Heavy Weapon Stocks'!$EB$11)-1,FALSE)</f>
        <v>190</v>
      </c>
      <c r="K26" s="470">
        <f>VLOOKUP(B26,'Heavy Weapon Stocks'!B:OE,COLUMN('Heavy Weapon Stocks'!$FD$11)-1,FALSE)</f>
        <v>91</v>
      </c>
      <c r="L26" s="470">
        <f t="shared" si="3"/>
        <v>671</v>
      </c>
      <c r="M26" s="470">
        <f>VLOOKUP(B26,'Heavy Weapon Stocks'!B:OE,COLUMN('Heavy Weapon Stocks'!$GZ$11)-1,FALSE)+VLOOKUP(B26,'Heavy Weapon Stocks'!B:OE,COLUMN('Heavy Weapon Stocks'!$IF$11)-1,FALSE)</f>
        <v>53</v>
      </c>
      <c r="N26" s="470">
        <v>12</v>
      </c>
      <c r="O26" s="470">
        <f>VLOOKUP(B26,'Heavy Weapon Stocks'!B:OE,COLUMN('Heavy Weapon Stocks'!$JE$11)-1,FALSE)+VLOOKUP(B26,'Heavy Weapon Stocks'!B:OE,COLUMN('Heavy Weapon Stocks'!$KB$11)-1,FALSE)</f>
        <v>66</v>
      </c>
      <c r="Q26" s="470">
        <f>VLOOKUP(B26,'Heavy Weapon Stocks'!B:OE,COLUMN('Heavy Weapon Stocks'!$LS$11)-1,FALSE)</f>
        <v>0</v>
      </c>
      <c r="R26" s="470">
        <f>VLOOKUP(B26,'Heavy Weapon Stocks'!B:OE,COLUMN('Heavy Weapon Stocks'!$MC$11)-1,FALSE)</f>
        <v>0</v>
      </c>
      <c r="S26" s="470">
        <f>VLOOKUP(B26,'Heavy Weapon Stocks'!B:OE,COLUMN('Heavy Weapon Stocks'!$MJ$11)-1,FALSE)</f>
        <v>39</v>
      </c>
      <c r="T26" s="470">
        <f>VLOOKUP(B26,'Heavy Weapon Stocks'!B:OE,COLUMN('Heavy Weapon Stocks'!$NO$11)-1,FALSE)</f>
        <v>0</v>
      </c>
      <c r="U26" s="471"/>
      <c r="V26" s="2">
        <f>SUMIFS('Bilateral Assistance, MAIN DATA'!$M:$M,'Bilateral Assistance, MAIN DATA'!$B:$B,'Share, Heavy Weapons to Ukraine'!$B26,'Bilateral Assistance, MAIN DATA'!$AO:$AO,'Share, Heavy Weapons to Ukraine'!V$11)</f>
        <v>0</v>
      </c>
      <c r="W26" s="2">
        <f>SUMIFS('Bilateral Assistance, MAIN DATA'!$M:$M,'Bilateral Assistance, MAIN DATA'!$B:$B,'Share, Heavy Weapons to Ukraine'!$B26,'Bilateral Assistance, MAIN DATA'!$AO:$AO,'Share, Heavy Weapons to Ukraine'!W$11)</f>
        <v>0</v>
      </c>
      <c r="X26" s="2">
        <f>SUMIFS('Bilateral Assistance, MAIN DATA'!$M:$M,'Bilateral Assistance, MAIN DATA'!$B:$B,'Share, Heavy Weapons to Ukraine'!$B26,'Bilateral Assistance, MAIN DATA'!$AO:$AO,'Share, Heavy Weapons to Ukraine'!X$11)</f>
        <v>0</v>
      </c>
      <c r="Y26" s="2">
        <f>SUMIFS('Bilateral Assistance, MAIN DATA'!$M:$M,'Bilateral Assistance, MAIN DATA'!$B:$B,'Share, Heavy Weapons to Ukraine'!$B26,'Bilateral Assistance, MAIN DATA'!$AO:$AO,'Share, Heavy Weapons to Ukraine'!Y$11)</f>
        <v>14</v>
      </c>
      <c r="Z26" s="2">
        <f>SUMIFS('Bilateral Assistance, MAIN DATA'!$M:$M,'Bilateral Assistance, MAIN DATA'!$B:$B,'Share, Heavy Weapons to Ukraine'!$B26,'Bilateral Assistance, MAIN DATA'!$AO:$AO,'Share, Heavy Weapons to Ukraine'!Z$11)</f>
        <v>0</v>
      </c>
      <c r="AA26" s="2">
        <f t="shared" si="1"/>
        <v>14</v>
      </c>
      <c r="AB26" s="2">
        <f>SUMIFS('Bilateral Assistance, MAIN DATA'!$M:$M,'Bilateral Assistance, MAIN DATA'!$B:$B,'Share, Heavy Weapons to Ukraine'!$B26,'Bilateral Assistance, MAIN DATA'!$AO:$AO,'Share, Heavy Weapons to Ukraine'!AB$11)</f>
        <v>28</v>
      </c>
      <c r="AC26" s="25">
        <f>SUMIFS('Bilateral Assistance, MAIN DATA'!$M:$M,'Bilateral Assistance, MAIN DATA'!$B:$B,'Share, Heavy Weapons to Ukraine'!$B26,'Bilateral Assistance, MAIN DATA'!$AO:$AO,"122mm MLRS")+SUMIFS('Bilateral Assistance, MAIN DATA'!$M:$M,'Bilateral Assistance, MAIN DATA'!$B:$B,'Share, Heavy Weapons to Ukraine'!$B26,'Bilateral Assistance, MAIN DATA'!$AO:$AO,"127mm MLRS")+SUMIFS('Bilateral Assistance, MAIN DATA'!$M:$M,'Bilateral Assistance, MAIN DATA'!$B:$B,'Share, Heavy Weapons to Ukraine'!$B26,'Bilateral Assistance, MAIN DATA'!$AO:$AO,"227mm MLRS")</f>
        <v>3</v>
      </c>
      <c r="AD26" s="2">
        <f>SUMIFS('Bilateral Assistance, MAIN DATA'!$M:$M,'Bilateral Assistance, MAIN DATA'!$B:$B,'Share, Heavy Weapons to Ukraine'!$B26,'Bilateral Assistance, MAIN DATA'!$AO:$AO,'Share, Heavy Weapons to Ukraine'!AD$11)</f>
        <v>0</v>
      </c>
      <c r="AE26" s="2">
        <f>SUMIFS('Bilateral Assistance, MAIN DATA'!$M:$M,'Bilateral Assistance, MAIN DATA'!$B:$B,'Share, Heavy Weapons to Ukraine'!$B26,'Bilateral Assistance, MAIN DATA'!$AO:$AO,'Share, Heavy Weapons to Ukraine'!AE$11)</f>
        <v>0</v>
      </c>
      <c r="AF26" s="2">
        <f>SUMIFS('Bilateral Assistance, MAIN DATA'!$M:$M,'Bilateral Assistance, MAIN DATA'!$B:$B,'Share, Heavy Weapons to Ukraine'!$B26,'Bilateral Assistance, MAIN DATA'!$AO:$AO,'Share, Heavy Weapons to Ukraine'!AF$11)</f>
        <v>0</v>
      </c>
      <c r="AG26" s="2">
        <f>SUMIFS('Bilateral Assistance, MAIN DATA'!$M:$M,'Bilateral Assistance, MAIN DATA'!$B:$B,'Share, Heavy Weapons to Ukraine'!$B26,'Bilateral Assistance, MAIN DATA'!$AO:$AO,'Share, Heavy Weapons to Ukraine'!AG$11)</f>
        <v>0</v>
      </c>
      <c r="AH26" s="2">
        <f>SUMIFS('Bilateral Assistance, MAIN DATA'!$M:$M,'Bilateral Assistance, MAIN DATA'!$B:$B,'Share, Heavy Weapons to Ukraine'!$B26,'Bilateral Assistance, MAIN DATA'!$AO:$AO,'Share, Heavy Weapons to Ukraine'!AH$11)</f>
        <v>0</v>
      </c>
      <c r="AI26" s="471"/>
      <c r="AJ26" s="2">
        <f>SUMIFS('Bilateral Assistance, MAIN DATA'!$N:$N,'Bilateral Assistance, MAIN DATA'!$B:$B,'Share, Heavy Weapons to Ukraine'!$B26,'Bilateral Assistance, MAIN DATA'!$AO:$AO,'Share, Heavy Weapons to Ukraine'!AJ$11)</f>
        <v>0</v>
      </c>
      <c r="AK26" s="2">
        <f>SUMIFS('Bilateral Assistance, MAIN DATA'!$N:$N,'Bilateral Assistance, MAIN DATA'!$B:$B,'Share, Heavy Weapons to Ukraine'!$B26,'Bilateral Assistance, MAIN DATA'!$AO:$AO,'Share, Heavy Weapons to Ukraine'!AK$11)</f>
        <v>0</v>
      </c>
      <c r="AL26" s="2">
        <f>SUMIFS('Bilateral Assistance, MAIN DATA'!$N:$N,'Bilateral Assistance, MAIN DATA'!$B:$B,'Share, Heavy Weapons to Ukraine'!$B26,'Bilateral Assistance, MAIN DATA'!$AO:$AO,'Share, Heavy Weapons to Ukraine'!AL$11)</f>
        <v>0</v>
      </c>
      <c r="AM26" s="2">
        <f>SUMIFS('Bilateral Assistance, MAIN DATA'!$N:$N,'Bilateral Assistance, MAIN DATA'!$B:$B,'Share, Heavy Weapons to Ukraine'!$B26,'Bilateral Assistance, MAIN DATA'!$AO:$AO,'Share, Heavy Weapons to Ukraine'!AM$11)</f>
        <v>14</v>
      </c>
      <c r="AN26" s="2">
        <f>SUMIFS('Bilateral Assistance, MAIN DATA'!$N:$N,'Bilateral Assistance, MAIN DATA'!$B:$B,'Share, Heavy Weapons to Ukraine'!$B26,'Bilateral Assistance, MAIN DATA'!$AO:$AO,'Share, Heavy Weapons to Ukraine'!AN$11)</f>
        <v>0</v>
      </c>
      <c r="AO26" s="2">
        <f t="shared" si="2"/>
        <v>14</v>
      </c>
      <c r="AP26" s="2">
        <f>SUMIFS('Bilateral Assistance, MAIN DATA'!$N:$N,'Bilateral Assistance, MAIN DATA'!$B:$B,'Share, Heavy Weapons to Ukraine'!$B26,'Bilateral Assistance, MAIN DATA'!$AO:$AO,'Share, Heavy Weapons to Ukraine'!AP$11)</f>
        <v>23</v>
      </c>
      <c r="AQ26" s="25">
        <f>SUMIFS('Bilateral Assistance, MAIN DATA'!$N:$N,'Bilateral Assistance, MAIN DATA'!$B:$B,'Share, Heavy Weapons to Ukraine'!$B26,'Bilateral Assistance, MAIN DATA'!$AO:$AO,"122mm MLRS")+SUMIFS('Bilateral Assistance, MAIN DATA'!$N:$N,'Bilateral Assistance, MAIN DATA'!$B:$B,'Share, Heavy Weapons to Ukraine'!$B26,'Bilateral Assistance, MAIN DATA'!$AO:$AO,"127mm MLRS")+SUMIFS('Bilateral Assistance, MAIN DATA'!$N:$N,'Bilateral Assistance, MAIN DATA'!$B:$B,'Share, Heavy Weapons to Ukraine'!$B26,'Bilateral Assistance, MAIN DATA'!$AO:$AO,"227mm MLRS")</f>
        <v>3</v>
      </c>
      <c r="AR26" s="2">
        <f>SUMIFS('Bilateral Assistance, MAIN DATA'!$N:$N,'Bilateral Assistance, MAIN DATA'!$B:$B,'Share, Heavy Weapons to Ukraine'!$B26,'Bilateral Assistance, MAIN DATA'!$AO:$AO,'Share, Heavy Weapons to Ukraine'!AR$11)</f>
        <v>0</v>
      </c>
      <c r="AS26" s="2">
        <f>SUMIFS('Bilateral Assistance, MAIN DATA'!$N:$N,'Bilateral Assistance, MAIN DATA'!$B:$B,'Share, Heavy Weapons to Ukraine'!$B26,'Bilateral Assistance, MAIN DATA'!$AO:$AO,'Share, Heavy Weapons to Ukraine'!AS$11)</f>
        <v>0</v>
      </c>
      <c r="AT26" s="2">
        <f>SUMIFS('Bilateral Assistance, MAIN DATA'!$N:$N,'Bilateral Assistance, MAIN DATA'!$B:$B,'Share, Heavy Weapons to Ukraine'!$B26,'Bilateral Assistance, MAIN DATA'!$AO:$AO,'Share, Heavy Weapons to Ukraine'!AT$11)</f>
        <v>0</v>
      </c>
      <c r="AU26" s="2">
        <f>SUMIFS('Bilateral Assistance, MAIN DATA'!$N:$N,'Bilateral Assistance, MAIN DATA'!$B:$B,'Share, Heavy Weapons to Ukraine'!$B26,'Bilateral Assistance, MAIN DATA'!$AO:$AO,'Share, Heavy Weapons to Ukraine'!AU$11)</f>
        <v>0</v>
      </c>
      <c r="AV26" s="2">
        <f>SUMIFS('Bilateral Assistance, MAIN DATA'!$N:$N,'Bilateral Assistance, MAIN DATA'!$B:$B,'Share, Heavy Weapons to Ukraine'!$B26,'Bilateral Assistance, MAIN DATA'!$AO:$AO,'Share, Heavy Weapons to Ukraine'!AV$11)</f>
        <v>0</v>
      </c>
      <c r="AW26" s="471"/>
      <c r="AX26" s="292">
        <f>IF(VLOOKUP($B26,$B:G,COLUMN(G25)-1,FALSE)&lt;&gt;0,VLOOKUP($B26,$B:V,COLUMN(V25)-1,FALSE)/VLOOKUP($B26,$B:G,COLUMN(G25)-1,FALSE),IF(VLOOKUP($B26,$B:V,COLUMN(V25)-1,FALSE)&lt;&gt;0,"Strange",0))</f>
        <v>0</v>
      </c>
      <c r="AY26" s="292">
        <f>IF(VLOOKUP($B26,$B:H,COLUMN(H25)-1,FALSE)&lt;&gt;0,VLOOKUP($B26,$B:W,COLUMN(W25)-1,FALSE)/VLOOKUP($B26,$B:H,COLUMN(H25)-1,FALSE),IF(VLOOKUP($B26,$B:W,COLUMN(W25)-1,FALSE)&lt;&gt;0,"Strange",0))</f>
        <v>0</v>
      </c>
      <c r="AZ26" s="292">
        <f>IF(VLOOKUP($B26,$B:I,COLUMN(I25)-1,FALSE)&lt;&gt;0,VLOOKUP($B26,$B:X,COLUMN(X25)-1,FALSE)/VLOOKUP($B26,$B:I,COLUMN(I25)-1,FALSE),IF(VLOOKUP($B26,$B:X,COLUMN(X25)-1,FALSE)&lt;&gt;0,"Strange",0))</f>
        <v>0</v>
      </c>
      <c r="BA26" s="292">
        <f>IF(VLOOKUP($B26,$B:J,COLUMN(J25)-1,FALSE)&lt;&gt;0,VLOOKUP($B26,$B:Y,COLUMN(Y25)-1,FALSE)/VLOOKUP($B26,$B:J,COLUMN(J25)-1,FALSE),IF(VLOOKUP($B26,$B:Y,COLUMN(Y25)-1,FALSE)&lt;&gt;0,"Strange",0))</f>
        <v>7.3684210526315783E-2</v>
      </c>
      <c r="BB26" s="292">
        <f>IF(VLOOKUP($B26,$B:K,COLUMN(K25)-1,FALSE)&lt;&gt;0,VLOOKUP($B26,$B:Z,COLUMN(Z25)-1,FALSE)/VLOOKUP($B26,$B:K,COLUMN(K25)-1,FALSE),IF(VLOOKUP($B26,$B:Z,COLUMN(Z25)-1,FALSE)&lt;&gt;0,"Strange",0))</f>
        <v>0</v>
      </c>
      <c r="BC26" s="292">
        <f>IF(VLOOKUP($B26,$B:L,COLUMN(L25)-1,FALSE)&lt;&gt;0,VLOOKUP($B26,$B:AA,COLUMN(AA25)-1,FALSE)/VLOOKUP($B26,$B:L,COLUMN(L25)-1,FALSE),IF(VLOOKUP($B26,$B:AA,COLUMN(AA25)-1,FALSE)&lt;&gt;0,"Strange",0))</f>
        <v>2.0864381520119227E-2</v>
      </c>
      <c r="BD26" s="292">
        <f>IF(VLOOKUP($B26,$B:M,COLUMN(M25)-1,FALSE)&lt;&gt;0,VLOOKUP($B26,$B:AB,COLUMN(AB25)-1,FALSE)/VLOOKUP($B26,$B:M,COLUMN(M25)-1,FALSE),IF(VLOOKUP($B26,$B:AB,COLUMN(AB25)-1,FALSE)&lt;&gt;0,"Strange",0))</f>
        <v>0.52830188679245282</v>
      </c>
      <c r="BE26" s="292">
        <f>IF(VLOOKUP($B26,$B:N,COLUMN(N25)-1,FALSE)&lt;&gt;0,VLOOKUP($B26,$B:AC,COLUMN(AC25)-1,FALSE)/VLOOKUP($B26,$B:N,COLUMN(N25)-1,FALSE),IF(VLOOKUP($B26,$B:AC,COLUMN(AC25)-1,FALSE)&lt;&gt;0,"Strange",0))</f>
        <v>0.25</v>
      </c>
      <c r="BF26" s="292">
        <f>IF(VLOOKUP($B26,$B:O,COLUMN(O25)-1,FALSE)&lt;&gt;0,VLOOKUP($B26,$B:AD,COLUMN(AD25)-1,FALSE)/VLOOKUP($B26,$B:O,COLUMN(O25)-1,FALSE),IF(VLOOKUP($B26,$B:AD,COLUMN(AD25)-1,FALSE)&lt;&gt;0,"Strange",0))</f>
        <v>0</v>
      </c>
      <c r="BG26" s="292">
        <f>IF(VLOOKUP($B26,$B:Q,COLUMN(Q25)-1,FALSE)&lt;&gt;0,VLOOKUP($B26,$B:AE,COLUMN(AE25)-1,FALSE)/VLOOKUP($B26,$B:Q,COLUMN(Q25)-1,FALSE),IF(VLOOKUP($B26,$B:AE,COLUMN(AE25)-1,FALSE)&lt;&gt;0,"Strange",0))</f>
        <v>0</v>
      </c>
      <c r="BH26" s="292">
        <f>IF(VLOOKUP($B26,$B:R,COLUMN(R25)-1,FALSE)&lt;&gt;0,VLOOKUP($B26,$B:AF,COLUMN(AF25)-1,FALSE)/VLOOKUP($B26,$B:R,COLUMN(R25)-1,FALSE),IF(VLOOKUP($B26,$B:AF,COLUMN(AF25)-1,FALSE)&lt;&gt;0,"Strange",0))</f>
        <v>0</v>
      </c>
      <c r="BI26" s="292">
        <f>IF(VLOOKUP($B26,$B:S,COLUMN(S25)-1,FALSE)&lt;&gt;0,VLOOKUP($B26,$B:AG,COLUMN(AG25)-1,FALSE)/VLOOKUP($B26,$B:S,COLUMN(S25)-1,FALSE),IF(VLOOKUP($B26,$B:AG,COLUMN(AG25)-1,FALSE)&lt;&gt;0,"Strange",0))</f>
        <v>0</v>
      </c>
      <c r="BJ26" s="292">
        <f>IF(VLOOKUP($B26,$B:T,COLUMN(T25)-1,FALSE)&lt;&gt;0,VLOOKUP($B26,$B:AH,COLUMN(AH25)-1,FALSE)/VLOOKUP($B26,$B:T,COLUMN(T25)-1,FALSE),IF(VLOOKUP($B26,$B:AH,COLUMN(AH25)-1,FALSE)&lt;&gt;0,"Strange",0))</f>
        <v>0</v>
      </c>
      <c r="BK26" s="471"/>
      <c r="BL26" s="2">
        <f>IF(VLOOKUP($B26,$B:W,COLUMN(G25)-1,FALSE)&lt;&gt;0,VLOOKUP($B26,$B:AK,COLUMN(AJ25)-1,FALSE)/VLOOKUP($B26,$B:W,COLUMN(G25)-1,FALSE),IF(VLOOKUP($B26,$B:AK,COLUMN(AJ25)-1,FALSE)&lt;&gt;0,"Strange",0))</f>
        <v>0</v>
      </c>
      <c r="BM26" s="2">
        <f>IF(VLOOKUP($B26,$B:X,COLUMN(H25)-1,FALSE)&lt;&gt;0,VLOOKUP($B26,$B:AL,COLUMN(AK25)-1,FALSE)/VLOOKUP($B26,$B:X,COLUMN(H25)-1,FALSE),IF(VLOOKUP($B26,$B:AL,COLUMN(AK25)-1,FALSE)&lt;&gt;0,"Strange",0))</f>
        <v>0</v>
      </c>
      <c r="BN26" s="2">
        <f>IF(VLOOKUP($B26,$B:Y,COLUMN(I25)-1,FALSE)&lt;&gt;0,VLOOKUP($B26,$B:AM,COLUMN(AL25)-1,FALSE)/VLOOKUP($B26,$B:Y,COLUMN(I25)-1,FALSE),IF(VLOOKUP($B26,$B:AM,COLUMN(AL25)-1,FALSE)&lt;&gt;0,"Strange",0))</f>
        <v>0</v>
      </c>
      <c r="BO26" s="2">
        <f>IF(VLOOKUP($B26,$B:Z,COLUMN(J25)-1,FALSE)&lt;&gt;0,VLOOKUP($B26,$B:AN,COLUMN(AM25)-1,FALSE)/VLOOKUP($B26,$B:Z,COLUMN(J25)-1,FALSE),IF(VLOOKUP($B26,$B:AN,COLUMN(AM25)-1,FALSE)&lt;&gt;0,"Strange",0))</f>
        <v>7.3684210526315783E-2</v>
      </c>
      <c r="BP26" s="2">
        <f>IF(VLOOKUP($B26,$B:AB,COLUMN(K25)-1,FALSE)&lt;&gt;0,VLOOKUP($B26,$B:AP,COLUMN(AN25)-1,FALSE)/VLOOKUP($B26,$B:AB,COLUMN(K25)-1,FALSE),IF(VLOOKUP($B26,$B:AP,COLUMN(AN25)-1,FALSE)&lt;&gt;0,"Strange",0))</f>
        <v>0</v>
      </c>
      <c r="BQ26" s="2">
        <f>IF(VLOOKUP($B26,$B:AC,COLUMN(L25)-1,FALSE)&lt;&gt;0,VLOOKUP($B26,$B:AQ,COLUMN(AO25)-1,FALSE)/VLOOKUP($B26,$B:AC,COLUMN(L25)-1,FALSE),IF(VLOOKUP($B26,$B:AQ,COLUMN(AO25)-1,FALSE)&lt;&gt;0,"Strange",0))</f>
        <v>2.0864381520119227E-2</v>
      </c>
      <c r="BR26" s="2">
        <f>IF(VLOOKUP($B26,$B:AC,COLUMN(M25)-1,FALSE)&lt;&gt;0,VLOOKUP($B26,$B:AQ,COLUMN(AP25)-1,FALSE)/VLOOKUP($B26,$B:AC,COLUMN(M25)-1,FALSE),IF(VLOOKUP($B26,$B:AQ,COLUMN(AP25)-1,FALSE)&lt;&gt;0,"Strange",0))</f>
        <v>0.43396226415094341</v>
      </c>
      <c r="BS26" s="2">
        <f>IF(VLOOKUP($B26,$B:AD,COLUMN(N25)-1,FALSE)&lt;&gt;0,VLOOKUP($B26,$B:AR,COLUMN(AQ25)-1,FALSE)/VLOOKUP($B26,$B:AD,COLUMN(N25)-1,FALSE),IF(VLOOKUP($B26,$B:AR,COLUMN(AQ25)-1,FALSE)&lt;&gt;0,"Strange",0))</f>
        <v>0.25</v>
      </c>
      <c r="BT26" s="2">
        <f>IF(VLOOKUP($B26,$B:AD,COLUMN(O25)-1,FALSE)&lt;&gt;0,VLOOKUP($B26,$B:AR,COLUMN(AR25)-1,FALSE)/VLOOKUP($B26,$B:AD,COLUMN(O25)-1,FALSE),IF(VLOOKUP($B26,$B:AR,COLUMN(AR25)-1,FALSE)&lt;&gt;0,"Strange",0))</f>
        <v>0</v>
      </c>
      <c r="BU26" s="2">
        <f>IF(VLOOKUP($B26,$B:AE,COLUMN(Q25)-1,FALSE)&lt;&gt;0,VLOOKUP($B26,$B:AS,COLUMN(AS25)-1,FALSE)/VLOOKUP($B26,$B:AE,COLUMN(Q25)-1,FALSE),IF(VLOOKUP($B26,$B:AS,COLUMN(AS25)-1,FALSE)&lt;&gt;0,"Strange",0))</f>
        <v>0</v>
      </c>
      <c r="BV26" s="2">
        <f>IF(VLOOKUP($B26,$B:AF,COLUMN(R25)-1,FALSE)&lt;&gt;0,VLOOKUP($B26,$B:AT,COLUMN(AT25)-1,FALSE)/VLOOKUP($B26,$B:AF,COLUMN(R25)-1,FALSE),IF(VLOOKUP($B26,$B:AT,COLUMN(AT25)-1,FALSE)&lt;&gt;0,"Strange",0))</f>
        <v>0</v>
      </c>
      <c r="BW26" s="2">
        <f>IF(VLOOKUP($B26,$B:AG,COLUMN(S25)-1,FALSE)&lt;&gt;0,VLOOKUP($B26,$B:AU,COLUMN(AU25)-1,FALSE)/VLOOKUP($B26,$B:AG,COLUMN(S25)-1,FALSE),IF(VLOOKUP($B26,$B:AU,COLUMN(AU25)-1,FALSE)&lt;&gt;0,"Strange",0))</f>
        <v>0</v>
      </c>
      <c r="BX26" s="2">
        <f>IF(VLOOKUP($B26,$B:AH,COLUMN(T25)-1,FALSE)&lt;&gt;0,VLOOKUP($B26,$B:AV,COLUMN(AV25)-1,FALSE)/VLOOKUP($B26,$B:AH,COLUMN(T25)-1,FALSE),IF(VLOOKUP($B26,$B:AV,COLUMN(AV25)-1,FALSE)&lt;&gt;0,"Strange",0))</f>
        <v>0</v>
      </c>
      <c r="BY26" s="471"/>
      <c r="BZ26" s="2">
        <f>SUMIFS('Bilateral Assistance, MAIN DATA'!$M:$M,'Bilateral Assistance, MAIN DATA'!$B:$B,'Share, Heavy Weapons to Ukraine'!$B26,'Bilateral Assistance, MAIN DATA'!$AO:$AO,'Share, Heavy Weapons to Ukraine'!BZ$11, 'Bilateral Assistance, MAIN DATA'!$AA:$AA,1)</f>
        <v>0</v>
      </c>
      <c r="CA26" s="2">
        <f>SUMIFS('Bilateral Assistance, MAIN DATA'!$M:$M,'Bilateral Assistance, MAIN DATA'!$B:$B,'Share, Heavy Weapons to Ukraine'!$B26,'Bilateral Assistance, MAIN DATA'!$AO:$AO,'Share, Heavy Weapons to Ukraine'!CA$11, 'Bilateral Assistance, MAIN DATA'!$AA:$AA,1)</f>
        <v>0</v>
      </c>
      <c r="CB26" s="2">
        <f>SUMIFS('Bilateral Assistance, MAIN DATA'!$M:$M,'Bilateral Assistance, MAIN DATA'!$B:$B,'Share, Heavy Weapons to Ukraine'!$B26,'Bilateral Assistance, MAIN DATA'!$AO:$AO,'Share, Heavy Weapons to Ukraine'!CB$11, 'Bilateral Assistance, MAIN DATA'!$AA:$AA,1)</f>
        <v>0</v>
      </c>
      <c r="CC26" s="2">
        <f>SUMIFS('Bilateral Assistance, MAIN DATA'!$M:$M,'Bilateral Assistance, MAIN DATA'!$B:$B,'Share, Heavy Weapons to Ukraine'!$B26,'Bilateral Assistance, MAIN DATA'!$AO:$AO,'Share, Heavy Weapons to Ukraine'!CC$11, 'Bilateral Assistance, MAIN DATA'!$AA:$AA,1)</f>
        <v>0</v>
      </c>
      <c r="CD26" s="471"/>
      <c r="CE26" s="2">
        <f>SUMIFS('Bilateral Assistance, MAIN DATA'!$N:$N,'Bilateral Assistance, MAIN DATA'!$B:$B,'Share, Heavy Weapons to Ukraine'!$B26,'Bilateral Assistance, MAIN DATA'!$AO:$AO,'Share, Heavy Weapons to Ukraine'!CE$11, 'Bilateral Assistance, MAIN DATA'!$AA:$AA,1)</f>
        <v>0</v>
      </c>
      <c r="CF26" s="2">
        <f>SUMIFS('Bilateral Assistance, MAIN DATA'!$N:$N,'Bilateral Assistance, MAIN DATA'!$B:$B,'Share, Heavy Weapons to Ukraine'!$B26,'Bilateral Assistance, MAIN DATA'!$AO:$AO,'Share, Heavy Weapons to Ukraine'!CF$11, 'Bilateral Assistance, MAIN DATA'!$AA:$AA,1)</f>
        <v>0</v>
      </c>
      <c r="CG26" s="2">
        <f>SUMIFS('Bilateral Assistance, MAIN DATA'!$N:$N,'Bilateral Assistance, MAIN DATA'!$B:$B,'Share, Heavy Weapons to Ukraine'!$B26,'Bilateral Assistance, MAIN DATA'!$AO:$AO,'Share, Heavy Weapons to Ukraine'!CG$11, 'Bilateral Assistance, MAIN DATA'!$AA:$AA,1)</f>
        <v>0</v>
      </c>
      <c r="CH26" s="2">
        <f>SUMIFS('Bilateral Assistance, MAIN DATA'!$N:$N,'Bilateral Assistance, MAIN DATA'!$B:$B,'Share, Heavy Weapons to Ukraine'!$B26,'Bilateral Assistance, MAIN DATA'!$AO:$AO,'Share, Heavy Weapons to Ukraine'!CH$11, 'Bilateral Assistance, MAIN DATA'!$AA:$AA,1)</f>
        <v>0</v>
      </c>
    </row>
    <row r="27" spans="2:86" ht="15.6" x14ac:dyDescent="0.3">
      <c r="B27" s="470" t="s">
        <v>413</v>
      </c>
      <c r="C27" s="470">
        <v>0</v>
      </c>
      <c r="D27" s="2">
        <v>1</v>
      </c>
      <c r="E27" s="471"/>
      <c r="F27" s="472">
        <v>6.4</v>
      </c>
      <c r="G27" s="470">
        <f>VLOOKUP(B27,'Heavy Weapon Stocks'!B:OE,COLUMN('Heavy Weapon Stocks'!$C$11)-1,FALSE)</f>
        <v>0</v>
      </c>
      <c r="H27" s="470">
        <f>VLOOKUP(B27,'Heavy Weapon Stocks'!B:OE,COLUMN('Heavy Weapon Stocks'!$AT$11)-1,FALSE)</f>
        <v>88</v>
      </c>
      <c r="I27" s="470">
        <f>VLOOKUP(B27,'Heavy Weapon Stocks'!B:OE,COLUMN('Heavy Weapon Stocks'!$DN$11)-1,FALSE)</f>
        <v>0</v>
      </c>
      <c r="J27" s="470">
        <f>VLOOKUP(B27,'Heavy Weapon Stocks'!B:OE,COLUMN('Heavy Weapon Stocks'!$EB$11)-1,FALSE)</f>
        <v>665</v>
      </c>
      <c r="K27" s="470">
        <f>VLOOKUP(B27,'Heavy Weapon Stocks'!B:OE,COLUMN('Heavy Weapon Stocks'!$FD$11)-1,FALSE)</f>
        <v>37</v>
      </c>
      <c r="L27" s="470">
        <f t="shared" si="3"/>
        <v>790</v>
      </c>
      <c r="M27" s="470">
        <f>VLOOKUP(B27,'Heavy Weapon Stocks'!B:OE,COLUMN('Heavy Weapon Stocks'!$GZ$11)-1,FALSE)+VLOOKUP(B27,'Heavy Weapon Stocks'!B:OE,COLUMN('Heavy Weapon Stocks'!$IF$11)-1,FALSE)</f>
        <v>0</v>
      </c>
      <c r="N27" s="470">
        <f>VLOOKUP(B27,'Heavy Weapon Stocks'!B:OE,COLUMN('Heavy Weapon Stocks'!$IK$11)-1,FALSE)</f>
        <v>0</v>
      </c>
      <c r="O27" s="470">
        <f>VLOOKUP(B27,'Heavy Weapon Stocks'!B:OE,COLUMN('Heavy Weapon Stocks'!$JE$11)-1,FALSE)+VLOOKUP(B27,'Heavy Weapon Stocks'!B:OE,COLUMN('Heavy Weapon Stocks'!$KB$11)-1,FALSE)</f>
        <v>53</v>
      </c>
      <c r="Q27" s="470">
        <f>VLOOKUP(B27,'Heavy Weapon Stocks'!B:OE,COLUMN('Heavy Weapon Stocks'!$LS$11)-1,FALSE)</f>
        <v>0</v>
      </c>
      <c r="R27" s="470">
        <f>VLOOKUP(B27,'Heavy Weapon Stocks'!B:OE,COLUMN('Heavy Weapon Stocks'!$MC$11)-1,FALSE)</f>
        <v>0</v>
      </c>
      <c r="S27" s="470">
        <f>VLOOKUP(B27,'Heavy Weapon Stocks'!B:OE,COLUMN('Heavy Weapon Stocks'!$MJ$11)-1,FALSE)</f>
        <v>0</v>
      </c>
      <c r="T27" s="470">
        <f>VLOOKUP(B27,'Heavy Weapon Stocks'!B:OE,COLUMN('Heavy Weapon Stocks'!$NO$11)-1,FALSE)</f>
        <v>0</v>
      </c>
      <c r="U27" s="471"/>
      <c r="V27" s="2">
        <f>SUMIFS('Bilateral Assistance, MAIN DATA'!$M:$M,'Bilateral Assistance, MAIN DATA'!$B:$B,'Share, Heavy Weapons to Ukraine'!$B27,'Bilateral Assistance, MAIN DATA'!$AO:$AO,'Share, Heavy Weapons to Ukraine'!V$11)</f>
        <v>0</v>
      </c>
      <c r="W27" s="2">
        <f>SUMIFS('Bilateral Assistance, MAIN DATA'!$M:$M,'Bilateral Assistance, MAIN DATA'!$B:$B,'Share, Heavy Weapons to Ukraine'!$B27,'Bilateral Assistance, MAIN DATA'!$AO:$AO,'Share, Heavy Weapons to Ukraine'!W$11)</f>
        <v>0</v>
      </c>
      <c r="X27" s="2">
        <f>SUMIFS('Bilateral Assistance, MAIN DATA'!$M:$M,'Bilateral Assistance, MAIN DATA'!$B:$B,'Share, Heavy Weapons to Ukraine'!$B27,'Bilateral Assistance, MAIN DATA'!$AO:$AO,'Share, Heavy Weapons to Ukraine'!X$11)</f>
        <v>0</v>
      </c>
      <c r="Y27" s="2">
        <f>SUMIFS('Bilateral Assistance, MAIN DATA'!$M:$M,'Bilateral Assistance, MAIN DATA'!$B:$B,'Share, Heavy Weapons to Ukraine'!$B27,'Bilateral Assistance, MAIN DATA'!$AO:$AO,'Share, Heavy Weapons to Ukraine'!Y$11)</f>
        <v>0</v>
      </c>
      <c r="Z27" s="2">
        <f>SUMIFS('Bilateral Assistance, MAIN DATA'!$M:$M,'Bilateral Assistance, MAIN DATA'!$B:$B,'Share, Heavy Weapons to Ukraine'!$B27,'Bilateral Assistance, MAIN DATA'!$AO:$AO,'Share, Heavy Weapons to Ukraine'!Z$11)</f>
        <v>0</v>
      </c>
      <c r="AA27" s="2">
        <f t="shared" si="1"/>
        <v>0</v>
      </c>
      <c r="AB27" s="2">
        <f>SUMIFS('Bilateral Assistance, MAIN DATA'!$M:$M,'Bilateral Assistance, MAIN DATA'!$B:$B,'Share, Heavy Weapons to Ukraine'!$B27,'Bilateral Assistance, MAIN DATA'!$AO:$AO,'Share, Heavy Weapons to Ukraine'!AB$11)</f>
        <v>0</v>
      </c>
      <c r="AC27" s="25">
        <f>SUMIFS('Bilateral Assistance, MAIN DATA'!$M:$M,'Bilateral Assistance, MAIN DATA'!$B:$B,'Share, Heavy Weapons to Ukraine'!$B27,'Bilateral Assistance, MAIN DATA'!$AO:$AO,"122mm MLRS")+SUMIFS('Bilateral Assistance, MAIN DATA'!$M:$M,'Bilateral Assistance, MAIN DATA'!$B:$B,'Share, Heavy Weapons to Ukraine'!$B27,'Bilateral Assistance, MAIN DATA'!$AO:$AO,"127mm MLRS")+SUMIFS('Bilateral Assistance, MAIN DATA'!$M:$M,'Bilateral Assistance, MAIN DATA'!$B:$B,'Share, Heavy Weapons to Ukraine'!$B27,'Bilateral Assistance, MAIN DATA'!$AO:$AO,"227mm MLRS")</f>
        <v>0</v>
      </c>
      <c r="AD27" s="2">
        <f>SUMIFS('Bilateral Assistance, MAIN DATA'!$M:$M,'Bilateral Assistance, MAIN DATA'!$B:$B,'Share, Heavy Weapons to Ukraine'!$B27,'Bilateral Assistance, MAIN DATA'!$AO:$AO,'Share, Heavy Weapons to Ukraine'!AD$11)</f>
        <v>0</v>
      </c>
      <c r="AE27" s="2">
        <f>SUMIFS('Bilateral Assistance, MAIN DATA'!$M:$M,'Bilateral Assistance, MAIN DATA'!$B:$B,'Share, Heavy Weapons to Ukraine'!$B27,'Bilateral Assistance, MAIN DATA'!$AO:$AO,'Share, Heavy Weapons to Ukraine'!AE$11)</f>
        <v>0</v>
      </c>
      <c r="AF27" s="2">
        <f>SUMIFS('Bilateral Assistance, MAIN DATA'!$M:$M,'Bilateral Assistance, MAIN DATA'!$B:$B,'Share, Heavy Weapons to Ukraine'!$B27,'Bilateral Assistance, MAIN DATA'!$AO:$AO,'Share, Heavy Weapons to Ukraine'!AF$11)</f>
        <v>0</v>
      </c>
      <c r="AG27" s="2">
        <f>SUMIFS('Bilateral Assistance, MAIN DATA'!$M:$M,'Bilateral Assistance, MAIN DATA'!$B:$B,'Share, Heavy Weapons to Ukraine'!$B27,'Bilateral Assistance, MAIN DATA'!$AO:$AO,'Share, Heavy Weapons to Ukraine'!AG$11)</f>
        <v>0</v>
      </c>
      <c r="AH27" s="2">
        <f>SUMIFS('Bilateral Assistance, MAIN DATA'!$M:$M,'Bilateral Assistance, MAIN DATA'!$B:$B,'Share, Heavy Weapons to Ukraine'!$B27,'Bilateral Assistance, MAIN DATA'!$AO:$AO,'Share, Heavy Weapons to Ukraine'!AH$11)</f>
        <v>0</v>
      </c>
      <c r="AI27" s="471"/>
      <c r="AJ27" s="2">
        <f>SUMIFS('Bilateral Assistance, MAIN DATA'!$N:$N,'Bilateral Assistance, MAIN DATA'!$B:$B,'Share, Heavy Weapons to Ukraine'!$B27,'Bilateral Assistance, MAIN DATA'!$AO:$AO,'Share, Heavy Weapons to Ukraine'!AJ$11)</f>
        <v>0</v>
      </c>
      <c r="AK27" s="2">
        <f>SUMIFS('Bilateral Assistance, MAIN DATA'!$N:$N,'Bilateral Assistance, MAIN DATA'!$B:$B,'Share, Heavy Weapons to Ukraine'!$B27,'Bilateral Assistance, MAIN DATA'!$AO:$AO,'Share, Heavy Weapons to Ukraine'!AK$11)</f>
        <v>0</v>
      </c>
      <c r="AL27" s="2">
        <f>SUMIFS('Bilateral Assistance, MAIN DATA'!$N:$N,'Bilateral Assistance, MAIN DATA'!$B:$B,'Share, Heavy Weapons to Ukraine'!$B27,'Bilateral Assistance, MAIN DATA'!$AO:$AO,'Share, Heavy Weapons to Ukraine'!AL$11)</f>
        <v>0</v>
      </c>
      <c r="AM27" s="2">
        <f>SUMIFS('Bilateral Assistance, MAIN DATA'!$N:$N,'Bilateral Assistance, MAIN DATA'!$B:$B,'Share, Heavy Weapons to Ukraine'!$B27,'Bilateral Assistance, MAIN DATA'!$AO:$AO,'Share, Heavy Weapons to Ukraine'!AM$11)</f>
        <v>0</v>
      </c>
      <c r="AN27" s="2">
        <f>SUMIFS('Bilateral Assistance, MAIN DATA'!$N:$N,'Bilateral Assistance, MAIN DATA'!$B:$B,'Share, Heavy Weapons to Ukraine'!$B27,'Bilateral Assistance, MAIN DATA'!$AO:$AO,'Share, Heavy Weapons to Ukraine'!AN$11)</f>
        <v>0</v>
      </c>
      <c r="AO27" s="2">
        <f t="shared" si="2"/>
        <v>0</v>
      </c>
      <c r="AP27" s="2">
        <f>SUMIFS('Bilateral Assistance, MAIN DATA'!$N:$N,'Bilateral Assistance, MAIN DATA'!$B:$B,'Share, Heavy Weapons to Ukraine'!$B27,'Bilateral Assistance, MAIN DATA'!$AO:$AO,'Share, Heavy Weapons to Ukraine'!AP$11)</f>
        <v>0</v>
      </c>
      <c r="AQ27" s="25">
        <f>SUMIFS('Bilateral Assistance, MAIN DATA'!$N:$N,'Bilateral Assistance, MAIN DATA'!$B:$B,'Share, Heavy Weapons to Ukraine'!$B27,'Bilateral Assistance, MAIN DATA'!$AO:$AO,"122mm MLRS")+SUMIFS('Bilateral Assistance, MAIN DATA'!$N:$N,'Bilateral Assistance, MAIN DATA'!$B:$B,'Share, Heavy Weapons to Ukraine'!$B27,'Bilateral Assistance, MAIN DATA'!$AO:$AO,"127mm MLRS")+SUMIFS('Bilateral Assistance, MAIN DATA'!$N:$N,'Bilateral Assistance, MAIN DATA'!$B:$B,'Share, Heavy Weapons to Ukraine'!$B27,'Bilateral Assistance, MAIN DATA'!$AO:$AO,"227mm MLRS")</f>
        <v>0</v>
      </c>
      <c r="AR27" s="2">
        <f>SUMIFS('Bilateral Assistance, MAIN DATA'!$N:$N,'Bilateral Assistance, MAIN DATA'!$B:$B,'Share, Heavy Weapons to Ukraine'!$B27,'Bilateral Assistance, MAIN DATA'!$AO:$AO,'Share, Heavy Weapons to Ukraine'!AR$11)</f>
        <v>0</v>
      </c>
      <c r="AS27" s="2">
        <f>SUMIFS('Bilateral Assistance, MAIN DATA'!$N:$N,'Bilateral Assistance, MAIN DATA'!$B:$B,'Share, Heavy Weapons to Ukraine'!$B27,'Bilateral Assistance, MAIN DATA'!$AO:$AO,'Share, Heavy Weapons to Ukraine'!AS$11)</f>
        <v>0</v>
      </c>
      <c r="AT27" s="2">
        <f>SUMIFS('Bilateral Assistance, MAIN DATA'!$N:$N,'Bilateral Assistance, MAIN DATA'!$B:$B,'Share, Heavy Weapons to Ukraine'!$B27,'Bilateral Assistance, MAIN DATA'!$AO:$AO,'Share, Heavy Weapons to Ukraine'!AT$11)</f>
        <v>0</v>
      </c>
      <c r="AU27" s="2">
        <f>SUMIFS('Bilateral Assistance, MAIN DATA'!$N:$N,'Bilateral Assistance, MAIN DATA'!$B:$B,'Share, Heavy Weapons to Ukraine'!$B27,'Bilateral Assistance, MAIN DATA'!$AO:$AO,'Share, Heavy Weapons to Ukraine'!AU$11)</f>
        <v>0</v>
      </c>
      <c r="AV27" s="2">
        <f>SUMIFS('Bilateral Assistance, MAIN DATA'!$N:$N,'Bilateral Assistance, MAIN DATA'!$B:$B,'Share, Heavy Weapons to Ukraine'!$B27,'Bilateral Assistance, MAIN DATA'!$AO:$AO,'Share, Heavy Weapons to Ukraine'!AV$11)</f>
        <v>0</v>
      </c>
      <c r="AW27" s="471"/>
      <c r="AX27" s="292">
        <f>IF(VLOOKUP($B27,$B:G,COLUMN(G26)-1,FALSE)&lt;&gt;0,VLOOKUP($B27,$B:V,COLUMN(V26)-1,FALSE)/VLOOKUP($B27,$B:G,COLUMN(G26)-1,FALSE),IF(VLOOKUP($B27,$B:V,COLUMN(V26)-1,FALSE)&lt;&gt;0,"Strange",0))</f>
        <v>0</v>
      </c>
      <c r="AY27" s="292">
        <f>IF(VLOOKUP($B27,$B:H,COLUMN(H26)-1,FALSE)&lt;&gt;0,VLOOKUP($B27,$B:W,COLUMN(W26)-1,FALSE)/VLOOKUP($B27,$B:H,COLUMN(H26)-1,FALSE),IF(VLOOKUP($B27,$B:W,COLUMN(W26)-1,FALSE)&lt;&gt;0,"Strange",0))</f>
        <v>0</v>
      </c>
      <c r="AZ27" s="292">
        <f>IF(VLOOKUP($B27,$B:I,COLUMN(I26)-1,FALSE)&lt;&gt;0,VLOOKUP($B27,$B:X,COLUMN(X26)-1,FALSE)/VLOOKUP($B27,$B:I,COLUMN(I26)-1,FALSE),IF(VLOOKUP($B27,$B:X,COLUMN(X26)-1,FALSE)&lt;&gt;0,"Strange",0))</f>
        <v>0</v>
      </c>
      <c r="BA27" s="292">
        <f>IF(VLOOKUP($B27,$B:J,COLUMN(J26)-1,FALSE)&lt;&gt;0,VLOOKUP($B27,$B:Y,COLUMN(Y26)-1,FALSE)/VLOOKUP($B27,$B:J,COLUMN(J26)-1,FALSE),IF(VLOOKUP($B27,$B:Y,COLUMN(Y26)-1,FALSE)&lt;&gt;0,"Strange",0))</f>
        <v>0</v>
      </c>
      <c r="BB27" s="292">
        <f>IF(VLOOKUP($B27,$B:K,COLUMN(K26)-1,FALSE)&lt;&gt;0,VLOOKUP($B27,$B:Z,COLUMN(Z26)-1,FALSE)/VLOOKUP($B27,$B:K,COLUMN(K26)-1,FALSE),IF(VLOOKUP($B27,$B:Z,COLUMN(Z26)-1,FALSE)&lt;&gt;0,"Strange",0))</f>
        <v>0</v>
      </c>
      <c r="BC27" s="292">
        <f>IF(VLOOKUP($B27,$B:L,COLUMN(L26)-1,FALSE)&lt;&gt;0,VLOOKUP($B27,$B:AA,COLUMN(AA26)-1,FALSE)/VLOOKUP($B27,$B:L,COLUMN(L26)-1,FALSE),IF(VLOOKUP($B27,$B:AA,COLUMN(AA26)-1,FALSE)&lt;&gt;0,"Strange",0))</f>
        <v>0</v>
      </c>
      <c r="BD27" s="292">
        <f>IF(VLOOKUP($B27,$B:M,COLUMN(M26)-1,FALSE)&lt;&gt;0,VLOOKUP($B27,$B:AB,COLUMN(AB26)-1,FALSE)/VLOOKUP($B27,$B:M,COLUMN(M26)-1,FALSE),IF(VLOOKUP($B27,$B:AB,COLUMN(AB26)-1,FALSE)&lt;&gt;0,"Strange",0))</f>
        <v>0</v>
      </c>
      <c r="BE27" s="292">
        <f>IF(VLOOKUP($B27,$B:N,COLUMN(N26)-1,FALSE)&lt;&gt;0,VLOOKUP($B27,$B:AC,COLUMN(AC26)-1,FALSE)/VLOOKUP($B27,$B:N,COLUMN(N26)-1,FALSE),IF(VLOOKUP($B27,$B:AC,COLUMN(AC26)-1,FALSE)&lt;&gt;0,"Strange",0))</f>
        <v>0</v>
      </c>
      <c r="BF27" s="292">
        <f>IF(VLOOKUP($B27,$B:O,COLUMN(O26)-1,FALSE)&lt;&gt;0,VLOOKUP($B27,$B:AD,COLUMN(AD26)-1,FALSE)/VLOOKUP($B27,$B:O,COLUMN(O26)-1,FALSE),IF(VLOOKUP($B27,$B:AD,COLUMN(AD26)-1,FALSE)&lt;&gt;0,"Strange",0))</f>
        <v>0</v>
      </c>
      <c r="BG27" s="292">
        <f>IF(VLOOKUP($B27,$B:Q,COLUMN(Q26)-1,FALSE)&lt;&gt;0,VLOOKUP($B27,$B:AE,COLUMN(AE26)-1,FALSE)/VLOOKUP($B27,$B:Q,COLUMN(Q26)-1,FALSE),IF(VLOOKUP($B27,$B:AE,COLUMN(AE26)-1,FALSE)&lt;&gt;0,"Strange",0))</f>
        <v>0</v>
      </c>
      <c r="BH27" s="292">
        <f>IF(VLOOKUP($B27,$B:R,COLUMN(R26)-1,FALSE)&lt;&gt;0,VLOOKUP($B27,$B:AF,COLUMN(AF26)-1,FALSE)/VLOOKUP($B27,$B:R,COLUMN(R26)-1,FALSE),IF(VLOOKUP($B27,$B:AF,COLUMN(AF26)-1,FALSE)&lt;&gt;0,"Strange",0))</f>
        <v>0</v>
      </c>
      <c r="BI27" s="292">
        <f>IF(VLOOKUP($B27,$B:S,COLUMN(S26)-1,FALSE)&lt;&gt;0,VLOOKUP($B27,$B:AG,COLUMN(AG26)-1,FALSE)/VLOOKUP($B27,$B:S,COLUMN(S26)-1,FALSE),IF(VLOOKUP($B27,$B:AG,COLUMN(AG26)-1,FALSE)&lt;&gt;0,"Strange",0))</f>
        <v>0</v>
      </c>
      <c r="BJ27" s="292">
        <f>IF(VLOOKUP($B27,$B:T,COLUMN(T26)-1,FALSE)&lt;&gt;0,VLOOKUP($B27,$B:AH,COLUMN(AH26)-1,FALSE)/VLOOKUP($B27,$B:T,COLUMN(T26)-1,FALSE),IF(VLOOKUP($B27,$B:AH,COLUMN(AH26)-1,FALSE)&lt;&gt;0,"Strange",0))</f>
        <v>0</v>
      </c>
      <c r="BK27" s="471"/>
      <c r="BL27" s="2">
        <f>IF(VLOOKUP($B27,$B:W,COLUMN(G26)-1,FALSE)&lt;&gt;0,VLOOKUP($B27,$B:AK,COLUMN(AJ26)-1,FALSE)/VLOOKUP($B27,$B:W,COLUMN(G26)-1,FALSE),IF(VLOOKUP($B27,$B:AK,COLUMN(AJ26)-1,FALSE)&lt;&gt;0,"Strange",0))</f>
        <v>0</v>
      </c>
      <c r="BM27" s="2">
        <f>IF(VLOOKUP($B27,$B:X,COLUMN(H26)-1,FALSE)&lt;&gt;0,VLOOKUP($B27,$B:AL,COLUMN(AK26)-1,FALSE)/VLOOKUP($B27,$B:X,COLUMN(H26)-1,FALSE),IF(VLOOKUP($B27,$B:AL,COLUMN(AK26)-1,FALSE)&lt;&gt;0,"Strange",0))</f>
        <v>0</v>
      </c>
      <c r="BN27" s="2">
        <f>IF(VLOOKUP($B27,$B:Y,COLUMN(I26)-1,FALSE)&lt;&gt;0,VLOOKUP($B27,$B:AM,COLUMN(AL26)-1,FALSE)/VLOOKUP($B27,$B:Y,COLUMN(I26)-1,FALSE),IF(VLOOKUP($B27,$B:AM,COLUMN(AL26)-1,FALSE)&lt;&gt;0,"Strange",0))</f>
        <v>0</v>
      </c>
      <c r="BO27" s="2">
        <f>IF(VLOOKUP($B27,$B:Z,COLUMN(J26)-1,FALSE)&lt;&gt;0,VLOOKUP($B27,$B:AN,COLUMN(AM26)-1,FALSE)/VLOOKUP($B27,$B:Z,COLUMN(J26)-1,FALSE),IF(VLOOKUP($B27,$B:AN,COLUMN(AM26)-1,FALSE)&lt;&gt;0,"Strange",0))</f>
        <v>0</v>
      </c>
      <c r="BP27" s="2">
        <f>IF(VLOOKUP($B27,$B:AB,COLUMN(K26)-1,FALSE)&lt;&gt;0,VLOOKUP($B27,$B:AP,COLUMN(AN26)-1,FALSE)/VLOOKUP($B27,$B:AB,COLUMN(K26)-1,FALSE),IF(VLOOKUP($B27,$B:AP,COLUMN(AN26)-1,FALSE)&lt;&gt;0,"Strange",0))</f>
        <v>0</v>
      </c>
      <c r="BQ27" s="2">
        <f>IF(VLOOKUP($B27,$B:AC,COLUMN(L26)-1,FALSE)&lt;&gt;0,VLOOKUP($B27,$B:AQ,COLUMN(AO26)-1,FALSE)/VLOOKUP($B27,$B:AC,COLUMN(L26)-1,FALSE),IF(VLOOKUP($B27,$B:AQ,COLUMN(AO26)-1,FALSE)&lt;&gt;0,"Strange",0))</f>
        <v>0</v>
      </c>
      <c r="BR27" s="2">
        <f>IF(VLOOKUP($B27,$B:AC,COLUMN(M26)-1,FALSE)&lt;&gt;0,VLOOKUP($B27,$B:AQ,COLUMN(AP26)-1,FALSE)/VLOOKUP($B27,$B:AC,COLUMN(M26)-1,FALSE),IF(VLOOKUP($B27,$B:AQ,COLUMN(AP26)-1,FALSE)&lt;&gt;0,"Strange",0))</f>
        <v>0</v>
      </c>
      <c r="BS27" s="2">
        <f>IF(VLOOKUP($B27,$B:AD,COLUMN(N26)-1,FALSE)&lt;&gt;0,VLOOKUP($B27,$B:AR,COLUMN(AQ26)-1,FALSE)/VLOOKUP($B27,$B:AD,COLUMN(N26)-1,FALSE),IF(VLOOKUP($B27,$B:AR,COLUMN(AQ26)-1,FALSE)&lt;&gt;0,"Strange",0))</f>
        <v>0</v>
      </c>
      <c r="BT27" s="2">
        <f>IF(VLOOKUP($B27,$B:AD,COLUMN(O26)-1,FALSE)&lt;&gt;0,VLOOKUP($B27,$B:AR,COLUMN(AR26)-1,FALSE)/VLOOKUP($B27,$B:AD,COLUMN(O26)-1,FALSE),IF(VLOOKUP($B27,$B:AR,COLUMN(AR26)-1,FALSE)&lt;&gt;0,"Strange",0))</f>
        <v>0</v>
      </c>
      <c r="BU27" s="2">
        <f>IF(VLOOKUP($B27,$B:AE,COLUMN(Q26)-1,FALSE)&lt;&gt;0,VLOOKUP($B27,$B:AS,COLUMN(AS26)-1,FALSE)/VLOOKUP($B27,$B:AE,COLUMN(Q26)-1,FALSE),IF(VLOOKUP($B27,$B:AS,COLUMN(AS26)-1,FALSE)&lt;&gt;0,"Strange",0))</f>
        <v>0</v>
      </c>
      <c r="BV27" s="2">
        <f>IF(VLOOKUP($B27,$B:AF,COLUMN(R26)-1,FALSE)&lt;&gt;0,VLOOKUP($B27,$B:AT,COLUMN(AT26)-1,FALSE)/VLOOKUP($B27,$B:AF,COLUMN(R26)-1,FALSE),IF(VLOOKUP($B27,$B:AT,COLUMN(AT26)-1,FALSE)&lt;&gt;0,"Strange",0))</f>
        <v>0</v>
      </c>
      <c r="BW27" s="2">
        <f>IF(VLOOKUP($B27,$B:AG,COLUMN(S26)-1,FALSE)&lt;&gt;0,VLOOKUP($B27,$B:AU,COLUMN(AU26)-1,FALSE)/VLOOKUP($B27,$B:AG,COLUMN(S26)-1,FALSE),IF(VLOOKUP($B27,$B:AU,COLUMN(AU26)-1,FALSE)&lt;&gt;0,"Strange",0))</f>
        <v>0</v>
      </c>
      <c r="BX27" s="2">
        <f>IF(VLOOKUP($B27,$B:AH,COLUMN(T26)-1,FALSE)&lt;&gt;0,VLOOKUP($B27,$B:AV,COLUMN(AV26)-1,FALSE)/VLOOKUP($B27,$B:AH,COLUMN(T26)-1,FALSE),IF(VLOOKUP($B27,$B:AV,COLUMN(AV26)-1,FALSE)&lt;&gt;0,"Strange",0))</f>
        <v>0</v>
      </c>
      <c r="BY27" s="471"/>
      <c r="BZ27" s="2">
        <f>SUMIFS('Bilateral Assistance, MAIN DATA'!$M:$M,'Bilateral Assistance, MAIN DATA'!$B:$B,'Share, Heavy Weapons to Ukraine'!$B27,'Bilateral Assistance, MAIN DATA'!$AO:$AO,'Share, Heavy Weapons to Ukraine'!BZ$11, 'Bilateral Assistance, MAIN DATA'!$AA:$AA,1)</f>
        <v>0</v>
      </c>
      <c r="CA27" s="2">
        <f>SUMIFS('Bilateral Assistance, MAIN DATA'!$M:$M,'Bilateral Assistance, MAIN DATA'!$B:$B,'Share, Heavy Weapons to Ukraine'!$B27,'Bilateral Assistance, MAIN DATA'!$AO:$AO,'Share, Heavy Weapons to Ukraine'!CA$11, 'Bilateral Assistance, MAIN DATA'!$AA:$AA,1)</f>
        <v>0</v>
      </c>
      <c r="CB27" s="2">
        <f>SUMIFS('Bilateral Assistance, MAIN DATA'!$M:$M,'Bilateral Assistance, MAIN DATA'!$B:$B,'Share, Heavy Weapons to Ukraine'!$B27,'Bilateral Assistance, MAIN DATA'!$AO:$AO,'Share, Heavy Weapons to Ukraine'!CB$11, 'Bilateral Assistance, MAIN DATA'!$AA:$AA,1)</f>
        <v>0</v>
      </c>
      <c r="CC27" s="2">
        <f>SUMIFS('Bilateral Assistance, MAIN DATA'!$M:$M,'Bilateral Assistance, MAIN DATA'!$B:$B,'Share, Heavy Weapons to Ukraine'!$B27,'Bilateral Assistance, MAIN DATA'!$AO:$AO,'Share, Heavy Weapons to Ukraine'!CC$11, 'Bilateral Assistance, MAIN DATA'!$AA:$AA,1)</f>
        <v>0</v>
      </c>
      <c r="CD27" s="471"/>
      <c r="CE27" s="2">
        <f>SUMIFS('Bilateral Assistance, MAIN DATA'!$N:$N,'Bilateral Assistance, MAIN DATA'!$B:$B,'Share, Heavy Weapons to Ukraine'!$B27,'Bilateral Assistance, MAIN DATA'!$AO:$AO,'Share, Heavy Weapons to Ukraine'!CE$11, 'Bilateral Assistance, MAIN DATA'!$AA:$AA,1)</f>
        <v>0</v>
      </c>
      <c r="CF27" s="2">
        <f>SUMIFS('Bilateral Assistance, MAIN DATA'!$N:$N,'Bilateral Assistance, MAIN DATA'!$B:$B,'Share, Heavy Weapons to Ukraine'!$B27,'Bilateral Assistance, MAIN DATA'!$AO:$AO,'Share, Heavy Weapons to Ukraine'!CF$11, 'Bilateral Assistance, MAIN DATA'!$AA:$AA,1)</f>
        <v>0</v>
      </c>
      <c r="CG27" s="2">
        <f>SUMIFS('Bilateral Assistance, MAIN DATA'!$N:$N,'Bilateral Assistance, MAIN DATA'!$B:$B,'Share, Heavy Weapons to Ukraine'!$B27,'Bilateral Assistance, MAIN DATA'!$AO:$AO,'Share, Heavy Weapons to Ukraine'!CG$11, 'Bilateral Assistance, MAIN DATA'!$AA:$AA,1)</f>
        <v>0</v>
      </c>
      <c r="CH27" s="2">
        <f>SUMIFS('Bilateral Assistance, MAIN DATA'!$N:$N,'Bilateral Assistance, MAIN DATA'!$B:$B,'Share, Heavy Weapons to Ukraine'!$B27,'Bilateral Assistance, MAIN DATA'!$AO:$AO,'Share, Heavy Weapons to Ukraine'!CH$11, 'Bilateral Assistance, MAIN DATA'!$AA:$AA,1)</f>
        <v>0</v>
      </c>
    </row>
    <row r="28" spans="2:86" ht="15.6" x14ac:dyDescent="0.3">
      <c r="B28" s="470" t="s">
        <v>1025</v>
      </c>
      <c r="C28" s="470">
        <v>0</v>
      </c>
      <c r="D28" s="2">
        <v>1</v>
      </c>
      <c r="E28" s="471"/>
      <c r="F28" s="472">
        <v>5.96</v>
      </c>
      <c r="G28" s="470">
        <f>VLOOKUP(B28,'Heavy Weapon Stocks'!B:OE,COLUMN('Heavy Weapon Stocks'!$C$11)-1,FALSE)</f>
        <v>300</v>
      </c>
      <c r="H28" s="470">
        <f>VLOOKUP(B28,'Heavy Weapon Stocks'!B:OE,COLUMN('Heavy Weapon Stocks'!$AT$11)-1,FALSE)</f>
        <v>613</v>
      </c>
      <c r="I28" s="470">
        <f>VLOOKUP(B28,'Heavy Weapon Stocks'!B:OE,COLUMN('Heavy Weapon Stocks'!$DN$11)-1,FALSE)</f>
        <v>0</v>
      </c>
      <c r="J28" s="470">
        <f>VLOOKUP(B28,'Heavy Weapon Stocks'!B:OE,COLUMN('Heavy Weapon Stocks'!$EB$11)-1,FALSE)</f>
        <v>0</v>
      </c>
      <c r="K28" s="470">
        <f>VLOOKUP(B28,'Heavy Weapon Stocks'!B:OE,COLUMN('Heavy Weapon Stocks'!$FD$11)-1,FALSE)</f>
        <v>212</v>
      </c>
      <c r="L28" s="470">
        <f t="shared" si="3"/>
        <v>825</v>
      </c>
      <c r="M28" s="470">
        <f>VLOOKUP(B28,'Heavy Weapon Stocks'!B:OE,COLUMN('Heavy Weapon Stocks'!$GZ$11)-1,FALSE)+VLOOKUP(B28,'Heavy Weapon Stocks'!B:OE,COLUMN('Heavy Weapon Stocks'!$IF$11)-1,FALSE)</f>
        <v>67</v>
      </c>
      <c r="N28" s="470">
        <f>VLOOKUP(B28,'Heavy Weapon Stocks'!B:OE,COLUMN('Heavy Weapon Stocks'!$IK$11)-1,FALSE)</f>
        <v>56</v>
      </c>
      <c r="O28" s="470">
        <f>VLOOKUP(B28,'Heavy Weapon Stocks'!B:OE,COLUMN('Heavy Weapon Stocks'!$JE$11)-1,FALSE)+VLOOKUP(B28,'Heavy Weapon Stocks'!B:OE,COLUMN('Heavy Weapon Stocks'!$KB$11)-1,FALSE)</f>
        <v>62</v>
      </c>
      <c r="Q28" s="470">
        <f>VLOOKUP(B28,'Heavy Weapon Stocks'!B:OE,COLUMN('Heavy Weapon Stocks'!$LS$11)-1,FALSE)</f>
        <v>0</v>
      </c>
      <c r="R28" s="470">
        <f>VLOOKUP(B28,'Heavy Weapon Stocks'!B:OE,COLUMN('Heavy Weapon Stocks'!$MC$11)-1,FALSE)</f>
        <v>0</v>
      </c>
      <c r="S28" s="470">
        <f>VLOOKUP(B28,'Heavy Weapon Stocks'!B:OE,COLUMN('Heavy Weapon Stocks'!$MJ$11)-1,FALSE)</f>
        <v>44</v>
      </c>
      <c r="T28" s="470">
        <f>VLOOKUP(B28,'Heavy Weapon Stocks'!B:OE,COLUMN('Heavy Weapon Stocks'!$NO$11)-1,FALSE)</f>
        <v>16</v>
      </c>
      <c r="U28" s="471"/>
      <c r="V28" s="2">
        <f>SUMIFS('Bilateral Assistance, MAIN DATA'!$M:$M,'Bilateral Assistance, MAIN DATA'!$B:$B,'Share, Heavy Weapons to Ukraine'!$B28,'Bilateral Assistance, MAIN DATA'!$AO:$AO,'Share, Heavy Weapons to Ukraine'!V$11)</f>
        <v>0</v>
      </c>
      <c r="W28" s="2">
        <f>SUMIFS('Bilateral Assistance, MAIN DATA'!$M:$M,'Bilateral Assistance, MAIN DATA'!$B:$B,'Share, Heavy Weapons to Ukraine'!$B28,'Bilateral Assistance, MAIN DATA'!$AO:$AO,'Share, Heavy Weapons to Ukraine'!W$11)</f>
        <v>0</v>
      </c>
      <c r="X28" s="2">
        <f>SUMIFS('Bilateral Assistance, MAIN DATA'!$M:$M,'Bilateral Assistance, MAIN DATA'!$B:$B,'Share, Heavy Weapons to Ukraine'!$B28,'Bilateral Assistance, MAIN DATA'!$AO:$AO,'Share, Heavy Weapons to Ukraine'!X$11)</f>
        <v>0</v>
      </c>
      <c r="Y28" s="2">
        <f>SUMIFS('Bilateral Assistance, MAIN DATA'!$M:$M,'Bilateral Assistance, MAIN DATA'!$B:$B,'Share, Heavy Weapons to Ukraine'!$B28,'Bilateral Assistance, MAIN DATA'!$AO:$AO,'Share, Heavy Weapons to Ukraine'!Y$11)</f>
        <v>0</v>
      </c>
      <c r="Z28" s="2">
        <f>SUMIFS('Bilateral Assistance, MAIN DATA'!$M:$M,'Bilateral Assistance, MAIN DATA'!$B:$B,'Share, Heavy Weapons to Ukraine'!$B28,'Bilateral Assistance, MAIN DATA'!$AO:$AO,'Share, Heavy Weapons to Ukraine'!Z$11)</f>
        <v>0</v>
      </c>
      <c r="AA28" s="2">
        <f t="shared" si="1"/>
        <v>0</v>
      </c>
      <c r="AB28" s="2">
        <f>SUMIFS('Bilateral Assistance, MAIN DATA'!$M:$M,'Bilateral Assistance, MAIN DATA'!$B:$B,'Share, Heavy Weapons to Ukraine'!$B28,'Bilateral Assistance, MAIN DATA'!$AO:$AO,'Share, Heavy Weapons to Ukraine'!AB$11)</f>
        <v>0</v>
      </c>
      <c r="AC28" s="25">
        <f>SUMIFS('Bilateral Assistance, MAIN DATA'!$M:$M,'Bilateral Assistance, MAIN DATA'!$B:$B,'Share, Heavy Weapons to Ukraine'!$B28,'Bilateral Assistance, MAIN DATA'!$AO:$AO,"122mm MLRS")+SUMIFS('Bilateral Assistance, MAIN DATA'!$M:$M,'Bilateral Assistance, MAIN DATA'!$B:$B,'Share, Heavy Weapons to Ukraine'!$B28,'Bilateral Assistance, MAIN DATA'!$AO:$AO,"127mm MLRS")+SUMIFS('Bilateral Assistance, MAIN DATA'!$M:$M,'Bilateral Assistance, MAIN DATA'!$B:$B,'Share, Heavy Weapons to Ukraine'!$B28,'Bilateral Assistance, MAIN DATA'!$AO:$AO,"227mm MLRS")</f>
        <v>0</v>
      </c>
      <c r="AD28" s="2">
        <f>SUMIFS('Bilateral Assistance, MAIN DATA'!$M:$M,'Bilateral Assistance, MAIN DATA'!$B:$B,'Share, Heavy Weapons to Ukraine'!$B28,'Bilateral Assistance, MAIN DATA'!$AO:$AO,'Share, Heavy Weapons to Ukraine'!AD$11)</f>
        <v>0</v>
      </c>
      <c r="AE28" s="2">
        <f>SUMIFS('Bilateral Assistance, MAIN DATA'!$M:$M,'Bilateral Assistance, MAIN DATA'!$B:$B,'Share, Heavy Weapons to Ukraine'!$B28,'Bilateral Assistance, MAIN DATA'!$AO:$AO,'Share, Heavy Weapons to Ukraine'!AE$11)</f>
        <v>0</v>
      </c>
      <c r="AF28" s="2">
        <f>SUMIFS('Bilateral Assistance, MAIN DATA'!$M:$M,'Bilateral Assistance, MAIN DATA'!$B:$B,'Share, Heavy Weapons to Ukraine'!$B28,'Bilateral Assistance, MAIN DATA'!$AO:$AO,'Share, Heavy Weapons to Ukraine'!AF$11)</f>
        <v>0</v>
      </c>
      <c r="AG28" s="2">
        <f>SUMIFS('Bilateral Assistance, MAIN DATA'!$M:$M,'Bilateral Assistance, MAIN DATA'!$B:$B,'Share, Heavy Weapons to Ukraine'!$B28,'Bilateral Assistance, MAIN DATA'!$AO:$AO,'Share, Heavy Weapons to Ukraine'!AG$11)</f>
        <v>0</v>
      </c>
      <c r="AH28" s="2">
        <f>SUMIFS('Bilateral Assistance, MAIN DATA'!$M:$M,'Bilateral Assistance, MAIN DATA'!$B:$B,'Share, Heavy Weapons to Ukraine'!$B28,'Bilateral Assistance, MAIN DATA'!$AO:$AO,'Share, Heavy Weapons to Ukraine'!AH$11)</f>
        <v>0</v>
      </c>
      <c r="AI28" s="471"/>
      <c r="AJ28" s="2">
        <f>SUMIFS('Bilateral Assistance, MAIN DATA'!$N:$N,'Bilateral Assistance, MAIN DATA'!$B:$B,'Share, Heavy Weapons to Ukraine'!$B28,'Bilateral Assistance, MAIN DATA'!$AO:$AO,'Share, Heavy Weapons to Ukraine'!AJ$11)</f>
        <v>0</v>
      </c>
      <c r="AK28" s="2">
        <f>SUMIFS('Bilateral Assistance, MAIN DATA'!$N:$N,'Bilateral Assistance, MAIN DATA'!$B:$B,'Share, Heavy Weapons to Ukraine'!$B28,'Bilateral Assistance, MAIN DATA'!$AO:$AO,'Share, Heavy Weapons to Ukraine'!AK$11)</f>
        <v>0</v>
      </c>
      <c r="AL28" s="2">
        <f>SUMIFS('Bilateral Assistance, MAIN DATA'!$N:$N,'Bilateral Assistance, MAIN DATA'!$B:$B,'Share, Heavy Weapons to Ukraine'!$B28,'Bilateral Assistance, MAIN DATA'!$AO:$AO,'Share, Heavy Weapons to Ukraine'!AL$11)</f>
        <v>0</v>
      </c>
      <c r="AM28" s="2">
        <f>SUMIFS('Bilateral Assistance, MAIN DATA'!$N:$N,'Bilateral Assistance, MAIN DATA'!$B:$B,'Share, Heavy Weapons to Ukraine'!$B28,'Bilateral Assistance, MAIN DATA'!$AO:$AO,'Share, Heavy Weapons to Ukraine'!AM$11)</f>
        <v>0</v>
      </c>
      <c r="AN28" s="2">
        <f>SUMIFS('Bilateral Assistance, MAIN DATA'!$N:$N,'Bilateral Assistance, MAIN DATA'!$B:$B,'Share, Heavy Weapons to Ukraine'!$B28,'Bilateral Assistance, MAIN DATA'!$AO:$AO,'Share, Heavy Weapons to Ukraine'!AN$11)</f>
        <v>0</v>
      </c>
      <c r="AO28" s="2">
        <f t="shared" si="2"/>
        <v>0</v>
      </c>
      <c r="AP28" s="2">
        <f>SUMIFS('Bilateral Assistance, MAIN DATA'!$N:$N,'Bilateral Assistance, MAIN DATA'!$B:$B,'Share, Heavy Weapons to Ukraine'!$B28,'Bilateral Assistance, MAIN DATA'!$AO:$AO,'Share, Heavy Weapons to Ukraine'!AP$11)</f>
        <v>0</v>
      </c>
      <c r="AQ28" s="25">
        <f>SUMIFS('Bilateral Assistance, MAIN DATA'!$N:$N,'Bilateral Assistance, MAIN DATA'!$B:$B,'Share, Heavy Weapons to Ukraine'!$B28,'Bilateral Assistance, MAIN DATA'!$AO:$AO,"122mm MLRS")+SUMIFS('Bilateral Assistance, MAIN DATA'!$N:$N,'Bilateral Assistance, MAIN DATA'!$B:$B,'Share, Heavy Weapons to Ukraine'!$B28,'Bilateral Assistance, MAIN DATA'!$AO:$AO,"127mm MLRS")+SUMIFS('Bilateral Assistance, MAIN DATA'!$N:$N,'Bilateral Assistance, MAIN DATA'!$B:$B,'Share, Heavy Weapons to Ukraine'!$B28,'Bilateral Assistance, MAIN DATA'!$AO:$AO,"227mm MLRS")</f>
        <v>0</v>
      </c>
      <c r="AR28" s="2">
        <f>SUMIFS('Bilateral Assistance, MAIN DATA'!$N:$N,'Bilateral Assistance, MAIN DATA'!$B:$B,'Share, Heavy Weapons to Ukraine'!$B28,'Bilateral Assistance, MAIN DATA'!$AO:$AO,'Share, Heavy Weapons to Ukraine'!AR$11)</f>
        <v>0</v>
      </c>
      <c r="AS28" s="2">
        <f>SUMIFS('Bilateral Assistance, MAIN DATA'!$N:$N,'Bilateral Assistance, MAIN DATA'!$B:$B,'Share, Heavy Weapons to Ukraine'!$B28,'Bilateral Assistance, MAIN DATA'!$AO:$AO,'Share, Heavy Weapons to Ukraine'!AS$11)</f>
        <v>0</v>
      </c>
      <c r="AT28" s="2">
        <f>SUMIFS('Bilateral Assistance, MAIN DATA'!$N:$N,'Bilateral Assistance, MAIN DATA'!$B:$B,'Share, Heavy Weapons to Ukraine'!$B28,'Bilateral Assistance, MAIN DATA'!$AO:$AO,'Share, Heavy Weapons to Ukraine'!AT$11)</f>
        <v>0</v>
      </c>
      <c r="AU28" s="2">
        <f>SUMIFS('Bilateral Assistance, MAIN DATA'!$N:$N,'Bilateral Assistance, MAIN DATA'!$B:$B,'Share, Heavy Weapons to Ukraine'!$B28,'Bilateral Assistance, MAIN DATA'!$AO:$AO,'Share, Heavy Weapons to Ukraine'!AU$11)</f>
        <v>0</v>
      </c>
      <c r="AV28" s="2">
        <f>SUMIFS('Bilateral Assistance, MAIN DATA'!$N:$N,'Bilateral Assistance, MAIN DATA'!$B:$B,'Share, Heavy Weapons to Ukraine'!$B28,'Bilateral Assistance, MAIN DATA'!$AO:$AO,'Share, Heavy Weapons to Ukraine'!AV$11)</f>
        <v>0</v>
      </c>
      <c r="AW28" s="471"/>
      <c r="AX28" s="292">
        <f>IF(VLOOKUP($B28,$B:G,COLUMN(G27)-1,FALSE)&lt;&gt;0,VLOOKUP($B28,$B:V,COLUMN(V27)-1,FALSE)/VLOOKUP($B28,$B:G,COLUMN(G27)-1,FALSE),IF(VLOOKUP($B28,$B:V,COLUMN(V27)-1,FALSE)&lt;&gt;0,"Strange",0))</f>
        <v>0</v>
      </c>
      <c r="AY28" s="292">
        <f>IF(VLOOKUP($B28,$B:H,COLUMN(H27)-1,FALSE)&lt;&gt;0,VLOOKUP($B28,$B:W,COLUMN(W27)-1,FALSE)/VLOOKUP($B28,$B:H,COLUMN(H27)-1,FALSE),IF(VLOOKUP($B28,$B:W,COLUMN(W27)-1,FALSE)&lt;&gt;0,"Strange",0))</f>
        <v>0</v>
      </c>
      <c r="AZ28" s="292">
        <f>IF(VLOOKUP($B28,$B:I,COLUMN(I27)-1,FALSE)&lt;&gt;0,VLOOKUP($B28,$B:X,COLUMN(X27)-1,FALSE)/VLOOKUP($B28,$B:I,COLUMN(I27)-1,FALSE),IF(VLOOKUP($B28,$B:X,COLUMN(X27)-1,FALSE)&lt;&gt;0,"Strange",0))</f>
        <v>0</v>
      </c>
      <c r="BA28" s="292">
        <f>IF(VLOOKUP($B28,$B:J,COLUMN(J27)-1,FALSE)&lt;&gt;0,VLOOKUP($B28,$B:Y,COLUMN(Y27)-1,FALSE)/VLOOKUP($B28,$B:J,COLUMN(J27)-1,FALSE),IF(VLOOKUP($B28,$B:Y,COLUMN(Y27)-1,FALSE)&lt;&gt;0,"Strange",0))</f>
        <v>0</v>
      </c>
      <c r="BB28" s="292">
        <f>IF(VLOOKUP($B28,$B:K,COLUMN(K27)-1,FALSE)&lt;&gt;0,VLOOKUP($B28,$B:Z,COLUMN(Z27)-1,FALSE)/VLOOKUP($B28,$B:K,COLUMN(K27)-1,FALSE),IF(VLOOKUP($B28,$B:Z,COLUMN(Z27)-1,FALSE)&lt;&gt;0,"Strange",0))</f>
        <v>0</v>
      </c>
      <c r="BC28" s="292">
        <f>IF(VLOOKUP($B28,$B:L,COLUMN(L27)-1,FALSE)&lt;&gt;0,VLOOKUP($B28,$B:AA,COLUMN(AA27)-1,FALSE)/VLOOKUP($B28,$B:L,COLUMN(L27)-1,FALSE),IF(VLOOKUP($B28,$B:AA,COLUMN(AA27)-1,FALSE)&lt;&gt;0,"Strange",0))</f>
        <v>0</v>
      </c>
      <c r="BD28" s="292">
        <f>IF(VLOOKUP($B28,$B:M,COLUMN(M27)-1,FALSE)&lt;&gt;0,VLOOKUP($B28,$B:AB,COLUMN(AB27)-1,FALSE)/VLOOKUP($B28,$B:M,COLUMN(M27)-1,FALSE),IF(VLOOKUP($B28,$B:AB,COLUMN(AB27)-1,FALSE)&lt;&gt;0,"Strange",0))</f>
        <v>0</v>
      </c>
      <c r="BE28" s="292">
        <f>IF(VLOOKUP($B28,$B:N,COLUMN(N27)-1,FALSE)&lt;&gt;0,VLOOKUP($B28,$B:AC,COLUMN(AC27)-1,FALSE)/VLOOKUP($B28,$B:N,COLUMN(N27)-1,FALSE),IF(VLOOKUP($B28,$B:AC,COLUMN(AC27)-1,FALSE)&lt;&gt;0,"Strange",0))</f>
        <v>0</v>
      </c>
      <c r="BF28" s="292">
        <f>IF(VLOOKUP($B28,$B:O,COLUMN(O27)-1,FALSE)&lt;&gt;0,VLOOKUP($B28,$B:AD,COLUMN(AD27)-1,FALSE)/VLOOKUP($B28,$B:O,COLUMN(O27)-1,FALSE),IF(VLOOKUP($B28,$B:AD,COLUMN(AD27)-1,FALSE)&lt;&gt;0,"Strange",0))</f>
        <v>0</v>
      </c>
      <c r="BG28" s="292">
        <f>IF(VLOOKUP($B28,$B:Q,COLUMN(Q27)-1,FALSE)&lt;&gt;0,VLOOKUP($B28,$B:AE,COLUMN(AE27)-1,FALSE)/VLOOKUP($B28,$B:Q,COLUMN(Q27)-1,FALSE),IF(VLOOKUP($B28,$B:AE,COLUMN(AE27)-1,FALSE)&lt;&gt;0,"Strange",0))</f>
        <v>0</v>
      </c>
      <c r="BH28" s="292">
        <f>IF(VLOOKUP($B28,$B:R,COLUMN(R27)-1,FALSE)&lt;&gt;0,VLOOKUP($B28,$B:AF,COLUMN(AF27)-1,FALSE)/VLOOKUP($B28,$B:R,COLUMN(R27)-1,FALSE),IF(VLOOKUP($B28,$B:AF,COLUMN(AF27)-1,FALSE)&lt;&gt;0,"Strange",0))</f>
        <v>0</v>
      </c>
      <c r="BI28" s="292">
        <f>IF(VLOOKUP($B28,$B:S,COLUMN(S27)-1,FALSE)&lt;&gt;0,VLOOKUP($B28,$B:AG,COLUMN(AG27)-1,FALSE)/VLOOKUP($B28,$B:S,COLUMN(S27)-1,FALSE),IF(VLOOKUP($B28,$B:AG,COLUMN(AG27)-1,FALSE)&lt;&gt;0,"Strange",0))</f>
        <v>0</v>
      </c>
      <c r="BJ28" s="292">
        <f>IF(VLOOKUP($B28,$B:T,COLUMN(T27)-1,FALSE)&lt;&gt;0,VLOOKUP($B28,$B:AH,COLUMN(AH27)-1,FALSE)/VLOOKUP($B28,$B:T,COLUMN(T27)-1,FALSE),IF(VLOOKUP($B28,$B:AH,COLUMN(AH27)-1,FALSE)&lt;&gt;0,"Strange",0))</f>
        <v>0</v>
      </c>
      <c r="BK28" s="471"/>
      <c r="BL28" s="2">
        <f>IF(VLOOKUP($B28,$B:W,COLUMN(G27)-1,FALSE)&lt;&gt;0,VLOOKUP($B28,$B:AK,COLUMN(AJ27)-1,FALSE)/VLOOKUP($B28,$B:W,COLUMN(G27)-1,FALSE),IF(VLOOKUP($B28,$B:AK,COLUMN(AJ27)-1,FALSE)&lt;&gt;0,"Strange",0))</f>
        <v>0</v>
      </c>
      <c r="BM28" s="2">
        <f>IF(VLOOKUP($B28,$B:X,COLUMN(H27)-1,FALSE)&lt;&gt;0,VLOOKUP($B28,$B:AL,COLUMN(AK27)-1,FALSE)/VLOOKUP($B28,$B:X,COLUMN(H27)-1,FALSE),IF(VLOOKUP($B28,$B:AL,COLUMN(AK27)-1,FALSE)&lt;&gt;0,"Strange",0))</f>
        <v>0</v>
      </c>
      <c r="BN28" s="2">
        <f>IF(VLOOKUP($B28,$B:Y,COLUMN(I27)-1,FALSE)&lt;&gt;0,VLOOKUP($B28,$B:AM,COLUMN(AL27)-1,FALSE)/VLOOKUP($B28,$B:Y,COLUMN(I27)-1,FALSE),IF(VLOOKUP($B28,$B:AM,COLUMN(AL27)-1,FALSE)&lt;&gt;0,"Strange",0))</f>
        <v>0</v>
      </c>
      <c r="BO28" s="2">
        <f>IF(VLOOKUP($B28,$B:Z,COLUMN(J27)-1,FALSE)&lt;&gt;0,VLOOKUP($B28,$B:AN,COLUMN(AM27)-1,FALSE)/VLOOKUP($B28,$B:Z,COLUMN(J27)-1,FALSE),IF(VLOOKUP($B28,$B:AN,COLUMN(AM27)-1,FALSE)&lt;&gt;0,"Strange",0))</f>
        <v>0</v>
      </c>
      <c r="BP28" s="2">
        <f>IF(VLOOKUP($B28,$B:AB,COLUMN(K27)-1,FALSE)&lt;&gt;0,VLOOKUP($B28,$B:AP,COLUMN(AN27)-1,FALSE)/VLOOKUP($B28,$B:AB,COLUMN(K27)-1,FALSE),IF(VLOOKUP($B28,$B:AP,COLUMN(AN27)-1,FALSE)&lt;&gt;0,"Strange",0))</f>
        <v>0</v>
      </c>
      <c r="BQ28" s="2">
        <f>IF(VLOOKUP($B28,$B:AC,COLUMN(L27)-1,FALSE)&lt;&gt;0,VLOOKUP($B28,$B:AQ,COLUMN(AO27)-1,FALSE)/VLOOKUP($B28,$B:AC,COLUMN(L27)-1,FALSE),IF(VLOOKUP($B28,$B:AQ,COLUMN(AO27)-1,FALSE)&lt;&gt;0,"Strange",0))</f>
        <v>0</v>
      </c>
      <c r="BR28" s="2">
        <f>IF(VLOOKUP($B28,$B:AC,COLUMN(M27)-1,FALSE)&lt;&gt;0,VLOOKUP($B28,$B:AQ,COLUMN(AP27)-1,FALSE)/VLOOKUP($B28,$B:AC,COLUMN(M27)-1,FALSE),IF(VLOOKUP($B28,$B:AQ,COLUMN(AP27)-1,FALSE)&lt;&gt;0,"Strange",0))</f>
        <v>0</v>
      </c>
      <c r="BS28" s="2">
        <f>IF(VLOOKUP($B28,$B:AD,COLUMN(N27)-1,FALSE)&lt;&gt;0,VLOOKUP($B28,$B:AR,COLUMN(AQ27)-1,FALSE)/VLOOKUP($B28,$B:AD,COLUMN(N27)-1,FALSE),IF(VLOOKUP($B28,$B:AR,COLUMN(AQ27)-1,FALSE)&lt;&gt;0,"Strange",0))</f>
        <v>0</v>
      </c>
      <c r="BT28" s="2">
        <f>IF(VLOOKUP($B28,$B:AD,COLUMN(O27)-1,FALSE)&lt;&gt;0,VLOOKUP($B28,$B:AR,COLUMN(AR27)-1,FALSE)/VLOOKUP($B28,$B:AD,COLUMN(O27)-1,FALSE),IF(VLOOKUP($B28,$B:AR,COLUMN(AR27)-1,FALSE)&lt;&gt;0,"Strange",0))</f>
        <v>0</v>
      </c>
      <c r="BU28" s="2">
        <f>IF(VLOOKUP($B28,$B:AE,COLUMN(Q27)-1,FALSE)&lt;&gt;0,VLOOKUP($B28,$B:AS,COLUMN(AS27)-1,FALSE)/VLOOKUP($B28,$B:AE,COLUMN(Q27)-1,FALSE),IF(VLOOKUP($B28,$B:AS,COLUMN(AS27)-1,FALSE)&lt;&gt;0,"Strange",0))</f>
        <v>0</v>
      </c>
      <c r="BV28" s="2">
        <f>IF(VLOOKUP($B28,$B:AF,COLUMN(R27)-1,FALSE)&lt;&gt;0,VLOOKUP($B28,$B:AT,COLUMN(AT27)-1,FALSE)/VLOOKUP($B28,$B:AF,COLUMN(R27)-1,FALSE),IF(VLOOKUP($B28,$B:AT,COLUMN(AT27)-1,FALSE)&lt;&gt;0,"Strange",0))</f>
        <v>0</v>
      </c>
      <c r="BW28" s="2">
        <f>IF(VLOOKUP($B28,$B:AG,COLUMN(S27)-1,FALSE)&lt;&gt;0,VLOOKUP($B28,$B:AU,COLUMN(AU27)-1,FALSE)/VLOOKUP($B28,$B:AG,COLUMN(S27)-1,FALSE),IF(VLOOKUP($B28,$B:AU,COLUMN(AU27)-1,FALSE)&lt;&gt;0,"Strange",0))</f>
        <v>0</v>
      </c>
      <c r="BX28" s="2">
        <f>IF(VLOOKUP($B28,$B:AH,COLUMN(T27)-1,FALSE)&lt;&gt;0,VLOOKUP($B28,$B:AV,COLUMN(AV27)-1,FALSE)/VLOOKUP($B28,$B:AH,COLUMN(T27)-1,FALSE),IF(VLOOKUP($B28,$B:AV,COLUMN(AV27)-1,FALSE)&lt;&gt;0,"Strange",0))</f>
        <v>0</v>
      </c>
      <c r="BY28" s="471"/>
      <c r="BZ28" s="2">
        <f>SUMIFS('Bilateral Assistance, MAIN DATA'!$M:$M,'Bilateral Assistance, MAIN DATA'!$B:$B,'Share, Heavy Weapons to Ukraine'!$B28,'Bilateral Assistance, MAIN DATA'!$AO:$AO,'Share, Heavy Weapons to Ukraine'!BZ$11, 'Bilateral Assistance, MAIN DATA'!$AA:$AA,1)</f>
        <v>0</v>
      </c>
      <c r="CA28" s="2">
        <f>SUMIFS('Bilateral Assistance, MAIN DATA'!$M:$M,'Bilateral Assistance, MAIN DATA'!$B:$B,'Share, Heavy Weapons to Ukraine'!$B28,'Bilateral Assistance, MAIN DATA'!$AO:$AO,'Share, Heavy Weapons to Ukraine'!CA$11, 'Bilateral Assistance, MAIN DATA'!$AA:$AA,1)</f>
        <v>0</v>
      </c>
      <c r="CB28" s="2">
        <f>SUMIFS('Bilateral Assistance, MAIN DATA'!$M:$M,'Bilateral Assistance, MAIN DATA'!$B:$B,'Share, Heavy Weapons to Ukraine'!$B28,'Bilateral Assistance, MAIN DATA'!$AO:$AO,'Share, Heavy Weapons to Ukraine'!CB$11, 'Bilateral Assistance, MAIN DATA'!$AA:$AA,1)</f>
        <v>0</v>
      </c>
      <c r="CC28" s="2">
        <f>SUMIFS('Bilateral Assistance, MAIN DATA'!$M:$M,'Bilateral Assistance, MAIN DATA'!$B:$B,'Share, Heavy Weapons to Ukraine'!$B28,'Bilateral Assistance, MAIN DATA'!$AO:$AO,'Share, Heavy Weapons to Ukraine'!CC$11, 'Bilateral Assistance, MAIN DATA'!$AA:$AA,1)</f>
        <v>0</v>
      </c>
      <c r="CD28" s="471"/>
      <c r="CE28" s="2">
        <f>SUMIFS('Bilateral Assistance, MAIN DATA'!$N:$N,'Bilateral Assistance, MAIN DATA'!$B:$B,'Share, Heavy Weapons to Ukraine'!$B28,'Bilateral Assistance, MAIN DATA'!$AO:$AO,'Share, Heavy Weapons to Ukraine'!CE$11, 'Bilateral Assistance, MAIN DATA'!$AA:$AA,1)</f>
        <v>0</v>
      </c>
      <c r="CF28" s="2">
        <f>SUMIFS('Bilateral Assistance, MAIN DATA'!$N:$N,'Bilateral Assistance, MAIN DATA'!$B:$B,'Share, Heavy Weapons to Ukraine'!$B28,'Bilateral Assistance, MAIN DATA'!$AO:$AO,'Share, Heavy Weapons to Ukraine'!CF$11, 'Bilateral Assistance, MAIN DATA'!$AA:$AA,1)</f>
        <v>0</v>
      </c>
      <c r="CG28" s="2">
        <f>SUMIFS('Bilateral Assistance, MAIN DATA'!$N:$N,'Bilateral Assistance, MAIN DATA'!$B:$B,'Share, Heavy Weapons to Ukraine'!$B28,'Bilateral Assistance, MAIN DATA'!$AO:$AO,'Share, Heavy Weapons to Ukraine'!CG$11, 'Bilateral Assistance, MAIN DATA'!$AA:$AA,1)</f>
        <v>0</v>
      </c>
      <c r="CH28" s="2">
        <f>SUMIFS('Bilateral Assistance, MAIN DATA'!$N:$N,'Bilateral Assistance, MAIN DATA'!$B:$B,'Share, Heavy Weapons to Ukraine'!$B28,'Bilateral Assistance, MAIN DATA'!$AO:$AO,'Share, Heavy Weapons to Ukraine'!CH$11, 'Bilateral Assistance, MAIN DATA'!$AA:$AA,1)</f>
        <v>0</v>
      </c>
    </row>
    <row r="29" spans="2:86" ht="15.6" x14ac:dyDescent="0.3">
      <c r="B29" s="470" t="s">
        <v>2460</v>
      </c>
      <c r="C29" s="470">
        <v>0</v>
      </c>
      <c r="D29" s="2">
        <v>1</v>
      </c>
      <c r="E29" s="471"/>
      <c r="F29" s="472">
        <v>5.61</v>
      </c>
      <c r="G29" s="470">
        <f>VLOOKUP(B29,'Heavy Weapon Stocks'!B:OE,COLUMN('Heavy Weapon Stocks'!$C$11)-1,FALSE)</f>
        <v>377</v>
      </c>
      <c r="H29" s="470">
        <f>VLOOKUP(B29,'Heavy Weapon Stocks'!B:OE,COLUMN('Heavy Weapon Stocks'!$AT$11)-1,FALSE)</f>
        <v>689</v>
      </c>
      <c r="I29" s="470">
        <f>VLOOKUP(B29,'Heavy Weapon Stocks'!B:OE,COLUMN('Heavy Weapon Stocks'!$DN$11)-1,FALSE)</f>
        <v>60</v>
      </c>
      <c r="J29" s="470">
        <f>VLOOKUP(B29,'Heavy Weapon Stocks'!B:OE,COLUMN('Heavy Weapon Stocks'!$EB$11)-1,FALSE)</f>
        <v>480</v>
      </c>
      <c r="K29" s="470">
        <f>VLOOKUP(B29,'Heavy Weapon Stocks'!B:OE,COLUMN('Heavy Weapon Stocks'!$FD$11)-1,FALSE)</f>
        <v>191</v>
      </c>
      <c r="L29" s="470">
        <f t="shared" si="3"/>
        <v>1420</v>
      </c>
      <c r="M29" s="470">
        <f>VLOOKUP(B29,'Heavy Weapon Stocks'!B:OE,COLUMN('Heavy Weapon Stocks'!$GZ$11)-1,FALSE)+VLOOKUP(B29,'Heavy Weapon Stocks'!B:OE,COLUMN('Heavy Weapon Stocks'!$IF$11)-1,FALSE)</f>
        <v>351</v>
      </c>
      <c r="N29" s="470">
        <f>VLOOKUP(B29,'Heavy Weapon Stocks'!B:OE,COLUMN('Heavy Weapon Stocks'!$IK$11)-1,FALSE)</f>
        <v>188</v>
      </c>
      <c r="O29" s="470">
        <f>VLOOKUP(B29,'Heavy Weapon Stocks'!B:OE,COLUMN('Heavy Weapon Stocks'!$JE$11)-1,FALSE)+VLOOKUP(B29,'Heavy Weapon Stocks'!B:OE,COLUMN('Heavy Weapon Stocks'!$KB$11)-1,FALSE)</f>
        <v>39</v>
      </c>
      <c r="Q29" s="470">
        <f>VLOOKUP(B29,'Heavy Weapon Stocks'!B:OE,COLUMN('Heavy Weapon Stocks'!$LS$11)-1,FALSE)</f>
        <v>4</v>
      </c>
      <c r="R29" s="470">
        <f>VLOOKUP(B29,'Heavy Weapon Stocks'!B:OE,COLUMN('Heavy Weapon Stocks'!$MC$11)-1,FALSE)</f>
        <v>13</v>
      </c>
      <c r="S29" s="470">
        <f>VLOOKUP(B29,'Heavy Weapon Stocks'!B:OE,COLUMN('Heavy Weapon Stocks'!$MJ$11)-1,FALSE)</f>
        <v>32</v>
      </c>
      <c r="T29" s="470">
        <f>VLOOKUP(B29,'Heavy Weapon Stocks'!B:OE,COLUMN('Heavy Weapon Stocks'!$NO$11)-1,FALSE)</f>
        <v>64</v>
      </c>
      <c r="U29" s="471"/>
      <c r="V29" s="2">
        <f>SUMIFS('Bilateral Assistance, MAIN DATA'!$M:$M,'Bilateral Assistance, MAIN DATA'!$B:$B,'Share, Heavy Weapons to Ukraine'!$B29,'Bilateral Assistance, MAIN DATA'!$AO:$AO,'Share, Heavy Weapons to Ukraine'!V$11)</f>
        <v>0</v>
      </c>
      <c r="W29" s="2">
        <f>SUMIFS('Bilateral Assistance, MAIN DATA'!$M:$M,'Bilateral Assistance, MAIN DATA'!$B:$B,'Share, Heavy Weapons to Ukraine'!$B29,'Bilateral Assistance, MAIN DATA'!$AO:$AO,'Share, Heavy Weapons to Ukraine'!W$11)</f>
        <v>0</v>
      </c>
      <c r="X29" s="2">
        <f>SUMIFS('Bilateral Assistance, MAIN DATA'!$M:$M,'Bilateral Assistance, MAIN DATA'!$B:$B,'Share, Heavy Weapons to Ukraine'!$B29,'Bilateral Assistance, MAIN DATA'!$AO:$AO,'Share, Heavy Weapons to Ukraine'!X$11)</f>
        <v>0</v>
      </c>
      <c r="Y29" s="2">
        <f>SUMIFS('Bilateral Assistance, MAIN DATA'!$M:$M,'Bilateral Assistance, MAIN DATA'!$B:$B,'Share, Heavy Weapons to Ukraine'!$B29,'Bilateral Assistance, MAIN DATA'!$AO:$AO,'Share, Heavy Weapons to Ukraine'!Y$11)</f>
        <v>0</v>
      </c>
      <c r="Z29" s="2">
        <f>SUMIFS('Bilateral Assistance, MAIN DATA'!$M:$M,'Bilateral Assistance, MAIN DATA'!$B:$B,'Share, Heavy Weapons to Ukraine'!$B29,'Bilateral Assistance, MAIN DATA'!$AO:$AO,'Share, Heavy Weapons to Ukraine'!Z$11)</f>
        <v>0</v>
      </c>
      <c r="AA29" s="2">
        <f t="shared" si="1"/>
        <v>0</v>
      </c>
      <c r="AB29" s="2">
        <f>SUMIFS('Bilateral Assistance, MAIN DATA'!$M:$M,'Bilateral Assistance, MAIN DATA'!$B:$B,'Share, Heavy Weapons to Ukraine'!$B29,'Bilateral Assistance, MAIN DATA'!$AO:$AO,'Share, Heavy Weapons to Ukraine'!AB$11)</f>
        <v>0</v>
      </c>
      <c r="AC29" s="25">
        <f>SUMIFS('Bilateral Assistance, MAIN DATA'!$M:$M,'Bilateral Assistance, MAIN DATA'!$B:$B,'Share, Heavy Weapons to Ukraine'!$B29,'Bilateral Assistance, MAIN DATA'!$AO:$AO,"122mm MLRS")+SUMIFS('Bilateral Assistance, MAIN DATA'!$M:$M,'Bilateral Assistance, MAIN DATA'!$B:$B,'Share, Heavy Weapons to Ukraine'!$B29,'Bilateral Assistance, MAIN DATA'!$AO:$AO,"127mm MLRS")+SUMIFS('Bilateral Assistance, MAIN DATA'!$M:$M,'Bilateral Assistance, MAIN DATA'!$B:$B,'Share, Heavy Weapons to Ukraine'!$B29,'Bilateral Assistance, MAIN DATA'!$AO:$AO,"227mm MLRS")</f>
        <v>0</v>
      </c>
      <c r="AD29" s="2">
        <f>SUMIFS('Bilateral Assistance, MAIN DATA'!$M:$M,'Bilateral Assistance, MAIN DATA'!$B:$B,'Share, Heavy Weapons to Ukraine'!$B29,'Bilateral Assistance, MAIN DATA'!$AO:$AO,'Share, Heavy Weapons to Ukraine'!AD$11)</f>
        <v>0</v>
      </c>
      <c r="AE29" s="2">
        <f>SUMIFS('Bilateral Assistance, MAIN DATA'!$M:$M,'Bilateral Assistance, MAIN DATA'!$B:$B,'Share, Heavy Weapons to Ukraine'!$B29,'Bilateral Assistance, MAIN DATA'!$AO:$AO,'Share, Heavy Weapons to Ukraine'!AE$11)</f>
        <v>0</v>
      </c>
      <c r="AF29" s="2">
        <f>SUMIFS('Bilateral Assistance, MAIN DATA'!$M:$M,'Bilateral Assistance, MAIN DATA'!$B:$B,'Share, Heavy Weapons to Ukraine'!$B29,'Bilateral Assistance, MAIN DATA'!$AO:$AO,'Share, Heavy Weapons to Ukraine'!AF$11)</f>
        <v>0</v>
      </c>
      <c r="AG29" s="2">
        <f>SUMIFS('Bilateral Assistance, MAIN DATA'!$M:$M,'Bilateral Assistance, MAIN DATA'!$B:$B,'Share, Heavy Weapons to Ukraine'!$B29,'Bilateral Assistance, MAIN DATA'!$AO:$AO,'Share, Heavy Weapons to Ukraine'!AG$11)</f>
        <v>0</v>
      </c>
      <c r="AH29" s="2">
        <f>SUMIFS('Bilateral Assistance, MAIN DATA'!$M:$M,'Bilateral Assistance, MAIN DATA'!$B:$B,'Share, Heavy Weapons to Ukraine'!$B29,'Bilateral Assistance, MAIN DATA'!$AO:$AO,'Share, Heavy Weapons to Ukraine'!AH$11)</f>
        <v>0</v>
      </c>
      <c r="AI29" s="471"/>
      <c r="AJ29" s="2">
        <f>SUMIFS('Bilateral Assistance, MAIN DATA'!$N:$N,'Bilateral Assistance, MAIN DATA'!$B:$B,'Share, Heavy Weapons to Ukraine'!$B29,'Bilateral Assistance, MAIN DATA'!$AO:$AO,'Share, Heavy Weapons to Ukraine'!AJ$11)</f>
        <v>0</v>
      </c>
      <c r="AK29" s="2">
        <f>SUMIFS('Bilateral Assistance, MAIN DATA'!$N:$N,'Bilateral Assistance, MAIN DATA'!$B:$B,'Share, Heavy Weapons to Ukraine'!$B29,'Bilateral Assistance, MAIN DATA'!$AO:$AO,'Share, Heavy Weapons to Ukraine'!AK$11)</f>
        <v>0</v>
      </c>
      <c r="AL29" s="2">
        <f>SUMIFS('Bilateral Assistance, MAIN DATA'!$N:$N,'Bilateral Assistance, MAIN DATA'!$B:$B,'Share, Heavy Weapons to Ukraine'!$B29,'Bilateral Assistance, MAIN DATA'!$AO:$AO,'Share, Heavy Weapons to Ukraine'!AL$11)</f>
        <v>0</v>
      </c>
      <c r="AM29" s="2">
        <f>SUMIFS('Bilateral Assistance, MAIN DATA'!$N:$N,'Bilateral Assistance, MAIN DATA'!$B:$B,'Share, Heavy Weapons to Ukraine'!$B29,'Bilateral Assistance, MAIN DATA'!$AO:$AO,'Share, Heavy Weapons to Ukraine'!AM$11)</f>
        <v>0</v>
      </c>
      <c r="AN29" s="2">
        <f>SUMIFS('Bilateral Assistance, MAIN DATA'!$N:$N,'Bilateral Assistance, MAIN DATA'!$B:$B,'Share, Heavy Weapons to Ukraine'!$B29,'Bilateral Assistance, MAIN DATA'!$AO:$AO,'Share, Heavy Weapons to Ukraine'!AN$11)</f>
        <v>0</v>
      </c>
      <c r="AO29" s="2">
        <f t="shared" si="2"/>
        <v>0</v>
      </c>
      <c r="AP29" s="2">
        <f>SUMIFS('Bilateral Assistance, MAIN DATA'!$N:$N,'Bilateral Assistance, MAIN DATA'!$B:$B,'Share, Heavy Weapons to Ukraine'!$B29,'Bilateral Assistance, MAIN DATA'!$AO:$AO,'Share, Heavy Weapons to Ukraine'!AP$11)</f>
        <v>0</v>
      </c>
      <c r="AQ29" s="25">
        <f>SUMIFS('Bilateral Assistance, MAIN DATA'!$N:$N,'Bilateral Assistance, MAIN DATA'!$B:$B,'Share, Heavy Weapons to Ukraine'!$B29,'Bilateral Assistance, MAIN DATA'!$AO:$AO,"122mm MLRS")+SUMIFS('Bilateral Assistance, MAIN DATA'!$N:$N,'Bilateral Assistance, MAIN DATA'!$B:$B,'Share, Heavy Weapons to Ukraine'!$B29,'Bilateral Assistance, MAIN DATA'!$AO:$AO,"127mm MLRS")+SUMIFS('Bilateral Assistance, MAIN DATA'!$N:$N,'Bilateral Assistance, MAIN DATA'!$B:$B,'Share, Heavy Weapons to Ukraine'!$B29,'Bilateral Assistance, MAIN DATA'!$AO:$AO,"227mm MLRS")</f>
        <v>0</v>
      </c>
      <c r="AR29" s="2">
        <f>SUMIFS('Bilateral Assistance, MAIN DATA'!$N:$N,'Bilateral Assistance, MAIN DATA'!$B:$B,'Share, Heavy Weapons to Ukraine'!$B29,'Bilateral Assistance, MAIN DATA'!$AO:$AO,'Share, Heavy Weapons to Ukraine'!AR$11)</f>
        <v>0</v>
      </c>
      <c r="AS29" s="2">
        <f>SUMIFS('Bilateral Assistance, MAIN DATA'!$N:$N,'Bilateral Assistance, MAIN DATA'!$B:$B,'Share, Heavy Weapons to Ukraine'!$B29,'Bilateral Assistance, MAIN DATA'!$AO:$AO,'Share, Heavy Weapons to Ukraine'!AS$11)</f>
        <v>0</v>
      </c>
      <c r="AT29" s="2">
        <f>SUMIFS('Bilateral Assistance, MAIN DATA'!$N:$N,'Bilateral Assistance, MAIN DATA'!$B:$B,'Share, Heavy Weapons to Ukraine'!$B29,'Bilateral Assistance, MAIN DATA'!$AO:$AO,'Share, Heavy Weapons to Ukraine'!AT$11)</f>
        <v>0</v>
      </c>
      <c r="AU29" s="2">
        <f>SUMIFS('Bilateral Assistance, MAIN DATA'!$N:$N,'Bilateral Assistance, MAIN DATA'!$B:$B,'Share, Heavy Weapons to Ukraine'!$B29,'Bilateral Assistance, MAIN DATA'!$AO:$AO,'Share, Heavy Weapons to Ukraine'!AU$11)</f>
        <v>0</v>
      </c>
      <c r="AV29" s="2">
        <f>SUMIFS('Bilateral Assistance, MAIN DATA'!$N:$N,'Bilateral Assistance, MAIN DATA'!$B:$B,'Share, Heavy Weapons to Ukraine'!$B29,'Bilateral Assistance, MAIN DATA'!$AO:$AO,'Share, Heavy Weapons to Ukraine'!AV$11)</f>
        <v>0</v>
      </c>
      <c r="AW29" s="471"/>
      <c r="AX29" s="292">
        <f>IF(VLOOKUP($B29,$B:G,COLUMN(G28)-1,FALSE)&lt;&gt;0,VLOOKUP($B29,$B:V,COLUMN(V28)-1,FALSE)/VLOOKUP($B29,$B:G,COLUMN(G28)-1,FALSE),IF(VLOOKUP($B29,$B:V,COLUMN(V28)-1,FALSE)&lt;&gt;0,"Strange",0))</f>
        <v>0</v>
      </c>
      <c r="AY29" s="292">
        <f>IF(VLOOKUP($B29,$B:H,COLUMN(H28)-1,FALSE)&lt;&gt;0,VLOOKUP($B29,$B:W,COLUMN(W28)-1,FALSE)/VLOOKUP($B29,$B:H,COLUMN(H28)-1,FALSE),IF(VLOOKUP($B29,$B:W,COLUMN(W28)-1,FALSE)&lt;&gt;0,"Strange",0))</f>
        <v>0</v>
      </c>
      <c r="AZ29" s="292">
        <f>IF(VLOOKUP($B29,$B:I,COLUMN(I28)-1,FALSE)&lt;&gt;0,VLOOKUP($B29,$B:X,COLUMN(X28)-1,FALSE)/VLOOKUP($B29,$B:I,COLUMN(I28)-1,FALSE),IF(VLOOKUP($B29,$B:X,COLUMN(X28)-1,FALSE)&lt;&gt;0,"Strange",0))</f>
        <v>0</v>
      </c>
      <c r="BA29" s="292">
        <f>IF(VLOOKUP($B29,$B:J,COLUMN(J28)-1,FALSE)&lt;&gt;0,VLOOKUP($B29,$B:Y,COLUMN(Y28)-1,FALSE)/VLOOKUP($B29,$B:J,COLUMN(J28)-1,FALSE),IF(VLOOKUP($B29,$B:Y,COLUMN(Y28)-1,FALSE)&lt;&gt;0,"Strange",0))</f>
        <v>0</v>
      </c>
      <c r="BB29" s="292">
        <f>IF(VLOOKUP($B29,$B:K,COLUMN(K28)-1,FALSE)&lt;&gt;0,VLOOKUP($B29,$B:Z,COLUMN(Z28)-1,FALSE)/VLOOKUP($B29,$B:K,COLUMN(K28)-1,FALSE),IF(VLOOKUP($B29,$B:Z,COLUMN(Z28)-1,FALSE)&lt;&gt;0,"Strange",0))</f>
        <v>0</v>
      </c>
      <c r="BC29" s="292">
        <f>IF(VLOOKUP($B29,$B:L,COLUMN(L28)-1,FALSE)&lt;&gt;0,VLOOKUP($B29,$B:AA,COLUMN(AA28)-1,FALSE)/VLOOKUP($B29,$B:L,COLUMN(L28)-1,FALSE),IF(VLOOKUP($B29,$B:AA,COLUMN(AA28)-1,FALSE)&lt;&gt;0,"Strange",0))</f>
        <v>0</v>
      </c>
      <c r="BD29" s="292">
        <f>IF(VLOOKUP($B29,$B:M,COLUMN(M28)-1,FALSE)&lt;&gt;0,VLOOKUP($B29,$B:AB,COLUMN(AB28)-1,FALSE)/VLOOKUP($B29,$B:M,COLUMN(M28)-1,FALSE),IF(VLOOKUP($B29,$B:AB,COLUMN(AB28)-1,FALSE)&lt;&gt;0,"Strange",0))</f>
        <v>0</v>
      </c>
      <c r="BE29" s="292">
        <f>IF(VLOOKUP($B29,$B:N,COLUMN(N28)-1,FALSE)&lt;&gt;0,VLOOKUP($B29,$B:AC,COLUMN(AC28)-1,FALSE)/VLOOKUP($B29,$B:N,COLUMN(N28)-1,FALSE),IF(VLOOKUP($B29,$B:AC,COLUMN(AC28)-1,FALSE)&lt;&gt;0,"Strange",0))</f>
        <v>0</v>
      </c>
      <c r="BF29" s="292">
        <f>IF(VLOOKUP($B29,$B:O,COLUMN(O28)-1,FALSE)&lt;&gt;0,VLOOKUP($B29,$B:AD,COLUMN(AD28)-1,FALSE)/VLOOKUP($B29,$B:O,COLUMN(O28)-1,FALSE),IF(VLOOKUP($B29,$B:AD,COLUMN(AD28)-1,FALSE)&lt;&gt;0,"Strange",0))</f>
        <v>0</v>
      </c>
      <c r="BG29" s="292">
        <f>IF(VLOOKUP($B29,$B:Q,COLUMN(Q28)-1,FALSE)&lt;&gt;0,VLOOKUP($B29,$B:AE,COLUMN(AE28)-1,FALSE)/VLOOKUP($B29,$B:Q,COLUMN(Q28)-1,FALSE),IF(VLOOKUP($B29,$B:AE,COLUMN(AE28)-1,FALSE)&lt;&gt;0,"Strange",0))</f>
        <v>0</v>
      </c>
      <c r="BH29" s="292">
        <f>IF(VLOOKUP($B29,$B:R,COLUMN(R28)-1,FALSE)&lt;&gt;0,VLOOKUP($B29,$B:AF,COLUMN(AF28)-1,FALSE)/VLOOKUP($B29,$B:R,COLUMN(R28)-1,FALSE),IF(VLOOKUP($B29,$B:AF,COLUMN(AF28)-1,FALSE)&lt;&gt;0,"Strange",0))</f>
        <v>0</v>
      </c>
      <c r="BI29" s="292">
        <f>IF(VLOOKUP($B29,$B:S,COLUMN(S28)-1,FALSE)&lt;&gt;0,VLOOKUP($B29,$B:AG,COLUMN(AG28)-1,FALSE)/VLOOKUP($B29,$B:S,COLUMN(S28)-1,FALSE),IF(VLOOKUP($B29,$B:AG,COLUMN(AG28)-1,FALSE)&lt;&gt;0,"Strange",0))</f>
        <v>0</v>
      </c>
      <c r="BJ29" s="292">
        <f>IF(VLOOKUP($B29,$B:T,COLUMN(T28)-1,FALSE)&lt;&gt;0,VLOOKUP($B29,$B:AH,COLUMN(AH28)-1,FALSE)/VLOOKUP($B29,$B:T,COLUMN(T28)-1,FALSE),IF(VLOOKUP($B29,$B:AH,COLUMN(AH28)-1,FALSE)&lt;&gt;0,"Strange",0))</f>
        <v>0</v>
      </c>
      <c r="BK29" s="471"/>
      <c r="BL29" s="2">
        <f>IF(VLOOKUP($B29,$B:W,COLUMN(G28)-1,FALSE)&lt;&gt;0,VLOOKUP($B29,$B:AK,COLUMN(AJ28)-1,FALSE)/VLOOKUP($B29,$B:W,COLUMN(G28)-1,FALSE),IF(VLOOKUP($B29,$B:AK,COLUMN(AJ28)-1,FALSE)&lt;&gt;0,"Strange",0))</f>
        <v>0</v>
      </c>
      <c r="BM29" s="2">
        <f>IF(VLOOKUP($B29,$B:X,COLUMN(H28)-1,FALSE)&lt;&gt;0,VLOOKUP($B29,$B:AL,COLUMN(AK28)-1,FALSE)/VLOOKUP($B29,$B:X,COLUMN(H28)-1,FALSE),IF(VLOOKUP($B29,$B:AL,COLUMN(AK28)-1,FALSE)&lt;&gt;0,"Strange",0))</f>
        <v>0</v>
      </c>
      <c r="BN29" s="2">
        <f>IF(VLOOKUP($B29,$B:Y,COLUMN(I28)-1,FALSE)&lt;&gt;0,VLOOKUP($B29,$B:AM,COLUMN(AL28)-1,FALSE)/VLOOKUP($B29,$B:Y,COLUMN(I28)-1,FALSE),IF(VLOOKUP($B29,$B:AM,COLUMN(AL28)-1,FALSE)&lt;&gt;0,"Strange",0))</f>
        <v>0</v>
      </c>
      <c r="BO29" s="2">
        <f>IF(VLOOKUP($B29,$B:Z,COLUMN(J28)-1,FALSE)&lt;&gt;0,VLOOKUP($B29,$B:AN,COLUMN(AM28)-1,FALSE)/VLOOKUP($B29,$B:Z,COLUMN(J28)-1,FALSE),IF(VLOOKUP($B29,$B:AN,COLUMN(AM28)-1,FALSE)&lt;&gt;0,"Strange",0))</f>
        <v>0</v>
      </c>
      <c r="BP29" s="2">
        <f>IF(VLOOKUP($B29,$B:AB,COLUMN(K28)-1,FALSE)&lt;&gt;0,VLOOKUP($B29,$B:AP,COLUMN(AN28)-1,FALSE)/VLOOKUP($B29,$B:AB,COLUMN(K28)-1,FALSE),IF(VLOOKUP($B29,$B:AP,COLUMN(AN28)-1,FALSE)&lt;&gt;0,"Strange",0))</f>
        <v>0</v>
      </c>
      <c r="BQ29" s="2">
        <f>IF(VLOOKUP($B29,$B:AC,COLUMN(L28)-1,FALSE)&lt;&gt;0,VLOOKUP($B29,$B:AQ,COLUMN(AO28)-1,FALSE)/VLOOKUP($B29,$B:AC,COLUMN(L28)-1,FALSE),IF(VLOOKUP($B29,$B:AQ,COLUMN(AO28)-1,FALSE)&lt;&gt;0,"Strange",0))</f>
        <v>0</v>
      </c>
      <c r="BR29" s="2">
        <f>IF(VLOOKUP($B29,$B:AC,COLUMN(M28)-1,FALSE)&lt;&gt;0,VLOOKUP($B29,$B:AQ,COLUMN(AP28)-1,FALSE)/VLOOKUP($B29,$B:AC,COLUMN(M28)-1,FALSE),IF(VLOOKUP($B29,$B:AQ,COLUMN(AP28)-1,FALSE)&lt;&gt;0,"Strange",0))</f>
        <v>0</v>
      </c>
      <c r="BS29" s="2">
        <f>IF(VLOOKUP($B29,$B:AD,COLUMN(N28)-1,FALSE)&lt;&gt;0,VLOOKUP($B29,$B:AR,COLUMN(AQ28)-1,FALSE)/VLOOKUP($B29,$B:AD,COLUMN(N28)-1,FALSE),IF(VLOOKUP($B29,$B:AR,COLUMN(AQ28)-1,FALSE)&lt;&gt;0,"Strange",0))</f>
        <v>0</v>
      </c>
      <c r="BT29" s="2">
        <f>IF(VLOOKUP($B29,$B:AD,COLUMN(O28)-1,FALSE)&lt;&gt;0,VLOOKUP($B29,$B:AR,COLUMN(AR28)-1,FALSE)/VLOOKUP($B29,$B:AD,COLUMN(O28)-1,FALSE),IF(VLOOKUP($B29,$B:AR,COLUMN(AR28)-1,FALSE)&lt;&gt;0,"Strange",0))</f>
        <v>0</v>
      </c>
      <c r="BU29" s="2">
        <f>IF(VLOOKUP($B29,$B:AE,COLUMN(Q28)-1,FALSE)&lt;&gt;0,VLOOKUP($B29,$B:AS,COLUMN(AS28)-1,FALSE)/VLOOKUP($B29,$B:AE,COLUMN(Q28)-1,FALSE),IF(VLOOKUP($B29,$B:AS,COLUMN(AS28)-1,FALSE)&lt;&gt;0,"Strange",0))</f>
        <v>0</v>
      </c>
      <c r="BV29" s="2">
        <f>IF(VLOOKUP($B29,$B:AF,COLUMN(R28)-1,FALSE)&lt;&gt;0,VLOOKUP($B29,$B:AT,COLUMN(AT28)-1,FALSE)/VLOOKUP($B29,$B:AF,COLUMN(R28)-1,FALSE),IF(VLOOKUP($B29,$B:AT,COLUMN(AT28)-1,FALSE)&lt;&gt;0,"Strange",0))</f>
        <v>0</v>
      </c>
      <c r="BW29" s="2">
        <f>IF(VLOOKUP($B29,$B:AG,COLUMN(S28)-1,FALSE)&lt;&gt;0,VLOOKUP($B29,$B:AU,COLUMN(AU28)-1,FALSE)/VLOOKUP($B29,$B:AG,COLUMN(S28)-1,FALSE),IF(VLOOKUP($B29,$B:AU,COLUMN(AU28)-1,FALSE)&lt;&gt;0,"Strange",0))</f>
        <v>0</v>
      </c>
      <c r="BX29" s="2">
        <f>IF(VLOOKUP($B29,$B:AH,COLUMN(T28)-1,FALSE)&lt;&gt;0,VLOOKUP($B29,$B:AV,COLUMN(AV28)-1,FALSE)/VLOOKUP($B29,$B:AH,COLUMN(T28)-1,FALSE),IF(VLOOKUP($B29,$B:AV,COLUMN(AV28)-1,FALSE)&lt;&gt;0,"Strange",0))</f>
        <v>0</v>
      </c>
      <c r="BY29" s="471"/>
      <c r="BZ29" s="2">
        <f>SUMIFS('Bilateral Assistance, MAIN DATA'!$M:$M,'Bilateral Assistance, MAIN DATA'!$B:$B,'Share, Heavy Weapons to Ukraine'!$B29,'Bilateral Assistance, MAIN DATA'!$AO:$AO,'Share, Heavy Weapons to Ukraine'!BZ$11, 'Bilateral Assistance, MAIN DATA'!$AA:$AA,1)</f>
        <v>0</v>
      </c>
      <c r="CA29" s="2">
        <f>SUMIFS('Bilateral Assistance, MAIN DATA'!$M:$M,'Bilateral Assistance, MAIN DATA'!$B:$B,'Share, Heavy Weapons to Ukraine'!$B29,'Bilateral Assistance, MAIN DATA'!$AO:$AO,'Share, Heavy Weapons to Ukraine'!CA$11, 'Bilateral Assistance, MAIN DATA'!$AA:$AA,1)</f>
        <v>0</v>
      </c>
      <c r="CB29" s="2">
        <f>SUMIFS('Bilateral Assistance, MAIN DATA'!$M:$M,'Bilateral Assistance, MAIN DATA'!$B:$B,'Share, Heavy Weapons to Ukraine'!$B29,'Bilateral Assistance, MAIN DATA'!$AO:$AO,'Share, Heavy Weapons to Ukraine'!CB$11, 'Bilateral Assistance, MAIN DATA'!$AA:$AA,1)</f>
        <v>0</v>
      </c>
      <c r="CC29" s="2">
        <f>SUMIFS('Bilateral Assistance, MAIN DATA'!$M:$M,'Bilateral Assistance, MAIN DATA'!$B:$B,'Share, Heavy Weapons to Ukraine'!$B29,'Bilateral Assistance, MAIN DATA'!$AO:$AO,'Share, Heavy Weapons to Ukraine'!CC$11, 'Bilateral Assistance, MAIN DATA'!$AA:$AA,1)</f>
        <v>0</v>
      </c>
      <c r="CD29" s="471"/>
      <c r="CE29" s="2">
        <f>SUMIFS('Bilateral Assistance, MAIN DATA'!$N:$N,'Bilateral Assistance, MAIN DATA'!$B:$B,'Share, Heavy Weapons to Ukraine'!$B29,'Bilateral Assistance, MAIN DATA'!$AO:$AO,'Share, Heavy Weapons to Ukraine'!CE$11, 'Bilateral Assistance, MAIN DATA'!$AA:$AA,1)</f>
        <v>0</v>
      </c>
      <c r="CF29" s="2">
        <f>SUMIFS('Bilateral Assistance, MAIN DATA'!$N:$N,'Bilateral Assistance, MAIN DATA'!$B:$B,'Share, Heavy Weapons to Ukraine'!$B29,'Bilateral Assistance, MAIN DATA'!$AO:$AO,'Share, Heavy Weapons to Ukraine'!CF$11, 'Bilateral Assistance, MAIN DATA'!$AA:$AA,1)</f>
        <v>0</v>
      </c>
      <c r="CG29" s="2">
        <f>SUMIFS('Bilateral Assistance, MAIN DATA'!$N:$N,'Bilateral Assistance, MAIN DATA'!$B:$B,'Share, Heavy Weapons to Ukraine'!$B29,'Bilateral Assistance, MAIN DATA'!$AO:$AO,'Share, Heavy Weapons to Ukraine'!CG$11, 'Bilateral Assistance, MAIN DATA'!$AA:$AA,1)</f>
        <v>0</v>
      </c>
      <c r="CH29" s="2">
        <f>SUMIFS('Bilateral Assistance, MAIN DATA'!$N:$N,'Bilateral Assistance, MAIN DATA'!$B:$B,'Share, Heavy Weapons to Ukraine'!$B29,'Bilateral Assistance, MAIN DATA'!$AO:$AO,'Share, Heavy Weapons to Ukraine'!CH$11, 'Bilateral Assistance, MAIN DATA'!$AA:$AA,1)</f>
        <v>0</v>
      </c>
    </row>
    <row r="30" spans="2:86" ht="15.6" x14ac:dyDescent="0.3">
      <c r="B30" s="470" t="s">
        <v>856</v>
      </c>
      <c r="C30" s="470">
        <v>0</v>
      </c>
      <c r="D30" s="2">
        <v>1</v>
      </c>
      <c r="E30" s="471"/>
      <c r="F30" s="472">
        <v>5.42</v>
      </c>
      <c r="G30" s="470">
        <f>VLOOKUP(B30,'Heavy Weapon Stocks'!B:OE,COLUMN('Heavy Weapon Stocks'!$C$11)-1,FALSE)</f>
        <v>62</v>
      </c>
      <c r="H30" s="470">
        <f>VLOOKUP(B30,'Heavy Weapon Stocks'!B:OE,COLUMN('Heavy Weapon Stocks'!$AT$11)-1,FALSE)</f>
        <v>287</v>
      </c>
      <c r="I30" s="470">
        <f>VLOOKUP(B30,'Heavy Weapon Stocks'!B:OE,COLUMN('Heavy Weapon Stocks'!$DN$11)-1,FALSE)</f>
        <v>0</v>
      </c>
      <c r="J30" s="470">
        <f>VLOOKUP(B30,'Heavy Weapon Stocks'!B:OE,COLUMN('Heavy Weapon Stocks'!$EB$11)-1,FALSE)</f>
        <v>140</v>
      </c>
      <c r="K30" s="470">
        <f>VLOOKUP(B30,'Heavy Weapon Stocks'!B:OE,COLUMN('Heavy Weapon Stocks'!$FD$11)-1,FALSE)</f>
        <v>44</v>
      </c>
      <c r="L30" s="470">
        <f t="shared" si="3"/>
        <v>471</v>
      </c>
      <c r="M30" s="470">
        <f>VLOOKUP(B30,'Heavy Weapon Stocks'!B:OE,COLUMN('Heavy Weapon Stocks'!$GZ$11)-1,FALSE)+VLOOKUP(B30,'Heavy Weapon Stocks'!B:OE,COLUMN('Heavy Weapon Stocks'!$IF$11)-1,FALSE)+5</f>
        <v>25</v>
      </c>
      <c r="N30" s="470">
        <f>VLOOKUP(B30,'Heavy Weapon Stocks'!B:OE,COLUMN('Heavy Weapon Stocks'!$IK$11)-1,FALSE)</f>
        <v>0</v>
      </c>
      <c r="O30" s="470">
        <f>VLOOKUP(B30,'Heavy Weapon Stocks'!B:OE,COLUMN('Heavy Weapon Stocks'!$JE$11)-1,FALSE)+VLOOKUP(B30,'Heavy Weapon Stocks'!B:OE,COLUMN('Heavy Weapon Stocks'!$KB$11)-1,FALSE)</f>
        <v>48</v>
      </c>
      <c r="Q30" s="470">
        <f>VLOOKUP(B30,'Heavy Weapon Stocks'!B:OE,COLUMN('Heavy Weapon Stocks'!$LS$11)-1,FALSE)</f>
        <v>0</v>
      </c>
      <c r="R30" s="470">
        <f>VLOOKUP(B30,'Heavy Weapon Stocks'!B:OE,COLUMN('Heavy Weapon Stocks'!$MC$11)-1,FALSE)</f>
        <v>0</v>
      </c>
      <c r="S30" s="470">
        <f>VLOOKUP(B30,'Heavy Weapon Stocks'!B:OE,COLUMN('Heavy Weapon Stocks'!$MJ$11)-1,FALSE)</f>
        <v>0</v>
      </c>
      <c r="T30" s="470">
        <f>VLOOKUP(B30,'Heavy Weapon Stocks'!B:OE,COLUMN('Heavy Weapon Stocks'!$NO$11)-1,FALSE)</f>
        <v>0</v>
      </c>
      <c r="U30" s="471"/>
      <c r="V30" s="2">
        <f>SUMIFS('Bilateral Assistance, MAIN DATA'!$M:$M,'Bilateral Assistance, MAIN DATA'!$B:$B,'Share, Heavy Weapons to Ukraine'!$B30,'Bilateral Assistance, MAIN DATA'!$AO:$AO,'Share, Heavy Weapons to Ukraine'!V$11)</f>
        <v>0</v>
      </c>
      <c r="W30" s="2">
        <f>SUMIFS('Bilateral Assistance, MAIN DATA'!$M:$M,'Bilateral Assistance, MAIN DATA'!$B:$B,'Share, Heavy Weapons to Ukraine'!$B30,'Bilateral Assistance, MAIN DATA'!$AO:$AO,'Share, Heavy Weapons to Ukraine'!W$11)</f>
        <v>50</v>
      </c>
      <c r="X30" s="2">
        <f>SUMIFS('Bilateral Assistance, MAIN DATA'!$M:$M,'Bilateral Assistance, MAIN DATA'!$B:$B,'Share, Heavy Weapons to Ukraine'!$B30,'Bilateral Assistance, MAIN DATA'!$AO:$AO,'Share, Heavy Weapons to Ukraine'!X$11)</f>
        <v>0</v>
      </c>
      <c r="Y30" s="2">
        <f>SUMIFS('Bilateral Assistance, MAIN DATA'!$M:$M,'Bilateral Assistance, MAIN DATA'!$B:$B,'Share, Heavy Weapons to Ukraine'!$B30,'Bilateral Assistance, MAIN DATA'!$AO:$AO,'Share, Heavy Weapons to Ukraine'!Y$11)</f>
        <v>0</v>
      </c>
      <c r="Z30" s="2">
        <f>SUMIFS('Bilateral Assistance, MAIN DATA'!$M:$M,'Bilateral Assistance, MAIN DATA'!$B:$B,'Share, Heavy Weapons to Ukraine'!$B30,'Bilateral Assistance, MAIN DATA'!$AO:$AO,'Share, Heavy Weapons to Ukraine'!Z$11)</f>
        <v>0</v>
      </c>
      <c r="AA30" s="2">
        <f t="shared" si="1"/>
        <v>50</v>
      </c>
      <c r="AB30" s="2">
        <f>SUMIFS('Bilateral Assistance, MAIN DATA'!$M:$M,'Bilateral Assistance, MAIN DATA'!$B:$B,'Share, Heavy Weapons to Ukraine'!$B30,'Bilateral Assistance, MAIN DATA'!$AO:$AO,'Share, Heavy Weapons to Ukraine'!AB$11)</f>
        <v>5</v>
      </c>
      <c r="AC30" s="25">
        <f>SUMIFS('Bilateral Assistance, MAIN DATA'!$M:$M,'Bilateral Assistance, MAIN DATA'!$B:$B,'Share, Heavy Weapons to Ukraine'!$B30,'Bilateral Assistance, MAIN DATA'!$AO:$AO,"122mm MLRS")+SUMIFS('Bilateral Assistance, MAIN DATA'!$M:$M,'Bilateral Assistance, MAIN DATA'!$B:$B,'Share, Heavy Weapons to Ukraine'!$B30,'Bilateral Assistance, MAIN DATA'!$AO:$AO,"127mm MLRS")+SUMIFS('Bilateral Assistance, MAIN DATA'!$M:$M,'Bilateral Assistance, MAIN DATA'!$B:$B,'Share, Heavy Weapons to Ukraine'!$B30,'Bilateral Assistance, MAIN DATA'!$AO:$AO,"227mm MLRS")</f>
        <v>0</v>
      </c>
      <c r="AD30" s="2">
        <f>SUMIFS('Bilateral Assistance, MAIN DATA'!$M:$M,'Bilateral Assistance, MAIN DATA'!$B:$B,'Share, Heavy Weapons to Ukraine'!$B30,'Bilateral Assistance, MAIN DATA'!$AO:$AO,'Share, Heavy Weapons to Ukraine'!AD$11)</f>
        <v>0</v>
      </c>
      <c r="AE30" s="2">
        <f>SUMIFS('Bilateral Assistance, MAIN DATA'!$M:$M,'Bilateral Assistance, MAIN DATA'!$B:$B,'Share, Heavy Weapons to Ukraine'!$B30,'Bilateral Assistance, MAIN DATA'!$AO:$AO,'Share, Heavy Weapons to Ukraine'!AE$11)</f>
        <v>0</v>
      </c>
      <c r="AF30" s="2">
        <f>SUMIFS('Bilateral Assistance, MAIN DATA'!$M:$M,'Bilateral Assistance, MAIN DATA'!$B:$B,'Share, Heavy Weapons to Ukraine'!$B30,'Bilateral Assistance, MAIN DATA'!$AO:$AO,'Share, Heavy Weapons to Ukraine'!AF$11)</f>
        <v>0</v>
      </c>
      <c r="AG30" s="2">
        <f>SUMIFS('Bilateral Assistance, MAIN DATA'!$M:$M,'Bilateral Assistance, MAIN DATA'!$B:$B,'Share, Heavy Weapons to Ukraine'!$B30,'Bilateral Assistance, MAIN DATA'!$AO:$AO,'Share, Heavy Weapons to Ukraine'!AG$11)</f>
        <v>0</v>
      </c>
      <c r="AH30" s="2">
        <f>SUMIFS('Bilateral Assistance, MAIN DATA'!$M:$M,'Bilateral Assistance, MAIN DATA'!$B:$B,'Share, Heavy Weapons to Ukraine'!$B30,'Bilateral Assistance, MAIN DATA'!$AO:$AO,'Share, Heavy Weapons to Ukraine'!AH$11)</f>
        <v>0</v>
      </c>
      <c r="AI30" s="471"/>
      <c r="AJ30" s="2">
        <f>SUMIFS('Bilateral Assistance, MAIN DATA'!$N:$N,'Bilateral Assistance, MAIN DATA'!$B:$B,'Share, Heavy Weapons to Ukraine'!$B30,'Bilateral Assistance, MAIN DATA'!$AO:$AO,'Share, Heavy Weapons to Ukraine'!AJ$11)</f>
        <v>0</v>
      </c>
      <c r="AK30" s="2">
        <f>SUMIFS('Bilateral Assistance, MAIN DATA'!$N:$N,'Bilateral Assistance, MAIN DATA'!$B:$B,'Share, Heavy Weapons to Ukraine'!$B30,'Bilateral Assistance, MAIN DATA'!$AO:$AO,'Share, Heavy Weapons to Ukraine'!AK$11)</f>
        <v>0</v>
      </c>
      <c r="AL30" s="2">
        <f>SUMIFS('Bilateral Assistance, MAIN DATA'!$N:$N,'Bilateral Assistance, MAIN DATA'!$B:$B,'Share, Heavy Weapons to Ukraine'!$B30,'Bilateral Assistance, MAIN DATA'!$AO:$AO,'Share, Heavy Weapons to Ukraine'!AL$11)</f>
        <v>0</v>
      </c>
      <c r="AM30" s="2">
        <f>SUMIFS('Bilateral Assistance, MAIN DATA'!$N:$N,'Bilateral Assistance, MAIN DATA'!$B:$B,'Share, Heavy Weapons to Ukraine'!$B30,'Bilateral Assistance, MAIN DATA'!$AO:$AO,'Share, Heavy Weapons to Ukraine'!AM$11)</f>
        <v>0</v>
      </c>
      <c r="AN30" s="2">
        <f>SUMIFS('Bilateral Assistance, MAIN DATA'!$N:$N,'Bilateral Assistance, MAIN DATA'!$B:$B,'Share, Heavy Weapons to Ukraine'!$B30,'Bilateral Assistance, MAIN DATA'!$AO:$AO,'Share, Heavy Weapons to Ukraine'!AN$11)</f>
        <v>0</v>
      </c>
      <c r="AO30" s="2">
        <f t="shared" si="2"/>
        <v>0</v>
      </c>
      <c r="AP30" s="2">
        <f>SUMIFS('Bilateral Assistance, MAIN DATA'!$N:$N,'Bilateral Assistance, MAIN DATA'!$B:$B,'Share, Heavy Weapons to Ukraine'!$B30,'Bilateral Assistance, MAIN DATA'!$AO:$AO,'Share, Heavy Weapons to Ukraine'!AP$11)</f>
        <v>0</v>
      </c>
      <c r="AQ30" s="25">
        <f>SUMIFS('Bilateral Assistance, MAIN DATA'!$N:$N,'Bilateral Assistance, MAIN DATA'!$B:$B,'Share, Heavy Weapons to Ukraine'!$B30,'Bilateral Assistance, MAIN DATA'!$AO:$AO,"122mm MLRS")+SUMIFS('Bilateral Assistance, MAIN DATA'!$N:$N,'Bilateral Assistance, MAIN DATA'!$B:$B,'Share, Heavy Weapons to Ukraine'!$B30,'Bilateral Assistance, MAIN DATA'!$AO:$AO,"127mm MLRS")+SUMIFS('Bilateral Assistance, MAIN DATA'!$N:$N,'Bilateral Assistance, MAIN DATA'!$B:$B,'Share, Heavy Weapons to Ukraine'!$B30,'Bilateral Assistance, MAIN DATA'!$AO:$AO,"227mm MLRS")</f>
        <v>0</v>
      </c>
      <c r="AR30" s="2">
        <f>SUMIFS('Bilateral Assistance, MAIN DATA'!$N:$N,'Bilateral Assistance, MAIN DATA'!$B:$B,'Share, Heavy Weapons to Ukraine'!$B30,'Bilateral Assistance, MAIN DATA'!$AO:$AO,'Share, Heavy Weapons to Ukraine'!AR$11)</f>
        <v>0</v>
      </c>
      <c r="AS30" s="2">
        <f>SUMIFS('Bilateral Assistance, MAIN DATA'!$N:$N,'Bilateral Assistance, MAIN DATA'!$B:$B,'Share, Heavy Weapons to Ukraine'!$B30,'Bilateral Assistance, MAIN DATA'!$AO:$AO,'Share, Heavy Weapons to Ukraine'!AS$11)</f>
        <v>0</v>
      </c>
      <c r="AT30" s="2">
        <f>SUMIFS('Bilateral Assistance, MAIN DATA'!$N:$N,'Bilateral Assistance, MAIN DATA'!$B:$B,'Share, Heavy Weapons to Ukraine'!$B30,'Bilateral Assistance, MAIN DATA'!$AO:$AO,'Share, Heavy Weapons to Ukraine'!AT$11)</f>
        <v>0</v>
      </c>
      <c r="AU30" s="2">
        <f>SUMIFS('Bilateral Assistance, MAIN DATA'!$N:$N,'Bilateral Assistance, MAIN DATA'!$B:$B,'Share, Heavy Weapons to Ukraine'!$B30,'Bilateral Assistance, MAIN DATA'!$AO:$AO,'Share, Heavy Weapons to Ukraine'!AU$11)</f>
        <v>0</v>
      </c>
      <c r="AV30" s="2">
        <f>SUMIFS('Bilateral Assistance, MAIN DATA'!$N:$N,'Bilateral Assistance, MAIN DATA'!$B:$B,'Share, Heavy Weapons to Ukraine'!$B30,'Bilateral Assistance, MAIN DATA'!$AO:$AO,'Share, Heavy Weapons to Ukraine'!AV$11)</f>
        <v>0</v>
      </c>
      <c r="AW30" s="471"/>
      <c r="AX30" s="292">
        <f>IF(VLOOKUP($B30,$B:G,COLUMN(G29)-1,FALSE)&lt;&gt;0,VLOOKUP($B30,$B:V,COLUMN(V29)-1,FALSE)/VLOOKUP($B30,$B:G,COLUMN(G29)-1,FALSE),IF(VLOOKUP($B30,$B:V,COLUMN(V29)-1,FALSE)&lt;&gt;0,"Strange",0))</f>
        <v>0</v>
      </c>
      <c r="AY30" s="292">
        <f>IF(VLOOKUP($B30,$B:H,COLUMN(H29)-1,FALSE)&lt;&gt;0,VLOOKUP($B30,$B:W,COLUMN(W29)-1,FALSE)/VLOOKUP($B30,$B:H,COLUMN(H29)-1,FALSE),IF(VLOOKUP($B30,$B:W,COLUMN(W29)-1,FALSE)&lt;&gt;0,"Strange",0))</f>
        <v>0.17421602787456447</v>
      </c>
      <c r="AZ30" s="292">
        <f>IF(VLOOKUP($B30,$B:I,COLUMN(I29)-1,FALSE)&lt;&gt;0,VLOOKUP($B30,$B:X,COLUMN(X29)-1,FALSE)/VLOOKUP($B30,$B:I,COLUMN(I29)-1,FALSE),IF(VLOOKUP($B30,$B:X,COLUMN(X29)-1,FALSE)&lt;&gt;0,"Strange",0))</f>
        <v>0</v>
      </c>
      <c r="BA30" s="292">
        <f>IF(VLOOKUP($B30,$B:J,COLUMN(J29)-1,FALSE)&lt;&gt;0,VLOOKUP($B30,$B:Y,COLUMN(Y29)-1,FALSE)/VLOOKUP($B30,$B:J,COLUMN(J29)-1,FALSE),IF(VLOOKUP($B30,$B:Y,COLUMN(Y29)-1,FALSE)&lt;&gt;0,"Strange",0))</f>
        <v>0</v>
      </c>
      <c r="BB30" s="292">
        <f>IF(VLOOKUP($B30,$B:K,COLUMN(K29)-1,FALSE)&lt;&gt;0,VLOOKUP($B30,$B:Z,COLUMN(Z29)-1,FALSE)/VLOOKUP($B30,$B:K,COLUMN(K29)-1,FALSE),IF(VLOOKUP($B30,$B:Z,COLUMN(Z29)-1,FALSE)&lt;&gt;0,"Strange",0))</f>
        <v>0</v>
      </c>
      <c r="BC30" s="292">
        <f>IF(VLOOKUP($B30,$B:L,COLUMN(L29)-1,FALSE)&lt;&gt;0,VLOOKUP($B30,$B:AA,COLUMN(AA29)-1,FALSE)/VLOOKUP($B30,$B:L,COLUMN(L29)-1,FALSE),IF(VLOOKUP($B30,$B:AA,COLUMN(AA29)-1,FALSE)&lt;&gt;0,"Strange",0))</f>
        <v>0.10615711252653928</v>
      </c>
      <c r="BD30" s="292">
        <f>IF(VLOOKUP($B30,$B:M,COLUMN(M29)-1,FALSE)&lt;&gt;0,VLOOKUP($B30,$B:AB,COLUMN(AB29)-1,FALSE)/VLOOKUP($B30,$B:M,COLUMN(M29)-1,FALSE),IF(VLOOKUP($B30,$B:AB,COLUMN(AB29)-1,FALSE)&lt;&gt;0,"Strange",0))</f>
        <v>0.2</v>
      </c>
      <c r="BE30" s="292">
        <f>IF(VLOOKUP($B30,$B:N,COLUMN(N29)-1,FALSE)&lt;&gt;0,VLOOKUP($B30,$B:AC,COLUMN(AC29)-1,FALSE)/VLOOKUP($B30,$B:N,COLUMN(N29)-1,FALSE),IF(VLOOKUP($B30,$B:AC,COLUMN(AC29)-1,FALSE)&lt;&gt;0,"Strange",0))</f>
        <v>0</v>
      </c>
      <c r="BF30" s="292">
        <f>IF(VLOOKUP($B30,$B:O,COLUMN(O29)-1,FALSE)&lt;&gt;0,VLOOKUP($B30,$B:AD,COLUMN(AD29)-1,FALSE)/VLOOKUP($B30,$B:O,COLUMN(O29)-1,FALSE),IF(VLOOKUP($B30,$B:AD,COLUMN(AD29)-1,FALSE)&lt;&gt;0,"Strange",0))</f>
        <v>0</v>
      </c>
      <c r="BG30" s="292">
        <f>IF(VLOOKUP($B30,$B:Q,COLUMN(Q29)-1,FALSE)&lt;&gt;0,VLOOKUP($B30,$B:AE,COLUMN(AE29)-1,FALSE)/VLOOKUP($B30,$B:Q,COLUMN(Q29)-1,FALSE),IF(VLOOKUP($B30,$B:AE,COLUMN(AE29)-1,FALSE)&lt;&gt;0,"Strange",0))</f>
        <v>0</v>
      </c>
      <c r="BH30" s="292">
        <f>IF(VLOOKUP($B30,$B:R,COLUMN(R29)-1,FALSE)&lt;&gt;0,VLOOKUP($B30,$B:AF,COLUMN(AF29)-1,FALSE)/VLOOKUP($B30,$B:R,COLUMN(R29)-1,FALSE),IF(VLOOKUP($B30,$B:AF,COLUMN(AF29)-1,FALSE)&lt;&gt;0,"Strange",0))</f>
        <v>0</v>
      </c>
      <c r="BI30" s="292">
        <f>IF(VLOOKUP($B30,$B:S,COLUMN(S29)-1,FALSE)&lt;&gt;0,VLOOKUP($B30,$B:AG,COLUMN(AG29)-1,FALSE)/VLOOKUP($B30,$B:S,COLUMN(S29)-1,FALSE),IF(VLOOKUP($B30,$B:AG,COLUMN(AG29)-1,FALSE)&lt;&gt;0,"Strange",0))</f>
        <v>0</v>
      </c>
      <c r="BJ30" s="292">
        <f>IF(VLOOKUP($B30,$B:T,COLUMN(T29)-1,FALSE)&lt;&gt;0,VLOOKUP($B30,$B:AH,COLUMN(AH29)-1,FALSE)/VLOOKUP($B30,$B:T,COLUMN(T29)-1,FALSE),IF(VLOOKUP($B30,$B:AH,COLUMN(AH29)-1,FALSE)&lt;&gt;0,"Strange",0))</f>
        <v>0</v>
      </c>
      <c r="BK30" s="471"/>
      <c r="BL30" s="2">
        <f>IF(VLOOKUP($B30,$B:W,COLUMN(G29)-1,FALSE)&lt;&gt;0,VLOOKUP($B30,$B:AK,COLUMN(AJ29)-1,FALSE)/VLOOKUP($B30,$B:W,COLUMN(G29)-1,FALSE),IF(VLOOKUP($B30,$B:AK,COLUMN(AJ29)-1,FALSE)&lt;&gt;0,"Strange",0))</f>
        <v>0</v>
      </c>
      <c r="BM30" s="2">
        <f>IF(VLOOKUP($B30,$B:X,COLUMN(H29)-1,FALSE)&lt;&gt;0,VLOOKUP($B30,$B:AL,COLUMN(AK29)-1,FALSE)/VLOOKUP($B30,$B:X,COLUMN(H29)-1,FALSE),IF(VLOOKUP($B30,$B:AL,COLUMN(AK29)-1,FALSE)&lt;&gt;0,"Strange",0))</f>
        <v>0</v>
      </c>
      <c r="BN30" s="2">
        <f>IF(VLOOKUP($B30,$B:Y,COLUMN(I29)-1,FALSE)&lt;&gt;0,VLOOKUP($B30,$B:AM,COLUMN(AL29)-1,FALSE)/VLOOKUP($B30,$B:Y,COLUMN(I29)-1,FALSE),IF(VLOOKUP($B30,$B:AM,COLUMN(AL29)-1,FALSE)&lt;&gt;0,"Strange",0))</f>
        <v>0</v>
      </c>
      <c r="BO30" s="2">
        <f>IF(VLOOKUP($B30,$B:Z,COLUMN(J29)-1,FALSE)&lt;&gt;0,VLOOKUP($B30,$B:AN,COLUMN(AM29)-1,FALSE)/VLOOKUP($B30,$B:Z,COLUMN(J29)-1,FALSE),IF(VLOOKUP($B30,$B:AN,COLUMN(AM29)-1,FALSE)&lt;&gt;0,"Strange",0))</f>
        <v>0</v>
      </c>
      <c r="BP30" s="2">
        <f>IF(VLOOKUP($B30,$B:AB,COLUMN(K29)-1,FALSE)&lt;&gt;0,VLOOKUP($B30,$B:AP,COLUMN(AN29)-1,FALSE)/VLOOKUP($B30,$B:AB,COLUMN(K29)-1,FALSE),IF(VLOOKUP($B30,$B:AP,COLUMN(AN29)-1,FALSE)&lt;&gt;0,"Strange",0))</f>
        <v>0</v>
      </c>
      <c r="BQ30" s="2">
        <f>IF(VLOOKUP($B30,$B:AC,COLUMN(L29)-1,FALSE)&lt;&gt;0,VLOOKUP($B30,$B:AQ,COLUMN(AO29)-1,FALSE)/VLOOKUP($B30,$B:AC,COLUMN(L29)-1,FALSE),IF(VLOOKUP($B30,$B:AQ,COLUMN(AO29)-1,FALSE)&lt;&gt;0,"Strange",0))</f>
        <v>0</v>
      </c>
      <c r="BR30" s="2">
        <f>IF(VLOOKUP($B30,$B:AC,COLUMN(M29)-1,FALSE)&lt;&gt;0,VLOOKUP($B30,$B:AQ,COLUMN(AP29)-1,FALSE)/VLOOKUP($B30,$B:AC,COLUMN(M29)-1,FALSE),IF(VLOOKUP($B30,$B:AQ,COLUMN(AP29)-1,FALSE)&lt;&gt;0,"Strange",0))</f>
        <v>0</v>
      </c>
      <c r="BS30" s="2">
        <f>IF(VLOOKUP($B30,$B:AD,COLUMN(N29)-1,FALSE)&lt;&gt;0,VLOOKUP($B30,$B:AR,COLUMN(AQ29)-1,FALSE)/VLOOKUP($B30,$B:AD,COLUMN(N29)-1,FALSE),IF(VLOOKUP($B30,$B:AR,COLUMN(AQ29)-1,FALSE)&lt;&gt;0,"Strange",0))</f>
        <v>0</v>
      </c>
      <c r="BT30" s="2">
        <f>IF(VLOOKUP($B30,$B:AD,COLUMN(O29)-1,FALSE)&lt;&gt;0,VLOOKUP($B30,$B:AR,COLUMN(AR29)-1,FALSE)/VLOOKUP($B30,$B:AD,COLUMN(O29)-1,FALSE),IF(VLOOKUP($B30,$B:AR,COLUMN(AR29)-1,FALSE)&lt;&gt;0,"Strange",0))</f>
        <v>0</v>
      </c>
      <c r="BU30" s="2">
        <f>IF(VLOOKUP($B30,$B:AE,COLUMN(Q29)-1,FALSE)&lt;&gt;0,VLOOKUP($B30,$B:AS,COLUMN(AS29)-1,FALSE)/VLOOKUP($B30,$B:AE,COLUMN(Q29)-1,FALSE),IF(VLOOKUP($B30,$B:AS,COLUMN(AS29)-1,FALSE)&lt;&gt;0,"Strange",0))</f>
        <v>0</v>
      </c>
      <c r="BV30" s="2">
        <f>IF(VLOOKUP($B30,$B:AF,COLUMN(R29)-1,FALSE)&lt;&gt;0,VLOOKUP($B30,$B:AT,COLUMN(AT29)-1,FALSE)/VLOOKUP($B30,$B:AF,COLUMN(R29)-1,FALSE),IF(VLOOKUP($B30,$B:AT,COLUMN(AT29)-1,FALSE)&lt;&gt;0,"Strange",0))</f>
        <v>0</v>
      </c>
      <c r="BW30" s="2">
        <f>IF(VLOOKUP($B30,$B:AG,COLUMN(S29)-1,FALSE)&lt;&gt;0,VLOOKUP($B30,$B:AU,COLUMN(AU29)-1,FALSE)/VLOOKUP($B30,$B:AG,COLUMN(S29)-1,FALSE),IF(VLOOKUP($B30,$B:AU,COLUMN(AU29)-1,FALSE)&lt;&gt;0,"Strange",0))</f>
        <v>0</v>
      </c>
      <c r="BX30" s="2">
        <f>IF(VLOOKUP($B30,$B:AH,COLUMN(T29)-1,FALSE)&lt;&gt;0,VLOOKUP($B30,$B:AV,COLUMN(AV29)-1,FALSE)/VLOOKUP($B30,$B:AH,COLUMN(T29)-1,FALSE),IF(VLOOKUP($B30,$B:AV,COLUMN(AV29)-1,FALSE)&lt;&gt;0,"Strange",0))</f>
        <v>0</v>
      </c>
      <c r="BY30" s="471"/>
      <c r="BZ30" s="2">
        <f>SUMIFS('Bilateral Assistance, MAIN DATA'!$M:$M,'Bilateral Assistance, MAIN DATA'!$B:$B,'Share, Heavy Weapons to Ukraine'!$B30,'Bilateral Assistance, MAIN DATA'!$AO:$AO,'Share, Heavy Weapons to Ukraine'!BZ$11, 'Bilateral Assistance, MAIN DATA'!$AA:$AA,1)</f>
        <v>0</v>
      </c>
      <c r="CA30" s="2">
        <f>SUMIFS('Bilateral Assistance, MAIN DATA'!$M:$M,'Bilateral Assistance, MAIN DATA'!$B:$B,'Share, Heavy Weapons to Ukraine'!$B30,'Bilateral Assistance, MAIN DATA'!$AO:$AO,'Share, Heavy Weapons to Ukraine'!CA$11, 'Bilateral Assistance, MAIN DATA'!$AA:$AA,1)</f>
        <v>0</v>
      </c>
      <c r="CB30" s="2">
        <f>SUMIFS('Bilateral Assistance, MAIN DATA'!$M:$M,'Bilateral Assistance, MAIN DATA'!$B:$B,'Share, Heavy Weapons to Ukraine'!$B30,'Bilateral Assistance, MAIN DATA'!$AO:$AO,'Share, Heavy Weapons to Ukraine'!CB$11, 'Bilateral Assistance, MAIN DATA'!$AA:$AA,1)</f>
        <v>0</v>
      </c>
      <c r="CC30" s="2">
        <f>SUMIFS('Bilateral Assistance, MAIN DATA'!$M:$M,'Bilateral Assistance, MAIN DATA'!$B:$B,'Share, Heavy Weapons to Ukraine'!$B30,'Bilateral Assistance, MAIN DATA'!$AO:$AO,'Share, Heavy Weapons to Ukraine'!CC$11, 'Bilateral Assistance, MAIN DATA'!$AA:$AA,1)</f>
        <v>0</v>
      </c>
      <c r="CD30" s="471"/>
      <c r="CE30" s="2">
        <f>SUMIFS('Bilateral Assistance, MAIN DATA'!$N:$N,'Bilateral Assistance, MAIN DATA'!$B:$B,'Share, Heavy Weapons to Ukraine'!$B30,'Bilateral Assistance, MAIN DATA'!$AO:$AO,'Share, Heavy Weapons to Ukraine'!CE$11, 'Bilateral Assistance, MAIN DATA'!$AA:$AA,1)</f>
        <v>0</v>
      </c>
      <c r="CF30" s="2">
        <f>SUMIFS('Bilateral Assistance, MAIN DATA'!$N:$N,'Bilateral Assistance, MAIN DATA'!$B:$B,'Share, Heavy Weapons to Ukraine'!$B30,'Bilateral Assistance, MAIN DATA'!$AO:$AO,'Share, Heavy Weapons to Ukraine'!CF$11, 'Bilateral Assistance, MAIN DATA'!$AA:$AA,1)</f>
        <v>0</v>
      </c>
      <c r="CG30" s="2">
        <f>SUMIFS('Bilateral Assistance, MAIN DATA'!$N:$N,'Bilateral Assistance, MAIN DATA'!$B:$B,'Share, Heavy Weapons to Ukraine'!$B30,'Bilateral Assistance, MAIN DATA'!$AO:$AO,'Share, Heavy Weapons to Ukraine'!CG$11, 'Bilateral Assistance, MAIN DATA'!$AA:$AA,1)</f>
        <v>0</v>
      </c>
      <c r="CH30" s="2">
        <f>SUMIFS('Bilateral Assistance, MAIN DATA'!$N:$N,'Bilateral Assistance, MAIN DATA'!$B:$B,'Share, Heavy Weapons to Ukraine'!$B30,'Bilateral Assistance, MAIN DATA'!$AO:$AO,'Share, Heavy Weapons to Ukraine'!CH$11, 'Bilateral Assistance, MAIN DATA'!$AA:$AA,1)</f>
        <v>0</v>
      </c>
    </row>
    <row r="31" spans="2:86" ht="15.6" x14ac:dyDescent="0.3">
      <c r="B31" s="470" t="s">
        <v>716</v>
      </c>
      <c r="C31" s="470">
        <v>0</v>
      </c>
      <c r="D31" s="2">
        <v>1</v>
      </c>
      <c r="E31" s="471"/>
      <c r="F31" s="472">
        <v>3.97</v>
      </c>
      <c r="G31" s="470">
        <f>VLOOKUP(B31,'Heavy Weapon Stocks'!B:OE,COLUMN('Heavy Weapon Stocks'!$C$11)-1,FALSE)</f>
        <v>209</v>
      </c>
      <c r="H31" s="470">
        <f>VLOOKUP(B31,'Heavy Weapon Stocks'!B:OE,COLUMN('Heavy Weapon Stocks'!$AT$11)-1,FALSE)</f>
        <v>0</v>
      </c>
      <c r="I31" s="470">
        <f>VLOOKUP(B31,'Heavy Weapon Stocks'!B:OE,COLUMN('Heavy Weapon Stocks'!$DN$11)-1,FALSE)</f>
        <v>1</v>
      </c>
      <c r="J31" s="470">
        <f>VLOOKUP(B31,'Heavy Weapon Stocks'!B:OE,COLUMN('Heavy Weapon Stocks'!$EB$11)-1,FALSE)</f>
        <v>141</v>
      </c>
      <c r="K31" s="470">
        <f>VLOOKUP(B31,'Heavy Weapon Stocks'!B:OE,COLUMN('Heavy Weapon Stocks'!$FD$11)-1,FALSE)</f>
        <v>390</v>
      </c>
      <c r="L31" s="470">
        <f t="shared" si="3"/>
        <v>532</v>
      </c>
      <c r="M31" s="470">
        <f>VLOOKUP(B31,'Heavy Weapon Stocks'!B:OE,COLUMN('Heavy Weapon Stocks'!$GZ$11)-1,FALSE)+VLOOKUP(B31,'Heavy Weapon Stocks'!B:OE,COLUMN('Heavy Weapon Stocks'!$IF$11)-1,FALSE)</f>
        <v>86</v>
      </c>
      <c r="N31" s="470">
        <v>60</v>
      </c>
      <c r="O31" s="470">
        <f>VLOOKUP(B31,'Heavy Weapon Stocks'!B:OE,COLUMN('Heavy Weapon Stocks'!$JE$11)-1,FALSE)+VLOOKUP(B31,'Heavy Weapon Stocks'!B:OE,COLUMN('Heavy Weapon Stocks'!$KB$11)-1,FALSE)</f>
        <v>14</v>
      </c>
      <c r="Q31" s="470">
        <f>VLOOKUP(B31,'Heavy Weapon Stocks'!B:OE,COLUMN('Heavy Weapon Stocks'!$LS$11)-1,FALSE)</f>
        <v>0</v>
      </c>
      <c r="R31" s="470">
        <f>VLOOKUP(B31,'Heavy Weapon Stocks'!B:OE,COLUMN('Heavy Weapon Stocks'!$MC$11)-1,FALSE)</f>
        <v>0</v>
      </c>
      <c r="S31" s="470">
        <f>VLOOKUP(B31,'Heavy Weapon Stocks'!B:OE,COLUMN('Heavy Weapon Stocks'!$MJ$11)-1,FALSE)</f>
        <v>0</v>
      </c>
      <c r="T31" s="470">
        <f>VLOOKUP(B31,'Heavy Weapon Stocks'!B:OE,COLUMN('Heavy Weapon Stocks'!$NO$11)-1,FALSE)</f>
        <v>0</v>
      </c>
      <c r="U31" s="471"/>
      <c r="V31" s="2">
        <f>SUMIFS('Bilateral Assistance, MAIN DATA'!$M:$M,'Bilateral Assistance, MAIN DATA'!$B:$B,'Share, Heavy Weapons to Ukraine'!$B31,'Bilateral Assistance, MAIN DATA'!$AO:$AO,'Share, Heavy Weapons to Ukraine'!V$11)</f>
        <v>130</v>
      </c>
      <c r="W31" s="2">
        <f>SUMIFS('Bilateral Assistance, MAIN DATA'!$M:$M,'Bilateral Assistance, MAIN DATA'!$B:$B,'Share, Heavy Weapons to Ukraine'!$B31,'Bilateral Assistance, MAIN DATA'!$AO:$AO,'Share, Heavy Weapons to Ukraine'!W$11)</f>
        <v>0</v>
      </c>
      <c r="X31" s="2">
        <f>SUMIFS('Bilateral Assistance, MAIN DATA'!$M:$M,'Bilateral Assistance, MAIN DATA'!$B:$B,'Share, Heavy Weapons to Ukraine'!$B31,'Bilateral Assistance, MAIN DATA'!$AO:$AO,'Share, Heavy Weapons to Ukraine'!X$11)</f>
        <v>0</v>
      </c>
      <c r="Y31" s="2">
        <f>SUMIFS('Bilateral Assistance, MAIN DATA'!$M:$M,'Bilateral Assistance, MAIN DATA'!$B:$B,'Share, Heavy Weapons to Ukraine'!$B31,'Bilateral Assistance, MAIN DATA'!$AO:$AO,'Share, Heavy Weapons to Ukraine'!Y$11)</f>
        <v>0</v>
      </c>
      <c r="Z31" s="2">
        <f>SUMIFS('Bilateral Assistance, MAIN DATA'!$M:$M,'Bilateral Assistance, MAIN DATA'!$B:$B,'Share, Heavy Weapons to Ukraine'!$B31,'Bilateral Assistance, MAIN DATA'!$AO:$AO,'Share, Heavy Weapons to Ukraine'!Z$11)</f>
        <v>5</v>
      </c>
      <c r="AA31" s="2">
        <f t="shared" si="1"/>
        <v>5</v>
      </c>
      <c r="AB31" s="2">
        <f>SUMIFS('Bilateral Assistance, MAIN DATA'!$M:$M,'Bilateral Assistance, MAIN DATA'!$B:$B,'Share, Heavy Weapons to Ukraine'!$B31,'Bilateral Assistance, MAIN DATA'!$AO:$AO,'Share, Heavy Weapons to Ukraine'!AB$11)</f>
        <v>0</v>
      </c>
      <c r="AC31" s="25">
        <f>SUMIFS('Bilateral Assistance, MAIN DATA'!$M:$M,'Bilateral Assistance, MAIN DATA'!$B:$B,'Share, Heavy Weapons to Ukraine'!$B31,'Bilateral Assistance, MAIN DATA'!$AO:$AO,"122mm MLRS")+SUMIFS('Bilateral Assistance, MAIN DATA'!$M:$M,'Bilateral Assistance, MAIN DATA'!$B:$B,'Share, Heavy Weapons to Ukraine'!$B31,'Bilateral Assistance, MAIN DATA'!$AO:$AO,"127mm MLRS")+SUMIFS('Bilateral Assistance, MAIN DATA'!$M:$M,'Bilateral Assistance, MAIN DATA'!$B:$B,'Share, Heavy Weapons to Ukraine'!$B31,'Bilateral Assistance, MAIN DATA'!$AO:$AO,"227mm MLRS")</f>
        <v>20</v>
      </c>
      <c r="AD31" s="2">
        <f>SUMIFS('Bilateral Assistance, MAIN DATA'!$M:$M,'Bilateral Assistance, MAIN DATA'!$B:$B,'Share, Heavy Weapons to Ukraine'!$B31,'Bilateral Assistance, MAIN DATA'!$AO:$AO,'Share, Heavy Weapons to Ukraine'!AD$11)</f>
        <v>0</v>
      </c>
      <c r="AE31" s="2">
        <f>SUMIFS('Bilateral Assistance, MAIN DATA'!$M:$M,'Bilateral Assistance, MAIN DATA'!$B:$B,'Share, Heavy Weapons to Ukraine'!$B31,'Bilateral Assistance, MAIN DATA'!$AO:$AO,'Share, Heavy Weapons to Ukraine'!AE$11)</f>
        <v>0</v>
      </c>
      <c r="AF31" s="2">
        <f>SUMIFS('Bilateral Assistance, MAIN DATA'!$M:$M,'Bilateral Assistance, MAIN DATA'!$B:$B,'Share, Heavy Weapons to Ukraine'!$B31,'Bilateral Assistance, MAIN DATA'!$AO:$AO,'Share, Heavy Weapons to Ukraine'!AF$11)</f>
        <v>0</v>
      </c>
      <c r="AG31" s="2">
        <f>SUMIFS('Bilateral Assistance, MAIN DATA'!$M:$M,'Bilateral Assistance, MAIN DATA'!$B:$B,'Share, Heavy Weapons to Ukraine'!$B31,'Bilateral Assistance, MAIN DATA'!$AO:$AO,'Share, Heavy Weapons to Ukraine'!AG$11)</f>
        <v>0</v>
      </c>
      <c r="AH31" s="2">
        <f>SUMIFS('Bilateral Assistance, MAIN DATA'!$M:$M,'Bilateral Assistance, MAIN DATA'!$B:$B,'Share, Heavy Weapons to Ukraine'!$B31,'Bilateral Assistance, MAIN DATA'!$AO:$AO,'Share, Heavy Weapons to Ukraine'!AH$11)</f>
        <v>0</v>
      </c>
      <c r="AI31" s="471"/>
      <c r="AJ31" s="2">
        <f>SUMIFS('Bilateral Assistance, MAIN DATA'!$N:$N,'Bilateral Assistance, MAIN DATA'!$B:$B,'Share, Heavy Weapons to Ukraine'!$B31,'Bilateral Assistance, MAIN DATA'!$AO:$AO,'Share, Heavy Weapons to Ukraine'!AJ$11)</f>
        <v>40</v>
      </c>
      <c r="AK31" s="2">
        <f>SUMIFS('Bilateral Assistance, MAIN DATA'!$N:$N,'Bilateral Assistance, MAIN DATA'!$B:$B,'Share, Heavy Weapons to Ukraine'!$B31,'Bilateral Assistance, MAIN DATA'!$AO:$AO,'Share, Heavy Weapons to Ukraine'!AK$11)</f>
        <v>0</v>
      </c>
      <c r="AL31" s="2">
        <f>SUMIFS('Bilateral Assistance, MAIN DATA'!$N:$N,'Bilateral Assistance, MAIN DATA'!$B:$B,'Share, Heavy Weapons to Ukraine'!$B31,'Bilateral Assistance, MAIN DATA'!$AO:$AO,'Share, Heavy Weapons to Ukraine'!AL$11)</f>
        <v>0</v>
      </c>
      <c r="AM31" s="2">
        <f>SUMIFS('Bilateral Assistance, MAIN DATA'!$N:$N,'Bilateral Assistance, MAIN DATA'!$B:$B,'Share, Heavy Weapons to Ukraine'!$B31,'Bilateral Assistance, MAIN DATA'!$AO:$AO,'Share, Heavy Weapons to Ukraine'!AM$11)</f>
        <v>0</v>
      </c>
      <c r="AN31" s="2">
        <f>SUMIFS('Bilateral Assistance, MAIN DATA'!$N:$N,'Bilateral Assistance, MAIN DATA'!$B:$B,'Share, Heavy Weapons to Ukraine'!$B31,'Bilateral Assistance, MAIN DATA'!$AO:$AO,'Share, Heavy Weapons to Ukraine'!AN$11)</f>
        <v>5</v>
      </c>
      <c r="AO31" s="2">
        <f t="shared" si="2"/>
        <v>5</v>
      </c>
      <c r="AP31" s="2">
        <f>SUMIFS('Bilateral Assistance, MAIN DATA'!$N:$N,'Bilateral Assistance, MAIN DATA'!$B:$B,'Share, Heavy Weapons to Ukraine'!$B31,'Bilateral Assistance, MAIN DATA'!$AO:$AO,'Share, Heavy Weapons to Ukraine'!AP$11)</f>
        <v>0</v>
      </c>
      <c r="AQ31" s="25">
        <f>SUMIFS('Bilateral Assistance, MAIN DATA'!$N:$N,'Bilateral Assistance, MAIN DATA'!$B:$B,'Share, Heavy Weapons to Ukraine'!$B31,'Bilateral Assistance, MAIN DATA'!$AO:$AO,"122mm MLRS")+SUMIFS('Bilateral Assistance, MAIN DATA'!$N:$N,'Bilateral Assistance, MAIN DATA'!$B:$B,'Share, Heavy Weapons to Ukraine'!$B31,'Bilateral Assistance, MAIN DATA'!$AO:$AO,"127mm MLRS")+SUMIFS('Bilateral Assistance, MAIN DATA'!$N:$N,'Bilateral Assistance, MAIN DATA'!$B:$B,'Share, Heavy Weapons to Ukraine'!$B31,'Bilateral Assistance, MAIN DATA'!$AO:$AO,"227mm MLRS")</f>
        <v>20</v>
      </c>
      <c r="AR31" s="2">
        <f>SUMIFS('Bilateral Assistance, MAIN DATA'!$N:$N,'Bilateral Assistance, MAIN DATA'!$B:$B,'Share, Heavy Weapons to Ukraine'!$B31,'Bilateral Assistance, MAIN DATA'!$AO:$AO,'Share, Heavy Weapons to Ukraine'!AR$11)</f>
        <v>0</v>
      </c>
      <c r="AS31" s="2">
        <f>SUMIFS('Bilateral Assistance, MAIN DATA'!$N:$N,'Bilateral Assistance, MAIN DATA'!$B:$B,'Share, Heavy Weapons to Ukraine'!$B31,'Bilateral Assistance, MAIN DATA'!$AO:$AO,'Share, Heavy Weapons to Ukraine'!AS$11)</f>
        <v>0</v>
      </c>
      <c r="AT31" s="2">
        <f>SUMIFS('Bilateral Assistance, MAIN DATA'!$N:$N,'Bilateral Assistance, MAIN DATA'!$B:$B,'Share, Heavy Weapons to Ukraine'!$B31,'Bilateral Assistance, MAIN DATA'!$AO:$AO,'Share, Heavy Weapons to Ukraine'!AT$11)</f>
        <v>0</v>
      </c>
      <c r="AU31" s="2">
        <f>SUMIFS('Bilateral Assistance, MAIN DATA'!$N:$N,'Bilateral Assistance, MAIN DATA'!$B:$B,'Share, Heavy Weapons to Ukraine'!$B31,'Bilateral Assistance, MAIN DATA'!$AO:$AO,'Share, Heavy Weapons to Ukraine'!AU$11)</f>
        <v>0</v>
      </c>
      <c r="AV31" s="2">
        <f>SUMIFS('Bilateral Assistance, MAIN DATA'!$N:$N,'Bilateral Assistance, MAIN DATA'!$B:$B,'Share, Heavy Weapons to Ukraine'!$B31,'Bilateral Assistance, MAIN DATA'!$AO:$AO,'Share, Heavy Weapons to Ukraine'!AV$11)</f>
        <v>0</v>
      </c>
      <c r="AW31" s="471"/>
      <c r="AX31" s="292">
        <f>IF(VLOOKUP($B31,$B:G,COLUMN(G30)-1,FALSE)&lt;&gt;0,VLOOKUP($B31,$B:V,COLUMN(V30)-1,FALSE)/VLOOKUP($B31,$B:G,COLUMN(G30)-1,FALSE),IF(VLOOKUP($B31,$B:V,COLUMN(V30)-1,FALSE)&lt;&gt;0,"Strange",0))</f>
        <v>0.62200956937799046</v>
      </c>
      <c r="AY31" s="292">
        <f>IF(VLOOKUP($B31,$B:H,COLUMN(H30)-1,FALSE)&lt;&gt;0,VLOOKUP($B31,$B:W,COLUMN(W30)-1,FALSE)/VLOOKUP($B31,$B:H,COLUMN(H30)-1,FALSE),IF(VLOOKUP($B31,$B:W,COLUMN(W30)-1,FALSE)&lt;&gt;0,"Strange",0))</f>
        <v>0</v>
      </c>
      <c r="AZ31" s="292">
        <f>IF(VLOOKUP($B31,$B:I,COLUMN(I30)-1,FALSE)&lt;&gt;0,VLOOKUP($B31,$B:X,COLUMN(X30)-1,FALSE)/VLOOKUP($B31,$B:I,COLUMN(I30)-1,FALSE),IF(VLOOKUP($B31,$B:X,COLUMN(X30)-1,FALSE)&lt;&gt;0,"Strange",0))</f>
        <v>0</v>
      </c>
      <c r="BA31" s="292">
        <f>IF(VLOOKUP($B31,$B:J,COLUMN(J30)-1,FALSE)&lt;&gt;0,VLOOKUP($B31,$B:Y,COLUMN(Y30)-1,FALSE)/VLOOKUP($B31,$B:J,COLUMN(J30)-1,FALSE),IF(VLOOKUP($B31,$B:Y,COLUMN(Y30)-1,FALSE)&lt;&gt;0,"Strange",0))</f>
        <v>0</v>
      </c>
      <c r="BB31" s="292">
        <f>IF(VLOOKUP($B31,$B:K,COLUMN(K30)-1,FALSE)&lt;&gt;0,VLOOKUP($B31,$B:Z,COLUMN(Z30)-1,FALSE)/VLOOKUP($B31,$B:K,COLUMN(K30)-1,FALSE),IF(VLOOKUP($B31,$B:Z,COLUMN(Z30)-1,FALSE)&lt;&gt;0,"Strange",0))</f>
        <v>1.282051282051282E-2</v>
      </c>
      <c r="BC31" s="292">
        <f>IF(VLOOKUP($B31,$B:L,COLUMN(L30)-1,FALSE)&lt;&gt;0,VLOOKUP($B31,$B:AA,COLUMN(AA30)-1,FALSE)/VLOOKUP($B31,$B:L,COLUMN(L30)-1,FALSE),IF(VLOOKUP($B31,$B:AA,COLUMN(AA30)-1,FALSE)&lt;&gt;0,"Strange",0))</f>
        <v>9.3984962406015032E-3</v>
      </c>
      <c r="BD31" s="292">
        <f>IF(VLOOKUP($B31,$B:M,COLUMN(M30)-1,FALSE)&lt;&gt;0,VLOOKUP($B31,$B:AB,COLUMN(AB30)-1,FALSE)/VLOOKUP($B31,$B:M,COLUMN(M30)-1,FALSE),IF(VLOOKUP($B31,$B:AB,COLUMN(AB30)-1,FALSE)&lt;&gt;0,"Strange",0))</f>
        <v>0</v>
      </c>
      <c r="BE31" s="292">
        <f>IF(VLOOKUP($B31,$B:N,COLUMN(N30)-1,FALSE)&lt;&gt;0,VLOOKUP($B31,$B:AC,COLUMN(AC30)-1,FALSE)/VLOOKUP($B31,$B:N,COLUMN(N30)-1,FALSE),IF(VLOOKUP($B31,$B:AC,COLUMN(AC30)-1,FALSE)&lt;&gt;0,"Strange",0))</f>
        <v>0.33333333333333331</v>
      </c>
      <c r="BF31" s="292">
        <f>IF(VLOOKUP($B31,$B:O,COLUMN(O30)-1,FALSE)&lt;&gt;0,VLOOKUP($B31,$B:AD,COLUMN(AD30)-1,FALSE)/VLOOKUP($B31,$B:O,COLUMN(O30)-1,FALSE),IF(VLOOKUP($B31,$B:AD,COLUMN(AD30)-1,FALSE)&lt;&gt;0,"Strange",0))</f>
        <v>0</v>
      </c>
      <c r="BG31" s="292">
        <f>IF(VLOOKUP($B31,$B:Q,COLUMN(Q30)-1,FALSE)&lt;&gt;0,VLOOKUP($B31,$B:AE,COLUMN(AE30)-1,FALSE)/VLOOKUP($B31,$B:Q,COLUMN(Q30)-1,FALSE),IF(VLOOKUP($B31,$B:AE,COLUMN(AE30)-1,FALSE)&lt;&gt;0,"Strange",0))</f>
        <v>0</v>
      </c>
      <c r="BH31" s="292">
        <f>IF(VLOOKUP($B31,$B:R,COLUMN(R30)-1,FALSE)&lt;&gt;0,VLOOKUP($B31,$B:AF,COLUMN(AF30)-1,FALSE)/VLOOKUP($B31,$B:R,COLUMN(R30)-1,FALSE),IF(VLOOKUP($B31,$B:AF,COLUMN(AF30)-1,FALSE)&lt;&gt;0,"Strange",0))</f>
        <v>0</v>
      </c>
      <c r="BI31" s="292">
        <f>IF(VLOOKUP($B31,$B:S,COLUMN(S30)-1,FALSE)&lt;&gt;0,VLOOKUP($B31,$B:AG,COLUMN(AG30)-1,FALSE)/VLOOKUP($B31,$B:S,COLUMN(S30)-1,FALSE),IF(VLOOKUP($B31,$B:AG,COLUMN(AG30)-1,FALSE)&lt;&gt;0,"Strange",0))</f>
        <v>0</v>
      </c>
      <c r="BJ31" s="292">
        <f>IF(VLOOKUP($B31,$B:T,COLUMN(T30)-1,FALSE)&lt;&gt;0,VLOOKUP($B31,$B:AH,COLUMN(AH30)-1,FALSE)/VLOOKUP($B31,$B:T,COLUMN(T30)-1,FALSE),IF(VLOOKUP($B31,$B:AH,COLUMN(AH30)-1,FALSE)&lt;&gt;0,"Strange",0))</f>
        <v>0</v>
      </c>
      <c r="BK31" s="471"/>
      <c r="BL31" s="2">
        <f>IF(VLOOKUP($B31,$B:W,COLUMN(G30)-1,FALSE)&lt;&gt;0,VLOOKUP($B31,$B:AK,COLUMN(AJ30)-1,FALSE)/VLOOKUP($B31,$B:W,COLUMN(G30)-1,FALSE),IF(VLOOKUP($B31,$B:AK,COLUMN(AJ30)-1,FALSE)&lt;&gt;0,"Strange",0))</f>
        <v>0.19138755980861244</v>
      </c>
      <c r="BM31" s="2">
        <f>IF(VLOOKUP($B31,$B:X,COLUMN(H30)-1,FALSE)&lt;&gt;0,VLOOKUP($B31,$B:AL,COLUMN(AK30)-1,FALSE)/VLOOKUP($B31,$B:X,COLUMN(H30)-1,FALSE),IF(VLOOKUP($B31,$B:AL,COLUMN(AK30)-1,FALSE)&lt;&gt;0,"Strange",0))</f>
        <v>0</v>
      </c>
      <c r="BN31" s="2">
        <f>IF(VLOOKUP($B31,$B:Y,COLUMN(I30)-1,FALSE)&lt;&gt;0,VLOOKUP($B31,$B:AM,COLUMN(AL30)-1,FALSE)/VLOOKUP($B31,$B:Y,COLUMN(I30)-1,FALSE),IF(VLOOKUP($B31,$B:AM,COLUMN(AL30)-1,FALSE)&lt;&gt;0,"Strange",0))</f>
        <v>0</v>
      </c>
      <c r="BO31" s="2">
        <f>IF(VLOOKUP($B31,$B:Z,COLUMN(J30)-1,FALSE)&lt;&gt;0,VLOOKUP($B31,$B:AN,COLUMN(AM30)-1,FALSE)/VLOOKUP($B31,$B:Z,COLUMN(J30)-1,FALSE),IF(VLOOKUP($B31,$B:AN,COLUMN(AM30)-1,FALSE)&lt;&gt;0,"Strange",0))</f>
        <v>0</v>
      </c>
      <c r="BP31" s="2">
        <f>IF(VLOOKUP($B31,$B:AB,COLUMN(K30)-1,FALSE)&lt;&gt;0,VLOOKUP($B31,$B:AP,COLUMN(AN30)-1,FALSE)/VLOOKUP($B31,$B:AB,COLUMN(K30)-1,FALSE),IF(VLOOKUP($B31,$B:AP,COLUMN(AN30)-1,FALSE)&lt;&gt;0,"Strange",0))</f>
        <v>1.282051282051282E-2</v>
      </c>
      <c r="BQ31" s="2">
        <f>IF(VLOOKUP($B31,$B:AC,COLUMN(L30)-1,FALSE)&lt;&gt;0,VLOOKUP($B31,$B:AQ,COLUMN(AO30)-1,FALSE)/VLOOKUP($B31,$B:AC,COLUMN(L30)-1,FALSE),IF(VLOOKUP($B31,$B:AQ,COLUMN(AO30)-1,FALSE)&lt;&gt;0,"Strange",0))</f>
        <v>9.3984962406015032E-3</v>
      </c>
      <c r="BR31" s="2">
        <f>IF(VLOOKUP($B31,$B:AC,COLUMN(M30)-1,FALSE)&lt;&gt;0,VLOOKUP($B31,$B:AQ,COLUMN(AP30)-1,FALSE)/VLOOKUP($B31,$B:AC,COLUMN(M30)-1,FALSE),IF(VLOOKUP($B31,$B:AQ,COLUMN(AP30)-1,FALSE)&lt;&gt;0,"Strange",0))</f>
        <v>0</v>
      </c>
      <c r="BS31" s="2">
        <f>IF(VLOOKUP($B31,$B:AD,COLUMN(N30)-1,FALSE)&lt;&gt;0,VLOOKUP($B31,$B:AR,COLUMN(AQ30)-1,FALSE)/VLOOKUP($B31,$B:AD,COLUMN(N30)-1,FALSE),IF(VLOOKUP($B31,$B:AR,COLUMN(AQ30)-1,FALSE)&lt;&gt;0,"Strange",0))</f>
        <v>0.33333333333333331</v>
      </c>
      <c r="BT31" s="2">
        <f>IF(VLOOKUP($B31,$B:AD,COLUMN(O30)-1,FALSE)&lt;&gt;0,VLOOKUP($B31,$B:AR,COLUMN(AR30)-1,FALSE)/VLOOKUP($B31,$B:AD,COLUMN(O30)-1,FALSE),IF(VLOOKUP($B31,$B:AR,COLUMN(AR30)-1,FALSE)&lt;&gt;0,"Strange",0))</f>
        <v>0</v>
      </c>
      <c r="BU31" s="2">
        <f>IF(VLOOKUP($B31,$B:AE,COLUMN(Q30)-1,FALSE)&lt;&gt;0,VLOOKUP($B31,$B:AS,COLUMN(AS30)-1,FALSE)/VLOOKUP($B31,$B:AE,COLUMN(Q30)-1,FALSE),IF(VLOOKUP($B31,$B:AS,COLUMN(AS30)-1,FALSE)&lt;&gt;0,"Strange",0))</f>
        <v>0</v>
      </c>
      <c r="BV31" s="2">
        <f>IF(VLOOKUP($B31,$B:AF,COLUMN(R30)-1,FALSE)&lt;&gt;0,VLOOKUP($B31,$B:AT,COLUMN(AT30)-1,FALSE)/VLOOKUP($B31,$B:AF,COLUMN(R30)-1,FALSE),IF(VLOOKUP($B31,$B:AT,COLUMN(AT30)-1,FALSE)&lt;&gt;0,"Strange",0))</f>
        <v>0</v>
      </c>
      <c r="BW31" s="2">
        <f>IF(VLOOKUP($B31,$B:AG,COLUMN(S30)-1,FALSE)&lt;&gt;0,VLOOKUP($B31,$B:AU,COLUMN(AU30)-1,FALSE)/VLOOKUP($B31,$B:AG,COLUMN(S30)-1,FALSE),IF(VLOOKUP($B31,$B:AU,COLUMN(AU30)-1,FALSE)&lt;&gt;0,"Strange",0))</f>
        <v>0</v>
      </c>
      <c r="BX31" s="2">
        <f>IF(VLOOKUP($B31,$B:AH,COLUMN(T30)-1,FALSE)&lt;&gt;0,VLOOKUP($B31,$B:AV,COLUMN(AV30)-1,FALSE)/VLOOKUP($B31,$B:AH,COLUMN(T30)-1,FALSE),IF(VLOOKUP($B31,$B:AV,COLUMN(AV30)-1,FALSE)&lt;&gt;0,"Strange",0))</f>
        <v>0</v>
      </c>
      <c r="BY31" s="471"/>
      <c r="BZ31" s="2">
        <f>SUMIFS('Bilateral Assistance, MAIN DATA'!$M:$M,'Bilateral Assistance, MAIN DATA'!$B:$B,'Share, Heavy Weapons to Ukraine'!$B31,'Bilateral Assistance, MAIN DATA'!$AO:$AO,'Share, Heavy Weapons to Ukraine'!BZ$11, 'Bilateral Assistance, MAIN DATA'!$AA:$AA,1)</f>
        <v>0</v>
      </c>
      <c r="CA31" s="2">
        <f>SUMIFS('Bilateral Assistance, MAIN DATA'!$M:$M,'Bilateral Assistance, MAIN DATA'!$B:$B,'Share, Heavy Weapons to Ukraine'!$B31,'Bilateral Assistance, MAIN DATA'!$AO:$AO,'Share, Heavy Weapons to Ukraine'!CA$11, 'Bilateral Assistance, MAIN DATA'!$AA:$AA,1)</f>
        <v>0</v>
      </c>
      <c r="CB31" s="2">
        <f>SUMIFS('Bilateral Assistance, MAIN DATA'!$M:$M,'Bilateral Assistance, MAIN DATA'!$B:$B,'Share, Heavy Weapons to Ukraine'!$B31,'Bilateral Assistance, MAIN DATA'!$AO:$AO,'Share, Heavy Weapons to Ukraine'!CB$11, 'Bilateral Assistance, MAIN DATA'!$AA:$AA,1)</f>
        <v>0</v>
      </c>
      <c r="CC31" s="2">
        <f>SUMIFS('Bilateral Assistance, MAIN DATA'!$M:$M,'Bilateral Assistance, MAIN DATA'!$B:$B,'Share, Heavy Weapons to Ukraine'!$B31,'Bilateral Assistance, MAIN DATA'!$AO:$AO,'Share, Heavy Weapons to Ukraine'!CC$11, 'Bilateral Assistance, MAIN DATA'!$AA:$AA,1)</f>
        <v>0</v>
      </c>
      <c r="CD31" s="471"/>
      <c r="CE31" s="2">
        <f>SUMIFS('Bilateral Assistance, MAIN DATA'!$N:$N,'Bilateral Assistance, MAIN DATA'!$B:$B,'Share, Heavy Weapons to Ukraine'!$B31,'Bilateral Assistance, MAIN DATA'!$AO:$AO,'Share, Heavy Weapons to Ukraine'!CE$11, 'Bilateral Assistance, MAIN DATA'!$AA:$AA,1)</f>
        <v>0</v>
      </c>
      <c r="CF31" s="2">
        <f>SUMIFS('Bilateral Assistance, MAIN DATA'!$N:$N,'Bilateral Assistance, MAIN DATA'!$B:$B,'Share, Heavy Weapons to Ukraine'!$B31,'Bilateral Assistance, MAIN DATA'!$AO:$AO,'Share, Heavy Weapons to Ukraine'!CF$11, 'Bilateral Assistance, MAIN DATA'!$AA:$AA,1)</f>
        <v>0</v>
      </c>
      <c r="CG31" s="2">
        <f>SUMIFS('Bilateral Assistance, MAIN DATA'!$N:$N,'Bilateral Assistance, MAIN DATA'!$B:$B,'Share, Heavy Weapons to Ukraine'!$B31,'Bilateral Assistance, MAIN DATA'!$AO:$AO,'Share, Heavy Weapons to Ukraine'!CG$11, 'Bilateral Assistance, MAIN DATA'!$AA:$AA,1)</f>
        <v>0</v>
      </c>
      <c r="CH31" s="2">
        <f>SUMIFS('Bilateral Assistance, MAIN DATA'!$N:$N,'Bilateral Assistance, MAIN DATA'!$B:$B,'Share, Heavy Weapons to Ukraine'!$B31,'Bilateral Assistance, MAIN DATA'!$AO:$AO,'Share, Heavy Weapons to Ukraine'!CH$11, 'Bilateral Assistance, MAIN DATA'!$AA:$AA,1)</f>
        <v>0</v>
      </c>
    </row>
    <row r="32" spans="2:86" ht="15.6" x14ac:dyDescent="0.3">
      <c r="B32" s="470" t="s">
        <v>344</v>
      </c>
      <c r="C32" s="470">
        <v>0</v>
      </c>
      <c r="D32" s="2">
        <v>1</v>
      </c>
      <c r="E32" s="471"/>
      <c r="F32" s="472">
        <v>3.68</v>
      </c>
      <c r="G32" s="470">
        <f>VLOOKUP(B32,'Heavy Weapon Stocks'!B:OE,COLUMN('Heavy Weapon Stocks'!$C$11)-1,FALSE)</f>
        <v>112</v>
      </c>
      <c r="H32" s="470">
        <f>VLOOKUP(B32,'Heavy Weapon Stocks'!B:OE,COLUMN('Heavy Weapon Stocks'!$AT$11)-1,FALSE)</f>
        <v>144</v>
      </c>
      <c r="I32" s="470">
        <f>VLOOKUP(B32,'Heavy Weapon Stocks'!B:OE,COLUMN('Heavy Weapon Stocks'!$DN$11)-1,FALSE)</f>
        <v>0</v>
      </c>
      <c r="J32" s="470">
        <f>VLOOKUP(B32,'Heavy Weapon Stocks'!B:OE,COLUMN('Heavy Weapon Stocks'!$EB$11)-1,FALSE)</f>
        <v>216</v>
      </c>
      <c r="K32" s="470">
        <f>VLOOKUP(B32,'Heavy Weapon Stocks'!B:OE,COLUMN('Heavy Weapon Stocks'!$FD$11)-1,FALSE)</f>
        <v>112</v>
      </c>
      <c r="L32" s="470">
        <f t="shared" si="3"/>
        <v>472</v>
      </c>
      <c r="M32" s="470">
        <f>VLOOKUP(B32,'Heavy Weapon Stocks'!B:OE,COLUMN('Heavy Weapon Stocks'!$GZ$11)-1,FALSE)+VLOOKUP(B32,'Heavy Weapon Stocks'!B:OE,COLUMN('Heavy Weapon Stocks'!$IF$11)-1,FALSE)</f>
        <v>48</v>
      </c>
      <c r="N32" s="470">
        <f>VLOOKUP(B32,'Heavy Weapon Stocks'!B:OE,COLUMN('Heavy Weapon Stocks'!$IK$11)-1,FALSE)</f>
        <v>0</v>
      </c>
      <c r="O32" s="470">
        <f>VLOOKUP(B32,'Heavy Weapon Stocks'!B:OE,COLUMN('Heavy Weapon Stocks'!$JE$11)-1,FALSE)+VLOOKUP(B32,'Heavy Weapon Stocks'!B:OE,COLUMN('Heavy Weapon Stocks'!$KB$11)-1,FALSE)</f>
        <v>15</v>
      </c>
      <c r="Q32" s="470">
        <f>VLOOKUP(B32,'Heavy Weapon Stocks'!B:OE,COLUMN('Heavy Weapon Stocks'!$LS$11)-1,FALSE)</f>
        <v>0</v>
      </c>
      <c r="R32" s="470">
        <f>VLOOKUP(B32,'Heavy Weapon Stocks'!B:OE,COLUMN('Heavy Weapon Stocks'!$MC$11)-1,FALSE)</f>
        <v>0</v>
      </c>
      <c r="S32" s="470">
        <f>VLOOKUP(B32,'Heavy Weapon Stocks'!B:OE,COLUMN('Heavy Weapon Stocks'!$MJ$11)-1,FALSE)</f>
        <v>0</v>
      </c>
      <c r="T32" s="470">
        <f>VLOOKUP(B32,'Heavy Weapon Stocks'!B:OE,COLUMN('Heavy Weapon Stocks'!$NO$11)-1,FALSE)</f>
        <v>0</v>
      </c>
      <c r="U32" s="471"/>
      <c r="V32" s="2">
        <f>SUMIFS('Bilateral Assistance, MAIN DATA'!$M:$M,'Bilateral Assistance, MAIN DATA'!$B:$B,'Share, Heavy Weapons to Ukraine'!$B32,'Bilateral Assistance, MAIN DATA'!$AO:$AO,'Share, Heavy Weapons to Ukraine'!V$11)</f>
        <v>0</v>
      </c>
      <c r="W32" s="2">
        <f>SUMIFS('Bilateral Assistance, MAIN DATA'!$M:$M,'Bilateral Assistance, MAIN DATA'!$B:$B,'Share, Heavy Weapons to Ukraine'!$B32,'Bilateral Assistance, MAIN DATA'!$AO:$AO,'Share, Heavy Weapons to Ukraine'!W$11)</f>
        <v>0</v>
      </c>
      <c r="X32" s="2">
        <f>SUMIFS('Bilateral Assistance, MAIN DATA'!$M:$M,'Bilateral Assistance, MAIN DATA'!$B:$B,'Share, Heavy Weapons to Ukraine'!$B32,'Bilateral Assistance, MAIN DATA'!$AO:$AO,'Share, Heavy Weapons to Ukraine'!X$11)</f>
        <v>0</v>
      </c>
      <c r="Y32" s="2">
        <f>SUMIFS('Bilateral Assistance, MAIN DATA'!$M:$M,'Bilateral Assistance, MAIN DATA'!$B:$B,'Share, Heavy Weapons to Ukraine'!$B32,'Bilateral Assistance, MAIN DATA'!$AO:$AO,'Share, Heavy Weapons to Ukraine'!Y$11)</f>
        <v>0</v>
      </c>
      <c r="Z32" s="2">
        <f>SUMIFS('Bilateral Assistance, MAIN DATA'!$M:$M,'Bilateral Assistance, MAIN DATA'!$B:$B,'Share, Heavy Weapons to Ukraine'!$B32,'Bilateral Assistance, MAIN DATA'!$AO:$AO,'Share, Heavy Weapons to Ukraine'!Z$11)</f>
        <v>0</v>
      </c>
      <c r="AA32" s="2">
        <f t="shared" si="1"/>
        <v>0</v>
      </c>
      <c r="AB32" s="2">
        <f>SUMIFS('Bilateral Assistance, MAIN DATA'!$M:$M,'Bilateral Assistance, MAIN DATA'!$B:$B,'Share, Heavy Weapons to Ukraine'!$B32,'Bilateral Assistance, MAIN DATA'!$AO:$AO,'Share, Heavy Weapons to Ukraine'!AB$11)</f>
        <v>0</v>
      </c>
      <c r="AC32" s="25">
        <f>SUMIFS('Bilateral Assistance, MAIN DATA'!$M:$M,'Bilateral Assistance, MAIN DATA'!$B:$B,'Share, Heavy Weapons to Ukraine'!$B32,'Bilateral Assistance, MAIN DATA'!$AO:$AO,"122mm MLRS")+SUMIFS('Bilateral Assistance, MAIN DATA'!$M:$M,'Bilateral Assistance, MAIN DATA'!$B:$B,'Share, Heavy Weapons to Ukraine'!$B32,'Bilateral Assistance, MAIN DATA'!$AO:$AO,"127mm MLRS")+SUMIFS('Bilateral Assistance, MAIN DATA'!$M:$M,'Bilateral Assistance, MAIN DATA'!$B:$B,'Share, Heavy Weapons to Ukraine'!$B32,'Bilateral Assistance, MAIN DATA'!$AO:$AO,"227mm MLRS")</f>
        <v>0</v>
      </c>
      <c r="AD32" s="2">
        <f>SUMIFS('Bilateral Assistance, MAIN DATA'!$M:$M,'Bilateral Assistance, MAIN DATA'!$B:$B,'Share, Heavy Weapons to Ukraine'!$B32,'Bilateral Assistance, MAIN DATA'!$AO:$AO,'Share, Heavy Weapons to Ukraine'!AD$11)</f>
        <v>0</v>
      </c>
      <c r="AE32" s="2">
        <f>SUMIFS('Bilateral Assistance, MAIN DATA'!$M:$M,'Bilateral Assistance, MAIN DATA'!$B:$B,'Share, Heavy Weapons to Ukraine'!$B32,'Bilateral Assistance, MAIN DATA'!$AO:$AO,'Share, Heavy Weapons to Ukraine'!AE$11)</f>
        <v>0</v>
      </c>
      <c r="AF32" s="2">
        <f>SUMIFS('Bilateral Assistance, MAIN DATA'!$M:$M,'Bilateral Assistance, MAIN DATA'!$B:$B,'Share, Heavy Weapons to Ukraine'!$B32,'Bilateral Assistance, MAIN DATA'!$AO:$AO,'Share, Heavy Weapons to Ukraine'!AF$11)</f>
        <v>0</v>
      </c>
      <c r="AG32" s="2">
        <f>SUMIFS('Bilateral Assistance, MAIN DATA'!$M:$M,'Bilateral Assistance, MAIN DATA'!$B:$B,'Share, Heavy Weapons to Ukraine'!$B32,'Bilateral Assistance, MAIN DATA'!$AO:$AO,'Share, Heavy Weapons to Ukraine'!AG$11)</f>
        <v>0</v>
      </c>
      <c r="AH32" s="2">
        <f>SUMIFS('Bilateral Assistance, MAIN DATA'!$M:$M,'Bilateral Assistance, MAIN DATA'!$B:$B,'Share, Heavy Weapons to Ukraine'!$B32,'Bilateral Assistance, MAIN DATA'!$AO:$AO,'Share, Heavy Weapons to Ukraine'!AH$11)</f>
        <v>0</v>
      </c>
      <c r="AI32" s="471"/>
      <c r="AJ32" s="2">
        <f>SUMIFS('Bilateral Assistance, MAIN DATA'!$N:$N,'Bilateral Assistance, MAIN DATA'!$B:$B,'Share, Heavy Weapons to Ukraine'!$B32,'Bilateral Assistance, MAIN DATA'!$AO:$AO,'Share, Heavy Weapons to Ukraine'!AJ$11)</f>
        <v>0</v>
      </c>
      <c r="AK32" s="2">
        <f>SUMIFS('Bilateral Assistance, MAIN DATA'!$N:$N,'Bilateral Assistance, MAIN DATA'!$B:$B,'Share, Heavy Weapons to Ukraine'!$B32,'Bilateral Assistance, MAIN DATA'!$AO:$AO,'Share, Heavy Weapons to Ukraine'!AK$11)</f>
        <v>0</v>
      </c>
      <c r="AL32" s="2">
        <f>SUMIFS('Bilateral Assistance, MAIN DATA'!$N:$N,'Bilateral Assistance, MAIN DATA'!$B:$B,'Share, Heavy Weapons to Ukraine'!$B32,'Bilateral Assistance, MAIN DATA'!$AO:$AO,'Share, Heavy Weapons to Ukraine'!AL$11)</f>
        <v>0</v>
      </c>
      <c r="AM32" s="2">
        <f>SUMIFS('Bilateral Assistance, MAIN DATA'!$N:$N,'Bilateral Assistance, MAIN DATA'!$B:$B,'Share, Heavy Weapons to Ukraine'!$B32,'Bilateral Assistance, MAIN DATA'!$AO:$AO,'Share, Heavy Weapons to Ukraine'!AM$11)</f>
        <v>0</v>
      </c>
      <c r="AN32" s="2">
        <f>SUMIFS('Bilateral Assistance, MAIN DATA'!$N:$N,'Bilateral Assistance, MAIN DATA'!$B:$B,'Share, Heavy Weapons to Ukraine'!$B32,'Bilateral Assistance, MAIN DATA'!$AO:$AO,'Share, Heavy Weapons to Ukraine'!AN$11)</f>
        <v>0</v>
      </c>
      <c r="AO32" s="2">
        <f t="shared" si="2"/>
        <v>0</v>
      </c>
      <c r="AP32" s="2">
        <f>SUMIFS('Bilateral Assistance, MAIN DATA'!$N:$N,'Bilateral Assistance, MAIN DATA'!$B:$B,'Share, Heavy Weapons to Ukraine'!$B32,'Bilateral Assistance, MAIN DATA'!$AO:$AO,'Share, Heavy Weapons to Ukraine'!AP$11)</f>
        <v>0</v>
      </c>
      <c r="AQ32" s="25">
        <f>SUMIFS('Bilateral Assistance, MAIN DATA'!$N:$N,'Bilateral Assistance, MAIN DATA'!$B:$B,'Share, Heavy Weapons to Ukraine'!$B32,'Bilateral Assistance, MAIN DATA'!$AO:$AO,"122mm MLRS")+SUMIFS('Bilateral Assistance, MAIN DATA'!$N:$N,'Bilateral Assistance, MAIN DATA'!$B:$B,'Share, Heavy Weapons to Ukraine'!$B32,'Bilateral Assistance, MAIN DATA'!$AO:$AO,"127mm MLRS")+SUMIFS('Bilateral Assistance, MAIN DATA'!$N:$N,'Bilateral Assistance, MAIN DATA'!$B:$B,'Share, Heavy Weapons to Ukraine'!$B32,'Bilateral Assistance, MAIN DATA'!$AO:$AO,"227mm MLRS")</f>
        <v>0</v>
      </c>
      <c r="AR32" s="2">
        <f>SUMIFS('Bilateral Assistance, MAIN DATA'!$N:$N,'Bilateral Assistance, MAIN DATA'!$B:$B,'Share, Heavy Weapons to Ukraine'!$B32,'Bilateral Assistance, MAIN DATA'!$AO:$AO,'Share, Heavy Weapons to Ukraine'!AR$11)</f>
        <v>0</v>
      </c>
      <c r="AS32" s="2">
        <f>SUMIFS('Bilateral Assistance, MAIN DATA'!$N:$N,'Bilateral Assistance, MAIN DATA'!$B:$B,'Share, Heavy Weapons to Ukraine'!$B32,'Bilateral Assistance, MAIN DATA'!$AO:$AO,'Share, Heavy Weapons to Ukraine'!AS$11)</f>
        <v>0</v>
      </c>
      <c r="AT32" s="2">
        <f>SUMIFS('Bilateral Assistance, MAIN DATA'!$N:$N,'Bilateral Assistance, MAIN DATA'!$B:$B,'Share, Heavy Weapons to Ukraine'!$B32,'Bilateral Assistance, MAIN DATA'!$AO:$AO,'Share, Heavy Weapons to Ukraine'!AT$11)</f>
        <v>0</v>
      </c>
      <c r="AU32" s="2">
        <f>SUMIFS('Bilateral Assistance, MAIN DATA'!$N:$N,'Bilateral Assistance, MAIN DATA'!$B:$B,'Share, Heavy Weapons to Ukraine'!$B32,'Bilateral Assistance, MAIN DATA'!$AO:$AO,'Share, Heavy Weapons to Ukraine'!AU$11)</f>
        <v>0</v>
      </c>
      <c r="AV32" s="2">
        <f>SUMIFS('Bilateral Assistance, MAIN DATA'!$N:$N,'Bilateral Assistance, MAIN DATA'!$B:$B,'Share, Heavy Weapons to Ukraine'!$B32,'Bilateral Assistance, MAIN DATA'!$AO:$AO,'Share, Heavy Weapons to Ukraine'!AV$11)</f>
        <v>0</v>
      </c>
      <c r="AW32" s="471"/>
      <c r="AX32" s="292">
        <f>IF(VLOOKUP($B32,$B:G,COLUMN(G31)-1,FALSE)&lt;&gt;0,VLOOKUP($B32,$B:V,COLUMN(V31)-1,FALSE)/VLOOKUP($B32,$B:G,COLUMN(G31)-1,FALSE),IF(VLOOKUP($B32,$B:V,COLUMN(V31)-1,FALSE)&lt;&gt;0,"Strange",0))</f>
        <v>0</v>
      </c>
      <c r="AY32" s="292">
        <f>IF(VLOOKUP($B32,$B:H,COLUMN(H31)-1,FALSE)&lt;&gt;0,VLOOKUP($B32,$B:W,COLUMN(W31)-1,FALSE)/VLOOKUP($B32,$B:H,COLUMN(H31)-1,FALSE),IF(VLOOKUP($B32,$B:W,COLUMN(W31)-1,FALSE)&lt;&gt;0,"Strange",0))</f>
        <v>0</v>
      </c>
      <c r="AZ32" s="292">
        <f>IF(VLOOKUP($B32,$B:I,COLUMN(I31)-1,FALSE)&lt;&gt;0,VLOOKUP($B32,$B:X,COLUMN(X31)-1,FALSE)/VLOOKUP($B32,$B:I,COLUMN(I31)-1,FALSE),IF(VLOOKUP($B32,$B:X,COLUMN(X31)-1,FALSE)&lt;&gt;0,"Strange",0))</f>
        <v>0</v>
      </c>
      <c r="BA32" s="292">
        <f>IF(VLOOKUP($B32,$B:J,COLUMN(J31)-1,FALSE)&lt;&gt;0,VLOOKUP($B32,$B:Y,COLUMN(Y31)-1,FALSE)/VLOOKUP($B32,$B:J,COLUMN(J31)-1,FALSE),IF(VLOOKUP($B32,$B:Y,COLUMN(Y31)-1,FALSE)&lt;&gt;0,"Strange",0))</f>
        <v>0</v>
      </c>
      <c r="BB32" s="292">
        <f>IF(VLOOKUP($B32,$B:K,COLUMN(K31)-1,FALSE)&lt;&gt;0,VLOOKUP($B32,$B:Z,COLUMN(Z31)-1,FALSE)/VLOOKUP($B32,$B:K,COLUMN(K31)-1,FALSE),IF(VLOOKUP($B32,$B:Z,COLUMN(Z31)-1,FALSE)&lt;&gt;0,"Strange",0))</f>
        <v>0</v>
      </c>
      <c r="BC32" s="292">
        <f>IF(VLOOKUP($B32,$B:L,COLUMN(L31)-1,FALSE)&lt;&gt;0,VLOOKUP($B32,$B:AA,COLUMN(AA31)-1,FALSE)/VLOOKUP($B32,$B:L,COLUMN(L31)-1,FALSE),IF(VLOOKUP($B32,$B:AA,COLUMN(AA31)-1,FALSE)&lt;&gt;0,"Strange",0))</f>
        <v>0</v>
      </c>
      <c r="BD32" s="292">
        <f>IF(VLOOKUP($B32,$B:M,COLUMN(M31)-1,FALSE)&lt;&gt;0,VLOOKUP($B32,$B:AB,COLUMN(AB31)-1,FALSE)/VLOOKUP($B32,$B:M,COLUMN(M31)-1,FALSE),IF(VLOOKUP($B32,$B:AB,COLUMN(AB31)-1,FALSE)&lt;&gt;0,"Strange",0))</f>
        <v>0</v>
      </c>
      <c r="BE32" s="292">
        <f>IF(VLOOKUP($B32,$B:N,COLUMN(N31)-1,FALSE)&lt;&gt;0,VLOOKUP($B32,$B:AC,COLUMN(AC31)-1,FALSE)/VLOOKUP($B32,$B:N,COLUMN(N31)-1,FALSE),IF(VLOOKUP($B32,$B:AC,COLUMN(AC31)-1,FALSE)&lt;&gt;0,"Strange",0))</f>
        <v>0</v>
      </c>
      <c r="BF32" s="292">
        <f>IF(VLOOKUP($B32,$B:O,COLUMN(O31)-1,FALSE)&lt;&gt;0,VLOOKUP($B32,$B:AD,COLUMN(AD31)-1,FALSE)/VLOOKUP($B32,$B:O,COLUMN(O31)-1,FALSE),IF(VLOOKUP($B32,$B:AD,COLUMN(AD31)-1,FALSE)&lt;&gt;0,"Strange",0))</f>
        <v>0</v>
      </c>
      <c r="BG32" s="292">
        <f>IF(VLOOKUP($B32,$B:Q,COLUMN(Q31)-1,FALSE)&lt;&gt;0,VLOOKUP($B32,$B:AE,COLUMN(AE31)-1,FALSE)/VLOOKUP($B32,$B:Q,COLUMN(Q31)-1,FALSE),IF(VLOOKUP($B32,$B:AE,COLUMN(AE31)-1,FALSE)&lt;&gt;0,"Strange",0))</f>
        <v>0</v>
      </c>
      <c r="BH32" s="292">
        <f>IF(VLOOKUP($B32,$B:R,COLUMN(R31)-1,FALSE)&lt;&gt;0,VLOOKUP($B32,$B:AF,COLUMN(AF31)-1,FALSE)/VLOOKUP($B32,$B:R,COLUMN(R31)-1,FALSE),IF(VLOOKUP($B32,$B:AF,COLUMN(AF31)-1,FALSE)&lt;&gt;0,"Strange",0))</f>
        <v>0</v>
      </c>
      <c r="BI32" s="292">
        <f>IF(VLOOKUP($B32,$B:S,COLUMN(S31)-1,FALSE)&lt;&gt;0,VLOOKUP($B32,$B:AG,COLUMN(AG31)-1,FALSE)/VLOOKUP($B32,$B:S,COLUMN(S31)-1,FALSE),IF(VLOOKUP($B32,$B:AG,COLUMN(AG31)-1,FALSE)&lt;&gt;0,"Strange",0))</f>
        <v>0</v>
      </c>
      <c r="BJ32" s="292">
        <f>IF(VLOOKUP($B32,$B:T,COLUMN(T31)-1,FALSE)&lt;&gt;0,VLOOKUP($B32,$B:AH,COLUMN(AH31)-1,FALSE)/VLOOKUP($B32,$B:T,COLUMN(T31)-1,FALSE),IF(VLOOKUP($B32,$B:AH,COLUMN(AH31)-1,FALSE)&lt;&gt;0,"Strange",0))</f>
        <v>0</v>
      </c>
      <c r="BK32" s="471"/>
      <c r="BL32" s="2">
        <f>IF(VLOOKUP($B32,$B:W,COLUMN(G31)-1,FALSE)&lt;&gt;0,VLOOKUP($B32,$B:AK,COLUMN(AJ31)-1,FALSE)/VLOOKUP($B32,$B:W,COLUMN(G31)-1,FALSE),IF(VLOOKUP($B32,$B:AK,COLUMN(AJ31)-1,FALSE)&lt;&gt;0,"Strange",0))</f>
        <v>0</v>
      </c>
      <c r="BM32" s="2">
        <f>IF(VLOOKUP($B32,$B:X,COLUMN(H31)-1,FALSE)&lt;&gt;0,VLOOKUP($B32,$B:AL,COLUMN(AK31)-1,FALSE)/VLOOKUP($B32,$B:X,COLUMN(H31)-1,FALSE),IF(VLOOKUP($B32,$B:AL,COLUMN(AK31)-1,FALSE)&lt;&gt;0,"Strange",0))</f>
        <v>0</v>
      </c>
      <c r="BN32" s="2">
        <f>IF(VLOOKUP($B32,$B:Y,COLUMN(I31)-1,FALSE)&lt;&gt;0,VLOOKUP($B32,$B:AM,COLUMN(AL31)-1,FALSE)/VLOOKUP($B32,$B:Y,COLUMN(I31)-1,FALSE),IF(VLOOKUP($B32,$B:AM,COLUMN(AL31)-1,FALSE)&lt;&gt;0,"Strange",0))</f>
        <v>0</v>
      </c>
      <c r="BO32" s="2">
        <f>IF(VLOOKUP($B32,$B:Z,COLUMN(J31)-1,FALSE)&lt;&gt;0,VLOOKUP($B32,$B:AN,COLUMN(AM31)-1,FALSE)/VLOOKUP($B32,$B:Z,COLUMN(J31)-1,FALSE),IF(VLOOKUP($B32,$B:AN,COLUMN(AM31)-1,FALSE)&lt;&gt;0,"Strange",0))</f>
        <v>0</v>
      </c>
      <c r="BP32" s="2">
        <f>IF(VLOOKUP($B32,$B:AB,COLUMN(K31)-1,FALSE)&lt;&gt;0,VLOOKUP($B32,$B:AP,COLUMN(AN31)-1,FALSE)/VLOOKUP($B32,$B:AB,COLUMN(K31)-1,FALSE),IF(VLOOKUP($B32,$B:AP,COLUMN(AN31)-1,FALSE)&lt;&gt;0,"Strange",0))</f>
        <v>0</v>
      </c>
      <c r="BQ32" s="2">
        <f>IF(VLOOKUP($B32,$B:AC,COLUMN(L31)-1,FALSE)&lt;&gt;0,VLOOKUP($B32,$B:AQ,COLUMN(AO31)-1,FALSE)/VLOOKUP($B32,$B:AC,COLUMN(L31)-1,FALSE),IF(VLOOKUP($B32,$B:AQ,COLUMN(AO31)-1,FALSE)&lt;&gt;0,"Strange",0))</f>
        <v>0</v>
      </c>
      <c r="BR32" s="2">
        <f>IF(VLOOKUP($B32,$B:AC,COLUMN(M31)-1,FALSE)&lt;&gt;0,VLOOKUP($B32,$B:AQ,COLUMN(AP31)-1,FALSE)/VLOOKUP($B32,$B:AC,COLUMN(M31)-1,FALSE),IF(VLOOKUP($B32,$B:AQ,COLUMN(AP31)-1,FALSE)&lt;&gt;0,"Strange",0))</f>
        <v>0</v>
      </c>
      <c r="BS32" s="2">
        <f>IF(VLOOKUP($B32,$B:AD,COLUMN(N31)-1,FALSE)&lt;&gt;0,VLOOKUP($B32,$B:AR,COLUMN(AQ31)-1,FALSE)/VLOOKUP($B32,$B:AD,COLUMN(N31)-1,FALSE),IF(VLOOKUP($B32,$B:AR,COLUMN(AQ31)-1,FALSE)&lt;&gt;0,"Strange",0))</f>
        <v>0</v>
      </c>
      <c r="BT32" s="2">
        <f>IF(VLOOKUP($B32,$B:AD,COLUMN(O31)-1,FALSE)&lt;&gt;0,VLOOKUP($B32,$B:AR,COLUMN(AR31)-1,FALSE)/VLOOKUP($B32,$B:AD,COLUMN(O31)-1,FALSE),IF(VLOOKUP($B32,$B:AR,COLUMN(AR31)-1,FALSE)&lt;&gt;0,"Strange",0))</f>
        <v>0</v>
      </c>
      <c r="BU32" s="2">
        <f>IF(VLOOKUP($B32,$B:AE,COLUMN(Q31)-1,FALSE)&lt;&gt;0,VLOOKUP($B32,$B:AS,COLUMN(AS31)-1,FALSE)/VLOOKUP($B32,$B:AE,COLUMN(Q31)-1,FALSE),IF(VLOOKUP($B32,$B:AS,COLUMN(AS31)-1,FALSE)&lt;&gt;0,"Strange",0))</f>
        <v>0</v>
      </c>
      <c r="BV32" s="2">
        <f>IF(VLOOKUP($B32,$B:AF,COLUMN(R31)-1,FALSE)&lt;&gt;0,VLOOKUP($B32,$B:AT,COLUMN(AT31)-1,FALSE)/VLOOKUP($B32,$B:AF,COLUMN(R31)-1,FALSE),IF(VLOOKUP($B32,$B:AT,COLUMN(AT31)-1,FALSE)&lt;&gt;0,"Strange",0))</f>
        <v>0</v>
      </c>
      <c r="BW32" s="2">
        <f>IF(VLOOKUP($B32,$B:AG,COLUMN(S31)-1,FALSE)&lt;&gt;0,VLOOKUP($B32,$B:AU,COLUMN(AU31)-1,FALSE)/VLOOKUP($B32,$B:AG,COLUMN(S31)-1,FALSE),IF(VLOOKUP($B32,$B:AU,COLUMN(AU31)-1,FALSE)&lt;&gt;0,"Strange",0))</f>
        <v>0</v>
      </c>
      <c r="BX32" s="2">
        <f>IF(VLOOKUP($B32,$B:AH,COLUMN(T31)-1,FALSE)&lt;&gt;0,VLOOKUP($B32,$B:AV,COLUMN(AV31)-1,FALSE)/VLOOKUP($B32,$B:AH,COLUMN(T31)-1,FALSE),IF(VLOOKUP($B32,$B:AV,COLUMN(AV31)-1,FALSE)&lt;&gt;0,"Strange",0))</f>
        <v>0</v>
      </c>
      <c r="BY32" s="471"/>
      <c r="BZ32" s="2">
        <f>SUMIFS('Bilateral Assistance, MAIN DATA'!$M:$M,'Bilateral Assistance, MAIN DATA'!$B:$B,'Share, Heavy Weapons to Ukraine'!$B32,'Bilateral Assistance, MAIN DATA'!$AO:$AO,'Share, Heavy Weapons to Ukraine'!BZ$11, 'Bilateral Assistance, MAIN DATA'!$AA:$AA,1)</f>
        <v>0</v>
      </c>
      <c r="CA32" s="2">
        <f>SUMIFS('Bilateral Assistance, MAIN DATA'!$M:$M,'Bilateral Assistance, MAIN DATA'!$B:$B,'Share, Heavy Weapons to Ukraine'!$B32,'Bilateral Assistance, MAIN DATA'!$AO:$AO,'Share, Heavy Weapons to Ukraine'!CA$11, 'Bilateral Assistance, MAIN DATA'!$AA:$AA,1)</f>
        <v>0</v>
      </c>
      <c r="CB32" s="2">
        <f>SUMIFS('Bilateral Assistance, MAIN DATA'!$M:$M,'Bilateral Assistance, MAIN DATA'!$B:$B,'Share, Heavy Weapons to Ukraine'!$B32,'Bilateral Assistance, MAIN DATA'!$AO:$AO,'Share, Heavy Weapons to Ukraine'!CB$11, 'Bilateral Assistance, MAIN DATA'!$AA:$AA,1)</f>
        <v>0</v>
      </c>
      <c r="CC32" s="2">
        <f>SUMIFS('Bilateral Assistance, MAIN DATA'!$M:$M,'Bilateral Assistance, MAIN DATA'!$B:$B,'Share, Heavy Weapons to Ukraine'!$B32,'Bilateral Assistance, MAIN DATA'!$AO:$AO,'Share, Heavy Weapons to Ukraine'!CC$11, 'Bilateral Assistance, MAIN DATA'!$AA:$AA,1)</f>
        <v>0</v>
      </c>
      <c r="CD32" s="471"/>
      <c r="CE32" s="2">
        <f>SUMIFS('Bilateral Assistance, MAIN DATA'!$N:$N,'Bilateral Assistance, MAIN DATA'!$B:$B,'Share, Heavy Weapons to Ukraine'!$B32,'Bilateral Assistance, MAIN DATA'!$AO:$AO,'Share, Heavy Weapons to Ukraine'!CE$11, 'Bilateral Assistance, MAIN DATA'!$AA:$AA,1)</f>
        <v>0</v>
      </c>
      <c r="CF32" s="2">
        <f>SUMIFS('Bilateral Assistance, MAIN DATA'!$N:$N,'Bilateral Assistance, MAIN DATA'!$B:$B,'Share, Heavy Weapons to Ukraine'!$B32,'Bilateral Assistance, MAIN DATA'!$AO:$AO,'Share, Heavy Weapons to Ukraine'!CF$11, 'Bilateral Assistance, MAIN DATA'!$AA:$AA,1)</f>
        <v>0</v>
      </c>
      <c r="CG32" s="2">
        <f>SUMIFS('Bilateral Assistance, MAIN DATA'!$N:$N,'Bilateral Assistance, MAIN DATA'!$B:$B,'Share, Heavy Weapons to Ukraine'!$B32,'Bilateral Assistance, MAIN DATA'!$AO:$AO,'Share, Heavy Weapons to Ukraine'!CG$11, 'Bilateral Assistance, MAIN DATA'!$AA:$AA,1)</f>
        <v>0</v>
      </c>
      <c r="CH32" s="2">
        <f>SUMIFS('Bilateral Assistance, MAIN DATA'!$N:$N,'Bilateral Assistance, MAIN DATA'!$B:$B,'Share, Heavy Weapons to Ukraine'!$B32,'Bilateral Assistance, MAIN DATA'!$AO:$AO,'Share, Heavy Weapons to Ukraine'!CH$11, 'Bilateral Assistance, MAIN DATA'!$AA:$AA,1)</f>
        <v>0</v>
      </c>
    </row>
    <row r="33" spans="2:86" ht="15.6" x14ac:dyDescent="0.3">
      <c r="B33" s="470" t="s">
        <v>2168</v>
      </c>
      <c r="C33" s="470">
        <v>0</v>
      </c>
      <c r="D33" s="2">
        <v>0</v>
      </c>
      <c r="E33" s="471"/>
      <c r="F33" s="472">
        <v>3.27</v>
      </c>
      <c r="G33" s="470">
        <f>VLOOKUP(B33,'Heavy Weapon Stocks'!B:OE,COLUMN('Heavy Weapon Stocks'!$C$11)-1,FALSE)</f>
        <v>0</v>
      </c>
      <c r="H33" s="470">
        <f>VLOOKUP(B33,'Heavy Weapon Stocks'!B:OE,COLUMN('Heavy Weapon Stocks'!$AT$11)-1,FALSE)</f>
        <v>0</v>
      </c>
      <c r="I33" s="470">
        <f>VLOOKUP(B33,'Heavy Weapon Stocks'!B:OE,COLUMN('Heavy Weapon Stocks'!$DN$11)-1,FALSE)</f>
        <v>0</v>
      </c>
      <c r="J33" s="470">
        <f>VLOOKUP(B33,'Heavy Weapon Stocks'!B:OE,COLUMN('Heavy Weapon Stocks'!$EB$11)-1,FALSE)</f>
        <v>0</v>
      </c>
      <c r="K33" s="470">
        <f>VLOOKUP(B33,'Heavy Weapon Stocks'!B:OE,COLUMN('Heavy Weapon Stocks'!$FD$11)-1,FALSE)</f>
        <v>93</v>
      </c>
      <c r="L33" s="470">
        <f t="shared" si="3"/>
        <v>93</v>
      </c>
      <c r="M33" s="470">
        <f>VLOOKUP(B33,'Heavy Weapon Stocks'!B:OE,COLUMN('Heavy Weapon Stocks'!$GZ$11)-1,FALSE)+VLOOKUP(B33,'Heavy Weapon Stocks'!B:OE,COLUMN('Heavy Weapon Stocks'!$IF$11)-1,FALSE)</f>
        <v>0</v>
      </c>
      <c r="N33" s="470">
        <f>VLOOKUP(B33,'Heavy Weapon Stocks'!B:OE,COLUMN('Heavy Weapon Stocks'!$IK$11)-1,FALSE)</f>
        <v>0</v>
      </c>
      <c r="O33" s="470">
        <f>VLOOKUP(B33,'Heavy Weapon Stocks'!B:OE,COLUMN('Heavy Weapon Stocks'!$JE$11)-1,FALSE)+VLOOKUP(B33,'Heavy Weapon Stocks'!B:OE,COLUMN('Heavy Weapon Stocks'!$KB$11)-1,FALSE)</f>
        <v>0</v>
      </c>
      <c r="Q33" s="470">
        <f>VLOOKUP(B33,'Heavy Weapon Stocks'!B:OE,COLUMN('Heavy Weapon Stocks'!$LS$11)-1,FALSE)</f>
        <v>0</v>
      </c>
      <c r="R33" s="470">
        <f>VLOOKUP(B33,'Heavy Weapon Stocks'!B:OE,COLUMN('Heavy Weapon Stocks'!$MC$11)-1,FALSE)</f>
        <v>0</v>
      </c>
      <c r="S33" s="470">
        <f>VLOOKUP(B33,'Heavy Weapon Stocks'!B:OE,COLUMN('Heavy Weapon Stocks'!$MJ$11)-1,FALSE)</f>
        <v>0</v>
      </c>
      <c r="T33" s="470">
        <f>VLOOKUP(B33,'Heavy Weapon Stocks'!B:OE,COLUMN('Heavy Weapon Stocks'!$NO$11)-1,FALSE)</f>
        <v>0</v>
      </c>
      <c r="U33" s="471"/>
      <c r="V33" s="2">
        <f>SUMIFS('Bilateral Assistance, MAIN DATA'!$M:$M,'Bilateral Assistance, MAIN DATA'!$B:$B,'Share, Heavy Weapons to Ukraine'!$B33,'Bilateral Assistance, MAIN DATA'!$AO:$AO,'Share, Heavy Weapons to Ukraine'!V$11)</f>
        <v>0</v>
      </c>
      <c r="W33" s="2">
        <f>SUMIFS('Bilateral Assistance, MAIN DATA'!$M:$M,'Bilateral Assistance, MAIN DATA'!$B:$B,'Share, Heavy Weapons to Ukraine'!$B33,'Bilateral Assistance, MAIN DATA'!$AO:$AO,'Share, Heavy Weapons to Ukraine'!W$11)</f>
        <v>0</v>
      </c>
      <c r="X33" s="2">
        <f>SUMIFS('Bilateral Assistance, MAIN DATA'!$M:$M,'Bilateral Assistance, MAIN DATA'!$B:$B,'Share, Heavy Weapons to Ukraine'!$B33,'Bilateral Assistance, MAIN DATA'!$AO:$AO,'Share, Heavy Weapons to Ukraine'!X$11)</f>
        <v>0</v>
      </c>
      <c r="Y33" s="2">
        <f>SUMIFS('Bilateral Assistance, MAIN DATA'!$M:$M,'Bilateral Assistance, MAIN DATA'!$B:$B,'Share, Heavy Weapons to Ukraine'!$B33,'Bilateral Assistance, MAIN DATA'!$AO:$AO,'Share, Heavy Weapons to Ukraine'!Y$11)</f>
        <v>0</v>
      </c>
      <c r="Z33" s="2">
        <f>SUMIFS('Bilateral Assistance, MAIN DATA'!$M:$M,'Bilateral Assistance, MAIN DATA'!$B:$B,'Share, Heavy Weapons to Ukraine'!$B33,'Bilateral Assistance, MAIN DATA'!$AO:$AO,'Share, Heavy Weapons to Ukraine'!Z$11)</f>
        <v>0</v>
      </c>
      <c r="AA33" s="2">
        <f t="shared" si="1"/>
        <v>0</v>
      </c>
      <c r="AB33" s="2">
        <f>SUMIFS('Bilateral Assistance, MAIN DATA'!$M:$M,'Bilateral Assistance, MAIN DATA'!$B:$B,'Share, Heavy Weapons to Ukraine'!$B33,'Bilateral Assistance, MAIN DATA'!$AO:$AO,'Share, Heavy Weapons to Ukraine'!AB$11)</f>
        <v>0</v>
      </c>
      <c r="AC33" s="25">
        <f>SUMIFS('Bilateral Assistance, MAIN DATA'!$M:$M,'Bilateral Assistance, MAIN DATA'!$B:$B,'Share, Heavy Weapons to Ukraine'!$B33,'Bilateral Assistance, MAIN DATA'!$AO:$AO,"122mm MLRS")+SUMIFS('Bilateral Assistance, MAIN DATA'!$M:$M,'Bilateral Assistance, MAIN DATA'!$B:$B,'Share, Heavy Weapons to Ukraine'!$B33,'Bilateral Assistance, MAIN DATA'!$AO:$AO,"127mm MLRS")+SUMIFS('Bilateral Assistance, MAIN DATA'!$M:$M,'Bilateral Assistance, MAIN DATA'!$B:$B,'Share, Heavy Weapons to Ukraine'!$B33,'Bilateral Assistance, MAIN DATA'!$AO:$AO,"227mm MLRS")</f>
        <v>0</v>
      </c>
      <c r="AD33" s="2">
        <f>SUMIFS('Bilateral Assistance, MAIN DATA'!$M:$M,'Bilateral Assistance, MAIN DATA'!$B:$B,'Share, Heavy Weapons to Ukraine'!$B33,'Bilateral Assistance, MAIN DATA'!$AO:$AO,'Share, Heavy Weapons to Ukraine'!AD$11)</f>
        <v>0</v>
      </c>
      <c r="AE33" s="2">
        <f>SUMIFS('Bilateral Assistance, MAIN DATA'!$M:$M,'Bilateral Assistance, MAIN DATA'!$B:$B,'Share, Heavy Weapons to Ukraine'!$B33,'Bilateral Assistance, MAIN DATA'!$AO:$AO,'Share, Heavy Weapons to Ukraine'!AE$11)</f>
        <v>0</v>
      </c>
      <c r="AF33" s="2">
        <f>SUMIFS('Bilateral Assistance, MAIN DATA'!$M:$M,'Bilateral Assistance, MAIN DATA'!$B:$B,'Share, Heavy Weapons to Ukraine'!$B33,'Bilateral Assistance, MAIN DATA'!$AO:$AO,'Share, Heavy Weapons to Ukraine'!AF$11)</f>
        <v>0</v>
      </c>
      <c r="AG33" s="2">
        <f>SUMIFS('Bilateral Assistance, MAIN DATA'!$M:$M,'Bilateral Assistance, MAIN DATA'!$B:$B,'Share, Heavy Weapons to Ukraine'!$B33,'Bilateral Assistance, MAIN DATA'!$AO:$AO,'Share, Heavy Weapons to Ukraine'!AG$11)</f>
        <v>0</v>
      </c>
      <c r="AH33" s="2">
        <f>SUMIFS('Bilateral Assistance, MAIN DATA'!$M:$M,'Bilateral Assistance, MAIN DATA'!$B:$B,'Share, Heavy Weapons to Ukraine'!$B33,'Bilateral Assistance, MAIN DATA'!$AO:$AO,'Share, Heavy Weapons to Ukraine'!AH$11)</f>
        <v>0</v>
      </c>
      <c r="AI33" s="471"/>
      <c r="AJ33" s="2">
        <f>SUMIFS('Bilateral Assistance, MAIN DATA'!$N:$N,'Bilateral Assistance, MAIN DATA'!$B:$B,'Share, Heavy Weapons to Ukraine'!$B33,'Bilateral Assistance, MAIN DATA'!$AO:$AO,'Share, Heavy Weapons to Ukraine'!AJ$11)</f>
        <v>0</v>
      </c>
      <c r="AK33" s="2">
        <f>SUMIFS('Bilateral Assistance, MAIN DATA'!$N:$N,'Bilateral Assistance, MAIN DATA'!$B:$B,'Share, Heavy Weapons to Ukraine'!$B33,'Bilateral Assistance, MAIN DATA'!$AO:$AO,'Share, Heavy Weapons to Ukraine'!AK$11)</f>
        <v>0</v>
      </c>
      <c r="AL33" s="2">
        <f>SUMIFS('Bilateral Assistance, MAIN DATA'!$N:$N,'Bilateral Assistance, MAIN DATA'!$B:$B,'Share, Heavy Weapons to Ukraine'!$B33,'Bilateral Assistance, MAIN DATA'!$AO:$AO,'Share, Heavy Weapons to Ukraine'!AL$11)</f>
        <v>0</v>
      </c>
      <c r="AM33" s="2">
        <f>SUMIFS('Bilateral Assistance, MAIN DATA'!$N:$N,'Bilateral Assistance, MAIN DATA'!$B:$B,'Share, Heavy Weapons to Ukraine'!$B33,'Bilateral Assistance, MAIN DATA'!$AO:$AO,'Share, Heavy Weapons to Ukraine'!AM$11)</f>
        <v>0</v>
      </c>
      <c r="AN33" s="2">
        <f>SUMIFS('Bilateral Assistance, MAIN DATA'!$N:$N,'Bilateral Assistance, MAIN DATA'!$B:$B,'Share, Heavy Weapons to Ukraine'!$B33,'Bilateral Assistance, MAIN DATA'!$AO:$AO,'Share, Heavy Weapons to Ukraine'!AN$11)</f>
        <v>0</v>
      </c>
      <c r="AO33" s="2">
        <f t="shared" si="2"/>
        <v>0</v>
      </c>
      <c r="AP33" s="2">
        <f>SUMIFS('Bilateral Assistance, MAIN DATA'!$N:$N,'Bilateral Assistance, MAIN DATA'!$B:$B,'Share, Heavy Weapons to Ukraine'!$B33,'Bilateral Assistance, MAIN DATA'!$AO:$AO,'Share, Heavy Weapons to Ukraine'!AP$11)</f>
        <v>0</v>
      </c>
      <c r="AQ33" s="25">
        <f>SUMIFS('Bilateral Assistance, MAIN DATA'!$N:$N,'Bilateral Assistance, MAIN DATA'!$B:$B,'Share, Heavy Weapons to Ukraine'!$B33,'Bilateral Assistance, MAIN DATA'!$AO:$AO,"122mm MLRS")+SUMIFS('Bilateral Assistance, MAIN DATA'!$N:$N,'Bilateral Assistance, MAIN DATA'!$B:$B,'Share, Heavy Weapons to Ukraine'!$B33,'Bilateral Assistance, MAIN DATA'!$AO:$AO,"127mm MLRS")+SUMIFS('Bilateral Assistance, MAIN DATA'!$N:$N,'Bilateral Assistance, MAIN DATA'!$B:$B,'Share, Heavy Weapons to Ukraine'!$B33,'Bilateral Assistance, MAIN DATA'!$AO:$AO,"227mm MLRS")</f>
        <v>0</v>
      </c>
      <c r="AR33" s="2">
        <f>SUMIFS('Bilateral Assistance, MAIN DATA'!$N:$N,'Bilateral Assistance, MAIN DATA'!$B:$B,'Share, Heavy Weapons to Ukraine'!$B33,'Bilateral Assistance, MAIN DATA'!$AO:$AO,'Share, Heavy Weapons to Ukraine'!AR$11)</f>
        <v>0</v>
      </c>
      <c r="AS33" s="2">
        <f>SUMIFS('Bilateral Assistance, MAIN DATA'!$N:$N,'Bilateral Assistance, MAIN DATA'!$B:$B,'Share, Heavy Weapons to Ukraine'!$B33,'Bilateral Assistance, MAIN DATA'!$AO:$AO,'Share, Heavy Weapons to Ukraine'!AS$11)</f>
        <v>0</v>
      </c>
      <c r="AT33" s="2">
        <f>SUMIFS('Bilateral Assistance, MAIN DATA'!$N:$N,'Bilateral Assistance, MAIN DATA'!$B:$B,'Share, Heavy Weapons to Ukraine'!$B33,'Bilateral Assistance, MAIN DATA'!$AO:$AO,'Share, Heavy Weapons to Ukraine'!AT$11)</f>
        <v>0</v>
      </c>
      <c r="AU33" s="2">
        <f>SUMIFS('Bilateral Assistance, MAIN DATA'!$N:$N,'Bilateral Assistance, MAIN DATA'!$B:$B,'Share, Heavy Weapons to Ukraine'!$B33,'Bilateral Assistance, MAIN DATA'!$AO:$AO,'Share, Heavy Weapons to Ukraine'!AU$11)</f>
        <v>0</v>
      </c>
      <c r="AV33" s="2">
        <f>SUMIFS('Bilateral Assistance, MAIN DATA'!$N:$N,'Bilateral Assistance, MAIN DATA'!$B:$B,'Share, Heavy Weapons to Ukraine'!$B33,'Bilateral Assistance, MAIN DATA'!$AO:$AO,'Share, Heavy Weapons to Ukraine'!AV$11)</f>
        <v>0</v>
      </c>
      <c r="AW33" s="471"/>
      <c r="AX33" s="292">
        <f>IF(VLOOKUP($B33,$B:G,COLUMN(G32)-1,FALSE)&lt;&gt;0,VLOOKUP($B33,$B:V,COLUMN(V32)-1,FALSE)/VLOOKUP($B33,$B:G,COLUMN(G32)-1,FALSE),IF(VLOOKUP($B33,$B:V,COLUMN(V32)-1,FALSE)&lt;&gt;0,"Strange",0))</f>
        <v>0</v>
      </c>
      <c r="AY33" s="292">
        <f>IF(VLOOKUP($B33,$B:H,COLUMN(H32)-1,FALSE)&lt;&gt;0,VLOOKUP($B33,$B:W,COLUMN(W32)-1,FALSE)/VLOOKUP($B33,$B:H,COLUMN(H32)-1,FALSE),IF(VLOOKUP($B33,$B:W,COLUMN(W32)-1,FALSE)&lt;&gt;0,"Strange",0))</f>
        <v>0</v>
      </c>
      <c r="AZ33" s="292">
        <f>IF(VLOOKUP($B33,$B:I,COLUMN(I32)-1,FALSE)&lt;&gt;0,VLOOKUP($B33,$B:X,COLUMN(X32)-1,FALSE)/VLOOKUP($B33,$B:I,COLUMN(I32)-1,FALSE),IF(VLOOKUP($B33,$B:X,COLUMN(X32)-1,FALSE)&lt;&gt;0,"Strange",0))</f>
        <v>0</v>
      </c>
      <c r="BA33" s="292">
        <f>IF(VLOOKUP($B33,$B:J,COLUMN(J32)-1,FALSE)&lt;&gt;0,VLOOKUP($B33,$B:Y,COLUMN(Y32)-1,FALSE)/VLOOKUP($B33,$B:J,COLUMN(J32)-1,FALSE),IF(VLOOKUP($B33,$B:Y,COLUMN(Y32)-1,FALSE)&lt;&gt;0,"Strange",0))</f>
        <v>0</v>
      </c>
      <c r="BB33" s="292">
        <f>IF(VLOOKUP($B33,$B:K,COLUMN(K32)-1,FALSE)&lt;&gt;0,VLOOKUP($B33,$B:Z,COLUMN(Z32)-1,FALSE)/VLOOKUP($B33,$B:K,COLUMN(K32)-1,FALSE),IF(VLOOKUP($B33,$B:Z,COLUMN(Z32)-1,FALSE)&lt;&gt;0,"Strange",0))</f>
        <v>0</v>
      </c>
      <c r="BC33" s="292">
        <f>IF(VLOOKUP($B33,$B:L,COLUMN(L32)-1,FALSE)&lt;&gt;0,VLOOKUP($B33,$B:AA,COLUMN(AA32)-1,FALSE)/VLOOKUP($B33,$B:L,COLUMN(L32)-1,FALSE),IF(VLOOKUP($B33,$B:AA,COLUMN(AA32)-1,FALSE)&lt;&gt;0,"Strange",0))</f>
        <v>0</v>
      </c>
      <c r="BD33" s="292">
        <f>IF(VLOOKUP($B33,$B:M,COLUMN(M32)-1,FALSE)&lt;&gt;0,VLOOKUP($B33,$B:AB,COLUMN(AB32)-1,FALSE)/VLOOKUP($B33,$B:M,COLUMN(M32)-1,FALSE),IF(VLOOKUP($B33,$B:AB,COLUMN(AB32)-1,FALSE)&lt;&gt;0,"Strange",0))</f>
        <v>0</v>
      </c>
      <c r="BE33" s="292">
        <f>IF(VLOOKUP($B33,$B:N,COLUMN(N32)-1,FALSE)&lt;&gt;0,VLOOKUP($B33,$B:AC,COLUMN(AC32)-1,FALSE)/VLOOKUP($B33,$B:N,COLUMN(N32)-1,FALSE),IF(VLOOKUP($B33,$B:AC,COLUMN(AC32)-1,FALSE)&lt;&gt;0,"Strange",0))</f>
        <v>0</v>
      </c>
      <c r="BF33" s="292">
        <f>IF(VLOOKUP($B33,$B:O,COLUMN(O32)-1,FALSE)&lt;&gt;0,VLOOKUP($B33,$B:AD,COLUMN(AD32)-1,FALSE)/VLOOKUP($B33,$B:O,COLUMN(O32)-1,FALSE),IF(VLOOKUP($B33,$B:AD,COLUMN(AD32)-1,FALSE)&lt;&gt;0,"Strange",0))</f>
        <v>0</v>
      </c>
      <c r="BG33" s="292">
        <f>IF(VLOOKUP($B33,$B:Q,COLUMN(Q32)-1,FALSE)&lt;&gt;0,VLOOKUP($B33,$B:AE,COLUMN(AE32)-1,FALSE)/VLOOKUP($B33,$B:Q,COLUMN(Q32)-1,FALSE),IF(VLOOKUP($B33,$B:AE,COLUMN(AE32)-1,FALSE)&lt;&gt;0,"Strange",0))</f>
        <v>0</v>
      </c>
      <c r="BH33" s="292">
        <f>IF(VLOOKUP($B33,$B:R,COLUMN(R32)-1,FALSE)&lt;&gt;0,VLOOKUP($B33,$B:AF,COLUMN(AF32)-1,FALSE)/VLOOKUP($B33,$B:R,COLUMN(R32)-1,FALSE),IF(VLOOKUP($B33,$B:AF,COLUMN(AF32)-1,FALSE)&lt;&gt;0,"Strange",0))</f>
        <v>0</v>
      </c>
      <c r="BI33" s="292">
        <f>IF(VLOOKUP($B33,$B:S,COLUMN(S32)-1,FALSE)&lt;&gt;0,VLOOKUP($B33,$B:AG,COLUMN(AG32)-1,FALSE)/VLOOKUP($B33,$B:S,COLUMN(S32)-1,FALSE),IF(VLOOKUP($B33,$B:AG,COLUMN(AG32)-1,FALSE)&lt;&gt;0,"Strange",0))</f>
        <v>0</v>
      </c>
      <c r="BJ33" s="292">
        <f>IF(VLOOKUP($B33,$B:T,COLUMN(T32)-1,FALSE)&lt;&gt;0,VLOOKUP($B33,$B:AH,COLUMN(AH32)-1,FALSE)/VLOOKUP($B33,$B:T,COLUMN(T32)-1,FALSE),IF(VLOOKUP($B33,$B:AH,COLUMN(AH32)-1,FALSE)&lt;&gt;0,"Strange",0))</f>
        <v>0</v>
      </c>
      <c r="BK33" s="471"/>
      <c r="BL33" s="2">
        <f>IF(VLOOKUP($B33,$B:W,COLUMN(G32)-1,FALSE)&lt;&gt;0,VLOOKUP($B33,$B:AK,COLUMN(AJ32)-1,FALSE)/VLOOKUP($B33,$B:W,COLUMN(G32)-1,FALSE),IF(VLOOKUP($B33,$B:AK,COLUMN(AJ32)-1,FALSE)&lt;&gt;0,"Strange",0))</f>
        <v>0</v>
      </c>
      <c r="BM33" s="2">
        <f>IF(VLOOKUP($B33,$B:X,COLUMN(H32)-1,FALSE)&lt;&gt;0,VLOOKUP($B33,$B:AL,COLUMN(AK32)-1,FALSE)/VLOOKUP($B33,$B:X,COLUMN(H32)-1,FALSE),IF(VLOOKUP($B33,$B:AL,COLUMN(AK32)-1,FALSE)&lt;&gt;0,"Strange",0))</f>
        <v>0</v>
      </c>
      <c r="BN33" s="2">
        <f>IF(VLOOKUP($B33,$B:Y,COLUMN(I32)-1,FALSE)&lt;&gt;0,VLOOKUP($B33,$B:AM,COLUMN(AL32)-1,FALSE)/VLOOKUP($B33,$B:Y,COLUMN(I32)-1,FALSE),IF(VLOOKUP($B33,$B:AM,COLUMN(AL32)-1,FALSE)&lt;&gt;0,"Strange",0))</f>
        <v>0</v>
      </c>
      <c r="BO33" s="2">
        <f>IF(VLOOKUP($B33,$B:Z,COLUMN(J32)-1,FALSE)&lt;&gt;0,VLOOKUP($B33,$B:AN,COLUMN(AM32)-1,FALSE)/VLOOKUP($B33,$B:Z,COLUMN(J32)-1,FALSE),IF(VLOOKUP($B33,$B:AN,COLUMN(AM32)-1,FALSE)&lt;&gt;0,"Strange",0))</f>
        <v>0</v>
      </c>
      <c r="BP33" s="2">
        <f>IF(VLOOKUP($B33,$B:AB,COLUMN(K32)-1,FALSE)&lt;&gt;0,VLOOKUP($B33,$B:AP,COLUMN(AN32)-1,FALSE)/VLOOKUP($B33,$B:AB,COLUMN(K32)-1,FALSE),IF(VLOOKUP($B33,$B:AP,COLUMN(AN32)-1,FALSE)&lt;&gt;0,"Strange",0))</f>
        <v>0</v>
      </c>
      <c r="BQ33" s="2">
        <f>IF(VLOOKUP($B33,$B:AC,COLUMN(L32)-1,FALSE)&lt;&gt;0,VLOOKUP($B33,$B:AQ,COLUMN(AO32)-1,FALSE)/VLOOKUP($B33,$B:AC,COLUMN(L32)-1,FALSE),IF(VLOOKUP($B33,$B:AQ,COLUMN(AO32)-1,FALSE)&lt;&gt;0,"Strange",0))</f>
        <v>0</v>
      </c>
      <c r="BR33" s="2">
        <f>IF(VLOOKUP($B33,$B:AC,COLUMN(M32)-1,FALSE)&lt;&gt;0,VLOOKUP($B33,$B:AQ,COLUMN(AP32)-1,FALSE)/VLOOKUP($B33,$B:AC,COLUMN(M32)-1,FALSE),IF(VLOOKUP($B33,$B:AQ,COLUMN(AP32)-1,FALSE)&lt;&gt;0,"Strange",0))</f>
        <v>0</v>
      </c>
      <c r="BS33" s="2">
        <f>IF(VLOOKUP($B33,$B:AD,COLUMN(N32)-1,FALSE)&lt;&gt;0,VLOOKUP($B33,$B:AR,COLUMN(AQ32)-1,FALSE)/VLOOKUP($B33,$B:AD,COLUMN(N32)-1,FALSE),IF(VLOOKUP($B33,$B:AR,COLUMN(AQ32)-1,FALSE)&lt;&gt;0,"Strange",0))</f>
        <v>0</v>
      </c>
      <c r="BT33" s="2">
        <f>IF(VLOOKUP($B33,$B:AD,COLUMN(O32)-1,FALSE)&lt;&gt;0,VLOOKUP($B33,$B:AR,COLUMN(AR32)-1,FALSE)/VLOOKUP($B33,$B:AD,COLUMN(O32)-1,FALSE),IF(VLOOKUP($B33,$B:AR,COLUMN(AR32)-1,FALSE)&lt;&gt;0,"Strange",0))</f>
        <v>0</v>
      </c>
      <c r="BU33" s="2">
        <f>IF(VLOOKUP($B33,$B:AE,COLUMN(Q32)-1,FALSE)&lt;&gt;0,VLOOKUP($B33,$B:AS,COLUMN(AS32)-1,FALSE)/VLOOKUP($B33,$B:AE,COLUMN(Q32)-1,FALSE),IF(VLOOKUP($B33,$B:AS,COLUMN(AS32)-1,FALSE)&lt;&gt;0,"Strange",0))</f>
        <v>0</v>
      </c>
      <c r="BV33" s="2">
        <f>IF(VLOOKUP($B33,$B:AF,COLUMN(R32)-1,FALSE)&lt;&gt;0,VLOOKUP($B33,$B:AT,COLUMN(AT32)-1,FALSE)/VLOOKUP($B33,$B:AF,COLUMN(R32)-1,FALSE),IF(VLOOKUP($B33,$B:AT,COLUMN(AT32)-1,FALSE)&lt;&gt;0,"Strange",0))</f>
        <v>0</v>
      </c>
      <c r="BW33" s="2">
        <f>IF(VLOOKUP($B33,$B:AG,COLUMN(S32)-1,FALSE)&lt;&gt;0,VLOOKUP($B33,$B:AU,COLUMN(AU32)-1,FALSE)/VLOOKUP($B33,$B:AG,COLUMN(S32)-1,FALSE),IF(VLOOKUP($B33,$B:AU,COLUMN(AU32)-1,FALSE)&lt;&gt;0,"Strange",0))</f>
        <v>0</v>
      </c>
      <c r="BX33" s="2">
        <f>IF(VLOOKUP($B33,$B:AH,COLUMN(T32)-1,FALSE)&lt;&gt;0,VLOOKUP($B33,$B:AV,COLUMN(AV32)-1,FALSE)/VLOOKUP($B33,$B:AH,COLUMN(T32)-1,FALSE),IF(VLOOKUP($B33,$B:AV,COLUMN(AV32)-1,FALSE)&lt;&gt;0,"Strange",0))</f>
        <v>0</v>
      </c>
      <c r="BY33" s="471"/>
      <c r="BZ33" s="2">
        <f>SUMIFS('Bilateral Assistance, MAIN DATA'!$M:$M,'Bilateral Assistance, MAIN DATA'!$B:$B,'Share, Heavy Weapons to Ukraine'!$B33,'Bilateral Assistance, MAIN DATA'!$AO:$AO,'Share, Heavy Weapons to Ukraine'!BZ$11, 'Bilateral Assistance, MAIN DATA'!$AA:$AA,1)</f>
        <v>0</v>
      </c>
      <c r="CA33" s="2">
        <f>SUMIFS('Bilateral Assistance, MAIN DATA'!$M:$M,'Bilateral Assistance, MAIN DATA'!$B:$B,'Share, Heavy Weapons to Ukraine'!$B33,'Bilateral Assistance, MAIN DATA'!$AO:$AO,'Share, Heavy Weapons to Ukraine'!CA$11, 'Bilateral Assistance, MAIN DATA'!$AA:$AA,1)</f>
        <v>0</v>
      </c>
      <c r="CB33" s="2">
        <f>SUMIFS('Bilateral Assistance, MAIN DATA'!$M:$M,'Bilateral Assistance, MAIN DATA'!$B:$B,'Share, Heavy Weapons to Ukraine'!$B33,'Bilateral Assistance, MAIN DATA'!$AO:$AO,'Share, Heavy Weapons to Ukraine'!CB$11, 'Bilateral Assistance, MAIN DATA'!$AA:$AA,1)</f>
        <v>0</v>
      </c>
      <c r="CC33" s="2">
        <f>SUMIFS('Bilateral Assistance, MAIN DATA'!$M:$M,'Bilateral Assistance, MAIN DATA'!$B:$B,'Share, Heavy Weapons to Ukraine'!$B33,'Bilateral Assistance, MAIN DATA'!$AO:$AO,'Share, Heavy Weapons to Ukraine'!CC$11, 'Bilateral Assistance, MAIN DATA'!$AA:$AA,1)</f>
        <v>0</v>
      </c>
      <c r="CD33" s="471"/>
      <c r="CE33" s="2">
        <f>SUMIFS('Bilateral Assistance, MAIN DATA'!$N:$N,'Bilateral Assistance, MAIN DATA'!$B:$B,'Share, Heavy Weapons to Ukraine'!$B33,'Bilateral Assistance, MAIN DATA'!$AO:$AO,'Share, Heavy Weapons to Ukraine'!CE$11, 'Bilateral Assistance, MAIN DATA'!$AA:$AA,1)</f>
        <v>0</v>
      </c>
      <c r="CF33" s="2">
        <f>SUMIFS('Bilateral Assistance, MAIN DATA'!$N:$N,'Bilateral Assistance, MAIN DATA'!$B:$B,'Share, Heavy Weapons to Ukraine'!$B33,'Bilateral Assistance, MAIN DATA'!$AO:$AO,'Share, Heavy Weapons to Ukraine'!CF$11, 'Bilateral Assistance, MAIN DATA'!$AA:$AA,1)</f>
        <v>0</v>
      </c>
      <c r="CG33" s="2">
        <f>SUMIFS('Bilateral Assistance, MAIN DATA'!$N:$N,'Bilateral Assistance, MAIN DATA'!$B:$B,'Share, Heavy Weapons to Ukraine'!$B33,'Bilateral Assistance, MAIN DATA'!$AO:$AO,'Share, Heavy Weapons to Ukraine'!CG$11, 'Bilateral Assistance, MAIN DATA'!$AA:$AA,1)</f>
        <v>0</v>
      </c>
      <c r="CH33" s="2">
        <f>SUMIFS('Bilateral Assistance, MAIN DATA'!$N:$N,'Bilateral Assistance, MAIN DATA'!$B:$B,'Share, Heavy Weapons to Ukraine'!$B33,'Bilateral Assistance, MAIN DATA'!$AO:$AO,'Share, Heavy Weapons to Ukraine'!CH$11, 'Bilateral Assistance, MAIN DATA'!$AA:$AA,1)</f>
        <v>0</v>
      </c>
    </row>
    <row r="34" spans="2:86" ht="15.6" x14ac:dyDescent="0.3">
      <c r="B34" s="470" t="s">
        <v>2370</v>
      </c>
      <c r="C34" s="470">
        <v>0</v>
      </c>
      <c r="D34" s="2">
        <v>1</v>
      </c>
      <c r="E34" s="471"/>
      <c r="F34" s="472">
        <v>2.96</v>
      </c>
      <c r="G34" s="470">
        <f>VLOOKUP(B34,'Heavy Weapon Stocks'!B:OE,COLUMN('Heavy Weapon Stocks'!$C$11)-1,FALSE)</f>
        <v>37</v>
      </c>
      <c r="H34" s="470">
        <f>VLOOKUP(B34,'Heavy Weapon Stocks'!B:OE,COLUMN('Heavy Weapon Stocks'!$AT$11)-1,FALSE)</f>
        <v>406</v>
      </c>
      <c r="I34" s="470">
        <f>VLOOKUP(B34,'Heavy Weapon Stocks'!B:OE,COLUMN('Heavy Weapon Stocks'!$DN$11)-1,FALSE)</f>
        <v>0</v>
      </c>
      <c r="J34" s="470">
        <f>VLOOKUP(B34,'Heavy Weapon Stocks'!B:OE,COLUMN('Heavy Weapon Stocks'!$EB$11)-1,FALSE)</f>
        <v>0</v>
      </c>
      <c r="K34" s="470">
        <f>VLOOKUP(B34,'Heavy Weapon Stocks'!B:OE,COLUMN('Heavy Weapon Stocks'!$FD$11)-1,FALSE)</f>
        <v>30</v>
      </c>
      <c r="L34" s="470">
        <f t="shared" si="3"/>
        <v>436</v>
      </c>
      <c r="M34" s="470">
        <f>VLOOKUP(B34,'Heavy Weapon Stocks'!B:OE,COLUMN('Heavy Weapon Stocks'!$GZ$11)-1,FALSE)+VLOOKUP(B34,'Heavy Weapon Stocks'!B:OE,COLUMN('Heavy Weapon Stocks'!$IF$11)-1,FALSE)</f>
        <v>48</v>
      </c>
      <c r="N34" s="470">
        <f>VLOOKUP(B34,'Heavy Weapon Stocks'!B:OE,COLUMN('Heavy Weapon Stocks'!$IK$11)-1,FALSE)</f>
        <v>0</v>
      </c>
      <c r="O34" s="470">
        <f>VLOOKUP(B34,'Heavy Weapon Stocks'!B:OE,COLUMN('Heavy Weapon Stocks'!$JE$11)-1,FALSE)+VLOOKUP(B34,'Heavy Weapon Stocks'!B:OE,COLUMN('Heavy Weapon Stocks'!$KB$11)-1,FALSE)</f>
        <v>30</v>
      </c>
      <c r="Q34" s="470">
        <f>VLOOKUP(B34,'Heavy Weapon Stocks'!B:OE,COLUMN('Heavy Weapon Stocks'!$LS$11)-1,FALSE)</f>
        <v>0</v>
      </c>
      <c r="R34" s="470">
        <f>VLOOKUP(B34,'Heavy Weapon Stocks'!B:OE,COLUMN('Heavy Weapon Stocks'!$MC$11)-1,FALSE)</f>
        <v>0</v>
      </c>
      <c r="S34" s="470">
        <f>VLOOKUP(B34,'Heavy Weapon Stocks'!B:OE,COLUMN('Heavy Weapon Stocks'!$MJ$11)-1,FALSE)</f>
        <v>0</v>
      </c>
      <c r="T34" s="470">
        <f>VLOOKUP(B34,'Heavy Weapon Stocks'!B:OE,COLUMN('Heavy Weapon Stocks'!$NO$11)-1,FALSE)</f>
        <v>20</v>
      </c>
      <c r="U34" s="471"/>
      <c r="V34" s="2">
        <f>SUMIFS('Bilateral Assistance, MAIN DATA'!$M:$M,'Bilateral Assistance, MAIN DATA'!$B:$B,'Share, Heavy Weapons to Ukraine'!$B34,'Bilateral Assistance, MAIN DATA'!$AO:$AO,'Share, Heavy Weapons to Ukraine'!V$11)</f>
        <v>0</v>
      </c>
      <c r="W34" s="2">
        <f>SUMIFS('Bilateral Assistance, MAIN DATA'!$M:$M,'Bilateral Assistance, MAIN DATA'!$B:$B,'Share, Heavy Weapons to Ukraine'!$B34,'Bilateral Assistance, MAIN DATA'!$AO:$AO,'Share, Heavy Weapons to Ukraine'!W$11)</f>
        <v>15</v>
      </c>
      <c r="X34" s="2">
        <f>SUMIFS('Bilateral Assistance, MAIN DATA'!$M:$M,'Bilateral Assistance, MAIN DATA'!$B:$B,'Share, Heavy Weapons to Ukraine'!$B34,'Bilateral Assistance, MAIN DATA'!$AO:$AO,'Share, Heavy Weapons to Ukraine'!X$11)</f>
        <v>0</v>
      </c>
      <c r="Y34" s="2">
        <f>SUMIFS('Bilateral Assistance, MAIN DATA'!$M:$M,'Bilateral Assistance, MAIN DATA'!$B:$B,'Share, Heavy Weapons to Ukraine'!$B34,'Bilateral Assistance, MAIN DATA'!$AO:$AO,'Share, Heavy Weapons to Ukraine'!Y$11)</f>
        <v>4</v>
      </c>
      <c r="Z34" s="2">
        <f>SUMIFS('Bilateral Assistance, MAIN DATA'!$M:$M,'Bilateral Assistance, MAIN DATA'!$B:$B,'Share, Heavy Weapons to Ukraine'!$B34,'Bilateral Assistance, MAIN DATA'!$AO:$AO,'Share, Heavy Weapons to Ukraine'!Z$11)</f>
        <v>0</v>
      </c>
      <c r="AA34" s="2">
        <f t="shared" si="1"/>
        <v>19</v>
      </c>
      <c r="AB34" s="2">
        <f>SUMIFS('Bilateral Assistance, MAIN DATA'!$M:$M,'Bilateral Assistance, MAIN DATA'!$B:$B,'Share, Heavy Weapons to Ukraine'!$B34,'Bilateral Assistance, MAIN DATA'!$AO:$AO,'Share, Heavy Weapons to Ukraine'!AB$11)</f>
        <v>5</v>
      </c>
      <c r="AC34" s="25">
        <f>SUMIFS('Bilateral Assistance, MAIN DATA'!$M:$M,'Bilateral Assistance, MAIN DATA'!$B:$B,'Share, Heavy Weapons to Ukraine'!$B34,'Bilateral Assistance, MAIN DATA'!$AO:$AO,"122mm MLRS")+SUMIFS('Bilateral Assistance, MAIN DATA'!$M:$M,'Bilateral Assistance, MAIN DATA'!$B:$B,'Share, Heavy Weapons to Ukraine'!$B34,'Bilateral Assistance, MAIN DATA'!$AO:$AO,"127mm MLRS")+SUMIFS('Bilateral Assistance, MAIN DATA'!$M:$M,'Bilateral Assistance, MAIN DATA'!$B:$B,'Share, Heavy Weapons to Ukraine'!$B34,'Bilateral Assistance, MAIN DATA'!$AO:$AO,"227mm MLRS")</f>
        <v>0</v>
      </c>
      <c r="AD34" s="2">
        <f>SUMIFS('Bilateral Assistance, MAIN DATA'!$M:$M,'Bilateral Assistance, MAIN DATA'!$B:$B,'Share, Heavy Weapons to Ukraine'!$B34,'Bilateral Assistance, MAIN DATA'!$AO:$AO,'Share, Heavy Weapons to Ukraine'!AD$11)</f>
        <v>0</v>
      </c>
      <c r="AE34" s="2">
        <f>SUMIFS('Bilateral Assistance, MAIN DATA'!$M:$M,'Bilateral Assistance, MAIN DATA'!$B:$B,'Share, Heavy Weapons to Ukraine'!$B34,'Bilateral Assistance, MAIN DATA'!$AO:$AO,'Share, Heavy Weapons to Ukraine'!AE$11)</f>
        <v>0</v>
      </c>
      <c r="AF34" s="2">
        <f>SUMIFS('Bilateral Assistance, MAIN DATA'!$M:$M,'Bilateral Assistance, MAIN DATA'!$B:$B,'Share, Heavy Weapons to Ukraine'!$B34,'Bilateral Assistance, MAIN DATA'!$AO:$AO,'Share, Heavy Weapons to Ukraine'!AF$11)</f>
        <v>0</v>
      </c>
      <c r="AG34" s="2">
        <f>SUMIFS('Bilateral Assistance, MAIN DATA'!$M:$M,'Bilateral Assistance, MAIN DATA'!$B:$B,'Share, Heavy Weapons to Ukraine'!$B34,'Bilateral Assistance, MAIN DATA'!$AO:$AO,'Share, Heavy Weapons to Ukraine'!AG$11)</f>
        <v>0</v>
      </c>
      <c r="AH34" s="2">
        <f>SUMIFS('Bilateral Assistance, MAIN DATA'!$M:$M,'Bilateral Assistance, MAIN DATA'!$B:$B,'Share, Heavy Weapons to Ukraine'!$B34,'Bilateral Assistance, MAIN DATA'!$AO:$AO,'Share, Heavy Weapons to Ukraine'!AH$11)</f>
        <v>0</v>
      </c>
      <c r="AI34" s="471"/>
      <c r="AJ34" s="2">
        <f>SUMIFS('Bilateral Assistance, MAIN DATA'!$N:$N,'Bilateral Assistance, MAIN DATA'!$B:$B,'Share, Heavy Weapons to Ukraine'!$B34,'Bilateral Assistance, MAIN DATA'!$AO:$AO,'Share, Heavy Weapons to Ukraine'!AJ$11)</f>
        <v>0</v>
      </c>
      <c r="AK34" s="2">
        <f>SUMIFS('Bilateral Assistance, MAIN DATA'!$N:$N,'Bilateral Assistance, MAIN DATA'!$B:$B,'Share, Heavy Weapons to Ukraine'!$B34,'Bilateral Assistance, MAIN DATA'!$AO:$AO,'Share, Heavy Weapons to Ukraine'!AK$11)</f>
        <v>14</v>
      </c>
      <c r="AL34" s="2">
        <f>SUMIFS('Bilateral Assistance, MAIN DATA'!$N:$N,'Bilateral Assistance, MAIN DATA'!$B:$B,'Share, Heavy Weapons to Ukraine'!$B34,'Bilateral Assistance, MAIN DATA'!$AO:$AO,'Share, Heavy Weapons to Ukraine'!AL$11)</f>
        <v>0</v>
      </c>
      <c r="AM34" s="2">
        <f>SUMIFS('Bilateral Assistance, MAIN DATA'!$N:$N,'Bilateral Assistance, MAIN DATA'!$B:$B,'Share, Heavy Weapons to Ukraine'!$B34,'Bilateral Assistance, MAIN DATA'!$AO:$AO,'Share, Heavy Weapons to Ukraine'!AM$11)</f>
        <v>0</v>
      </c>
      <c r="AN34" s="2">
        <f>SUMIFS('Bilateral Assistance, MAIN DATA'!$N:$N,'Bilateral Assistance, MAIN DATA'!$B:$B,'Share, Heavy Weapons to Ukraine'!$B34,'Bilateral Assistance, MAIN DATA'!$AO:$AO,'Share, Heavy Weapons to Ukraine'!AN$11)</f>
        <v>0</v>
      </c>
      <c r="AO34" s="2">
        <f t="shared" si="2"/>
        <v>14</v>
      </c>
      <c r="AP34" s="2">
        <f>SUMIFS('Bilateral Assistance, MAIN DATA'!$N:$N,'Bilateral Assistance, MAIN DATA'!$B:$B,'Share, Heavy Weapons to Ukraine'!$B34,'Bilateral Assistance, MAIN DATA'!$AO:$AO,'Share, Heavy Weapons to Ukraine'!AP$11)</f>
        <v>0</v>
      </c>
      <c r="AQ34" s="25">
        <f>SUMIFS('Bilateral Assistance, MAIN DATA'!$N:$N,'Bilateral Assistance, MAIN DATA'!$B:$B,'Share, Heavy Weapons to Ukraine'!$B34,'Bilateral Assistance, MAIN DATA'!$AO:$AO,"122mm MLRS")+SUMIFS('Bilateral Assistance, MAIN DATA'!$N:$N,'Bilateral Assistance, MAIN DATA'!$B:$B,'Share, Heavy Weapons to Ukraine'!$B34,'Bilateral Assistance, MAIN DATA'!$AO:$AO,"127mm MLRS")+SUMIFS('Bilateral Assistance, MAIN DATA'!$N:$N,'Bilateral Assistance, MAIN DATA'!$B:$B,'Share, Heavy Weapons to Ukraine'!$B34,'Bilateral Assistance, MAIN DATA'!$AO:$AO,"227mm MLRS")</f>
        <v>0</v>
      </c>
      <c r="AR34" s="2">
        <f>SUMIFS('Bilateral Assistance, MAIN DATA'!$N:$N,'Bilateral Assistance, MAIN DATA'!$B:$B,'Share, Heavy Weapons to Ukraine'!$B34,'Bilateral Assistance, MAIN DATA'!$AO:$AO,'Share, Heavy Weapons to Ukraine'!AR$11)</f>
        <v>0</v>
      </c>
      <c r="AS34" s="2">
        <f>SUMIFS('Bilateral Assistance, MAIN DATA'!$N:$N,'Bilateral Assistance, MAIN DATA'!$B:$B,'Share, Heavy Weapons to Ukraine'!$B34,'Bilateral Assistance, MAIN DATA'!$AO:$AO,'Share, Heavy Weapons to Ukraine'!AS$11)</f>
        <v>0</v>
      </c>
      <c r="AT34" s="2">
        <f>SUMIFS('Bilateral Assistance, MAIN DATA'!$N:$N,'Bilateral Assistance, MAIN DATA'!$B:$B,'Share, Heavy Weapons to Ukraine'!$B34,'Bilateral Assistance, MAIN DATA'!$AO:$AO,'Share, Heavy Weapons to Ukraine'!AT$11)</f>
        <v>0</v>
      </c>
      <c r="AU34" s="2">
        <f>SUMIFS('Bilateral Assistance, MAIN DATA'!$N:$N,'Bilateral Assistance, MAIN DATA'!$B:$B,'Share, Heavy Weapons to Ukraine'!$B34,'Bilateral Assistance, MAIN DATA'!$AO:$AO,'Share, Heavy Weapons to Ukraine'!AU$11)</f>
        <v>0</v>
      </c>
      <c r="AV34" s="2">
        <f>SUMIFS('Bilateral Assistance, MAIN DATA'!$N:$N,'Bilateral Assistance, MAIN DATA'!$B:$B,'Share, Heavy Weapons to Ukraine'!$B34,'Bilateral Assistance, MAIN DATA'!$AO:$AO,'Share, Heavy Weapons to Ukraine'!AV$11)</f>
        <v>0</v>
      </c>
      <c r="AW34" s="471"/>
      <c r="AX34" s="292">
        <f>IF(VLOOKUP($B34,$B:G,COLUMN(G33)-1,FALSE)&lt;&gt;0,VLOOKUP($B34,$B:V,COLUMN(V33)-1,FALSE)/VLOOKUP($B34,$B:G,COLUMN(G33)-1,FALSE),IF(VLOOKUP($B34,$B:V,COLUMN(V33)-1,FALSE)&lt;&gt;0,"Strange",0))</f>
        <v>0</v>
      </c>
      <c r="AY34" s="292">
        <f>IF(VLOOKUP($B34,$B:H,COLUMN(H33)-1,FALSE)&lt;&gt;0,VLOOKUP($B34,$B:W,COLUMN(W33)-1,FALSE)/VLOOKUP($B34,$B:H,COLUMN(H33)-1,FALSE),IF(VLOOKUP($B34,$B:W,COLUMN(W33)-1,FALSE)&lt;&gt;0,"Strange",0))</f>
        <v>3.6945812807881777E-2</v>
      </c>
      <c r="AZ34" s="292">
        <f>IF(VLOOKUP($B34,$B:I,COLUMN(I33)-1,FALSE)&lt;&gt;0,VLOOKUP($B34,$B:X,COLUMN(X33)-1,FALSE)/VLOOKUP($B34,$B:I,COLUMN(I33)-1,FALSE),IF(VLOOKUP($B34,$B:X,COLUMN(X33)-1,FALSE)&lt;&gt;0,"Strange",0))</f>
        <v>0</v>
      </c>
      <c r="BA34" s="292" t="str">
        <f>IF(VLOOKUP($B34,$B:J,COLUMN(J33)-1,FALSE)&lt;&gt;0,VLOOKUP($B34,$B:Y,COLUMN(Y33)-1,FALSE)/VLOOKUP($B34,$B:J,COLUMN(J33)-1,FALSE),IF(VLOOKUP($B34,$B:Y,COLUMN(Y33)-1,FALSE)&lt;&gt;0,"Strange",0))</f>
        <v>Strange</v>
      </c>
      <c r="BB34" s="292">
        <f>IF(VLOOKUP($B34,$B:K,COLUMN(K33)-1,FALSE)&lt;&gt;0,VLOOKUP($B34,$B:Z,COLUMN(Z33)-1,FALSE)/VLOOKUP($B34,$B:K,COLUMN(K33)-1,FALSE),IF(VLOOKUP($B34,$B:Z,COLUMN(Z33)-1,FALSE)&lt;&gt;0,"Strange",0))</f>
        <v>0</v>
      </c>
      <c r="BC34" s="292">
        <f>IF(VLOOKUP($B34,$B:L,COLUMN(L33)-1,FALSE)&lt;&gt;0,VLOOKUP($B34,$B:AA,COLUMN(AA33)-1,FALSE)/VLOOKUP($B34,$B:L,COLUMN(L33)-1,FALSE),IF(VLOOKUP($B34,$B:AA,COLUMN(AA33)-1,FALSE)&lt;&gt;0,"Strange",0))</f>
        <v>4.3577981651376149E-2</v>
      </c>
      <c r="BD34" s="292">
        <f>IF(VLOOKUP($B34,$B:M,COLUMN(M33)-1,FALSE)&lt;&gt;0,VLOOKUP($B34,$B:AB,COLUMN(AB33)-1,FALSE)/VLOOKUP($B34,$B:M,COLUMN(M33)-1,FALSE),IF(VLOOKUP($B34,$B:AB,COLUMN(AB33)-1,FALSE)&lt;&gt;0,"Strange",0))</f>
        <v>0.10416666666666667</v>
      </c>
      <c r="BE34" s="292">
        <f>IF(VLOOKUP($B34,$B:N,COLUMN(N33)-1,FALSE)&lt;&gt;0,VLOOKUP($B34,$B:AC,COLUMN(AC33)-1,FALSE)/VLOOKUP($B34,$B:N,COLUMN(N33)-1,FALSE),IF(VLOOKUP($B34,$B:AC,COLUMN(AC33)-1,FALSE)&lt;&gt;0,"Strange",0))</f>
        <v>0</v>
      </c>
      <c r="BF34" s="292">
        <f>IF(VLOOKUP($B34,$B:O,COLUMN(O33)-1,FALSE)&lt;&gt;0,VLOOKUP($B34,$B:AD,COLUMN(AD33)-1,FALSE)/VLOOKUP($B34,$B:O,COLUMN(O33)-1,FALSE),IF(VLOOKUP($B34,$B:AD,COLUMN(AD33)-1,FALSE)&lt;&gt;0,"Strange",0))</f>
        <v>0</v>
      </c>
      <c r="BG34" s="292">
        <f>IF(VLOOKUP($B34,$B:Q,COLUMN(Q33)-1,FALSE)&lt;&gt;0,VLOOKUP($B34,$B:AE,COLUMN(AE33)-1,FALSE)/VLOOKUP($B34,$B:Q,COLUMN(Q33)-1,FALSE),IF(VLOOKUP($B34,$B:AE,COLUMN(AE33)-1,FALSE)&lt;&gt;0,"Strange",0))</f>
        <v>0</v>
      </c>
      <c r="BH34" s="292">
        <f>IF(VLOOKUP($B34,$B:R,COLUMN(R33)-1,FALSE)&lt;&gt;0,VLOOKUP($B34,$B:AF,COLUMN(AF33)-1,FALSE)/VLOOKUP($B34,$B:R,COLUMN(R33)-1,FALSE),IF(VLOOKUP($B34,$B:AF,COLUMN(AF33)-1,FALSE)&lt;&gt;0,"Strange",0))</f>
        <v>0</v>
      </c>
      <c r="BI34" s="292">
        <f>IF(VLOOKUP($B34,$B:S,COLUMN(S33)-1,FALSE)&lt;&gt;0,VLOOKUP($B34,$B:AG,COLUMN(AG33)-1,FALSE)/VLOOKUP($B34,$B:S,COLUMN(S33)-1,FALSE),IF(VLOOKUP($B34,$B:AG,COLUMN(AG33)-1,FALSE)&lt;&gt;0,"Strange",0))</f>
        <v>0</v>
      </c>
      <c r="BJ34" s="292">
        <f>IF(VLOOKUP($B34,$B:T,COLUMN(T33)-1,FALSE)&lt;&gt;0,VLOOKUP($B34,$B:AH,COLUMN(AH33)-1,FALSE)/VLOOKUP($B34,$B:T,COLUMN(T33)-1,FALSE),IF(VLOOKUP($B34,$B:AH,COLUMN(AH33)-1,FALSE)&lt;&gt;0,"Strange",0))</f>
        <v>0</v>
      </c>
      <c r="BK34" s="471"/>
      <c r="BL34" s="2">
        <f>IF(VLOOKUP($B34,$B:W,COLUMN(G33)-1,FALSE)&lt;&gt;0,VLOOKUP($B34,$B:AK,COLUMN(AJ33)-1,FALSE)/VLOOKUP($B34,$B:W,COLUMN(G33)-1,FALSE),IF(VLOOKUP($B34,$B:AK,COLUMN(AJ33)-1,FALSE)&lt;&gt;0,"Strange",0))</f>
        <v>0</v>
      </c>
      <c r="BM34" s="2">
        <f>IF(VLOOKUP($B34,$B:X,COLUMN(H33)-1,FALSE)&lt;&gt;0,VLOOKUP($B34,$B:AL,COLUMN(AK33)-1,FALSE)/VLOOKUP($B34,$B:X,COLUMN(H33)-1,FALSE),IF(VLOOKUP($B34,$B:AL,COLUMN(AK33)-1,FALSE)&lt;&gt;0,"Strange",0))</f>
        <v>3.4482758620689655E-2</v>
      </c>
      <c r="BN34" s="2">
        <f>IF(VLOOKUP($B34,$B:Y,COLUMN(I33)-1,FALSE)&lt;&gt;0,VLOOKUP($B34,$B:AM,COLUMN(AL33)-1,FALSE)/VLOOKUP($B34,$B:Y,COLUMN(I33)-1,FALSE),IF(VLOOKUP($B34,$B:AM,COLUMN(AL33)-1,FALSE)&lt;&gt;0,"Strange",0))</f>
        <v>0</v>
      </c>
      <c r="BO34" s="2">
        <f>IF(VLOOKUP($B34,$B:Z,COLUMN(J33)-1,FALSE)&lt;&gt;0,VLOOKUP($B34,$B:AN,COLUMN(AM33)-1,FALSE)/VLOOKUP($B34,$B:Z,COLUMN(J33)-1,FALSE),IF(VLOOKUP($B34,$B:AN,COLUMN(AM33)-1,FALSE)&lt;&gt;0,"Strange",0))</f>
        <v>0</v>
      </c>
      <c r="BP34" s="2">
        <f>IF(VLOOKUP($B34,$B:AB,COLUMN(K33)-1,FALSE)&lt;&gt;0,VLOOKUP($B34,$B:AP,COLUMN(AN33)-1,FALSE)/VLOOKUP($B34,$B:AB,COLUMN(K33)-1,FALSE),IF(VLOOKUP($B34,$B:AP,COLUMN(AN33)-1,FALSE)&lt;&gt;0,"Strange",0))</f>
        <v>0</v>
      </c>
      <c r="BQ34" s="2">
        <f>IF(VLOOKUP($B34,$B:AC,COLUMN(L33)-1,FALSE)&lt;&gt;0,VLOOKUP($B34,$B:AQ,COLUMN(AO33)-1,FALSE)/VLOOKUP($B34,$B:AC,COLUMN(L33)-1,FALSE),IF(VLOOKUP($B34,$B:AQ,COLUMN(AO33)-1,FALSE)&lt;&gt;0,"Strange",0))</f>
        <v>3.2110091743119268E-2</v>
      </c>
      <c r="BR34" s="2">
        <f>IF(VLOOKUP($B34,$B:AC,COLUMN(M33)-1,FALSE)&lt;&gt;0,VLOOKUP($B34,$B:AQ,COLUMN(AP33)-1,FALSE)/VLOOKUP($B34,$B:AC,COLUMN(M33)-1,FALSE),IF(VLOOKUP($B34,$B:AQ,COLUMN(AP33)-1,FALSE)&lt;&gt;0,"Strange",0))</f>
        <v>0</v>
      </c>
      <c r="BS34" s="2">
        <f>IF(VLOOKUP($B34,$B:AD,COLUMN(N33)-1,FALSE)&lt;&gt;0,VLOOKUP($B34,$B:AR,COLUMN(AQ33)-1,FALSE)/VLOOKUP($B34,$B:AD,COLUMN(N33)-1,FALSE),IF(VLOOKUP($B34,$B:AR,COLUMN(AQ33)-1,FALSE)&lt;&gt;0,"Strange",0))</f>
        <v>0</v>
      </c>
      <c r="BT34" s="2">
        <f>IF(VLOOKUP($B34,$B:AD,COLUMN(O33)-1,FALSE)&lt;&gt;0,VLOOKUP($B34,$B:AR,COLUMN(AR33)-1,FALSE)/VLOOKUP($B34,$B:AD,COLUMN(O33)-1,FALSE),IF(VLOOKUP($B34,$B:AR,COLUMN(AR33)-1,FALSE)&lt;&gt;0,"Strange",0))</f>
        <v>0</v>
      </c>
      <c r="BU34" s="2">
        <f>IF(VLOOKUP($B34,$B:AE,COLUMN(Q33)-1,FALSE)&lt;&gt;0,VLOOKUP($B34,$B:AS,COLUMN(AS33)-1,FALSE)/VLOOKUP($B34,$B:AE,COLUMN(Q33)-1,FALSE),IF(VLOOKUP($B34,$B:AS,COLUMN(AS33)-1,FALSE)&lt;&gt;0,"Strange",0))</f>
        <v>0</v>
      </c>
      <c r="BV34" s="2">
        <f>IF(VLOOKUP($B34,$B:AF,COLUMN(R33)-1,FALSE)&lt;&gt;0,VLOOKUP($B34,$B:AT,COLUMN(AT33)-1,FALSE)/VLOOKUP($B34,$B:AF,COLUMN(R33)-1,FALSE),IF(VLOOKUP($B34,$B:AT,COLUMN(AT33)-1,FALSE)&lt;&gt;0,"Strange",0))</f>
        <v>0</v>
      </c>
      <c r="BW34" s="2">
        <f>IF(VLOOKUP($B34,$B:AG,COLUMN(S33)-1,FALSE)&lt;&gt;0,VLOOKUP($B34,$B:AU,COLUMN(AU33)-1,FALSE)/VLOOKUP($B34,$B:AG,COLUMN(S33)-1,FALSE),IF(VLOOKUP($B34,$B:AU,COLUMN(AU33)-1,FALSE)&lt;&gt;0,"Strange",0))</f>
        <v>0</v>
      </c>
      <c r="BX34" s="2">
        <f>IF(VLOOKUP($B34,$B:AH,COLUMN(T33)-1,FALSE)&lt;&gt;0,VLOOKUP($B34,$B:AV,COLUMN(AV33)-1,FALSE)/VLOOKUP($B34,$B:AH,COLUMN(T33)-1,FALSE),IF(VLOOKUP($B34,$B:AV,COLUMN(AV33)-1,FALSE)&lt;&gt;0,"Strange",0))</f>
        <v>0</v>
      </c>
      <c r="BY34" s="471"/>
      <c r="BZ34" s="2">
        <f>SUMIFS('Bilateral Assistance, MAIN DATA'!$M:$M,'Bilateral Assistance, MAIN DATA'!$B:$B,'Share, Heavy Weapons to Ukraine'!$B34,'Bilateral Assistance, MAIN DATA'!$AO:$AO,'Share, Heavy Weapons to Ukraine'!BZ$11, 'Bilateral Assistance, MAIN DATA'!$AA:$AA,1)</f>
        <v>0</v>
      </c>
      <c r="CA34" s="2">
        <f>SUMIFS('Bilateral Assistance, MAIN DATA'!$M:$M,'Bilateral Assistance, MAIN DATA'!$B:$B,'Share, Heavy Weapons to Ukraine'!$B34,'Bilateral Assistance, MAIN DATA'!$AO:$AO,'Share, Heavy Weapons to Ukraine'!CA$11, 'Bilateral Assistance, MAIN DATA'!$AA:$AA,1)</f>
        <v>0</v>
      </c>
      <c r="CB34" s="2">
        <f>SUMIFS('Bilateral Assistance, MAIN DATA'!$M:$M,'Bilateral Assistance, MAIN DATA'!$B:$B,'Share, Heavy Weapons to Ukraine'!$B34,'Bilateral Assistance, MAIN DATA'!$AO:$AO,'Share, Heavy Weapons to Ukraine'!CB$11, 'Bilateral Assistance, MAIN DATA'!$AA:$AA,1)</f>
        <v>0</v>
      </c>
      <c r="CC34" s="2">
        <f>SUMIFS('Bilateral Assistance, MAIN DATA'!$M:$M,'Bilateral Assistance, MAIN DATA'!$B:$B,'Share, Heavy Weapons to Ukraine'!$B34,'Bilateral Assistance, MAIN DATA'!$AO:$AO,'Share, Heavy Weapons to Ukraine'!CC$11, 'Bilateral Assistance, MAIN DATA'!$AA:$AA,1)</f>
        <v>0</v>
      </c>
      <c r="CD34" s="471"/>
      <c r="CE34" s="2">
        <f>SUMIFS('Bilateral Assistance, MAIN DATA'!$N:$N,'Bilateral Assistance, MAIN DATA'!$B:$B,'Share, Heavy Weapons to Ukraine'!$B34,'Bilateral Assistance, MAIN DATA'!$AO:$AO,'Share, Heavy Weapons to Ukraine'!CE$11, 'Bilateral Assistance, MAIN DATA'!$AA:$AA,1)</f>
        <v>0</v>
      </c>
      <c r="CF34" s="2">
        <f>SUMIFS('Bilateral Assistance, MAIN DATA'!$N:$N,'Bilateral Assistance, MAIN DATA'!$B:$B,'Share, Heavy Weapons to Ukraine'!$B34,'Bilateral Assistance, MAIN DATA'!$AO:$AO,'Share, Heavy Weapons to Ukraine'!CF$11, 'Bilateral Assistance, MAIN DATA'!$AA:$AA,1)</f>
        <v>0</v>
      </c>
      <c r="CG34" s="2">
        <f>SUMIFS('Bilateral Assistance, MAIN DATA'!$N:$N,'Bilateral Assistance, MAIN DATA'!$B:$B,'Share, Heavy Weapons to Ukraine'!$B34,'Bilateral Assistance, MAIN DATA'!$AO:$AO,'Share, Heavy Weapons to Ukraine'!CG$11, 'Bilateral Assistance, MAIN DATA'!$AA:$AA,1)</f>
        <v>0</v>
      </c>
      <c r="CH34" s="2">
        <f>SUMIFS('Bilateral Assistance, MAIN DATA'!$N:$N,'Bilateral Assistance, MAIN DATA'!$B:$B,'Share, Heavy Weapons to Ukraine'!$B34,'Bilateral Assistance, MAIN DATA'!$AO:$AO,'Share, Heavy Weapons to Ukraine'!CH$11, 'Bilateral Assistance, MAIN DATA'!$AA:$AA,1)</f>
        <v>0</v>
      </c>
    </row>
    <row r="35" spans="2:86" ht="15.6" x14ac:dyDescent="0.3">
      <c r="B35" s="470" t="s">
        <v>1646</v>
      </c>
      <c r="C35" s="470">
        <v>0</v>
      </c>
      <c r="D35" s="2">
        <v>1</v>
      </c>
      <c r="E35" s="471"/>
      <c r="F35" s="472">
        <v>2.63</v>
      </c>
      <c r="G35" s="470">
        <f>VLOOKUP(B35,'Heavy Weapon Stocks'!B:OE,COLUMN('Heavy Weapon Stocks'!$C$11)-1,FALSE)</f>
        <v>52</v>
      </c>
      <c r="H35" s="470">
        <f>VLOOKUP(B35,'Heavy Weapon Stocks'!B:OE,COLUMN('Heavy Weapon Stocks'!$AT$11)-1,FALSE)</f>
        <v>260</v>
      </c>
      <c r="I35" s="470">
        <f>VLOOKUP(B35,'Heavy Weapon Stocks'!B:OE,COLUMN('Heavy Weapon Stocks'!$DN$11)-1,FALSE)</f>
        <v>49</v>
      </c>
      <c r="J35" s="470">
        <f>VLOOKUP(B35,'Heavy Weapon Stocks'!B:OE,COLUMN('Heavy Weapon Stocks'!$EB$11)-1,FALSE)</f>
        <v>0</v>
      </c>
      <c r="K35" s="470">
        <f>VLOOKUP(B35,'Heavy Weapon Stocks'!B:OE,COLUMN('Heavy Weapon Stocks'!$FD$11)-1,FALSE)</f>
        <v>120</v>
      </c>
      <c r="L35" s="470">
        <f t="shared" si="3"/>
        <v>429</v>
      </c>
      <c r="M35" s="470">
        <f>VLOOKUP(B35,'Heavy Weapon Stocks'!B:OE,COLUMN('Heavy Weapon Stocks'!$GZ$11)-1,FALSE)+VLOOKUP(B35,'Heavy Weapon Stocks'!B:OE,COLUMN('Heavy Weapon Stocks'!$IF$11)-1,FALSE)</f>
        <v>31</v>
      </c>
      <c r="N35" s="470">
        <f>VLOOKUP(B35,'Heavy Weapon Stocks'!B:OE,COLUMN('Heavy Weapon Stocks'!$IK$11)-1,FALSE)</f>
        <v>0</v>
      </c>
      <c r="O35" s="470">
        <f>VLOOKUP(B35,'Heavy Weapon Stocks'!B:OE,COLUMN('Heavy Weapon Stocks'!$JE$11)-1,FALSE)+VLOOKUP(B35,'Heavy Weapon Stocks'!B:OE,COLUMN('Heavy Weapon Stocks'!$KB$11)-1,FALSE)</f>
        <v>14</v>
      </c>
      <c r="Q35" s="470">
        <f>VLOOKUP(B35,'Heavy Weapon Stocks'!B:OE,COLUMN('Heavy Weapon Stocks'!$LS$11)-1,FALSE)</f>
        <v>0</v>
      </c>
      <c r="R35" s="470">
        <f>VLOOKUP(B35,'Heavy Weapon Stocks'!B:OE,COLUMN('Heavy Weapon Stocks'!$MC$11)-1,FALSE)</f>
        <v>0</v>
      </c>
      <c r="S35" s="470">
        <f>VLOOKUP(B35,'Heavy Weapon Stocks'!B:OE,COLUMN('Heavy Weapon Stocks'!$MJ$11)-1,FALSE)</f>
        <v>16</v>
      </c>
      <c r="T35" s="470">
        <f>VLOOKUP(B35,'Heavy Weapon Stocks'!B:OE,COLUMN('Heavy Weapon Stocks'!$NO$11)-1,FALSE)</f>
        <v>0</v>
      </c>
      <c r="U35" s="471"/>
      <c r="V35" s="2">
        <f>SUMIFS('Bilateral Assistance, MAIN DATA'!$M:$M,'Bilateral Assistance, MAIN DATA'!$B:$B,'Share, Heavy Weapons to Ukraine'!$B35,'Bilateral Assistance, MAIN DATA'!$AO:$AO,'Share, Heavy Weapons to Ukraine'!V$11)</f>
        <v>0</v>
      </c>
      <c r="W35" s="2">
        <f>SUMIFS('Bilateral Assistance, MAIN DATA'!$M:$M,'Bilateral Assistance, MAIN DATA'!$B:$B,'Share, Heavy Weapons to Ukraine'!$B35,'Bilateral Assistance, MAIN DATA'!$AO:$AO,'Share, Heavy Weapons to Ukraine'!W$11)</f>
        <v>0</v>
      </c>
      <c r="X35" s="2">
        <f>SUMIFS('Bilateral Assistance, MAIN DATA'!$M:$M,'Bilateral Assistance, MAIN DATA'!$B:$B,'Share, Heavy Weapons to Ukraine'!$B35,'Bilateral Assistance, MAIN DATA'!$AO:$AO,'Share, Heavy Weapons to Ukraine'!X$11)</f>
        <v>0</v>
      </c>
      <c r="Y35" s="2">
        <f>SUMIFS('Bilateral Assistance, MAIN DATA'!$M:$M,'Bilateral Assistance, MAIN DATA'!$B:$B,'Share, Heavy Weapons to Ukraine'!$B35,'Bilateral Assistance, MAIN DATA'!$AO:$AO,'Share, Heavy Weapons to Ukraine'!Y$11)</f>
        <v>0</v>
      </c>
      <c r="Z35" s="2">
        <f>SUMIFS('Bilateral Assistance, MAIN DATA'!$M:$M,'Bilateral Assistance, MAIN DATA'!$B:$B,'Share, Heavy Weapons to Ukraine'!$B35,'Bilateral Assistance, MAIN DATA'!$AO:$AO,'Share, Heavy Weapons to Ukraine'!Z$11)</f>
        <v>0</v>
      </c>
      <c r="AA35" s="2">
        <f t="shared" si="1"/>
        <v>0</v>
      </c>
      <c r="AB35" s="2">
        <f>SUMIFS('Bilateral Assistance, MAIN DATA'!$M:$M,'Bilateral Assistance, MAIN DATA'!$B:$B,'Share, Heavy Weapons to Ukraine'!$B35,'Bilateral Assistance, MAIN DATA'!$AO:$AO,'Share, Heavy Weapons to Ukraine'!AB$11)</f>
        <v>0</v>
      </c>
      <c r="AC35" s="25">
        <f>SUMIFS('Bilateral Assistance, MAIN DATA'!$M:$M,'Bilateral Assistance, MAIN DATA'!$B:$B,'Share, Heavy Weapons to Ukraine'!$B35,'Bilateral Assistance, MAIN DATA'!$AO:$AO,"122mm MLRS")+SUMIFS('Bilateral Assistance, MAIN DATA'!$M:$M,'Bilateral Assistance, MAIN DATA'!$B:$B,'Share, Heavy Weapons to Ukraine'!$B35,'Bilateral Assistance, MAIN DATA'!$AO:$AO,"127mm MLRS")+SUMIFS('Bilateral Assistance, MAIN DATA'!$M:$M,'Bilateral Assistance, MAIN DATA'!$B:$B,'Share, Heavy Weapons to Ukraine'!$B35,'Bilateral Assistance, MAIN DATA'!$AO:$AO,"227mm MLRS")</f>
        <v>0</v>
      </c>
      <c r="AD35" s="2">
        <f>SUMIFS('Bilateral Assistance, MAIN DATA'!$M:$M,'Bilateral Assistance, MAIN DATA'!$B:$B,'Share, Heavy Weapons to Ukraine'!$B35,'Bilateral Assistance, MAIN DATA'!$AO:$AO,'Share, Heavy Weapons to Ukraine'!AD$11)</f>
        <v>0</v>
      </c>
      <c r="AE35" s="2">
        <f>SUMIFS('Bilateral Assistance, MAIN DATA'!$M:$M,'Bilateral Assistance, MAIN DATA'!$B:$B,'Share, Heavy Weapons to Ukraine'!$B35,'Bilateral Assistance, MAIN DATA'!$AO:$AO,'Share, Heavy Weapons to Ukraine'!AE$11)</f>
        <v>0</v>
      </c>
      <c r="AF35" s="2">
        <f>SUMIFS('Bilateral Assistance, MAIN DATA'!$M:$M,'Bilateral Assistance, MAIN DATA'!$B:$B,'Share, Heavy Weapons to Ukraine'!$B35,'Bilateral Assistance, MAIN DATA'!$AO:$AO,'Share, Heavy Weapons to Ukraine'!AF$11)</f>
        <v>0</v>
      </c>
      <c r="AG35" s="2">
        <f>SUMIFS('Bilateral Assistance, MAIN DATA'!$M:$M,'Bilateral Assistance, MAIN DATA'!$B:$B,'Share, Heavy Weapons to Ukraine'!$B35,'Bilateral Assistance, MAIN DATA'!$AO:$AO,'Share, Heavy Weapons to Ukraine'!AG$11)</f>
        <v>0</v>
      </c>
      <c r="AH35" s="2">
        <f>SUMIFS('Bilateral Assistance, MAIN DATA'!$M:$M,'Bilateral Assistance, MAIN DATA'!$B:$B,'Share, Heavy Weapons to Ukraine'!$B35,'Bilateral Assistance, MAIN DATA'!$AO:$AO,'Share, Heavy Weapons to Ukraine'!AH$11)</f>
        <v>0</v>
      </c>
      <c r="AI35" s="471"/>
      <c r="AJ35" s="2">
        <f>SUMIFS('Bilateral Assistance, MAIN DATA'!$N:$N,'Bilateral Assistance, MAIN DATA'!$B:$B,'Share, Heavy Weapons to Ukraine'!$B35,'Bilateral Assistance, MAIN DATA'!$AO:$AO,'Share, Heavy Weapons to Ukraine'!AJ$11)</f>
        <v>0</v>
      </c>
      <c r="AK35" s="2">
        <f>SUMIFS('Bilateral Assistance, MAIN DATA'!$N:$N,'Bilateral Assistance, MAIN DATA'!$B:$B,'Share, Heavy Weapons to Ukraine'!$B35,'Bilateral Assistance, MAIN DATA'!$AO:$AO,'Share, Heavy Weapons to Ukraine'!AK$11)</f>
        <v>0</v>
      </c>
      <c r="AL35" s="2">
        <f>SUMIFS('Bilateral Assistance, MAIN DATA'!$N:$N,'Bilateral Assistance, MAIN DATA'!$B:$B,'Share, Heavy Weapons to Ukraine'!$B35,'Bilateral Assistance, MAIN DATA'!$AO:$AO,'Share, Heavy Weapons to Ukraine'!AL$11)</f>
        <v>0</v>
      </c>
      <c r="AM35" s="2">
        <f>SUMIFS('Bilateral Assistance, MAIN DATA'!$N:$N,'Bilateral Assistance, MAIN DATA'!$B:$B,'Share, Heavy Weapons to Ukraine'!$B35,'Bilateral Assistance, MAIN DATA'!$AO:$AO,'Share, Heavy Weapons to Ukraine'!AM$11)</f>
        <v>0</v>
      </c>
      <c r="AN35" s="2">
        <f>SUMIFS('Bilateral Assistance, MAIN DATA'!$N:$N,'Bilateral Assistance, MAIN DATA'!$B:$B,'Share, Heavy Weapons to Ukraine'!$B35,'Bilateral Assistance, MAIN DATA'!$AO:$AO,'Share, Heavy Weapons to Ukraine'!AN$11)</f>
        <v>0</v>
      </c>
      <c r="AO35" s="2">
        <f t="shared" si="2"/>
        <v>0</v>
      </c>
      <c r="AP35" s="2">
        <f>SUMIFS('Bilateral Assistance, MAIN DATA'!$N:$N,'Bilateral Assistance, MAIN DATA'!$B:$B,'Share, Heavy Weapons to Ukraine'!$B35,'Bilateral Assistance, MAIN DATA'!$AO:$AO,'Share, Heavy Weapons to Ukraine'!AP$11)</f>
        <v>0</v>
      </c>
      <c r="AQ35" s="25">
        <f>SUMIFS('Bilateral Assistance, MAIN DATA'!$N:$N,'Bilateral Assistance, MAIN DATA'!$B:$B,'Share, Heavy Weapons to Ukraine'!$B35,'Bilateral Assistance, MAIN DATA'!$AO:$AO,"122mm MLRS")+SUMIFS('Bilateral Assistance, MAIN DATA'!$N:$N,'Bilateral Assistance, MAIN DATA'!$B:$B,'Share, Heavy Weapons to Ukraine'!$B35,'Bilateral Assistance, MAIN DATA'!$AO:$AO,"127mm MLRS")+SUMIFS('Bilateral Assistance, MAIN DATA'!$N:$N,'Bilateral Assistance, MAIN DATA'!$B:$B,'Share, Heavy Weapons to Ukraine'!$B35,'Bilateral Assistance, MAIN DATA'!$AO:$AO,"227mm MLRS")</f>
        <v>0</v>
      </c>
      <c r="AR35" s="2">
        <f>SUMIFS('Bilateral Assistance, MAIN DATA'!$N:$N,'Bilateral Assistance, MAIN DATA'!$B:$B,'Share, Heavy Weapons to Ukraine'!$B35,'Bilateral Assistance, MAIN DATA'!$AO:$AO,'Share, Heavy Weapons to Ukraine'!AR$11)</f>
        <v>0</v>
      </c>
      <c r="AS35" s="2">
        <f>SUMIFS('Bilateral Assistance, MAIN DATA'!$N:$N,'Bilateral Assistance, MAIN DATA'!$B:$B,'Share, Heavy Weapons to Ukraine'!$B35,'Bilateral Assistance, MAIN DATA'!$AO:$AO,'Share, Heavy Weapons to Ukraine'!AS$11)</f>
        <v>0</v>
      </c>
      <c r="AT35" s="2">
        <f>SUMIFS('Bilateral Assistance, MAIN DATA'!$N:$N,'Bilateral Assistance, MAIN DATA'!$B:$B,'Share, Heavy Weapons to Ukraine'!$B35,'Bilateral Assistance, MAIN DATA'!$AO:$AO,'Share, Heavy Weapons to Ukraine'!AT$11)</f>
        <v>0</v>
      </c>
      <c r="AU35" s="2">
        <f>SUMIFS('Bilateral Assistance, MAIN DATA'!$N:$N,'Bilateral Assistance, MAIN DATA'!$B:$B,'Share, Heavy Weapons to Ukraine'!$B35,'Bilateral Assistance, MAIN DATA'!$AO:$AO,'Share, Heavy Weapons to Ukraine'!AU$11)</f>
        <v>0</v>
      </c>
      <c r="AV35" s="2">
        <f>SUMIFS('Bilateral Assistance, MAIN DATA'!$N:$N,'Bilateral Assistance, MAIN DATA'!$B:$B,'Share, Heavy Weapons to Ukraine'!$B35,'Bilateral Assistance, MAIN DATA'!$AO:$AO,'Share, Heavy Weapons to Ukraine'!AV$11)</f>
        <v>0</v>
      </c>
      <c r="AW35" s="471"/>
      <c r="AX35" s="292">
        <f>IF(VLOOKUP($B35,$B:G,COLUMN(G34)-1,FALSE)&lt;&gt;0,VLOOKUP($B35,$B:V,COLUMN(V34)-1,FALSE)/VLOOKUP($B35,$B:G,COLUMN(G34)-1,FALSE),IF(VLOOKUP($B35,$B:V,COLUMN(V34)-1,FALSE)&lt;&gt;0,"Strange",0))</f>
        <v>0</v>
      </c>
      <c r="AY35" s="292">
        <f>IF(VLOOKUP($B35,$B:H,COLUMN(H34)-1,FALSE)&lt;&gt;0,VLOOKUP($B35,$B:W,COLUMN(W34)-1,FALSE)/VLOOKUP($B35,$B:H,COLUMN(H34)-1,FALSE),IF(VLOOKUP($B35,$B:W,COLUMN(W34)-1,FALSE)&lt;&gt;0,"Strange",0))</f>
        <v>0</v>
      </c>
      <c r="AZ35" s="292">
        <f>IF(VLOOKUP($B35,$B:I,COLUMN(I34)-1,FALSE)&lt;&gt;0,VLOOKUP($B35,$B:X,COLUMN(X34)-1,FALSE)/VLOOKUP($B35,$B:I,COLUMN(I34)-1,FALSE),IF(VLOOKUP($B35,$B:X,COLUMN(X34)-1,FALSE)&lt;&gt;0,"Strange",0))</f>
        <v>0</v>
      </c>
      <c r="BA35" s="292">
        <f>IF(VLOOKUP($B35,$B:J,COLUMN(J34)-1,FALSE)&lt;&gt;0,VLOOKUP($B35,$B:Y,COLUMN(Y34)-1,FALSE)/VLOOKUP($B35,$B:J,COLUMN(J34)-1,FALSE),IF(VLOOKUP($B35,$B:Y,COLUMN(Y34)-1,FALSE)&lt;&gt;0,"Strange",0))</f>
        <v>0</v>
      </c>
      <c r="BB35" s="292">
        <f>IF(VLOOKUP($B35,$B:K,COLUMN(K34)-1,FALSE)&lt;&gt;0,VLOOKUP($B35,$B:Z,COLUMN(Z34)-1,FALSE)/VLOOKUP($B35,$B:K,COLUMN(K34)-1,FALSE),IF(VLOOKUP($B35,$B:Z,COLUMN(Z34)-1,FALSE)&lt;&gt;0,"Strange",0))</f>
        <v>0</v>
      </c>
      <c r="BC35" s="292">
        <f>IF(VLOOKUP($B35,$B:L,COLUMN(L34)-1,FALSE)&lt;&gt;0,VLOOKUP($B35,$B:AA,COLUMN(AA34)-1,FALSE)/VLOOKUP($B35,$B:L,COLUMN(L34)-1,FALSE),IF(VLOOKUP($B35,$B:AA,COLUMN(AA34)-1,FALSE)&lt;&gt;0,"Strange",0))</f>
        <v>0</v>
      </c>
      <c r="BD35" s="292">
        <f>IF(VLOOKUP($B35,$B:M,COLUMN(M34)-1,FALSE)&lt;&gt;0,VLOOKUP($B35,$B:AB,COLUMN(AB34)-1,FALSE)/VLOOKUP($B35,$B:M,COLUMN(M34)-1,FALSE),IF(VLOOKUP($B35,$B:AB,COLUMN(AB34)-1,FALSE)&lt;&gt;0,"Strange",0))</f>
        <v>0</v>
      </c>
      <c r="BE35" s="292">
        <f>IF(VLOOKUP($B35,$B:N,COLUMN(N34)-1,FALSE)&lt;&gt;0,VLOOKUP($B35,$B:AC,COLUMN(AC34)-1,FALSE)/VLOOKUP($B35,$B:N,COLUMN(N34)-1,FALSE),IF(VLOOKUP($B35,$B:AC,COLUMN(AC34)-1,FALSE)&lt;&gt;0,"Strange",0))</f>
        <v>0</v>
      </c>
      <c r="BF35" s="292">
        <f>IF(VLOOKUP($B35,$B:O,COLUMN(O34)-1,FALSE)&lt;&gt;0,VLOOKUP($B35,$B:AD,COLUMN(AD34)-1,FALSE)/VLOOKUP($B35,$B:O,COLUMN(O34)-1,FALSE),IF(VLOOKUP($B35,$B:AD,COLUMN(AD34)-1,FALSE)&lt;&gt;0,"Strange",0))</f>
        <v>0</v>
      </c>
      <c r="BG35" s="292">
        <f>IF(VLOOKUP($B35,$B:Q,COLUMN(Q34)-1,FALSE)&lt;&gt;0,VLOOKUP($B35,$B:AE,COLUMN(AE34)-1,FALSE)/VLOOKUP($B35,$B:Q,COLUMN(Q34)-1,FALSE),IF(VLOOKUP($B35,$B:AE,COLUMN(AE34)-1,FALSE)&lt;&gt;0,"Strange",0))</f>
        <v>0</v>
      </c>
      <c r="BH35" s="292">
        <f>IF(VLOOKUP($B35,$B:R,COLUMN(R34)-1,FALSE)&lt;&gt;0,VLOOKUP($B35,$B:AF,COLUMN(AF34)-1,FALSE)/VLOOKUP($B35,$B:R,COLUMN(R34)-1,FALSE),IF(VLOOKUP($B35,$B:AF,COLUMN(AF34)-1,FALSE)&lt;&gt;0,"Strange",0))</f>
        <v>0</v>
      </c>
      <c r="BI35" s="292">
        <f>IF(VLOOKUP($B35,$B:S,COLUMN(S34)-1,FALSE)&lt;&gt;0,VLOOKUP($B35,$B:AG,COLUMN(AG34)-1,FALSE)/VLOOKUP($B35,$B:S,COLUMN(S34)-1,FALSE),IF(VLOOKUP($B35,$B:AG,COLUMN(AG34)-1,FALSE)&lt;&gt;0,"Strange",0))</f>
        <v>0</v>
      </c>
      <c r="BJ35" s="292">
        <f>IF(VLOOKUP($B35,$B:T,COLUMN(T34)-1,FALSE)&lt;&gt;0,VLOOKUP($B35,$B:AH,COLUMN(AH34)-1,FALSE)/VLOOKUP($B35,$B:T,COLUMN(T34)-1,FALSE),IF(VLOOKUP($B35,$B:AH,COLUMN(AH34)-1,FALSE)&lt;&gt;0,"Strange",0))</f>
        <v>0</v>
      </c>
      <c r="BK35" s="471"/>
      <c r="BL35" s="2">
        <f>IF(VLOOKUP($B35,$B:W,COLUMN(G34)-1,FALSE)&lt;&gt;0,VLOOKUP($B35,$B:AK,COLUMN(AJ34)-1,FALSE)/VLOOKUP($B35,$B:W,COLUMN(G34)-1,FALSE),IF(VLOOKUP($B35,$B:AK,COLUMN(AJ34)-1,FALSE)&lt;&gt;0,"Strange",0))</f>
        <v>0</v>
      </c>
      <c r="BM35" s="2">
        <f>IF(VLOOKUP($B35,$B:X,COLUMN(H34)-1,FALSE)&lt;&gt;0,VLOOKUP($B35,$B:AL,COLUMN(AK34)-1,FALSE)/VLOOKUP($B35,$B:X,COLUMN(H34)-1,FALSE),IF(VLOOKUP($B35,$B:AL,COLUMN(AK34)-1,FALSE)&lt;&gt;0,"Strange",0))</f>
        <v>0</v>
      </c>
      <c r="BN35" s="2">
        <f>IF(VLOOKUP($B35,$B:Y,COLUMN(I34)-1,FALSE)&lt;&gt;0,VLOOKUP($B35,$B:AM,COLUMN(AL34)-1,FALSE)/VLOOKUP($B35,$B:Y,COLUMN(I34)-1,FALSE),IF(VLOOKUP($B35,$B:AM,COLUMN(AL34)-1,FALSE)&lt;&gt;0,"Strange",0))</f>
        <v>0</v>
      </c>
      <c r="BO35" s="2">
        <f>IF(VLOOKUP($B35,$B:Z,COLUMN(J34)-1,FALSE)&lt;&gt;0,VLOOKUP($B35,$B:AN,COLUMN(AM34)-1,FALSE)/VLOOKUP($B35,$B:Z,COLUMN(J34)-1,FALSE),IF(VLOOKUP($B35,$B:AN,COLUMN(AM34)-1,FALSE)&lt;&gt;0,"Strange",0))</f>
        <v>0</v>
      </c>
      <c r="BP35" s="2">
        <f>IF(VLOOKUP($B35,$B:AB,COLUMN(K34)-1,FALSE)&lt;&gt;0,VLOOKUP($B35,$B:AP,COLUMN(AN34)-1,FALSE)/VLOOKUP($B35,$B:AB,COLUMN(K34)-1,FALSE),IF(VLOOKUP($B35,$B:AP,COLUMN(AN34)-1,FALSE)&lt;&gt;0,"Strange",0))</f>
        <v>0</v>
      </c>
      <c r="BQ35" s="2">
        <f>IF(VLOOKUP($B35,$B:AC,COLUMN(L34)-1,FALSE)&lt;&gt;0,VLOOKUP($B35,$B:AQ,COLUMN(AO34)-1,FALSE)/VLOOKUP($B35,$B:AC,COLUMN(L34)-1,FALSE),IF(VLOOKUP($B35,$B:AQ,COLUMN(AO34)-1,FALSE)&lt;&gt;0,"Strange",0))</f>
        <v>0</v>
      </c>
      <c r="BR35" s="2">
        <f>IF(VLOOKUP($B35,$B:AC,COLUMN(M34)-1,FALSE)&lt;&gt;0,VLOOKUP($B35,$B:AQ,COLUMN(AP34)-1,FALSE)/VLOOKUP($B35,$B:AC,COLUMN(M34)-1,FALSE),IF(VLOOKUP($B35,$B:AQ,COLUMN(AP34)-1,FALSE)&lt;&gt;0,"Strange",0))</f>
        <v>0</v>
      </c>
      <c r="BS35" s="2">
        <f>IF(VLOOKUP($B35,$B:AD,COLUMN(N34)-1,FALSE)&lt;&gt;0,VLOOKUP($B35,$B:AR,COLUMN(AQ34)-1,FALSE)/VLOOKUP($B35,$B:AD,COLUMN(N34)-1,FALSE),IF(VLOOKUP($B35,$B:AR,COLUMN(AQ34)-1,FALSE)&lt;&gt;0,"Strange",0))</f>
        <v>0</v>
      </c>
      <c r="BT35" s="2">
        <f>IF(VLOOKUP($B35,$B:AD,COLUMN(O34)-1,FALSE)&lt;&gt;0,VLOOKUP($B35,$B:AR,COLUMN(AR34)-1,FALSE)/VLOOKUP($B35,$B:AD,COLUMN(O34)-1,FALSE),IF(VLOOKUP($B35,$B:AR,COLUMN(AR34)-1,FALSE)&lt;&gt;0,"Strange",0))</f>
        <v>0</v>
      </c>
      <c r="BU35" s="2">
        <f>IF(VLOOKUP($B35,$B:AE,COLUMN(Q34)-1,FALSE)&lt;&gt;0,VLOOKUP($B35,$B:AS,COLUMN(AS34)-1,FALSE)/VLOOKUP($B35,$B:AE,COLUMN(Q34)-1,FALSE),IF(VLOOKUP($B35,$B:AS,COLUMN(AS34)-1,FALSE)&lt;&gt;0,"Strange",0))</f>
        <v>0</v>
      </c>
      <c r="BV35" s="2">
        <f>IF(VLOOKUP($B35,$B:AF,COLUMN(R34)-1,FALSE)&lt;&gt;0,VLOOKUP($B35,$B:AT,COLUMN(AT34)-1,FALSE)/VLOOKUP($B35,$B:AF,COLUMN(R34)-1,FALSE),IF(VLOOKUP($B35,$B:AT,COLUMN(AT34)-1,FALSE)&lt;&gt;0,"Strange",0))</f>
        <v>0</v>
      </c>
      <c r="BW35" s="2">
        <f>IF(VLOOKUP($B35,$B:AG,COLUMN(S34)-1,FALSE)&lt;&gt;0,VLOOKUP($B35,$B:AU,COLUMN(AU34)-1,FALSE)/VLOOKUP($B35,$B:AG,COLUMN(S34)-1,FALSE),IF(VLOOKUP($B35,$B:AU,COLUMN(AU34)-1,FALSE)&lt;&gt;0,"Strange",0))</f>
        <v>0</v>
      </c>
      <c r="BX35" s="2">
        <f>IF(VLOOKUP($B35,$B:AH,COLUMN(T34)-1,FALSE)&lt;&gt;0,VLOOKUP($B35,$B:AV,COLUMN(AV34)-1,FALSE)/VLOOKUP($B35,$B:AH,COLUMN(T34)-1,FALSE),IF(VLOOKUP($B35,$B:AV,COLUMN(AV34)-1,FALSE)&lt;&gt;0,"Strange",0))</f>
        <v>0</v>
      </c>
      <c r="BY35" s="471"/>
      <c r="BZ35" s="2">
        <f>SUMIFS('Bilateral Assistance, MAIN DATA'!$M:$M,'Bilateral Assistance, MAIN DATA'!$B:$B,'Share, Heavy Weapons to Ukraine'!$B35,'Bilateral Assistance, MAIN DATA'!$AO:$AO,'Share, Heavy Weapons to Ukraine'!BZ$11, 'Bilateral Assistance, MAIN DATA'!$AA:$AA,1)</f>
        <v>0</v>
      </c>
      <c r="CA35" s="2">
        <f>SUMIFS('Bilateral Assistance, MAIN DATA'!$M:$M,'Bilateral Assistance, MAIN DATA'!$B:$B,'Share, Heavy Weapons to Ukraine'!$B35,'Bilateral Assistance, MAIN DATA'!$AO:$AO,'Share, Heavy Weapons to Ukraine'!CA$11, 'Bilateral Assistance, MAIN DATA'!$AA:$AA,1)</f>
        <v>0</v>
      </c>
      <c r="CB35" s="2">
        <f>SUMIFS('Bilateral Assistance, MAIN DATA'!$M:$M,'Bilateral Assistance, MAIN DATA'!$B:$B,'Share, Heavy Weapons to Ukraine'!$B35,'Bilateral Assistance, MAIN DATA'!$AO:$AO,'Share, Heavy Weapons to Ukraine'!CB$11, 'Bilateral Assistance, MAIN DATA'!$AA:$AA,1)</f>
        <v>0</v>
      </c>
      <c r="CC35" s="2">
        <f>SUMIFS('Bilateral Assistance, MAIN DATA'!$M:$M,'Bilateral Assistance, MAIN DATA'!$B:$B,'Share, Heavy Weapons to Ukraine'!$B35,'Bilateral Assistance, MAIN DATA'!$AO:$AO,'Share, Heavy Weapons to Ukraine'!CC$11, 'Bilateral Assistance, MAIN DATA'!$AA:$AA,1)</f>
        <v>0</v>
      </c>
      <c r="CD35" s="471"/>
      <c r="CE35" s="2">
        <f>SUMIFS('Bilateral Assistance, MAIN DATA'!$N:$N,'Bilateral Assistance, MAIN DATA'!$B:$B,'Share, Heavy Weapons to Ukraine'!$B35,'Bilateral Assistance, MAIN DATA'!$AO:$AO,'Share, Heavy Weapons to Ukraine'!CE$11, 'Bilateral Assistance, MAIN DATA'!$AA:$AA,1)</f>
        <v>0</v>
      </c>
      <c r="CF35" s="2">
        <f>SUMIFS('Bilateral Assistance, MAIN DATA'!$N:$N,'Bilateral Assistance, MAIN DATA'!$B:$B,'Share, Heavy Weapons to Ukraine'!$B35,'Bilateral Assistance, MAIN DATA'!$AO:$AO,'Share, Heavy Weapons to Ukraine'!CF$11, 'Bilateral Assistance, MAIN DATA'!$AA:$AA,1)</f>
        <v>0</v>
      </c>
      <c r="CG35" s="2">
        <f>SUMIFS('Bilateral Assistance, MAIN DATA'!$N:$N,'Bilateral Assistance, MAIN DATA'!$B:$B,'Share, Heavy Weapons to Ukraine'!$B35,'Bilateral Assistance, MAIN DATA'!$AO:$AO,'Share, Heavy Weapons to Ukraine'!CG$11, 'Bilateral Assistance, MAIN DATA'!$AA:$AA,1)</f>
        <v>0</v>
      </c>
      <c r="CH35" s="2">
        <f>SUMIFS('Bilateral Assistance, MAIN DATA'!$N:$N,'Bilateral Assistance, MAIN DATA'!$B:$B,'Share, Heavy Weapons to Ukraine'!$B35,'Bilateral Assistance, MAIN DATA'!$AO:$AO,'Share, Heavy Weapons to Ukraine'!CH$11, 'Bilateral Assistance, MAIN DATA'!$AA:$AA,1)</f>
        <v>0</v>
      </c>
    </row>
    <row r="36" spans="2:86" ht="15.6" x14ac:dyDescent="0.3">
      <c r="B36" s="470" t="s">
        <v>2489</v>
      </c>
      <c r="C36" s="470">
        <v>0</v>
      </c>
      <c r="D36" s="2">
        <v>1</v>
      </c>
      <c r="E36" s="471"/>
      <c r="F36" s="472">
        <v>2.0099999999999998</v>
      </c>
      <c r="G36" s="470">
        <f>VLOOKUP(B36,'Heavy Weapon Stocks'!B:OE,COLUMN('Heavy Weapon Stocks'!$C$11)-1,FALSE)</f>
        <v>30</v>
      </c>
      <c r="H36" s="470">
        <f>VLOOKUP(B36,'Heavy Weapon Stocks'!B:OE,COLUMN('Heavy Weapon Stocks'!$AT$11)-1,FALSE)</f>
        <v>94</v>
      </c>
      <c r="I36" s="470">
        <f>VLOOKUP(B36,'Heavy Weapon Stocks'!B:OE,COLUMN('Heavy Weapon Stocks'!$DN$11)-1,FALSE)</f>
        <v>7</v>
      </c>
      <c r="J36" s="470">
        <f>VLOOKUP(B36,'Heavy Weapon Stocks'!B:OE,COLUMN('Heavy Weapon Stocks'!$EB$11)-1,FALSE)</f>
        <v>0</v>
      </c>
      <c r="K36" s="470">
        <f>VLOOKUP(B36,'Heavy Weapon Stocks'!B:OE,COLUMN('Heavy Weapon Stocks'!$FD$11)-1,FALSE)</f>
        <v>256</v>
      </c>
      <c r="L36" s="470">
        <f t="shared" si="3"/>
        <v>357</v>
      </c>
      <c r="M36" s="470">
        <f>VLOOKUP(B36,'Heavy Weapon Stocks'!B:OE,COLUMN('Heavy Weapon Stocks'!$GZ$11)-1,FALSE)+VLOOKUP(B36,'Heavy Weapon Stocks'!B:OE,COLUMN('Heavy Weapon Stocks'!$IF$11)-1,FALSE)</f>
        <v>27</v>
      </c>
      <c r="N36" s="470">
        <f>VLOOKUP(B36,'Heavy Weapon Stocks'!B:OE,COLUMN('Heavy Weapon Stocks'!$IK$11)-1,FALSE)</f>
        <v>30</v>
      </c>
      <c r="O36" s="470">
        <f>VLOOKUP(B36,'Heavy Weapon Stocks'!B:OE,COLUMN('Heavy Weapon Stocks'!$JE$11)-1,FALSE)+VLOOKUP(B36,'Heavy Weapon Stocks'!B:OE,COLUMN('Heavy Weapon Stocks'!$KB$11)-1,FALSE)</f>
        <v>11</v>
      </c>
      <c r="Q36" s="470">
        <v>1</v>
      </c>
      <c r="R36" s="470">
        <f>VLOOKUP(B36,'Heavy Weapon Stocks'!B:OE,COLUMN('Heavy Weapon Stocks'!$MC$11)-1,FALSE)</f>
        <v>0</v>
      </c>
      <c r="S36" s="470">
        <f>VLOOKUP(B36,'Heavy Weapon Stocks'!B:OE,COLUMN('Heavy Weapon Stocks'!$MJ$11)-1,FALSE)</f>
        <v>0</v>
      </c>
      <c r="T36" s="470">
        <f>VLOOKUP(B36,'Heavy Weapon Stocks'!B:OE,COLUMN('Heavy Weapon Stocks'!$NO$11)-1,FALSE)</f>
        <v>0</v>
      </c>
      <c r="U36" s="471"/>
      <c r="V36" s="2">
        <f>SUMIFS('Bilateral Assistance, MAIN DATA'!$M:$M,'Bilateral Assistance, MAIN DATA'!$B:$B,'Share, Heavy Weapons to Ukraine'!$B36,'Bilateral Assistance, MAIN DATA'!$AO:$AO,'Share, Heavy Weapons to Ukraine'!V$11)</f>
        <v>0</v>
      </c>
      <c r="W36" s="2">
        <f>SUMIFS('Bilateral Assistance, MAIN DATA'!$M:$M,'Bilateral Assistance, MAIN DATA'!$B:$B,'Share, Heavy Weapons to Ukraine'!$B36,'Bilateral Assistance, MAIN DATA'!$AO:$AO,'Share, Heavy Weapons to Ukraine'!W$11)</f>
        <v>0</v>
      </c>
      <c r="X36" s="2">
        <f>SUMIFS('Bilateral Assistance, MAIN DATA'!$M:$M,'Bilateral Assistance, MAIN DATA'!$B:$B,'Share, Heavy Weapons to Ukraine'!$B36,'Bilateral Assistance, MAIN DATA'!$AO:$AO,'Share, Heavy Weapons to Ukraine'!X$11)</f>
        <v>0</v>
      </c>
      <c r="Y36" s="2">
        <f>SUMIFS('Bilateral Assistance, MAIN DATA'!$M:$M,'Bilateral Assistance, MAIN DATA'!$B:$B,'Share, Heavy Weapons to Ukraine'!$B36,'Bilateral Assistance, MAIN DATA'!$AO:$AO,'Share, Heavy Weapons to Ukraine'!Y$11)</f>
        <v>0</v>
      </c>
      <c r="Z36" s="2">
        <f>SUMIFS('Bilateral Assistance, MAIN DATA'!$M:$M,'Bilateral Assistance, MAIN DATA'!$B:$B,'Share, Heavy Weapons to Ukraine'!$B36,'Bilateral Assistance, MAIN DATA'!$AO:$AO,'Share, Heavy Weapons to Ukraine'!Z$11)</f>
        <v>30</v>
      </c>
      <c r="AA36" s="2">
        <f t="shared" si="1"/>
        <v>30</v>
      </c>
      <c r="AB36" s="2">
        <f>SUMIFS('Bilateral Assistance, MAIN DATA'!$M:$M,'Bilateral Assistance, MAIN DATA'!$B:$B,'Share, Heavy Weapons to Ukraine'!$B36,'Bilateral Assistance, MAIN DATA'!$AO:$AO,'Share, Heavy Weapons to Ukraine'!AB$11)</f>
        <v>0</v>
      </c>
      <c r="AC36" s="25">
        <f>SUMIFS('Bilateral Assistance, MAIN DATA'!$M:$M,'Bilateral Assistance, MAIN DATA'!$B:$B,'Share, Heavy Weapons to Ukraine'!$B36,'Bilateral Assistance, MAIN DATA'!$AO:$AO,"122mm MLRS")+SUMIFS('Bilateral Assistance, MAIN DATA'!$M:$M,'Bilateral Assistance, MAIN DATA'!$B:$B,'Share, Heavy Weapons to Ukraine'!$B36,'Bilateral Assistance, MAIN DATA'!$AO:$AO,"127mm MLRS")+SUMIFS('Bilateral Assistance, MAIN DATA'!$M:$M,'Bilateral Assistance, MAIN DATA'!$B:$B,'Share, Heavy Weapons to Ukraine'!$B36,'Bilateral Assistance, MAIN DATA'!$AO:$AO,"227mm MLRS")</f>
        <v>0</v>
      </c>
      <c r="AD36" s="2">
        <f>SUMIFS('Bilateral Assistance, MAIN DATA'!$M:$M,'Bilateral Assistance, MAIN DATA'!$B:$B,'Share, Heavy Weapons to Ukraine'!$B36,'Bilateral Assistance, MAIN DATA'!$AO:$AO,'Share, Heavy Weapons to Ukraine'!AD$11)</f>
        <v>0</v>
      </c>
      <c r="AE36" s="2">
        <f>SUMIFS('Bilateral Assistance, MAIN DATA'!$M:$M,'Bilateral Assistance, MAIN DATA'!$B:$B,'Share, Heavy Weapons to Ukraine'!$B36,'Bilateral Assistance, MAIN DATA'!$AO:$AO,'Share, Heavy Weapons to Ukraine'!AE$11)</f>
        <v>1</v>
      </c>
      <c r="AF36" s="2">
        <f>SUMIFS('Bilateral Assistance, MAIN DATA'!$M:$M,'Bilateral Assistance, MAIN DATA'!$B:$B,'Share, Heavy Weapons to Ukraine'!$B36,'Bilateral Assistance, MAIN DATA'!$AO:$AO,'Share, Heavy Weapons to Ukraine'!AF$11)</f>
        <v>0</v>
      </c>
      <c r="AG36" s="2">
        <f>SUMIFS('Bilateral Assistance, MAIN DATA'!$M:$M,'Bilateral Assistance, MAIN DATA'!$B:$B,'Share, Heavy Weapons to Ukraine'!$B36,'Bilateral Assistance, MAIN DATA'!$AO:$AO,'Share, Heavy Weapons to Ukraine'!AG$11)</f>
        <v>0</v>
      </c>
      <c r="AH36" s="2">
        <f>SUMIFS('Bilateral Assistance, MAIN DATA'!$M:$M,'Bilateral Assistance, MAIN DATA'!$B:$B,'Share, Heavy Weapons to Ukraine'!$B36,'Bilateral Assistance, MAIN DATA'!$AO:$AO,'Share, Heavy Weapons to Ukraine'!AH$11)</f>
        <v>0</v>
      </c>
      <c r="AI36" s="471"/>
      <c r="AJ36" s="2">
        <f>SUMIFS('Bilateral Assistance, MAIN DATA'!$N:$N,'Bilateral Assistance, MAIN DATA'!$B:$B,'Share, Heavy Weapons to Ukraine'!$B36,'Bilateral Assistance, MAIN DATA'!$AO:$AO,'Share, Heavy Weapons to Ukraine'!AJ$11)</f>
        <v>0</v>
      </c>
      <c r="AK36" s="2">
        <f>SUMIFS('Bilateral Assistance, MAIN DATA'!$N:$N,'Bilateral Assistance, MAIN DATA'!$B:$B,'Share, Heavy Weapons to Ukraine'!$B36,'Bilateral Assistance, MAIN DATA'!$AO:$AO,'Share, Heavy Weapons to Ukraine'!AK$11)</f>
        <v>0</v>
      </c>
      <c r="AL36" s="2">
        <f>SUMIFS('Bilateral Assistance, MAIN DATA'!$N:$N,'Bilateral Assistance, MAIN DATA'!$B:$B,'Share, Heavy Weapons to Ukraine'!$B36,'Bilateral Assistance, MAIN DATA'!$AO:$AO,'Share, Heavy Weapons to Ukraine'!AL$11)</f>
        <v>0</v>
      </c>
      <c r="AM36" s="2">
        <f>SUMIFS('Bilateral Assistance, MAIN DATA'!$N:$N,'Bilateral Assistance, MAIN DATA'!$B:$B,'Share, Heavy Weapons to Ukraine'!$B36,'Bilateral Assistance, MAIN DATA'!$AO:$AO,'Share, Heavy Weapons to Ukraine'!AM$11)</f>
        <v>0</v>
      </c>
      <c r="AN36" s="2">
        <f>SUMIFS('Bilateral Assistance, MAIN DATA'!$N:$N,'Bilateral Assistance, MAIN DATA'!$B:$B,'Share, Heavy Weapons to Ukraine'!$B36,'Bilateral Assistance, MAIN DATA'!$AO:$AO,'Share, Heavy Weapons to Ukraine'!AN$11)</f>
        <v>30</v>
      </c>
      <c r="AO36" s="2">
        <f t="shared" si="2"/>
        <v>30</v>
      </c>
      <c r="AP36" s="2">
        <f>SUMIFS('Bilateral Assistance, MAIN DATA'!$N:$N,'Bilateral Assistance, MAIN DATA'!$B:$B,'Share, Heavy Weapons to Ukraine'!$B36,'Bilateral Assistance, MAIN DATA'!$AO:$AO,'Share, Heavy Weapons to Ukraine'!AP$11)</f>
        <v>0</v>
      </c>
      <c r="AQ36" s="25">
        <f>SUMIFS('Bilateral Assistance, MAIN DATA'!$N:$N,'Bilateral Assistance, MAIN DATA'!$B:$B,'Share, Heavy Weapons to Ukraine'!$B36,'Bilateral Assistance, MAIN DATA'!$AO:$AO,"122mm MLRS")+SUMIFS('Bilateral Assistance, MAIN DATA'!$N:$N,'Bilateral Assistance, MAIN DATA'!$B:$B,'Share, Heavy Weapons to Ukraine'!$B36,'Bilateral Assistance, MAIN DATA'!$AO:$AO,"127mm MLRS")+SUMIFS('Bilateral Assistance, MAIN DATA'!$N:$N,'Bilateral Assistance, MAIN DATA'!$B:$B,'Share, Heavy Weapons to Ukraine'!$B36,'Bilateral Assistance, MAIN DATA'!$AO:$AO,"227mm MLRS")</f>
        <v>0</v>
      </c>
      <c r="AR36" s="2">
        <f>SUMIFS('Bilateral Assistance, MAIN DATA'!$N:$N,'Bilateral Assistance, MAIN DATA'!$B:$B,'Share, Heavy Weapons to Ukraine'!$B36,'Bilateral Assistance, MAIN DATA'!$AO:$AO,'Share, Heavy Weapons to Ukraine'!AR$11)</f>
        <v>0</v>
      </c>
      <c r="AS36" s="2">
        <f>SUMIFS('Bilateral Assistance, MAIN DATA'!$N:$N,'Bilateral Assistance, MAIN DATA'!$B:$B,'Share, Heavy Weapons to Ukraine'!$B36,'Bilateral Assistance, MAIN DATA'!$AO:$AO,'Share, Heavy Weapons to Ukraine'!AS$11)</f>
        <v>1</v>
      </c>
      <c r="AT36" s="2">
        <f>SUMIFS('Bilateral Assistance, MAIN DATA'!$N:$N,'Bilateral Assistance, MAIN DATA'!$B:$B,'Share, Heavy Weapons to Ukraine'!$B36,'Bilateral Assistance, MAIN DATA'!$AO:$AO,'Share, Heavy Weapons to Ukraine'!AT$11)</f>
        <v>0</v>
      </c>
      <c r="AU36" s="2">
        <f>SUMIFS('Bilateral Assistance, MAIN DATA'!$N:$N,'Bilateral Assistance, MAIN DATA'!$B:$B,'Share, Heavy Weapons to Ukraine'!$B36,'Bilateral Assistance, MAIN DATA'!$AO:$AO,'Share, Heavy Weapons to Ukraine'!AU$11)</f>
        <v>0</v>
      </c>
      <c r="AV36" s="2">
        <f>SUMIFS('Bilateral Assistance, MAIN DATA'!$N:$N,'Bilateral Assistance, MAIN DATA'!$B:$B,'Share, Heavy Weapons to Ukraine'!$B36,'Bilateral Assistance, MAIN DATA'!$AO:$AO,'Share, Heavy Weapons to Ukraine'!AV$11)</f>
        <v>0</v>
      </c>
      <c r="AW36" s="471"/>
      <c r="AX36" s="292">
        <f>IF(VLOOKUP($B36,$B:G,COLUMN(G35)-1,FALSE)&lt;&gt;0,VLOOKUP($B36,$B:V,COLUMN(V35)-1,FALSE)/VLOOKUP($B36,$B:G,COLUMN(G35)-1,FALSE),IF(VLOOKUP($B36,$B:V,COLUMN(V35)-1,FALSE)&lt;&gt;0,"Strange",0))</f>
        <v>0</v>
      </c>
      <c r="AY36" s="292">
        <f>IF(VLOOKUP($B36,$B:H,COLUMN(H35)-1,FALSE)&lt;&gt;0,VLOOKUP($B36,$B:W,COLUMN(W35)-1,FALSE)/VLOOKUP($B36,$B:H,COLUMN(H35)-1,FALSE),IF(VLOOKUP($B36,$B:W,COLUMN(W35)-1,FALSE)&lt;&gt;0,"Strange",0))</f>
        <v>0</v>
      </c>
      <c r="AZ36" s="292">
        <f>IF(VLOOKUP($B36,$B:I,COLUMN(I35)-1,FALSE)&lt;&gt;0,VLOOKUP($B36,$B:X,COLUMN(X35)-1,FALSE)/VLOOKUP($B36,$B:I,COLUMN(I35)-1,FALSE),IF(VLOOKUP($B36,$B:X,COLUMN(X35)-1,FALSE)&lt;&gt;0,"Strange",0))</f>
        <v>0</v>
      </c>
      <c r="BA36" s="292">
        <f>IF(VLOOKUP($B36,$B:J,COLUMN(J35)-1,FALSE)&lt;&gt;0,VLOOKUP($B36,$B:Y,COLUMN(Y35)-1,FALSE)/VLOOKUP($B36,$B:J,COLUMN(J35)-1,FALSE),IF(VLOOKUP($B36,$B:Y,COLUMN(Y35)-1,FALSE)&lt;&gt;0,"Strange",0))</f>
        <v>0</v>
      </c>
      <c r="BB36" s="292">
        <f>IF(VLOOKUP($B36,$B:K,COLUMN(K35)-1,FALSE)&lt;&gt;0,VLOOKUP($B36,$B:Z,COLUMN(Z35)-1,FALSE)/VLOOKUP($B36,$B:K,COLUMN(K35)-1,FALSE),IF(VLOOKUP($B36,$B:Z,COLUMN(Z35)-1,FALSE)&lt;&gt;0,"Strange",0))</f>
        <v>0.1171875</v>
      </c>
      <c r="BC36" s="292">
        <f>IF(VLOOKUP($B36,$B:L,COLUMN(L35)-1,FALSE)&lt;&gt;0,VLOOKUP($B36,$B:AA,COLUMN(AA35)-1,FALSE)/VLOOKUP($B36,$B:L,COLUMN(L35)-1,FALSE),IF(VLOOKUP($B36,$B:AA,COLUMN(AA35)-1,FALSE)&lt;&gt;0,"Strange",0))</f>
        <v>8.4033613445378158E-2</v>
      </c>
      <c r="BD36" s="292">
        <f>IF(VLOOKUP($B36,$B:M,COLUMN(M35)-1,FALSE)&lt;&gt;0,VLOOKUP($B36,$B:AB,COLUMN(AB35)-1,FALSE)/VLOOKUP($B36,$B:M,COLUMN(M35)-1,FALSE),IF(VLOOKUP($B36,$B:AB,COLUMN(AB35)-1,FALSE)&lt;&gt;0,"Strange",0))</f>
        <v>0</v>
      </c>
      <c r="BE36" s="292">
        <f>IF(VLOOKUP($B36,$B:N,COLUMN(N35)-1,FALSE)&lt;&gt;0,VLOOKUP($B36,$B:AC,COLUMN(AC35)-1,FALSE)/VLOOKUP($B36,$B:N,COLUMN(N35)-1,FALSE),IF(VLOOKUP($B36,$B:AC,COLUMN(AC35)-1,FALSE)&lt;&gt;0,"Strange",0))</f>
        <v>0</v>
      </c>
      <c r="BF36" s="292">
        <f>IF(VLOOKUP($B36,$B:O,COLUMN(O35)-1,FALSE)&lt;&gt;0,VLOOKUP($B36,$B:AD,COLUMN(AD35)-1,FALSE)/VLOOKUP($B36,$B:O,COLUMN(O35)-1,FALSE),IF(VLOOKUP($B36,$B:AD,COLUMN(AD35)-1,FALSE)&lt;&gt;0,"Strange",0))</f>
        <v>0</v>
      </c>
      <c r="BG36" s="292">
        <f>IF(VLOOKUP($B36,$B:Q,COLUMN(Q35)-1,FALSE)&lt;&gt;0,VLOOKUP($B36,$B:AE,COLUMN(AE35)-1,FALSE)/VLOOKUP($B36,$B:Q,COLUMN(Q35)-1,FALSE),IF(VLOOKUP($B36,$B:AE,COLUMN(AE35)-1,FALSE)&lt;&gt;0,"Strange",0))</f>
        <v>1</v>
      </c>
      <c r="BH36" s="292">
        <f>IF(VLOOKUP($B36,$B:R,COLUMN(R35)-1,FALSE)&lt;&gt;0,VLOOKUP($B36,$B:AF,COLUMN(AF35)-1,FALSE)/VLOOKUP($B36,$B:R,COLUMN(R35)-1,FALSE),IF(VLOOKUP($B36,$B:AF,COLUMN(AF35)-1,FALSE)&lt;&gt;0,"Strange",0))</f>
        <v>0</v>
      </c>
      <c r="BI36" s="292">
        <f>IF(VLOOKUP($B36,$B:S,COLUMN(S35)-1,FALSE)&lt;&gt;0,VLOOKUP($B36,$B:AG,COLUMN(AG35)-1,FALSE)/VLOOKUP($B36,$B:S,COLUMN(S35)-1,FALSE),IF(VLOOKUP($B36,$B:AG,COLUMN(AG35)-1,FALSE)&lt;&gt;0,"Strange",0))</f>
        <v>0</v>
      </c>
      <c r="BJ36" s="292">
        <f>IF(VLOOKUP($B36,$B:T,COLUMN(T35)-1,FALSE)&lt;&gt;0,VLOOKUP($B36,$B:AH,COLUMN(AH35)-1,FALSE)/VLOOKUP($B36,$B:T,COLUMN(T35)-1,FALSE),IF(VLOOKUP($B36,$B:AH,COLUMN(AH35)-1,FALSE)&lt;&gt;0,"Strange",0))</f>
        <v>0</v>
      </c>
      <c r="BK36" s="471"/>
      <c r="BL36" s="2">
        <f>IF(VLOOKUP($B36,$B:W,COLUMN(G35)-1,FALSE)&lt;&gt;0,VLOOKUP($B36,$B:AK,COLUMN(AJ35)-1,FALSE)/VLOOKUP($B36,$B:W,COLUMN(G35)-1,FALSE),IF(VLOOKUP($B36,$B:AK,COLUMN(AJ35)-1,FALSE)&lt;&gt;0,"Strange",0))</f>
        <v>0</v>
      </c>
      <c r="BM36" s="2">
        <f>IF(VLOOKUP($B36,$B:X,COLUMN(H35)-1,FALSE)&lt;&gt;0,VLOOKUP($B36,$B:AL,COLUMN(AK35)-1,FALSE)/VLOOKUP($B36,$B:X,COLUMN(H35)-1,FALSE),IF(VLOOKUP($B36,$B:AL,COLUMN(AK35)-1,FALSE)&lt;&gt;0,"Strange",0))</f>
        <v>0</v>
      </c>
      <c r="BN36" s="2">
        <f>IF(VLOOKUP($B36,$B:Y,COLUMN(I35)-1,FALSE)&lt;&gt;0,VLOOKUP($B36,$B:AM,COLUMN(AL35)-1,FALSE)/VLOOKUP($B36,$B:Y,COLUMN(I35)-1,FALSE),IF(VLOOKUP($B36,$B:AM,COLUMN(AL35)-1,FALSE)&lt;&gt;0,"Strange",0))</f>
        <v>0</v>
      </c>
      <c r="BO36" s="2">
        <f>IF(VLOOKUP($B36,$B:Z,COLUMN(J35)-1,FALSE)&lt;&gt;0,VLOOKUP($B36,$B:AN,COLUMN(AM35)-1,FALSE)/VLOOKUP($B36,$B:Z,COLUMN(J35)-1,FALSE),IF(VLOOKUP($B36,$B:AN,COLUMN(AM35)-1,FALSE)&lt;&gt;0,"Strange",0))</f>
        <v>0</v>
      </c>
      <c r="BP36" s="2">
        <f>IF(VLOOKUP($B36,$B:AB,COLUMN(K35)-1,FALSE)&lt;&gt;0,VLOOKUP($B36,$B:AP,COLUMN(AN35)-1,FALSE)/VLOOKUP($B36,$B:AB,COLUMN(K35)-1,FALSE),IF(VLOOKUP($B36,$B:AP,COLUMN(AN35)-1,FALSE)&lt;&gt;0,"Strange",0))</f>
        <v>0.1171875</v>
      </c>
      <c r="BQ36" s="2">
        <f>IF(VLOOKUP($B36,$B:AC,COLUMN(L35)-1,FALSE)&lt;&gt;0,VLOOKUP($B36,$B:AQ,COLUMN(AO35)-1,FALSE)/VLOOKUP($B36,$B:AC,COLUMN(L35)-1,FALSE),IF(VLOOKUP($B36,$B:AQ,COLUMN(AO35)-1,FALSE)&lt;&gt;0,"Strange",0))</f>
        <v>8.4033613445378158E-2</v>
      </c>
      <c r="BR36" s="2">
        <f>IF(VLOOKUP($B36,$B:AC,COLUMN(M35)-1,FALSE)&lt;&gt;0,VLOOKUP($B36,$B:AQ,COLUMN(AP35)-1,FALSE)/VLOOKUP($B36,$B:AC,COLUMN(M35)-1,FALSE),IF(VLOOKUP($B36,$B:AQ,COLUMN(AP35)-1,FALSE)&lt;&gt;0,"Strange",0))</f>
        <v>0</v>
      </c>
      <c r="BS36" s="2">
        <f>IF(VLOOKUP($B36,$B:AD,COLUMN(N35)-1,FALSE)&lt;&gt;0,VLOOKUP($B36,$B:AR,COLUMN(AQ35)-1,FALSE)/VLOOKUP($B36,$B:AD,COLUMN(N35)-1,FALSE),IF(VLOOKUP($B36,$B:AR,COLUMN(AQ35)-1,FALSE)&lt;&gt;0,"Strange",0))</f>
        <v>0</v>
      </c>
      <c r="BT36" s="2">
        <f>IF(VLOOKUP($B36,$B:AD,COLUMN(O35)-1,FALSE)&lt;&gt;0,VLOOKUP($B36,$B:AR,COLUMN(AR35)-1,FALSE)/VLOOKUP($B36,$B:AD,COLUMN(O35)-1,FALSE),IF(VLOOKUP($B36,$B:AR,COLUMN(AR35)-1,FALSE)&lt;&gt;0,"Strange",0))</f>
        <v>0</v>
      </c>
      <c r="BU36" s="2">
        <f>IF(VLOOKUP($B36,$B:AE,COLUMN(Q35)-1,FALSE)&lt;&gt;0,VLOOKUP($B36,$B:AS,COLUMN(AS35)-1,FALSE)/VLOOKUP($B36,$B:AE,COLUMN(Q35)-1,FALSE),IF(VLOOKUP($B36,$B:AS,COLUMN(AS35)-1,FALSE)&lt;&gt;0,"Strange",0))</f>
        <v>1</v>
      </c>
      <c r="BV36" s="2">
        <f>IF(VLOOKUP($B36,$B:AF,COLUMN(R35)-1,FALSE)&lt;&gt;0,VLOOKUP($B36,$B:AT,COLUMN(AT35)-1,FALSE)/VLOOKUP($B36,$B:AF,COLUMN(R35)-1,FALSE),IF(VLOOKUP($B36,$B:AT,COLUMN(AT35)-1,FALSE)&lt;&gt;0,"Strange",0))</f>
        <v>0</v>
      </c>
      <c r="BW36" s="2">
        <f>IF(VLOOKUP($B36,$B:AG,COLUMN(S35)-1,FALSE)&lt;&gt;0,VLOOKUP($B36,$B:AU,COLUMN(AU35)-1,FALSE)/VLOOKUP($B36,$B:AG,COLUMN(S35)-1,FALSE),IF(VLOOKUP($B36,$B:AU,COLUMN(AU35)-1,FALSE)&lt;&gt;0,"Strange",0))</f>
        <v>0</v>
      </c>
      <c r="BX36" s="2">
        <f>IF(VLOOKUP($B36,$B:AH,COLUMN(T35)-1,FALSE)&lt;&gt;0,VLOOKUP($B36,$B:AV,COLUMN(AV35)-1,FALSE)/VLOOKUP($B36,$B:AH,COLUMN(T35)-1,FALSE),IF(VLOOKUP($B36,$B:AV,COLUMN(AV35)-1,FALSE)&lt;&gt;0,"Strange",0))</f>
        <v>0</v>
      </c>
      <c r="BY36" s="471"/>
      <c r="BZ36" s="2">
        <f>SUMIFS('Bilateral Assistance, MAIN DATA'!$M:$M,'Bilateral Assistance, MAIN DATA'!$B:$B,'Share, Heavy Weapons to Ukraine'!$B36,'Bilateral Assistance, MAIN DATA'!$AO:$AO,'Share, Heavy Weapons to Ukraine'!BZ$11, 'Bilateral Assistance, MAIN DATA'!$AA:$AA,1)</f>
        <v>0</v>
      </c>
      <c r="CA36" s="2">
        <f>SUMIFS('Bilateral Assistance, MAIN DATA'!$M:$M,'Bilateral Assistance, MAIN DATA'!$B:$B,'Share, Heavy Weapons to Ukraine'!$B36,'Bilateral Assistance, MAIN DATA'!$AO:$AO,'Share, Heavy Weapons to Ukraine'!CA$11, 'Bilateral Assistance, MAIN DATA'!$AA:$AA,1)</f>
        <v>0</v>
      </c>
      <c r="CB36" s="2">
        <f>SUMIFS('Bilateral Assistance, MAIN DATA'!$M:$M,'Bilateral Assistance, MAIN DATA'!$B:$B,'Share, Heavy Weapons to Ukraine'!$B36,'Bilateral Assistance, MAIN DATA'!$AO:$AO,'Share, Heavy Weapons to Ukraine'!CB$11, 'Bilateral Assistance, MAIN DATA'!$AA:$AA,1)</f>
        <v>0</v>
      </c>
      <c r="CC36" s="2">
        <f>SUMIFS('Bilateral Assistance, MAIN DATA'!$M:$M,'Bilateral Assistance, MAIN DATA'!$B:$B,'Share, Heavy Weapons to Ukraine'!$B36,'Bilateral Assistance, MAIN DATA'!$AO:$AO,'Share, Heavy Weapons to Ukraine'!CC$11, 'Bilateral Assistance, MAIN DATA'!$AA:$AA,1)</f>
        <v>0</v>
      </c>
      <c r="CD36" s="471"/>
      <c r="CE36" s="2">
        <f>SUMIFS('Bilateral Assistance, MAIN DATA'!$N:$N,'Bilateral Assistance, MAIN DATA'!$B:$B,'Share, Heavy Weapons to Ukraine'!$B36,'Bilateral Assistance, MAIN DATA'!$AO:$AO,'Share, Heavy Weapons to Ukraine'!CE$11, 'Bilateral Assistance, MAIN DATA'!$AA:$AA,1)</f>
        <v>0</v>
      </c>
      <c r="CF36" s="2">
        <f>SUMIFS('Bilateral Assistance, MAIN DATA'!$N:$N,'Bilateral Assistance, MAIN DATA'!$B:$B,'Share, Heavy Weapons to Ukraine'!$B36,'Bilateral Assistance, MAIN DATA'!$AO:$AO,'Share, Heavy Weapons to Ukraine'!CF$11, 'Bilateral Assistance, MAIN DATA'!$AA:$AA,1)</f>
        <v>0</v>
      </c>
      <c r="CG36" s="2">
        <f>SUMIFS('Bilateral Assistance, MAIN DATA'!$N:$N,'Bilateral Assistance, MAIN DATA'!$B:$B,'Share, Heavy Weapons to Ukraine'!$B36,'Bilateral Assistance, MAIN DATA'!$AO:$AO,'Share, Heavy Weapons to Ukraine'!CG$11, 'Bilateral Assistance, MAIN DATA'!$AA:$AA,1)</f>
        <v>0</v>
      </c>
      <c r="CH36" s="2">
        <f>SUMIFS('Bilateral Assistance, MAIN DATA'!$N:$N,'Bilateral Assistance, MAIN DATA'!$B:$B,'Share, Heavy Weapons to Ukraine'!$B36,'Bilateral Assistance, MAIN DATA'!$AO:$AO,'Share, Heavy Weapons to Ukraine'!CH$11, 'Bilateral Assistance, MAIN DATA'!$AA:$AA,1)</f>
        <v>0</v>
      </c>
    </row>
    <row r="37" spans="2:86" ht="15.6" x14ac:dyDescent="0.3">
      <c r="B37" s="470" t="s">
        <v>480</v>
      </c>
      <c r="C37" s="470">
        <v>0</v>
      </c>
      <c r="D37" s="2">
        <v>1</v>
      </c>
      <c r="E37" s="471"/>
      <c r="F37" s="472">
        <v>1.28</v>
      </c>
      <c r="G37" s="470">
        <f>VLOOKUP(B37,'Heavy Weapon Stocks'!B:OE,COLUMN('Heavy Weapon Stocks'!$C$11)-1,FALSE)</f>
        <v>90</v>
      </c>
      <c r="H37" s="470">
        <f>VLOOKUP(B37,'Heavy Weapon Stocks'!B:OE,COLUMN('Heavy Weapon Stocks'!$AT$11)-1,FALSE)</f>
        <v>120</v>
      </c>
      <c r="I37" s="470">
        <f>VLOOKUP(B37,'Heavy Weapon Stocks'!B:OE,COLUMN('Heavy Weapon Stocks'!$DN$11)-1,FALSE)</f>
        <v>0</v>
      </c>
      <c r="J37" s="470">
        <f>VLOOKUP(B37,'Heavy Weapon Stocks'!B:OE,COLUMN('Heavy Weapon Stocks'!$EB$11)-1,FALSE)</f>
        <v>44</v>
      </c>
      <c r="K37" s="470">
        <f>VLOOKUP(B37,'Heavy Weapon Stocks'!B:OE,COLUMN('Heavy Weapon Stocks'!$FD$11)-1,FALSE)</f>
        <v>160</v>
      </c>
      <c r="L37" s="470">
        <f t="shared" si="3"/>
        <v>324</v>
      </c>
      <c r="M37" s="470">
        <f>VLOOKUP(B37,'Heavy Weapon Stocks'!B:OE,COLUMN('Heavy Weapon Stocks'!$GZ$11)-1,FALSE)+VLOOKUP(B37,'Heavy Weapon Stocks'!B:OE,COLUMN('Heavy Weapon Stocks'!$IF$11)-1,FALSE)</f>
        <v>24</v>
      </c>
      <c r="N37" s="470">
        <f>VLOOKUP(B37,'Heavy Weapon Stocks'!B:OE,COLUMN('Heavy Weapon Stocks'!$IK$11)-1,FALSE)</f>
        <v>24</v>
      </c>
      <c r="O37" s="470">
        <f>VLOOKUP(B37,'Heavy Weapon Stocks'!B:OE,COLUMN('Heavy Weapon Stocks'!$JE$11)-1,FALSE)+VLOOKUP(B37,'Heavy Weapon Stocks'!B:OE,COLUMN('Heavy Weapon Stocks'!$KB$11)-1,FALSE)</f>
        <v>14</v>
      </c>
      <c r="Q37" s="470">
        <f>VLOOKUP(B37,'Heavy Weapon Stocks'!B:OE,COLUMN('Heavy Weapon Stocks'!$LS$11)-1,FALSE)</f>
        <v>20</v>
      </c>
      <c r="R37" s="470">
        <f>VLOOKUP(B37,'Heavy Weapon Stocks'!B:OE,COLUMN('Heavy Weapon Stocks'!$MC$11)-1,FALSE)</f>
        <v>0</v>
      </c>
      <c r="S37" s="470">
        <f>VLOOKUP(B37,'Heavy Weapon Stocks'!B:OE,COLUMN('Heavy Weapon Stocks'!$MJ$11)-1,FALSE)</f>
        <v>0</v>
      </c>
      <c r="T37" s="470">
        <f>VLOOKUP(B37,'Heavy Weapon Stocks'!B:OE,COLUMN('Heavy Weapon Stocks'!$NO$11)-1,FALSE)</f>
        <v>24</v>
      </c>
      <c r="U37" s="471"/>
      <c r="V37" s="2">
        <f>SUMIFS('Bilateral Assistance, MAIN DATA'!$M:$M,'Bilateral Assistance, MAIN DATA'!$B:$B,'Share, Heavy Weapons to Ukraine'!$B37,'Bilateral Assistance, MAIN DATA'!$AO:$AO,'Share, Heavy Weapons to Ukraine'!V$11)</f>
        <v>0</v>
      </c>
      <c r="W37" s="2">
        <f>SUMIFS('Bilateral Assistance, MAIN DATA'!$M:$M,'Bilateral Assistance, MAIN DATA'!$B:$B,'Share, Heavy Weapons to Ukraine'!$B37,'Bilateral Assistance, MAIN DATA'!$AO:$AO,'Share, Heavy Weapons to Ukraine'!W$11)</f>
        <v>0</v>
      </c>
      <c r="X37" s="2">
        <f>SUMIFS('Bilateral Assistance, MAIN DATA'!$M:$M,'Bilateral Assistance, MAIN DATA'!$B:$B,'Share, Heavy Weapons to Ukraine'!$B37,'Bilateral Assistance, MAIN DATA'!$AO:$AO,'Share, Heavy Weapons to Ukraine'!X$11)</f>
        <v>0</v>
      </c>
      <c r="Y37" s="2">
        <f>SUMIFS('Bilateral Assistance, MAIN DATA'!$M:$M,'Bilateral Assistance, MAIN DATA'!$B:$B,'Share, Heavy Weapons to Ukraine'!$B37,'Bilateral Assistance, MAIN DATA'!$AO:$AO,'Share, Heavy Weapons to Ukraine'!Y$11)</f>
        <v>0</v>
      </c>
      <c r="Z37" s="2">
        <f>SUMIFS('Bilateral Assistance, MAIN DATA'!$M:$M,'Bilateral Assistance, MAIN DATA'!$B:$B,'Share, Heavy Weapons to Ukraine'!$B37,'Bilateral Assistance, MAIN DATA'!$AO:$AO,'Share, Heavy Weapons to Ukraine'!Z$11)</f>
        <v>0</v>
      </c>
      <c r="AA37" s="2">
        <f t="shared" si="1"/>
        <v>0</v>
      </c>
      <c r="AB37" s="2">
        <f>SUMIFS('Bilateral Assistance, MAIN DATA'!$M:$M,'Bilateral Assistance, MAIN DATA'!$B:$B,'Share, Heavy Weapons to Ukraine'!$B37,'Bilateral Assistance, MAIN DATA'!$AO:$AO,'Share, Heavy Weapons to Ukraine'!AB$11)</f>
        <v>0</v>
      </c>
      <c r="AC37" s="25">
        <f>SUMIFS('Bilateral Assistance, MAIN DATA'!$M:$M,'Bilateral Assistance, MAIN DATA'!$B:$B,'Share, Heavy Weapons to Ukraine'!$B37,'Bilateral Assistance, MAIN DATA'!$AO:$AO,"122mm MLRS")+SUMIFS('Bilateral Assistance, MAIN DATA'!$M:$M,'Bilateral Assistance, MAIN DATA'!$B:$B,'Share, Heavy Weapons to Ukraine'!$B37,'Bilateral Assistance, MAIN DATA'!$AO:$AO,"127mm MLRS")+SUMIFS('Bilateral Assistance, MAIN DATA'!$M:$M,'Bilateral Assistance, MAIN DATA'!$B:$B,'Share, Heavy Weapons to Ukraine'!$B37,'Bilateral Assistance, MAIN DATA'!$AO:$AO,"227mm MLRS")</f>
        <v>0</v>
      </c>
      <c r="AD37" s="2">
        <f>SUMIFS('Bilateral Assistance, MAIN DATA'!$M:$M,'Bilateral Assistance, MAIN DATA'!$B:$B,'Share, Heavy Weapons to Ukraine'!$B37,'Bilateral Assistance, MAIN DATA'!$AO:$AO,'Share, Heavy Weapons to Ukraine'!AD$11)</f>
        <v>0</v>
      </c>
      <c r="AE37" s="2">
        <f>SUMIFS('Bilateral Assistance, MAIN DATA'!$M:$M,'Bilateral Assistance, MAIN DATA'!$B:$B,'Share, Heavy Weapons to Ukraine'!$B37,'Bilateral Assistance, MAIN DATA'!$AO:$AO,'Share, Heavy Weapons to Ukraine'!AE$11)</f>
        <v>0</v>
      </c>
      <c r="AF37" s="2">
        <f>SUMIFS('Bilateral Assistance, MAIN DATA'!$M:$M,'Bilateral Assistance, MAIN DATA'!$B:$B,'Share, Heavy Weapons to Ukraine'!$B37,'Bilateral Assistance, MAIN DATA'!$AO:$AO,'Share, Heavy Weapons to Ukraine'!AF$11)</f>
        <v>0</v>
      </c>
      <c r="AG37" s="2">
        <f>SUMIFS('Bilateral Assistance, MAIN DATA'!$M:$M,'Bilateral Assistance, MAIN DATA'!$B:$B,'Share, Heavy Weapons to Ukraine'!$B37,'Bilateral Assistance, MAIN DATA'!$AO:$AO,'Share, Heavy Weapons to Ukraine'!AG$11)</f>
        <v>0</v>
      </c>
      <c r="AH37" s="2">
        <f>SUMIFS('Bilateral Assistance, MAIN DATA'!$M:$M,'Bilateral Assistance, MAIN DATA'!$B:$B,'Share, Heavy Weapons to Ukraine'!$B37,'Bilateral Assistance, MAIN DATA'!$AO:$AO,'Share, Heavy Weapons to Ukraine'!AH$11)</f>
        <v>0</v>
      </c>
      <c r="AI37" s="471"/>
      <c r="AJ37" s="2">
        <f>SUMIFS('Bilateral Assistance, MAIN DATA'!$N:$N,'Bilateral Assistance, MAIN DATA'!$B:$B,'Share, Heavy Weapons to Ukraine'!$B37,'Bilateral Assistance, MAIN DATA'!$AO:$AO,'Share, Heavy Weapons to Ukraine'!AJ$11)</f>
        <v>0</v>
      </c>
      <c r="AK37" s="2">
        <f>SUMIFS('Bilateral Assistance, MAIN DATA'!$N:$N,'Bilateral Assistance, MAIN DATA'!$B:$B,'Share, Heavy Weapons to Ukraine'!$B37,'Bilateral Assistance, MAIN DATA'!$AO:$AO,'Share, Heavy Weapons to Ukraine'!AK$11)</f>
        <v>0</v>
      </c>
      <c r="AL37" s="2">
        <f>SUMIFS('Bilateral Assistance, MAIN DATA'!$N:$N,'Bilateral Assistance, MAIN DATA'!$B:$B,'Share, Heavy Weapons to Ukraine'!$B37,'Bilateral Assistance, MAIN DATA'!$AO:$AO,'Share, Heavy Weapons to Ukraine'!AL$11)</f>
        <v>0</v>
      </c>
      <c r="AM37" s="2">
        <f>SUMIFS('Bilateral Assistance, MAIN DATA'!$N:$N,'Bilateral Assistance, MAIN DATA'!$B:$B,'Share, Heavy Weapons to Ukraine'!$B37,'Bilateral Assistance, MAIN DATA'!$AO:$AO,'Share, Heavy Weapons to Ukraine'!AM$11)</f>
        <v>0</v>
      </c>
      <c r="AN37" s="2">
        <f>SUMIFS('Bilateral Assistance, MAIN DATA'!$N:$N,'Bilateral Assistance, MAIN DATA'!$B:$B,'Share, Heavy Weapons to Ukraine'!$B37,'Bilateral Assistance, MAIN DATA'!$AO:$AO,'Share, Heavy Weapons to Ukraine'!AN$11)</f>
        <v>0</v>
      </c>
      <c r="AO37" s="2">
        <f t="shared" si="2"/>
        <v>0</v>
      </c>
      <c r="AP37" s="2">
        <f>SUMIFS('Bilateral Assistance, MAIN DATA'!$N:$N,'Bilateral Assistance, MAIN DATA'!$B:$B,'Share, Heavy Weapons to Ukraine'!$B37,'Bilateral Assistance, MAIN DATA'!$AO:$AO,'Share, Heavy Weapons to Ukraine'!AP$11)</f>
        <v>0</v>
      </c>
      <c r="AQ37" s="25">
        <f>SUMIFS('Bilateral Assistance, MAIN DATA'!$N:$N,'Bilateral Assistance, MAIN DATA'!$B:$B,'Share, Heavy Weapons to Ukraine'!$B37,'Bilateral Assistance, MAIN DATA'!$AO:$AO,"122mm MLRS")+SUMIFS('Bilateral Assistance, MAIN DATA'!$N:$N,'Bilateral Assistance, MAIN DATA'!$B:$B,'Share, Heavy Weapons to Ukraine'!$B37,'Bilateral Assistance, MAIN DATA'!$AO:$AO,"127mm MLRS")+SUMIFS('Bilateral Assistance, MAIN DATA'!$N:$N,'Bilateral Assistance, MAIN DATA'!$B:$B,'Share, Heavy Weapons to Ukraine'!$B37,'Bilateral Assistance, MAIN DATA'!$AO:$AO,"227mm MLRS")</f>
        <v>0</v>
      </c>
      <c r="AR37" s="2">
        <f>SUMIFS('Bilateral Assistance, MAIN DATA'!$N:$N,'Bilateral Assistance, MAIN DATA'!$B:$B,'Share, Heavy Weapons to Ukraine'!$B37,'Bilateral Assistance, MAIN DATA'!$AO:$AO,'Share, Heavy Weapons to Ukraine'!AR$11)</f>
        <v>0</v>
      </c>
      <c r="AS37" s="2">
        <f>SUMIFS('Bilateral Assistance, MAIN DATA'!$N:$N,'Bilateral Assistance, MAIN DATA'!$B:$B,'Share, Heavy Weapons to Ukraine'!$B37,'Bilateral Assistance, MAIN DATA'!$AO:$AO,'Share, Heavy Weapons to Ukraine'!AS$11)</f>
        <v>0</v>
      </c>
      <c r="AT37" s="2">
        <f>SUMIFS('Bilateral Assistance, MAIN DATA'!$N:$N,'Bilateral Assistance, MAIN DATA'!$B:$B,'Share, Heavy Weapons to Ukraine'!$B37,'Bilateral Assistance, MAIN DATA'!$AO:$AO,'Share, Heavy Weapons to Ukraine'!AT$11)</f>
        <v>0</v>
      </c>
      <c r="AU37" s="2">
        <f>SUMIFS('Bilateral Assistance, MAIN DATA'!$N:$N,'Bilateral Assistance, MAIN DATA'!$B:$B,'Share, Heavy Weapons to Ukraine'!$B37,'Bilateral Assistance, MAIN DATA'!$AO:$AO,'Share, Heavy Weapons to Ukraine'!AU$11)</f>
        <v>0</v>
      </c>
      <c r="AV37" s="2">
        <f>SUMIFS('Bilateral Assistance, MAIN DATA'!$N:$N,'Bilateral Assistance, MAIN DATA'!$B:$B,'Share, Heavy Weapons to Ukraine'!$B37,'Bilateral Assistance, MAIN DATA'!$AO:$AO,'Share, Heavy Weapons to Ukraine'!AV$11)</f>
        <v>0</v>
      </c>
      <c r="AW37" s="471"/>
      <c r="AX37" s="292">
        <f>IF(VLOOKUP($B37,$B:G,COLUMN(G36)-1,FALSE)&lt;&gt;0,VLOOKUP($B37,$B:V,COLUMN(V36)-1,FALSE)/VLOOKUP($B37,$B:G,COLUMN(G36)-1,FALSE),IF(VLOOKUP($B37,$B:V,COLUMN(V36)-1,FALSE)&lt;&gt;0,"Strange",0))</f>
        <v>0</v>
      </c>
      <c r="AY37" s="292">
        <f>IF(VLOOKUP($B37,$B:H,COLUMN(H36)-1,FALSE)&lt;&gt;0,VLOOKUP($B37,$B:W,COLUMN(W36)-1,FALSE)/VLOOKUP($B37,$B:H,COLUMN(H36)-1,FALSE),IF(VLOOKUP($B37,$B:W,COLUMN(W36)-1,FALSE)&lt;&gt;0,"Strange",0))</f>
        <v>0</v>
      </c>
      <c r="AZ37" s="292">
        <f>IF(VLOOKUP($B37,$B:I,COLUMN(I36)-1,FALSE)&lt;&gt;0,VLOOKUP($B37,$B:X,COLUMN(X36)-1,FALSE)/VLOOKUP($B37,$B:I,COLUMN(I36)-1,FALSE),IF(VLOOKUP($B37,$B:X,COLUMN(X36)-1,FALSE)&lt;&gt;0,"Strange",0))</f>
        <v>0</v>
      </c>
      <c r="BA37" s="292">
        <f>IF(VLOOKUP($B37,$B:J,COLUMN(J36)-1,FALSE)&lt;&gt;0,VLOOKUP($B37,$B:Y,COLUMN(Y36)-1,FALSE)/VLOOKUP($B37,$B:J,COLUMN(J36)-1,FALSE),IF(VLOOKUP($B37,$B:Y,COLUMN(Y36)-1,FALSE)&lt;&gt;0,"Strange",0))</f>
        <v>0</v>
      </c>
      <c r="BB37" s="292">
        <f>IF(VLOOKUP($B37,$B:K,COLUMN(K36)-1,FALSE)&lt;&gt;0,VLOOKUP($B37,$B:Z,COLUMN(Z36)-1,FALSE)/VLOOKUP($B37,$B:K,COLUMN(K36)-1,FALSE),IF(VLOOKUP($B37,$B:Z,COLUMN(Z36)-1,FALSE)&lt;&gt;0,"Strange",0))</f>
        <v>0</v>
      </c>
      <c r="BC37" s="292">
        <f>IF(VLOOKUP($B37,$B:L,COLUMN(L36)-1,FALSE)&lt;&gt;0,VLOOKUP($B37,$B:AA,COLUMN(AA36)-1,FALSE)/VLOOKUP($B37,$B:L,COLUMN(L36)-1,FALSE),IF(VLOOKUP($B37,$B:AA,COLUMN(AA36)-1,FALSE)&lt;&gt;0,"Strange",0))</f>
        <v>0</v>
      </c>
      <c r="BD37" s="292">
        <f>IF(VLOOKUP($B37,$B:M,COLUMN(M36)-1,FALSE)&lt;&gt;0,VLOOKUP($B37,$B:AB,COLUMN(AB36)-1,FALSE)/VLOOKUP($B37,$B:M,COLUMN(M36)-1,FALSE),IF(VLOOKUP($B37,$B:AB,COLUMN(AB36)-1,FALSE)&lt;&gt;0,"Strange",0))</f>
        <v>0</v>
      </c>
      <c r="BE37" s="292">
        <f>IF(VLOOKUP($B37,$B:N,COLUMN(N36)-1,FALSE)&lt;&gt;0,VLOOKUP($B37,$B:AC,COLUMN(AC36)-1,FALSE)/VLOOKUP($B37,$B:N,COLUMN(N36)-1,FALSE),IF(VLOOKUP($B37,$B:AC,COLUMN(AC36)-1,FALSE)&lt;&gt;0,"Strange",0))</f>
        <v>0</v>
      </c>
      <c r="BF37" s="292">
        <f>IF(VLOOKUP($B37,$B:O,COLUMN(O36)-1,FALSE)&lt;&gt;0,VLOOKUP($B37,$B:AD,COLUMN(AD36)-1,FALSE)/VLOOKUP($B37,$B:O,COLUMN(O36)-1,FALSE),IF(VLOOKUP($B37,$B:AD,COLUMN(AD36)-1,FALSE)&lt;&gt;0,"Strange",0))</f>
        <v>0</v>
      </c>
      <c r="BG37" s="292">
        <f>IF(VLOOKUP($B37,$B:Q,COLUMN(Q36)-1,FALSE)&lt;&gt;0,VLOOKUP($B37,$B:AE,COLUMN(AE36)-1,FALSE)/VLOOKUP($B37,$B:Q,COLUMN(Q36)-1,FALSE),IF(VLOOKUP($B37,$B:AE,COLUMN(AE36)-1,FALSE)&lt;&gt;0,"Strange",0))</f>
        <v>0</v>
      </c>
      <c r="BH37" s="292">
        <f>IF(VLOOKUP($B37,$B:R,COLUMN(R36)-1,FALSE)&lt;&gt;0,VLOOKUP($B37,$B:AF,COLUMN(AF36)-1,FALSE)/VLOOKUP($B37,$B:R,COLUMN(R36)-1,FALSE),IF(VLOOKUP($B37,$B:AF,COLUMN(AF36)-1,FALSE)&lt;&gt;0,"Strange",0))</f>
        <v>0</v>
      </c>
      <c r="BI37" s="292">
        <f>IF(VLOOKUP($B37,$B:S,COLUMN(S36)-1,FALSE)&lt;&gt;0,VLOOKUP($B37,$B:AG,COLUMN(AG36)-1,FALSE)/VLOOKUP($B37,$B:S,COLUMN(S36)-1,FALSE),IF(VLOOKUP($B37,$B:AG,COLUMN(AG36)-1,FALSE)&lt;&gt;0,"Strange",0))</f>
        <v>0</v>
      </c>
      <c r="BJ37" s="292">
        <f>IF(VLOOKUP($B37,$B:T,COLUMN(T36)-1,FALSE)&lt;&gt;0,VLOOKUP($B37,$B:AH,COLUMN(AH36)-1,FALSE)/VLOOKUP($B37,$B:T,COLUMN(T36)-1,FALSE),IF(VLOOKUP($B37,$B:AH,COLUMN(AH36)-1,FALSE)&lt;&gt;0,"Strange",0))</f>
        <v>0</v>
      </c>
      <c r="BK37" s="471"/>
      <c r="BL37" s="2">
        <f>IF(VLOOKUP($B37,$B:W,COLUMN(G36)-1,FALSE)&lt;&gt;0,VLOOKUP($B37,$B:AK,COLUMN(AJ36)-1,FALSE)/VLOOKUP($B37,$B:W,COLUMN(G36)-1,FALSE),IF(VLOOKUP($B37,$B:AK,COLUMN(AJ36)-1,FALSE)&lt;&gt;0,"Strange",0))</f>
        <v>0</v>
      </c>
      <c r="BM37" s="2">
        <f>IF(VLOOKUP($B37,$B:X,COLUMN(H36)-1,FALSE)&lt;&gt;0,VLOOKUP($B37,$B:AL,COLUMN(AK36)-1,FALSE)/VLOOKUP($B37,$B:X,COLUMN(H36)-1,FALSE),IF(VLOOKUP($B37,$B:AL,COLUMN(AK36)-1,FALSE)&lt;&gt;0,"Strange",0))</f>
        <v>0</v>
      </c>
      <c r="BN37" s="2">
        <f>IF(VLOOKUP($B37,$B:Y,COLUMN(I36)-1,FALSE)&lt;&gt;0,VLOOKUP($B37,$B:AM,COLUMN(AL36)-1,FALSE)/VLOOKUP($B37,$B:Y,COLUMN(I36)-1,FALSE),IF(VLOOKUP($B37,$B:AM,COLUMN(AL36)-1,FALSE)&lt;&gt;0,"Strange",0))</f>
        <v>0</v>
      </c>
      <c r="BO37" s="2">
        <f>IF(VLOOKUP($B37,$B:Z,COLUMN(J36)-1,FALSE)&lt;&gt;0,VLOOKUP($B37,$B:AN,COLUMN(AM36)-1,FALSE)/VLOOKUP($B37,$B:Z,COLUMN(J36)-1,FALSE),IF(VLOOKUP($B37,$B:AN,COLUMN(AM36)-1,FALSE)&lt;&gt;0,"Strange",0))</f>
        <v>0</v>
      </c>
      <c r="BP37" s="2">
        <f>IF(VLOOKUP($B37,$B:AB,COLUMN(K36)-1,FALSE)&lt;&gt;0,VLOOKUP($B37,$B:AP,COLUMN(AN36)-1,FALSE)/VLOOKUP($B37,$B:AB,COLUMN(K36)-1,FALSE),IF(VLOOKUP($B37,$B:AP,COLUMN(AN36)-1,FALSE)&lt;&gt;0,"Strange",0))</f>
        <v>0</v>
      </c>
      <c r="BQ37" s="2">
        <f>IF(VLOOKUP($B37,$B:AC,COLUMN(L36)-1,FALSE)&lt;&gt;0,VLOOKUP($B37,$B:AQ,COLUMN(AO36)-1,FALSE)/VLOOKUP($B37,$B:AC,COLUMN(L36)-1,FALSE),IF(VLOOKUP($B37,$B:AQ,COLUMN(AO36)-1,FALSE)&lt;&gt;0,"Strange",0))</f>
        <v>0</v>
      </c>
      <c r="BR37" s="2">
        <f>IF(VLOOKUP($B37,$B:AC,COLUMN(M36)-1,FALSE)&lt;&gt;0,VLOOKUP($B37,$B:AQ,COLUMN(AP36)-1,FALSE)/VLOOKUP($B37,$B:AC,COLUMN(M36)-1,FALSE),IF(VLOOKUP($B37,$B:AQ,COLUMN(AP36)-1,FALSE)&lt;&gt;0,"Strange",0))</f>
        <v>0</v>
      </c>
      <c r="BS37" s="2">
        <f>IF(VLOOKUP($B37,$B:AD,COLUMN(N36)-1,FALSE)&lt;&gt;0,VLOOKUP($B37,$B:AR,COLUMN(AQ36)-1,FALSE)/VLOOKUP($B37,$B:AD,COLUMN(N36)-1,FALSE),IF(VLOOKUP($B37,$B:AR,COLUMN(AQ36)-1,FALSE)&lt;&gt;0,"Strange",0))</f>
        <v>0</v>
      </c>
      <c r="BT37" s="2">
        <f>IF(VLOOKUP($B37,$B:AD,COLUMN(O36)-1,FALSE)&lt;&gt;0,VLOOKUP($B37,$B:AR,COLUMN(AR36)-1,FALSE)/VLOOKUP($B37,$B:AD,COLUMN(O36)-1,FALSE),IF(VLOOKUP($B37,$B:AR,COLUMN(AR36)-1,FALSE)&lt;&gt;0,"Strange",0))</f>
        <v>0</v>
      </c>
      <c r="BU37" s="2">
        <f>IF(VLOOKUP($B37,$B:AE,COLUMN(Q36)-1,FALSE)&lt;&gt;0,VLOOKUP($B37,$B:AS,COLUMN(AS36)-1,FALSE)/VLOOKUP($B37,$B:AE,COLUMN(Q36)-1,FALSE),IF(VLOOKUP($B37,$B:AS,COLUMN(AS36)-1,FALSE)&lt;&gt;0,"Strange",0))</f>
        <v>0</v>
      </c>
      <c r="BV37" s="2">
        <f>IF(VLOOKUP($B37,$B:AF,COLUMN(R36)-1,FALSE)&lt;&gt;0,VLOOKUP($B37,$B:AT,COLUMN(AT36)-1,FALSE)/VLOOKUP($B37,$B:AF,COLUMN(R36)-1,FALSE),IF(VLOOKUP($B37,$B:AT,COLUMN(AT36)-1,FALSE)&lt;&gt;0,"Strange",0))</f>
        <v>0</v>
      </c>
      <c r="BW37" s="2">
        <f>IF(VLOOKUP($B37,$B:AG,COLUMN(S36)-1,FALSE)&lt;&gt;0,VLOOKUP($B37,$B:AU,COLUMN(AU36)-1,FALSE)/VLOOKUP($B37,$B:AG,COLUMN(S36)-1,FALSE),IF(VLOOKUP($B37,$B:AU,COLUMN(AU36)-1,FALSE)&lt;&gt;0,"Strange",0))</f>
        <v>0</v>
      </c>
      <c r="BX37" s="2">
        <f>IF(VLOOKUP($B37,$B:AH,COLUMN(T36)-1,FALSE)&lt;&gt;0,VLOOKUP($B37,$B:AV,COLUMN(AV36)-1,FALSE)/VLOOKUP($B37,$B:AH,COLUMN(T36)-1,FALSE),IF(VLOOKUP($B37,$B:AV,COLUMN(AV36)-1,FALSE)&lt;&gt;0,"Strange",0))</f>
        <v>0</v>
      </c>
      <c r="BY37" s="471"/>
      <c r="BZ37" s="2">
        <f>SUMIFS('Bilateral Assistance, MAIN DATA'!$M:$M,'Bilateral Assistance, MAIN DATA'!$B:$B,'Share, Heavy Weapons to Ukraine'!$B37,'Bilateral Assistance, MAIN DATA'!$AO:$AO,'Share, Heavy Weapons to Ukraine'!BZ$11, 'Bilateral Assistance, MAIN DATA'!$AA:$AA,1)</f>
        <v>0</v>
      </c>
      <c r="CA37" s="2">
        <f>SUMIFS('Bilateral Assistance, MAIN DATA'!$M:$M,'Bilateral Assistance, MAIN DATA'!$B:$B,'Share, Heavy Weapons to Ukraine'!$B37,'Bilateral Assistance, MAIN DATA'!$AO:$AO,'Share, Heavy Weapons to Ukraine'!CA$11, 'Bilateral Assistance, MAIN DATA'!$AA:$AA,1)</f>
        <v>0</v>
      </c>
      <c r="CB37" s="2">
        <f>SUMIFS('Bilateral Assistance, MAIN DATA'!$M:$M,'Bilateral Assistance, MAIN DATA'!$B:$B,'Share, Heavy Weapons to Ukraine'!$B37,'Bilateral Assistance, MAIN DATA'!$AO:$AO,'Share, Heavy Weapons to Ukraine'!CB$11, 'Bilateral Assistance, MAIN DATA'!$AA:$AA,1)</f>
        <v>0</v>
      </c>
      <c r="CC37" s="2">
        <f>SUMIFS('Bilateral Assistance, MAIN DATA'!$M:$M,'Bilateral Assistance, MAIN DATA'!$B:$B,'Share, Heavy Weapons to Ukraine'!$B37,'Bilateral Assistance, MAIN DATA'!$AO:$AO,'Share, Heavy Weapons to Ukraine'!CC$11, 'Bilateral Assistance, MAIN DATA'!$AA:$AA,1)</f>
        <v>0</v>
      </c>
      <c r="CD37" s="471"/>
      <c r="CE37" s="2">
        <f>SUMIFS('Bilateral Assistance, MAIN DATA'!$N:$N,'Bilateral Assistance, MAIN DATA'!$B:$B,'Share, Heavy Weapons to Ukraine'!$B37,'Bilateral Assistance, MAIN DATA'!$AO:$AO,'Share, Heavy Weapons to Ukraine'!CE$11, 'Bilateral Assistance, MAIN DATA'!$AA:$AA,1)</f>
        <v>0</v>
      </c>
      <c r="CF37" s="2">
        <f>SUMIFS('Bilateral Assistance, MAIN DATA'!$N:$N,'Bilateral Assistance, MAIN DATA'!$B:$B,'Share, Heavy Weapons to Ukraine'!$B37,'Bilateral Assistance, MAIN DATA'!$AO:$AO,'Share, Heavy Weapons to Ukraine'!CF$11, 'Bilateral Assistance, MAIN DATA'!$AA:$AA,1)</f>
        <v>0</v>
      </c>
      <c r="CG37" s="2">
        <f>SUMIFS('Bilateral Assistance, MAIN DATA'!$N:$N,'Bilateral Assistance, MAIN DATA'!$B:$B,'Share, Heavy Weapons to Ukraine'!$B37,'Bilateral Assistance, MAIN DATA'!$AO:$AO,'Share, Heavy Weapons to Ukraine'!CG$11, 'Bilateral Assistance, MAIN DATA'!$AA:$AA,1)</f>
        <v>0</v>
      </c>
      <c r="CH37" s="2">
        <f>SUMIFS('Bilateral Assistance, MAIN DATA'!$N:$N,'Bilateral Assistance, MAIN DATA'!$B:$B,'Share, Heavy Weapons to Ukraine'!$B37,'Bilateral Assistance, MAIN DATA'!$AO:$AO,'Share, Heavy Weapons to Ukraine'!CH$11, 'Bilateral Assistance, MAIN DATA'!$AA:$AA,1)</f>
        <v>0</v>
      </c>
    </row>
    <row r="38" spans="2:86" ht="15.6" x14ac:dyDescent="0.3">
      <c r="B38" s="470" t="s">
        <v>1701</v>
      </c>
      <c r="C38" s="470">
        <v>0</v>
      </c>
      <c r="D38" s="2">
        <v>1</v>
      </c>
      <c r="E38" s="471"/>
      <c r="F38" s="472">
        <v>1.28</v>
      </c>
      <c r="G38" s="470">
        <f>VLOOKUP(B38,'Heavy Weapon Stocks'!B:OE,COLUMN('Heavy Weapon Stocks'!$C$11)-1,FALSE)</f>
        <v>0</v>
      </c>
      <c r="H38" s="470">
        <f>VLOOKUP(B38,'Heavy Weapon Stocks'!B:OE,COLUMN('Heavy Weapon Stocks'!$AT$11)-1,FALSE)</f>
        <v>74</v>
      </c>
      <c r="I38" s="470">
        <f>VLOOKUP(B38,'Heavy Weapon Stocks'!B:OE,COLUMN('Heavy Weapon Stocks'!$DN$11)-1,FALSE)</f>
        <v>0</v>
      </c>
      <c r="J38" s="470">
        <f>VLOOKUP(B38,'Heavy Weapon Stocks'!B:OE,COLUMN('Heavy Weapon Stocks'!$EB$11)-1,FALSE)</f>
        <v>0</v>
      </c>
      <c r="K38" s="470">
        <f>VLOOKUP(B38,'Heavy Weapon Stocks'!B:OE,COLUMN('Heavy Weapon Stocks'!$FD$11)-1,FALSE)</f>
        <v>0</v>
      </c>
      <c r="L38" s="470">
        <f t="shared" si="3"/>
        <v>74</v>
      </c>
      <c r="M38" s="470">
        <f>VLOOKUP(B38,'Heavy Weapon Stocks'!B:OE,COLUMN('Heavy Weapon Stocks'!$GZ$11)-1,FALSE)+VLOOKUP(B38,'Heavy Weapon Stocks'!B:OE,COLUMN('Heavy Weapon Stocks'!$IF$11)-1,FALSE)</f>
        <v>0</v>
      </c>
      <c r="N38" s="470">
        <f>VLOOKUP(B38,'Heavy Weapon Stocks'!B:OE,COLUMN('Heavy Weapon Stocks'!$IK$11)-1,FALSE)</f>
        <v>0</v>
      </c>
      <c r="O38" s="470">
        <f>VLOOKUP(B38,'Heavy Weapon Stocks'!B:OE,COLUMN('Heavy Weapon Stocks'!$JE$11)-1,FALSE)+VLOOKUP(B38,'Heavy Weapon Stocks'!B:OE,COLUMN('Heavy Weapon Stocks'!$KB$11)-1,FALSE)</f>
        <v>0</v>
      </c>
      <c r="Q38" s="470">
        <f>VLOOKUP(B38,'Heavy Weapon Stocks'!B:OE,COLUMN('Heavy Weapon Stocks'!$LS$11)-1,FALSE)</f>
        <v>0</v>
      </c>
      <c r="R38" s="470">
        <f>VLOOKUP(B38,'Heavy Weapon Stocks'!B:OE,COLUMN('Heavy Weapon Stocks'!$MC$11)-1,FALSE)</f>
        <v>0</v>
      </c>
      <c r="S38" s="470">
        <f>VLOOKUP(B38,'Heavy Weapon Stocks'!B:OE,COLUMN('Heavy Weapon Stocks'!$MJ$11)-1,FALSE)</f>
        <v>0</v>
      </c>
      <c r="T38" s="470">
        <f>VLOOKUP(B38,'Heavy Weapon Stocks'!B:OE,COLUMN('Heavy Weapon Stocks'!$NO$11)-1,FALSE)</f>
        <v>0</v>
      </c>
      <c r="U38" s="471"/>
      <c r="V38" s="2">
        <f>SUMIFS('Bilateral Assistance, MAIN DATA'!$M:$M,'Bilateral Assistance, MAIN DATA'!$B:$B,'Share, Heavy Weapons to Ukraine'!$B38,'Bilateral Assistance, MAIN DATA'!$AO:$AO,'Share, Heavy Weapons to Ukraine'!V$11)</f>
        <v>0</v>
      </c>
      <c r="W38" s="2">
        <f>SUMIFS('Bilateral Assistance, MAIN DATA'!$M:$M,'Bilateral Assistance, MAIN DATA'!$B:$B,'Share, Heavy Weapons to Ukraine'!$B38,'Bilateral Assistance, MAIN DATA'!$AO:$AO,'Share, Heavy Weapons to Ukraine'!W$11)</f>
        <v>0</v>
      </c>
      <c r="X38" s="2">
        <f>SUMIFS('Bilateral Assistance, MAIN DATA'!$M:$M,'Bilateral Assistance, MAIN DATA'!$B:$B,'Share, Heavy Weapons to Ukraine'!$B38,'Bilateral Assistance, MAIN DATA'!$AO:$AO,'Share, Heavy Weapons to Ukraine'!X$11)</f>
        <v>0</v>
      </c>
      <c r="Y38" s="2">
        <f>SUMIFS('Bilateral Assistance, MAIN DATA'!$M:$M,'Bilateral Assistance, MAIN DATA'!$B:$B,'Share, Heavy Weapons to Ukraine'!$B38,'Bilateral Assistance, MAIN DATA'!$AO:$AO,'Share, Heavy Weapons to Ukraine'!Y$11)</f>
        <v>0</v>
      </c>
      <c r="Z38" s="2">
        <f>SUMIFS('Bilateral Assistance, MAIN DATA'!$M:$M,'Bilateral Assistance, MAIN DATA'!$B:$B,'Share, Heavy Weapons to Ukraine'!$B38,'Bilateral Assistance, MAIN DATA'!$AO:$AO,'Share, Heavy Weapons to Ukraine'!Z$11)</f>
        <v>0</v>
      </c>
      <c r="AA38" s="2">
        <f t="shared" si="1"/>
        <v>0</v>
      </c>
      <c r="AB38" s="2">
        <f>SUMIFS('Bilateral Assistance, MAIN DATA'!$M:$M,'Bilateral Assistance, MAIN DATA'!$B:$B,'Share, Heavy Weapons to Ukraine'!$B38,'Bilateral Assistance, MAIN DATA'!$AO:$AO,'Share, Heavy Weapons to Ukraine'!AB$11)</f>
        <v>0</v>
      </c>
      <c r="AC38" s="25">
        <f>SUMIFS('Bilateral Assistance, MAIN DATA'!$M:$M,'Bilateral Assistance, MAIN DATA'!$B:$B,'Share, Heavy Weapons to Ukraine'!$B38,'Bilateral Assistance, MAIN DATA'!$AO:$AO,"122mm MLRS")+SUMIFS('Bilateral Assistance, MAIN DATA'!$M:$M,'Bilateral Assistance, MAIN DATA'!$B:$B,'Share, Heavy Weapons to Ukraine'!$B38,'Bilateral Assistance, MAIN DATA'!$AO:$AO,"127mm MLRS")+SUMIFS('Bilateral Assistance, MAIN DATA'!$M:$M,'Bilateral Assistance, MAIN DATA'!$B:$B,'Share, Heavy Weapons to Ukraine'!$B38,'Bilateral Assistance, MAIN DATA'!$AO:$AO,"227mm MLRS")</f>
        <v>0</v>
      </c>
      <c r="AD38" s="2">
        <f>SUMIFS('Bilateral Assistance, MAIN DATA'!$M:$M,'Bilateral Assistance, MAIN DATA'!$B:$B,'Share, Heavy Weapons to Ukraine'!$B38,'Bilateral Assistance, MAIN DATA'!$AO:$AO,'Share, Heavy Weapons to Ukraine'!AD$11)</f>
        <v>0</v>
      </c>
      <c r="AE38" s="2">
        <f>SUMIFS('Bilateral Assistance, MAIN DATA'!$M:$M,'Bilateral Assistance, MAIN DATA'!$B:$B,'Share, Heavy Weapons to Ukraine'!$B38,'Bilateral Assistance, MAIN DATA'!$AO:$AO,'Share, Heavy Weapons to Ukraine'!AE$11)</f>
        <v>0</v>
      </c>
      <c r="AF38" s="2">
        <f>SUMIFS('Bilateral Assistance, MAIN DATA'!$M:$M,'Bilateral Assistance, MAIN DATA'!$B:$B,'Share, Heavy Weapons to Ukraine'!$B38,'Bilateral Assistance, MAIN DATA'!$AO:$AO,'Share, Heavy Weapons to Ukraine'!AF$11)</f>
        <v>0</v>
      </c>
      <c r="AG38" s="2">
        <f>SUMIFS('Bilateral Assistance, MAIN DATA'!$M:$M,'Bilateral Assistance, MAIN DATA'!$B:$B,'Share, Heavy Weapons to Ukraine'!$B38,'Bilateral Assistance, MAIN DATA'!$AO:$AO,'Share, Heavy Weapons to Ukraine'!AG$11)</f>
        <v>0</v>
      </c>
      <c r="AH38" s="2">
        <f>SUMIFS('Bilateral Assistance, MAIN DATA'!$M:$M,'Bilateral Assistance, MAIN DATA'!$B:$B,'Share, Heavy Weapons to Ukraine'!$B38,'Bilateral Assistance, MAIN DATA'!$AO:$AO,'Share, Heavy Weapons to Ukraine'!AH$11)</f>
        <v>0</v>
      </c>
      <c r="AI38" s="471"/>
      <c r="AJ38" s="2">
        <f>SUMIFS('Bilateral Assistance, MAIN DATA'!$N:$N,'Bilateral Assistance, MAIN DATA'!$B:$B,'Share, Heavy Weapons to Ukraine'!$B38,'Bilateral Assistance, MAIN DATA'!$AO:$AO,'Share, Heavy Weapons to Ukraine'!AJ$11)</f>
        <v>0</v>
      </c>
      <c r="AK38" s="2">
        <f>SUMIFS('Bilateral Assistance, MAIN DATA'!$N:$N,'Bilateral Assistance, MAIN DATA'!$B:$B,'Share, Heavy Weapons to Ukraine'!$B38,'Bilateral Assistance, MAIN DATA'!$AO:$AO,'Share, Heavy Weapons to Ukraine'!AK$11)</f>
        <v>0</v>
      </c>
      <c r="AL38" s="2">
        <f>SUMIFS('Bilateral Assistance, MAIN DATA'!$N:$N,'Bilateral Assistance, MAIN DATA'!$B:$B,'Share, Heavy Weapons to Ukraine'!$B38,'Bilateral Assistance, MAIN DATA'!$AO:$AO,'Share, Heavy Weapons to Ukraine'!AL$11)</f>
        <v>0</v>
      </c>
      <c r="AM38" s="2">
        <f>SUMIFS('Bilateral Assistance, MAIN DATA'!$N:$N,'Bilateral Assistance, MAIN DATA'!$B:$B,'Share, Heavy Weapons to Ukraine'!$B38,'Bilateral Assistance, MAIN DATA'!$AO:$AO,'Share, Heavy Weapons to Ukraine'!AM$11)</f>
        <v>0</v>
      </c>
      <c r="AN38" s="2">
        <f>SUMIFS('Bilateral Assistance, MAIN DATA'!$N:$N,'Bilateral Assistance, MAIN DATA'!$B:$B,'Share, Heavy Weapons to Ukraine'!$B38,'Bilateral Assistance, MAIN DATA'!$AO:$AO,'Share, Heavy Weapons to Ukraine'!AN$11)</f>
        <v>0</v>
      </c>
      <c r="AO38" s="2">
        <f t="shared" si="2"/>
        <v>0</v>
      </c>
      <c r="AP38" s="2">
        <f>SUMIFS('Bilateral Assistance, MAIN DATA'!$N:$N,'Bilateral Assistance, MAIN DATA'!$B:$B,'Share, Heavy Weapons to Ukraine'!$B38,'Bilateral Assistance, MAIN DATA'!$AO:$AO,'Share, Heavy Weapons to Ukraine'!AP$11)</f>
        <v>0</v>
      </c>
      <c r="AQ38" s="25">
        <f>SUMIFS('Bilateral Assistance, MAIN DATA'!$N:$N,'Bilateral Assistance, MAIN DATA'!$B:$B,'Share, Heavy Weapons to Ukraine'!$B38,'Bilateral Assistance, MAIN DATA'!$AO:$AO,"122mm MLRS")+SUMIFS('Bilateral Assistance, MAIN DATA'!$N:$N,'Bilateral Assistance, MAIN DATA'!$B:$B,'Share, Heavy Weapons to Ukraine'!$B38,'Bilateral Assistance, MAIN DATA'!$AO:$AO,"127mm MLRS")+SUMIFS('Bilateral Assistance, MAIN DATA'!$N:$N,'Bilateral Assistance, MAIN DATA'!$B:$B,'Share, Heavy Weapons to Ukraine'!$B38,'Bilateral Assistance, MAIN DATA'!$AO:$AO,"227mm MLRS")</f>
        <v>0</v>
      </c>
      <c r="AR38" s="2">
        <f>SUMIFS('Bilateral Assistance, MAIN DATA'!$N:$N,'Bilateral Assistance, MAIN DATA'!$B:$B,'Share, Heavy Weapons to Ukraine'!$B38,'Bilateral Assistance, MAIN DATA'!$AO:$AO,'Share, Heavy Weapons to Ukraine'!AR$11)</f>
        <v>0</v>
      </c>
      <c r="AS38" s="2">
        <f>SUMIFS('Bilateral Assistance, MAIN DATA'!$N:$N,'Bilateral Assistance, MAIN DATA'!$B:$B,'Share, Heavy Weapons to Ukraine'!$B38,'Bilateral Assistance, MAIN DATA'!$AO:$AO,'Share, Heavy Weapons to Ukraine'!AS$11)</f>
        <v>0</v>
      </c>
      <c r="AT38" s="2">
        <f>SUMIFS('Bilateral Assistance, MAIN DATA'!$N:$N,'Bilateral Assistance, MAIN DATA'!$B:$B,'Share, Heavy Weapons to Ukraine'!$B38,'Bilateral Assistance, MAIN DATA'!$AO:$AO,'Share, Heavy Weapons to Ukraine'!AT$11)</f>
        <v>0</v>
      </c>
      <c r="AU38" s="2">
        <f>SUMIFS('Bilateral Assistance, MAIN DATA'!$N:$N,'Bilateral Assistance, MAIN DATA'!$B:$B,'Share, Heavy Weapons to Ukraine'!$B38,'Bilateral Assistance, MAIN DATA'!$AO:$AO,'Share, Heavy Weapons to Ukraine'!AU$11)</f>
        <v>0</v>
      </c>
      <c r="AV38" s="2">
        <f>SUMIFS('Bilateral Assistance, MAIN DATA'!$N:$N,'Bilateral Assistance, MAIN DATA'!$B:$B,'Share, Heavy Weapons to Ukraine'!$B38,'Bilateral Assistance, MAIN DATA'!$AO:$AO,'Share, Heavy Weapons to Ukraine'!AV$11)</f>
        <v>0</v>
      </c>
      <c r="AW38" s="471"/>
      <c r="AX38" s="292">
        <f>IF(VLOOKUP($B38,$B:G,COLUMN(G37)-1,FALSE)&lt;&gt;0,VLOOKUP($B38,$B:V,COLUMN(V37)-1,FALSE)/VLOOKUP($B38,$B:G,COLUMN(G37)-1,FALSE),IF(VLOOKUP($B38,$B:V,COLUMN(V37)-1,FALSE)&lt;&gt;0,"Strange",0))</f>
        <v>0</v>
      </c>
      <c r="AY38" s="292">
        <f>IF(VLOOKUP($B38,$B:H,COLUMN(H37)-1,FALSE)&lt;&gt;0,VLOOKUP($B38,$B:W,COLUMN(W37)-1,FALSE)/VLOOKUP($B38,$B:H,COLUMN(H37)-1,FALSE),IF(VLOOKUP($B38,$B:W,COLUMN(W37)-1,FALSE)&lt;&gt;0,"Strange",0))</f>
        <v>0</v>
      </c>
      <c r="AZ38" s="292">
        <f>IF(VLOOKUP($B38,$B:I,COLUMN(I37)-1,FALSE)&lt;&gt;0,VLOOKUP($B38,$B:X,COLUMN(X37)-1,FALSE)/VLOOKUP($B38,$B:I,COLUMN(I37)-1,FALSE),IF(VLOOKUP($B38,$B:X,COLUMN(X37)-1,FALSE)&lt;&gt;0,"Strange",0))</f>
        <v>0</v>
      </c>
      <c r="BA38" s="292">
        <f>IF(VLOOKUP($B38,$B:J,COLUMN(J37)-1,FALSE)&lt;&gt;0,VLOOKUP($B38,$B:Y,COLUMN(Y37)-1,FALSE)/VLOOKUP($B38,$B:J,COLUMN(J37)-1,FALSE),IF(VLOOKUP($B38,$B:Y,COLUMN(Y37)-1,FALSE)&lt;&gt;0,"Strange",0))</f>
        <v>0</v>
      </c>
      <c r="BB38" s="292">
        <f>IF(VLOOKUP($B38,$B:K,COLUMN(K37)-1,FALSE)&lt;&gt;0,VLOOKUP($B38,$B:Z,COLUMN(Z37)-1,FALSE)/VLOOKUP($B38,$B:K,COLUMN(K37)-1,FALSE),IF(VLOOKUP($B38,$B:Z,COLUMN(Z37)-1,FALSE)&lt;&gt;0,"Strange",0))</f>
        <v>0</v>
      </c>
      <c r="BC38" s="292">
        <f>IF(VLOOKUP($B38,$B:L,COLUMN(L37)-1,FALSE)&lt;&gt;0,VLOOKUP($B38,$B:AA,COLUMN(AA37)-1,FALSE)/VLOOKUP($B38,$B:L,COLUMN(L37)-1,FALSE),IF(VLOOKUP($B38,$B:AA,COLUMN(AA37)-1,FALSE)&lt;&gt;0,"Strange",0))</f>
        <v>0</v>
      </c>
      <c r="BD38" s="292">
        <f>IF(VLOOKUP($B38,$B:M,COLUMN(M37)-1,FALSE)&lt;&gt;0,VLOOKUP($B38,$B:AB,COLUMN(AB37)-1,FALSE)/VLOOKUP($B38,$B:M,COLUMN(M37)-1,FALSE),IF(VLOOKUP($B38,$B:AB,COLUMN(AB37)-1,FALSE)&lt;&gt;0,"Strange",0))</f>
        <v>0</v>
      </c>
      <c r="BE38" s="292">
        <f>IF(VLOOKUP($B38,$B:N,COLUMN(N37)-1,FALSE)&lt;&gt;0,VLOOKUP($B38,$B:AC,COLUMN(AC37)-1,FALSE)/VLOOKUP($B38,$B:N,COLUMN(N37)-1,FALSE),IF(VLOOKUP($B38,$B:AC,COLUMN(AC37)-1,FALSE)&lt;&gt;0,"Strange",0))</f>
        <v>0</v>
      </c>
      <c r="BF38" s="292">
        <f>IF(VLOOKUP($B38,$B:O,COLUMN(O37)-1,FALSE)&lt;&gt;0,VLOOKUP($B38,$B:AD,COLUMN(AD37)-1,FALSE)/VLOOKUP($B38,$B:O,COLUMN(O37)-1,FALSE),IF(VLOOKUP($B38,$B:AD,COLUMN(AD37)-1,FALSE)&lt;&gt;0,"Strange",0))</f>
        <v>0</v>
      </c>
      <c r="BG38" s="292">
        <f>IF(VLOOKUP($B38,$B:Q,COLUMN(Q37)-1,FALSE)&lt;&gt;0,VLOOKUP($B38,$B:AE,COLUMN(AE37)-1,FALSE)/VLOOKUP($B38,$B:Q,COLUMN(Q37)-1,FALSE),IF(VLOOKUP($B38,$B:AE,COLUMN(AE37)-1,FALSE)&lt;&gt;0,"Strange",0))</f>
        <v>0</v>
      </c>
      <c r="BH38" s="292">
        <f>IF(VLOOKUP($B38,$B:R,COLUMN(R37)-1,FALSE)&lt;&gt;0,VLOOKUP($B38,$B:AF,COLUMN(AF37)-1,FALSE)/VLOOKUP($B38,$B:R,COLUMN(R37)-1,FALSE),IF(VLOOKUP($B38,$B:AF,COLUMN(AF37)-1,FALSE)&lt;&gt;0,"Strange",0))</f>
        <v>0</v>
      </c>
      <c r="BI38" s="292">
        <f>IF(VLOOKUP($B38,$B:S,COLUMN(S37)-1,FALSE)&lt;&gt;0,VLOOKUP($B38,$B:AG,COLUMN(AG37)-1,FALSE)/VLOOKUP($B38,$B:S,COLUMN(S37)-1,FALSE),IF(VLOOKUP($B38,$B:AG,COLUMN(AG37)-1,FALSE)&lt;&gt;0,"Strange",0))</f>
        <v>0</v>
      </c>
      <c r="BJ38" s="292">
        <f>IF(VLOOKUP($B38,$B:T,COLUMN(T37)-1,FALSE)&lt;&gt;0,VLOOKUP($B38,$B:AH,COLUMN(AH37)-1,FALSE)/VLOOKUP($B38,$B:T,COLUMN(T37)-1,FALSE),IF(VLOOKUP($B38,$B:AH,COLUMN(AH37)-1,FALSE)&lt;&gt;0,"Strange",0))</f>
        <v>0</v>
      </c>
      <c r="BK38" s="471"/>
      <c r="BL38" s="2">
        <f>IF(VLOOKUP($B38,$B:W,COLUMN(G37)-1,FALSE)&lt;&gt;0,VLOOKUP($B38,$B:AK,COLUMN(AJ37)-1,FALSE)/VLOOKUP($B38,$B:W,COLUMN(G37)-1,FALSE),IF(VLOOKUP($B38,$B:AK,COLUMN(AJ37)-1,FALSE)&lt;&gt;0,"Strange",0))</f>
        <v>0</v>
      </c>
      <c r="BM38" s="2">
        <f>IF(VLOOKUP($B38,$B:X,COLUMN(H37)-1,FALSE)&lt;&gt;0,VLOOKUP($B38,$B:AL,COLUMN(AK37)-1,FALSE)/VLOOKUP($B38,$B:X,COLUMN(H37)-1,FALSE),IF(VLOOKUP($B38,$B:AL,COLUMN(AK37)-1,FALSE)&lt;&gt;0,"Strange",0))</f>
        <v>0</v>
      </c>
      <c r="BN38" s="2">
        <f>IF(VLOOKUP($B38,$B:Y,COLUMN(I37)-1,FALSE)&lt;&gt;0,VLOOKUP($B38,$B:AM,COLUMN(AL37)-1,FALSE)/VLOOKUP($B38,$B:Y,COLUMN(I37)-1,FALSE),IF(VLOOKUP($B38,$B:AM,COLUMN(AL37)-1,FALSE)&lt;&gt;0,"Strange",0))</f>
        <v>0</v>
      </c>
      <c r="BO38" s="2">
        <f>IF(VLOOKUP($B38,$B:Z,COLUMN(J37)-1,FALSE)&lt;&gt;0,VLOOKUP($B38,$B:AN,COLUMN(AM37)-1,FALSE)/VLOOKUP($B38,$B:Z,COLUMN(J37)-1,FALSE),IF(VLOOKUP($B38,$B:AN,COLUMN(AM37)-1,FALSE)&lt;&gt;0,"Strange",0))</f>
        <v>0</v>
      </c>
      <c r="BP38" s="2">
        <f>IF(VLOOKUP($B38,$B:AB,COLUMN(K37)-1,FALSE)&lt;&gt;0,VLOOKUP($B38,$B:AP,COLUMN(AN37)-1,FALSE)/VLOOKUP($B38,$B:AB,COLUMN(K37)-1,FALSE),IF(VLOOKUP($B38,$B:AP,COLUMN(AN37)-1,FALSE)&lt;&gt;0,"Strange",0))</f>
        <v>0</v>
      </c>
      <c r="BQ38" s="2">
        <f>IF(VLOOKUP($B38,$B:AC,COLUMN(L37)-1,FALSE)&lt;&gt;0,VLOOKUP($B38,$B:AQ,COLUMN(AO37)-1,FALSE)/VLOOKUP($B38,$B:AC,COLUMN(L37)-1,FALSE),IF(VLOOKUP($B38,$B:AQ,COLUMN(AO37)-1,FALSE)&lt;&gt;0,"Strange",0))</f>
        <v>0</v>
      </c>
      <c r="BR38" s="2">
        <f>IF(VLOOKUP($B38,$B:AC,COLUMN(M37)-1,FALSE)&lt;&gt;0,VLOOKUP($B38,$B:AQ,COLUMN(AP37)-1,FALSE)/VLOOKUP($B38,$B:AC,COLUMN(M37)-1,FALSE),IF(VLOOKUP($B38,$B:AQ,COLUMN(AP37)-1,FALSE)&lt;&gt;0,"Strange",0))</f>
        <v>0</v>
      </c>
      <c r="BS38" s="2">
        <f>IF(VLOOKUP($B38,$B:AD,COLUMN(N37)-1,FALSE)&lt;&gt;0,VLOOKUP($B38,$B:AR,COLUMN(AQ37)-1,FALSE)/VLOOKUP($B38,$B:AD,COLUMN(N37)-1,FALSE),IF(VLOOKUP($B38,$B:AR,COLUMN(AQ37)-1,FALSE)&lt;&gt;0,"Strange",0))</f>
        <v>0</v>
      </c>
      <c r="BT38" s="2">
        <f>IF(VLOOKUP($B38,$B:AD,COLUMN(O37)-1,FALSE)&lt;&gt;0,VLOOKUP($B38,$B:AR,COLUMN(AR37)-1,FALSE)/VLOOKUP($B38,$B:AD,COLUMN(O37)-1,FALSE),IF(VLOOKUP($B38,$B:AR,COLUMN(AR37)-1,FALSE)&lt;&gt;0,"Strange",0))</f>
        <v>0</v>
      </c>
      <c r="BU38" s="2">
        <f>IF(VLOOKUP($B38,$B:AE,COLUMN(Q37)-1,FALSE)&lt;&gt;0,VLOOKUP($B38,$B:AS,COLUMN(AS37)-1,FALSE)/VLOOKUP($B38,$B:AE,COLUMN(Q37)-1,FALSE),IF(VLOOKUP($B38,$B:AS,COLUMN(AS37)-1,FALSE)&lt;&gt;0,"Strange",0))</f>
        <v>0</v>
      </c>
      <c r="BV38" s="2">
        <f>IF(VLOOKUP($B38,$B:AF,COLUMN(R37)-1,FALSE)&lt;&gt;0,VLOOKUP($B38,$B:AT,COLUMN(AT37)-1,FALSE)/VLOOKUP($B38,$B:AF,COLUMN(R37)-1,FALSE),IF(VLOOKUP($B38,$B:AT,COLUMN(AT37)-1,FALSE)&lt;&gt;0,"Strange",0))</f>
        <v>0</v>
      </c>
      <c r="BW38" s="2">
        <f>IF(VLOOKUP($B38,$B:AG,COLUMN(S37)-1,FALSE)&lt;&gt;0,VLOOKUP($B38,$B:AU,COLUMN(AU37)-1,FALSE)/VLOOKUP($B38,$B:AG,COLUMN(S37)-1,FALSE),IF(VLOOKUP($B38,$B:AU,COLUMN(AU37)-1,FALSE)&lt;&gt;0,"Strange",0))</f>
        <v>0</v>
      </c>
      <c r="BX38" s="2">
        <f>IF(VLOOKUP($B38,$B:AH,COLUMN(T37)-1,FALSE)&lt;&gt;0,VLOOKUP($B38,$B:AV,COLUMN(AV37)-1,FALSE)/VLOOKUP($B38,$B:AH,COLUMN(T37)-1,FALSE),IF(VLOOKUP($B38,$B:AV,COLUMN(AV37)-1,FALSE)&lt;&gt;0,"Strange",0))</f>
        <v>0</v>
      </c>
      <c r="BY38" s="471"/>
      <c r="BZ38" s="2">
        <f>SUMIFS('Bilateral Assistance, MAIN DATA'!$M:$M,'Bilateral Assistance, MAIN DATA'!$B:$B,'Share, Heavy Weapons to Ukraine'!$B38,'Bilateral Assistance, MAIN DATA'!$AO:$AO,'Share, Heavy Weapons to Ukraine'!BZ$11, 'Bilateral Assistance, MAIN DATA'!$AA:$AA,1)</f>
        <v>0</v>
      </c>
      <c r="CA38" s="2">
        <f>SUMIFS('Bilateral Assistance, MAIN DATA'!$M:$M,'Bilateral Assistance, MAIN DATA'!$B:$B,'Share, Heavy Weapons to Ukraine'!$B38,'Bilateral Assistance, MAIN DATA'!$AO:$AO,'Share, Heavy Weapons to Ukraine'!CA$11, 'Bilateral Assistance, MAIN DATA'!$AA:$AA,1)</f>
        <v>0</v>
      </c>
      <c r="CB38" s="2">
        <f>SUMIFS('Bilateral Assistance, MAIN DATA'!$M:$M,'Bilateral Assistance, MAIN DATA'!$B:$B,'Share, Heavy Weapons to Ukraine'!$B38,'Bilateral Assistance, MAIN DATA'!$AO:$AO,'Share, Heavy Weapons to Ukraine'!CB$11, 'Bilateral Assistance, MAIN DATA'!$AA:$AA,1)</f>
        <v>0</v>
      </c>
      <c r="CC38" s="2">
        <f>SUMIFS('Bilateral Assistance, MAIN DATA'!$M:$M,'Bilateral Assistance, MAIN DATA'!$B:$B,'Share, Heavy Weapons to Ukraine'!$B38,'Bilateral Assistance, MAIN DATA'!$AO:$AO,'Share, Heavy Weapons to Ukraine'!CC$11, 'Bilateral Assistance, MAIN DATA'!$AA:$AA,1)</f>
        <v>0</v>
      </c>
      <c r="CD38" s="471"/>
      <c r="CE38" s="2">
        <f>SUMIFS('Bilateral Assistance, MAIN DATA'!$N:$N,'Bilateral Assistance, MAIN DATA'!$B:$B,'Share, Heavy Weapons to Ukraine'!$B38,'Bilateral Assistance, MAIN DATA'!$AO:$AO,'Share, Heavy Weapons to Ukraine'!CE$11, 'Bilateral Assistance, MAIN DATA'!$AA:$AA,1)</f>
        <v>0</v>
      </c>
      <c r="CF38" s="2">
        <f>SUMIFS('Bilateral Assistance, MAIN DATA'!$N:$N,'Bilateral Assistance, MAIN DATA'!$B:$B,'Share, Heavy Weapons to Ukraine'!$B38,'Bilateral Assistance, MAIN DATA'!$AO:$AO,'Share, Heavy Weapons to Ukraine'!CF$11, 'Bilateral Assistance, MAIN DATA'!$AA:$AA,1)</f>
        <v>0</v>
      </c>
      <c r="CG38" s="2">
        <f>SUMIFS('Bilateral Assistance, MAIN DATA'!$N:$N,'Bilateral Assistance, MAIN DATA'!$B:$B,'Share, Heavy Weapons to Ukraine'!$B38,'Bilateral Assistance, MAIN DATA'!$AO:$AO,'Share, Heavy Weapons to Ukraine'!CG$11, 'Bilateral Assistance, MAIN DATA'!$AA:$AA,1)</f>
        <v>0</v>
      </c>
      <c r="CH38" s="2">
        <f>SUMIFS('Bilateral Assistance, MAIN DATA'!$N:$N,'Bilateral Assistance, MAIN DATA'!$B:$B,'Share, Heavy Weapons to Ukraine'!$B38,'Bilateral Assistance, MAIN DATA'!$AO:$AO,'Share, Heavy Weapons to Ukraine'!CH$11, 'Bilateral Assistance, MAIN DATA'!$AA:$AA,1)</f>
        <v>0</v>
      </c>
    </row>
    <row r="39" spans="2:86" ht="15.6" x14ac:dyDescent="0.3">
      <c r="B39" s="470" t="s">
        <v>1919</v>
      </c>
      <c r="C39" s="470">
        <v>0</v>
      </c>
      <c r="D39" s="2">
        <v>1</v>
      </c>
      <c r="E39" s="471"/>
      <c r="F39" s="472">
        <v>1.25</v>
      </c>
      <c r="G39" s="470">
        <f>VLOOKUP(B39,'Heavy Weapon Stocks'!B:OE,COLUMN('Heavy Weapon Stocks'!$C$11)-1,FALSE)</f>
        <v>0</v>
      </c>
      <c r="H39" s="470">
        <f>VLOOKUP(B39,'Heavy Weapon Stocks'!B:OE,COLUMN('Heavy Weapon Stocks'!$AT$11)-1,FALSE)</f>
        <v>306</v>
      </c>
      <c r="I39" s="470">
        <f>VLOOKUP(B39,'Heavy Weapon Stocks'!B:OE,COLUMN('Heavy Weapon Stocks'!$DN$11)-1,FALSE)</f>
        <v>0</v>
      </c>
      <c r="J39" s="470">
        <f>VLOOKUP(B39,'Heavy Weapon Stocks'!B:OE,COLUMN('Heavy Weapon Stocks'!$EB$11)-1,FALSE)</f>
        <v>0</v>
      </c>
      <c r="K39" s="470">
        <f>VLOOKUP(B39,'Heavy Weapon Stocks'!B:OE,COLUMN('Heavy Weapon Stocks'!$FD$11)-1,FALSE)</f>
        <v>30</v>
      </c>
      <c r="L39" s="470">
        <f t="shared" si="3"/>
        <v>336</v>
      </c>
      <c r="M39" s="470">
        <f>VLOOKUP(B39,'Heavy Weapon Stocks'!B:OE,COLUMN('Heavy Weapon Stocks'!$GZ$11)-1,FALSE)+VLOOKUP(B39,'Heavy Weapon Stocks'!B:OE,COLUMN('Heavy Weapon Stocks'!$IF$11)-1,FALSE)</f>
        <v>16</v>
      </c>
      <c r="N39" s="470">
        <f>VLOOKUP(B39,'Heavy Weapon Stocks'!B:OE,COLUMN('Heavy Weapon Stocks'!$IK$11)-1,FALSE)</f>
        <v>0</v>
      </c>
      <c r="O39" s="470">
        <f>VLOOKUP(B39,'Heavy Weapon Stocks'!B:OE,COLUMN('Heavy Weapon Stocks'!$JE$11)-1,FALSE)+VLOOKUP(B39,'Heavy Weapon Stocks'!B:OE,COLUMN('Heavy Weapon Stocks'!$KB$11)-1,FALSE)</f>
        <v>0</v>
      </c>
      <c r="Q39" s="470">
        <f>VLOOKUP(B39,'Heavy Weapon Stocks'!B:OE,COLUMN('Heavy Weapon Stocks'!$LS$11)-1,FALSE)</f>
        <v>0</v>
      </c>
      <c r="R39" s="470">
        <f>VLOOKUP(B39,'Heavy Weapon Stocks'!B:OE,COLUMN('Heavy Weapon Stocks'!$MC$11)-1,FALSE)</f>
        <v>0</v>
      </c>
      <c r="S39" s="470">
        <f>VLOOKUP(B39,'Heavy Weapon Stocks'!B:OE,COLUMN('Heavy Weapon Stocks'!$MJ$11)-1,FALSE)</f>
        <v>4</v>
      </c>
      <c r="T39" s="470">
        <f>VLOOKUP(B39,'Heavy Weapon Stocks'!B:OE,COLUMN('Heavy Weapon Stocks'!$NO$11)-1,FALSE)</f>
        <v>0</v>
      </c>
      <c r="U39" s="471"/>
      <c r="V39" s="2">
        <f>SUMIFS('Bilateral Assistance, MAIN DATA'!$M:$M,'Bilateral Assistance, MAIN DATA'!$B:$B,'Share, Heavy Weapons to Ukraine'!$B39,'Bilateral Assistance, MAIN DATA'!$AO:$AO,'Share, Heavy Weapons to Ukraine'!V$11)</f>
        <v>0</v>
      </c>
      <c r="W39" s="2">
        <f>SUMIFS('Bilateral Assistance, MAIN DATA'!$M:$M,'Bilateral Assistance, MAIN DATA'!$B:$B,'Share, Heavy Weapons to Ukraine'!$B39,'Bilateral Assistance, MAIN DATA'!$AO:$AO,'Share, Heavy Weapons to Ukraine'!W$11)</f>
        <v>62</v>
      </c>
      <c r="X39" s="2">
        <f>SUMIFS('Bilateral Assistance, MAIN DATA'!$M:$M,'Bilateral Assistance, MAIN DATA'!$B:$B,'Share, Heavy Weapons to Ukraine'!$B39,'Bilateral Assistance, MAIN DATA'!$AO:$AO,'Share, Heavy Weapons to Ukraine'!X$11)</f>
        <v>0</v>
      </c>
      <c r="Y39" s="2">
        <f>SUMIFS('Bilateral Assistance, MAIN DATA'!$M:$M,'Bilateral Assistance, MAIN DATA'!$B:$B,'Share, Heavy Weapons to Ukraine'!$B39,'Bilateral Assistance, MAIN DATA'!$AO:$AO,'Share, Heavy Weapons to Ukraine'!Y$11)</f>
        <v>7</v>
      </c>
      <c r="Z39" s="2">
        <f>SUMIFS('Bilateral Assistance, MAIN DATA'!$M:$M,'Bilateral Assistance, MAIN DATA'!$B:$B,'Share, Heavy Weapons to Ukraine'!$B39,'Bilateral Assistance, MAIN DATA'!$AO:$AO,'Share, Heavy Weapons to Ukraine'!Z$11)</f>
        <v>0</v>
      </c>
      <c r="AA39" s="2">
        <f t="shared" si="1"/>
        <v>69</v>
      </c>
      <c r="AB39" s="2">
        <f>SUMIFS('Bilateral Assistance, MAIN DATA'!$M:$M,'Bilateral Assistance, MAIN DATA'!$B:$B,'Share, Heavy Weapons to Ukraine'!$B39,'Bilateral Assistance, MAIN DATA'!$AO:$AO,'Share, Heavy Weapons to Ukraine'!AB$11)</f>
        <v>0</v>
      </c>
      <c r="AC39" s="25">
        <f>SUMIFS('Bilateral Assistance, MAIN DATA'!$M:$M,'Bilateral Assistance, MAIN DATA'!$B:$B,'Share, Heavy Weapons to Ukraine'!$B39,'Bilateral Assistance, MAIN DATA'!$AO:$AO,"122mm MLRS")+SUMIFS('Bilateral Assistance, MAIN DATA'!$M:$M,'Bilateral Assistance, MAIN DATA'!$B:$B,'Share, Heavy Weapons to Ukraine'!$B39,'Bilateral Assistance, MAIN DATA'!$AO:$AO,"127mm MLRS")+SUMIFS('Bilateral Assistance, MAIN DATA'!$M:$M,'Bilateral Assistance, MAIN DATA'!$B:$B,'Share, Heavy Weapons to Ukraine'!$B39,'Bilateral Assistance, MAIN DATA'!$AO:$AO,"227mm MLRS")</f>
        <v>0</v>
      </c>
      <c r="AD39" s="2">
        <f>SUMIFS('Bilateral Assistance, MAIN DATA'!$M:$M,'Bilateral Assistance, MAIN DATA'!$B:$B,'Share, Heavy Weapons to Ukraine'!$B39,'Bilateral Assistance, MAIN DATA'!$AO:$AO,'Share, Heavy Weapons to Ukraine'!AD$11)</f>
        <v>0</v>
      </c>
      <c r="AE39" s="2">
        <f>SUMIFS('Bilateral Assistance, MAIN DATA'!$M:$M,'Bilateral Assistance, MAIN DATA'!$B:$B,'Share, Heavy Weapons to Ukraine'!$B39,'Bilateral Assistance, MAIN DATA'!$AO:$AO,'Share, Heavy Weapons to Ukraine'!AE$11)</f>
        <v>0</v>
      </c>
      <c r="AF39" s="2">
        <f>SUMIFS('Bilateral Assistance, MAIN DATA'!$M:$M,'Bilateral Assistance, MAIN DATA'!$B:$B,'Share, Heavy Weapons to Ukraine'!$B39,'Bilateral Assistance, MAIN DATA'!$AO:$AO,'Share, Heavy Weapons to Ukraine'!AF$11)</f>
        <v>0</v>
      </c>
      <c r="AG39" s="2">
        <f>SUMIFS('Bilateral Assistance, MAIN DATA'!$M:$M,'Bilateral Assistance, MAIN DATA'!$B:$B,'Share, Heavy Weapons to Ukraine'!$B39,'Bilateral Assistance, MAIN DATA'!$AO:$AO,'Share, Heavy Weapons to Ukraine'!AG$11)</f>
        <v>0</v>
      </c>
      <c r="AH39" s="2">
        <f>SUMIFS('Bilateral Assistance, MAIN DATA'!$M:$M,'Bilateral Assistance, MAIN DATA'!$B:$B,'Share, Heavy Weapons to Ukraine'!$B39,'Bilateral Assistance, MAIN DATA'!$AO:$AO,'Share, Heavy Weapons to Ukraine'!AH$11)</f>
        <v>0</v>
      </c>
      <c r="AI39" s="471"/>
      <c r="AJ39" s="2">
        <f>SUMIFS('Bilateral Assistance, MAIN DATA'!$N:$N,'Bilateral Assistance, MAIN DATA'!$B:$B,'Share, Heavy Weapons to Ukraine'!$B39,'Bilateral Assistance, MAIN DATA'!$AO:$AO,'Share, Heavy Weapons to Ukraine'!AJ$11)</f>
        <v>0</v>
      </c>
      <c r="AK39" s="2">
        <f>SUMIFS('Bilateral Assistance, MAIN DATA'!$N:$N,'Bilateral Assistance, MAIN DATA'!$B:$B,'Share, Heavy Weapons to Ukraine'!$B39,'Bilateral Assistance, MAIN DATA'!$AO:$AO,'Share, Heavy Weapons to Ukraine'!AK$11)</f>
        <v>62</v>
      </c>
      <c r="AL39" s="2">
        <f>SUMIFS('Bilateral Assistance, MAIN DATA'!$N:$N,'Bilateral Assistance, MAIN DATA'!$B:$B,'Share, Heavy Weapons to Ukraine'!$B39,'Bilateral Assistance, MAIN DATA'!$AO:$AO,'Share, Heavy Weapons to Ukraine'!AL$11)</f>
        <v>0</v>
      </c>
      <c r="AM39" s="2">
        <f>SUMIFS('Bilateral Assistance, MAIN DATA'!$N:$N,'Bilateral Assistance, MAIN DATA'!$B:$B,'Share, Heavy Weapons to Ukraine'!$B39,'Bilateral Assistance, MAIN DATA'!$AO:$AO,'Share, Heavy Weapons to Ukraine'!AM$11)</f>
        <v>7</v>
      </c>
      <c r="AN39" s="2">
        <f>SUMIFS('Bilateral Assistance, MAIN DATA'!$N:$N,'Bilateral Assistance, MAIN DATA'!$B:$B,'Share, Heavy Weapons to Ukraine'!$B39,'Bilateral Assistance, MAIN DATA'!$AO:$AO,'Share, Heavy Weapons to Ukraine'!AN$11)</f>
        <v>0</v>
      </c>
      <c r="AO39" s="2">
        <f t="shared" si="2"/>
        <v>69</v>
      </c>
      <c r="AP39" s="2">
        <f>SUMIFS('Bilateral Assistance, MAIN DATA'!$N:$N,'Bilateral Assistance, MAIN DATA'!$B:$B,'Share, Heavy Weapons to Ukraine'!$B39,'Bilateral Assistance, MAIN DATA'!$AO:$AO,'Share, Heavy Weapons to Ukraine'!AP$11)</f>
        <v>0</v>
      </c>
      <c r="AQ39" s="25">
        <f>SUMIFS('Bilateral Assistance, MAIN DATA'!$N:$N,'Bilateral Assistance, MAIN DATA'!$B:$B,'Share, Heavy Weapons to Ukraine'!$B39,'Bilateral Assistance, MAIN DATA'!$AO:$AO,"122mm MLRS")+SUMIFS('Bilateral Assistance, MAIN DATA'!$N:$N,'Bilateral Assistance, MAIN DATA'!$B:$B,'Share, Heavy Weapons to Ukraine'!$B39,'Bilateral Assistance, MAIN DATA'!$AO:$AO,"127mm MLRS")+SUMIFS('Bilateral Assistance, MAIN DATA'!$N:$N,'Bilateral Assistance, MAIN DATA'!$B:$B,'Share, Heavy Weapons to Ukraine'!$B39,'Bilateral Assistance, MAIN DATA'!$AO:$AO,"227mm MLRS")</f>
        <v>0</v>
      </c>
      <c r="AR39" s="2">
        <f>SUMIFS('Bilateral Assistance, MAIN DATA'!$N:$N,'Bilateral Assistance, MAIN DATA'!$B:$B,'Share, Heavy Weapons to Ukraine'!$B39,'Bilateral Assistance, MAIN DATA'!$AO:$AO,'Share, Heavy Weapons to Ukraine'!AR$11)</f>
        <v>0</v>
      </c>
      <c r="AS39" s="2">
        <f>SUMIFS('Bilateral Assistance, MAIN DATA'!$N:$N,'Bilateral Assistance, MAIN DATA'!$B:$B,'Share, Heavy Weapons to Ukraine'!$B39,'Bilateral Assistance, MAIN DATA'!$AO:$AO,'Share, Heavy Weapons to Ukraine'!AS$11)</f>
        <v>0</v>
      </c>
      <c r="AT39" s="2">
        <f>SUMIFS('Bilateral Assistance, MAIN DATA'!$N:$N,'Bilateral Assistance, MAIN DATA'!$B:$B,'Share, Heavy Weapons to Ukraine'!$B39,'Bilateral Assistance, MAIN DATA'!$AO:$AO,'Share, Heavy Weapons to Ukraine'!AT$11)</f>
        <v>0</v>
      </c>
      <c r="AU39" s="2">
        <f>SUMIFS('Bilateral Assistance, MAIN DATA'!$N:$N,'Bilateral Assistance, MAIN DATA'!$B:$B,'Share, Heavy Weapons to Ukraine'!$B39,'Bilateral Assistance, MAIN DATA'!$AO:$AO,'Share, Heavy Weapons to Ukraine'!AU$11)</f>
        <v>0</v>
      </c>
      <c r="AV39" s="2">
        <f>SUMIFS('Bilateral Assistance, MAIN DATA'!$N:$N,'Bilateral Assistance, MAIN DATA'!$B:$B,'Share, Heavy Weapons to Ukraine'!$B39,'Bilateral Assistance, MAIN DATA'!$AO:$AO,'Share, Heavy Weapons to Ukraine'!AV$11)</f>
        <v>0</v>
      </c>
      <c r="AW39" s="471"/>
      <c r="AX39" s="292">
        <f>IF(VLOOKUP($B39,$B:G,COLUMN(G38)-1,FALSE)&lt;&gt;0,VLOOKUP($B39,$B:V,COLUMN(V38)-1,FALSE)/VLOOKUP($B39,$B:G,COLUMN(G38)-1,FALSE),IF(VLOOKUP($B39,$B:V,COLUMN(V38)-1,FALSE)&lt;&gt;0,"Strange",0))</f>
        <v>0</v>
      </c>
      <c r="AY39" s="292">
        <f>IF(VLOOKUP($B39,$B:H,COLUMN(H38)-1,FALSE)&lt;&gt;0,VLOOKUP($B39,$B:W,COLUMN(W38)-1,FALSE)/VLOOKUP($B39,$B:H,COLUMN(H38)-1,FALSE),IF(VLOOKUP($B39,$B:W,COLUMN(W38)-1,FALSE)&lt;&gt;0,"Strange",0))</f>
        <v>0.20261437908496732</v>
      </c>
      <c r="AZ39" s="292">
        <f>IF(VLOOKUP($B39,$B:I,COLUMN(I38)-1,FALSE)&lt;&gt;0,VLOOKUP($B39,$B:X,COLUMN(X38)-1,FALSE)/VLOOKUP($B39,$B:I,COLUMN(I38)-1,FALSE),IF(VLOOKUP($B39,$B:X,COLUMN(X38)-1,FALSE)&lt;&gt;0,"Strange",0))</f>
        <v>0</v>
      </c>
      <c r="BA39" s="292" t="str">
        <f>IF(VLOOKUP($B39,$B:J,COLUMN(J38)-1,FALSE)&lt;&gt;0,VLOOKUP($B39,$B:Y,COLUMN(Y38)-1,FALSE)/VLOOKUP($B39,$B:J,COLUMN(J38)-1,FALSE),IF(VLOOKUP($B39,$B:Y,COLUMN(Y38)-1,FALSE)&lt;&gt;0,"Strange",0))</f>
        <v>Strange</v>
      </c>
      <c r="BB39" s="292">
        <f>IF(VLOOKUP($B39,$B:K,COLUMN(K38)-1,FALSE)&lt;&gt;0,VLOOKUP($B39,$B:Z,COLUMN(Z38)-1,FALSE)/VLOOKUP($B39,$B:K,COLUMN(K38)-1,FALSE),IF(VLOOKUP($B39,$B:Z,COLUMN(Z38)-1,FALSE)&lt;&gt;0,"Strange",0))</f>
        <v>0</v>
      </c>
      <c r="BC39" s="292">
        <f>IF(VLOOKUP($B39,$B:L,COLUMN(L38)-1,FALSE)&lt;&gt;0,VLOOKUP($B39,$B:AA,COLUMN(AA38)-1,FALSE)/VLOOKUP($B39,$B:L,COLUMN(L38)-1,FALSE),IF(VLOOKUP($B39,$B:AA,COLUMN(AA38)-1,FALSE)&lt;&gt;0,"Strange",0))</f>
        <v>0.20535714285714285</v>
      </c>
      <c r="BD39" s="292">
        <f>IF(VLOOKUP($B39,$B:M,COLUMN(M38)-1,FALSE)&lt;&gt;0,VLOOKUP($B39,$B:AB,COLUMN(AB38)-1,FALSE)/VLOOKUP($B39,$B:M,COLUMN(M38)-1,FALSE),IF(VLOOKUP($B39,$B:AB,COLUMN(AB38)-1,FALSE)&lt;&gt;0,"Strange",0))</f>
        <v>0</v>
      </c>
      <c r="BE39" s="292">
        <f>IF(VLOOKUP($B39,$B:N,COLUMN(N38)-1,FALSE)&lt;&gt;0,VLOOKUP($B39,$B:AC,COLUMN(AC38)-1,FALSE)/VLOOKUP($B39,$B:N,COLUMN(N38)-1,FALSE),IF(VLOOKUP($B39,$B:AC,COLUMN(AC38)-1,FALSE)&lt;&gt;0,"Strange",0))</f>
        <v>0</v>
      </c>
      <c r="BF39" s="292">
        <f>IF(VLOOKUP($B39,$B:O,COLUMN(O38)-1,FALSE)&lt;&gt;0,VLOOKUP($B39,$B:AD,COLUMN(AD38)-1,FALSE)/VLOOKUP($B39,$B:O,COLUMN(O38)-1,FALSE),IF(VLOOKUP($B39,$B:AD,COLUMN(AD38)-1,FALSE)&lt;&gt;0,"Strange",0))</f>
        <v>0</v>
      </c>
      <c r="BG39" s="292">
        <f>IF(VLOOKUP($B39,$B:Q,COLUMN(Q38)-1,FALSE)&lt;&gt;0,VLOOKUP($B39,$B:AE,COLUMN(AE38)-1,FALSE)/VLOOKUP($B39,$B:Q,COLUMN(Q38)-1,FALSE),IF(VLOOKUP($B39,$B:AE,COLUMN(AE38)-1,FALSE)&lt;&gt;0,"Strange",0))</f>
        <v>0</v>
      </c>
      <c r="BH39" s="292">
        <f>IF(VLOOKUP($B39,$B:R,COLUMN(R38)-1,FALSE)&lt;&gt;0,VLOOKUP($B39,$B:AF,COLUMN(AF38)-1,FALSE)/VLOOKUP($B39,$B:R,COLUMN(R38)-1,FALSE),IF(VLOOKUP($B39,$B:AF,COLUMN(AF38)-1,FALSE)&lt;&gt;0,"Strange",0))</f>
        <v>0</v>
      </c>
      <c r="BI39" s="292">
        <f>IF(VLOOKUP($B39,$B:S,COLUMN(S38)-1,FALSE)&lt;&gt;0,VLOOKUP($B39,$B:AG,COLUMN(AG38)-1,FALSE)/VLOOKUP($B39,$B:S,COLUMN(S38)-1,FALSE),IF(VLOOKUP($B39,$B:AG,COLUMN(AG38)-1,FALSE)&lt;&gt;0,"Strange",0))</f>
        <v>0</v>
      </c>
      <c r="BJ39" s="292">
        <f>IF(VLOOKUP($B39,$B:T,COLUMN(T38)-1,FALSE)&lt;&gt;0,VLOOKUP($B39,$B:AH,COLUMN(AH38)-1,FALSE)/VLOOKUP($B39,$B:T,COLUMN(T38)-1,FALSE),IF(VLOOKUP($B39,$B:AH,COLUMN(AH38)-1,FALSE)&lt;&gt;0,"Strange",0))</f>
        <v>0</v>
      </c>
      <c r="BK39" s="471"/>
      <c r="BL39" s="2">
        <f>IF(VLOOKUP($B39,$B:W,COLUMN(G38)-1,FALSE)&lt;&gt;0,VLOOKUP($B39,$B:AK,COLUMN(AJ38)-1,FALSE)/VLOOKUP($B39,$B:W,COLUMN(G38)-1,FALSE),IF(VLOOKUP($B39,$B:AK,COLUMN(AJ38)-1,FALSE)&lt;&gt;0,"Strange",0))</f>
        <v>0</v>
      </c>
      <c r="BM39" s="2">
        <f>IF(VLOOKUP($B39,$B:X,COLUMN(H38)-1,FALSE)&lt;&gt;0,VLOOKUP($B39,$B:AL,COLUMN(AK38)-1,FALSE)/VLOOKUP($B39,$B:X,COLUMN(H38)-1,FALSE),IF(VLOOKUP($B39,$B:AL,COLUMN(AK38)-1,FALSE)&lt;&gt;0,"Strange",0))</f>
        <v>0.20261437908496732</v>
      </c>
      <c r="BN39" s="2">
        <f>IF(VLOOKUP($B39,$B:Y,COLUMN(I38)-1,FALSE)&lt;&gt;0,VLOOKUP($B39,$B:AM,COLUMN(AL38)-1,FALSE)/VLOOKUP($B39,$B:Y,COLUMN(I38)-1,FALSE),IF(VLOOKUP($B39,$B:AM,COLUMN(AL38)-1,FALSE)&lt;&gt;0,"Strange",0))</f>
        <v>0</v>
      </c>
      <c r="BO39" s="2" t="str">
        <f>IF(VLOOKUP($B39,$B:Z,COLUMN(J38)-1,FALSE)&lt;&gt;0,VLOOKUP($B39,$B:AN,COLUMN(AM38)-1,FALSE)/VLOOKUP($B39,$B:Z,COLUMN(J38)-1,FALSE),IF(VLOOKUP($B39,$B:AN,COLUMN(AM38)-1,FALSE)&lt;&gt;0,"Strange",0))</f>
        <v>Strange</v>
      </c>
      <c r="BP39" s="2">
        <f>IF(VLOOKUP($B39,$B:AB,COLUMN(K38)-1,FALSE)&lt;&gt;0,VLOOKUP($B39,$B:AP,COLUMN(AN38)-1,FALSE)/VLOOKUP($B39,$B:AB,COLUMN(K38)-1,FALSE),IF(VLOOKUP($B39,$B:AP,COLUMN(AN38)-1,FALSE)&lt;&gt;0,"Strange",0))</f>
        <v>0</v>
      </c>
      <c r="BQ39" s="2">
        <f>IF(VLOOKUP($B39,$B:AC,COLUMN(L38)-1,FALSE)&lt;&gt;0,VLOOKUP($B39,$B:AQ,COLUMN(AO38)-1,FALSE)/VLOOKUP($B39,$B:AC,COLUMN(L38)-1,FALSE),IF(VLOOKUP($B39,$B:AQ,COLUMN(AO38)-1,FALSE)&lt;&gt;0,"Strange",0))</f>
        <v>0.20535714285714285</v>
      </c>
      <c r="BR39" s="2">
        <f>IF(VLOOKUP($B39,$B:AC,COLUMN(M38)-1,FALSE)&lt;&gt;0,VLOOKUP($B39,$B:AQ,COLUMN(AP38)-1,FALSE)/VLOOKUP($B39,$B:AC,COLUMN(M38)-1,FALSE),IF(VLOOKUP($B39,$B:AQ,COLUMN(AP38)-1,FALSE)&lt;&gt;0,"Strange",0))</f>
        <v>0</v>
      </c>
      <c r="BS39" s="2">
        <f>IF(VLOOKUP($B39,$B:AD,COLUMN(N38)-1,FALSE)&lt;&gt;0,VLOOKUP($B39,$B:AR,COLUMN(AQ38)-1,FALSE)/VLOOKUP($B39,$B:AD,COLUMN(N38)-1,FALSE),IF(VLOOKUP($B39,$B:AR,COLUMN(AQ38)-1,FALSE)&lt;&gt;0,"Strange",0))</f>
        <v>0</v>
      </c>
      <c r="BT39" s="2">
        <f>IF(VLOOKUP($B39,$B:AD,COLUMN(O38)-1,FALSE)&lt;&gt;0,VLOOKUP($B39,$B:AR,COLUMN(AR38)-1,FALSE)/VLOOKUP($B39,$B:AD,COLUMN(O38)-1,FALSE),IF(VLOOKUP($B39,$B:AR,COLUMN(AR38)-1,FALSE)&lt;&gt;0,"Strange",0))</f>
        <v>0</v>
      </c>
      <c r="BU39" s="2">
        <f>IF(VLOOKUP($B39,$B:AE,COLUMN(Q38)-1,FALSE)&lt;&gt;0,VLOOKUP($B39,$B:AS,COLUMN(AS38)-1,FALSE)/VLOOKUP($B39,$B:AE,COLUMN(Q38)-1,FALSE),IF(VLOOKUP($B39,$B:AS,COLUMN(AS38)-1,FALSE)&lt;&gt;0,"Strange",0))</f>
        <v>0</v>
      </c>
      <c r="BV39" s="2">
        <f>IF(VLOOKUP($B39,$B:AF,COLUMN(R38)-1,FALSE)&lt;&gt;0,VLOOKUP($B39,$B:AT,COLUMN(AT38)-1,FALSE)/VLOOKUP($B39,$B:AF,COLUMN(R38)-1,FALSE),IF(VLOOKUP($B39,$B:AT,COLUMN(AT38)-1,FALSE)&lt;&gt;0,"Strange",0))</f>
        <v>0</v>
      </c>
      <c r="BW39" s="2">
        <f>IF(VLOOKUP($B39,$B:AG,COLUMN(S38)-1,FALSE)&lt;&gt;0,VLOOKUP($B39,$B:AU,COLUMN(AU38)-1,FALSE)/VLOOKUP($B39,$B:AG,COLUMN(S38)-1,FALSE),IF(VLOOKUP($B39,$B:AU,COLUMN(AU38)-1,FALSE)&lt;&gt;0,"Strange",0))</f>
        <v>0</v>
      </c>
      <c r="BX39" s="2">
        <f>IF(VLOOKUP($B39,$B:AH,COLUMN(T38)-1,FALSE)&lt;&gt;0,VLOOKUP($B39,$B:AV,COLUMN(AV38)-1,FALSE)/VLOOKUP($B39,$B:AH,COLUMN(T38)-1,FALSE),IF(VLOOKUP($B39,$B:AV,COLUMN(AV38)-1,FALSE)&lt;&gt;0,"Strange",0))</f>
        <v>0</v>
      </c>
      <c r="BY39" s="471"/>
      <c r="BZ39" s="2">
        <f>SUMIFS('Bilateral Assistance, MAIN DATA'!$M:$M,'Bilateral Assistance, MAIN DATA'!$B:$B,'Share, Heavy Weapons to Ukraine'!$B39,'Bilateral Assistance, MAIN DATA'!$AO:$AO,'Share, Heavy Weapons to Ukraine'!BZ$11, 'Bilateral Assistance, MAIN DATA'!$AA:$AA,1)</f>
        <v>0</v>
      </c>
      <c r="CA39" s="2">
        <f>SUMIFS('Bilateral Assistance, MAIN DATA'!$M:$M,'Bilateral Assistance, MAIN DATA'!$B:$B,'Share, Heavy Weapons to Ukraine'!$B39,'Bilateral Assistance, MAIN DATA'!$AO:$AO,'Share, Heavy Weapons to Ukraine'!CA$11, 'Bilateral Assistance, MAIN DATA'!$AA:$AA,1)</f>
        <v>0</v>
      </c>
      <c r="CB39" s="2">
        <f>SUMIFS('Bilateral Assistance, MAIN DATA'!$M:$M,'Bilateral Assistance, MAIN DATA'!$B:$B,'Share, Heavy Weapons to Ukraine'!$B39,'Bilateral Assistance, MAIN DATA'!$AO:$AO,'Share, Heavy Weapons to Ukraine'!CB$11, 'Bilateral Assistance, MAIN DATA'!$AA:$AA,1)</f>
        <v>0</v>
      </c>
      <c r="CC39" s="2">
        <f>SUMIFS('Bilateral Assistance, MAIN DATA'!$M:$M,'Bilateral Assistance, MAIN DATA'!$B:$B,'Share, Heavy Weapons to Ukraine'!$B39,'Bilateral Assistance, MAIN DATA'!$AO:$AO,'Share, Heavy Weapons to Ukraine'!CC$11, 'Bilateral Assistance, MAIN DATA'!$AA:$AA,1)</f>
        <v>0</v>
      </c>
      <c r="CD39" s="471"/>
      <c r="CE39" s="2">
        <f>SUMIFS('Bilateral Assistance, MAIN DATA'!$N:$N,'Bilateral Assistance, MAIN DATA'!$B:$B,'Share, Heavy Weapons to Ukraine'!$B39,'Bilateral Assistance, MAIN DATA'!$AO:$AO,'Share, Heavy Weapons to Ukraine'!CE$11, 'Bilateral Assistance, MAIN DATA'!$AA:$AA,1)</f>
        <v>0</v>
      </c>
      <c r="CF39" s="2">
        <f>SUMIFS('Bilateral Assistance, MAIN DATA'!$N:$N,'Bilateral Assistance, MAIN DATA'!$B:$B,'Share, Heavy Weapons to Ukraine'!$B39,'Bilateral Assistance, MAIN DATA'!$AO:$AO,'Share, Heavy Weapons to Ukraine'!CF$11, 'Bilateral Assistance, MAIN DATA'!$AA:$AA,1)</f>
        <v>0</v>
      </c>
      <c r="CG39" s="2">
        <f>SUMIFS('Bilateral Assistance, MAIN DATA'!$N:$N,'Bilateral Assistance, MAIN DATA'!$B:$B,'Share, Heavy Weapons to Ukraine'!$B39,'Bilateral Assistance, MAIN DATA'!$AO:$AO,'Share, Heavy Weapons to Ukraine'!CG$11, 'Bilateral Assistance, MAIN DATA'!$AA:$AA,1)</f>
        <v>0</v>
      </c>
      <c r="CH39" s="2">
        <f>SUMIFS('Bilateral Assistance, MAIN DATA'!$N:$N,'Bilateral Assistance, MAIN DATA'!$B:$B,'Share, Heavy Weapons to Ukraine'!$B39,'Bilateral Assistance, MAIN DATA'!$AO:$AO,'Share, Heavy Weapons to Ukraine'!CH$11, 'Bilateral Assistance, MAIN DATA'!$AA:$AA,1)</f>
        <v>0</v>
      </c>
    </row>
    <row r="40" spans="2:86" ht="15.6" x14ac:dyDescent="0.3">
      <c r="B40" s="470" t="s">
        <v>664</v>
      </c>
      <c r="C40" s="470">
        <v>0</v>
      </c>
      <c r="D40" s="2">
        <v>1</v>
      </c>
      <c r="E40" s="471"/>
      <c r="F40" s="472">
        <v>1.07</v>
      </c>
      <c r="G40" s="470">
        <f>VLOOKUP(B40,'Heavy Weapon Stocks'!B:OE,COLUMN('Heavy Weapon Stocks'!$C$11)-1,FALSE)</f>
        <v>75</v>
      </c>
      <c r="H40" s="470">
        <f>VLOOKUP(B40,'Heavy Weapon Stocks'!B:OE,COLUMN('Heavy Weapon Stocks'!$AT$11)-1,FALSE)</f>
        <v>147</v>
      </c>
      <c r="I40" s="470">
        <f>VLOOKUP(B40,'Heavy Weapon Stocks'!B:OE,COLUMN('Heavy Weapon Stocks'!$DN$11)-1,FALSE)</f>
        <v>41</v>
      </c>
      <c r="J40" s="470">
        <f>VLOOKUP(B40,'Heavy Weapon Stocks'!B:OE,COLUMN('Heavy Weapon Stocks'!$EB$11)-1,FALSE)</f>
        <v>172</v>
      </c>
      <c r="K40" s="470">
        <f>VLOOKUP(B40,'Heavy Weapon Stocks'!B:OE,COLUMN('Heavy Weapon Stocks'!$FD$11)-1,FALSE)</f>
        <v>100</v>
      </c>
      <c r="L40" s="470">
        <f t="shared" si="3"/>
        <v>460</v>
      </c>
      <c r="M40" s="470">
        <f>VLOOKUP(B40,'Heavy Weapon Stocks'!B:OE,COLUMN('Heavy Weapon Stocks'!$GZ$11)-1,FALSE)+VLOOKUP(B40,'Heavy Weapon Stocks'!B:OE,COLUMN('Heavy Weapon Stocks'!$IF$11)-1,FALSE)</f>
        <v>13</v>
      </c>
      <c r="N40" s="470">
        <f>VLOOKUP(B40,'Heavy Weapon Stocks'!B:OE,COLUMN('Heavy Weapon Stocks'!$IK$11)-1,FALSE)</f>
        <v>27</v>
      </c>
      <c r="O40" s="470">
        <f>VLOOKUP(B40,'Heavy Weapon Stocks'!B:OE,COLUMN('Heavy Weapon Stocks'!$JE$11)-1,FALSE)+VLOOKUP(B40,'Heavy Weapon Stocks'!B:OE,COLUMN('Heavy Weapon Stocks'!$KB$11)-1,FALSE)</f>
        <v>8</v>
      </c>
      <c r="Q40" s="470">
        <f>VLOOKUP(B40,'Heavy Weapon Stocks'!B:OE,COLUMN('Heavy Weapon Stocks'!$LS$11)-1,FALSE)</f>
        <v>0</v>
      </c>
      <c r="R40" s="470">
        <f>VLOOKUP(B40,'Heavy Weapon Stocks'!B:OE,COLUMN('Heavy Weapon Stocks'!$MC$11)-1,FALSE)</f>
        <v>0</v>
      </c>
      <c r="S40" s="470">
        <f>VLOOKUP(B40,'Heavy Weapon Stocks'!B:OE,COLUMN('Heavy Weapon Stocks'!$MJ$11)-1,FALSE)</f>
        <v>0</v>
      </c>
      <c r="T40" s="470">
        <f>VLOOKUP(B40,'Heavy Weapon Stocks'!B:OE,COLUMN('Heavy Weapon Stocks'!$NO$11)-1,FALSE)</f>
        <v>0</v>
      </c>
      <c r="U40" s="471"/>
      <c r="V40" s="2">
        <f>SUMIFS('Bilateral Assistance, MAIN DATA'!$M:$M,'Bilateral Assistance, MAIN DATA'!$B:$B,'Share, Heavy Weapons to Ukraine'!$B40,'Bilateral Assistance, MAIN DATA'!$AO:$AO,'Share, Heavy Weapons to Ukraine'!V$11)</f>
        <v>0</v>
      </c>
      <c r="W40" s="2">
        <f>SUMIFS('Bilateral Assistance, MAIN DATA'!$M:$M,'Bilateral Assistance, MAIN DATA'!$B:$B,'Share, Heavy Weapons to Ukraine'!$B40,'Bilateral Assistance, MAIN DATA'!$AO:$AO,'Share, Heavy Weapons to Ukraine'!W$11)</f>
        <v>0</v>
      </c>
      <c r="X40" s="2">
        <f>SUMIFS('Bilateral Assistance, MAIN DATA'!$M:$M,'Bilateral Assistance, MAIN DATA'!$B:$B,'Share, Heavy Weapons to Ukraine'!$B40,'Bilateral Assistance, MAIN DATA'!$AO:$AO,'Share, Heavy Weapons to Ukraine'!X$11)</f>
        <v>0</v>
      </c>
      <c r="Y40" s="2">
        <f>SUMIFS('Bilateral Assistance, MAIN DATA'!$M:$M,'Bilateral Assistance, MAIN DATA'!$B:$B,'Share, Heavy Weapons to Ukraine'!$B40,'Bilateral Assistance, MAIN DATA'!$AO:$AO,'Share, Heavy Weapons to Ukraine'!Y$11)</f>
        <v>0</v>
      </c>
      <c r="Z40" s="2">
        <f>SUMIFS('Bilateral Assistance, MAIN DATA'!$M:$M,'Bilateral Assistance, MAIN DATA'!$B:$B,'Share, Heavy Weapons to Ukraine'!$B40,'Bilateral Assistance, MAIN DATA'!$AO:$AO,'Share, Heavy Weapons to Ukraine'!Z$11)</f>
        <v>0</v>
      </c>
      <c r="AA40" s="2">
        <f t="shared" si="1"/>
        <v>0</v>
      </c>
      <c r="AB40" s="2">
        <f>SUMIFS('Bilateral Assistance, MAIN DATA'!$M:$M,'Bilateral Assistance, MAIN DATA'!$B:$B,'Share, Heavy Weapons to Ukraine'!$B40,'Bilateral Assistance, MAIN DATA'!$AO:$AO,'Share, Heavy Weapons to Ukraine'!AB$11)</f>
        <v>0</v>
      </c>
      <c r="AC40" s="25">
        <f>SUMIFS('Bilateral Assistance, MAIN DATA'!$M:$M,'Bilateral Assistance, MAIN DATA'!$B:$B,'Share, Heavy Weapons to Ukraine'!$B40,'Bilateral Assistance, MAIN DATA'!$AO:$AO,"122mm MLRS")+SUMIFS('Bilateral Assistance, MAIN DATA'!$M:$M,'Bilateral Assistance, MAIN DATA'!$B:$B,'Share, Heavy Weapons to Ukraine'!$B40,'Bilateral Assistance, MAIN DATA'!$AO:$AO,"127mm MLRS")+SUMIFS('Bilateral Assistance, MAIN DATA'!$M:$M,'Bilateral Assistance, MAIN DATA'!$B:$B,'Share, Heavy Weapons to Ukraine'!$B40,'Bilateral Assistance, MAIN DATA'!$AO:$AO,"227mm MLRS")</f>
        <v>0</v>
      </c>
      <c r="AD40" s="2">
        <f>SUMIFS('Bilateral Assistance, MAIN DATA'!$M:$M,'Bilateral Assistance, MAIN DATA'!$B:$B,'Share, Heavy Weapons to Ukraine'!$B40,'Bilateral Assistance, MAIN DATA'!$AO:$AO,'Share, Heavy Weapons to Ukraine'!AD$11)</f>
        <v>0</v>
      </c>
      <c r="AE40" s="2">
        <f>SUMIFS('Bilateral Assistance, MAIN DATA'!$M:$M,'Bilateral Assistance, MAIN DATA'!$B:$B,'Share, Heavy Weapons to Ukraine'!$B40,'Bilateral Assistance, MAIN DATA'!$AO:$AO,'Share, Heavy Weapons to Ukraine'!AE$11)</f>
        <v>0</v>
      </c>
      <c r="AF40" s="2">
        <f>SUMIFS('Bilateral Assistance, MAIN DATA'!$M:$M,'Bilateral Assistance, MAIN DATA'!$B:$B,'Share, Heavy Weapons to Ukraine'!$B40,'Bilateral Assistance, MAIN DATA'!$AO:$AO,'Share, Heavy Weapons to Ukraine'!AF$11)</f>
        <v>0</v>
      </c>
      <c r="AG40" s="2">
        <f>SUMIFS('Bilateral Assistance, MAIN DATA'!$M:$M,'Bilateral Assistance, MAIN DATA'!$B:$B,'Share, Heavy Weapons to Ukraine'!$B40,'Bilateral Assistance, MAIN DATA'!$AO:$AO,'Share, Heavy Weapons to Ukraine'!AG$11)</f>
        <v>0</v>
      </c>
      <c r="AH40" s="2">
        <f>SUMIFS('Bilateral Assistance, MAIN DATA'!$M:$M,'Bilateral Assistance, MAIN DATA'!$B:$B,'Share, Heavy Weapons to Ukraine'!$B40,'Bilateral Assistance, MAIN DATA'!$AO:$AO,'Share, Heavy Weapons to Ukraine'!AH$11)</f>
        <v>0</v>
      </c>
      <c r="AI40" s="471"/>
      <c r="AJ40" s="2">
        <f>SUMIFS('Bilateral Assistance, MAIN DATA'!$N:$N,'Bilateral Assistance, MAIN DATA'!$B:$B,'Share, Heavy Weapons to Ukraine'!$B40,'Bilateral Assistance, MAIN DATA'!$AO:$AO,'Share, Heavy Weapons to Ukraine'!AJ$11)</f>
        <v>0</v>
      </c>
      <c r="AK40" s="2">
        <f>SUMIFS('Bilateral Assistance, MAIN DATA'!$N:$N,'Bilateral Assistance, MAIN DATA'!$B:$B,'Share, Heavy Weapons to Ukraine'!$B40,'Bilateral Assistance, MAIN DATA'!$AO:$AO,'Share, Heavy Weapons to Ukraine'!AK$11)</f>
        <v>0</v>
      </c>
      <c r="AL40" s="2">
        <f>SUMIFS('Bilateral Assistance, MAIN DATA'!$N:$N,'Bilateral Assistance, MAIN DATA'!$B:$B,'Share, Heavy Weapons to Ukraine'!$B40,'Bilateral Assistance, MAIN DATA'!$AO:$AO,'Share, Heavy Weapons to Ukraine'!AL$11)</f>
        <v>0</v>
      </c>
      <c r="AM40" s="2">
        <f>SUMIFS('Bilateral Assistance, MAIN DATA'!$N:$N,'Bilateral Assistance, MAIN DATA'!$B:$B,'Share, Heavy Weapons to Ukraine'!$B40,'Bilateral Assistance, MAIN DATA'!$AO:$AO,'Share, Heavy Weapons to Ukraine'!AM$11)</f>
        <v>0</v>
      </c>
      <c r="AN40" s="2">
        <f>SUMIFS('Bilateral Assistance, MAIN DATA'!$N:$N,'Bilateral Assistance, MAIN DATA'!$B:$B,'Share, Heavy Weapons to Ukraine'!$B40,'Bilateral Assistance, MAIN DATA'!$AO:$AO,'Share, Heavy Weapons to Ukraine'!AN$11)</f>
        <v>0</v>
      </c>
      <c r="AO40" s="2">
        <f t="shared" si="2"/>
        <v>0</v>
      </c>
      <c r="AP40" s="2">
        <f>SUMIFS('Bilateral Assistance, MAIN DATA'!$N:$N,'Bilateral Assistance, MAIN DATA'!$B:$B,'Share, Heavy Weapons to Ukraine'!$B40,'Bilateral Assistance, MAIN DATA'!$AO:$AO,'Share, Heavy Weapons to Ukraine'!AP$11)</f>
        <v>0</v>
      </c>
      <c r="AQ40" s="25">
        <f>SUMIFS('Bilateral Assistance, MAIN DATA'!$N:$N,'Bilateral Assistance, MAIN DATA'!$B:$B,'Share, Heavy Weapons to Ukraine'!$B40,'Bilateral Assistance, MAIN DATA'!$AO:$AO,"122mm MLRS")+SUMIFS('Bilateral Assistance, MAIN DATA'!$N:$N,'Bilateral Assistance, MAIN DATA'!$B:$B,'Share, Heavy Weapons to Ukraine'!$B40,'Bilateral Assistance, MAIN DATA'!$AO:$AO,"127mm MLRS")+SUMIFS('Bilateral Assistance, MAIN DATA'!$N:$N,'Bilateral Assistance, MAIN DATA'!$B:$B,'Share, Heavy Weapons to Ukraine'!$B40,'Bilateral Assistance, MAIN DATA'!$AO:$AO,"227mm MLRS")</f>
        <v>0</v>
      </c>
      <c r="AR40" s="2">
        <f>SUMIFS('Bilateral Assistance, MAIN DATA'!$N:$N,'Bilateral Assistance, MAIN DATA'!$B:$B,'Share, Heavy Weapons to Ukraine'!$B40,'Bilateral Assistance, MAIN DATA'!$AO:$AO,'Share, Heavy Weapons to Ukraine'!AR$11)</f>
        <v>0</v>
      </c>
      <c r="AS40" s="2">
        <f>SUMIFS('Bilateral Assistance, MAIN DATA'!$N:$N,'Bilateral Assistance, MAIN DATA'!$B:$B,'Share, Heavy Weapons to Ukraine'!$B40,'Bilateral Assistance, MAIN DATA'!$AO:$AO,'Share, Heavy Weapons to Ukraine'!AS$11)</f>
        <v>0</v>
      </c>
      <c r="AT40" s="2">
        <f>SUMIFS('Bilateral Assistance, MAIN DATA'!$N:$N,'Bilateral Assistance, MAIN DATA'!$B:$B,'Share, Heavy Weapons to Ukraine'!$B40,'Bilateral Assistance, MAIN DATA'!$AO:$AO,'Share, Heavy Weapons to Ukraine'!AT$11)</f>
        <v>0</v>
      </c>
      <c r="AU40" s="2">
        <f>SUMIFS('Bilateral Assistance, MAIN DATA'!$N:$N,'Bilateral Assistance, MAIN DATA'!$B:$B,'Share, Heavy Weapons to Ukraine'!$B40,'Bilateral Assistance, MAIN DATA'!$AO:$AO,'Share, Heavy Weapons to Ukraine'!AU$11)</f>
        <v>0</v>
      </c>
      <c r="AV40" s="2">
        <f>SUMIFS('Bilateral Assistance, MAIN DATA'!$N:$N,'Bilateral Assistance, MAIN DATA'!$B:$B,'Share, Heavy Weapons to Ukraine'!$B40,'Bilateral Assistance, MAIN DATA'!$AO:$AO,'Share, Heavy Weapons to Ukraine'!AV$11)</f>
        <v>0</v>
      </c>
      <c r="AW40" s="471"/>
      <c r="AX40" s="292">
        <f>IF(VLOOKUP($B40,$B:G,COLUMN(G39)-1,FALSE)&lt;&gt;0,VLOOKUP($B40,$B:V,COLUMN(V39)-1,FALSE)/VLOOKUP($B40,$B:G,COLUMN(G39)-1,FALSE),IF(VLOOKUP($B40,$B:V,COLUMN(V39)-1,FALSE)&lt;&gt;0,"Strange",0))</f>
        <v>0</v>
      </c>
      <c r="AY40" s="292">
        <f>IF(VLOOKUP($B40,$B:H,COLUMN(H39)-1,FALSE)&lt;&gt;0,VLOOKUP($B40,$B:W,COLUMN(W39)-1,FALSE)/VLOOKUP($B40,$B:H,COLUMN(H39)-1,FALSE),IF(VLOOKUP($B40,$B:W,COLUMN(W39)-1,FALSE)&lt;&gt;0,"Strange",0))</f>
        <v>0</v>
      </c>
      <c r="AZ40" s="292">
        <f>IF(VLOOKUP($B40,$B:I,COLUMN(I39)-1,FALSE)&lt;&gt;0,VLOOKUP($B40,$B:X,COLUMN(X39)-1,FALSE)/VLOOKUP($B40,$B:I,COLUMN(I39)-1,FALSE),IF(VLOOKUP($B40,$B:X,COLUMN(X39)-1,FALSE)&lt;&gt;0,"Strange",0))</f>
        <v>0</v>
      </c>
      <c r="BA40" s="292">
        <f>IF(VLOOKUP($B40,$B:J,COLUMN(J39)-1,FALSE)&lt;&gt;0,VLOOKUP($B40,$B:Y,COLUMN(Y39)-1,FALSE)/VLOOKUP($B40,$B:J,COLUMN(J39)-1,FALSE),IF(VLOOKUP($B40,$B:Y,COLUMN(Y39)-1,FALSE)&lt;&gt;0,"Strange",0))</f>
        <v>0</v>
      </c>
      <c r="BB40" s="292">
        <f>IF(VLOOKUP($B40,$B:K,COLUMN(K39)-1,FALSE)&lt;&gt;0,VLOOKUP($B40,$B:Z,COLUMN(Z39)-1,FALSE)/VLOOKUP($B40,$B:K,COLUMN(K39)-1,FALSE),IF(VLOOKUP($B40,$B:Z,COLUMN(Z39)-1,FALSE)&lt;&gt;0,"Strange",0))</f>
        <v>0</v>
      </c>
      <c r="BC40" s="292">
        <f>IF(VLOOKUP($B40,$B:L,COLUMN(L39)-1,FALSE)&lt;&gt;0,VLOOKUP($B40,$B:AA,COLUMN(AA39)-1,FALSE)/VLOOKUP($B40,$B:L,COLUMN(L39)-1,FALSE),IF(VLOOKUP($B40,$B:AA,COLUMN(AA39)-1,FALSE)&lt;&gt;0,"Strange",0))</f>
        <v>0</v>
      </c>
      <c r="BD40" s="292">
        <f>IF(VLOOKUP($B40,$B:M,COLUMN(M39)-1,FALSE)&lt;&gt;0,VLOOKUP($B40,$B:AB,COLUMN(AB39)-1,FALSE)/VLOOKUP($B40,$B:M,COLUMN(M39)-1,FALSE),IF(VLOOKUP($B40,$B:AB,COLUMN(AB39)-1,FALSE)&lt;&gt;0,"Strange",0))</f>
        <v>0</v>
      </c>
      <c r="BE40" s="292">
        <f>IF(VLOOKUP($B40,$B:N,COLUMN(N39)-1,FALSE)&lt;&gt;0,VLOOKUP($B40,$B:AC,COLUMN(AC39)-1,FALSE)/VLOOKUP($B40,$B:N,COLUMN(N39)-1,FALSE),IF(VLOOKUP($B40,$B:AC,COLUMN(AC39)-1,FALSE)&lt;&gt;0,"Strange",0))</f>
        <v>0</v>
      </c>
      <c r="BF40" s="292">
        <f>IF(VLOOKUP($B40,$B:O,COLUMN(O39)-1,FALSE)&lt;&gt;0,VLOOKUP($B40,$B:AD,COLUMN(AD39)-1,FALSE)/VLOOKUP($B40,$B:O,COLUMN(O39)-1,FALSE),IF(VLOOKUP($B40,$B:AD,COLUMN(AD39)-1,FALSE)&lt;&gt;0,"Strange",0))</f>
        <v>0</v>
      </c>
      <c r="BG40" s="292">
        <f>IF(VLOOKUP($B40,$B:Q,COLUMN(Q39)-1,FALSE)&lt;&gt;0,VLOOKUP($B40,$B:AE,COLUMN(AE39)-1,FALSE)/VLOOKUP($B40,$B:Q,COLUMN(Q39)-1,FALSE),IF(VLOOKUP($B40,$B:AE,COLUMN(AE39)-1,FALSE)&lt;&gt;0,"Strange",0))</f>
        <v>0</v>
      </c>
      <c r="BH40" s="292">
        <f>IF(VLOOKUP($B40,$B:R,COLUMN(R39)-1,FALSE)&lt;&gt;0,VLOOKUP($B40,$B:AF,COLUMN(AF39)-1,FALSE)/VLOOKUP($B40,$B:R,COLUMN(R39)-1,FALSE),IF(VLOOKUP($B40,$B:AF,COLUMN(AF39)-1,FALSE)&lt;&gt;0,"Strange",0))</f>
        <v>0</v>
      </c>
      <c r="BI40" s="292">
        <f>IF(VLOOKUP($B40,$B:S,COLUMN(S39)-1,FALSE)&lt;&gt;0,VLOOKUP($B40,$B:AG,COLUMN(AG39)-1,FALSE)/VLOOKUP($B40,$B:S,COLUMN(S39)-1,FALSE),IF(VLOOKUP($B40,$B:AG,COLUMN(AG39)-1,FALSE)&lt;&gt;0,"Strange",0))</f>
        <v>0</v>
      </c>
      <c r="BJ40" s="292">
        <f>IF(VLOOKUP($B40,$B:T,COLUMN(T39)-1,FALSE)&lt;&gt;0,VLOOKUP($B40,$B:AH,COLUMN(AH39)-1,FALSE)/VLOOKUP($B40,$B:T,COLUMN(T39)-1,FALSE),IF(VLOOKUP($B40,$B:AH,COLUMN(AH39)-1,FALSE)&lt;&gt;0,"Strange",0))</f>
        <v>0</v>
      </c>
      <c r="BK40" s="471"/>
      <c r="BL40" s="2">
        <f>IF(VLOOKUP($B40,$B:W,COLUMN(G39)-1,FALSE)&lt;&gt;0,VLOOKUP($B40,$B:AK,COLUMN(AJ39)-1,FALSE)/VLOOKUP($B40,$B:W,COLUMN(G39)-1,FALSE),IF(VLOOKUP($B40,$B:AK,COLUMN(AJ39)-1,FALSE)&lt;&gt;0,"Strange",0))</f>
        <v>0</v>
      </c>
      <c r="BM40" s="2">
        <f>IF(VLOOKUP($B40,$B:X,COLUMN(H39)-1,FALSE)&lt;&gt;0,VLOOKUP($B40,$B:AL,COLUMN(AK39)-1,FALSE)/VLOOKUP($B40,$B:X,COLUMN(H39)-1,FALSE),IF(VLOOKUP($B40,$B:AL,COLUMN(AK39)-1,FALSE)&lt;&gt;0,"Strange",0))</f>
        <v>0</v>
      </c>
      <c r="BN40" s="2">
        <f>IF(VLOOKUP($B40,$B:Y,COLUMN(I39)-1,FALSE)&lt;&gt;0,VLOOKUP($B40,$B:AM,COLUMN(AL39)-1,FALSE)/VLOOKUP($B40,$B:Y,COLUMN(I39)-1,FALSE),IF(VLOOKUP($B40,$B:AM,COLUMN(AL39)-1,FALSE)&lt;&gt;0,"Strange",0))</f>
        <v>0</v>
      </c>
      <c r="BO40" s="2">
        <f>IF(VLOOKUP($B40,$B:Z,COLUMN(J39)-1,FALSE)&lt;&gt;0,VLOOKUP($B40,$B:AN,COLUMN(AM39)-1,FALSE)/VLOOKUP($B40,$B:Z,COLUMN(J39)-1,FALSE),IF(VLOOKUP($B40,$B:AN,COLUMN(AM39)-1,FALSE)&lt;&gt;0,"Strange",0))</f>
        <v>0</v>
      </c>
      <c r="BP40" s="2">
        <f>IF(VLOOKUP($B40,$B:AB,COLUMN(K39)-1,FALSE)&lt;&gt;0,VLOOKUP($B40,$B:AP,COLUMN(AN39)-1,FALSE)/VLOOKUP($B40,$B:AB,COLUMN(K39)-1,FALSE),IF(VLOOKUP($B40,$B:AP,COLUMN(AN39)-1,FALSE)&lt;&gt;0,"Strange",0))</f>
        <v>0</v>
      </c>
      <c r="BQ40" s="2">
        <f>IF(VLOOKUP($B40,$B:AC,COLUMN(L39)-1,FALSE)&lt;&gt;0,VLOOKUP($B40,$B:AQ,COLUMN(AO39)-1,FALSE)/VLOOKUP($B40,$B:AC,COLUMN(L39)-1,FALSE),IF(VLOOKUP($B40,$B:AQ,COLUMN(AO39)-1,FALSE)&lt;&gt;0,"Strange",0))</f>
        <v>0</v>
      </c>
      <c r="BR40" s="2">
        <f>IF(VLOOKUP($B40,$B:AC,COLUMN(M39)-1,FALSE)&lt;&gt;0,VLOOKUP($B40,$B:AQ,COLUMN(AP39)-1,FALSE)/VLOOKUP($B40,$B:AC,COLUMN(M39)-1,FALSE),IF(VLOOKUP($B40,$B:AQ,COLUMN(AP39)-1,FALSE)&lt;&gt;0,"Strange",0))</f>
        <v>0</v>
      </c>
      <c r="BS40" s="2">
        <f>IF(VLOOKUP($B40,$B:AD,COLUMN(N39)-1,FALSE)&lt;&gt;0,VLOOKUP($B40,$B:AR,COLUMN(AQ39)-1,FALSE)/VLOOKUP($B40,$B:AD,COLUMN(N39)-1,FALSE),IF(VLOOKUP($B40,$B:AR,COLUMN(AQ39)-1,FALSE)&lt;&gt;0,"Strange",0))</f>
        <v>0</v>
      </c>
      <c r="BT40" s="2">
        <f>IF(VLOOKUP($B40,$B:AD,COLUMN(O39)-1,FALSE)&lt;&gt;0,VLOOKUP($B40,$B:AR,COLUMN(AR39)-1,FALSE)/VLOOKUP($B40,$B:AD,COLUMN(O39)-1,FALSE),IF(VLOOKUP($B40,$B:AR,COLUMN(AR39)-1,FALSE)&lt;&gt;0,"Strange",0))</f>
        <v>0</v>
      </c>
      <c r="BU40" s="2">
        <f>IF(VLOOKUP($B40,$B:AE,COLUMN(Q39)-1,FALSE)&lt;&gt;0,VLOOKUP($B40,$B:AS,COLUMN(AS39)-1,FALSE)/VLOOKUP($B40,$B:AE,COLUMN(Q39)-1,FALSE),IF(VLOOKUP($B40,$B:AS,COLUMN(AS39)-1,FALSE)&lt;&gt;0,"Strange",0))</f>
        <v>0</v>
      </c>
      <c r="BV40" s="2">
        <f>IF(VLOOKUP($B40,$B:AF,COLUMN(R39)-1,FALSE)&lt;&gt;0,VLOOKUP($B40,$B:AT,COLUMN(AT39)-1,FALSE)/VLOOKUP($B40,$B:AF,COLUMN(R39)-1,FALSE),IF(VLOOKUP($B40,$B:AT,COLUMN(AT39)-1,FALSE)&lt;&gt;0,"Strange",0))</f>
        <v>0</v>
      </c>
      <c r="BW40" s="2">
        <f>IF(VLOOKUP($B40,$B:AG,COLUMN(S39)-1,FALSE)&lt;&gt;0,VLOOKUP($B40,$B:AU,COLUMN(AU39)-1,FALSE)/VLOOKUP($B40,$B:AG,COLUMN(S39)-1,FALSE),IF(VLOOKUP($B40,$B:AU,COLUMN(AU39)-1,FALSE)&lt;&gt;0,"Strange",0))</f>
        <v>0</v>
      </c>
      <c r="BX40" s="2">
        <f>IF(VLOOKUP($B40,$B:AH,COLUMN(T39)-1,FALSE)&lt;&gt;0,VLOOKUP($B40,$B:AV,COLUMN(AV39)-1,FALSE)/VLOOKUP($B40,$B:AH,COLUMN(T39)-1,FALSE),IF(VLOOKUP($B40,$B:AV,COLUMN(AV39)-1,FALSE)&lt;&gt;0,"Strange",0))</f>
        <v>0</v>
      </c>
      <c r="BY40" s="471"/>
      <c r="BZ40" s="2">
        <f>SUMIFS('Bilateral Assistance, MAIN DATA'!$M:$M,'Bilateral Assistance, MAIN DATA'!$B:$B,'Share, Heavy Weapons to Ukraine'!$B40,'Bilateral Assistance, MAIN DATA'!$AO:$AO,'Share, Heavy Weapons to Ukraine'!BZ$11, 'Bilateral Assistance, MAIN DATA'!$AA:$AA,1)</f>
        <v>0</v>
      </c>
      <c r="CA40" s="2">
        <f>SUMIFS('Bilateral Assistance, MAIN DATA'!$M:$M,'Bilateral Assistance, MAIN DATA'!$B:$B,'Share, Heavy Weapons to Ukraine'!$B40,'Bilateral Assistance, MAIN DATA'!$AO:$AO,'Share, Heavy Weapons to Ukraine'!CA$11, 'Bilateral Assistance, MAIN DATA'!$AA:$AA,1)</f>
        <v>0</v>
      </c>
      <c r="CB40" s="2">
        <f>SUMIFS('Bilateral Assistance, MAIN DATA'!$M:$M,'Bilateral Assistance, MAIN DATA'!$B:$B,'Share, Heavy Weapons to Ukraine'!$B40,'Bilateral Assistance, MAIN DATA'!$AO:$AO,'Share, Heavy Weapons to Ukraine'!CB$11, 'Bilateral Assistance, MAIN DATA'!$AA:$AA,1)</f>
        <v>0</v>
      </c>
      <c r="CC40" s="2">
        <f>SUMIFS('Bilateral Assistance, MAIN DATA'!$M:$M,'Bilateral Assistance, MAIN DATA'!$B:$B,'Share, Heavy Weapons to Ukraine'!$B40,'Bilateral Assistance, MAIN DATA'!$AO:$AO,'Share, Heavy Weapons to Ukraine'!CC$11, 'Bilateral Assistance, MAIN DATA'!$AA:$AA,1)</f>
        <v>0</v>
      </c>
      <c r="CD40" s="471"/>
      <c r="CE40" s="2">
        <f>SUMIFS('Bilateral Assistance, MAIN DATA'!$N:$N,'Bilateral Assistance, MAIN DATA'!$B:$B,'Share, Heavy Weapons to Ukraine'!$B40,'Bilateral Assistance, MAIN DATA'!$AO:$AO,'Share, Heavy Weapons to Ukraine'!CE$11, 'Bilateral Assistance, MAIN DATA'!$AA:$AA,1)</f>
        <v>0</v>
      </c>
      <c r="CF40" s="2">
        <f>SUMIFS('Bilateral Assistance, MAIN DATA'!$N:$N,'Bilateral Assistance, MAIN DATA'!$B:$B,'Share, Heavy Weapons to Ukraine'!$B40,'Bilateral Assistance, MAIN DATA'!$AO:$AO,'Share, Heavy Weapons to Ukraine'!CF$11, 'Bilateral Assistance, MAIN DATA'!$AA:$AA,1)</f>
        <v>0</v>
      </c>
      <c r="CG40" s="2">
        <f>SUMIFS('Bilateral Assistance, MAIN DATA'!$N:$N,'Bilateral Assistance, MAIN DATA'!$B:$B,'Share, Heavy Weapons to Ukraine'!$B40,'Bilateral Assistance, MAIN DATA'!$AO:$AO,'Share, Heavy Weapons to Ukraine'!CG$11, 'Bilateral Assistance, MAIN DATA'!$AA:$AA,1)</f>
        <v>0</v>
      </c>
      <c r="CH40" s="2">
        <f>SUMIFS('Bilateral Assistance, MAIN DATA'!$N:$N,'Bilateral Assistance, MAIN DATA'!$B:$B,'Share, Heavy Weapons to Ukraine'!$B40,'Bilateral Assistance, MAIN DATA'!$AO:$AO,'Share, Heavy Weapons to Ukraine'!CH$11, 'Bilateral Assistance, MAIN DATA'!$AA:$AA,1)</f>
        <v>0</v>
      </c>
    </row>
    <row r="41" spans="2:86" ht="15.6" x14ac:dyDescent="0.3">
      <c r="B41" s="470" t="s">
        <v>1861</v>
      </c>
      <c r="C41" s="470">
        <v>0</v>
      </c>
      <c r="D41" s="2">
        <v>1</v>
      </c>
      <c r="E41" s="471"/>
      <c r="F41" s="472">
        <v>0.83499999999999996</v>
      </c>
      <c r="G41" s="470">
        <f>VLOOKUP(B41,'Heavy Weapon Stocks'!B:OE,COLUMN('Heavy Weapon Stocks'!$C$11)-1,FALSE)</f>
        <v>3</v>
      </c>
      <c r="H41" s="470">
        <f>VLOOKUP(B41,'Heavy Weapon Stocks'!B:OE,COLUMN('Heavy Weapon Stocks'!$AT$11)-1,FALSE)</f>
        <v>4</v>
      </c>
      <c r="I41" s="470">
        <f>VLOOKUP(B41,'Heavy Weapon Stocks'!B:OE,COLUMN('Heavy Weapon Stocks'!$DN$11)-1,FALSE)</f>
        <v>0</v>
      </c>
      <c r="J41" s="470">
        <f>VLOOKUP(B41,'Heavy Weapon Stocks'!B:OE,COLUMN('Heavy Weapon Stocks'!$EB$11)-1,FALSE)</f>
        <v>0</v>
      </c>
      <c r="K41" s="470">
        <f>VLOOKUP(B41,'Heavy Weapon Stocks'!B:OE,COLUMN('Heavy Weapon Stocks'!$FD$11)-1,FALSE)</f>
        <v>0</v>
      </c>
      <c r="L41" s="470">
        <f t="shared" si="3"/>
        <v>4</v>
      </c>
      <c r="M41" s="470">
        <f>VLOOKUP(B41,'Heavy Weapon Stocks'!B:OE,COLUMN('Heavy Weapon Stocks'!$GZ$11)-1,FALSE)+VLOOKUP(B41,'Heavy Weapon Stocks'!B:OE,COLUMN('Heavy Weapon Stocks'!$IF$11)-1,FALSE)</f>
        <v>47</v>
      </c>
      <c r="N41" s="470">
        <f>VLOOKUP(B41,'Heavy Weapon Stocks'!B:OE,COLUMN('Heavy Weapon Stocks'!$IK$11)-1,FALSE)</f>
        <v>0</v>
      </c>
      <c r="O41" s="470">
        <f>VLOOKUP(B41,'Heavy Weapon Stocks'!B:OE,COLUMN('Heavy Weapon Stocks'!$JE$11)-1,FALSE)+VLOOKUP(B41,'Heavy Weapon Stocks'!B:OE,COLUMN('Heavy Weapon Stocks'!$KB$11)-1,FALSE)</f>
        <v>0</v>
      </c>
      <c r="Q41" s="470">
        <f>VLOOKUP(B41,'Heavy Weapon Stocks'!B:OE,COLUMN('Heavy Weapon Stocks'!$LS$11)-1,FALSE)</f>
        <v>0</v>
      </c>
      <c r="R41" s="470">
        <f>VLOOKUP(B41,'Heavy Weapon Stocks'!B:OE,COLUMN('Heavy Weapon Stocks'!$MC$11)-1,FALSE)</f>
        <v>0</v>
      </c>
      <c r="S41" s="470">
        <f>VLOOKUP(B41,'Heavy Weapon Stocks'!B:OE,COLUMN('Heavy Weapon Stocks'!$MJ$11)-1,FALSE)</f>
        <v>0</v>
      </c>
      <c r="T41" s="470">
        <f>VLOOKUP(B41,'Heavy Weapon Stocks'!B:OE,COLUMN('Heavy Weapon Stocks'!$NO$11)-1,FALSE)</f>
        <v>0</v>
      </c>
      <c r="U41" s="471"/>
      <c r="V41" s="2">
        <f>SUMIFS('Bilateral Assistance, MAIN DATA'!$M:$M,'Bilateral Assistance, MAIN DATA'!$B:$B,'Share, Heavy Weapons to Ukraine'!$B41,'Bilateral Assistance, MAIN DATA'!$AO:$AO,'Share, Heavy Weapons to Ukraine'!V$11)</f>
        <v>0</v>
      </c>
      <c r="W41" s="2">
        <f>SUMIFS('Bilateral Assistance, MAIN DATA'!$M:$M,'Bilateral Assistance, MAIN DATA'!$B:$B,'Share, Heavy Weapons to Ukraine'!$B41,'Bilateral Assistance, MAIN DATA'!$AO:$AO,'Share, Heavy Weapons to Ukraine'!W$11)</f>
        <v>0</v>
      </c>
      <c r="X41" s="2">
        <f>SUMIFS('Bilateral Assistance, MAIN DATA'!$M:$M,'Bilateral Assistance, MAIN DATA'!$B:$B,'Share, Heavy Weapons to Ukraine'!$B41,'Bilateral Assistance, MAIN DATA'!$AO:$AO,'Share, Heavy Weapons to Ukraine'!X$11)</f>
        <v>0</v>
      </c>
      <c r="Y41" s="2">
        <f>SUMIFS('Bilateral Assistance, MAIN DATA'!$M:$M,'Bilateral Assistance, MAIN DATA'!$B:$B,'Share, Heavy Weapons to Ukraine'!$B41,'Bilateral Assistance, MAIN DATA'!$AO:$AO,'Share, Heavy Weapons to Ukraine'!Y$11)</f>
        <v>0</v>
      </c>
      <c r="Z41" s="2">
        <f>SUMIFS('Bilateral Assistance, MAIN DATA'!$M:$M,'Bilateral Assistance, MAIN DATA'!$B:$B,'Share, Heavy Weapons to Ukraine'!$B41,'Bilateral Assistance, MAIN DATA'!$AO:$AO,'Share, Heavy Weapons to Ukraine'!Z$11)</f>
        <v>0</v>
      </c>
      <c r="AA41" s="2">
        <f t="shared" si="1"/>
        <v>0</v>
      </c>
      <c r="AB41" s="2">
        <f>SUMIFS('Bilateral Assistance, MAIN DATA'!$M:$M,'Bilateral Assistance, MAIN DATA'!$B:$B,'Share, Heavy Weapons to Ukraine'!$B41,'Bilateral Assistance, MAIN DATA'!$AO:$AO,'Share, Heavy Weapons to Ukraine'!AB$11)</f>
        <v>6</v>
      </c>
      <c r="AC41" s="25">
        <f>SUMIFS('Bilateral Assistance, MAIN DATA'!$M:$M,'Bilateral Assistance, MAIN DATA'!$B:$B,'Share, Heavy Weapons to Ukraine'!$B41,'Bilateral Assistance, MAIN DATA'!$AO:$AO,"122mm MLRS")+SUMIFS('Bilateral Assistance, MAIN DATA'!$M:$M,'Bilateral Assistance, MAIN DATA'!$B:$B,'Share, Heavy Weapons to Ukraine'!$B41,'Bilateral Assistance, MAIN DATA'!$AO:$AO,"127mm MLRS")+SUMIFS('Bilateral Assistance, MAIN DATA'!$M:$M,'Bilateral Assistance, MAIN DATA'!$B:$B,'Share, Heavy Weapons to Ukraine'!$B41,'Bilateral Assistance, MAIN DATA'!$AO:$AO,"227mm MLRS")</f>
        <v>0</v>
      </c>
      <c r="AD41" s="2">
        <f>SUMIFS('Bilateral Assistance, MAIN DATA'!$M:$M,'Bilateral Assistance, MAIN DATA'!$B:$B,'Share, Heavy Weapons to Ukraine'!$B41,'Bilateral Assistance, MAIN DATA'!$AO:$AO,'Share, Heavy Weapons to Ukraine'!AD$11)</f>
        <v>0</v>
      </c>
      <c r="AE41" s="2">
        <f>SUMIFS('Bilateral Assistance, MAIN DATA'!$M:$M,'Bilateral Assistance, MAIN DATA'!$B:$B,'Share, Heavy Weapons to Ukraine'!$B41,'Bilateral Assistance, MAIN DATA'!$AO:$AO,'Share, Heavy Weapons to Ukraine'!AE$11)</f>
        <v>0</v>
      </c>
      <c r="AF41" s="2">
        <f>SUMIFS('Bilateral Assistance, MAIN DATA'!$M:$M,'Bilateral Assistance, MAIN DATA'!$B:$B,'Share, Heavy Weapons to Ukraine'!$B41,'Bilateral Assistance, MAIN DATA'!$AO:$AO,'Share, Heavy Weapons to Ukraine'!AF$11)</f>
        <v>0</v>
      </c>
      <c r="AG41" s="2">
        <f>SUMIFS('Bilateral Assistance, MAIN DATA'!$M:$M,'Bilateral Assistance, MAIN DATA'!$B:$B,'Share, Heavy Weapons to Ukraine'!$B41,'Bilateral Assistance, MAIN DATA'!$AO:$AO,'Share, Heavy Weapons to Ukraine'!AG$11)</f>
        <v>0</v>
      </c>
      <c r="AH41" s="2">
        <f>SUMIFS('Bilateral Assistance, MAIN DATA'!$M:$M,'Bilateral Assistance, MAIN DATA'!$B:$B,'Share, Heavy Weapons to Ukraine'!$B41,'Bilateral Assistance, MAIN DATA'!$AO:$AO,'Share, Heavy Weapons to Ukraine'!AH$11)</f>
        <v>0</v>
      </c>
      <c r="AI41" s="471"/>
      <c r="AJ41" s="2">
        <f>SUMIFS('Bilateral Assistance, MAIN DATA'!$N:$N,'Bilateral Assistance, MAIN DATA'!$B:$B,'Share, Heavy Weapons to Ukraine'!$B41,'Bilateral Assistance, MAIN DATA'!$AO:$AO,'Share, Heavy Weapons to Ukraine'!AJ$11)</f>
        <v>0</v>
      </c>
      <c r="AK41" s="2">
        <f>SUMIFS('Bilateral Assistance, MAIN DATA'!$N:$N,'Bilateral Assistance, MAIN DATA'!$B:$B,'Share, Heavy Weapons to Ukraine'!$B41,'Bilateral Assistance, MAIN DATA'!$AO:$AO,'Share, Heavy Weapons to Ukraine'!AK$11)</f>
        <v>0</v>
      </c>
      <c r="AL41" s="2">
        <f>SUMIFS('Bilateral Assistance, MAIN DATA'!$N:$N,'Bilateral Assistance, MAIN DATA'!$B:$B,'Share, Heavy Weapons to Ukraine'!$B41,'Bilateral Assistance, MAIN DATA'!$AO:$AO,'Share, Heavy Weapons to Ukraine'!AL$11)</f>
        <v>0</v>
      </c>
      <c r="AM41" s="2">
        <f>SUMIFS('Bilateral Assistance, MAIN DATA'!$N:$N,'Bilateral Assistance, MAIN DATA'!$B:$B,'Share, Heavy Weapons to Ukraine'!$B41,'Bilateral Assistance, MAIN DATA'!$AO:$AO,'Share, Heavy Weapons to Ukraine'!AM$11)</f>
        <v>0</v>
      </c>
      <c r="AN41" s="2">
        <f>SUMIFS('Bilateral Assistance, MAIN DATA'!$N:$N,'Bilateral Assistance, MAIN DATA'!$B:$B,'Share, Heavy Weapons to Ukraine'!$B41,'Bilateral Assistance, MAIN DATA'!$AO:$AO,'Share, Heavy Weapons to Ukraine'!AN$11)</f>
        <v>0</v>
      </c>
      <c r="AO41" s="2">
        <f t="shared" si="2"/>
        <v>0</v>
      </c>
      <c r="AP41" s="2">
        <f>SUMIFS('Bilateral Assistance, MAIN DATA'!$N:$N,'Bilateral Assistance, MAIN DATA'!$B:$B,'Share, Heavy Weapons to Ukraine'!$B41,'Bilateral Assistance, MAIN DATA'!$AO:$AO,'Share, Heavy Weapons to Ukraine'!AP$11)</f>
        <v>6</v>
      </c>
      <c r="AQ41" s="25">
        <f>SUMIFS('Bilateral Assistance, MAIN DATA'!$N:$N,'Bilateral Assistance, MAIN DATA'!$B:$B,'Share, Heavy Weapons to Ukraine'!$B41,'Bilateral Assistance, MAIN DATA'!$AO:$AO,"122mm MLRS")+SUMIFS('Bilateral Assistance, MAIN DATA'!$N:$N,'Bilateral Assistance, MAIN DATA'!$B:$B,'Share, Heavy Weapons to Ukraine'!$B41,'Bilateral Assistance, MAIN DATA'!$AO:$AO,"127mm MLRS")+SUMIFS('Bilateral Assistance, MAIN DATA'!$N:$N,'Bilateral Assistance, MAIN DATA'!$B:$B,'Share, Heavy Weapons to Ukraine'!$B41,'Bilateral Assistance, MAIN DATA'!$AO:$AO,"227mm MLRS")</f>
        <v>0</v>
      </c>
      <c r="AR41" s="2">
        <f>SUMIFS('Bilateral Assistance, MAIN DATA'!$N:$N,'Bilateral Assistance, MAIN DATA'!$B:$B,'Share, Heavy Weapons to Ukraine'!$B41,'Bilateral Assistance, MAIN DATA'!$AO:$AO,'Share, Heavy Weapons to Ukraine'!AR$11)</f>
        <v>0</v>
      </c>
      <c r="AS41" s="2">
        <f>SUMIFS('Bilateral Assistance, MAIN DATA'!$N:$N,'Bilateral Assistance, MAIN DATA'!$B:$B,'Share, Heavy Weapons to Ukraine'!$B41,'Bilateral Assistance, MAIN DATA'!$AO:$AO,'Share, Heavy Weapons to Ukraine'!AS$11)</f>
        <v>0</v>
      </c>
      <c r="AT41" s="2">
        <f>SUMIFS('Bilateral Assistance, MAIN DATA'!$N:$N,'Bilateral Assistance, MAIN DATA'!$B:$B,'Share, Heavy Weapons to Ukraine'!$B41,'Bilateral Assistance, MAIN DATA'!$AO:$AO,'Share, Heavy Weapons to Ukraine'!AT$11)</f>
        <v>0</v>
      </c>
      <c r="AU41" s="2">
        <f>SUMIFS('Bilateral Assistance, MAIN DATA'!$N:$N,'Bilateral Assistance, MAIN DATA'!$B:$B,'Share, Heavy Weapons to Ukraine'!$B41,'Bilateral Assistance, MAIN DATA'!$AO:$AO,'Share, Heavy Weapons to Ukraine'!AU$11)</f>
        <v>0</v>
      </c>
      <c r="AV41" s="2">
        <f>SUMIFS('Bilateral Assistance, MAIN DATA'!$N:$N,'Bilateral Assistance, MAIN DATA'!$B:$B,'Share, Heavy Weapons to Ukraine'!$B41,'Bilateral Assistance, MAIN DATA'!$AO:$AO,'Share, Heavy Weapons to Ukraine'!AV$11)</f>
        <v>0</v>
      </c>
      <c r="AW41" s="471"/>
      <c r="AX41" s="292">
        <f>IF(VLOOKUP($B41,$B:G,COLUMN(G40)-1,FALSE)&lt;&gt;0,VLOOKUP($B41,$B:V,COLUMN(V40)-1,FALSE)/VLOOKUP($B41,$B:G,COLUMN(G40)-1,FALSE),IF(VLOOKUP($B41,$B:V,COLUMN(V40)-1,FALSE)&lt;&gt;0,"Strange",0))</f>
        <v>0</v>
      </c>
      <c r="AY41" s="292">
        <f>IF(VLOOKUP($B41,$B:H,COLUMN(H40)-1,FALSE)&lt;&gt;0,VLOOKUP($B41,$B:W,COLUMN(W40)-1,FALSE)/VLOOKUP($B41,$B:H,COLUMN(H40)-1,FALSE),IF(VLOOKUP($B41,$B:W,COLUMN(W40)-1,FALSE)&lt;&gt;0,"Strange",0))</f>
        <v>0</v>
      </c>
      <c r="AZ41" s="292">
        <f>IF(VLOOKUP($B41,$B:I,COLUMN(I40)-1,FALSE)&lt;&gt;0,VLOOKUP($B41,$B:X,COLUMN(X40)-1,FALSE)/VLOOKUP($B41,$B:I,COLUMN(I40)-1,FALSE),IF(VLOOKUP($B41,$B:X,COLUMN(X40)-1,FALSE)&lt;&gt;0,"Strange",0))</f>
        <v>0</v>
      </c>
      <c r="BA41" s="292">
        <f>IF(VLOOKUP($B41,$B:J,COLUMN(J40)-1,FALSE)&lt;&gt;0,VLOOKUP($B41,$B:Y,COLUMN(Y40)-1,FALSE)/VLOOKUP($B41,$B:J,COLUMN(J40)-1,FALSE),IF(VLOOKUP($B41,$B:Y,COLUMN(Y40)-1,FALSE)&lt;&gt;0,"Strange",0))</f>
        <v>0</v>
      </c>
      <c r="BB41" s="292">
        <f>IF(VLOOKUP($B41,$B:K,COLUMN(K40)-1,FALSE)&lt;&gt;0,VLOOKUP($B41,$B:Z,COLUMN(Z40)-1,FALSE)/VLOOKUP($B41,$B:K,COLUMN(K40)-1,FALSE),IF(VLOOKUP($B41,$B:Z,COLUMN(Z40)-1,FALSE)&lt;&gt;0,"Strange",0))</f>
        <v>0</v>
      </c>
      <c r="BC41" s="292">
        <f>IF(VLOOKUP($B41,$B:L,COLUMN(L40)-1,FALSE)&lt;&gt;0,VLOOKUP($B41,$B:AA,COLUMN(AA40)-1,FALSE)/VLOOKUP($B41,$B:L,COLUMN(L40)-1,FALSE),IF(VLOOKUP($B41,$B:AA,COLUMN(AA40)-1,FALSE)&lt;&gt;0,"Strange",0))</f>
        <v>0</v>
      </c>
      <c r="BD41" s="292">
        <f>IF(VLOOKUP($B41,$B:M,COLUMN(M40)-1,FALSE)&lt;&gt;0,VLOOKUP($B41,$B:AB,COLUMN(AB40)-1,FALSE)/VLOOKUP($B41,$B:M,COLUMN(M40)-1,FALSE),IF(VLOOKUP($B41,$B:AB,COLUMN(AB40)-1,FALSE)&lt;&gt;0,"Strange",0))</f>
        <v>0.1276595744680851</v>
      </c>
      <c r="BE41" s="292">
        <f>IF(VLOOKUP($B41,$B:N,COLUMN(N40)-1,FALSE)&lt;&gt;0,VLOOKUP($B41,$B:AC,COLUMN(AC40)-1,FALSE)/VLOOKUP($B41,$B:N,COLUMN(N40)-1,FALSE),IF(VLOOKUP($B41,$B:AC,COLUMN(AC40)-1,FALSE)&lt;&gt;0,"Strange",0))</f>
        <v>0</v>
      </c>
      <c r="BF41" s="292">
        <f>IF(VLOOKUP($B41,$B:O,COLUMN(O40)-1,FALSE)&lt;&gt;0,VLOOKUP($B41,$B:AD,COLUMN(AD40)-1,FALSE)/VLOOKUP($B41,$B:O,COLUMN(O40)-1,FALSE),IF(VLOOKUP($B41,$B:AD,COLUMN(AD40)-1,FALSE)&lt;&gt;0,"Strange",0))</f>
        <v>0</v>
      </c>
      <c r="BG41" s="292">
        <f>IF(VLOOKUP($B41,$B:Q,COLUMN(Q40)-1,FALSE)&lt;&gt;0,VLOOKUP($B41,$B:AE,COLUMN(AE40)-1,FALSE)/VLOOKUP($B41,$B:Q,COLUMN(Q40)-1,FALSE),IF(VLOOKUP($B41,$B:AE,COLUMN(AE40)-1,FALSE)&lt;&gt;0,"Strange",0))</f>
        <v>0</v>
      </c>
      <c r="BH41" s="292">
        <f>IF(VLOOKUP($B41,$B:R,COLUMN(R40)-1,FALSE)&lt;&gt;0,VLOOKUP($B41,$B:AF,COLUMN(AF40)-1,FALSE)/VLOOKUP($B41,$B:R,COLUMN(R40)-1,FALSE),IF(VLOOKUP($B41,$B:AF,COLUMN(AF40)-1,FALSE)&lt;&gt;0,"Strange",0))</f>
        <v>0</v>
      </c>
      <c r="BI41" s="292">
        <f>IF(VLOOKUP($B41,$B:S,COLUMN(S40)-1,FALSE)&lt;&gt;0,VLOOKUP($B41,$B:AG,COLUMN(AG40)-1,FALSE)/VLOOKUP($B41,$B:S,COLUMN(S40)-1,FALSE),IF(VLOOKUP($B41,$B:AG,COLUMN(AG40)-1,FALSE)&lt;&gt;0,"Strange",0))</f>
        <v>0</v>
      </c>
      <c r="BJ41" s="292">
        <f>IF(VLOOKUP($B41,$B:T,COLUMN(T40)-1,FALSE)&lt;&gt;0,VLOOKUP($B41,$B:AH,COLUMN(AH40)-1,FALSE)/VLOOKUP($B41,$B:T,COLUMN(T40)-1,FALSE),IF(VLOOKUP($B41,$B:AH,COLUMN(AH40)-1,FALSE)&lt;&gt;0,"Strange",0))</f>
        <v>0</v>
      </c>
      <c r="BK41" s="471"/>
      <c r="BL41" s="2">
        <f>IF(VLOOKUP($B41,$B:W,COLUMN(G40)-1,FALSE)&lt;&gt;0,VLOOKUP($B41,$B:AK,COLUMN(AJ40)-1,FALSE)/VLOOKUP($B41,$B:W,COLUMN(G40)-1,FALSE),IF(VLOOKUP($B41,$B:AK,COLUMN(AJ40)-1,FALSE)&lt;&gt;0,"Strange",0))</f>
        <v>0</v>
      </c>
      <c r="BM41" s="2">
        <f>IF(VLOOKUP($B41,$B:X,COLUMN(H40)-1,FALSE)&lt;&gt;0,VLOOKUP($B41,$B:AL,COLUMN(AK40)-1,FALSE)/VLOOKUP($B41,$B:X,COLUMN(H40)-1,FALSE),IF(VLOOKUP($B41,$B:AL,COLUMN(AK40)-1,FALSE)&lt;&gt;0,"Strange",0))</f>
        <v>0</v>
      </c>
      <c r="BN41" s="2">
        <f>IF(VLOOKUP($B41,$B:Y,COLUMN(I40)-1,FALSE)&lt;&gt;0,VLOOKUP($B41,$B:AM,COLUMN(AL40)-1,FALSE)/VLOOKUP($B41,$B:Y,COLUMN(I40)-1,FALSE),IF(VLOOKUP($B41,$B:AM,COLUMN(AL40)-1,FALSE)&lt;&gt;0,"Strange",0))</f>
        <v>0</v>
      </c>
      <c r="BO41" s="2">
        <f>IF(VLOOKUP($B41,$B:Z,COLUMN(J40)-1,FALSE)&lt;&gt;0,VLOOKUP($B41,$B:AN,COLUMN(AM40)-1,FALSE)/VLOOKUP($B41,$B:Z,COLUMN(J40)-1,FALSE),IF(VLOOKUP($B41,$B:AN,COLUMN(AM40)-1,FALSE)&lt;&gt;0,"Strange",0))</f>
        <v>0</v>
      </c>
      <c r="BP41" s="2">
        <f>IF(VLOOKUP($B41,$B:AB,COLUMN(K40)-1,FALSE)&lt;&gt;0,VLOOKUP($B41,$B:AP,COLUMN(AN40)-1,FALSE)/VLOOKUP($B41,$B:AB,COLUMN(K40)-1,FALSE),IF(VLOOKUP($B41,$B:AP,COLUMN(AN40)-1,FALSE)&lt;&gt;0,"Strange",0))</f>
        <v>0</v>
      </c>
      <c r="BQ41" s="2">
        <f>IF(VLOOKUP($B41,$B:AC,COLUMN(L40)-1,FALSE)&lt;&gt;0,VLOOKUP($B41,$B:AQ,COLUMN(AO40)-1,FALSE)/VLOOKUP($B41,$B:AC,COLUMN(L40)-1,FALSE),IF(VLOOKUP($B41,$B:AQ,COLUMN(AO40)-1,FALSE)&lt;&gt;0,"Strange",0))</f>
        <v>0</v>
      </c>
      <c r="BR41" s="2">
        <f>IF(VLOOKUP($B41,$B:AC,COLUMN(M40)-1,FALSE)&lt;&gt;0,VLOOKUP($B41,$B:AQ,COLUMN(AP40)-1,FALSE)/VLOOKUP($B41,$B:AC,COLUMN(M40)-1,FALSE),IF(VLOOKUP($B41,$B:AQ,COLUMN(AP40)-1,FALSE)&lt;&gt;0,"Strange",0))</f>
        <v>0.1276595744680851</v>
      </c>
      <c r="BS41" s="2">
        <f>IF(VLOOKUP($B41,$B:AD,COLUMN(N40)-1,FALSE)&lt;&gt;0,VLOOKUP($B41,$B:AR,COLUMN(AQ40)-1,FALSE)/VLOOKUP($B41,$B:AD,COLUMN(N40)-1,FALSE),IF(VLOOKUP($B41,$B:AR,COLUMN(AQ40)-1,FALSE)&lt;&gt;0,"Strange",0))</f>
        <v>0</v>
      </c>
      <c r="BT41" s="2">
        <f>IF(VLOOKUP($B41,$B:AD,COLUMN(O40)-1,FALSE)&lt;&gt;0,VLOOKUP($B41,$B:AR,COLUMN(AR40)-1,FALSE)/VLOOKUP($B41,$B:AD,COLUMN(O40)-1,FALSE),IF(VLOOKUP($B41,$B:AR,COLUMN(AR40)-1,FALSE)&lt;&gt;0,"Strange",0))</f>
        <v>0</v>
      </c>
      <c r="BU41" s="2">
        <f>IF(VLOOKUP($B41,$B:AE,COLUMN(Q40)-1,FALSE)&lt;&gt;0,VLOOKUP($B41,$B:AS,COLUMN(AS40)-1,FALSE)/VLOOKUP($B41,$B:AE,COLUMN(Q40)-1,FALSE),IF(VLOOKUP($B41,$B:AS,COLUMN(AS40)-1,FALSE)&lt;&gt;0,"Strange",0))</f>
        <v>0</v>
      </c>
      <c r="BV41" s="2">
        <f>IF(VLOOKUP($B41,$B:AF,COLUMN(R40)-1,FALSE)&lt;&gt;0,VLOOKUP($B41,$B:AT,COLUMN(AT40)-1,FALSE)/VLOOKUP($B41,$B:AF,COLUMN(R40)-1,FALSE),IF(VLOOKUP($B41,$B:AT,COLUMN(AT40)-1,FALSE)&lt;&gt;0,"Strange",0))</f>
        <v>0</v>
      </c>
      <c r="BW41" s="2">
        <f>IF(VLOOKUP($B41,$B:AG,COLUMN(S40)-1,FALSE)&lt;&gt;0,VLOOKUP($B41,$B:AU,COLUMN(AU40)-1,FALSE)/VLOOKUP($B41,$B:AG,COLUMN(S40)-1,FALSE),IF(VLOOKUP($B41,$B:AU,COLUMN(AU40)-1,FALSE)&lt;&gt;0,"Strange",0))</f>
        <v>0</v>
      </c>
      <c r="BX41" s="2">
        <f>IF(VLOOKUP($B41,$B:AH,COLUMN(T40)-1,FALSE)&lt;&gt;0,VLOOKUP($B41,$B:AV,COLUMN(AV40)-1,FALSE)/VLOOKUP($B41,$B:AH,COLUMN(T40)-1,FALSE),IF(VLOOKUP($B41,$B:AV,COLUMN(AV40)-1,FALSE)&lt;&gt;0,"Strange",0))</f>
        <v>0</v>
      </c>
      <c r="BY41" s="471"/>
      <c r="BZ41" s="2">
        <f>SUMIFS('Bilateral Assistance, MAIN DATA'!$M:$M,'Bilateral Assistance, MAIN DATA'!$B:$B,'Share, Heavy Weapons to Ukraine'!$B41,'Bilateral Assistance, MAIN DATA'!$AO:$AO,'Share, Heavy Weapons to Ukraine'!BZ$11, 'Bilateral Assistance, MAIN DATA'!$AA:$AA,1)</f>
        <v>0</v>
      </c>
      <c r="CA41" s="2">
        <f>SUMIFS('Bilateral Assistance, MAIN DATA'!$M:$M,'Bilateral Assistance, MAIN DATA'!$B:$B,'Share, Heavy Weapons to Ukraine'!$B41,'Bilateral Assistance, MAIN DATA'!$AO:$AO,'Share, Heavy Weapons to Ukraine'!CA$11, 'Bilateral Assistance, MAIN DATA'!$AA:$AA,1)</f>
        <v>0</v>
      </c>
      <c r="CB41" s="2">
        <f>SUMIFS('Bilateral Assistance, MAIN DATA'!$M:$M,'Bilateral Assistance, MAIN DATA'!$B:$B,'Share, Heavy Weapons to Ukraine'!$B41,'Bilateral Assistance, MAIN DATA'!$AO:$AO,'Share, Heavy Weapons to Ukraine'!CB$11, 'Bilateral Assistance, MAIN DATA'!$AA:$AA,1)</f>
        <v>0</v>
      </c>
      <c r="CC41" s="2">
        <f>SUMIFS('Bilateral Assistance, MAIN DATA'!$M:$M,'Bilateral Assistance, MAIN DATA'!$B:$B,'Share, Heavy Weapons to Ukraine'!$B41,'Bilateral Assistance, MAIN DATA'!$AO:$AO,'Share, Heavy Weapons to Ukraine'!CC$11, 'Bilateral Assistance, MAIN DATA'!$AA:$AA,1)</f>
        <v>0</v>
      </c>
      <c r="CD41" s="471"/>
      <c r="CE41" s="2">
        <f>SUMIFS('Bilateral Assistance, MAIN DATA'!$N:$N,'Bilateral Assistance, MAIN DATA'!$B:$B,'Share, Heavy Weapons to Ukraine'!$B41,'Bilateral Assistance, MAIN DATA'!$AO:$AO,'Share, Heavy Weapons to Ukraine'!CE$11, 'Bilateral Assistance, MAIN DATA'!$AA:$AA,1)</f>
        <v>0</v>
      </c>
      <c r="CF41" s="2">
        <f>SUMIFS('Bilateral Assistance, MAIN DATA'!$N:$N,'Bilateral Assistance, MAIN DATA'!$B:$B,'Share, Heavy Weapons to Ukraine'!$B41,'Bilateral Assistance, MAIN DATA'!$AO:$AO,'Share, Heavy Weapons to Ukraine'!CF$11, 'Bilateral Assistance, MAIN DATA'!$AA:$AA,1)</f>
        <v>0</v>
      </c>
      <c r="CG41" s="2">
        <f>SUMIFS('Bilateral Assistance, MAIN DATA'!$N:$N,'Bilateral Assistance, MAIN DATA'!$B:$B,'Share, Heavy Weapons to Ukraine'!$B41,'Bilateral Assistance, MAIN DATA'!$AO:$AO,'Share, Heavy Weapons to Ukraine'!CG$11, 'Bilateral Assistance, MAIN DATA'!$AA:$AA,1)</f>
        <v>0</v>
      </c>
      <c r="CH41" s="2">
        <f>SUMIFS('Bilateral Assistance, MAIN DATA'!$N:$N,'Bilateral Assistance, MAIN DATA'!$B:$B,'Share, Heavy Weapons to Ukraine'!$B41,'Bilateral Assistance, MAIN DATA'!$AO:$AO,'Share, Heavy Weapons to Ukraine'!CH$11, 'Bilateral Assistance, MAIN DATA'!$AA:$AA,1)</f>
        <v>0</v>
      </c>
    </row>
    <row r="42" spans="2:86" ht="15.6" x14ac:dyDescent="0.3">
      <c r="B42" s="470" t="s">
        <v>937</v>
      </c>
      <c r="C42" s="470">
        <v>0</v>
      </c>
      <c r="D42" s="2">
        <v>1</v>
      </c>
      <c r="E42" s="471"/>
      <c r="F42" s="472">
        <v>0.78600000000000003</v>
      </c>
      <c r="G42" s="470">
        <f>VLOOKUP(B42,'Heavy Weapon Stocks'!B:OE,COLUMN('Heavy Weapon Stocks'!$C$11)-1,FALSE)</f>
        <v>0</v>
      </c>
      <c r="H42" s="470">
        <f>VLOOKUP(B42,'Heavy Weapon Stocks'!B:OE,COLUMN('Heavy Weapon Stocks'!$AT$11)-1,FALSE)</f>
        <v>136</v>
      </c>
      <c r="I42" s="470">
        <f>VLOOKUP(B42,'Heavy Weapon Stocks'!B:OE,COLUMN('Heavy Weapon Stocks'!$DN$11)-1,FALSE)</f>
        <v>0</v>
      </c>
      <c r="J42" s="470">
        <f>VLOOKUP(B42,'Heavy Weapon Stocks'!B:OE,COLUMN('Heavy Weapon Stocks'!$EB$11)-1,FALSE)</f>
        <v>6</v>
      </c>
      <c r="K42" s="470">
        <f>VLOOKUP(B42,'Heavy Weapon Stocks'!B:OE,COLUMN('Heavy Weapon Stocks'!$FD$11)-1,FALSE)</f>
        <v>44</v>
      </c>
      <c r="L42" s="470">
        <f t="shared" si="3"/>
        <v>186</v>
      </c>
      <c r="M42" s="470">
        <f>VLOOKUP(B42,'Heavy Weapon Stocks'!B:OE,COLUMN('Heavy Weapon Stocks'!$GZ$11)-1,FALSE)+VLOOKUP(B42,'Heavy Weapon Stocks'!B:OE,COLUMN('Heavy Weapon Stocks'!$IF$11)-1,FALSE)</f>
        <v>30</v>
      </c>
      <c r="N42" s="470">
        <f>VLOOKUP(B42,'Heavy Weapon Stocks'!B:OE,COLUMN('Heavy Weapon Stocks'!$IK$11)-1,FALSE)</f>
        <v>0</v>
      </c>
      <c r="O42" s="470">
        <f>VLOOKUP(B42,'Heavy Weapon Stocks'!B:OE,COLUMN('Heavy Weapon Stocks'!$JE$11)-1,FALSE)+VLOOKUP(B42,'Heavy Weapon Stocks'!B:OE,COLUMN('Heavy Weapon Stocks'!$KB$11)-1,FALSE)</f>
        <v>0</v>
      </c>
      <c r="Q42" s="470">
        <f>VLOOKUP(B42,'Heavy Weapon Stocks'!B:OE,COLUMN('Heavy Weapon Stocks'!$LS$11)-1,FALSE)</f>
        <v>0</v>
      </c>
      <c r="R42" s="470">
        <f>VLOOKUP(B42,'Heavy Weapon Stocks'!B:OE,COLUMN('Heavy Weapon Stocks'!$MC$11)-1,FALSE)</f>
        <v>0</v>
      </c>
      <c r="S42" s="470">
        <f>VLOOKUP(B42,'Heavy Weapon Stocks'!B:OE,COLUMN('Heavy Weapon Stocks'!$MJ$11)-1,FALSE)</f>
        <v>0</v>
      </c>
      <c r="T42" s="470">
        <f>VLOOKUP(B42,'Heavy Weapon Stocks'!B:OE,COLUMN('Heavy Weapon Stocks'!$NO$11)-1,FALSE)</f>
        <v>0</v>
      </c>
      <c r="U42" s="471"/>
      <c r="V42" s="2">
        <f>SUMIFS('Bilateral Assistance, MAIN DATA'!$M:$M,'Bilateral Assistance, MAIN DATA'!$B:$B,'Share, Heavy Weapons to Ukraine'!$B42,'Bilateral Assistance, MAIN DATA'!$AO:$AO,'Share, Heavy Weapons to Ukraine'!V$11)</f>
        <v>0</v>
      </c>
      <c r="W42" s="2">
        <f>SUMIFS('Bilateral Assistance, MAIN DATA'!$M:$M,'Bilateral Assistance, MAIN DATA'!$B:$B,'Share, Heavy Weapons to Ukraine'!$B42,'Bilateral Assistance, MAIN DATA'!$AO:$AO,'Share, Heavy Weapons to Ukraine'!W$11)</f>
        <v>0</v>
      </c>
      <c r="X42" s="2">
        <f>SUMIFS('Bilateral Assistance, MAIN DATA'!$M:$M,'Bilateral Assistance, MAIN DATA'!$B:$B,'Share, Heavy Weapons to Ukraine'!$B42,'Bilateral Assistance, MAIN DATA'!$AO:$AO,'Share, Heavy Weapons to Ukraine'!X$11)</f>
        <v>7</v>
      </c>
      <c r="Y42" s="2">
        <f>SUMIFS('Bilateral Assistance, MAIN DATA'!$M:$M,'Bilateral Assistance, MAIN DATA'!$B:$B,'Share, Heavy Weapons to Ukraine'!$B42,'Bilateral Assistance, MAIN DATA'!$AO:$AO,'Share, Heavy Weapons to Ukraine'!Y$11)</f>
        <v>0</v>
      </c>
      <c r="Z42" s="2">
        <f>SUMIFS('Bilateral Assistance, MAIN DATA'!$M:$M,'Bilateral Assistance, MAIN DATA'!$B:$B,'Share, Heavy Weapons to Ukraine'!$B42,'Bilateral Assistance, MAIN DATA'!$AO:$AO,'Share, Heavy Weapons to Ukraine'!Z$11)</f>
        <v>0</v>
      </c>
      <c r="AA42" s="2">
        <f t="shared" si="1"/>
        <v>7</v>
      </c>
      <c r="AB42" s="2">
        <f>SUMIFS('Bilateral Assistance, MAIN DATA'!$M:$M,'Bilateral Assistance, MAIN DATA'!$B:$B,'Share, Heavy Weapons to Ukraine'!$B42,'Bilateral Assistance, MAIN DATA'!$AO:$AO,'Share, Heavy Weapons to Ukraine'!AB$11)</f>
        <v>0</v>
      </c>
      <c r="AC42" s="25">
        <f>SUMIFS('Bilateral Assistance, MAIN DATA'!$M:$M,'Bilateral Assistance, MAIN DATA'!$B:$B,'Share, Heavy Weapons to Ukraine'!$B42,'Bilateral Assistance, MAIN DATA'!$AO:$AO,"122mm MLRS")+SUMIFS('Bilateral Assistance, MAIN DATA'!$M:$M,'Bilateral Assistance, MAIN DATA'!$B:$B,'Share, Heavy Weapons to Ukraine'!$B42,'Bilateral Assistance, MAIN DATA'!$AO:$AO,"127mm MLRS")+SUMIFS('Bilateral Assistance, MAIN DATA'!$M:$M,'Bilateral Assistance, MAIN DATA'!$B:$B,'Share, Heavy Weapons to Ukraine'!$B42,'Bilateral Assistance, MAIN DATA'!$AO:$AO,"227mm MLRS")</f>
        <v>0</v>
      </c>
      <c r="AD42" s="2">
        <f>SUMIFS('Bilateral Assistance, MAIN DATA'!$M:$M,'Bilateral Assistance, MAIN DATA'!$B:$B,'Share, Heavy Weapons to Ukraine'!$B42,'Bilateral Assistance, MAIN DATA'!$AO:$AO,'Share, Heavy Weapons to Ukraine'!AD$11)</f>
        <v>0</v>
      </c>
      <c r="AE42" s="2">
        <f>SUMIFS('Bilateral Assistance, MAIN DATA'!$M:$M,'Bilateral Assistance, MAIN DATA'!$B:$B,'Share, Heavy Weapons to Ukraine'!$B42,'Bilateral Assistance, MAIN DATA'!$AO:$AO,'Share, Heavy Weapons to Ukraine'!AE$11)</f>
        <v>0</v>
      </c>
      <c r="AF42" s="2">
        <f>SUMIFS('Bilateral Assistance, MAIN DATA'!$M:$M,'Bilateral Assistance, MAIN DATA'!$B:$B,'Share, Heavy Weapons to Ukraine'!$B42,'Bilateral Assistance, MAIN DATA'!$AO:$AO,'Share, Heavy Weapons to Ukraine'!AF$11)</f>
        <v>0</v>
      </c>
      <c r="AG42" s="2">
        <f>SUMIFS('Bilateral Assistance, MAIN DATA'!$M:$M,'Bilateral Assistance, MAIN DATA'!$B:$B,'Share, Heavy Weapons to Ukraine'!$B42,'Bilateral Assistance, MAIN DATA'!$AO:$AO,'Share, Heavy Weapons to Ukraine'!AG$11)</f>
        <v>0</v>
      </c>
      <c r="AH42" s="2">
        <f>SUMIFS('Bilateral Assistance, MAIN DATA'!$M:$M,'Bilateral Assistance, MAIN DATA'!$B:$B,'Share, Heavy Weapons to Ukraine'!$B42,'Bilateral Assistance, MAIN DATA'!$AO:$AO,'Share, Heavy Weapons to Ukraine'!AH$11)</f>
        <v>0</v>
      </c>
      <c r="AI42" s="471"/>
      <c r="AJ42" s="2">
        <f>SUMIFS('Bilateral Assistance, MAIN DATA'!$N:$N,'Bilateral Assistance, MAIN DATA'!$B:$B,'Share, Heavy Weapons to Ukraine'!$B42,'Bilateral Assistance, MAIN DATA'!$AO:$AO,'Share, Heavy Weapons to Ukraine'!AJ$11)</f>
        <v>0</v>
      </c>
      <c r="AK42" s="2">
        <f>SUMIFS('Bilateral Assistance, MAIN DATA'!$N:$N,'Bilateral Assistance, MAIN DATA'!$B:$B,'Share, Heavy Weapons to Ukraine'!$B42,'Bilateral Assistance, MAIN DATA'!$AO:$AO,'Share, Heavy Weapons to Ukraine'!AK$11)</f>
        <v>0</v>
      </c>
      <c r="AL42" s="2">
        <f>SUMIFS('Bilateral Assistance, MAIN DATA'!$N:$N,'Bilateral Assistance, MAIN DATA'!$B:$B,'Share, Heavy Weapons to Ukraine'!$B42,'Bilateral Assistance, MAIN DATA'!$AO:$AO,'Share, Heavy Weapons to Ukraine'!AL$11)</f>
        <v>7</v>
      </c>
      <c r="AM42" s="2">
        <f>SUMIFS('Bilateral Assistance, MAIN DATA'!$N:$N,'Bilateral Assistance, MAIN DATA'!$B:$B,'Share, Heavy Weapons to Ukraine'!$B42,'Bilateral Assistance, MAIN DATA'!$AO:$AO,'Share, Heavy Weapons to Ukraine'!AM$11)</f>
        <v>0</v>
      </c>
      <c r="AN42" s="2">
        <f>SUMIFS('Bilateral Assistance, MAIN DATA'!$N:$N,'Bilateral Assistance, MAIN DATA'!$B:$B,'Share, Heavy Weapons to Ukraine'!$B42,'Bilateral Assistance, MAIN DATA'!$AO:$AO,'Share, Heavy Weapons to Ukraine'!AN$11)</f>
        <v>0</v>
      </c>
      <c r="AO42" s="2">
        <f t="shared" si="2"/>
        <v>7</v>
      </c>
      <c r="AP42" s="2">
        <f>SUMIFS('Bilateral Assistance, MAIN DATA'!$N:$N,'Bilateral Assistance, MAIN DATA'!$B:$B,'Share, Heavy Weapons to Ukraine'!$B42,'Bilateral Assistance, MAIN DATA'!$AO:$AO,'Share, Heavy Weapons to Ukraine'!AP$11)</f>
        <v>0</v>
      </c>
      <c r="AQ42" s="25">
        <f>SUMIFS('Bilateral Assistance, MAIN DATA'!$N:$N,'Bilateral Assistance, MAIN DATA'!$B:$B,'Share, Heavy Weapons to Ukraine'!$B42,'Bilateral Assistance, MAIN DATA'!$AO:$AO,"122mm MLRS")+SUMIFS('Bilateral Assistance, MAIN DATA'!$N:$N,'Bilateral Assistance, MAIN DATA'!$B:$B,'Share, Heavy Weapons to Ukraine'!$B42,'Bilateral Assistance, MAIN DATA'!$AO:$AO,"127mm MLRS")+SUMIFS('Bilateral Assistance, MAIN DATA'!$N:$N,'Bilateral Assistance, MAIN DATA'!$B:$B,'Share, Heavy Weapons to Ukraine'!$B42,'Bilateral Assistance, MAIN DATA'!$AO:$AO,"227mm MLRS")</f>
        <v>0</v>
      </c>
      <c r="AR42" s="2">
        <f>SUMIFS('Bilateral Assistance, MAIN DATA'!$N:$N,'Bilateral Assistance, MAIN DATA'!$B:$B,'Share, Heavy Weapons to Ukraine'!$B42,'Bilateral Assistance, MAIN DATA'!$AO:$AO,'Share, Heavy Weapons to Ukraine'!AR$11)</f>
        <v>0</v>
      </c>
      <c r="AS42" s="2">
        <f>SUMIFS('Bilateral Assistance, MAIN DATA'!$N:$N,'Bilateral Assistance, MAIN DATA'!$B:$B,'Share, Heavy Weapons to Ukraine'!$B42,'Bilateral Assistance, MAIN DATA'!$AO:$AO,'Share, Heavy Weapons to Ukraine'!AS$11)</f>
        <v>0</v>
      </c>
      <c r="AT42" s="2">
        <f>SUMIFS('Bilateral Assistance, MAIN DATA'!$N:$N,'Bilateral Assistance, MAIN DATA'!$B:$B,'Share, Heavy Weapons to Ukraine'!$B42,'Bilateral Assistance, MAIN DATA'!$AO:$AO,'Share, Heavy Weapons to Ukraine'!AT$11)</f>
        <v>0</v>
      </c>
      <c r="AU42" s="2">
        <f>SUMIFS('Bilateral Assistance, MAIN DATA'!$N:$N,'Bilateral Assistance, MAIN DATA'!$B:$B,'Share, Heavy Weapons to Ukraine'!$B42,'Bilateral Assistance, MAIN DATA'!$AO:$AO,'Share, Heavy Weapons to Ukraine'!AU$11)</f>
        <v>0</v>
      </c>
      <c r="AV42" s="2">
        <f>SUMIFS('Bilateral Assistance, MAIN DATA'!$N:$N,'Bilateral Assistance, MAIN DATA'!$B:$B,'Share, Heavy Weapons to Ukraine'!$B42,'Bilateral Assistance, MAIN DATA'!$AO:$AO,'Share, Heavy Weapons to Ukraine'!AV$11)</f>
        <v>0</v>
      </c>
      <c r="AW42" s="471"/>
      <c r="AX42" s="292">
        <f>IF(VLOOKUP($B42,$B:G,COLUMN(G41)-1,FALSE)&lt;&gt;0,VLOOKUP($B42,$B:V,COLUMN(V41)-1,FALSE)/VLOOKUP($B42,$B:G,COLUMN(G41)-1,FALSE),IF(VLOOKUP($B42,$B:V,COLUMN(V41)-1,FALSE)&lt;&gt;0,"Strange",0))</f>
        <v>0</v>
      </c>
      <c r="AY42" s="292">
        <f>IF(VLOOKUP($B42,$B:H,COLUMN(H41)-1,FALSE)&lt;&gt;0,VLOOKUP($B42,$B:W,COLUMN(W41)-1,FALSE)/VLOOKUP($B42,$B:H,COLUMN(H41)-1,FALSE),IF(VLOOKUP($B42,$B:W,COLUMN(W41)-1,FALSE)&lt;&gt;0,"Strange",0))</f>
        <v>0</v>
      </c>
      <c r="AZ42" s="292" t="str">
        <f>IF(VLOOKUP($B42,$B:I,COLUMN(I41)-1,FALSE)&lt;&gt;0,VLOOKUP($B42,$B:X,COLUMN(X41)-1,FALSE)/VLOOKUP($B42,$B:I,COLUMN(I41)-1,FALSE),IF(VLOOKUP($B42,$B:X,COLUMN(X41)-1,FALSE)&lt;&gt;0,"Strange",0))</f>
        <v>Strange</v>
      </c>
      <c r="BA42" s="292">
        <f>IF(VLOOKUP($B42,$B:J,COLUMN(J41)-1,FALSE)&lt;&gt;0,VLOOKUP($B42,$B:Y,COLUMN(Y41)-1,FALSE)/VLOOKUP($B42,$B:J,COLUMN(J41)-1,FALSE),IF(VLOOKUP($B42,$B:Y,COLUMN(Y41)-1,FALSE)&lt;&gt;0,"Strange",0))</f>
        <v>0</v>
      </c>
      <c r="BB42" s="292">
        <f>IF(VLOOKUP($B42,$B:K,COLUMN(K41)-1,FALSE)&lt;&gt;0,VLOOKUP($B42,$B:Z,COLUMN(Z41)-1,FALSE)/VLOOKUP($B42,$B:K,COLUMN(K41)-1,FALSE),IF(VLOOKUP($B42,$B:Z,COLUMN(Z41)-1,FALSE)&lt;&gt;0,"Strange",0))</f>
        <v>0</v>
      </c>
      <c r="BC42" s="292">
        <f>IF(VLOOKUP($B42,$B:L,COLUMN(L41)-1,FALSE)&lt;&gt;0,VLOOKUP($B42,$B:AA,COLUMN(AA41)-1,FALSE)/VLOOKUP($B42,$B:L,COLUMN(L41)-1,FALSE),IF(VLOOKUP($B42,$B:AA,COLUMN(AA41)-1,FALSE)&lt;&gt;0,"Strange",0))</f>
        <v>3.7634408602150539E-2</v>
      </c>
      <c r="BD42" s="292">
        <f>IF(VLOOKUP($B42,$B:M,COLUMN(M41)-1,FALSE)&lt;&gt;0,VLOOKUP($B42,$B:AB,COLUMN(AB41)-1,FALSE)/VLOOKUP($B42,$B:M,COLUMN(M41)-1,FALSE),IF(VLOOKUP($B42,$B:AB,COLUMN(AB41)-1,FALSE)&lt;&gt;0,"Strange",0))</f>
        <v>0</v>
      </c>
      <c r="BE42" s="292">
        <f>IF(VLOOKUP($B42,$B:N,COLUMN(N41)-1,FALSE)&lt;&gt;0,VLOOKUP($B42,$B:AC,COLUMN(AC41)-1,FALSE)/VLOOKUP($B42,$B:N,COLUMN(N41)-1,FALSE),IF(VLOOKUP($B42,$B:AC,COLUMN(AC41)-1,FALSE)&lt;&gt;0,"Strange",0))</f>
        <v>0</v>
      </c>
      <c r="BF42" s="292">
        <f>IF(VLOOKUP($B42,$B:O,COLUMN(O41)-1,FALSE)&lt;&gt;0,VLOOKUP($B42,$B:AD,COLUMN(AD41)-1,FALSE)/VLOOKUP($B42,$B:O,COLUMN(O41)-1,FALSE),IF(VLOOKUP($B42,$B:AD,COLUMN(AD41)-1,FALSE)&lt;&gt;0,"Strange",0))</f>
        <v>0</v>
      </c>
      <c r="BG42" s="292">
        <f>IF(VLOOKUP($B42,$B:Q,COLUMN(Q41)-1,FALSE)&lt;&gt;0,VLOOKUP($B42,$B:AE,COLUMN(AE41)-1,FALSE)/VLOOKUP($B42,$B:Q,COLUMN(Q41)-1,FALSE),IF(VLOOKUP($B42,$B:AE,COLUMN(AE41)-1,FALSE)&lt;&gt;0,"Strange",0))</f>
        <v>0</v>
      </c>
      <c r="BH42" s="292">
        <f>IF(VLOOKUP($B42,$B:R,COLUMN(R41)-1,FALSE)&lt;&gt;0,VLOOKUP($B42,$B:AF,COLUMN(AF41)-1,FALSE)/VLOOKUP($B42,$B:R,COLUMN(R41)-1,FALSE),IF(VLOOKUP($B42,$B:AF,COLUMN(AF41)-1,FALSE)&lt;&gt;0,"Strange",0))</f>
        <v>0</v>
      </c>
      <c r="BI42" s="292">
        <f>IF(VLOOKUP($B42,$B:S,COLUMN(S41)-1,FALSE)&lt;&gt;0,VLOOKUP($B42,$B:AG,COLUMN(AG41)-1,FALSE)/VLOOKUP($B42,$B:S,COLUMN(S41)-1,FALSE),IF(VLOOKUP($B42,$B:AG,COLUMN(AG41)-1,FALSE)&lt;&gt;0,"Strange",0))</f>
        <v>0</v>
      </c>
      <c r="BJ42" s="292">
        <f>IF(VLOOKUP($B42,$B:T,COLUMN(T41)-1,FALSE)&lt;&gt;0,VLOOKUP($B42,$B:AH,COLUMN(AH41)-1,FALSE)/VLOOKUP($B42,$B:T,COLUMN(T41)-1,FALSE),IF(VLOOKUP($B42,$B:AH,COLUMN(AH41)-1,FALSE)&lt;&gt;0,"Strange",0))</f>
        <v>0</v>
      </c>
      <c r="BK42" s="471"/>
      <c r="BL42" s="2">
        <f>IF(VLOOKUP($B42,$B:W,COLUMN(G41)-1,FALSE)&lt;&gt;0,VLOOKUP($B42,$B:AK,COLUMN(AJ41)-1,FALSE)/VLOOKUP($B42,$B:W,COLUMN(G41)-1,FALSE),IF(VLOOKUP($B42,$B:AK,COLUMN(AJ41)-1,FALSE)&lt;&gt;0,"Strange",0))</f>
        <v>0</v>
      </c>
      <c r="BM42" s="2">
        <f>IF(VLOOKUP($B42,$B:X,COLUMN(H41)-1,FALSE)&lt;&gt;0,VLOOKUP($B42,$B:AL,COLUMN(AK41)-1,FALSE)/VLOOKUP($B42,$B:X,COLUMN(H41)-1,FALSE),IF(VLOOKUP($B42,$B:AL,COLUMN(AK41)-1,FALSE)&lt;&gt;0,"Strange",0))</f>
        <v>0</v>
      </c>
      <c r="BN42" s="2" t="str">
        <f>IF(VLOOKUP($B42,$B:Y,COLUMN(I41)-1,FALSE)&lt;&gt;0,VLOOKUP($B42,$B:AM,COLUMN(AL41)-1,FALSE)/VLOOKUP($B42,$B:Y,COLUMN(I41)-1,FALSE),IF(VLOOKUP($B42,$B:AM,COLUMN(AL41)-1,FALSE)&lt;&gt;0,"Strange",0))</f>
        <v>Strange</v>
      </c>
      <c r="BO42" s="2">
        <f>IF(VLOOKUP($B42,$B:Z,COLUMN(J41)-1,FALSE)&lt;&gt;0,VLOOKUP($B42,$B:AN,COLUMN(AM41)-1,FALSE)/VLOOKUP($B42,$B:Z,COLUMN(J41)-1,FALSE),IF(VLOOKUP($B42,$B:AN,COLUMN(AM41)-1,FALSE)&lt;&gt;0,"Strange",0))</f>
        <v>0</v>
      </c>
      <c r="BP42" s="2">
        <f>IF(VLOOKUP($B42,$B:AB,COLUMN(K41)-1,FALSE)&lt;&gt;0,VLOOKUP($B42,$B:AP,COLUMN(AN41)-1,FALSE)/VLOOKUP($B42,$B:AB,COLUMN(K41)-1,FALSE),IF(VLOOKUP($B42,$B:AP,COLUMN(AN41)-1,FALSE)&lt;&gt;0,"Strange",0))</f>
        <v>0</v>
      </c>
      <c r="BQ42" s="2">
        <f>IF(VLOOKUP($B42,$B:AC,COLUMN(L41)-1,FALSE)&lt;&gt;0,VLOOKUP($B42,$B:AQ,COLUMN(AO41)-1,FALSE)/VLOOKUP($B42,$B:AC,COLUMN(L41)-1,FALSE),IF(VLOOKUP($B42,$B:AQ,COLUMN(AO41)-1,FALSE)&lt;&gt;0,"Strange",0))</f>
        <v>3.7634408602150539E-2</v>
      </c>
      <c r="BR42" s="2">
        <f>IF(VLOOKUP($B42,$B:AC,COLUMN(M41)-1,FALSE)&lt;&gt;0,VLOOKUP($B42,$B:AQ,COLUMN(AP41)-1,FALSE)/VLOOKUP($B42,$B:AC,COLUMN(M41)-1,FALSE),IF(VLOOKUP($B42,$B:AQ,COLUMN(AP41)-1,FALSE)&lt;&gt;0,"Strange",0))</f>
        <v>0</v>
      </c>
      <c r="BS42" s="2">
        <f>IF(VLOOKUP($B42,$B:AD,COLUMN(N41)-1,FALSE)&lt;&gt;0,VLOOKUP($B42,$B:AR,COLUMN(AQ41)-1,FALSE)/VLOOKUP($B42,$B:AD,COLUMN(N41)-1,FALSE),IF(VLOOKUP($B42,$B:AR,COLUMN(AQ41)-1,FALSE)&lt;&gt;0,"Strange",0))</f>
        <v>0</v>
      </c>
      <c r="BT42" s="2">
        <f>IF(VLOOKUP($B42,$B:AD,COLUMN(O41)-1,FALSE)&lt;&gt;0,VLOOKUP($B42,$B:AR,COLUMN(AR41)-1,FALSE)/VLOOKUP($B42,$B:AD,COLUMN(O41)-1,FALSE),IF(VLOOKUP($B42,$B:AR,COLUMN(AR41)-1,FALSE)&lt;&gt;0,"Strange",0))</f>
        <v>0</v>
      </c>
      <c r="BU42" s="2">
        <f>IF(VLOOKUP($B42,$B:AE,COLUMN(Q41)-1,FALSE)&lt;&gt;0,VLOOKUP($B42,$B:AS,COLUMN(AS41)-1,FALSE)/VLOOKUP($B42,$B:AE,COLUMN(Q41)-1,FALSE),IF(VLOOKUP($B42,$B:AS,COLUMN(AS41)-1,FALSE)&lt;&gt;0,"Strange",0))</f>
        <v>0</v>
      </c>
      <c r="BV42" s="2">
        <f>IF(VLOOKUP($B42,$B:AF,COLUMN(R41)-1,FALSE)&lt;&gt;0,VLOOKUP($B42,$B:AT,COLUMN(AT41)-1,FALSE)/VLOOKUP($B42,$B:AF,COLUMN(R41)-1,FALSE),IF(VLOOKUP($B42,$B:AT,COLUMN(AT41)-1,FALSE)&lt;&gt;0,"Strange",0))</f>
        <v>0</v>
      </c>
      <c r="BW42" s="2">
        <f>IF(VLOOKUP($B42,$B:AG,COLUMN(S41)-1,FALSE)&lt;&gt;0,VLOOKUP($B42,$B:AU,COLUMN(AU41)-1,FALSE)/VLOOKUP($B42,$B:AG,COLUMN(S41)-1,FALSE),IF(VLOOKUP($B42,$B:AU,COLUMN(AU41)-1,FALSE)&lt;&gt;0,"Strange",0))</f>
        <v>0</v>
      </c>
      <c r="BX42" s="2">
        <f>IF(VLOOKUP($B42,$B:AH,COLUMN(T41)-1,FALSE)&lt;&gt;0,VLOOKUP($B42,$B:AV,COLUMN(AV41)-1,FALSE)/VLOOKUP($B42,$B:AH,COLUMN(T41)-1,FALSE),IF(VLOOKUP($B42,$B:AV,COLUMN(AV41)-1,FALSE)&lt;&gt;0,"Strange",0))</f>
        <v>0</v>
      </c>
      <c r="BY42" s="471"/>
      <c r="BZ42" s="2">
        <f>SUMIFS('Bilateral Assistance, MAIN DATA'!$M:$M,'Bilateral Assistance, MAIN DATA'!$B:$B,'Share, Heavy Weapons to Ukraine'!$B42,'Bilateral Assistance, MAIN DATA'!$AO:$AO,'Share, Heavy Weapons to Ukraine'!BZ$11, 'Bilateral Assistance, MAIN DATA'!$AA:$AA,1)</f>
        <v>0</v>
      </c>
      <c r="CA42" s="2">
        <f>SUMIFS('Bilateral Assistance, MAIN DATA'!$M:$M,'Bilateral Assistance, MAIN DATA'!$B:$B,'Share, Heavy Weapons to Ukraine'!$B42,'Bilateral Assistance, MAIN DATA'!$AO:$AO,'Share, Heavy Weapons to Ukraine'!CA$11, 'Bilateral Assistance, MAIN DATA'!$AA:$AA,1)</f>
        <v>0</v>
      </c>
      <c r="CB42" s="2">
        <f>SUMIFS('Bilateral Assistance, MAIN DATA'!$M:$M,'Bilateral Assistance, MAIN DATA'!$B:$B,'Share, Heavy Weapons to Ukraine'!$B42,'Bilateral Assistance, MAIN DATA'!$AO:$AO,'Share, Heavy Weapons to Ukraine'!CB$11, 'Bilateral Assistance, MAIN DATA'!$AA:$AA,1)</f>
        <v>0</v>
      </c>
      <c r="CC42" s="2">
        <f>SUMIFS('Bilateral Assistance, MAIN DATA'!$M:$M,'Bilateral Assistance, MAIN DATA'!$B:$B,'Share, Heavy Weapons to Ukraine'!$B42,'Bilateral Assistance, MAIN DATA'!$AO:$AO,'Share, Heavy Weapons to Ukraine'!CC$11, 'Bilateral Assistance, MAIN DATA'!$AA:$AA,1)</f>
        <v>0</v>
      </c>
      <c r="CD42" s="471"/>
      <c r="CE42" s="2">
        <f>SUMIFS('Bilateral Assistance, MAIN DATA'!$N:$N,'Bilateral Assistance, MAIN DATA'!$B:$B,'Share, Heavy Weapons to Ukraine'!$B42,'Bilateral Assistance, MAIN DATA'!$AO:$AO,'Share, Heavy Weapons to Ukraine'!CE$11, 'Bilateral Assistance, MAIN DATA'!$AA:$AA,1)</f>
        <v>0</v>
      </c>
      <c r="CF42" s="2">
        <f>SUMIFS('Bilateral Assistance, MAIN DATA'!$N:$N,'Bilateral Assistance, MAIN DATA'!$B:$B,'Share, Heavy Weapons to Ukraine'!$B42,'Bilateral Assistance, MAIN DATA'!$AO:$AO,'Share, Heavy Weapons to Ukraine'!CF$11, 'Bilateral Assistance, MAIN DATA'!$AA:$AA,1)</f>
        <v>0</v>
      </c>
      <c r="CG42" s="2">
        <f>SUMIFS('Bilateral Assistance, MAIN DATA'!$N:$N,'Bilateral Assistance, MAIN DATA'!$B:$B,'Share, Heavy Weapons to Ukraine'!$B42,'Bilateral Assistance, MAIN DATA'!$AO:$AO,'Share, Heavy Weapons to Ukraine'!CG$11, 'Bilateral Assistance, MAIN DATA'!$AA:$AA,1)</f>
        <v>0</v>
      </c>
      <c r="CH42" s="2">
        <f>SUMIFS('Bilateral Assistance, MAIN DATA'!$N:$N,'Bilateral Assistance, MAIN DATA'!$B:$B,'Share, Heavy Weapons to Ukraine'!$B42,'Bilateral Assistance, MAIN DATA'!$AO:$AO,'Share, Heavy Weapons to Ukraine'!CH$11, 'Bilateral Assistance, MAIN DATA'!$AA:$AA,1)</f>
        <v>0</v>
      </c>
    </row>
    <row r="43" spans="2:86" ht="15.6" x14ac:dyDescent="0.3">
      <c r="B43" s="470" t="s">
        <v>2547</v>
      </c>
      <c r="C43" s="470">
        <v>0</v>
      </c>
      <c r="D43" s="2">
        <v>1</v>
      </c>
      <c r="E43" s="471"/>
      <c r="F43" s="472">
        <v>0.67</v>
      </c>
      <c r="G43" s="470">
        <f>VLOOKUP(B43,'Heavy Weapon Stocks'!B:OE,COLUMN('Heavy Weapon Stocks'!$C$11)-1,FALSE)</f>
        <v>76</v>
      </c>
      <c r="H43" s="470">
        <f>VLOOKUP(B43,'Heavy Weapon Stocks'!B:OE,COLUMN('Heavy Weapon Stocks'!$AT$11)-1,FALSE)</f>
        <v>139</v>
      </c>
      <c r="I43" s="470">
        <f>VLOOKUP(B43,'Heavy Weapon Stocks'!B:OE,COLUMN('Heavy Weapon Stocks'!$DN$11)-1,FALSE)</f>
        <v>0</v>
      </c>
      <c r="J43" s="470">
        <f>VLOOKUP(B43,'Heavy Weapon Stocks'!B:OE,COLUMN('Heavy Weapon Stocks'!$EB$11)-1,FALSE)</f>
        <v>0</v>
      </c>
      <c r="K43" s="470">
        <v>52</v>
      </c>
      <c r="L43" s="470">
        <f t="shared" si="3"/>
        <v>191</v>
      </c>
      <c r="M43" s="470">
        <f>VLOOKUP(B43,'Heavy Weapon Stocks'!B:OE,COLUMN('Heavy Weapon Stocks'!$GZ$11)-1,FALSE)+VLOOKUP(B43,'Heavy Weapon Stocks'!B:OE,COLUMN('Heavy Weapon Stocks'!$IF$11)-1,FALSE)</f>
        <v>18</v>
      </c>
      <c r="N43" s="470">
        <f>VLOOKUP(B43,'Heavy Weapon Stocks'!B:OE,COLUMN('Heavy Weapon Stocks'!$IK$11)-1,FALSE)</f>
        <v>0</v>
      </c>
      <c r="O43" s="470">
        <f>VLOOKUP(B43,'Heavy Weapon Stocks'!B:OE,COLUMN('Heavy Weapon Stocks'!$JE$11)-1,FALSE)+VLOOKUP(B43,'Heavy Weapon Stocks'!B:OE,COLUMN('Heavy Weapon Stocks'!$KB$11)-1,FALSE)</f>
        <v>0</v>
      </c>
      <c r="Q43" s="470">
        <f>VLOOKUP(B43,'Heavy Weapon Stocks'!B:OE,COLUMN('Heavy Weapon Stocks'!$LS$11)-1,FALSE)</f>
        <v>0</v>
      </c>
      <c r="R43" s="470">
        <f>VLOOKUP(B43,'Heavy Weapon Stocks'!B:OE,COLUMN('Heavy Weapon Stocks'!$MC$11)-1,FALSE)</f>
        <v>0</v>
      </c>
      <c r="S43" s="470">
        <f>VLOOKUP(B43,'Heavy Weapon Stocks'!B:OE,COLUMN('Heavy Weapon Stocks'!$MJ$11)-1,FALSE)</f>
        <v>0</v>
      </c>
      <c r="T43" s="470">
        <f>VLOOKUP(B43,'Heavy Weapon Stocks'!B:OE,COLUMN('Heavy Weapon Stocks'!$NO$11)-1,FALSE)</f>
        <v>0</v>
      </c>
      <c r="U43" s="471"/>
      <c r="V43" s="2">
        <f>SUMIFS('Bilateral Assistance, MAIN DATA'!$M:$M,'Bilateral Assistance, MAIN DATA'!$B:$B,'Share, Heavy Weapons to Ukraine'!$B43,'Bilateral Assistance, MAIN DATA'!$AO:$AO,'Share, Heavy Weapons to Ukraine'!V$11)</f>
        <v>28</v>
      </c>
      <c r="W43" s="2">
        <f>SUMIFS('Bilateral Assistance, MAIN DATA'!$M:$M,'Bilateral Assistance, MAIN DATA'!$B:$B,'Share, Heavy Weapons to Ukraine'!$B43,'Bilateral Assistance, MAIN DATA'!$AO:$AO,'Share, Heavy Weapons to Ukraine'!W$11)</f>
        <v>0</v>
      </c>
      <c r="X43" s="2">
        <f>SUMIFS('Bilateral Assistance, MAIN DATA'!$M:$M,'Bilateral Assistance, MAIN DATA'!$B:$B,'Share, Heavy Weapons to Ukraine'!$B43,'Bilateral Assistance, MAIN DATA'!$AO:$AO,'Share, Heavy Weapons to Ukraine'!X$11)</f>
        <v>0</v>
      </c>
      <c r="Y43" s="2">
        <f>SUMIFS('Bilateral Assistance, MAIN DATA'!$M:$M,'Bilateral Assistance, MAIN DATA'!$B:$B,'Share, Heavy Weapons to Ukraine'!$B43,'Bilateral Assistance, MAIN DATA'!$AO:$AO,'Share, Heavy Weapons to Ukraine'!Y$11)</f>
        <v>0</v>
      </c>
      <c r="Z43" s="2">
        <f>SUMIFS('Bilateral Assistance, MAIN DATA'!$M:$M,'Bilateral Assistance, MAIN DATA'!$B:$B,'Share, Heavy Weapons to Ukraine'!$B43,'Bilateral Assistance, MAIN DATA'!$AO:$AO,'Share, Heavy Weapons to Ukraine'!Z$11)</f>
        <v>35</v>
      </c>
      <c r="AA43" s="2">
        <f t="shared" si="1"/>
        <v>35</v>
      </c>
      <c r="AB43" s="2">
        <f>SUMIFS('Bilateral Assistance, MAIN DATA'!$M:$M,'Bilateral Assistance, MAIN DATA'!$B:$B,'Share, Heavy Weapons to Ukraine'!$B43,'Bilateral Assistance, MAIN DATA'!$AO:$AO,'Share, Heavy Weapons to Ukraine'!AB$11)</f>
        <v>0</v>
      </c>
      <c r="AC43" s="25">
        <f>SUMIFS('Bilateral Assistance, MAIN DATA'!$M:$M,'Bilateral Assistance, MAIN DATA'!$B:$B,'Share, Heavy Weapons to Ukraine'!$B43,'Bilateral Assistance, MAIN DATA'!$AO:$AO,"122mm MLRS")+SUMIFS('Bilateral Assistance, MAIN DATA'!$M:$M,'Bilateral Assistance, MAIN DATA'!$B:$B,'Share, Heavy Weapons to Ukraine'!$B43,'Bilateral Assistance, MAIN DATA'!$AO:$AO,"127mm MLRS")+SUMIFS('Bilateral Assistance, MAIN DATA'!$M:$M,'Bilateral Assistance, MAIN DATA'!$B:$B,'Share, Heavy Weapons to Ukraine'!$B43,'Bilateral Assistance, MAIN DATA'!$AO:$AO,"227mm MLRS")</f>
        <v>0</v>
      </c>
      <c r="AD43" s="2">
        <f>SUMIFS('Bilateral Assistance, MAIN DATA'!$M:$M,'Bilateral Assistance, MAIN DATA'!$B:$B,'Share, Heavy Weapons to Ukraine'!$B43,'Bilateral Assistance, MAIN DATA'!$AO:$AO,'Share, Heavy Weapons to Ukraine'!AD$11)</f>
        <v>0</v>
      </c>
      <c r="AE43" s="2">
        <f>SUMIFS('Bilateral Assistance, MAIN DATA'!$M:$M,'Bilateral Assistance, MAIN DATA'!$B:$B,'Share, Heavy Weapons to Ukraine'!$B43,'Bilateral Assistance, MAIN DATA'!$AO:$AO,'Share, Heavy Weapons to Ukraine'!AE$11)</f>
        <v>0</v>
      </c>
      <c r="AF43" s="2">
        <f>SUMIFS('Bilateral Assistance, MAIN DATA'!$M:$M,'Bilateral Assistance, MAIN DATA'!$B:$B,'Share, Heavy Weapons to Ukraine'!$B43,'Bilateral Assistance, MAIN DATA'!$AO:$AO,'Share, Heavy Weapons to Ukraine'!AF$11)</f>
        <v>0</v>
      </c>
      <c r="AG43" s="2">
        <f>SUMIFS('Bilateral Assistance, MAIN DATA'!$M:$M,'Bilateral Assistance, MAIN DATA'!$B:$B,'Share, Heavy Weapons to Ukraine'!$B43,'Bilateral Assistance, MAIN DATA'!$AO:$AO,'Share, Heavy Weapons to Ukraine'!AG$11)</f>
        <v>0</v>
      </c>
      <c r="AH43" s="2">
        <f>SUMIFS('Bilateral Assistance, MAIN DATA'!$M:$M,'Bilateral Assistance, MAIN DATA'!$B:$B,'Share, Heavy Weapons to Ukraine'!$B43,'Bilateral Assistance, MAIN DATA'!$AO:$AO,'Share, Heavy Weapons to Ukraine'!AH$11)</f>
        <v>0</v>
      </c>
      <c r="AI43" s="471"/>
      <c r="AJ43" s="2">
        <f>SUMIFS('Bilateral Assistance, MAIN DATA'!$N:$N,'Bilateral Assistance, MAIN DATA'!$B:$B,'Share, Heavy Weapons to Ukraine'!$B43,'Bilateral Assistance, MAIN DATA'!$AO:$AO,'Share, Heavy Weapons to Ukraine'!AJ$11)</f>
        <v>28</v>
      </c>
      <c r="AK43" s="2">
        <f>SUMIFS('Bilateral Assistance, MAIN DATA'!$N:$N,'Bilateral Assistance, MAIN DATA'!$B:$B,'Share, Heavy Weapons to Ukraine'!$B43,'Bilateral Assistance, MAIN DATA'!$AO:$AO,'Share, Heavy Weapons to Ukraine'!AK$11)</f>
        <v>0</v>
      </c>
      <c r="AL43" s="2">
        <f>SUMIFS('Bilateral Assistance, MAIN DATA'!$N:$N,'Bilateral Assistance, MAIN DATA'!$B:$B,'Share, Heavy Weapons to Ukraine'!$B43,'Bilateral Assistance, MAIN DATA'!$AO:$AO,'Share, Heavy Weapons to Ukraine'!AL$11)</f>
        <v>0</v>
      </c>
      <c r="AM43" s="2">
        <f>SUMIFS('Bilateral Assistance, MAIN DATA'!$N:$N,'Bilateral Assistance, MAIN DATA'!$B:$B,'Share, Heavy Weapons to Ukraine'!$B43,'Bilateral Assistance, MAIN DATA'!$AO:$AO,'Share, Heavy Weapons to Ukraine'!AM$11)</f>
        <v>0</v>
      </c>
      <c r="AN43" s="2">
        <f>SUMIFS('Bilateral Assistance, MAIN DATA'!$N:$N,'Bilateral Assistance, MAIN DATA'!$B:$B,'Share, Heavy Weapons to Ukraine'!$B43,'Bilateral Assistance, MAIN DATA'!$AO:$AO,'Share, Heavy Weapons to Ukraine'!AN$11)</f>
        <v>35</v>
      </c>
      <c r="AO43" s="2">
        <f t="shared" si="2"/>
        <v>35</v>
      </c>
      <c r="AP43" s="2">
        <f>SUMIFS('Bilateral Assistance, MAIN DATA'!$N:$N,'Bilateral Assistance, MAIN DATA'!$B:$B,'Share, Heavy Weapons to Ukraine'!$B43,'Bilateral Assistance, MAIN DATA'!$AO:$AO,'Share, Heavy Weapons to Ukraine'!AP$11)</f>
        <v>0</v>
      </c>
      <c r="AQ43" s="25">
        <f>SUMIFS('Bilateral Assistance, MAIN DATA'!$N:$N,'Bilateral Assistance, MAIN DATA'!$B:$B,'Share, Heavy Weapons to Ukraine'!$B43,'Bilateral Assistance, MAIN DATA'!$AO:$AO,"122mm MLRS")+SUMIFS('Bilateral Assistance, MAIN DATA'!$N:$N,'Bilateral Assistance, MAIN DATA'!$B:$B,'Share, Heavy Weapons to Ukraine'!$B43,'Bilateral Assistance, MAIN DATA'!$AO:$AO,"127mm MLRS")+SUMIFS('Bilateral Assistance, MAIN DATA'!$N:$N,'Bilateral Assistance, MAIN DATA'!$B:$B,'Share, Heavy Weapons to Ukraine'!$B43,'Bilateral Assistance, MAIN DATA'!$AO:$AO,"227mm MLRS")</f>
        <v>0</v>
      </c>
      <c r="AR43" s="2">
        <f>SUMIFS('Bilateral Assistance, MAIN DATA'!$N:$N,'Bilateral Assistance, MAIN DATA'!$B:$B,'Share, Heavy Weapons to Ukraine'!$B43,'Bilateral Assistance, MAIN DATA'!$AO:$AO,'Share, Heavy Weapons to Ukraine'!AR$11)</f>
        <v>0</v>
      </c>
      <c r="AS43" s="2">
        <f>SUMIFS('Bilateral Assistance, MAIN DATA'!$N:$N,'Bilateral Assistance, MAIN DATA'!$B:$B,'Share, Heavy Weapons to Ukraine'!$B43,'Bilateral Assistance, MAIN DATA'!$AO:$AO,'Share, Heavy Weapons to Ukraine'!AS$11)</f>
        <v>0</v>
      </c>
      <c r="AT43" s="2">
        <f>SUMIFS('Bilateral Assistance, MAIN DATA'!$N:$N,'Bilateral Assistance, MAIN DATA'!$B:$B,'Share, Heavy Weapons to Ukraine'!$B43,'Bilateral Assistance, MAIN DATA'!$AO:$AO,'Share, Heavy Weapons to Ukraine'!AT$11)</f>
        <v>0</v>
      </c>
      <c r="AU43" s="2">
        <f>SUMIFS('Bilateral Assistance, MAIN DATA'!$N:$N,'Bilateral Assistance, MAIN DATA'!$B:$B,'Share, Heavy Weapons to Ukraine'!$B43,'Bilateral Assistance, MAIN DATA'!$AO:$AO,'Share, Heavy Weapons to Ukraine'!AU$11)</f>
        <v>0</v>
      </c>
      <c r="AV43" s="2">
        <f>SUMIFS('Bilateral Assistance, MAIN DATA'!$N:$N,'Bilateral Assistance, MAIN DATA'!$B:$B,'Share, Heavy Weapons to Ukraine'!$B43,'Bilateral Assistance, MAIN DATA'!$AO:$AO,'Share, Heavy Weapons to Ukraine'!AV$11)</f>
        <v>0</v>
      </c>
      <c r="AW43" s="471"/>
      <c r="AX43" s="292">
        <f>IF(VLOOKUP($B43,$B:G,COLUMN(G42)-1,FALSE)&lt;&gt;0,VLOOKUP($B43,$B:V,COLUMN(V42)-1,FALSE)/VLOOKUP($B43,$B:G,COLUMN(G42)-1,FALSE),IF(VLOOKUP($B43,$B:V,COLUMN(V42)-1,FALSE)&lt;&gt;0,"Strange",0))</f>
        <v>0.36842105263157893</v>
      </c>
      <c r="AY43" s="292">
        <f>IF(VLOOKUP($B43,$B:H,COLUMN(H42)-1,FALSE)&lt;&gt;0,VLOOKUP($B43,$B:W,COLUMN(W42)-1,FALSE)/VLOOKUP($B43,$B:H,COLUMN(H42)-1,FALSE),IF(VLOOKUP($B43,$B:W,COLUMN(W42)-1,FALSE)&lt;&gt;0,"Strange",0))</f>
        <v>0</v>
      </c>
      <c r="AZ43" s="292">
        <f>IF(VLOOKUP($B43,$B:I,COLUMN(I42)-1,FALSE)&lt;&gt;0,VLOOKUP($B43,$B:X,COLUMN(X42)-1,FALSE)/VLOOKUP($B43,$B:I,COLUMN(I42)-1,FALSE),IF(VLOOKUP($B43,$B:X,COLUMN(X42)-1,FALSE)&lt;&gt;0,"Strange",0))</f>
        <v>0</v>
      </c>
      <c r="BA43" s="292">
        <f>IF(VLOOKUP($B43,$B:J,COLUMN(J42)-1,FALSE)&lt;&gt;0,VLOOKUP($B43,$B:Y,COLUMN(Y42)-1,FALSE)/VLOOKUP($B43,$B:J,COLUMN(J42)-1,FALSE),IF(VLOOKUP($B43,$B:Y,COLUMN(Y42)-1,FALSE)&lt;&gt;0,"Strange",0))</f>
        <v>0</v>
      </c>
      <c r="BB43" s="292">
        <f>IF(VLOOKUP($B43,$B:K,COLUMN(K42)-1,FALSE)&lt;&gt;0,VLOOKUP($B43,$B:Z,COLUMN(Z42)-1,FALSE)/VLOOKUP($B43,$B:K,COLUMN(K42)-1,FALSE),IF(VLOOKUP($B43,$B:Z,COLUMN(Z42)-1,FALSE)&lt;&gt;0,"Strange",0))</f>
        <v>0.67307692307692313</v>
      </c>
      <c r="BC43" s="292">
        <f>IF(VLOOKUP($B43,$B:L,COLUMN(L42)-1,FALSE)&lt;&gt;0,VLOOKUP($B43,$B:AA,COLUMN(AA42)-1,FALSE)/VLOOKUP($B43,$B:L,COLUMN(L42)-1,FALSE),IF(VLOOKUP($B43,$B:AA,COLUMN(AA42)-1,FALSE)&lt;&gt;0,"Strange",0))</f>
        <v>0.18324607329842932</v>
      </c>
      <c r="BD43" s="292">
        <f>IF(VLOOKUP($B43,$B:M,COLUMN(M42)-1,FALSE)&lt;&gt;0,VLOOKUP($B43,$B:AB,COLUMN(AB42)-1,FALSE)/VLOOKUP($B43,$B:M,COLUMN(M42)-1,FALSE),IF(VLOOKUP($B43,$B:AB,COLUMN(AB42)-1,FALSE)&lt;&gt;0,"Strange",0))</f>
        <v>0</v>
      </c>
      <c r="BE43" s="292">
        <f>IF(VLOOKUP($B43,$B:N,COLUMN(N42)-1,FALSE)&lt;&gt;0,VLOOKUP($B43,$B:AC,COLUMN(AC42)-1,FALSE)/VLOOKUP($B43,$B:N,COLUMN(N42)-1,FALSE),IF(VLOOKUP($B43,$B:AC,COLUMN(AC42)-1,FALSE)&lt;&gt;0,"Strange",0))</f>
        <v>0</v>
      </c>
      <c r="BF43" s="292">
        <f>IF(VLOOKUP($B43,$B:O,COLUMN(O42)-1,FALSE)&lt;&gt;0,VLOOKUP($B43,$B:AD,COLUMN(AD42)-1,FALSE)/VLOOKUP($B43,$B:O,COLUMN(O42)-1,FALSE),IF(VLOOKUP($B43,$B:AD,COLUMN(AD42)-1,FALSE)&lt;&gt;0,"Strange",0))</f>
        <v>0</v>
      </c>
      <c r="BG43" s="292">
        <f>IF(VLOOKUP($B43,$B:Q,COLUMN(Q42)-1,FALSE)&lt;&gt;0,VLOOKUP($B43,$B:AE,COLUMN(AE42)-1,FALSE)/VLOOKUP($B43,$B:Q,COLUMN(Q42)-1,FALSE),IF(VLOOKUP($B43,$B:AE,COLUMN(AE42)-1,FALSE)&lt;&gt;0,"Strange",0))</f>
        <v>0</v>
      </c>
      <c r="BH43" s="292">
        <f>IF(VLOOKUP($B43,$B:R,COLUMN(R42)-1,FALSE)&lt;&gt;0,VLOOKUP($B43,$B:AF,COLUMN(AF42)-1,FALSE)/VLOOKUP($B43,$B:R,COLUMN(R42)-1,FALSE),IF(VLOOKUP($B43,$B:AF,COLUMN(AF42)-1,FALSE)&lt;&gt;0,"Strange",0))</f>
        <v>0</v>
      </c>
      <c r="BI43" s="292">
        <f>IF(VLOOKUP($B43,$B:S,COLUMN(S42)-1,FALSE)&lt;&gt;0,VLOOKUP($B43,$B:AG,COLUMN(AG42)-1,FALSE)/VLOOKUP($B43,$B:S,COLUMN(S42)-1,FALSE),IF(VLOOKUP($B43,$B:AG,COLUMN(AG42)-1,FALSE)&lt;&gt;0,"Strange",0))</f>
        <v>0</v>
      </c>
      <c r="BJ43" s="292">
        <f>IF(VLOOKUP($B43,$B:T,COLUMN(T42)-1,FALSE)&lt;&gt;0,VLOOKUP($B43,$B:AH,COLUMN(AH42)-1,FALSE)/VLOOKUP($B43,$B:T,COLUMN(T42)-1,FALSE),IF(VLOOKUP($B43,$B:AH,COLUMN(AH42)-1,FALSE)&lt;&gt;0,"Strange",0))</f>
        <v>0</v>
      </c>
      <c r="BK43" s="471"/>
      <c r="BL43" s="2">
        <f>IF(VLOOKUP($B43,$B:W,COLUMN(G42)-1,FALSE)&lt;&gt;0,VLOOKUP($B43,$B:AK,COLUMN(AJ42)-1,FALSE)/VLOOKUP($B43,$B:W,COLUMN(G42)-1,FALSE),IF(VLOOKUP($B43,$B:AK,COLUMN(AJ42)-1,FALSE)&lt;&gt;0,"Strange",0))</f>
        <v>0.36842105263157893</v>
      </c>
      <c r="BM43" s="2">
        <f>IF(VLOOKUP($B43,$B:X,COLUMN(H42)-1,FALSE)&lt;&gt;0,VLOOKUP($B43,$B:AL,COLUMN(AK42)-1,FALSE)/VLOOKUP($B43,$B:X,COLUMN(H42)-1,FALSE),IF(VLOOKUP($B43,$B:AL,COLUMN(AK42)-1,FALSE)&lt;&gt;0,"Strange",0))</f>
        <v>0</v>
      </c>
      <c r="BN43" s="2">
        <f>IF(VLOOKUP($B43,$B:Y,COLUMN(I42)-1,FALSE)&lt;&gt;0,VLOOKUP($B43,$B:AM,COLUMN(AL42)-1,FALSE)/VLOOKUP($B43,$B:Y,COLUMN(I42)-1,FALSE),IF(VLOOKUP($B43,$B:AM,COLUMN(AL42)-1,FALSE)&lt;&gt;0,"Strange",0))</f>
        <v>0</v>
      </c>
      <c r="BO43" s="2">
        <f>IF(VLOOKUP($B43,$B:Z,COLUMN(J42)-1,FALSE)&lt;&gt;0,VLOOKUP($B43,$B:AN,COLUMN(AM42)-1,FALSE)/VLOOKUP($B43,$B:Z,COLUMN(J42)-1,FALSE),IF(VLOOKUP($B43,$B:AN,COLUMN(AM42)-1,FALSE)&lt;&gt;0,"Strange",0))</f>
        <v>0</v>
      </c>
      <c r="BP43" s="2">
        <f>IF(VLOOKUP($B43,$B:AB,COLUMN(K42)-1,FALSE)&lt;&gt;0,VLOOKUP($B43,$B:AP,COLUMN(AN42)-1,FALSE)/VLOOKUP($B43,$B:AB,COLUMN(K42)-1,FALSE),IF(VLOOKUP($B43,$B:AP,COLUMN(AN42)-1,FALSE)&lt;&gt;0,"Strange",0))</f>
        <v>0.67307692307692313</v>
      </c>
      <c r="BQ43" s="2">
        <f>IF(VLOOKUP($B43,$B:AC,COLUMN(L42)-1,FALSE)&lt;&gt;0,VLOOKUP($B43,$B:AQ,COLUMN(AO42)-1,FALSE)/VLOOKUP($B43,$B:AC,COLUMN(L42)-1,FALSE),IF(VLOOKUP($B43,$B:AQ,COLUMN(AO42)-1,FALSE)&lt;&gt;0,"Strange",0))</f>
        <v>0.18324607329842932</v>
      </c>
      <c r="BR43" s="2">
        <f>IF(VLOOKUP($B43,$B:AC,COLUMN(M42)-1,FALSE)&lt;&gt;0,VLOOKUP($B43,$B:AQ,COLUMN(AP42)-1,FALSE)/VLOOKUP($B43,$B:AC,COLUMN(M42)-1,FALSE),IF(VLOOKUP($B43,$B:AQ,COLUMN(AP42)-1,FALSE)&lt;&gt;0,"Strange",0))</f>
        <v>0</v>
      </c>
      <c r="BS43" s="2">
        <f>IF(VLOOKUP($B43,$B:AD,COLUMN(N42)-1,FALSE)&lt;&gt;0,VLOOKUP($B43,$B:AR,COLUMN(AQ42)-1,FALSE)/VLOOKUP($B43,$B:AD,COLUMN(N42)-1,FALSE),IF(VLOOKUP($B43,$B:AR,COLUMN(AQ42)-1,FALSE)&lt;&gt;0,"Strange",0))</f>
        <v>0</v>
      </c>
      <c r="BT43" s="2">
        <f>IF(VLOOKUP($B43,$B:AD,COLUMN(O42)-1,FALSE)&lt;&gt;0,VLOOKUP($B43,$B:AR,COLUMN(AR42)-1,FALSE)/VLOOKUP($B43,$B:AD,COLUMN(O42)-1,FALSE),IF(VLOOKUP($B43,$B:AR,COLUMN(AR42)-1,FALSE)&lt;&gt;0,"Strange",0))</f>
        <v>0</v>
      </c>
      <c r="BU43" s="2">
        <f>IF(VLOOKUP($B43,$B:AE,COLUMN(Q42)-1,FALSE)&lt;&gt;0,VLOOKUP($B43,$B:AS,COLUMN(AS42)-1,FALSE)/VLOOKUP($B43,$B:AE,COLUMN(Q42)-1,FALSE),IF(VLOOKUP($B43,$B:AS,COLUMN(AS42)-1,FALSE)&lt;&gt;0,"Strange",0))</f>
        <v>0</v>
      </c>
      <c r="BV43" s="2">
        <f>IF(VLOOKUP($B43,$B:AF,COLUMN(R42)-1,FALSE)&lt;&gt;0,VLOOKUP($B43,$B:AT,COLUMN(AT42)-1,FALSE)/VLOOKUP($B43,$B:AF,COLUMN(R42)-1,FALSE),IF(VLOOKUP($B43,$B:AT,COLUMN(AT42)-1,FALSE)&lt;&gt;0,"Strange",0))</f>
        <v>0</v>
      </c>
      <c r="BW43" s="2">
        <f>IF(VLOOKUP($B43,$B:AG,COLUMN(S42)-1,FALSE)&lt;&gt;0,VLOOKUP($B43,$B:AU,COLUMN(AU42)-1,FALSE)/VLOOKUP($B43,$B:AG,COLUMN(S42)-1,FALSE),IF(VLOOKUP($B43,$B:AU,COLUMN(AU42)-1,FALSE)&lt;&gt;0,"Strange",0))</f>
        <v>0</v>
      </c>
      <c r="BX43" s="2">
        <f>IF(VLOOKUP($B43,$B:AH,COLUMN(T42)-1,FALSE)&lt;&gt;0,VLOOKUP($B43,$B:AV,COLUMN(AV42)-1,FALSE)/VLOOKUP($B43,$B:AH,COLUMN(T42)-1,FALSE),IF(VLOOKUP($B43,$B:AV,COLUMN(AV42)-1,FALSE)&lt;&gt;0,"Strange",0))</f>
        <v>0</v>
      </c>
      <c r="BY43" s="471"/>
      <c r="BZ43" s="2">
        <f>SUMIFS('Bilateral Assistance, MAIN DATA'!$M:$M,'Bilateral Assistance, MAIN DATA'!$B:$B,'Share, Heavy Weapons to Ukraine'!$B43,'Bilateral Assistance, MAIN DATA'!$AO:$AO,'Share, Heavy Weapons to Ukraine'!BZ$11, 'Bilateral Assistance, MAIN DATA'!$AA:$AA,1)</f>
        <v>0</v>
      </c>
      <c r="CA43" s="2">
        <f>SUMIFS('Bilateral Assistance, MAIN DATA'!$M:$M,'Bilateral Assistance, MAIN DATA'!$B:$B,'Share, Heavy Weapons to Ukraine'!$B43,'Bilateral Assistance, MAIN DATA'!$AO:$AO,'Share, Heavy Weapons to Ukraine'!CA$11, 'Bilateral Assistance, MAIN DATA'!$AA:$AA,1)</f>
        <v>0</v>
      </c>
      <c r="CB43" s="2">
        <f>SUMIFS('Bilateral Assistance, MAIN DATA'!$M:$M,'Bilateral Assistance, MAIN DATA'!$B:$B,'Share, Heavy Weapons to Ukraine'!$B43,'Bilateral Assistance, MAIN DATA'!$AO:$AO,'Share, Heavy Weapons to Ukraine'!CB$11, 'Bilateral Assistance, MAIN DATA'!$AA:$AA,1)</f>
        <v>0</v>
      </c>
      <c r="CC43" s="2">
        <f>SUMIFS('Bilateral Assistance, MAIN DATA'!$M:$M,'Bilateral Assistance, MAIN DATA'!$B:$B,'Share, Heavy Weapons to Ukraine'!$B43,'Bilateral Assistance, MAIN DATA'!$AO:$AO,'Share, Heavy Weapons to Ukraine'!CC$11, 'Bilateral Assistance, MAIN DATA'!$AA:$AA,1)</f>
        <v>0</v>
      </c>
      <c r="CD43" s="471"/>
      <c r="CE43" s="2">
        <f>SUMIFS('Bilateral Assistance, MAIN DATA'!$N:$N,'Bilateral Assistance, MAIN DATA'!$B:$B,'Share, Heavy Weapons to Ukraine'!$B43,'Bilateral Assistance, MAIN DATA'!$AO:$AO,'Share, Heavy Weapons to Ukraine'!CE$11, 'Bilateral Assistance, MAIN DATA'!$AA:$AA,1)</f>
        <v>0</v>
      </c>
      <c r="CF43" s="2">
        <f>SUMIFS('Bilateral Assistance, MAIN DATA'!$N:$N,'Bilateral Assistance, MAIN DATA'!$B:$B,'Share, Heavy Weapons to Ukraine'!$B43,'Bilateral Assistance, MAIN DATA'!$AO:$AO,'Share, Heavy Weapons to Ukraine'!CF$11, 'Bilateral Assistance, MAIN DATA'!$AA:$AA,1)</f>
        <v>0</v>
      </c>
      <c r="CG43" s="2">
        <f>SUMIFS('Bilateral Assistance, MAIN DATA'!$N:$N,'Bilateral Assistance, MAIN DATA'!$B:$B,'Share, Heavy Weapons to Ukraine'!$B43,'Bilateral Assistance, MAIN DATA'!$AO:$AO,'Share, Heavy Weapons to Ukraine'!CG$11, 'Bilateral Assistance, MAIN DATA'!$AA:$AA,1)</f>
        <v>0</v>
      </c>
      <c r="CH43" s="2">
        <f>SUMIFS('Bilateral Assistance, MAIN DATA'!$N:$N,'Bilateral Assistance, MAIN DATA'!$B:$B,'Share, Heavy Weapons to Ukraine'!$B43,'Bilateral Assistance, MAIN DATA'!$AO:$AO,'Share, Heavy Weapons to Ukraine'!CH$11, 'Bilateral Assistance, MAIN DATA'!$AA:$AA,1)</f>
        <v>0</v>
      </c>
    </row>
    <row r="44" spans="2:86" ht="15.6" x14ac:dyDescent="0.3">
      <c r="B44" s="470" t="s">
        <v>696</v>
      </c>
      <c r="C44" s="470">
        <v>0</v>
      </c>
      <c r="D44" s="2">
        <v>1</v>
      </c>
      <c r="E44" s="471"/>
      <c r="F44" s="472">
        <v>0.52300000000000002</v>
      </c>
      <c r="G44" s="470">
        <f>VLOOKUP(B44,'Heavy Weapon Stocks'!B:OE,COLUMN('Heavy Weapon Stocks'!$C$11)-1,FALSE)</f>
        <v>134</v>
      </c>
      <c r="H44" s="470">
        <f>VLOOKUP(B44,'Heavy Weapon Stocks'!B:OE,COLUMN('Heavy Weapon Stocks'!$AT$11)-1,FALSE)</f>
        <v>295</v>
      </c>
      <c r="I44" s="470">
        <f>VLOOKUP(B44,'Heavy Weapon Stocks'!B:OE,COLUMN('Heavy Weapon Stocks'!$DN$11)-1,FALSE)</f>
        <v>0</v>
      </c>
      <c r="J44" s="470">
        <f>VLOOKUP(B44,'Heavy Weapon Stocks'!B:OE,COLUMN('Heavy Weapon Stocks'!$EB$11)-1,FALSE)</f>
        <v>8</v>
      </c>
      <c r="K44" s="470">
        <f>VLOOKUP(B44,'Heavy Weapon Stocks'!B:OE,COLUMN('Heavy Weapon Stocks'!$FD$11)-1,FALSE)</f>
        <v>43</v>
      </c>
      <c r="L44" s="470">
        <f t="shared" si="3"/>
        <v>346</v>
      </c>
      <c r="M44" s="470">
        <f>VLOOKUP(B44,'Heavy Weapon Stocks'!B:OE,COLUMN('Heavy Weapon Stocks'!$GZ$11)-1,FALSE)+VLOOKUP(B44,'Heavy Weapon Stocks'!B:OE,COLUMN('Heavy Weapon Stocks'!$IF$11)-1,FALSE)</f>
        <v>60</v>
      </c>
      <c r="N44" s="470">
        <f>VLOOKUP(B44,'Heavy Weapon Stocks'!B:OE,COLUMN('Heavy Weapon Stocks'!$IK$11)-1,FALSE)</f>
        <v>22</v>
      </c>
      <c r="O44" s="470">
        <f>VLOOKUP(B44,'Heavy Weapon Stocks'!B:OE,COLUMN('Heavy Weapon Stocks'!$JE$11)-1,FALSE)+VLOOKUP(B44,'Heavy Weapon Stocks'!B:OE,COLUMN('Heavy Weapon Stocks'!$KB$11)-1,FALSE)</f>
        <v>0</v>
      </c>
      <c r="Q44" s="470">
        <f>VLOOKUP(B44,'Heavy Weapon Stocks'!B:OE,COLUMN('Heavy Weapon Stocks'!$LS$11)-1,FALSE)</f>
        <v>0</v>
      </c>
      <c r="R44" s="470">
        <f>VLOOKUP(B44,'Heavy Weapon Stocks'!B:OE,COLUMN('Heavy Weapon Stocks'!$MC$11)-1,FALSE)</f>
        <v>4</v>
      </c>
      <c r="S44" s="470">
        <f>VLOOKUP(B44,'Heavy Weapon Stocks'!B:OE,COLUMN('Heavy Weapon Stocks'!$MJ$11)-1,FALSE)</f>
        <v>18</v>
      </c>
      <c r="T44" s="470">
        <f>VLOOKUP(B44,'Heavy Weapon Stocks'!B:OE,COLUMN('Heavy Weapon Stocks'!$NO$11)-1,FALSE)</f>
        <v>0</v>
      </c>
      <c r="U44" s="471"/>
      <c r="V44" s="2">
        <f>SUMIFS('Bilateral Assistance, MAIN DATA'!$M:$M,'Bilateral Assistance, MAIN DATA'!$B:$B,'Share, Heavy Weapons to Ukraine'!$B44,'Bilateral Assistance, MAIN DATA'!$AO:$AO,'Share, Heavy Weapons to Ukraine'!V$11)</f>
        <v>0</v>
      </c>
      <c r="W44" s="2">
        <f>SUMIFS('Bilateral Assistance, MAIN DATA'!$M:$M,'Bilateral Assistance, MAIN DATA'!$B:$B,'Share, Heavy Weapons to Ukraine'!$B44,'Bilateral Assistance, MAIN DATA'!$AO:$AO,'Share, Heavy Weapons to Ukraine'!W$11)</f>
        <v>0</v>
      </c>
      <c r="X44" s="2">
        <f>SUMIFS('Bilateral Assistance, MAIN DATA'!$M:$M,'Bilateral Assistance, MAIN DATA'!$B:$B,'Share, Heavy Weapons to Ukraine'!$B44,'Bilateral Assistance, MAIN DATA'!$AO:$AO,'Share, Heavy Weapons to Ukraine'!X$11)</f>
        <v>0</v>
      </c>
      <c r="Y44" s="2">
        <f>SUMIFS('Bilateral Assistance, MAIN DATA'!$M:$M,'Bilateral Assistance, MAIN DATA'!$B:$B,'Share, Heavy Weapons to Ukraine'!$B44,'Bilateral Assistance, MAIN DATA'!$AO:$AO,'Share, Heavy Weapons to Ukraine'!Y$11)</f>
        <v>0</v>
      </c>
      <c r="Z44" s="2">
        <f>SUMIFS('Bilateral Assistance, MAIN DATA'!$M:$M,'Bilateral Assistance, MAIN DATA'!$B:$B,'Share, Heavy Weapons to Ukraine'!$B44,'Bilateral Assistance, MAIN DATA'!$AO:$AO,'Share, Heavy Weapons to Ukraine'!Z$11)</f>
        <v>0</v>
      </c>
      <c r="AA44" s="2">
        <f t="shared" si="1"/>
        <v>0</v>
      </c>
      <c r="AB44" s="2">
        <f>SUMIFS('Bilateral Assistance, MAIN DATA'!$M:$M,'Bilateral Assistance, MAIN DATA'!$B:$B,'Share, Heavy Weapons to Ukraine'!$B44,'Bilateral Assistance, MAIN DATA'!$AO:$AO,'Share, Heavy Weapons to Ukraine'!AB$11)</f>
        <v>0</v>
      </c>
      <c r="AC44" s="25">
        <f>SUMIFS('Bilateral Assistance, MAIN DATA'!$M:$M,'Bilateral Assistance, MAIN DATA'!$B:$B,'Share, Heavy Weapons to Ukraine'!$B44,'Bilateral Assistance, MAIN DATA'!$AO:$AO,"122mm MLRS")+SUMIFS('Bilateral Assistance, MAIN DATA'!$M:$M,'Bilateral Assistance, MAIN DATA'!$B:$B,'Share, Heavy Weapons to Ukraine'!$B44,'Bilateral Assistance, MAIN DATA'!$AO:$AO,"127mm MLRS")+SUMIFS('Bilateral Assistance, MAIN DATA'!$M:$M,'Bilateral Assistance, MAIN DATA'!$B:$B,'Share, Heavy Weapons to Ukraine'!$B44,'Bilateral Assistance, MAIN DATA'!$AO:$AO,"227mm MLRS")</f>
        <v>0</v>
      </c>
      <c r="AD44" s="2">
        <f>SUMIFS('Bilateral Assistance, MAIN DATA'!$M:$M,'Bilateral Assistance, MAIN DATA'!$B:$B,'Share, Heavy Weapons to Ukraine'!$B44,'Bilateral Assistance, MAIN DATA'!$AO:$AO,'Share, Heavy Weapons to Ukraine'!AD$11)</f>
        <v>0</v>
      </c>
      <c r="AE44" s="2">
        <f>SUMIFS('Bilateral Assistance, MAIN DATA'!$M:$M,'Bilateral Assistance, MAIN DATA'!$B:$B,'Share, Heavy Weapons to Ukraine'!$B44,'Bilateral Assistance, MAIN DATA'!$AO:$AO,'Share, Heavy Weapons to Ukraine'!AE$11)</f>
        <v>0</v>
      </c>
      <c r="AF44" s="2">
        <f>SUMIFS('Bilateral Assistance, MAIN DATA'!$M:$M,'Bilateral Assistance, MAIN DATA'!$B:$B,'Share, Heavy Weapons to Ukraine'!$B44,'Bilateral Assistance, MAIN DATA'!$AO:$AO,'Share, Heavy Weapons to Ukraine'!AF$11)</f>
        <v>0</v>
      </c>
      <c r="AG44" s="2">
        <f>SUMIFS('Bilateral Assistance, MAIN DATA'!$M:$M,'Bilateral Assistance, MAIN DATA'!$B:$B,'Share, Heavy Weapons to Ukraine'!$B44,'Bilateral Assistance, MAIN DATA'!$AO:$AO,'Share, Heavy Weapons to Ukraine'!AG$11)</f>
        <v>0</v>
      </c>
      <c r="AH44" s="2">
        <f>SUMIFS('Bilateral Assistance, MAIN DATA'!$M:$M,'Bilateral Assistance, MAIN DATA'!$B:$B,'Share, Heavy Weapons to Ukraine'!$B44,'Bilateral Assistance, MAIN DATA'!$AO:$AO,'Share, Heavy Weapons to Ukraine'!AH$11)</f>
        <v>0</v>
      </c>
      <c r="AI44" s="471"/>
      <c r="AJ44" s="2">
        <f>SUMIFS('Bilateral Assistance, MAIN DATA'!$N:$N,'Bilateral Assistance, MAIN DATA'!$B:$B,'Share, Heavy Weapons to Ukraine'!$B44,'Bilateral Assistance, MAIN DATA'!$AO:$AO,'Share, Heavy Weapons to Ukraine'!AJ$11)</f>
        <v>0</v>
      </c>
      <c r="AK44" s="2">
        <f>SUMIFS('Bilateral Assistance, MAIN DATA'!$N:$N,'Bilateral Assistance, MAIN DATA'!$B:$B,'Share, Heavy Weapons to Ukraine'!$B44,'Bilateral Assistance, MAIN DATA'!$AO:$AO,'Share, Heavy Weapons to Ukraine'!AK$11)</f>
        <v>0</v>
      </c>
      <c r="AL44" s="2">
        <f>SUMIFS('Bilateral Assistance, MAIN DATA'!$N:$N,'Bilateral Assistance, MAIN DATA'!$B:$B,'Share, Heavy Weapons to Ukraine'!$B44,'Bilateral Assistance, MAIN DATA'!$AO:$AO,'Share, Heavy Weapons to Ukraine'!AL$11)</f>
        <v>0</v>
      </c>
      <c r="AM44" s="2">
        <f>SUMIFS('Bilateral Assistance, MAIN DATA'!$N:$N,'Bilateral Assistance, MAIN DATA'!$B:$B,'Share, Heavy Weapons to Ukraine'!$B44,'Bilateral Assistance, MAIN DATA'!$AO:$AO,'Share, Heavy Weapons to Ukraine'!AM$11)</f>
        <v>0</v>
      </c>
      <c r="AN44" s="2">
        <f>SUMIFS('Bilateral Assistance, MAIN DATA'!$N:$N,'Bilateral Assistance, MAIN DATA'!$B:$B,'Share, Heavy Weapons to Ukraine'!$B44,'Bilateral Assistance, MAIN DATA'!$AO:$AO,'Share, Heavy Weapons to Ukraine'!AN$11)</f>
        <v>0</v>
      </c>
      <c r="AO44" s="2">
        <f t="shared" si="2"/>
        <v>0</v>
      </c>
      <c r="AP44" s="2">
        <f>SUMIFS('Bilateral Assistance, MAIN DATA'!$N:$N,'Bilateral Assistance, MAIN DATA'!$B:$B,'Share, Heavy Weapons to Ukraine'!$B44,'Bilateral Assistance, MAIN DATA'!$AO:$AO,'Share, Heavy Weapons to Ukraine'!AP$11)</f>
        <v>0</v>
      </c>
      <c r="AQ44" s="25">
        <f>SUMIFS('Bilateral Assistance, MAIN DATA'!$N:$N,'Bilateral Assistance, MAIN DATA'!$B:$B,'Share, Heavy Weapons to Ukraine'!$B44,'Bilateral Assistance, MAIN DATA'!$AO:$AO,"122mm MLRS")+SUMIFS('Bilateral Assistance, MAIN DATA'!$N:$N,'Bilateral Assistance, MAIN DATA'!$B:$B,'Share, Heavy Weapons to Ukraine'!$B44,'Bilateral Assistance, MAIN DATA'!$AO:$AO,"127mm MLRS")+SUMIFS('Bilateral Assistance, MAIN DATA'!$N:$N,'Bilateral Assistance, MAIN DATA'!$B:$B,'Share, Heavy Weapons to Ukraine'!$B44,'Bilateral Assistance, MAIN DATA'!$AO:$AO,"227mm MLRS")</f>
        <v>0</v>
      </c>
      <c r="AR44" s="2">
        <f>SUMIFS('Bilateral Assistance, MAIN DATA'!$N:$N,'Bilateral Assistance, MAIN DATA'!$B:$B,'Share, Heavy Weapons to Ukraine'!$B44,'Bilateral Assistance, MAIN DATA'!$AO:$AO,'Share, Heavy Weapons to Ukraine'!AR$11)</f>
        <v>0</v>
      </c>
      <c r="AS44" s="2">
        <f>SUMIFS('Bilateral Assistance, MAIN DATA'!$N:$N,'Bilateral Assistance, MAIN DATA'!$B:$B,'Share, Heavy Weapons to Ukraine'!$B44,'Bilateral Assistance, MAIN DATA'!$AO:$AO,'Share, Heavy Weapons to Ukraine'!AS$11)</f>
        <v>0</v>
      </c>
      <c r="AT44" s="2">
        <f>SUMIFS('Bilateral Assistance, MAIN DATA'!$N:$N,'Bilateral Assistance, MAIN DATA'!$B:$B,'Share, Heavy Weapons to Ukraine'!$B44,'Bilateral Assistance, MAIN DATA'!$AO:$AO,'Share, Heavy Weapons to Ukraine'!AT$11)</f>
        <v>0</v>
      </c>
      <c r="AU44" s="2">
        <f>SUMIFS('Bilateral Assistance, MAIN DATA'!$N:$N,'Bilateral Assistance, MAIN DATA'!$B:$B,'Share, Heavy Weapons to Ukraine'!$B44,'Bilateral Assistance, MAIN DATA'!$AO:$AO,'Share, Heavy Weapons to Ukraine'!AU$11)</f>
        <v>0</v>
      </c>
      <c r="AV44" s="2">
        <f>SUMIFS('Bilateral Assistance, MAIN DATA'!$N:$N,'Bilateral Assistance, MAIN DATA'!$B:$B,'Share, Heavy Weapons to Ukraine'!$B44,'Bilateral Assistance, MAIN DATA'!$AO:$AO,'Share, Heavy Weapons to Ukraine'!AV$11)</f>
        <v>0</v>
      </c>
      <c r="AW44" s="471"/>
      <c r="AX44" s="292">
        <f>IF(VLOOKUP($B44,$B:G,COLUMN(G43)-1,FALSE)&lt;&gt;0,VLOOKUP($B44,$B:V,COLUMN(V43)-1,FALSE)/VLOOKUP($B44,$B:G,COLUMN(G43)-1,FALSE),IF(VLOOKUP($B44,$B:V,COLUMN(V43)-1,FALSE)&lt;&gt;0,"Strange",0))</f>
        <v>0</v>
      </c>
      <c r="AY44" s="292">
        <f>IF(VLOOKUP($B44,$B:H,COLUMN(H43)-1,FALSE)&lt;&gt;0,VLOOKUP($B44,$B:W,COLUMN(W43)-1,FALSE)/VLOOKUP($B44,$B:H,COLUMN(H43)-1,FALSE),IF(VLOOKUP($B44,$B:W,COLUMN(W43)-1,FALSE)&lt;&gt;0,"Strange",0))</f>
        <v>0</v>
      </c>
      <c r="AZ44" s="292">
        <f>IF(VLOOKUP($B44,$B:I,COLUMN(I43)-1,FALSE)&lt;&gt;0,VLOOKUP($B44,$B:X,COLUMN(X43)-1,FALSE)/VLOOKUP($B44,$B:I,COLUMN(I43)-1,FALSE),IF(VLOOKUP($B44,$B:X,COLUMN(X43)-1,FALSE)&lt;&gt;0,"Strange",0))</f>
        <v>0</v>
      </c>
      <c r="BA44" s="292">
        <f>IF(VLOOKUP($B44,$B:J,COLUMN(J43)-1,FALSE)&lt;&gt;0,VLOOKUP($B44,$B:Y,COLUMN(Y43)-1,FALSE)/VLOOKUP($B44,$B:J,COLUMN(J43)-1,FALSE),IF(VLOOKUP($B44,$B:Y,COLUMN(Y43)-1,FALSE)&lt;&gt;0,"Strange",0))</f>
        <v>0</v>
      </c>
      <c r="BB44" s="292">
        <f>IF(VLOOKUP($B44,$B:K,COLUMN(K43)-1,FALSE)&lt;&gt;0,VLOOKUP($B44,$B:Z,COLUMN(Z43)-1,FALSE)/VLOOKUP($B44,$B:K,COLUMN(K43)-1,FALSE),IF(VLOOKUP($B44,$B:Z,COLUMN(Z43)-1,FALSE)&lt;&gt;0,"Strange",0))</f>
        <v>0</v>
      </c>
      <c r="BC44" s="292">
        <f>IF(VLOOKUP($B44,$B:L,COLUMN(L43)-1,FALSE)&lt;&gt;0,VLOOKUP($B44,$B:AA,COLUMN(AA43)-1,FALSE)/VLOOKUP($B44,$B:L,COLUMN(L43)-1,FALSE),IF(VLOOKUP($B44,$B:AA,COLUMN(AA43)-1,FALSE)&lt;&gt;0,"Strange",0))</f>
        <v>0</v>
      </c>
      <c r="BD44" s="292">
        <f>IF(VLOOKUP($B44,$B:M,COLUMN(M43)-1,FALSE)&lt;&gt;0,VLOOKUP($B44,$B:AB,COLUMN(AB43)-1,FALSE)/VLOOKUP($B44,$B:M,COLUMN(M43)-1,FALSE),IF(VLOOKUP($B44,$B:AB,COLUMN(AB43)-1,FALSE)&lt;&gt;0,"Strange",0))</f>
        <v>0</v>
      </c>
      <c r="BE44" s="292">
        <f>IF(VLOOKUP($B44,$B:N,COLUMN(N43)-1,FALSE)&lt;&gt;0,VLOOKUP($B44,$B:AC,COLUMN(AC43)-1,FALSE)/VLOOKUP($B44,$B:N,COLUMN(N43)-1,FALSE),IF(VLOOKUP($B44,$B:AC,COLUMN(AC43)-1,FALSE)&lt;&gt;0,"Strange",0))</f>
        <v>0</v>
      </c>
      <c r="BF44" s="292">
        <f>IF(VLOOKUP($B44,$B:O,COLUMN(O43)-1,FALSE)&lt;&gt;0,VLOOKUP($B44,$B:AD,COLUMN(AD43)-1,FALSE)/VLOOKUP($B44,$B:O,COLUMN(O43)-1,FALSE),IF(VLOOKUP($B44,$B:AD,COLUMN(AD43)-1,FALSE)&lt;&gt;0,"Strange",0))</f>
        <v>0</v>
      </c>
      <c r="BG44" s="292">
        <f>IF(VLOOKUP($B44,$B:Q,COLUMN(Q43)-1,FALSE)&lt;&gt;0,VLOOKUP($B44,$B:AE,COLUMN(AE43)-1,FALSE)/VLOOKUP($B44,$B:Q,COLUMN(Q43)-1,FALSE),IF(VLOOKUP($B44,$B:AE,COLUMN(AE43)-1,FALSE)&lt;&gt;0,"Strange",0))</f>
        <v>0</v>
      </c>
      <c r="BH44" s="292">
        <f>IF(VLOOKUP($B44,$B:R,COLUMN(R43)-1,FALSE)&lt;&gt;0,VLOOKUP($B44,$B:AF,COLUMN(AF43)-1,FALSE)/VLOOKUP($B44,$B:R,COLUMN(R43)-1,FALSE),IF(VLOOKUP($B44,$B:AF,COLUMN(AF43)-1,FALSE)&lt;&gt;0,"Strange",0))</f>
        <v>0</v>
      </c>
      <c r="BI44" s="292">
        <f>IF(VLOOKUP($B44,$B:S,COLUMN(S43)-1,FALSE)&lt;&gt;0,VLOOKUP($B44,$B:AG,COLUMN(AG43)-1,FALSE)/VLOOKUP($B44,$B:S,COLUMN(S43)-1,FALSE),IF(VLOOKUP($B44,$B:AG,COLUMN(AG43)-1,FALSE)&lt;&gt;0,"Strange",0))</f>
        <v>0</v>
      </c>
      <c r="BJ44" s="292">
        <f>IF(VLOOKUP($B44,$B:T,COLUMN(T43)-1,FALSE)&lt;&gt;0,VLOOKUP($B44,$B:AH,COLUMN(AH43)-1,FALSE)/VLOOKUP($B44,$B:T,COLUMN(T43)-1,FALSE),IF(VLOOKUP($B44,$B:AH,COLUMN(AH43)-1,FALSE)&lt;&gt;0,"Strange",0))</f>
        <v>0</v>
      </c>
      <c r="BK44" s="471"/>
      <c r="BL44" s="2">
        <f>IF(VLOOKUP($B44,$B:W,COLUMN(G43)-1,FALSE)&lt;&gt;0,VLOOKUP($B44,$B:AK,COLUMN(AJ43)-1,FALSE)/VLOOKUP($B44,$B:W,COLUMN(G43)-1,FALSE),IF(VLOOKUP($B44,$B:AK,COLUMN(AJ43)-1,FALSE)&lt;&gt;0,"Strange",0))</f>
        <v>0</v>
      </c>
      <c r="BM44" s="2">
        <f>IF(VLOOKUP($B44,$B:X,COLUMN(H43)-1,FALSE)&lt;&gt;0,VLOOKUP($B44,$B:AL,COLUMN(AK43)-1,FALSE)/VLOOKUP($B44,$B:X,COLUMN(H43)-1,FALSE),IF(VLOOKUP($B44,$B:AL,COLUMN(AK43)-1,FALSE)&lt;&gt;0,"Strange",0))</f>
        <v>0</v>
      </c>
      <c r="BN44" s="2">
        <f>IF(VLOOKUP($B44,$B:Y,COLUMN(I43)-1,FALSE)&lt;&gt;0,VLOOKUP($B44,$B:AM,COLUMN(AL43)-1,FALSE)/VLOOKUP($B44,$B:Y,COLUMN(I43)-1,FALSE),IF(VLOOKUP($B44,$B:AM,COLUMN(AL43)-1,FALSE)&lt;&gt;0,"Strange",0))</f>
        <v>0</v>
      </c>
      <c r="BO44" s="2">
        <f>IF(VLOOKUP($B44,$B:Z,COLUMN(J43)-1,FALSE)&lt;&gt;0,VLOOKUP($B44,$B:AN,COLUMN(AM43)-1,FALSE)/VLOOKUP($B44,$B:Z,COLUMN(J43)-1,FALSE),IF(VLOOKUP($B44,$B:AN,COLUMN(AM43)-1,FALSE)&lt;&gt;0,"Strange",0))</f>
        <v>0</v>
      </c>
      <c r="BP44" s="2">
        <f>IF(VLOOKUP($B44,$B:AB,COLUMN(K43)-1,FALSE)&lt;&gt;0,VLOOKUP($B44,$B:AP,COLUMN(AN43)-1,FALSE)/VLOOKUP($B44,$B:AB,COLUMN(K43)-1,FALSE),IF(VLOOKUP($B44,$B:AP,COLUMN(AN43)-1,FALSE)&lt;&gt;0,"Strange",0))</f>
        <v>0</v>
      </c>
      <c r="BQ44" s="2">
        <f>IF(VLOOKUP($B44,$B:AC,COLUMN(L43)-1,FALSE)&lt;&gt;0,VLOOKUP($B44,$B:AQ,COLUMN(AO43)-1,FALSE)/VLOOKUP($B44,$B:AC,COLUMN(L43)-1,FALSE),IF(VLOOKUP($B44,$B:AQ,COLUMN(AO43)-1,FALSE)&lt;&gt;0,"Strange",0))</f>
        <v>0</v>
      </c>
      <c r="BR44" s="2">
        <f>IF(VLOOKUP($B44,$B:AC,COLUMN(M43)-1,FALSE)&lt;&gt;0,VLOOKUP($B44,$B:AQ,COLUMN(AP43)-1,FALSE)/VLOOKUP($B44,$B:AC,COLUMN(M43)-1,FALSE),IF(VLOOKUP($B44,$B:AQ,COLUMN(AP43)-1,FALSE)&lt;&gt;0,"Strange",0))</f>
        <v>0</v>
      </c>
      <c r="BS44" s="2">
        <f>IF(VLOOKUP($B44,$B:AD,COLUMN(N43)-1,FALSE)&lt;&gt;0,VLOOKUP($B44,$B:AR,COLUMN(AQ43)-1,FALSE)/VLOOKUP($B44,$B:AD,COLUMN(N43)-1,FALSE),IF(VLOOKUP($B44,$B:AR,COLUMN(AQ43)-1,FALSE)&lt;&gt;0,"Strange",0))</f>
        <v>0</v>
      </c>
      <c r="BT44" s="2">
        <f>IF(VLOOKUP($B44,$B:AD,COLUMN(O43)-1,FALSE)&lt;&gt;0,VLOOKUP($B44,$B:AR,COLUMN(AR43)-1,FALSE)/VLOOKUP($B44,$B:AD,COLUMN(O43)-1,FALSE),IF(VLOOKUP($B44,$B:AR,COLUMN(AR43)-1,FALSE)&lt;&gt;0,"Strange",0))</f>
        <v>0</v>
      </c>
      <c r="BU44" s="2">
        <f>IF(VLOOKUP($B44,$B:AE,COLUMN(Q43)-1,FALSE)&lt;&gt;0,VLOOKUP($B44,$B:AS,COLUMN(AS43)-1,FALSE)/VLOOKUP($B44,$B:AE,COLUMN(Q43)-1,FALSE),IF(VLOOKUP($B44,$B:AS,COLUMN(AS43)-1,FALSE)&lt;&gt;0,"Strange",0))</f>
        <v>0</v>
      </c>
      <c r="BV44" s="2">
        <f>IF(VLOOKUP($B44,$B:AF,COLUMN(R43)-1,FALSE)&lt;&gt;0,VLOOKUP($B44,$B:AT,COLUMN(AT43)-1,FALSE)/VLOOKUP($B44,$B:AF,COLUMN(R43)-1,FALSE),IF(VLOOKUP($B44,$B:AT,COLUMN(AT43)-1,FALSE)&lt;&gt;0,"Strange",0))</f>
        <v>0</v>
      </c>
      <c r="BW44" s="2">
        <f>IF(VLOOKUP($B44,$B:AG,COLUMN(S43)-1,FALSE)&lt;&gt;0,VLOOKUP($B44,$B:AU,COLUMN(AU43)-1,FALSE)/VLOOKUP($B44,$B:AG,COLUMN(S43)-1,FALSE),IF(VLOOKUP($B44,$B:AU,COLUMN(AU43)-1,FALSE)&lt;&gt;0,"Strange",0))</f>
        <v>0</v>
      </c>
      <c r="BX44" s="2">
        <f>IF(VLOOKUP($B44,$B:AH,COLUMN(T43)-1,FALSE)&lt;&gt;0,VLOOKUP($B44,$B:AV,COLUMN(AV43)-1,FALSE)/VLOOKUP($B44,$B:AH,COLUMN(T43)-1,FALSE),IF(VLOOKUP($B44,$B:AV,COLUMN(AV43)-1,FALSE)&lt;&gt;0,"Strange",0))</f>
        <v>0</v>
      </c>
      <c r="BY44" s="471"/>
      <c r="BZ44" s="2">
        <f>SUMIFS('Bilateral Assistance, MAIN DATA'!$M:$M,'Bilateral Assistance, MAIN DATA'!$B:$B,'Share, Heavy Weapons to Ukraine'!$B44,'Bilateral Assistance, MAIN DATA'!$AO:$AO,'Share, Heavy Weapons to Ukraine'!BZ$11, 'Bilateral Assistance, MAIN DATA'!$AA:$AA,1)</f>
        <v>0</v>
      </c>
      <c r="CA44" s="2">
        <f>SUMIFS('Bilateral Assistance, MAIN DATA'!$M:$M,'Bilateral Assistance, MAIN DATA'!$B:$B,'Share, Heavy Weapons to Ukraine'!$B44,'Bilateral Assistance, MAIN DATA'!$AO:$AO,'Share, Heavy Weapons to Ukraine'!CA$11, 'Bilateral Assistance, MAIN DATA'!$AA:$AA,1)</f>
        <v>0</v>
      </c>
      <c r="CB44" s="2">
        <f>SUMIFS('Bilateral Assistance, MAIN DATA'!$M:$M,'Bilateral Assistance, MAIN DATA'!$B:$B,'Share, Heavy Weapons to Ukraine'!$B44,'Bilateral Assistance, MAIN DATA'!$AO:$AO,'Share, Heavy Weapons to Ukraine'!CB$11, 'Bilateral Assistance, MAIN DATA'!$AA:$AA,1)</f>
        <v>0</v>
      </c>
      <c r="CC44" s="2">
        <f>SUMIFS('Bilateral Assistance, MAIN DATA'!$M:$M,'Bilateral Assistance, MAIN DATA'!$B:$B,'Share, Heavy Weapons to Ukraine'!$B44,'Bilateral Assistance, MAIN DATA'!$AO:$AO,'Share, Heavy Weapons to Ukraine'!CC$11, 'Bilateral Assistance, MAIN DATA'!$AA:$AA,1)</f>
        <v>0</v>
      </c>
      <c r="CD44" s="471"/>
      <c r="CE44" s="2">
        <f>SUMIFS('Bilateral Assistance, MAIN DATA'!$N:$N,'Bilateral Assistance, MAIN DATA'!$B:$B,'Share, Heavy Weapons to Ukraine'!$B44,'Bilateral Assistance, MAIN DATA'!$AO:$AO,'Share, Heavy Weapons to Ukraine'!CE$11, 'Bilateral Assistance, MAIN DATA'!$AA:$AA,1)</f>
        <v>0</v>
      </c>
      <c r="CF44" s="2">
        <f>SUMIFS('Bilateral Assistance, MAIN DATA'!$N:$N,'Bilateral Assistance, MAIN DATA'!$B:$B,'Share, Heavy Weapons to Ukraine'!$B44,'Bilateral Assistance, MAIN DATA'!$AO:$AO,'Share, Heavy Weapons to Ukraine'!CF$11, 'Bilateral Assistance, MAIN DATA'!$AA:$AA,1)</f>
        <v>0</v>
      </c>
      <c r="CG44" s="2">
        <f>SUMIFS('Bilateral Assistance, MAIN DATA'!$N:$N,'Bilateral Assistance, MAIN DATA'!$B:$B,'Share, Heavy Weapons to Ukraine'!$B44,'Bilateral Assistance, MAIN DATA'!$AO:$AO,'Share, Heavy Weapons to Ukraine'!CG$11, 'Bilateral Assistance, MAIN DATA'!$AA:$AA,1)</f>
        <v>0</v>
      </c>
      <c r="CH44" s="2">
        <f>SUMIFS('Bilateral Assistance, MAIN DATA'!$N:$N,'Bilateral Assistance, MAIN DATA'!$B:$B,'Share, Heavy Weapons to Ukraine'!$B44,'Bilateral Assistance, MAIN DATA'!$AO:$AO,'Share, Heavy Weapons to Ukraine'!CH$11, 'Bilateral Assistance, MAIN DATA'!$AA:$AA,1)</f>
        <v>0</v>
      </c>
    </row>
    <row r="45" spans="2:86" ht="15.6" x14ac:dyDescent="0.3">
      <c r="B45" s="470" t="s">
        <v>2024</v>
      </c>
      <c r="C45" s="470">
        <v>0</v>
      </c>
      <c r="D45" s="2">
        <v>1</v>
      </c>
      <c r="E45" s="471"/>
      <c r="F45" s="472">
        <v>0.41599999999999998</v>
      </c>
      <c r="G45" s="470">
        <f>VLOOKUP(B45,'Heavy Weapon Stocks'!B:OE,COLUMN('Heavy Weapon Stocks'!$C$11)-1,FALSE)</f>
        <v>0</v>
      </c>
      <c r="H45" s="470">
        <f>VLOOKUP(B45,'Heavy Weapon Stocks'!B:OE,COLUMN('Heavy Weapon Stocks'!$AT$11)-1,FALSE)</f>
        <v>0</v>
      </c>
      <c r="I45" s="470">
        <f>VLOOKUP(B45,'Heavy Weapon Stocks'!B:OE,COLUMN('Heavy Weapon Stocks'!$DN$11)-1,FALSE)</f>
        <v>0</v>
      </c>
      <c r="J45" s="470">
        <f>VLOOKUP(B45,'Heavy Weapon Stocks'!B:OE,COLUMN('Heavy Weapon Stocks'!$EB$11)-1,FALSE)</f>
        <v>48</v>
      </c>
      <c r="K45" s="470">
        <f>VLOOKUP(B45,'Heavy Weapon Stocks'!B:OE,COLUMN('Heavy Weapon Stocks'!$FD$11)-1,FALSE)</f>
        <v>0</v>
      </c>
      <c r="L45" s="470">
        <f t="shared" si="3"/>
        <v>48</v>
      </c>
      <c r="M45" s="470">
        <f>VLOOKUP(B45,'Heavy Weapon Stocks'!B:OE,COLUMN('Heavy Weapon Stocks'!$GZ$11)-1,FALSE)+VLOOKUP(B45,'Heavy Weapon Stocks'!B:OE,COLUMN('Heavy Weapon Stocks'!$IF$11)-1,FALSE)</f>
        <v>0</v>
      </c>
      <c r="N45" s="470">
        <f>VLOOKUP(B45,'Heavy Weapon Stocks'!B:OE,COLUMN('Heavy Weapon Stocks'!$IK$11)-1,FALSE)</f>
        <v>0</v>
      </c>
      <c r="O45" s="470">
        <f>VLOOKUP(B45,'Heavy Weapon Stocks'!B:OE,COLUMN('Heavy Weapon Stocks'!$JE$11)-1,FALSE)+VLOOKUP(B45,'Heavy Weapon Stocks'!B:OE,COLUMN('Heavy Weapon Stocks'!$KB$11)-1,FALSE)</f>
        <v>0</v>
      </c>
      <c r="Q45" s="470">
        <f>VLOOKUP(B45,'Heavy Weapon Stocks'!B:OE,COLUMN('Heavy Weapon Stocks'!$LS$11)-1,FALSE)</f>
        <v>0</v>
      </c>
      <c r="R45" s="470">
        <f>VLOOKUP(B45,'Heavy Weapon Stocks'!B:OE,COLUMN('Heavy Weapon Stocks'!$MC$11)-1,FALSE)</f>
        <v>0</v>
      </c>
      <c r="S45" s="470">
        <f>VLOOKUP(B45,'Heavy Weapon Stocks'!B:OE,COLUMN('Heavy Weapon Stocks'!$MJ$11)-1,FALSE)</f>
        <v>0</v>
      </c>
      <c r="T45" s="470">
        <f>VLOOKUP(B45,'Heavy Weapon Stocks'!B:OE,COLUMN('Heavy Weapon Stocks'!$NO$11)-1,FALSE)</f>
        <v>0</v>
      </c>
      <c r="U45" s="471"/>
      <c r="V45" s="2">
        <f>SUMIFS('Bilateral Assistance, MAIN DATA'!$M:$M,'Bilateral Assistance, MAIN DATA'!$B:$B,'Share, Heavy Weapons to Ukraine'!$B45,'Bilateral Assistance, MAIN DATA'!$AO:$AO,'Share, Heavy Weapons to Ukraine'!V$11)</f>
        <v>0</v>
      </c>
      <c r="W45" s="2">
        <f>SUMIFS('Bilateral Assistance, MAIN DATA'!$M:$M,'Bilateral Assistance, MAIN DATA'!$B:$B,'Share, Heavy Weapons to Ukraine'!$B45,'Bilateral Assistance, MAIN DATA'!$AO:$AO,'Share, Heavy Weapons to Ukraine'!W$11)</f>
        <v>0</v>
      </c>
      <c r="X45" s="2">
        <f>SUMIFS('Bilateral Assistance, MAIN DATA'!$M:$M,'Bilateral Assistance, MAIN DATA'!$B:$B,'Share, Heavy Weapons to Ukraine'!$B45,'Bilateral Assistance, MAIN DATA'!$AO:$AO,'Share, Heavy Weapons to Ukraine'!X$11)</f>
        <v>0</v>
      </c>
      <c r="Y45" s="2">
        <f>SUMIFS('Bilateral Assistance, MAIN DATA'!$M:$M,'Bilateral Assistance, MAIN DATA'!$B:$B,'Share, Heavy Weapons to Ukraine'!$B45,'Bilateral Assistance, MAIN DATA'!$AO:$AO,'Share, Heavy Weapons to Ukraine'!Y$11)</f>
        <v>35</v>
      </c>
      <c r="Z45" s="2">
        <f>SUMIFS('Bilateral Assistance, MAIN DATA'!$M:$M,'Bilateral Assistance, MAIN DATA'!$B:$B,'Share, Heavy Weapons to Ukraine'!$B45,'Bilateral Assistance, MAIN DATA'!$AO:$AO,'Share, Heavy Weapons to Ukraine'!Z$11)</f>
        <v>0</v>
      </c>
      <c r="AA45" s="2">
        <f t="shared" si="1"/>
        <v>35</v>
      </c>
      <c r="AB45" s="2">
        <f>SUMIFS('Bilateral Assistance, MAIN DATA'!$M:$M,'Bilateral Assistance, MAIN DATA'!$B:$B,'Share, Heavy Weapons to Ukraine'!$B45,'Bilateral Assistance, MAIN DATA'!$AO:$AO,'Share, Heavy Weapons to Ukraine'!AB$11)</f>
        <v>0</v>
      </c>
      <c r="AC45" s="25">
        <f>SUMIFS('Bilateral Assistance, MAIN DATA'!$M:$M,'Bilateral Assistance, MAIN DATA'!$B:$B,'Share, Heavy Weapons to Ukraine'!$B45,'Bilateral Assistance, MAIN DATA'!$AO:$AO,"122mm MLRS")+SUMIFS('Bilateral Assistance, MAIN DATA'!$M:$M,'Bilateral Assistance, MAIN DATA'!$B:$B,'Share, Heavy Weapons to Ukraine'!$B45,'Bilateral Assistance, MAIN DATA'!$AO:$AO,"127mm MLRS")+SUMIFS('Bilateral Assistance, MAIN DATA'!$M:$M,'Bilateral Assistance, MAIN DATA'!$B:$B,'Share, Heavy Weapons to Ukraine'!$B45,'Bilateral Assistance, MAIN DATA'!$AO:$AO,"227mm MLRS")</f>
        <v>0</v>
      </c>
      <c r="AD45" s="2">
        <f>SUMIFS('Bilateral Assistance, MAIN DATA'!$M:$M,'Bilateral Assistance, MAIN DATA'!$B:$B,'Share, Heavy Weapons to Ukraine'!$B45,'Bilateral Assistance, MAIN DATA'!$AO:$AO,'Share, Heavy Weapons to Ukraine'!AD$11)</f>
        <v>0</v>
      </c>
      <c r="AE45" s="2">
        <f>SUMIFS('Bilateral Assistance, MAIN DATA'!$M:$M,'Bilateral Assistance, MAIN DATA'!$B:$B,'Share, Heavy Weapons to Ukraine'!$B45,'Bilateral Assistance, MAIN DATA'!$AO:$AO,'Share, Heavy Weapons to Ukraine'!AE$11)</f>
        <v>0</v>
      </c>
      <c r="AF45" s="2">
        <f>SUMIFS('Bilateral Assistance, MAIN DATA'!$M:$M,'Bilateral Assistance, MAIN DATA'!$B:$B,'Share, Heavy Weapons to Ukraine'!$B45,'Bilateral Assistance, MAIN DATA'!$AO:$AO,'Share, Heavy Weapons to Ukraine'!AF$11)</f>
        <v>0</v>
      </c>
      <c r="AG45" s="2">
        <f>SUMIFS('Bilateral Assistance, MAIN DATA'!$M:$M,'Bilateral Assistance, MAIN DATA'!$B:$B,'Share, Heavy Weapons to Ukraine'!$B45,'Bilateral Assistance, MAIN DATA'!$AO:$AO,'Share, Heavy Weapons to Ukraine'!AG$11)</f>
        <v>0</v>
      </c>
      <c r="AH45" s="2">
        <f>SUMIFS('Bilateral Assistance, MAIN DATA'!$M:$M,'Bilateral Assistance, MAIN DATA'!$B:$B,'Share, Heavy Weapons to Ukraine'!$B45,'Bilateral Assistance, MAIN DATA'!$AO:$AO,'Share, Heavy Weapons to Ukraine'!AH$11)</f>
        <v>0</v>
      </c>
      <c r="AI45" s="471"/>
      <c r="AJ45" s="2">
        <f>SUMIFS('Bilateral Assistance, MAIN DATA'!$N:$N,'Bilateral Assistance, MAIN DATA'!$B:$B,'Share, Heavy Weapons to Ukraine'!$B45,'Bilateral Assistance, MAIN DATA'!$AO:$AO,'Share, Heavy Weapons to Ukraine'!AJ$11)</f>
        <v>0</v>
      </c>
      <c r="AK45" s="2">
        <f>SUMIFS('Bilateral Assistance, MAIN DATA'!$N:$N,'Bilateral Assistance, MAIN DATA'!$B:$B,'Share, Heavy Weapons to Ukraine'!$B45,'Bilateral Assistance, MAIN DATA'!$AO:$AO,'Share, Heavy Weapons to Ukraine'!AK$11)</f>
        <v>0</v>
      </c>
      <c r="AL45" s="2">
        <f>SUMIFS('Bilateral Assistance, MAIN DATA'!$N:$N,'Bilateral Assistance, MAIN DATA'!$B:$B,'Share, Heavy Weapons to Ukraine'!$B45,'Bilateral Assistance, MAIN DATA'!$AO:$AO,'Share, Heavy Weapons to Ukraine'!AL$11)</f>
        <v>0</v>
      </c>
      <c r="AM45" s="2">
        <f>SUMIFS('Bilateral Assistance, MAIN DATA'!$N:$N,'Bilateral Assistance, MAIN DATA'!$B:$B,'Share, Heavy Weapons to Ukraine'!$B45,'Bilateral Assistance, MAIN DATA'!$AO:$AO,'Share, Heavy Weapons to Ukraine'!AM$11)</f>
        <v>35</v>
      </c>
      <c r="AN45" s="2">
        <f>SUMIFS('Bilateral Assistance, MAIN DATA'!$N:$N,'Bilateral Assistance, MAIN DATA'!$B:$B,'Share, Heavy Weapons to Ukraine'!$B45,'Bilateral Assistance, MAIN DATA'!$AO:$AO,'Share, Heavy Weapons to Ukraine'!AN$11)</f>
        <v>0</v>
      </c>
      <c r="AO45" s="2">
        <f t="shared" si="2"/>
        <v>35</v>
      </c>
      <c r="AP45" s="2">
        <f>SUMIFS('Bilateral Assistance, MAIN DATA'!$N:$N,'Bilateral Assistance, MAIN DATA'!$B:$B,'Share, Heavy Weapons to Ukraine'!$B45,'Bilateral Assistance, MAIN DATA'!$AO:$AO,'Share, Heavy Weapons to Ukraine'!AP$11)</f>
        <v>0</v>
      </c>
      <c r="AQ45" s="25">
        <f>SUMIFS('Bilateral Assistance, MAIN DATA'!$N:$N,'Bilateral Assistance, MAIN DATA'!$B:$B,'Share, Heavy Weapons to Ukraine'!$B45,'Bilateral Assistance, MAIN DATA'!$AO:$AO,"122mm MLRS")+SUMIFS('Bilateral Assistance, MAIN DATA'!$N:$N,'Bilateral Assistance, MAIN DATA'!$B:$B,'Share, Heavy Weapons to Ukraine'!$B45,'Bilateral Assistance, MAIN DATA'!$AO:$AO,"127mm MLRS")+SUMIFS('Bilateral Assistance, MAIN DATA'!$N:$N,'Bilateral Assistance, MAIN DATA'!$B:$B,'Share, Heavy Weapons to Ukraine'!$B45,'Bilateral Assistance, MAIN DATA'!$AO:$AO,"227mm MLRS")</f>
        <v>0</v>
      </c>
      <c r="AR45" s="2">
        <f>SUMIFS('Bilateral Assistance, MAIN DATA'!$N:$N,'Bilateral Assistance, MAIN DATA'!$B:$B,'Share, Heavy Weapons to Ukraine'!$B45,'Bilateral Assistance, MAIN DATA'!$AO:$AO,'Share, Heavy Weapons to Ukraine'!AR$11)</f>
        <v>0</v>
      </c>
      <c r="AS45" s="2">
        <f>SUMIFS('Bilateral Assistance, MAIN DATA'!$N:$N,'Bilateral Assistance, MAIN DATA'!$B:$B,'Share, Heavy Weapons to Ukraine'!$B45,'Bilateral Assistance, MAIN DATA'!$AO:$AO,'Share, Heavy Weapons to Ukraine'!AS$11)</f>
        <v>0</v>
      </c>
      <c r="AT45" s="2">
        <f>SUMIFS('Bilateral Assistance, MAIN DATA'!$N:$N,'Bilateral Assistance, MAIN DATA'!$B:$B,'Share, Heavy Weapons to Ukraine'!$B45,'Bilateral Assistance, MAIN DATA'!$AO:$AO,'Share, Heavy Weapons to Ukraine'!AT$11)</f>
        <v>0</v>
      </c>
      <c r="AU45" s="2">
        <f>SUMIFS('Bilateral Assistance, MAIN DATA'!$N:$N,'Bilateral Assistance, MAIN DATA'!$B:$B,'Share, Heavy Weapons to Ukraine'!$B45,'Bilateral Assistance, MAIN DATA'!$AO:$AO,'Share, Heavy Weapons to Ukraine'!AU$11)</f>
        <v>0</v>
      </c>
      <c r="AV45" s="2">
        <f>SUMIFS('Bilateral Assistance, MAIN DATA'!$N:$N,'Bilateral Assistance, MAIN DATA'!$B:$B,'Share, Heavy Weapons to Ukraine'!$B45,'Bilateral Assistance, MAIN DATA'!$AO:$AO,'Share, Heavy Weapons to Ukraine'!AV$11)</f>
        <v>0</v>
      </c>
      <c r="AW45" s="471"/>
      <c r="AX45" s="292">
        <f>IF(VLOOKUP($B45,$B:G,COLUMN(G44)-1,FALSE)&lt;&gt;0,VLOOKUP($B45,$B:V,COLUMN(V44)-1,FALSE)/VLOOKUP($B45,$B:G,COLUMN(G44)-1,FALSE),IF(VLOOKUP($B45,$B:V,COLUMN(V44)-1,FALSE)&lt;&gt;0,"Strange",0))</f>
        <v>0</v>
      </c>
      <c r="AY45" s="292">
        <f>IF(VLOOKUP($B45,$B:H,COLUMN(H44)-1,FALSE)&lt;&gt;0,VLOOKUP($B45,$B:W,COLUMN(W44)-1,FALSE)/VLOOKUP($B45,$B:H,COLUMN(H44)-1,FALSE),IF(VLOOKUP($B45,$B:W,COLUMN(W44)-1,FALSE)&lt;&gt;0,"Strange",0))</f>
        <v>0</v>
      </c>
      <c r="AZ45" s="292">
        <f>IF(VLOOKUP($B45,$B:I,COLUMN(I44)-1,FALSE)&lt;&gt;0,VLOOKUP($B45,$B:X,COLUMN(X44)-1,FALSE)/VLOOKUP($B45,$B:I,COLUMN(I44)-1,FALSE),IF(VLOOKUP($B45,$B:X,COLUMN(X44)-1,FALSE)&lt;&gt;0,"Strange",0))</f>
        <v>0</v>
      </c>
      <c r="BA45" s="292">
        <f>IF(VLOOKUP($B45,$B:J,COLUMN(J44)-1,FALSE)&lt;&gt;0,VLOOKUP($B45,$B:Y,COLUMN(Y44)-1,FALSE)/VLOOKUP($B45,$B:J,COLUMN(J44)-1,FALSE),IF(VLOOKUP($B45,$B:Y,COLUMN(Y44)-1,FALSE)&lt;&gt;0,"Strange",0))</f>
        <v>0.72916666666666663</v>
      </c>
      <c r="BB45" s="292">
        <f>IF(VLOOKUP($B45,$B:K,COLUMN(K44)-1,FALSE)&lt;&gt;0,VLOOKUP($B45,$B:Z,COLUMN(Z44)-1,FALSE)/VLOOKUP($B45,$B:K,COLUMN(K44)-1,FALSE),IF(VLOOKUP($B45,$B:Z,COLUMN(Z44)-1,FALSE)&lt;&gt;0,"Strange",0))</f>
        <v>0</v>
      </c>
      <c r="BC45" s="292">
        <f>IF(VLOOKUP($B45,$B:L,COLUMN(L44)-1,FALSE)&lt;&gt;0,VLOOKUP($B45,$B:AA,COLUMN(AA44)-1,FALSE)/VLOOKUP($B45,$B:L,COLUMN(L44)-1,FALSE),IF(VLOOKUP($B45,$B:AA,COLUMN(AA44)-1,FALSE)&lt;&gt;0,"Strange",0))</f>
        <v>0.72916666666666663</v>
      </c>
      <c r="BD45" s="292">
        <f>IF(VLOOKUP($B45,$B:M,COLUMN(M44)-1,FALSE)&lt;&gt;0,VLOOKUP($B45,$B:AB,COLUMN(AB44)-1,FALSE)/VLOOKUP($B45,$B:M,COLUMN(M44)-1,FALSE),IF(VLOOKUP($B45,$B:AB,COLUMN(AB44)-1,FALSE)&lt;&gt;0,"Strange",0))</f>
        <v>0</v>
      </c>
      <c r="BE45" s="292">
        <f>IF(VLOOKUP($B45,$B:N,COLUMN(N44)-1,FALSE)&lt;&gt;0,VLOOKUP($B45,$B:AC,COLUMN(AC44)-1,FALSE)/VLOOKUP($B45,$B:N,COLUMN(N44)-1,FALSE),IF(VLOOKUP($B45,$B:AC,COLUMN(AC44)-1,FALSE)&lt;&gt;0,"Strange",0))</f>
        <v>0</v>
      </c>
      <c r="BF45" s="292">
        <f>IF(VLOOKUP($B45,$B:O,COLUMN(O44)-1,FALSE)&lt;&gt;0,VLOOKUP($B45,$B:AD,COLUMN(AD44)-1,FALSE)/VLOOKUP($B45,$B:O,COLUMN(O44)-1,FALSE),IF(VLOOKUP($B45,$B:AD,COLUMN(AD44)-1,FALSE)&lt;&gt;0,"Strange",0))</f>
        <v>0</v>
      </c>
      <c r="BG45" s="292">
        <f>IF(VLOOKUP($B45,$B:Q,COLUMN(Q44)-1,FALSE)&lt;&gt;0,VLOOKUP($B45,$B:AE,COLUMN(AE44)-1,FALSE)/VLOOKUP($B45,$B:Q,COLUMN(Q44)-1,FALSE),IF(VLOOKUP($B45,$B:AE,COLUMN(AE44)-1,FALSE)&lt;&gt;0,"Strange",0))</f>
        <v>0</v>
      </c>
      <c r="BH45" s="292">
        <f>IF(VLOOKUP($B45,$B:R,COLUMN(R44)-1,FALSE)&lt;&gt;0,VLOOKUP($B45,$B:AF,COLUMN(AF44)-1,FALSE)/VLOOKUP($B45,$B:R,COLUMN(R44)-1,FALSE),IF(VLOOKUP($B45,$B:AF,COLUMN(AF44)-1,FALSE)&lt;&gt;0,"Strange",0))</f>
        <v>0</v>
      </c>
      <c r="BI45" s="292">
        <f>IF(VLOOKUP($B45,$B:S,COLUMN(S44)-1,FALSE)&lt;&gt;0,VLOOKUP($B45,$B:AG,COLUMN(AG44)-1,FALSE)/VLOOKUP($B45,$B:S,COLUMN(S44)-1,FALSE),IF(VLOOKUP($B45,$B:AG,COLUMN(AG44)-1,FALSE)&lt;&gt;0,"Strange",0))</f>
        <v>0</v>
      </c>
      <c r="BJ45" s="292">
        <f>IF(VLOOKUP($B45,$B:T,COLUMN(T44)-1,FALSE)&lt;&gt;0,VLOOKUP($B45,$B:AH,COLUMN(AH44)-1,FALSE)/VLOOKUP($B45,$B:T,COLUMN(T44)-1,FALSE),IF(VLOOKUP($B45,$B:AH,COLUMN(AH44)-1,FALSE)&lt;&gt;0,"Strange",0))</f>
        <v>0</v>
      </c>
      <c r="BK45" s="471"/>
      <c r="BL45" s="2">
        <f>IF(VLOOKUP($B45,$B:W,COLUMN(G44)-1,FALSE)&lt;&gt;0,VLOOKUP($B45,$B:AK,COLUMN(AJ44)-1,FALSE)/VLOOKUP($B45,$B:W,COLUMN(G44)-1,FALSE),IF(VLOOKUP($B45,$B:AK,COLUMN(AJ44)-1,FALSE)&lt;&gt;0,"Strange",0))</f>
        <v>0</v>
      </c>
      <c r="BM45" s="2">
        <f>IF(VLOOKUP($B45,$B:X,COLUMN(H44)-1,FALSE)&lt;&gt;0,VLOOKUP($B45,$B:AL,COLUMN(AK44)-1,FALSE)/VLOOKUP($B45,$B:X,COLUMN(H44)-1,FALSE),IF(VLOOKUP($B45,$B:AL,COLUMN(AK44)-1,FALSE)&lt;&gt;0,"Strange",0))</f>
        <v>0</v>
      </c>
      <c r="BN45" s="2">
        <f>IF(VLOOKUP($B45,$B:Y,COLUMN(I44)-1,FALSE)&lt;&gt;0,VLOOKUP($B45,$B:AM,COLUMN(AL44)-1,FALSE)/VLOOKUP($B45,$B:Y,COLUMN(I44)-1,FALSE),IF(VLOOKUP($B45,$B:AM,COLUMN(AL44)-1,FALSE)&lt;&gt;0,"Strange",0))</f>
        <v>0</v>
      </c>
      <c r="BO45" s="2">
        <f>IF(VLOOKUP($B45,$B:Z,COLUMN(J44)-1,FALSE)&lt;&gt;0,VLOOKUP($B45,$B:AN,COLUMN(AM44)-1,FALSE)/VLOOKUP($B45,$B:Z,COLUMN(J44)-1,FALSE),IF(VLOOKUP($B45,$B:AN,COLUMN(AM44)-1,FALSE)&lt;&gt;0,"Strange",0))</f>
        <v>0.72916666666666663</v>
      </c>
      <c r="BP45" s="2">
        <f>IF(VLOOKUP($B45,$B:AB,COLUMN(K44)-1,FALSE)&lt;&gt;0,VLOOKUP($B45,$B:AP,COLUMN(AN44)-1,FALSE)/VLOOKUP($B45,$B:AB,COLUMN(K44)-1,FALSE),IF(VLOOKUP($B45,$B:AP,COLUMN(AN44)-1,FALSE)&lt;&gt;0,"Strange",0))</f>
        <v>0</v>
      </c>
      <c r="BQ45" s="2">
        <f>IF(VLOOKUP($B45,$B:AC,COLUMN(L44)-1,FALSE)&lt;&gt;0,VLOOKUP($B45,$B:AQ,COLUMN(AO44)-1,FALSE)/VLOOKUP($B45,$B:AC,COLUMN(L44)-1,FALSE),IF(VLOOKUP($B45,$B:AQ,COLUMN(AO44)-1,FALSE)&lt;&gt;0,"Strange",0))</f>
        <v>0.72916666666666663</v>
      </c>
      <c r="BR45" s="2">
        <f>IF(VLOOKUP($B45,$B:AC,COLUMN(M44)-1,FALSE)&lt;&gt;0,VLOOKUP($B45,$B:AQ,COLUMN(AP44)-1,FALSE)/VLOOKUP($B45,$B:AC,COLUMN(M44)-1,FALSE),IF(VLOOKUP($B45,$B:AQ,COLUMN(AP44)-1,FALSE)&lt;&gt;0,"Strange",0))</f>
        <v>0</v>
      </c>
      <c r="BS45" s="2">
        <f>IF(VLOOKUP($B45,$B:AD,COLUMN(N44)-1,FALSE)&lt;&gt;0,VLOOKUP($B45,$B:AR,COLUMN(AQ44)-1,FALSE)/VLOOKUP($B45,$B:AD,COLUMN(N44)-1,FALSE),IF(VLOOKUP($B45,$B:AR,COLUMN(AQ44)-1,FALSE)&lt;&gt;0,"Strange",0))</f>
        <v>0</v>
      </c>
      <c r="BT45" s="2">
        <f>IF(VLOOKUP($B45,$B:AD,COLUMN(O44)-1,FALSE)&lt;&gt;0,VLOOKUP($B45,$B:AR,COLUMN(AR44)-1,FALSE)/VLOOKUP($B45,$B:AD,COLUMN(O44)-1,FALSE),IF(VLOOKUP($B45,$B:AR,COLUMN(AR44)-1,FALSE)&lt;&gt;0,"Strange",0))</f>
        <v>0</v>
      </c>
      <c r="BU45" s="2">
        <f>IF(VLOOKUP($B45,$B:AE,COLUMN(Q44)-1,FALSE)&lt;&gt;0,VLOOKUP($B45,$B:AS,COLUMN(AS44)-1,FALSE)/VLOOKUP($B45,$B:AE,COLUMN(Q44)-1,FALSE),IF(VLOOKUP($B45,$B:AS,COLUMN(AS44)-1,FALSE)&lt;&gt;0,"Strange",0))</f>
        <v>0</v>
      </c>
      <c r="BV45" s="2">
        <f>IF(VLOOKUP($B45,$B:AF,COLUMN(R44)-1,FALSE)&lt;&gt;0,VLOOKUP($B45,$B:AT,COLUMN(AT44)-1,FALSE)/VLOOKUP($B45,$B:AF,COLUMN(R44)-1,FALSE),IF(VLOOKUP($B45,$B:AT,COLUMN(AT44)-1,FALSE)&lt;&gt;0,"Strange",0))</f>
        <v>0</v>
      </c>
      <c r="BW45" s="2">
        <f>IF(VLOOKUP($B45,$B:AG,COLUMN(S44)-1,FALSE)&lt;&gt;0,VLOOKUP($B45,$B:AU,COLUMN(AU44)-1,FALSE)/VLOOKUP($B45,$B:AG,COLUMN(S44)-1,FALSE),IF(VLOOKUP($B45,$B:AU,COLUMN(AU44)-1,FALSE)&lt;&gt;0,"Strange",0))</f>
        <v>0</v>
      </c>
      <c r="BX45" s="2">
        <f>IF(VLOOKUP($B45,$B:AH,COLUMN(T44)-1,FALSE)&lt;&gt;0,VLOOKUP($B45,$B:AV,COLUMN(AV44)-1,FALSE)/VLOOKUP($B45,$B:AH,COLUMN(T44)-1,FALSE),IF(VLOOKUP($B45,$B:AV,COLUMN(AV44)-1,FALSE)&lt;&gt;0,"Strange",0))</f>
        <v>0</v>
      </c>
      <c r="BY45" s="471"/>
      <c r="BZ45" s="2">
        <f>SUMIFS('Bilateral Assistance, MAIN DATA'!$M:$M,'Bilateral Assistance, MAIN DATA'!$B:$B,'Share, Heavy Weapons to Ukraine'!$B45,'Bilateral Assistance, MAIN DATA'!$AO:$AO,'Share, Heavy Weapons to Ukraine'!BZ$11, 'Bilateral Assistance, MAIN DATA'!$AA:$AA,1)</f>
        <v>0</v>
      </c>
      <c r="CA45" s="2">
        <f>SUMIFS('Bilateral Assistance, MAIN DATA'!$M:$M,'Bilateral Assistance, MAIN DATA'!$B:$B,'Share, Heavy Weapons to Ukraine'!$B45,'Bilateral Assistance, MAIN DATA'!$AO:$AO,'Share, Heavy Weapons to Ukraine'!CA$11, 'Bilateral Assistance, MAIN DATA'!$AA:$AA,1)</f>
        <v>0</v>
      </c>
      <c r="CB45" s="2">
        <f>SUMIFS('Bilateral Assistance, MAIN DATA'!$M:$M,'Bilateral Assistance, MAIN DATA'!$B:$B,'Share, Heavy Weapons to Ukraine'!$B45,'Bilateral Assistance, MAIN DATA'!$AO:$AO,'Share, Heavy Weapons to Ukraine'!CB$11, 'Bilateral Assistance, MAIN DATA'!$AA:$AA,1)</f>
        <v>0</v>
      </c>
      <c r="CC45" s="2">
        <f>SUMIFS('Bilateral Assistance, MAIN DATA'!$M:$M,'Bilateral Assistance, MAIN DATA'!$B:$B,'Share, Heavy Weapons to Ukraine'!$B45,'Bilateral Assistance, MAIN DATA'!$AO:$AO,'Share, Heavy Weapons to Ukraine'!CC$11, 'Bilateral Assistance, MAIN DATA'!$AA:$AA,1)</f>
        <v>0</v>
      </c>
      <c r="CD45" s="471"/>
      <c r="CE45" s="2">
        <f>SUMIFS('Bilateral Assistance, MAIN DATA'!$N:$N,'Bilateral Assistance, MAIN DATA'!$B:$B,'Share, Heavy Weapons to Ukraine'!$B45,'Bilateral Assistance, MAIN DATA'!$AO:$AO,'Share, Heavy Weapons to Ukraine'!CE$11, 'Bilateral Assistance, MAIN DATA'!$AA:$AA,1)</f>
        <v>0</v>
      </c>
      <c r="CF45" s="2">
        <f>SUMIFS('Bilateral Assistance, MAIN DATA'!$N:$N,'Bilateral Assistance, MAIN DATA'!$B:$B,'Share, Heavy Weapons to Ukraine'!$B45,'Bilateral Assistance, MAIN DATA'!$AO:$AO,'Share, Heavy Weapons to Ukraine'!CF$11, 'Bilateral Assistance, MAIN DATA'!$AA:$AA,1)</f>
        <v>0</v>
      </c>
      <c r="CG45" s="2">
        <f>SUMIFS('Bilateral Assistance, MAIN DATA'!$N:$N,'Bilateral Assistance, MAIN DATA'!$B:$B,'Share, Heavy Weapons to Ukraine'!$B45,'Bilateral Assistance, MAIN DATA'!$AO:$AO,'Share, Heavy Weapons to Ukraine'!CG$11, 'Bilateral Assistance, MAIN DATA'!$AA:$AA,1)</f>
        <v>0</v>
      </c>
      <c r="CH45" s="2">
        <f>SUMIFS('Bilateral Assistance, MAIN DATA'!$N:$N,'Bilateral Assistance, MAIN DATA'!$B:$B,'Share, Heavy Weapons to Ukraine'!$B45,'Bilateral Assistance, MAIN DATA'!$AO:$AO,'Share, Heavy Weapons to Ukraine'!CH$11, 'Bilateral Assistance, MAIN DATA'!$AA:$AA,1)</f>
        <v>0</v>
      </c>
    </row>
    <row r="46" spans="2:86" ht="15.6" x14ac:dyDescent="0.3">
      <c r="B46" s="470" t="s">
        <v>4895</v>
      </c>
      <c r="C46" s="470">
        <v>1</v>
      </c>
      <c r="D46" s="2">
        <v>0</v>
      </c>
      <c r="E46" s="471"/>
      <c r="F46" s="472">
        <v>0.246</v>
      </c>
      <c r="G46" s="470">
        <f>VLOOKUP(B46,'Heavy Weapon Stocks'!B:OE,COLUMN('Heavy Weapon Stocks'!$C$11)-1,FALSE)</f>
        <v>0</v>
      </c>
      <c r="H46" s="470">
        <f>VLOOKUP(B46,'Heavy Weapon Stocks'!B:OE,COLUMN('Heavy Weapon Stocks'!$AT$11)-1,FALSE)</f>
        <v>0</v>
      </c>
      <c r="I46" s="470">
        <f>VLOOKUP(B46,'Heavy Weapon Stocks'!B:OE,COLUMN('Heavy Weapon Stocks'!$DN$11)-1,FALSE)</f>
        <v>40</v>
      </c>
      <c r="J46" s="470">
        <f>VLOOKUP(B46,'Heavy Weapon Stocks'!B:OE,COLUMN('Heavy Weapon Stocks'!$EB$11)-1,FALSE)</f>
        <v>8</v>
      </c>
      <c r="K46" s="470">
        <f>VLOOKUP(B46,'Heavy Weapon Stocks'!B:OE,COLUMN('Heavy Weapon Stocks'!$FD$11)-1,FALSE)</f>
        <v>0</v>
      </c>
      <c r="L46" s="470">
        <f t="shared" si="0"/>
        <v>48</v>
      </c>
      <c r="M46" s="470">
        <f>VLOOKUP(B46,'Heavy Weapon Stocks'!B:OE,COLUMN('Heavy Weapon Stocks'!$GZ$11)-1,FALSE)+VLOOKUP(B46,'Heavy Weapon Stocks'!B:OE,COLUMN('Heavy Weapon Stocks'!$IF$11)-1,FALSE)</f>
        <v>0</v>
      </c>
      <c r="N46" s="470">
        <f>VLOOKUP(B46,'Heavy Weapon Stocks'!B:OE,COLUMN('Heavy Weapon Stocks'!$IK$11)-1,FALSE)</f>
        <v>0</v>
      </c>
      <c r="O46" s="470">
        <f>VLOOKUP(B46,'Heavy Weapon Stocks'!B:OE,COLUMN('Heavy Weapon Stocks'!$JE$11)-1,FALSE)+VLOOKUP(B46,'Heavy Weapon Stocks'!B:OE,COLUMN('Heavy Weapon Stocks'!$KB$11)-1,FALSE)</f>
        <v>0</v>
      </c>
      <c r="Q46" s="470">
        <f>VLOOKUP(B46,'Heavy Weapon Stocks'!B:OE,COLUMN('Heavy Weapon Stocks'!$LS$11)-1,FALSE)</f>
        <v>0</v>
      </c>
      <c r="R46" s="470">
        <f>VLOOKUP(B46,'Heavy Weapon Stocks'!B:OE,COLUMN('Heavy Weapon Stocks'!$MC$11)-1,FALSE)</f>
        <v>0</v>
      </c>
      <c r="S46" s="470">
        <f>VLOOKUP(B46,'Heavy Weapon Stocks'!B:OE,COLUMN('Heavy Weapon Stocks'!$MJ$11)-1,FALSE)</f>
        <v>0</v>
      </c>
      <c r="T46" s="470">
        <f>VLOOKUP(B46,'Heavy Weapon Stocks'!B:OE,COLUMN('Heavy Weapon Stocks'!$NO$11)-1,FALSE)</f>
        <v>0</v>
      </c>
      <c r="U46" s="471"/>
      <c r="V46" s="2">
        <f>SUMIFS('Bilateral Assistance, MAIN DATA'!$M:$M,'Bilateral Assistance, MAIN DATA'!$B:$B,'Share, Heavy Weapons to Ukraine'!$B46,'Bilateral Assistance, MAIN DATA'!$AO:$AO,'Share, Heavy Weapons to Ukraine'!V$11)</f>
        <v>0</v>
      </c>
      <c r="W46" s="2">
        <f>SUMIFS('Bilateral Assistance, MAIN DATA'!$M:$M,'Bilateral Assistance, MAIN DATA'!$B:$B,'Share, Heavy Weapons to Ukraine'!$B46,'Bilateral Assistance, MAIN DATA'!$AO:$AO,'Share, Heavy Weapons to Ukraine'!W$11)</f>
        <v>0</v>
      </c>
      <c r="X46" s="2">
        <f>SUMIFS('Bilateral Assistance, MAIN DATA'!$M:$M,'Bilateral Assistance, MAIN DATA'!$B:$B,'Share, Heavy Weapons to Ukraine'!$B46,'Bilateral Assistance, MAIN DATA'!$AO:$AO,'Share, Heavy Weapons to Ukraine'!X$11)</f>
        <v>0</v>
      </c>
      <c r="Y46" s="2">
        <f>SUMIFS('Bilateral Assistance, MAIN DATA'!$M:$M,'Bilateral Assistance, MAIN DATA'!$B:$B,'Share, Heavy Weapons to Ukraine'!$B46,'Bilateral Assistance, MAIN DATA'!$AO:$AO,'Share, Heavy Weapons to Ukraine'!Y$11)</f>
        <v>0</v>
      </c>
      <c r="Z46" s="2">
        <f>SUMIFS('Bilateral Assistance, MAIN DATA'!$M:$M,'Bilateral Assistance, MAIN DATA'!$B:$B,'Share, Heavy Weapons to Ukraine'!$B46,'Bilateral Assistance, MAIN DATA'!$AO:$AO,'Share, Heavy Weapons to Ukraine'!Z$11)</f>
        <v>0</v>
      </c>
      <c r="AA46" s="2">
        <f t="shared" si="1"/>
        <v>0</v>
      </c>
      <c r="AB46" s="2">
        <f>SUMIFS('Bilateral Assistance, MAIN DATA'!$M:$M,'Bilateral Assistance, MAIN DATA'!$B:$B,'Share, Heavy Weapons to Ukraine'!$B46,'Bilateral Assistance, MAIN DATA'!$AO:$AO,'Share, Heavy Weapons to Ukraine'!AB$11)</f>
        <v>0</v>
      </c>
      <c r="AC46" s="25">
        <f>SUMIFS('Bilateral Assistance, MAIN DATA'!$M:$M,'Bilateral Assistance, MAIN DATA'!$B:$B,'Share, Heavy Weapons to Ukraine'!$B46,'Bilateral Assistance, MAIN DATA'!$AO:$AO,"122mm MLRS")+SUMIFS('Bilateral Assistance, MAIN DATA'!$M:$M,'Bilateral Assistance, MAIN DATA'!$B:$B,'Share, Heavy Weapons to Ukraine'!$B46,'Bilateral Assistance, MAIN DATA'!$AO:$AO,"127mm MLRS")+SUMIFS('Bilateral Assistance, MAIN DATA'!$M:$M,'Bilateral Assistance, MAIN DATA'!$B:$B,'Share, Heavy Weapons to Ukraine'!$B46,'Bilateral Assistance, MAIN DATA'!$AO:$AO,"227mm MLRS")</f>
        <v>0</v>
      </c>
      <c r="AD46" s="2">
        <f>SUMIFS('Bilateral Assistance, MAIN DATA'!$M:$M,'Bilateral Assistance, MAIN DATA'!$B:$B,'Share, Heavy Weapons to Ukraine'!$B46,'Bilateral Assistance, MAIN DATA'!$AO:$AO,'Share, Heavy Weapons to Ukraine'!AD$11)</f>
        <v>0</v>
      </c>
      <c r="AE46" s="2">
        <f>SUMIFS('Bilateral Assistance, MAIN DATA'!$M:$M,'Bilateral Assistance, MAIN DATA'!$B:$B,'Share, Heavy Weapons to Ukraine'!$B46,'Bilateral Assistance, MAIN DATA'!$AO:$AO,'Share, Heavy Weapons to Ukraine'!AE$11)</f>
        <v>0</v>
      </c>
      <c r="AF46" s="2">
        <f>SUMIFS('Bilateral Assistance, MAIN DATA'!$M:$M,'Bilateral Assistance, MAIN DATA'!$B:$B,'Share, Heavy Weapons to Ukraine'!$B46,'Bilateral Assistance, MAIN DATA'!$AO:$AO,'Share, Heavy Weapons to Ukraine'!AF$11)</f>
        <v>0</v>
      </c>
      <c r="AG46" s="2">
        <f>SUMIFS('Bilateral Assistance, MAIN DATA'!$M:$M,'Bilateral Assistance, MAIN DATA'!$B:$B,'Share, Heavy Weapons to Ukraine'!$B46,'Bilateral Assistance, MAIN DATA'!$AO:$AO,'Share, Heavy Weapons to Ukraine'!AG$11)</f>
        <v>0</v>
      </c>
      <c r="AH46" s="2">
        <f>SUMIFS('Bilateral Assistance, MAIN DATA'!$M:$M,'Bilateral Assistance, MAIN DATA'!$B:$B,'Share, Heavy Weapons to Ukraine'!$B46,'Bilateral Assistance, MAIN DATA'!$AO:$AO,'Share, Heavy Weapons to Ukraine'!AH$11)</f>
        <v>0</v>
      </c>
      <c r="AI46" s="471"/>
      <c r="AJ46" s="2">
        <f>SUMIFS('Bilateral Assistance, MAIN DATA'!$N:$N,'Bilateral Assistance, MAIN DATA'!$B:$B,'Share, Heavy Weapons to Ukraine'!$B46,'Bilateral Assistance, MAIN DATA'!$AO:$AO,'Share, Heavy Weapons to Ukraine'!AJ$11)</f>
        <v>0</v>
      </c>
      <c r="AK46" s="2">
        <f>SUMIFS('Bilateral Assistance, MAIN DATA'!$N:$N,'Bilateral Assistance, MAIN DATA'!$B:$B,'Share, Heavy Weapons to Ukraine'!$B46,'Bilateral Assistance, MAIN DATA'!$AO:$AO,'Share, Heavy Weapons to Ukraine'!AK$11)</f>
        <v>0</v>
      </c>
      <c r="AL46" s="2">
        <f>SUMIFS('Bilateral Assistance, MAIN DATA'!$N:$N,'Bilateral Assistance, MAIN DATA'!$B:$B,'Share, Heavy Weapons to Ukraine'!$B46,'Bilateral Assistance, MAIN DATA'!$AO:$AO,'Share, Heavy Weapons to Ukraine'!AL$11)</f>
        <v>0</v>
      </c>
      <c r="AM46" s="2">
        <f>SUMIFS('Bilateral Assistance, MAIN DATA'!$N:$N,'Bilateral Assistance, MAIN DATA'!$B:$B,'Share, Heavy Weapons to Ukraine'!$B46,'Bilateral Assistance, MAIN DATA'!$AO:$AO,'Share, Heavy Weapons to Ukraine'!AM$11)</f>
        <v>0</v>
      </c>
      <c r="AN46" s="2">
        <f>SUMIFS('Bilateral Assistance, MAIN DATA'!$N:$N,'Bilateral Assistance, MAIN DATA'!$B:$B,'Share, Heavy Weapons to Ukraine'!$B46,'Bilateral Assistance, MAIN DATA'!$AO:$AO,'Share, Heavy Weapons to Ukraine'!AN$11)</f>
        <v>0</v>
      </c>
      <c r="AO46" s="2">
        <f t="shared" si="2"/>
        <v>0</v>
      </c>
      <c r="AP46" s="2">
        <f>SUMIFS('Bilateral Assistance, MAIN DATA'!$N:$N,'Bilateral Assistance, MAIN DATA'!$B:$B,'Share, Heavy Weapons to Ukraine'!$B46,'Bilateral Assistance, MAIN DATA'!$AO:$AO,'Share, Heavy Weapons to Ukraine'!AP$11)</f>
        <v>0</v>
      </c>
      <c r="AQ46" s="25">
        <f>SUMIFS('Bilateral Assistance, MAIN DATA'!$N:$N,'Bilateral Assistance, MAIN DATA'!$B:$B,'Share, Heavy Weapons to Ukraine'!$B46,'Bilateral Assistance, MAIN DATA'!$AO:$AO,"122mm MLRS")+SUMIFS('Bilateral Assistance, MAIN DATA'!$N:$N,'Bilateral Assistance, MAIN DATA'!$B:$B,'Share, Heavy Weapons to Ukraine'!$B46,'Bilateral Assistance, MAIN DATA'!$AO:$AO,"127mm MLRS")+SUMIFS('Bilateral Assistance, MAIN DATA'!$N:$N,'Bilateral Assistance, MAIN DATA'!$B:$B,'Share, Heavy Weapons to Ukraine'!$B46,'Bilateral Assistance, MAIN DATA'!$AO:$AO,"227mm MLRS")</f>
        <v>0</v>
      </c>
      <c r="AR46" s="2">
        <f>SUMIFS('Bilateral Assistance, MAIN DATA'!$N:$N,'Bilateral Assistance, MAIN DATA'!$B:$B,'Share, Heavy Weapons to Ukraine'!$B46,'Bilateral Assistance, MAIN DATA'!$AO:$AO,'Share, Heavy Weapons to Ukraine'!AR$11)</f>
        <v>0</v>
      </c>
      <c r="AS46" s="2">
        <f>SUMIFS('Bilateral Assistance, MAIN DATA'!$N:$N,'Bilateral Assistance, MAIN DATA'!$B:$B,'Share, Heavy Weapons to Ukraine'!$B46,'Bilateral Assistance, MAIN DATA'!$AO:$AO,'Share, Heavy Weapons to Ukraine'!AS$11)</f>
        <v>0</v>
      </c>
      <c r="AT46" s="2">
        <f>SUMIFS('Bilateral Assistance, MAIN DATA'!$N:$N,'Bilateral Assistance, MAIN DATA'!$B:$B,'Share, Heavy Weapons to Ukraine'!$B46,'Bilateral Assistance, MAIN DATA'!$AO:$AO,'Share, Heavy Weapons to Ukraine'!AT$11)</f>
        <v>0</v>
      </c>
      <c r="AU46" s="2">
        <f>SUMIFS('Bilateral Assistance, MAIN DATA'!$N:$N,'Bilateral Assistance, MAIN DATA'!$B:$B,'Share, Heavy Weapons to Ukraine'!$B46,'Bilateral Assistance, MAIN DATA'!$AO:$AO,'Share, Heavy Weapons to Ukraine'!AU$11)</f>
        <v>0</v>
      </c>
      <c r="AV46" s="2">
        <f>SUMIFS('Bilateral Assistance, MAIN DATA'!$N:$N,'Bilateral Assistance, MAIN DATA'!$B:$B,'Share, Heavy Weapons to Ukraine'!$B46,'Bilateral Assistance, MAIN DATA'!$AO:$AO,'Share, Heavy Weapons to Ukraine'!AV$11)</f>
        <v>0</v>
      </c>
      <c r="AW46" s="471"/>
      <c r="AX46" s="292">
        <f>IF(VLOOKUP($B46,$B:G,COLUMN(G45)-1,FALSE)&lt;&gt;0,VLOOKUP($B46,$B:V,COLUMN(V45)-1,FALSE)/VLOOKUP($B46,$B:G,COLUMN(G45)-1,FALSE),IF(VLOOKUP($B46,$B:V,COLUMN(V45)-1,FALSE)&lt;&gt;0,"Strange",0))</f>
        <v>0</v>
      </c>
      <c r="AY46" s="292">
        <f>IF(VLOOKUP($B46,$B:H,COLUMN(H45)-1,FALSE)&lt;&gt;0,VLOOKUP($B46,$B:W,COLUMN(W45)-1,FALSE)/VLOOKUP($B46,$B:H,COLUMN(H45)-1,FALSE),IF(VLOOKUP($B46,$B:W,COLUMN(W45)-1,FALSE)&lt;&gt;0,"Strange",0))</f>
        <v>0</v>
      </c>
      <c r="AZ46" s="292">
        <f>IF(VLOOKUP($B46,$B:I,COLUMN(I45)-1,FALSE)&lt;&gt;0,VLOOKUP($B46,$B:X,COLUMN(X45)-1,FALSE)/VLOOKUP($B46,$B:I,COLUMN(I45)-1,FALSE),IF(VLOOKUP($B46,$B:X,COLUMN(X45)-1,FALSE)&lt;&gt;0,"Strange",0))</f>
        <v>0</v>
      </c>
      <c r="BA46" s="292">
        <f>IF(VLOOKUP($B46,$B:J,COLUMN(J45)-1,FALSE)&lt;&gt;0,VLOOKUP($B46,$B:Y,COLUMN(Y45)-1,FALSE)/VLOOKUP($B46,$B:J,COLUMN(J45)-1,FALSE),IF(VLOOKUP($B46,$B:Y,COLUMN(Y45)-1,FALSE)&lt;&gt;0,"Strange",0))</f>
        <v>0</v>
      </c>
      <c r="BB46" s="292">
        <f>IF(VLOOKUP($B46,$B:K,COLUMN(K45)-1,FALSE)&lt;&gt;0,VLOOKUP($B46,$B:Z,COLUMN(Z45)-1,FALSE)/VLOOKUP($B46,$B:K,COLUMN(K45)-1,FALSE),IF(VLOOKUP($B46,$B:Z,COLUMN(Z45)-1,FALSE)&lt;&gt;0,"Strange",0))</f>
        <v>0</v>
      </c>
      <c r="BC46" s="292">
        <f>IF(VLOOKUP($B46,$B:L,COLUMN(L45)-1,FALSE)&lt;&gt;0,VLOOKUP($B46,$B:AA,COLUMN(AA45)-1,FALSE)/VLOOKUP($B46,$B:L,COLUMN(L45)-1,FALSE),IF(VLOOKUP($B46,$B:AA,COLUMN(AA45)-1,FALSE)&lt;&gt;0,"Strange",0))</f>
        <v>0</v>
      </c>
      <c r="BD46" s="292">
        <f>IF(VLOOKUP($B46,$B:M,COLUMN(M45)-1,FALSE)&lt;&gt;0,VLOOKUP($B46,$B:AB,COLUMN(AB45)-1,FALSE)/VLOOKUP($B46,$B:M,COLUMN(M45)-1,FALSE),IF(VLOOKUP($B46,$B:AB,COLUMN(AB45)-1,FALSE)&lt;&gt;0,"Strange",0))</f>
        <v>0</v>
      </c>
      <c r="BE46" s="292">
        <f>IF(VLOOKUP($B46,$B:N,COLUMN(N45)-1,FALSE)&lt;&gt;0,VLOOKUP($B46,$B:AC,COLUMN(AC45)-1,FALSE)/VLOOKUP($B46,$B:N,COLUMN(N45)-1,FALSE),IF(VLOOKUP($B46,$B:AC,COLUMN(AC45)-1,FALSE)&lt;&gt;0,"Strange",0))</f>
        <v>0</v>
      </c>
      <c r="BF46" s="292">
        <f>IF(VLOOKUP($B46,$B:O,COLUMN(O45)-1,FALSE)&lt;&gt;0,VLOOKUP($B46,$B:AD,COLUMN(AD45)-1,FALSE)/VLOOKUP($B46,$B:O,COLUMN(O45)-1,FALSE),IF(VLOOKUP($B46,$B:AD,COLUMN(AD45)-1,FALSE)&lt;&gt;0,"Strange",0))</f>
        <v>0</v>
      </c>
      <c r="BG46" s="292">
        <f>IF(VLOOKUP($B46,$B:Q,COLUMN(Q45)-1,FALSE)&lt;&gt;0,VLOOKUP($B46,$B:AE,COLUMN(AE45)-1,FALSE)/VLOOKUP($B46,$B:Q,COLUMN(Q45)-1,FALSE),IF(VLOOKUP($B46,$B:AE,COLUMN(AE45)-1,FALSE)&lt;&gt;0,"Strange",0))</f>
        <v>0</v>
      </c>
      <c r="BH46" s="292">
        <f>IF(VLOOKUP($B46,$B:R,COLUMN(R45)-1,FALSE)&lt;&gt;0,VLOOKUP($B46,$B:AF,COLUMN(AF45)-1,FALSE)/VLOOKUP($B46,$B:R,COLUMN(R45)-1,FALSE),IF(VLOOKUP($B46,$B:AF,COLUMN(AF45)-1,FALSE)&lt;&gt;0,"Strange",0))</f>
        <v>0</v>
      </c>
      <c r="BI46" s="292">
        <f>IF(VLOOKUP($B46,$B:S,COLUMN(S45)-1,FALSE)&lt;&gt;0,VLOOKUP($B46,$B:AG,COLUMN(AG45)-1,FALSE)/VLOOKUP($B46,$B:S,COLUMN(S45)-1,FALSE),IF(VLOOKUP($B46,$B:AG,COLUMN(AG45)-1,FALSE)&lt;&gt;0,"Strange",0))</f>
        <v>0</v>
      </c>
      <c r="BJ46" s="292">
        <f>IF(VLOOKUP($B46,$B:T,COLUMN(T45)-1,FALSE)&lt;&gt;0,VLOOKUP($B46,$B:AH,COLUMN(AH45)-1,FALSE)/VLOOKUP($B46,$B:T,COLUMN(T45)-1,FALSE),IF(VLOOKUP($B46,$B:AH,COLUMN(AH45)-1,FALSE)&lt;&gt;0,"Strange",0))</f>
        <v>0</v>
      </c>
      <c r="BK46" s="471"/>
      <c r="BL46" s="2">
        <f>IF(VLOOKUP($B46,$B:W,COLUMN(G45)-1,FALSE)&lt;&gt;0,VLOOKUP($B46,$B:AK,COLUMN(AJ45)-1,FALSE)/VLOOKUP($B46,$B:W,COLUMN(G45)-1,FALSE),IF(VLOOKUP($B46,$B:AK,COLUMN(AJ45)-1,FALSE)&lt;&gt;0,"Strange",0))</f>
        <v>0</v>
      </c>
      <c r="BM46" s="2">
        <f>IF(VLOOKUP($B46,$B:X,COLUMN(H45)-1,FALSE)&lt;&gt;0,VLOOKUP($B46,$B:AL,COLUMN(AK45)-1,FALSE)/VLOOKUP($B46,$B:X,COLUMN(H45)-1,FALSE),IF(VLOOKUP($B46,$B:AL,COLUMN(AK45)-1,FALSE)&lt;&gt;0,"Strange",0))</f>
        <v>0</v>
      </c>
      <c r="BN46" s="2">
        <f>IF(VLOOKUP($B46,$B:Y,COLUMN(I45)-1,FALSE)&lt;&gt;0,VLOOKUP($B46,$B:AM,COLUMN(AL45)-1,FALSE)/VLOOKUP($B46,$B:Y,COLUMN(I45)-1,FALSE),IF(VLOOKUP($B46,$B:AM,COLUMN(AL45)-1,FALSE)&lt;&gt;0,"Strange",0))</f>
        <v>0</v>
      </c>
      <c r="BO46" s="2">
        <f>IF(VLOOKUP($B46,$B:Z,COLUMN(J45)-1,FALSE)&lt;&gt;0,VLOOKUP($B46,$B:AN,COLUMN(AM45)-1,FALSE)/VLOOKUP($B46,$B:Z,COLUMN(J45)-1,FALSE),IF(VLOOKUP($B46,$B:AN,COLUMN(AM45)-1,FALSE)&lt;&gt;0,"Strange",0))</f>
        <v>0</v>
      </c>
      <c r="BP46" s="2">
        <f>IF(VLOOKUP($B46,$B:AB,COLUMN(K45)-1,FALSE)&lt;&gt;0,VLOOKUP($B46,$B:AP,COLUMN(AN45)-1,FALSE)/VLOOKUP($B46,$B:AB,COLUMN(K45)-1,FALSE),IF(VLOOKUP($B46,$B:AP,COLUMN(AN45)-1,FALSE)&lt;&gt;0,"Strange",0))</f>
        <v>0</v>
      </c>
      <c r="BQ46" s="2">
        <f>IF(VLOOKUP($B46,$B:AC,COLUMN(L45)-1,FALSE)&lt;&gt;0,VLOOKUP($B46,$B:AQ,COLUMN(AO45)-1,FALSE)/VLOOKUP($B46,$B:AC,COLUMN(L45)-1,FALSE),IF(VLOOKUP($B46,$B:AQ,COLUMN(AO45)-1,FALSE)&lt;&gt;0,"Strange",0))</f>
        <v>0</v>
      </c>
      <c r="BR46" s="2">
        <f>IF(VLOOKUP($B46,$B:AC,COLUMN(M45)-1,FALSE)&lt;&gt;0,VLOOKUP($B46,$B:AQ,COLUMN(AP45)-1,FALSE)/VLOOKUP($B46,$B:AC,COLUMN(M45)-1,FALSE),IF(VLOOKUP($B46,$B:AQ,COLUMN(AP45)-1,FALSE)&lt;&gt;0,"Strange",0))</f>
        <v>0</v>
      </c>
      <c r="BS46" s="2">
        <f>IF(VLOOKUP($B46,$B:AD,COLUMN(N45)-1,FALSE)&lt;&gt;0,VLOOKUP($B46,$B:AR,COLUMN(AQ45)-1,FALSE)/VLOOKUP($B46,$B:AD,COLUMN(N45)-1,FALSE),IF(VLOOKUP($B46,$B:AR,COLUMN(AQ45)-1,FALSE)&lt;&gt;0,"Strange",0))</f>
        <v>0</v>
      </c>
      <c r="BT46" s="2">
        <f>IF(VLOOKUP($B46,$B:AD,COLUMN(O45)-1,FALSE)&lt;&gt;0,VLOOKUP($B46,$B:AR,COLUMN(AR45)-1,FALSE)/VLOOKUP($B46,$B:AD,COLUMN(O45)-1,FALSE),IF(VLOOKUP($B46,$B:AR,COLUMN(AR45)-1,FALSE)&lt;&gt;0,"Strange",0))</f>
        <v>0</v>
      </c>
      <c r="BU46" s="2">
        <f>IF(VLOOKUP($B46,$B:AE,COLUMN(Q45)-1,FALSE)&lt;&gt;0,VLOOKUP($B46,$B:AS,COLUMN(AS45)-1,FALSE)/VLOOKUP($B46,$B:AE,COLUMN(Q45)-1,FALSE),IF(VLOOKUP($B46,$B:AS,COLUMN(AS45)-1,FALSE)&lt;&gt;0,"Strange",0))</f>
        <v>0</v>
      </c>
      <c r="BV46" s="2">
        <f>IF(VLOOKUP($B46,$B:AF,COLUMN(R45)-1,FALSE)&lt;&gt;0,VLOOKUP($B46,$B:AT,COLUMN(AT45)-1,FALSE)/VLOOKUP($B46,$B:AF,COLUMN(R45)-1,FALSE),IF(VLOOKUP($B46,$B:AT,COLUMN(AT45)-1,FALSE)&lt;&gt;0,"Strange",0))</f>
        <v>0</v>
      </c>
      <c r="BW46" s="2">
        <f>IF(VLOOKUP($B46,$B:AG,COLUMN(S45)-1,FALSE)&lt;&gt;0,VLOOKUP($B46,$B:AU,COLUMN(AU45)-1,FALSE)/VLOOKUP($B46,$B:AG,COLUMN(S45)-1,FALSE),IF(VLOOKUP($B46,$B:AU,COLUMN(AU45)-1,FALSE)&lt;&gt;0,"Strange",0))</f>
        <v>0</v>
      </c>
      <c r="BX46" s="2">
        <f>IF(VLOOKUP($B46,$B:AH,COLUMN(T45)-1,FALSE)&lt;&gt;0,VLOOKUP($B46,$B:AV,COLUMN(AV45)-1,FALSE)/VLOOKUP($B46,$B:AH,COLUMN(T45)-1,FALSE),IF(VLOOKUP($B46,$B:AV,COLUMN(AV45)-1,FALSE)&lt;&gt;0,"Strange",0))</f>
        <v>0</v>
      </c>
      <c r="BY46" s="471"/>
      <c r="BZ46" s="2">
        <f>SUMIFS('Bilateral Assistance, MAIN DATA'!$M:$M,'Bilateral Assistance, MAIN DATA'!$B:$B,'Share, Heavy Weapons to Ukraine'!$B46,'Bilateral Assistance, MAIN DATA'!$AO:$AO,'Share, Heavy Weapons to Ukraine'!BZ$11, 'Bilateral Assistance, MAIN DATA'!$AA:$AA,1)</f>
        <v>0</v>
      </c>
      <c r="CA46" s="2">
        <f>SUMIFS('Bilateral Assistance, MAIN DATA'!$M:$M,'Bilateral Assistance, MAIN DATA'!$B:$B,'Share, Heavy Weapons to Ukraine'!$B46,'Bilateral Assistance, MAIN DATA'!$AO:$AO,'Share, Heavy Weapons to Ukraine'!CA$11, 'Bilateral Assistance, MAIN DATA'!$AA:$AA,1)</f>
        <v>0</v>
      </c>
      <c r="CB46" s="2">
        <f>SUMIFS('Bilateral Assistance, MAIN DATA'!$M:$M,'Bilateral Assistance, MAIN DATA'!$B:$B,'Share, Heavy Weapons to Ukraine'!$B46,'Bilateral Assistance, MAIN DATA'!$AO:$AO,'Share, Heavy Weapons to Ukraine'!CB$11, 'Bilateral Assistance, MAIN DATA'!$AA:$AA,1)</f>
        <v>0</v>
      </c>
      <c r="CC46" s="2">
        <f>SUMIFS('Bilateral Assistance, MAIN DATA'!$M:$M,'Bilateral Assistance, MAIN DATA'!$B:$B,'Share, Heavy Weapons to Ukraine'!$B46,'Bilateral Assistance, MAIN DATA'!$AO:$AO,'Share, Heavy Weapons to Ukraine'!CC$11, 'Bilateral Assistance, MAIN DATA'!$AA:$AA,1)</f>
        <v>0</v>
      </c>
      <c r="CD46" s="471"/>
      <c r="CE46" s="2">
        <f>SUMIFS('Bilateral Assistance, MAIN DATA'!$N:$N,'Bilateral Assistance, MAIN DATA'!$B:$B,'Share, Heavy Weapons to Ukraine'!$B46,'Bilateral Assistance, MAIN DATA'!$AO:$AO,'Share, Heavy Weapons to Ukraine'!CE$11, 'Bilateral Assistance, MAIN DATA'!$AA:$AA,1)</f>
        <v>0</v>
      </c>
      <c r="CF46" s="2">
        <f>SUMIFS('Bilateral Assistance, MAIN DATA'!$N:$N,'Bilateral Assistance, MAIN DATA'!$B:$B,'Share, Heavy Weapons to Ukraine'!$B46,'Bilateral Assistance, MAIN DATA'!$AO:$AO,'Share, Heavy Weapons to Ukraine'!CF$11, 'Bilateral Assistance, MAIN DATA'!$AA:$AA,1)</f>
        <v>0</v>
      </c>
      <c r="CG46" s="2">
        <f>SUMIFS('Bilateral Assistance, MAIN DATA'!$N:$N,'Bilateral Assistance, MAIN DATA'!$B:$B,'Share, Heavy Weapons to Ukraine'!$B46,'Bilateral Assistance, MAIN DATA'!$AO:$AO,'Share, Heavy Weapons to Ukraine'!CG$11, 'Bilateral Assistance, MAIN DATA'!$AA:$AA,1)</f>
        <v>0</v>
      </c>
      <c r="CH46" s="2">
        <f>SUMIFS('Bilateral Assistance, MAIN DATA'!$N:$N,'Bilateral Assistance, MAIN DATA'!$B:$B,'Share, Heavy Weapons to Ukraine'!$B46,'Bilateral Assistance, MAIN DATA'!$AO:$AO,'Share, Heavy Weapons to Ukraine'!CH$11, 'Bilateral Assistance, MAIN DATA'!$AA:$AA,1)</f>
        <v>0</v>
      </c>
    </row>
    <row r="47" spans="2:86" ht="15.6" x14ac:dyDescent="0.3">
      <c r="B47" s="470" t="s">
        <v>4896</v>
      </c>
      <c r="C47" s="470">
        <v>1</v>
      </c>
      <c r="D47" s="2">
        <v>0</v>
      </c>
      <c r="E47" s="471"/>
      <c r="F47" s="472">
        <v>0.20899999999999999</v>
      </c>
      <c r="G47" s="470">
        <f>VLOOKUP(B47,'Heavy Weapon Stocks'!B:OE,COLUMN('Heavy Weapon Stocks'!$C$11)-1,FALSE)</f>
        <v>0</v>
      </c>
      <c r="H47" s="470">
        <f>VLOOKUP(B47,'Heavy Weapon Stocks'!B:OE,COLUMN('Heavy Weapon Stocks'!$AT$11)-1,FALSE)</f>
        <v>0</v>
      </c>
      <c r="I47" s="470">
        <f>VLOOKUP(B47,'Heavy Weapon Stocks'!B:OE,COLUMN('Heavy Weapon Stocks'!$DN$11)-1,FALSE)</f>
        <v>0</v>
      </c>
      <c r="J47" s="470">
        <f>VLOOKUP(B47,'Heavy Weapon Stocks'!B:OE,COLUMN('Heavy Weapon Stocks'!$EB$11)-1,FALSE)</f>
        <v>0</v>
      </c>
      <c r="K47" s="470">
        <f>VLOOKUP(B47,'Heavy Weapon Stocks'!B:OE,COLUMN('Heavy Weapon Stocks'!$FD$11)-1,FALSE)</f>
        <v>0</v>
      </c>
      <c r="L47" s="470">
        <f t="shared" si="0"/>
        <v>0</v>
      </c>
      <c r="M47" s="470">
        <f>VLOOKUP(B47,'Heavy Weapon Stocks'!B:OE,COLUMN('Heavy Weapon Stocks'!$GZ$11)-1,FALSE)+VLOOKUP(B47,'Heavy Weapon Stocks'!B:OE,COLUMN('Heavy Weapon Stocks'!$IF$11)-1,FALSE)</f>
        <v>0</v>
      </c>
      <c r="N47" s="470">
        <f>VLOOKUP(B47,'Heavy Weapon Stocks'!B:OE,COLUMN('Heavy Weapon Stocks'!$IK$11)-1,FALSE)</f>
        <v>0</v>
      </c>
      <c r="O47" s="470">
        <f>VLOOKUP(B47,'Heavy Weapon Stocks'!B:OE,COLUMN('Heavy Weapon Stocks'!$JE$11)-1,FALSE)+VLOOKUP(B47,'Heavy Weapon Stocks'!B:OE,COLUMN('Heavy Weapon Stocks'!$KB$11)-1,FALSE)</f>
        <v>0</v>
      </c>
      <c r="Q47" s="470">
        <f>VLOOKUP(B47,'Heavy Weapon Stocks'!B:OE,COLUMN('Heavy Weapon Stocks'!$LS$11)-1,FALSE)</f>
        <v>0</v>
      </c>
      <c r="R47" s="470">
        <f>VLOOKUP(B47,'Heavy Weapon Stocks'!B:OE,COLUMN('Heavy Weapon Stocks'!$MC$11)-1,FALSE)</f>
        <v>0</v>
      </c>
      <c r="S47" s="470">
        <f>VLOOKUP(B47,'Heavy Weapon Stocks'!B:OE,COLUMN('Heavy Weapon Stocks'!$MJ$11)-1,FALSE)</f>
        <v>0</v>
      </c>
      <c r="T47" s="470">
        <f>VLOOKUP(B47,'Heavy Weapon Stocks'!B:OE,COLUMN('Heavy Weapon Stocks'!$NO$11)-1,FALSE)</f>
        <v>0</v>
      </c>
      <c r="U47" s="471"/>
      <c r="V47" s="2">
        <f>SUMIFS('Bilateral Assistance, MAIN DATA'!$M:$M,'Bilateral Assistance, MAIN DATA'!$B:$B,'Share, Heavy Weapons to Ukraine'!$B47,'Bilateral Assistance, MAIN DATA'!$AO:$AO,'Share, Heavy Weapons to Ukraine'!V$11)</f>
        <v>0</v>
      </c>
      <c r="W47" s="2">
        <f>SUMIFS('Bilateral Assistance, MAIN DATA'!$M:$M,'Bilateral Assistance, MAIN DATA'!$B:$B,'Share, Heavy Weapons to Ukraine'!$B47,'Bilateral Assistance, MAIN DATA'!$AO:$AO,'Share, Heavy Weapons to Ukraine'!W$11)</f>
        <v>0</v>
      </c>
      <c r="X47" s="2">
        <f>SUMIFS('Bilateral Assistance, MAIN DATA'!$M:$M,'Bilateral Assistance, MAIN DATA'!$B:$B,'Share, Heavy Weapons to Ukraine'!$B47,'Bilateral Assistance, MAIN DATA'!$AO:$AO,'Share, Heavy Weapons to Ukraine'!X$11)</f>
        <v>0</v>
      </c>
      <c r="Y47" s="2">
        <f>SUMIFS('Bilateral Assistance, MAIN DATA'!$M:$M,'Bilateral Assistance, MAIN DATA'!$B:$B,'Share, Heavy Weapons to Ukraine'!$B47,'Bilateral Assistance, MAIN DATA'!$AO:$AO,'Share, Heavy Weapons to Ukraine'!Y$11)</f>
        <v>0</v>
      </c>
      <c r="Z47" s="2">
        <f>SUMIFS('Bilateral Assistance, MAIN DATA'!$M:$M,'Bilateral Assistance, MAIN DATA'!$B:$B,'Share, Heavy Weapons to Ukraine'!$B47,'Bilateral Assistance, MAIN DATA'!$AO:$AO,'Share, Heavy Weapons to Ukraine'!Z$11)</f>
        <v>0</v>
      </c>
      <c r="AA47" s="2">
        <f t="shared" si="1"/>
        <v>0</v>
      </c>
      <c r="AB47" s="2">
        <f>SUMIFS('Bilateral Assistance, MAIN DATA'!$M:$M,'Bilateral Assistance, MAIN DATA'!$B:$B,'Share, Heavy Weapons to Ukraine'!$B47,'Bilateral Assistance, MAIN DATA'!$AO:$AO,'Share, Heavy Weapons to Ukraine'!AB$11)</f>
        <v>0</v>
      </c>
      <c r="AC47" s="25">
        <f>SUMIFS('Bilateral Assistance, MAIN DATA'!$M:$M,'Bilateral Assistance, MAIN DATA'!$B:$B,'Share, Heavy Weapons to Ukraine'!$B47,'Bilateral Assistance, MAIN DATA'!$AO:$AO,"122mm MLRS")+SUMIFS('Bilateral Assistance, MAIN DATA'!$M:$M,'Bilateral Assistance, MAIN DATA'!$B:$B,'Share, Heavy Weapons to Ukraine'!$B47,'Bilateral Assistance, MAIN DATA'!$AO:$AO,"127mm MLRS")+SUMIFS('Bilateral Assistance, MAIN DATA'!$M:$M,'Bilateral Assistance, MAIN DATA'!$B:$B,'Share, Heavy Weapons to Ukraine'!$B47,'Bilateral Assistance, MAIN DATA'!$AO:$AO,"227mm MLRS")</f>
        <v>0</v>
      </c>
      <c r="AD47" s="2">
        <f>SUMIFS('Bilateral Assistance, MAIN DATA'!$M:$M,'Bilateral Assistance, MAIN DATA'!$B:$B,'Share, Heavy Weapons to Ukraine'!$B47,'Bilateral Assistance, MAIN DATA'!$AO:$AO,'Share, Heavy Weapons to Ukraine'!AD$11)</f>
        <v>0</v>
      </c>
      <c r="AE47" s="2">
        <f>SUMIFS('Bilateral Assistance, MAIN DATA'!$M:$M,'Bilateral Assistance, MAIN DATA'!$B:$B,'Share, Heavy Weapons to Ukraine'!$B47,'Bilateral Assistance, MAIN DATA'!$AO:$AO,'Share, Heavy Weapons to Ukraine'!AE$11)</f>
        <v>0</v>
      </c>
      <c r="AF47" s="2">
        <f>SUMIFS('Bilateral Assistance, MAIN DATA'!$M:$M,'Bilateral Assistance, MAIN DATA'!$B:$B,'Share, Heavy Weapons to Ukraine'!$B47,'Bilateral Assistance, MAIN DATA'!$AO:$AO,'Share, Heavy Weapons to Ukraine'!AF$11)</f>
        <v>0</v>
      </c>
      <c r="AG47" s="2">
        <f>SUMIFS('Bilateral Assistance, MAIN DATA'!$M:$M,'Bilateral Assistance, MAIN DATA'!$B:$B,'Share, Heavy Weapons to Ukraine'!$B47,'Bilateral Assistance, MAIN DATA'!$AO:$AO,'Share, Heavy Weapons to Ukraine'!AG$11)</f>
        <v>0</v>
      </c>
      <c r="AH47" s="2">
        <f>SUMIFS('Bilateral Assistance, MAIN DATA'!$M:$M,'Bilateral Assistance, MAIN DATA'!$B:$B,'Share, Heavy Weapons to Ukraine'!$B47,'Bilateral Assistance, MAIN DATA'!$AO:$AO,'Share, Heavy Weapons to Ukraine'!AH$11)</f>
        <v>0</v>
      </c>
      <c r="AI47" s="471"/>
      <c r="AJ47" s="2">
        <f>SUMIFS('Bilateral Assistance, MAIN DATA'!$N:$N,'Bilateral Assistance, MAIN DATA'!$B:$B,'Share, Heavy Weapons to Ukraine'!$B47,'Bilateral Assistance, MAIN DATA'!$AO:$AO,'Share, Heavy Weapons to Ukraine'!AJ$11)</f>
        <v>0</v>
      </c>
      <c r="AK47" s="2">
        <f>SUMIFS('Bilateral Assistance, MAIN DATA'!$N:$N,'Bilateral Assistance, MAIN DATA'!$B:$B,'Share, Heavy Weapons to Ukraine'!$B47,'Bilateral Assistance, MAIN DATA'!$AO:$AO,'Share, Heavy Weapons to Ukraine'!AK$11)</f>
        <v>0</v>
      </c>
      <c r="AL47" s="2">
        <f>SUMIFS('Bilateral Assistance, MAIN DATA'!$N:$N,'Bilateral Assistance, MAIN DATA'!$B:$B,'Share, Heavy Weapons to Ukraine'!$B47,'Bilateral Assistance, MAIN DATA'!$AO:$AO,'Share, Heavy Weapons to Ukraine'!AL$11)</f>
        <v>0</v>
      </c>
      <c r="AM47" s="2">
        <f>SUMIFS('Bilateral Assistance, MAIN DATA'!$N:$N,'Bilateral Assistance, MAIN DATA'!$B:$B,'Share, Heavy Weapons to Ukraine'!$B47,'Bilateral Assistance, MAIN DATA'!$AO:$AO,'Share, Heavy Weapons to Ukraine'!AM$11)</f>
        <v>0</v>
      </c>
      <c r="AN47" s="2">
        <f>SUMIFS('Bilateral Assistance, MAIN DATA'!$N:$N,'Bilateral Assistance, MAIN DATA'!$B:$B,'Share, Heavy Weapons to Ukraine'!$B47,'Bilateral Assistance, MAIN DATA'!$AO:$AO,'Share, Heavy Weapons to Ukraine'!AN$11)</f>
        <v>0</v>
      </c>
      <c r="AO47" s="2">
        <f t="shared" si="2"/>
        <v>0</v>
      </c>
      <c r="AP47" s="2">
        <f>SUMIFS('Bilateral Assistance, MAIN DATA'!$N:$N,'Bilateral Assistance, MAIN DATA'!$B:$B,'Share, Heavy Weapons to Ukraine'!$B47,'Bilateral Assistance, MAIN DATA'!$AO:$AO,'Share, Heavy Weapons to Ukraine'!AP$11)</f>
        <v>0</v>
      </c>
      <c r="AQ47" s="25">
        <f>SUMIFS('Bilateral Assistance, MAIN DATA'!$N:$N,'Bilateral Assistance, MAIN DATA'!$B:$B,'Share, Heavy Weapons to Ukraine'!$B47,'Bilateral Assistance, MAIN DATA'!$AO:$AO,"122mm MLRS")+SUMIFS('Bilateral Assistance, MAIN DATA'!$N:$N,'Bilateral Assistance, MAIN DATA'!$B:$B,'Share, Heavy Weapons to Ukraine'!$B47,'Bilateral Assistance, MAIN DATA'!$AO:$AO,"127mm MLRS")+SUMIFS('Bilateral Assistance, MAIN DATA'!$N:$N,'Bilateral Assistance, MAIN DATA'!$B:$B,'Share, Heavy Weapons to Ukraine'!$B47,'Bilateral Assistance, MAIN DATA'!$AO:$AO,"227mm MLRS")</f>
        <v>0</v>
      </c>
      <c r="AR47" s="2">
        <f>SUMIFS('Bilateral Assistance, MAIN DATA'!$N:$N,'Bilateral Assistance, MAIN DATA'!$B:$B,'Share, Heavy Weapons to Ukraine'!$B47,'Bilateral Assistance, MAIN DATA'!$AO:$AO,'Share, Heavy Weapons to Ukraine'!AR$11)</f>
        <v>0</v>
      </c>
      <c r="AS47" s="2">
        <f>SUMIFS('Bilateral Assistance, MAIN DATA'!$N:$N,'Bilateral Assistance, MAIN DATA'!$B:$B,'Share, Heavy Weapons to Ukraine'!$B47,'Bilateral Assistance, MAIN DATA'!$AO:$AO,'Share, Heavy Weapons to Ukraine'!AS$11)</f>
        <v>0</v>
      </c>
      <c r="AT47" s="2">
        <f>SUMIFS('Bilateral Assistance, MAIN DATA'!$N:$N,'Bilateral Assistance, MAIN DATA'!$B:$B,'Share, Heavy Weapons to Ukraine'!$B47,'Bilateral Assistance, MAIN DATA'!$AO:$AO,'Share, Heavy Weapons to Ukraine'!AT$11)</f>
        <v>0</v>
      </c>
      <c r="AU47" s="2">
        <f>SUMIFS('Bilateral Assistance, MAIN DATA'!$N:$N,'Bilateral Assistance, MAIN DATA'!$B:$B,'Share, Heavy Weapons to Ukraine'!$B47,'Bilateral Assistance, MAIN DATA'!$AO:$AO,'Share, Heavy Weapons to Ukraine'!AU$11)</f>
        <v>0</v>
      </c>
      <c r="AV47" s="2">
        <f>SUMIFS('Bilateral Assistance, MAIN DATA'!$N:$N,'Bilateral Assistance, MAIN DATA'!$B:$B,'Share, Heavy Weapons to Ukraine'!$B47,'Bilateral Assistance, MAIN DATA'!$AO:$AO,'Share, Heavy Weapons to Ukraine'!AV$11)</f>
        <v>0</v>
      </c>
      <c r="AW47" s="471"/>
      <c r="AX47" s="292">
        <f>IF(VLOOKUP($B47,$B:G,COLUMN(G46)-1,FALSE)&lt;&gt;0,VLOOKUP($B47,$B:V,COLUMN(V46)-1,FALSE)/VLOOKUP($B47,$B:G,COLUMN(G46)-1,FALSE),IF(VLOOKUP($B47,$B:V,COLUMN(V46)-1,FALSE)&lt;&gt;0,"Strange",0))</f>
        <v>0</v>
      </c>
      <c r="AY47" s="292">
        <f>IF(VLOOKUP($B47,$B:H,COLUMN(H46)-1,FALSE)&lt;&gt;0,VLOOKUP($B47,$B:W,COLUMN(W46)-1,FALSE)/VLOOKUP($B47,$B:H,COLUMN(H46)-1,FALSE),IF(VLOOKUP($B47,$B:W,COLUMN(W46)-1,FALSE)&lt;&gt;0,"Strange",0))</f>
        <v>0</v>
      </c>
      <c r="AZ47" s="292">
        <f>IF(VLOOKUP($B47,$B:I,COLUMN(I46)-1,FALSE)&lt;&gt;0,VLOOKUP($B47,$B:X,COLUMN(X46)-1,FALSE)/VLOOKUP($B47,$B:I,COLUMN(I46)-1,FALSE),IF(VLOOKUP($B47,$B:X,COLUMN(X46)-1,FALSE)&lt;&gt;0,"Strange",0))</f>
        <v>0</v>
      </c>
      <c r="BA47" s="292">
        <f>IF(VLOOKUP($B47,$B:J,COLUMN(J46)-1,FALSE)&lt;&gt;0,VLOOKUP($B47,$B:Y,COLUMN(Y46)-1,FALSE)/VLOOKUP($B47,$B:J,COLUMN(J46)-1,FALSE),IF(VLOOKUP($B47,$B:Y,COLUMN(Y46)-1,FALSE)&lt;&gt;0,"Strange",0))</f>
        <v>0</v>
      </c>
      <c r="BB47" s="292">
        <f>IF(VLOOKUP($B47,$B:K,COLUMN(K46)-1,FALSE)&lt;&gt;0,VLOOKUP($B47,$B:Z,COLUMN(Z46)-1,FALSE)/VLOOKUP($B47,$B:K,COLUMN(K46)-1,FALSE),IF(VLOOKUP($B47,$B:Z,COLUMN(Z46)-1,FALSE)&lt;&gt;0,"Strange",0))</f>
        <v>0</v>
      </c>
      <c r="BC47" s="292">
        <f>IF(VLOOKUP($B47,$B:L,COLUMN(L46)-1,FALSE)&lt;&gt;0,VLOOKUP($B47,$B:AA,COLUMN(AA46)-1,FALSE)/VLOOKUP($B47,$B:L,COLUMN(L46)-1,FALSE),IF(VLOOKUP($B47,$B:AA,COLUMN(AA46)-1,FALSE)&lt;&gt;0,"Strange",0))</f>
        <v>0</v>
      </c>
      <c r="BD47" s="292">
        <f>IF(VLOOKUP($B47,$B:M,COLUMN(M46)-1,FALSE)&lt;&gt;0,VLOOKUP($B47,$B:AB,COLUMN(AB46)-1,FALSE)/VLOOKUP($B47,$B:M,COLUMN(M46)-1,FALSE),IF(VLOOKUP($B47,$B:AB,COLUMN(AB46)-1,FALSE)&lt;&gt;0,"Strange",0))</f>
        <v>0</v>
      </c>
      <c r="BE47" s="292">
        <f>IF(VLOOKUP($B47,$B:N,COLUMN(N46)-1,FALSE)&lt;&gt;0,VLOOKUP($B47,$B:AC,COLUMN(AC46)-1,FALSE)/VLOOKUP($B47,$B:N,COLUMN(N46)-1,FALSE),IF(VLOOKUP($B47,$B:AC,COLUMN(AC46)-1,FALSE)&lt;&gt;0,"Strange",0))</f>
        <v>0</v>
      </c>
      <c r="BF47" s="292">
        <f>IF(VLOOKUP($B47,$B:O,COLUMN(O46)-1,FALSE)&lt;&gt;0,VLOOKUP($B47,$B:AD,COLUMN(AD46)-1,FALSE)/VLOOKUP($B47,$B:O,COLUMN(O46)-1,FALSE),IF(VLOOKUP($B47,$B:AD,COLUMN(AD46)-1,FALSE)&lt;&gt;0,"Strange",0))</f>
        <v>0</v>
      </c>
      <c r="BG47" s="292">
        <f>IF(VLOOKUP($B47,$B:Q,COLUMN(Q46)-1,FALSE)&lt;&gt;0,VLOOKUP($B47,$B:AE,COLUMN(AE46)-1,FALSE)/VLOOKUP($B47,$B:Q,COLUMN(Q46)-1,FALSE),IF(VLOOKUP($B47,$B:AE,COLUMN(AE46)-1,FALSE)&lt;&gt;0,"Strange",0))</f>
        <v>0</v>
      </c>
      <c r="BH47" s="292">
        <f>IF(VLOOKUP($B47,$B:R,COLUMN(R46)-1,FALSE)&lt;&gt;0,VLOOKUP($B47,$B:AF,COLUMN(AF46)-1,FALSE)/VLOOKUP($B47,$B:R,COLUMN(R46)-1,FALSE),IF(VLOOKUP($B47,$B:AF,COLUMN(AF46)-1,FALSE)&lt;&gt;0,"Strange",0))</f>
        <v>0</v>
      </c>
      <c r="BI47" s="292">
        <f>IF(VLOOKUP($B47,$B:S,COLUMN(S46)-1,FALSE)&lt;&gt;0,VLOOKUP($B47,$B:AG,COLUMN(AG46)-1,FALSE)/VLOOKUP($B47,$B:S,COLUMN(S46)-1,FALSE),IF(VLOOKUP($B47,$B:AG,COLUMN(AG46)-1,FALSE)&lt;&gt;0,"Strange",0))</f>
        <v>0</v>
      </c>
      <c r="BJ47" s="292">
        <f>IF(VLOOKUP($B47,$B:T,COLUMN(T46)-1,FALSE)&lt;&gt;0,VLOOKUP($B47,$B:AH,COLUMN(AH46)-1,FALSE)/VLOOKUP($B47,$B:T,COLUMN(T46)-1,FALSE),IF(VLOOKUP($B47,$B:AH,COLUMN(AH46)-1,FALSE)&lt;&gt;0,"Strange",0))</f>
        <v>0</v>
      </c>
      <c r="BK47" s="471"/>
      <c r="BL47" s="2">
        <f>IF(VLOOKUP($B47,$B:W,COLUMN(G46)-1,FALSE)&lt;&gt;0,VLOOKUP($B47,$B:AK,COLUMN(AJ46)-1,FALSE)/VLOOKUP($B47,$B:W,COLUMN(G46)-1,FALSE),IF(VLOOKUP($B47,$B:AK,COLUMN(AJ46)-1,FALSE)&lt;&gt;0,"Strange",0))</f>
        <v>0</v>
      </c>
      <c r="BM47" s="2">
        <f>IF(VLOOKUP($B47,$B:X,COLUMN(H46)-1,FALSE)&lt;&gt;0,VLOOKUP($B47,$B:AL,COLUMN(AK46)-1,FALSE)/VLOOKUP($B47,$B:X,COLUMN(H46)-1,FALSE),IF(VLOOKUP($B47,$B:AL,COLUMN(AK46)-1,FALSE)&lt;&gt;0,"Strange",0))</f>
        <v>0</v>
      </c>
      <c r="BN47" s="2">
        <f>IF(VLOOKUP($B47,$B:Y,COLUMN(I46)-1,FALSE)&lt;&gt;0,VLOOKUP($B47,$B:AM,COLUMN(AL46)-1,FALSE)/VLOOKUP($B47,$B:Y,COLUMN(I46)-1,FALSE),IF(VLOOKUP($B47,$B:AM,COLUMN(AL46)-1,FALSE)&lt;&gt;0,"Strange",0))</f>
        <v>0</v>
      </c>
      <c r="BO47" s="2">
        <f>IF(VLOOKUP($B47,$B:Z,COLUMN(J46)-1,FALSE)&lt;&gt;0,VLOOKUP($B47,$B:AN,COLUMN(AM46)-1,FALSE)/VLOOKUP($B47,$B:Z,COLUMN(J46)-1,FALSE),IF(VLOOKUP($B47,$B:AN,COLUMN(AM46)-1,FALSE)&lt;&gt;0,"Strange",0))</f>
        <v>0</v>
      </c>
      <c r="BP47" s="2">
        <f>IF(VLOOKUP($B47,$B:AB,COLUMN(K46)-1,FALSE)&lt;&gt;0,VLOOKUP($B47,$B:AP,COLUMN(AN46)-1,FALSE)/VLOOKUP($B47,$B:AB,COLUMN(K46)-1,FALSE),IF(VLOOKUP($B47,$B:AP,COLUMN(AN46)-1,FALSE)&lt;&gt;0,"Strange",0))</f>
        <v>0</v>
      </c>
      <c r="BQ47" s="2">
        <f>IF(VLOOKUP($B47,$B:AC,COLUMN(L46)-1,FALSE)&lt;&gt;0,VLOOKUP($B47,$B:AQ,COLUMN(AO46)-1,FALSE)/VLOOKUP($B47,$B:AC,COLUMN(L46)-1,FALSE),IF(VLOOKUP($B47,$B:AQ,COLUMN(AO46)-1,FALSE)&lt;&gt;0,"Strange",0))</f>
        <v>0</v>
      </c>
      <c r="BR47" s="2">
        <f>IF(VLOOKUP($B47,$B:AC,COLUMN(M46)-1,FALSE)&lt;&gt;0,VLOOKUP($B47,$B:AQ,COLUMN(AP46)-1,FALSE)/VLOOKUP($B47,$B:AC,COLUMN(M46)-1,FALSE),IF(VLOOKUP($B47,$B:AQ,COLUMN(AP46)-1,FALSE)&lt;&gt;0,"Strange",0))</f>
        <v>0</v>
      </c>
      <c r="BS47" s="2">
        <f>IF(VLOOKUP($B47,$B:AD,COLUMN(N46)-1,FALSE)&lt;&gt;0,VLOOKUP($B47,$B:AR,COLUMN(AQ46)-1,FALSE)/VLOOKUP($B47,$B:AD,COLUMN(N46)-1,FALSE),IF(VLOOKUP($B47,$B:AR,COLUMN(AQ46)-1,FALSE)&lt;&gt;0,"Strange",0))</f>
        <v>0</v>
      </c>
      <c r="BT47" s="2">
        <f>IF(VLOOKUP($B47,$B:AD,COLUMN(O46)-1,FALSE)&lt;&gt;0,VLOOKUP($B47,$B:AR,COLUMN(AR46)-1,FALSE)/VLOOKUP($B47,$B:AD,COLUMN(O46)-1,FALSE),IF(VLOOKUP($B47,$B:AR,COLUMN(AR46)-1,FALSE)&lt;&gt;0,"Strange",0))</f>
        <v>0</v>
      </c>
      <c r="BU47" s="2">
        <f>IF(VLOOKUP($B47,$B:AE,COLUMN(Q46)-1,FALSE)&lt;&gt;0,VLOOKUP($B47,$B:AS,COLUMN(AS46)-1,FALSE)/VLOOKUP($B47,$B:AE,COLUMN(Q46)-1,FALSE),IF(VLOOKUP($B47,$B:AS,COLUMN(AS46)-1,FALSE)&lt;&gt;0,"Strange",0))</f>
        <v>0</v>
      </c>
      <c r="BV47" s="2">
        <f>IF(VLOOKUP($B47,$B:AF,COLUMN(R46)-1,FALSE)&lt;&gt;0,VLOOKUP($B47,$B:AT,COLUMN(AT46)-1,FALSE)/VLOOKUP($B47,$B:AF,COLUMN(R46)-1,FALSE),IF(VLOOKUP($B47,$B:AT,COLUMN(AT46)-1,FALSE)&lt;&gt;0,"Strange",0))</f>
        <v>0</v>
      </c>
      <c r="BW47" s="2">
        <f>IF(VLOOKUP($B47,$B:AG,COLUMN(S46)-1,FALSE)&lt;&gt;0,VLOOKUP($B47,$B:AU,COLUMN(AU46)-1,FALSE)/VLOOKUP($B47,$B:AG,COLUMN(S46)-1,FALSE),IF(VLOOKUP($B47,$B:AU,COLUMN(AU46)-1,FALSE)&lt;&gt;0,"Strange",0))</f>
        <v>0</v>
      </c>
      <c r="BX47" s="2">
        <f>IF(VLOOKUP($B47,$B:AH,COLUMN(T46)-1,FALSE)&lt;&gt;0,VLOOKUP($B47,$B:AV,COLUMN(AV46)-1,FALSE)/VLOOKUP($B47,$B:AH,COLUMN(T46)-1,FALSE),IF(VLOOKUP($B47,$B:AV,COLUMN(AV46)-1,FALSE)&lt;&gt;0,"Strange",0))</f>
        <v>0</v>
      </c>
      <c r="BY47" s="471"/>
      <c r="BZ47" s="2">
        <f>SUMIFS('Bilateral Assistance, MAIN DATA'!$M:$M,'Bilateral Assistance, MAIN DATA'!$B:$B,'Share, Heavy Weapons to Ukraine'!$B47,'Bilateral Assistance, MAIN DATA'!$AO:$AO,'Share, Heavy Weapons to Ukraine'!BZ$11, 'Bilateral Assistance, MAIN DATA'!$AA:$AA,1)</f>
        <v>0</v>
      </c>
      <c r="CA47" s="2">
        <f>SUMIFS('Bilateral Assistance, MAIN DATA'!$M:$M,'Bilateral Assistance, MAIN DATA'!$B:$B,'Share, Heavy Weapons to Ukraine'!$B47,'Bilateral Assistance, MAIN DATA'!$AO:$AO,'Share, Heavy Weapons to Ukraine'!CA$11, 'Bilateral Assistance, MAIN DATA'!$AA:$AA,1)</f>
        <v>0</v>
      </c>
      <c r="CB47" s="2">
        <f>SUMIFS('Bilateral Assistance, MAIN DATA'!$M:$M,'Bilateral Assistance, MAIN DATA'!$B:$B,'Share, Heavy Weapons to Ukraine'!$B47,'Bilateral Assistance, MAIN DATA'!$AO:$AO,'Share, Heavy Weapons to Ukraine'!CB$11, 'Bilateral Assistance, MAIN DATA'!$AA:$AA,1)</f>
        <v>0</v>
      </c>
      <c r="CC47" s="2">
        <f>SUMIFS('Bilateral Assistance, MAIN DATA'!$M:$M,'Bilateral Assistance, MAIN DATA'!$B:$B,'Share, Heavy Weapons to Ukraine'!$B47,'Bilateral Assistance, MAIN DATA'!$AO:$AO,'Share, Heavy Weapons to Ukraine'!CC$11, 'Bilateral Assistance, MAIN DATA'!$AA:$AA,1)</f>
        <v>0</v>
      </c>
      <c r="CD47" s="471"/>
      <c r="CE47" s="2">
        <f>SUMIFS('Bilateral Assistance, MAIN DATA'!$N:$N,'Bilateral Assistance, MAIN DATA'!$B:$B,'Share, Heavy Weapons to Ukraine'!$B47,'Bilateral Assistance, MAIN DATA'!$AO:$AO,'Share, Heavy Weapons to Ukraine'!CE$11, 'Bilateral Assistance, MAIN DATA'!$AA:$AA,1)</f>
        <v>0</v>
      </c>
      <c r="CF47" s="2">
        <f>SUMIFS('Bilateral Assistance, MAIN DATA'!$N:$N,'Bilateral Assistance, MAIN DATA'!$B:$B,'Share, Heavy Weapons to Ukraine'!$B47,'Bilateral Assistance, MAIN DATA'!$AO:$AO,'Share, Heavy Weapons to Ukraine'!CF$11, 'Bilateral Assistance, MAIN DATA'!$AA:$AA,1)</f>
        <v>0</v>
      </c>
      <c r="CG47" s="2">
        <f>SUMIFS('Bilateral Assistance, MAIN DATA'!$N:$N,'Bilateral Assistance, MAIN DATA'!$B:$B,'Share, Heavy Weapons to Ukraine'!$B47,'Bilateral Assistance, MAIN DATA'!$AO:$AO,'Share, Heavy Weapons to Ukraine'!CG$11, 'Bilateral Assistance, MAIN DATA'!$AA:$AA,1)</f>
        <v>0</v>
      </c>
      <c r="CH47" s="2">
        <f>SUMIFS('Bilateral Assistance, MAIN DATA'!$N:$N,'Bilateral Assistance, MAIN DATA'!$B:$B,'Share, Heavy Weapons to Ukraine'!$B47,'Bilateral Assistance, MAIN DATA'!$AO:$AO,'Share, Heavy Weapons to Ukraine'!CH$11, 'Bilateral Assistance, MAIN DATA'!$AA:$AA,1)</f>
        <v>0</v>
      </c>
    </row>
    <row r="48" spans="2:86" ht="15.6" x14ac:dyDescent="0.3">
      <c r="B48" s="470" t="s">
        <v>4897</v>
      </c>
      <c r="C48" s="470">
        <v>0</v>
      </c>
      <c r="D48" s="2">
        <v>0</v>
      </c>
      <c r="E48" s="471"/>
      <c r="F48" s="472">
        <v>0.19400000000000001</v>
      </c>
      <c r="G48" s="470">
        <f>VLOOKUP(B48,'Heavy Weapon Stocks'!B:OE,COLUMN('Heavy Weapon Stocks'!$C$11)-1,FALSE)</f>
        <v>45</v>
      </c>
      <c r="H48" s="470">
        <f>VLOOKUP(B48,'Heavy Weapon Stocks'!B:OE,COLUMN('Heavy Weapon Stocks'!$AT$11)-1,FALSE)</f>
        <v>20</v>
      </c>
      <c r="I48" s="470">
        <f>VLOOKUP(B48,'Heavy Weapon Stocks'!B:OE,COLUMN('Heavy Weapon Stocks'!$DN$11)-1,FALSE)</f>
        <v>0</v>
      </c>
      <c r="J48" s="470">
        <f>VLOOKUP(B48,'Heavy Weapon Stocks'!B:OE,COLUMN('Heavy Weapon Stocks'!$EB$11)-1,FALSE)</f>
        <v>0</v>
      </c>
      <c r="K48" s="470">
        <f>VLOOKUP(B48,'Heavy Weapon Stocks'!B:OE,COLUMN('Heavy Weapon Stocks'!$FD$11)-1,FALSE)</f>
        <v>0</v>
      </c>
      <c r="L48" s="470">
        <f t="shared" si="0"/>
        <v>20</v>
      </c>
      <c r="M48" s="470">
        <f>VLOOKUP(B48,'Heavy Weapon Stocks'!B:OE,COLUMN('Heavy Weapon Stocks'!$GZ$11)-1,FALSE)+VLOOKUP(B48,'Heavy Weapon Stocks'!B:OE,COLUMN('Heavy Weapon Stocks'!$IF$11)-1,FALSE)</f>
        <v>0</v>
      </c>
      <c r="N48" s="470">
        <f>VLOOKUP(B48,'Heavy Weapon Stocks'!B:OE,COLUMN('Heavy Weapon Stocks'!$IK$11)-1,FALSE)</f>
        <v>24</v>
      </c>
      <c r="O48" s="470">
        <f>VLOOKUP(B48,'Heavy Weapon Stocks'!B:OE,COLUMN('Heavy Weapon Stocks'!$JE$11)-1,FALSE)+VLOOKUP(B48,'Heavy Weapon Stocks'!B:OE,COLUMN('Heavy Weapon Stocks'!$KB$11)-1,FALSE)</f>
        <v>0</v>
      </c>
      <c r="Q48" s="470">
        <f>VLOOKUP(B48,'Heavy Weapon Stocks'!B:OE,COLUMN('Heavy Weapon Stocks'!$LS$11)-1,FALSE)</f>
        <v>0</v>
      </c>
      <c r="R48" s="470">
        <f>VLOOKUP(B48,'Heavy Weapon Stocks'!B:OE,COLUMN('Heavy Weapon Stocks'!$MC$11)-1,FALSE)</f>
        <v>0</v>
      </c>
      <c r="S48" s="470">
        <f>VLOOKUP(B48,'Heavy Weapon Stocks'!B:OE,COLUMN('Heavy Weapon Stocks'!$MJ$11)-1,FALSE)</f>
        <v>20</v>
      </c>
      <c r="T48" s="470">
        <f>VLOOKUP(B48,'Heavy Weapon Stocks'!B:OE,COLUMN('Heavy Weapon Stocks'!$NO$11)-1,FALSE)</f>
        <v>0</v>
      </c>
      <c r="U48" s="471"/>
      <c r="V48" s="2">
        <f>SUMIFS('Bilateral Assistance, MAIN DATA'!$M:$M,'Bilateral Assistance, MAIN DATA'!$B:$B,'Share, Heavy Weapons to Ukraine'!$B48,'Bilateral Assistance, MAIN DATA'!$AO:$AO,'Share, Heavy Weapons to Ukraine'!V$11)</f>
        <v>0</v>
      </c>
      <c r="W48" s="2">
        <f>SUMIFS('Bilateral Assistance, MAIN DATA'!$M:$M,'Bilateral Assistance, MAIN DATA'!$B:$B,'Share, Heavy Weapons to Ukraine'!$B48,'Bilateral Assistance, MAIN DATA'!$AO:$AO,'Share, Heavy Weapons to Ukraine'!W$11)</f>
        <v>0</v>
      </c>
      <c r="X48" s="2">
        <f>SUMIFS('Bilateral Assistance, MAIN DATA'!$M:$M,'Bilateral Assistance, MAIN DATA'!$B:$B,'Share, Heavy Weapons to Ukraine'!$B48,'Bilateral Assistance, MAIN DATA'!$AO:$AO,'Share, Heavy Weapons to Ukraine'!X$11)</f>
        <v>0</v>
      </c>
      <c r="Y48" s="2">
        <f>SUMIFS('Bilateral Assistance, MAIN DATA'!$M:$M,'Bilateral Assistance, MAIN DATA'!$B:$B,'Share, Heavy Weapons to Ukraine'!$B48,'Bilateral Assistance, MAIN DATA'!$AO:$AO,'Share, Heavy Weapons to Ukraine'!Y$11)</f>
        <v>0</v>
      </c>
      <c r="Z48" s="2">
        <f>SUMIFS('Bilateral Assistance, MAIN DATA'!$M:$M,'Bilateral Assistance, MAIN DATA'!$B:$B,'Share, Heavy Weapons to Ukraine'!$B48,'Bilateral Assistance, MAIN DATA'!$AO:$AO,'Share, Heavy Weapons to Ukraine'!Z$11)</f>
        <v>0</v>
      </c>
      <c r="AA48" s="2">
        <f t="shared" si="1"/>
        <v>0</v>
      </c>
      <c r="AB48" s="2">
        <f>SUMIFS('Bilateral Assistance, MAIN DATA'!$M:$M,'Bilateral Assistance, MAIN DATA'!$B:$B,'Share, Heavy Weapons to Ukraine'!$B48,'Bilateral Assistance, MAIN DATA'!$AO:$AO,'Share, Heavy Weapons to Ukraine'!AB$11)</f>
        <v>0</v>
      </c>
      <c r="AC48" s="25">
        <f>SUMIFS('Bilateral Assistance, MAIN DATA'!$M:$M,'Bilateral Assistance, MAIN DATA'!$B:$B,'Share, Heavy Weapons to Ukraine'!$B48,'Bilateral Assistance, MAIN DATA'!$AO:$AO,"122mm MLRS")+SUMIFS('Bilateral Assistance, MAIN DATA'!$M:$M,'Bilateral Assistance, MAIN DATA'!$B:$B,'Share, Heavy Weapons to Ukraine'!$B48,'Bilateral Assistance, MAIN DATA'!$AO:$AO,"127mm MLRS")+SUMIFS('Bilateral Assistance, MAIN DATA'!$M:$M,'Bilateral Assistance, MAIN DATA'!$B:$B,'Share, Heavy Weapons to Ukraine'!$B48,'Bilateral Assistance, MAIN DATA'!$AO:$AO,"227mm MLRS")</f>
        <v>0</v>
      </c>
      <c r="AD48" s="2">
        <f>SUMIFS('Bilateral Assistance, MAIN DATA'!$M:$M,'Bilateral Assistance, MAIN DATA'!$B:$B,'Share, Heavy Weapons to Ukraine'!$B48,'Bilateral Assistance, MAIN DATA'!$AO:$AO,'Share, Heavy Weapons to Ukraine'!AD$11)</f>
        <v>0</v>
      </c>
      <c r="AE48" s="2">
        <f>SUMIFS('Bilateral Assistance, MAIN DATA'!$M:$M,'Bilateral Assistance, MAIN DATA'!$B:$B,'Share, Heavy Weapons to Ukraine'!$B48,'Bilateral Assistance, MAIN DATA'!$AO:$AO,'Share, Heavy Weapons to Ukraine'!AE$11)</f>
        <v>0</v>
      </c>
      <c r="AF48" s="2">
        <f>SUMIFS('Bilateral Assistance, MAIN DATA'!$M:$M,'Bilateral Assistance, MAIN DATA'!$B:$B,'Share, Heavy Weapons to Ukraine'!$B48,'Bilateral Assistance, MAIN DATA'!$AO:$AO,'Share, Heavy Weapons to Ukraine'!AF$11)</f>
        <v>0</v>
      </c>
      <c r="AG48" s="2">
        <f>SUMIFS('Bilateral Assistance, MAIN DATA'!$M:$M,'Bilateral Assistance, MAIN DATA'!$B:$B,'Share, Heavy Weapons to Ukraine'!$B48,'Bilateral Assistance, MAIN DATA'!$AO:$AO,'Share, Heavy Weapons to Ukraine'!AG$11)</f>
        <v>0</v>
      </c>
      <c r="AH48" s="2">
        <f>SUMIFS('Bilateral Assistance, MAIN DATA'!$M:$M,'Bilateral Assistance, MAIN DATA'!$B:$B,'Share, Heavy Weapons to Ukraine'!$B48,'Bilateral Assistance, MAIN DATA'!$AO:$AO,'Share, Heavy Weapons to Ukraine'!AH$11)</f>
        <v>0</v>
      </c>
      <c r="AI48" s="471"/>
      <c r="AJ48" s="2">
        <f>SUMIFS('Bilateral Assistance, MAIN DATA'!$N:$N,'Bilateral Assistance, MAIN DATA'!$B:$B,'Share, Heavy Weapons to Ukraine'!$B48,'Bilateral Assistance, MAIN DATA'!$AO:$AO,'Share, Heavy Weapons to Ukraine'!AJ$11)</f>
        <v>0</v>
      </c>
      <c r="AK48" s="2">
        <f>SUMIFS('Bilateral Assistance, MAIN DATA'!$N:$N,'Bilateral Assistance, MAIN DATA'!$B:$B,'Share, Heavy Weapons to Ukraine'!$B48,'Bilateral Assistance, MAIN DATA'!$AO:$AO,'Share, Heavy Weapons to Ukraine'!AK$11)</f>
        <v>0</v>
      </c>
      <c r="AL48" s="2">
        <f>SUMIFS('Bilateral Assistance, MAIN DATA'!$N:$N,'Bilateral Assistance, MAIN DATA'!$B:$B,'Share, Heavy Weapons to Ukraine'!$B48,'Bilateral Assistance, MAIN DATA'!$AO:$AO,'Share, Heavy Weapons to Ukraine'!AL$11)</f>
        <v>0</v>
      </c>
      <c r="AM48" s="2">
        <f>SUMIFS('Bilateral Assistance, MAIN DATA'!$N:$N,'Bilateral Assistance, MAIN DATA'!$B:$B,'Share, Heavy Weapons to Ukraine'!$B48,'Bilateral Assistance, MAIN DATA'!$AO:$AO,'Share, Heavy Weapons to Ukraine'!AM$11)</f>
        <v>0</v>
      </c>
      <c r="AN48" s="2">
        <f>SUMIFS('Bilateral Assistance, MAIN DATA'!$N:$N,'Bilateral Assistance, MAIN DATA'!$B:$B,'Share, Heavy Weapons to Ukraine'!$B48,'Bilateral Assistance, MAIN DATA'!$AO:$AO,'Share, Heavy Weapons to Ukraine'!AN$11)</f>
        <v>0</v>
      </c>
      <c r="AO48" s="2">
        <f t="shared" si="2"/>
        <v>0</v>
      </c>
      <c r="AP48" s="2">
        <f>SUMIFS('Bilateral Assistance, MAIN DATA'!$N:$N,'Bilateral Assistance, MAIN DATA'!$B:$B,'Share, Heavy Weapons to Ukraine'!$B48,'Bilateral Assistance, MAIN DATA'!$AO:$AO,'Share, Heavy Weapons to Ukraine'!AP$11)</f>
        <v>0</v>
      </c>
      <c r="AQ48" s="25">
        <f>SUMIFS('Bilateral Assistance, MAIN DATA'!$N:$N,'Bilateral Assistance, MAIN DATA'!$B:$B,'Share, Heavy Weapons to Ukraine'!$B48,'Bilateral Assistance, MAIN DATA'!$AO:$AO,"122mm MLRS")+SUMIFS('Bilateral Assistance, MAIN DATA'!$N:$N,'Bilateral Assistance, MAIN DATA'!$B:$B,'Share, Heavy Weapons to Ukraine'!$B48,'Bilateral Assistance, MAIN DATA'!$AO:$AO,"127mm MLRS")+SUMIFS('Bilateral Assistance, MAIN DATA'!$N:$N,'Bilateral Assistance, MAIN DATA'!$B:$B,'Share, Heavy Weapons to Ukraine'!$B48,'Bilateral Assistance, MAIN DATA'!$AO:$AO,"227mm MLRS")</f>
        <v>0</v>
      </c>
      <c r="AR48" s="2">
        <f>SUMIFS('Bilateral Assistance, MAIN DATA'!$N:$N,'Bilateral Assistance, MAIN DATA'!$B:$B,'Share, Heavy Weapons to Ukraine'!$B48,'Bilateral Assistance, MAIN DATA'!$AO:$AO,'Share, Heavy Weapons to Ukraine'!AR$11)</f>
        <v>0</v>
      </c>
      <c r="AS48" s="2">
        <f>SUMIFS('Bilateral Assistance, MAIN DATA'!$N:$N,'Bilateral Assistance, MAIN DATA'!$B:$B,'Share, Heavy Weapons to Ukraine'!$B48,'Bilateral Assistance, MAIN DATA'!$AO:$AO,'Share, Heavy Weapons to Ukraine'!AS$11)</f>
        <v>0</v>
      </c>
      <c r="AT48" s="2">
        <f>SUMIFS('Bilateral Assistance, MAIN DATA'!$N:$N,'Bilateral Assistance, MAIN DATA'!$B:$B,'Share, Heavy Weapons to Ukraine'!$B48,'Bilateral Assistance, MAIN DATA'!$AO:$AO,'Share, Heavy Weapons to Ukraine'!AT$11)</f>
        <v>0</v>
      </c>
      <c r="AU48" s="2">
        <f>SUMIFS('Bilateral Assistance, MAIN DATA'!$N:$N,'Bilateral Assistance, MAIN DATA'!$B:$B,'Share, Heavy Weapons to Ukraine'!$B48,'Bilateral Assistance, MAIN DATA'!$AO:$AO,'Share, Heavy Weapons to Ukraine'!AU$11)</f>
        <v>0</v>
      </c>
      <c r="AV48" s="2">
        <f>SUMIFS('Bilateral Assistance, MAIN DATA'!$N:$N,'Bilateral Assistance, MAIN DATA'!$B:$B,'Share, Heavy Weapons to Ukraine'!$B48,'Bilateral Assistance, MAIN DATA'!$AO:$AO,'Share, Heavy Weapons to Ukraine'!AV$11)</f>
        <v>0</v>
      </c>
      <c r="AW48" s="471"/>
      <c r="AX48" s="292">
        <f>IF(VLOOKUP($B48,$B:G,COLUMN(G47)-1,FALSE)&lt;&gt;0,VLOOKUP($B48,$B:V,COLUMN(V47)-1,FALSE)/VLOOKUP($B48,$B:G,COLUMN(G47)-1,FALSE),IF(VLOOKUP($B48,$B:V,COLUMN(V47)-1,FALSE)&lt;&gt;0,"Strange",0))</f>
        <v>0</v>
      </c>
      <c r="AY48" s="292">
        <f>IF(VLOOKUP($B48,$B:H,COLUMN(H47)-1,FALSE)&lt;&gt;0,VLOOKUP($B48,$B:W,COLUMN(W47)-1,FALSE)/VLOOKUP($B48,$B:H,COLUMN(H47)-1,FALSE),IF(VLOOKUP($B48,$B:W,COLUMN(W47)-1,FALSE)&lt;&gt;0,"Strange",0))</f>
        <v>0</v>
      </c>
      <c r="AZ48" s="292">
        <f>IF(VLOOKUP($B48,$B:I,COLUMN(I47)-1,FALSE)&lt;&gt;0,VLOOKUP($B48,$B:X,COLUMN(X47)-1,FALSE)/VLOOKUP($B48,$B:I,COLUMN(I47)-1,FALSE),IF(VLOOKUP($B48,$B:X,COLUMN(X47)-1,FALSE)&lt;&gt;0,"Strange",0))</f>
        <v>0</v>
      </c>
      <c r="BA48" s="292">
        <f>IF(VLOOKUP($B48,$B:J,COLUMN(J47)-1,FALSE)&lt;&gt;0,VLOOKUP($B48,$B:Y,COLUMN(Y47)-1,FALSE)/VLOOKUP($B48,$B:J,COLUMN(J47)-1,FALSE),IF(VLOOKUP($B48,$B:Y,COLUMN(Y47)-1,FALSE)&lt;&gt;0,"Strange",0))</f>
        <v>0</v>
      </c>
      <c r="BB48" s="292">
        <f>IF(VLOOKUP($B48,$B:K,COLUMN(K47)-1,FALSE)&lt;&gt;0,VLOOKUP($B48,$B:Z,COLUMN(Z47)-1,FALSE)/VLOOKUP($B48,$B:K,COLUMN(K47)-1,FALSE),IF(VLOOKUP($B48,$B:Z,COLUMN(Z47)-1,FALSE)&lt;&gt;0,"Strange",0))</f>
        <v>0</v>
      </c>
      <c r="BC48" s="292">
        <f>IF(VLOOKUP($B48,$B:L,COLUMN(L47)-1,FALSE)&lt;&gt;0,VLOOKUP($B48,$B:AA,COLUMN(AA47)-1,FALSE)/VLOOKUP($B48,$B:L,COLUMN(L47)-1,FALSE),IF(VLOOKUP($B48,$B:AA,COLUMN(AA47)-1,FALSE)&lt;&gt;0,"Strange",0))</f>
        <v>0</v>
      </c>
      <c r="BD48" s="292">
        <f>IF(VLOOKUP($B48,$B:M,COLUMN(M47)-1,FALSE)&lt;&gt;0,VLOOKUP($B48,$B:AB,COLUMN(AB47)-1,FALSE)/VLOOKUP($B48,$B:M,COLUMN(M47)-1,FALSE),IF(VLOOKUP($B48,$B:AB,COLUMN(AB47)-1,FALSE)&lt;&gt;0,"Strange",0))</f>
        <v>0</v>
      </c>
      <c r="BE48" s="292">
        <f>IF(VLOOKUP($B48,$B:N,COLUMN(N47)-1,FALSE)&lt;&gt;0,VLOOKUP($B48,$B:AC,COLUMN(AC47)-1,FALSE)/VLOOKUP($B48,$B:N,COLUMN(N47)-1,FALSE),IF(VLOOKUP($B48,$B:AC,COLUMN(AC47)-1,FALSE)&lt;&gt;0,"Strange",0))</f>
        <v>0</v>
      </c>
      <c r="BF48" s="292">
        <f>IF(VLOOKUP($B48,$B:O,COLUMN(O47)-1,FALSE)&lt;&gt;0,VLOOKUP($B48,$B:AD,COLUMN(AD47)-1,FALSE)/VLOOKUP($B48,$B:O,COLUMN(O47)-1,FALSE),IF(VLOOKUP($B48,$B:AD,COLUMN(AD47)-1,FALSE)&lt;&gt;0,"Strange",0))</f>
        <v>0</v>
      </c>
      <c r="BG48" s="292">
        <f>IF(VLOOKUP($B48,$B:Q,COLUMN(Q47)-1,FALSE)&lt;&gt;0,VLOOKUP($B48,$B:AE,COLUMN(AE47)-1,FALSE)/VLOOKUP($B48,$B:Q,COLUMN(Q47)-1,FALSE),IF(VLOOKUP($B48,$B:AE,COLUMN(AE47)-1,FALSE)&lt;&gt;0,"Strange",0))</f>
        <v>0</v>
      </c>
      <c r="BH48" s="292">
        <f>IF(VLOOKUP($B48,$B:R,COLUMN(R47)-1,FALSE)&lt;&gt;0,VLOOKUP($B48,$B:AF,COLUMN(AF47)-1,FALSE)/VLOOKUP($B48,$B:R,COLUMN(R47)-1,FALSE),IF(VLOOKUP($B48,$B:AF,COLUMN(AF47)-1,FALSE)&lt;&gt;0,"Strange",0))</f>
        <v>0</v>
      </c>
      <c r="BI48" s="292">
        <f>IF(VLOOKUP($B48,$B:S,COLUMN(S47)-1,FALSE)&lt;&gt;0,VLOOKUP($B48,$B:AG,COLUMN(AG47)-1,FALSE)/VLOOKUP($B48,$B:S,COLUMN(S47)-1,FALSE),IF(VLOOKUP($B48,$B:AG,COLUMN(AG47)-1,FALSE)&lt;&gt;0,"Strange",0))</f>
        <v>0</v>
      </c>
      <c r="BJ48" s="292">
        <f>IF(VLOOKUP($B48,$B:T,COLUMN(T47)-1,FALSE)&lt;&gt;0,VLOOKUP($B48,$B:AH,COLUMN(AH47)-1,FALSE)/VLOOKUP($B48,$B:T,COLUMN(T47)-1,FALSE),IF(VLOOKUP($B48,$B:AH,COLUMN(AH47)-1,FALSE)&lt;&gt;0,"Strange",0))</f>
        <v>0</v>
      </c>
      <c r="BK48" s="471"/>
      <c r="BL48" s="2">
        <f>IF(VLOOKUP($B48,$B:W,COLUMN(G47)-1,FALSE)&lt;&gt;0,VLOOKUP($B48,$B:AK,COLUMN(AJ47)-1,FALSE)/VLOOKUP($B48,$B:W,COLUMN(G47)-1,FALSE),IF(VLOOKUP($B48,$B:AK,COLUMN(AJ47)-1,FALSE)&lt;&gt;0,"Strange",0))</f>
        <v>0</v>
      </c>
      <c r="BM48" s="2">
        <f>IF(VLOOKUP($B48,$B:X,COLUMN(H47)-1,FALSE)&lt;&gt;0,VLOOKUP($B48,$B:AL,COLUMN(AK47)-1,FALSE)/VLOOKUP($B48,$B:X,COLUMN(H47)-1,FALSE),IF(VLOOKUP($B48,$B:AL,COLUMN(AK47)-1,FALSE)&lt;&gt;0,"Strange",0))</f>
        <v>0</v>
      </c>
      <c r="BN48" s="2">
        <f>IF(VLOOKUP($B48,$B:Y,COLUMN(I47)-1,FALSE)&lt;&gt;0,VLOOKUP($B48,$B:AM,COLUMN(AL47)-1,FALSE)/VLOOKUP($B48,$B:Y,COLUMN(I47)-1,FALSE),IF(VLOOKUP($B48,$B:AM,COLUMN(AL47)-1,FALSE)&lt;&gt;0,"Strange",0))</f>
        <v>0</v>
      </c>
      <c r="BO48" s="2">
        <f>IF(VLOOKUP($B48,$B:Z,COLUMN(J47)-1,FALSE)&lt;&gt;0,VLOOKUP($B48,$B:AN,COLUMN(AM47)-1,FALSE)/VLOOKUP($B48,$B:Z,COLUMN(J47)-1,FALSE),IF(VLOOKUP($B48,$B:AN,COLUMN(AM47)-1,FALSE)&lt;&gt;0,"Strange",0))</f>
        <v>0</v>
      </c>
      <c r="BP48" s="2">
        <f>IF(VLOOKUP($B48,$B:AB,COLUMN(K47)-1,FALSE)&lt;&gt;0,VLOOKUP($B48,$B:AP,COLUMN(AN47)-1,FALSE)/VLOOKUP($B48,$B:AB,COLUMN(K47)-1,FALSE),IF(VLOOKUP($B48,$B:AP,COLUMN(AN47)-1,FALSE)&lt;&gt;0,"Strange",0))</f>
        <v>0</v>
      </c>
      <c r="BQ48" s="2">
        <f>IF(VLOOKUP($B48,$B:AC,COLUMN(L47)-1,FALSE)&lt;&gt;0,VLOOKUP($B48,$B:AQ,COLUMN(AO47)-1,FALSE)/VLOOKUP($B48,$B:AC,COLUMN(L47)-1,FALSE),IF(VLOOKUP($B48,$B:AQ,COLUMN(AO47)-1,FALSE)&lt;&gt;0,"Strange",0))</f>
        <v>0</v>
      </c>
      <c r="BR48" s="2">
        <f>IF(VLOOKUP($B48,$B:AC,COLUMN(M47)-1,FALSE)&lt;&gt;0,VLOOKUP($B48,$B:AQ,COLUMN(AP47)-1,FALSE)/VLOOKUP($B48,$B:AC,COLUMN(M47)-1,FALSE),IF(VLOOKUP($B48,$B:AQ,COLUMN(AP47)-1,FALSE)&lt;&gt;0,"Strange",0))</f>
        <v>0</v>
      </c>
      <c r="BS48" s="2">
        <f>IF(VLOOKUP($B48,$B:AD,COLUMN(N47)-1,FALSE)&lt;&gt;0,VLOOKUP($B48,$B:AR,COLUMN(AQ47)-1,FALSE)/VLOOKUP($B48,$B:AD,COLUMN(N47)-1,FALSE),IF(VLOOKUP($B48,$B:AR,COLUMN(AQ47)-1,FALSE)&lt;&gt;0,"Strange",0))</f>
        <v>0</v>
      </c>
      <c r="BT48" s="2">
        <f>IF(VLOOKUP($B48,$B:AD,COLUMN(O47)-1,FALSE)&lt;&gt;0,VLOOKUP($B48,$B:AR,COLUMN(AR47)-1,FALSE)/VLOOKUP($B48,$B:AD,COLUMN(O47)-1,FALSE),IF(VLOOKUP($B48,$B:AR,COLUMN(AR47)-1,FALSE)&lt;&gt;0,"Strange",0))</f>
        <v>0</v>
      </c>
      <c r="BU48" s="2">
        <f>IF(VLOOKUP($B48,$B:AE,COLUMN(Q47)-1,FALSE)&lt;&gt;0,VLOOKUP($B48,$B:AS,COLUMN(AS47)-1,FALSE)/VLOOKUP($B48,$B:AE,COLUMN(Q47)-1,FALSE),IF(VLOOKUP($B48,$B:AS,COLUMN(AS47)-1,FALSE)&lt;&gt;0,"Strange",0))</f>
        <v>0</v>
      </c>
      <c r="BV48" s="2">
        <f>IF(VLOOKUP($B48,$B:AF,COLUMN(R47)-1,FALSE)&lt;&gt;0,VLOOKUP($B48,$B:AT,COLUMN(AT47)-1,FALSE)/VLOOKUP($B48,$B:AF,COLUMN(R47)-1,FALSE),IF(VLOOKUP($B48,$B:AT,COLUMN(AT47)-1,FALSE)&lt;&gt;0,"Strange",0))</f>
        <v>0</v>
      </c>
      <c r="BW48" s="2">
        <f>IF(VLOOKUP($B48,$B:AG,COLUMN(S47)-1,FALSE)&lt;&gt;0,VLOOKUP($B48,$B:AU,COLUMN(AU47)-1,FALSE)/VLOOKUP($B48,$B:AG,COLUMN(S47)-1,FALSE),IF(VLOOKUP($B48,$B:AU,COLUMN(AU47)-1,FALSE)&lt;&gt;0,"Strange",0))</f>
        <v>0</v>
      </c>
      <c r="BX48" s="2">
        <f>IF(VLOOKUP($B48,$B:AH,COLUMN(T47)-1,FALSE)&lt;&gt;0,VLOOKUP($B48,$B:AV,COLUMN(AV47)-1,FALSE)/VLOOKUP($B48,$B:AH,COLUMN(T47)-1,FALSE),IF(VLOOKUP($B48,$B:AV,COLUMN(AV47)-1,FALSE)&lt;&gt;0,"Strange",0))</f>
        <v>0</v>
      </c>
      <c r="BY48" s="471"/>
      <c r="BZ48" s="2">
        <f>SUMIFS('Bilateral Assistance, MAIN DATA'!$M:$M,'Bilateral Assistance, MAIN DATA'!$B:$B,'Share, Heavy Weapons to Ukraine'!$B48,'Bilateral Assistance, MAIN DATA'!$AO:$AO,'Share, Heavy Weapons to Ukraine'!BZ$11, 'Bilateral Assistance, MAIN DATA'!$AA:$AA,1)</f>
        <v>0</v>
      </c>
      <c r="CA48" s="2">
        <f>SUMIFS('Bilateral Assistance, MAIN DATA'!$M:$M,'Bilateral Assistance, MAIN DATA'!$B:$B,'Share, Heavy Weapons to Ukraine'!$B48,'Bilateral Assistance, MAIN DATA'!$AO:$AO,'Share, Heavy Weapons to Ukraine'!CA$11, 'Bilateral Assistance, MAIN DATA'!$AA:$AA,1)</f>
        <v>0</v>
      </c>
      <c r="CB48" s="2">
        <f>SUMIFS('Bilateral Assistance, MAIN DATA'!$M:$M,'Bilateral Assistance, MAIN DATA'!$B:$B,'Share, Heavy Weapons to Ukraine'!$B48,'Bilateral Assistance, MAIN DATA'!$AO:$AO,'Share, Heavy Weapons to Ukraine'!CB$11, 'Bilateral Assistance, MAIN DATA'!$AA:$AA,1)</f>
        <v>0</v>
      </c>
      <c r="CC48" s="2">
        <f>SUMIFS('Bilateral Assistance, MAIN DATA'!$M:$M,'Bilateral Assistance, MAIN DATA'!$B:$B,'Share, Heavy Weapons to Ukraine'!$B48,'Bilateral Assistance, MAIN DATA'!$AO:$AO,'Share, Heavy Weapons to Ukraine'!CC$11, 'Bilateral Assistance, MAIN DATA'!$AA:$AA,1)</f>
        <v>0</v>
      </c>
      <c r="CD48" s="471"/>
      <c r="CE48" s="2">
        <f>SUMIFS('Bilateral Assistance, MAIN DATA'!$N:$N,'Bilateral Assistance, MAIN DATA'!$B:$B,'Share, Heavy Weapons to Ukraine'!$B48,'Bilateral Assistance, MAIN DATA'!$AO:$AO,'Share, Heavy Weapons to Ukraine'!CE$11, 'Bilateral Assistance, MAIN DATA'!$AA:$AA,1)</f>
        <v>0</v>
      </c>
      <c r="CF48" s="2">
        <f>SUMIFS('Bilateral Assistance, MAIN DATA'!$N:$N,'Bilateral Assistance, MAIN DATA'!$B:$B,'Share, Heavy Weapons to Ukraine'!$B48,'Bilateral Assistance, MAIN DATA'!$AO:$AO,'Share, Heavy Weapons to Ukraine'!CF$11, 'Bilateral Assistance, MAIN DATA'!$AA:$AA,1)</f>
        <v>0</v>
      </c>
      <c r="CG48" s="2">
        <f>SUMIFS('Bilateral Assistance, MAIN DATA'!$N:$N,'Bilateral Assistance, MAIN DATA'!$B:$B,'Share, Heavy Weapons to Ukraine'!$B48,'Bilateral Assistance, MAIN DATA'!$AO:$AO,'Share, Heavy Weapons to Ukraine'!CG$11, 'Bilateral Assistance, MAIN DATA'!$AA:$AA,1)</f>
        <v>0</v>
      </c>
      <c r="CH48" s="2">
        <f>SUMIFS('Bilateral Assistance, MAIN DATA'!$N:$N,'Bilateral Assistance, MAIN DATA'!$B:$B,'Share, Heavy Weapons to Ukraine'!$B48,'Bilateral Assistance, MAIN DATA'!$AO:$AO,'Share, Heavy Weapons to Ukraine'!CH$11, 'Bilateral Assistance, MAIN DATA'!$AA:$AA,1)</f>
        <v>0</v>
      </c>
    </row>
    <row r="49" spans="2:86" ht="15.6" x14ac:dyDescent="0.3">
      <c r="E49" s="471"/>
      <c r="U49" s="471"/>
      <c r="AC49" s="25"/>
      <c r="AI49" s="471"/>
      <c r="AQ49" s="25"/>
      <c r="AW49" s="471"/>
      <c r="AX49" s="292"/>
      <c r="AY49" s="292"/>
      <c r="AZ49" s="292"/>
      <c r="BA49" s="292"/>
      <c r="BB49" s="292"/>
      <c r="BC49" s="292"/>
      <c r="BD49" s="292"/>
      <c r="BE49" s="292"/>
      <c r="BF49" s="292"/>
      <c r="BG49" s="292"/>
      <c r="BH49" s="292"/>
      <c r="BI49" s="292"/>
      <c r="BJ49" s="292"/>
      <c r="BK49" s="471"/>
      <c r="BY49" s="471"/>
      <c r="CD49" s="471"/>
    </row>
    <row r="50" spans="2:86" ht="15.6" x14ac:dyDescent="0.3">
      <c r="E50" s="471"/>
      <c r="U50" s="471"/>
      <c r="AI50" s="471"/>
      <c r="AW50" s="471"/>
      <c r="AX50" s="292"/>
      <c r="AY50" s="292"/>
      <c r="AZ50" s="292"/>
      <c r="BA50" s="292"/>
      <c r="BB50" s="292"/>
      <c r="BC50" s="292"/>
      <c r="BD50" s="292"/>
      <c r="BE50" s="292"/>
      <c r="BF50" s="292"/>
      <c r="BG50" s="292"/>
      <c r="BH50" s="292"/>
      <c r="BI50" s="292"/>
      <c r="BJ50" s="292"/>
      <c r="BK50" s="471"/>
      <c r="BY50" s="471"/>
      <c r="CD50" s="471"/>
    </row>
    <row r="51" spans="2:86" ht="15.6" x14ac:dyDescent="0.3">
      <c r="B51" s="473" t="s">
        <v>3655</v>
      </c>
      <c r="C51" s="473"/>
      <c r="D51" s="134"/>
      <c r="E51" s="474"/>
      <c r="F51" s="475"/>
      <c r="G51" s="473">
        <f t="shared" ref="G51:O51" si="4">SUMIFS(G12:G48,$C$12:$C$48,1)</f>
        <v>11961</v>
      </c>
      <c r="H51" s="473">
        <f t="shared" si="4"/>
        <v>20786</v>
      </c>
      <c r="I51" s="473">
        <f t="shared" si="4"/>
        <v>5000</v>
      </c>
      <c r="J51" s="473">
        <f t="shared" si="4"/>
        <v>29452</v>
      </c>
      <c r="K51" s="473">
        <f t="shared" si="4"/>
        <v>6448</v>
      </c>
      <c r="L51" s="473">
        <f t="shared" si="4"/>
        <v>61686</v>
      </c>
      <c r="M51" s="473">
        <f t="shared" si="4"/>
        <v>4122</v>
      </c>
      <c r="N51" s="473">
        <f t="shared" si="4"/>
        <v>828</v>
      </c>
      <c r="O51" s="473">
        <f t="shared" si="4"/>
        <v>3555</v>
      </c>
      <c r="P51" s="473"/>
      <c r="Q51" s="473">
        <f>SUMIFS(Q12:Q48,$C$12:$C$48,1)</f>
        <v>512</v>
      </c>
      <c r="R51" s="473">
        <f>SUMIFS(R12:R48,$C$12:$C$48,1)</f>
        <v>0</v>
      </c>
      <c r="S51" s="473">
        <f>SUMIFS(S12:S48,$C$12:$C$48,1)</f>
        <v>120</v>
      </c>
      <c r="T51" s="473">
        <f>SUMIFS(T12:T48,$C$12:$C$48,1)</f>
        <v>679</v>
      </c>
      <c r="U51" s="474"/>
      <c r="V51" s="473">
        <f t="shared" ref="V51:AH51" si="5">SUMIFS(V12:V48,$C$12:$C$48,1)</f>
        <v>14</v>
      </c>
      <c r="W51" s="473">
        <f t="shared" si="5"/>
        <v>386</v>
      </c>
      <c r="X51" s="473">
        <f t="shared" si="5"/>
        <v>80</v>
      </c>
      <c r="Y51" s="473">
        <f t="shared" si="5"/>
        <v>1302</v>
      </c>
      <c r="Z51" s="473">
        <f t="shared" si="5"/>
        <v>50</v>
      </c>
      <c r="AA51" s="473">
        <f t="shared" si="5"/>
        <v>1818</v>
      </c>
      <c r="AB51" s="473">
        <f t="shared" si="5"/>
        <v>234</v>
      </c>
      <c r="AC51" s="473">
        <f t="shared" si="5"/>
        <v>47</v>
      </c>
      <c r="AD51" s="473">
        <f t="shared" si="5"/>
        <v>0</v>
      </c>
      <c r="AE51" s="473">
        <f t="shared" si="5"/>
        <v>1</v>
      </c>
      <c r="AF51" s="473">
        <f t="shared" si="5"/>
        <v>0</v>
      </c>
      <c r="AG51" s="473">
        <f t="shared" si="5"/>
        <v>8</v>
      </c>
      <c r="AH51" s="473">
        <f t="shared" si="5"/>
        <v>10</v>
      </c>
      <c r="AI51" s="474"/>
      <c r="AJ51" s="473">
        <f t="shared" ref="AJ51:AV51" si="6">SUMIFS(AJ12:AJ48,$C$12:$C$48,1)</f>
        <v>0</v>
      </c>
      <c r="AK51" s="473">
        <f t="shared" si="6"/>
        <v>286</v>
      </c>
      <c r="AL51" s="473">
        <f t="shared" si="6"/>
        <v>80</v>
      </c>
      <c r="AM51" s="473">
        <f t="shared" si="6"/>
        <v>319</v>
      </c>
      <c r="AN51" s="473">
        <f t="shared" si="6"/>
        <v>0</v>
      </c>
      <c r="AO51" s="473">
        <f t="shared" si="6"/>
        <v>685</v>
      </c>
      <c r="AP51" s="473">
        <f t="shared" si="6"/>
        <v>181</v>
      </c>
      <c r="AQ51" s="473">
        <f t="shared" si="6"/>
        <v>22</v>
      </c>
      <c r="AR51" s="473">
        <f t="shared" si="6"/>
        <v>0</v>
      </c>
      <c r="AS51" s="473">
        <f t="shared" si="6"/>
        <v>0</v>
      </c>
      <c r="AT51" s="473">
        <f t="shared" si="6"/>
        <v>0</v>
      </c>
      <c r="AU51" s="473">
        <f t="shared" si="6"/>
        <v>8</v>
      </c>
      <c r="AV51" s="473">
        <f t="shared" si="6"/>
        <v>6</v>
      </c>
      <c r="AW51" s="474"/>
      <c r="AX51" s="481">
        <f>IF(VLOOKUP($B51,$B:G,COLUMN(G50)-1,FALSE)&lt;&gt;0,VLOOKUP($B51,$B:V,COLUMN(V50)-1,FALSE)/VLOOKUP($B51,$B:G,COLUMN(G50)-1,FALSE),IF(VLOOKUP($B51,$B:V,COLUMN(V50)-1,FALSE)&lt;&gt;0,"Strange",0))</f>
        <v>1.1704706964300643E-3</v>
      </c>
      <c r="AY51" s="481">
        <f>IF(VLOOKUP($B51,$B:H,COLUMN(H50)-1,FALSE)&lt;&gt;0,VLOOKUP($B51,$B:W,COLUMN(W50)-1,FALSE)/VLOOKUP($B51,$B:H,COLUMN(H50)-1,FALSE),IF(VLOOKUP($B51,$B:W,COLUMN(W50)-1,FALSE)&lt;&gt;0,"Strange",0))</f>
        <v>1.8570191475031271E-2</v>
      </c>
      <c r="AZ51" s="481">
        <f>IF(VLOOKUP($B51,$B:I,COLUMN(I50)-1,FALSE)&lt;&gt;0,VLOOKUP($B51,$B:X,COLUMN(X50)-1,FALSE)/VLOOKUP($B51,$B:I,COLUMN(I50)-1,FALSE),IF(VLOOKUP($B51,$B:X,COLUMN(X50)-1,FALSE)&lt;&gt;0,"Strange",0))</f>
        <v>1.6E-2</v>
      </c>
      <c r="BA51" s="481">
        <f>IF(VLOOKUP($B51,$B:J,COLUMN(J50)-1,FALSE)&lt;&gt;0,VLOOKUP($B51,$B:Y,COLUMN(Y50)-1,FALSE)/VLOOKUP($B51,$B:J,COLUMN(J50)-1,FALSE),IF(VLOOKUP($B51,$B:Y,COLUMN(Y50)-1,FALSE)&lt;&gt;0,"Strange",0))</f>
        <v>4.4207524107021591E-2</v>
      </c>
      <c r="BB51" s="481">
        <f>IF(VLOOKUP($B51,$B:K,COLUMN(K50)-1,FALSE)&lt;&gt;0,VLOOKUP($B51,$B:Z,COLUMN(Z50)-1,FALSE)/VLOOKUP($B51,$B:K,COLUMN(K50)-1,FALSE),IF(VLOOKUP($B51,$B:Z,COLUMN(Z50)-1,FALSE)&lt;&gt;0,"Strange",0))</f>
        <v>7.7543424317617869E-3</v>
      </c>
      <c r="BC51" s="481">
        <f>IF(VLOOKUP($B51,$B:L,COLUMN(L50)-1,FALSE)&lt;&gt;0,VLOOKUP($B51,$B:AA,COLUMN(AA50)-1,FALSE)/VLOOKUP($B51,$B:L,COLUMN(L50)-1,FALSE),IF(VLOOKUP($B51,$B:AA,COLUMN(AA50)-1,FALSE)&lt;&gt;0,"Strange",0))</f>
        <v>2.9471841260577766E-2</v>
      </c>
      <c r="BD51" s="481">
        <f>IF(VLOOKUP($B51,$B:M,COLUMN(M50)-1,FALSE)&lt;&gt;0,VLOOKUP($B51,$B:AB,COLUMN(AB50)-1,FALSE)/VLOOKUP($B51,$B:M,COLUMN(M50)-1,FALSE),IF(VLOOKUP($B51,$B:AB,COLUMN(AB50)-1,FALSE)&lt;&gt;0,"Strange",0))</f>
        <v>5.6768558951965066E-2</v>
      </c>
      <c r="BE51" s="481">
        <f>IF(VLOOKUP($B51,$B:N,COLUMN(N50)-1,FALSE)&lt;&gt;0,VLOOKUP($B51,$B:AC,COLUMN(AC50)-1,FALSE)/VLOOKUP($B51,$B:N,COLUMN(N50)-1,FALSE),IF(VLOOKUP($B51,$B:AC,COLUMN(AC50)-1,FALSE)&lt;&gt;0,"Strange",0))</f>
        <v>5.6763285024154592E-2</v>
      </c>
      <c r="BF51" s="481">
        <f>IF(VLOOKUP($B51,$B:O,COLUMN(O50)-1,FALSE)&lt;&gt;0,VLOOKUP($B51,$B:AD,COLUMN(AD50)-1,FALSE)/VLOOKUP($B51,$B:O,COLUMN(O50)-1,FALSE),IF(VLOOKUP($B51,$B:AD,COLUMN(AD50)-1,FALSE)&lt;&gt;0,"Strange",0))</f>
        <v>0</v>
      </c>
      <c r="BG51" s="481">
        <f>IF(VLOOKUP($B51,$B:Q,COLUMN(Q50)-1,FALSE)&lt;&gt;0,VLOOKUP($B51,$B:AE,COLUMN(AE50)-1,FALSE)/VLOOKUP($B51,$B:Q,COLUMN(Q50)-1,FALSE),IF(VLOOKUP($B51,$B:AE,COLUMN(AE50)-1,FALSE)&lt;&gt;0,"Strange",0))</f>
        <v>1.953125E-3</v>
      </c>
      <c r="BH51" s="481">
        <f>IF(VLOOKUP($B51,$B:R,COLUMN(R50)-1,FALSE)&lt;&gt;0,VLOOKUP($B51,$B:AF,COLUMN(AF50)-1,FALSE)/VLOOKUP($B51,$B:R,COLUMN(R50)-1,FALSE),IF(VLOOKUP($B51,$B:AF,COLUMN(AF50)-1,FALSE)&lt;&gt;0,"Strange",0))</f>
        <v>0</v>
      </c>
      <c r="BI51" s="481">
        <f>IF(VLOOKUP($B51,$B:S,COLUMN(S50)-1,FALSE)&lt;&gt;0,VLOOKUP($B51,$B:AG,COLUMN(AG50)-1,FALSE)/VLOOKUP($B51,$B:S,COLUMN(S50)-1,FALSE),IF(VLOOKUP($B51,$B:AG,COLUMN(AG50)-1,FALSE)&lt;&gt;0,"Strange",0))</f>
        <v>6.6666666666666666E-2</v>
      </c>
      <c r="BJ51" s="481">
        <f>IF(VLOOKUP($B51,$B:T,COLUMN(T50)-1,FALSE)&lt;&gt;0,VLOOKUP($B51,$B:AH,COLUMN(AH50)-1,FALSE)/VLOOKUP($B51,$B:T,COLUMN(T50)-1,FALSE),IF(VLOOKUP($B51,$B:AH,COLUMN(AH50)-1,FALSE)&lt;&gt;0,"Strange",0))</f>
        <v>1.4727540500736377E-2</v>
      </c>
      <c r="BK51" s="474"/>
      <c r="BL51" s="134">
        <f>IF(VLOOKUP($B51,$B:W,COLUMN(G50)-1,FALSE)&lt;&gt;0,VLOOKUP($B51,$B:AK,COLUMN(AJ50)-1,FALSE)/VLOOKUP($B51,$B:W,COLUMN(G50)-1,FALSE),IF(VLOOKUP($B51,$B:AK,COLUMN(AJ50)-1,FALSE)&lt;&gt;0,"Strange",0))</f>
        <v>0</v>
      </c>
      <c r="BM51" s="134">
        <f>IF(VLOOKUP($B51,$B:X,COLUMN(H50)-1,FALSE)&lt;&gt;0,VLOOKUP($B51,$B:AL,COLUMN(AK50)-1,FALSE)/VLOOKUP($B51,$B:X,COLUMN(H50)-1,FALSE),IF(VLOOKUP($B51,$B:AL,COLUMN(AK50)-1,FALSE)&lt;&gt;0,"Strange",0))</f>
        <v>1.3759261041085345E-2</v>
      </c>
      <c r="BN51" s="134">
        <f>IF(VLOOKUP($B51,$B:Y,COLUMN(I50)-1,FALSE)&lt;&gt;0,VLOOKUP($B51,$B:AM,COLUMN(AL50)-1,FALSE)/VLOOKUP($B51,$B:Y,COLUMN(I50)-1,FALSE),IF(VLOOKUP($B51,$B:AM,COLUMN(AL50)-1,FALSE)&lt;&gt;0,"Strange",0))</f>
        <v>1.6E-2</v>
      </c>
      <c r="BO51" s="134">
        <f>IF(VLOOKUP($B51,$B:Z,COLUMN(J50)-1,FALSE)&lt;&gt;0,VLOOKUP($B51,$B:AN,COLUMN(AM50)-1,FALSE)/VLOOKUP($B51,$B:Z,COLUMN(J50)-1,FALSE),IF(VLOOKUP($B51,$B:AN,COLUMN(AM50)-1,FALSE)&lt;&gt;0,"Strange",0))</f>
        <v>1.0831182941735705E-2</v>
      </c>
      <c r="BP51" s="134">
        <f>IF(VLOOKUP($B51,$B:AB,COLUMN(K50)-1,FALSE)&lt;&gt;0,VLOOKUP($B51,$B:AP,COLUMN(AN50)-1,FALSE)/VLOOKUP($B51,$B:AB,COLUMN(K50)-1,FALSE),IF(VLOOKUP($B51,$B:AP,COLUMN(AN50)-1,FALSE)&lt;&gt;0,"Strange",0))</f>
        <v>0</v>
      </c>
      <c r="BQ51" s="134">
        <f>IF(VLOOKUP($B51,$B:AC,COLUMN(L50)-1,FALSE)&lt;&gt;0,VLOOKUP($B51,$B:AQ,COLUMN(AO50)-1,FALSE)/VLOOKUP($B51,$B:AC,COLUMN(L50)-1,FALSE),IF(VLOOKUP($B51,$B:AQ,COLUMN(AO50)-1,FALSE)&lt;&gt;0,"Strange",0))</f>
        <v>1.1104626657588431E-2</v>
      </c>
      <c r="BR51" s="134">
        <f>IF(VLOOKUP($B51,$B:AC,COLUMN(M50)-1,FALSE)&lt;&gt;0,VLOOKUP($B51,$B:AQ,COLUMN(AP50)-1,FALSE)/VLOOKUP($B51,$B:AC,COLUMN(M50)-1,FALSE),IF(VLOOKUP($B51,$B:AQ,COLUMN(AP50)-1,FALSE)&lt;&gt;0,"Strange",0))</f>
        <v>4.391072295002426E-2</v>
      </c>
      <c r="BS51" s="134">
        <f>IF(VLOOKUP($B51,$B:AD,COLUMN(N50)-1,FALSE)&lt;&gt;0,VLOOKUP($B51,$B:AR,COLUMN(AQ50)-1,FALSE)/VLOOKUP($B51,$B:AD,COLUMN(N50)-1,FALSE),IF(VLOOKUP($B51,$B:AR,COLUMN(AQ50)-1,FALSE)&lt;&gt;0,"Strange",0))</f>
        <v>2.6570048309178744E-2</v>
      </c>
      <c r="BT51" s="134">
        <f>IF(VLOOKUP($B51,$B:AD,COLUMN(O50)-1,FALSE)&lt;&gt;0,VLOOKUP($B51,$B:AR,COLUMN(AR50)-1,FALSE)/VLOOKUP($B51,$B:AD,COLUMN(O50)-1,FALSE),IF(VLOOKUP($B51,$B:AR,COLUMN(AR50)-1,FALSE)&lt;&gt;0,"Strange",0))</f>
        <v>0</v>
      </c>
      <c r="BU51" s="134">
        <f>IF(VLOOKUP($B51,$B:AE,COLUMN(Q50)-1,FALSE)&lt;&gt;0,VLOOKUP($B51,$B:AS,COLUMN(AS50)-1,FALSE)/VLOOKUP($B51,$B:AE,COLUMN(Q50)-1,FALSE),IF(VLOOKUP($B51,$B:AS,COLUMN(AS50)-1,FALSE)&lt;&gt;0,"Strange",0))</f>
        <v>0</v>
      </c>
      <c r="BV51" s="134">
        <f>IF(VLOOKUP($B51,$B:AF,COLUMN(R50)-1,FALSE)&lt;&gt;0,VLOOKUP($B51,$B:AT,COLUMN(AT50)-1,FALSE)/VLOOKUP($B51,$B:AF,COLUMN(R50)-1,FALSE),IF(VLOOKUP($B51,$B:AT,COLUMN(AT50)-1,FALSE)&lt;&gt;0,"Strange",0))</f>
        <v>0</v>
      </c>
      <c r="BW51" s="134">
        <f>IF(VLOOKUP($B51,$B:AG,COLUMN(S50)-1,FALSE)&lt;&gt;0,VLOOKUP($B51,$B:AU,COLUMN(AU50)-1,FALSE)/VLOOKUP($B51,$B:AG,COLUMN(S50)-1,FALSE),IF(VLOOKUP($B51,$B:AU,COLUMN(AU50)-1,FALSE)&lt;&gt;0,"Strange",0))</f>
        <v>6.6666666666666666E-2</v>
      </c>
      <c r="BX51" s="134">
        <f>IF(VLOOKUP($B51,$B:AH,COLUMN(T50)-1,FALSE)&lt;&gt;0,VLOOKUP($B51,$B:AV,COLUMN(AV50)-1,FALSE)/VLOOKUP($B51,$B:AH,COLUMN(T50)-1,FALSE),IF(VLOOKUP($B51,$B:AV,COLUMN(AV50)-1,FALSE)&lt;&gt;0,"Strange",0))</f>
        <v>8.836524300441826E-3</v>
      </c>
      <c r="BY51" s="474"/>
      <c r="BZ51" s="134"/>
      <c r="CA51" s="134"/>
      <c r="CB51" s="134"/>
      <c r="CC51" s="134"/>
      <c r="CD51" s="474"/>
      <c r="CE51" s="134"/>
      <c r="CF51" s="134"/>
      <c r="CG51" s="134"/>
      <c r="CH51" s="134"/>
    </row>
    <row r="52" spans="2:86" ht="15.6" x14ac:dyDescent="0.3">
      <c r="B52" s="476" t="s">
        <v>3654</v>
      </c>
      <c r="C52" s="476"/>
      <c r="D52" s="132"/>
      <c r="E52" s="477"/>
      <c r="F52" s="478"/>
      <c r="G52" s="476">
        <f t="shared" ref="G52:O52" si="7">SUMIFS(G12:G48,$D$12:$D$48,1)</f>
        <v>5907</v>
      </c>
      <c r="H52" s="476">
        <f t="shared" si="7"/>
        <v>11706</v>
      </c>
      <c r="I52" s="476">
        <f t="shared" si="7"/>
        <v>711</v>
      </c>
      <c r="J52" s="476">
        <f t="shared" si="7"/>
        <v>5080</v>
      </c>
      <c r="K52" s="476">
        <f t="shared" si="7"/>
        <v>6531</v>
      </c>
      <c r="L52" s="476">
        <f t="shared" si="7"/>
        <v>24028</v>
      </c>
      <c r="M52" s="476">
        <f t="shared" si="7"/>
        <v>2528</v>
      </c>
      <c r="N52" s="476">
        <f t="shared" si="7"/>
        <v>807</v>
      </c>
      <c r="O52" s="476">
        <f t="shared" si="7"/>
        <v>1239</v>
      </c>
      <c r="P52" s="476"/>
      <c r="Q52" s="476">
        <f>SUMIFS(Q12:Q48,$D$12:$D$48,1)</f>
        <v>203</v>
      </c>
      <c r="R52" s="476">
        <f>SUMIFS(R12:R48,$D$12:$D$48,1)</f>
        <v>112</v>
      </c>
      <c r="S52" s="476">
        <f>SUMIFS(S12:S48,$D$12:$D$48,1)</f>
        <v>268</v>
      </c>
      <c r="T52" s="476">
        <f>SUMIFS(T12:T48,$D$12:$D$48,1)</f>
        <v>502</v>
      </c>
      <c r="U52" s="477"/>
      <c r="V52" s="476">
        <f t="shared" ref="V52:AH52" si="8">SUMIFS(V12:V48,$D$12:$D$48,1)</f>
        <v>458</v>
      </c>
      <c r="W52" s="476">
        <f t="shared" si="8"/>
        <v>231</v>
      </c>
      <c r="X52" s="476">
        <f t="shared" si="8"/>
        <v>7</v>
      </c>
      <c r="Y52" s="476">
        <f t="shared" si="8"/>
        <v>214</v>
      </c>
      <c r="Z52" s="476">
        <f t="shared" si="8"/>
        <v>190</v>
      </c>
      <c r="AA52" s="476">
        <f t="shared" si="8"/>
        <v>642</v>
      </c>
      <c r="AB52" s="476">
        <f t="shared" si="8"/>
        <v>175</v>
      </c>
      <c r="AC52" s="476">
        <f t="shared" si="8"/>
        <v>29</v>
      </c>
      <c r="AD52" s="476">
        <f t="shared" si="8"/>
        <v>0</v>
      </c>
      <c r="AE52" s="476">
        <f t="shared" si="8"/>
        <v>3</v>
      </c>
      <c r="AF52" s="476">
        <f t="shared" si="8"/>
        <v>10</v>
      </c>
      <c r="AG52" s="476">
        <f t="shared" si="8"/>
        <v>2</v>
      </c>
      <c r="AH52" s="476">
        <f t="shared" si="8"/>
        <v>0</v>
      </c>
      <c r="AI52" s="477"/>
      <c r="AJ52" s="476">
        <f t="shared" ref="AJ52:AV52" si="9">SUMIFS(AJ12:AJ48,$D$12:$D$48,1)</f>
        <v>368</v>
      </c>
      <c r="AK52" s="476">
        <f t="shared" si="9"/>
        <v>136</v>
      </c>
      <c r="AL52" s="476">
        <f t="shared" si="9"/>
        <v>7</v>
      </c>
      <c r="AM52" s="476">
        <f t="shared" si="9"/>
        <v>174</v>
      </c>
      <c r="AN52" s="476">
        <f t="shared" si="9"/>
        <v>150</v>
      </c>
      <c r="AO52" s="476">
        <f t="shared" si="9"/>
        <v>467</v>
      </c>
      <c r="AP52" s="476">
        <f t="shared" si="9"/>
        <v>100</v>
      </c>
      <c r="AQ52" s="476">
        <f t="shared" si="9"/>
        <v>27</v>
      </c>
      <c r="AR52" s="476">
        <f t="shared" si="9"/>
        <v>0</v>
      </c>
      <c r="AS52" s="476">
        <f t="shared" si="9"/>
        <v>1</v>
      </c>
      <c r="AT52" s="476">
        <f t="shared" si="9"/>
        <v>7</v>
      </c>
      <c r="AU52" s="476">
        <f t="shared" si="9"/>
        <v>2</v>
      </c>
      <c r="AV52" s="476">
        <f t="shared" si="9"/>
        <v>0</v>
      </c>
      <c r="AW52" s="477"/>
      <c r="AX52" s="293">
        <f>IF(VLOOKUP($B52,$B:G,COLUMN(G51)-1,FALSE)&lt;&gt;0,VLOOKUP($B52,$B:V,COLUMN(V51)-1,FALSE)/VLOOKUP($B52,$B:G,COLUMN(G51)-1,FALSE),IF(VLOOKUP($B52,$B:V,COLUMN(V51)-1,FALSE)&lt;&gt;0,"Strange",0))</f>
        <v>7.7535127814457427E-2</v>
      </c>
      <c r="AY52" s="293">
        <f>IF(VLOOKUP($B52,$B:H,COLUMN(H51)-1,FALSE)&lt;&gt;0,VLOOKUP($B52,$B:W,COLUMN(W51)-1,FALSE)/VLOOKUP($B52,$B:H,COLUMN(H51)-1,FALSE),IF(VLOOKUP($B52,$B:W,COLUMN(W51)-1,FALSE)&lt;&gt;0,"Strange",0))</f>
        <v>1.9733470015376731E-2</v>
      </c>
      <c r="AZ52" s="293">
        <f>IF(VLOOKUP($B52,$B:I,COLUMN(I51)-1,FALSE)&lt;&gt;0,VLOOKUP($B52,$B:X,COLUMN(X51)-1,FALSE)/VLOOKUP($B52,$B:I,COLUMN(I51)-1,FALSE),IF(VLOOKUP($B52,$B:X,COLUMN(X51)-1,FALSE)&lt;&gt;0,"Strange",0))</f>
        <v>9.8452883263009851E-3</v>
      </c>
      <c r="BA52" s="293">
        <f>IF(VLOOKUP($B52,$B:J,COLUMN(J51)-1,FALSE)&lt;&gt;0,VLOOKUP($B52,$B:Y,COLUMN(Y51)-1,FALSE)/VLOOKUP($B52,$B:J,COLUMN(J51)-1,FALSE),IF(VLOOKUP($B52,$B:Y,COLUMN(Y51)-1,FALSE)&lt;&gt;0,"Strange",0))</f>
        <v>4.2125984251968507E-2</v>
      </c>
      <c r="BB52" s="293">
        <f>IF(VLOOKUP($B52,$B:K,COLUMN(K51)-1,FALSE)&lt;&gt;0,VLOOKUP($B52,$B:Z,COLUMN(Z51)-1,FALSE)/VLOOKUP($B52,$B:K,COLUMN(K51)-1,FALSE),IF(VLOOKUP($B52,$B:Z,COLUMN(Z51)-1,FALSE)&lt;&gt;0,"Strange",0))</f>
        <v>2.9092022661154494E-2</v>
      </c>
      <c r="BC52" s="293">
        <f>IF(VLOOKUP($B52,$B:L,COLUMN(L51)-1,FALSE)&lt;&gt;0,VLOOKUP($B52,$B:AA,COLUMN(AA51)-1,FALSE)/VLOOKUP($B52,$B:L,COLUMN(L51)-1,FALSE),IF(VLOOKUP($B52,$B:AA,COLUMN(AA51)-1,FALSE)&lt;&gt;0,"Strange",0))</f>
        <v>2.671882803396038E-2</v>
      </c>
      <c r="BD52" s="293">
        <f>IF(VLOOKUP($B52,$B:M,COLUMN(M51)-1,FALSE)&lt;&gt;0,VLOOKUP($B52,$B:AB,COLUMN(AB51)-1,FALSE)/VLOOKUP($B52,$B:M,COLUMN(M51)-1,FALSE),IF(VLOOKUP($B52,$B:AB,COLUMN(AB51)-1,FALSE)&lt;&gt;0,"Strange",0))</f>
        <v>6.9224683544303792E-2</v>
      </c>
      <c r="BE52" s="293">
        <f>IF(VLOOKUP($B52,$B:N,COLUMN(N51)-1,FALSE)&lt;&gt;0,VLOOKUP($B52,$B:AC,COLUMN(AC51)-1,FALSE)/VLOOKUP($B52,$B:N,COLUMN(N51)-1,FALSE),IF(VLOOKUP($B52,$B:AC,COLUMN(AC51)-1,FALSE)&lt;&gt;0,"Strange",0))</f>
        <v>3.5935563816604711E-2</v>
      </c>
      <c r="BF52" s="293">
        <f>IF(VLOOKUP($B52,$B:O,COLUMN(O51)-1,FALSE)&lt;&gt;0,VLOOKUP($B52,$B:AD,COLUMN(AD51)-1,FALSE)/VLOOKUP($B52,$B:O,COLUMN(O51)-1,FALSE),IF(VLOOKUP($B52,$B:AD,COLUMN(AD51)-1,FALSE)&lt;&gt;0,"Strange",0))</f>
        <v>0</v>
      </c>
      <c r="BG52" s="293">
        <f>IF(VLOOKUP($B52,$B:Q,COLUMN(Q51)-1,FALSE)&lt;&gt;0,VLOOKUP($B52,$B:AE,COLUMN(AE51)-1,FALSE)/VLOOKUP($B52,$B:Q,COLUMN(Q51)-1,FALSE),IF(VLOOKUP($B52,$B:AE,COLUMN(AE51)-1,FALSE)&lt;&gt;0,"Strange",0))</f>
        <v>1.4778325123152709E-2</v>
      </c>
      <c r="BH52" s="293">
        <f>IF(VLOOKUP($B52,$B:R,COLUMN(R51)-1,FALSE)&lt;&gt;0,VLOOKUP($B52,$B:AF,COLUMN(AF51)-1,FALSE)/VLOOKUP($B52,$B:R,COLUMN(R51)-1,FALSE),IF(VLOOKUP($B52,$B:AF,COLUMN(AF51)-1,FALSE)&lt;&gt;0,"Strange",0))</f>
        <v>8.9285714285714288E-2</v>
      </c>
      <c r="BI52" s="293">
        <f>IF(VLOOKUP($B52,$B:S,COLUMN(S51)-1,FALSE)&lt;&gt;0,VLOOKUP($B52,$B:AG,COLUMN(AG51)-1,FALSE)/VLOOKUP($B52,$B:S,COLUMN(S51)-1,FALSE),IF(VLOOKUP($B52,$B:AG,COLUMN(AG51)-1,FALSE)&lt;&gt;0,"Strange",0))</f>
        <v>7.462686567164179E-3</v>
      </c>
      <c r="BJ52" s="293">
        <f>IF(VLOOKUP($B52,$B:T,COLUMN(T51)-1,FALSE)&lt;&gt;0,VLOOKUP($B52,$B:AH,COLUMN(AH51)-1,FALSE)/VLOOKUP($B52,$B:T,COLUMN(T51)-1,FALSE),IF(VLOOKUP($B52,$B:AH,COLUMN(AH51)-1,FALSE)&lt;&gt;0,"Strange",0))</f>
        <v>0</v>
      </c>
      <c r="BK52" s="477"/>
      <c r="BL52" s="132">
        <f>IF(VLOOKUP($B52,$B:W,COLUMN(G51)-1,FALSE)&lt;&gt;0,VLOOKUP($B52,$B:AK,COLUMN(AJ51)-1,FALSE)/VLOOKUP($B52,$B:W,COLUMN(G51)-1,FALSE),IF(VLOOKUP($B52,$B:AK,COLUMN(AJ51)-1,FALSE)&lt;&gt;0,"Strange",0))</f>
        <v>6.2298967326900288E-2</v>
      </c>
      <c r="BM52" s="132">
        <f>IF(VLOOKUP($B52,$B:X,COLUMN(H51)-1,FALSE)&lt;&gt;0,VLOOKUP($B52,$B:AL,COLUMN(AK51)-1,FALSE)/VLOOKUP($B52,$B:X,COLUMN(H51)-1,FALSE),IF(VLOOKUP($B52,$B:AL,COLUMN(AK51)-1,FALSE)&lt;&gt;0,"Strange",0))</f>
        <v>1.1617973688706646E-2</v>
      </c>
      <c r="BN52" s="132">
        <f>IF(VLOOKUP($B52,$B:Y,COLUMN(I51)-1,FALSE)&lt;&gt;0,VLOOKUP($B52,$B:AM,COLUMN(AL51)-1,FALSE)/VLOOKUP($B52,$B:Y,COLUMN(I51)-1,FALSE),IF(VLOOKUP($B52,$B:AM,COLUMN(AL51)-1,FALSE)&lt;&gt;0,"Strange",0))</f>
        <v>9.8452883263009851E-3</v>
      </c>
      <c r="BO52" s="132">
        <f>IF(VLOOKUP($B52,$B:Z,COLUMN(J51)-1,FALSE)&lt;&gt;0,VLOOKUP($B52,$B:AN,COLUMN(AM51)-1,FALSE)/VLOOKUP($B52,$B:Z,COLUMN(J51)-1,FALSE),IF(VLOOKUP($B52,$B:AN,COLUMN(AM51)-1,FALSE)&lt;&gt;0,"Strange",0))</f>
        <v>3.4251968503937011E-2</v>
      </c>
      <c r="BP52" s="132">
        <f>IF(VLOOKUP($B52,$B:AB,COLUMN(K51)-1,FALSE)&lt;&gt;0,VLOOKUP($B52,$B:AP,COLUMN(AN51)-1,FALSE)/VLOOKUP($B52,$B:AB,COLUMN(K51)-1,FALSE),IF(VLOOKUP($B52,$B:AP,COLUMN(AN51)-1,FALSE)&lt;&gt;0,"Strange",0))</f>
        <v>2.2967386311437757E-2</v>
      </c>
      <c r="BQ52" s="132">
        <f>IF(VLOOKUP($B52,$B:AC,COLUMN(L51)-1,FALSE)&lt;&gt;0,VLOOKUP($B52,$B:AQ,COLUMN(AO51)-1,FALSE)/VLOOKUP($B52,$B:AC,COLUMN(L51)-1,FALSE),IF(VLOOKUP($B52,$B:AQ,COLUMN(AO51)-1,FALSE)&lt;&gt;0,"Strange",0))</f>
        <v>1.9435658398535043E-2</v>
      </c>
      <c r="BR52" s="132">
        <f>IF(VLOOKUP($B52,$B:AC,COLUMN(M51)-1,FALSE)&lt;&gt;0,VLOOKUP($B52,$B:AQ,COLUMN(AP51)-1,FALSE)/VLOOKUP($B52,$B:AC,COLUMN(M51)-1,FALSE),IF(VLOOKUP($B52,$B:AQ,COLUMN(AP51)-1,FALSE)&lt;&gt;0,"Strange",0))</f>
        <v>3.9556962025316458E-2</v>
      </c>
      <c r="BS52" s="132">
        <f>IF(VLOOKUP($B52,$B:AD,COLUMN(N51)-1,FALSE)&lt;&gt;0,VLOOKUP($B52,$B:AR,COLUMN(AQ51)-1,FALSE)/VLOOKUP($B52,$B:AD,COLUMN(N51)-1,FALSE),IF(VLOOKUP($B52,$B:AR,COLUMN(AQ51)-1,FALSE)&lt;&gt;0,"Strange",0))</f>
        <v>3.3457249070631967E-2</v>
      </c>
      <c r="BT52" s="132">
        <f>IF(VLOOKUP($B52,$B:AD,COLUMN(O51)-1,FALSE)&lt;&gt;0,VLOOKUP($B52,$B:AR,COLUMN(AR51)-1,FALSE)/VLOOKUP($B52,$B:AD,COLUMN(O51)-1,FALSE),IF(VLOOKUP($B52,$B:AR,COLUMN(AR51)-1,FALSE)&lt;&gt;0,"Strange",0))</f>
        <v>0</v>
      </c>
      <c r="BU52" s="132">
        <f>IF(VLOOKUP($B52,$B:AE,COLUMN(Q51)-1,FALSE)&lt;&gt;0,VLOOKUP($B52,$B:AS,COLUMN(AS51)-1,FALSE)/VLOOKUP($B52,$B:AE,COLUMN(Q51)-1,FALSE),IF(VLOOKUP($B52,$B:AS,COLUMN(AS51)-1,FALSE)&lt;&gt;0,"Strange",0))</f>
        <v>4.9261083743842365E-3</v>
      </c>
      <c r="BV52" s="132">
        <f>IF(VLOOKUP($B52,$B:AF,COLUMN(R51)-1,FALSE)&lt;&gt;0,VLOOKUP($B52,$B:AT,COLUMN(AT51)-1,FALSE)/VLOOKUP($B52,$B:AF,COLUMN(R51)-1,FALSE),IF(VLOOKUP($B52,$B:AT,COLUMN(AT51)-1,FALSE)&lt;&gt;0,"Strange",0))</f>
        <v>6.25E-2</v>
      </c>
      <c r="BW52" s="132">
        <f>IF(VLOOKUP($B52,$B:AG,COLUMN(S51)-1,FALSE)&lt;&gt;0,VLOOKUP($B52,$B:AU,COLUMN(AU51)-1,FALSE)/VLOOKUP($B52,$B:AG,COLUMN(S51)-1,FALSE),IF(VLOOKUP($B52,$B:AU,COLUMN(AU51)-1,FALSE)&lt;&gt;0,"Strange",0))</f>
        <v>7.462686567164179E-3</v>
      </c>
      <c r="BX52" s="132">
        <f>IF(VLOOKUP($B52,$B:AH,COLUMN(T51)-1,FALSE)&lt;&gt;0,VLOOKUP($B52,$B:AV,COLUMN(AV51)-1,FALSE)/VLOOKUP($B52,$B:AH,COLUMN(T51)-1,FALSE),IF(VLOOKUP($B52,$B:AV,COLUMN(AV51)-1,FALSE)&lt;&gt;0,"Strange",0))</f>
        <v>0</v>
      </c>
      <c r="BY52" s="477"/>
      <c r="BZ52" s="132"/>
      <c r="CA52" s="132"/>
      <c r="CB52" s="132"/>
      <c r="CC52" s="132"/>
      <c r="CD52" s="477"/>
      <c r="CE52" s="132"/>
      <c r="CF52" s="132"/>
      <c r="CG52" s="132"/>
      <c r="CH52" s="132"/>
    </row>
  </sheetData>
  <mergeCells count="1">
    <mergeCell ref="B4:L9"/>
  </mergeCells>
  <pageMargins left="0.7" right="0.7" top="0.75" bottom="0.75" header="0.3" footer="0.3"/>
  <pageSetup paperSize="9"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8CBAD"/>
  </sheetPr>
  <dimension ref="B1:PM49"/>
  <sheetViews>
    <sheetView zoomScaleNormal="100" workbookViewId="0"/>
  </sheetViews>
  <sheetFormatPr baseColWidth="10" defaultColWidth="8.5" defaultRowHeight="15.75" customHeight="1" x14ac:dyDescent="0.3"/>
  <cols>
    <col min="1" max="1" width="8.59765625" style="483" customWidth="1"/>
    <col min="2" max="2" width="27.09765625" style="483" customWidth="1"/>
    <col min="3" max="4" width="8.5" style="483"/>
    <col min="5" max="45" width="8.5" style="483" customWidth="1"/>
    <col min="46" max="46" width="8.5" style="483"/>
    <col min="47" max="117" width="8.5" style="483" customWidth="1"/>
    <col min="118" max="118" width="8.5" style="483"/>
    <col min="119" max="131" width="8.5" style="483" customWidth="1"/>
    <col min="132" max="132" width="8.5" style="483"/>
    <col min="133" max="159" width="8.5" style="483" customWidth="1"/>
    <col min="160" max="207" width="8.5" style="483"/>
    <col min="208" max="208" width="12" style="483" customWidth="1"/>
    <col min="209" max="287" width="8.5" style="483"/>
    <col min="288" max="291" width="8" style="483" customWidth="1"/>
    <col min="292" max="293" width="8.5" style="483"/>
    <col min="294" max="306" width="8" style="483" customWidth="1"/>
    <col min="307" max="329" width="8.5" style="483"/>
    <col min="330" max="366" width="8.5" style="485"/>
    <col min="367" max="372" width="8" style="485" customWidth="1"/>
    <col min="373" max="379" width="8.5" style="485"/>
    <col min="380" max="390" width="8" style="485" customWidth="1"/>
    <col min="391" max="393" width="8.5" style="485"/>
    <col min="394" max="401" width="8" style="485" customWidth="1"/>
    <col min="402" max="402" width="8.5" style="485"/>
    <col min="403" max="420" width="8.5" style="483"/>
    <col min="421" max="421" width="8.5" style="485"/>
    <col min="422" max="16384" width="8.5" style="483"/>
  </cols>
  <sheetData>
    <row r="1" spans="2:429" ht="15.75" customHeight="1" x14ac:dyDescent="0.3">
      <c r="LR1" s="483"/>
      <c r="LS1" s="483"/>
      <c r="LT1" s="483"/>
      <c r="LU1" s="483"/>
      <c r="LV1" s="483"/>
      <c r="LW1" s="483"/>
      <c r="LX1" s="483"/>
      <c r="LY1" s="483"/>
      <c r="LZ1" s="483"/>
      <c r="MA1" s="483"/>
      <c r="MB1" s="483"/>
      <c r="MC1" s="483"/>
      <c r="MD1" s="483"/>
      <c r="ME1" s="483"/>
      <c r="MF1" s="483"/>
      <c r="MG1" s="483"/>
      <c r="MH1" s="483"/>
      <c r="MI1" s="483"/>
      <c r="MJ1" s="483"/>
      <c r="MK1" s="483"/>
      <c r="ML1" s="483"/>
      <c r="MM1" s="483"/>
      <c r="MN1" s="483"/>
      <c r="MO1" s="483"/>
      <c r="MP1" s="483"/>
      <c r="MQ1" s="483"/>
      <c r="MR1" s="483"/>
      <c r="MS1" s="483"/>
      <c r="MT1" s="483"/>
      <c r="MU1" s="483"/>
      <c r="MV1" s="483"/>
      <c r="MW1" s="483"/>
      <c r="MX1" s="483"/>
      <c r="MY1" s="483"/>
      <c r="MZ1" s="483"/>
      <c r="NA1" s="483"/>
      <c r="NB1" s="483"/>
      <c r="NC1" s="483"/>
      <c r="ND1" s="483"/>
      <c r="NE1" s="483"/>
      <c r="NF1" s="483"/>
      <c r="NG1" s="483"/>
      <c r="NH1" s="483"/>
      <c r="NI1" s="483"/>
      <c r="NJ1" s="483"/>
      <c r="NK1" s="483"/>
      <c r="NL1" s="483"/>
      <c r="NM1" s="483"/>
      <c r="NN1" s="483"/>
      <c r="NO1" s="483"/>
      <c r="NP1" s="483"/>
      <c r="NQ1" s="483"/>
      <c r="NR1" s="483"/>
      <c r="NS1" s="483"/>
      <c r="NT1" s="483"/>
      <c r="NU1" s="483"/>
      <c r="NV1" s="483"/>
      <c r="NW1" s="483"/>
      <c r="NX1" s="483"/>
      <c r="NY1" s="483"/>
      <c r="NZ1" s="483"/>
      <c r="OA1" s="483"/>
      <c r="OB1" s="483"/>
      <c r="OC1" s="483"/>
      <c r="OD1" s="483"/>
      <c r="OE1" s="483"/>
      <c r="OF1" s="483"/>
      <c r="OG1" s="483"/>
      <c r="OH1" s="483"/>
      <c r="OI1" s="483"/>
      <c r="OJ1" s="483"/>
      <c r="OK1" s="483"/>
      <c r="OL1" s="483"/>
      <c r="PE1" s="483"/>
    </row>
    <row r="2" spans="2:429" ht="24.75" customHeight="1" x14ac:dyDescent="0.35">
      <c r="B2" s="488" t="s">
        <v>4912</v>
      </c>
      <c r="LR2" s="483"/>
      <c r="LS2" s="483"/>
      <c r="LT2" s="483"/>
      <c r="LU2" s="483"/>
      <c r="LV2" s="483"/>
      <c r="LW2" s="483"/>
      <c r="LX2" s="483"/>
      <c r="LY2" s="483"/>
      <c r="LZ2" s="483"/>
      <c r="MA2" s="483"/>
      <c r="MB2" s="483"/>
      <c r="MC2" s="483"/>
      <c r="MD2" s="483"/>
      <c r="ME2" s="483"/>
      <c r="MF2" s="483"/>
      <c r="MG2" s="483"/>
      <c r="MH2" s="483"/>
      <c r="MI2" s="483"/>
      <c r="MJ2" s="483"/>
      <c r="MK2" s="483"/>
      <c r="ML2" s="483"/>
      <c r="MM2" s="483"/>
      <c r="MN2" s="483"/>
      <c r="MO2" s="483"/>
      <c r="MP2" s="483"/>
      <c r="MQ2" s="483"/>
      <c r="MR2" s="483"/>
      <c r="MS2" s="483"/>
      <c r="MT2" s="483"/>
      <c r="MU2" s="483"/>
      <c r="MV2" s="483"/>
      <c r="MW2" s="483"/>
      <c r="MX2" s="483"/>
      <c r="MY2" s="483"/>
      <c r="MZ2" s="483"/>
      <c r="NA2" s="483"/>
      <c r="NB2" s="483"/>
      <c r="NC2" s="483"/>
      <c r="ND2" s="483"/>
      <c r="NE2" s="483"/>
      <c r="NF2" s="483"/>
      <c r="NG2" s="483"/>
      <c r="NH2" s="483"/>
      <c r="NI2" s="483"/>
      <c r="NJ2" s="483"/>
      <c r="NK2" s="483"/>
      <c r="NL2" s="483"/>
      <c r="NM2" s="483"/>
      <c r="NN2" s="483"/>
      <c r="NO2" s="483"/>
      <c r="NP2" s="483"/>
      <c r="NQ2" s="483"/>
      <c r="NR2" s="483"/>
      <c r="NS2" s="483"/>
      <c r="NT2" s="483"/>
      <c r="NU2" s="483"/>
      <c r="NV2" s="483"/>
      <c r="NW2" s="483"/>
      <c r="NX2" s="483"/>
      <c r="NY2" s="483"/>
      <c r="NZ2" s="483"/>
      <c r="OA2" s="483"/>
      <c r="OB2" s="483"/>
      <c r="OC2" s="483"/>
      <c r="OD2" s="483"/>
      <c r="OE2" s="483"/>
      <c r="OF2" s="483"/>
      <c r="OG2" s="483"/>
      <c r="OH2" s="483"/>
      <c r="OI2" s="483"/>
      <c r="OJ2" s="483"/>
      <c r="OK2" s="483"/>
      <c r="OL2" s="483"/>
      <c r="PE2" s="483"/>
    </row>
    <row r="3" spans="2:429" ht="15.75" customHeight="1" x14ac:dyDescent="0.3">
      <c r="LR3" s="483"/>
      <c r="LS3" s="483"/>
      <c r="LT3" s="483"/>
      <c r="LU3" s="483"/>
      <c r="LV3" s="483"/>
      <c r="LW3" s="483"/>
      <c r="LX3" s="483"/>
      <c r="LY3" s="483"/>
      <c r="LZ3" s="483"/>
      <c r="MA3" s="483"/>
      <c r="MB3" s="483"/>
      <c r="MC3" s="483"/>
      <c r="MD3" s="483"/>
      <c r="ME3" s="483"/>
      <c r="MF3" s="483"/>
      <c r="MG3" s="483"/>
      <c r="MH3" s="483"/>
      <c r="MI3" s="483"/>
      <c r="MJ3" s="483"/>
      <c r="MK3" s="483"/>
      <c r="ML3" s="483"/>
      <c r="MM3" s="483"/>
      <c r="MN3" s="483"/>
      <c r="MO3" s="483"/>
      <c r="MP3" s="483"/>
      <c r="MQ3" s="483"/>
      <c r="MR3" s="483"/>
      <c r="MS3" s="483"/>
      <c r="MT3" s="483"/>
      <c r="MU3" s="483"/>
      <c r="MV3" s="483"/>
      <c r="MW3" s="483"/>
      <c r="MX3" s="483"/>
      <c r="MY3" s="483"/>
      <c r="MZ3" s="483"/>
      <c r="NA3" s="483"/>
      <c r="NB3" s="483"/>
      <c r="NC3" s="483"/>
      <c r="ND3" s="483"/>
      <c r="NE3" s="483"/>
      <c r="NF3" s="483"/>
      <c r="NG3" s="483"/>
      <c r="NH3" s="483"/>
      <c r="NI3" s="483"/>
      <c r="NJ3" s="483"/>
      <c r="NK3" s="483"/>
      <c r="NL3" s="483"/>
      <c r="NM3" s="483"/>
      <c r="NN3" s="483"/>
      <c r="NO3" s="483"/>
      <c r="NP3" s="483"/>
      <c r="NQ3" s="483"/>
      <c r="NR3" s="483"/>
      <c r="NS3" s="483"/>
      <c r="NT3" s="483"/>
      <c r="NU3" s="483"/>
      <c r="NV3" s="483"/>
      <c r="NW3" s="483"/>
      <c r="NX3" s="483"/>
      <c r="NY3" s="483"/>
      <c r="NZ3" s="483"/>
      <c r="OA3" s="483"/>
      <c r="OB3" s="483"/>
      <c r="OC3" s="483"/>
      <c r="OD3" s="483"/>
      <c r="OE3" s="483"/>
      <c r="OF3" s="483"/>
      <c r="OG3" s="483"/>
      <c r="OH3" s="483"/>
      <c r="OI3" s="483"/>
      <c r="OJ3" s="483"/>
      <c r="OK3" s="483"/>
      <c r="OL3" s="483"/>
      <c r="PE3" s="483"/>
    </row>
    <row r="4" spans="2:429" ht="15.75" customHeight="1" x14ac:dyDescent="0.3">
      <c r="B4" s="1225" t="s">
        <v>4913</v>
      </c>
      <c r="C4" s="1225"/>
      <c r="D4" s="1225"/>
      <c r="E4" s="1225"/>
      <c r="F4" s="1225"/>
      <c r="G4" s="1225"/>
      <c r="H4" s="1225"/>
      <c r="I4" s="1225"/>
      <c r="J4" s="1225"/>
      <c r="K4" s="1225"/>
      <c r="L4" s="1225"/>
      <c r="M4" s="1225"/>
      <c r="N4" s="1225"/>
      <c r="LR4" s="483"/>
      <c r="LS4" s="483"/>
      <c r="LT4" s="483"/>
      <c r="LU4" s="483"/>
      <c r="LV4" s="483"/>
      <c r="LW4" s="483"/>
      <c r="LX4" s="483"/>
      <c r="LY4" s="483"/>
      <c r="LZ4" s="483"/>
      <c r="MA4" s="483"/>
      <c r="MB4" s="483"/>
      <c r="MC4" s="483"/>
      <c r="MD4" s="483"/>
      <c r="ME4" s="483"/>
      <c r="MF4" s="483"/>
      <c r="MG4" s="483"/>
      <c r="MH4" s="483"/>
      <c r="MI4" s="483"/>
      <c r="MJ4" s="483"/>
      <c r="MK4" s="483"/>
      <c r="ML4" s="483"/>
      <c r="MM4" s="483"/>
      <c r="MN4" s="483"/>
      <c r="MO4" s="483"/>
      <c r="MP4" s="483"/>
      <c r="MQ4" s="483"/>
      <c r="MR4" s="483"/>
      <c r="MS4" s="483"/>
      <c r="MT4" s="483"/>
      <c r="MU4" s="483"/>
      <c r="MV4" s="483"/>
      <c r="MW4" s="483"/>
      <c r="MX4" s="483"/>
      <c r="MY4" s="483"/>
      <c r="MZ4" s="483"/>
      <c r="NA4" s="483"/>
      <c r="NB4" s="483"/>
      <c r="NC4" s="483"/>
      <c r="ND4" s="483"/>
      <c r="NE4" s="483"/>
      <c r="NF4" s="483"/>
      <c r="NG4" s="483"/>
      <c r="NH4" s="483"/>
      <c r="NI4" s="483"/>
      <c r="NJ4" s="483"/>
      <c r="NK4" s="483"/>
      <c r="NL4" s="483"/>
      <c r="NM4" s="483"/>
      <c r="NN4" s="483"/>
      <c r="NO4" s="483"/>
      <c r="NP4" s="483"/>
      <c r="NQ4" s="483"/>
      <c r="NR4" s="483"/>
      <c r="NS4" s="483"/>
      <c r="NT4" s="483"/>
      <c r="NU4" s="483"/>
      <c r="NV4" s="483"/>
      <c r="NW4" s="483"/>
      <c r="NX4" s="483"/>
      <c r="NY4" s="483"/>
      <c r="NZ4" s="483"/>
      <c r="OA4" s="483"/>
      <c r="OB4" s="483"/>
      <c r="OC4" s="483"/>
      <c r="OD4" s="483"/>
      <c r="OE4" s="483"/>
      <c r="OF4" s="483"/>
      <c r="OG4" s="483"/>
      <c r="OH4" s="483"/>
      <c r="OI4" s="483"/>
      <c r="OJ4" s="483"/>
      <c r="OK4" s="483"/>
      <c r="OL4" s="483"/>
      <c r="PE4" s="483"/>
    </row>
    <row r="5" spans="2:429" ht="15.75" customHeight="1" x14ac:dyDescent="0.3">
      <c r="B5" s="1225"/>
      <c r="C5" s="1225"/>
      <c r="D5" s="1225"/>
      <c r="E5" s="1225"/>
      <c r="F5" s="1225"/>
      <c r="G5" s="1225"/>
      <c r="H5" s="1225"/>
      <c r="I5" s="1225"/>
      <c r="J5" s="1225"/>
      <c r="K5" s="1225"/>
      <c r="L5" s="1225"/>
      <c r="M5" s="1225"/>
      <c r="N5" s="1225"/>
      <c r="LR5" s="483"/>
      <c r="LS5" s="483"/>
      <c r="LT5" s="483"/>
      <c r="LU5" s="483"/>
      <c r="LV5" s="483"/>
      <c r="LW5" s="483"/>
      <c r="LX5" s="483"/>
      <c r="LY5" s="483"/>
      <c r="LZ5" s="483"/>
      <c r="MA5" s="483"/>
      <c r="MB5" s="483"/>
      <c r="MC5" s="483"/>
      <c r="MD5" s="483"/>
      <c r="ME5" s="483"/>
      <c r="MF5" s="483"/>
      <c r="MG5" s="483"/>
      <c r="MH5" s="483"/>
      <c r="MI5" s="483"/>
      <c r="MJ5" s="483"/>
      <c r="MK5" s="483"/>
      <c r="ML5" s="483"/>
      <c r="MM5" s="483"/>
      <c r="MN5" s="483"/>
      <c r="MO5" s="483"/>
      <c r="MP5" s="483"/>
      <c r="MQ5" s="483"/>
      <c r="MR5" s="483"/>
      <c r="MS5" s="483"/>
      <c r="MT5" s="483"/>
      <c r="MU5" s="483"/>
      <c r="MV5" s="483"/>
      <c r="MW5" s="483"/>
      <c r="MX5" s="483"/>
      <c r="MY5" s="483"/>
      <c r="MZ5" s="483"/>
      <c r="NA5" s="483"/>
      <c r="NB5" s="483"/>
      <c r="NC5" s="483"/>
      <c r="ND5" s="483"/>
      <c r="NE5" s="483"/>
      <c r="NF5" s="483"/>
      <c r="NG5" s="483"/>
      <c r="NH5" s="483"/>
      <c r="NI5" s="483"/>
      <c r="NJ5" s="483"/>
      <c r="NK5" s="483"/>
      <c r="NL5" s="483"/>
      <c r="NM5" s="483"/>
      <c r="NN5" s="483"/>
      <c r="NO5" s="483"/>
      <c r="NP5" s="483"/>
      <c r="NQ5" s="483"/>
      <c r="NR5" s="483"/>
      <c r="NS5" s="483"/>
      <c r="NT5" s="483"/>
      <c r="NU5" s="483"/>
      <c r="NV5" s="483"/>
      <c r="NW5" s="483"/>
      <c r="NX5" s="483"/>
      <c r="NY5" s="483"/>
      <c r="NZ5" s="483"/>
      <c r="OA5" s="483"/>
      <c r="OB5" s="483"/>
      <c r="OC5" s="483"/>
      <c r="OD5" s="483"/>
      <c r="OE5" s="483"/>
      <c r="OF5" s="483"/>
      <c r="OG5" s="483"/>
      <c r="OH5" s="483"/>
      <c r="OI5" s="483"/>
      <c r="OJ5" s="483"/>
      <c r="OK5" s="483"/>
      <c r="OL5" s="483"/>
      <c r="PE5" s="483"/>
    </row>
    <row r="6" spans="2:429" ht="15.75" customHeight="1" x14ac:dyDescent="0.3">
      <c r="B6" s="1225"/>
      <c r="C6" s="1225"/>
      <c r="D6" s="1225"/>
      <c r="E6" s="1225"/>
      <c r="F6" s="1225"/>
      <c r="G6" s="1225"/>
      <c r="H6" s="1225"/>
      <c r="I6" s="1225"/>
      <c r="J6" s="1225"/>
      <c r="K6" s="1225"/>
      <c r="L6" s="1225"/>
      <c r="M6" s="1225"/>
      <c r="N6" s="1225"/>
      <c r="LR6" s="483"/>
      <c r="LS6" s="483"/>
      <c r="LT6" s="483"/>
      <c r="LU6" s="483"/>
      <c r="LV6" s="483"/>
      <c r="LW6" s="483"/>
      <c r="LX6" s="483"/>
      <c r="LY6" s="483"/>
      <c r="LZ6" s="483"/>
      <c r="MA6" s="483"/>
      <c r="MB6" s="483"/>
      <c r="MC6" s="483"/>
      <c r="MD6" s="483"/>
      <c r="ME6" s="483"/>
      <c r="MF6" s="483"/>
      <c r="MG6" s="483"/>
      <c r="MH6" s="483"/>
      <c r="MI6" s="483"/>
      <c r="MJ6" s="483"/>
      <c r="MK6" s="483"/>
      <c r="ML6" s="483"/>
      <c r="MM6" s="483"/>
      <c r="MN6" s="483"/>
      <c r="MO6" s="483"/>
      <c r="MP6" s="483"/>
      <c r="MQ6" s="483"/>
      <c r="MR6" s="483"/>
      <c r="MS6" s="483"/>
      <c r="MT6" s="483"/>
      <c r="MU6" s="483"/>
      <c r="MV6" s="483"/>
      <c r="MW6" s="483"/>
      <c r="MX6" s="483"/>
      <c r="MY6" s="483"/>
      <c r="MZ6" s="483"/>
      <c r="NA6" s="483"/>
      <c r="NB6" s="483"/>
      <c r="NC6" s="483"/>
      <c r="ND6" s="483"/>
      <c r="NE6" s="483"/>
      <c r="NF6" s="483"/>
      <c r="NG6" s="483"/>
      <c r="NH6" s="483"/>
      <c r="NI6" s="483"/>
      <c r="NJ6" s="483"/>
      <c r="NK6" s="483"/>
      <c r="NL6" s="483"/>
      <c r="NM6" s="483"/>
      <c r="NN6" s="483"/>
      <c r="NO6" s="483"/>
      <c r="NP6" s="483"/>
      <c r="NQ6" s="483"/>
      <c r="NR6" s="483"/>
      <c r="NS6" s="483"/>
      <c r="NT6" s="483"/>
      <c r="NU6" s="483"/>
      <c r="NV6" s="483"/>
      <c r="NW6" s="483"/>
      <c r="NX6" s="483"/>
      <c r="NY6" s="483"/>
      <c r="NZ6" s="483"/>
      <c r="OA6" s="483"/>
      <c r="OB6" s="483"/>
      <c r="OC6" s="483"/>
      <c r="OD6" s="483"/>
      <c r="OE6" s="483"/>
      <c r="OF6" s="483"/>
      <c r="OG6" s="483"/>
      <c r="OH6" s="483"/>
      <c r="OI6" s="483"/>
      <c r="OJ6" s="483"/>
      <c r="OK6" s="483"/>
      <c r="OL6" s="483"/>
      <c r="PE6" s="483"/>
    </row>
    <row r="7" spans="2:429" ht="15.75" customHeight="1" x14ac:dyDescent="0.3">
      <c r="B7" s="1225"/>
      <c r="C7" s="1225"/>
      <c r="D7" s="1225"/>
      <c r="E7" s="1225"/>
      <c r="F7" s="1225"/>
      <c r="G7" s="1225"/>
      <c r="H7" s="1225"/>
      <c r="I7" s="1225"/>
      <c r="J7" s="1225"/>
      <c r="K7" s="1225"/>
      <c r="L7" s="1225"/>
      <c r="M7" s="1225"/>
      <c r="N7" s="1225"/>
      <c r="LR7" s="483"/>
      <c r="LS7" s="483"/>
      <c r="LT7" s="483"/>
      <c r="LU7" s="483"/>
      <c r="LV7" s="483"/>
      <c r="LW7" s="483"/>
      <c r="LX7" s="483"/>
      <c r="LY7" s="483"/>
      <c r="LZ7" s="483"/>
      <c r="MA7" s="483"/>
      <c r="MB7" s="483"/>
      <c r="MC7" s="483"/>
      <c r="MD7" s="483"/>
      <c r="ME7" s="483"/>
      <c r="MF7" s="483"/>
      <c r="MG7" s="483"/>
      <c r="MH7" s="483"/>
      <c r="MI7" s="483"/>
      <c r="MJ7" s="483"/>
      <c r="MK7" s="483"/>
      <c r="ML7" s="483"/>
      <c r="MM7" s="483"/>
      <c r="MN7" s="483"/>
      <c r="MO7" s="483"/>
      <c r="MP7" s="483"/>
      <c r="MQ7" s="483"/>
      <c r="MR7" s="483"/>
      <c r="MS7" s="483"/>
      <c r="MT7" s="483"/>
      <c r="MU7" s="483"/>
      <c r="MV7" s="483"/>
      <c r="MW7" s="483"/>
      <c r="MX7" s="483"/>
      <c r="MY7" s="483"/>
      <c r="MZ7" s="483"/>
      <c r="NA7" s="483"/>
      <c r="NB7" s="483"/>
      <c r="NC7" s="483"/>
      <c r="ND7" s="483"/>
      <c r="NE7" s="483"/>
      <c r="NF7" s="483"/>
      <c r="NG7" s="483"/>
      <c r="NH7" s="483"/>
      <c r="NI7" s="483"/>
      <c r="NJ7" s="483"/>
      <c r="NK7" s="483"/>
      <c r="NL7" s="483"/>
      <c r="NM7" s="483"/>
      <c r="NN7" s="483"/>
      <c r="NO7" s="483"/>
      <c r="NP7" s="483"/>
      <c r="NQ7" s="483"/>
      <c r="NR7" s="483"/>
      <c r="NS7" s="483"/>
      <c r="NT7" s="483"/>
      <c r="NU7" s="483"/>
      <c r="NV7" s="483"/>
      <c r="NW7" s="483"/>
      <c r="NX7" s="483"/>
      <c r="NY7" s="483"/>
      <c r="NZ7" s="483"/>
      <c r="OA7" s="483"/>
      <c r="OB7" s="483"/>
      <c r="OC7" s="483"/>
      <c r="OD7" s="483"/>
      <c r="OE7" s="483"/>
      <c r="OF7" s="483"/>
      <c r="OG7" s="483"/>
      <c r="OH7" s="483"/>
      <c r="OI7" s="483"/>
      <c r="OJ7" s="483"/>
      <c r="OK7" s="483"/>
      <c r="OL7" s="483"/>
      <c r="PE7" s="483"/>
    </row>
    <row r="8" spans="2:429" ht="15.75" customHeight="1" x14ac:dyDescent="0.3">
      <c r="B8" s="1225"/>
      <c r="C8" s="1225"/>
      <c r="D8" s="1225"/>
      <c r="E8" s="1225"/>
      <c r="F8" s="1225"/>
      <c r="G8" s="1225"/>
      <c r="H8" s="1225"/>
      <c r="I8" s="1225"/>
      <c r="J8" s="1225"/>
      <c r="K8" s="1225"/>
      <c r="L8" s="1225"/>
      <c r="M8" s="1225"/>
      <c r="N8" s="1225"/>
      <c r="LR8" s="483"/>
      <c r="LS8" s="483"/>
      <c r="LT8" s="483"/>
      <c r="LU8" s="483"/>
      <c r="LV8" s="483"/>
      <c r="LW8" s="483"/>
      <c r="LX8" s="483"/>
      <c r="LY8" s="483"/>
      <c r="LZ8" s="483"/>
      <c r="MA8" s="483"/>
      <c r="MB8" s="483"/>
      <c r="MC8" s="483"/>
      <c r="MD8" s="483"/>
      <c r="ME8" s="483"/>
      <c r="MF8" s="483"/>
      <c r="MG8" s="483"/>
      <c r="MH8" s="483"/>
      <c r="MI8" s="483"/>
      <c r="MJ8" s="483"/>
      <c r="MK8" s="483"/>
      <c r="ML8" s="483"/>
      <c r="MM8" s="483"/>
      <c r="MN8" s="483"/>
      <c r="MO8" s="483"/>
      <c r="MP8" s="483"/>
      <c r="MQ8" s="483"/>
      <c r="MR8" s="483"/>
      <c r="MS8" s="483"/>
      <c r="MT8" s="483"/>
      <c r="MU8" s="483"/>
      <c r="MV8" s="483"/>
      <c r="MW8" s="483"/>
      <c r="MX8" s="483"/>
      <c r="MY8" s="483"/>
      <c r="MZ8" s="483"/>
      <c r="NA8" s="483"/>
      <c r="NB8" s="483"/>
      <c r="NC8" s="483"/>
      <c r="ND8" s="483"/>
      <c r="NE8" s="483"/>
      <c r="NF8" s="483"/>
      <c r="NG8" s="483"/>
      <c r="NH8" s="483"/>
      <c r="NI8" s="483"/>
      <c r="NJ8" s="483"/>
      <c r="NK8" s="483"/>
      <c r="NL8" s="483"/>
      <c r="NM8" s="483"/>
      <c r="NN8" s="483"/>
      <c r="NO8" s="483"/>
      <c r="NP8" s="483"/>
      <c r="NQ8" s="483"/>
      <c r="NR8" s="483"/>
      <c r="NS8" s="483"/>
      <c r="NT8" s="483"/>
      <c r="NU8" s="483"/>
      <c r="NV8" s="483"/>
      <c r="NW8" s="483"/>
      <c r="NX8" s="483"/>
      <c r="NY8" s="483"/>
      <c r="NZ8" s="483"/>
      <c r="OA8" s="483"/>
      <c r="OB8" s="483"/>
      <c r="OC8" s="483"/>
      <c r="OD8" s="483"/>
      <c r="OE8" s="483"/>
      <c r="OF8" s="483"/>
      <c r="OG8" s="483"/>
      <c r="OH8" s="483"/>
      <c r="OI8" s="483"/>
      <c r="OJ8" s="483"/>
      <c r="OK8" s="483"/>
      <c r="OL8" s="483"/>
      <c r="PE8" s="483"/>
    </row>
    <row r="9" spans="2:429" ht="15.75" customHeight="1" x14ac:dyDescent="0.3">
      <c r="B9" s="1225"/>
      <c r="C9" s="1225"/>
      <c r="D9" s="1225"/>
      <c r="E9" s="1225"/>
      <c r="F9" s="1225"/>
      <c r="G9" s="1225"/>
      <c r="H9" s="1225"/>
      <c r="I9" s="1225"/>
      <c r="J9" s="1225"/>
      <c r="K9" s="1225"/>
      <c r="L9" s="1225"/>
      <c r="M9" s="1225"/>
      <c r="N9" s="1225"/>
      <c r="LR9" s="483"/>
      <c r="LS9" s="483"/>
      <c r="LT9" s="483"/>
      <c r="LU9" s="483"/>
      <c r="LV9" s="483"/>
      <c r="LW9" s="483"/>
      <c r="LX9" s="483"/>
      <c r="LY9" s="483"/>
      <c r="LZ9" s="483"/>
      <c r="MA9" s="483"/>
      <c r="MB9" s="483"/>
      <c r="MC9" s="483"/>
      <c r="MD9" s="483"/>
      <c r="ME9" s="483"/>
      <c r="MF9" s="483"/>
      <c r="MG9" s="483"/>
      <c r="MH9" s="483"/>
      <c r="MI9" s="483"/>
      <c r="MJ9" s="483"/>
      <c r="MK9" s="483"/>
      <c r="ML9" s="483"/>
      <c r="MM9" s="483"/>
      <c r="MN9" s="483"/>
      <c r="MO9" s="483"/>
      <c r="MP9" s="483"/>
      <c r="MQ9" s="483"/>
      <c r="MR9" s="483"/>
      <c r="MS9" s="483"/>
      <c r="MT9" s="483"/>
      <c r="MU9" s="483"/>
      <c r="MV9" s="483"/>
      <c r="MW9" s="483"/>
      <c r="MX9" s="483"/>
      <c r="MY9" s="483"/>
      <c r="MZ9" s="483"/>
      <c r="NA9" s="483"/>
      <c r="NB9" s="483"/>
      <c r="NC9" s="483"/>
      <c r="ND9" s="483"/>
      <c r="NE9" s="483"/>
      <c r="NF9" s="483"/>
      <c r="NG9" s="483"/>
      <c r="NH9" s="483"/>
      <c r="NI9" s="483"/>
      <c r="NJ9" s="483"/>
      <c r="NK9" s="483"/>
      <c r="NL9" s="483"/>
      <c r="NM9" s="483"/>
      <c r="NN9" s="483"/>
      <c r="NO9" s="483"/>
      <c r="NP9" s="483"/>
      <c r="NQ9" s="483"/>
      <c r="NR9" s="483"/>
      <c r="NS9" s="483"/>
      <c r="NT9" s="483"/>
      <c r="NU9" s="483"/>
      <c r="NV9" s="483"/>
      <c r="NW9" s="483"/>
      <c r="NX9" s="483"/>
      <c r="NY9" s="483"/>
      <c r="NZ9" s="483"/>
      <c r="OA9" s="483"/>
      <c r="OB9" s="483"/>
      <c r="OC9" s="483"/>
      <c r="OD9" s="483"/>
      <c r="OE9" s="483"/>
      <c r="OF9" s="483"/>
      <c r="OG9" s="483"/>
      <c r="OH9" s="483"/>
      <c r="OI9" s="483"/>
      <c r="OJ9" s="483"/>
      <c r="OK9" s="483"/>
      <c r="OL9" s="483"/>
      <c r="PE9" s="483"/>
    </row>
    <row r="10" spans="2:429" ht="15.75" customHeight="1" x14ac:dyDescent="0.3">
      <c r="LR10" s="483"/>
      <c r="LS10" s="483"/>
      <c r="LT10" s="483"/>
      <c r="LU10" s="483"/>
      <c r="LV10" s="483"/>
      <c r="LW10" s="483"/>
      <c r="LX10" s="483"/>
      <c r="LY10" s="483"/>
      <c r="LZ10" s="483"/>
      <c r="MA10" s="483"/>
      <c r="MB10" s="483"/>
      <c r="MC10" s="483"/>
      <c r="MD10" s="483"/>
      <c r="ME10" s="483"/>
      <c r="MF10" s="483"/>
      <c r="MG10" s="483"/>
      <c r="MH10" s="483"/>
      <c r="MI10" s="483"/>
      <c r="MJ10" s="483"/>
      <c r="MK10" s="483"/>
      <c r="ML10" s="483"/>
      <c r="MM10" s="483"/>
      <c r="MN10" s="483"/>
      <c r="MO10" s="483"/>
      <c r="MP10" s="483"/>
      <c r="MQ10" s="483"/>
      <c r="MR10" s="483"/>
      <c r="MS10" s="483"/>
      <c r="MT10" s="483"/>
      <c r="MU10" s="483"/>
      <c r="MV10" s="483"/>
      <c r="MW10" s="483"/>
      <c r="MX10" s="483"/>
      <c r="MY10" s="483"/>
      <c r="MZ10" s="483"/>
      <c r="NA10" s="483"/>
      <c r="NB10" s="483"/>
      <c r="NC10" s="483"/>
      <c r="ND10" s="483"/>
      <c r="NE10" s="483"/>
      <c r="NF10" s="483"/>
      <c r="NG10" s="483"/>
      <c r="NH10" s="483"/>
      <c r="NI10" s="483"/>
      <c r="NJ10" s="483"/>
      <c r="NK10" s="483"/>
      <c r="NL10" s="483"/>
      <c r="NM10" s="483"/>
      <c r="NN10" s="483"/>
      <c r="NO10" s="483"/>
      <c r="NP10" s="483"/>
      <c r="NQ10" s="483"/>
      <c r="NR10" s="483"/>
      <c r="NS10" s="483"/>
      <c r="NT10" s="483"/>
      <c r="NU10" s="483"/>
      <c r="NV10" s="483"/>
      <c r="NW10" s="483"/>
      <c r="NX10" s="483"/>
      <c r="NY10" s="483"/>
      <c r="NZ10" s="483"/>
      <c r="OA10" s="483"/>
      <c r="OB10" s="483"/>
      <c r="OC10" s="483"/>
      <c r="OD10" s="483"/>
      <c r="OE10" s="483"/>
      <c r="OF10" s="483"/>
      <c r="OG10" s="483"/>
      <c r="OH10" s="483"/>
      <c r="OI10" s="483"/>
      <c r="OJ10" s="483"/>
      <c r="OK10" s="483"/>
      <c r="OL10" s="483"/>
      <c r="PE10" s="483"/>
    </row>
    <row r="11" spans="2:429" s="487" customFormat="1" ht="24.75" customHeight="1" x14ac:dyDescent="0.3">
      <c r="B11" s="866" t="s">
        <v>3499</v>
      </c>
      <c r="C11" s="866" t="s">
        <v>3962</v>
      </c>
      <c r="D11" s="866" t="s">
        <v>4914</v>
      </c>
      <c r="E11" s="866" t="s">
        <v>4915</v>
      </c>
      <c r="F11" s="866" t="s">
        <v>4916</v>
      </c>
      <c r="G11" s="866" t="s">
        <v>4917</v>
      </c>
      <c r="H11" s="866" t="s">
        <v>4918</v>
      </c>
      <c r="I11" s="866" t="s">
        <v>4919</v>
      </c>
      <c r="J11" s="866" t="s">
        <v>4920</v>
      </c>
      <c r="K11" s="866" t="s">
        <v>4921</v>
      </c>
      <c r="L11" s="866" t="s">
        <v>4922</v>
      </c>
      <c r="M11" s="866" t="s">
        <v>4923</v>
      </c>
      <c r="N11" s="866" t="s">
        <v>4924</v>
      </c>
      <c r="O11" s="866" t="s">
        <v>4925</v>
      </c>
      <c r="P11" s="866" t="s">
        <v>4926</v>
      </c>
      <c r="Q11" s="866" t="s">
        <v>4927</v>
      </c>
      <c r="R11" s="866" t="s">
        <v>4928</v>
      </c>
      <c r="S11" s="866" t="s">
        <v>4929</v>
      </c>
      <c r="T11" s="866" t="s">
        <v>4930</v>
      </c>
      <c r="U11" s="866" t="s">
        <v>4931</v>
      </c>
      <c r="V11" s="866" t="s">
        <v>4932</v>
      </c>
      <c r="W11" s="866" t="s">
        <v>4933</v>
      </c>
      <c r="X11" s="866" t="s">
        <v>4934</v>
      </c>
      <c r="Y11" s="866" t="s">
        <v>4935</v>
      </c>
      <c r="Z11" s="866" t="s">
        <v>4936</v>
      </c>
      <c r="AA11" s="866" t="s">
        <v>4937</v>
      </c>
      <c r="AB11" s="866" t="s">
        <v>4938</v>
      </c>
      <c r="AC11" s="866" t="s">
        <v>4939</v>
      </c>
      <c r="AD11" s="866" t="s">
        <v>4940</v>
      </c>
      <c r="AE11" s="866" t="s">
        <v>4941</v>
      </c>
      <c r="AF11" s="866" t="s">
        <v>4942</v>
      </c>
      <c r="AG11" s="866" t="s">
        <v>4943</v>
      </c>
      <c r="AH11" s="866" t="s">
        <v>4944</v>
      </c>
      <c r="AI11" s="866" t="s">
        <v>4945</v>
      </c>
      <c r="AJ11" s="866" t="s">
        <v>4946</v>
      </c>
      <c r="AK11" s="866" t="s">
        <v>4947</v>
      </c>
      <c r="AL11" s="866" t="s">
        <v>4948</v>
      </c>
      <c r="AM11" s="866" t="s">
        <v>4949</v>
      </c>
      <c r="AN11" s="866" t="s">
        <v>4950</v>
      </c>
      <c r="AO11" s="866" t="s">
        <v>4951</v>
      </c>
      <c r="AP11" s="866" t="s">
        <v>4952</v>
      </c>
      <c r="AQ11" s="866" t="s">
        <v>4953</v>
      </c>
      <c r="AR11" s="866" t="s">
        <v>4954</v>
      </c>
      <c r="AS11" s="866" t="s">
        <v>4955</v>
      </c>
      <c r="AT11" s="866" t="s">
        <v>4046</v>
      </c>
      <c r="AU11" s="866" t="s">
        <v>4956</v>
      </c>
      <c r="AV11" s="866" t="s">
        <v>4957</v>
      </c>
      <c r="AW11" s="866" t="s">
        <v>4958</v>
      </c>
      <c r="AX11" s="866" t="s">
        <v>4959</v>
      </c>
      <c r="AY11" s="866" t="s">
        <v>4960</v>
      </c>
      <c r="AZ11" s="866" t="s">
        <v>4961</v>
      </c>
      <c r="BA11" s="866" t="s">
        <v>4962</v>
      </c>
      <c r="BB11" s="866" t="s">
        <v>4963</v>
      </c>
      <c r="BC11" s="866" t="s">
        <v>4964</v>
      </c>
      <c r="BD11" s="866" t="s">
        <v>4965</v>
      </c>
      <c r="BE11" s="866" t="s">
        <v>4966</v>
      </c>
      <c r="BF11" s="866" t="s">
        <v>4967</v>
      </c>
      <c r="BG11" s="866" t="s">
        <v>4968</v>
      </c>
      <c r="BH11" s="866" t="s">
        <v>4969</v>
      </c>
      <c r="BI11" s="866" t="s">
        <v>4970</v>
      </c>
      <c r="BJ11" s="866" t="s">
        <v>4971</v>
      </c>
      <c r="BK11" s="866" t="s">
        <v>4972</v>
      </c>
      <c r="BL11" s="866" t="s">
        <v>4973</v>
      </c>
      <c r="BM11" s="866" t="s">
        <v>4974</v>
      </c>
      <c r="BN11" s="866" t="s">
        <v>4975</v>
      </c>
      <c r="BO11" s="866" t="s">
        <v>4976</v>
      </c>
      <c r="BP11" s="866" t="s">
        <v>4977</v>
      </c>
      <c r="BQ11" s="866" t="s">
        <v>4978</v>
      </c>
      <c r="BR11" s="866" t="s">
        <v>4979</v>
      </c>
      <c r="BS11" s="866" t="s">
        <v>4980</v>
      </c>
      <c r="BT11" s="866" t="s">
        <v>4981</v>
      </c>
      <c r="BU11" s="866" t="s">
        <v>4982</v>
      </c>
      <c r="BV11" s="866" t="s">
        <v>4983</v>
      </c>
      <c r="BW11" s="866" t="s">
        <v>4984</v>
      </c>
      <c r="BX11" s="866" t="s">
        <v>4985</v>
      </c>
      <c r="BY11" s="866" t="s">
        <v>4986</v>
      </c>
      <c r="BZ11" s="866" t="s">
        <v>4987</v>
      </c>
      <c r="CA11" s="866" t="s">
        <v>4988</v>
      </c>
      <c r="CB11" s="866" t="s">
        <v>4989</v>
      </c>
      <c r="CC11" s="866" t="s">
        <v>4990</v>
      </c>
      <c r="CD11" s="866" t="s">
        <v>4991</v>
      </c>
      <c r="CE11" s="866" t="s">
        <v>4992</v>
      </c>
      <c r="CF11" s="866" t="s">
        <v>4993</v>
      </c>
      <c r="CG11" s="866" t="s">
        <v>4994</v>
      </c>
      <c r="CH11" s="866" t="s">
        <v>4995</v>
      </c>
      <c r="CI11" s="866" t="s">
        <v>4996</v>
      </c>
      <c r="CJ11" s="866" t="s">
        <v>4997</v>
      </c>
      <c r="CK11" s="866" t="s">
        <v>4998</v>
      </c>
      <c r="CL11" s="866" t="s">
        <v>4999</v>
      </c>
      <c r="CM11" s="866" t="s">
        <v>5000</v>
      </c>
      <c r="CN11" s="866" t="s">
        <v>5001</v>
      </c>
      <c r="CO11" s="866" t="s">
        <v>5002</v>
      </c>
      <c r="CP11" s="866" t="s">
        <v>5003</v>
      </c>
      <c r="CQ11" s="866" t="s">
        <v>5004</v>
      </c>
      <c r="CR11" s="866" t="s">
        <v>5005</v>
      </c>
      <c r="CS11" s="866" t="s">
        <v>5006</v>
      </c>
      <c r="CT11" s="866" t="s">
        <v>5007</v>
      </c>
      <c r="CU11" s="866" t="s">
        <v>5008</v>
      </c>
      <c r="CV11" s="866" t="s">
        <v>5009</v>
      </c>
      <c r="CW11" s="866" t="s">
        <v>5010</v>
      </c>
      <c r="CX11" s="866" t="s">
        <v>5011</v>
      </c>
      <c r="CY11" s="866" t="s">
        <v>5012</v>
      </c>
      <c r="CZ11" s="866" t="s">
        <v>5013</v>
      </c>
      <c r="DA11" s="866" t="s">
        <v>5014</v>
      </c>
      <c r="DB11" s="866" t="s">
        <v>5015</v>
      </c>
      <c r="DC11" s="866" t="s">
        <v>5016</v>
      </c>
      <c r="DD11" s="866" t="s">
        <v>5017</v>
      </c>
      <c r="DE11" s="866" t="s">
        <v>5018</v>
      </c>
      <c r="DF11" s="866" t="s">
        <v>5019</v>
      </c>
      <c r="DG11" s="866" t="s">
        <v>5020</v>
      </c>
      <c r="DH11" s="866" t="s">
        <v>5021</v>
      </c>
      <c r="DI11" s="866" t="s">
        <v>5022</v>
      </c>
      <c r="DJ11" s="866" t="s">
        <v>5023</v>
      </c>
      <c r="DK11" s="866" t="s">
        <v>5024</v>
      </c>
      <c r="DL11" s="866" t="s">
        <v>5025</v>
      </c>
      <c r="DM11" s="866" t="s">
        <v>5026</v>
      </c>
      <c r="DN11" s="866" t="s">
        <v>3957</v>
      </c>
      <c r="DO11" s="866" t="s">
        <v>5027</v>
      </c>
      <c r="DP11" s="866" t="s">
        <v>5028</v>
      </c>
      <c r="DQ11" s="866" t="s">
        <v>5029</v>
      </c>
      <c r="DR11" s="866" t="s">
        <v>5030</v>
      </c>
      <c r="DS11" s="866" t="s">
        <v>5031</v>
      </c>
      <c r="DT11" s="866" t="s">
        <v>5032</v>
      </c>
      <c r="DU11" s="866" t="s">
        <v>5033</v>
      </c>
      <c r="DV11" s="866" t="s">
        <v>5034</v>
      </c>
      <c r="DW11" s="866" t="s">
        <v>5035</v>
      </c>
      <c r="DX11" s="866" t="s">
        <v>5036</v>
      </c>
      <c r="DY11" s="866" t="s">
        <v>5037</v>
      </c>
      <c r="DZ11" s="866" t="s">
        <v>5038</v>
      </c>
      <c r="EA11" s="866" t="s">
        <v>5039</v>
      </c>
      <c r="EB11" s="866" t="s">
        <v>4040</v>
      </c>
      <c r="EC11" s="866" t="s">
        <v>5040</v>
      </c>
      <c r="ED11" s="866" t="s">
        <v>5041</v>
      </c>
      <c r="EE11" s="866" t="s">
        <v>5042</v>
      </c>
      <c r="EF11" s="866" t="s">
        <v>5043</v>
      </c>
      <c r="EG11" s="866" t="s">
        <v>5044</v>
      </c>
      <c r="EH11" s="866" t="s">
        <v>2934</v>
      </c>
      <c r="EI11" s="866" t="s">
        <v>5045</v>
      </c>
      <c r="EJ11" s="866" t="s">
        <v>5046</v>
      </c>
      <c r="EK11" s="866" t="s">
        <v>5047</v>
      </c>
      <c r="EL11" s="866" t="s">
        <v>5048</v>
      </c>
      <c r="EM11" s="866" t="s">
        <v>5049</v>
      </c>
      <c r="EN11" s="866" t="s">
        <v>5050</v>
      </c>
      <c r="EO11" s="866" t="s">
        <v>5051</v>
      </c>
      <c r="EP11" s="866" t="s">
        <v>5052</v>
      </c>
      <c r="EQ11" s="866" t="s">
        <v>5053</v>
      </c>
      <c r="ER11" s="866" t="s">
        <v>5054</v>
      </c>
      <c r="ES11" s="866" t="s">
        <v>5055</v>
      </c>
      <c r="ET11" s="866" t="s">
        <v>5056</v>
      </c>
      <c r="EU11" s="866" t="s">
        <v>5057</v>
      </c>
      <c r="EV11" s="866" t="s">
        <v>5058</v>
      </c>
      <c r="EW11" s="866" t="s">
        <v>5059</v>
      </c>
      <c r="EX11" s="866" t="s">
        <v>5060</v>
      </c>
      <c r="EY11" s="866" t="s">
        <v>5061</v>
      </c>
      <c r="EZ11" s="866" t="s">
        <v>5062</v>
      </c>
      <c r="FA11" s="866" t="s">
        <v>5063</v>
      </c>
      <c r="FB11" s="866" t="s">
        <v>4993</v>
      </c>
      <c r="FC11" s="866" t="s">
        <v>5064</v>
      </c>
      <c r="FD11" s="866" t="s">
        <v>4043</v>
      </c>
      <c r="FE11" s="866" t="s">
        <v>1641</v>
      </c>
      <c r="FF11" s="866" t="s">
        <v>5065</v>
      </c>
      <c r="FG11" s="866" t="s">
        <v>5066</v>
      </c>
      <c r="FH11" s="866" t="s">
        <v>5067</v>
      </c>
      <c r="FI11" s="866" t="s">
        <v>5068</v>
      </c>
      <c r="FJ11" s="866" t="s">
        <v>5069</v>
      </c>
      <c r="FK11" s="866" t="s">
        <v>5070</v>
      </c>
      <c r="FL11" s="866" t="s">
        <v>5071</v>
      </c>
      <c r="FM11" s="866" t="s">
        <v>5072</v>
      </c>
      <c r="FN11" s="866" t="s">
        <v>5073</v>
      </c>
      <c r="FO11" s="866" t="s">
        <v>5074</v>
      </c>
      <c r="FP11" s="866" t="s">
        <v>5075</v>
      </c>
      <c r="FQ11" s="866" t="s">
        <v>5076</v>
      </c>
      <c r="FR11" s="866" t="s">
        <v>5077</v>
      </c>
      <c r="FS11" s="866" t="s">
        <v>5078</v>
      </c>
      <c r="FT11" s="866" t="s">
        <v>5079</v>
      </c>
      <c r="FU11" s="866" t="s">
        <v>5080</v>
      </c>
      <c r="FV11" s="866" t="s">
        <v>5081</v>
      </c>
      <c r="FW11" s="866" t="s">
        <v>5082</v>
      </c>
      <c r="FX11" s="866" t="s">
        <v>5083</v>
      </c>
      <c r="FY11" s="866" t="s">
        <v>5084</v>
      </c>
      <c r="FZ11" s="866" t="s">
        <v>5085</v>
      </c>
      <c r="GA11" s="866" t="s">
        <v>5086</v>
      </c>
      <c r="GB11" s="866" t="s">
        <v>5087</v>
      </c>
      <c r="GC11" s="866" t="s">
        <v>5088</v>
      </c>
      <c r="GD11" s="866" t="s">
        <v>5089</v>
      </c>
      <c r="GE11" s="866" t="s">
        <v>5090</v>
      </c>
      <c r="GF11" s="866" t="s">
        <v>5091</v>
      </c>
      <c r="GG11" s="866" t="s">
        <v>5092</v>
      </c>
      <c r="GH11" s="866" t="s">
        <v>5093</v>
      </c>
      <c r="GI11" s="866" t="s">
        <v>5094</v>
      </c>
      <c r="GJ11" s="866" t="s">
        <v>5095</v>
      </c>
      <c r="GK11" s="866" t="s">
        <v>5096</v>
      </c>
      <c r="GL11" s="866" t="s">
        <v>5097</v>
      </c>
      <c r="GM11" s="866" t="s">
        <v>5098</v>
      </c>
      <c r="GN11" s="866" t="s">
        <v>5099</v>
      </c>
      <c r="GO11" s="866" t="s">
        <v>5100</v>
      </c>
      <c r="GP11" s="866" t="s">
        <v>5101</v>
      </c>
      <c r="GQ11" s="866" t="s">
        <v>5102</v>
      </c>
      <c r="GR11" s="866" t="s">
        <v>5103</v>
      </c>
      <c r="GS11" s="866" t="s">
        <v>5104</v>
      </c>
      <c r="GT11" s="866" t="s">
        <v>5105</v>
      </c>
      <c r="GU11" s="866" t="s">
        <v>5106</v>
      </c>
      <c r="GV11" s="866" t="s">
        <v>5107</v>
      </c>
      <c r="GW11" s="866" t="s">
        <v>5108</v>
      </c>
      <c r="GX11" s="866" t="s">
        <v>5109</v>
      </c>
      <c r="GY11" s="866" t="s">
        <v>5110</v>
      </c>
      <c r="GZ11" s="866" t="s">
        <v>3401</v>
      </c>
      <c r="HA11" s="866" t="s">
        <v>5111</v>
      </c>
      <c r="HB11" s="866" t="s">
        <v>5112</v>
      </c>
      <c r="HC11" s="866" t="s">
        <v>5113</v>
      </c>
      <c r="HD11" s="866" t="s">
        <v>5114</v>
      </c>
      <c r="HE11" s="866" t="s">
        <v>5115</v>
      </c>
      <c r="HF11" s="866" t="s">
        <v>5116</v>
      </c>
      <c r="HG11" s="866" t="s">
        <v>5117</v>
      </c>
      <c r="HH11" s="866" t="s">
        <v>5118</v>
      </c>
      <c r="HI11" s="866" t="s">
        <v>5119</v>
      </c>
      <c r="HJ11" s="866" t="s">
        <v>5120</v>
      </c>
      <c r="HK11" s="866" t="s">
        <v>5121</v>
      </c>
      <c r="HL11" s="866" t="s">
        <v>5122</v>
      </c>
      <c r="HM11" s="866" t="s">
        <v>5123</v>
      </c>
      <c r="HN11" s="866" t="s">
        <v>5124</v>
      </c>
      <c r="HO11" s="866" t="s">
        <v>5125</v>
      </c>
      <c r="HP11" s="866" t="s">
        <v>5126</v>
      </c>
      <c r="HQ11" s="866" t="s">
        <v>5127</v>
      </c>
      <c r="HR11" s="866" t="s">
        <v>5128</v>
      </c>
      <c r="HS11" s="866" t="s">
        <v>5129</v>
      </c>
      <c r="HT11" s="866" t="s">
        <v>5130</v>
      </c>
      <c r="HU11" s="866" t="s">
        <v>5131</v>
      </c>
      <c r="HV11" s="866" t="s">
        <v>5132</v>
      </c>
      <c r="HW11" s="866" t="s">
        <v>5133</v>
      </c>
      <c r="HX11" s="866" t="s">
        <v>5134</v>
      </c>
      <c r="HY11" s="866" t="s">
        <v>5135</v>
      </c>
      <c r="HZ11" s="866" t="s">
        <v>5136</v>
      </c>
      <c r="IA11" s="866" t="s">
        <v>5137</v>
      </c>
      <c r="IB11" s="866" t="s">
        <v>5138</v>
      </c>
      <c r="IC11" s="866" t="s">
        <v>5139</v>
      </c>
      <c r="ID11" s="866" t="s">
        <v>5140</v>
      </c>
      <c r="IE11" s="866" t="s">
        <v>5141</v>
      </c>
      <c r="IF11" s="866" t="s">
        <v>4249</v>
      </c>
      <c r="IG11" s="866" t="s">
        <v>5142</v>
      </c>
      <c r="IH11" s="866" t="s">
        <v>5143</v>
      </c>
      <c r="II11" s="866" t="s">
        <v>5144</v>
      </c>
      <c r="IJ11" s="866" t="s">
        <v>5145</v>
      </c>
      <c r="IK11" s="866" t="s">
        <v>3648</v>
      </c>
      <c r="IL11" s="866" t="s">
        <v>5146</v>
      </c>
      <c r="IM11" s="866" t="s">
        <v>5147</v>
      </c>
      <c r="IN11" s="866" t="s">
        <v>5148</v>
      </c>
      <c r="IO11" s="866" t="s">
        <v>5149</v>
      </c>
      <c r="IP11" s="866" t="s">
        <v>5150</v>
      </c>
      <c r="IQ11" s="866" t="s">
        <v>5151</v>
      </c>
      <c r="IR11" s="866" t="s">
        <v>5152</v>
      </c>
      <c r="IS11" s="866" t="s">
        <v>5153</v>
      </c>
      <c r="IT11" s="866" t="s">
        <v>5154</v>
      </c>
      <c r="IU11" s="866" t="s">
        <v>5155</v>
      </c>
      <c r="IV11" s="866" t="s">
        <v>5156</v>
      </c>
      <c r="IW11" s="866" t="s">
        <v>5157</v>
      </c>
      <c r="IX11" s="866" t="s">
        <v>5158</v>
      </c>
      <c r="IY11" s="866" t="s">
        <v>5159</v>
      </c>
      <c r="IZ11" s="866" t="s">
        <v>5160</v>
      </c>
      <c r="JA11" s="866" t="s">
        <v>5161</v>
      </c>
      <c r="JB11" s="866" t="s">
        <v>5162</v>
      </c>
      <c r="JC11" s="866" t="s">
        <v>5163</v>
      </c>
      <c r="JD11" s="866" t="s">
        <v>5164</v>
      </c>
      <c r="JE11" s="866" t="s">
        <v>5165</v>
      </c>
      <c r="JF11" s="866" t="s">
        <v>5166</v>
      </c>
      <c r="JG11" s="866" t="s">
        <v>5167</v>
      </c>
      <c r="JH11" s="866" t="s">
        <v>5168</v>
      </c>
      <c r="JI11" s="866" t="s">
        <v>5169</v>
      </c>
      <c r="JJ11" s="866" t="s">
        <v>5170</v>
      </c>
      <c r="JK11" s="866" t="s">
        <v>5171</v>
      </c>
      <c r="JL11" s="866" t="s">
        <v>5172</v>
      </c>
      <c r="JM11" s="866" t="s">
        <v>5173</v>
      </c>
      <c r="JN11" s="866" t="s">
        <v>5174</v>
      </c>
      <c r="JO11" s="866" t="s">
        <v>5175</v>
      </c>
      <c r="JP11" s="866" t="s">
        <v>5176</v>
      </c>
      <c r="JQ11" s="866" t="s">
        <v>5177</v>
      </c>
      <c r="JR11" s="866" t="s">
        <v>5178</v>
      </c>
      <c r="JS11" s="866" t="s">
        <v>5179</v>
      </c>
      <c r="JT11" s="866" t="s">
        <v>5180</v>
      </c>
      <c r="JU11" s="866" t="s">
        <v>5181</v>
      </c>
      <c r="JV11" s="866" t="s">
        <v>5182</v>
      </c>
      <c r="JW11" s="866" t="s">
        <v>5183</v>
      </c>
      <c r="JX11" s="866" t="s">
        <v>5184</v>
      </c>
      <c r="JY11" s="866" t="s">
        <v>5185</v>
      </c>
      <c r="JZ11" s="866" t="s">
        <v>5186</v>
      </c>
      <c r="KA11" s="866" t="s">
        <v>5187</v>
      </c>
      <c r="KB11" s="866" t="s">
        <v>5188</v>
      </c>
      <c r="KC11" s="866" t="s">
        <v>5189</v>
      </c>
      <c r="KD11" s="866" t="s">
        <v>5190</v>
      </c>
      <c r="KE11" s="866" t="s">
        <v>5191</v>
      </c>
      <c r="KF11" s="866" t="s">
        <v>5192</v>
      </c>
      <c r="KG11" s="866" t="s">
        <v>5193</v>
      </c>
      <c r="KH11" s="866" t="s">
        <v>5194</v>
      </c>
      <c r="KI11" s="866" t="s">
        <v>5195</v>
      </c>
      <c r="KJ11" s="866" t="s">
        <v>5196</v>
      </c>
      <c r="KK11" s="866" t="s">
        <v>5197</v>
      </c>
      <c r="KL11" s="866" t="s">
        <v>5198</v>
      </c>
      <c r="KM11" s="866" t="s">
        <v>5199</v>
      </c>
      <c r="KN11" s="866" t="s">
        <v>5200</v>
      </c>
      <c r="KO11" s="866" t="s">
        <v>5201</v>
      </c>
      <c r="KP11" s="866" t="s">
        <v>5202</v>
      </c>
      <c r="KQ11" s="866" t="s">
        <v>5203</v>
      </c>
      <c r="KR11" s="866" t="s">
        <v>5204</v>
      </c>
      <c r="KS11" s="866" t="s">
        <v>5205</v>
      </c>
      <c r="KT11" s="866" t="s">
        <v>5206</v>
      </c>
      <c r="KU11" s="866" t="s">
        <v>5207</v>
      </c>
      <c r="KV11" s="866" t="s">
        <v>5208</v>
      </c>
      <c r="KW11" s="866" t="s">
        <v>5209</v>
      </c>
      <c r="KX11" s="866" t="s">
        <v>5210</v>
      </c>
      <c r="KY11" s="866" t="s">
        <v>5211</v>
      </c>
      <c r="KZ11" s="866" t="s">
        <v>5212</v>
      </c>
      <c r="LA11" s="866" t="s">
        <v>5213</v>
      </c>
      <c r="LB11" s="866" t="s">
        <v>5214</v>
      </c>
      <c r="LC11" s="866" t="s">
        <v>5215</v>
      </c>
      <c r="LD11" s="866" t="s">
        <v>5216</v>
      </c>
      <c r="LE11" s="866" t="s">
        <v>5217</v>
      </c>
      <c r="LF11" s="866" t="s">
        <v>5218</v>
      </c>
      <c r="LG11" s="866" t="s">
        <v>5219</v>
      </c>
      <c r="LH11" s="866" t="s">
        <v>5220</v>
      </c>
      <c r="LI11" s="866" t="s">
        <v>5221</v>
      </c>
      <c r="LJ11" s="866" t="s">
        <v>5222</v>
      </c>
      <c r="LK11" s="866" t="s">
        <v>5223</v>
      </c>
      <c r="LL11" s="866" t="s">
        <v>5224</v>
      </c>
      <c r="LM11" s="866" t="s">
        <v>5225</v>
      </c>
      <c r="LN11" s="866" t="s">
        <v>5226</v>
      </c>
      <c r="LO11" s="866" t="s">
        <v>5227</v>
      </c>
      <c r="LP11" s="866" t="s">
        <v>5228</v>
      </c>
      <c r="LQ11" s="866" t="s">
        <v>5229</v>
      </c>
      <c r="LR11" s="867" t="s">
        <v>5230</v>
      </c>
      <c r="LS11" s="867" t="s">
        <v>5231</v>
      </c>
      <c r="LT11" s="867" t="s">
        <v>5232</v>
      </c>
      <c r="LU11" s="867" t="s">
        <v>5233</v>
      </c>
      <c r="LV11" s="867" t="s">
        <v>5234</v>
      </c>
      <c r="LW11" s="867" t="s">
        <v>5235</v>
      </c>
      <c r="LX11" s="867" t="s">
        <v>5236</v>
      </c>
      <c r="LY11" s="867" t="s">
        <v>5237</v>
      </c>
      <c r="LZ11" s="867" t="s">
        <v>5238</v>
      </c>
      <c r="MA11" s="867" t="s">
        <v>5239</v>
      </c>
      <c r="MB11" s="867" t="s">
        <v>5240</v>
      </c>
      <c r="MC11" s="867" t="s">
        <v>5241</v>
      </c>
      <c r="MD11" s="867" t="s">
        <v>5242</v>
      </c>
      <c r="ME11" s="867" t="s">
        <v>5243</v>
      </c>
      <c r="MF11" s="867" t="s">
        <v>5244</v>
      </c>
      <c r="MG11" s="867" t="s">
        <v>5245</v>
      </c>
      <c r="MH11" s="867" t="s">
        <v>5246</v>
      </c>
      <c r="MI11" s="867" t="s">
        <v>5247</v>
      </c>
      <c r="MJ11" s="867" t="s">
        <v>5248</v>
      </c>
      <c r="MK11" s="867" t="s">
        <v>5249</v>
      </c>
      <c r="ML11" s="867" t="s">
        <v>5250</v>
      </c>
      <c r="MM11" s="867" t="s">
        <v>5251</v>
      </c>
      <c r="MN11" s="867" t="s">
        <v>5252</v>
      </c>
      <c r="MO11" s="867" t="s">
        <v>5253</v>
      </c>
      <c r="MP11" s="867" t="s">
        <v>5254</v>
      </c>
      <c r="MQ11" s="867" t="s">
        <v>5255</v>
      </c>
      <c r="MR11" s="867" t="s">
        <v>5256</v>
      </c>
      <c r="MS11" s="867" t="s">
        <v>5257</v>
      </c>
      <c r="MT11" s="867" t="s">
        <v>5258</v>
      </c>
      <c r="MU11" s="867" t="s">
        <v>5259</v>
      </c>
      <c r="MV11" s="867" t="s">
        <v>5260</v>
      </c>
      <c r="MW11" s="867" t="s">
        <v>5261</v>
      </c>
      <c r="MX11" s="867" t="s">
        <v>5262</v>
      </c>
      <c r="MY11" s="867" t="s">
        <v>5263</v>
      </c>
      <c r="MZ11" s="867" t="s">
        <v>5264</v>
      </c>
      <c r="NA11" s="867" t="s">
        <v>5265</v>
      </c>
      <c r="NB11" s="867" t="s">
        <v>5266</v>
      </c>
      <c r="NC11" s="867" t="s">
        <v>5267</v>
      </c>
      <c r="ND11" s="867" t="s">
        <v>5268</v>
      </c>
      <c r="NE11" s="867" t="s">
        <v>5269</v>
      </c>
      <c r="NF11" s="867" t="s">
        <v>5270</v>
      </c>
      <c r="NG11" s="867" t="s">
        <v>5271</v>
      </c>
      <c r="NH11" s="867" t="s">
        <v>5272</v>
      </c>
      <c r="NI11" s="867" t="s">
        <v>5273</v>
      </c>
      <c r="NJ11" s="867" t="s">
        <v>5274</v>
      </c>
      <c r="NK11" s="867" t="s">
        <v>5275</v>
      </c>
      <c r="NL11" s="867" t="s">
        <v>5276</v>
      </c>
      <c r="NM11" s="867" t="s">
        <v>5277</v>
      </c>
      <c r="NN11" s="867" t="s">
        <v>5278</v>
      </c>
      <c r="NO11" s="867" t="s">
        <v>5279</v>
      </c>
      <c r="NP11" s="867" t="s">
        <v>5280</v>
      </c>
      <c r="NQ11" s="867" t="s">
        <v>5281</v>
      </c>
      <c r="NR11" s="867" t="s">
        <v>5282</v>
      </c>
      <c r="NS11" s="867" t="s">
        <v>5283</v>
      </c>
      <c r="NT11" s="867" t="s">
        <v>5284</v>
      </c>
      <c r="NU11" s="867" t="s">
        <v>5285</v>
      </c>
      <c r="NV11" s="867" t="s">
        <v>5286</v>
      </c>
      <c r="NW11" s="867" t="s">
        <v>5287</v>
      </c>
      <c r="NX11" s="867" t="s">
        <v>5288</v>
      </c>
      <c r="NY11" s="867" t="s">
        <v>5289</v>
      </c>
      <c r="NZ11" s="867" t="s">
        <v>5290</v>
      </c>
      <c r="OA11" s="867" t="s">
        <v>5291</v>
      </c>
      <c r="OB11" s="867" t="s">
        <v>5292</v>
      </c>
      <c r="OC11" s="867" t="s">
        <v>5293</v>
      </c>
      <c r="OD11" s="867" t="s">
        <v>5294</v>
      </c>
      <c r="OE11" s="867" t="s">
        <v>5295</v>
      </c>
      <c r="OF11" s="867" t="s">
        <v>5296</v>
      </c>
      <c r="OG11" s="867" t="s">
        <v>5297</v>
      </c>
      <c r="OH11" s="867" t="s">
        <v>5298</v>
      </c>
      <c r="OI11" s="867" t="s">
        <v>5299</v>
      </c>
      <c r="OJ11" s="867" t="s">
        <v>5300</v>
      </c>
      <c r="OK11" s="867" t="s">
        <v>5301</v>
      </c>
      <c r="OL11" s="867" t="s">
        <v>5302</v>
      </c>
      <c r="OM11" s="867" t="s">
        <v>5303</v>
      </c>
      <c r="ON11" s="867" t="s">
        <v>5304</v>
      </c>
      <c r="OO11" s="867" t="s">
        <v>5305</v>
      </c>
      <c r="OP11" s="867" t="s">
        <v>5306</v>
      </c>
      <c r="OQ11" s="867" t="s">
        <v>5307</v>
      </c>
      <c r="OR11" s="867" t="s">
        <v>5308</v>
      </c>
      <c r="OS11" s="867" t="s">
        <v>5309</v>
      </c>
      <c r="OT11" s="867" t="s">
        <v>5310</v>
      </c>
      <c r="OU11" s="867" t="s">
        <v>5311</v>
      </c>
      <c r="OV11" s="867" t="s">
        <v>5312</v>
      </c>
      <c r="OW11" s="867" t="s">
        <v>5313</v>
      </c>
      <c r="OX11" s="867" t="s">
        <v>5314</v>
      </c>
      <c r="OY11" s="867" t="s">
        <v>5315</v>
      </c>
      <c r="OZ11" s="867" t="s">
        <v>5316</v>
      </c>
      <c r="PA11" s="867" t="s">
        <v>5317</v>
      </c>
      <c r="PB11" s="867" t="s">
        <v>5318</v>
      </c>
      <c r="PC11" s="867" t="s">
        <v>5319</v>
      </c>
      <c r="PD11" s="867" t="s">
        <v>5320</v>
      </c>
      <c r="PE11" s="867" t="s">
        <v>5321</v>
      </c>
      <c r="PF11" s="867" t="s">
        <v>5322</v>
      </c>
      <c r="PG11" s="867" t="s">
        <v>5323</v>
      </c>
      <c r="PH11" s="867" t="s">
        <v>5324</v>
      </c>
      <c r="PI11" s="867" t="s">
        <v>5325</v>
      </c>
      <c r="PJ11" s="866" t="s">
        <v>5326</v>
      </c>
      <c r="PK11" s="867" t="s">
        <v>5327</v>
      </c>
      <c r="PL11" s="866" t="s">
        <v>5328</v>
      </c>
      <c r="PM11" s="866" t="s">
        <v>5329</v>
      </c>
    </row>
    <row r="12" spans="2:429" ht="15.6" x14ac:dyDescent="0.3">
      <c r="B12" s="487" t="s">
        <v>3038</v>
      </c>
      <c r="C12" s="483">
        <f>SUM(D12:AS12)</f>
        <v>6095</v>
      </c>
      <c r="D12" s="483">
        <v>0</v>
      </c>
      <c r="E12" s="483" t="s">
        <v>260</v>
      </c>
      <c r="F12" s="483" t="s">
        <v>260</v>
      </c>
      <c r="G12" s="483" t="s">
        <v>260</v>
      </c>
      <c r="H12" s="483" t="s">
        <v>260</v>
      </c>
      <c r="I12" s="483" t="s">
        <v>260</v>
      </c>
      <c r="J12" s="483" t="s">
        <v>260</v>
      </c>
      <c r="K12" s="483" t="s">
        <v>260</v>
      </c>
      <c r="L12" s="483" t="s">
        <v>260</v>
      </c>
      <c r="M12" s="483" t="s">
        <v>260</v>
      </c>
      <c r="N12" s="483" t="s">
        <v>260</v>
      </c>
      <c r="O12" s="483" t="s">
        <v>260</v>
      </c>
      <c r="P12" s="483" t="s">
        <v>260</v>
      </c>
      <c r="Q12" s="483" t="s">
        <v>260</v>
      </c>
      <c r="R12" s="483" t="s">
        <v>260</v>
      </c>
      <c r="S12" s="483" t="s">
        <v>260</v>
      </c>
      <c r="T12" s="483" t="s">
        <v>260</v>
      </c>
      <c r="U12" s="483" t="s">
        <v>260</v>
      </c>
      <c r="V12" s="483" t="s">
        <v>260</v>
      </c>
      <c r="W12" s="483" t="s">
        <v>260</v>
      </c>
      <c r="X12" s="483" t="s">
        <v>260</v>
      </c>
      <c r="Y12" s="483" t="s">
        <v>260</v>
      </c>
      <c r="Z12" s="483" t="s">
        <v>260</v>
      </c>
      <c r="AA12" s="483" t="s">
        <v>260</v>
      </c>
      <c r="AB12" s="483" t="s">
        <v>260</v>
      </c>
      <c r="AC12" s="483" t="s">
        <v>260</v>
      </c>
      <c r="AD12" s="483" t="s">
        <v>260</v>
      </c>
      <c r="AE12" s="483" t="s">
        <v>260</v>
      </c>
      <c r="AF12" s="483" t="s">
        <v>260</v>
      </c>
      <c r="AG12" s="483" t="s">
        <v>260</v>
      </c>
      <c r="AH12" s="483" t="s">
        <v>260</v>
      </c>
      <c r="AI12" s="483" t="s">
        <v>260</v>
      </c>
      <c r="AJ12" s="483" t="s">
        <v>260</v>
      </c>
      <c r="AK12" s="483" t="s">
        <v>260</v>
      </c>
      <c r="AL12" s="483" t="s">
        <v>260</v>
      </c>
      <c r="AM12" s="483">
        <v>650</v>
      </c>
      <c r="AN12" s="483">
        <v>1605</v>
      </c>
      <c r="AO12" s="483">
        <v>390</v>
      </c>
      <c r="AP12" s="483">
        <v>3450</v>
      </c>
      <c r="AQ12" s="483" t="s">
        <v>260</v>
      </c>
      <c r="AR12" s="483" t="s">
        <v>260</v>
      </c>
      <c r="AS12" s="483" t="s">
        <v>260</v>
      </c>
      <c r="AT12" s="483">
        <f>SUM(AU12:DM12)</f>
        <v>15908</v>
      </c>
      <c r="AU12" s="483" t="s">
        <v>260</v>
      </c>
      <c r="AV12" s="483" t="s">
        <v>260</v>
      </c>
      <c r="AW12" s="483" t="s">
        <v>260</v>
      </c>
      <c r="AX12" s="483" t="s">
        <v>260</v>
      </c>
      <c r="AY12" s="483" t="s">
        <v>260</v>
      </c>
      <c r="AZ12" s="483">
        <v>12</v>
      </c>
      <c r="BA12" s="483" t="s">
        <v>260</v>
      </c>
      <c r="BB12" s="483" t="s">
        <v>260</v>
      </c>
      <c r="BC12" s="483" t="s">
        <v>260</v>
      </c>
      <c r="BD12" s="483" t="s">
        <v>260</v>
      </c>
      <c r="BE12" s="483" t="s">
        <v>260</v>
      </c>
      <c r="BF12" s="483" t="s">
        <v>260</v>
      </c>
      <c r="BG12" s="483" t="s">
        <v>260</v>
      </c>
      <c r="BH12" s="483" t="s">
        <v>260</v>
      </c>
      <c r="BI12" s="483" t="s">
        <v>260</v>
      </c>
      <c r="BJ12" s="483" t="s">
        <v>260</v>
      </c>
      <c r="BK12" s="483" t="s">
        <v>260</v>
      </c>
      <c r="BL12" s="483" t="s">
        <v>260</v>
      </c>
      <c r="BM12" s="483" t="s">
        <v>260</v>
      </c>
      <c r="BN12" s="483" t="s">
        <v>260</v>
      </c>
      <c r="BO12" s="483" t="s">
        <v>260</v>
      </c>
      <c r="BP12" s="483" t="s">
        <v>260</v>
      </c>
      <c r="BQ12" s="483" t="s">
        <v>260</v>
      </c>
      <c r="BR12" s="483">
        <v>13000</v>
      </c>
      <c r="BS12" s="483" t="s">
        <v>260</v>
      </c>
      <c r="BT12" s="483" t="s">
        <v>260</v>
      </c>
      <c r="BU12" s="483" t="s">
        <v>260</v>
      </c>
      <c r="BV12" s="483" t="s">
        <v>260</v>
      </c>
      <c r="BW12" s="483" t="s">
        <v>260</v>
      </c>
      <c r="BX12" s="483" t="s">
        <v>260</v>
      </c>
      <c r="BY12" s="483" t="s">
        <v>260</v>
      </c>
      <c r="BZ12" s="483" t="s">
        <v>260</v>
      </c>
      <c r="CA12" s="483" t="s">
        <v>260</v>
      </c>
      <c r="CB12" s="483" t="s">
        <v>260</v>
      </c>
      <c r="CC12" s="483" t="s">
        <v>260</v>
      </c>
      <c r="CD12" s="483" t="s">
        <v>260</v>
      </c>
      <c r="CE12" s="483" t="s">
        <v>260</v>
      </c>
      <c r="CF12" s="483" t="s">
        <v>260</v>
      </c>
      <c r="CG12" s="483" t="s">
        <v>260</v>
      </c>
      <c r="CH12" s="483" t="s">
        <v>260</v>
      </c>
      <c r="CI12" s="483" t="s">
        <v>260</v>
      </c>
      <c r="CJ12" s="483" t="s">
        <v>260</v>
      </c>
      <c r="CK12" s="483" t="s">
        <v>260</v>
      </c>
      <c r="CL12" s="483" t="s">
        <v>260</v>
      </c>
      <c r="CM12" s="483" t="s">
        <v>260</v>
      </c>
      <c r="CN12" s="483" t="s">
        <v>260</v>
      </c>
      <c r="CO12" s="483" t="s">
        <v>260</v>
      </c>
      <c r="CP12" s="483" t="s">
        <v>260</v>
      </c>
      <c r="CQ12" s="483" t="s">
        <v>260</v>
      </c>
      <c r="CR12" s="483" t="s">
        <v>260</v>
      </c>
      <c r="CS12" s="483" t="s">
        <v>260</v>
      </c>
      <c r="CT12" s="483" t="s">
        <v>260</v>
      </c>
      <c r="CU12" s="483" t="s">
        <v>260</v>
      </c>
      <c r="CV12" s="483" t="s">
        <v>260</v>
      </c>
      <c r="CW12" s="483" t="s">
        <v>260</v>
      </c>
      <c r="CX12" s="483" t="s">
        <v>260</v>
      </c>
      <c r="CY12" s="483" t="s">
        <v>260</v>
      </c>
      <c r="CZ12" s="483" t="s">
        <v>260</v>
      </c>
      <c r="DA12" s="483" t="s">
        <v>260</v>
      </c>
      <c r="DB12" s="483">
        <v>60</v>
      </c>
      <c r="DC12" s="483">
        <v>1483</v>
      </c>
      <c r="DD12" s="483">
        <v>296</v>
      </c>
      <c r="DE12" s="483">
        <v>167</v>
      </c>
      <c r="DF12" s="483">
        <v>258</v>
      </c>
      <c r="DG12" s="483">
        <v>21</v>
      </c>
      <c r="DH12" s="483">
        <v>46</v>
      </c>
      <c r="DI12" s="483">
        <v>52</v>
      </c>
      <c r="DJ12" s="483">
        <v>306</v>
      </c>
      <c r="DK12" s="483">
        <v>207</v>
      </c>
      <c r="DL12" s="483" t="s">
        <v>260</v>
      </c>
      <c r="DM12" s="483" t="s">
        <v>260</v>
      </c>
      <c r="DN12" s="483">
        <v>2934</v>
      </c>
      <c r="DO12" s="483">
        <v>2934</v>
      </c>
      <c r="DP12" s="483" t="s">
        <v>260</v>
      </c>
      <c r="DQ12" s="483" t="s">
        <v>260</v>
      </c>
      <c r="DR12" s="483" t="s">
        <v>260</v>
      </c>
      <c r="DS12" s="483" t="s">
        <v>260</v>
      </c>
      <c r="DT12" s="483" t="s">
        <v>260</v>
      </c>
      <c r="DU12" s="483" t="s">
        <v>260</v>
      </c>
      <c r="DV12" s="483" t="s">
        <v>260</v>
      </c>
      <c r="DW12" s="483" t="s">
        <v>260</v>
      </c>
      <c r="DX12" s="483" t="s">
        <v>260</v>
      </c>
      <c r="DY12" s="483" t="s">
        <v>260</v>
      </c>
      <c r="DZ12" s="483" t="s">
        <v>260</v>
      </c>
      <c r="EA12" s="483" t="s">
        <v>260</v>
      </c>
      <c r="EB12" s="483">
        <v>26285</v>
      </c>
      <c r="EC12" s="483" t="s">
        <v>260</v>
      </c>
      <c r="ED12" s="483" t="s">
        <v>260</v>
      </c>
      <c r="EE12" s="483" t="s">
        <v>260</v>
      </c>
      <c r="EF12" s="483" t="s">
        <v>260</v>
      </c>
      <c r="EG12" s="483" t="s">
        <v>260</v>
      </c>
      <c r="EH12" s="483" t="s">
        <v>260</v>
      </c>
      <c r="EI12" s="483" t="s">
        <v>260</v>
      </c>
      <c r="EJ12" s="483" t="s">
        <v>260</v>
      </c>
      <c r="EK12" s="483" t="s">
        <v>260</v>
      </c>
      <c r="EL12" s="483" t="s">
        <v>260</v>
      </c>
      <c r="EM12" s="483" t="s">
        <v>260</v>
      </c>
      <c r="EN12" s="483">
        <v>2900</v>
      </c>
      <c r="EO12" s="483" t="s">
        <v>260</v>
      </c>
      <c r="EP12" s="483">
        <v>6995</v>
      </c>
      <c r="EQ12" s="483" t="s">
        <v>260</v>
      </c>
      <c r="ER12" s="483" t="s">
        <v>260</v>
      </c>
      <c r="ES12" s="483" t="s">
        <v>260</v>
      </c>
      <c r="ET12" s="483" t="s">
        <v>260</v>
      </c>
      <c r="EU12" s="483" t="s">
        <v>260</v>
      </c>
      <c r="EV12" s="483" t="s">
        <v>260</v>
      </c>
      <c r="EW12" s="483">
        <v>1725</v>
      </c>
      <c r="EX12" s="483" t="s">
        <v>260</v>
      </c>
      <c r="EY12" s="483" t="s">
        <v>260</v>
      </c>
      <c r="EZ12" s="483" t="s">
        <v>260</v>
      </c>
      <c r="FA12" s="483" t="s">
        <v>260</v>
      </c>
      <c r="FB12" s="483">
        <v>14200</v>
      </c>
      <c r="FC12" s="483">
        <v>465</v>
      </c>
      <c r="FD12" s="483">
        <v>5419</v>
      </c>
      <c r="FE12" s="483" t="s">
        <v>260</v>
      </c>
      <c r="FF12" s="483" t="s">
        <v>260</v>
      </c>
      <c r="FG12" s="483" t="s">
        <v>260</v>
      </c>
      <c r="FH12" s="483" t="s">
        <v>260</v>
      </c>
      <c r="FI12" s="483" t="s">
        <v>260</v>
      </c>
      <c r="FJ12" s="483" t="s">
        <v>260</v>
      </c>
      <c r="FK12" s="483" t="s">
        <v>260</v>
      </c>
      <c r="FL12" s="483" t="s">
        <v>260</v>
      </c>
      <c r="FM12" s="483" t="s">
        <v>260</v>
      </c>
      <c r="FN12" s="483" t="s">
        <v>260</v>
      </c>
      <c r="FO12" s="483" t="s">
        <v>260</v>
      </c>
      <c r="FP12" s="483" t="s">
        <v>260</v>
      </c>
      <c r="FQ12" s="483" t="s">
        <v>260</v>
      </c>
      <c r="FR12" s="483" t="s">
        <v>260</v>
      </c>
      <c r="FS12" s="483" t="s">
        <v>260</v>
      </c>
      <c r="FT12" s="483" t="s">
        <v>260</v>
      </c>
      <c r="FU12" s="483" t="s">
        <v>260</v>
      </c>
      <c r="FV12" s="483" t="s">
        <v>260</v>
      </c>
      <c r="FW12" s="483" t="s">
        <v>260</v>
      </c>
      <c r="FX12" s="483" t="s">
        <v>260</v>
      </c>
      <c r="FY12" s="483" t="s">
        <v>260</v>
      </c>
      <c r="FZ12" s="483" t="s">
        <v>260</v>
      </c>
      <c r="GA12" s="483" t="s">
        <v>260</v>
      </c>
      <c r="GB12" s="483" t="s">
        <v>260</v>
      </c>
      <c r="GC12" s="483" t="s">
        <v>260</v>
      </c>
      <c r="GD12" s="483" t="s">
        <v>260</v>
      </c>
      <c r="GE12" s="483" t="s">
        <v>260</v>
      </c>
      <c r="GF12" s="483" t="s">
        <v>260</v>
      </c>
      <c r="GG12" s="483" t="s">
        <v>260</v>
      </c>
      <c r="GH12" s="483" t="s">
        <v>260</v>
      </c>
      <c r="GI12" s="483" t="s">
        <v>260</v>
      </c>
      <c r="GJ12" s="483" t="s">
        <v>260</v>
      </c>
      <c r="GK12" s="483" t="s">
        <v>260</v>
      </c>
      <c r="GL12" s="483" t="s">
        <v>260</v>
      </c>
      <c r="GM12" s="483" t="s">
        <v>260</v>
      </c>
      <c r="GN12" s="483" t="s">
        <v>260</v>
      </c>
      <c r="GO12" s="483" t="s">
        <v>260</v>
      </c>
      <c r="GP12" s="483" t="s">
        <v>260</v>
      </c>
      <c r="GQ12" s="483" t="s">
        <v>260</v>
      </c>
      <c r="GR12" s="483" t="s">
        <v>260</v>
      </c>
      <c r="GS12" s="483" t="s">
        <v>260</v>
      </c>
      <c r="GT12" s="483">
        <v>502</v>
      </c>
      <c r="GU12" s="483">
        <v>2500</v>
      </c>
      <c r="GV12" s="483">
        <v>334</v>
      </c>
      <c r="GW12" s="483">
        <v>83</v>
      </c>
      <c r="GX12" s="483">
        <v>2000</v>
      </c>
      <c r="GY12" s="483" t="s">
        <v>260</v>
      </c>
      <c r="GZ12" s="483">
        <v>2538</v>
      </c>
      <c r="HA12" s="483" t="s">
        <v>260</v>
      </c>
      <c r="HB12" s="483">
        <v>1539</v>
      </c>
      <c r="HC12" s="483" t="s">
        <v>260</v>
      </c>
      <c r="HD12" s="483" t="s">
        <v>260</v>
      </c>
      <c r="HE12" s="483" t="s">
        <v>260</v>
      </c>
      <c r="HF12" s="483" t="s">
        <v>260</v>
      </c>
      <c r="HG12" s="483" t="s">
        <v>260</v>
      </c>
      <c r="HH12" s="483" t="s">
        <v>260</v>
      </c>
      <c r="HI12" s="483" t="s">
        <v>260</v>
      </c>
      <c r="HJ12" s="483" t="s">
        <v>260</v>
      </c>
      <c r="HK12" s="483" t="s">
        <v>260</v>
      </c>
      <c r="HL12" s="483" t="s">
        <v>260</v>
      </c>
      <c r="HM12" s="483" t="s">
        <v>260</v>
      </c>
      <c r="HN12" s="483" t="s">
        <v>260</v>
      </c>
      <c r="HO12" s="483" t="s">
        <v>260</v>
      </c>
      <c r="HP12" s="483" t="s">
        <v>260</v>
      </c>
      <c r="HQ12" s="483" t="s">
        <v>260</v>
      </c>
      <c r="HR12" s="483" t="s">
        <v>260</v>
      </c>
      <c r="HS12" s="483" t="s">
        <v>260</v>
      </c>
      <c r="HT12" s="483" t="s">
        <v>260</v>
      </c>
      <c r="HU12" s="483" t="s">
        <v>260</v>
      </c>
      <c r="HV12" s="483" t="s">
        <v>260</v>
      </c>
      <c r="HW12" s="483" t="s">
        <v>260</v>
      </c>
      <c r="HX12" s="483" t="s">
        <v>260</v>
      </c>
      <c r="HY12" s="483" t="s">
        <v>260</v>
      </c>
      <c r="HZ12" s="483" t="s">
        <v>260</v>
      </c>
      <c r="IA12" s="483" t="s">
        <v>260</v>
      </c>
      <c r="IB12" s="483" t="s">
        <v>260</v>
      </c>
      <c r="IC12" s="483" t="s">
        <v>260</v>
      </c>
      <c r="ID12" s="483">
        <v>999</v>
      </c>
      <c r="IE12" s="483" t="s">
        <v>260</v>
      </c>
      <c r="IF12" s="483">
        <v>0</v>
      </c>
      <c r="IG12" s="483" t="s">
        <v>260</v>
      </c>
      <c r="IH12" s="483" t="s">
        <v>260</v>
      </c>
      <c r="II12" s="483" t="s">
        <v>260</v>
      </c>
      <c r="IJ12" s="483" t="s">
        <v>260</v>
      </c>
      <c r="IK12" s="483">
        <v>635</v>
      </c>
      <c r="IL12" s="483">
        <v>225</v>
      </c>
      <c r="IM12" s="483" t="s">
        <v>260</v>
      </c>
      <c r="IN12" s="483" t="s">
        <v>260</v>
      </c>
      <c r="IO12" s="483" t="s">
        <v>260</v>
      </c>
      <c r="IP12" s="483" t="s">
        <v>260</v>
      </c>
      <c r="IQ12" s="483" t="s">
        <v>260</v>
      </c>
      <c r="IR12" s="483">
        <v>410</v>
      </c>
      <c r="IS12" s="483" t="s">
        <v>260</v>
      </c>
      <c r="IT12" s="483" t="s">
        <v>260</v>
      </c>
      <c r="IU12" s="483" t="s">
        <v>260</v>
      </c>
      <c r="IV12" s="483" t="s">
        <v>260</v>
      </c>
      <c r="IW12" s="483" t="s">
        <v>260</v>
      </c>
      <c r="IX12" s="483" t="s">
        <v>260</v>
      </c>
      <c r="IY12" s="483" t="s">
        <v>260</v>
      </c>
      <c r="IZ12" s="483" t="s">
        <v>260</v>
      </c>
      <c r="JA12" s="483" t="s">
        <v>260</v>
      </c>
      <c r="JB12" s="483" t="s">
        <v>260</v>
      </c>
      <c r="JC12" s="483" t="s">
        <v>260</v>
      </c>
      <c r="JD12" s="483" t="s">
        <v>260</v>
      </c>
      <c r="JE12" s="483">
        <v>418</v>
      </c>
      <c r="JF12" s="483" t="s">
        <v>260</v>
      </c>
      <c r="JG12" s="483" t="s">
        <v>260</v>
      </c>
      <c r="JH12" s="483" t="s">
        <v>260</v>
      </c>
      <c r="JI12" s="483" t="s">
        <v>260</v>
      </c>
      <c r="JJ12" s="483" t="s">
        <v>260</v>
      </c>
      <c r="JK12" s="483" t="s">
        <v>260</v>
      </c>
      <c r="JL12" s="483" t="s">
        <v>260</v>
      </c>
      <c r="JM12" s="483" t="s">
        <v>260</v>
      </c>
      <c r="JN12" s="483" t="s">
        <v>260</v>
      </c>
      <c r="JO12" s="483" t="s">
        <v>260</v>
      </c>
      <c r="JP12" s="483" t="s">
        <v>260</v>
      </c>
      <c r="JQ12" s="483" t="s">
        <v>260</v>
      </c>
      <c r="JR12" s="483" t="s">
        <v>260</v>
      </c>
      <c r="JS12" s="483" t="s">
        <v>260</v>
      </c>
      <c r="JT12" s="483" t="s">
        <v>260</v>
      </c>
      <c r="JU12" s="483" t="s">
        <v>260</v>
      </c>
      <c r="JV12" s="483" t="s">
        <v>260</v>
      </c>
      <c r="JW12" s="483">
        <v>209</v>
      </c>
      <c r="JX12" s="483">
        <v>24</v>
      </c>
      <c r="JY12" s="483">
        <v>185</v>
      </c>
      <c r="JZ12" s="483" t="s">
        <v>260</v>
      </c>
      <c r="KA12" s="483" t="s">
        <v>260</v>
      </c>
      <c r="KB12" s="483">
        <v>2502</v>
      </c>
      <c r="KC12" s="483" t="s">
        <v>260</v>
      </c>
      <c r="KD12" s="483" t="s">
        <v>260</v>
      </c>
      <c r="KE12" s="483" t="s">
        <v>260</v>
      </c>
      <c r="KF12" s="483">
        <v>10</v>
      </c>
      <c r="KG12" s="483">
        <v>4</v>
      </c>
      <c r="KH12" s="483">
        <v>305</v>
      </c>
      <c r="KI12" s="483">
        <v>112</v>
      </c>
      <c r="KJ12" s="483">
        <v>50</v>
      </c>
      <c r="KK12" s="483" t="s">
        <v>260</v>
      </c>
      <c r="KL12" s="483" t="s">
        <v>260</v>
      </c>
      <c r="KM12" s="483" t="s">
        <v>260</v>
      </c>
      <c r="KN12" s="483" t="s">
        <v>260</v>
      </c>
      <c r="KO12" s="483" t="s">
        <v>260</v>
      </c>
      <c r="KP12" s="483" t="s">
        <v>260</v>
      </c>
      <c r="KQ12" s="483" t="s">
        <v>260</v>
      </c>
      <c r="KR12" s="483" t="s">
        <v>260</v>
      </c>
      <c r="KS12" s="483">
        <v>10</v>
      </c>
      <c r="KT12" s="483">
        <v>5</v>
      </c>
      <c r="KU12" s="483">
        <v>87</v>
      </c>
      <c r="KV12" s="483">
        <v>54</v>
      </c>
      <c r="KW12" s="483">
        <v>279</v>
      </c>
      <c r="KX12" s="483">
        <v>319</v>
      </c>
      <c r="KY12" s="483" t="s">
        <v>260</v>
      </c>
      <c r="KZ12" s="483" t="s">
        <v>260</v>
      </c>
      <c r="LA12" s="483" t="s">
        <v>260</v>
      </c>
      <c r="LB12" s="483" t="s">
        <v>260</v>
      </c>
      <c r="LC12" s="483" t="s">
        <v>260</v>
      </c>
      <c r="LD12" s="483" t="s">
        <v>260</v>
      </c>
      <c r="LE12" s="483" t="s">
        <v>260</v>
      </c>
      <c r="LF12" s="483" t="s">
        <v>260</v>
      </c>
      <c r="LG12" s="483" t="s">
        <v>260</v>
      </c>
      <c r="LH12" s="483" t="s">
        <v>260</v>
      </c>
      <c r="LI12" s="483" t="s">
        <v>260</v>
      </c>
      <c r="LJ12" s="483">
        <v>95</v>
      </c>
      <c r="LK12" s="483">
        <v>13</v>
      </c>
      <c r="LL12" s="483">
        <v>218</v>
      </c>
      <c r="LM12" s="483">
        <v>2</v>
      </c>
      <c r="LN12" s="483">
        <v>780</v>
      </c>
      <c r="LO12" s="483">
        <v>159</v>
      </c>
      <c r="LP12" s="483" t="s">
        <v>260</v>
      </c>
      <c r="LQ12" s="483" t="s">
        <v>260</v>
      </c>
      <c r="LR12" s="485" t="s">
        <v>260</v>
      </c>
      <c r="LS12" s="485">
        <v>480</v>
      </c>
      <c r="LT12" s="485" t="s">
        <v>260</v>
      </c>
      <c r="LU12" s="485" t="s">
        <v>260</v>
      </c>
      <c r="LV12" s="485" t="s">
        <v>260</v>
      </c>
      <c r="LW12" s="485">
        <v>480</v>
      </c>
      <c r="LX12" s="485" t="s">
        <v>260</v>
      </c>
      <c r="LY12" s="485" t="s">
        <v>260</v>
      </c>
      <c r="LZ12" s="485" t="s">
        <v>260</v>
      </c>
      <c r="MA12" s="485" t="s">
        <v>260</v>
      </c>
      <c r="MB12" s="485" t="s">
        <v>260</v>
      </c>
      <c r="MC12" s="485">
        <v>0</v>
      </c>
      <c r="MD12" s="485" t="s">
        <v>260</v>
      </c>
      <c r="ME12" s="485" t="s">
        <v>260</v>
      </c>
      <c r="MF12" s="485" t="s">
        <v>260</v>
      </c>
      <c r="MG12" s="485" t="s">
        <v>260</v>
      </c>
      <c r="MH12" s="485" t="s">
        <v>260</v>
      </c>
      <c r="MI12" s="485" t="s">
        <v>260</v>
      </c>
      <c r="MJ12" s="485">
        <v>81</v>
      </c>
      <c r="MK12" s="485" t="s">
        <v>260</v>
      </c>
      <c r="ML12" s="485" t="s">
        <v>260</v>
      </c>
      <c r="MM12" s="485" t="s">
        <v>260</v>
      </c>
      <c r="MN12" s="485" t="s">
        <v>260</v>
      </c>
      <c r="MO12" s="485" t="s">
        <v>260</v>
      </c>
      <c r="MP12" s="485" t="s">
        <v>5330</v>
      </c>
      <c r="MQ12" s="485" t="s">
        <v>260</v>
      </c>
      <c r="MR12" s="485">
        <v>81</v>
      </c>
      <c r="MS12" s="485" t="s">
        <v>260</v>
      </c>
      <c r="MT12" s="485" t="s">
        <v>260</v>
      </c>
      <c r="MU12" s="485" t="s">
        <v>260</v>
      </c>
      <c r="MV12" s="485" t="s">
        <v>260</v>
      </c>
      <c r="MW12" s="485" t="s">
        <v>260</v>
      </c>
      <c r="MX12" s="485" t="s">
        <v>260</v>
      </c>
      <c r="MY12" s="485" t="s">
        <v>260</v>
      </c>
      <c r="MZ12" s="485" t="s">
        <v>5330</v>
      </c>
      <c r="NA12" s="485" t="s">
        <v>260</v>
      </c>
      <c r="NB12" s="485">
        <v>0</v>
      </c>
      <c r="NC12" s="485" t="s">
        <v>260</v>
      </c>
      <c r="ND12" s="485" t="s">
        <v>260</v>
      </c>
      <c r="NE12" s="485" t="s">
        <v>260</v>
      </c>
      <c r="NF12" s="485" t="s">
        <v>260</v>
      </c>
      <c r="NG12" s="485" t="s">
        <v>260</v>
      </c>
      <c r="NH12" s="485" t="s">
        <v>260</v>
      </c>
      <c r="NI12" s="485" t="s">
        <v>260</v>
      </c>
      <c r="NJ12" s="485" t="s">
        <v>260</v>
      </c>
      <c r="NK12" s="485" t="s">
        <v>5330</v>
      </c>
      <c r="NL12" s="485" t="s">
        <v>260</v>
      </c>
      <c r="NM12" s="485" t="s">
        <v>260</v>
      </c>
      <c r="NN12" s="485" t="s">
        <v>260</v>
      </c>
      <c r="NO12" s="485">
        <v>457</v>
      </c>
      <c r="NP12" s="485">
        <v>457</v>
      </c>
      <c r="NQ12" s="485" t="s">
        <v>260</v>
      </c>
      <c r="NR12" s="485" t="s">
        <v>260</v>
      </c>
      <c r="NS12" s="485" t="s">
        <v>260</v>
      </c>
      <c r="NT12" s="485" t="s">
        <v>260</v>
      </c>
      <c r="NU12" s="485" t="s">
        <v>260</v>
      </c>
      <c r="NV12" s="485" t="s">
        <v>260</v>
      </c>
      <c r="NW12" s="485" t="s">
        <v>260</v>
      </c>
      <c r="NX12" s="485" t="s">
        <v>260</v>
      </c>
      <c r="NY12" s="485" t="s">
        <v>260</v>
      </c>
      <c r="NZ12" s="485" t="s">
        <v>260</v>
      </c>
      <c r="OA12" s="485">
        <v>4</v>
      </c>
      <c r="OB12" s="485">
        <v>453</v>
      </c>
      <c r="OC12" s="485" t="s">
        <v>260</v>
      </c>
      <c r="OD12" s="485">
        <v>0</v>
      </c>
      <c r="OE12" s="485" t="s">
        <v>260</v>
      </c>
      <c r="OF12" s="485" t="s">
        <v>260</v>
      </c>
      <c r="OG12" s="485" t="s">
        <v>260</v>
      </c>
      <c r="OH12" s="485" t="s">
        <v>260</v>
      </c>
      <c r="OI12" s="485" t="s">
        <v>260</v>
      </c>
      <c r="OJ12" s="485" t="s">
        <v>260</v>
      </c>
      <c r="OK12" s="485" t="s">
        <v>260</v>
      </c>
      <c r="OL12" s="485" t="s">
        <v>260</v>
      </c>
      <c r="OM12" s="483" t="s">
        <v>260</v>
      </c>
      <c r="ON12" s="483" t="s">
        <v>260</v>
      </c>
      <c r="OO12" s="483" t="s">
        <v>260</v>
      </c>
      <c r="OP12" s="483" t="s">
        <v>260</v>
      </c>
      <c r="OQ12" s="483" t="s">
        <v>260</v>
      </c>
      <c r="OR12" s="483" t="s">
        <v>260</v>
      </c>
      <c r="OS12" s="483" t="s">
        <v>260</v>
      </c>
      <c r="OT12" s="483" t="s">
        <v>260</v>
      </c>
      <c r="OU12" s="483" t="s">
        <v>260</v>
      </c>
      <c r="OV12" s="483" t="s">
        <v>260</v>
      </c>
      <c r="OW12" s="483" t="s">
        <v>260</v>
      </c>
      <c r="OX12" s="483" t="s">
        <v>260</v>
      </c>
      <c r="OY12" s="483" t="s">
        <v>260</v>
      </c>
      <c r="OZ12" s="483" t="s">
        <v>260</v>
      </c>
      <c r="PA12" s="483" t="s">
        <v>260</v>
      </c>
      <c r="PB12" s="483" t="s">
        <v>5330</v>
      </c>
      <c r="PC12" s="483" t="s">
        <v>260</v>
      </c>
      <c r="PD12" s="483" t="s">
        <v>260</v>
      </c>
      <c r="PE12" s="485">
        <v>0</v>
      </c>
      <c r="PF12" s="483" t="s">
        <v>260</v>
      </c>
      <c r="PG12" s="483" t="s">
        <v>260</v>
      </c>
      <c r="PH12" s="483" t="s">
        <v>260</v>
      </c>
      <c r="PI12" s="483" t="s">
        <v>260</v>
      </c>
      <c r="PJ12" s="483" t="s">
        <v>260</v>
      </c>
      <c r="PK12" s="483" t="s">
        <v>260</v>
      </c>
      <c r="PL12" s="483" t="s">
        <v>260</v>
      </c>
      <c r="PM12" s="483" t="s">
        <v>260</v>
      </c>
    </row>
    <row r="13" spans="2:429" ht="15.6" x14ac:dyDescent="0.3">
      <c r="B13" s="487" t="s">
        <v>2864</v>
      </c>
      <c r="C13" s="483">
        <f t="shared" ref="C13:C49" si="0">SUM(D13:AS13)</f>
        <v>227</v>
      </c>
      <c r="D13" s="483">
        <v>0</v>
      </c>
      <c r="E13" s="483" t="s">
        <v>260</v>
      </c>
      <c r="F13" s="483" t="s">
        <v>260</v>
      </c>
      <c r="G13" s="483" t="s">
        <v>260</v>
      </c>
      <c r="H13" s="483" t="s">
        <v>260</v>
      </c>
      <c r="I13" s="483" t="s">
        <v>260</v>
      </c>
      <c r="J13" s="483" t="s">
        <v>260</v>
      </c>
      <c r="K13" s="483" t="s">
        <v>260</v>
      </c>
      <c r="L13" s="483" t="s">
        <v>260</v>
      </c>
      <c r="M13" s="483" t="s">
        <v>260</v>
      </c>
      <c r="N13" s="483" t="s">
        <v>260</v>
      </c>
      <c r="O13" s="483" t="s">
        <v>260</v>
      </c>
      <c r="P13" s="483" t="s">
        <v>260</v>
      </c>
      <c r="Q13" s="483" t="s">
        <v>260</v>
      </c>
      <c r="R13" s="483" t="s">
        <v>260</v>
      </c>
      <c r="S13" s="483" t="s">
        <v>260</v>
      </c>
      <c r="T13" s="483" t="s">
        <v>260</v>
      </c>
      <c r="U13" s="483" t="s">
        <v>260</v>
      </c>
      <c r="V13" s="483" t="s">
        <v>260</v>
      </c>
      <c r="W13" s="483" t="s">
        <v>260</v>
      </c>
      <c r="X13" s="483" t="s">
        <v>260</v>
      </c>
      <c r="Y13" s="483" t="s">
        <v>260</v>
      </c>
      <c r="Z13" s="483" t="s">
        <v>260</v>
      </c>
      <c r="AA13" s="483" t="s">
        <v>260</v>
      </c>
      <c r="AB13" s="483" t="s">
        <v>260</v>
      </c>
      <c r="AC13" s="483" t="s">
        <v>260</v>
      </c>
      <c r="AD13" s="483" t="s">
        <v>260</v>
      </c>
      <c r="AE13" s="483" t="s">
        <v>260</v>
      </c>
      <c r="AF13" s="483" t="s">
        <v>260</v>
      </c>
      <c r="AG13" s="483" t="s">
        <v>260</v>
      </c>
      <c r="AH13" s="483" t="s">
        <v>260</v>
      </c>
      <c r="AI13" s="483" t="s">
        <v>260</v>
      </c>
      <c r="AJ13" s="483">
        <v>227</v>
      </c>
      <c r="AK13" s="483" t="s">
        <v>260</v>
      </c>
      <c r="AL13" s="483" t="s">
        <v>260</v>
      </c>
      <c r="AM13" s="483" t="s">
        <v>260</v>
      </c>
      <c r="AN13" s="483" t="s">
        <v>260</v>
      </c>
      <c r="AO13" s="483" t="s">
        <v>260</v>
      </c>
      <c r="AP13" s="483" t="s">
        <v>260</v>
      </c>
      <c r="AQ13" s="483" t="s">
        <v>260</v>
      </c>
      <c r="AR13" s="483" t="s">
        <v>260</v>
      </c>
      <c r="AS13" s="483" t="s">
        <v>260</v>
      </c>
      <c r="AT13" s="483">
        <f t="shared" ref="AT13:AT49" si="1">SUM(AU13:DM13)</f>
        <v>409</v>
      </c>
      <c r="AU13" s="483" t="s">
        <v>260</v>
      </c>
      <c r="AV13" s="483" t="s">
        <v>260</v>
      </c>
      <c r="AW13" s="483" t="s">
        <v>260</v>
      </c>
      <c r="AX13" s="483" t="s">
        <v>260</v>
      </c>
      <c r="AY13" s="483" t="s">
        <v>260</v>
      </c>
      <c r="AZ13" s="483" t="s">
        <v>260</v>
      </c>
      <c r="BA13" s="483" t="s">
        <v>260</v>
      </c>
      <c r="BB13" s="483" t="s">
        <v>260</v>
      </c>
      <c r="BC13" s="483" t="s">
        <v>260</v>
      </c>
      <c r="BD13" s="483" t="s">
        <v>260</v>
      </c>
      <c r="BE13" s="483" t="s">
        <v>260</v>
      </c>
      <c r="BF13" s="483" t="s">
        <v>260</v>
      </c>
      <c r="BG13" s="483" t="s">
        <v>260</v>
      </c>
      <c r="BH13" s="483" t="s">
        <v>260</v>
      </c>
      <c r="BI13" s="483" t="s">
        <v>260</v>
      </c>
      <c r="BJ13" s="483" t="s">
        <v>260</v>
      </c>
      <c r="BK13" s="483" t="s">
        <v>260</v>
      </c>
      <c r="BL13" s="483" t="s">
        <v>260</v>
      </c>
      <c r="BM13" s="483" t="s">
        <v>260</v>
      </c>
      <c r="BN13" s="483" t="s">
        <v>260</v>
      </c>
      <c r="BO13" s="483" t="s">
        <v>260</v>
      </c>
      <c r="BP13" s="483" t="s">
        <v>260</v>
      </c>
      <c r="BQ13" s="483" t="s">
        <v>260</v>
      </c>
      <c r="BR13" s="483" t="s">
        <v>260</v>
      </c>
      <c r="BS13" s="483" t="s">
        <v>260</v>
      </c>
      <c r="BT13" s="483" t="s">
        <v>260</v>
      </c>
      <c r="BU13" s="483" t="s">
        <v>260</v>
      </c>
      <c r="BV13" s="483" t="s">
        <v>260</v>
      </c>
      <c r="BW13" s="483" t="s">
        <v>260</v>
      </c>
      <c r="BX13" s="483" t="s">
        <v>260</v>
      </c>
      <c r="BY13" s="483" t="s">
        <v>260</v>
      </c>
      <c r="BZ13" s="483" t="s">
        <v>260</v>
      </c>
      <c r="CA13" s="483" t="s">
        <v>260</v>
      </c>
      <c r="CB13" s="483" t="s">
        <v>260</v>
      </c>
      <c r="CC13" s="483" t="s">
        <v>260</v>
      </c>
      <c r="CD13" s="483" t="s">
        <v>260</v>
      </c>
      <c r="CE13" s="483" t="s">
        <v>260</v>
      </c>
      <c r="CF13" s="483" t="s">
        <v>260</v>
      </c>
      <c r="CG13" s="483" t="s">
        <v>260</v>
      </c>
      <c r="CH13" s="483" t="s">
        <v>260</v>
      </c>
      <c r="CI13" s="483" t="s">
        <v>260</v>
      </c>
      <c r="CJ13" s="483" t="s">
        <v>260</v>
      </c>
      <c r="CK13" s="483" t="s">
        <v>260</v>
      </c>
      <c r="CL13" s="483" t="s">
        <v>260</v>
      </c>
      <c r="CM13" s="483" t="s">
        <v>260</v>
      </c>
      <c r="CN13" s="483" t="s">
        <v>260</v>
      </c>
      <c r="CO13" s="483" t="s">
        <v>260</v>
      </c>
      <c r="CP13" s="483" t="s">
        <v>260</v>
      </c>
      <c r="CQ13" s="483" t="s">
        <v>260</v>
      </c>
      <c r="CR13" s="483" t="s">
        <v>260</v>
      </c>
      <c r="CS13" s="483" t="s">
        <v>260</v>
      </c>
      <c r="CT13" s="483" t="s">
        <v>260</v>
      </c>
      <c r="CU13" s="483" t="s">
        <v>260</v>
      </c>
      <c r="CV13" s="483" t="s">
        <v>260</v>
      </c>
      <c r="CW13" s="483" t="s">
        <v>260</v>
      </c>
      <c r="CX13" s="483" t="s">
        <v>260</v>
      </c>
      <c r="CY13" s="483" t="s">
        <v>260</v>
      </c>
      <c r="CZ13" s="483">
        <v>409</v>
      </c>
      <c r="DA13" s="483" t="s">
        <v>260</v>
      </c>
      <c r="DB13" s="483" t="s">
        <v>260</v>
      </c>
      <c r="DC13" s="483" t="s">
        <v>260</v>
      </c>
      <c r="DD13" s="483" t="s">
        <v>260</v>
      </c>
      <c r="DE13" s="483" t="s">
        <v>260</v>
      </c>
      <c r="DF13" s="483" t="s">
        <v>260</v>
      </c>
      <c r="DG13" s="483" t="s">
        <v>260</v>
      </c>
      <c r="DH13" s="483" t="s">
        <v>260</v>
      </c>
      <c r="DI13" s="483" t="s">
        <v>260</v>
      </c>
      <c r="DJ13" s="483" t="s">
        <v>260</v>
      </c>
      <c r="DK13" s="483" t="s">
        <v>260</v>
      </c>
      <c r="DL13" s="483" t="s">
        <v>260</v>
      </c>
      <c r="DM13" s="483" t="s">
        <v>260</v>
      </c>
      <c r="DN13" s="483">
        <v>396</v>
      </c>
      <c r="DO13" s="483" t="s">
        <v>260</v>
      </c>
      <c r="DP13" s="483" t="s">
        <v>260</v>
      </c>
      <c r="DQ13" s="483" t="s">
        <v>260</v>
      </c>
      <c r="DR13" s="483" t="s">
        <v>260</v>
      </c>
      <c r="DS13" s="483" t="s">
        <v>260</v>
      </c>
      <c r="DT13" s="483" t="s">
        <v>260</v>
      </c>
      <c r="DU13" s="483" t="s">
        <v>260</v>
      </c>
      <c r="DV13" s="483" t="s">
        <v>260</v>
      </c>
      <c r="DW13" s="483" t="s">
        <v>260</v>
      </c>
      <c r="DX13" s="483">
        <v>396</v>
      </c>
      <c r="DY13" s="483" t="s">
        <v>260</v>
      </c>
      <c r="DZ13" s="483" t="s">
        <v>260</v>
      </c>
      <c r="EA13" s="483" t="s">
        <v>260</v>
      </c>
      <c r="EB13" s="483">
        <v>1262</v>
      </c>
      <c r="EC13" s="483" t="s">
        <v>260</v>
      </c>
      <c r="ED13" s="483" t="s">
        <v>260</v>
      </c>
      <c r="EE13" s="483" t="s">
        <v>260</v>
      </c>
      <c r="EF13" s="483" t="s">
        <v>260</v>
      </c>
      <c r="EG13" s="483">
        <v>399</v>
      </c>
      <c r="EH13" s="483">
        <v>252</v>
      </c>
      <c r="EI13" s="483">
        <v>23</v>
      </c>
      <c r="EJ13" s="483">
        <v>396</v>
      </c>
      <c r="EK13" s="483">
        <v>168</v>
      </c>
      <c r="EL13" s="483">
        <v>24</v>
      </c>
      <c r="EM13" s="483" t="s">
        <v>260</v>
      </c>
      <c r="EN13" s="483" t="s">
        <v>260</v>
      </c>
      <c r="EO13" s="483" t="s">
        <v>260</v>
      </c>
      <c r="EP13" s="483" t="s">
        <v>260</v>
      </c>
      <c r="EQ13" s="483" t="s">
        <v>260</v>
      </c>
      <c r="ER13" s="483" t="s">
        <v>260</v>
      </c>
      <c r="ES13" s="483" t="s">
        <v>260</v>
      </c>
      <c r="ET13" s="483" t="s">
        <v>260</v>
      </c>
      <c r="EU13" s="483" t="s">
        <v>260</v>
      </c>
      <c r="EV13" s="483" t="s">
        <v>260</v>
      </c>
      <c r="EW13" s="483" t="s">
        <v>260</v>
      </c>
      <c r="EX13" s="483" t="s">
        <v>260</v>
      </c>
      <c r="EY13" s="483" t="s">
        <v>260</v>
      </c>
      <c r="EZ13" s="483" t="s">
        <v>260</v>
      </c>
      <c r="FA13" s="483" t="s">
        <v>260</v>
      </c>
      <c r="FB13" s="483" t="s">
        <v>260</v>
      </c>
      <c r="FC13" s="483" t="s">
        <v>260</v>
      </c>
      <c r="FD13" s="483">
        <v>388</v>
      </c>
      <c r="FE13" s="483" t="s">
        <v>260</v>
      </c>
      <c r="FF13" s="483" t="s">
        <v>260</v>
      </c>
      <c r="FG13" s="483" t="s">
        <v>260</v>
      </c>
      <c r="FH13" s="483" t="s">
        <v>260</v>
      </c>
      <c r="FI13" s="483" t="s">
        <v>260</v>
      </c>
      <c r="FJ13" s="483" t="s">
        <v>260</v>
      </c>
      <c r="FK13" s="483" t="s">
        <v>260</v>
      </c>
      <c r="FL13" s="483" t="s">
        <v>260</v>
      </c>
      <c r="FM13" s="483" t="s">
        <v>260</v>
      </c>
      <c r="FN13" s="483" t="s">
        <v>260</v>
      </c>
      <c r="FO13" s="483" t="s">
        <v>260</v>
      </c>
      <c r="FP13" s="483" t="s">
        <v>260</v>
      </c>
      <c r="FQ13" s="483" t="s">
        <v>260</v>
      </c>
      <c r="FR13" s="483" t="s">
        <v>260</v>
      </c>
      <c r="FS13" s="483" t="s">
        <v>260</v>
      </c>
      <c r="FT13" s="483" t="s">
        <v>260</v>
      </c>
      <c r="FU13" s="483" t="s">
        <v>260</v>
      </c>
      <c r="FV13" s="483" t="s">
        <v>260</v>
      </c>
      <c r="FW13" s="483" t="s">
        <v>260</v>
      </c>
      <c r="FX13" s="483" t="s">
        <v>260</v>
      </c>
      <c r="FY13" s="483" t="s">
        <v>260</v>
      </c>
      <c r="FZ13" s="483" t="s">
        <v>260</v>
      </c>
      <c r="GA13" s="483" t="s">
        <v>260</v>
      </c>
      <c r="GB13" s="483" t="s">
        <v>260</v>
      </c>
      <c r="GC13" s="483" t="s">
        <v>260</v>
      </c>
      <c r="GD13" s="483" t="s">
        <v>260</v>
      </c>
      <c r="GE13" s="483" t="s">
        <v>260</v>
      </c>
      <c r="GF13" s="483" t="s">
        <v>260</v>
      </c>
      <c r="GG13" s="483" t="s">
        <v>260</v>
      </c>
      <c r="GH13" s="483" t="s">
        <v>260</v>
      </c>
      <c r="GI13" s="483" t="s">
        <v>260</v>
      </c>
      <c r="GJ13" s="483">
        <v>388</v>
      </c>
      <c r="GK13" s="483" t="s">
        <v>5330</v>
      </c>
      <c r="GL13" s="483" t="s">
        <v>5330</v>
      </c>
      <c r="GM13" s="483" t="s">
        <v>5330</v>
      </c>
      <c r="GN13" s="483" t="s">
        <v>260</v>
      </c>
      <c r="GO13" s="483" t="s">
        <v>260</v>
      </c>
      <c r="GP13" s="483" t="s">
        <v>260</v>
      </c>
      <c r="GQ13" s="483" t="s">
        <v>260</v>
      </c>
      <c r="GR13" s="483" t="s">
        <v>260</v>
      </c>
      <c r="GS13" s="483" t="s">
        <v>260</v>
      </c>
      <c r="GT13" s="483" t="s">
        <v>260</v>
      </c>
      <c r="GU13" s="483" t="s">
        <v>260</v>
      </c>
      <c r="GV13" s="483" t="s">
        <v>260</v>
      </c>
      <c r="GW13" s="483" t="s">
        <v>260</v>
      </c>
      <c r="GX13" s="483" t="s">
        <v>260</v>
      </c>
      <c r="GY13" s="483" t="s">
        <v>260</v>
      </c>
      <c r="GZ13" s="483">
        <v>109</v>
      </c>
      <c r="HA13" s="483" t="s">
        <v>260</v>
      </c>
      <c r="HB13" s="483">
        <v>28</v>
      </c>
      <c r="HC13" s="483" t="s">
        <v>260</v>
      </c>
      <c r="HD13" s="483" t="s">
        <v>260</v>
      </c>
      <c r="HE13" s="483" t="s">
        <v>260</v>
      </c>
      <c r="HF13" s="483" t="s">
        <v>260</v>
      </c>
      <c r="HG13" s="483" t="s">
        <v>260</v>
      </c>
      <c r="HH13" s="483" t="s">
        <v>260</v>
      </c>
      <c r="HI13" s="483" t="s">
        <v>260</v>
      </c>
      <c r="HJ13" s="483" t="s">
        <v>260</v>
      </c>
      <c r="HK13" s="483" t="s">
        <v>260</v>
      </c>
      <c r="HL13" s="483" t="s">
        <v>260</v>
      </c>
      <c r="HM13" s="483" t="s">
        <v>260</v>
      </c>
      <c r="HN13" s="483" t="s">
        <v>260</v>
      </c>
      <c r="HO13" s="483" t="s">
        <v>260</v>
      </c>
      <c r="HP13" s="483" t="s">
        <v>260</v>
      </c>
      <c r="HQ13" s="483" t="s">
        <v>260</v>
      </c>
      <c r="HR13" s="483" t="s">
        <v>260</v>
      </c>
      <c r="HS13" s="483" t="s">
        <v>260</v>
      </c>
      <c r="HT13" s="483" t="s">
        <v>260</v>
      </c>
      <c r="HU13" s="483" t="s">
        <v>260</v>
      </c>
      <c r="HV13" s="483" t="s">
        <v>260</v>
      </c>
      <c r="HW13" s="483" t="s">
        <v>260</v>
      </c>
      <c r="HX13" s="483" t="s">
        <v>260</v>
      </c>
      <c r="HY13" s="483" t="s">
        <v>260</v>
      </c>
      <c r="HZ13" s="483" t="s">
        <v>260</v>
      </c>
      <c r="IA13" s="483" t="s">
        <v>260</v>
      </c>
      <c r="IB13" s="483" t="s">
        <v>260</v>
      </c>
      <c r="IC13" s="483">
        <v>89</v>
      </c>
      <c r="ID13" s="483" t="s">
        <v>260</v>
      </c>
      <c r="IE13" s="483" t="s">
        <v>260</v>
      </c>
      <c r="IF13" s="483">
        <v>0</v>
      </c>
      <c r="IG13" s="483" t="s">
        <v>260</v>
      </c>
      <c r="IH13" s="483" t="s">
        <v>260</v>
      </c>
      <c r="II13" s="483" t="s">
        <v>260</v>
      </c>
      <c r="IJ13" s="483" t="s">
        <v>260</v>
      </c>
      <c r="IK13" s="483">
        <v>35</v>
      </c>
      <c r="IL13" s="483" t="s">
        <v>260</v>
      </c>
      <c r="IM13" s="483">
        <v>35</v>
      </c>
      <c r="IN13" s="483" t="s">
        <v>260</v>
      </c>
      <c r="IO13" s="483" t="s">
        <v>260</v>
      </c>
      <c r="IP13" s="483" t="s">
        <v>260</v>
      </c>
      <c r="IQ13" s="483" t="s">
        <v>260</v>
      </c>
      <c r="IR13" s="483" t="s">
        <v>260</v>
      </c>
      <c r="IS13" s="483" t="s">
        <v>260</v>
      </c>
      <c r="IT13" s="483" t="s">
        <v>260</v>
      </c>
      <c r="IU13" s="483" t="s">
        <v>260</v>
      </c>
      <c r="IV13" s="483" t="s">
        <v>260</v>
      </c>
      <c r="IW13" s="483" t="s">
        <v>260</v>
      </c>
      <c r="IX13" s="483" t="s">
        <v>260</v>
      </c>
      <c r="IY13" s="483" t="s">
        <v>260</v>
      </c>
      <c r="IZ13" s="483" t="s">
        <v>260</v>
      </c>
      <c r="JA13" s="483" t="s">
        <v>260</v>
      </c>
      <c r="JB13" s="483" t="s">
        <v>260</v>
      </c>
      <c r="JC13" s="483" t="s">
        <v>260</v>
      </c>
      <c r="JD13" s="483" t="s">
        <v>260</v>
      </c>
      <c r="JE13" s="483">
        <v>0</v>
      </c>
      <c r="JF13" s="483" t="s">
        <v>260</v>
      </c>
      <c r="JG13" s="483" t="s">
        <v>260</v>
      </c>
      <c r="JH13" s="483" t="s">
        <v>260</v>
      </c>
      <c r="JI13" s="483" t="s">
        <v>260</v>
      </c>
      <c r="JJ13" s="483" t="s">
        <v>260</v>
      </c>
      <c r="JK13" s="483" t="s">
        <v>260</v>
      </c>
      <c r="JL13" s="483" t="s">
        <v>260</v>
      </c>
      <c r="JM13" s="483" t="s">
        <v>260</v>
      </c>
      <c r="JN13" s="483" t="s">
        <v>260</v>
      </c>
      <c r="JO13" s="483" t="s">
        <v>260</v>
      </c>
      <c r="JP13" s="483" t="s">
        <v>260</v>
      </c>
      <c r="JQ13" s="483" t="s">
        <v>260</v>
      </c>
      <c r="JR13" s="483" t="s">
        <v>260</v>
      </c>
      <c r="JS13" s="483" t="s">
        <v>260</v>
      </c>
      <c r="JT13" s="483" t="s">
        <v>260</v>
      </c>
      <c r="JU13" s="483" t="s">
        <v>260</v>
      </c>
      <c r="JV13" s="483" t="s">
        <v>260</v>
      </c>
      <c r="JW13" s="483" t="s">
        <v>260</v>
      </c>
      <c r="JX13" s="483" t="s">
        <v>260</v>
      </c>
      <c r="JY13" s="483" t="s">
        <v>260</v>
      </c>
      <c r="JZ13" s="483" t="s">
        <v>260</v>
      </c>
      <c r="KA13" s="483" t="s">
        <v>260</v>
      </c>
      <c r="KB13" s="483">
        <v>167</v>
      </c>
      <c r="KC13" s="483" t="s">
        <v>260</v>
      </c>
      <c r="KD13" s="483" t="s">
        <v>260</v>
      </c>
      <c r="KE13" s="483" t="s">
        <v>260</v>
      </c>
      <c r="KF13" s="483" t="s">
        <v>260</v>
      </c>
      <c r="KG13" s="483" t="s">
        <v>260</v>
      </c>
      <c r="KH13" s="483" t="s">
        <v>260</v>
      </c>
      <c r="KI13" s="483">
        <v>23</v>
      </c>
      <c r="KJ13" s="483" t="s">
        <v>260</v>
      </c>
      <c r="KK13" s="483">
        <v>138</v>
      </c>
      <c r="KL13" s="483">
        <v>6</v>
      </c>
      <c r="KM13" s="483" t="s">
        <v>260</v>
      </c>
      <c r="KN13" s="483" t="s">
        <v>260</v>
      </c>
      <c r="KO13" s="483" t="s">
        <v>260</v>
      </c>
      <c r="KP13" s="483" t="s">
        <v>260</v>
      </c>
      <c r="KQ13" s="483" t="s">
        <v>260</v>
      </c>
      <c r="KR13" s="483" t="s">
        <v>260</v>
      </c>
      <c r="KS13" s="483" t="s">
        <v>260</v>
      </c>
      <c r="KT13" s="483" t="s">
        <v>260</v>
      </c>
      <c r="KU13" s="483" t="s">
        <v>260</v>
      </c>
      <c r="KV13" s="483" t="s">
        <v>260</v>
      </c>
      <c r="KW13" s="483" t="s">
        <v>260</v>
      </c>
      <c r="KX13" s="483" t="s">
        <v>260</v>
      </c>
      <c r="KY13" s="483" t="s">
        <v>260</v>
      </c>
      <c r="KZ13" s="483" t="s">
        <v>260</v>
      </c>
      <c r="LA13" s="483" t="s">
        <v>260</v>
      </c>
      <c r="LB13" s="483" t="s">
        <v>260</v>
      </c>
      <c r="LC13" s="483" t="s">
        <v>260</v>
      </c>
      <c r="LD13" s="483" t="s">
        <v>260</v>
      </c>
      <c r="LE13" s="483" t="s">
        <v>260</v>
      </c>
      <c r="LF13" s="483" t="s">
        <v>260</v>
      </c>
      <c r="LG13" s="483" t="s">
        <v>260</v>
      </c>
      <c r="LH13" s="483" t="s">
        <v>260</v>
      </c>
      <c r="LI13" s="483" t="s">
        <v>260</v>
      </c>
      <c r="LJ13" s="483" t="s">
        <v>260</v>
      </c>
      <c r="LK13" s="483" t="s">
        <v>260</v>
      </c>
      <c r="LL13" s="483" t="s">
        <v>260</v>
      </c>
      <c r="LM13" s="483" t="s">
        <v>260</v>
      </c>
      <c r="LN13" s="483" t="s">
        <v>260</v>
      </c>
      <c r="LO13" s="483" t="s">
        <v>260</v>
      </c>
      <c r="LP13" s="483" t="s">
        <v>260</v>
      </c>
      <c r="LQ13" s="483" t="s">
        <v>260</v>
      </c>
      <c r="LR13" s="485" t="s">
        <v>260</v>
      </c>
      <c r="LS13" s="485">
        <v>0</v>
      </c>
      <c r="LT13" s="485" t="s">
        <v>260</v>
      </c>
      <c r="LU13" s="485" t="s">
        <v>260</v>
      </c>
      <c r="LV13" s="485" t="s">
        <v>260</v>
      </c>
      <c r="LW13" s="485" t="s">
        <v>260</v>
      </c>
      <c r="LX13" s="485" t="s">
        <v>260</v>
      </c>
      <c r="LY13" s="485" t="s">
        <v>260</v>
      </c>
      <c r="LZ13" s="485" t="s">
        <v>260</v>
      </c>
      <c r="MA13" s="485" t="s">
        <v>260</v>
      </c>
      <c r="MB13" s="485" t="s">
        <v>260</v>
      </c>
      <c r="MC13" s="485">
        <v>0</v>
      </c>
      <c r="MD13" s="485" t="s">
        <v>260</v>
      </c>
      <c r="ME13" s="485" t="s">
        <v>260</v>
      </c>
      <c r="MF13" s="485" t="s">
        <v>260</v>
      </c>
      <c r="MG13" s="485" t="s">
        <v>260</v>
      </c>
      <c r="MH13" s="485" t="s">
        <v>260</v>
      </c>
      <c r="MI13" s="485" t="s">
        <v>260</v>
      </c>
      <c r="MJ13" s="485">
        <v>0</v>
      </c>
      <c r="MK13" s="485" t="s">
        <v>260</v>
      </c>
      <c r="ML13" s="485" t="s">
        <v>260</v>
      </c>
      <c r="MM13" s="485" t="s">
        <v>260</v>
      </c>
      <c r="MN13" s="485" t="s">
        <v>260</v>
      </c>
      <c r="MO13" s="485" t="s">
        <v>260</v>
      </c>
      <c r="MP13" s="485" t="s">
        <v>260</v>
      </c>
      <c r="MQ13" s="485" t="s">
        <v>260</v>
      </c>
      <c r="MR13" s="485" t="s">
        <v>260</v>
      </c>
      <c r="MS13" s="485" t="s">
        <v>260</v>
      </c>
      <c r="MT13" s="485" t="s">
        <v>260</v>
      </c>
      <c r="MU13" s="485" t="s">
        <v>260</v>
      </c>
      <c r="MV13" s="485" t="s">
        <v>260</v>
      </c>
      <c r="MW13" s="485" t="s">
        <v>260</v>
      </c>
      <c r="MX13" s="485" t="s">
        <v>260</v>
      </c>
      <c r="MY13" s="485" t="s">
        <v>5330</v>
      </c>
      <c r="MZ13" s="485" t="s">
        <v>260</v>
      </c>
      <c r="NA13" s="485" t="s">
        <v>260</v>
      </c>
      <c r="NB13" s="485">
        <v>0</v>
      </c>
      <c r="NC13" s="485" t="s">
        <v>260</v>
      </c>
      <c r="ND13" s="485" t="s">
        <v>260</v>
      </c>
      <c r="NE13" s="485" t="s">
        <v>260</v>
      </c>
      <c r="NF13" s="485" t="s">
        <v>260</v>
      </c>
      <c r="NG13" s="485" t="s">
        <v>260</v>
      </c>
      <c r="NH13" s="485" t="s">
        <v>260</v>
      </c>
      <c r="NI13" s="485" t="s">
        <v>260</v>
      </c>
      <c r="NJ13" s="485" t="s">
        <v>260</v>
      </c>
      <c r="NK13" s="485" t="s">
        <v>260</v>
      </c>
      <c r="NL13" s="485" t="s">
        <v>260</v>
      </c>
      <c r="NM13" s="485" t="s">
        <v>260</v>
      </c>
      <c r="NN13" s="485" t="s">
        <v>260</v>
      </c>
      <c r="NO13" s="485">
        <v>74</v>
      </c>
      <c r="NP13" s="485">
        <v>60</v>
      </c>
      <c r="NQ13" s="485" t="s">
        <v>260</v>
      </c>
      <c r="NR13" s="485" t="s">
        <v>260</v>
      </c>
      <c r="NS13" s="485" t="s">
        <v>260</v>
      </c>
      <c r="NT13" s="485" t="s">
        <v>260</v>
      </c>
      <c r="NU13" s="485" t="s">
        <v>260</v>
      </c>
      <c r="NV13" s="485" t="s">
        <v>260</v>
      </c>
      <c r="NW13" s="485" t="s">
        <v>260</v>
      </c>
      <c r="NX13" s="485" t="s">
        <v>260</v>
      </c>
      <c r="NY13" s="485">
        <v>60</v>
      </c>
      <c r="NZ13" s="485" t="s">
        <v>260</v>
      </c>
      <c r="OA13" s="485" t="s">
        <v>260</v>
      </c>
      <c r="OB13" s="485" t="s">
        <v>260</v>
      </c>
      <c r="OC13" s="485" t="s">
        <v>260</v>
      </c>
      <c r="OD13" s="485">
        <v>14</v>
      </c>
      <c r="OE13" s="485" t="s">
        <v>260</v>
      </c>
      <c r="OF13" s="485" t="s">
        <v>260</v>
      </c>
      <c r="OG13" s="485" t="s">
        <v>260</v>
      </c>
      <c r="OH13" s="485">
        <v>14</v>
      </c>
      <c r="OI13" s="485" t="s">
        <v>5330</v>
      </c>
      <c r="OJ13" s="485" t="s">
        <v>260</v>
      </c>
      <c r="OK13" s="485" t="s">
        <v>260</v>
      </c>
      <c r="OL13" s="485" t="s">
        <v>260</v>
      </c>
      <c r="OM13" s="483" t="s">
        <v>260</v>
      </c>
      <c r="ON13" s="483" t="s">
        <v>260</v>
      </c>
      <c r="OO13" s="483" t="s">
        <v>260</v>
      </c>
      <c r="OP13" s="483" t="s">
        <v>260</v>
      </c>
      <c r="OQ13" s="483" t="s">
        <v>260</v>
      </c>
      <c r="OR13" s="483" t="s">
        <v>260</v>
      </c>
      <c r="OS13" s="483" t="s">
        <v>260</v>
      </c>
      <c r="OT13" s="483" t="s">
        <v>260</v>
      </c>
      <c r="OU13" s="483" t="s">
        <v>260</v>
      </c>
      <c r="OV13" s="483" t="s">
        <v>260</v>
      </c>
      <c r="OW13" s="483" t="s">
        <v>260</v>
      </c>
      <c r="OX13" s="483" t="s">
        <v>260</v>
      </c>
      <c r="OY13" s="483" t="s">
        <v>260</v>
      </c>
      <c r="OZ13" s="483" t="s">
        <v>260</v>
      </c>
      <c r="PA13" s="483" t="s">
        <v>260</v>
      </c>
      <c r="PB13" s="483" t="s">
        <v>260</v>
      </c>
      <c r="PC13" s="483" t="s">
        <v>260</v>
      </c>
      <c r="PD13" s="483" t="s">
        <v>260</v>
      </c>
      <c r="PE13" s="485">
        <v>0</v>
      </c>
      <c r="PF13" s="483" t="s">
        <v>260</v>
      </c>
      <c r="PG13" s="483" t="s">
        <v>260</v>
      </c>
      <c r="PH13" s="483" t="s">
        <v>260</v>
      </c>
      <c r="PI13" s="483" t="s">
        <v>260</v>
      </c>
      <c r="PJ13" s="483" t="s">
        <v>260</v>
      </c>
      <c r="PK13" s="483" t="s">
        <v>260</v>
      </c>
      <c r="PL13" s="483" t="s">
        <v>260</v>
      </c>
      <c r="PM13" s="483" t="s">
        <v>260</v>
      </c>
    </row>
    <row r="14" spans="2:429" ht="15.6" x14ac:dyDescent="0.3">
      <c r="B14" s="487" t="s">
        <v>1131</v>
      </c>
      <c r="C14" s="483">
        <f t="shared" si="0"/>
        <v>467</v>
      </c>
      <c r="D14" s="483">
        <v>0</v>
      </c>
      <c r="E14" s="483" t="s">
        <v>260</v>
      </c>
      <c r="F14" s="483" t="s">
        <v>260</v>
      </c>
      <c r="G14" s="483" t="s">
        <v>260</v>
      </c>
      <c r="H14" s="483" t="s">
        <v>260</v>
      </c>
      <c r="I14" s="483" t="s">
        <v>260</v>
      </c>
      <c r="J14" s="483" t="s">
        <v>260</v>
      </c>
      <c r="K14" s="483" t="s">
        <v>260</v>
      </c>
      <c r="L14" s="483" t="s">
        <v>260</v>
      </c>
      <c r="M14" s="483" t="s">
        <v>260</v>
      </c>
      <c r="N14" s="483" t="s">
        <v>260</v>
      </c>
      <c r="O14" s="483" t="s">
        <v>260</v>
      </c>
      <c r="P14" s="483" t="s">
        <v>260</v>
      </c>
      <c r="Q14" s="483" t="s">
        <v>260</v>
      </c>
      <c r="R14" s="483" t="s">
        <v>260</v>
      </c>
      <c r="S14" s="483" t="s">
        <v>260</v>
      </c>
      <c r="T14" s="483" t="s">
        <v>260</v>
      </c>
      <c r="U14" s="483" t="s">
        <v>260</v>
      </c>
      <c r="V14" s="483" t="s">
        <v>260</v>
      </c>
      <c r="W14" s="483" t="s">
        <v>260</v>
      </c>
      <c r="X14" s="483" t="s">
        <v>260</v>
      </c>
      <c r="Y14" s="483" t="s">
        <v>260</v>
      </c>
      <c r="Z14" s="483" t="s">
        <v>260</v>
      </c>
      <c r="AA14" s="483" t="s">
        <v>260</v>
      </c>
      <c r="AB14" s="483">
        <v>222</v>
      </c>
      <c r="AC14" s="483" t="s">
        <v>260</v>
      </c>
      <c r="AD14" s="483" t="s">
        <v>260</v>
      </c>
      <c r="AE14" s="483" t="s">
        <v>260</v>
      </c>
      <c r="AF14" s="483" t="s">
        <v>260</v>
      </c>
      <c r="AG14" s="483" t="s">
        <v>260</v>
      </c>
      <c r="AH14" s="483" t="s">
        <v>260</v>
      </c>
      <c r="AI14" s="483" t="s">
        <v>260</v>
      </c>
      <c r="AJ14" s="483" t="s">
        <v>260</v>
      </c>
      <c r="AK14" s="483">
        <v>245</v>
      </c>
      <c r="AL14" s="483" t="s">
        <v>260</v>
      </c>
      <c r="AM14" s="483" t="s">
        <v>260</v>
      </c>
      <c r="AN14" s="483" t="s">
        <v>260</v>
      </c>
      <c r="AO14" s="483" t="s">
        <v>260</v>
      </c>
      <c r="AP14" s="483" t="s">
        <v>260</v>
      </c>
      <c r="AQ14" s="483" t="s">
        <v>260</v>
      </c>
      <c r="AR14" s="483" t="s">
        <v>260</v>
      </c>
      <c r="AS14" s="483" t="s">
        <v>260</v>
      </c>
      <c r="AT14" s="483">
        <f t="shared" si="1"/>
        <v>2596</v>
      </c>
      <c r="AU14" s="483">
        <v>49</v>
      </c>
      <c r="AV14" s="483" t="s">
        <v>260</v>
      </c>
      <c r="AW14" s="483">
        <v>339</v>
      </c>
      <c r="AX14" s="483">
        <v>2151</v>
      </c>
      <c r="AY14" s="483">
        <v>57</v>
      </c>
      <c r="AZ14" s="483" t="s">
        <v>260</v>
      </c>
      <c r="BA14" s="483" t="s">
        <v>260</v>
      </c>
      <c r="BB14" s="483" t="s">
        <v>260</v>
      </c>
      <c r="BC14" s="483" t="s">
        <v>260</v>
      </c>
      <c r="BD14" s="483" t="s">
        <v>260</v>
      </c>
      <c r="BE14" s="483" t="s">
        <v>260</v>
      </c>
      <c r="BF14" s="483" t="s">
        <v>260</v>
      </c>
      <c r="BG14" s="483" t="s">
        <v>260</v>
      </c>
      <c r="BH14" s="483" t="s">
        <v>260</v>
      </c>
      <c r="BI14" s="483" t="s">
        <v>260</v>
      </c>
      <c r="BJ14" s="483" t="s">
        <v>260</v>
      </c>
      <c r="BK14" s="483" t="s">
        <v>260</v>
      </c>
      <c r="BL14" s="483" t="s">
        <v>260</v>
      </c>
      <c r="BM14" s="483" t="s">
        <v>260</v>
      </c>
      <c r="BN14" s="483" t="s">
        <v>260</v>
      </c>
      <c r="BO14" s="483" t="s">
        <v>260</v>
      </c>
      <c r="BP14" s="483" t="s">
        <v>260</v>
      </c>
      <c r="BQ14" s="483" t="s">
        <v>260</v>
      </c>
      <c r="BR14" s="483" t="s">
        <v>260</v>
      </c>
      <c r="BS14" s="483" t="s">
        <v>260</v>
      </c>
      <c r="BT14" s="483" t="s">
        <v>260</v>
      </c>
      <c r="BU14" s="483" t="s">
        <v>260</v>
      </c>
      <c r="BV14" s="483" t="s">
        <v>260</v>
      </c>
      <c r="BW14" s="483" t="s">
        <v>260</v>
      </c>
      <c r="BX14" s="483" t="s">
        <v>260</v>
      </c>
      <c r="BY14" s="483" t="s">
        <v>260</v>
      </c>
      <c r="BZ14" s="483" t="s">
        <v>260</v>
      </c>
      <c r="CA14" s="483" t="s">
        <v>260</v>
      </c>
      <c r="CB14" s="483" t="s">
        <v>260</v>
      </c>
      <c r="CC14" s="483" t="s">
        <v>260</v>
      </c>
      <c r="CD14" s="483" t="s">
        <v>260</v>
      </c>
      <c r="CE14" s="483" t="s">
        <v>260</v>
      </c>
      <c r="CF14" s="483" t="s">
        <v>260</v>
      </c>
      <c r="CG14" s="483" t="s">
        <v>260</v>
      </c>
      <c r="CH14" s="483" t="s">
        <v>260</v>
      </c>
      <c r="CI14" s="483" t="s">
        <v>260</v>
      </c>
      <c r="CJ14" s="483" t="s">
        <v>260</v>
      </c>
      <c r="CK14" s="483" t="s">
        <v>260</v>
      </c>
      <c r="CL14" s="483" t="s">
        <v>260</v>
      </c>
      <c r="CM14" s="483" t="s">
        <v>260</v>
      </c>
      <c r="CN14" s="483" t="s">
        <v>260</v>
      </c>
      <c r="CO14" s="483" t="s">
        <v>260</v>
      </c>
      <c r="CP14" s="483" t="s">
        <v>260</v>
      </c>
      <c r="CQ14" s="483" t="s">
        <v>260</v>
      </c>
      <c r="CR14" s="483" t="s">
        <v>260</v>
      </c>
      <c r="CS14" s="483" t="s">
        <v>260</v>
      </c>
      <c r="CT14" s="483" t="s">
        <v>260</v>
      </c>
      <c r="CU14" s="483" t="s">
        <v>260</v>
      </c>
      <c r="CV14" s="483" t="s">
        <v>260</v>
      </c>
      <c r="CW14" s="483" t="s">
        <v>260</v>
      </c>
      <c r="CX14" s="483" t="s">
        <v>260</v>
      </c>
      <c r="CY14" s="483" t="s">
        <v>260</v>
      </c>
      <c r="CZ14" s="483" t="s">
        <v>260</v>
      </c>
      <c r="DA14" s="483" t="s">
        <v>260</v>
      </c>
      <c r="DB14" s="483" t="s">
        <v>260</v>
      </c>
      <c r="DC14" s="483" t="s">
        <v>260</v>
      </c>
      <c r="DD14" s="483" t="s">
        <v>260</v>
      </c>
      <c r="DE14" s="483" t="s">
        <v>260</v>
      </c>
      <c r="DF14" s="483" t="s">
        <v>260</v>
      </c>
      <c r="DG14" s="483" t="s">
        <v>260</v>
      </c>
      <c r="DH14" s="483" t="s">
        <v>260</v>
      </c>
      <c r="DI14" s="483" t="s">
        <v>260</v>
      </c>
      <c r="DJ14" s="483" t="s">
        <v>260</v>
      </c>
      <c r="DK14" s="483" t="s">
        <v>260</v>
      </c>
      <c r="DL14" s="483" t="s">
        <v>260</v>
      </c>
      <c r="DM14" s="483" t="s">
        <v>260</v>
      </c>
      <c r="DN14" s="483">
        <v>20</v>
      </c>
      <c r="DO14" s="483" t="s">
        <v>260</v>
      </c>
      <c r="DP14" s="483" t="s">
        <v>260</v>
      </c>
      <c r="DQ14" s="483" t="s">
        <v>260</v>
      </c>
      <c r="DR14" s="483" t="s">
        <v>260</v>
      </c>
      <c r="DS14" s="483" t="s">
        <v>260</v>
      </c>
      <c r="DT14" s="483" t="s">
        <v>260</v>
      </c>
      <c r="DU14" s="483" t="s">
        <v>260</v>
      </c>
      <c r="DV14" s="483" t="s">
        <v>260</v>
      </c>
      <c r="DW14" s="483" t="s">
        <v>260</v>
      </c>
      <c r="DX14" s="483" t="s">
        <v>260</v>
      </c>
      <c r="DY14" s="483" t="s">
        <v>260</v>
      </c>
      <c r="DZ14" s="483">
        <v>20</v>
      </c>
      <c r="EA14" s="483" t="s">
        <v>260</v>
      </c>
      <c r="EB14" s="483">
        <v>0</v>
      </c>
      <c r="EC14" s="483" t="s">
        <v>260</v>
      </c>
      <c r="ED14" s="483" t="s">
        <v>260</v>
      </c>
      <c r="EE14" s="483" t="s">
        <v>260</v>
      </c>
      <c r="EF14" s="483" t="s">
        <v>260</v>
      </c>
      <c r="EG14" s="483" t="s">
        <v>260</v>
      </c>
      <c r="EH14" s="483" t="s">
        <v>260</v>
      </c>
      <c r="EI14" s="483" t="s">
        <v>260</v>
      </c>
      <c r="EJ14" s="483" t="s">
        <v>260</v>
      </c>
      <c r="EK14" s="483" t="s">
        <v>260</v>
      </c>
      <c r="EL14" s="483" t="s">
        <v>260</v>
      </c>
      <c r="EM14" s="483" t="s">
        <v>260</v>
      </c>
      <c r="EN14" s="483" t="s">
        <v>260</v>
      </c>
      <c r="EO14" s="483" t="s">
        <v>260</v>
      </c>
      <c r="EP14" s="483" t="s">
        <v>260</v>
      </c>
      <c r="EQ14" s="483" t="s">
        <v>260</v>
      </c>
      <c r="ER14" s="483" t="s">
        <v>260</v>
      </c>
      <c r="ES14" s="483" t="s">
        <v>260</v>
      </c>
      <c r="ET14" s="483" t="s">
        <v>260</v>
      </c>
      <c r="EU14" s="483" t="s">
        <v>260</v>
      </c>
      <c r="EV14" s="483" t="s">
        <v>260</v>
      </c>
      <c r="EW14" s="483" t="s">
        <v>260</v>
      </c>
      <c r="EX14" s="483" t="s">
        <v>260</v>
      </c>
      <c r="EY14" s="483" t="s">
        <v>260</v>
      </c>
      <c r="EZ14" s="483" t="s">
        <v>260</v>
      </c>
      <c r="FA14" s="483" t="s">
        <v>260</v>
      </c>
      <c r="FB14" s="483" t="s">
        <v>260</v>
      </c>
      <c r="FC14" s="483" t="s">
        <v>260</v>
      </c>
      <c r="FD14" s="483">
        <v>706</v>
      </c>
      <c r="FE14" s="483" t="s">
        <v>260</v>
      </c>
      <c r="FF14" s="483" t="s">
        <v>260</v>
      </c>
      <c r="FG14" s="483" t="s">
        <v>260</v>
      </c>
      <c r="FH14" s="483" t="s">
        <v>260</v>
      </c>
      <c r="FI14" s="483" t="s">
        <v>260</v>
      </c>
      <c r="FJ14" s="483" t="s">
        <v>260</v>
      </c>
      <c r="FK14" s="483" t="s">
        <v>260</v>
      </c>
      <c r="FL14" s="483" t="s">
        <v>260</v>
      </c>
      <c r="FM14" s="483" t="s">
        <v>260</v>
      </c>
      <c r="FN14" s="483" t="s">
        <v>260</v>
      </c>
      <c r="FO14" s="483" t="s">
        <v>260</v>
      </c>
      <c r="FP14" s="483" t="s">
        <v>260</v>
      </c>
      <c r="FQ14" s="483" t="s">
        <v>260</v>
      </c>
      <c r="FR14" s="483" t="s">
        <v>260</v>
      </c>
      <c r="FS14" s="483" t="s">
        <v>260</v>
      </c>
      <c r="FT14" s="483">
        <v>599</v>
      </c>
      <c r="FU14" s="483">
        <v>107</v>
      </c>
      <c r="FV14" s="483" t="s">
        <v>260</v>
      </c>
      <c r="FW14" s="483" t="s">
        <v>260</v>
      </c>
      <c r="FX14" s="483" t="s">
        <v>260</v>
      </c>
      <c r="FY14" s="483" t="s">
        <v>260</v>
      </c>
      <c r="FZ14" s="483" t="s">
        <v>260</v>
      </c>
      <c r="GA14" s="483" t="s">
        <v>260</v>
      </c>
      <c r="GB14" s="483" t="s">
        <v>260</v>
      </c>
      <c r="GC14" s="483" t="s">
        <v>260</v>
      </c>
      <c r="GD14" s="483" t="s">
        <v>260</v>
      </c>
      <c r="GE14" s="483" t="s">
        <v>260</v>
      </c>
      <c r="GF14" s="483" t="s">
        <v>260</v>
      </c>
      <c r="GG14" s="483" t="s">
        <v>260</v>
      </c>
      <c r="GH14" s="483" t="s">
        <v>260</v>
      </c>
      <c r="GI14" s="483" t="s">
        <v>260</v>
      </c>
      <c r="GJ14" s="483" t="s">
        <v>260</v>
      </c>
      <c r="GK14" s="483" t="s">
        <v>260</v>
      </c>
      <c r="GL14" s="483" t="s">
        <v>260</v>
      </c>
      <c r="GM14" s="483" t="s">
        <v>260</v>
      </c>
      <c r="GN14" s="483" t="s">
        <v>260</v>
      </c>
      <c r="GO14" s="483" t="s">
        <v>260</v>
      </c>
      <c r="GP14" s="483" t="s">
        <v>260</v>
      </c>
      <c r="GQ14" s="483" t="s">
        <v>260</v>
      </c>
      <c r="GR14" s="483" t="s">
        <v>260</v>
      </c>
      <c r="GS14" s="483" t="s">
        <v>260</v>
      </c>
      <c r="GT14" s="483" t="s">
        <v>260</v>
      </c>
      <c r="GU14" s="483" t="s">
        <v>260</v>
      </c>
      <c r="GV14" s="483" t="s">
        <v>260</v>
      </c>
      <c r="GW14" s="483" t="s">
        <v>260</v>
      </c>
      <c r="GX14" s="483" t="s">
        <v>260</v>
      </c>
      <c r="GY14" s="483" t="s">
        <v>260</v>
      </c>
      <c r="GZ14" s="483">
        <v>120</v>
      </c>
      <c r="HA14" s="483" t="s">
        <v>260</v>
      </c>
      <c r="HB14" s="483" t="s">
        <v>260</v>
      </c>
      <c r="HC14" s="483" t="s">
        <v>260</v>
      </c>
      <c r="HD14" s="483" t="s">
        <v>260</v>
      </c>
      <c r="HE14" s="483" t="s">
        <v>260</v>
      </c>
      <c r="HF14" s="483" t="s">
        <v>260</v>
      </c>
      <c r="HG14" s="483" t="s">
        <v>260</v>
      </c>
      <c r="HH14" s="483" t="s">
        <v>260</v>
      </c>
      <c r="HI14" s="483">
        <v>12</v>
      </c>
      <c r="HJ14" s="483" t="s">
        <v>260</v>
      </c>
      <c r="HK14" s="483">
        <v>76</v>
      </c>
      <c r="HL14" s="483" t="s">
        <v>260</v>
      </c>
      <c r="HM14" s="483">
        <v>32</v>
      </c>
      <c r="HN14" s="483" t="s">
        <v>260</v>
      </c>
      <c r="HO14" s="483" t="s">
        <v>260</v>
      </c>
      <c r="HP14" s="483" t="s">
        <v>260</v>
      </c>
      <c r="HQ14" s="483" t="s">
        <v>260</v>
      </c>
      <c r="HR14" s="483" t="s">
        <v>260</v>
      </c>
      <c r="HS14" s="483" t="s">
        <v>260</v>
      </c>
      <c r="HT14" s="483" t="s">
        <v>260</v>
      </c>
      <c r="HU14" s="483" t="s">
        <v>260</v>
      </c>
      <c r="HV14" s="483" t="s">
        <v>260</v>
      </c>
      <c r="HW14" s="483" t="s">
        <v>260</v>
      </c>
      <c r="HX14" s="483" t="s">
        <v>260</v>
      </c>
      <c r="HY14" s="483" t="s">
        <v>260</v>
      </c>
      <c r="HZ14" s="483" t="s">
        <v>260</v>
      </c>
      <c r="IA14" s="483" t="s">
        <v>260</v>
      </c>
      <c r="IB14" s="483" t="s">
        <v>260</v>
      </c>
      <c r="IC14" s="483" t="s">
        <v>260</v>
      </c>
      <c r="ID14" s="483" t="s">
        <v>260</v>
      </c>
      <c r="IE14" s="483" t="s">
        <v>260</v>
      </c>
      <c r="IF14" s="483">
        <v>0</v>
      </c>
      <c r="IG14" s="483" t="s">
        <v>260</v>
      </c>
      <c r="IH14" s="483" t="s">
        <v>260</v>
      </c>
      <c r="II14" s="483" t="s">
        <v>260</v>
      </c>
      <c r="IJ14" s="483" t="s">
        <v>260</v>
      </c>
      <c r="IK14" s="483">
        <v>13</v>
      </c>
      <c r="IL14" s="483">
        <v>13</v>
      </c>
      <c r="IM14" s="483" t="s">
        <v>260</v>
      </c>
      <c r="IN14" s="483" t="s">
        <v>260</v>
      </c>
      <c r="IO14" s="483" t="s">
        <v>260</v>
      </c>
      <c r="IP14" s="483" t="s">
        <v>260</v>
      </c>
      <c r="IQ14" s="483" t="s">
        <v>260</v>
      </c>
      <c r="IR14" s="483" t="s">
        <v>260</v>
      </c>
      <c r="IS14" s="483" t="s">
        <v>260</v>
      </c>
      <c r="IT14" s="483" t="s">
        <v>260</v>
      </c>
      <c r="IU14" s="483" t="s">
        <v>260</v>
      </c>
      <c r="IV14" s="483" t="s">
        <v>260</v>
      </c>
      <c r="IW14" s="483" t="s">
        <v>260</v>
      </c>
      <c r="IX14" s="483" t="s">
        <v>260</v>
      </c>
      <c r="IY14" s="483" t="s">
        <v>260</v>
      </c>
      <c r="IZ14" s="483" t="s">
        <v>260</v>
      </c>
      <c r="JA14" s="483" t="s">
        <v>260</v>
      </c>
      <c r="JB14" s="483" t="s">
        <v>260</v>
      </c>
      <c r="JC14" s="483" t="s">
        <v>260</v>
      </c>
      <c r="JD14" s="483" t="s">
        <v>260</v>
      </c>
      <c r="JE14" s="483">
        <v>47</v>
      </c>
      <c r="JF14" s="483" t="s">
        <v>260</v>
      </c>
      <c r="JG14" s="483" t="s">
        <v>260</v>
      </c>
      <c r="JH14" s="483" t="s">
        <v>260</v>
      </c>
      <c r="JI14" s="483" t="s">
        <v>260</v>
      </c>
      <c r="JJ14" s="483" t="s">
        <v>260</v>
      </c>
      <c r="JK14" s="483" t="s">
        <v>260</v>
      </c>
      <c r="JL14" s="483" t="s">
        <v>260</v>
      </c>
      <c r="JM14" s="483" t="s">
        <v>260</v>
      </c>
      <c r="JN14" s="483" t="s">
        <v>260</v>
      </c>
      <c r="JO14" s="483" t="s">
        <v>260</v>
      </c>
      <c r="JP14" s="483" t="s">
        <v>260</v>
      </c>
      <c r="JQ14" s="483" t="s">
        <v>260</v>
      </c>
      <c r="JR14" s="483" t="s">
        <v>260</v>
      </c>
      <c r="JS14" s="483" t="s">
        <v>260</v>
      </c>
      <c r="JT14" s="483">
        <v>12</v>
      </c>
      <c r="JU14" s="483">
        <v>28</v>
      </c>
      <c r="JV14" s="483">
        <v>7</v>
      </c>
      <c r="JW14" s="483" t="s">
        <v>260</v>
      </c>
      <c r="JX14" s="483" t="s">
        <v>260</v>
      </c>
      <c r="JY14" s="483" t="s">
        <v>260</v>
      </c>
      <c r="JZ14" s="483" t="s">
        <v>260</v>
      </c>
      <c r="KA14" s="483" t="s">
        <v>260</v>
      </c>
      <c r="KB14" s="483">
        <v>203</v>
      </c>
      <c r="KC14" s="483" t="s">
        <v>260</v>
      </c>
      <c r="KD14" s="483" t="s">
        <v>260</v>
      </c>
      <c r="KE14" s="483" t="s">
        <v>260</v>
      </c>
      <c r="KF14" s="483" t="s">
        <v>260</v>
      </c>
      <c r="KG14" s="483" t="s">
        <v>260</v>
      </c>
      <c r="KH14" s="483" t="s">
        <v>260</v>
      </c>
      <c r="KI14" s="483" t="s">
        <v>260</v>
      </c>
      <c r="KJ14" s="483" t="s">
        <v>260</v>
      </c>
      <c r="KK14" s="483" t="s">
        <v>260</v>
      </c>
      <c r="KL14" s="483" t="s">
        <v>260</v>
      </c>
      <c r="KM14" s="483" t="s">
        <v>260</v>
      </c>
      <c r="KN14" s="483" t="s">
        <v>260</v>
      </c>
      <c r="KO14" s="483" t="s">
        <v>260</v>
      </c>
      <c r="KP14" s="483" t="s">
        <v>260</v>
      </c>
      <c r="KQ14" s="483" t="s">
        <v>260</v>
      </c>
      <c r="KR14" s="483" t="s">
        <v>260</v>
      </c>
      <c r="KS14" s="483" t="s">
        <v>260</v>
      </c>
      <c r="KT14" s="483" t="s">
        <v>260</v>
      </c>
      <c r="KU14" s="483" t="s">
        <v>260</v>
      </c>
      <c r="KV14" s="483" t="s">
        <v>260</v>
      </c>
      <c r="KW14" s="483" t="s">
        <v>260</v>
      </c>
      <c r="KX14" s="483" t="s">
        <v>260</v>
      </c>
      <c r="KY14" s="483">
        <v>42</v>
      </c>
      <c r="KZ14" s="483">
        <v>53</v>
      </c>
      <c r="LA14" s="483">
        <v>43</v>
      </c>
      <c r="LB14" s="483">
        <v>65</v>
      </c>
      <c r="LC14" s="483" t="s">
        <v>260</v>
      </c>
      <c r="LD14" s="483" t="s">
        <v>260</v>
      </c>
      <c r="LE14" s="483" t="s">
        <v>260</v>
      </c>
      <c r="LF14" s="483" t="s">
        <v>260</v>
      </c>
      <c r="LG14" s="483" t="s">
        <v>260</v>
      </c>
      <c r="LH14" s="483" t="s">
        <v>260</v>
      </c>
      <c r="LI14" s="483" t="s">
        <v>260</v>
      </c>
      <c r="LJ14" s="483" t="s">
        <v>260</v>
      </c>
      <c r="LK14" s="483" t="s">
        <v>260</v>
      </c>
      <c r="LL14" s="483" t="s">
        <v>260</v>
      </c>
      <c r="LM14" s="483" t="s">
        <v>260</v>
      </c>
      <c r="LN14" s="483" t="s">
        <v>260</v>
      </c>
      <c r="LO14" s="483" t="s">
        <v>260</v>
      </c>
      <c r="LP14" s="483" t="s">
        <v>260</v>
      </c>
      <c r="LQ14" s="483" t="s">
        <v>260</v>
      </c>
      <c r="LR14" s="485" t="s">
        <v>260</v>
      </c>
      <c r="LS14" s="485">
        <v>40</v>
      </c>
      <c r="LT14" s="485" t="s">
        <v>260</v>
      </c>
      <c r="LU14" s="485">
        <v>40</v>
      </c>
      <c r="LV14" s="485" t="s">
        <v>260</v>
      </c>
      <c r="LW14" s="485" t="s">
        <v>260</v>
      </c>
      <c r="LX14" s="485" t="s">
        <v>260</v>
      </c>
      <c r="LY14" s="485" t="s">
        <v>260</v>
      </c>
      <c r="LZ14" s="485" t="s">
        <v>260</v>
      </c>
      <c r="MA14" s="485" t="s">
        <v>260</v>
      </c>
      <c r="MB14" s="485" t="s">
        <v>260</v>
      </c>
      <c r="MC14" s="485">
        <v>0</v>
      </c>
      <c r="MD14" s="485" t="s">
        <v>260</v>
      </c>
      <c r="ME14" s="485" t="s">
        <v>260</v>
      </c>
      <c r="MF14" s="485" t="s">
        <v>260</v>
      </c>
      <c r="MG14" s="485" t="s">
        <v>260</v>
      </c>
      <c r="MH14" s="485" t="s">
        <v>260</v>
      </c>
      <c r="MI14" s="485" t="s">
        <v>260</v>
      </c>
      <c r="MJ14" s="485">
        <v>24</v>
      </c>
      <c r="MK14" s="485" t="s">
        <v>260</v>
      </c>
      <c r="ML14" s="485" t="s">
        <v>260</v>
      </c>
      <c r="MM14" s="485" t="s">
        <v>260</v>
      </c>
      <c r="MN14" s="485" t="s">
        <v>260</v>
      </c>
      <c r="MO14" s="485">
        <v>24</v>
      </c>
      <c r="MP14" s="485" t="s">
        <v>260</v>
      </c>
      <c r="MQ14" s="485" t="s">
        <v>260</v>
      </c>
      <c r="MR14" s="485" t="s">
        <v>260</v>
      </c>
      <c r="MS14" s="485" t="s">
        <v>260</v>
      </c>
      <c r="MT14" s="485" t="s">
        <v>260</v>
      </c>
      <c r="MU14" s="485" t="s">
        <v>260</v>
      </c>
      <c r="MV14" s="485" t="s">
        <v>260</v>
      </c>
      <c r="MW14" s="485" t="s">
        <v>260</v>
      </c>
      <c r="MX14" s="485" t="s">
        <v>260</v>
      </c>
      <c r="MY14" s="485" t="s">
        <v>260</v>
      </c>
      <c r="MZ14" s="485" t="s">
        <v>260</v>
      </c>
      <c r="NA14" s="485" t="s">
        <v>260</v>
      </c>
      <c r="NB14" s="485">
        <v>0</v>
      </c>
      <c r="NC14" s="485" t="s">
        <v>260</v>
      </c>
      <c r="ND14" s="485" t="s">
        <v>260</v>
      </c>
      <c r="NE14" s="485" t="s">
        <v>260</v>
      </c>
      <c r="NF14" s="485" t="s">
        <v>260</v>
      </c>
      <c r="NG14" s="485" t="s">
        <v>260</v>
      </c>
      <c r="NH14" s="485" t="s">
        <v>260</v>
      </c>
      <c r="NI14" s="485" t="s">
        <v>260</v>
      </c>
      <c r="NJ14" s="485" t="s">
        <v>260</v>
      </c>
      <c r="NK14" s="485" t="s">
        <v>260</v>
      </c>
      <c r="NL14" s="485" t="s">
        <v>260</v>
      </c>
      <c r="NM14" s="485" t="s">
        <v>260</v>
      </c>
      <c r="NN14" s="485" t="s">
        <v>260</v>
      </c>
      <c r="NO14" s="485">
        <v>0</v>
      </c>
      <c r="NP14" s="485">
        <v>0</v>
      </c>
      <c r="NQ14" s="485" t="s">
        <v>260</v>
      </c>
      <c r="NR14" s="485" t="s">
        <v>260</v>
      </c>
      <c r="NS14" s="485" t="s">
        <v>260</v>
      </c>
      <c r="NT14" s="485" t="s">
        <v>260</v>
      </c>
      <c r="NU14" s="485" t="s">
        <v>260</v>
      </c>
      <c r="NV14" s="485" t="s">
        <v>260</v>
      </c>
      <c r="NW14" s="485" t="s">
        <v>260</v>
      </c>
      <c r="NX14" s="485" t="s">
        <v>260</v>
      </c>
      <c r="NY14" s="485" t="s">
        <v>260</v>
      </c>
      <c r="NZ14" s="485" t="s">
        <v>260</v>
      </c>
      <c r="OA14" s="485" t="s">
        <v>260</v>
      </c>
      <c r="OB14" s="485" t="s">
        <v>260</v>
      </c>
      <c r="OC14" s="485" t="s">
        <v>260</v>
      </c>
      <c r="OD14" s="485">
        <v>0</v>
      </c>
      <c r="OE14" s="485" t="s">
        <v>260</v>
      </c>
      <c r="OF14" s="485" t="s">
        <v>260</v>
      </c>
      <c r="OG14" s="485" t="s">
        <v>260</v>
      </c>
      <c r="OH14" s="485" t="s">
        <v>260</v>
      </c>
      <c r="OI14" s="485" t="s">
        <v>260</v>
      </c>
      <c r="OJ14" s="485" t="s">
        <v>5330</v>
      </c>
      <c r="OK14" s="485" t="s">
        <v>260</v>
      </c>
      <c r="OL14" s="485" t="s">
        <v>260</v>
      </c>
      <c r="OM14" s="483" t="s">
        <v>260</v>
      </c>
      <c r="ON14" s="483" t="s">
        <v>260</v>
      </c>
      <c r="OO14" s="483" t="s">
        <v>260</v>
      </c>
      <c r="OP14" s="483" t="s">
        <v>260</v>
      </c>
      <c r="OQ14" s="483" t="s">
        <v>260</v>
      </c>
      <c r="OR14" s="483" t="s">
        <v>260</v>
      </c>
      <c r="OS14" s="483" t="s">
        <v>260</v>
      </c>
      <c r="OT14" s="483" t="s">
        <v>260</v>
      </c>
      <c r="OU14" s="483" t="s">
        <v>260</v>
      </c>
      <c r="OV14" s="483" t="s">
        <v>260</v>
      </c>
      <c r="OW14" s="483" t="s">
        <v>260</v>
      </c>
      <c r="OX14" s="483" t="s">
        <v>260</v>
      </c>
      <c r="OY14" s="483" t="s">
        <v>260</v>
      </c>
      <c r="OZ14" s="483" t="s">
        <v>260</v>
      </c>
      <c r="PA14" s="483" t="s">
        <v>260</v>
      </c>
      <c r="PB14" s="483" t="s">
        <v>260</v>
      </c>
      <c r="PC14" s="483" t="s">
        <v>260</v>
      </c>
      <c r="PD14" s="483" t="s">
        <v>260</v>
      </c>
      <c r="PE14" s="485">
        <v>0</v>
      </c>
      <c r="PF14" s="483" t="s">
        <v>260</v>
      </c>
      <c r="PG14" s="483" t="s">
        <v>260</v>
      </c>
      <c r="PH14" s="483" t="s">
        <v>260</v>
      </c>
      <c r="PI14" s="483" t="s">
        <v>260</v>
      </c>
      <c r="PJ14" s="483" t="s">
        <v>260</v>
      </c>
      <c r="PK14" s="483" t="s">
        <v>260</v>
      </c>
      <c r="PL14" s="483" t="s">
        <v>260</v>
      </c>
      <c r="PM14" s="483" t="s">
        <v>260</v>
      </c>
    </row>
    <row r="15" spans="2:429" ht="15.6" x14ac:dyDescent="0.3">
      <c r="B15" s="487" t="s">
        <v>1288</v>
      </c>
      <c r="C15" s="483">
        <f t="shared" si="0"/>
        <v>619</v>
      </c>
      <c r="D15" s="483">
        <v>280</v>
      </c>
      <c r="E15" s="483">
        <v>55</v>
      </c>
      <c r="F15" s="483" t="s">
        <v>260</v>
      </c>
      <c r="G15" s="483">
        <v>225</v>
      </c>
      <c r="H15" s="483" t="s">
        <v>260</v>
      </c>
      <c r="I15" s="483" t="s">
        <v>260</v>
      </c>
      <c r="J15" s="483">
        <v>59</v>
      </c>
      <c r="K15" s="483" t="s">
        <v>260</v>
      </c>
      <c r="L15" s="483" t="s">
        <v>260</v>
      </c>
      <c r="M15" s="483" t="s">
        <v>260</v>
      </c>
      <c r="N15" s="483" t="s">
        <v>260</v>
      </c>
      <c r="O15" s="483" t="s">
        <v>260</v>
      </c>
      <c r="P15" s="483" t="s">
        <v>260</v>
      </c>
      <c r="Q15" s="483" t="s">
        <v>260</v>
      </c>
      <c r="R15" s="483" t="s">
        <v>260</v>
      </c>
      <c r="S15" s="483" t="s">
        <v>260</v>
      </c>
      <c r="T15" s="483" t="s">
        <v>260</v>
      </c>
      <c r="U15" s="483" t="s">
        <v>260</v>
      </c>
      <c r="V15" s="483" t="s">
        <v>260</v>
      </c>
      <c r="W15" s="483" t="s">
        <v>260</v>
      </c>
      <c r="X15" s="483" t="s">
        <v>260</v>
      </c>
      <c r="Y15" s="483" t="s">
        <v>260</v>
      </c>
      <c r="Z15" s="483" t="s">
        <v>260</v>
      </c>
      <c r="AA15" s="483" t="s">
        <v>260</v>
      </c>
      <c r="AB15" s="483" t="s">
        <v>260</v>
      </c>
      <c r="AC15" s="483" t="s">
        <v>260</v>
      </c>
      <c r="AD15" s="483" t="s">
        <v>260</v>
      </c>
      <c r="AE15" s="483" t="s">
        <v>260</v>
      </c>
      <c r="AF15" s="483" t="s">
        <v>260</v>
      </c>
      <c r="AG15" s="483" t="s">
        <v>260</v>
      </c>
      <c r="AH15" s="483" t="s">
        <v>260</v>
      </c>
      <c r="AI15" s="483" t="s">
        <v>260</v>
      </c>
      <c r="AJ15" s="483" t="s">
        <v>260</v>
      </c>
      <c r="AK15" s="483" t="s">
        <v>260</v>
      </c>
      <c r="AL15" s="483" t="s">
        <v>260</v>
      </c>
      <c r="AM15" s="483" t="s">
        <v>260</v>
      </c>
      <c r="AN15" s="483" t="s">
        <v>260</v>
      </c>
      <c r="AO15" s="483" t="s">
        <v>260</v>
      </c>
      <c r="AP15" s="483" t="s">
        <v>260</v>
      </c>
      <c r="AQ15" s="483" t="s">
        <v>260</v>
      </c>
      <c r="AR15" s="483" t="s">
        <v>260</v>
      </c>
      <c r="AS15" s="483" t="s">
        <v>260</v>
      </c>
      <c r="AT15" s="483">
        <f t="shared" si="1"/>
        <v>728</v>
      </c>
      <c r="AU15" s="483" t="s">
        <v>260</v>
      </c>
      <c r="AV15" s="483">
        <v>75</v>
      </c>
      <c r="AW15" s="483" t="s">
        <v>260</v>
      </c>
      <c r="AX15" s="483" t="s">
        <v>260</v>
      </c>
      <c r="AY15" s="483" t="s">
        <v>260</v>
      </c>
      <c r="AZ15" s="483" t="s">
        <v>260</v>
      </c>
      <c r="BA15" s="483" t="s">
        <v>260</v>
      </c>
      <c r="BB15" s="483" t="s">
        <v>260</v>
      </c>
      <c r="BC15" s="483" t="s">
        <v>260</v>
      </c>
      <c r="BD15" s="483" t="s">
        <v>260</v>
      </c>
      <c r="BE15" s="483" t="s">
        <v>260</v>
      </c>
      <c r="BF15" s="483" t="s">
        <v>260</v>
      </c>
      <c r="BG15" s="483" t="s">
        <v>260</v>
      </c>
      <c r="BH15" s="483" t="s">
        <v>260</v>
      </c>
      <c r="BI15" s="483" t="s">
        <v>260</v>
      </c>
      <c r="BJ15" s="483" t="s">
        <v>260</v>
      </c>
      <c r="BK15" s="483" t="s">
        <v>260</v>
      </c>
      <c r="BL15" s="483" t="s">
        <v>260</v>
      </c>
      <c r="BM15" s="483" t="s">
        <v>260</v>
      </c>
      <c r="BN15" s="483" t="s">
        <v>260</v>
      </c>
      <c r="BO15" s="483" t="s">
        <v>260</v>
      </c>
      <c r="BP15" s="483" t="s">
        <v>260</v>
      </c>
      <c r="BQ15" s="483" t="s">
        <v>260</v>
      </c>
      <c r="BR15" s="483">
        <v>37</v>
      </c>
      <c r="BS15" s="483" t="s">
        <v>260</v>
      </c>
      <c r="BT15" s="483" t="s">
        <v>260</v>
      </c>
      <c r="BU15" s="483" t="s">
        <v>260</v>
      </c>
      <c r="BV15" s="483" t="s">
        <v>260</v>
      </c>
      <c r="BW15" s="483" t="s">
        <v>260</v>
      </c>
      <c r="BX15" s="483" t="s">
        <v>260</v>
      </c>
      <c r="BY15" s="483" t="s">
        <v>260</v>
      </c>
      <c r="BZ15" s="483" t="s">
        <v>260</v>
      </c>
      <c r="CA15" s="483">
        <v>257</v>
      </c>
      <c r="CB15" s="483">
        <v>359</v>
      </c>
      <c r="CC15" s="483" t="s">
        <v>260</v>
      </c>
      <c r="CD15" s="483" t="s">
        <v>260</v>
      </c>
      <c r="CE15" s="483" t="s">
        <v>260</v>
      </c>
      <c r="CF15" s="483" t="s">
        <v>260</v>
      </c>
      <c r="CG15" s="483" t="s">
        <v>260</v>
      </c>
      <c r="CH15" s="483" t="s">
        <v>260</v>
      </c>
      <c r="CI15" s="483" t="s">
        <v>260</v>
      </c>
      <c r="CJ15" s="483" t="s">
        <v>260</v>
      </c>
      <c r="CK15" s="483" t="s">
        <v>260</v>
      </c>
      <c r="CL15" s="483" t="s">
        <v>260</v>
      </c>
      <c r="CM15" s="483" t="s">
        <v>260</v>
      </c>
      <c r="CN15" s="483" t="s">
        <v>260</v>
      </c>
      <c r="CO15" s="483" t="s">
        <v>260</v>
      </c>
      <c r="CP15" s="483" t="s">
        <v>260</v>
      </c>
      <c r="CQ15" s="483" t="s">
        <v>260</v>
      </c>
      <c r="CR15" s="483" t="s">
        <v>260</v>
      </c>
      <c r="CS15" s="483" t="s">
        <v>260</v>
      </c>
      <c r="CT15" s="483" t="s">
        <v>260</v>
      </c>
      <c r="CU15" s="483" t="s">
        <v>260</v>
      </c>
      <c r="CV15" s="483" t="s">
        <v>260</v>
      </c>
      <c r="CW15" s="483" t="s">
        <v>260</v>
      </c>
      <c r="CX15" s="483" t="s">
        <v>260</v>
      </c>
      <c r="CY15" s="483" t="s">
        <v>260</v>
      </c>
      <c r="CZ15" s="483" t="s">
        <v>260</v>
      </c>
      <c r="DA15" s="483" t="s">
        <v>260</v>
      </c>
      <c r="DB15" s="483" t="s">
        <v>260</v>
      </c>
      <c r="DC15" s="483" t="s">
        <v>260</v>
      </c>
      <c r="DD15" s="483" t="s">
        <v>260</v>
      </c>
      <c r="DE15" s="483" t="s">
        <v>260</v>
      </c>
      <c r="DF15" s="483" t="s">
        <v>260</v>
      </c>
      <c r="DG15" s="483" t="s">
        <v>260</v>
      </c>
      <c r="DH15" s="483" t="s">
        <v>260</v>
      </c>
      <c r="DI15" s="483" t="s">
        <v>260</v>
      </c>
      <c r="DJ15" s="483" t="s">
        <v>260</v>
      </c>
      <c r="DK15" s="483" t="s">
        <v>260</v>
      </c>
      <c r="DL15" s="483" t="s">
        <v>260</v>
      </c>
      <c r="DM15" s="483" t="s">
        <v>260</v>
      </c>
      <c r="DN15" s="483">
        <v>0</v>
      </c>
      <c r="DO15" s="483" t="s">
        <v>260</v>
      </c>
      <c r="DP15" s="483" t="s">
        <v>260</v>
      </c>
      <c r="DQ15" s="483" t="s">
        <v>260</v>
      </c>
      <c r="DR15" s="483" t="s">
        <v>260</v>
      </c>
      <c r="DS15" s="483" t="s">
        <v>260</v>
      </c>
      <c r="DT15" s="483" t="s">
        <v>260</v>
      </c>
      <c r="DU15" s="483" t="s">
        <v>260</v>
      </c>
      <c r="DV15" s="483" t="s">
        <v>260</v>
      </c>
      <c r="DW15" s="483" t="s">
        <v>260</v>
      </c>
      <c r="DX15" s="483" t="s">
        <v>260</v>
      </c>
      <c r="DY15" s="483" t="s">
        <v>260</v>
      </c>
      <c r="DZ15" s="483" t="s">
        <v>260</v>
      </c>
      <c r="EA15" s="483" t="s">
        <v>260</v>
      </c>
      <c r="EB15" s="483">
        <v>683</v>
      </c>
      <c r="EC15" s="483" t="s">
        <v>260</v>
      </c>
      <c r="ED15" s="483" t="s">
        <v>260</v>
      </c>
      <c r="EE15" s="483" t="s">
        <v>260</v>
      </c>
      <c r="EF15" s="483" t="s">
        <v>260</v>
      </c>
      <c r="EG15" s="483" t="s">
        <v>260</v>
      </c>
      <c r="EH15" s="483" t="s">
        <v>260</v>
      </c>
      <c r="EI15" s="483" t="s">
        <v>260</v>
      </c>
      <c r="EJ15" s="483" t="s">
        <v>260</v>
      </c>
      <c r="EK15" s="483" t="s">
        <v>260</v>
      </c>
      <c r="EL15" s="483" t="s">
        <v>260</v>
      </c>
      <c r="EM15" s="483">
        <v>247</v>
      </c>
      <c r="EN15" s="483" t="s">
        <v>260</v>
      </c>
      <c r="EO15" s="483" t="s">
        <v>260</v>
      </c>
      <c r="EP15" s="483" t="s">
        <v>260</v>
      </c>
      <c r="EQ15" s="483" t="s">
        <v>260</v>
      </c>
      <c r="ER15" s="483" t="s">
        <v>260</v>
      </c>
      <c r="ES15" s="483" t="s">
        <v>260</v>
      </c>
      <c r="ET15" s="483">
        <v>363</v>
      </c>
      <c r="EU15" s="483" t="s">
        <v>260</v>
      </c>
      <c r="EV15" s="483">
        <v>73</v>
      </c>
      <c r="EW15" s="483" t="s">
        <v>260</v>
      </c>
      <c r="EX15" s="483" t="s">
        <v>260</v>
      </c>
      <c r="EY15" s="483" t="s">
        <v>260</v>
      </c>
      <c r="EZ15" s="483" t="s">
        <v>260</v>
      </c>
      <c r="FA15" s="483" t="s">
        <v>260</v>
      </c>
      <c r="FB15" s="483" t="s">
        <v>260</v>
      </c>
      <c r="FC15" s="483" t="s">
        <v>260</v>
      </c>
      <c r="FD15" s="483">
        <v>674</v>
      </c>
      <c r="FE15" s="483" t="s">
        <v>260</v>
      </c>
      <c r="FF15" s="483" t="s">
        <v>260</v>
      </c>
      <c r="FG15" s="483" t="s">
        <v>260</v>
      </c>
      <c r="FH15" s="483" t="s">
        <v>260</v>
      </c>
      <c r="FI15" s="483" t="s">
        <v>260</v>
      </c>
      <c r="FJ15" s="483" t="s">
        <v>260</v>
      </c>
      <c r="FK15" s="483" t="s">
        <v>260</v>
      </c>
      <c r="FL15" s="483" t="s">
        <v>260</v>
      </c>
      <c r="FM15" s="483" t="s">
        <v>260</v>
      </c>
      <c r="FN15" s="483" t="s">
        <v>260</v>
      </c>
      <c r="FO15" s="483" t="s">
        <v>260</v>
      </c>
      <c r="FP15" s="483" t="s">
        <v>260</v>
      </c>
      <c r="FQ15" s="483" t="s">
        <v>260</v>
      </c>
      <c r="FR15" s="483" t="s">
        <v>260</v>
      </c>
      <c r="FS15" s="483" t="s">
        <v>260</v>
      </c>
      <c r="FT15" s="483" t="s">
        <v>260</v>
      </c>
      <c r="FU15" s="483" t="s">
        <v>260</v>
      </c>
      <c r="FV15" s="483">
        <v>253</v>
      </c>
      <c r="FW15" s="483">
        <v>71</v>
      </c>
      <c r="FX15" s="483">
        <v>350</v>
      </c>
      <c r="FY15" s="483" t="s">
        <v>260</v>
      </c>
      <c r="FZ15" s="483" t="s">
        <v>260</v>
      </c>
      <c r="GA15" s="483" t="s">
        <v>260</v>
      </c>
      <c r="GB15" s="483" t="s">
        <v>260</v>
      </c>
      <c r="GC15" s="483" t="s">
        <v>260</v>
      </c>
      <c r="GD15" s="483" t="s">
        <v>260</v>
      </c>
      <c r="GE15" s="483" t="s">
        <v>260</v>
      </c>
      <c r="GF15" s="483" t="s">
        <v>260</v>
      </c>
      <c r="GG15" s="483" t="s">
        <v>260</v>
      </c>
      <c r="GH15" s="483" t="s">
        <v>260</v>
      </c>
      <c r="GI15" s="483" t="s">
        <v>260</v>
      </c>
      <c r="GJ15" s="483" t="s">
        <v>260</v>
      </c>
      <c r="GK15" s="483" t="s">
        <v>260</v>
      </c>
      <c r="GL15" s="483" t="s">
        <v>260</v>
      </c>
      <c r="GM15" s="483" t="s">
        <v>260</v>
      </c>
      <c r="GN15" s="483" t="s">
        <v>260</v>
      </c>
      <c r="GO15" s="483" t="s">
        <v>260</v>
      </c>
      <c r="GP15" s="483" t="s">
        <v>260</v>
      </c>
      <c r="GQ15" s="483" t="s">
        <v>260</v>
      </c>
      <c r="GR15" s="483" t="s">
        <v>260</v>
      </c>
      <c r="GS15" s="483" t="s">
        <v>260</v>
      </c>
      <c r="GT15" s="483" t="s">
        <v>260</v>
      </c>
      <c r="GU15" s="483" t="s">
        <v>260</v>
      </c>
      <c r="GV15" s="483" t="s">
        <v>260</v>
      </c>
      <c r="GW15" s="483" t="s">
        <v>260</v>
      </c>
      <c r="GX15" s="483" t="s">
        <v>260</v>
      </c>
      <c r="GY15" s="483" t="s">
        <v>260</v>
      </c>
      <c r="GZ15" s="483">
        <v>126</v>
      </c>
      <c r="HA15" s="483" t="s">
        <v>260</v>
      </c>
      <c r="HB15" s="483" t="s">
        <v>260</v>
      </c>
      <c r="HC15" s="483" t="s">
        <v>260</v>
      </c>
      <c r="HD15" s="483" t="s">
        <v>260</v>
      </c>
      <c r="HE15" s="483">
        <v>121</v>
      </c>
      <c r="HF15" s="483" t="s">
        <v>260</v>
      </c>
      <c r="HG15" s="483" t="s">
        <v>260</v>
      </c>
      <c r="HH15" s="483" t="s">
        <v>260</v>
      </c>
      <c r="HI15" s="483" t="s">
        <v>260</v>
      </c>
      <c r="HJ15" s="483" t="s">
        <v>260</v>
      </c>
      <c r="HK15" s="483" t="s">
        <v>260</v>
      </c>
      <c r="HL15" s="483" t="s">
        <v>260</v>
      </c>
      <c r="HM15" s="483" t="s">
        <v>260</v>
      </c>
      <c r="HN15" s="483" t="s">
        <v>260</v>
      </c>
      <c r="HO15" s="483" t="s">
        <v>260</v>
      </c>
      <c r="HP15" s="483" t="s">
        <v>260</v>
      </c>
      <c r="HQ15" s="483" t="s">
        <v>260</v>
      </c>
      <c r="HR15" s="483" t="s">
        <v>260</v>
      </c>
      <c r="HS15" s="483">
        <v>5</v>
      </c>
      <c r="HT15" s="483" t="s">
        <v>260</v>
      </c>
      <c r="HU15" s="483" t="s">
        <v>260</v>
      </c>
      <c r="HV15" s="483" t="s">
        <v>260</v>
      </c>
      <c r="HW15" s="483" t="s">
        <v>260</v>
      </c>
      <c r="HX15" s="483" t="s">
        <v>260</v>
      </c>
      <c r="HY15" s="483" t="s">
        <v>260</v>
      </c>
      <c r="HZ15" s="483" t="s">
        <v>260</v>
      </c>
      <c r="IA15" s="483" t="s">
        <v>260</v>
      </c>
      <c r="IB15" s="483" t="s">
        <v>260</v>
      </c>
      <c r="IC15" s="483" t="s">
        <v>260</v>
      </c>
      <c r="ID15" s="483" t="s">
        <v>260</v>
      </c>
      <c r="IE15" s="483" t="s">
        <v>260</v>
      </c>
      <c r="IF15" s="483">
        <v>0</v>
      </c>
      <c r="IG15" s="483" t="s">
        <v>260</v>
      </c>
      <c r="IH15" s="483" t="s">
        <v>260</v>
      </c>
      <c r="II15" s="483" t="s">
        <v>260</v>
      </c>
      <c r="IJ15" s="483" t="s">
        <v>260</v>
      </c>
      <c r="IK15" s="483">
        <v>41</v>
      </c>
      <c r="IL15" s="483">
        <v>41</v>
      </c>
      <c r="IM15" s="483" t="s">
        <v>260</v>
      </c>
      <c r="IN15" s="483" t="s">
        <v>260</v>
      </c>
      <c r="IO15" s="483" t="s">
        <v>260</v>
      </c>
      <c r="IP15" s="483" t="s">
        <v>260</v>
      </c>
      <c r="IQ15" s="483" t="s">
        <v>260</v>
      </c>
      <c r="IR15" s="483" t="s">
        <v>260</v>
      </c>
      <c r="IS15" s="483" t="s">
        <v>260</v>
      </c>
      <c r="IT15" s="483" t="s">
        <v>260</v>
      </c>
      <c r="IU15" s="483" t="s">
        <v>260</v>
      </c>
      <c r="IV15" s="483" t="s">
        <v>260</v>
      </c>
      <c r="IW15" s="483" t="s">
        <v>260</v>
      </c>
      <c r="IX15" s="483" t="s">
        <v>260</v>
      </c>
      <c r="IY15" s="483" t="s">
        <v>260</v>
      </c>
      <c r="IZ15" s="483" t="s">
        <v>260</v>
      </c>
      <c r="JA15" s="483" t="s">
        <v>260</v>
      </c>
      <c r="JB15" s="483" t="s">
        <v>260</v>
      </c>
      <c r="JC15" s="483" t="s">
        <v>260</v>
      </c>
      <c r="JD15" s="483" t="s">
        <v>260</v>
      </c>
      <c r="JE15" s="483">
        <v>138</v>
      </c>
      <c r="JF15" s="483">
        <v>138</v>
      </c>
      <c r="JG15" s="483" t="s">
        <v>260</v>
      </c>
      <c r="JH15" s="483" t="s">
        <v>260</v>
      </c>
      <c r="JI15" s="483" t="s">
        <v>260</v>
      </c>
      <c r="JJ15" s="483" t="s">
        <v>260</v>
      </c>
      <c r="JK15" s="483" t="s">
        <v>260</v>
      </c>
      <c r="JL15" s="483" t="s">
        <v>260</v>
      </c>
      <c r="JM15" s="483" t="s">
        <v>260</v>
      </c>
      <c r="JN15" s="483" t="s">
        <v>260</v>
      </c>
      <c r="JO15" s="483" t="s">
        <v>260</v>
      </c>
      <c r="JP15" s="483" t="s">
        <v>260</v>
      </c>
      <c r="JQ15" s="483" t="s">
        <v>260</v>
      </c>
      <c r="JR15" s="483" t="s">
        <v>260</v>
      </c>
      <c r="JS15" s="483" t="s">
        <v>260</v>
      </c>
      <c r="JT15" s="483" t="s">
        <v>260</v>
      </c>
      <c r="JU15" s="483" t="s">
        <v>260</v>
      </c>
      <c r="JV15" s="483" t="s">
        <v>260</v>
      </c>
      <c r="JW15" s="483" t="s">
        <v>260</v>
      </c>
      <c r="JX15" s="483" t="s">
        <v>260</v>
      </c>
      <c r="JY15" s="483" t="s">
        <v>260</v>
      </c>
      <c r="JZ15" s="483" t="s">
        <v>260</v>
      </c>
      <c r="KA15" s="483" t="s">
        <v>260</v>
      </c>
      <c r="KB15" s="483">
        <v>0</v>
      </c>
      <c r="KC15" s="483" t="s">
        <v>260</v>
      </c>
      <c r="KD15" s="483" t="s">
        <v>260</v>
      </c>
      <c r="KE15" s="483" t="s">
        <v>260</v>
      </c>
      <c r="KF15" s="483" t="s">
        <v>260</v>
      </c>
      <c r="KG15" s="483" t="s">
        <v>260</v>
      </c>
      <c r="KH15" s="483" t="s">
        <v>260</v>
      </c>
      <c r="KI15" s="483" t="s">
        <v>260</v>
      </c>
      <c r="KJ15" s="483" t="s">
        <v>260</v>
      </c>
      <c r="KK15" s="483" t="s">
        <v>260</v>
      </c>
      <c r="KL15" s="483" t="s">
        <v>260</v>
      </c>
      <c r="KM15" s="483" t="s">
        <v>260</v>
      </c>
      <c r="KN15" s="483" t="s">
        <v>260</v>
      </c>
      <c r="KO15" s="483" t="s">
        <v>260</v>
      </c>
      <c r="KP15" s="483" t="s">
        <v>260</v>
      </c>
      <c r="KQ15" s="483" t="s">
        <v>260</v>
      </c>
      <c r="KR15" s="483" t="s">
        <v>260</v>
      </c>
      <c r="KS15" s="483" t="s">
        <v>260</v>
      </c>
      <c r="KT15" s="483" t="s">
        <v>260</v>
      </c>
      <c r="KU15" s="483" t="s">
        <v>260</v>
      </c>
      <c r="KV15" s="483" t="s">
        <v>260</v>
      </c>
      <c r="KW15" s="483" t="s">
        <v>260</v>
      </c>
      <c r="KX15" s="483" t="s">
        <v>260</v>
      </c>
      <c r="KY15" s="483" t="s">
        <v>260</v>
      </c>
      <c r="KZ15" s="483" t="s">
        <v>260</v>
      </c>
      <c r="LA15" s="483" t="s">
        <v>260</v>
      </c>
      <c r="LB15" s="483" t="s">
        <v>260</v>
      </c>
      <c r="LC15" s="483" t="s">
        <v>260</v>
      </c>
      <c r="LD15" s="483" t="s">
        <v>260</v>
      </c>
      <c r="LE15" s="483" t="s">
        <v>260</v>
      </c>
      <c r="LF15" s="483" t="s">
        <v>260</v>
      </c>
      <c r="LG15" s="483" t="s">
        <v>260</v>
      </c>
      <c r="LH15" s="483" t="s">
        <v>260</v>
      </c>
      <c r="LI15" s="483" t="s">
        <v>260</v>
      </c>
      <c r="LJ15" s="483" t="s">
        <v>260</v>
      </c>
      <c r="LK15" s="483" t="s">
        <v>260</v>
      </c>
      <c r="LL15" s="483" t="s">
        <v>260</v>
      </c>
      <c r="LM15" s="483" t="s">
        <v>260</v>
      </c>
      <c r="LN15" s="483" t="s">
        <v>260</v>
      </c>
      <c r="LO15" s="483" t="s">
        <v>260</v>
      </c>
      <c r="LP15" s="483" t="s">
        <v>260</v>
      </c>
      <c r="LQ15" s="483" t="s">
        <v>260</v>
      </c>
      <c r="LR15" s="485" t="s">
        <v>260</v>
      </c>
      <c r="LS15" s="485">
        <v>30</v>
      </c>
      <c r="LT15" s="485" t="s">
        <v>260</v>
      </c>
      <c r="LU15" s="485" t="s">
        <v>260</v>
      </c>
      <c r="LV15" s="485" t="s">
        <v>260</v>
      </c>
      <c r="LW15" s="485">
        <v>30</v>
      </c>
      <c r="LX15" s="485" t="s">
        <v>260</v>
      </c>
      <c r="LY15" s="485" t="s">
        <v>260</v>
      </c>
      <c r="LZ15" s="485" t="s">
        <v>260</v>
      </c>
      <c r="MA15" s="485" t="s">
        <v>260</v>
      </c>
      <c r="MB15" s="485" t="s">
        <v>260</v>
      </c>
      <c r="MC15" s="485">
        <v>0</v>
      </c>
      <c r="MD15" s="485" t="s">
        <v>260</v>
      </c>
      <c r="ME15" s="485" t="s">
        <v>260</v>
      </c>
      <c r="MF15" s="485" t="s">
        <v>260</v>
      </c>
      <c r="MG15" s="485" t="s">
        <v>260</v>
      </c>
      <c r="MH15" s="485" t="s">
        <v>260</v>
      </c>
      <c r="MI15" s="485" t="s">
        <v>260</v>
      </c>
      <c r="MJ15" s="485">
        <v>0</v>
      </c>
      <c r="MK15" s="485" t="s">
        <v>260</v>
      </c>
      <c r="ML15" s="485" t="s">
        <v>260</v>
      </c>
      <c r="MM15" s="485" t="s">
        <v>260</v>
      </c>
      <c r="MN15" s="485" t="s">
        <v>260</v>
      </c>
      <c r="MO15" s="485" t="s">
        <v>260</v>
      </c>
      <c r="MP15" s="485" t="s">
        <v>260</v>
      </c>
      <c r="MQ15" s="485" t="s">
        <v>260</v>
      </c>
      <c r="MR15" s="485" t="s">
        <v>260</v>
      </c>
      <c r="MS15" s="485" t="s">
        <v>260</v>
      </c>
      <c r="MT15" s="485" t="s">
        <v>260</v>
      </c>
      <c r="MU15" s="485" t="s">
        <v>260</v>
      </c>
      <c r="MV15" s="485" t="s">
        <v>260</v>
      </c>
      <c r="MW15" s="485" t="s">
        <v>260</v>
      </c>
      <c r="MX15" s="485" t="s">
        <v>260</v>
      </c>
      <c r="MY15" s="485" t="s">
        <v>260</v>
      </c>
      <c r="MZ15" s="485" t="s">
        <v>260</v>
      </c>
      <c r="NA15" s="485" t="s">
        <v>260</v>
      </c>
      <c r="NB15" s="485">
        <v>0</v>
      </c>
      <c r="NC15" s="485" t="s">
        <v>260</v>
      </c>
      <c r="ND15" s="485" t="s">
        <v>260</v>
      </c>
      <c r="NE15" s="485" t="s">
        <v>260</v>
      </c>
      <c r="NF15" s="485" t="s">
        <v>260</v>
      </c>
      <c r="NG15" s="485" t="s">
        <v>260</v>
      </c>
      <c r="NH15" s="485" t="s">
        <v>260</v>
      </c>
      <c r="NI15" s="485" t="s">
        <v>260</v>
      </c>
      <c r="NJ15" s="485" t="s">
        <v>260</v>
      </c>
      <c r="NK15" s="485" t="s">
        <v>260</v>
      </c>
      <c r="NL15" s="485" t="s">
        <v>260</v>
      </c>
      <c r="NM15" s="485" t="s">
        <v>260</v>
      </c>
      <c r="NN15" s="485" t="s">
        <v>260</v>
      </c>
      <c r="NO15" s="485">
        <v>20</v>
      </c>
      <c r="NP15" s="485">
        <v>0</v>
      </c>
      <c r="NQ15" s="485" t="s">
        <v>260</v>
      </c>
      <c r="NR15" s="485" t="s">
        <v>260</v>
      </c>
      <c r="NS15" s="485" t="s">
        <v>260</v>
      </c>
      <c r="NT15" s="485" t="s">
        <v>260</v>
      </c>
      <c r="NU15" s="485" t="s">
        <v>260</v>
      </c>
      <c r="NV15" s="485" t="s">
        <v>260</v>
      </c>
      <c r="NW15" s="485" t="s">
        <v>260</v>
      </c>
      <c r="NX15" s="485" t="s">
        <v>260</v>
      </c>
      <c r="NY15" s="485" t="s">
        <v>260</v>
      </c>
      <c r="NZ15" s="485" t="s">
        <v>260</v>
      </c>
      <c r="OA15" s="485" t="s">
        <v>260</v>
      </c>
      <c r="OB15" s="485" t="s">
        <v>260</v>
      </c>
      <c r="OC15" s="485" t="s">
        <v>260</v>
      </c>
      <c r="OD15" s="485">
        <v>20</v>
      </c>
      <c r="OE15" s="485">
        <v>20</v>
      </c>
      <c r="OF15" s="485" t="s">
        <v>260</v>
      </c>
      <c r="OG15" s="485" t="s">
        <v>260</v>
      </c>
      <c r="OH15" s="485" t="s">
        <v>260</v>
      </c>
      <c r="OI15" s="485" t="s">
        <v>260</v>
      </c>
      <c r="OJ15" s="485" t="s">
        <v>260</v>
      </c>
      <c r="OK15" s="485" t="s">
        <v>260</v>
      </c>
      <c r="OL15" s="485" t="s">
        <v>260</v>
      </c>
      <c r="OM15" s="483" t="s">
        <v>260</v>
      </c>
      <c r="ON15" s="483" t="s">
        <v>260</v>
      </c>
      <c r="OO15" s="483" t="s">
        <v>260</v>
      </c>
      <c r="OP15" s="483" t="s">
        <v>260</v>
      </c>
      <c r="OQ15" s="483" t="s">
        <v>260</v>
      </c>
      <c r="OR15" s="483" t="s">
        <v>260</v>
      </c>
      <c r="OS15" s="483" t="s">
        <v>260</v>
      </c>
      <c r="OT15" s="483" t="s">
        <v>260</v>
      </c>
      <c r="OU15" s="483" t="s">
        <v>260</v>
      </c>
      <c r="OV15" s="483" t="s">
        <v>260</v>
      </c>
      <c r="OW15" s="483">
        <v>12</v>
      </c>
      <c r="OX15" s="483" t="s">
        <v>260</v>
      </c>
      <c r="OY15" s="483" t="s">
        <v>260</v>
      </c>
      <c r="OZ15" s="483" t="s">
        <v>260</v>
      </c>
      <c r="PA15" s="483" t="s">
        <v>260</v>
      </c>
      <c r="PB15" s="483" t="s">
        <v>260</v>
      </c>
      <c r="PC15" s="483" t="s">
        <v>260</v>
      </c>
      <c r="PD15" s="483" t="s">
        <v>260</v>
      </c>
      <c r="PE15" s="485">
        <v>0</v>
      </c>
      <c r="PF15" s="483" t="s">
        <v>260</v>
      </c>
      <c r="PG15" s="483" t="s">
        <v>260</v>
      </c>
      <c r="PH15" s="483" t="s">
        <v>260</v>
      </c>
      <c r="PI15" s="483" t="s">
        <v>260</v>
      </c>
      <c r="PJ15" s="483" t="s">
        <v>260</v>
      </c>
      <c r="PK15" s="483" t="s">
        <v>260</v>
      </c>
      <c r="PL15" s="483" t="s">
        <v>260</v>
      </c>
      <c r="PM15" s="483" t="s">
        <v>260</v>
      </c>
    </row>
    <row r="16" spans="2:429" ht="15.6" x14ac:dyDescent="0.3">
      <c r="B16" s="487" t="s">
        <v>2424</v>
      </c>
      <c r="C16" s="483">
        <f t="shared" si="0"/>
        <v>2174</v>
      </c>
      <c r="D16" s="483">
        <v>0</v>
      </c>
      <c r="E16" s="483" t="s">
        <v>260</v>
      </c>
      <c r="F16" s="483" t="s">
        <v>260</v>
      </c>
      <c r="G16" s="483" t="s">
        <v>260</v>
      </c>
      <c r="H16" s="483" t="s">
        <v>260</v>
      </c>
      <c r="I16" s="483" t="s">
        <v>260</v>
      </c>
      <c r="J16" s="483" t="s">
        <v>260</v>
      </c>
      <c r="K16" s="483" t="s">
        <v>260</v>
      </c>
      <c r="L16" s="483" t="s">
        <v>260</v>
      </c>
      <c r="M16" s="483" t="s">
        <v>260</v>
      </c>
      <c r="N16" s="483" t="s">
        <v>260</v>
      </c>
      <c r="O16" s="483" t="s">
        <v>260</v>
      </c>
      <c r="P16" s="483" t="s">
        <v>260</v>
      </c>
      <c r="Q16" s="483" t="s">
        <v>260</v>
      </c>
      <c r="R16" s="483">
        <v>400</v>
      </c>
      <c r="S16" s="483">
        <v>50</v>
      </c>
      <c r="T16" s="483" t="s">
        <v>260</v>
      </c>
      <c r="U16" s="483" t="s">
        <v>260</v>
      </c>
      <c r="V16" s="483" t="s">
        <v>260</v>
      </c>
      <c r="W16" s="483" t="s">
        <v>260</v>
      </c>
      <c r="X16" s="483">
        <v>40</v>
      </c>
      <c r="Y16" s="483" t="s">
        <v>260</v>
      </c>
      <c r="Z16" s="483" t="s">
        <v>260</v>
      </c>
      <c r="AA16" s="483" t="s">
        <v>260</v>
      </c>
      <c r="AB16" s="483" t="s">
        <v>260</v>
      </c>
      <c r="AC16" s="483" t="s">
        <v>260</v>
      </c>
      <c r="AD16" s="483" t="s">
        <v>260</v>
      </c>
      <c r="AE16" s="483" t="s">
        <v>260</v>
      </c>
      <c r="AF16" s="483" t="s">
        <v>260</v>
      </c>
      <c r="AG16" s="483" t="s">
        <v>260</v>
      </c>
      <c r="AH16" s="483" t="s">
        <v>260</v>
      </c>
      <c r="AI16" s="483" t="s">
        <v>260</v>
      </c>
      <c r="AJ16" s="483" t="s">
        <v>260</v>
      </c>
      <c r="AK16" s="483" t="s">
        <v>260</v>
      </c>
      <c r="AL16" s="483" t="s">
        <v>260</v>
      </c>
      <c r="AM16" s="483" t="s">
        <v>260</v>
      </c>
      <c r="AN16" s="483" t="s">
        <v>260</v>
      </c>
      <c r="AO16" s="483" t="s">
        <v>260</v>
      </c>
      <c r="AP16" s="483" t="s">
        <v>260</v>
      </c>
      <c r="AQ16" s="483">
        <v>1000</v>
      </c>
      <c r="AR16" s="483">
        <v>534</v>
      </c>
      <c r="AS16" s="483">
        <v>150</v>
      </c>
      <c r="AT16" s="483">
        <f t="shared" si="1"/>
        <v>2480</v>
      </c>
      <c r="AU16" s="483" t="s">
        <v>260</v>
      </c>
      <c r="AV16" s="483" t="s">
        <v>260</v>
      </c>
      <c r="AW16" s="483" t="s">
        <v>260</v>
      </c>
      <c r="AX16" s="483" t="s">
        <v>260</v>
      </c>
      <c r="AY16" s="483" t="s">
        <v>260</v>
      </c>
      <c r="AZ16" s="483" t="s">
        <v>260</v>
      </c>
      <c r="BA16" s="483" t="s">
        <v>260</v>
      </c>
      <c r="BB16" s="483" t="s">
        <v>260</v>
      </c>
      <c r="BC16" s="483" t="s">
        <v>260</v>
      </c>
      <c r="BD16" s="483" t="s">
        <v>260</v>
      </c>
      <c r="BE16" s="483" t="s">
        <v>260</v>
      </c>
      <c r="BF16" s="483" t="s">
        <v>260</v>
      </c>
      <c r="BG16" s="483" t="s">
        <v>260</v>
      </c>
      <c r="BH16" s="483" t="s">
        <v>260</v>
      </c>
      <c r="BI16" s="483" t="s">
        <v>260</v>
      </c>
      <c r="BJ16" s="483">
        <v>20</v>
      </c>
      <c r="BK16" s="483" t="s">
        <v>260</v>
      </c>
      <c r="BL16" s="483" t="s">
        <v>260</v>
      </c>
      <c r="BM16" s="483" t="s">
        <v>260</v>
      </c>
      <c r="BN16" s="483" t="s">
        <v>260</v>
      </c>
      <c r="BO16" s="483" t="s">
        <v>260</v>
      </c>
      <c r="BP16" s="483" t="s">
        <v>260</v>
      </c>
      <c r="BQ16" s="483" t="s">
        <v>260</v>
      </c>
      <c r="BR16" s="483">
        <v>420</v>
      </c>
      <c r="BS16" s="483" t="s">
        <v>260</v>
      </c>
      <c r="BT16" s="483" t="s">
        <v>260</v>
      </c>
      <c r="BU16" s="483" t="s">
        <v>260</v>
      </c>
      <c r="BV16" s="483" t="s">
        <v>260</v>
      </c>
      <c r="BW16" s="483" t="s">
        <v>260</v>
      </c>
      <c r="BX16" s="483" t="s">
        <v>260</v>
      </c>
      <c r="BY16" s="483" t="s">
        <v>260</v>
      </c>
      <c r="BZ16" s="483" t="s">
        <v>260</v>
      </c>
      <c r="CA16" s="483" t="s">
        <v>260</v>
      </c>
      <c r="CB16" s="483" t="s">
        <v>260</v>
      </c>
      <c r="CC16" s="483">
        <v>140</v>
      </c>
      <c r="CD16" s="483" t="s">
        <v>260</v>
      </c>
      <c r="CE16" s="483" t="s">
        <v>260</v>
      </c>
      <c r="CF16" s="483" t="s">
        <v>260</v>
      </c>
      <c r="CG16" s="483" t="s">
        <v>260</v>
      </c>
      <c r="CH16" s="483" t="s">
        <v>260</v>
      </c>
      <c r="CI16" s="483" t="s">
        <v>260</v>
      </c>
      <c r="CJ16" s="483" t="s">
        <v>260</v>
      </c>
      <c r="CK16" s="483" t="s">
        <v>260</v>
      </c>
      <c r="CL16" s="483" t="s">
        <v>260</v>
      </c>
      <c r="CM16" s="483" t="s">
        <v>260</v>
      </c>
      <c r="CN16" s="483" t="s">
        <v>260</v>
      </c>
      <c r="CO16" s="483" t="s">
        <v>260</v>
      </c>
      <c r="CP16" s="483" t="s">
        <v>260</v>
      </c>
      <c r="CQ16" s="483" t="s">
        <v>260</v>
      </c>
      <c r="CR16" s="483" t="s">
        <v>260</v>
      </c>
      <c r="CS16" s="483" t="s">
        <v>260</v>
      </c>
      <c r="CT16" s="483" t="s">
        <v>260</v>
      </c>
      <c r="CU16" s="483" t="s">
        <v>260</v>
      </c>
      <c r="CV16" s="483" t="s">
        <v>260</v>
      </c>
      <c r="CW16" s="483" t="s">
        <v>260</v>
      </c>
      <c r="CX16" s="483" t="s">
        <v>260</v>
      </c>
      <c r="CY16" s="483" t="s">
        <v>260</v>
      </c>
      <c r="CZ16" s="483" t="s">
        <v>260</v>
      </c>
      <c r="DA16" s="483" t="s">
        <v>260</v>
      </c>
      <c r="DB16" s="483" t="s">
        <v>260</v>
      </c>
      <c r="DC16" s="483" t="s">
        <v>260</v>
      </c>
      <c r="DD16" s="483" t="s">
        <v>260</v>
      </c>
      <c r="DE16" s="483" t="s">
        <v>260</v>
      </c>
      <c r="DF16" s="483" t="s">
        <v>260</v>
      </c>
      <c r="DG16" s="483" t="s">
        <v>260</v>
      </c>
      <c r="DH16" s="483" t="s">
        <v>260</v>
      </c>
      <c r="DI16" s="483" t="s">
        <v>260</v>
      </c>
      <c r="DJ16" s="483" t="s">
        <v>260</v>
      </c>
      <c r="DK16" s="483" t="s">
        <v>260</v>
      </c>
      <c r="DL16" s="483">
        <v>1700</v>
      </c>
      <c r="DM16" s="483">
        <v>200</v>
      </c>
      <c r="DN16" s="483">
        <v>10</v>
      </c>
      <c r="DO16" s="483">
        <v>10</v>
      </c>
      <c r="DP16" s="483" t="s">
        <v>260</v>
      </c>
      <c r="DQ16" s="483" t="s">
        <v>260</v>
      </c>
      <c r="DR16" s="483" t="s">
        <v>260</v>
      </c>
      <c r="DS16" s="483" t="s">
        <v>260</v>
      </c>
      <c r="DT16" s="483" t="s">
        <v>260</v>
      </c>
      <c r="DU16" s="483" t="s">
        <v>260</v>
      </c>
      <c r="DV16" s="483" t="s">
        <v>260</v>
      </c>
      <c r="DW16" s="483" t="s">
        <v>260</v>
      </c>
      <c r="DX16" s="483" t="s">
        <v>260</v>
      </c>
      <c r="DY16" s="483" t="s">
        <v>260</v>
      </c>
      <c r="DZ16" s="483" t="s">
        <v>260</v>
      </c>
      <c r="EA16" s="483" t="s">
        <v>260</v>
      </c>
      <c r="EB16" s="483">
        <v>0</v>
      </c>
      <c r="EC16" s="483" t="s">
        <v>260</v>
      </c>
      <c r="ED16" s="483" t="s">
        <v>260</v>
      </c>
      <c r="EE16" s="483" t="s">
        <v>260</v>
      </c>
      <c r="EF16" s="483" t="s">
        <v>260</v>
      </c>
      <c r="EG16" s="483" t="s">
        <v>260</v>
      </c>
      <c r="EH16" s="483" t="s">
        <v>260</v>
      </c>
      <c r="EI16" s="483" t="s">
        <v>260</v>
      </c>
      <c r="EJ16" s="483" t="s">
        <v>260</v>
      </c>
      <c r="EK16" s="483" t="s">
        <v>260</v>
      </c>
      <c r="EL16" s="483" t="s">
        <v>260</v>
      </c>
      <c r="EM16" s="483" t="s">
        <v>260</v>
      </c>
      <c r="EN16" s="483" t="s">
        <v>260</v>
      </c>
      <c r="EO16" s="483" t="s">
        <v>260</v>
      </c>
      <c r="EP16" s="483" t="s">
        <v>260</v>
      </c>
      <c r="EQ16" s="483" t="s">
        <v>260</v>
      </c>
      <c r="ER16" s="483" t="s">
        <v>260</v>
      </c>
      <c r="ES16" s="483" t="s">
        <v>260</v>
      </c>
      <c r="ET16" s="483" t="s">
        <v>260</v>
      </c>
      <c r="EU16" s="483" t="s">
        <v>260</v>
      </c>
      <c r="EV16" s="483" t="s">
        <v>260</v>
      </c>
      <c r="EW16" s="483" t="s">
        <v>260</v>
      </c>
      <c r="EX16" s="483" t="s">
        <v>260</v>
      </c>
      <c r="EY16" s="483" t="s">
        <v>260</v>
      </c>
      <c r="EZ16" s="483" t="s">
        <v>260</v>
      </c>
      <c r="FA16" s="483" t="s">
        <v>260</v>
      </c>
      <c r="FB16" s="483" t="s">
        <v>260</v>
      </c>
      <c r="FC16" s="483" t="s">
        <v>260</v>
      </c>
      <c r="FD16" s="483">
        <v>540</v>
      </c>
      <c r="FE16" s="483" t="s">
        <v>260</v>
      </c>
      <c r="FF16" s="483" t="s">
        <v>260</v>
      </c>
      <c r="FG16" s="483" t="s">
        <v>260</v>
      </c>
      <c r="FH16" s="483" t="s">
        <v>260</v>
      </c>
      <c r="FI16" s="483">
        <v>40</v>
      </c>
      <c r="FJ16" s="483" t="s">
        <v>260</v>
      </c>
      <c r="FK16" s="483" t="s">
        <v>260</v>
      </c>
      <c r="FL16" s="483" t="s">
        <v>260</v>
      </c>
      <c r="FM16" s="483" t="s">
        <v>260</v>
      </c>
      <c r="FN16" s="483" t="s">
        <v>260</v>
      </c>
      <c r="FO16" s="483" t="s">
        <v>260</v>
      </c>
      <c r="FP16" s="483" t="s">
        <v>260</v>
      </c>
      <c r="FQ16" s="483" t="s">
        <v>260</v>
      </c>
      <c r="FR16" s="483" t="s">
        <v>260</v>
      </c>
      <c r="FS16" s="483" t="s">
        <v>260</v>
      </c>
      <c r="FT16" s="483" t="s">
        <v>260</v>
      </c>
      <c r="FU16" s="483" t="s">
        <v>260</v>
      </c>
      <c r="FV16" s="483" t="s">
        <v>260</v>
      </c>
      <c r="FW16" s="483" t="s">
        <v>260</v>
      </c>
      <c r="FX16" s="483" t="s">
        <v>260</v>
      </c>
      <c r="FY16" s="483" t="s">
        <v>260</v>
      </c>
      <c r="FZ16" s="483" t="s">
        <v>260</v>
      </c>
      <c r="GA16" s="483" t="s">
        <v>260</v>
      </c>
      <c r="GB16" s="483" t="s">
        <v>260</v>
      </c>
      <c r="GC16" s="483" t="s">
        <v>260</v>
      </c>
      <c r="GD16" s="483" t="s">
        <v>260</v>
      </c>
      <c r="GE16" s="483" t="s">
        <v>260</v>
      </c>
      <c r="GF16" s="483" t="s">
        <v>260</v>
      </c>
      <c r="GG16" s="483" t="s">
        <v>260</v>
      </c>
      <c r="GH16" s="483" t="s">
        <v>260</v>
      </c>
      <c r="GI16" s="483" t="s">
        <v>260</v>
      </c>
      <c r="GJ16" s="483" t="s">
        <v>260</v>
      </c>
      <c r="GK16" s="483" t="s">
        <v>260</v>
      </c>
      <c r="GL16" s="483" t="s">
        <v>260</v>
      </c>
      <c r="GM16" s="483" t="s">
        <v>260</v>
      </c>
      <c r="GN16" s="483" t="s">
        <v>260</v>
      </c>
      <c r="GO16" s="483" t="s">
        <v>260</v>
      </c>
      <c r="GP16" s="483" t="s">
        <v>260</v>
      </c>
      <c r="GQ16" s="483" t="s">
        <v>260</v>
      </c>
      <c r="GR16" s="483" t="s">
        <v>260</v>
      </c>
      <c r="GS16" s="483" t="s">
        <v>260</v>
      </c>
      <c r="GT16" s="483" t="s">
        <v>260</v>
      </c>
      <c r="GU16" s="483" t="s">
        <v>260</v>
      </c>
      <c r="GV16" s="483" t="s">
        <v>260</v>
      </c>
      <c r="GW16" s="483" t="s">
        <v>260</v>
      </c>
      <c r="GX16" s="483" t="s">
        <v>260</v>
      </c>
      <c r="GY16" s="483">
        <v>500</v>
      </c>
      <c r="GZ16" s="483">
        <v>4200</v>
      </c>
      <c r="HA16" s="483" t="s">
        <v>260</v>
      </c>
      <c r="HB16" s="483">
        <v>1040</v>
      </c>
      <c r="HC16" s="483">
        <v>1800</v>
      </c>
      <c r="HD16" s="483" t="s">
        <v>260</v>
      </c>
      <c r="HE16" s="483" t="s">
        <v>260</v>
      </c>
      <c r="HF16" s="483" t="s">
        <v>260</v>
      </c>
      <c r="HG16" s="483" t="s">
        <v>260</v>
      </c>
      <c r="HH16" s="483" t="s">
        <v>260</v>
      </c>
      <c r="HI16" s="483" t="s">
        <v>260</v>
      </c>
      <c r="HJ16" s="483" t="s">
        <v>260</v>
      </c>
      <c r="HK16" s="483" t="s">
        <v>260</v>
      </c>
      <c r="HL16" s="483" t="s">
        <v>260</v>
      </c>
      <c r="HM16" s="483" t="s">
        <v>260</v>
      </c>
      <c r="HN16" s="483" t="s">
        <v>260</v>
      </c>
      <c r="HO16" s="483">
        <v>1240</v>
      </c>
      <c r="HP16" s="483" t="s">
        <v>260</v>
      </c>
      <c r="HQ16" s="483" t="s">
        <v>260</v>
      </c>
      <c r="HR16" s="483" t="s">
        <v>260</v>
      </c>
      <c r="HS16" s="483" t="s">
        <v>260</v>
      </c>
      <c r="HT16" s="483" t="s">
        <v>260</v>
      </c>
      <c r="HU16" s="483" t="s">
        <v>260</v>
      </c>
      <c r="HV16" s="483" t="s">
        <v>260</v>
      </c>
      <c r="HW16" s="483" t="s">
        <v>260</v>
      </c>
      <c r="HX16" s="483" t="s">
        <v>260</v>
      </c>
      <c r="HY16" s="483" t="s">
        <v>260</v>
      </c>
      <c r="HZ16" s="483" t="s">
        <v>260</v>
      </c>
      <c r="IA16" s="483" t="s">
        <v>260</v>
      </c>
      <c r="IB16" s="483" t="s">
        <v>260</v>
      </c>
      <c r="IC16" s="483" t="s">
        <v>260</v>
      </c>
      <c r="ID16" s="483" t="s">
        <v>260</v>
      </c>
      <c r="IE16" s="483">
        <v>120</v>
      </c>
      <c r="IF16" s="483">
        <v>0</v>
      </c>
      <c r="IG16" s="483" t="s">
        <v>260</v>
      </c>
      <c r="IH16" s="483" t="s">
        <v>260</v>
      </c>
      <c r="II16" s="483" t="s">
        <v>260</v>
      </c>
      <c r="IJ16" s="483" t="s">
        <v>260</v>
      </c>
      <c r="IK16" s="483">
        <v>316</v>
      </c>
      <c r="IL16" s="483">
        <v>58</v>
      </c>
      <c r="IM16" s="483" t="s">
        <v>260</v>
      </c>
      <c r="IN16" s="483" t="s">
        <v>260</v>
      </c>
      <c r="IO16" s="483" t="s">
        <v>260</v>
      </c>
      <c r="IP16" s="483" t="s">
        <v>260</v>
      </c>
      <c r="IQ16" s="483" t="s">
        <v>260</v>
      </c>
      <c r="IR16" s="483" t="s">
        <v>260</v>
      </c>
      <c r="IS16" s="483" t="s">
        <v>260</v>
      </c>
      <c r="IT16" s="483" t="s">
        <v>260</v>
      </c>
      <c r="IU16" s="483" t="s">
        <v>260</v>
      </c>
      <c r="IV16" s="483" t="s">
        <v>260</v>
      </c>
      <c r="IW16" s="483" t="s">
        <v>260</v>
      </c>
      <c r="IX16" s="483" t="s">
        <v>260</v>
      </c>
      <c r="IY16" s="483" t="s">
        <v>260</v>
      </c>
      <c r="IZ16" s="483" t="s">
        <v>260</v>
      </c>
      <c r="JA16" s="483" t="s">
        <v>260</v>
      </c>
      <c r="JB16" s="483" t="s">
        <v>260</v>
      </c>
      <c r="JC16" s="483">
        <v>40</v>
      </c>
      <c r="JD16" s="483">
        <v>218</v>
      </c>
      <c r="JE16" s="483">
        <v>174</v>
      </c>
      <c r="JF16" s="483" t="s">
        <v>260</v>
      </c>
      <c r="JG16" s="483" t="s">
        <v>260</v>
      </c>
      <c r="JH16" s="483" t="s">
        <v>260</v>
      </c>
      <c r="JI16" s="483" t="s">
        <v>260</v>
      </c>
      <c r="JJ16" s="483" t="s">
        <v>260</v>
      </c>
      <c r="JK16" s="483" t="s">
        <v>260</v>
      </c>
      <c r="JL16" s="483" t="s">
        <v>260</v>
      </c>
      <c r="JM16" s="483" t="s">
        <v>260</v>
      </c>
      <c r="JN16" s="483" t="s">
        <v>260</v>
      </c>
      <c r="JO16" s="483" t="s">
        <v>260</v>
      </c>
      <c r="JP16" s="483" t="s">
        <v>260</v>
      </c>
      <c r="JQ16" s="483" t="s">
        <v>260</v>
      </c>
      <c r="JR16" s="483" t="s">
        <v>260</v>
      </c>
      <c r="JS16" s="483" t="s">
        <v>260</v>
      </c>
      <c r="JT16" s="483" t="s">
        <v>260</v>
      </c>
      <c r="JU16" s="483" t="s">
        <v>260</v>
      </c>
      <c r="JV16" s="483" t="s">
        <v>260</v>
      </c>
      <c r="JW16" s="483" t="s">
        <v>260</v>
      </c>
      <c r="JX16" s="483" t="s">
        <v>260</v>
      </c>
      <c r="JY16" s="483" t="s">
        <v>260</v>
      </c>
      <c r="JZ16" s="483">
        <v>142</v>
      </c>
      <c r="KA16" s="483">
        <v>32</v>
      </c>
      <c r="KB16" s="483">
        <v>347</v>
      </c>
      <c r="KC16" s="483" t="s">
        <v>260</v>
      </c>
      <c r="KD16" s="483">
        <v>30</v>
      </c>
      <c r="KE16" s="483" t="s">
        <v>260</v>
      </c>
      <c r="KF16" s="483" t="s">
        <v>260</v>
      </c>
      <c r="KG16" s="483" t="s">
        <v>260</v>
      </c>
      <c r="KH16" s="483">
        <v>36</v>
      </c>
      <c r="KI16" s="483" t="s">
        <v>260</v>
      </c>
      <c r="KJ16" s="483" t="s">
        <v>260</v>
      </c>
      <c r="KK16" s="483" t="s">
        <v>260</v>
      </c>
      <c r="KL16" s="483" t="s">
        <v>260</v>
      </c>
      <c r="KM16" s="483" t="s">
        <v>260</v>
      </c>
      <c r="KN16" s="483" t="s">
        <v>260</v>
      </c>
      <c r="KO16" s="483" t="s">
        <v>260</v>
      </c>
      <c r="KP16" s="483" t="s">
        <v>260</v>
      </c>
      <c r="KQ16" s="483" t="s">
        <v>260</v>
      </c>
      <c r="KR16" s="483" t="s">
        <v>260</v>
      </c>
      <c r="KS16" s="483" t="s">
        <v>260</v>
      </c>
      <c r="KT16" s="483" t="s">
        <v>260</v>
      </c>
      <c r="KU16" s="483" t="s">
        <v>260</v>
      </c>
      <c r="KV16" s="483" t="s">
        <v>260</v>
      </c>
      <c r="KW16" s="483" t="s">
        <v>260</v>
      </c>
      <c r="KX16" s="483" t="s">
        <v>260</v>
      </c>
      <c r="KY16" s="483" t="s">
        <v>260</v>
      </c>
      <c r="KZ16" s="483" t="s">
        <v>260</v>
      </c>
      <c r="LA16" s="483" t="s">
        <v>260</v>
      </c>
      <c r="LB16" s="483" t="s">
        <v>260</v>
      </c>
      <c r="LC16" s="483" t="s">
        <v>260</v>
      </c>
      <c r="LD16" s="483" t="s">
        <v>260</v>
      </c>
      <c r="LE16" s="483" t="s">
        <v>260</v>
      </c>
      <c r="LF16" s="483" t="s">
        <v>260</v>
      </c>
      <c r="LG16" s="483" t="s">
        <v>260</v>
      </c>
      <c r="LH16" s="483" t="s">
        <v>260</v>
      </c>
      <c r="LI16" s="483" t="s">
        <v>260</v>
      </c>
      <c r="LJ16" s="483" t="s">
        <v>260</v>
      </c>
      <c r="LK16" s="483" t="s">
        <v>260</v>
      </c>
      <c r="LL16" s="483" t="s">
        <v>260</v>
      </c>
      <c r="LM16" s="483" t="s">
        <v>260</v>
      </c>
      <c r="LN16" s="483">
        <v>118</v>
      </c>
      <c r="LO16" s="483">
        <v>44</v>
      </c>
      <c r="LP16" s="483">
        <v>59</v>
      </c>
      <c r="LQ16" s="483">
        <v>60</v>
      </c>
      <c r="LR16" s="485" t="s">
        <v>260</v>
      </c>
      <c r="LS16" s="485">
        <v>48</v>
      </c>
      <c r="LT16" s="485" t="s">
        <v>260</v>
      </c>
      <c r="LU16" s="485" t="s">
        <v>260</v>
      </c>
      <c r="LV16" s="485" t="s">
        <v>260</v>
      </c>
      <c r="LW16" s="485">
        <v>48</v>
      </c>
      <c r="LX16" s="485" t="s">
        <v>260</v>
      </c>
      <c r="LY16" s="485" t="s">
        <v>260</v>
      </c>
      <c r="LZ16" s="485" t="s">
        <v>260</v>
      </c>
      <c r="MA16" s="485" t="s">
        <v>260</v>
      </c>
      <c r="MB16" s="485" t="s">
        <v>260</v>
      </c>
      <c r="MC16" s="485">
        <v>72</v>
      </c>
      <c r="MD16" s="485" t="s">
        <v>260</v>
      </c>
      <c r="ME16" s="485" t="s">
        <v>260</v>
      </c>
      <c r="MF16" s="485" t="s">
        <v>260</v>
      </c>
      <c r="MG16" s="485" t="s">
        <v>260</v>
      </c>
      <c r="MH16" s="485" t="s">
        <v>260</v>
      </c>
      <c r="MI16" s="485">
        <v>72</v>
      </c>
      <c r="MJ16" s="485">
        <v>0</v>
      </c>
      <c r="MK16" s="485" t="s">
        <v>260</v>
      </c>
      <c r="ML16" s="485" t="s">
        <v>260</v>
      </c>
      <c r="MM16" s="485" t="s">
        <v>260</v>
      </c>
      <c r="MN16" s="485" t="s">
        <v>260</v>
      </c>
      <c r="MO16" s="485" t="s">
        <v>260</v>
      </c>
      <c r="MP16" s="485" t="s">
        <v>260</v>
      </c>
      <c r="MQ16" s="485" t="s">
        <v>260</v>
      </c>
      <c r="MR16" s="485" t="s">
        <v>260</v>
      </c>
      <c r="MS16" s="485" t="s">
        <v>260</v>
      </c>
      <c r="MT16" s="485" t="s">
        <v>260</v>
      </c>
      <c r="MU16" s="485" t="s">
        <v>260</v>
      </c>
      <c r="MV16" s="485" t="s">
        <v>260</v>
      </c>
      <c r="MW16" s="485" t="s">
        <v>260</v>
      </c>
      <c r="MX16" s="485" t="s">
        <v>260</v>
      </c>
      <c r="MY16" s="485" t="s">
        <v>260</v>
      </c>
      <c r="MZ16" s="485" t="s">
        <v>260</v>
      </c>
      <c r="NA16" s="485" t="s">
        <v>260</v>
      </c>
      <c r="NB16" s="485">
        <v>0</v>
      </c>
      <c r="NC16" s="485" t="s">
        <v>260</v>
      </c>
      <c r="ND16" s="485" t="s">
        <v>5330</v>
      </c>
      <c r="NE16" s="485" t="s">
        <v>260</v>
      </c>
      <c r="NF16" s="485" t="s">
        <v>260</v>
      </c>
      <c r="NG16" s="485" t="s">
        <v>260</v>
      </c>
      <c r="NH16" s="485" t="s">
        <v>260</v>
      </c>
      <c r="NI16" s="485" t="s">
        <v>260</v>
      </c>
      <c r="NJ16" s="485" t="s">
        <v>260</v>
      </c>
      <c r="NK16" s="485" t="s">
        <v>5330</v>
      </c>
      <c r="NL16" s="485" t="s">
        <v>260</v>
      </c>
      <c r="NM16" s="485" t="s">
        <v>260</v>
      </c>
      <c r="NN16" s="485" t="s">
        <v>5330</v>
      </c>
      <c r="NO16" s="485">
        <v>0</v>
      </c>
      <c r="NP16" s="485">
        <v>0</v>
      </c>
      <c r="NQ16" s="485" t="s">
        <v>260</v>
      </c>
      <c r="NR16" s="485" t="s">
        <v>260</v>
      </c>
      <c r="NS16" s="485" t="s">
        <v>260</v>
      </c>
      <c r="NT16" s="485" t="s">
        <v>260</v>
      </c>
      <c r="NU16" s="485" t="s">
        <v>260</v>
      </c>
      <c r="NV16" s="485" t="s">
        <v>260</v>
      </c>
      <c r="NW16" s="485" t="s">
        <v>260</v>
      </c>
      <c r="NX16" s="485" t="s">
        <v>260</v>
      </c>
      <c r="NY16" s="485" t="s">
        <v>260</v>
      </c>
      <c r="NZ16" s="485" t="s">
        <v>260</v>
      </c>
      <c r="OA16" s="485" t="s">
        <v>260</v>
      </c>
      <c r="OB16" s="485" t="s">
        <v>260</v>
      </c>
      <c r="OC16" s="485" t="s">
        <v>5330</v>
      </c>
      <c r="OD16" s="485">
        <v>0</v>
      </c>
      <c r="OE16" s="485" t="s">
        <v>260</v>
      </c>
      <c r="OF16" s="485" t="s">
        <v>260</v>
      </c>
      <c r="OG16" s="485" t="s">
        <v>260</v>
      </c>
      <c r="OH16" s="485" t="s">
        <v>260</v>
      </c>
      <c r="OI16" s="485" t="s">
        <v>260</v>
      </c>
      <c r="OJ16" s="485" t="s">
        <v>5330</v>
      </c>
      <c r="OK16" s="485" t="s">
        <v>260</v>
      </c>
      <c r="OL16" s="485" t="s">
        <v>260</v>
      </c>
      <c r="OM16" s="483" t="s">
        <v>260</v>
      </c>
      <c r="ON16" s="483" t="s">
        <v>260</v>
      </c>
      <c r="OO16" s="483">
        <v>40</v>
      </c>
      <c r="OP16" s="483">
        <v>40</v>
      </c>
      <c r="OQ16" s="483" t="s">
        <v>260</v>
      </c>
      <c r="OR16" s="483" t="s">
        <v>260</v>
      </c>
      <c r="OS16" s="483" t="s">
        <v>260</v>
      </c>
      <c r="OT16" s="483" t="s">
        <v>260</v>
      </c>
      <c r="OU16" s="483" t="s">
        <v>260</v>
      </c>
      <c r="OV16" s="483" t="s">
        <v>260</v>
      </c>
      <c r="OW16" s="483" t="s">
        <v>260</v>
      </c>
      <c r="OX16" s="483" t="s">
        <v>260</v>
      </c>
      <c r="OY16" s="483" t="s">
        <v>260</v>
      </c>
      <c r="OZ16" s="483" t="s">
        <v>260</v>
      </c>
      <c r="PA16" s="483">
        <v>20</v>
      </c>
      <c r="PB16" s="483" t="s">
        <v>260</v>
      </c>
      <c r="PC16" s="483">
        <v>60</v>
      </c>
      <c r="PD16" s="483" t="s">
        <v>260</v>
      </c>
      <c r="PE16" s="485">
        <v>317</v>
      </c>
      <c r="PF16" s="483" t="s">
        <v>260</v>
      </c>
      <c r="PG16" s="483" t="s">
        <v>260</v>
      </c>
      <c r="PH16" s="483" t="s">
        <v>260</v>
      </c>
      <c r="PI16" s="483">
        <v>150</v>
      </c>
      <c r="PJ16" s="483">
        <v>167</v>
      </c>
      <c r="PK16" s="483" t="s">
        <v>260</v>
      </c>
      <c r="PL16" s="483" t="s">
        <v>260</v>
      </c>
      <c r="PM16" s="483" t="s">
        <v>260</v>
      </c>
    </row>
    <row r="17" spans="2:429" ht="15.6" x14ac:dyDescent="0.3">
      <c r="B17" s="487" t="s">
        <v>255</v>
      </c>
      <c r="C17" s="483">
        <f t="shared" si="0"/>
        <v>59</v>
      </c>
      <c r="D17" s="483">
        <v>0</v>
      </c>
      <c r="E17" s="483" t="s">
        <v>260</v>
      </c>
      <c r="F17" s="483" t="s">
        <v>260</v>
      </c>
      <c r="G17" s="483" t="s">
        <v>260</v>
      </c>
      <c r="H17" s="483" t="s">
        <v>260</v>
      </c>
      <c r="I17" s="483" t="s">
        <v>260</v>
      </c>
      <c r="J17" s="483" t="s">
        <v>260</v>
      </c>
      <c r="K17" s="483" t="s">
        <v>260</v>
      </c>
      <c r="L17" s="483" t="s">
        <v>260</v>
      </c>
      <c r="M17" s="483" t="s">
        <v>260</v>
      </c>
      <c r="N17" s="483" t="s">
        <v>260</v>
      </c>
      <c r="O17" s="483" t="s">
        <v>260</v>
      </c>
      <c r="P17" s="483" t="s">
        <v>260</v>
      </c>
      <c r="Q17" s="483" t="s">
        <v>260</v>
      </c>
      <c r="R17" s="483" t="s">
        <v>260</v>
      </c>
      <c r="S17" s="483" t="s">
        <v>260</v>
      </c>
      <c r="T17" s="483" t="s">
        <v>260</v>
      </c>
      <c r="U17" s="483" t="s">
        <v>260</v>
      </c>
      <c r="V17" s="483" t="s">
        <v>260</v>
      </c>
      <c r="W17" s="483" t="s">
        <v>260</v>
      </c>
      <c r="X17" s="483" t="s">
        <v>260</v>
      </c>
      <c r="Y17" s="483" t="s">
        <v>260</v>
      </c>
      <c r="Z17" s="483" t="s">
        <v>260</v>
      </c>
      <c r="AA17" s="483" t="s">
        <v>260</v>
      </c>
      <c r="AB17" s="483" t="s">
        <v>260</v>
      </c>
      <c r="AC17" s="483" t="s">
        <v>260</v>
      </c>
      <c r="AD17" s="483" t="s">
        <v>260</v>
      </c>
      <c r="AE17" s="483" t="s">
        <v>260</v>
      </c>
      <c r="AF17" s="483" t="s">
        <v>260</v>
      </c>
      <c r="AG17" s="483" t="s">
        <v>260</v>
      </c>
      <c r="AH17" s="483" t="s">
        <v>260</v>
      </c>
      <c r="AI17" s="483" t="s">
        <v>260</v>
      </c>
      <c r="AJ17" s="483" t="s">
        <v>260</v>
      </c>
      <c r="AK17" s="483" t="s">
        <v>260</v>
      </c>
      <c r="AL17" s="483">
        <v>59</v>
      </c>
      <c r="AM17" s="483" t="s">
        <v>260</v>
      </c>
      <c r="AN17" s="483" t="s">
        <v>260</v>
      </c>
      <c r="AO17" s="483" t="s">
        <v>260</v>
      </c>
      <c r="AP17" s="483" t="s">
        <v>260</v>
      </c>
      <c r="AQ17" s="483" t="s">
        <v>260</v>
      </c>
      <c r="AR17" s="483" t="s">
        <v>260</v>
      </c>
      <c r="AS17" s="483" t="s">
        <v>260</v>
      </c>
      <c r="AT17" s="483">
        <f t="shared" si="1"/>
        <v>431</v>
      </c>
      <c r="AU17" s="483" t="s">
        <v>260</v>
      </c>
      <c r="AV17" s="483" t="s">
        <v>260</v>
      </c>
      <c r="AW17" s="483" t="s">
        <v>260</v>
      </c>
      <c r="AX17" s="483" t="s">
        <v>260</v>
      </c>
      <c r="AY17" s="483" t="s">
        <v>260</v>
      </c>
      <c r="AZ17" s="483" t="s">
        <v>260</v>
      </c>
      <c r="BA17" s="483" t="s">
        <v>260</v>
      </c>
      <c r="BB17" s="483" t="s">
        <v>260</v>
      </c>
      <c r="BC17" s="483" t="s">
        <v>260</v>
      </c>
      <c r="BD17" s="483" t="s">
        <v>260</v>
      </c>
      <c r="BE17" s="483" t="s">
        <v>260</v>
      </c>
      <c r="BF17" s="483" t="s">
        <v>260</v>
      </c>
      <c r="BG17" s="483" t="s">
        <v>260</v>
      </c>
      <c r="BH17" s="483" t="s">
        <v>260</v>
      </c>
      <c r="BI17" s="483" t="s">
        <v>260</v>
      </c>
      <c r="BJ17" s="483" t="s">
        <v>260</v>
      </c>
      <c r="BK17" s="483" t="s">
        <v>260</v>
      </c>
      <c r="BL17" s="483" t="s">
        <v>260</v>
      </c>
      <c r="BM17" s="483" t="s">
        <v>260</v>
      </c>
      <c r="BN17" s="483" t="s">
        <v>260</v>
      </c>
      <c r="BO17" s="483" t="s">
        <v>260</v>
      </c>
      <c r="BP17" s="483" t="s">
        <v>260</v>
      </c>
      <c r="BQ17" s="483" t="s">
        <v>260</v>
      </c>
      <c r="BR17" s="483">
        <v>431</v>
      </c>
      <c r="BS17" s="483" t="s">
        <v>260</v>
      </c>
      <c r="BT17" s="483" t="s">
        <v>260</v>
      </c>
      <c r="BU17" s="483" t="s">
        <v>260</v>
      </c>
      <c r="BV17" s="483" t="s">
        <v>260</v>
      </c>
      <c r="BW17" s="483" t="s">
        <v>260</v>
      </c>
      <c r="BX17" s="483" t="s">
        <v>260</v>
      </c>
      <c r="BY17" s="483" t="s">
        <v>260</v>
      </c>
      <c r="BZ17" s="483" t="s">
        <v>260</v>
      </c>
      <c r="CA17" s="483" t="s">
        <v>260</v>
      </c>
      <c r="CB17" s="483" t="s">
        <v>260</v>
      </c>
      <c r="CC17" s="483" t="s">
        <v>260</v>
      </c>
      <c r="CD17" s="483" t="s">
        <v>260</v>
      </c>
      <c r="CE17" s="483" t="s">
        <v>260</v>
      </c>
      <c r="CF17" s="483" t="s">
        <v>260</v>
      </c>
      <c r="CG17" s="483" t="s">
        <v>260</v>
      </c>
      <c r="CH17" s="483" t="s">
        <v>260</v>
      </c>
      <c r="CI17" s="483" t="s">
        <v>260</v>
      </c>
      <c r="CJ17" s="483" t="s">
        <v>260</v>
      </c>
      <c r="CK17" s="483" t="s">
        <v>260</v>
      </c>
      <c r="CL17" s="483" t="s">
        <v>260</v>
      </c>
      <c r="CM17" s="483" t="s">
        <v>260</v>
      </c>
      <c r="CN17" s="483" t="s">
        <v>260</v>
      </c>
      <c r="CO17" s="483" t="s">
        <v>260</v>
      </c>
      <c r="CP17" s="483" t="s">
        <v>260</v>
      </c>
      <c r="CQ17" s="483" t="s">
        <v>260</v>
      </c>
      <c r="CR17" s="483" t="s">
        <v>260</v>
      </c>
      <c r="CS17" s="483" t="s">
        <v>260</v>
      </c>
      <c r="CT17" s="483" t="s">
        <v>260</v>
      </c>
      <c r="CU17" s="483" t="s">
        <v>260</v>
      </c>
      <c r="CV17" s="483" t="s">
        <v>260</v>
      </c>
      <c r="CW17" s="483" t="s">
        <v>260</v>
      </c>
      <c r="CX17" s="483" t="s">
        <v>260</v>
      </c>
      <c r="CY17" s="483" t="s">
        <v>260</v>
      </c>
      <c r="CZ17" s="483" t="s">
        <v>260</v>
      </c>
      <c r="DA17" s="483" t="s">
        <v>260</v>
      </c>
      <c r="DB17" s="483" t="s">
        <v>260</v>
      </c>
      <c r="DC17" s="483" t="s">
        <v>260</v>
      </c>
      <c r="DD17" s="483" t="s">
        <v>260</v>
      </c>
      <c r="DE17" s="483" t="s">
        <v>260</v>
      </c>
      <c r="DF17" s="483" t="s">
        <v>260</v>
      </c>
      <c r="DG17" s="483" t="s">
        <v>260</v>
      </c>
      <c r="DH17" s="483" t="s">
        <v>260</v>
      </c>
      <c r="DI17" s="483" t="s">
        <v>260</v>
      </c>
      <c r="DJ17" s="483" t="s">
        <v>260</v>
      </c>
      <c r="DK17" s="483" t="s">
        <v>260</v>
      </c>
      <c r="DL17" s="483" t="s">
        <v>260</v>
      </c>
      <c r="DM17" s="483" t="s">
        <v>260</v>
      </c>
      <c r="DN17" s="483">
        <v>0</v>
      </c>
      <c r="DO17" s="483" t="s">
        <v>260</v>
      </c>
      <c r="DP17" s="483" t="s">
        <v>260</v>
      </c>
      <c r="DQ17" s="483" t="s">
        <v>260</v>
      </c>
      <c r="DR17" s="483" t="s">
        <v>260</v>
      </c>
      <c r="DS17" s="483" t="s">
        <v>260</v>
      </c>
      <c r="DT17" s="483" t="s">
        <v>260</v>
      </c>
      <c r="DU17" s="483" t="s">
        <v>260</v>
      </c>
      <c r="DV17" s="483" t="s">
        <v>260</v>
      </c>
      <c r="DW17" s="483" t="s">
        <v>260</v>
      </c>
      <c r="DX17" s="483" t="s">
        <v>260</v>
      </c>
      <c r="DY17" s="483" t="s">
        <v>260</v>
      </c>
      <c r="DZ17" s="483" t="s">
        <v>260</v>
      </c>
      <c r="EA17" s="483" t="s">
        <v>260</v>
      </c>
      <c r="EB17" s="483">
        <v>1120</v>
      </c>
      <c r="EC17" s="483" t="s">
        <v>260</v>
      </c>
      <c r="ED17" s="483" t="s">
        <v>260</v>
      </c>
      <c r="EE17" s="483" t="s">
        <v>260</v>
      </c>
      <c r="EF17" s="483" t="s">
        <v>260</v>
      </c>
      <c r="EG17" s="483" t="s">
        <v>260</v>
      </c>
      <c r="EH17" s="483" t="s">
        <v>260</v>
      </c>
      <c r="EI17" s="483" t="s">
        <v>260</v>
      </c>
      <c r="EJ17" s="483" t="s">
        <v>260</v>
      </c>
      <c r="EK17" s="483" t="s">
        <v>260</v>
      </c>
      <c r="EL17" s="483">
        <v>1020</v>
      </c>
      <c r="EM17" s="483" t="s">
        <v>260</v>
      </c>
      <c r="EN17" s="483" t="s">
        <v>260</v>
      </c>
      <c r="EO17" s="483" t="s">
        <v>260</v>
      </c>
      <c r="EP17" s="483" t="s">
        <v>260</v>
      </c>
      <c r="EQ17" s="483" t="s">
        <v>260</v>
      </c>
      <c r="ER17" s="483" t="s">
        <v>260</v>
      </c>
      <c r="ES17" s="483" t="s">
        <v>260</v>
      </c>
      <c r="ET17" s="483" t="s">
        <v>260</v>
      </c>
      <c r="EU17" s="483" t="s">
        <v>260</v>
      </c>
      <c r="EV17" s="483" t="s">
        <v>260</v>
      </c>
      <c r="EW17" s="483" t="s">
        <v>260</v>
      </c>
      <c r="EX17" s="483" t="s">
        <v>260</v>
      </c>
      <c r="EY17" s="483" t="s">
        <v>260</v>
      </c>
      <c r="EZ17" s="483">
        <v>100</v>
      </c>
      <c r="FA17" s="483" t="s">
        <v>260</v>
      </c>
      <c r="FB17" s="483" t="s">
        <v>260</v>
      </c>
      <c r="FC17" s="483" t="s">
        <v>260</v>
      </c>
      <c r="FD17" s="483">
        <v>253</v>
      </c>
      <c r="FE17" s="483" t="s">
        <v>260</v>
      </c>
      <c r="FF17" s="483" t="s">
        <v>260</v>
      </c>
      <c r="FG17" s="483" t="s">
        <v>260</v>
      </c>
      <c r="FH17" s="483" t="s">
        <v>260</v>
      </c>
      <c r="FI17" s="483" t="s">
        <v>260</v>
      </c>
      <c r="FJ17" s="483" t="s">
        <v>260</v>
      </c>
      <c r="FK17" s="483" t="s">
        <v>260</v>
      </c>
      <c r="FL17" s="483" t="s">
        <v>260</v>
      </c>
      <c r="FM17" s="483" t="s">
        <v>260</v>
      </c>
      <c r="FN17" s="483" t="s">
        <v>260</v>
      </c>
      <c r="FO17" s="483" t="s">
        <v>260</v>
      </c>
      <c r="FP17" s="483" t="s">
        <v>260</v>
      </c>
      <c r="FQ17" s="483" t="s">
        <v>260</v>
      </c>
      <c r="FR17" s="483" t="s">
        <v>260</v>
      </c>
      <c r="FS17" s="483" t="s">
        <v>260</v>
      </c>
      <c r="FT17" s="483" t="s">
        <v>260</v>
      </c>
      <c r="FU17" s="483" t="s">
        <v>260</v>
      </c>
      <c r="FV17" s="483" t="s">
        <v>260</v>
      </c>
      <c r="FW17" s="483" t="s">
        <v>260</v>
      </c>
      <c r="FX17" s="483" t="s">
        <v>260</v>
      </c>
      <c r="FY17" s="483" t="s">
        <v>260</v>
      </c>
      <c r="FZ17" s="483" t="s">
        <v>260</v>
      </c>
      <c r="GA17" s="483" t="s">
        <v>260</v>
      </c>
      <c r="GB17" s="483" t="s">
        <v>260</v>
      </c>
      <c r="GC17" s="483" t="s">
        <v>260</v>
      </c>
      <c r="GD17" s="483" t="s">
        <v>260</v>
      </c>
      <c r="GE17" s="483" t="s">
        <v>260</v>
      </c>
      <c r="GF17" s="483" t="s">
        <v>260</v>
      </c>
      <c r="GG17" s="483" t="s">
        <v>260</v>
      </c>
      <c r="GH17" s="483" t="s">
        <v>260</v>
      </c>
      <c r="GI17" s="483" t="s">
        <v>260</v>
      </c>
      <c r="GJ17" s="483" t="s">
        <v>260</v>
      </c>
      <c r="GK17" s="483" t="s">
        <v>260</v>
      </c>
      <c r="GL17" s="483" t="s">
        <v>260</v>
      </c>
      <c r="GM17" s="483" t="s">
        <v>260</v>
      </c>
      <c r="GN17" s="483" t="s">
        <v>260</v>
      </c>
      <c r="GO17" s="483" t="s">
        <v>260</v>
      </c>
      <c r="GP17" s="483" t="s">
        <v>260</v>
      </c>
      <c r="GQ17" s="483" t="s">
        <v>260</v>
      </c>
      <c r="GR17" s="483">
        <v>253</v>
      </c>
      <c r="GS17" s="483" t="s">
        <v>260</v>
      </c>
      <c r="GT17" s="483" t="s">
        <v>260</v>
      </c>
      <c r="GU17" s="483" t="s">
        <v>260</v>
      </c>
      <c r="GV17" s="483" t="s">
        <v>260</v>
      </c>
      <c r="GW17" s="483" t="s">
        <v>260</v>
      </c>
      <c r="GX17" s="483" t="s">
        <v>260</v>
      </c>
      <c r="GY17" s="483" t="s">
        <v>260</v>
      </c>
      <c r="GZ17" s="483">
        <v>54</v>
      </c>
      <c r="HA17" s="483" t="s">
        <v>260</v>
      </c>
      <c r="HB17" s="483" t="s">
        <v>260</v>
      </c>
      <c r="HC17" s="483" t="s">
        <v>260</v>
      </c>
      <c r="HD17" s="483" t="s">
        <v>260</v>
      </c>
      <c r="HE17" s="483" t="s">
        <v>260</v>
      </c>
      <c r="HF17" s="483" t="s">
        <v>260</v>
      </c>
      <c r="HG17" s="483" t="s">
        <v>260</v>
      </c>
      <c r="HH17" s="483" t="s">
        <v>260</v>
      </c>
      <c r="HI17" s="483" t="s">
        <v>260</v>
      </c>
      <c r="HJ17" s="483" t="s">
        <v>260</v>
      </c>
      <c r="HK17" s="483" t="s">
        <v>260</v>
      </c>
      <c r="HL17" s="483" t="s">
        <v>260</v>
      </c>
      <c r="HM17" s="483" t="s">
        <v>260</v>
      </c>
      <c r="HN17" s="483" t="s">
        <v>260</v>
      </c>
      <c r="HO17" s="483" t="s">
        <v>260</v>
      </c>
      <c r="HP17" s="483" t="s">
        <v>260</v>
      </c>
      <c r="HQ17" s="483" t="s">
        <v>260</v>
      </c>
      <c r="HR17" s="483" t="s">
        <v>260</v>
      </c>
      <c r="HS17" s="483" t="s">
        <v>260</v>
      </c>
      <c r="HT17" s="483" t="s">
        <v>260</v>
      </c>
      <c r="HU17" s="483" t="s">
        <v>260</v>
      </c>
      <c r="HV17" s="483" t="s">
        <v>260</v>
      </c>
      <c r="HW17" s="483" t="s">
        <v>260</v>
      </c>
      <c r="HX17" s="483" t="s">
        <v>260</v>
      </c>
      <c r="HY17" s="483" t="s">
        <v>260</v>
      </c>
      <c r="HZ17" s="483" t="s">
        <v>260</v>
      </c>
      <c r="IA17" s="483" t="s">
        <v>260</v>
      </c>
      <c r="IB17" s="483" t="s">
        <v>260</v>
      </c>
      <c r="IC17" s="483" t="s">
        <v>260</v>
      </c>
      <c r="ID17" s="483">
        <v>54</v>
      </c>
      <c r="IE17" s="483" t="s">
        <v>260</v>
      </c>
      <c r="IF17" s="483">
        <v>0</v>
      </c>
      <c r="IG17" s="483" t="s">
        <v>260</v>
      </c>
      <c r="IH17" s="483" t="s">
        <v>260</v>
      </c>
      <c r="II17" s="483" t="s">
        <v>260</v>
      </c>
      <c r="IJ17" s="483" t="s">
        <v>260</v>
      </c>
      <c r="IK17" s="483">
        <v>0</v>
      </c>
      <c r="IL17" s="483" t="s">
        <v>260</v>
      </c>
      <c r="IM17" s="483" t="s">
        <v>260</v>
      </c>
      <c r="IN17" s="483" t="s">
        <v>260</v>
      </c>
      <c r="IO17" s="483" t="s">
        <v>260</v>
      </c>
      <c r="IP17" s="483" t="s">
        <v>260</v>
      </c>
      <c r="IQ17" s="483" t="s">
        <v>260</v>
      </c>
      <c r="IR17" s="483" t="s">
        <v>260</v>
      </c>
      <c r="IS17" s="483" t="s">
        <v>260</v>
      </c>
      <c r="IT17" s="483" t="s">
        <v>260</v>
      </c>
      <c r="IU17" s="483" t="s">
        <v>260</v>
      </c>
      <c r="IV17" s="483" t="s">
        <v>260</v>
      </c>
      <c r="IW17" s="483" t="s">
        <v>260</v>
      </c>
      <c r="IX17" s="483" t="s">
        <v>260</v>
      </c>
      <c r="IY17" s="483" t="s">
        <v>260</v>
      </c>
      <c r="IZ17" s="483" t="s">
        <v>260</v>
      </c>
      <c r="JA17" s="483" t="s">
        <v>260</v>
      </c>
      <c r="JB17" s="483" t="s">
        <v>260</v>
      </c>
      <c r="JC17" s="483" t="s">
        <v>260</v>
      </c>
      <c r="JD17" s="483" t="s">
        <v>260</v>
      </c>
      <c r="JE17" s="483">
        <v>0</v>
      </c>
      <c r="JF17" s="483" t="s">
        <v>260</v>
      </c>
      <c r="JG17" s="483" t="s">
        <v>260</v>
      </c>
      <c r="JH17" s="483" t="s">
        <v>260</v>
      </c>
      <c r="JI17" s="483" t="s">
        <v>260</v>
      </c>
      <c r="JJ17" s="483" t="s">
        <v>260</v>
      </c>
      <c r="JK17" s="483" t="s">
        <v>260</v>
      </c>
      <c r="JL17" s="483" t="s">
        <v>260</v>
      </c>
      <c r="JM17" s="483" t="s">
        <v>260</v>
      </c>
      <c r="JN17" s="483" t="s">
        <v>260</v>
      </c>
      <c r="JO17" s="483" t="s">
        <v>260</v>
      </c>
      <c r="JP17" s="483" t="s">
        <v>260</v>
      </c>
      <c r="JQ17" s="483" t="s">
        <v>260</v>
      </c>
      <c r="JR17" s="483" t="s">
        <v>260</v>
      </c>
      <c r="JS17" s="483" t="s">
        <v>260</v>
      </c>
      <c r="JT17" s="483" t="s">
        <v>260</v>
      </c>
      <c r="JU17" s="483" t="s">
        <v>260</v>
      </c>
      <c r="JV17" s="483" t="s">
        <v>260</v>
      </c>
      <c r="JW17" s="483" t="s">
        <v>260</v>
      </c>
      <c r="JX17" s="483" t="s">
        <v>260</v>
      </c>
      <c r="JY17" s="483" t="s">
        <v>260</v>
      </c>
      <c r="JZ17" s="483" t="s">
        <v>260</v>
      </c>
      <c r="KA17" s="483" t="s">
        <v>260</v>
      </c>
      <c r="KB17" s="483">
        <v>68</v>
      </c>
      <c r="KC17" s="483" t="s">
        <v>260</v>
      </c>
      <c r="KD17" s="483" t="s">
        <v>260</v>
      </c>
      <c r="KE17" s="483" t="s">
        <v>260</v>
      </c>
      <c r="KF17" s="483" t="s">
        <v>260</v>
      </c>
      <c r="KG17" s="483" t="s">
        <v>260</v>
      </c>
      <c r="KH17" s="483">
        <v>44</v>
      </c>
      <c r="KI17" s="483" t="s">
        <v>260</v>
      </c>
      <c r="KJ17" s="483" t="s">
        <v>260</v>
      </c>
      <c r="KK17" s="483" t="s">
        <v>260</v>
      </c>
      <c r="KL17" s="483" t="s">
        <v>260</v>
      </c>
      <c r="KM17" s="483" t="s">
        <v>260</v>
      </c>
      <c r="KN17" s="483" t="s">
        <v>260</v>
      </c>
      <c r="KO17" s="483" t="s">
        <v>260</v>
      </c>
      <c r="KP17" s="483" t="s">
        <v>260</v>
      </c>
      <c r="KQ17" s="483" t="s">
        <v>260</v>
      </c>
      <c r="KR17" s="483" t="s">
        <v>260</v>
      </c>
      <c r="KS17" s="483" t="s">
        <v>260</v>
      </c>
      <c r="KT17" s="483" t="s">
        <v>260</v>
      </c>
      <c r="KU17" s="483" t="s">
        <v>260</v>
      </c>
      <c r="KV17" s="483" t="s">
        <v>260</v>
      </c>
      <c r="KW17" s="483">
        <v>24</v>
      </c>
      <c r="KX17" s="483" t="s">
        <v>260</v>
      </c>
      <c r="KY17" s="483" t="s">
        <v>260</v>
      </c>
      <c r="KZ17" s="483" t="s">
        <v>260</v>
      </c>
      <c r="LA17" s="483" t="s">
        <v>260</v>
      </c>
      <c r="LB17" s="483" t="s">
        <v>260</v>
      </c>
      <c r="LC17" s="483" t="s">
        <v>260</v>
      </c>
      <c r="LD17" s="483" t="s">
        <v>260</v>
      </c>
      <c r="LE17" s="483" t="s">
        <v>260</v>
      </c>
      <c r="LF17" s="483" t="s">
        <v>260</v>
      </c>
      <c r="LG17" s="483" t="s">
        <v>260</v>
      </c>
      <c r="LH17" s="483" t="s">
        <v>260</v>
      </c>
      <c r="LI17" s="483" t="s">
        <v>260</v>
      </c>
      <c r="LJ17" s="483" t="s">
        <v>260</v>
      </c>
      <c r="LK17" s="483" t="s">
        <v>260</v>
      </c>
      <c r="LL17" s="483" t="s">
        <v>260</v>
      </c>
      <c r="LM17" s="483" t="s">
        <v>260</v>
      </c>
      <c r="LN17" s="483" t="s">
        <v>260</v>
      </c>
      <c r="LO17" s="483" t="s">
        <v>260</v>
      </c>
      <c r="LP17" s="483" t="s">
        <v>260</v>
      </c>
      <c r="LQ17" s="483" t="s">
        <v>260</v>
      </c>
      <c r="LR17" s="485" t="s">
        <v>260</v>
      </c>
      <c r="LS17" s="485">
        <v>0</v>
      </c>
      <c r="LT17" s="485" t="s">
        <v>260</v>
      </c>
      <c r="LU17" s="485" t="s">
        <v>260</v>
      </c>
      <c r="LV17" s="485" t="s">
        <v>260</v>
      </c>
      <c r="LW17" s="485" t="s">
        <v>260</v>
      </c>
      <c r="LX17" s="485" t="s">
        <v>260</v>
      </c>
      <c r="LY17" s="485" t="s">
        <v>260</v>
      </c>
      <c r="LZ17" s="485" t="s">
        <v>260</v>
      </c>
      <c r="MA17" s="485" t="s">
        <v>260</v>
      </c>
      <c r="MB17" s="485" t="s">
        <v>260</v>
      </c>
      <c r="MC17" s="485">
        <v>0</v>
      </c>
      <c r="MD17" s="485" t="s">
        <v>260</v>
      </c>
      <c r="ME17" s="485" t="s">
        <v>260</v>
      </c>
      <c r="MF17" s="485" t="s">
        <v>260</v>
      </c>
      <c r="MG17" s="485" t="s">
        <v>260</v>
      </c>
      <c r="MH17" s="485" t="s">
        <v>260</v>
      </c>
      <c r="MI17" s="485" t="s">
        <v>260</v>
      </c>
      <c r="MJ17" s="485">
        <v>0</v>
      </c>
      <c r="MK17" s="485" t="s">
        <v>260</v>
      </c>
      <c r="ML17" s="485" t="s">
        <v>260</v>
      </c>
      <c r="MM17" s="485" t="s">
        <v>260</v>
      </c>
      <c r="MN17" s="485" t="s">
        <v>260</v>
      </c>
      <c r="MO17" s="485" t="s">
        <v>260</v>
      </c>
      <c r="MP17" s="485" t="s">
        <v>260</v>
      </c>
      <c r="MQ17" s="485" t="s">
        <v>260</v>
      </c>
      <c r="MR17" s="485" t="s">
        <v>260</v>
      </c>
      <c r="MS17" s="485" t="s">
        <v>260</v>
      </c>
      <c r="MT17" s="485" t="s">
        <v>260</v>
      </c>
      <c r="MU17" s="485" t="s">
        <v>260</v>
      </c>
      <c r="MV17" s="485" t="s">
        <v>260</v>
      </c>
      <c r="MW17" s="485" t="s">
        <v>260</v>
      </c>
      <c r="MX17" s="485" t="s">
        <v>260</v>
      </c>
      <c r="MY17" s="485" t="s">
        <v>260</v>
      </c>
      <c r="MZ17" s="485" t="s">
        <v>260</v>
      </c>
      <c r="NA17" s="485" t="s">
        <v>260</v>
      </c>
      <c r="NB17" s="485">
        <v>0</v>
      </c>
      <c r="NC17" s="485" t="s">
        <v>260</v>
      </c>
      <c r="ND17" s="485" t="s">
        <v>260</v>
      </c>
      <c r="NE17" s="485" t="s">
        <v>260</v>
      </c>
      <c r="NF17" s="485" t="s">
        <v>260</v>
      </c>
      <c r="NG17" s="485" t="s">
        <v>260</v>
      </c>
      <c r="NH17" s="485" t="s">
        <v>260</v>
      </c>
      <c r="NI17" s="485" t="s">
        <v>260</v>
      </c>
      <c r="NJ17" s="485" t="s">
        <v>5330</v>
      </c>
      <c r="NK17" s="485" t="s">
        <v>260</v>
      </c>
      <c r="NL17" s="485" t="s">
        <v>260</v>
      </c>
      <c r="NM17" s="485" t="s">
        <v>260</v>
      </c>
      <c r="NN17" s="485" t="s">
        <v>260</v>
      </c>
      <c r="NO17" s="485">
        <v>0</v>
      </c>
      <c r="NP17" s="485">
        <v>0</v>
      </c>
      <c r="NQ17" s="485" t="s">
        <v>260</v>
      </c>
      <c r="NR17" s="485" t="s">
        <v>260</v>
      </c>
      <c r="NS17" s="485" t="s">
        <v>260</v>
      </c>
      <c r="NT17" s="485" t="s">
        <v>260</v>
      </c>
      <c r="NU17" s="485" t="s">
        <v>260</v>
      </c>
      <c r="NV17" s="485" t="s">
        <v>260</v>
      </c>
      <c r="NW17" s="485" t="s">
        <v>260</v>
      </c>
      <c r="NX17" s="485" t="s">
        <v>260</v>
      </c>
      <c r="NY17" s="485" t="s">
        <v>260</v>
      </c>
      <c r="NZ17" s="485" t="s">
        <v>260</v>
      </c>
      <c r="OA17" s="485" t="s">
        <v>260</v>
      </c>
      <c r="OB17" s="485" t="s">
        <v>260</v>
      </c>
      <c r="OC17" s="485" t="s">
        <v>260</v>
      </c>
      <c r="OD17" s="485">
        <v>0</v>
      </c>
      <c r="OE17" s="485" t="s">
        <v>260</v>
      </c>
      <c r="OF17" s="485" t="s">
        <v>260</v>
      </c>
      <c r="OG17" s="485" t="s">
        <v>260</v>
      </c>
      <c r="OH17" s="485" t="s">
        <v>260</v>
      </c>
      <c r="OI17" s="485" t="s">
        <v>260</v>
      </c>
      <c r="OJ17" s="485" t="s">
        <v>260</v>
      </c>
      <c r="OK17" s="485" t="s">
        <v>260</v>
      </c>
      <c r="OL17" s="485" t="s">
        <v>260</v>
      </c>
      <c r="OM17" s="483" t="s">
        <v>260</v>
      </c>
      <c r="ON17" s="483" t="s">
        <v>260</v>
      </c>
      <c r="OO17" s="483" t="s">
        <v>260</v>
      </c>
      <c r="OP17" s="483" t="s">
        <v>260</v>
      </c>
      <c r="OQ17" s="483" t="s">
        <v>260</v>
      </c>
      <c r="OR17" s="483" t="s">
        <v>260</v>
      </c>
      <c r="OS17" s="483" t="s">
        <v>260</v>
      </c>
      <c r="OT17" s="483" t="s">
        <v>260</v>
      </c>
      <c r="OU17" s="483" t="s">
        <v>260</v>
      </c>
      <c r="OV17" s="483" t="s">
        <v>260</v>
      </c>
      <c r="OW17" s="483" t="s">
        <v>260</v>
      </c>
      <c r="OX17" s="483" t="s">
        <v>260</v>
      </c>
      <c r="OY17" s="483" t="s">
        <v>260</v>
      </c>
      <c r="OZ17" s="483" t="s">
        <v>260</v>
      </c>
      <c r="PA17" s="483" t="s">
        <v>260</v>
      </c>
      <c r="PB17" s="483" t="s">
        <v>260</v>
      </c>
      <c r="PC17" s="483" t="s">
        <v>260</v>
      </c>
      <c r="PD17" s="483" t="s">
        <v>260</v>
      </c>
      <c r="PE17" s="485">
        <v>0</v>
      </c>
      <c r="PF17" s="483" t="s">
        <v>260</v>
      </c>
      <c r="PG17" s="483" t="s">
        <v>260</v>
      </c>
      <c r="PH17" s="483" t="s">
        <v>260</v>
      </c>
      <c r="PI17" s="483" t="s">
        <v>260</v>
      </c>
      <c r="PJ17" s="483" t="s">
        <v>260</v>
      </c>
      <c r="PK17" s="483" t="s">
        <v>260</v>
      </c>
      <c r="PL17" s="483" t="s">
        <v>260</v>
      </c>
      <c r="PM17" s="483" t="s">
        <v>260</v>
      </c>
    </row>
    <row r="18" spans="2:429" ht="15.6" x14ac:dyDescent="0.3">
      <c r="B18" s="487" t="s">
        <v>1730</v>
      </c>
      <c r="C18" s="483">
        <f t="shared" si="0"/>
        <v>150</v>
      </c>
      <c r="D18" s="483">
        <v>0</v>
      </c>
      <c r="E18" s="483" t="s">
        <v>260</v>
      </c>
      <c r="F18" s="483" t="s">
        <v>260</v>
      </c>
      <c r="G18" s="483" t="s">
        <v>260</v>
      </c>
      <c r="H18" s="483" t="s">
        <v>260</v>
      </c>
      <c r="I18" s="483" t="s">
        <v>260</v>
      </c>
      <c r="J18" s="483" t="s">
        <v>260</v>
      </c>
      <c r="K18" s="483" t="s">
        <v>260</v>
      </c>
      <c r="L18" s="483" t="s">
        <v>260</v>
      </c>
      <c r="M18" s="483" t="s">
        <v>260</v>
      </c>
      <c r="N18" s="483" t="s">
        <v>260</v>
      </c>
      <c r="O18" s="483" t="s">
        <v>260</v>
      </c>
      <c r="P18" s="483" t="s">
        <v>260</v>
      </c>
      <c r="Q18" s="483" t="s">
        <v>260</v>
      </c>
      <c r="R18" s="483" t="s">
        <v>260</v>
      </c>
      <c r="S18" s="483" t="s">
        <v>260</v>
      </c>
      <c r="T18" s="483" t="s">
        <v>260</v>
      </c>
      <c r="U18" s="483">
        <v>150</v>
      </c>
      <c r="V18" s="483" t="s">
        <v>260</v>
      </c>
      <c r="W18" s="483" t="s">
        <v>260</v>
      </c>
      <c r="X18" s="483" t="s">
        <v>260</v>
      </c>
      <c r="Y18" s="483" t="s">
        <v>260</v>
      </c>
      <c r="Z18" s="483" t="s">
        <v>260</v>
      </c>
      <c r="AA18" s="483" t="s">
        <v>260</v>
      </c>
      <c r="AB18" s="483" t="s">
        <v>260</v>
      </c>
      <c r="AC18" s="483" t="s">
        <v>260</v>
      </c>
      <c r="AD18" s="483" t="s">
        <v>260</v>
      </c>
      <c r="AE18" s="483" t="s">
        <v>260</v>
      </c>
      <c r="AF18" s="483" t="s">
        <v>260</v>
      </c>
      <c r="AG18" s="483" t="s">
        <v>260</v>
      </c>
      <c r="AH18" s="483" t="s">
        <v>260</v>
      </c>
      <c r="AI18" s="483" t="s">
        <v>260</v>
      </c>
      <c r="AJ18" s="483" t="s">
        <v>260</v>
      </c>
      <c r="AK18" s="483" t="s">
        <v>260</v>
      </c>
      <c r="AL18" s="483" t="s">
        <v>260</v>
      </c>
      <c r="AM18" s="483" t="s">
        <v>260</v>
      </c>
      <c r="AN18" s="483" t="s">
        <v>260</v>
      </c>
      <c r="AO18" s="483" t="s">
        <v>260</v>
      </c>
      <c r="AP18" s="483" t="s">
        <v>260</v>
      </c>
      <c r="AQ18" s="483" t="s">
        <v>260</v>
      </c>
      <c r="AR18" s="483" t="s">
        <v>260</v>
      </c>
      <c r="AS18" s="483" t="s">
        <v>260</v>
      </c>
      <c r="AT18" s="483">
        <f t="shared" si="1"/>
        <v>346</v>
      </c>
      <c r="AU18" s="483" t="s">
        <v>260</v>
      </c>
      <c r="AV18" s="483">
        <v>148</v>
      </c>
      <c r="AW18" s="483" t="s">
        <v>260</v>
      </c>
      <c r="AX18" s="483" t="s">
        <v>260</v>
      </c>
      <c r="AY18" s="483" t="s">
        <v>260</v>
      </c>
      <c r="AZ18" s="483" t="s">
        <v>260</v>
      </c>
      <c r="BA18" s="483" t="s">
        <v>260</v>
      </c>
      <c r="BB18" s="483" t="s">
        <v>260</v>
      </c>
      <c r="BC18" s="483" t="s">
        <v>260</v>
      </c>
      <c r="BD18" s="483" t="s">
        <v>260</v>
      </c>
      <c r="BE18" s="483" t="s">
        <v>260</v>
      </c>
      <c r="BF18" s="483" t="s">
        <v>260</v>
      </c>
      <c r="BG18" s="483" t="s">
        <v>260</v>
      </c>
      <c r="BH18" s="483" t="s">
        <v>260</v>
      </c>
      <c r="BI18" s="483" t="s">
        <v>260</v>
      </c>
      <c r="BJ18" s="483" t="s">
        <v>260</v>
      </c>
      <c r="BK18" s="483" t="s">
        <v>260</v>
      </c>
      <c r="BL18" s="483" t="s">
        <v>260</v>
      </c>
      <c r="BM18" s="483" t="s">
        <v>260</v>
      </c>
      <c r="BN18" s="483" t="s">
        <v>260</v>
      </c>
      <c r="BO18" s="483" t="s">
        <v>260</v>
      </c>
      <c r="BP18" s="483" t="s">
        <v>260</v>
      </c>
      <c r="BQ18" s="483" t="s">
        <v>260</v>
      </c>
      <c r="BR18" s="483" t="s">
        <v>260</v>
      </c>
      <c r="BS18" s="483" t="s">
        <v>260</v>
      </c>
      <c r="BT18" s="483" t="s">
        <v>260</v>
      </c>
      <c r="BU18" s="483" t="s">
        <v>260</v>
      </c>
      <c r="BV18" s="483" t="s">
        <v>260</v>
      </c>
      <c r="BW18" s="483" t="s">
        <v>260</v>
      </c>
      <c r="BX18" s="483" t="s">
        <v>260</v>
      </c>
      <c r="BY18" s="483" t="s">
        <v>260</v>
      </c>
      <c r="BZ18" s="483" t="s">
        <v>260</v>
      </c>
      <c r="CA18" s="483" t="s">
        <v>260</v>
      </c>
      <c r="CB18" s="483" t="s">
        <v>260</v>
      </c>
      <c r="CC18" s="483" t="s">
        <v>260</v>
      </c>
      <c r="CD18" s="483" t="s">
        <v>260</v>
      </c>
      <c r="CE18" s="483">
        <v>198</v>
      </c>
      <c r="CF18" s="483" t="s">
        <v>260</v>
      </c>
      <c r="CG18" s="483" t="s">
        <v>260</v>
      </c>
      <c r="CH18" s="483" t="s">
        <v>260</v>
      </c>
      <c r="CI18" s="483" t="s">
        <v>260</v>
      </c>
      <c r="CJ18" s="483" t="s">
        <v>260</v>
      </c>
      <c r="CK18" s="483" t="s">
        <v>260</v>
      </c>
      <c r="CL18" s="483" t="s">
        <v>260</v>
      </c>
      <c r="CM18" s="483" t="s">
        <v>260</v>
      </c>
      <c r="CN18" s="483" t="s">
        <v>260</v>
      </c>
      <c r="CO18" s="483" t="s">
        <v>260</v>
      </c>
      <c r="CP18" s="483" t="s">
        <v>260</v>
      </c>
      <c r="CQ18" s="483" t="s">
        <v>260</v>
      </c>
      <c r="CR18" s="483" t="s">
        <v>260</v>
      </c>
      <c r="CS18" s="483" t="s">
        <v>260</v>
      </c>
      <c r="CT18" s="483" t="s">
        <v>260</v>
      </c>
      <c r="CU18" s="483" t="s">
        <v>260</v>
      </c>
      <c r="CV18" s="483" t="s">
        <v>260</v>
      </c>
      <c r="CW18" s="483" t="s">
        <v>260</v>
      </c>
      <c r="CX18" s="483" t="s">
        <v>260</v>
      </c>
      <c r="CY18" s="483" t="s">
        <v>260</v>
      </c>
      <c r="CZ18" s="483" t="s">
        <v>260</v>
      </c>
      <c r="DA18" s="483" t="s">
        <v>260</v>
      </c>
      <c r="DB18" s="483" t="s">
        <v>260</v>
      </c>
      <c r="DC18" s="483" t="s">
        <v>260</v>
      </c>
      <c r="DD18" s="483" t="s">
        <v>260</v>
      </c>
      <c r="DE18" s="483" t="s">
        <v>260</v>
      </c>
      <c r="DF18" s="483" t="s">
        <v>260</v>
      </c>
      <c r="DG18" s="483" t="s">
        <v>260</v>
      </c>
      <c r="DH18" s="483" t="s">
        <v>260</v>
      </c>
      <c r="DI18" s="483" t="s">
        <v>260</v>
      </c>
      <c r="DJ18" s="483" t="s">
        <v>260</v>
      </c>
      <c r="DK18" s="483" t="s">
        <v>260</v>
      </c>
      <c r="DL18" s="483" t="s">
        <v>260</v>
      </c>
      <c r="DM18" s="483" t="s">
        <v>260</v>
      </c>
      <c r="DN18" s="483">
        <v>33</v>
      </c>
      <c r="DO18" s="483" t="s">
        <v>260</v>
      </c>
      <c r="DP18" s="483" t="s">
        <v>260</v>
      </c>
      <c r="DQ18" s="483" t="s">
        <v>260</v>
      </c>
      <c r="DR18" s="483" t="s">
        <v>260</v>
      </c>
      <c r="DS18" s="483" t="s">
        <v>260</v>
      </c>
      <c r="DT18" s="483" t="s">
        <v>260</v>
      </c>
      <c r="DU18" s="483" t="s">
        <v>260</v>
      </c>
      <c r="DV18" s="483" t="s">
        <v>260</v>
      </c>
      <c r="DW18" s="483" t="s">
        <v>260</v>
      </c>
      <c r="DX18" s="483" t="s">
        <v>260</v>
      </c>
      <c r="DY18" s="483" t="s">
        <v>260</v>
      </c>
      <c r="DZ18" s="483" t="s">
        <v>260</v>
      </c>
      <c r="EA18" s="483">
        <v>33</v>
      </c>
      <c r="EB18" s="483">
        <v>1884</v>
      </c>
      <c r="EC18" s="483">
        <v>1868</v>
      </c>
      <c r="ED18" s="483">
        <v>16</v>
      </c>
      <c r="EE18" s="483" t="s">
        <v>260</v>
      </c>
      <c r="EF18" s="483" t="s">
        <v>260</v>
      </c>
      <c r="EG18" s="483" t="s">
        <v>260</v>
      </c>
      <c r="EH18" s="483" t="s">
        <v>260</v>
      </c>
      <c r="EI18" s="483" t="s">
        <v>260</v>
      </c>
      <c r="EJ18" s="483" t="s">
        <v>260</v>
      </c>
      <c r="EK18" s="483" t="s">
        <v>260</v>
      </c>
      <c r="EL18" s="483" t="s">
        <v>260</v>
      </c>
      <c r="EM18" s="483" t="s">
        <v>260</v>
      </c>
      <c r="EN18" s="483" t="s">
        <v>260</v>
      </c>
      <c r="EO18" s="483" t="s">
        <v>260</v>
      </c>
      <c r="EP18" s="483" t="s">
        <v>260</v>
      </c>
      <c r="EQ18" s="483" t="s">
        <v>260</v>
      </c>
      <c r="ER18" s="483" t="s">
        <v>260</v>
      </c>
      <c r="ES18" s="483" t="s">
        <v>260</v>
      </c>
      <c r="ET18" s="483" t="s">
        <v>260</v>
      </c>
      <c r="EU18" s="483" t="s">
        <v>260</v>
      </c>
      <c r="EV18" s="483" t="s">
        <v>260</v>
      </c>
      <c r="EW18" s="483" t="s">
        <v>260</v>
      </c>
      <c r="EX18" s="483" t="s">
        <v>260</v>
      </c>
      <c r="EY18" s="483" t="s">
        <v>260</v>
      </c>
      <c r="EZ18" s="483" t="s">
        <v>260</v>
      </c>
      <c r="FA18" s="483" t="s">
        <v>260</v>
      </c>
      <c r="FB18" s="483" t="s">
        <v>260</v>
      </c>
      <c r="FC18" s="483" t="s">
        <v>260</v>
      </c>
      <c r="FD18" s="483">
        <v>681</v>
      </c>
      <c r="FE18" s="483" t="s">
        <v>260</v>
      </c>
      <c r="FF18" s="483" t="s">
        <v>260</v>
      </c>
      <c r="FG18" s="483" t="s">
        <v>260</v>
      </c>
      <c r="FH18" s="483" t="s">
        <v>260</v>
      </c>
      <c r="FI18" s="483" t="s">
        <v>260</v>
      </c>
      <c r="FJ18" s="483" t="s">
        <v>260</v>
      </c>
      <c r="FK18" s="483" t="s">
        <v>260</v>
      </c>
      <c r="FL18" s="483">
        <v>255</v>
      </c>
      <c r="FM18" s="483">
        <v>165</v>
      </c>
      <c r="FN18" s="483">
        <v>261</v>
      </c>
      <c r="FO18" s="483" t="s">
        <v>260</v>
      </c>
      <c r="FP18" s="483" t="s">
        <v>260</v>
      </c>
      <c r="FQ18" s="483" t="s">
        <v>260</v>
      </c>
      <c r="FR18" s="483" t="s">
        <v>260</v>
      </c>
      <c r="FS18" s="483" t="s">
        <v>260</v>
      </c>
      <c r="FT18" s="483" t="s">
        <v>260</v>
      </c>
      <c r="FU18" s="483" t="s">
        <v>260</v>
      </c>
      <c r="FV18" s="483" t="s">
        <v>260</v>
      </c>
      <c r="FW18" s="483" t="s">
        <v>260</v>
      </c>
      <c r="FX18" s="483" t="s">
        <v>260</v>
      </c>
      <c r="FY18" s="483" t="s">
        <v>260</v>
      </c>
      <c r="FZ18" s="483" t="s">
        <v>260</v>
      </c>
      <c r="GA18" s="483" t="s">
        <v>260</v>
      </c>
      <c r="GB18" s="483" t="s">
        <v>260</v>
      </c>
      <c r="GC18" s="483" t="s">
        <v>260</v>
      </c>
      <c r="GD18" s="483" t="s">
        <v>260</v>
      </c>
      <c r="GE18" s="483" t="s">
        <v>260</v>
      </c>
      <c r="GF18" s="483" t="s">
        <v>260</v>
      </c>
      <c r="GG18" s="483" t="s">
        <v>260</v>
      </c>
      <c r="GH18" s="483" t="s">
        <v>260</v>
      </c>
      <c r="GI18" s="483" t="s">
        <v>260</v>
      </c>
      <c r="GJ18" s="483" t="s">
        <v>260</v>
      </c>
      <c r="GK18" s="483" t="s">
        <v>260</v>
      </c>
      <c r="GL18" s="483" t="s">
        <v>260</v>
      </c>
      <c r="GM18" s="483" t="s">
        <v>260</v>
      </c>
      <c r="GN18" s="483" t="s">
        <v>260</v>
      </c>
      <c r="GO18" s="483" t="s">
        <v>260</v>
      </c>
      <c r="GP18" s="483" t="s">
        <v>260</v>
      </c>
      <c r="GQ18" s="483" t="s">
        <v>260</v>
      </c>
      <c r="GR18" s="483" t="s">
        <v>260</v>
      </c>
      <c r="GS18" s="483" t="s">
        <v>260</v>
      </c>
      <c r="GT18" s="483" t="s">
        <v>260</v>
      </c>
      <c r="GU18" s="483" t="s">
        <v>260</v>
      </c>
      <c r="GV18" s="483" t="s">
        <v>260</v>
      </c>
      <c r="GW18" s="483" t="s">
        <v>260</v>
      </c>
      <c r="GX18" s="483" t="s">
        <v>260</v>
      </c>
      <c r="GY18" s="483" t="s">
        <v>260</v>
      </c>
      <c r="GZ18" s="483">
        <v>233</v>
      </c>
      <c r="HA18" s="483" t="s">
        <v>260</v>
      </c>
      <c r="HB18" s="483" t="s">
        <v>260</v>
      </c>
      <c r="HC18" s="483" t="s">
        <v>260</v>
      </c>
      <c r="HD18" s="483" t="s">
        <v>260</v>
      </c>
      <c r="HE18" s="483">
        <v>70</v>
      </c>
      <c r="HF18" s="483" t="s">
        <v>260</v>
      </c>
      <c r="HG18" s="483" t="s">
        <v>260</v>
      </c>
      <c r="HH18" s="483" t="s">
        <v>260</v>
      </c>
      <c r="HI18" s="483" t="s">
        <v>260</v>
      </c>
      <c r="HJ18" s="483" t="s">
        <v>260</v>
      </c>
      <c r="HK18" s="483" t="s">
        <v>260</v>
      </c>
      <c r="HL18" s="483" t="s">
        <v>260</v>
      </c>
      <c r="HM18" s="483" t="s">
        <v>260</v>
      </c>
      <c r="HN18" s="483">
        <v>163</v>
      </c>
      <c r="HO18" s="483" t="s">
        <v>260</v>
      </c>
      <c r="HP18" s="483" t="s">
        <v>260</v>
      </c>
      <c r="HQ18" s="483" t="s">
        <v>260</v>
      </c>
      <c r="HR18" s="483" t="s">
        <v>260</v>
      </c>
      <c r="HS18" s="483" t="s">
        <v>260</v>
      </c>
      <c r="HT18" s="483" t="s">
        <v>260</v>
      </c>
      <c r="HU18" s="483" t="s">
        <v>260</v>
      </c>
      <c r="HV18" s="483" t="s">
        <v>260</v>
      </c>
      <c r="HW18" s="483" t="s">
        <v>260</v>
      </c>
      <c r="HX18" s="483" t="s">
        <v>260</v>
      </c>
      <c r="HY18" s="483" t="s">
        <v>260</v>
      </c>
      <c r="HZ18" s="483" t="s">
        <v>260</v>
      </c>
      <c r="IA18" s="483" t="s">
        <v>260</v>
      </c>
      <c r="IB18" s="483" t="s">
        <v>260</v>
      </c>
      <c r="IC18" s="483" t="s">
        <v>260</v>
      </c>
      <c r="ID18" s="483" t="s">
        <v>260</v>
      </c>
      <c r="IE18" s="483" t="s">
        <v>260</v>
      </c>
      <c r="IF18" s="483">
        <v>0</v>
      </c>
      <c r="IG18" s="483" t="s">
        <v>260</v>
      </c>
      <c r="IH18" s="483" t="s">
        <v>260</v>
      </c>
      <c r="II18" s="483" t="s">
        <v>260</v>
      </c>
      <c r="IJ18" s="483" t="s">
        <v>260</v>
      </c>
      <c r="IK18" s="483">
        <v>22</v>
      </c>
      <c r="IL18" s="483" t="s">
        <v>260</v>
      </c>
      <c r="IM18" s="483" t="s">
        <v>260</v>
      </c>
      <c r="IN18" s="483" t="s">
        <v>260</v>
      </c>
      <c r="IO18" s="483" t="s">
        <v>260</v>
      </c>
      <c r="IP18" s="483">
        <v>22</v>
      </c>
      <c r="IQ18" s="483" t="s">
        <v>260</v>
      </c>
      <c r="IR18" s="483" t="s">
        <v>260</v>
      </c>
      <c r="IS18" s="483" t="s">
        <v>260</v>
      </c>
      <c r="IT18" s="483" t="s">
        <v>260</v>
      </c>
      <c r="IU18" s="483" t="s">
        <v>260</v>
      </c>
      <c r="IV18" s="483" t="s">
        <v>260</v>
      </c>
      <c r="IW18" s="483" t="s">
        <v>260</v>
      </c>
      <c r="IX18" s="483" t="s">
        <v>260</v>
      </c>
      <c r="IY18" s="483" t="s">
        <v>260</v>
      </c>
      <c r="IZ18" s="483" t="s">
        <v>260</v>
      </c>
      <c r="JA18" s="483" t="s">
        <v>260</v>
      </c>
      <c r="JB18" s="483" t="s">
        <v>260</v>
      </c>
      <c r="JC18" s="483" t="s">
        <v>260</v>
      </c>
      <c r="JD18" s="483" t="s">
        <v>260</v>
      </c>
      <c r="JE18" s="483">
        <v>94</v>
      </c>
      <c r="JF18" s="483">
        <v>94</v>
      </c>
      <c r="JG18" s="483" t="s">
        <v>260</v>
      </c>
      <c r="JH18" s="483" t="s">
        <v>260</v>
      </c>
      <c r="JI18" s="483" t="s">
        <v>260</v>
      </c>
      <c r="JJ18" s="483" t="s">
        <v>260</v>
      </c>
      <c r="JK18" s="483" t="s">
        <v>260</v>
      </c>
      <c r="JL18" s="483" t="s">
        <v>260</v>
      </c>
      <c r="JM18" s="483" t="s">
        <v>260</v>
      </c>
      <c r="JN18" s="483" t="s">
        <v>260</v>
      </c>
      <c r="JO18" s="483" t="s">
        <v>260</v>
      </c>
      <c r="JP18" s="483" t="s">
        <v>260</v>
      </c>
      <c r="JQ18" s="483" t="s">
        <v>260</v>
      </c>
      <c r="JR18" s="483" t="s">
        <v>260</v>
      </c>
      <c r="JS18" s="483" t="s">
        <v>260</v>
      </c>
      <c r="JT18" s="483" t="s">
        <v>260</v>
      </c>
      <c r="JU18" s="483" t="s">
        <v>260</v>
      </c>
      <c r="JV18" s="483" t="s">
        <v>260</v>
      </c>
      <c r="JW18" s="483" t="s">
        <v>260</v>
      </c>
      <c r="JX18" s="483" t="s">
        <v>260</v>
      </c>
      <c r="JY18" s="483" t="s">
        <v>260</v>
      </c>
      <c r="JZ18" s="483" t="s">
        <v>260</v>
      </c>
      <c r="KA18" s="483" t="s">
        <v>260</v>
      </c>
      <c r="KB18" s="483">
        <v>54</v>
      </c>
      <c r="KC18" s="483" t="s">
        <v>260</v>
      </c>
      <c r="KD18" s="483" t="s">
        <v>260</v>
      </c>
      <c r="KE18" s="483" t="s">
        <v>260</v>
      </c>
      <c r="KF18" s="483" t="s">
        <v>260</v>
      </c>
      <c r="KG18" s="483" t="s">
        <v>260</v>
      </c>
      <c r="KH18" s="483">
        <v>14</v>
      </c>
      <c r="KI18" s="483">
        <v>1</v>
      </c>
      <c r="KJ18" s="483" t="s">
        <v>260</v>
      </c>
      <c r="KK18" s="483" t="s">
        <v>260</v>
      </c>
      <c r="KL18" s="483" t="s">
        <v>260</v>
      </c>
      <c r="KM18" s="483" t="s">
        <v>260</v>
      </c>
      <c r="KN18" s="483" t="s">
        <v>260</v>
      </c>
      <c r="KO18" s="483" t="s">
        <v>260</v>
      </c>
      <c r="KP18" s="483" t="s">
        <v>260</v>
      </c>
      <c r="KQ18" s="483" t="s">
        <v>260</v>
      </c>
      <c r="KR18" s="483" t="s">
        <v>260</v>
      </c>
      <c r="KS18" s="483" t="s">
        <v>260</v>
      </c>
      <c r="KT18" s="483" t="s">
        <v>260</v>
      </c>
      <c r="KU18" s="483" t="s">
        <v>260</v>
      </c>
      <c r="KV18" s="483" t="s">
        <v>260</v>
      </c>
      <c r="KW18" s="483" t="s">
        <v>260</v>
      </c>
      <c r="KX18" s="483" t="s">
        <v>260</v>
      </c>
      <c r="KY18" s="483" t="s">
        <v>260</v>
      </c>
      <c r="KZ18" s="483" t="s">
        <v>260</v>
      </c>
      <c r="LA18" s="483" t="s">
        <v>260</v>
      </c>
      <c r="LB18" s="483" t="s">
        <v>260</v>
      </c>
      <c r="LC18" s="483">
        <v>31</v>
      </c>
      <c r="LD18" s="483">
        <v>8</v>
      </c>
      <c r="LE18" s="483" t="s">
        <v>260</v>
      </c>
      <c r="LF18" s="483" t="s">
        <v>260</v>
      </c>
      <c r="LG18" s="483" t="s">
        <v>260</v>
      </c>
      <c r="LH18" s="483" t="s">
        <v>260</v>
      </c>
      <c r="LI18" s="483" t="s">
        <v>260</v>
      </c>
      <c r="LJ18" s="483" t="s">
        <v>260</v>
      </c>
      <c r="LK18" s="483" t="s">
        <v>260</v>
      </c>
      <c r="LL18" s="483" t="s">
        <v>260</v>
      </c>
      <c r="LM18" s="483" t="s">
        <v>260</v>
      </c>
      <c r="LN18" s="483" t="s">
        <v>260</v>
      </c>
      <c r="LO18" s="483" t="s">
        <v>260</v>
      </c>
      <c r="LP18" s="483" t="s">
        <v>260</v>
      </c>
      <c r="LQ18" s="483" t="s">
        <v>260</v>
      </c>
      <c r="LR18" s="485" t="s">
        <v>260</v>
      </c>
      <c r="LS18" s="485">
        <v>20</v>
      </c>
      <c r="LT18" s="485" t="s">
        <v>260</v>
      </c>
      <c r="LU18" s="485">
        <v>20</v>
      </c>
      <c r="LV18" s="485" t="s">
        <v>260</v>
      </c>
      <c r="LW18" s="485" t="s">
        <v>260</v>
      </c>
      <c r="LX18" s="485" t="s">
        <v>260</v>
      </c>
      <c r="LY18" s="485" t="s">
        <v>260</v>
      </c>
      <c r="LZ18" s="485" t="s">
        <v>260</v>
      </c>
      <c r="MA18" s="485" t="s">
        <v>260</v>
      </c>
      <c r="MB18" s="485" t="s">
        <v>260</v>
      </c>
      <c r="MC18" s="485">
        <v>0</v>
      </c>
      <c r="MD18" s="485" t="s">
        <v>260</v>
      </c>
      <c r="ME18" s="485" t="s">
        <v>260</v>
      </c>
      <c r="MF18" s="485" t="s">
        <v>260</v>
      </c>
      <c r="MG18" s="485" t="s">
        <v>260</v>
      </c>
      <c r="MH18" s="485" t="s">
        <v>260</v>
      </c>
      <c r="MI18" s="485" t="s">
        <v>260</v>
      </c>
      <c r="MJ18" s="485">
        <v>32</v>
      </c>
      <c r="MK18" s="485" t="s">
        <v>260</v>
      </c>
      <c r="ML18" s="485" t="s">
        <v>260</v>
      </c>
      <c r="MM18" s="485">
        <v>32</v>
      </c>
      <c r="MN18" s="485" t="s">
        <v>260</v>
      </c>
      <c r="MO18" s="485" t="s">
        <v>260</v>
      </c>
      <c r="MP18" s="485" t="s">
        <v>260</v>
      </c>
      <c r="MQ18" s="485" t="s">
        <v>260</v>
      </c>
      <c r="MR18" s="485" t="s">
        <v>260</v>
      </c>
      <c r="MS18" s="485" t="s">
        <v>260</v>
      </c>
      <c r="MT18" s="485" t="s">
        <v>260</v>
      </c>
      <c r="MU18" s="485" t="s">
        <v>260</v>
      </c>
      <c r="MV18" s="485" t="s">
        <v>260</v>
      </c>
      <c r="MW18" s="485" t="s">
        <v>260</v>
      </c>
      <c r="MX18" s="485" t="s">
        <v>260</v>
      </c>
      <c r="MY18" s="485" t="s">
        <v>260</v>
      </c>
      <c r="MZ18" s="485" t="s">
        <v>260</v>
      </c>
      <c r="NA18" s="485" t="s">
        <v>5330</v>
      </c>
      <c r="NB18" s="485">
        <v>0</v>
      </c>
      <c r="NC18" s="485" t="s">
        <v>260</v>
      </c>
      <c r="ND18" s="485" t="s">
        <v>260</v>
      </c>
      <c r="NE18" s="485" t="s">
        <v>260</v>
      </c>
      <c r="NF18" s="485" t="s">
        <v>260</v>
      </c>
      <c r="NG18" s="485" t="s">
        <v>260</v>
      </c>
      <c r="NH18" s="485" t="s">
        <v>260</v>
      </c>
      <c r="NI18" s="485" t="s">
        <v>260</v>
      </c>
      <c r="NJ18" s="485" t="s">
        <v>260</v>
      </c>
      <c r="NK18" s="485" t="s">
        <v>5330</v>
      </c>
      <c r="NL18" s="485" t="s">
        <v>260</v>
      </c>
      <c r="NM18" s="485" t="s">
        <v>260</v>
      </c>
      <c r="NN18" s="485" t="s">
        <v>260</v>
      </c>
      <c r="NO18" s="485">
        <v>0</v>
      </c>
      <c r="NP18" s="485">
        <v>0</v>
      </c>
      <c r="NQ18" s="485" t="s">
        <v>260</v>
      </c>
      <c r="NR18" s="485" t="s">
        <v>260</v>
      </c>
      <c r="NS18" s="485" t="s">
        <v>260</v>
      </c>
      <c r="NT18" s="485" t="s">
        <v>260</v>
      </c>
      <c r="NU18" s="485" t="s">
        <v>260</v>
      </c>
      <c r="NV18" s="485" t="s">
        <v>260</v>
      </c>
      <c r="NW18" s="485" t="s">
        <v>260</v>
      </c>
      <c r="NX18" s="485" t="s">
        <v>260</v>
      </c>
      <c r="NY18" s="485" t="s">
        <v>260</v>
      </c>
      <c r="NZ18" s="485" t="s">
        <v>260</v>
      </c>
      <c r="OA18" s="485" t="s">
        <v>260</v>
      </c>
      <c r="OB18" s="485" t="s">
        <v>260</v>
      </c>
      <c r="OC18" s="485" t="s">
        <v>260</v>
      </c>
      <c r="OD18" s="485">
        <v>0</v>
      </c>
      <c r="OE18" s="485" t="s">
        <v>260</v>
      </c>
      <c r="OF18" s="485" t="s">
        <v>260</v>
      </c>
      <c r="OG18" s="485" t="s">
        <v>260</v>
      </c>
      <c r="OH18" s="485" t="s">
        <v>260</v>
      </c>
      <c r="OI18" s="485" t="s">
        <v>260</v>
      </c>
      <c r="OJ18" s="485" t="s">
        <v>260</v>
      </c>
      <c r="OK18" s="485" t="s">
        <v>260</v>
      </c>
      <c r="OL18" s="485" t="s">
        <v>260</v>
      </c>
      <c r="OM18" s="483" t="s">
        <v>260</v>
      </c>
      <c r="ON18" s="483" t="s">
        <v>260</v>
      </c>
      <c r="OO18" s="483" t="s">
        <v>260</v>
      </c>
      <c r="OP18" s="483" t="s">
        <v>260</v>
      </c>
      <c r="OQ18" s="483" t="s">
        <v>260</v>
      </c>
      <c r="OR18" s="483" t="s">
        <v>260</v>
      </c>
      <c r="OS18" s="483" t="s">
        <v>260</v>
      </c>
      <c r="OT18" s="483" t="s">
        <v>260</v>
      </c>
      <c r="OU18" s="483" t="s">
        <v>260</v>
      </c>
      <c r="OV18" s="483" t="s">
        <v>260</v>
      </c>
      <c r="OW18" s="483" t="s">
        <v>260</v>
      </c>
      <c r="OX18" s="483" t="s">
        <v>260</v>
      </c>
      <c r="OY18" s="483" t="s">
        <v>260</v>
      </c>
      <c r="OZ18" s="483" t="s">
        <v>260</v>
      </c>
      <c r="PA18" s="483" t="s">
        <v>260</v>
      </c>
      <c r="PB18" s="483" t="s">
        <v>260</v>
      </c>
      <c r="PC18" s="483" t="s">
        <v>260</v>
      </c>
      <c r="PD18" s="483" t="s">
        <v>260</v>
      </c>
      <c r="PE18" s="485">
        <v>0</v>
      </c>
      <c r="PF18" s="483" t="s">
        <v>260</v>
      </c>
      <c r="PG18" s="483" t="s">
        <v>260</v>
      </c>
      <c r="PH18" s="483" t="s">
        <v>260</v>
      </c>
      <c r="PI18" s="483" t="s">
        <v>260</v>
      </c>
      <c r="PJ18" s="483" t="s">
        <v>260</v>
      </c>
      <c r="PK18" s="483" t="s">
        <v>260</v>
      </c>
      <c r="PL18" s="483" t="s">
        <v>260</v>
      </c>
      <c r="PM18" s="483" t="s">
        <v>260</v>
      </c>
    </row>
    <row r="19" spans="2:429" ht="15.6" x14ac:dyDescent="0.3">
      <c r="B19" s="487" t="s">
        <v>517</v>
      </c>
      <c r="C19" s="483">
        <f t="shared" si="0"/>
        <v>196</v>
      </c>
      <c r="D19" s="483">
        <v>62</v>
      </c>
      <c r="E19" s="483">
        <v>42</v>
      </c>
      <c r="F19" s="483">
        <v>20</v>
      </c>
      <c r="G19" s="483" t="s">
        <v>260</v>
      </c>
      <c r="H19" s="483" t="s">
        <v>260</v>
      </c>
      <c r="I19" s="483">
        <v>20</v>
      </c>
      <c r="J19" s="483" t="s">
        <v>260</v>
      </c>
      <c r="K19" s="483" t="s">
        <v>260</v>
      </c>
      <c r="L19" s="483" t="s">
        <v>260</v>
      </c>
      <c r="M19" s="483" t="s">
        <v>260</v>
      </c>
      <c r="N19" s="483">
        <v>52</v>
      </c>
      <c r="O19" s="483" t="s">
        <v>260</v>
      </c>
      <c r="P19" s="483" t="s">
        <v>260</v>
      </c>
      <c r="Q19" s="483" t="s">
        <v>260</v>
      </c>
      <c r="R19" s="483" t="s">
        <v>260</v>
      </c>
      <c r="S19" s="483" t="s">
        <v>260</v>
      </c>
      <c r="T19" s="483" t="s">
        <v>260</v>
      </c>
      <c r="U19" s="483" t="s">
        <v>260</v>
      </c>
      <c r="V19" s="483" t="s">
        <v>260</v>
      </c>
      <c r="W19" s="483" t="s">
        <v>260</v>
      </c>
      <c r="X19" s="483" t="s">
        <v>260</v>
      </c>
      <c r="Y19" s="483" t="s">
        <v>260</v>
      </c>
      <c r="Z19" s="483" t="s">
        <v>260</v>
      </c>
      <c r="AA19" s="483" t="s">
        <v>260</v>
      </c>
      <c r="AB19" s="483" t="s">
        <v>260</v>
      </c>
      <c r="AC19" s="483" t="s">
        <v>260</v>
      </c>
      <c r="AD19" s="483" t="s">
        <v>260</v>
      </c>
      <c r="AE19" s="483" t="s">
        <v>260</v>
      </c>
      <c r="AF19" s="483" t="s">
        <v>260</v>
      </c>
      <c r="AG19" s="483" t="s">
        <v>260</v>
      </c>
      <c r="AH19" s="483" t="s">
        <v>260</v>
      </c>
      <c r="AI19" s="483" t="s">
        <v>260</v>
      </c>
      <c r="AJ19" s="483" t="s">
        <v>260</v>
      </c>
      <c r="AK19" s="483" t="s">
        <v>260</v>
      </c>
      <c r="AL19" s="483" t="s">
        <v>260</v>
      </c>
      <c r="AM19" s="483" t="s">
        <v>260</v>
      </c>
      <c r="AN19" s="483" t="s">
        <v>260</v>
      </c>
      <c r="AO19" s="483" t="s">
        <v>260</v>
      </c>
      <c r="AP19" s="483" t="s">
        <v>260</v>
      </c>
      <c r="AQ19" s="483" t="s">
        <v>260</v>
      </c>
      <c r="AR19" s="483" t="s">
        <v>260</v>
      </c>
      <c r="AS19" s="483" t="s">
        <v>260</v>
      </c>
      <c r="AT19" s="483">
        <f t="shared" si="1"/>
        <v>443</v>
      </c>
      <c r="AU19" s="483" t="s">
        <v>260</v>
      </c>
      <c r="AV19" s="483" t="s">
        <v>260</v>
      </c>
      <c r="AW19" s="483" t="s">
        <v>260</v>
      </c>
      <c r="AX19" s="483" t="s">
        <v>260</v>
      </c>
      <c r="AY19" s="483" t="s">
        <v>260</v>
      </c>
      <c r="AZ19" s="483" t="s">
        <v>260</v>
      </c>
      <c r="BA19" s="483" t="s">
        <v>260</v>
      </c>
      <c r="BB19" s="483" t="s">
        <v>260</v>
      </c>
      <c r="BC19" s="483" t="s">
        <v>260</v>
      </c>
      <c r="BD19" s="483" t="s">
        <v>260</v>
      </c>
      <c r="BE19" s="483" t="s">
        <v>260</v>
      </c>
      <c r="BF19" s="483" t="s">
        <v>260</v>
      </c>
      <c r="BG19" s="483" t="s">
        <v>260</v>
      </c>
      <c r="BH19" s="483" t="s">
        <v>260</v>
      </c>
      <c r="BI19" s="483" t="s">
        <v>260</v>
      </c>
      <c r="BJ19" s="483" t="s">
        <v>260</v>
      </c>
      <c r="BK19" s="483" t="s">
        <v>260</v>
      </c>
      <c r="BL19" s="483" t="s">
        <v>260</v>
      </c>
      <c r="BM19" s="483" t="s">
        <v>260</v>
      </c>
      <c r="BN19" s="483" t="s">
        <v>260</v>
      </c>
      <c r="BO19" s="483" t="s">
        <v>260</v>
      </c>
      <c r="BP19" s="483" t="s">
        <v>260</v>
      </c>
      <c r="BQ19" s="483" t="s">
        <v>260</v>
      </c>
      <c r="BR19" s="483">
        <v>235</v>
      </c>
      <c r="BS19" s="483" t="s">
        <v>260</v>
      </c>
      <c r="BT19" s="483" t="s">
        <v>260</v>
      </c>
      <c r="BU19" s="483" t="s">
        <v>260</v>
      </c>
      <c r="BV19" s="483" t="s">
        <v>260</v>
      </c>
      <c r="BW19" s="483" t="s">
        <v>260</v>
      </c>
      <c r="BX19" s="483" t="s">
        <v>260</v>
      </c>
      <c r="BY19" s="483" t="s">
        <v>260</v>
      </c>
      <c r="BZ19" s="483" t="s">
        <v>260</v>
      </c>
      <c r="CA19" s="483" t="s">
        <v>260</v>
      </c>
      <c r="CB19" s="483" t="s">
        <v>260</v>
      </c>
      <c r="CC19" s="483">
        <v>33</v>
      </c>
      <c r="CD19" s="483" t="s">
        <v>260</v>
      </c>
      <c r="CE19" s="483" t="s">
        <v>260</v>
      </c>
      <c r="CF19" s="483" t="s">
        <v>260</v>
      </c>
      <c r="CG19" s="483" t="s">
        <v>260</v>
      </c>
      <c r="CH19" s="483" t="s">
        <v>260</v>
      </c>
      <c r="CI19" s="483" t="s">
        <v>260</v>
      </c>
      <c r="CJ19" s="483" t="s">
        <v>260</v>
      </c>
      <c r="CK19" s="483" t="s">
        <v>260</v>
      </c>
      <c r="CL19" s="483" t="s">
        <v>260</v>
      </c>
      <c r="CM19" s="483" t="s">
        <v>260</v>
      </c>
      <c r="CN19" s="483" t="s">
        <v>260</v>
      </c>
      <c r="CO19" s="483" t="s">
        <v>260</v>
      </c>
      <c r="CP19" s="483" t="s">
        <v>260</v>
      </c>
      <c r="CQ19" s="483" t="s">
        <v>260</v>
      </c>
      <c r="CR19" s="483" t="s">
        <v>260</v>
      </c>
      <c r="CS19" s="483" t="s">
        <v>260</v>
      </c>
      <c r="CT19" s="483" t="s">
        <v>260</v>
      </c>
      <c r="CU19" s="483" t="s">
        <v>260</v>
      </c>
      <c r="CV19" s="483" t="s">
        <v>260</v>
      </c>
      <c r="CW19" s="483" t="s">
        <v>260</v>
      </c>
      <c r="CX19" s="483" t="s">
        <v>260</v>
      </c>
      <c r="CY19" s="483" t="s">
        <v>260</v>
      </c>
      <c r="CZ19" s="483" t="s">
        <v>260</v>
      </c>
      <c r="DA19" s="483">
        <v>175</v>
      </c>
      <c r="DB19" s="483" t="s">
        <v>260</v>
      </c>
      <c r="DC19" s="483" t="s">
        <v>260</v>
      </c>
      <c r="DD19" s="483" t="s">
        <v>260</v>
      </c>
      <c r="DE19" s="483" t="s">
        <v>260</v>
      </c>
      <c r="DF19" s="483" t="s">
        <v>260</v>
      </c>
      <c r="DG19" s="483" t="s">
        <v>260</v>
      </c>
      <c r="DH19" s="483" t="s">
        <v>260</v>
      </c>
      <c r="DI19" s="483" t="s">
        <v>260</v>
      </c>
      <c r="DJ19" s="483" t="s">
        <v>260</v>
      </c>
      <c r="DK19" s="483" t="s">
        <v>260</v>
      </c>
      <c r="DL19" s="483" t="s">
        <v>260</v>
      </c>
      <c r="DM19" s="483" t="s">
        <v>260</v>
      </c>
      <c r="DN19" s="483">
        <v>0</v>
      </c>
      <c r="DO19" s="483" t="s">
        <v>260</v>
      </c>
      <c r="DP19" s="483" t="s">
        <v>260</v>
      </c>
      <c r="DQ19" s="483" t="s">
        <v>260</v>
      </c>
      <c r="DR19" s="483" t="s">
        <v>260</v>
      </c>
      <c r="DS19" s="483" t="s">
        <v>260</v>
      </c>
      <c r="DT19" s="483" t="s">
        <v>260</v>
      </c>
      <c r="DU19" s="483" t="s">
        <v>260</v>
      </c>
      <c r="DV19" s="483" t="s">
        <v>260</v>
      </c>
      <c r="DW19" s="483" t="s">
        <v>260</v>
      </c>
      <c r="DX19" s="483" t="s">
        <v>260</v>
      </c>
      <c r="DY19" s="483" t="s">
        <v>260</v>
      </c>
      <c r="DZ19" s="483" t="s">
        <v>260</v>
      </c>
      <c r="EA19" s="483" t="s">
        <v>260</v>
      </c>
      <c r="EB19" s="483">
        <v>507</v>
      </c>
      <c r="EC19" s="483" t="s">
        <v>260</v>
      </c>
      <c r="ED19" s="483" t="s">
        <v>260</v>
      </c>
      <c r="EE19" s="483" t="s">
        <v>260</v>
      </c>
      <c r="EF19" s="483" t="s">
        <v>260</v>
      </c>
      <c r="EG19" s="483" t="s">
        <v>260</v>
      </c>
      <c r="EH19" s="483" t="s">
        <v>260</v>
      </c>
      <c r="EI19" s="483" t="s">
        <v>260</v>
      </c>
      <c r="EJ19" s="483" t="s">
        <v>260</v>
      </c>
      <c r="EK19" s="483" t="s">
        <v>260</v>
      </c>
      <c r="EL19" s="483" t="s">
        <v>260</v>
      </c>
      <c r="EM19" s="483" t="s">
        <v>260</v>
      </c>
      <c r="EN19" s="483" t="s">
        <v>260</v>
      </c>
      <c r="EO19" s="483" t="s">
        <v>260</v>
      </c>
      <c r="EP19" s="483" t="s">
        <v>260</v>
      </c>
      <c r="EQ19" s="483" t="s">
        <v>260</v>
      </c>
      <c r="ER19" s="483" t="s">
        <v>260</v>
      </c>
      <c r="ES19" s="483" t="s">
        <v>260</v>
      </c>
      <c r="ET19" s="483" t="s">
        <v>260</v>
      </c>
      <c r="EU19" s="483" t="s">
        <v>260</v>
      </c>
      <c r="EV19" s="483" t="s">
        <v>260</v>
      </c>
      <c r="EW19" s="483">
        <v>7</v>
      </c>
      <c r="EX19" s="483" t="s">
        <v>260</v>
      </c>
      <c r="EY19" s="483" t="s">
        <v>260</v>
      </c>
      <c r="EZ19" s="483" t="s">
        <v>260</v>
      </c>
      <c r="FA19" s="483">
        <v>500</v>
      </c>
      <c r="FB19" s="483" t="s">
        <v>260</v>
      </c>
      <c r="FC19" s="483" t="s">
        <v>260</v>
      </c>
      <c r="FD19" s="483">
        <v>550</v>
      </c>
      <c r="FE19" s="483" t="s">
        <v>260</v>
      </c>
      <c r="FF19" s="483" t="s">
        <v>260</v>
      </c>
      <c r="FG19" s="483" t="s">
        <v>260</v>
      </c>
      <c r="FH19" s="483" t="s">
        <v>260</v>
      </c>
      <c r="FI19" s="483" t="s">
        <v>260</v>
      </c>
      <c r="FJ19" s="483" t="s">
        <v>260</v>
      </c>
      <c r="FK19" s="483" t="s">
        <v>260</v>
      </c>
      <c r="FL19" s="483" t="s">
        <v>260</v>
      </c>
      <c r="FM19" s="483" t="s">
        <v>260</v>
      </c>
      <c r="FN19" s="483" t="s">
        <v>260</v>
      </c>
      <c r="FO19" s="483" t="s">
        <v>260</v>
      </c>
      <c r="FP19" s="483" t="s">
        <v>260</v>
      </c>
      <c r="FQ19" s="483" t="s">
        <v>260</v>
      </c>
      <c r="FR19" s="483" t="s">
        <v>260</v>
      </c>
      <c r="FS19" s="483" t="s">
        <v>260</v>
      </c>
      <c r="FT19" s="483" t="s">
        <v>260</v>
      </c>
      <c r="FU19" s="483" t="s">
        <v>260</v>
      </c>
      <c r="FV19" s="483" t="s">
        <v>260</v>
      </c>
      <c r="FW19" s="483" t="s">
        <v>260</v>
      </c>
      <c r="FX19" s="483" t="s">
        <v>260</v>
      </c>
      <c r="FY19" s="483" t="s">
        <v>260</v>
      </c>
      <c r="FZ19" s="483" t="s">
        <v>260</v>
      </c>
      <c r="GA19" s="483" t="s">
        <v>260</v>
      </c>
      <c r="GB19" s="483" t="s">
        <v>260</v>
      </c>
      <c r="GC19" s="483" t="s">
        <v>260</v>
      </c>
      <c r="GD19" s="483" t="s">
        <v>260</v>
      </c>
      <c r="GE19" s="483" t="s">
        <v>260</v>
      </c>
      <c r="GF19" s="483" t="s">
        <v>260</v>
      </c>
      <c r="GG19" s="483" t="s">
        <v>260</v>
      </c>
      <c r="GH19" s="483" t="s">
        <v>260</v>
      </c>
      <c r="GI19" s="483" t="s">
        <v>260</v>
      </c>
      <c r="GJ19" s="483" t="s">
        <v>260</v>
      </c>
      <c r="GK19" s="483" t="s">
        <v>260</v>
      </c>
      <c r="GL19" s="483" t="s">
        <v>260</v>
      </c>
      <c r="GM19" s="483" t="s">
        <v>260</v>
      </c>
      <c r="GN19" s="483" t="s">
        <v>260</v>
      </c>
      <c r="GO19" s="483" t="s">
        <v>260</v>
      </c>
      <c r="GP19" s="483" t="s">
        <v>260</v>
      </c>
      <c r="GQ19" s="483" t="s">
        <v>260</v>
      </c>
      <c r="GR19" s="483" t="s">
        <v>260</v>
      </c>
      <c r="GS19" s="483">
        <v>550</v>
      </c>
      <c r="GT19" s="483" t="s">
        <v>260</v>
      </c>
      <c r="GU19" s="483" t="s">
        <v>260</v>
      </c>
      <c r="GV19" s="483" t="s">
        <v>260</v>
      </c>
      <c r="GW19" s="483" t="s">
        <v>260</v>
      </c>
      <c r="GX19" s="483" t="s">
        <v>260</v>
      </c>
      <c r="GY19" s="483" t="s">
        <v>260</v>
      </c>
      <c r="GZ19" s="483">
        <v>37</v>
      </c>
      <c r="HA19" s="483" t="s">
        <v>260</v>
      </c>
      <c r="HB19" s="483" t="s">
        <v>260</v>
      </c>
      <c r="HC19" s="483" t="s">
        <v>260</v>
      </c>
      <c r="HD19" s="483" t="s">
        <v>260</v>
      </c>
      <c r="HE19" s="483" t="s">
        <v>260</v>
      </c>
      <c r="HF19" s="483" t="s">
        <v>260</v>
      </c>
      <c r="HG19" s="483" t="s">
        <v>260</v>
      </c>
      <c r="HH19" s="483" t="s">
        <v>260</v>
      </c>
      <c r="HI19" s="483" t="s">
        <v>260</v>
      </c>
      <c r="HJ19" s="483" t="s">
        <v>260</v>
      </c>
      <c r="HK19" s="483" t="s">
        <v>260</v>
      </c>
      <c r="HL19" s="483" t="s">
        <v>260</v>
      </c>
      <c r="HM19" s="483" t="s">
        <v>260</v>
      </c>
      <c r="HN19" s="483" t="s">
        <v>260</v>
      </c>
      <c r="HO19" s="483" t="s">
        <v>260</v>
      </c>
      <c r="HP19" s="483" t="s">
        <v>260</v>
      </c>
      <c r="HQ19" s="483" t="s">
        <v>260</v>
      </c>
      <c r="HR19" s="483" t="s">
        <v>260</v>
      </c>
      <c r="HS19" s="483" t="s">
        <v>260</v>
      </c>
      <c r="HT19" s="483" t="s">
        <v>260</v>
      </c>
      <c r="HU19" s="483" t="s">
        <v>260</v>
      </c>
      <c r="HV19" s="483" t="s">
        <v>260</v>
      </c>
      <c r="HW19" s="483" t="s">
        <v>260</v>
      </c>
      <c r="HX19" s="483" t="s">
        <v>260</v>
      </c>
      <c r="HY19" s="483" t="s">
        <v>260</v>
      </c>
      <c r="HZ19" s="483" t="s">
        <v>260</v>
      </c>
      <c r="IA19" s="483" t="s">
        <v>260</v>
      </c>
      <c r="IB19" s="483" t="s">
        <v>260</v>
      </c>
      <c r="IC19" s="483" t="s">
        <v>260</v>
      </c>
      <c r="ID19" s="483">
        <v>37</v>
      </c>
      <c r="IE19" s="483" t="s">
        <v>260</v>
      </c>
      <c r="IF19" s="483">
        <v>0</v>
      </c>
      <c r="IG19" s="483" t="s">
        <v>260</v>
      </c>
      <c r="IH19" s="483" t="s">
        <v>260</v>
      </c>
      <c r="II19" s="483" t="s">
        <v>260</v>
      </c>
      <c r="IJ19" s="483" t="s">
        <v>260</v>
      </c>
      <c r="IK19" s="483">
        <v>0</v>
      </c>
      <c r="IL19" s="483" t="s">
        <v>260</v>
      </c>
      <c r="IM19" s="483" t="s">
        <v>260</v>
      </c>
      <c r="IN19" s="483" t="s">
        <v>260</v>
      </c>
      <c r="IO19" s="483" t="s">
        <v>260</v>
      </c>
      <c r="IP19" s="483" t="s">
        <v>260</v>
      </c>
      <c r="IQ19" s="483" t="s">
        <v>260</v>
      </c>
      <c r="IR19" s="483" t="s">
        <v>260</v>
      </c>
      <c r="IS19" s="483" t="s">
        <v>260</v>
      </c>
      <c r="IT19" s="483" t="s">
        <v>260</v>
      </c>
      <c r="IU19" s="483" t="s">
        <v>260</v>
      </c>
      <c r="IV19" s="483" t="s">
        <v>260</v>
      </c>
      <c r="IW19" s="483" t="s">
        <v>260</v>
      </c>
      <c r="IX19" s="483" t="s">
        <v>260</v>
      </c>
      <c r="IY19" s="483" t="s">
        <v>260</v>
      </c>
      <c r="IZ19" s="483" t="s">
        <v>260</v>
      </c>
      <c r="JA19" s="483" t="s">
        <v>260</v>
      </c>
      <c r="JB19" s="483" t="s">
        <v>260</v>
      </c>
      <c r="JC19" s="483" t="s">
        <v>260</v>
      </c>
      <c r="JD19" s="483" t="s">
        <v>260</v>
      </c>
      <c r="JE19" s="483">
        <v>0</v>
      </c>
      <c r="JF19" s="483" t="s">
        <v>260</v>
      </c>
      <c r="JG19" s="483" t="s">
        <v>260</v>
      </c>
      <c r="JH19" s="483" t="s">
        <v>260</v>
      </c>
      <c r="JI19" s="483" t="s">
        <v>260</v>
      </c>
      <c r="JJ19" s="483" t="s">
        <v>260</v>
      </c>
      <c r="JK19" s="483" t="s">
        <v>260</v>
      </c>
      <c r="JL19" s="483" t="s">
        <v>260</v>
      </c>
      <c r="JM19" s="483" t="s">
        <v>260</v>
      </c>
      <c r="JN19" s="483" t="s">
        <v>260</v>
      </c>
      <c r="JO19" s="483" t="s">
        <v>260</v>
      </c>
      <c r="JP19" s="483" t="s">
        <v>260</v>
      </c>
      <c r="JQ19" s="483" t="s">
        <v>260</v>
      </c>
      <c r="JR19" s="483" t="s">
        <v>260</v>
      </c>
      <c r="JS19" s="483" t="s">
        <v>260</v>
      </c>
      <c r="JT19" s="483" t="s">
        <v>260</v>
      </c>
      <c r="JU19" s="483" t="s">
        <v>260</v>
      </c>
      <c r="JV19" s="483" t="s">
        <v>260</v>
      </c>
      <c r="JW19" s="483" t="s">
        <v>260</v>
      </c>
      <c r="JX19" s="483" t="s">
        <v>260</v>
      </c>
      <c r="JY19" s="483" t="s">
        <v>260</v>
      </c>
      <c r="JZ19" s="483" t="s">
        <v>260</v>
      </c>
      <c r="KA19" s="483" t="s">
        <v>260</v>
      </c>
      <c r="KB19" s="483">
        <v>96</v>
      </c>
      <c r="KC19" s="483" t="s">
        <v>260</v>
      </c>
      <c r="KD19" s="483" t="s">
        <v>260</v>
      </c>
      <c r="KE19" s="483" t="s">
        <v>260</v>
      </c>
      <c r="KF19" s="483" t="s">
        <v>260</v>
      </c>
      <c r="KG19" s="483" t="s">
        <v>260</v>
      </c>
      <c r="KH19" s="483" t="s">
        <v>260</v>
      </c>
      <c r="KI19" s="483" t="s">
        <v>260</v>
      </c>
      <c r="KJ19" s="483" t="s">
        <v>260</v>
      </c>
      <c r="KK19" s="483" t="s">
        <v>260</v>
      </c>
      <c r="KL19" s="483" t="s">
        <v>260</v>
      </c>
      <c r="KM19" s="483" t="s">
        <v>260</v>
      </c>
      <c r="KN19" s="483" t="s">
        <v>260</v>
      </c>
      <c r="KO19" s="483" t="s">
        <v>260</v>
      </c>
      <c r="KP19" s="483" t="s">
        <v>260</v>
      </c>
      <c r="KQ19" s="483" t="s">
        <v>260</v>
      </c>
      <c r="KR19" s="483" t="s">
        <v>260</v>
      </c>
      <c r="KS19" s="483">
        <v>71</v>
      </c>
      <c r="KT19" s="483">
        <v>25</v>
      </c>
      <c r="KU19" s="483" t="s">
        <v>260</v>
      </c>
      <c r="KV19" s="483" t="s">
        <v>260</v>
      </c>
      <c r="KW19" s="483" t="s">
        <v>260</v>
      </c>
      <c r="KX19" s="483" t="s">
        <v>260</v>
      </c>
      <c r="KY19" s="483" t="s">
        <v>260</v>
      </c>
      <c r="KZ19" s="483" t="s">
        <v>260</v>
      </c>
      <c r="LA19" s="483" t="s">
        <v>260</v>
      </c>
      <c r="LB19" s="483" t="s">
        <v>260</v>
      </c>
      <c r="LC19" s="483" t="s">
        <v>260</v>
      </c>
      <c r="LD19" s="483" t="s">
        <v>260</v>
      </c>
      <c r="LE19" s="483" t="s">
        <v>260</v>
      </c>
      <c r="LF19" s="483" t="s">
        <v>260</v>
      </c>
      <c r="LG19" s="483" t="s">
        <v>260</v>
      </c>
      <c r="LH19" s="483" t="s">
        <v>260</v>
      </c>
      <c r="LI19" s="483" t="s">
        <v>260</v>
      </c>
      <c r="LJ19" s="483" t="s">
        <v>260</v>
      </c>
      <c r="LK19" s="483" t="s">
        <v>260</v>
      </c>
      <c r="LL19" s="483" t="s">
        <v>260</v>
      </c>
      <c r="LM19" s="483" t="s">
        <v>260</v>
      </c>
      <c r="LN19" s="483" t="s">
        <v>260</v>
      </c>
      <c r="LO19" s="483" t="s">
        <v>260</v>
      </c>
      <c r="LP19" s="483" t="s">
        <v>260</v>
      </c>
      <c r="LQ19" s="483" t="s">
        <v>260</v>
      </c>
      <c r="LR19" s="485" t="s">
        <v>260</v>
      </c>
      <c r="LS19" s="485">
        <v>0</v>
      </c>
      <c r="LT19" s="485" t="s">
        <v>260</v>
      </c>
      <c r="LU19" s="485" t="s">
        <v>260</v>
      </c>
      <c r="LV19" s="485" t="s">
        <v>260</v>
      </c>
      <c r="LW19" s="485" t="s">
        <v>260</v>
      </c>
      <c r="LX19" s="485" t="s">
        <v>260</v>
      </c>
      <c r="LY19" s="485" t="s">
        <v>260</v>
      </c>
      <c r="LZ19" s="485" t="s">
        <v>260</v>
      </c>
      <c r="MA19" s="485" t="s">
        <v>260</v>
      </c>
      <c r="MB19" s="485" t="s">
        <v>260</v>
      </c>
      <c r="MC19" s="485">
        <v>0</v>
      </c>
      <c r="MD19" s="485" t="s">
        <v>260</v>
      </c>
      <c r="ME19" s="485" t="s">
        <v>260</v>
      </c>
      <c r="MF19" s="485" t="s">
        <v>260</v>
      </c>
      <c r="MG19" s="485" t="s">
        <v>260</v>
      </c>
      <c r="MH19" s="485" t="s">
        <v>260</v>
      </c>
      <c r="MI19" s="485" t="s">
        <v>260</v>
      </c>
      <c r="MJ19" s="485">
        <v>0</v>
      </c>
      <c r="MK19" s="485" t="s">
        <v>260</v>
      </c>
      <c r="ML19" s="485" t="s">
        <v>260</v>
      </c>
      <c r="MM19" s="485" t="s">
        <v>260</v>
      </c>
      <c r="MN19" s="485" t="s">
        <v>260</v>
      </c>
      <c r="MO19" s="485" t="s">
        <v>260</v>
      </c>
      <c r="MP19" s="485" t="s">
        <v>260</v>
      </c>
      <c r="MQ19" s="485" t="s">
        <v>260</v>
      </c>
      <c r="MR19" s="485" t="s">
        <v>260</v>
      </c>
      <c r="MS19" s="485" t="s">
        <v>260</v>
      </c>
      <c r="MT19" s="485" t="s">
        <v>260</v>
      </c>
      <c r="MU19" s="485" t="s">
        <v>260</v>
      </c>
      <c r="MV19" s="485" t="s">
        <v>260</v>
      </c>
      <c r="MW19" s="485" t="s">
        <v>260</v>
      </c>
      <c r="MX19" s="485" t="s">
        <v>260</v>
      </c>
      <c r="MY19" s="485" t="s">
        <v>260</v>
      </c>
      <c r="MZ19" s="485" t="s">
        <v>260</v>
      </c>
      <c r="NA19" s="485" t="s">
        <v>260</v>
      </c>
      <c r="NB19" s="485">
        <v>0</v>
      </c>
      <c r="NC19" s="485" t="s">
        <v>260</v>
      </c>
      <c r="ND19" s="485" t="s">
        <v>260</v>
      </c>
      <c r="NE19" s="485" t="s">
        <v>260</v>
      </c>
      <c r="NF19" s="485" t="s">
        <v>260</v>
      </c>
      <c r="NG19" s="485" t="s">
        <v>260</v>
      </c>
      <c r="NH19" s="485" t="s">
        <v>260</v>
      </c>
      <c r="NI19" s="485" t="s">
        <v>260</v>
      </c>
      <c r="NJ19" s="485" t="s">
        <v>260</v>
      </c>
      <c r="NK19" s="485" t="s">
        <v>260</v>
      </c>
      <c r="NL19" s="485" t="s">
        <v>260</v>
      </c>
      <c r="NM19" s="485" t="s">
        <v>260</v>
      </c>
      <c r="NN19" s="485" t="s">
        <v>260</v>
      </c>
      <c r="NO19" s="485">
        <v>0</v>
      </c>
      <c r="NP19" s="485">
        <v>0</v>
      </c>
      <c r="NQ19" s="485" t="s">
        <v>260</v>
      </c>
      <c r="NR19" s="485" t="s">
        <v>260</v>
      </c>
      <c r="NS19" s="485" t="s">
        <v>260</v>
      </c>
      <c r="NT19" s="485" t="s">
        <v>260</v>
      </c>
      <c r="NU19" s="485" t="s">
        <v>260</v>
      </c>
      <c r="NV19" s="485" t="s">
        <v>260</v>
      </c>
      <c r="NW19" s="485" t="s">
        <v>260</v>
      </c>
      <c r="NX19" s="485" t="s">
        <v>260</v>
      </c>
      <c r="NY19" s="485" t="s">
        <v>260</v>
      </c>
      <c r="NZ19" s="485" t="s">
        <v>260</v>
      </c>
      <c r="OA19" s="485" t="s">
        <v>260</v>
      </c>
      <c r="OB19" s="485" t="s">
        <v>260</v>
      </c>
      <c r="OC19" s="485" t="s">
        <v>260</v>
      </c>
      <c r="OD19" s="485">
        <v>0</v>
      </c>
      <c r="OE19" s="485" t="s">
        <v>260</v>
      </c>
      <c r="OF19" s="485" t="s">
        <v>260</v>
      </c>
      <c r="OG19" s="485" t="s">
        <v>260</v>
      </c>
      <c r="OH19" s="485" t="s">
        <v>260</v>
      </c>
      <c r="OI19" s="485" t="s">
        <v>260</v>
      </c>
      <c r="OJ19" s="485" t="s">
        <v>260</v>
      </c>
      <c r="OK19" s="485" t="s">
        <v>260</v>
      </c>
      <c r="OL19" s="485" t="s">
        <v>260</v>
      </c>
      <c r="OM19" s="483" t="s">
        <v>260</v>
      </c>
      <c r="ON19" s="483" t="s">
        <v>260</v>
      </c>
      <c r="OO19" s="483" t="s">
        <v>260</v>
      </c>
      <c r="OP19" s="483" t="s">
        <v>260</v>
      </c>
      <c r="OQ19" s="483" t="s">
        <v>260</v>
      </c>
      <c r="OR19" s="483" t="s">
        <v>260</v>
      </c>
      <c r="OS19" s="483" t="s">
        <v>260</v>
      </c>
      <c r="OT19" s="483" t="s">
        <v>260</v>
      </c>
      <c r="OU19" s="483" t="s">
        <v>260</v>
      </c>
      <c r="OV19" s="483" t="s">
        <v>260</v>
      </c>
      <c r="OW19" s="483" t="s">
        <v>260</v>
      </c>
      <c r="OX19" s="483" t="s">
        <v>260</v>
      </c>
      <c r="OY19" s="483" t="s">
        <v>260</v>
      </c>
      <c r="OZ19" s="483" t="s">
        <v>260</v>
      </c>
      <c r="PA19" s="483" t="s">
        <v>260</v>
      </c>
      <c r="PB19" s="483" t="s">
        <v>260</v>
      </c>
      <c r="PC19" s="483" t="s">
        <v>260</v>
      </c>
      <c r="PD19" s="483" t="s">
        <v>260</v>
      </c>
      <c r="PE19" s="485">
        <v>0</v>
      </c>
      <c r="PF19" s="483" t="s">
        <v>260</v>
      </c>
      <c r="PG19" s="483" t="s">
        <v>260</v>
      </c>
      <c r="PH19" s="483" t="s">
        <v>260</v>
      </c>
      <c r="PI19" s="483" t="s">
        <v>260</v>
      </c>
      <c r="PJ19" s="483" t="s">
        <v>260</v>
      </c>
      <c r="PK19" s="483" t="s">
        <v>260</v>
      </c>
      <c r="PL19" s="483" t="s">
        <v>260</v>
      </c>
      <c r="PM19" s="483" t="s">
        <v>260</v>
      </c>
    </row>
    <row r="20" spans="2:429" ht="15.6" x14ac:dyDescent="0.3">
      <c r="B20" s="487" t="s">
        <v>2076</v>
      </c>
      <c r="C20" s="483">
        <f t="shared" si="0"/>
        <v>0</v>
      </c>
      <c r="D20" s="483">
        <v>0</v>
      </c>
      <c r="E20" s="483" t="s">
        <v>260</v>
      </c>
      <c r="F20" s="483" t="s">
        <v>260</v>
      </c>
      <c r="G20" s="483" t="s">
        <v>260</v>
      </c>
      <c r="H20" s="483" t="s">
        <v>260</v>
      </c>
      <c r="I20" s="483" t="s">
        <v>260</v>
      </c>
      <c r="J20" s="483" t="s">
        <v>260</v>
      </c>
      <c r="K20" s="483" t="s">
        <v>260</v>
      </c>
      <c r="L20" s="483" t="s">
        <v>260</v>
      </c>
      <c r="M20" s="483" t="s">
        <v>260</v>
      </c>
      <c r="N20" s="483" t="s">
        <v>260</v>
      </c>
      <c r="O20" s="483" t="s">
        <v>260</v>
      </c>
      <c r="P20" s="483" t="s">
        <v>260</v>
      </c>
      <c r="Q20" s="483" t="s">
        <v>260</v>
      </c>
      <c r="R20" s="483" t="s">
        <v>260</v>
      </c>
      <c r="S20" s="483" t="s">
        <v>260</v>
      </c>
      <c r="T20" s="483" t="s">
        <v>260</v>
      </c>
      <c r="U20" s="483" t="s">
        <v>260</v>
      </c>
      <c r="V20" s="483" t="s">
        <v>260</v>
      </c>
      <c r="W20" s="483" t="s">
        <v>260</v>
      </c>
      <c r="X20" s="483" t="s">
        <v>260</v>
      </c>
      <c r="Y20" s="483" t="s">
        <v>260</v>
      </c>
      <c r="Z20" s="483" t="s">
        <v>260</v>
      </c>
      <c r="AA20" s="483" t="s">
        <v>260</v>
      </c>
      <c r="AB20" s="483" t="s">
        <v>260</v>
      </c>
      <c r="AC20" s="483" t="s">
        <v>260</v>
      </c>
      <c r="AD20" s="483" t="s">
        <v>260</v>
      </c>
      <c r="AE20" s="483" t="s">
        <v>260</v>
      </c>
      <c r="AF20" s="483" t="s">
        <v>260</v>
      </c>
      <c r="AG20" s="483" t="s">
        <v>260</v>
      </c>
      <c r="AH20" s="483" t="s">
        <v>260</v>
      </c>
      <c r="AI20" s="483" t="s">
        <v>260</v>
      </c>
      <c r="AJ20" s="483" t="s">
        <v>260</v>
      </c>
      <c r="AK20" s="483" t="s">
        <v>260</v>
      </c>
      <c r="AL20" s="483" t="s">
        <v>260</v>
      </c>
      <c r="AM20" s="483" t="s">
        <v>260</v>
      </c>
      <c r="AN20" s="483" t="s">
        <v>260</v>
      </c>
      <c r="AO20" s="483" t="s">
        <v>260</v>
      </c>
      <c r="AP20" s="483" t="s">
        <v>260</v>
      </c>
      <c r="AQ20" s="483" t="s">
        <v>260</v>
      </c>
      <c r="AR20" s="483" t="s">
        <v>260</v>
      </c>
      <c r="AS20" s="483" t="s">
        <v>260</v>
      </c>
      <c r="AT20" s="483">
        <f t="shared" si="1"/>
        <v>265</v>
      </c>
      <c r="AU20" s="483" t="s">
        <v>260</v>
      </c>
      <c r="AV20" s="483" t="s">
        <v>260</v>
      </c>
      <c r="AW20" s="483" t="s">
        <v>260</v>
      </c>
      <c r="AX20" s="483" t="s">
        <v>260</v>
      </c>
      <c r="AY20" s="483" t="s">
        <v>260</v>
      </c>
      <c r="AZ20" s="483" t="s">
        <v>260</v>
      </c>
      <c r="BA20" s="483" t="s">
        <v>260</v>
      </c>
      <c r="BB20" s="483" t="s">
        <v>260</v>
      </c>
      <c r="BC20" s="483" t="s">
        <v>260</v>
      </c>
      <c r="BD20" s="483" t="s">
        <v>260</v>
      </c>
      <c r="BE20" s="483" t="s">
        <v>260</v>
      </c>
      <c r="BF20" s="483" t="s">
        <v>260</v>
      </c>
      <c r="BG20" s="483" t="s">
        <v>260</v>
      </c>
      <c r="BH20" s="483" t="s">
        <v>260</v>
      </c>
      <c r="BI20" s="483" t="s">
        <v>260</v>
      </c>
      <c r="BJ20" s="483" t="s">
        <v>260</v>
      </c>
      <c r="BK20" s="483" t="s">
        <v>260</v>
      </c>
      <c r="BL20" s="483" t="s">
        <v>260</v>
      </c>
      <c r="BM20" s="483" t="s">
        <v>260</v>
      </c>
      <c r="BN20" s="483" t="s">
        <v>260</v>
      </c>
      <c r="BO20" s="483" t="s">
        <v>260</v>
      </c>
      <c r="BP20" s="483" t="s">
        <v>260</v>
      </c>
      <c r="BQ20" s="483" t="s">
        <v>260</v>
      </c>
      <c r="BR20" s="483" t="s">
        <v>260</v>
      </c>
      <c r="BS20" s="483" t="s">
        <v>260</v>
      </c>
      <c r="BT20" s="483" t="s">
        <v>260</v>
      </c>
      <c r="BU20" s="483" t="s">
        <v>260</v>
      </c>
      <c r="BV20" s="483" t="s">
        <v>260</v>
      </c>
      <c r="BW20" s="483" t="s">
        <v>260</v>
      </c>
      <c r="BX20" s="483" t="s">
        <v>260</v>
      </c>
      <c r="BY20" s="483" t="s">
        <v>260</v>
      </c>
      <c r="BZ20" s="483" t="s">
        <v>260</v>
      </c>
      <c r="CA20" s="483">
        <v>200</v>
      </c>
      <c r="CB20" s="483" t="s">
        <v>260</v>
      </c>
      <c r="CC20" s="483" t="s">
        <v>260</v>
      </c>
      <c r="CD20" s="483" t="s">
        <v>260</v>
      </c>
      <c r="CE20" s="483" t="s">
        <v>260</v>
      </c>
      <c r="CF20" s="483" t="s">
        <v>260</v>
      </c>
      <c r="CG20" s="483">
        <v>65</v>
      </c>
      <c r="CH20" s="483" t="s">
        <v>260</v>
      </c>
      <c r="CI20" s="483" t="s">
        <v>260</v>
      </c>
      <c r="CJ20" s="483" t="s">
        <v>260</v>
      </c>
      <c r="CK20" s="483" t="s">
        <v>260</v>
      </c>
      <c r="CL20" s="483" t="s">
        <v>260</v>
      </c>
      <c r="CM20" s="483" t="s">
        <v>260</v>
      </c>
      <c r="CN20" s="483" t="s">
        <v>260</v>
      </c>
      <c r="CO20" s="483" t="s">
        <v>260</v>
      </c>
      <c r="CP20" s="483" t="s">
        <v>260</v>
      </c>
      <c r="CQ20" s="483" t="s">
        <v>260</v>
      </c>
      <c r="CR20" s="483" t="s">
        <v>260</v>
      </c>
      <c r="CS20" s="483" t="s">
        <v>260</v>
      </c>
      <c r="CT20" s="483" t="s">
        <v>260</v>
      </c>
      <c r="CU20" s="483" t="s">
        <v>260</v>
      </c>
      <c r="CV20" s="483" t="s">
        <v>260</v>
      </c>
      <c r="CW20" s="483" t="s">
        <v>260</v>
      </c>
      <c r="CX20" s="483" t="s">
        <v>260</v>
      </c>
      <c r="CY20" s="483" t="s">
        <v>260</v>
      </c>
      <c r="CZ20" s="483" t="s">
        <v>260</v>
      </c>
      <c r="DA20" s="483" t="s">
        <v>260</v>
      </c>
      <c r="DB20" s="483" t="s">
        <v>260</v>
      </c>
      <c r="DC20" s="483" t="s">
        <v>260</v>
      </c>
      <c r="DD20" s="483" t="s">
        <v>260</v>
      </c>
      <c r="DE20" s="483" t="s">
        <v>260</v>
      </c>
      <c r="DF20" s="483" t="s">
        <v>260</v>
      </c>
      <c r="DG20" s="483" t="s">
        <v>260</v>
      </c>
      <c r="DH20" s="483" t="s">
        <v>260</v>
      </c>
      <c r="DI20" s="483" t="s">
        <v>260</v>
      </c>
      <c r="DJ20" s="483" t="s">
        <v>260</v>
      </c>
      <c r="DK20" s="483" t="s">
        <v>260</v>
      </c>
      <c r="DL20" s="483" t="s">
        <v>260</v>
      </c>
      <c r="DM20" s="483" t="s">
        <v>260</v>
      </c>
      <c r="DN20" s="483">
        <v>0</v>
      </c>
      <c r="DO20" s="483" t="s">
        <v>260</v>
      </c>
      <c r="DP20" s="483" t="s">
        <v>260</v>
      </c>
      <c r="DQ20" s="483" t="s">
        <v>260</v>
      </c>
      <c r="DR20" s="483" t="s">
        <v>260</v>
      </c>
      <c r="DS20" s="483" t="s">
        <v>260</v>
      </c>
      <c r="DT20" s="483" t="s">
        <v>260</v>
      </c>
      <c r="DU20" s="483" t="s">
        <v>260</v>
      </c>
      <c r="DV20" s="483" t="s">
        <v>260</v>
      </c>
      <c r="DW20" s="483" t="s">
        <v>260</v>
      </c>
      <c r="DX20" s="483" t="s">
        <v>260</v>
      </c>
      <c r="DY20" s="483" t="s">
        <v>260</v>
      </c>
      <c r="DZ20" s="483" t="s">
        <v>260</v>
      </c>
      <c r="EA20" s="483" t="s">
        <v>260</v>
      </c>
      <c r="EB20" s="483">
        <v>248</v>
      </c>
      <c r="EC20" s="483" t="s">
        <v>260</v>
      </c>
      <c r="ED20" s="483" t="s">
        <v>260</v>
      </c>
      <c r="EE20" s="483" t="s">
        <v>260</v>
      </c>
      <c r="EF20" s="483" t="s">
        <v>260</v>
      </c>
      <c r="EG20" s="483" t="s">
        <v>260</v>
      </c>
      <c r="EH20" s="483" t="s">
        <v>260</v>
      </c>
      <c r="EI20" s="483" t="s">
        <v>260</v>
      </c>
      <c r="EJ20" s="483" t="s">
        <v>260</v>
      </c>
      <c r="EK20" s="483" t="s">
        <v>260</v>
      </c>
      <c r="EL20" s="483">
        <v>98</v>
      </c>
      <c r="EM20" s="483" t="s">
        <v>260</v>
      </c>
      <c r="EN20" s="483" t="s">
        <v>260</v>
      </c>
      <c r="EO20" s="483" t="s">
        <v>260</v>
      </c>
      <c r="EP20" s="483" t="s">
        <v>260</v>
      </c>
      <c r="EQ20" s="483" t="s">
        <v>260</v>
      </c>
      <c r="ER20" s="483" t="s">
        <v>260</v>
      </c>
      <c r="ES20" s="483" t="s">
        <v>260</v>
      </c>
      <c r="ET20" s="483" t="s">
        <v>260</v>
      </c>
      <c r="EU20" s="483" t="s">
        <v>260</v>
      </c>
      <c r="EV20" s="483" t="s">
        <v>260</v>
      </c>
      <c r="EW20" s="483" t="s">
        <v>260</v>
      </c>
      <c r="EX20" s="483">
        <v>150</v>
      </c>
      <c r="EY20" s="483" t="s">
        <v>260</v>
      </c>
      <c r="EZ20" s="483" t="s">
        <v>260</v>
      </c>
      <c r="FA20" s="483" t="s">
        <v>260</v>
      </c>
      <c r="FB20" s="483" t="s">
        <v>260</v>
      </c>
      <c r="FC20" s="483" t="s">
        <v>260</v>
      </c>
      <c r="FD20" s="483">
        <v>149</v>
      </c>
      <c r="FE20" s="483" t="s">
        <v>260</v>
      </c>
      <c r="FF20" s="483" t="s">
        <v>260</v>
      </c>
      <c r="FG20" s="483" t="s">
        <v>260</v>
      </c>
      <c r="FH20" s="483" t="s">
        <v>260</v>
      </c>
      <c r="FI20" s="483" t="s">
        <v>260</v>
      </c>
      <c r="FJ20" s="483" t="s">
        <v>260</v>
      </c>
      <c r="FK20" s="483" t="s">
        <v>260</v>
      </c>
      <c r="FL20" s="483" t="s">
        <v>260</v>
      </c>
      <c r="FM20" s="483" t="s">
        <v>260</v>
      </c>
      <c r="FN20" s="483" t="s">
        <v>260</v>
      </c>
      <c r="FO20" s="483" t="s">
        <v>260</v>
      </c>
      <c r="FP20" s="483" t="s">
        <v>260</v>
      </c>
      <c r="FQ20" s="483" t="s">
        <v>260</v>
      </c>
      <c r="FR20" s="483">
        <v>149</v>
      </c>
      <c r="FS20" s="483" t="s">
        <v>260</v>
      </c>
      <c r="FT20" s="483" t="s">
        <v>260</v>
      </c>
      <c r="FU20" s="483" t="s">
        <v>260</v>
      </c>
      <c r="FV20" s="483" t="s">
        <v>260</v>
      </c>
      <c r="FW20" s="483" t="s">
        <v>260</v>
      </c>
      <c r="FX20" s="483" t="s">
        <v>260</v>
      </c>
      <c r="FY20" s="483" t="s">
        <v>260</v>
      </c>
      <c r="FZ20" s="483" t="s">
        <v>260</v>
      </c>
      <c r="GA20" s="483" t="s">
        <v>260</v>
      </c>
      <c r="GB20" s="483" t="s">
        <v>260</v>
      </c>
      <c r="GC20" s="483" t="s">
        <v>260</v>
      </c>
      <c r="GD20" s="483" t="s">
        <v>260</v>
      </c>
      <c r="GE20" s="483" t="s">
        <v>260</v>
      </c>
      <c r="GF20" s="483" t="s">
        <v>260</v>
      </c>
      <c r="GG20" s="483" t="s">
        <v>260</v>
      </c>
      <c r="GH20" s="483" t="s">
        <v>260</v>
      </c>
      <c r="GI20" s="483" t="s">
        <v>260</v>
      </c>
      <c r="GJ20" s="483" t="s">
        <v>260</v>
      </c>
      <c r="GK20" s="483" t="s">
        <v>260</v>
      </c>
      <c r="GL20" s="483" t="s">
        <v>260</v>
      </c>
      <c r="GM20" s="483" t="s">
        <v>260</v>
      </c>
      <c r="GN20" s="483" t="s">
        <v>260</v>
      </c>
      <c r="GO20" s="483" t="s">
        <v>260</v>
      </c>
      <c r="GP20" s="483" t="s">
        <v>260</v>
      </c>
      <c r="GQ20" s="483" t="s">
        <v>260</v>
      </c>
      <c r="GR20" s="483" t="s">
        <v>260</v>
      </c>
      <c r="GS20" s="483" t="s">
        <v>260</v>
      </c>
      <c r="GT20" s="483" t="s">
        <v>260</v>
      </c>
      <c r="GU20" s="483" t="s">
        <v>260</v>
      </c>
      <c r="GV20" s="483" t="s">
        <v>260</v>
      </c>
      <c r="GW20" s="483" t="s">
        <v>260</v>
      </c>
      <c r="GX20" s="483" t="s">
        <v>260</v>
      </c>
      <c r="GY20" s="483" t="s">
        <v>260</v>
      </c>
      <c r="GZ20" s="483">
        <v>56</v>
      </c>
      <c r="HA20" s="483" t="s">
        <v>260</v>
      </c>
      <c r="HB20" s="483" t="s">
        <v>260</v>
      </c>
      <c r="HC20" s="483" t="s">
        <v>260</v>
      </c>
      <c r="HD20" s="483" t="s">
        <v>260</v>
      </c>
      <c r="HE20" s="483">
        <v>56</v>
      </c>
      <c r="HF20" s="483" t="s">
        <v>260</v>
      </c>
      <c r="HG20" s="483" t="s">
        <v>260</v>
      </c>
      <c r="HH20" s="483" t="s">
        <v>260</v>
      </c>
      <c r="HI20" s="483" t="s">
        <v>260</v>
      </c>
      <c r="HJ20" s="483" t="s">
        <v>260</v>
      </c>
      <c r="HK20" s="483" t="s">
        <v>260</v>
      </c>
      <c r="HL20" s="483" t="s">
        <v>260</v>
      </c>
      <c r="HM20" s="483" t="s">
        <v>260</v>
      </c>
      <c r="HN20" s="483" t="s">
        <v>260</v>
      </c>
      <c r="HO20" s="483" t="s">
        <v>260</v>
      </c>
      <c r="HP20" s="483" t="s">
        <v>260</v>
      </c>
      <c r="HQ20" s="483" t="s">
        <v>260</v>
      </c>
      <c r="HR20" s="483" t="s">
        <v>260</v>
      </c>
      <c r="HS20" s="483" t="s">
        <v>260</v>
      </c>
      <c r="HT20" s="483" t="s">
        <v>260</v>
      </c>
      <c r="HU20" s="483" t="s">
        <v>260</v>
      </c>
      <c r="HV20" s="483" t="s">
        <v>260</v>
      </c>
      <c r="HW20" s="483" t="s">
        <v>260</v>
      </c>
      <c r="HX20" s="483" t="s">
        <v>260</v>
      </c>
      <c r="HY20" s="483" t="s">
        <v>260</v>
      </c>
      <c r="HZ20" s="483" t="s">
        <v>260</v>
      </c>
      <c r="IA20" s="483" t="s">
        <v>260</v>
      </c>
      <c r="IB20" s="483" t="s">
        <v>260</v>
      </c>
      <c r="IC20" s="483" t="s">
        <v>260</v>
      </c>
      <c r="ID20" s="483" t="s">
        <v>260</v>
      </c>
      <c r="IE20" s="483" t="s">
        <v>260</v>
      </c>
      <c r="IF20" s="483">
        <v>0</v>
      </c>
      <c r="IG20" s="483" t="s">
        <v>260</v>
      </c>
      <c r="IH20" s="483" t="s">
        <v>260</v>
      </c>
      <c r="II20" s="483" t="s">
        <v>260</v>
      </c>
      <c r="IJ20" s="483" t="s">
        <v>260</v>
      </c>
      <c r="IK20" s="483">
        <v>0</v>
      </c>
      <c r="IL20" s="483" t="s">
        <v>260</v>
      </c>
      <c r="IM20" s="483" t="s">
        <v>260</v>
      </c>
      <c r="IN20" s="483" t="s">
        <v>260</v>
      </c>
      <c r="IO20" s="483" t="s">
        <v>260</v>
      </c>
      <c r="IP20" s="483" t="s">
        <v>260</v>
      </c>
      <c r="IQ20" s="483" t="s">
        <v>260</v>
      </c>
      <c r="IR20" s="483" t="s">
        <v>260</v>
      </c>
      <c r="IS20" s="483" t="s">
        <v>260</v>
      </c>
      <c r="IT20" s="483" t="s">
        <v>260</v>
      </c>
      <c r="IU20" s="483" t="s">
        <v>260</v>
      </c>
      <c r="IV20" s="483" t="s">
        <v>260</v>
      </c>
      <c r="IW20" s="483" t="s">
        <v>260</v>
      </c>
      <c r="IX20" s="483" t="s">
        <v>260</v>
      </c>
      <c r="IY20" s="483" t="s">
        <v>260</v>
      </c>
      <c r="IZ20" s="483" t="s">
        <v>260</v>
      </c>
      <c r="JA20" s="483" t="s">
        <v>260</v>
      </c>
      <c r="JB20" s="483" t="s">
        <v>260</v>
      </c>
      <c r="JC20" s="483" t="s">
        <v>260</v>
      </c>
      <c r="JD20" s="483" t="s">
        <v>260</v>
      </c>
      <c r="JE20" s="483">
        <v>61</v>
      </c>
      <c r="JF20" s="483" t="s">
        <v>260</v>
      </c>
      <c r="JG20" s="483" t="s">
        <v>260</v>
      </c>
      <c r="JH20" s="483" t="s">
        <v>260</v>
      </c>
      <c r="JI20" s="483">
        <v>61</v>
      </c>
      <c r="JJ20" s="483" t="s">
        <v>260</v>
      </c>
      <c r="JK20" s="483" t="s">
        <v>260</v>
      </c>
      <c r="JL20" s="483" t="s">
        <v>260</v>
      </c>
      <c r="JM20" s="483" t="s">
        <v>260</v>
      </c>
      <c r="JN20" s="483" t="s">
        <v>260</v>
      </c>
      <c r="JO20" s="483" t="s">
        <v>260</v>
      </c>
      <c r="JP20" s="483" t="s">
        <v>260</v>
      </c>
      <c r="JQ20" s="483" t="s">
        <v>260</v>
      </c>
      <c r="JR20" s="483" t="s">
        <v>260</v>
      </c>
      <c r="JS20" s="483" t="s">
        <v>260</v>
      </c>
      <c r="JT20" s="483" t="s">
        <v>260</v>
      </c>
      <c r="JU20" s="483" t="s">
        <v>260</v>
      </c>
      <c r="JV20" s="483" t="s">
        <v>260</v>
      </c>
      <c r="JW20" s="483" t="s">
        <v>260</v>
      </c>
      <c r="JX20" s="483" t="s">
        <v>260</v>
      </c>
      <c r="JY20" s="483" t="s">
        <v>260</v>
      </c>
      <c r="JZ20" s="483" t="s">
        <v>260</v>
      </c>
      <c r="KA20" s="483" t="s">
        <v>260</v>
      </c>
      <c r="KB20" s="483">
        <v>0</v>
      </c>
      <c r="KC20" s="483" t="s">
        <v>260</v>
      </c>
      <c r="KD20" s="483" t="s">
        <v>260</v>
      </c>
      <c r="KE20" s="483" t="s">
        <v>260</v>
      </c>
      <c r="KF20" s="483" t="s">
        <v>260</v>
      </c>
      <c r="KG20" s="483" t="s">
        <v>260</v>
      </c>
      <c r="KH20" s="483" t="s">
        <v>260</v>
      </c>
      <c r="KI20" s="483" t="s">
        <v>260</v>
      </c>
      <c r="KJ20" s="483" t="s">
        <v>260</v>
      </c>
      <c r="KK20" s="483" t="s">
        <v>260</v>
      </c>
      <c r="KL20" s="483" t="s">
        <v>260</v>
      </c>
      <c r="KM20" s="483" t="s">
        <v>260</v>
      </c>
      <c r="KN20" s="483" t="s">
        <v>260</v>
      </c>
      <c r="KO20" s="483" t="s">
        <v>260</v>
      </c>
      <c r="KP20" s="483" t="s">
        <v>260</v>
      </c>
      <c r="KQ20" s="483" t="s">
        <v>260</v>
      </c>
      <c r="KR20" s="483" t="s">
        <v>260</v>
      </c>
      <c r="KS20" s="483" t="s">
        <v>260</v>
      </c>
      <c r="KT20" s="483" t="s">
        <v>260</v>
      </c>
      <c r="KU20" s="483" t="s">
        <v>260</v>
      </c>
      <c r="KV20" s="483" t="s">
        <v>260</v>
      </c>
      <c r="KW20" s="483" t="s">
        <v>260</v>
      </c>
      <c r="KX20" s="483" t="s">
        <v>260</v>
      </c>
      <c r="KY20" s="483" t="s">
        <v>260</v>
      </c>
      <c r="KZ20" s="483" t="s">
        <v>260</v>
      </c>
      <c r="LA20" s="483" t="s">
        <v>260</v>
      </c>
      <c r="LB20" s="483" t="s">
        <v>260</v>
      </c>
      <c r="LC20" s="483" t="s">
        <v>260</v>
      </c>
      <c r="LD20" s="483" t="s">
        <v>260</v>
      </c>
      <c r="LE20" s="483" t="s">
        <v>260</v>
      </c>
      <c r="LF20" s="483" t="s">
        <v>260</v>
      </c>
      <c r="LG20" s="483" t="s">
        <v>260</v>
      </c>
      <c r="LH20" s="483" t="s">
        <v>260</v>
      </c>
      <c r="LI20" s="483" t="s">
        <v>260</v>
      </c>
      <c r="LJ20" s="483" t="s">
        <v>260</v>
      </c>
      <c r="LK20" s="483" t="s">
        <v>260</v>
      </c>
      <c r="LL20" s="483" t="s">
        <v>260</v>
      </c>
      <c r="LM20" s="483" t="s">
        <v>260</v>
      </c>
      <c r="LN20" s="483" t="s">
        <v>260</v>
      </c>
      <c r="LO20" s="483" t="s">
        <v>260</v>
      </c>
      <c r="LP20" s="483" t="s">
        <v>260</v>
      </c>
      <c r="LQ20" s="483" t="s">
        <v>260</v>
      </c>
      <c r="LR20" s="485" t="s">
        <v>260</v>
      </c>
      <c r="LS20" s="485">
        <v>18</v>
      </c>
      <c r="LT20" s="485" t="s">
        <v>260</v>
      </c>
      <c r="LU20" s="485" t="s">
        <v>260</v>
      </c>
      <c r="LV20" s="485" t="s">
        <v>260</v>
      </c>
      <c r="LW20" s="485">
        <v>18</v>
      </c>
      <c r="LX20" s="485" t="s">
        <v>260</v>
      </c>
      <c r="LY20" s="485" t="s">
        <v>260</v>
      </c>
      <c r="LZ20" s="485" t="s">
        <v>260</v>
      </c>
      <c r="MA20" s="485" t="s">
        <v>260</v>
      </c>
      <c r="MB20" s="485" t="s">
        <v>260</v>
      </c>
      <c r="MC20" s="485">
        <v>0</v>
      </c>
      <c r="MD20" s="485" t="s">
        <v>260</v>
      </c>
      <c r="ME20" s="485" t="s">
        <v>260</v>
      </c>
      <c r="MF20" s="485" t="s">
        <v>260</v>
      </c>
      <c r="MG20" s="485" t="s">
        <v>260</v>
      </c>
      <c r="MH20" s="485" t="s">
        <v>260</v>
      </c>
      <c r="MI20" s="485" t="s">
        <v>260</v>
      </c>
      <c r="MJ20" s="485">
        <v>6</v>
      </c>
      <c r="MK20" s="485" t="s">
        <v>260</v>
      </c>
      <c r="ML20" s="485" t="s">
        <v>260</v>
      </c>
      <c r="MM20" s="485" t="s">
        <v>260</v>
      </c>
      <c r="MN20" s="485" t="s">
        <v>260</v>
      </c>
      <c r="MO20" s="485" t="s">
        <v>260</v>
      </c>
      <c r="MP20" s="485" t="s">
        <v>260</v>
      </c>
      <c r="MQ20" s="485" t="s">
        <v>260</v>
      </c>
      <c r="MR20" s="485" t="s">
        <v>260</v>
      </c>
      <c r="MS20" s="485">
        <v>6</v>
      </c>
      <c r="MT20" s="485" t="s">
        <v>260</v>
      </c>
      <c r="MU20" s="485" t="s">
        <v>260</v>
      </c>
      <c r="MV20" s="485" t="s">
        <v>260</v>
      </c>
      <c r="MW20" s="485" t="s">
        <v>260</v>
      </c>
      <c r="MX20" s="485" t="s">
        <v>260</v>
      </c>
      <c r="MY20" s="485" t="s">
        <v>260</v>
      </c>
      <c r="MZ20" s="485" t="s">
        <v>260</v>
      </c>
      <c r="NA20" s="485" t="s">
        <v>260</v>
      </c>
      <c r="NB20" s="485">
        <v>0</v>
      </c>
      <c r="NC20" s="485" t="s">
        <v>260</v>
      </c>
      <c r="ND20" s="485" t="s">
        <v>260</v>
      </c>
      <c r="NE20" s="485" t="s">
        <v>260</v>
      </c>
      <c r="NF20" s="485" t="s">
        <v>260</v>
      </c>
      <c r="NG20" s="485" t="s">
        <v>260</v>
      </c>
      <c r="NH20" s="485" t="s">
        <v>260</v>
      </c>
      <c r="NI20" s="485" t="s">
        <v>260</v>
      </c>
      <c r="NJ20" s="485" t="s">
        <v>260</v>
      </c>
      <c r="NK20" s="485" t="s">
        <v>5330</v>
      </c>
      <c r="NL20" s="485" t="s">
        <v>260</v>
      </c>
      <c r="NM20" s="485" t="s">
        <v>260</v>
      </c>
      <c r="NN20" s="485" t="s">
        <v>260</v>
      </c>
      <c r="NO20" s="485">
        <v>18</v>
      </c>
      <c r="NP20" s="485">
        <v>18</v>
      </c>
      <c r="NQ20" s="485" t="s">
        <v>260</v>
      </c>
      <c r="NR20" s="485" t="s">
        <v>260</v>
      </c>
      <c r="NS20" s="485" t="s">
        <v>260</v>
      </c>
      <c r="NT20" s="485" t="s">
        <v>260</v>
      </c>
      <c r="NU20" s="485" t="s">
        <v>260</v>
      </c>
      <c r="NV20" s="485" t="s">
        <v>260</v>
      </c>
      <c r="NW20" s="485" t="s">
        <v>260</v>
      </c>
      <c r="NX20" s="485" t="s">
        <v>260</v>
      </c>
      <c r="NY20" s="485" t="s">
        <v>260</v>
      </c>
      <c r="NZ20" s="485">
        <v>18</v>
      </c>
      <c r="OA20" s="485" t="s">
        <v>260</v>
      </c>
      <c r="OB20" s="485" t="s">
        <v>260</v>
      </c>
      <c r="OC20" s="485" t="s">
        <v>260</v>
      </c>
      <c r="OD20" s="485">
        <v>0</v>
      </c>
      <c r="OE20" s="485" t="s">
        <v>260</v>
      </c>
      <c r="OF20" s="485" t="s">
        <v>260</v>
      </c>
      <c r="OG20" s="485" t="s">
        <v>260</v>
      </c>
      <c r="OH20" s="485" t="s">
        <v>260</v>
      </c>
      <c r="OI20" s="485" t="s">
        <v>260</v>
      </c>
      <c r="OJ20" s="485" t="s">
        <v>260</v>
      </c>
      <c r="OK20" s="485" t="s">
        <v>260</v>
      </c>
      <c r="OL20" s="485" t="s">
        <v>260</v>
      </c>
      <c r="OM20" s="483" t="s">
        <v>260</v>
      </c>
      <c r="ON20" s="483" t="s">
        <v>260</v>
      </c>
      <c r="OO20" s="483" t="s">
        <v>260</v>
      </c>
      <c r="OP20" s="483" t="s">
        <v>260</v>
      </c>
      <c r="OQ20" s="483" t="s">
        <v>260</v>
      </c>
      <c r="OR20" s="483" t="s">
        <v>260</v>
      </c>
      <c r="OS20" s="483" t="s">
        <v>260</v>
      </c>
      <c r="OT20" s="483" t="s">
        <v>260</v>
      </c>
      <c r="OU20" s="483" t="s">
        <v>260</v>
      </c>
      <c r="OV20" s="483" t="s">
        <v>260</v>
      </c>
      <c r="OW20" s="483" t="s">
        <v>260</v>
      </c>
      <c r="OX20" s="483" t="s">
        <v>260</v>
      </c>
      <c r="OY20" s="483" t="s">
        <v>260</v>
      </c>
      <c r="OZ20" s="483" t="s">
        <v>260</v>
      </c>
      <c r="PA20" s="483" t="s">
        <v>260</v>
      </c>
      <c r="PB20" s="483" t="s">
        <v>260</v>
      </c>
      <c r="PC20" s="483" t="s">
        <v>260</v>
      </c>
      <c r="PD20" s="483" t="s">
        <v>260</v>
      </c>
      <c r="PE20" s="485">
        <v>0</v>
      </c>
      <c r="PF20" s="483" t="s">
        <v>260</v>
      </c>
      <c r="PG20" s="483" t="s">
        <v>260</v>
      </c>
      <c r="PH20" s="483" t="s">
        <v>260</v>
      </c>
      <c r="PI20" s="483" t="s">
        <v>260</v>
      </c>
      <c r="PJ20" s="483" t="s">
        <v>260</v>
      </c>
      <c r="PK20" s="483" t="s">
        <v>260</v>
      </c>
      <c r="PL20" s="483" t="s">
        <v>260</v>
      </c>
      <c r="PM20" s="483" t="s">
        <v>260</v>
      </c>
    </row>
    <row r="21" spans="2:429" ht="15.6" x14ac:dyDescent="0.3">
      <c r="B21" s="487" t="s">
        <v>2615</v>
      </c>
      <c r="C21" s="483">
        <f t="shared" si="0"/>
        <v>435</v>
      </c>
      <c r="D21" s="483">
        <v>108</v>
      </c>
      <c r="E21" s="483">
        <v>108</v>
      </c>
      <c r="F21" s="483" t="s">
        <v>260</v>
      </c>
      <c r="G21" s="483" t="s">
        <v>260</v>
      </c>
      <c r="H21" s="483" t="s">
        <v>260</v>
      </c>
      <c r="I21" s="483" t="s">
        <v>260</v>
      </c>
      <c r="J21" s="483" t="s">
        <v>260</v>
      </c>
      <c r="K21" s="483" t="s">
        <v>260</v>
      </c>
      <c r="L21" s="483" t="s">
        <v>260</v>
      </c>
      <c r="M21" s="483" t="s">
        <v>260</v>
      </c>
      <c r="N21" s="483" t="s">
        <v>260</v>
      </c>
      <c r="O21" s="483" t="s">
        <v>260</v>
      </c>
      <c r="P21" s="483">
        <v>219</v>
      </c>
      <c r="Q21" s="483" t="s">
        <v>260</v>
      </c>
      <c r="R21" s="483" t="s">
        <v>260</v>
      </c>
      <c r="S21" s="483" t="s">
        <v>260</v>
      </c>
      <c r="T21" s="483" t="s">
        <v>260</v>
      </c>
      <c r="U21" s="483" t="s">
        <v>260</v>
      </c>
      <c r="V21" s="483" t="s">
        <v>260</v>
      </c>
      <c r="W21" s="483" t="s">
        <v>260</v>
      </c>
      <c r="X21" s="483" t="s">
        <v>260</v>
      </c>
      <c r="Y21" s="483" t="s">
        <v>260</v>
      </c>
      <c r="Z21" s="483" t="s">
        <v>260</v>
      </c>
      <c r="AA21" s="483" t="s">
        <v>260</v>
      </c>
      <c r="AB21" s="483" t="s">
        <v>260</v>
      </c>
      <c r="AC21" s="483" t="s">
        <v>260</v>
      </c>
      <c r="AD21" s="483" t="s">
        <v>260</v>
      </c>
      <c r="AE21" s="483" t="s">
        <v>260</v>
      </c>
      <c r="AF21" s="483" t="s">
        <v>260</v>
      </c>
      <c r="AG21" s="483" t="s">
        <v>260</v>
      </c>
      <c r="AH21" s="483" t="s">
        <v>260</v>
      </c>
      <c r="AI21" s="483" t="s">
        <v>260</v>
      </c>
      <c r="AJ21" s="483" t="s">
        <v>260</v>
      </c>
      <c r="AK21" s="483" t="s">
        <v>260</v>
      </c>
      <c r="AL21" s="483" t="s">
        <v>260</v>
      </c>
      <c r="AM21" s="483" t="s">
        <v>260</v>
      </c>
      <c r="AN21" s="483" t="s">
        <v>260</v>
      </c>
      <c r="AO21" s="483" t="s">
        <v>260</v>
      </c>
      <c r="AP21" s="483" t="s">
        <v>260</v>
      </c>
      <c r="AQ21" s="483" t="s">
        <v>260</v>
      </c>
      <c r="AR21" s="483" t="s">
        <v>260</v>
      </c>
      <c r="AS21" s="483" t="s">
        <v>260</v>
      </c>
      <c r="AT21" s="483">
        <f t="shared" si="1"/>
        <v>793</v>
      </c>
      <c r="AU21" s="483" t="s">
        <v>260</v>
      </c>
      <c r="AV21" s="483">
        <v>20</v>
      </c>
      <c r="AW21" s="483" t="s">
        <v>260</v>
      </c>
      <c r="AX21" s="483" t="s">
        <v>260</v>
      </c>
      <c r="AY21" s="483" t="s">
        <v>260</v>
      </c>
      <c r="AZ21" s="483" t="s">
        <v>260</v>
      </c>
      <c r="BA21" s="483" t="s">
        <v>260</v>
      </c>
      <c r="BB21" s="483" t="s">
        <v>260</v>
      </c>
      <c r="BC21" s="483" t="s">
        <v>260</v>
      </c>
      <c r="BD21" s="483" t="s">
        <v>260</v>
      </c>
      <c r="BE21" s="483" t="s">
        <v>260</v>
      </c>
      <c r="BF21" s="483" t="s">
        <v>260</v>
      </c>
      <c r="BG21" s="483" t="s">
        <v>260</v>
      </c>
      <c r="BH21" s="483" t="s">
        <v>260</v>
      </c>
      <c r="BI21" s="483" t="s">
        <v>260</v>
      </c>
      <c r="BJ21" s="483" t="s">
        <v>260</v>
      </c>
      <c r="BK21" s="483" t="s">
        <v>260</v>
      </c>
      <c r="BL21" s="483" t="s">
        <v>260</v>
      </c>
      <c r="BM21" s="483" t="s">
        <v>260</v>
      </c>
      <c r="BN21" s="483" t="s">
        <v>260</v>
      </c>
      <c r="BO21" s="483" t="s">
        <v>260</v>
      </c>
      <c r="BP21" s="483" t="s">
        <v>260</v>
      </c>
      <c r="BQ21" s="483" t="s">
        <v>260</v>
      </c>
      <c r="BR21" s="483">
        <v>453</v>
      </c>
      <c r="BS21" s="483" t="s">
        <v>260</v>
      </c>
      <c r="BT21" s="483" t="s">
        <v>260</v>
      </c>
      <c r="BU21" s="483" t="s">
        <v>260</v>
      </c>
      <c r="BV21" s="483" t="s">
        <v>260</v>
      </c>
      <c r="BW21" s="483" t="s">
        <v>260</v>
      </c>
      <c r="BX21" s="483" t="s">
        <v>260</v>
      </c>
      <c r="BY21" s="483" t="s">
        <v>260</v>
      </c>
      <c r="BZ21" s="483" t="s">
        <v>260</v>
      </c>
      <c r="CA21" s="483" t="s">
        <v>260</v>
      </c>
      <c r="CB21" s="483" t="s">
        <v>260</v>
      </c>
      <c r="CC21" s="483" t="s">
        <v>260</v>
      </c>
      <c r="CD21" s="483" t="s">
        <v>260</v>
      </c>
      <c r="CE21" s="483" t="s">
        <v>260</v>
      </c>
      <c r="CF21" s="483" t="s">
        <v>260</v>
      </c>
      <c r="CG21" s="483" t="s">
        <v>260</v>
      </c>
      <c r="CH21" s="483" t="s">
        <v>260</v>
      </c>
      <c r="CI21" s="483" t="s">
        <v>260</v>
      </c>
      <c r="CJ21" s="483" t="s">
        <v>260</v>
      </c>
      <c r="CK21" s="483" t="s">
        <v>260</v>
      </c>
      <c r="CL21" s="483" t="s">
        <v>260</v>
      </c>
      <c r="CM21" s="483" t="s">
        <v>260</v>
      </c>
      <c r="CN21" s="483" t="s">
        <v>260</v>
      </c>
      <c r="CO21" s="483" t="s">
        <v>260</v>
      </c>
      <c r="CP21" s="483" t="s">
        <v>260</v>
      </c>
      <c r="CQ21" s="483" t="s">
        <v>260</v>
      </c>
      <c r="CR21" s="483" t="s">
        <v>260</v>
      </c>
      <c r="CS21" s="483" t="s">
        <v>260</v>
      </c>
      <c r="CT21" s="483" t="s">
        <v>260</v>
      </c>
      <c r="CU21" s="483" t="s">
        <v>260</v>
      </c>
      <c r="CV21" s="483">
        <v>320</v>
      </c>
      <c r="CW21" s="483" t="s">
        <v>260</v>
      </c>
      <c r="CX21" s="483" t="s">
        <v>260</v>
      </c>
      <c r="CY21" s="483" t="s">
        <v>260</v>
      </c>
      <c r="CZ21" s="483" t="s">
        <v>260</v>
      </c>
      <c r="DA21" s="483" t="s">
        <v>260</v>
      </c>
      <c r="DB21" s="483" t="s">
        <v>260</v>
      </c>
      <c r="DC21" s="483" t="s">
        <v>260</v>
      </c>
      <c r="DD21" s="483" t="s">
        <v>260</v>
      </c>
      <c r="DE21" s="483" t="s">
        <v>260</v>
      </c>
      <c r="DF21" s="483" t="s">
        <v>260</v>
      </c>
      <c r="DG21" s="483" t="s">
        <v>260</v>
      </c>
      <c r="DH21" s="483" t="s">
        <v>260</v>
      </c>
      <c r="DI21" s="483" t="s">
        <v>260</v>
      </c>
      <c r="DJ21" s="483" t="s">
        <v>260</v>
      </c>
      <c r="DK21" s="483" t="s">
        <v>260</v>
      </c>
      <c r="DL21" s="483" t="s">
        <v>260</v>
      </c>
      <c r="DM21" s="483" t="s">
        <v>260</v>
      </c>
      <c r="DN21" s="483">
        <v>110</v>
      </c>
      <c r="DO21" s="483" t="s">
        <v>260</v>
      </c>
      <c r="DP21" s="483" t="s">
        <v>260</v>
      </c>
      <c r="DQ21" s="483" t="s">
        <v>260</v>
      </c>
      <c r="DR21" s="483" t="s">
        <v>260</v>
      </c>
      <c r="DS21" s="483">
        <v>110</v>
      </c>
      <c r="DT21" s="483" t="s">
        <v>260</v>
      </c>
      <c r="DU21" s="483" t="s">
        <v>260</v>
      </c>
      <c r="DV21" s="483" t="s">
        <v>260</v>
      </c>
      <c r="DW21" s="483" t="s">
        <v>260</v>
      </c>
      <c r="DX21" s="483" t="s">
        <v>260</v>
      </c>
      <c r="DY21" s="483" t="s">
        <v>260</v>
      </c>
      <c r="DZ21" s="483" t="s">
        <v>260</v>
      </c>
      <c r="EA21" s="483" t="s">
        <v>260</v>
      </c>
      <c r="EB21" s="483">
        <v>260</v>
      </c>
      <c r="EC21" s="483">
        <v>260</v>
      </c>
      <c r="ED21" s="483" t="s">
        <v>260</v>
      </c>
      <c r="EE21" s="483" t="s">
        <v>260</v>
      </c>
      <c r="EF21" s="483" t="s">
        <v>260</v>
      </c>
      <c r="EG21" s="483" t="s">
        <v>260</v>
      </c>
      <c r="EH21" s="483" t="s">
        <v>260</v>
      </c>
      <c r="EI21" s="483" t="s">
        <v>260</v>
      </c>
      <c r="EJ21" s="483" t="s">
        <v>260</v>
      </c>
      <c r="EK21" s="483" t="s">
        <v>260</v>
      </c>
      <c r="EL21" s="483" t="s">
        <v>260</v>
      </c>
      <c r="EM21" s="483" t="s">
        <v>260</v>
      </c>
      <c r="EN21" s="483" t="s">
        <v>260</v>
      </c>
      <c r="EO21" s="483" t="s">
        <v>260</v>
      </c>
      <c r="EP21" s="483" t="s">
        <v>260</v>
      </c>
      <c r="EQ21" s="483" t="s">
        <v>260</v>
      </c>
      <c r="ER21" s="483" t="s">
        <v>260</v>
      </c>
      <c r="ES21" s="483" t="s">
        <v>260</v>
      </c>
      <c r="ET21" s="483" t="s">
        <v>260</v>
      </c>
      <c r="EU21" s="483" t="s">
        <v>260</v>
      </c>
      <c r="EV21" s="483" t="s">
        <v>260</v>
      </c>
      <c r="EW21" s="483" t="s">
        <v>260</v>
      </c>
      <c r="EX21" s="483" t="s">
        <v>260</v>
      </c>
      <c r="EY21" s="483" t="s">
        <v>260</v>
      </c>
      <c r="EZ21" s="483" t="s">
        <v>260</v>
      </c>
      <c r="FA21" s="483" t="s">
        <v>260</v>
      </c>
      <c r="FB21" s="483" t="s">
        <v>260</v>
      </c>
      <c r="FC21" s="483" t="s">
        <v>260</v>
      </c>
      <c r="FD21" s="483">
        <v>309</v>
      </c>
      <c r="FE21" s="483" t="s">
        <v>260</v>
      </c>
      <c r="FF21" s="483" t="s">
        <v>260</v>
      </c>
      <c r="FG21" s="483" t="s">
        <v>260</v>
      </c>
      <c r="FH21" s="483" t="s">
        <v>260</v>
      </c>
      <c r="FI21" s="483" t="s">
        <v>260</v>
      </c>
      <c r="FJ21" s="483" t="s">
        <v>260</v>
      </c>
      <c r="FK21" s="483" t="s">
        <v>260</v>
      </c>
      <c r="FL21" s="483">
        <v>84</v>
      </c>
      <c r="FM21" s="483" t="s">
        <v>260</v>
      </c>
      <c r="FN21" s="483" t="s">
        <v>260</v>
      </c>
      <c r="FO21" s="483" t="s">
        <v>260</v>
      </c>
      <c r="FP21" s="483" t="s">
        <v>260</v>
      </c>
      <c r="FQ21" s="483" t="s">
        <v>260</v>
      </c>
      <c r="FR21" s="483" t="s">
        <v>260</v>
      </c>
      <c r="FS21" s="483" t="s">
        <v>260</v>
      </c>
      <c r="FT21" s="483" t="s">
        <v>260</v>
      </c>
      <c r="FU21" s="483" t="s">
        <v>260</v>
      </c>
      <c r="FV21" s="483" t="s">
        <v>260</v>
      </c>
      <c r="FW21" s="483" t="s">
        <v>260</v>
      </c>
      <c r="FX21" s="483" t="s">
        <v>260</v>
      </c>
      <c r="FY21" s="483" t="s">
        <v>260</v>
      </c>
      <c r="FZ21" s="483" t="s">
        <v>260</v>
      </c>
      <c r="GA21" s="483" t="s">
        <v>260</v>
      </c>
      <c r="GB21" s="483" t="s">
        <v>260</v>
      </c>
      <c r="GC21" s="483" t="s">
        <v>260</v>
      </c>
      <c r="GD21" s="483" t="s">
        <v>260</v>
      </c>
      <c r="GE21" s="483" t="s">
        <v>260</v>
      </c>
      <c r="GF21" s="483">
        <v>204</v>
      </c>
      <c r="GG21" s="483">
        <v>21</v>
      </c>
      <c r="GH21" s="483" t="s">
        <v>260</v>
      </c>
      <c r="GI21" s="483" t="s">
        <v>260</v>
      </c>
      <c r="GJ21" s="483" t="s">
        <v>260</v>
      </c>
      <c r="GK21" s="483" t="s">
        <v>260</v>
      </c>
      <c r="GL21" s="483" t="s">
        <v>260</v>
      </c>
      <c r="GM21" s="483" t="s">
        <v>260</v>
      </c>
      <c r="GN21" s="483" t="s">
        <v>260</v>
      </c>
      <c r="GO21" s="483" t="s">
        <v>260</v>
      </c>
      <c r="GP21" s="483" t="s">
        <v>260</v>
      </c>
      <c r="GQ21" s="483" t="s">
        <v>260</v>
      </c>
      <c r="GR21" s="483" t="s">
        <v>260</v>
      </c>
      <c r="GS21" s="483" t="s">
        <v>260</v>
      </c>
      <c r="GT21" s="483" t="s">
        <v>260</v>
      </c>
      <c r="GU21" s="483" t="s">
        <v>260</v>
      </c>
      <c r="GV21" s="483" t="s">
        <v>260</v>
      </c>
      <c r="GW21" s="483" t="s">
        <v>260</v>
      </c>
      <c r="GX21" s="483" t="s">
        <v>260</v>
      </c>
      <c r="GY21" s="483" t="s">
        <v>260</v>
      </c>
      <c r="GZ21" s="483">
        <v>159</v>
      </c>
      <c r="HA21" s="483" t="s">
        <v>260</v>
      </c>
      <c r="HB21" s="483">
        <v>95</v>
      </c>
      <c r="HC21" s="483" t="s">
        <v>260</v>
      </c>
      <c r="HD21" s="483" t="s">
        <v>260</v>
      </c>
      <c r="HE21" s="483" t="s">
        <v>260</v>
      </c>
      <c r="HF21" s="483" t="s">
        <v>260</v>
      </c>
      <c r="HG21" s="483" t="s">
        <v>260</v>
      </c>
      <c r="HH21" s="483" t="s">
        <v>260</v>
      </c>
      <c r="HI21" s="483" t="s">
        <v>260</v>
      </c>
      <c r="HJ21" s="483" t="s">
        <v>260</v>
      </c>
      <c r="HK21" s="483" t="s">
        <v>260</v>
      </c>
      <c r="HL21" s="483" t="s">
        <v>260</v>
      </c>
      <c r="HM21" s="483" t="s">
        <v>260</v>
      </c>
      <c r="HN21" s="483" t="s">
        <v>260</v>
      </c>
      <c r="HO21" s="483" t="s">
        <v>260</v>
      </c>
      <c r="HP21" s="483" t="s">
        <v>260</v>
      </c>
      <c r="HQ21" s="483" t="s">
        <v>260</v>
      </c>
      <c r="HR21" s="483" t="s">
        <v>260</v>
      </c>
      <c r="HS21" s="483" t="s">
        <v>260</v>
      </c>
      <c r="HT21" s="483" t="s">
        <v>260</v>
      </c>
      <c r="HU21" s="483">
        <v>64</v>
      </c>
      <c r="HV21" s="483" t="s">
        <v>260</v>
      </c>
      <c r="HW21" s="483" t="s">
        <v>260</v>
      </c>
      <c r="HX21" s="483" t="s">
        <v>260</v>
      </c>
      <c r="HY21" s="483" t="s">
        <v>260</v>
      </c>
      <c r="HZ21" s="483" t="s">
        <v>260</v>
      </c>
      <c r="IA21" s="483" t="s">
        <v>260</v>
      </c>
      <c r="IB21" s="483" t="s">
        <v>260</v>
      </c>
      <c r="IC21" s="483" t="s">
        <v>260</v>
      </c>
      <c r="ID21" s="483" t="s">
        <v>260</v>
      </c>
      <c r="IE21" s="483" t="s">
        <v>260</v>
      </c>
      <c r="IF21" s="483">
        <v>0</v>
      </c>
      <c r="IG21" s="483" t="s">
        <v>260</v>
      </c>
      <c r="IH21" s="483" t="s">
        <v>260</v>
      </c>
      <c r="II21" s="483" t="s">
        <v>260</v>
      </c>
      <c r="IJ21" s="483" t="s">
        <v>260</v>
      </c>
      <c r="IK21" s="483">
        <v>0</v>
      </c>
      <c r="IL21" s="483" t="s">
        <v>260</v>
      </c>
      <c r="IM21" s="483" t="s">
        <v>260</v>
      </c>
      <c r="IN21" s="483" t="s">
        <v>260</v>
      </c>
      <c r="IO21" s="483" t="s">
        <v>260</v>
      </c>
      <c r="IP21" s="483" t="s">
        <v>260</v>
      </c>
      <c r="IQ21" s="483" t="s">
        <v>260</v>
      </c>
      <c r="IR21" s="483" t="s">
        <v>260</v>
      </c>
      <c r="IS21" s="483" t="s">
        <v>260</v>
      </c>
      <c r="IT21" s="483" t="s">
        <v>260</v>
      </c>
      <c r="IU21" s="483" t="s">
        <v>260</v>
      </c>
      <c r="IV21" s="483" t="s">
        <v>260</v>
      </c>
      <c r="IW21" s="483" t="s">
        <v>260</v>
      </c>
      <c r="IX21" s="483" t="s">
        <v>260</v>
      </c>
      <c r="IY21" s="483" t="s">
        <v>260</v>
      </c>
      <c r="IZ21" s="483" t="s">
        <v>260</v>
      </c>
      <c r="JA21" s="483" t="s">
        <v>260</v>
      </c>
      <c r="JB21" s="483" t="s">
        <v>260</v>
      </c>
      <c r="JC21" s="483" t="s">
        <v>260</v>
      </c>
      <c r="JD21" s="483" t="s">
        <v>260</v>
      </c>
      <c r="JE21" s="483">
        <v>88</v>
      </c>
      <c r="JF21" s="483">
        <v>69</v>
      </c>
      <c r="JG21" s="483" t="s">
        <v>260</v>
      </c>
      <c r="JH21" s="483" t="s">
        <v>260</v>
      </c>
      <c r="JI21" s="483" t="s">
        <v>260</v>
      </c>
      <c r="JJ21" s="483" t="s">
        <v>260</v>
      </c>
      <c r="JK21" s="483" t="s">
        <v>260</v>
      </c>
      <c r="JL21" s="483" t="s">
        <v>260</v>
      </c>
      <c r="JM21" s="483" t="s">
        <v>260</v>
      </c>
      <c r="JN21" s="483" t="s">
        <v>260</v>
      </c>
      <c r="JO21" s="483" t="s">
        <v>260</v>
      </c>
      <c r="JP21" s="483" t="s">
        <v>260</v>
      </c>
      <c r="JQ21" s="483">
        <v>19</v>
      </c>
      <c r="JR21" s="483" t="s">
        <v>260</v>
      </c>
      <c r="JS21" s="483" t="s">
        <v>260</v>
      </c>
      <c r="JT21" s="483" t="s">
        <v>260</v>
      </c>
      <c r="JU21" s="483" t="s">
        <v>260</v>
      </c>
      <c r="JV21" s="483" t="s">
        <v>260</v>
      </c>
      <c r="JW21" s="483" t="s">
        <v>260</v>
      </c>
      <c r="JX21" s="483" t="s">
        <v>260</v>
      </c>
      <c r="JY21" s="483" t="s">
        <v>260</v>
      </c>
      <c r="JZ21" s="483" t="s">
        <v>260</v>
      </c>
      <c r="KA21" s="483" t="s">
        <v>260</v>
      </c>
      <c r="KB21" s="483">
        <v>84</v>
      </c>
      <c r="KC21" s="483" t="s">
        <v>260</v>
      </c>
      <c r="KD21" s="483" t="s">
        <v>260</v>
      </c>
      <c r="KE21" s="483" t="s">
        <v>260</v>
      </c>
      <c r="KF21" s="483" t="s">
        <v>260</v>
      </c>
      <c r="KG21" s="483" t="s">
        <v>260</v>
      </c>
      <c r="KH21" s="483" t="s">
        <v>260</v>
      </c>
      <c r="KI21" s="483" t="s">
        <v>260</v>
      </c>
      <c r="KJ21" s="483" t="s">
        <v>260</v>
      </c>
      <c r="KK21" s="483" t="s">
        <v>260</v>
      </c>
      <c r="KL21" s="483" t="s">
        <v>260</v>
      </c>
      <c r="KM21" s="483" t="s">
        <v>260</v>
      </c>
      <c r="KN21" s="483" t="s">
        <v>260</v>
      </c>
      <c r="KO21" s="483" t="s">
        <v>260</v>
      </c>
      <c r="KP21" s="483" t="s">
        <v>260</v>
      </c>
      <c r="KQ21" s="483" t="s">
        <v>260</v>
      </c>
      <c r="KR21" s="483" t="s">
        <v>260</v>
      </c>
      <c r="KS21" s="483">
        <v>20</v>
      </c>
      <c r="KT21" s="483" t="s">
        <v>260</v>
      </c>
      <c r="KU21" s="483" t="s">
        <v>260</v>
      </c>
      <c r="KV21" s="483" t="s">
        <v>260</v>
      </c>
      <c r="KW21" s="483" t="s">
        <v>260</v>
      </c>
      <c r="KX21" s="483" t="s">
        <v>260</v>
      </c>
      <c r="KY21" s="483" t="s">
        <v>260</v>
      </c>
      <c r="KZ21" s="483" t="s">
        <v>260</v>
      </c>
      <c r="LA21" s="483" t="s">
        <v>260</v>
      </c>
      <c r="LB21" s="483" t="s">
        <v>260</v>
      </c>
      <c r="LC21" s="483" t="s">
        <v>260</v>
      </c>
      <c r="LD21" s="483" t="s">
        <v>260</v>
      </c>
      <c r="LE21" s="483" t="s">
        <v>260</v>
      </c>
      <c r="LF21" s="483" t="s">
        <v>260</v>
      </c>
      <c r="LG21" s="483" t="s">
        <v>260</v>
      </c>
      <c r="LH21" s="483">
        <v>52</v>
      </c>
      <c r="LI21" s="483">
        <v>12</v>
      </c>
      <c r="LJ21" s="483" t="s">
        <v>260</v>
      </c>
      <c r="LK21" s="483" t="s">
        <v>260</v>
      </c>
      <c r="LL21" s="483" t="s">
        <v>260</v>
      </c>
      <c r="LM21" s="483" t="s">
        <v>260</v>
      </c>
      <c r="LN21" s="483" t="s">
        <v>260</v>
      </c>
      <c r="LO21" s="483" t="s">
        <v>260</v>
      </c>
      <c r="LP21" s="483" t="s">
        <v>260</v>
      </c>
      <c r="LQ21" s="483" t="s">
        <v>260</v>
      </c>
      <c r="LR21" s="485" t="s">
        <v>260</v>
      </c>
      <c r="LS21" s="485">
        <v>18</v>
      </c>
      <c r="LT21" s="485" t="s">
        <v>260</v>
      </c>
      <c r="LU21" s="485" t="s">
        <v>260</v>
      </c>
      <c r="LV21" s="485" t="s">
        <v>260</v>
      </c>
      <c r="LW21" s="485" t="s">
        <v>260</v>
      </c>
      <c r="LX21" s="485">
        <v>18</v>
      </c>
      <c r="LY21" s="485" t="s">
        <v>260</v>
      </c>
      <c r="LZ21" s="485" t="s">
        <v>260</v>
      </c>
      <c r="MA21" s="485" t="s">
        <v>260</v>
      </c>
      <c r="MB21" s="485" t="s">
        <v>260</v>
      </c>
      <c r="MC21" s="485">
        <v>38</v>
      </c>
      <c r="MD21" s="485" t="s">
        <v>260</v>
      </c>
      <c r="ME21" s="485">
        <v>38</v>
      </c>
      <c r="MF21" s="485" t="s">
        <v>260</v>
      </c>
      <c r="MG21" s="485" t="s">
        <v>260</v>
      </c>
      <c r="MH21" s="485" t="s">
        <v>260</v>
      </c>
      <c r="MI21" s="485" t="s">
        <v>260</v>
      </c>
      <c r="MJ21" s="485">
        <v>21</v>
      </c>
      <c r="MK21" s="485" t="s">
        <v>260</v>
      </c>
      <c r="ML21" s="485" t="s">
        <v>260</v>
      </c>
      <c r="MM21" s="485" t="s">
        <v>260</v>
      </c>
      <c r="MN21" s="485" t="s">
        <v>260</v>
      </c>
      <c r="MO21" s="485" t="s">
        <v>260</v>
      </c>
      <c r="MP21" s="485">
        <v>8</v>
      </c>
      <c r="MQ21" s="485" t="s">
        <v>260</v>
      </c>
      <c r="MR21" s="485" t="s">
        <v>260</v>
      </c>
      <c r="MS21" s="485" t="s">
        <v>260</v>
      </c>
      <c r="MT21" s="485" t="s">
        <v>260</v>
      </c>
      <c r="MU21" s="485">
        <v>13</v>
      </c>
      <c r="MV21" s="485" t="s">
        <v>260</v>
      </c>
      <c r="MW21" s="485" t="s">
        <v>260</v>
      </c>
      <c r="MX21" s="485" t="s">
        <v>260</v>
      </c>
      <c r="MY21" s="485" t="s">
        <v>260</v>
      </c>
      <c r="MZ21" s="485" t="s">
        <v>260</v>
      </c>
      <c r="NA21" s="485" t="s">
        <v>260</v>
      </c>
      <c r="NB21" s="485">
        <v>0</v>
      </c>
      <c r="NC21" s="485" t="s">
        <v>260</v>
      </c>
      <c r="ND21" s="485" t="s">
        <v>260</v>
      </c>
      <c r="NE21" s="485" t="s">
        <v>260</v>
      </c>
      <c r="NF21" s="485" t="s">
        <v>260</v>
      </c>
      <c r="NG21" s="485" t="s">
        <v>260</v>
      </c>
      <c r="NH21" s="485" t="s">
        <v>260</v>
      </c>
      <c r="NI21" s="485" t="s">
        <v>260</v>
      </c>
      <c r="NJ21" s="485" t="s">
        <v>260</v>
      </c>
      <c r="NK21" s="485" t="s">
        <v>260</v>
      </c>
      <c r="NL21" s="485" t="s">
        <v>260</v>
      </c>
      <c r="NM21" s="485" t="s">
        <v>260</v>
      </c>
      <c r="NN21" s="485" t="s">
        <v>260</v>
      </c>
      <c r="NO21" s="485">
        <v>0</v>
      </c>
      <c r="NP21" s="485">
        <v>0</v>
      </c>
      <c r="NQ21" s="485" t="s">
        <v>260</v>
      </c>
      <c r="NR21" s="485" t="s">
        <v>260</v>
      </c>
      <c r="NS21" s="485" t="s">
        <v>260</v>
      </c>
      <c r="NT21" s="485" t="s">
        <v>260</v>
      </c>
      <c r="NU21" s="485" t="s">
        <v>260</v>
      </c>
      <c r="NV21" s="485" t="s">
        <v>260</v>
      </c>
      <c r="NW21" s="485" t="s">
        <v>260</v>
      </c>
      <c r="NX21" s="485" t="s">
        <v>260</v>
      </c>
      <c r="NY21" s="485" t="s">
        <v>260</v>
      </c>
      <c r="NZ21" s="485" t="s">
        <v>260</v>
      </c>
      <c r="OA21" s="485" t="s">
        <v>260</v>
      </c>
      <c r="OB21" s="485" t="s">
        <v>260</v>
      </c>
      <c r="OC21" s="485" t="s">
        <v>260</v>
      </c>
      <c r="OD21" s="485">
        <v>0</v>
      </c>
      <c r="OE21" s="485" t="s">
        <v>260</v>
      </c>
      <c r="OF21" s="485" t="s">
        <v>260</v>
      </c>
      <c r="OG21" s="485" t="s">
        <v>260</v>
      </c>
      <c r="OH21" s="485" t="s">
        <v>260</v>
      </c>
      <c r="OI21" s="485" t="s">
        <v>260</v>
      </c>
      <c r="OJ21" s="485" t="s">
        <v>5330</v>
      </c>
      <c r="OK21" s="485" t="s">
        <v>260</v>
      </c>
      <c r="OL21" s="485" t="s">
        <v>260</v>
      </c>
      <c r="OM21" s="483">
        <v>19</v>
      </c>
      <c r="ON21" s="483">
        <v>48</v>
      </c>
      <c r="OO21" s="483" t="s">
        <v>260</v>
      </c>
      <c r="OP21" s="483" t="s">
        <v>260</v>
      </c>
      <c r="OQ21" s="483" t="s">
        <v>260</v>
      </c>
      <c r="OR21" s="483" t="s">
        <v>260</v>
      </c>
      <c r="OS21" s="483" t="s">
        <v>260</v>
      </c>
      <c r="OT21" s="483" t="s">
        <v>260</v>
      </c>
      <c r="OU21" s="483" t="s">
        <v>260</v>
      </c>
      <c r="OV21" s="483" t="s">
        <v>260</v>
      </c>
      <c r="OW21" s="483" t="s">
        <v>260</v>
      </c>
      <c r="OX21" s="483" t="s">
        <v>260</v>
      </c>
      <c r="OY21" s="483" t="s">
        <v>260</v>
      </c>
      <c r="OZ21" s="483" t="s">
        <v>260</v>
      </c>
      <c r="PA21" s="483" t="s">
        <v>260</v>
      </c>
      <c r="PB21" s="483" t="s">
        <v>260</v>
      </c>
      <c r="PC21" s="483" t="s">
        <v>260</v>
      </c>
      <c r="PD21" s="483" t="s">
        <v>260</v>
      </c>
      <c r="PE21" s="485">
        <v>0</v>
      </c>
      <c r="PF21" s="483" t="s">
        <v>260</v>
      </c>
      <c r="PG21" s="483" t="s">
        <v>260</v>
      </c>
      <c r="PH21" s="483" t="s">
        <v>260</v>
      </c>
      <c r="PI21" s="483" t="s">
        <v>260</v>
      </c>
      <c r="PJ21" s="483" t="s">
        <v>260</v>
      </c>
      <c r="PK21" s="483" t="s">
        <v>260</v>
      </c>
      <c r="PL21" s="483" t="s">
        <v>260</v>
      </c>
      <c r="PM21" s="483" t="s">
        <v>260</v>
      </c>
    </row>
    <row r="22" spans="2:429" ht="15.6" x14ac:dyDescent="0.3">
      <c r="B22" s="487" t="s">
        <v>2303</v>
      </c>
      <c r="C22" s="483">
        <f t="shared" si="0"/>
        <v>1028</v>
      </c>
      <c r="D22" s="483">
        <v>231</v>
      </c>
      <c r="E22" s="483">
        <v>126</v>
      </c>
      <c r="F22" s="483" t="s">
        <v>260</v>
      </c>
      <c r="G22" s="483">
        <v>105</v>
      </c>
      <c r="H22" s="483" t="s">
        <v>260</v>
      </c>
      <c r="I22" s="483" t="s">
        <v>260</v>
      </c>
      <c r="J22" s="483" t="s">
        <v>260</v>
      </c>
      <c r="K22" s="483" t="s">
        <v>260</v>
      </c>
      <c r="L22" s="483" t="s">
        <v>260</v>
      </c>
      <c r="M22" s="483" t="s">
        <v>260</v>
      </c>
      <c r="N22" s="483" t="s">
        <v>260</v>
      </c>
      <c r="O22" s="483">
        <v>16</v>
      </c>
      <c r="P22" s="483" t="s">
        <v>260</v>
      </c>
      <c r="Q22" s="483">
        <v>232</v>
      </c>
      <c r="R22" s="483" t="s">
        <v>260</v>
      </c>
      <c r="S22" s="483" t="s">
        <v>260</v>
      </c>
      <c r="T22" s="483" t="s">
        <v>260</v>
      </c>
      <c r="U22" s="483" t="s">
        <v>260</v>
      </c>
      <c r="V22" s="483">
        <v>318</v>
      </c>
      <c r="W22" s="483" t="s">
        <v>260</v>
      </c>
      <c r="X22" s="483" t="s">
        <v>260</v>
      </c>
      <c r="Y22" s="483" t="s">
        <v>260</v>
      </c>
      <c r="Z22" s="483" t="s">
        <v>260</v>
      </c>
      <c r="AA22" s="483" t="s">
        <v>260</v>
      </c>
      <c r="AB22" s="483" t="s">
        <v>260</v>
      </c>
      <c r="AC22" s="483" t="s">
        <v>260</v>
      </c>
      <c r="AD22" s="483" t="s">
        <v>260</v>
      </c>
      <c r="AE22" s="483" t="s">
        <v>260</v>
      </c>
      <c r="AF22" s="483" t="s">
        <v>260</v>
      </c>
      <c r="AG22" s="483" t="s">
        <v>260</v>
      </c>
      <c r="AH22" s="483" t="s">
        <v>260</v>
      </c>
      <c r="AI22" s="483" t="s">
        <v>260</v>
      </c>
      <c r="AJ22" s="483" t="s">
        <v>260</v>
      </c>
      <c r="AK22" s="483" t="s">
        <v>260</v>
      </c>
      <c r="AL22" s="483" t="s">
        <v>260</v>
      </c>
      <c r="AM22" s="483" t="s">
        <v>260</v>
      </c>
      <c r="AN22" s="483" t="s">
        <v>260</v>
      </c>
      <c r="AO22" s="483" t="s">
        <v>260</v>
      </c>
      <c r="AP22" s="483" t="s">
        <v>260</v>
      </c>
      <c r="AQ22" s="483" t="s">
        <v>260</v>
      </c>
      <c r="AR22" s="483" t="s">
        <v>260</v>
      </c>
      <c r="AS22" s="483" t="s">
        <v>260</v>
      </c>
      <c r="AT22" s="483">
        <f t="shared" si="1"/>
        <v>342</v>
      </c>
      <c r="AU22" s="483" t="s">
        <v>260</v>
      </c>
      <c r="AV22" s="483" t="s">
        <v>260</v>
      </c>
      <c r="AW22" s="483" t="s">
        <v>260</v>
      </c>
      <c r="AX22" s="483" t="s">
        <v>260</v>
      </c>
      <c r="AY22" s="483" t="s">
        <v>260</v>
      </c>
      <c r="AZ22" s="483" t="s">
        <v>260</v>
      </c>
      <c r="BA22" s="483" t="s">
        <v>260</v>
      </c>
      <c r="BB22" s="483" t="s">
        <v>260</v>
      </c>
      <c r="BC22" s="483" t="s">
        <v>260</v>
      </c>
      <c r="BD22" s="483" t="s">
        <v>260</v>
      </c>
      <c r="BE22" s="483" t="s">
        <v>260</v>
      </c>
      <c r="BF22" s="483" t="s">
        <v>260</v>
      </c>
      <c r="BG22" s="483" t="s">
        <v>260</v>
      </c>
      <c r="BH22" s="483" t="s">
        <v>260</v>
      </c>
      <c r="BI22" s="483" t="s">
        <v>260</v>
      </c>
      <c r="BJ22" s="483" t="s">
        <v>260</v>
      </c>
      <c r="BK22" s="483" t="s">
        <v>260</v>
      </c>
      <c r="BL22" s="483" t="s">
        <v>260</v>
      </c>
      <c r="BM22" s="483" t="s">
        <v>260</v>
      </c>
      <c r="BN22" s="483" t="s">
        <v>260</v>
      </c>
      <c r="BO22" s="483" t="s">
        <v>260</v>
      </c>
      <c r="BP22" s="483" t="s">
        <v>260</v>
      </c>
      <c r="BQ22" s="483" t="s">
        <v>260</v>
      </c>
      <c r="BR22" s="483" t="s">
        <v>260</v>
      </c>
      <c r="BS22" s="483" t="s">
        <v>260</v>
      </c>
      <c r="BT22" s="483" t="s">
        <v>260</v>
      </c>
      <c r="BU22" s="483" t="s">
        <v>260</v>
      </c>
      <c r="BV22" s="483" t="s">
        <v>260</v>
      </c>
      <c r="BW22" s="483" t="s">
        <v>260</v>
      </c>
      <c r="BX22" s="483" t="s">
        <v>260</v>
      </c>
      <c r="BY22" s="483" t="s">
        <v>260</v>
      </c>
      <c r="BZ22" s="483" t="s">
        <v>260</v>
      </c>
      <c r="CA22" s="483" t="s">
        <v>260</v>
      </c>
      <c r="CB22" s="483" t="s">
        <v>260</v>
      </c>
      <c r="CC22" s="483" t="s">
        <v>260</v>
      </c>
      <c r="CD22" s="483" t="s">
        <v>260</v>
      </c>
      <c r="CE22" s="483" t="s">
        <v>260</v>
      </c>
      <c r="CF22" s="483" t="s">
        <v>260</v>
      </c>
      <c r="CG22" s="483" t="s">
        <v>260</v>
      </c>
      <c r="CH22" s="483">
        <v>6</v>
      </c>
      <c r="CI22" s="483">
        <v>300</v>
      </c>
      <c r="CJ22" s="483">
        <v>36</v>
      </c>
      <c r="CK22" s="483" t="s">
        <v>260</v>
      </c>
      <c r="CL22" s="483" t="s">
        <v>260</v>
      </c>
      <c r="CM22" s="483" t="s">
        <v>260</v>
      </c>
      <c r="CN22" s="483" t="s">
        <v>260</v>
      </c>
      <c r="CO22" s="483" t="s">
        <v>260</v>
      </c>
      <c r="CP22" s="483" t="s">
        <v>260</v>
      </c>
      <c r="CQ22" s="483" t="s">
        <v>260</v>
      </c>
      <c r="CR22" s="483" t="s">
        <v>260</v>
      </c>
      <c r="CS22" s="483" t="s">
        <v>260</v>
      </c>
      <c r="CT22" s="483" t="s">
        <v>260</v>
      </c>
      <c r="CU22" s="483" t="s">
        <v>260</v>
      </c>
      <c r="CV22" s="483" t="s">
        <v>260</v>
      </c>
      <c r="CW22" s="483" t="s">
        <v>260</v>
      </c>
      <c r="CX22" s="483" t="s">
        <v>260</v>
      </c>
      <c r="CY22" s="483" t="s">
        <v>260</v>
      </c>
      <c r="CZ22" s="483" t="s">
        <v>260</v>
      </c>
      <c r="DA22" s="483" t="s">
        <v>260</v>
      </c>
      <c r="DB22" s="483" t="s">
        <v>260</v>
      </c>
      <c r="DC22" s="483" t="s">
        <v>260</v>
      </c>
      <c r="DD22" s="483" t="s">
        <v>260</v>
      </c>
      <c r="DE22" s="483" t="s">
        <v>260</v>
      </c>
      <c r="DF22" s="483" t="s">
        <v>260</v>
      </c>
      <c r="DG22" s="483" t="s">
        <v>260</v>
      </c>
      <c r="DH22" s="483" t="s">
        <v>260</v>
      </c>
      <c r="DI22" s="483" t="s">
        <v>260</v>
      </c>
      <c r="DJ22" s="483" t="s">
        <v>260</v>
      </c>
      <c r="DK22" s="483" t="s">
        <v>260</v>
      </c>
      <c r="DL22" s="483" t="s">
        <v>260</v>
      </c>
      <c r="DM22" s="483" t="s">
        <v>260</v>
      </c>
      <c r="DN22" s="483">
        <v>30</v>
      </c>
      <c r="DO22" s="483">
        <v>30</v>
      </c>
      <c r="DP22" s="483" t="s">
        <v>260</v>
      </c>
      <c r="DQ22" s="483" t="s">
        <v>260</v>
      </c>
      <c r="DR22" s="483" t="s">
        <v>260</v>
      </c>
      <c r="DS22" s="483" t="s">
        <v>260</v>
      </c>
      <c r="DT22" s="483" t="s">
        <v>260</v>
      </c>
      <c r="DU22" s="483" t="s">
        <v>260</v>
      </c>
      <c r="DV22" s="483" t="s">
        <v>260</v>
      </c>
      <c r="DW22" s="483" t="s">
        <v>260</v>
      </c>
      <c r="DX22" s="483" t="s">
        <v>260</v>
      </c>
      <c r="DY22" s="483" t="s">
        <v>260</v>
      </c>
      <c r="DZ22" s="483" t="s">
        <v>260</v>
      </c>
      <c r="EA22" s="483" t="s">
        <v>260</v>
      </c>
      <c r="EB22" s="483">
        <v>85</v>
      </c>
      <c r="EC22" s="483" t="s">
        <v>260</v>
      </c>
      <c r="ED22" s="483" t="s">
        <v>260</v>
      </c>
      <c r="EE22" s="483" t="s">
        <v>260</v>
      </c>
      <c r="EF22" s="483" t="s">
        <v>260</v>
      </c>
      <c r="EG22" s="483" t="s">
        <v>260</v>
      </c>
      <c r="EH22" s="483" t="s">
        <v>260</v>
      </c>
      <c r="EI22" s="483" t="s">
        <v>260</v>
      </c>
      <c r="EJ22" s="483" t="s">
        <v>260</v>
      </c>
      <c r="EK22" s="483" t="s">
        <v>260</v>
      </c>
      <c r="EL22" s="483" t="s">
        <v>260</v>
      </c>
      <c r="EM22" s="483" t="s">
        <v>260</v>
      </c>
      <c r="EN22" s="483" t="s">
        <v>260</v>
      </c>
      <c r="EO22" s="483" t="s">
        <v>260</v>
      </c>
      <c r="EP22" s="483">
        <v>45</v>
      </c>
      <c r="EQ22" s="483" t="s">
        <v>260</v>
      </c>
      <c r="ER22" s="483" t="s">
        <v>260</v>
      </c>
      <c r="ES22" s="483" t="s">
        <v>260</v>
      </c>
      <c r="ET22" s="483" t="s">
        <v>260</v>
      </c>
      <c r="EU22" s="483" t="s">
        <v>260</v>
      </c>
      <c r="EV22" s="483" t="s">
        <v>260</v>
      </c>
      <c r="EW22" s="483">
        <v>40</v>
      </c>
      <c r="EX22" s="483" t="s">
        <v>260</v>
      </c>
      <c r="EY22" s="483" t="s">
        <v>260</v>
      </c>
      <c r="EZ22" s="483" t="s">
        <v>260</v>
      </c>
      <c r="FA22" s="483" t="s">
        <v>260</v>
      </c>
      <c r="FB22" s="483" t="s">
        <v>260</v>
      </c>
      <c r="FC22" s="483" t="s">
        <v>260</v>
      </c>
      <c r="FD22" s="483">
        <v>1611</v>
      </c>
      <c r="FE22" s="483">
        <v>1252</v>
      </c>
      <c r="FF22" s="483" t="s">
        <v>260</v>
      </c>
      <c r="FG22" s="483" t="s">
        <v>260</v>
      </c>
      <c r="FH22" s="483" t="s">
        <v>260</v>
      </c>
      <c r="FI22" s="483" t="s">
        <v>260</v>
      </c>
      <c r="FJ22" s="483" t="s">
        <v>260</v>
      </c>
      <c r="FK22" s="483" t="s">
        <v>260</v>
      </c>
      <c r="FL22" s="483" t="s">
        <v>260</v>
      </c>
      <c r="FM22" s="483" t="s">
        <v>260</v>
      </c>
      <c r="FN22" s="483" t="s">
        <v>260</v>
      </c>
      <c r="FO22" s="483" t="s">
        <v>260</v>
      </c>
      <c r="FP22" s="483" t="s">
        <v>260</v>
      </c>
      <c r="FQ22" s="483" t="s">
        <v>260</v>
      </c>
      <c r="FR22" s="483" t="s">
        <v>260</v>
      </c>
      <c r="FS22" s="483" t="s">
        <v>260</v>
      </c>
      <c r="FT22" s="483" t="s">
        <v>260</v>
      </c>
      <c r="FU22" s="483" t="s">
        <v>260</v>
      </c>
      <c r="FV22" s="483" t="s">
        <v>260</v>
      </c>
      <c r="FW22" s="483" t="s">
        <v>260</v>
      </c>
      <c r="FX22" s="483" t="s">
        <v>260</v>
      </c>
      <c r="FY22" s="483" t="s">
        <v>260</v>
      </c>
      <c r="FZ22" s="483">
        <v>359</v>
      </c>
      <c r="GA22" s="483" t="s">
        <v>260</v>
      </c>
      <c r="GB22" s="483" t="s">
        <v>260</v>
      </c>
      <c r="GC22" s="483" t="s">
        <v>260</v>
      </c>
      <c r="GD22" s="483" t="s">
        <v>260</v>
      </c>
      <c r="GE22" s="483" t="s">
        <v>260</v>
      </c>
      <c r="GF22" s="483" t="s">
        <v>260</v>
      </c>
      <c r="GG22" s="483" t="s">
        <v>260</v>
      </c>
      <c r="GH22" s="483" t="s">
        <v>260</v>
      </c>
      <c r="GI22" s="483" t="s">
        <v>260</v>
      </c>
      <c r="GJ22" s="483" t="s">
        <v>260</v>
      </c>
      <c r="GK22" s="483" t="s">
        <v>260</v>
      </c>
      <c r="GL22" s="483" t="s">
        <v>260</v>
      </c>
      <c r="GM22" s="483" t="s">
        <v>260</v>
      </c>
      <c r="GN22" s="483" t="s">
        <v>260</v>
      </c>
      <c r="GO22" s="483" t="s">
        <v>260</v>
      </c>
      <c r="GP22" s="483" t="s">
        <v>260</v>
      </c>
      <c r="GQ22" s="483" t="s">
        <v>260</v>
      </c>
      <c r="GR22" s="483" t="s">
        <v>260</v>
      </c>
      <c r="GS22" s="483" t="s">
        <v>260</v>
      </c>
      <c r="GT22" s="483" t="s">
        <v>260</v>
      </c>
      <c r="GU22" s="483" t="s">
        <v>260</v>
      </c>
      <c r="GV22" s="483" t="s">
        <v>260</v>
      </c>
      <c r="GW22" s="483" t="s">
        <v>260</v>
      </c>
      <c r="GX22" s="483" t="s">
        <v>260</v>
      </c>
      <c r="GY22" s="483" t="s">
        <v>260</v>
      </c>
      <c r="GZ22" s="483">
        <v>183</v>
      </c>
      <c r="HA22" s="483" t="s">
        <v>260</v>
      </c>
      <c r="HB22" s="483" t="s">
        <v>260</v>
      </c>
      <c r="HC22" s="483" t="s">
        <v>260</v>
      </c>
      <c r="HD22" s="483" t="s">
        <v>260</v>
      </c>
      <c r="HE22" s="483" t="s">
        <v>260</v>
      </c>
      <c r="HF22" s="483" t="s">
        <v>260</v>
      </c>
      <c r="HG22" s="483" t="s">
        <v>260</v>
      </c>
      <c r="HH22" s="483" t="s">
        <v>260</v>
      </c>
      <c r="HI22" s="483" t="s">
        <v>260</v>
      </c>
      <c r="HJ22" s="483">
        <v>111</v>
      </c>
      <c r="HK22" s="483" t="s">
        <v>260</v>
      </c>
      <c r="HL22" s="483" t="s">
        <v>260</v>
      </c>
      <c r="HM22" s="483" t="s">
        <v>260</v>
      </c>
      <c r="HN22" s="483" t="s">
        <v>260</v>
      </c>
      <c r="HO22" s="483" t="s">
        <v>260</v>
      </c>
      <c r="HP22" s="483">
        <v>72</v>
      </c>
      <c r="HQ22" s="483" t="s">
        <v>260</v>
      </c>
      <c r="HR22" s="483" t="s">
        <v>260</v>
      </c>
      <c r="HS22" s="483" t="s">
        <v>260</v>
      </c>
      <c r="HT22" s="483" t="s">
        <v>260</v>
      </c>
      <c r="HU22" s="483" t="s">
        <v>260</v>
      </c>
      <c r="HV22" s="483" t="s">
        <v>260</v>
      </c>
      <c r="HW22" s="483" t="s">
        <v>260</v>
      </c>
      <c r="HX22" s="483" t="s">
        <v>260</v>
      </c>
      <c r="HY22" s="483" t="s">
        <v>260</v>
      </c>
      <c r="HZ22" s="483" t="s">
        <v>260</v>
      </c>
      <c r="IA22" s="483" t="s">
        <v>260</v>
      </c>
      <c r="IB22" s="483" t="s">
        <v>260</v>
      </c>
      <c r="IC22" s="483" t="s">
        <v>260</v>
      </c>
      <c r="ID22" s="483" t="s">
        <v>260</v>
      </c>
      <c r="IE22" s="483" t="s">
        <v>260</v>
      </c>
      <c r="IF22" s="483">
        <v>0</v>
      </c>
      <c r="IG22" s="483" t="s">
        <v>260</v>
      </c>
      <c r="IH22" s="483" t="s">
        <v>260</v>
      </c>
      <c r="II22" s="483" t="s">
        <v>260</v>
      </c>
      <c r="IJ22" s="483" t="s">
        <v>260</v>
      </c>
      <c r="IK22" s="483">
        <v>179</v>
      </c>
      <c r="IL22" s="483" t="s">
        <v>260</v>
      </c>
      <c r="IM22" s="483" t="s">
        <v>260</v>
      </c>
      <c r="IN22" s="483">
        <v>29</v>
      </c>
      <c r="IO22" s="483" t="s">
        <v>260</v>
      </c>
      <c r="IP22" s="483" t="s">
        <v>260</v>
      </c>
      <c r="IQ22" s="483">
        <v>75</v>
      </c>
      <c r="IR22" s="483" t="s">
        <v>260</v>
      </c>
      <c r="IS22" s="483" t="s">
        <v>260</v>
      </c>
      <c r="IT22" s="483" t="s">
        <v>260</v>
      </c>
      <c r="IU22" s="483" t="s">
        <v>260</v>
      </c>
      <c r="IV22" s="483" t="s">
        <v>260</v>
      </c>
      <c r="IW22" s="483" t="s">
        <v>260</v>
      </c>
      <c r="IX22" s="483" t="s">
        <v>260</v>
      </c>
      <c r="IY22" s="483" t="s">
        <v>260</v>
      </c>
      <c r="IZ22" s="483" t="s">
        <v>260</v>
      </c>
      <c r="JA22" s="483">
        <v>75</v>
      </c>
      <c r="JB22" s="483" t="s">
        <v>260</v>
      </c>
      <c r="JC22" s="483" t="s">
        <v>260</v>
      </c>
      <c r="JD22" s="483" t="s">
        <v>260</v>
      </c>
      <c r="JE22" s="483">
        <v>0</v>
      </c>
      <c r="JF22" s="483" t="s">
        <v>260</v>
      </c>
      <c r="JG22" s="483" t="s">
        <v>260</v>
      </c>
      <c r="JH22" s="483" t="s">
        <v>260</v>
      </c>
      <c r="JI22" s="483" t="s">
        <v>260</v>
      </c>
      <c r="JJ22" s="483" t="s">
        <v>260</v>
      </c>
      <c r="JK22" s="483" t="s">
        <v>260</v>
      </c>
      <c r="JL22" s="483" t="s">
        <v>260</v>
      </c>
      <c r="JM22" s="483" t="s">
        <v>260</v>
      </c>
      <c r="JN22" s="483" t="s">
        <v>260</v>
      </c>
      <c r="JO22" s="483" t="s">
        <v>260</v>
      </c>
      <c r="JP22" s="483" t="s">
        <v>260</v>
      </c>
      <c r="JQ22" s="483" t="s">
        <v>260</v>
      </c>
      <c r="JR22" s="483" t="s">
        <v>260</v>
      </c>
      <c r="JS22" s="483" t="s">
        <v>260</v>
      </c>
      <c r="JT22" s="483" t="s">
        <v>260</v>
      </c>
      <c r="JU22" s="483" t="s">
        <v>260</v>
      </c>
      <c r="JV22" s="483" t="s">
        <v>260</v>
      </c>
      <c r="JW22" s="483" t="s">
        <v>260</v>
      </c>
      <c r="JX22" s="483" t="s">
        <v>260</v>
      </c>
      <c r="JY22" s="483" t="s">
        <v>260</v>
      </c>
      <c r="JZ22" s="483" t="s">
        <v>260</v>
      </c>
      <c r="KA22" s="483" t="s">
        <v>260</v>
      </c>
      <c r="KB22" s="483">
        <v>66</v>
      </c>
      <c r="KC22" s="483" t="s">
        <v>260</v>
      </c>
      <c r="KD22" s="483" t="s">
        <v>260</v>
      </c>
      <c r="KE22" s="483">
        <v>48</v>
      </c>
      <c r="KF22" s="483" t="s">
        <v>260</v>
      </c>
      <c r="KG22" s="483" t="s">
        <v>260</v>
      </c>
      <c r="KH22" s="483" t="s">
        <v>260</v>
      </c>
      <c r="KI22" s="483" t="s">
        <v>260</v>
      </c>
      <c r="KJ22" s="483" t="s">
        <v>260</v>
      </c>
      <c r="KK22" s="483" t="s">
        <v>260</v>
      </c>
      <c r="KL22" s="483" t="s">
        <v>260</v>
      </c>
      <c r="KM22" s="483" t="s">
        <v>260</v>
      </c>
      <c r="KN22" s="483" t="s">
        <v>260</v>
      </c>
      <c r="KO22" s="483" t="s">
        <v>260</v>
      </c>
      <c r="KP22" s="483" t="s">
        <v>260</v>
      </c>
      <c r="KQ22" s="483" t="s">
        <v>260</v>
      </c>
      <c r="KR22" s="483" t="s">
        <v>260</v>
      </c>
      <c r="KS22" s="483" t="s">
        <v>260</v>
      </c>
      <c r="KT22" s="483" t="s">
        <v>260</v>
      </c>
      <c r="KU22" s="483" t="s">
        <v>260</v>
      </c>
      <c r="KV22" s="483" t="s">
        <v>260</v>
      </c>
      <c r="KW22" s="483" t="s">
        <v>260</v>
      </c>
      <c r="KX22" s="483" t="s">
        <v>260</v>
      </c>
      <c r="KY22" s="483" t="s">
        <v>260</v>
      </c>
      <c r="KZ22" s="483" t="s">
        <v>260</v>
      </c>
      <c r="LA22" s="483" t="s">
        <v>260</v>
      </c>
      <c r="LB22" s="483" t="s">
        <v>260</v>
      </c>
      <c r="LC22" s="483" t="s">
        <v>260</v>
      </c>
      <c r="LD22" s="483" t="s">
        <v>260</v>
      </c>
      <c r="LE22" s="483">
        <v>12</v>
      </c>
      <c r="LF22" s="483">
        <v>6</v>
      </c>
      <c r="LG22" s="483" t="s">
        <v>260</v>
      </c>
      <c r="LH22" s="483" t="s">
        <v>260</v>
      </c>
      <c r="LI22" s="483" t="s">
        <v>260</v>
      </c>
      <c r="LJ22" s="483" t="s">
        <v>260</v>
      </c>
      <c r="LK22" s="483" t="s">
        <v>260</v>
      </c>
      <c r="LL22" s="483" t="s">
        <v>260</v>
      </c>
      <c r="LM22" s="483" t="s">
        <v>260</v>
      </c>
      <c r="LN22" s="483" t="s">
        <v>260</v>
      </c>
      <c r="LO22" s="483" t="s">
        <v>260</v>
      </c>
      <c r="LP22" s="483" t="s">
        <v>260</v>
      </c>
      <c r="LQ22" s="483" t="s">
        <v>260</v>
      </c>
      <c r="LR22" s="485" t="s">
        <v>260</v>
      </c>
      <c r="LS22" s="485">
        <v>1</v>
      </c>
      <c r="LT22" s="485">
        <v>1</v>
      </c>
      <c r="LU22" s="485" t="s">
        <v>260</v>
      </c>
      <c r="LV22" s="485" t="s">
        <v>260</v>
      </c>
      <c r="LW22" s="485" t="s">
        <v>260</v>
      </c>
      <c r="LX22" s="485" t="s">
        <v>260</v>
      </c>
      <c r="LY22" s="485" t="s">
        <v>260</v>
      </c>
      <c r="LZ22" s="485" t="s">
        <v>260</v>
      </c>
      <c r="MA22" s="485" t="s">
        <v>260</v>
      </c>
      <c r="MB22" s="485" t="s">
        <v>260</v>
      </c>
      <c r="MC22" s="485">
        <v>0</v>
      </c>
      <c r="MD22" s="485" t="s">
        <v>260</v>
      </c>
      <c r="ME22" s="485" t="s">
        <v>260</v>
      </c>
      <c r="MF22" s="485" t="s">
        <v>260</v>
      </c>
      <c r="MG22" s="485" t="s">
        <v>260</v>
      </c>
      <c r="MH22" s="485" t="s">
        <v>260</v>
      </c>
      <c r="MI22" s="485" t="s">
        <v>260</v>
      </c>
      <c r="MJ22" s="485">
        <v>37</v>
      </c>
      <c r="MK22" s="485">
        <v>20</v>
      </c>
      <c r="ML22" s="485">
        <v>17</v>
      </c>
      <c r="MM22" s="485" t="s">
        <v>260</v>
      </c>
      <c r="MN22" s="485" t="s">
        <v>260</v>
      </c>
      <c r="MO22" s="485" t="s">
        <v>260</v>
      </c>
      <c r="MP22" s="485" t="s">
        <v>260</v>
      </c>
      <c r="MQ22" s="485" t="s">
        <v>260</v>
      </c>
      <c r="MR22" s="485" t="s">
        <v>260</v>
      </c>
      <c r="MS22" s="485" t="s">
        <v>260</v>
      </c>
      <c r="MT22" s="485" t="s">
        <v>260</v>
      </c>
      <c r="MU22" s="485" t="s">
        <v>260</v>
      </c>
      <c r="MV22" s="485" t="s">
        <v>260</v>
      </c>
      <c r="MW22" s="485" t="s">
        <v>260</v>
      </c>
      <c r="MX22" s="485" t="s">
        <v>260</v>
      </c>
      <c r="MY22" s="485" t="s">
        <v>260</v>
      </c>
      <c r="MZ22" s="485" t="s">
        <v>260</v>
      </c>
      <c r="NA22" s="485" t="s">
        <v>260</v>
      </c>
      <c r="NB22" s="485">
        <v>0</v>
      </c>
      <c r="NC22" s="485" t="s">
        <v>260</v>
      </c>
      <c r="ND22" s="485" t="s">
        <v>260</v>
      </c>
      <c r="NE22" s="485" t="s">
        <v>260</v>
      </c>
      <c r="NF22" s="485" t="s">
        <v>260</v>
      </c>
      <c r="NG22" s="485" t="s">
        <v>260</v>
      </c>
      <c r="NH22" s="485" t="s">
        <v>260</v>
      </c>
      <c r="NI22" s="485" t="s">
        <v>260</v>
      </c>
      <c r="NJ22" s="485" t="s">
        <v>260</v>
      </c>
      <c r="NK22" s="485" t="s">
        <v>260</v>
      </c>
      <c r="NL22" s="485" t="s">
        <v>5330</v>
      </c>
      <c r="NM22" s="485" t="s">
        <v>5330</v>
      </c>
      <c r="NN22" s="485" t="s">
        <v>260</v>
      </c>
      <c r="NO22" s="485">
        <v>228</v>
      </c>
      <c r="NP22" s="485">
        <v>147</v>
      </c>
      <c r="NQ22" s="485">
        <v>64</v>
      </c>
      <c r="NR22" s="485">
        <v>20</v>
      </c>
      <c r="NS22" s="485">
        <v>63</v>
      </c>
      <c r="NT22" s="485" t="s">
        <v>260</v>
      </c>
      <c r="NU22" s="485" t="s">
        <v>260</v>
      </c>
      <c r="NV22" s="485" t="s">
        <v>260</v>
      </c>
      <c r="NW22" s="485" t="s">
        <v>260</v>
      </c>
      <c r="NX22" s="485" t="s">
        <v>260</v>
      </c>
      <c r="NY22" s="485" t="s">
        <v>260</v>
      </c>
      <c r="NZ22" s="485" t="s">
        <v>260</v>
      </c>
      <c r="OA22" s="485" t="s">
        <v>260</v>
      </c>
      <c r="OB22" s="485" t="s">
        <v>260</v>
      </c>
      <c r="OC22" s="485" t="s">
        <v>260</v>
      </c>
      <c r="OD22" s="485">
        <v>81</v>
      </c>
      <c r="OE22" s="485" t="s">
        <v>260</v>
      </c>
      <c r="OF22" s="485">
        <v>75</v>
      </c>
      <c r="OG22" s="485">
        <v>6</v>
      </c>
      <c r="OH22" s="485" t="s">
        <v>260</v>
      </c>
      <c r="OI22" s="485" t="s">
        <v>260</v>
      </c>
      <c r="OJ22" s="485" t="s">
        <v>260</v>
      </c>
      <c r="OK22" s="485" t="s">
        <v>260</v>
      </c>
      <c r="OL22" s="485" t="s">
        <v>260</v>
      </c>
      <c r="OM22" s="483" t="s">
        <v>260</v>
      </c>
      <c r="ON22" s="483" t="s">
        <v>260</v>
      </c>
      <c r="OO22" s="483" t="s">
        <v>260</v>
      </c>
      <c r="OP22" s="483" t="s">
        <v>260</v>
      </c>
      <c r="OQ22" s="483" t="s">
        <v>260</v>
      </c>
      <c r="OR22" s="483">
        <v>268</v>
      </c>
      <c r="OS22" s="483" t="s">
        <v>260</v>
      </c>
      <c r="OT22" s="483" t="s">
        <v>260</v>
      </c>
      <c r="OU22" s="483" t="s">
        <v>260</v>
      </c>
      <c r="OV22" s="483" t="s">
        <v>260</v>
      </c>
      <c r="OW22" s="483" t="s">
        <v>260</v>
      </c>
      <c r="OX22" s="483" t="s">
        <v>260</v>
      </c>
      <c r="OY22" s="483" t="s">
        <v>260</v>
      </c>
      <c r="OZ22" s="483" t="s">
        <v>260</v>
      </c>
      <c r="PA22" s="483" t="s">
        <v>260</v>
      </c>
      <c r="PB22" s="483" t="s">
        <v>260</v>
      </c>
      <c r="PC22" s="483" t="s">
        <v>260</v>
      </c>
      <c r="PD22" s="483" t="s">
        <v>260</v>
      </c>
      <c r="PE22" s="485">
        <v>2</v>
      </c>
      <c r="PF22" s="483" t="s">
        <v>260</v>
      </c>
      <c r="PG22" s="483" t="s">
        <v>260</v>
      </c>
      <c r="PH22" s="483" t="s">
        <v>260</v>
      </c>
      <c r="PI22" s="483" t="s">
        <v>260</v>
      </c>
      <c r="PJ22" s="483" t="s">
        <v>260</v>
      </c>
      <c r="PK22" s="483">
        <v>2</v>
      </c>
      <c r="PL22" s="483" t="s">
        <v>260</v>
      </c>
      <c r="PM22" s="483" t="s">
        <v>260</v>
      </c>
    </row>
    <row r="23" spans="2:429" ht="15.6" x14ac:dyDescent="0.3">
      <c r="B23" s="487" t="s">
        <v>2820</v>
      </c>
      <c r="C23" s="483">
        <f t="shared" si="0"/>
        <v>5339</v>
      </c>
      <c r="D23" s="483">
        <v>316</v>
      </c>
      <c r="E23" s="483">
        <v>316</v>
      </c>
      <c r="F23" s="483" t="s">
        <v>260</v>
      </c>
      <c r="G23" s="483" t="s">
        <v>260</v>
      </c>
      <c r="H23" s="483" t="s">
        <v>260</v>
      </c>
      <c r="I23" s="483" t="s">
        <v>260</v>
      </c>
      <c r="J23" s="483" t="s">
        <v>260</v>
      </c>
      <c r="K23" s="483" t="s">
        <v>260</v>
      </c>
      <c r="L23" s="483">
        <v>170</v>
      </c>
      <c r="M23" s="483">
        <v>227</v>
      </c>
      <c r="N23" s="483" t="s">
        <v>260</v>
      </c>
      <c r="O23" s="483" t="s">
        <v>260</v>
      </c>
      <c r="P23" s="483" t="s">
        <v>260</v>
      </c>
      <c r="Q23" s="483" t="s">
        <v>260</v>
      </c>
      <c r="R23" s="483">
        <v>2750</v>
      </c>
      <c r="S23" s="483" t="s">
        <v>260</v>
      </c>
      <c r="T23" s="483">
        <v>650</v>
      </c>
      <c r="U23" s="483" t="s">
        <v>260</v>
      </c>
      <c r="V23" s="483" t="s">
        <v>260</v>
      </c>
      <c r="W23" s="483" t="s">
        <v>260</v>
      </c>
      <c r="X23" s="483" t="s">
        <v>260</v>
      </c>
      <c r="Y23" s="483" t="s">
        <v>260</v>
      </c>
      <c r="Z23" s="483" t="s">
        <v>260</v>
      </c>
      <c r="AA23" s="483" t="s">
        <v>260</v>
      </c>
      <c r="AB23" s="483" t="s">
        <v>260</v>
      </c>
      <c r="AC23" s="483" t="s">
        <v>260</v>
      </c>
      <c r="AD23" s="483" t="s">
        <v>260</v>
      </c>
      <c r="AE23" s="483" t="s">
        <v>260</v>
      </c>
      <c r="AF23" s="483" t="s">
        <v>260</v>
      </c>
      <c r="AG23" s="483">
        <v>100</v>
      </c>
      <c r="AH23" s="483">
        <v>165</v>
      </c>
      <c r="AI23" s="483">
        <v>645</v>
      </c>
      <c r="AJ23" s="483" t="s">
        <v>260</v>
      </c>
      <c r="AK23" s="483" t="s">
        <v>260</v>
      </c>
      <c r="AL23" s="483" t="s">
        <v>260</v>
      </c>
      <c r="AM23" s="483" t="s">
        <v>260</v>
      </c>
      <c r="AN23" s="483" t="s">
        <v>260</v>
      </c>
      <c r="AO23" s="483" t="s">
        <v>260</v>
      </c>
      <c r="AP23" s="483" t="s">
        <v>260</v>
      </c>
      <c r="AQ23" s="483" t="s">
        <v>260</v>
      </c>
      <c r="AR23" s="483" t="s">
        <v>260</v>
      </c>
      <c r="AS23" s="483" t="s">
        <v>260</v>
      </c>
      <c r="AT23" s="483">
        <f t="shared" si="1"/>
        <v>3636</v>
      </c>
      <c r="AU23" s="483" t="s">
        <v>260</v>
      </c>
      <c r="AV23" s="483" t="s">
        <v>260</v>
      </c>
      <c r="AW23" s="483" t="s">
        <v>260</v>
      </c>
      <c r="AX23" s="483" t="s">
        <v>260</v>
      </c>
      <c r="AY23" s="483" t="s">
        <v>260</v>
      </c>
      <c r="AZ23" s="483" t="s">
        <v>260</v>
      </c>
      <c r="BA23" s="483" t="s">
        <v>260</v>
      </c>
      <c r="BB23" s="483" t="s">
        <v>260</v>
      </c>
      <c r="BC23" s="483" t="s">
        <v>260</v>
      </c>
      <c r="BD23" s="483" t="s">
        <v>260</v>
      </c>
      <c r="BE23" s="483" t="s">
        <v>260</v>
      </c>
      <c r="BF23" s="483" t="s">
        <v>260</v>
      </c>
      <c r="BG23" s="483" t="s">
        <v>260</v>
      </c>
      <c r="BH23" s="483" t="s">
        <v>260</v>
      </c>
      <c r="BI23" s="483" t="s">
        <v>260</v>
      </c>
      <c r="BJ23" s="483" t="s">
        <v>260</v>
      </c>
      <c r="BK23" s="483" t="s">
        <v>260</v>
      </c>
      <c r="BL23" s="483" t="s">
        <v>260</v>
      </c>
      <c r="BM23" s="483" t="s">
        <v>260</v>
      </c>
      <c r="BN23" s="483" t="s">
        <v>260</v>
      </c>
      <c r="BO23" s="483" t="s">
        <v>260</v>
      </c>
      <c r="BP23" s="483" t="s">
        <v>260</v>
      </c>
      <c r="BQ23" s="483" t="s">
        <v>260</v>
      </c>
      <c r="BR23" s="483">
        <v>2813</v>
      </c>
      <c r="BS23" s="483" t="s">
        <v>260</v>
      </c>
      <c r="BT23" s="483" t="s">
        <v>260</v>
      </c>
      <c r="BU23" s="483" t="s">
        <v>260</v>
      </c>
      <c r="BV23" s="483" t="s">
        <v>260</v>
      </c>
      <c r="BW23" s="483" t="s">
        <v>260</v>
      </c>
      <c r="BX23" s="483" t="s">
        <v>260</v>
      </c>
      <c r="BY23" s="483" t="s">
        <v>260</v>
      </c>
      <c r="BZ23" s="483" t="s">
        <v>260</v>
      </c>
      <c r="CA23" s="483" t="s">
        <v>260</v>
      </c>
      <c r="CB23" s="483" t="s">
        <v>260</v>
      </c>
      <c r="CC23" s="483" t="s">
        <v>260</v>
      </c>
      <c r="CD23" s="483" t="s">
        <v>260</v>
      </c>
      <c r="CE23" s="483" t="s">
        <v>260</v>
      </c>
      <c r="CF23" s="483" t="s">
        <v>260</v>
      </c>
      <c r="CG23" s="483" t="s">
        <v>260</v>
      </c>
      <c r="CH23" s="483" t="s">
        <v>260</v>
      </c>
      <c r="CI23" s="483" t="s">
        <v>260</v>
      </c>
      <c r="CJ23" s="483" t="s">
        <v>260</v>
      </c>
      <c r="CK23" s="483" t="s">
        <v>260</v>
      </c>
      <c r="CL23" s="483" t="s">
        <v>260</v>
      </c>
      <c r="CM23" s="483" t="s">
        <v>260</v>
      </c>
      <c r="CN23" s="483" t="s">
        <v>260</v>
      </c>
      <c r="CO23" s="483" t="s">
        <v>260</v>
      </c>
      <c r="CP23" s="483" t="s">
        <v>260</v>
      </c>
      <c r="CQ23" s="483" t="s">
        <v>260</v>
      </c>
      <c r="CR23" s="483" t="s">
        <v>260</v>
      </c>
      <c r="CS23" s="483" t="s">
        <v>260</v>
      </c>
      <c r="CT23" s="483" t="s">
        <v>260</v>
      </c>
      <c r="CU23" s="483" t="s">
        <v>260</v>
      </c>
      <c r="CV23" s="483" t="s">
        <v>260</v>
      </c>
      <c r="CW23" s="483" t="s">
        <v>260</v>
      </c>
      <c r="CX23" s="483" t="s">
        <v>260</v>
      </c>
      <c r="CY23" s="483">
        <v>823</v>
      </c>
      <c r="CZ23" s="483" t="s">
        <v>260</v>
      </c>
      <c r="DA23" s="483" t="s">
        <v>260</v>
      </c>
      <c r="DB23" s="483" t="s">
        <v>260</v>
      </c>
      <c r="DC23" s="483" t="s">
        <v>260</v>
      </c>
      <c r="DD23" s="483" t="s">
        <v>260</v>
      </c>
      <c r="DE23" s="483" t="s">
        <v>260</v>
      </c>
      <c r="DF23" s="483" t="s">
        <v>260</v>
      </c>
      <c r="DG23" s="483" t="s">
        <v>260</v>
      </c>
      <c r="DH23" s="483" t="s">
        <v>260</v>
      </c>
      <c r="DI23" s="483" t="s">
        <v>260</v>
      </c>
      <c r="DJ23" s="483" t="s">
        <v>260</v>
      </c>
      <c r="DK23" s="483" t="s">
        <v>260</v>
      </c>
      <c r="DL23" s="483" t="s">
        <v>260</v>
      </c>
      <c r="DM23" s="483" t="s">
        <v>260</v>
      </c>
      <c r="DN23" s="483">
        <v>1630</v>
      </c>
      <c r="DO23" s="483" t="s">
        <v>260</v>
      </c>
      <c r="DP23" s="483" t="s">
        <v>260</v>
      </c>
      <c r="DQ23" s="483" t="s">
        <v>260</v>
      </c>
      <c r="DR23" s="483" t="s">
        <v>260</v>
      </c>
      <c r="DS23" s="483" t="s">
        <v>260</v>
      </c>
      <c r="DT23" s="483">
        <v>360</v>
      </c>
      <c r="DU23" s="483">
        <v>650</v>
      </c>
      <c r="DV23" s="483">
        <v>320</v>
      </c>
      <c r="DW23" s="483">
        <v>300</v>
      </c>
      <c r="DX23" s="483" t="s">
        <v>260</v>
      </c>
      <c r="DY23" s="483" t="s">
        <v>260</v>
      </c>
      <c r="DZ23" s="483" t="s">
        <v>260</v>
      </c>
      <c r="EA23" s="483" t="s">
        <v>260</v>
      </c>
      <c r="EB23" s="483">
        <v>1200</v>
      </c>
      <c r="EC23" s="483" t="s">
        <v>260</v>
      </c>
      <c r="ED23" s="483" t="s">
        <v>260</v>
      </c>
      <c r="EE23" s="483">
        <v>800</v>
      </c>
      <c r="EF23" s="483">
        <v>400</v>
      </c>
      <c r="EG23" s="483" t="s">
        <v>260</v>
      </c>
      <c r="EH23" s="483" t="s">
        <v>260</v>
      </c>
      <c r="EI23" s="483" t="s">
        <v>260</v>
      </c>
      <c r="EJ23" s="483" t="s">
        <v>260</v>
      </c>
      <c r="EK23" s="483" t="s">
        <v>260</v>
      </c>
      <c r="EL23" s="483" t="s">
        <v>260</v>
      </c>
      <c r="EM23" s="483" t="s">
        <v>260</v>
      </c>
      <c r="EN23" s="483" t="s">
        <v>260</v>
      </c>
      <c r="EO23" s="483" t="s">
        <v>260</v>
      </c>
      <c r="EP23" s="483" t="s">
        <v>260</v>
      </c>
      <c r="EQ23" s="483" t="s">
        <v>260</v>
      </c>
      <c r="ER23" s="483" t="s">
        <v>260</v>
      </c>
      <c r="ES23" s="483" t="s">
        <v>260</v>
      </c>
      <c r="ET23" s="483" t="s">
        <v>260</v>
      </c>
      <c r="EU23" s="483" t="s">
        <v>260</v>
      </c>
      <c r="EV23" s="483" t="s">
        <v>260</v>
      </c>
      <c r="EW23" s="483" t="s">
        <v>260</v>
      </c>
      <c r="EX23" s="483" t="s">
        <v>260</v>
      </c>
      <c r="EY23" s="483" t="s">
        <v>260</v>
      </c>
      <c r="EZ23" s="483" t="s">
        <v>260</v>
      </c>
      <c r="FA23" s="483" t="s">
        <v>260</v>
      </c>
      <c r="FB23" s="483" t="s">
        <v>260</v>
      </c>
      <c r="FC23" s="483" t="s">
        <v>260</v>
      </c>
      <c r="FD23" s="483">
        <v>0</v>
      </c>
      <c r="FE23" s="483" t="s">
        <v>260</v>
      </c>
      <c r="FF23" s="483" t="s">
        <v>260</v>
      </c>
      <c r="FG23" s="483" t="s">
        <v>260</v>
      </c>
      <c r="FH23" s="483" t="s">
        <v>260</v>
      </c>
      <c r="FI23" s="483" t="s">
        <v>260</v>
      </c>
      <c r="FJ23" s="483" t="s">
        <v>260</v>
      </c>
      <c r="FK23" s="483" t="s">
        <v>260</v>
      </c>
      <c r="FL23" s="483" t="s">
        <v>260</v>
      </c>
      <c r="FM23" s="483" t="s">
        <v>260</v>
      </c>
      <c r="FN23" s="483" t="s">
        <v>260</v>
      </c>
      <c r="FO23" s="483" t="s">
        <v>260</v>
      </c>
      <c r="FP23" s="483" t="s">
        <v>260</v>
      </c>
      <c r="FQ23" s="483" t="s">
        <v>260</v>
      </c>
      <c r="FR23" s="483" t="s">
        <v>260</v>
      </c>
      <c r="FS23" s="483" t="s">
        <v>260</v>
      </c>
      <c r="FT23" s="483" t="s">
        <v>260</v>
      </c>
      <c r="FU23" s="483" t="s">
        <v>260</v>
      </c>
      <c r="FV23" s="483" t="s">
        <v>260</v>
      </c>
      <c r="FW23" s="483" t="s">
        <v>260</v>
      </c>
      <c r="FX23" s="483" t="s">
        <v>260</v>
      </c>
      <c r="FY23" s="483" t="s">
        <v>260</v>
      </c>
      <c r="FZ23" s="483" t="s">
        <v>260</v>
      </c>
      <c r="GA23" s="483" t="s">
        <v>260</v>
      </c>
      <c r="GB23" s="483" t="s">
        <v>260</v>
      </c>
      <c r="GC23" s="483" t="s">
        <v>260</v>
      </c>
      <c r="GD23" s="483" t="s">
        <v>260</v>
      </c>
      <c r="GE23" s="483" t="s">
        <v>260</v>
      </c>
      <c r="GF23" s="483" t="s">
        <v>260</v>
      </c>
      <c r="GG23" s="483" t="s">
        <v>260</v>
      </c>
      <c r="GH23" s="483" t="s">
        <v>260</v>
      </c>
      <c r="GI23" s="483" t="s">
        <v>260</v>
      </c>
      <c r="GJ23" s="483" t="s">
        <v>260</v>
      </c>
      <c r="GK23" s="483" t="s">
        <v>260</v>
      </c>
      <c r="GL23" s="483" t="s">
        <v>260</v>
      </c>
      <c r="GM23" s="483" t="s">
        <v>260</v>
      </c>
      <c r="GN23" s="483" t="s">
        <v>260</v>
      </c>
      <c r="GO23" s="483" t="s">
        <v>260</v>
      </c>
      <c r="GP23" s="483" t="s">
        <v>260</v>
      </c>
      <c r="GQ23" s="483" t="s">
        <v>260</v>
      </c>
      <c r="GR23" s="483" t="s">
        <v>260</v>
      </c>
      <c r="GS23" s="483" t="s">
        <v>260</v>
      </c>
      <c r="GT23" s="483" t="s">
        <v>260</v>
      </c>
      <c r="GU23" s="483" t="s">
        <v>260</v>
      </c>
      <c r="GV23" s="483" t="s">
        <v>260</v>
      </c>
      <c r="GW23" s="483" t="s">
        <v>260</v>
      </c>
      <c r="GX23" s="483" t="s">
        <v>260</v>
      </c>
      <c r="GY23" s="483" t="s">
        <v>260</v>
      </c>
      <c r="GZ23" s="483">
        <v>1385</v>
      </c>
      <c r="HA23" s="483" t="s">
        <v>260</v>
      </c>
      <c r="HB23" s="483" t="s">
        <v>260</v>
      </c>
      <c r="HC23" s="483" t="s">
        <v>260</v>
      </c>
      <c r="HD23" s="483" t="s">
        <v>260</v>
      </c>
      <c r="HE23" s="483" t="s">
        <v>260</v>
      </c>
      <c r="HF23" s="483" t="s">
        <v>260</v>
      </c>
      <c r="HG23" s="483" t="s">
        <v>260</v>
      </c>
      <c r="HH23" s="483" t="s">
        <v>260</v>
      </c>
      <c r="HI23" s="483" t="s">
        <v>260</v>
      </c>
      <c r="HJ23" s="483" t="s">
        <v>260</v>
      </c>
      <c r="HK23" s="483" t="s">
        <v>260</v>
      </c>
      <c r="HL23" s="483" t="s">
        <v>260</v>
      </c>
      <c r="HM23" s="483" t="s">
        <v>260</v>
      </c>
      <c r="HN23" s="483" t="s">
        <v>260</v>
      </c>
      <c r="HO23" s="483" t="s">
        <v>260</v>
      </c>
      <c r="HP23" s="483" t="s">
        <v>260</v>
      </c>
      <c r="HQ23" s="483" t="s">
        <v>260</v>
      </c>
      <c r="HR23" s="483" t="s">
        <v>260</v>
      </c>
      <c r="HS23" s="483" t="s">
        <v>260</v>
      </c>
      <c r="HT23" s="483" t="s">
        <v>260</v>
      </c>
      <c r="HU23" s="483" t="s">
        <v>260</v>
      </c>
      <c r="HV23" s="483" t="s">
        <v>260</v>
      </c>
      <c r="HW23" s="483">
        <v>150</v>
      </c>
      <c r="HX23" s="483">
        <v>365</v>
      </c>
      <c r="HY23" s="483">
        <v>310</v>
      </c>
      <c r="HZ23" s="483">
        <v>3</v>
      </c>
      <c r="IA23" s="483">
        <v>517</v>
      </c>
      <c r="IB23" s="483">
        <v>40</v>
      </c>
      <c r="IC23" s="483" t="s">
        <v>260</v>
      </c>
      <c r="ID23" s="483" t="s">
        <v>260</v>
      </c>
      <c r="IE23" s="483" t="s">
        <v>260</v>
      </c>
      <c r="IF23" s="483">
        <v>0</v>
      </c>
      <c r="IG23" s="483" t="s">
        <v>260</v>
      </c>
      <c r="IH23" s="483" t="s">
        <v>260</v>
      </c>
      <c r="II23" s="483" t="s">
        <v>260</v>
      </c>
      <c r="IJ23" s="483" t="s">
        <v>260</v>
      </c>
      <c r="IK23" s="483">
        <v>146</v>
      </c>
      <c r="IL23" s="483">
        <v>12</v>
      </c>
      <c r="IM23" s="483" t="s">
        <v>260</v>
      </c>
      <c r="IN23" s="483" t="s">
        <v>260</v>
      </c>
      <c r="IO23" s="483" t="s">
        <v>260</v>
      </c>
      <c r="IP23" s="483">
        <v>48</v>
      </c>
      <c r="IQ23" s="483" t="s">
        <v>260</v>
      </c>
      <c r="IR23" s="483" t="s">
        <v>260</v>
      </c>
      <c r="IS23" s="483" t="s">
        <v>260</v>
      </c>
      <c r="IT23" s="483" t="s">
        <v>260</v>
      </c>
      <c r="IU23" s="483" t="s">
        <v>260</v>
      </c>
      <c r="IV23" s="483" t="s">
        <v>260</v>
      </c>
      <c r="IW23" s="483" t="s">
        <v>260</v>
      </c>
      <c r="IX23" s="483">
        <v>50</v>
      </c>
      <c r="IY23" s="483">
        <v>36</v>
      </c>
      <c r="IZ23" s="483" t="s">
        <v>260</v>
      </c>
      <c r="JA23" s="483" t="s">
        <v>260</v>
      </c>
      <c r="JB23" s="483" t="s">
        <v>260</v>
      </c>
      <c r="JC23" s="483" t="s">
        <v>260</v>
      </c>
      <c r="JD23" s="483" t="s">
        <v>260</v>
      </c>
      <c r="JE23" s="483">
        <v>27</v>
      </c>
      <c r="JF23" s="483" t="s">
        <v>260</v>
      </c>
      <c r="JG23" s="483" t="s">
        <v>260</v>
      </c>
      <c r="JH23" s="483" t="s">
        <v>260</v>
      </c>
      <c r="JI23" s="483" t="s">
        <v>260</v>
      </c>
      <c r="JJ23" s="483" t="s">
        <v>260</v>
      </c>
      <c r="JK23" s="483" t="s">
        <v>260</v>
      </c>
      <c r="JL23" s="483" t="s">
        <v>260</v>
      </c>
      <c r="JM23" s="483" t="s">
        <v>260</v>
      </c>
      <c r="JN23" s="483" t="s">
        <v>260</v>
      </c>
      <c r="JO23" s="483" t="s">
        <v>260</v>
      </c>
      <c r="JP23" s="483" t="s">
        <v>260</v>
      </c>
      <c r="JQ23" s="483" t="s">
        <v>260</v>
      </c>
      <c r="JR23" s="483">
        <v>17</v>
      </c>
      <c r="JS23" s="483">
        <v>10</v>
      </c>
      <c r="JT23" s="483" t="s">
        <v>260</v>
      </c>
      <c r="JU23" s="483" t="s">
        <v>260</v>
      </c>
      <c r="JV23" s="483" t="s">
        <v>260</v>
      </c>
      <c r="JW23" s="483" t="s">
        <v>260</v>
      </c>
      <c r="JX23" s="483" t="s">
        <v>260</v>
      </c>
      <c r="JY23" s="483" t="s">
        <v>260</v>
      </c>
      <c r="JZ23" s="483" t="s">
        <v>260</v>
      </c>
      <c r="KA23" s="483" t="s">
        <v>260</v>
      </c>
      <c r="KB23" s="483">
        <v>279</v>
      </c>
      <c r="KC23" s="483" t="s">
        <v>260</v>
      </c>
      <c r="KD23" s="483">
        <v>19</v>
      </c>
      <c r="KE23" s="483">
        <v>260</v>
      </c>
      <c r="KF23" s="483" t="s">
        <v>260</v>
      </c>
      <c r="KG23" s="483" t="s">
        <v>260</v>
      </c>
      <c r="KH23" s="483" t="s">
        <v>260</v>
      </c>
      <c r="KI23" s="483" t="s">
        <v>260</v>
      </c>
      <c r="KJ23" s="483" t="s">
        <v>260</v>
      </c>
      <c r="KK23" s="483" t="s">
        <v>260</v>
      </c>
      <c r="KL23" s="483" t="s">
        <v>260</v>
      </c>
      <c r="KM23" s="483" t="s">
        <v>260</v>
      </c>
      <c r="KN23" s="483" t="s">
        <v>260</v>
      </c>
      <c r="KO23" s="483" t="s">
        <v>260</v>
      </c>
      <c r="KP23" s="483" t="s">
        <v>260</v>
      </c>
      <c r="KQ23" s="483" t="s">
        <v>260</v>
      </c>
      <c r="KR23" s="483" t="s">
        <v>260</v>
      </c>
      <c r="KS23" s="483" t="s">
        <v>260</v>
      </c>
      <c r="KT23" s="483" t="s">
        <v>260</v>
      </c>
      <c r="KU23" s="483" t="s">
        <v>260</v>
      </c>
      <c r="KV23" s="483" t="s">
        <v>260</v>
      </c>
      <c r="KW23" s="483" t="s">
        <v>260</v>
      </c>
      <c r="KX23" s="483" t="s">
        <v>260</v>
      </c>
      <c r="KY23" s="483" t="s">
        <v>260</v>
      </c>
      <c r="KZ23" s="483" t="s">
        <v>260</v>
      </c>
      <c r="LA23" s="483" t="s">
        <v>260</v>
      </c>
      <c r="LB23" s="483" t="s">
        <v>260</v>
      </c>
      <c r="LC23" s="483" t="s">
        <v>260</v>
      </c>
      <c r="LD23" s="483" t="s">
        <v>260</v>
      </c>
      <c r="LE23" s="483" t="s">
        <v>260</v>
      </c>
      <c r="LF23" s="483" t="s">
        <v>260</v>
      </c>
      <c r="LG23" s="483" t="s">
        <v>260</v>
      </c>
      <c r="LH23" s="483" t="s">
        <v>260</v>
      </c>
      <c r="LI23" s="483" t="s">
        <v>260</v>
      </c>
      <c r="LJ23" s="483" t="s">
        <v>260</v>
      </c>
      <c r="LK23" s="483" t="s">
        <v>260</v>
      </c>
      <c r="LL23" s="483" t="s">
        <v>260</v>
      </c>
      <c r="LM23" s="483" t="s">
        <v>260</v>
      </c>
      <c r="LN23" s="483" t="s">
        <v>260</v>
      </c>
      <c r="LO23" s="483" t="s">
        <v>260</v>
      </c>
      <c r="LP23" s="483" t="s">
        <v>260</v>
      </c>
      <c r="LQ23" s="483" t="s">
        <v>260</v>
      </c>
      <c r="LR23" s="485" t="s">
        <v>260</v>
      </c>
      <c r="LS23" s="485">
        <v>32</v>
      </c>
      <c r="LT23" s="485" t="s">
        <v>260</v>
      </c>
      <c r="LU23" s="485" t="s">
        <v>260</v>
      </c>
      <c r="LV23" s="485" t="s">
        <v>260</v>
      </c>
      <c r="LW23" s="485" t="s">
        <v>260</v>
      </c>
      <c r="LX23" s="485" t="s">
        <v>260</v>
      </c>
      <c r="LY23" s="485" t="s">
        <v>260</v>
      </c>
      <c r="LZ23" s="485" t="s">
        <v>5330</v>
      </c>
      <c r="MA23" s="485">
        <v>32</v>
      </c>
      <c r="MB23" s="485" t="s">
        <v>260</v>
      </c>
      <c r="MC23" s="485">
        <v>0</v>
      </c>
      <c r="MD23" s="485" t="s">
        <v>260</v>
      </c>
      <c r="ME23" s="485" t="s">
        <v>260</v>
      </c>
      <c r="MF23" s="485" t="s">
        <v>260</v>
      </c>
      <c r="MG23" s="485" t="s">
        <v>260</v>
      </c>
      <c r="MH23" s="485" t="s">
        <v>260</v>
      </c>
      <c r="MI23" s="485" t="s">
        <v>260</v>
      </c>
      <c r="MJ23" s="485">
        <v>0</v>
      </c>
      <c r="MK23" s="485" t="s">
        <v>260</v>
      </c>
      <c r="ML23" s="485" t="s">
        <v>260</v>
      </c>
      <c r="MM23" s="485" t="s">
        <v>260</v>
      </c>
      <c r="MN23" s="485" t="s">
        <v>260</v>
      </c>
      <c r="MO23" s="485" t="s">
        <v>260</v>
      </c>
      <c r="MP23" s="485" t="s">
        <v>260</v>
      </c>
      <c r="MQ23" s="485" t="s">
        <v>260</v>
      </c>
      <c r="MR23" s="485" t="s">
        <v>260</v>
      </c>
      <c r="MS23" s="485" t="s">
        <v>260</v>
      </c>
      <c r="MT23" s="485" t="s">
        <v>260</v>
      </c>
      <c r="MU23" s="485" t="s">
        <v>260</v>
      </c>
      <c r="MV23" s="485" t="s">
        <v>260</v>
      </c>
      <c r="MW23" s="485" t="s">
        <v>5330</v>
      </c>
      <c r="MX23" s="485" t="s">
        <v>5330</v>
      </c>
      <c r="MY23" s="485" t="s">
        <v>260</v>
      </c>
      <c r="MZ23" s="485" t="s">
        <v>260</v>
      </c>
      <c r="NA23" s="485" t="s">
        <v>260</v>
      </c>
      <c r="NB23" s="485">
        <v>0</v>
      </c>
      <c r="NC23" s="485" t="s">
        <v>260</v>
      </c>
      <c r="ND23" s="485" t="s">
        <v>260</v>
      </c>
      <c r="NE23" s="485" t="s">
        <v>260</v>
      </c>
      <c r="NF23" s="485" t="s">
        <v>260</v>
      </c>
      <c r="NG23" s="485" t="s">
        <v>260</v>
      </c>
      <c r="NH23" s="485" t="s">
        <v>260</v>
      </c>
      <c r="NI23" s="485" t="s">
        <v>260</v>
      </c>
      <c r="NJ23" s="485" t="s">
        <v>260</v>
      </c>
      <c r="NK23" s="485" t="s">
        <v>5330</v>
      </c>
      <c r="NL23" s="485" t="s">
        <v>260</v>
      </c>
      <c r="NM23" s="485" t="s">
        <v>260</v>
      </c>
      <c r="NN23" s="485" t="s">
        <v>260</v>
      </c>
      <c r="NO23" s="485">
        <v>148</v>
      </c>
      <c r="NP23" s="485">
        <v>148</v>
      </c>
      <c r="NQ23" s="485" t="s">
        <v>260</v>
      </c>
      <c r="NR23" s="485" t="s">
        <v>260</v>
      </c>
      <c r="NS23" s="485" t="s">
        <v>260</v>
      </c>
      <c r="NT23" s="485" t="s">
        <v>260</v>
      </c>
      <c r="NU23" s="485" t="s">
        <v>260</v>
      </c>
      <c r="NV23" s="485" t="s">
        <v>260</v>
      </c>
      <c r="NW23" s="485">
        <v>70</v>
      </c>
      <c r="NX23" s="485">
        <v>78</v>
      </c>
      <c r="NY23" s="485" t="s">
        <v>260</v>
      </c>
      <c r="NZ23" s="485" t="s">
        <v>260</v>
      </c>
      <c r="OA23" s="485" t="s">
        <v>260</v>
      </c>
      <c r="OB23" s="485" t="s">
        <v>260</v>
      </c>
      <c r="OC23" s="485" t="s">
        <v>260</v>
      </c>
      <c r="OD23" s="485">
        <v>0</v>
      </c>
      <c r="OE23" s="485" t="s">
        <v>260</v>
      </c>
      <c r="OF23" s="485" t="s">
        <v>260</v>
      </c>
      <c r="OG23" s="485" t="s">
        <v>260</v>
      </c>
      <c r="OH23" s="485" t="s">
        <v>5330</v>
      </c>
      <c r="OI23" s="485" t="s">
        <v>260</v>
      </c>
      <c r="OJ23" s="485" t="s">
        <v>260</v>
      </c>
      <c r="OK23" s="485" t="s">
        <v>260</v>
      </c>
      <c r="OL23" s="485" t="s">
        <v>260</v>
      </c>
      <c r="OM23" s="483" t="s">
        <v>260</v>
      </c>
      <c r="ON23" s="483" t="s">
        <v>260</v>
      </c>
      <c r="OO23" s="483" t="s">
        <v>260</v>
      </c>
      <c r="OP23" s="483" t="s">
        <v>260</v>
      </c>
      <c r="OQ23" s="483">
        <v>803</v>
      </c>
      <c r="OR23" s="483" t="s">
        <v>260</v>
      </c>
      <c r="OS23" s="483" t="s">
        <v>260</v>
      </c>
      <c r="OT23" s="483" t="s">
        <v>260</v>
      </c>
      <c r="OU23" s="483" t="s">
        <v>260</v>
      </c>
      <c r="OV23" s="483" t="s">
        <v>260</v>
      </c>
      <c r="OW23" s="483" t="s">
        <v>260</v>
      </c>
      <c r="OX23" s="483" t="s">
        <v>260</v>
      </c>
      <c r="OY23" s="483" t="s">
        <v>260</v>
      </c>
      <c r="OZ23" s="483" t="s">
        <v>260</v>
      </c>
      <c r="PA23" s="483">
        <v>120</v>
      </c>
      <c r="PB23" s="483" t="s">
        <v>260</v>
      </c>
      <c r="PC23" s="483" t="s">
        <v>260</v>
      </c>
      <c r="PD23" s="483">
        <v>439</v>
      </c>
      <c r="PE23" s="485">
        <v>40</v>
      </c>
      <c r="PF23" s="483" t="s">
        <v>260</v>
      </c>
      <c r="PG23" s="483" t="s">
        <v>260</v>
      </c>
      <c r="PH23" s="483" t="s">
        <v>260</v>
      </c>
      <c r="PI23" s="483" t="s">
        <v>260</v>
      </c>
      <c r="PJ23" s="483" t="s">
        <v>260</v>
      </c>
      <c r="PK23" s="483" t="s">
        <v>260</v>
      </c>
      <c r="PL23" s="483">
        <v>40</v>
      </c>
      <c r="PM23" s="483" t="s">
        <v>260</v>
      </c>
    </row>
    <row r="24" spans="2:429" ht="15.6" x14ac:dyDescent="0.3">
      <c r="B24" s="487" t="s">
        <v>2715</v>
      </c>
      <c r="C24" s="483">
        <f t="shared" si="0"/>
        <v>240</v>
      </c>
      <c r="D24" s="483">
        <v>120</v>
      </c>
      <c r="E24" s="483" t="s">
        <v>260</v>
      </c>
      <c r="F24" s="483" t="s">
        <v>260</v>
      </c>
      <c r="G24" s="483">
        <v>120</v>
      </c>
      <c r="H24" s="483" t="s">
        <v>260</v>
      </c>
      <c r="I24" s="483" t="s">
        <v>260</v>
      </c>
      <c r="J24" s="483" t="s">
        <v>260</v>
      </c>
      <c r="K24" s="483" t="s">
        <v>260</v>
      </c>
      <c r="L24" s="483" t="s">
        <v>260</v>
      </c>
      <c r="M24" s="483" t="s">
        <v>260</v>
      </c>
      <c r="N24" s="483" t="s">
        <v>260</v>
      </c>
      <c r="O24" s="483" t="s">
        <v>260</v>
      </c>
      <c r="P24" s="483" t="s">
        <v>260</v>
      </c>
      <c r="Q24" s="483" t="s">
        <v>260</v>
      </c>
      <c r="R24" s="483" t="s">
        <v>260</v>
      </c>
      <c r="S24" s="483" t="s">
        <v>260</v>
      </c>
      <c r="T24" s="483" t="s">
        <v>260</v>
      </c>
      <c r="U24" s="483" t="s">
        <v>260</v>
      </c>
      <c r="V24" s="483" t="s">
        <v>260</v>
      </c>
      <c r="W24" s="483" t="s">
        <v>260</v>
      </c>
      <c r="X24" s="483" t="s">
        <v>260</v>
      </c>
      <c r="Y24" s="483" t="s">
        <v>260</v>
      </c>
      <c r="Z24" s="483" t="s">
        <v>260</v>
      </c>
      <c r="AA24" s="483" t="s">
        <v>260</v>
      </c>
      <c r="AB24" s="483" t="s">
        <v>260</v>
      </c>
      <c r="AC24" s="483" t="s">
        <v>260</v>
      </c>
      <c r="AD24" s="483" t="s">
        <v>260</v>
      </c>
      <c r="AE24" s="483" t="s">
        <v>260</v>
      </c>
      <c r="AF24" s="483" t="s">
        <v>260</v>
      </c>
      <c r="AG24" s="483" t="s">
        <v>260</v>
      </c>
      <c r="AH24" s="483" t="s">
        <v>260</v>
      </c>
      <c r="AI24" s="483" t="s">
        <v>260</v>
      </c>
      <c r="AJ24" s="483" t="s">
        <v>260</v>
      </c>
      <c r="AK24" s="483" t="s">
        <v>260</v>
      </c>
      <c r="AL24" s="483" t="s">
        <v>260</v>
      </c>
      <c r="AM24" s="483" t="s">
        <v>260</v>
      </c>
      <c r="AN24" s="483" t="s">
        <v>260</v>
      </c>
      <c r="AO24" s="483" t="s">
        <v>260</v>
      </c>
      <c r="AP24" s="483" t="s">
        <v>260</v>
      </c>
      <c r="AQ24" s="483" t="s">
        <v>260</v>
      </c>
      <c r="AR24" s="483" t="s">
        <v>260</v>
      </c>
      <c r="AS24" s="483" t="s">
        <v>260</v>
      </c>
      <c r="AT24" s="483">
        <f t="shared" si="1"/>
        <v>704</v>
      </c>
      <c r="AU24" s="483">
        <v>150</v>
      </c>
      <c r="AV24" s="483" t="s">
        <v>260</v>
      </c>
      <c r="AW24" s="483" t="s">
        <v>260</v>
      </c>
      <c r="AX24" s="483" t="s">
        <v>260</v>
      </c>
      <c r="AY24" s="483" t="s">
        <v>260</v>
      </c>
      <c r="AZ24" s="483" t="s">
        <v>260</v>
      </c>
      <c r="BA24" s="483" t="s">
        <v>260</v>
      </c>
      <c r="BB24" s="483" t="s">
        <v>260</v>
      </c>
      <c r="BC24" s="483" t="s">
        <v>260</v>
      </c>
      <c r="BD24" s="483" t="s">
        <v>260</v>
      </c>
      <c r="BE24" s="483" t="s">
        <v>260</v>
      </c>
      <c r="BF24" s="483" t="s">
        <v>260</v>
      </c>
      <c r="BG24" s="483" t="s">
        <v>260</v>
      </c>
      <c r="BH24" s="483" t="s">
        <v>260</v>
      </c>
      <c r="BI24" s="483" t="s">
        <v>260</v>
      </c>
      <c r="BJ24" s="483" t="s">
        <v>260</v>
      </c>
      <c r="BK24" s="483" t="s">
        <v>260</v>
      </c>
      <c r="BL24" s="483" t="s">
        <v>260</v>
      </c>
      <c r="BM24" s="483" t="s">
        <v>260</v>
      </c>
      <c r="BN24" s="483" t="s">
        <v>260</v>
      </c>
      <c r="BO24" s="483">
        <v>113</v>
      </c>
      <c r="BP24" s="483" t="s">
        <v>260</v>
      </c>
      <c r="BQ24" s="483" t="s">
        <v>260</v>
      </c>
      <c r="BR24" s="483" t="s">
        <v>260</v>
      </c>
      <c r="BS24" s="483">
        <v>34</v>
      </c>
      <c r="BT24" s="483" t="s">
        <v>260</v>
      </c>
      <c r="BU24" s="483" t="s">
        <v>260</v>
      </c>
      <c r="BV24" s="483">
        <v>20</v>
      </c>
      <c r="BW24" s="483">
        <v>148</v>
      </c>
      <c r="BX24" s="483" t="s">
        <v>260</v>
      </c>
      <c r="BY24" s="483" t="s">
        <v>260</v>
      </c>
      <c r="BZ24" s="483" t="s">
        <v>260</v>
      </c>
      <c r="CA24" s="483" t="s">
        <v>260</v>
      </c>
      <c r="CB24" s="483" t="s">
        <v>260</v>
      </c>
      <c r="CC24" s="483" t="s">
        <v>260</v>
      </c>
      <c r="CD24" s="483" t="s">
        <v>260</v>
      </c>
      <c r="CE24" s="483" t="s">
        <v>260</v>
      </c>
      <c r="CF24" s="483" t="s">
        <v>260</v>
      </c>
      <c r="CG24" s="483" t="s">
        <v>260</v>
      </c>
      <c r="CH24" s="483" t="s">
        <v>260</v>
      </c>
      <c r="CI24" s="483" t="s">
        <v>260</v>
      </c>
      <c r="CJ24" s="483" t="s">
        <v>260</v>
      </c>
      <c r="CK24" s="483" t="s">
        <v>260</v>
      </c>
      <c r="CL24" s="483" t="s">
        <v>260</v>
      </c>
      <c r="CM24" s="483" t="s">
        <v>260</v>
      </c>
      <c r="CN24" s="483" t="s">
        <v>260</v>
      </c>
      <c r="CO24" s="483" t="s">
        <v>260</v>
      </c>
      <c r="CP24" s="483" t="s">
        <v>260</v>
      </c>
      <c r="CQ24" s="483" t="s">
        <v>260</v>
      </c>
      <c r="CR24" s="483" t="s">
        <v>260</v>
      </c>
      <c r="CS24" s="483" t="s">
        <v>260</v>
      </c>
      <c r="CT24" s="483" t="s">
        <v>260</v>
      </c>
      <c r="CU24" s="483" t="s">
        <v>260</v>
      </c>
      <c r="CV24" s="483" t="s">
        <v>260</v>
      </c>
      <c r="CW24" s="483">
        <v>239</v>
      </c>
      <c r="CX24" s="483" t="s">
        <v>5331</v>
      </c>
      <c r="CY24" s="483" t="s">
        <v>260</v>
      </c>
      <c r="CZ24" s="483" t="s">
        <v>260</v>
      </c>
      <c r="DA24" s="483" t="s">
        <v>260</v>
      </c>
      <c r="DB24" s="483" t="s">
        <v>260</v>
      </c>
      <c r="DC24" s="483" t="s">
        <v>260</v>
      </c>
      <c r="DD24" s="483" t="s">
        <v>260</v>
      </c>
      <c r="DE24" s="483" t="s">
        <v>260</v>
      </c>
      <c r="DF24" s="483" t="s">
        <v>260</v>
      </c>
      <c r="DG24" s="483" t="s">
        <v>260</v>
      </c>
      <c r="DH24" s="483" t="s">
        <v>260</v>
      </c>
      <c r="DI24" s="483" t="s">
        <v>260</v>
      </c>
      <c r="DJ24" s="483" t="s">
        <v>260</v>
      </c>
      <c r="DK24" s="483" t="s">
        <v>260</v>
      </c>
      <c r="DL24" s="483" t="s">
        <v>260</v>
      </c>
      <c r="DM24" s="483" t="s">
        <v>260</v>
      </c>
      <c r="DN24" s="483">
        <v>360</v>
      </c>
      <c r="DO24" s="483" t="s">
        <v>260</v>
      </c>
      <c r="DP24" s="483">
        <v>360</v>
      </c>
      <c r="DQ24" s="483" t="s">
        <v>260</v>
      </c>
      <c r="DR24" s="483" t="s">
        <v>260</v>
      </c>
      <c r="DS24" s="483" t="s">
        <v>260</v>
      </c>
      <c r="DT24" s="483" t="s">
        <v>260</v>
      </c>
      <c r="DU24" s="483" t="s">
        <v>260</v>
      </c>
      <c r="DV24" s="483" t="s">
        <v>260</v>
      </c>
      <c r="DW24" s="483" t="s">
        <v>260</v>
      </c>
      <c r="DX24" s="483" t="s">
        <v>260</v>
      </c>
      <c r="DY24" s="483" t="s">
        <v>260</v>
      </c>
      <c r="DZ24" s="483" t="s">
        <v>260</v>
      </c>
      <c r="EA24" s="483" t="s">
        <v>260</v>
      </c>
      <c r="EB24" s="483">
        <v>0</v>
      </c>
      <c r="EC24" s="483" t="s">
        <v>260</v>
      </c>
      <c r="ED24" s="483" t="s">
        <v>260</v>
      </c>
      <c r="EE24" s="483" t="s">
        <v>260</v>
      </c>
      <c r="EF24" s="483" t="s">
        <v>260</v>
      </c>
      <c r="EG24" s="483" t="s">
        <v>260</v>
      </c>
      <c r="EH24" s="483" t="s">
        <v>260</v>
      </c>
      <c r="EI24" s="483" t="s">
        <v>260</v>
      </c>
      <c r="EJ24" s="483" t="s">
        <v>260</v>
      </c>
      <c r="EK24" s="483" t="s">
        <v>260</v>
      </c>
      <c r="EL24" s="483" t="s">
        <v>260</v>
      </c>
      <c r="EM24" s="483" t="s">
        <v>260</v>
      </c>
      <c r="EN24" s="483" t="s">
        <v>260</v>
      </c>
      <c r="EO24" s="483" t="s">
        <v>260</v>
      </c>
      <c r="EP24" s="483" t="s">
        <v>260</v>
      </c>
      <c r="EQ24" s="483" t="s">
        <v>260</v>
      </c>
      <c r="ER24" s="483" t="s">
        <v>260</v>
      </c>
      <c r="ES24" s="483" t="s">
        <v>260</v>
      </c>
      <c r="ET24" s="483" t="s">
        <v>260</v>
      </c>
      <c r="EU24" s="483" t="s">
        <v>260</v>
      </c>
      <c r="EV24" s="483" t="s">
        <v>260</v>
      </c>
      <c r="EW24" s="483" t="s">
        <v>260</v>
      </c>
      <c r="EX24" s="483" t="s">
        <v>260</v>
      </c>
      <c r="EY24" s="483" t="s">
        <v>260</v>
      </c>
      <c r="EZ24" s="483" t="s">
        <v>260</v>
      </c>
      <c r="FA24" s="483" t="s">
        <v>260</v>
      </c>
      <c r="FB24" s="483" t="s">
        <v>260</v>
      </c>
      <c r="FC24" s="483" t="s">
        <v>260</v>
      </c>
      <c r="FD24" s="483">
        <v>411</v>
      </c>
      <c r="FE24" s="483" t="s">
        <v>260</v>
      </c>
      <c r="FF24" s="483" t="s">
        <v>260</v>
      </c>
      <c r="FG24" s="483" t="s">
        <v>260</v>
      </c>
      <c r="FH24" s="483" t="s">
        <v>260</v>
      </c>
      <c r="FI24" s="483" t="s">
        <v>260</v>
      </c>
      <c r="FJ24" s="483" t="s">
        <v>260</v>
      </c>
      <c r="FK24" s="483" t="s">
        <v>260</v>
      </c>
      <c r="FL24" s="483" t="s">
        <v>260</v>
      </c>
      <c r="FM24" s="483" t="s">
        <v>260</v>
      </c>
      <c r="FN24" s="483" t="s">
        <v>260</v>
      </c>
      <c r="FO24" s="483" t="s">
        <v>260</v>
      </c>
      <c r="FP24" s="483" t="s">
        <v>260</v>
      </c>
      <c r="FQ24" s="483" t="s">
        <v>260</v>
      </c>
      <c r="FR24" s="483" t="s">
        <v>260</v>
      </c>
      <c r="FS24" s="483" t="s">
        <v>260</v>
      </c>
      <c r="FT24" s="483" t="s">
        <v>260</v>
      </c>
      <c r="FU24" s="483" t="s">
        <v>260</v>
      </c>
      <c r="FV24" s="483" t="s">
        <v>260</v>
      </c>
      <c r="FW24" s="483" t="s">
        <v>260</v>
      </c>
      <c r="FX24" s="483" t="s">
        <v>260</v>
      </c>
      <c r="FY24" s="483" t="s">
        <v>260</v>
      </c>
      <c r="FZ24" s="483" t="s">
        <v>260</v>
      </c>
      <c r="GA24" s="483" t="s">
        <v>260</v>
      </c>
      <c r="GB24" s="483" t="s">
        <v>260</v>
      </c>
      <c r="GC24" s="483" t="s">
        <v>260</v>
      </c>
      <c r="GD24" s="483" t="s">
        <v>260</v>
      </c>
      <c r="GE24" s="483" t="s">
        <v>260</v>
      </c>
      <c r="GF24" s="483" t="s">
        <v>260</v>
      </c>
      <c r="GG24" s="483" t="s">
        <v>260</v>
      </c>
      <c r="GH24" s="483">
        <v>369</v>
      </c>
      <c r="GI24" s="483">
        <v>42</v>
      </c>
      <c r="GJ24" s="483" t="s">
        <v>260</v>
      </c>
      <c r="GK24" s="483" t="s">
        <v>260</v>
      </c>
      <c r="GL24" s="483" t="s">
        <v>260</v>
      </c>
      <c r="GM24" s="483" t="s">
        <v>260</v>
      </c>
      <c r="GN24" s="483" t="s">
        <v>260</v>
      </c>
      <c r="GO24" s="483" t="s">
        <v>260</v>
      </c>
      <c r="GP24" s="483" t="s">
        <v>260</v>
      </c>
      <c r="GQ24" s="483" t="s">
        <v>260</v>
      </c>
      <c r="GR24" s="483" t="s">
        <v>260</v>
      </c>
      <c r="GS24" s="483" t="s">
        <v>260</v>
      </c>
      <c r="GT24" s="483" t="s">
        <v>260</v>
      </c>
      <c r="GU24" s="483" t="s">
        <v>260</v>
      </c>
      <c r="GV24" s="483" t="s">
        <v>260</v>
      </c>
      <c r="GW24" s="483" t="s">
        <v>260</v>
      </c>
      <c r="GX24" s="483" t="s">
        <v>260</v>
      </c>
      <c r="GY24" s="483" t="s">
        <v>260</v>
      </c>
      <c r="GZ24" s="483">
        <v>35</v>
      </c>
      <c r="HA24" s="483" t="s">
        <v>260</v>
      </c>
      <c r="HB24" s="483" t="s">
        <v>260</v>
      </c>
      <c r="HC24" s="483" t="s">
        <v>260</v>
      </c>
      <c r="HD24" s="483" t="s">
        <v>260</v>
      </c>
      <c r="HE24" s="483" t="s">
        <v>260</v>
      </c>
      <c r="HF24" s="483" t="s">
        <v>260</v>
      </c>
      <c r="HG24" s="483" t="s">
        <v>260</v>
      </c>
      <c r="HH24" s="483" t="s">
        <v>260</v>
      </c>
      <c r="HI24" s="483" t="s">
        <v>260</v>
      </c>
      <c r="HJ24" s="483" t="s">
        <v>260</v>
      </c>
      <c r="HK24" s="483" t="s">
        <v>260</v>
      </c>
      <c r="HL24" s="483" t="s">
        <v>260</v>
      </c>
      <c r="HM24" s="483" t="s">
        <v>260</v>
      </c>
      <c r="HN24" s="483" t="s">
        <v>260</v>
      </c>
      <c r="HO24" s="483" t="s">
        <v>260</v>
      </c>
      <c r="HP24" s="483" t="s">
        <v>260</v>
      </c>
      <c r="HQ24" s="483" t="s">
        <v>260</v>
      </c>
      <c r="HR24" s="483" t="s">
        <v>260</v>
      </c>
      <c r="HS24" s="483" t="s">
        <v>260</v>
      </c>
      <c r="HT24" s="483" t="s">
        <v>260</v>
      </c>
      <c r="HU24" s="483" t="s">
        <v>260</v>
      </c>
      <c r="HV24" s="483">
        <v>35</v>
      </c>
      <c r="HW24" s="483" t="s">
        <v>260</v>
      </c>
      <c r="HX24" s="483" t="s">
        <v>260</v>
      </c>
      <c r="HY24" s="483" t="s">
        <v>260</v>
      </c>
      <c r="HZ24" s="483" t="s">
        <v>260</v>
      </c>
      <c r="IA24" s="483" t="s">
        <v>260</v>
      </c>
      <c r="IB24" s="483" t="s">
        <v>260</v>
      </c>
      <c r="IC24" s="483" t="s">
        <v>260</v>
      </c>
      <c r="ID24" s="483" t="s">
        <v>260</v>
      </c>
      <c r="IE24" s="483" t="s">
        <v>260</v>
      </c>
      <c r="IF24" s="483">
        <v>0</v>
      </c>
      <c r="IG24" s="483" t="s">
        <v>260</v>
      </c>
      <c r="IH24" s="483" t="s">
        <v>260</v>
      </c>
      <c r="II24" s="483" t="s">
        <v>260</v>
      </c>
      <c r="IJ24" s="483" t="s">
        <v>260</v>
      </c>
      <c r="IK24" s="483">
        <v>0</v>
      </c>
      <c r="IL24" s="483" t="s">
        <v>260</v>
      </c>
      <c r="IM24" s="483" t="s">
        <v>260</v>
      </c>
      <c r="IN24" s="483" t="s">
        <v>260</v>
      </c>
      <c r="IO24" s="483" t="s">
        <v>260</v>
      </c>
      <c r="IP24" s="483" t="s">
        <v>260</v>
      </c>
      <c r="IQ24" s="483" t="s">
        <v>260</v>
      </c>
      <c r="IR24" s="483" t="s">
        <v>260</v>
      </c>
      <c r="IS24" s="483" t="s">
        <v>260</v>
      </c>
      <c r="IT24" s="483" t="s">
        <v>260</v>
      </c>
      <c r="IU24" s="483" t="s">
        <v>260</v>
      </c>
      <c r="IV24" s="483" t="s">
        <v>260</v>
      </c>
      <c r="IW24" s="483" t="s">
        <v>260</v>
      </c>
      <c r="IX24" s="483" t="s">
        <v>260</v>
      </c>
      <c r="IY24" s="483" t="s">
        <v>260</v>
      </c>
      <c r="IZ24" s="483" t="s">
        <v>260</v>
      </c>
      <c r="JA24" s="483" t="s">
        <v>260</v>
      </c>
      <c r="JB24" s="483" t="s">
        <v>260</v>
      </c>
      <c r="JC24" s="483" t="s">
        <v>260</v>
      </c>
      <c r="JD24" s="483" t="s">
        <v>260</v>
      </c>
      <c r="JE24" s="483">
        <v>0</v>
      </c>
      <c r="JF24" s="483" t="s">
        <v>260</v>
      </c>
      <c r="JG24" s="483" t="s">
        <v>260</v>
      </c>
      <c r="JH24" s="483" t="s">
        <v>260</v>
      </c>
      <c r="JI24" s="483" t="s">
        <v>260</v>
      </c>
      <c r="JJ24" s="483" t="s">
        <v>260</v>
      </c>
      <c r="JK24" s="483" t="s">
        <v>260</v>
      </c>
      <c r="JL24" s="483" t="s">
        <v>260</v>
      </c>
      <c r="JM24" s="483" t="s">
        <v>260</v>
      </c>
      <c r="JN24" s="483" t="s">
        <v>260</v>
      </c>
      <c r="JO24" s="483" t="s">
        <v>260</v>
      </c>
      <c r="JP24" s="483" t="s">
        <v>260</v>
      </c>
      <c r="JQ24" s="483" t="s">
        <v>260</v>
      </c>
      <c r="JR24" s="483" t="s">
        <v>260</v>
      </c>
      <c r="JS24" s="483" t="s">
        <v>260</v>
      </c>
      <c r="JT24" s="483" t="s">
        <v>260</v>
      </c>
      <c r="JU24" s="483" t="s">
        <v>260</v>
      </c>
      <c r="JV24" s="483" t="s">
        <v>260</v>
      </c>
      <c r="JW24" s="483" t="s">
        <v>260</v>
      </c>
      <c r="JX24" s="483" t="s">
        <v>260</v>
      </c>
      <c r="JY24" s="483" t="s">
        <v>260</v>
      </c>
      <c r="JZ24" s="483" t="s">
        <v>260</v>
      </c>
      <c r="KA24" s="483" t="s">
        <v>260</v>
      </c>
      <c r="KB24" s="483">
        <v>96</v>
      </c>
      <c r="KC24" s="483">
        <v>96</v>
      </c>
      <c r="KD24" s="483" t="s">
        <v>260</v>
      </c>
      <c r="KE24" s="483" t="s">
        <v>260</v>
      </c>
      <c r="KF24" s="483" t="s">
        <v>260</v>
      </c>
      <c r="KG24" s="483" t="s">
        <v>260</v>
      </c>
      <c r="KH24" s="483" t="s">
        <v>260</v>
      </c>
      <c r="KI24" s="483" t="s">
        <v>260</v>
      </c>
      <c r="KJ24" s="483" t="s">
        <v>260</v>
      </c>
      <c r="KK24" s="483" t="s">
        <v>260</v>
      </c>
      <c r="KL24" s="483" t="s">
        <v>260</v>
      </c>
      <c r="KM24" s="483" t="s">
        <v>260</v>
      </c>
      <c r="KN24" s="483" t="s">
        <v>260</v>
      </c>
      <c r="KO24" s="483" t="s">
        <v>260</v>
      </c>
      <c r="KP24" s="483" t="s">
        <v>260</v>
      </c>
      <c r="KQ24" s="483" t="s">
        <v>260</v>
      </c>
      <c r="KR24" s="483" t="s">
        <v>260</v>
      </c>
      <c r="KS24" s="483" t="s">
        <v>260</v>
      </c>
      <c r="KT24" s="483" t="s">
        <v>260</v>
      </c>
      <c r="KU24" s="483" t="s">
        <v>260</v>
      </c>
      <c r="KV24" s="483" t="s">
        <v>260</v>
      </c>
      <c r="KW24" s="483" t="s">
        <v>260</v>
      </c>
      <c r="KX24" s="483" t="s">
        <v>260</v>
      </c>
      <c r="KY24" s="483" t="s">
        <v>260</v>
      </c>
      <c r="KZ24" s="483" t="s">
        <v>260</v>
      </c>
      <c r="LA24" s="483" t="s">
        <v>260</v>
      </c>
      <c r="LB24" s="483" t="s">
        <v>260</v>
      </c>
      <c r="LC24" s="483" t="s">
        <v>260</v>
      </c>
      <c r="LD24" s="483" t="s">
        <v>260</v>
      </c>
      <c r="LE24" s="483" t="s">
        <v>260</v>
      </c>
      <c r="LF24" s="483" t="s">
        <v>260</v>
      </c>
      <c r="LG24" s="483" t="s">
        <v>260</v>
      </c>
      <c r="LH24" s="483" t="s">
        <v>260</v>
      </c>
      <c r="LI24" s="483" t="s">
        <v>260</v>
      </c>
      <c r="LJ24" s="483" t="s">
        <v>260</v>
      </c>
      <c r="LK24" s="483" t="s">
        <v>260</v>
      </c>
      <c r="LL24" s="483" t="s">
        <v>260</v>
      </c>
      <c r="LM24" s="483" t="s">
        <v>260</v>
      </c>
      <c r="LN24" s="483" t="s">
        <v>260</v>
      </c>
      <c r="LO24" s="483" t="s">
        <v>260</v>
      </c>
      <c r="LP24" s="483" t="s">
        <v>260</v>
      </c>
      <c r="LQ24" s="483" t="s">
        <v>260</v>
      </c>
      <c r="LR24" s="485" t="s">
        <v>260</v>
      </c>
      <c r="LS24" s="485">
        <v>3</v>
      </c>
      <c r="LT24" s="485" t="s">
        <v>260</v>
      </c>
      <c r="LU24" s="485" t="s">
        <v>260</v>
      </c>
      <c r="LV24" s="485" t="s">
        <v>260</v>
      </c>
      <c r="LW24" s="485" t="s">
        <v>260</v>
      </c>
      <c r="LX24" s="485" t="s">
        <v>260</v>
      </c>
      <c r="LY24" s="485">
        <v>3</v>
      </c>
      <c r="LZ24" s="485" t="s">
        <v>260</v>
      </c>
      <c r="MA24" s="485" t="s">
        <v>260</v>
      </c>
      <c r="MB24" s="485" t="s">
        <v>260</v>
      </c>
      <c r="MC24" s="485">
        <v>8</v>
      </c>
      <c r="MD24" s="485" t="s">
        <v>260</v>
      </c>
      <c r="ME24" s="485" t="s">
        <v>5330</v>
      </c>
      <c r="MF24" s="485">
        <v>8</v>
      </c>
      <c r="MG24" s="485" t="s">
        <v>260</v>
      </c>
      <c r="MH24" s="485" t="s">
        <v>260</v>
      </c>
      <c r="MI24" s="485" t="s">
        <v>260</v>
      </c>
      <c r="MJ24" s="485">
        <v>0</v>
      </c>
      <c r="MK24" s="485" t="s">
        <v>260</v>
      </c>
      <c r="ML24" s="485" t="s">
        <v>260</v>
      </c>
      <c r="MM24" s="485" t="s">
        <v>260</v>
      </c>
      <c r="MN24" s="485" t="s">
        <v>260</v>
      </c>
      <c r="MO24" s="485" t="s">
        <v>260</v>
      </c>
      <c r="MP24" s="485" t="s">
        <v>260</v>
      </c>
      <c r="MQ24" s="485" t="s">
        <v>260</v>
      </c>
      <c r="MR24" s="485" t="s">
        <v>260</v>
      </c>
      <c r="MS24" s="485" t="s">
        <v>260</v>
      </c>
      <c r="MT24" s="485" t="s">
        <v>260</v>
      </c>
      <c r="MU24" s="485" t="s">
        <v>260</v>
      </c>
      <c r="MV24" s="485" t="s">
        <v>5330</v>
      </c>
      <c r="MW24" s="485" t="s">
        <v>260</v>
      </c>
      <c r="MX24" s="485" t="s">
        <v>260</v>
      </c>
      <c r="MY24" s="485" t="s">
        <v>260</v>
      </c>
      <c r="MZ24" s="485" t="s">
        <v>260</v>
      </c>
      <c r="NA24" s="485" t="s">
        <v>260</v>
      </c>
      <c r="NB24" s="485">
        <v>0</v>
      </c>
      <c r="NC24" s="485" t="s">
        <v>260</v>
      </c>
      <c r="ND24" s="485" t="s">
        <v>260</v>
      </c>
      <c r="NE24" s="485" t="s">
        <v>260</v>
      </c>
      <c r="NF24" s="485" t="s">
        <v>260</v>
      </c>
      <c r="NG24" s="485" t="s">
        <v>260</v>
      </c>
      <c r="NH24" s="485" t="s">
        <v>260</v>
      </c>
      <c r="NI24" s="485" t="s">
        <v>260</v>
      </c>
      <c r="NJ24" s="485" t="s">
        <v>5330</v>
      </c>
      <c r="NK24" s="485" t="s">
        <v>260</v>
      </c>
      <c r="NL24" s="485" t="s">
        <v>260</v>
      </c>
      <c r="NM24" s="485" t="s">
        <v>260</v>
      </c>
      <c r="NN24" s="485" t="s">
        <v>260</v>
      </c>
      <c r="NO24" s="485">
        <v>0</v>
      </c>
      <c r="NP24" s="485">
        <v>0</v>
      </c>
      <c r="NQ24" s="485" t="s">
        <v>260</v>
      </c>
      <c r="NR24" s="485" t="s">
        <v>260</v>
      </c>
      <c r="NS24" s="485" t="s">
        <v>260</v>
      </c>
      <c r="NT24" s="485" t="s">
        <v>260</v>
      </c>
      <c r="NU24" s="485" t="s">
        <v>260</v>
      </c>
      <c r="NV24" s="485" t="s">
        <v>260</v>
      </c>
      <c r="NW24" s="485" t="s">
        <v>260</v>
      </c>
      <c r="NX24" s="485" t="s">
        <v>260</v>
      </c>
      <c r="NY24" s="485" t="s">
        <v>260</v>
      </c>
      <c r="NZ24" s="485" t="s">
        <v>260</v>
      </c>
      <c r="OA24" s="485" t="s">
        <v>260</v>
      </c>
      <c r="OB24" s="485" t="s">
        <v>260</v>
      </c>
      <c r="OC24" s="485" t="s">
        <v>260</v>
      </c>
      <c r="OD24" s="485">
        <v>0</v>
      </c>
      <c r="OE24" s="485" t="s">
        <v>260</v>
      </c>
      <c r="OF24" s="485" t="s">
        <v>260</v>
      </c>
      <c r="OG24" s="485" t="s">
        <v>260</v>
      </c>
      <c r="OH24" s="485" t="s">
        <v>260</v>
      </c>
      <c r="OI24" s="485" t="s">
        <v>260</v>
      </c>
      <c r="OJ24" s="485" t="s">
        <v>260</v>
      </c>
      <c r="OK24" s="485" t="s">
        <v>260</v>
      </c>
      <c r="OL24" s="485" t="s">
        <v>260</v>
      </c>
      <c r="OM24" s="483" t="s">
        <v>260</v>
      </c>
      <c r="ON24" s="483" t="s">
        <v>260</v>
      </c>
      <c r="OO24" s="483" t="s">
        <v>260</v>
      </c>
      <c r="OP24" s="483" t="s">
        <v>260</v>
      </c>
      <c r="OQ24" s="483" t="s">
        <v>260</v>
      </c>
      <c r="OR24" s="483" t="s">
        <v>260</v>
      </c>
      <c r="OS24" s="483" t="s">
        <v>260</v>
      </c>
      <c r="OT24" s="483" t="s">
        <v>260</v>
      </c>
      <c r="OU24" s="483" t="s">
        <v>260</v>
      </c>
      <c r="OV24" s="483" t="s">
        <v>260</v>
      </c>
      <c r="OW24" s="483" t="s">
        <v>260</v>
      </c>
      <c r="OX24" s="483" t="s">
        <v>260</v>
      </c>
      <c r="OY24" s="483" t="s">
        <v>260</v>
      </c>
      <c r="OZ24" s="483" t="s">
        <v>260</v>
      </c>
      <c r="PA24" s="483" t="s">
        <v>260</v>
      </c>
      <c r="PB24" s="483" t="s">
        <v>260</v>
      </c>
      <c r="PC24" s="483" t="s">
        <v>260</v>
      </c>
      <c r="PD24" s="483" t="s">
        <v>260</v>
      </c>
      <c r="PE24" s="485">
        <v>30</v>
      </c>
      <c r="PF24" s="483" t="s">
        <v>260</v>
      </c>
      <c r="PG24" s="483" t="s">
        <v>260</v>
      </c>
      <c r="PH24" s="483" t="s">
        <v>260</v>
      </c>
      <c r="PI24" s="483" t="s">
        <v>260</v>
      </c>
      <c r="PJ24" s="483" t="s">
        <v>260</v>
      </c>
      <c r="PK24" s="483" t="s">
        <v>260</v>
      </c>
      <c r="PL24" s="483" t="s">
        <v>260</v>
      </c>
      <c r="PM24" s="483">
        <v>30</v>
      </c>
    </row>
    <row r="25" spans="2:429" ht="15.6" x14ac:dyDescent="0.3">
      <c r="B25" s="487" t="s">
        <v>1606</v>
      </c>
      <c r="C25" s="483">
        <f t="shared" si="0"/>
        <v>1411</v>
      </c>
      <c r="D25" s="483">
        <v>183</v>
      </c>
      <c r="E25" s="483">
        <v>183</v>
      </c>
      <c r="F25" s="483" t="s">
        <v>260</v>
      </c>
      <c r="G25" s="483" t="s">
        <v>260</v>
      </c>
      <c r="H25" s="483">
        <v>170</v>
      </c>
      <c r="I25" s="483" t="s">
        <v>260</v>
      </c>
      <c r="J25" s="483" t="s">
        <v>260</v>
      </c>
      <c r="K25" s="483">
        <v>500</v>
      </c>
      <c r="L25" s="483" t="s">
        <v>260</v>
      </c>
      <c r="M25" s="483" t="s">
        <v>260</v>
      </c>
      <c r="N25" s="483" t="s">
        <v>260</v>
      </c>
      <c r="O25" s="483" t="s">
        <v>260</v>
      </c>
      <c r="P25" s="483" t="s">
        <v>260</v>
      </c>
      <c r="Q25" s="483" t="s">
        <v>260</v>
      </c>
      <c r="R25" s="483">
        <v>375</v>
      </c>
      <c r="S25" s="483" t="s">
        <v>260</v>
      </c>
      <c r="T25" s="483" t="s">
        <v>260</v>
      </c>
      <c r="U25" s="483" t="s">
        <v>260</v>
      </c>
      <c r="V25" s="483" t="s">
        <v>260</v>
      </c>
      <c r="W25" s="483" t="s">
        <v>260</v>
      </c>
      <c r="X25" s="483" t="s">
        <v>260</v>
      </c>
      <c r="Y25" s="483" t="s">
        <v>260</v>
      </c>
      <c r="Z25" s="483" t="s">
        <v>260</v>
      </c>
      <c r="AA25" s="483" t="s">
        <v>260</v>
      </c>
      <c r="AB25" s="483" t="s">
        <v>260</v>
      </c>
      <c r="AC25" s="483" t="s">
        <v>260</v>
      </c>
      <c r="AD25" s="483" t="s">
        <v>260</v>
      </c>
      <c r="AE25" s="483" t="s">
        <v>260</v>
      </c>
      <c r="AF25" s="483" t="s">
        <v>260</v>
      </c>
      <c r="AG25" s="483" t="s">
        <v>260</v>
      </c>
      <c r="AH25" s="483" t="s">
        <v>260</v>
      </c>
      <c r="AI25" s="483" t="s">
        <v>260</v>
      </c>
      <c r="AJ25" s="483" t="s">
        <v>260</v>
      </c>
      <c r="AK25" s="483" t="s">
        <v>260</v>
      </c>
      <c r="AL25" s="483" t="s">
        <v>260</v>
      </c>
      <c r="AM25" s="483" t="s">
        <v>260</v>
      </c>
      <c r="AN25" s="483" t="s">
        <v>260</v>
      </c>
      <c r="AO25" s="483" t="s">
        <v>260</v>
      </c>
      <c r="AP25" s="483" t="s">
        <v>260</v>
      </c>
      <c r="AQ25" s="483" t="s">
        <v>260</v>
      </c>
      <c r="AR25" s="483" t="s">
        <v>260</v>
      </c>
      <c r="AS25" s="483" t="s">
        <v>260</v>
      </c>
      <c r="AT25" s="483">
        <f t="shared" si="1"/>
        <v>2130</v>
      </c>
      <c r="AU25" s="483" t="s">
        <v>260</v>
      </c>
      <c r="AV25" s="483" t="s">
        <v>260</v>
      </c>
      <c r="AW25" s="483" t="s">
        <v>260</v>
      </c>
      <c r="AX25" s="483" t="s">
        <v>260</v>
      </c>
      <c r="AY25" s="483" t="s">
        <v>260</v>
      </c>
      <c r="AZ25" s="483" t="s">
        <v>260</v>
      </c>
      <c r="BA25" s="483" t="s">
        <v>260</v>
      </c>
      <c r="BB25" s="483" t="s">
        <v>260</v>
      </c>
      <c r="BC25" s="483" t="s">
        <v>260</v>
      </c>
      <c r="BD25" s="483" t="s">
        <v>260</v>
      </c>
      <c r="BE25" s="483" t="s">
        <v>260</v>
      </c>
      <c r="BF25" s="483" t="s">
        <v>260</v>
      </c>
      <c r="BG25" s="483" t="s">
        <v>260</v>
      </c>
      <c r="BH25" s="483" t="s">
        <v>260</v>
      </c>
      <c r="BI25" s="483" t="s">
        <v>260</v>
      </c>
      <c r="BJ25" s="483" t="s">
        <v>260</v>
      </c>
      <c r="BK25" s="483" t="s">
        <v>260</v>
      </c>
      <c r="BL25" s="483" t="s">
        <v>260</v>
      </c>
      <c r="BM25" s="483" t="s">
        <v>260</v>
      </c>
      <c r="BN25" s="483" t="s">
        <v>260</v>
      </c>
      <c r="BO25" s="483" t="s">
        <v>260</v>
      </c>
      <c r="BP25" s="483" t="s">
        <v>260</v>
      </c>
      <c r="BQ25" s="483" t="s">
        <v>260</v>
      </c>
      <c r="BR25" s="483">
        <v>1852</v>
      </c>
      <c r="BS25" s="483" t="s">
        <v>260</v>
      </c>
      <c r="BT25" s="483" t="s">
        <v>260</v>
      </c>
      <c r="BU25" s="483" t="s">
        <v>260</v>
      </c>
      <c r="BV25" s="483" t="s">
        <v>260</v>
      </c>
      <c r="BW25" s="483" t="s">
        <v>260</v>
      </c>
      <c r="BX25" s="483" t="s">
        <v>260</v>
      </c>
      <c r="BY25" s="483" t="s">
        <v>260</v>
      </c>
      <c r="BZ25" s="483" t="s">
        <v>260</v>
      </c>
      <c r="CA25" s="483" t="s">
        <v>260</v>
      </c>
      <c r="CB25" s="483" t="s">
        <v>260</v>
      </c>
      <c r="CC25" s="483">
        <v>187</v>
      </c>
      <c r="CD25" s="483">
        <v>91</v>
      </c>
      <c r="CE25" s="483" t="s">
        <v>260</v>
      </c>
      <c r="CF25" s="483" t="s">
        <v>260</v>
      </c>
      <c r="CG25" s="483" t="s">
        <v>260</v>
      </c>
      <c r="CH25" s="483" t="s">
        <v>260</v>
      </c>
      <c r="CI25" s="483" t="s">
        <v>260</v>
      </c>
      <c r="CJ25" s="483" t="s">
        <v>260</v>
      </c>
      <c r="CK25" s="483" t="s">
        <v>260</v>
      </c>
      <c r="CL25" s="483" t="s">
        <v>260</v>
      </c>
      <c r="CM25" s="483" t="s">
        <v>260</v>
      </c>
      <c r="CN25" s="483" t="s">
        <v>260</v>
      </c>
      <c r="CO25" s="483" t="s">
        <v>260</v>
      </c>
      <c r="CP25" s="483" t="s">
        <v>260</v>
      </c>
      <c r="CQ25" s="483" t="s">
        <v>260</v>
      </c>
      <c r="CR25" s="483" t="s">
        <v>260</v>
      </c>
      <c r="CS25" s="483" t="s">
        <v>260</v>
      </c>
      <c r="CT25" s="483" t="s">
        <v>260</v>
      </c>
      <c r="CU25" s="483" t="s">
        <v>260</v>
      </c>
      <c r="CV25" s="483" t="s">
        <v>260</v>
      </c>
      <c r="CW25" s="483" t="s">
        <v>260</v>
      </c>
      <c r="CX25" s="483" t="s">
        <v>260</v>
      </c>
      <c r="CY25" s="483" t="s">
        <v>260</v>
      </c>
      <c r="CZ25" s="483" t="s">
        <v>260</v>
      </c>
      <c r="DA25" s="483" t="s">
        <v>260</v>
      </c>
      <c r="DB25" s="483" t="s">
        <v>260</v>
      </c>
      <c r="DC25" s="483" t="s">
        <v>260</v>
      </c>
      <c r="DD25" s="483" t="s">
        <v>260</v>
      </c>
      <c r="DE25" s="483" t="s">
        <v>260</v>
      </c>
      <c r="DF25" s="483" t="s">
        <v>260</v>
      </c>
      <c r="DG25" s="483" t="s">
        <v>260</v>
      </c>
      <c r="DH25" s="483" t="s">
        <v>260</v>
      </c>
      <c r="DI25" s="483" t="s">
        <v>260</v>
      </c>
      <c r="DJ25" s="483" t="s">
        <v>260</v>
      </c>
      <c r="DK25" s="483" t="s">
        <v>260</v>
      </c>
      <c r="DL25" s="483" t="s">
        <v>260</v>
      </c>
      <c r="DM25" s="483" t="s">
        <v>260</v>
      </c>
      <c r="DN25" s="483">
        <v>0</v>
      </c>
      <c r="DO25" s="483" t="s">
        <v>260</v>
      </c>
      <c r="DP25" s="483" t="s">
        <v>260</v>
      </c>
      <c r="DQ25" s="483" t="s">
        <v>260</v>
      </c>
      <c r="DR25" s="483" t="s">
        <v>260</v>
      </c>
      <c r="DS25" s="483" t="s">
        <v>260</v>
      </c>
      <c r="DT25" s="483" t="s">
        <v>260</v>
      </c>
      <c r="DU25" s="483" t="s">
        <v>260</v>
      </c>
      <c r="DV25" s="483" t="s">
        <v>260</v>
      </c>
      <c r="DW25" s="483" t="s">
        <v>260</v>
      </c>
      <c r="DX25" s="483" t="s">
        <v>260</v>
      </c>
      <c r="DY25" s="483" t="s">
        <v>260</v>
      </c>
      <c r="DZ25" s="483" t="s">
        <v>260</v>
      </c>
      <c r="EA25" s="483" t="s">
        <v>260</v>
      </c>
      <c r="EB25" s="483">
        <v>0</v>
      </c>
      <c r="EC25" s="483" t="s">
        <v>260</v>
      </c>
      <c r="ED25" s="483" t="s">
        <v>260</v>
      </c>
      <c r="EE25" s="483" t="s">
        <v>260</v>
      </c>
      <c r="EF25" s="483" t="s">
        <v>260</v>
      </c>
      <c r="EG25" s="483" t="s">
        <v>260</v>
      </c>
      <c r="EH25" s="483" t="s">
        <v>260</v>
      </c>
      <c r="EI25" s="483" t="s">
        <v>260</v>
      </c>
      <c r="EJ25" s="483" t="s">
        <v>260</v>
      </c>
      <c r="EK25" s="483" t="s">
        <v>260</v>
      </c>
      <c r="EL25" s="483" t="s">
        <v>260</v>
      </c>
      <c r="EM25" s="483" t="s">
        <v>260</v>
      </c>
      <c r="EN25" s="483" t="s">
        <v>260</v>
      </c>
      <c r="EO25" s="483" t="s">
        <v>260</v>
      </c>
      <c r="EP25" s="483" t="s">
        <v>260</v>
      </c>
      <c r="EQ25" s="483" t="s">
        <v>260</v>
      </c>
      <c r="ER25" s="483" t="s">
        <v>260</v>
      </c>
      <c r="ES25" s="483" t="s">
        <v>260</v>
      </c>
      <c r="ET25" s="483" t="s">
        <v>260</v>
      </c>
      <c r="EU25" s="483" t="s">
        <v>260</v>
      </c>
      <c r="EV25" s="483" t="s">
        <v>260</v>
      </c>
      <c r="EW25" s="483" t="s">
        <v>260</v>
      </c>
      <c r="EX25" s="483" t="s">
        <v>260</v>
      </c>
      <c r="EY25" s="483" t="s">
        <v>260</v>
      </c>
      <c r="EZ25" s="483" t="s">
        <v>260</v>
      </c>
      <c r="FA25" s="483" t="s">
        <v>260</v>
      </c>
      <c r="FB25" s="483" t="s">
        <v>260</v>
      </c>
      <c r="FC25" s="483" t="s">
        <v>260</v>
      </c>
      <c r="FD25" s="483">
        <v>169</v>
      </c>
      <c r="FE25" s="483">
        <v>169</v>
      </c>
      <c r="FF25" s="483" t="s">
        <v>260</v>
      </c>
      <c r="FG25" s="483" t="s">
        <v>260</v>
      </c>
      <c r="FH25" s="483" t="s">
        <v>260</v>
      </c>
      <c r="FI25" s="483" t="s">
        <v>260</v>
      </c>
      <c r="FJ25" s="483" t="s">
        <v>260</v>
      </c>
      <c r="FK25" s="483" t="s">
        <v>260</v>
      </c>
      <c r="FL25" s="483" t="s">
        <v>260</v>
      </c>
      <c r="FM25" s="483" t="s">
        <v>260</v>
      </c>
      <c r="FN25" s="483" t="s">
        <v>260</v>
      </c>
      <c r="FO25" s="483" t="s">
        <v>260</v>
      </c>
      <c r="FP25" s="483" t="s">
        <v>260</v>
      </c>
      <c r="FQ25" s="483" t="s">
        <v>260</v>
      </c>
      <c r="FR25" s="483" t="s">
        <v>260</v>
      </c>
      <c r="FS25" s="483" t="s">
        <v>260</v>
      </c>
      <c r="FT25" s="483" t="s">
        <v>260</v>
      </c>
      <c r="FU25" s="483" t="s">
        <v>260</v>
      </c>
      <c r="FV25" s="483" t="s">
        <v>260</v>
      </c>
      <c r="FW25" s="483" t="s">
        <v>260</v>
      </c>
      <c r="FX25" s="483" t="s">
        <v>260</v>
      </c>
      <c r="FY25" s="483" t="s">
        <v>260</v>
      </c>
      <c r="FZ25" s="483" t="s">
        <v>260</v>
      </c>
      <c r="GA25" s="483" t="s">
        <v>260</v>
      </c>
      <c r="GB25" s="483" t="s">
        <v>260</v>
      </c>
      <c r="GC25" s="483" t="s">
        <v>260</v>
      </c>
      <c r="GD25" s="483" t="s">
        <v>260</v>
      </c>
      <c r="GE25" s="483" t="s">
        <v>260</v>
      </c>
      <c r="GF25" s="483" t="s">
        <v>260</v>
      </c>
      <c r="GG25" s="483" t="s">
        <v>260</v>
      </c>
      <c r="GH25" s="483" t="s">
        <v>260</v>
      </c>
      <c r="GI25" s="483" t="s">
        <v>260</v>
      </c>
      <c r="GJ25" s="483" t="s">
        <v>260</v>
      </c>
      <c r="GK25" s="483" t="s">
        <v>260</v>
      </c>
      <c r="GL25" s="483" t="s">
        <v>260</v>
      </c>
      <c r="GM25" s="483" t="s">
        <v>260</v>
      </c>
      <c r="GN25" s="483" t="s">
        <v>260</v>
      </c>
      <c r="GO25" s="483" t="s">
        <v>260</v>
      </c>
      <c r="GP25" s="483" t="s">
        <v>260</v>
      </c>
      <c r="GQ25" s="483" t="s">
        <v>260</v>
      </c>
      <c r="GR25" s="483" t="s">
        <v>260</v>
      </c>
      <c r="GS25" s="483" t="s">
        <v>260</v>
      </c>
      <c r="GT25" s="483" t="s">
        <v>260</v>
      </c>
      <c r="GU25" s="483" t="s">
        <v>260</v>
      </c>
      <c r="GV25" s="483" t="s">
        <v>260</v>
      </c>
      <c r="GW25" s="483" t="s">
        <v>260</v>
      </c>
      <c r="GX25" s="483" t="s">
        <v>260</v>
      </c>
      <c r="GY25" s="483" t="s">
        <v>260</v>
      </c>
      <c r="GZ25" s="483">
        <v>672</v>
      </c>
      <c r="HA25" s="483" t="s">
        <v>260</v>
      </c>
      <c r="HB25" s="483">
        <v>418</v>
      </c>
      <c r="HC25" s="483">
        <v>230</v>
      </c>
      <c r="HD25" s="483" t="s">
        <v>260</v>
      </c>
      <c r="HE25" s="483">
        <v>24</v>
      </c>
      <c r="HF25" s="483" t="s">
        <v>260</v>
      </c>
      <c r="HG25" s="483" t="s">
        <v>260</v>
      </c>
      <c r="HH25" s="483" t="s">
        <v>260</v>
      </c>
      <c r="HI25" s="483" t="s">
        <v>260</v>
      </c>
      <c r="HJ25" s="483" t="s">
        <v>260</v>
      </c>
      <c r="HK25" s="483" t="s">
        <v>260</v>
      </c>
      <c r="HL25" s="483" t="s">
        <v>260</v>
      </c>
      <c r="HM25" s="483" t="s">
        <v>260</v>
      </c>
      <c r="HN25" s="483" t="s">
        <v>260</v>
      </c>
      <c r="HO25" s="483" t="s">
        <v>260</v>
      </c>
      <c r="HP25" s="483" t="s">
        <v>260</v>
      </c>
      <c r="HQ25" s="483" t="s">
        <v>260</v>
      </c>
      <c r="HR25" s="483" t="s">
        <v>260</v>
      </c>
      <c r="HS25" s="483" t="s">
        <v>260</v>
      </c>
      <c r="HT25" s="483" t="s">
        <v>260</v>
      </c>
      <c r="HU25" s="483" t="s">
        <v>260</v>
      </c>
      <c r="HV25" s="483" t="s">
        <v>260</v>
      </c>
      <c r="HW25" s="483" t="s">
        <v>260</v>
      </c>
      <c r="HX25" s="483" t="s">
        <v>260</v>
      </c>
      <c r="HY25" s="483" t="s">
        <v>260</v>
      </c>
      <c r="HZ25" s="483" t="s">
        <v>260</v>
      </c>
      <c r="IA25" s="483" t="s">
        <v>260</v>
      </c>
      <c r="IB25" s="483" t="s">
        <v>260</v>
      </c>
      <c r="IC25" s="483" t="s">
        <v>260</v>
      </c>
      <c r="ID25" s="483" t="s">
        <v>260</v>
      </c>
      <c r="IE25" s="483" t="s">
        <v>260</v>
      </c>
      <c r="IF25" s="483">
        <v>0</v>
      </c>
      <c r="IG25" s="483" t="s">
        <v>260</v>
      </c>
      <c r="IH25" s="483" t="s">
        <v>260</v>
      </c>
      <c r="II25" s="483" t="s">
        <v>260</v>
      </c>
      <c r="IJ25" s="483" t="s">
        <v>260</v>
      </c>
      <c r="IK25" s="483">
        <v>145</v>
      </c>
      <c r="IL25" s="483">
        <v>36</v>
      </c>
      <c r="IM25" s="483" t="s">
        <v>260</v>
      </c>
      <c r="IN25" s="483">
        <v>109</v>
      </c>
      <c r="IO25" s="483" t="s">
        <v>260</v>
      </c>
      <c r="IP25" s="483" t="s">
        <v>260</v>
      </c>
      <c r="IQ25" s="483" t="s">
        <v>260</v>
      </c>
      <c r="IR25" s="483" t="s">
        <v>260</v>
      </c>
      <c r="IS25" s="483" t="s">
        <v>260</v>
      </c>
      <c r="IT25" s="483" t="s">
        <v>260</v>
      </c>
      <c r="IU25" s="483" t="s">
        <v>260</v>
      </c>
      <c r="IV25" s="483" t="s">
        <v>260</v>
      </c>
      <c r="IW25" s="483" t="s">
        <v>260</v>
      </c>
      <c r="IX25" s="483" t="s">
        <v>260</v>
      </c>
      <c r="IY25" s="483" t="s">
        <v>260</v>
      </c>
      <c r="IZ25" s="483" t="s">
        <v>260</v>
      </c>
      <c r="JA25" s="483" t="s">
        <v>260</v>
      </c>
      <c r="JB25" s="483" t="s">
        <v>260</v>
      </c>
      <c r="JC25" s="483" t="s">
        <v>260</v>
      </c>
      <c r="JD25" s="483" t="s">
        <v>260</v>
      </c>
      <c r="JE25" s="483">
        <v>0</v>
      </c>
      <c r="JF25" s="483" t="s">
        <v>260</v>
      </c>
      <c r="JG25" s="483" t="s">
        <v>260</v>
      </c>
      <c r="JH25" s="483" t="s">
        <v>260</v>
      </c>
      <c r="JI25" s="483" t="s">
        <v>260</v>
      </c>
      <c r="JJ25" s="483" t="s">
        <v>260</v>
      </c>
      <c r="JK25" s="483" t="s">
        <v>260</v>
      </c>
      <c r="JL25" s="483" t="s">
        <v>260</v>
      </c>
      <c r="JM25" s="483" t="s">
        <v>260</v>
      </c>
      <c r="JN25" s="483" t="s">
        <v>260</v>
      </c>
      <c r="JO25" s="483" t="s">
        <v>260</v>
      </c>
      <c r="JP25" s="483" t="s">
        <v>260</v>
      </c>
      <c r="JQ25" s="483" t="s">
        <v>260</v>
      </c>
      <c r="JR25" s="483" t="s">
        <v>260</v>
      </c>
      <c r="JS25" s="483" t="s">
        <v>260</v>
      </c>
      <c r="JT25" s="483" t="s">
        <v>260</v>
      </c>
      <c r="JU25" s="483" t="s">
        <v>260</v>
      </c>
      <c r="JV25" s="483" t="s">
        <v>260</v>
      </c>
      <c r="JW25" s="483" t="s">
        <v>260</v>
      </c>
      <c r="JX25" s="483" t="s">
        <v>260</v>
      </c>
      <c r="JY25" s="483" t="s">
        <v>260</v>
      </c>
      <c r="JZ25" s="483" t="s">
        <v>260</v>
      </c>
      <c r="KA25" s="483" t="s">
        <v>260</v>
      </c>
      <c r="KB25" s="483">
        <v>0</v>
      </c>
      <c r="KC25" s="483" t="s">
        <v>260</v>
      </c>
      <c r="KD25" s="483" t="s">
        <v>260</v>
      </c>
      <c r="KE25" s="483" t="s">
        <v>260</v>
      </c>
      <c r="KF25" s="483" t="s">
        <v>260</v>
      </c>
      <c r="KG25" s="483" t="s">
        <v>260</v>
      </c>
      <c r="KH25" s="483" t="s">
        <v>260</v>
      </c>
      <c r="KI25" s="483" t="s">
        <v>260</v>
      </c>
      <c r="KJ25" s="483" t="s">
        <v>260</v>
      </c>
      <c r="KK25" s="483" t="s">
        <v>260</v>
      </c>
      <c r="KL25" s="483" t="s">
        <v>260</v>
      </c>
      <c r="KM25" s="483" t="s">
        <v>260</v>
      </c>
      <c r="KN25" s="483" t="s">
        <v>260</v>
      </c>
      <c r="KO25" s="483" t="s">
        <v>260</v>
      </c>
      <c r="KP25" s="483" t="s">
        <v>260</v>
      </c>
      <c r="KQ25" s="483" t="s">
        <v>260</v>
      </c>
      <c r="KR25" s="483" t="s">
        <v>260</v>
      </c>
      <c r="KS25" s="483" t="s">
        <v>260</v>
      </c>
      <c r="KT25" s="483" t="s">
        <v>260</v>
      </c>
      <c r="KU25" s="483" t="s">
        <v>260</v>
      </c>
      <c r="KV25" s="483" t="s">
        <v>260</v>
      </c>
      <c r="KW25" s="483" t="s">
        <v>260</v>
      </c>
      <c r="KX25" s="483" t="s">
        <v>260</v>
      </c>
      <c r="KY25" s="483" t="s">
        <v>260</v>
      </c>
      <c r="KZ25" s="483" t="s">
        <v>260</v>
      </c>
      <c r="LA25" s="483" t="s">
        <v>260</v>
      </c>
      <c r="LB25" s="483" t="s">
        <v>260</v>
      </c>
      <c r="LC25" s="483" t="s">
        <v>260</v>
      </c>
      <c r="LD25" s="483" t="s">
        <v>260</v>
      </c>
      <c r="LE25" s="483" t="s">
        <v>260</v>
      </c>
      <c r="LF25" s="483" t="s">
        <v>260</v>
      </c>
      <c r="LG25" s="483" t="s">
        <v>260</v>
      </c>
      <c r="LH25" s="483" t="s">
        <v>260</v>
      </c>
      <c r="LI25" s="483" t="s">
        <v>260</v>
      </c>
      <c r="LJ25" s="483" t="s">
        <v>260</v>
      </c>
      <c r="LK25" s="483" t="s">
        <v>260</v>
      </c>
      <c r="LL25" s="483" t="s">
        <v>260</v>
      </c>
      <c r="LM25" s="483" t="s">
        <v>260</v>
      </c>
      <c r="LN25" s="483" t="s">
        <v>260</v>
      </c>
      <c r="LO25" s="483" t="s">
        <v>260</v>
      </c>
      <c r="LP25" s="483" t="s">
        <v>260</v>
      </c>
      <c r="LQ25" s="483" t="s">
        <v>260</v>
      </c>
      <c r="LR25" s="485" t="s">
        <v>260</v>
      </c>
      <c r="LS25" s="485">
        <v>48</v>
      </c>
      <c r="LT25" s="485" t="s">
        <v>260</v>
      </c>
      <c r="LU25" s="485" t="s">
        <v>260</v>
      </c>
      <c r="LV25" s="485">
        <v>12</v>
      </c>
      <c r="LW25" s="485" t="s">
        <v>260</v>
      </c>
      <c r="LX25" s="485">
        <v>36</v>
      </c>
      <c r="LY25" s="485" t="s">
        <v>260</v>
      </c>
      <c r="LZ25" s="485" t="s">
        <v>260</v>
      </c>
      <c r="MA25" s="485" t="s">
        <v>260</v>
      </c>
      <c r="MB25" s="485" t="s">
        <v>260</v>
      </c>
      <c r="MC25" s="485">
        <v>42</v>
      </c>
      <c r="MD25" s="485" t="s">
        <v>260</v>
      </c>
      <c r="ME25" s="485">
        <v>42</v>
      </c>
      <c r="MF25" s="485" t="s">
        <v>260</v>
      </c>
      <c r="MG25" s="485" t="s">
        <v>260</v>
      </c>
      <c r="MH25" s="485" t="s">
        <v>260</v>
      </c>
      <c r="MI25" s="485" t="s">
        <v>260</v>
      </c>
      <c r="MJ25" s="485">
        <v>34</v>
      </c>
      <c r="MK25" s="485" t="s">
        <v>260</v>
      </c>
      <c r="ML25" s="485" t="s">
        <v>260</v>
      </c>
      <c r="MM25" s="485" t="s">
        <v>260</v>
      </c>
      <c r="MN25" s="485">
        <v>25</v>
      </c>
      <c r="MO25" s="485">
        <v>9</v>
      </c>
      <c r="MP25" s="485" t="s">
        <v>260</v>
      </c>
      <c r="MQ25" s="485" t="s">
        <v>260</v>
      </c>
      <c r="MR25" s="485" t="s">
        <v>260</v>
      </c>
      <c r="MS25" s="485" t="s">
        <v>260</v>
      </c>
      <c r="MT25" s="485" t="s">
        <v>260</v>
      </c>
      <c r="MU25" s="485" t="s">
        <v>260</v>
      </c>
      <c r="MV25" s="485" t="s">
        <v>260</v>
      </c>
      <c r="MW25" s="485" t="s">
        <v>260</v>
      </c>
      <c r="MX25" s="485" t="s">
        <v>260</v>
      </c>
      <c r="MY25" s="485" t="s">
        <v>260</v>
      </c>
      <c r="MZ25" s="485" t="s">
        <v>260</v>
      </c>
      <c r="NA25" s="485" t="s">
        <v>260</v>
      </c>
      <c r="NB25" s="485">
        <v>0</v>
      </c>
      <c r="NC25" s="485" t="s">
        <v>260</v>
      </c>
      <c r="ND25" s="485" t="s">
        <v>260</v>
      </c>
      <c r="NE25" s="485" t="s">
        <v>260</v>
      </c>
      <c r="NF25" s="485" t="s">
        <v>260</v>
      </c>
      <c r="NG25" s="485" t="s">
        <v>260</v>
      </c>
      <c r="NH25" s="485" t="s">
        <v>260</v>
      </c>
      <c r="NI25" s="485" t="s">
        <v>260</v>
      </c>
      <c r="NJ25" s="485" t="s">
        <v>260</v>
      </c>
      <c r="NK25" s="485" t="s">
        <v>5330</v>
      </c>
      <c r="NL25" s="485" t="s">
        <v>260</v>
      </c>
      <c r="NM25" s="485" t="s">
        <v>260</v>
      </c>
      <c r="NN25" s="485" t="s">
        <v>260</v>
      </c>
      <c r="NO25" s="485">
        <v>112</v>
      </c>
      <c r="NP25" s="485">
        <v>38</v>
      </c>
      <c r="NQ25" s="485">
        <v>38</v>
      </c>
      <c r="NR25" s="485" t="s">
        <v>260</v>
      </c>
      <c r="NS25" s="485" t="s">
        <v>260</v>
      </c>
      <c r="NT25" s="485" t="s">
        <v>260</v>
      </c>
      <c r="NU25" s="485" t="s">
        <v>260</v>
      </c>
      <c r="NV25" s="485" t="s">
        <v>260</v>
      </c>
      <c r="NW25" s="485" t="s">
        <v>260</v>
      </c>
      <c r="NX25" s="485" t="s">
        <v>260</v>
      </c>
      <c r="NY25" s="485" t="s">
        <v>260</v>
      </c>
      <c r="NZ25" s="485" t="s">
        <v>260</v>
      </c>
      <c r="OA25" s="485" t="s">
        <v>260</v>
      </c>
      <c r="OB25" s="485" t="s">
        <v>260</v>
      </c>
      <c r="OC25" s="485" t="s">
        <v>260</v>
      </c>
      <c r="OD25" s="485">
        <v>74</v>
      </c>
      <c r="OE25" s="485">
        <v>54</v>
      </c>
      <c r="OF25" s="485" t="s">
        <v>260</v>
      </c>
      <c r="OG25" s="485" t="s">
        <v>260</v>
      </c>
      <c r="OH25" s="485" t="s">
        <v>260</v>
      </c>
      <c r="OI25" s="485" t="s">
        <v>260</v>
      </c>
      <c r="OJ25" s="485" t="s">
        <v>260</v>
      </c>
      <c r="OK25" s="485">
        <v>20</v>
      </c>
      <c r="OL25" s="485" t="s">
        <v>260</v>
      </c>
      <c r="OM25" s="483">
        <v>24</v>
      </c>
      <c r="ON25" s="483" t="s">
        <v>260</v>
      </c>
      <c r="OO25" s="483" t="s">
        <v>260</v>
      </c>
      <c r="OP25" s="483" t="s">
        <v>260</v>
      </c>
      <c r="OQ25" s="483" t="s">
        <v>260</v>
      </c>
      <c r="OR25" s="483">
        <v>523</v>
      </c>
      <c r="OS25" s="483" t="s">
        <v>260</v>
      </c>
      <c r="OT25" s="483" t="s">
        <v>260</v>
      </c>
      <c r="OU25" s="483" t="s">
        <v>260</v>
      </c>
      <c r="OV25" s="483" t="s">
        <v>260</v>
      </c>
      <c r="OW25" s="483" t="s">
        <v>260</v>
      </c>
      <c r="OX25" s="483">
        <v>204</v>
      </c>
      <c r="OY25" s="483">
        <v>35</v>
      </c>
      <c r="OZ25" s="483" t="s">
        <v>260</v>
      </c>
      <c r="PA25" s="483" t="s">
        <v>260</v>
      </c>
      <c r="PB25" s="483" t="s">
        <v>260</v>
      </c>
      <c r="PC25" s="483" t="s">
        <v>260</v>
      </c>
      <c r="PD25" s="483" t="s">
        <v>260</v>
      </c>
      <c r="PE25" s="485">
        <v>0</v>
      </c>
      <c r="PF25" s="483" t="s">
        <v>260</v>
      </c>
      <c r="PG25" s="483" t="s">
        <v>260</v>
      </c>
      <c r="PH25" s="483" t="s">
        <v>260</v>
      </c>
      <c r="PI25" s="483" t="s">
        <v>260</v>
      </c>
      <c r="PJ25" s="483" t="s">
        <v>260</v>
      </c>
      <c r="PK25" s="483" t="s">
        <v>260</v>
      </c>
      <c r="PL25" s="483" t="s">
        <v>260</v>
      </c>
      <c r="PM25" s="483" t="s">
        <v>260</v>
      </c>
    </row>
    <row r="26" spans="2:429" ht="15.6" x14ac:dyDescent="0.3">
      <c r="B26" s="487" t="s">
        <v>2206</v>
      </c>
      <c r="C26" s="483">
        <f t="shared" si="0"/>
        <v>104</v>
      </c>
      <c r="D26" s="483">
        <v>52</v>
      </c>
      <c r="E26" s="483">
        <v>52</v>
      </c>
      <c r="F26" s="483" t="s">
        <v>260</v>
      </c>
      <c r="G26" s="483" t="s">
        <v>260</v>
      </c>
      <c r="H26" s="483" t="s">
        <v>260</v>
      </c>
      <c r="I26" s="483" t="s">
        <v>260</v>
      </c>
      <c r="J26" s="483" t="s">
        <v>260</v>
      </c>
      <c r="K26" s="483" t="s">
        <v>260</v>
      </c>
      <c r="L26" s="483" t="s">
        <v>260</v>
      </c>
      <c r="M26" s="483" t="s">
        <v>260</v>
      </c>
      <c r="N26" s="483" t="s">
        <v>260</v>
      </c>
      <c r="O26" s="483" t="s">
        <v>260</v>
      </c>
      <c r="P26" s="483" t="s">
        <v>260</v>
      </c>
      <c r="Q26" s="483" t="s">
        <v>260</v>
      </c>
      <c r="R26" s="483" t="s">
        <v>260</v>
      </c>
      <c r="S26" s="483" t="s">
        <v>260</v>
      </c>
      <c r="T26" s="483" t="s">
        <v>260</v>
      </c>
      <c r="U26" s="483" t="s">
        <v>260</v>
      </c>
      <c r="V26" s="483" t="s">
        <v>260</v>
      </c>
      <c r="W26" s="483" t="s">
        <v>260</v>
      </c>
      <c r="X26" s="483" t="s">
        <v>260</v>
      </c>
      <c r="Y26" s="483" t="s">
        <v>260</v>
      </c>
      <c r="Z26" s="483" t="s">
        <v>260</v>
      </c>
      <c r="AA26" s="483" t="s">
        <v>260</v>
      </c>
      <c r="AB26" s="483" t="s">
        <v>260</v>
      </c>
      <c r="AC26" s="483" t="s">
        <v>260</v>
      </c>
      <c r="AD26" s="483" t="s">
        <v>260</v>
      </c>
      <c r="AE26" s="483" t="s">
        <v>260</v>
      </c>
      <c r="AF26" s="483" t="s">
        <v>260</v>
      </c>
      <c r="AG26" s="483" t="s">
        <v>260</v>
      </c>
      <c r="AH26" s="483" t="s">
        <v>260</v>
      </c>
      <c r="AI26" s="483" t="s">
        <v>260</v>
      </c>
      <c r="AJ26" s="483" t="s">
        <v>260</v>
      </c>
      <c r="AK26" s="483" t="s">
        <v>260</v>
      </c>
      <c r="AL26" s="483" t="s">
        <v>260</v>
      </c>
      <c r="AM26" s="483" t="s">
        <v>260</v>
      </c>
      <c r="AN26" s="483" t="s">
        <v>260</v>
      </c>
      <c r="AO26" s="483" t="s">
        <v>260</v>
      </c>
      <c r="AP26" s="483" t="s">
        <v>260</v>
      </c>
      <c r="AQ26" s="483" t="s">
        <v>260</v>
      </c>
      <c r="AR26" s="483" t="s">
        <v>260</v>
      </c>
      <c r="AS26" s="483" t="s">
        <v>260</v>
      </c>
      <c r="AT26" s="483">
        <f t="shared" si="1"/>
        <v>390</v>
      </c>
      <c r="AU26" s="483" t="s">
        <v>260</v>
      </c>
      <c r="AV26" s="483" t="s">
        <v>260</v>
      </c>
      <c r="AW26" s="483" t="s">
        <v>260</v>
      </c>
      <c r="AX26" s="483" t="s">
        <v>260</v>
      </c>
      <c r="AY26" s="483" t="s">
        <v>260</v>
      </c>
      <c r="AZ26" s="483" t="s">
        <v>260</v>
      </c>
      <c r="BA26" s="483" t="s">
        <v>260</v>
      </c>
      <c r="BB26" s="483" t="s">
        <v>260</v>
      </c>
      <c r="BC26" s="483" t="s">
        <v>260</v>
      </c>
      <c r="BD26" s="483" t="s">
        <v>260</v>
      </c>
      <c r="BE26" s="483" t="s">
        <v>260</v>
      </c>
      <c r="BF26" s="483" t="s">
        <v>260</v>
      </c>
      <c r="BG26" s="483" t="s">
        <v>260</v>
      </c>
      <c r="BH26" s="483" t="s">
        <v>260</v>
      </c>
      <c r="BI26" s="483" t="s">
        <v>260</v>
      </c>
      <c r="BJ26" s="483" t="s">
        <v>260</v>
      </c>
      <c r="BK26" s="483" t="s">
        <v>260</v>
      </c>
      <c r="BL26" s="483" t="s">
        <v>260</v>
      </c>
      <c r="BM26" s="483" t="s">
        <v>260</v>
      </c>
      <c r="BN26" s="483" t="s">
        <v>260</v>
      </c>
      <c r="BO26" s="483" t="s">
        <v>260</v>
      </c>
      <c r="BP26" s="483" t="s">
        <v>260</v>
      </c>
      <c r="BQ26" s="483" t="s">
        <v>260</v>
      </c>
      <c r="BR26" s="483">
        <v>315</v>
      </c>
      <c r="BS26" s="483" t="s">
        <v>260</v>
      </c>
      <c r="BT26" s="483">
        <v>75</v>
      </c>
      <c r="BU26" s="483" t="s">
        <v>260</v>
      </c>
      <c r="BV26" s="483" t="s">
        <v>260</v>
      </c>
      <c r="BW26" s="483" t="s">
        <v>260</v>
      </c>
      <c r="BX26" s="483" t="s">
        <v>260</v>
      </c>
      <c r="BY26" s="483" t="s">
        <v>260</v>
      </c>
      <c r="BZ26" s="483" t="s">
        <v>260</v>
      </c>
      <c r="CA26" s="483" t="s">
        <v>260</v>
      </c>
      <c r="CB26" s="483" t="s">
        <v>260</v>
      </c>
      <c r="CC26" s="483" t="s">
        <v>260</v>
      </c>
      <c r="CD26" s="483" t="s">
        <v>260</v>
      </c>
      <c r="CE26" s="483" t="s">
        <v>260</v>
      </c>
      <c r="CF26" s="483" t="s">
        <v>260</v>
      </c>
      <c r="CG26" s="483" t="s">
        <v>260</v>
      </c>
      <c r="CH26" s="483" t="s">
        <v>260</v>
      </c>
      <c r="CI26" s="483" t="s">
        <v>260</v>
      </c>
      <c r="CJ26" s="483" t="s">
        <v>260</v>
      </c>
      <c r="CK26" s="483" t="s">
        <v>260</v>
      </c>
      <c r="CL26" s="483" t="s">
        <v>260</v>
      </c>
      <c r="CM26" s="483" t="s">
        <v>260</v>
      </c>
      <c r="CN26" s="483" t="s">
        <v>260</v>
      </c>
      <c r="CO26" s="483" t="s">
        <v>260</v>
      </c>
      <c r="CP26" s="483" t="s">
        <v>260</v>
      </c>
      <c r="CQ26" s="483" t="s">
        <v>260</v>
      </c>
      <c r="CR26" s="483" t="s">
        <v>260</v>
      </c>
      <c r="CS26" s="483" t="s">
        <v>260</v>
      </c>
      <c r="CT26" s="483" t="s">
        <v>260</v>
      </c>
      <c r="CU26" s="483" t="s">
        <v>260</v>
      </c>
      <c r="CV26" s="483" t="s">
        <v>260</v>
      </c>
      <c r="CW26" s="483" t="s">
        <v>260</v>
      </c>
      <c r="CX26" s="483" t="s">
        <v>260</v>
      </c>
      <c r="CY26" s="483" t="s">
        <v>260</v>
      </c>
      <c r="CZ26" s="483" t="s">
        <v>260</v>
      </c>
      <c r="DA26" s="483" t="s">
        <v>260</v>
      </c>
      <c r="DB26" s="483" t="s">
        <v>260</v>
      </c>
      <c r="DC26" s="483" t="s">
        <v>260</v>
      </c>
      <c r="DD26" s="483" t="s">
        <v>260</v>
      </c>
      <c r="DE26" s="483" t="s">
        <v>260</v>
      </c>
      <c r="DF26" s="483" t="s">
        <v>260</v>
      </c>
      <c r="DG26" s="483" t="s">
        <v>260</v>
      </c>
      <c r="DH26" s="483" t="s">
        <v>260</v>
      </c>
      <c r="DI26" s="483" t="s">
        <v>260</v>
      </c>
      <c r="DJ26" s="483" t="s">
        <v>260</v>
      </c>
      <c r="DK26" s="483" t="s">
        <v>260</v>
      </c>
      <c r="DL26" s="483" t="s">
        <v>260</v>
      </c>
      <c r="DM26" s="483" t="s">
        <v>260</v>
      </c>
      <c r="DN26" s="483">
        <v>0</v>
      </c>
      <c r="DO26" s="483" t="s">
        <v>260</v>
      </c>
      <c r="DP26" s="483" t="s">
        <v>260</v>
      </c>
      <c r="DQ26" s="483" t="s">
        <v>260</v>
      </c>
      <c r="DR26" s="483" t="s">
        <v>260</v>
      </c>
      <c r="DS26" s="483" t="s">
        <v>260</v>
      </c>
      <c r="DT26" s="483" t="s">
        <v>260</v>
      </c>
      <c r="DU26" s="483" t="s">
        <v>260</v>
      </c>
      <c r="DV26" s="483" t="s">
        <v>260</v>
      </c>
      <c r="DW26" s="483" t="s">
        <v>260</v>
      </c>
      <c r="DX26" s="483" t="s">
        <v>260</v>
      </c>
      <c r="DY26" s="483" t="s">
        <v>260</v>
      </c>
      <c r="DZ26" s="483" t="s">
        <v>260</v>
      </c>
      <c r="EA26" s="483" t="s">
        <v>260</v>
      </c>
      <c r="EB26" s="483">
        <v>190</v>
      </c>
      <c r="EC26" s="483">
        <v>170</v>
      </c>
      <c r="ED26" s="483" t="s">
        <v>260</v>
      </c>
      <c r="EE26" s="483" t="s">
        <v>260</v>
      </c>
      <c r="EF26" s="483" t="s">
        <v>260</v>
      </c>
      <c r="EG26" s="483" t="s">
        <v>260</v>
      </c>
      <c r="EH26" s="483" t="s">
        <v>260</v>
      </c>
      <c r="EI26" s="483" t="s">
        <v>260</v>
      </c>
      <c r="EJ26" s="483" t="s">
        <v>260</v>
      </c>
      <c r="EK26" s="483" t="s">
        <v>260</v>
      </c>
      <c r="EL26" s="483" t="s">
        <v>260</v>
      </c>
      <c r="EM26" s="483">
        <v>20</v>
      </c>
      <c r="EN26" s="483" t="s">
        <v>260</v>
      </c>
      <c r="EO26" s="483" t="s">
        <v>260</v>
      </c>
      <c r="EP26" s="483" t="s">
        <v>260</v>
      </c>
      <c r="EQ26" s="483" t="s">
        <v>260</v>
      </c>
      <c r="ER26" s="483" t="s">
        <v>260</v>
      </c>
      <c r="ES26" s="483" t="s">
        <v>260</v>
      </c>
      <c r="ET26" s="483" t="s">
        <v>260</v>
      </c>
      <c r="EU26" s="483" t="s">
        <v>260</v>
      </c>
      <c r="EV26" s="483" t="s">
        <v>260</v>
      </c>
      <c r="EW26" s="483" t="s">
        <v>260</v>
      </c>
      <c r="EX26" s="483" t="s">
        <v>260</v>
      </c>
      <c r="EY26" s="483" t="s">
        <v>260</v>
      </c>
      <c r="EZ26" s="483" t="s">
        <v>260</v>
      </c>
      <c r="FA26" s="483" t="s">
        <v>260</v>
      </c>
      <c r="FB26" s="483" t="s">
        <v>260</v>
      </c>
      <c r="FC26" s="483" t="s">
        <v>260</v>
      </c>
      <c r="FD26" s="483">
        <v>91</v>
      </c>
      <c r="FE26" s="483" t="s">
        <v>260</v>
      </c>
      <c r="FF26" s="483" t="s">
        <v>260</v>
      </c>
      <c r="FG26" s="483" t="s">
        <v>260</v>
      </c>
      <c r="FH26" s="483" t="s">
        <v>260</v>
      </c>
      <c r="FI26" s="483" t="s">
        <v>260</v>
      </c>
      <c r="FJ26" s="483" t="s">
        <v>260</v>
      </c>
      <c r="FK26" s="483" t="s">
        <v>260</v>
      </c>
      <c r="FL26" s="483" t="s">
        <v>260</v>
      </c>
      <c r="FM26" s="483" t="s">
        <v>260</v>
      </c>
      <c r="FN26" s="483" t="s">
        <v>260</v>
      </c>
      <c r="FO26" s="483" t="s">
        <v>260</v>
      </c>
      <c r="FP26" s="483" t="s">
        <v>260</v>
      </c>
      <c r="FQ26" s="483" t="s">
        <v>260</v>
      </c>
      <c r="FR26" s="483" t="s">
        <v>260</v>
      </c>
      <c r="FS26" s="483">
        <v>91</v>
      </c>
      <c r="FT26" s="483" t="s">
        <v>260</v>
      </c>
      <c r="FU26" s="483" t="s">
        <v>260</v>
      </c>
      <c r="FV26" s="483" t="s">
        <v>260</v>
      </c>
      <c r="FW26" s="483" t="s">
        <v>260</v>
      </c>
      <c r="FX26" s="483" t="s">
        <v>260</v>
      </c>
      <c r="FY26" s="483" t="s">
        <v>260</v>
      </c>
      <c r="FZ26" s="483" t="s">
        <v>260</v>
      </c>
      <c r="GA26" s="483" t="s">
        <v>260</v>
      </c>
      <c r="GB26" s="483" t="s">
        <v>260</v>
      </c>
      <c r="GC26" s="483" t="s">
        <v>260</v>
      </c>
      <c r="GD26" s="483" t="s">
        <v>260</v>
      </c>
      <c r="GE26" s="483" t="s">
        <v>260</v>
      </c>
      <c r="GF26" s="483" t="s">
        <v>260</v>
      </c>
      <c r="GG26" s="483" t="s">
        <v>260</v>
      </c>
      <c r="GH26" s="483" t="s">
        <v>260</v>
      </c>
      <c r="GI26" s="483" t="s">
        <v>260</v>
      </c>
      <c r="GJ26" s="483" t="s">
        <v>260</v>
      </c>
      <c r="GK26" s="483" t="s">
        <v>260</v>
      </c>
      <c r="GL26" s="483" t="s">
        <v>260</v>
      </c>
      <c r="GM26" s="483" t="s">
        <v>260</v>
      </c>
      <c r="GN26" s="483" t="s">
        <v>260</v>
      </c>
      <c r="GO26" s="483" t="s">
        <v>260</v>
      </c>
      <c r="GP26" s="483" t="s">
        <v>260</v>
      </c>
      <c r="GQ26" s="483" t="s">
        <v>260</v>
      </c>
      <c r="GR26" s="483" t="s">
        <v>260</v>
      </c>
      <c r="GS26" s="483" t="s">
        <v>260</v>
      </c>
      <c r="GT26" s="483" t="s">
        <v>260</v>
      </c>
      <c r="GU26" s="483" t="s">
        <v>260</v>
      </c>
      <c r="GV26" s="483" t="s">
        <v>260</v>
      </c>
      <c r="GW26" s="483" t="s">
        <v>260</v>
      </c>
      <c r="GX26" s="483" t="s">
        <v>260</v>
      </c>
      <c r="GY26" s="483" t="s">
        <v>260</v>
      </c>
      <c r="GZ26" s="483">
        <v>53</v>
      </c>
      <c r="HA26" s="483" t="s">
        <v>260</v>
      </c>
      <c r="HB26" s="483">
        <v>24</v>
      </c>
      <c r="HC26" s="483" t="s">
        <v>260</v>
      </c>
      <c r="HD26" s="483" t="s">
        <v>260</v>
      </c>
      <c r="HE26" s="483" t="s">
        <v>260</v>
      </c>
      <c r="HF26" s="483" t="s">
        <v>260</v>
      </c>
      <c r="HG26" s="483" t="s">
        <v>260</v>
      </c>
      <c r="HH26" s="483" t="s">
        <v>260</v>
      </c>
      <c r="HI26" s="483" t="s">
        <v>260</v>
      </c>
      <c r="HJ26" s="483" t="s">
        <v>260</v>
      </c>
      <c r="HK26" s="483" t="s">
        <v>260</v>
      </c>
      <c r="HL26" s="483" t="s">
        <v>260</v>
      </c>
      <c r="HM26" s="483" t="s">
        <v>260</v>
      </c>
      <c r="HN26" s="483" t="s">
        <v>260</v>
      </c>
      <c r="HO26" s="483">
        <v>24</v>
      </c>
      <c r="HP26" s="483" t="s">
        <v>260</v>
      </c>
      <c r="HQ26" s="483" t="s">
        <v>260</v>
      </c>
      <c r="HR26" s="483" t="s">
        <v>260</v>
      </c>
      <c r="HS26" s="483">
        <v>5</v>
      </c>
      <c r="HT26" s="483" t="s">
        <v>260</v>
      </c>
      <c r="HU26" s="483" t="s">
        <v>260</v>
      </c>
      <c r="HV26" s="483" t="s">
        <v>260</v>
      </c>
      <c r="HW26" s="483" t="s">
        <v>260</v>
      </c>
      <c r="HX26" s="483" t="s">
        <v>260</v>
      </c>
      <c r="HY26" s="483" t="s">
        <v>260</v>
      </c>
      <c r="HZ26" s="483" t="s">
        <v>260</v>
      </c>
      <c r="IA26" s="483" t="s">
        <v>260</v>
      </c>
      <c r="IB26" s="483" t="s">
        <v>260</v>
      </c>
      <c r="IC26" s="483" t="s">
        <v>260</v>
      </c>
      <c r="ID26" s="483" t="s">
        <v>260</v>
      </c>
      <c r="IE26" s="483" t="s">
        <v>260</v>
      </c>
      <c r="IF26" s="483">
        <v>0</v>
      </c>
      <c r="IG26" s="483" t="s">
        <v>260</v>
      </c>
      <c r="IH26" s="483" t="s">
        <v>260</v>
      </c>
      <c r="II26" s="483" t="s">
        <v>260</v>
      </c>
      <c r="IJ26" s="483" t="s">
        <v>260</v>
      </c>
      <c r="IK26" s="483">
        <v>0</v>
      </c>
      <c r="IL26" s="483" t="s">
        <v>260</v>
      </c>
      <c r="IM26" s="483" t="s">
        <v>260</v>
      </c>
      <c r="IN26" s="483" t="s">
        <v>260</v>
      </c>
      <c r="IO26" s="483" t="s">
        <v>260</v>
      </c>
      <c r="IP26" s="483" t="s">
        <v>260</v>
      </c>
      <c r="IQ26" s="483" t="s">
        <v>260</v>
      </c>
      <c r="IR26" s="483" t="s">
        <v>260</v>
      </c>
      <c r="IS26" s="483" t="s">
        <v>260</v>
      </c>
      <c r="IT26" s="483" t="s">
        <v>260</v>
      </c>
      <c r="IU26" s="483" t="s">
        <v>260</v>
      </c>
      <c r="IV26" s="483" t="s">
        <v>260</v>
      </c>
      <c r="IW26" s="483" t="s">
        <v>260</v>
      </c>
      <c r="IX26" s="483" t="s">
        <v>260</v>
      </c>
      <c r="IY26" s="483" t="s">
        <v>260</v>
      </c>
      <c r="IZ26" s="483" t="s">
        <v>260</v>
      </c>
      <c r="JA26" s="483" t="s">
        <v>260</v>
      </c>
      <c r="JB26" s="483" t="s">
        <v>260</v>
      </c>
      <c r="JC26" s="483" t="s">
        <v>260</v>
      </c>
      <c r="JD26" s="483" t="s">
        <v>260</v>
      </c>
      <c r="JE26" s="483">
        <v>35</v>
      </c>
      <c r="JF26" s="483" t="s">
        <v>260</v>
      </c>
      <c r="JG26" s="483">
        <v>30</v>
      </c>
      <c r="JH26" s="483">
        <v>5</v>
      </c>
      <c r="JI26" s="483" t="s">
        <v>260</v>
      </c>
      <c r="JJ26" s="483" t="s">
        <v>260</v>
      </c>
      <c r="JK26" s="483" t="s">
        <v>260</v>
      </c>
      <c r="JL26" s="483" t="s">
        <v>260</v>
      </c>
      <c r="JM26" s="483" t="s">
        <v>260</v>
      </c>
      <c r="JN26" s="483" t="s">
        <v>260</v>
      </c>
      <c r="JO26" s="483" t="s">
        <v>260</v>
      </c>
      <c r="JP26" s="483" t="s">
        <v>260</v>
      </c>
      <c r="JQ26" s="483" t="s">
        <v>260</v>
      </c>
      <c r="JR26" s="483" t="s">
        <v>260</v>
      </c>
      <c r="JS26" s="483" t="s">
        <v>260</v>
      </c>
      <c r="JT26" s="483" t="s">
        <v>260</v>
      </c>
      <c r="JU26" s="483" t="s">
        <v>260</v>
      </c>
      <c r="JV26" s="483" t="s">
        <v>260</v>
      </c>
      <c r="JW26" s="483" t="s">
        <v>260</v>
      </c>
      <c r="JX26" s="483" t="s">
        <v>260</v>
      </c>
      <c r="JY26" s="483" t="s">
        <v>260</v>
      </c>
      <c r="JZ26" s="483" t="s">
        <v>260</v>
      </c>
      <c r="KA26" s="483" t="s">
        <v>260</v>
      </c>
      <c r="KB26" s="483">
        <v>31</v>
      </c>
      <c r="KC26" s="483" t="s">
        <v>260</v>
      </c>
      <c r="KD26" s="483" t="s">
        <v>260</v>
      </c>
      <c r="KE26" s="483" t="s">
        <v>260</v>
      </c>
      <c r="KF26" s="483" t="s">
        <v>260</v>
      </c>
      <c r="KG26" s="483" t="s">
        <v>260</v>
      </c>
      <c r="KH26" s="483">
        <v>31</v>
      </c>
      <c r="KI26" s="483" t="s">
        <v>260</v>
      </c>
      <c r="KJ26" s="483" t="s">
        <v>260</v>
      </c>
      <c r="KK26" s="483" t="s">
        <v>260</v>
      </c>
      <c r="KL26" s="483" t="s">
        <v>260</v>
      </c>
      <c r="KM26" s="483" t="s">
        <v>260</v>
      </c>
      <c r="KN26" s="483" t="s">
        <v>260</v>
      </c>
      <c r="KO26" s="483" t="s">
        <v>260</v>
      </c>
      <c r="KP26" s="483" t="s">
        <v>260</v>
      </c>
      <c r="KQ26" s="483" t="s">
        <v>260</v>
      </c>
      <c r="KR26" s="483" t="s">
        <v>260</v>
      </c>
      <c r="KS26" s="483" t="s">
        <v>260</v>
      </c>
      <c r="KT26" s="483" t="s">
        <v>260</v>
      </c>
      <c r="KU26" s="483" t="s">
        <v>260</v>
      </c>
      <c r="KV26" s="483" t="s">
        <v>260</v>
      </c>
      <c r="KW26" s="483" t="s">
        <v>260</v>
      </c>
      <c r="KX26" s="483" t="s">
        <v>260</v>
      </c>
      <c r="KY26" s="483" t="s">
        <v>260</v>
      </c>
      <c r="KZ26" s="483" t="s">
        <v>260</v>
      </c>
      <c r="LA26" s="483" t="s">
        <v>260</v>
      </c>
      <c r="LB26" s="483" t="s">
        <v>260</v>
      </c>
      <c r="LC26" s="483" t="s">
        <v>260</v>
      </c>
      <c r="LD26" s="483" t="s">
        <v>260</v>
      </c>
      <c r="LE26" s="483" t="s">
        <v>260</v>
      </c>
      <c r="LF26" s="483" t="s">
        <v>260</v>
      </c>
      <c r="LG26" s="483" t="s">
        <v>260</v>
      </c>
      <c r="LH26" s="483" t="s">
        <v>260</v>
      </c>
      <c r="LI26" s="483" t="s">
        <v>260</v>
      </c>
      <c r="LJ26" s="483" t="s">
        <v>260</v>
      </c>
      <c r="LK26" s="483" t="s">
        <v>260</v>
      </c>
      <c r="LL26" s="483" t="s">
        <v>260</v>
      </c>
      <c r="LM26" s="483" t="s">
        <v>260</v>
      </c>
      <c r="LN26" s="483" t="s">
        <v>260</v>
      </c>
      <c r="LO26" s="483" t="s">
        <v>260</v>
      </c>
      <c r="LP26" s="483" t="s">
        <v>260</v>
      </c>
      <c r="LQ26" s="483" t="s">
        <v>260</v>
      </c>
      <c r="LR26" s="485" t="s">
        <v>260</v>
      </c>
      <c r="LS26" s="485">
        <v>0</v>
      </c>
      <c r="LT26" s="485" t="s">
        <v>260</v>
      </c>
      <c r="LU26" s="485" t="s">
        <v>260</v>
      </c>
      <c r="LV26" s="485" t="s">
        <v>260</v>
      </c>
      <c r="LW26" s="485" t="s">
        <v>260</v>
      </c>
      <c r="LX26" s="485" t="s">
        <v>260</v>
      </c>
      <c r="LY26" s="485" t="s">
        <v>260</v>
      </c>
      <c r="LZ26" s="485" t="s">
        <v>260</v>
      </c>
      <c r="MA26" s="485" t="s">
        <v>260</v>
      </c>
      <c r="MB26" s="485" t="s">
        <v>260</v>
      </c>
      <c r="MC26" s="485">
        <v>0</v>
      </c>
      <c r="MD26" s="485" t="s">
        <v>260</v>
      </c>
      <c r="ME26" s="485" t="s">
        <v>260</v>
      </c>
      <c r="MF26" s="485" t="s">
        <v>260</v>
      </c>
      <c r="MG26" s="485" t="s">
        <v>260</v>
      </c>
      <c r="MH26" s="485" t="s">
        <v>260</v>
      </c>
      <c r="MI26" s="485" t="s">
        <v>260</v>
      </c>
      <c r="MJ26" s="485">
        <v>39</v>
      </c>
      <c r="MK26" s="485" t="s">
        <v>260</v>
      </c>
      <c r="ML26" s="485" t="s">
        <v>260</v>
      </c>
      <c r="MM26" s="485" t="s">
        <v>260</v>
      </c>
      <c r="MN26" s="485" t="s">
        <v>260</v>
      </c>
      <c r="MO26" s="485" t="s">
        <v>260</v>
      </c>
      <c r="MP26" s="485" t="s">
        <v>260</v>
      </c>
      <c r="MQ26" s="485" t="s">
        <v>260</v>
      </c>
      <c r="MR26" s="485">
        <v>39</v>
      </c>
      <c r="MS26" s="485" t="s">
        <v>260</v>
      </c>
      <c r="MT26" s="485" t="s">
        <v>260</v>
      </c>
      <c r="MU26" s="485" t="s">
        <v>260</v>
      </c>
      <c r="MV26" s="485" t="s">
        <v>260</v>
      </c>
      <c r="MW26" s="485" t="s">
        <v>260</v>
      </c>
      <c r="MX26" s="485" t="s">
        <v>260</v>
      </c>
      <c r="MY26" s="485" t="s">
        <v>260</v>
      </c>
      <c r="MZ26" s="485" t="s">
        <v>260</v>
      </c>
      <c r="NA26" s="485" t="s">
        <v>260</v>
      </c>
      <c r="NB26" s="485">
        <v>0</v>
      </c>
      <c r="NC26" s="485" t="s">
        <v>260</v>
      </c>
      <c r="ND26" s="485" t="s">
        <v>260</v>
      </c>
      <c r="NE26" s="485" t="s">
        <v>260</v>
      </c>
      <c r="NF26" s="485" t="s">
        <v>260</v>
      </c>
      <c r="NG26" s="485" t="s">
        <v>260</v>
      </c>
      <c r="NH26" s="485" t="s">
        <v>260</v>
      </c>
      <c r="NI26" s="485" t="s">
        <v>260</v>
      </c>
      <c r="NJ26" s="485" t="s">
        <v>260</v>
      </c>
      <c r="NK26" s="485" t="s">
        <v>260</v>
      </c>
      <c r="NL26" s="485" t="s">
        <v>260</v>
      </c>
      <c r="NM26" s="485" t="s">
        <v>260</v>
      </c>
      <c r="NN26" s="485" t="s">
        <v>260</v>
      </c>
      <c r="NO26" s="485">
        <v>0</v>
      </c>
      <c r="NP26" s="485">
        <v>0</v>
      </c>
      <c r="NQ26" s="485" t="s">
        <v>260</v>
      </c>
      <c r="NR26" s="485" t="s">
        <v>260</v>
      </c>
      <c r="NS26" s="485" t="s">
        <v>260</v>
      </c>
      <c r="NT26" s="485" t="s">
        <v>260</v>
      </c>
      <c r="NU26" s="485" t="s">
        <v>260</v>
      </c>
      <c r="NV26" s="485" t="s">
        <v>260</v>
      </c>
      <c r="NW26" s="485" t="s">
        <v>260</v>
      </c>
      <c r="NX26" s="485" t="s">
        <v>260</v>
      </c>
      <c r="NY26" s="485" t="s">
        <v>260</v>
      </c>
      <c r="NZ26" s="485" t="s">
        <v>260</v>
      </c>
      <c r="OA26" s="485" t="s">
        <v>260</v>
      </c>
      <c r="OB26" s="485" t="s">
        <v>260</v>
      </c>
      <c r="OC26" s="485" t="s">
        <v>260</v>
      </c>
      <c r="OD26" s="485">
        <v>0</v>
      </c>
      <c r="OE26" s="485" t="s">
        <v>260</v>
      </c>
      <c r="OF26" s="485" t="s">
        <v>260</v>
      </c>
      <c r="OG26" s="485" t="s">
        <v>260</v>
      </c>
      <c r="OH26" s="485" t="s">
        <v>260</v>
      </c>
      <c r="OI26" s="485" t="s">
        <v>260</v>
      </c>
      <c r="OJ26" s="485" t="s">
        <v>260</v>
      </c>
      <c r="OK26" s="485" t="s">
        <v>260</v>
      </c>
      <c r="OL26" s="485" t="s">
        <v>260</v>
      </c>
      <c r="OM26" s="483" t="s">
        <v>260</v>
      </c>
      <c r="ON26" s="483" t="s">
        <v>260</v>
      </c>
      <c r="OO26" s="483" t="s">
        <v>260</v>
      </c>
      <c r="OP26" s="483" t="s">
        <v>260</v>
      </c>
      <c r="OQ26" s="483" t="s">
        <v>260</v>
      </c>
      <c r="OR26" s="483" t="s">
        <v>260</v>
      </c>
      <c r="OS26" s="483" t="s">
        <v>260</v>
      </c>
      <c r="OT26" s="483" t="s">
        <v>260</v>
      </c>
      <c r="OU26" s="483" t="s">
        <v>260</v>
      </c>
      <c r="OV26" s="483" t="s">
        <v>260</v>
      </c>
      <c r="OW26" s="483" t="s">
        <v>260</v>
      </c>
      <c r="OX26" s="483" t="s">
        <v>260</v>
      </c>
      <c r="OY26" s="483" t="s">
        <v>260</v>
      </c>
      <c r="OZ26" s="483" t="s">
        <v>260</v>
      </c>
      <c r="PA26" s="483" t="s">
        <v>260</v>
      </c>
      <c r="PB26" s="483" t="s">
        <v>260</v>
      </c>
      <c r="PC26" s="483" t="s">
        <v>260</v>
      </c>
      <c r="PD26" s="483" t="s">
        <v>260</v>
      </c>
      <c r="PE26" s="485">
        <v>0</v>
      </c>
      <c r="PF26" s="483" t="s">
        <v>260</v>
      </c>
      <c r="PG26" s="483" t="s">
        <v>260</v>
      </c>
      <c r="PH26" s="483" t="s">
        <v>260</v>
      </c>
      <c r="PI26" s="483" t="s">
        <v>260</v>
      </c>
      <c r="PJ26" s="483" t="s">
        <v>260</v>
      </c>
      <c r="PK26" s="483" t="s">
        <v>260</v>
      </c>
      <c r="PL26" s="483" t="s">
        <v>260</v>
      </c>
      <c r="PM26" s="483" t="s">
        <v>260</v>
      </c>
    </row>
    <row r="27" spans="2:429" ht="15.6" x14ac:dyDescent="0.3">
      <c r="B27" s="487" t="s">
        <v>413</v>
      </c>
      <c r="C27" s="483">
        <f t="shared" si="0"/>
        <v>0</v>
      </c>
      <c r="D27" s="483">
        <v>0</v>
      </c>
      <c r="E27" s="483" t="s">
        <v>260</v>
      </c>
      <c r="F27" s="483" t="s">
        <v>260</v>
      </c>
      <c r="G27" s="483" t="s">
        <v>260</v>
      </c>
      <c r="H27" s="483" t="s">
        <v>260</v>
      </c>
      <c r="I27" s="483" t="s">
        <v>260</v>
      </c>
      <c r="J27" s="483" t="s">
        <v>260</v>
      </c>
      <c r="K27" s="483" t="s">
        <v>260</v>
      </c>
      <c r="L27" s="483" t="s">
        <v>260</v>
      </c>
      <c r="M27" s="483" t="s">
        <v>260</v>
      </c>
      <c r="N27" s="483" t="s">
        <v>260</v>
      </c>
      <c r="O27" s="483" t="s">
        <v>260</v>
      </c>
      <c r="P27" s="483" t="s">
        <v>260</v>
      </c>
      <c r="Q27" s="483" t="s">
        <v>260</v>
      </c>
      <c r="R27" s="483" t="s">
        <v>260</v>
      </c>
      <c r="S27" s="483" t="s">
        <v>260</v>
      </c>
      <c r="T27" s="483" t="s">
        <v>260</v>
      </c>
      <c r="U27" s="483" t="s">
        <v>260</v>
      </c>
      <c r="V27" s="483" t="s">
        <v>260</v>
      </c>
      <c r="W27" s="483" t="s">
        <v>260</v>
      </c>
      <c r="X27" s="483" t="s">
        <v>260</v>
      </c>
      <c r="Y27" s="483" t="s">
        <v>260</v>
      </c>
      <c r="Z27" s="483" t="s">
        <v>260</v>
      </c>
      <c r="AA27" s="483" t="s">
        <v>260</v>
      </c>
      <c r="AB27" s="483" t="s">
        <v>260</v>
      </c>
      <c r="AC27" s="483" t="s">
        <v>260</v>
      </c>
      <c r="AD27" s="483" t="s">
        <v>260</v>
      </c>
      <c r="AE27" s="483" t="s">
        <v>260</v>
      </c>
      <c r="AF27" s="483" t="s">
        <v>260</v>
      </c>
      <c r="AG27" s="483" t="s">
        <v>260</v>
      </c>
      <c r="AH27" s="483" t="s">
        <v>260</v>
      </c>
      <c r="AI27" s="483" t="s">
        <v>260</v>
      </c>
      <c r="AJ27" s="483" t="s">
        <v>260</v>
      </c>
      <c r="AK27" s="483" t="s">
        <v>260</v>
      </c>
      <c r="AL27" s="483" t="s">
        <v>260</v>
      </c>
      <c r="AM27" s="483" t="s">
        <v>260</v>
      </c>
      <c r="AN27" s="483" t="s">
        <v>260</v>
      </c>
      <c r="AO27" s="483" t="s">
        <v>260</v>
      </c>
      <c r="AP27" s="483" t="s">
        <v>260</v>
      </c>
      <c r="AQ27" s="483" t="s">
        <v>260</v>
      </c>
      <c r="AR27" s="483" t="s">
        <v>260</v>
      </c>
      <c r="AS27" s="483" t="s">
        <v>260</v>
      </c>
      <c r="AT27" s="483">
        <f t="shared" si="1"/>
        <v>88</v>
      </c>
      <c r="AU27" s="483" t="s">
        <v>260</v>
      </c>
      <c r="AV27" s="483" t="s">
        <v>260</v>
      </c>
      <c r="AW27" s="483" t="s">
        <v>260</v>
      </c>
      <c r="AX27" s="483" t="s">
        <v>260</v>
      </c>
      <c r="AY27" s="483" t="s">
        <v>260</v>
      </c>
      <c r="AZ27" s="483">
        <v>4</v>
      </c>
      <c r="BA27" s="483" t="s">
        <v>260</v>
      </c>
      <c r="BB27" s="483" t="s">
        <v>260</v>
      </c>
      <c r="BC27" s="483" t="s">
        <v>260</v>
      </c>
      <c r="BD27" s="483" t="s">
        <v>260</v>
      </c>
      <c r="BE27" s="483">
        <v>70</v>
      </c>
      <c r="BF27" s="483">
        <v>14</v>
      </c>
      <c r="BG27" s="483" t="s">
        <v>260</v>
      </c>
      <c r="BH27" s="483" t="s">
        <v>260</v>
      </c>
      <c r="BI27" s="483" t="s">
        <v>260</v>
      </c>
      <c r="BJ27" s="483" t="s">
        <v>260</v>
      </c>
      <c r="BK27" s="483" t="s">
        <v>260</v>
      </c>
      <c r="BL27" s="483" t="s">
        <v>260</v>
      </c>
      <c r="BM27" s="483" t="s">
        <v>260</v>
      </c>
      <c r="BN27" s="483" t="s">
        <v>260</v>
      </c>
      <c r="BO27" s="483" t="s">
        <v>260</v>
      </c>
      <c r="BP27" s="483" t="s">
        <v>260</v>
      </c>
      <c r="BQ27" s="483" t="s">
        <v>260</v>
      </c>
      <c r="BR27" s="483" t="s">
        <v>260</v>
      </c>
      <c r="BS27" s="483" t="s">
        <v>260</v>
      </c>
      <c r="BT27" s="483" t="s">
        <v>260</v>
      </c>
      <c r="BU27" s="483" t="s">
        <v>260</v>
      </c>
      <c r="BV27" s="483" t="s">
        <v>260</v>
      </c>
      <c r="BW27" s="483" t="s">
        <v>260</v>
      </c>
      <c r="BX27" s="483" t="s">
        <v>260</v>
      </c>
      <c r="BY27" s="483" t="s">
        <v>260</v>
      </c>
      <c r="BZ27" s="483" t="s">
        <v>260</v>
      </c>
      <c r="CA27" s="483" t="s">
        <v>260</v>
      </c>
      <c r="CB27" s="483" t="s">
        <v>260</v>
      </c>
      <c r="CC27" s="483" t="s">
        <v>260</v>
      </c>
      <c r="CD27" s="483" t="s">
        <v>260</v>
      </c>
      <c r="CE27" s="483" t="s">
        <v>260</v>
      </c>
      <c r="CF27" s="483" t="s">
        <v>260</v>
      </c>
      <c r="CG27" s="483" t="s">
        <v>260</v>
      </c>
      <c r="CH27" s="483" t="s">
        <v>260</v>
      </c>
      <c r="CI27" s="483" t="s">
        <v>260</v>
      </c>
      <c r="CJ27" s="483" t="s">
        <v>260</v>
      </c>
      <c r="CK27" s="483" t="s">
        <v>260</v>
      </c>
      <c r="CL27" s="483" t="s">
        <v>260</v>
      </c>
      <c r="CM27" s="483" t="s">
        <v>260</v>
      </c>
      <c r="CN27" s="483" t="s">
        <v>260</v>
      </c>
      <c r="CO27" s="483" t="s">
        <v>260</v>
      </c>
      <c r="CP27" s="483" t="s">
        <v>260</v>
      </c>
      <c r="CQ27" s="483" t="s">
        <v>260</v>
      </c>
      <c r="CR27" s="483" t="s">
        <v>260</v>
      </c>
      <c r="CS27" s="483" t="s">
        <v>260</v>
      </c>
      <c r="CT27" s="483" t="s">
        <v>260</v>
      </c>
      <c r="CU27" s="483" t="s">
        <v>260</v>
      </c>
      <c r="CV27" s="483" t="s">
        <v>260</v>
      </c>
      <c r="CW27" s="483" t="s">
        <v>260</v>
      </c>
      <c r="CX27" s="483" t="s">
        <v>260</v>
      </c>
      <c r="CY27" s="483" t="s">
        <v>260</v>
      </c>
      <c r="CZ27" s="483" t="s">
        <v>260</v>
      </c>
      <c r="DA27" s="483" t="s">
        <v>260</v>
      </c>
      <c r="DB27" s="483" t="s">
        <v>260</v>
      </c>
      <c r="DC27" s="483" t="s">
        <v>260</v>
      </c>
      <c r="DD27" s="483" t="s">
        <v>260</v>
      </c>
      <c r="DE27" s="483" t="s">
        <v>260</v>
      </c>
      <c r="DF27" s="483" t="s">
        <v>260</v>
      </c>
      <c r="DG27" s="483" t="s">
        <v>260</v>
      </c>
      <c r="DH27" s="483" t="s">
        <v>260</v>
      </c>
      <c r="DI27" s="483" t="s">
        <v>260</v>
      </c>
      <c r="DJ27" s="483" t="s">
        <v>260</v>
      </c>
      <c r="DK27" s="483" t="s">
        <v>260</v>
      </c>
      <c r="DL27" s="483" t="s">
        <v>260</v>
      </c>
      <c r="DM27" s="483" t="s">
        <v>260</v>
      </c>
      <c r="DN27" s="483">
        <v>0</v>
      </c>
      <c r="DO27" s="483" t="s">
        <v>260</v>
      </c>
      <c r="DP27" s="483" t="s">
        <v>260</v>
      </c>
      <c r="DQ27" s="483" t="s">
        <v>260</v>
      </c>
      <c r="DR27" s="483" t="s">
        <v>260</v>
      </c>
      <c r="DS27" s="483" t="s">
        <v>260</v>
      </c>
      <c r="DT27" s="483" t="s">
        <v>260</v>
      </c>
      <c r="DU27" s="483" t="s">
        <v>260</v>
      </c>
      <c r="DV27" s="483" t="s">
        <v>260</v>
      </c>
      <c r="DW27" s="483" t="s">
        <v>260</v>
      </c>
      <c r="DX27" s="483" t="s">
        <v>260</v>
      </c>
      <c r="DY27" s="483" t="s">
        <v>260</v>
      </c>
      <c r="DZ27" s="483" t="s">
        <v>260</v>
      </c>
      <c r="EA27" s="483" t="s">
        <v>260</v>
      </c>
      <c r="EB27" s="483">
        <v>665</v>
      </c>
      <c r="EC27" s="483">
        <v>436</v>
      </c>
      <c r="ED27" s="483" t="s">
        <v>260</v>
      </c>
      <c r="EE27" s="483" t="s">
        <v>260</v>
      </c>
      <c r="EF27" s="483" t="s">
        <v>260</v>
      </c>
      <c r="EG27" s="483" t="s">
        <v>260</v>
      </c>
      <c r="EH27" s="483" t="s">
        <v>260</v>
      </c>
      <c r="EI27" s="483" t="s">
        <v>260</v>
      </c>
      <c r="EJ27" s="483" t="s">
        <v>260</v>
      </c>
      <c r="EK27" s="483" t="s">
        <v>260</v>
      </c>
      <c r="EL27" s="483" t="s">
        <v>260</v>
      </c>
      <c r="EM27" s="483">
        <v>229</v>
      </c>
      <c r="EN27" s="483" t="s">
        <v>260</v>
      </c>
      <c r="EO27" s="483" t="s">
        <v>260</v>
      </c>
      <c r="EP27" s="483" t="s">
        <v>260</v>
      </c>
      <c r="EQ27" s="483" t="s">
        <v>260</v>
      </c>
      <c r="ER27" s="483" t="s">
        <v>260</v>
      </c>
      <c r="ES27" s="483" t="s">
        <v>260</v>
      </c>
      <c r="ET27" s="483" t="s">
        <v>260</v>
      </c>
      <c r="EU27" s="483" t="s">
        <v>260</v>
      </c>
      <c r="EV27" s="483" t="s">
        <v>260</v>
      </c>
      <c r="EW27" s="483" t="s">
        <v>260</v>
      </c>
      <c r="EX27" s="483" t="s">
        <v>260</v>
      </c>
      <c r="EY27" s="483" t="s">
        <v>260</v>
      </c>
      <c r="EZ27" s="483" t="s">
        <v>260</v>
      </c>
      <c r="FA27" s="483" t="s">
        <v>260</v>
      </c>
      <c r="FB27" s="483" t="s">
        <v>260</v>
      </c>
      <c r="FC27" s="483" t="s">
        <v>260</v>
      </c>
      <c r="FD27" s="483">
        <v>37</v>
      </c>
      <c r="FE27" s="483" t="s">
        <v>260</v>
      </c>
      <c r="FF27" s="483" t="s">
        <v>260</v>
      </c>
      <c r="FG27" s="483" t="s">
        <v>260</v>
      </c>
      <c r="FH27" s="483" t="s">
        <v>260</v>
      </c>
      <c r="FI27" s="483" t="s">
        <v>260</v>
      </c>
      <c r="FJ27" s="483" t="s">
        <v>260</v>
      </c>
      <c r="FK27" s="483" t="s">
        <v>260</v>
      </c>
      <c r="FL27" s="483" t="s">
        <v>260</v>
      </c>
      <c r="FM27" s="483" t="s">
        <v>260</v>
      </c>
      <c r="FN27" s="483" t="s">
        <v>260</v>
      </c>
      <c r="FO27" s="483" t="s">
        <v>260</v>
      </c>
      <c r="FP27" s="483" t="s">
        <v>260</v>
      </c>
      <c r="FQ27" s="483" t="s">
        <v>260</v>
      </c>
      <c r="FR27" s="483" t="s">
        <v>260</v>
      </c>
      <c r="FS27" s="483" t="s">
        <v>260</v>
      </c>
      <c r="FT27" s="483" t="s">
        <v>260</v>
      </c>
      <c r="FU27" s="483" t="s">
        <v>260</v>
      </c>
      <c r="FV27" s="483" t="s">
        <v>260</v>
      </c>
      <c r="FW27" s="483" t="s">
        <v>260</v>
      </c>
      <c r="FX27" s="483" t="s">
        <v>260</v>
      </c>
      <c r="FY27" s="483" t="s">
        <v>260</v>
      </c>
      <c r="FZ27" s="483" t="s">
        <v>260</v>
      </c>
      <c r="GA27" s="483" t="s">
        <v>260</v>
      </c>
      <c r="GB27" s="483" t="s">
        <v>260</v>
      </c>
      <c r="GC27" s="483" t="s">
        <v>260</v>
      </c>
      <c r="GD27" s="483" t="s">
        <v>260</v>
      </c>
      <c r="GE27" s="483" t="s">
        <v>260</v>
      </c>
      <c r="GF27" s="483" t="s">
        <v>260</v>
      </c>
      <c r="GG27" s="483" t="s">
        <v>260</v>
      </c>
      <c r="GH27" s="483" t="s">
        <v>260</v>
      </c>
      <c r="GI27" s="483" t="s">
        <v>260</v>
      </c>
      <c r="GJ27" s="483" t="s">
        <v>260</v>
      </c>
      <c r="GK27" s="483" t="s">
        <v>260</v>
      </c>
      <c r="GL27" s="483" t="s">
        <v>260</v>
      </c>
      <c r="GM27" s="483" t="s">
        <v>260</v>
      </c>
      <c r="GN27" s="483" t="s">
        <v>260</v>
      </c>
      <c r="GO27" s="483">
        <v>18</v>
      </c>
      <c r="GP27" s="483">
        <v>19</v>
      </c>
      <c r="GQ27" s="483" t="s">
        <v>260</v>
      </c>
      <c r="GR27" s="483" t="s">
        <v>260</v>
      </c>
      <c r="GS27" s="483" t="s">
        <v>260</v>
      </c>
      <c r="GT27" s="483" t="s">
        <v>260</v>
      </c>
      <c r="GU27" s="483" t="s">
        <v>260</v>
      </c>
      <c r="GV27" s="483" t="s">
        <v>260</v>
      </c>
      <c r="GW27" s="483" t="s">
        <v>260</v>
      </c>
      <c r="GX27" s="483" t="s">
        <v>260</v>
      </c>
      <c r="GY27" s="483" t="s">
        <v>260</v>
      </c>
      <c r="GZ27" s="483">
        <v>0</v>
      </c>
      <c r="HA27" s="483" t="s">
        <v>260</v>
      </c>
      <c r="HB27" s="483" t="s">
        <v>260</v>
      </c>
      <c r="HC27" s="483" t="s">
        <v>260</v>
      </c>
      <c r="HD27" s="483" t="s">
        <v>260</v>
      </c>
      <c r="HE27" s="483" t="s">
        <v>260</v>
      </c>
      <c r="HF27" s="483" t="s">
        <v>260</v>
      </c>
      <c r="HG27" s="483" t="s">
        <v>260</v>
      </c>
      <c r="HH27" s="483" t="s">
        <v>260</v>
      </c>
      <c r="HI27" s="483" t="s">
        <v>260</v>
      </c>
      <c r="HJ27" s="483" t="s">
        <v>260</v>
      </c>
      <c r="HK27" s="483" t="s">
        <v>260</v>
      </c>
      <c r="HL27" s="483" t="s">
        <v>260</v>
      </c>
      <c r="HM27" s="483" t="s">
        <v>260</v>
      </c>
      <c r="HN27" s="483" t="s">
        <v>260</v>
      </c>
      <c r="HO27" s="483" t="s">
        <v>260</v>
      </c>
      <c r="HP27" s="483" t="s">
        <v>260</v>
      </c>
      <c r="HQ27" s="483" t="s">
        <v>260</v>
      </c>
      <c r="HR27" s="483" t="s">
        <v>260</v>
      </c>
      <c r="HS27" s="483" t="s">
        <v>260</v>
      </c>
      <c r="HT27" s="483" t="s">
        <v>260</v>
      </c>
      <c r="HU27" s="483" t="s">
        <v>260</v>
      </c>
      <c r="HV27" s="483" t="s">
        <v>260</v>
      </c>
      <c r="HW27" s="483" t="s">
        <v>260</v>
      </c>
      <c r="HX27" s="483" t="s">
        <v>260</v>
      </c>
      <c r="HY27" s="483" t="s">
        <v>260</v>
      </c>
      <c r="HZ27" s="483" t="s">
        <v>260</v>
      </c>
      <c r="IA27" s="483" t="s">
        <v>260</v>
      </c>
      <c r="IB27" s="483" t="s">
        <v>260</v>
      </c>
      <c r="IC27" s="483" t="s">
        <v>260</v>
      </c>
      <c r="ID27" s="483" t="s">
        <v>260</v>
      </c>
      <c r="IE27" s="483" t="s">
        <v>260</v>
      </c>
      <c r="IF27" s="483">
        <v>0</v>
      </c>
      <c r="IG27" s="483" t="s">
        <v>260</v>
      </c>
      <c r="IH27" s="483" t="s">
        <v>260</v>
      </c>
      <c r="II27" s="483" t="s">
        <v>260</v>
      </c>
      <c r="IJ27" s="483" t="s">
        <v>260</v>
      </c>
      <c r="IK27" s="483">
        <v>0</v>
      </c>
      <c r="IL27" s="483" t="s">
        <v>260</v>
      </c>
      <c r="IM27" s="483" t="s">
        <v>260</v>
      </c>
      <c r="IN27" s="483" t="s">
        <v>260</v>
      </c>
      <c r="IO27" s="483" t="s">
        <v>260</v>
      </c>
      <c r="IP27" s="483" t="s">
        <v>260</v>
      </c>
      <c r="IQ27" s="483" t="s">
        <v>260</v>
      </c>
      <c r="IR27" s="483" t="s">
        <v>260</v>
      </c>
      <c r="IS27" s="483" t="s">
        <v>260</v>
      </c>
      <c r="IT27" s="483" t="s">
        <v>260</v>
      </c>
      <c r="IU27" s="483" t="s">
        <v>260</v>
      </c>
      <c r="IV27" s="483" t="s">
        <v>260</v>
      </c>
      <c r="IW27" s="483" t="s">
        <v>260</v>
      </c>
      <c r="IX27" s="483" t="s">
        <v>260</v>
      </c>
      <c r="IY27" s="483" t="s">
        <v>260</v>
      </c>
      <c r="IZ27" s="483" t="s">
        <v>260</v>
      </c>
      <c r="JA27" s="483" t="s">
        <v>260</v>
      </c>
      <c r="JB27" s="483" t="s">
        <v>260</v>
      </c>
      <c r="JC27" s="483" t="s">
        <v>260</v>
      </c>
      <c r="JD27" s="483" t="s">
        <v>260</v>
      </c>
      <c r="JE27" s="483">
        <v>53</v>
      </c>
      <c r="JF27" s="483" t="s">
        <v>260</v>
      </c>
      <c r="JG27" s="483">
        <v>44</v>
      </c>
      <c r="JH27" s="483">
        <v>9</v>
      </c>
      <c r="JI27" s="483" t="s">
        <v>260</v>
      </c>
      <c r="JJ27" s="483" t="s">
        <v>260</v>
      </c>
      <c r="JK27" s="483" t="s">
        <v>260</v>
      </c>
      <c r="JL27" s="483" t="s">
        <v>260</v>
      </c>
      <c r="JM27" s="483" t="s">
        <v>260</v>
      </c>
      <c r="JN27" s="483" t="s">
        <v>260</v>
      </c>
      <c r="JO27" s="483" t="s">
        <v>260</v>
      </c>
      <c r="JP27" s="483" t="s">
        <v>260</v>
      </c>
      <c r="JQ27" s="483" t="s">
        <v>260</v>
      </c>
      <c r="JR27" s="483" t="s">
        <v>260</v>
      </c>
      <c r="JS27" s="483" t="s">
        <v>260</v>
      </c>
      <c r="JT27" s="483" t="s">
        <v>260</v>
      </c>
      <c r="JU27" s="483" t="s">
        <v>260</v>
      </c>
      <c r="JV27" s="483" t="s">
        <v>260</v>
      </c>
      <c r="JW27" s="483" t="s">
        <v>260</v>
      </c>
      <c r="JX27" s="483" t="s">
        <v>260</v>
      </c>
      <c r="JY27" s="483" t="s">
        <v>260</v>
      </c>
      <c r="JZ27" s="483" t="s">
        <v>260</v>
      </c>
      <c r="KA27" s="483" t="s">
        <v>260</v>
      </c>
      <c r="KB27" s="483">
        <v>0</v>
      </c>
      <c r="KC27" s="483" t="s">
        <v>260</v>
      </c>
      <c r="KD27" s="483" t="s">
        <v>260</v>
      </c>
      <c r="KE27" s="483" t="s">
        <v>260</v>
      </c>
      <c r="KF27" s="483" t="s">
        <v>260</v>
      </c>
      <c r="KG27" s="483" t="s">
        <v>260</v>
      </c>
      <c r="KH27" s="483" t="s">
        <v>260</v>
      </c>
      <c r="KI27" s="483" t="s">
        <v>260</v>
      </c>
      <c r="KJ27" s="483" t="s">
        <v>260</v>
      </c>
      <c r="KK27" s="483" t="s">
        <v>260</v>
      </c>
      <c r="KL27" s="483" t="s">
        <v>260</v>
      </c>
      <c r="KM27" s="483" t="s">
        <v>260</v>
      </c>
      <c r="KN27" s="483" t="s">
        <v>260</v>
      </c>
      <c r="KO27" s="483" t="s">
        <v>260</v>
      </c>
      <c r="KP27" s="483" t="s">
        <v>260</v>
      </c>
      <c r="KQ27" s="483" t="s">
        <v>260</v>
      </c>
      <c r="KR27" s="483" t="s">
        <v>260</v>
      </c>
      <c r="KS27" s="483" t="s">
        <v>260</v>
      </c>
      <c r="KT27" s="483" t="s">
        <v>260</v>
      </c>
      <c r="KU27" s="483" t="s">
        <v>260</v>
      </c>
      <c r="KV27" s="483" t="s">
        <v>260</v>
      </c>
      <c r="KW27" s="483" t="s">
        <v>260</v>
      </c>
      <c r="KX27" s="483" t="s">
        <v>260</v>
      </c>
      <c r="KY27" s="483" t="s">
        <v>260</v>
      </c>
      <c r="KZ27" s="483" t="s">
        <v>260</v>
      </c>
      <c r="LA27" s="483" t="s">
        <v>260</v>
      </c>
      <c r="LB27" s="483" t="s">
        <v>260</v>
      </c>
      <c r="LC27" s="483" t="s">
        <v>260</v>
      </c>
      <c r="LD27" s="483" t="s">
        <v>260</v>
      </c>
      <c r="LE27" s="483" t="s">
        <v>260</v>
      </c>
      <c r="LF27" s="483" t="s">
        <v>260</v>
      </c>
      <c r="LG27" s="483" t="s">
        <v>260</v>
      </c>
      <c r="LH27" s="483" t="s">
        <v>260</v>
      </c>
      <c r="LI27" s="483" t="s">
        <v>260</v>
      </c>
      <c r="LJ27" s="483" t="s">
        <v>260</v>
      </c>
      <c r="LK27" s="483" t="s">
        <v>260</v>
      </c>
      <c r="LL27" s="483" t="s">
        <v>260</v>
      </c>
      <c r="LM27" s="483" t="s">
        <v>260</v>
      </c>
      <c r="LN27" s="483" t="s">
        <v>260</v>
      </c>
      <c r="LO27" s="483" t="s">
        <v>260</v>
      </c>
      <c r="LP27" s="483" t="s">
        <v>260</v>
      </c>
      <c r="LQ27" s="483" t="s">
        <v>260</v>
      </c>
      <c r="LR27" s="485" t="s">
        <v>260</v>
      </c>
      <c r="LS27" s="485">
        <v>0</v>
      </c>
      <c r="LT27" s="485" t="s">
        <v>260</v>
      </c>
      <c r="LU27" s="485" t="s">
        <v>260</v>
      </c>
      <c r="LV27" s="485" t="s">
        <v>260</v>
      </c>
      <c r="LW27" s="485" t="s">
        <v>260</v>
      </c>
      <c r="LX27" s="485" t="s">
        <v>260</v>
      </c>
      <c r="LY27" s="485" t="s">
        <v>260</v>
      </c>
      <c r="LZ27" s="485" t="s">
        <v>260</v>
      </c>
      <c r="MA27" s="485" t="s">
        <v>260</v>
      </c>
      <c r="MB27" s="485" t="s">
        <v>260</v>
      </c>
      <c r="MC27" s="485">
        <v>0</v>
      </c>
      <c r="MD27" s="485" t="s">
        <v>260</v>
      </c>
      <c r="ME27" s="485" t="s">
        <v>260</v>
      </c>
      <c r="MF27" s="485" t="s">
        <v>260</v>
      </c>
      <c r="MG27" s="485" t="s">
        <v>260</v>
      </c>
      <c r="MH27" s="485" t="s">
        <v>260</v>
      </c>
      <c r="MI27" s="485" t="s">
        <v>260</v>
      </c>
      <c r="MJ27" s="485">
        <v>0</v>
      </c>
      <c r="MK27" s="485" t="s">
        <v>260</v>
      </c>
      <c r="ML27" s="485" t="s">
        <v>260</v>
      </c>
      <c r="MM27" s="485" t="s">
        <v>260</v>
      </c>
      <c r="MN27" s="485" t="s">
        <v>260</v>
      </c>
      <c r="MO27" s="485" t="s">
        <v>260</v>
      </c>
      <c r="MP27" s="485" t="s">
        <v>260</v>
      </c>
      <c r="MQ27" s="485" t="s">
        <v>260</v>
      </c>
      <c r="MR27" s="485" t="s">
        <v>260</v>
      </c>
      <c r="MS27" s="485" t="s">
        <v>260</v>
      </c>
      <c r="MT27" s="485" t="s">
        <v>260</v>
      </c>
      <c r="MU27" s="485" t="s">
        <v>260</v>
      </c>
      <c r="MV27" s="485" t="s">
        <v>260</v>
      </c>
      <c r="MW27" s="485" t="s">
        <v>260</v>
      </c>
      <c r="MX27" s="485" t="s">
        <v>260</v>
      </c>
      <c r="MY27" s="485" t="s">
        <v>260</v>
      </c>
      <c r="MZ27" s="485" t="s">
        <v>260</v>
      </c>
      <c r="NA27" s="485" t="s">
        <v>260</v>
      </c>
      <c r="NB27" s="485">
        <v>0</v>
      </c>
      <c r="NC27" s="485" t="s">
        <v>260</v>
      </c>
      <c r="ND27" s="485" t="s">
        <v>260</v>
      </c>
      <c r="NE27" s="485" t="s">
        <v>260</v>
      </c>
      <c r="NF27" s="485" t="s">
        <v>260</v>
      </c>
      <c r="NG27" s="485" t="s">
        <v>260</v>
      </c>
      <c r="NH27" s="485" t="s">
        <v>260</v>
      </c>
      <c r="NI27" s="485" t="s">
        <v>260</v>
      </c>
      <c r="NJ27" s="485" t="s">
        <v>260</v>
      </c>
      <c r="NK27" s="485" t="s">
        <v>260</v>
      </c>
      <c r="NL27" s="485" t="s">
        <v>260</v>
      </c>
      <c r="NM27" s="485" t="s">
        <v>260</v>
      </c>
      <c r="NN27" s="485" t="s">
        <v>260</v>
      </c>
      <c r="NO27" s="485">
        <v>0</v>
      </c>
      <c r="NP27" s="485">
        <v>0</v>
      </c>
      <c r="NQ27" s="485" t="s">
        <v>260</v>
      </c>
      <c r="NR27" s="485" t="s">
        <v>260</v>
      </c>
      <c r="NS27" s="485" t="s">
        <v>260</v>
      </c>
      <c r="NT27" s="485" t="s">
        <v>260</v>
      </c>
      <c r="NU27" s="485" t="s">
        <v>260</v>
      </c>
      <c r="NV27" s="485" t="s">
        <v>260</v>
      </c>
      <c r="NW27" s="485" t="s">
        <v>260</v>
      </c>
      <c r="NX27" s="485" t="s">
        <v>260</v>
      </c>
      <c r="NY27" s="485" t="s">
        <v>260</v>
      </c>
      <c r="NZ27" s="485" t="s">
        <v>260</v>
      </c>
      <c r="OA27" s="485" t="s">
        <v>260</v>
      </c>
      <c r="OB27" s="485" t="s">
        <v>260</v>
      </c>
      <c r="OC27" s="485" t="s">
        <v>260</v>
      </c>
      <c r="OD27" s="485">
        <v>0</v>
      </c>
      <c r="OE27" s="485" t="s">
        <v>260</v>
      </c>
      <c r="OF27" s="485" t="s">
        <v>260</v>
      </c>
      <c r="OG27" s="485" t="s">
        <v>260</v>
      </c>
      <c r="OH27" s="485" t="s">
        <v>260</v>
      </c>
      <c r="OI27" s="485" t="s">
        <v>260</v>
      </c>
      <c r="OJ27" s="485" t="s">
        <v>260</v>
      </c>
      <c r="OK27" s="485" t="s">
        <v>260</v>
      </c>
      <c r="OL27" s="485" t="s">
        <v>260</v>
      </c>
      <c r="OM27" s="483" t="s">
        <v>260</v>
      </c>
      <c r="ON27" s="483" t="s">
        <v>260</v>
      </c>
      <c r="OO27" s="483" t="s">
        <v>260</v>
      </c>
      <c r="OP27" s="483" t="s">
        <v>260</v>
      </c>
      <c r="OQ27" s="483" t="s">
        <v>260</v>
      </c>
      <c r="OR27" s="483" t="s">
        <v>260</v>
      </c>
      <c r="OS27" s="483" t="s">
        <v>260</v>
      </c>
      <c r="OT27" s="483" t="s">
        <v>260</v>
      </c>
      <c r="OU27" s="483" t="s">
        <v>260</v>
      </c>
      <c r="OV27" s="483" t="s">
        <v>260</v>
      </c>
      <c r="OW27" s="483" t="s">
        <v>260</v>
      </c>
      <c r="OX27" s="483" t="s">
        <v>260</v>
      </c>
      <c r="OY27" s="483" t="s">
        <v>260</v>
      </c>
      <c r="OZ27" s="483" t="s">
        <v>260</v>
      </c>
      <c r="PA27" s="483" t="s">
        <v>260</v>
      </c>
      <c r="PB27" s="483" t="s">
        <v>260</v>
      </c>
      <c r="PC27" s="483" t="s">
        <v>260</v>
      </c>
      <c r="PD27" s="483" t="s">
        <v>260</v>
      </c>
      <c r="PE27" s="485">
        <v>0</v>
      </c>
      <c r="PF27" s="483" t="s">
        <v>260</v>
      </c>
      <c r="PG27" s="483" t="s">
        <v>260</v>
      </c>
      <c r="PH27" s="483" t="s">
        <v>260</v>
      </c>
      <c r="PI27" s="483" t="s">
        <v>260</v>
      </c>
      <c r="PJ27" s="483" t="s">
        <v>260</v>
      </c>
      <c r="PK27" s="483" t="s">
        <v>260</v>
      </c>
      <c r="PL27" s="483" t="s">
        <v>260</v>
      </c>
      <c r="PM27" s="483" t="s">
        <v>260</v>
      </c>
    </row>
    <row r="28" spans="2:429" ht="15.6" x14ac:dyDescent="0.3">
      <c r="B28" s="487" t="s">
        <v>1025</v>
      </c>
      <c r="C28" s="483">
        <f t="shared" si="0"/>
        <v>300</v>
      </c>
      <c r="D28" s="483">
        <v>100</v>
      </c>
      <c r="E28" s="483">
        <v>100</v>
      </c>
      <c r="F28" s="483" t="s">
        <v>260</v>
      </c>
      <c r="G28" s="483" t="s">
        <v>260</v>
      </c>
      <c r="H28" s="483">
        <v>100</v>
      </c>
      <c r="I28" s="483" t="s">
        <v>260</v>
      </c>
      <c r="J28" s="483" t="s">
        <v>260</v>
      </c>
      <c r="K28" s="483" t="s">
        <v>260</v>
      </c>
      <c r="L28" s="483" t="s">
        <v>260</v>
      </c>
      <c r="M28" s="483" t="s">
        <v>260</v>
      </c>
      <c r="N28" s="483" t="s">
        <v>260</v>
      </c>
      <c r="O28" s="483" t="s">
        <v>260</v>
      </c>
      <c r="P28" s="483" t="s">
        <v>260</v>
      </c>
      <c r="Q28" s="483" t="s">
        <v>260</v>
      </c>
      <c r="R28" s="483" t="s">
        <v>260</v>
      </c>
      <c r="S28" s="483" t="s">
        <v>260</v>
      </c>
      <c r="T28" s="483" t="s">
        <v>260</v>
      </c>
      <c r="U28" s="483" t="s">
        <v>260</v>
      </c>
      <c r="V28" s="483" t="s">
        <v>260</v>
      </c>
      <c r="W28" s="483" t="s">
        <v>260</v>
      </c>
      <c r="X28" s="483" t="s">
        <v>260</v>
      </c>
      <c r="Y28" s="483" t="s">
        <v>260</v>
      </c>
      <c r="Z28" s="483" t="s">
        <v>260</v>
      </c>
      <c r="AA28" s="483" t="s">
        <v>260</v>
      </c>
      <c r="AB28" s="483" t="s">
        <v>260</v>
      </c>
      <c r="AC28" s="483" t="s">
        <v>260</v>
      </c>
      <c r="AD28" s="483" t="s">
        <v>260</v>
      </c>
      <c r="AE28" s="483" t="s">
        <v>260</v>
      </c>
      <c r="AF28" s="483" t="s">
        <v>260</v>
      </c>
      <c r="AG28" s="483" t="s">
        <v>260</v>
      </c>
      <c r="AH28" s="483" t="s">
        <v>260</v>
      </c>
      <c r="AI28" s="483" t="s">
        <v>260</v>
      </c>
      <c r="AJ28" s="483" t="s">
        <v>260</v>
      </c>
      <c r="AK28" s="483" t="s">
        <v>260</v>
      </c>
      <c r="AL28" s="483" t="s">
        <v>260</v>
      </c>
      <c r="AM28" s="483" t="s">
        <v>260</v>
      </c>
      <c r="AN28" s="483" t="s">
        <v>260</v>
      </c>
      <c r="AO28" s="483" t="s">
        <v>260</v>
      </c>
      <c r="AP28" s="483" t="s">
        <v>260</v>
      </c>
      <c r="AQ28" s="483" t="s">
        <v>260</v>
      </c>
      <c r="AR28" s="483" t="s">
        <v>260</v>
      </c>
      <c r="AS28" s="483" t="s">
        <v>260</v>
      </c>
      <c r="AT28" s="483">
        <f t="shared" si="1"/>
        <v>613</v>
      </c>
      <c r="AU28" s="483" t="s">
        <v>260</v>
      </c>
      <c r="AV28" s="483" t="s">
        <v>260</v>
      </c>
      <c r="AW28" s="483" t="s">
        <v>260</v>
      </c>
      <c r="AX28" s="483" t="s">
        <v>260</v>
      </c>
      <c r="AY28" s="483" t="s">
        <v>260</v>
      </c>
      <c r="AZ28" s="483" t="s">
        <v>260</v>
      </c>
      <c r="BA28" s="483" t="s">
        <v>260</v>
      </c>
      <c r="BB28" s="483" t="s">
        <v>260</v>
      </c>
      <c r="BC28" s="483" t="s">
        <v>260</v>
      </c>
      <c r="BD28" s="483" t="s">
        <v>260</v>
      </c>
      <c r="BE28" s="483" t="s">
        <v>260</v>
      </c>
      <c r="BF28" s="483" t="s">
        <v>260</v>
      </c>
      <c r="BG28" s="483" t="s">
        <v>260</v>
      </c>
      <c r="BH28" s="483" t="s">
        <v>260</v>
      </c>
      <c r="BI28" s="483" t="s">
        <v>260</v>
      </c>
      <c r="BJ28" s="483" t="s">
        <v>260</v>
      </c>
      <c r="BK28" s="483" t="s">
        <v>260</v>
      </c>
      <c r="BL28" s="483" t="s">
        <v>260</v>
      </c>
      <c r="BM28" s="483" t="s">
        <v>260</v>
      </c>
      <c r="BN28" s="483" t="s">
        <v>260</v>
      </c>
      <c r="BO28" s="483" t="s">
        <v>260</v>
      </c>
      <c r="BP28" s="483" t="s">
        <v>260</v>
      </c>
      <c r="BQ28" s="483" t="s">
        <v>260</v>
      </c>
      <c r="BR28" s="483" t="s">
        <v>260</v>
      </c>
      <c r="BS28" s="483">
        <v>260</v>
      </c>
      <c r="BT28" s="483" t="s">
        <v>260</v>
      </c>
      <c r="BU28" s="483" t="s">
        <v>260</v>
      </c>
      <c r="BV28" s="483">
        <v>101</v>
      </c>
      <c r="BW28" s="483">
        <v>48</v>
      </c>
      <c r="BX28" s="483">
        <v>62</v>
      </c>
      <c r="BY28" s="483">
        <v>40</v>
      </c>
      <c r="BZ28" s="483">
        <v>102</v>
      </c>
      <c r="CA28" s="483" t="s">
        <v>260</v>
      </c>
      <c r="CB28" s="483" t="s">
        <v>260</v>
      </c>
      <c r="CC28" s="483" t="s">
        <v>260</v>
      </c>
      <c r="CD28" s="483" t="s">
        <v>260</v>
      </c>
      <c r="CE28" s="483" t="s">
        <v>260</v>
      </c>
      <c r="CF28" s="483" t="s">
        <v>260</v>
      </c>
      <c r="CG28" s="483" t="s">
        <v>260</v>
      </c>
      <c r="CH28" s="483" t="s">
        <v>260</v>
      </c>
      <c r="CI28" s="483" t="s">
        <v>260</v>
      </c>
      <c r="CJ28" s="483" t="s">
        <v>260</v>
      </c>
      <c r="CK28" s="483" t="s">
        <v>260</v>
      </c>
      <c r="CL28" s="483" t="s">
        <v>260</v>
      </c>
      <c r="CM28" s="483" t="s">
        <v>260</v>
      </c>
      <c r="CN28" s="483" t="s">
        <v>260</v>
      </c>
      <c r="CO28" s="483" t="s">
        <v>260</v>
      </c>
      <c r="CP28" s="483" t="s">
        <v>260</v>
      </c>
      <c r="CQ28" s="483" t="s">
        <v>260</v>
      </c>
      <c r="CR28" s="483" t="s">
        <v>260</v>
      </c>
      <c r="CS28" s="483" t="s">
        <v>260</v>
      </c>
      <c r="CT28" s="483" t="s">
        <v>260</v>
      </c>
      <c r="CU28" s="483" t="s">
        <v>260</v>
      </c>
      <c r="CV28" s="483" t="s">
        <v>260</v>
      </c>
      <c r="CW28" s="483" t="s">
        <v>260</v>
      </c>
      <c r="CX28" s="483" t="s">
        <v>260</v>
      </c>
      <c r="CY28" s="483" t="s">
        <v>260</v>
      </c>
      <c r="CZ28" s="483" t="s">
        <v>260</v>
      </c>
      <c r="DA28" s="483" t="s">
        <v>260</v>
      </c>
      <c r="DB28" s="483" t="s">
        <v>260</v>
      </c>
      <c r="DC28" s="483" t="s">
        <v>260</v>
      </c>
      <c r="DD28" s="483" t="s">
        <v>260</v>
      </c>
      <c r="DE28" s="483" t="s">
        <v>260</v>
      </c>
      <c r="DF28" s="483" t="s">
        <v>260</v>
      </c>
      <c r="DG28" s="483" t="s">
        <v>260</v>
      </c>
      <c r="DH28" s="483" t="s">
        <v>260</v>
      </c>
      <c r="DI28" s="483" t="s">
        <v>260</v>
      </c>
      <c r="DJ28" s="483" t="s">
        <v>260</v>
      </c>
      <c r="DK28" s="483" t="s">
        <v>260</v>
      </c>
      <c r="DL28" s="483" t="s">
        <v>260</v>
      </c>
      <c r="DM28" s="483" t="s">
        <v>260</v>
      </c>
      <c r="DN28" s="483">
        <v>0</v>
      </c>
      <c r="DO28" s="483" t="s">
        <v>260</v>
      </c>
      <c r="DP28" s="483" t="s">
        <v>260</v>
      </c>
      <c r="DQ28" s="483" t="s">
        <v>260</v>
      </c>
      <c r="DR28" s="483" t="s">
        <v>260</v>
      </c>
      <c r="DS28" s="483" t="s">
        <v>260</v>
      </c>
      <c r="DT28" s="483" t="s">
        <v>260</v>
      </c>
      <c r="DU28" s="483" t="s">
        <v>260</v>
      </c>
      <c r="DV28" s="483" t="s">
        <v>260</v>
      </c>
      <c r="DW28" s="483" t="s">
        <v>260</v>
      </c>
      <c r="DX28" s="483" t="s">
        <v>260</v>
      </c>
      <c r="DY28" s="483" t="s">
        <v>260</v>
      </c>
      <c r="DZ28" s="483" t="s">
        <v>260</v>
      </c>
      <c r="EA28" s="483" t="s">
        <v>260</v>
      </c>
      <c r="EB28" s="483">
        <v>0</v>
      </c>
      <c r="EC28" s="483" t="s">
        <v>260</v>
      </c>
      <c r="ED28" s="483" t="s">
        <v>260</v>
      </c>
      <c r="EE28" s="483" t="s">
        <v>260</v>
      </c>
      <c r="EF28" s="483" t="s">
        <v>260</v>
      </c>
      <c r="EG28" s="483" t="s">
        <v>260</v>
      </c>
      <c r="EH28" s="483" t="s">
        <v>260</v>
      </c>
      <c r="EI28" s="483" t="s">
        <v>260</v>
      </c>
      <c r="EJ28" s="483" t="s">
        <v>260</v>
      </c>
      <c r="EK28" s="483" t="s">
        <v>260</v>
      </c>
      <c r="EL28" s="483" t="s">
        <v>260</v>
      </c>
      <c r="EM28" s="483" t="s">
        <v>260</v>
      </c>
      <c r="EN28" s="483" t="s">
        <v>260</v>
      </c>
      <c r="EO28" s="483" t="s">
        <v>260</v>
      </c>
      <c r="EP28" s="483" t="s">
        <v>260</v>
      </c>
      <c r="EQ28" s="483" t="s">
        <v>260</v>
      </c>
      <c r="ER28" s="483" t="s">
        <v>260</v>
      </c>
      <c r="ES28" s="483" t="s">
        <v>260</v>
      </c>
      <c r="ET28" s="483" t="s">
        <v>260</v>
      </c>
      <c r="EU28" s="483" t="s">
        <v>260</v>
      </c>
      <c r="EV28" s="483" t="s">
        <v>260</v>
      </c>
      <c r="EW28" s="483" t="s">
        <v>260</v>
      </c>
      <c r="EX28" s="483" t="s">
        <v>260</v>
      </c>
      <c r="EY28" s="483" t="s">
        <v>260</v>
      </c>
      <c r="EZ28" s="483" t="s">
        <v>260</v>
      </c>
      <c r="FA28" s="483" t="s">
        <v>260</v>
      </c>
      <c r="FB28" s="483" t="s">
        <v>260</v>
      </c>
      <c r="FC28" s="483" t="s">
        <v>260</v>
      </c>
      <c r="FD28" s="483">
        <v>212</v>
      </c>
      <c r="FE28" s="483" t="s">
        <v>260</v>
      </c>
      <c r="FF28" s="483" t="s">
        <v>260</v>
      </c>
      <c r="FG28" s="483" t="s">
        <v>260</v>
      </c>
      <c r="FH28" s="483" t="s">
        <v>260</v>
      </c>
      <c r="FI28" s="483" t="s">
        <v>260</v>
      </c>
      <c r="FJ28" s="483">
        <v>110</v>
      </c>
      <c r="FK28" s="483" t="s">
        <v>260</v>
      </c>
      <c r="FL28" s="483" t="s">
        <v>260</v>
      </c>
      <c r="FM28" s="483" t="s">
        <v>260</v>
      </c>
      <c r="FN28" s="483" t="s">
        <v>260</v>
      </c>
      <c r="FO28" s="483" t="s">
        <v>260</v>
      </c>
      <c r="FP28" s="483" t="s">
        <v>260</v>
      </c>
      <c r="FQ28" s="483">
        <v>102</v>
      </c>
      <c r="FR28" s="483" t="s">
        <v>260</v>
      </c>
      <c r="FS28" s="483" t="s">
        <v>260</v>
      </c>
      <c r="FT28" s="483" t="s">
        <v>260</v>
      </c>
      <c r="FU28" s="483" t="s">
        <v>260</v>
      </c>
      <c r="FV28" s="483" t="s">
        <v>260</v>
      </c>
      <c r="FW28" s="483" t="s">
        <v>260</v>
      </c>
      <c r="FX28" s="483" t="s">
        <v>260</v>
      </c>
      <c r="FY28" s="483" t="s">
        <v>260</v>
      </c>
      <c r="FZ28" s="483" t="s">
        <v>260</v>
      </c>
      <c r="GA28" s="483" t="s">
        <v>260</v>
      </c>
      <c r="GB28" s="483" t="s">
        <v>260</v>
      </c>
      <c r="GC28" s="483" t="s">
        <v>260</v>
      </c>
      <c r="GD28" s="483" t="s">
        <v>260</v>
      </c>
      <c r="GE28" s="483" t="s">
        <v>260</v>
      </c>
      <c r="GF28" s="483" t="s">
        <v>260</v>
      </c>
      <c r="GG28" s="483" t="s">
        <v>260</v>
      </c>
      <c r="GH28" s="483" t="s">
        <v>260</v>
      </c>
      <c r="GI28" s="483" t="s">
        <v>260</v>
      </c>
      <c r="GJ28" s="483" t="s">
        <v>260</v>
      </c>
      <c r="GK28" s="483" t="s">
        <v>260</v>
      </c>
      <c r="GL28" s="483" t="s">
        <v>260</v>
      </c>
      <c r="GM28" s="483" t="s">
        <v>260</v>
      </c>
      <c r="GN28" s="483" t="s">
        <v>260</v>
      </c>
      <c r="GO28" s="483" t="s">
        <v>260</v>
      </c>
      <c r="GP28" s="483" t="s">
        <v>260</v>
      </c>
      <c r="GQ28" s="483" t="s">
        <v>260</v>
      </c>
      <c r="GR28" s="483" t="s">
        <v>260</v>
      </c>
      <c r="GS28" s="483" t="s">
        <v>260</v>
      </c>
      <c r="GT28" s="483" t="s">
        <v>260</v>
      </c>
      <c r="GU28" s="483" t="s">
        <v>260</v>
      </c>
      <c r="GV28" s="483" t="s">
        <v>260</v>
      </c>
      <c r="GW28" s="483" t="s">
        <v>260</v>
      </c>
      <c r="GX28" s="483" t="s">
        <v>260</v>
      </c>
      <c r="GY28" s="483" t="s">
        <v>260</v>
      </c>
      <c r="GZ28" s="483">
        <v>67</v>
      </c>
      <c r="HA28" s="483" t="s">
        <v>260</v>
      </c>
      <c r="HB28" s="483" t="s">
        <v>260</v>
      </c>
      <c r="HC28" s="483" t="s">
        <v>260</v>
      </c>
      <c r="HD28" s="483" t="s">
        <v>260</v>
      </c>
      <c r="HE28" s="483" t="s">
        <v>260</v>
      </c>
      <c r="HF28" s="483" t="s">
        <v>260</v>
      </c>
      <c r="HG28" s="483" t="s">
        <v>260</v>
      </c>
      <c r="HH28" s="483" t="s">
        <v>260</v>
      </c>
      <c r="HI28" s="483" t="s">
        <v>260</v>
      </c>
      <c r="HJ28" s="483" t="s">
        <v>260</v>
      </c>
      <c r="HK28" s="483" t="s">
        <v>260</v>
      </c>
      <c r="HL28" s="483">
        <v>54</v>
      </c>
      <c r="HM28" s="483" t="s">
        <v>260</v>
      </c>
      <c r="HN28" s="483" t="s">
        <v>260</v>
      </c>
      <c r="HO28" s="483">
        <v>13</v>
      </c>
      <c r="HP28" s="483" t="s">
        <v>260</v>
      </c>
      <c r="HQ28" s="483" t="s">
        <v>260</v>
      </c>
      <c r="HR28" s="483" t="s">
        <v>260</v>
      </c>
      <c r="HS28" s="483" t="s">
        <v>260</v>
      </c>
      <c r="HT28" s="483" t="s">
        <v>260</v>
      </c>
      <c r="HU28" s="483" t="s">
        <v>260</v>
      </c>
      <c r="HV28" s="483" t="s">
        <v>260</v>
      </c>
      <c r="HW28" s="483" t="s">
        <v>260</v>
      </c>
      <c r="HX28" s="483" t="s">
        <v>260</v>
      </c>
      <c r="HY28" s="483" t="s">
        <v>260</v>
      </c>
      <c r="HZ28" s="483" t="s">
        <v>260</v>
      </c>
      <c r="IA28" s="483" t="s">
        <v>260</v>
      </c>
      <c r="IB28" s="483" t="s">
        <v>260</v>
      </c>
      <c r="IC28" s="483" t="s">
        <v>260</v>
      </c>
      <c r="ID28" s="483" t="s">
        <v>260</v>
      </c>
      <c r="IE28" s="483" t="s">
        <v>260</v>
      </c>
      <c r="IF28" s="483">
        <v>0</v>
      </c>
      <c r="IG28" s="483" t="s">
        <v>260</v>
      </c>
      <c r="IH28" s="483" t="s">
        <v>260</v>
      </c>
      <c r="II28" s="483" t="s">
        <v>260</v>
      </c>
      <c r="IJ28" s="483" t="s">
        <v>260</v>
      </c>
      <c r="IK28" s="483">
        <v>56</v>
      </c>
      <c r="IL28" s="483">
        <v>22</v>
      </c>
      <c r="IM28" s="483" t="s">
        <v>260</v>
      </c>
      <c r="IN28" s="483">
        <v>34</v>
      </c>
      <c r="IO28" s="483" t="s">
        <v>260</v>
      </c>
      <c r="IP28" s="483" t="s">
        <v>260</v>
      </c>
      <c r="IQ28" s="483" t="s">
        <v>260</v>
      </c>
      <c r="IR28" s="483" t="s">
        <v>260</v>
      </c>
      <c r="IS28" s="483" t="s">
        <v>260</v>
      </c>
      <c r="IT28" s="483" t="s">
        <v>260</v>
      </c>
      <c r="IU28" s="483" t="s">
        <v>260</v>
      </c>
      <c r="IV28" s="483" t="s">
        <v>260</v>
      </c>
      <c r="IW28" s="483" t="s">
        <v>260</v>
      </c>
      <c r="IX28" s="483" t="s">
        <v>260</v>
      </c>
      <c r="IY28" s="483" t="s">
        <v>260</v>
      </c>
      <c r="IZ28" s="483" t="s">
        <v>260</v>
      </c>
      <c r="JA28" s="483" t="s">
        <v>260</v>
      </c>
      <c r="JB28" s="483" t="s">
        <v>260</v>
      </c>
      <c r="JC28" s="483" t="s">
        <v>260</v>
      </c>
      <c r="JD28" s="483" t="s">
        <v>260</v>
      </c>
      <c r="JE28" s="483">
        <v>0</v>
      </c>
      <c r="JF28" s="483" t="s">
        <v>260</v>
      </c>
      <c r="JG28" s="483" t="s">
        <v>260</v>
      </c>
      <c r="JH28" s="483" t="s">
        <v>260</v>
      </c>
      <c r="JI28" s="483" t="s">
        <v>260</v>
      </c>
      <c r="JJ28" s="483" t="s">
        <v>260</v>
      </c>
      <c r="JK28" s="483" t="s">
        <v>260</v>
      </c>
      <c r="JL28" s="483" t="s">
        <v>260</v>
      </c>
      <c r="JM28" s="483" t="s">
        <v>260</v>
      </c>
      <c r="JN28" s="483" t="s">
        <v>260</v>
      </c>
      <c r="JO28" s="483" t="s">
        <v>260</v>
      </c>
      <c r="JP28" s="483" t="s">
        <v>260</v>
      </c>
      <c r="JQ28" s="483" t="s">
        <v>260</v>
      </c>
      <c r="JR28" s="483" t="s">
        <v>260</v>
      </c>
      <c r="JS28" s="483" t="s">
        <v>260</v>
      </c>
      <c r="JT28" s="483" t="s">
        <v>260</v>
      </c>
      <c r="JU28" s="483" t="s">
        <v>260</v>
      </c>
      <c r="JV28" s="483" t="s">
        <v>260</v>
      </c>
      <c r="JW28" s="483" t="s">
        <v>260</v>
      </c>
      <c r="JX28" s="483" t="s">
        <v>260</v>
      </c>
      <c r="JY28" s="483" t="s">
        <v>260</v>
      </c>
      <c r="JZ28" s="483" t="s">
        <v>260</v>
      </c>
      <c r="KA28" s="483" t="s">
        <v>260</v>
      </c>
      <c r="KB28" s="483">
        <v>62</v>
      </c>
      <c r="KC28" s="483" t="s">
        <v>260</v>
      </c>
      <c r="KD28" s="483" t="s">
        <v>260</v>
      </c>
      <c r="KE28" s="483" t="s">
        <v>260</v>
      </c>
      <c r="KF28" s="483" t="s">
        <v>260</v>
      </c>
      <c r="KG28" s="483" t="s">
        <v>260</v>
      </c>
      <c r="KH28" s="483" t="s">
        <v>260</v>
      </c>
      <c r="KI28" s="483" t="s">
        <v>260</v>
      </c>
      <c r="KJ28" s="483" t="s">
        <v>260</v>
      </c>
      <c r="KK28" s="483" t="s">
        <v>260</v>
      </c>
      <c r="KL28" s="483" t="s">
        <v>260</v>
      </c>
      <c r="KM28" s="483" t="s">
        <v>260</v>
      </c>
      <c r="KN28" s="483" t="s">
        <v>260</v>
      </c>
      <c r="KO28" s="483" t="s">
        <v>260</v>
      </c>
      <c r="KP28" s="483" t="s">
        <v>260</v>
      </c>
      <c r="KQ28" s="483" t="s">
        <v>260</v>
      </c>
      <c r="KR28" s="483" t="s">
        <v>260</v>
      </c>
      <c r="KS28" s="483" t="s">
        <v>260</v>
      </c>
      <c r="KT28" s="483" t="s">
        <v>260</v>
      </c>
      <c r="KU28" s="483">
        <v>55</v>
      </c>
      <c r="KV28" s="483">
        <v>7</v>
      </c>
      <c r="KW28" s="483" t="s">
        <v>260</v>
      </c>
      <c r="KX28" s="483" t="s">
        <v>260</v>
      </c>
      <c r="KY28" s="483" t="s">
        <v>260</v>
      </c>
      <c r="KZ28" s="483" t="s">
        <v>260</v>
      </c>
      <c r="LA28" s="483" t="s">
        <v>260</v>
      </c>
      <c r="LB28" s="483" t="s">
        <v>260</v>
      </c>
      <c r="LC28" s="483" t="s">
        <v>260</v>
      </c>
      <c r="LD28" s="483" t="s">
        <v>260</v>
      </c>
      <c r="LE28" s="483" t="s">
        <v>260</v>
      </c>
      <c r="LF28" s="483" t="s">
        <v>260</v>
      </c>
      <c r="LG28" s="483" t="s">
        <v>260</v>
      </c>
      <c r="LH28" s="483" t="s">
        <v>260</v>
      </c>
      <c r="LI28" s="483" t="s">
        <v>260</v>
      </c>
      <c r="LJ28" s="483" t="s">
        <v>260</v>
      </c>
      <c r="LK28" s="483" t="s">
        <v>260</v>
      </c>
      <c r="LL28" s="483" t="s">
        <v>260</v>
      </c>
      <c r="LM28" s="483" t="s">
        <v>260</v>
      </c>
      <c r="LN28" s="483" t="s">
        <v>260</v>
      </c>
      <c r="LO28" s="483" t="s">
        <v>260</v>
      </c>
      <c r="LP28" s="483" t="s">
        <v>260</v>
      </c>
      <c r="LQ28" s="483" t="s">
        <v>260</v>
      </c>
      <c r="LR28" s="485" t="s">
        <v>260</v>
      </c>
      <c r="LS28" s="485">
        <v>0</v>
      </c>
      <c r="LT28" s="485" t="s">
        <v>260</v>
      </c>
      <c r="LU28" s="485" t="s">
        <v>260</v>
      </c>
      <c r="LV28" s="485" t="s">
        <v>260</v>
      </c>
      <c r="LW28" s="485" t="s">
        <v>260</v>
      </c>
      <c r="LX28" s="485" t="s">
        <v>260</v>
      </c>
      <c r="LY28" s="485" t="s">
        <v>260</v>
      </c>
      <c r="LZ28" s="485" t="s">
        <v>260</v>
      </c>
      <c r="MA28" s="485" t="s">
        <v>260</v>
      </c>
      <c r="MB28" s="485" t="s">
        <v>260</v>
      </c>
      <c r="MC28" s="485">
        <v>0</v>
      </c>
      <c r="MD28" s="485" t="s">
        <v>260</v>
      </c>
      <c r="ME28" s="485" t="s">
        <v>260</v>
      </c>
      <c r="MF28" s="485" t="s">
        <v>260</v>
      </c>
      <c r="MG28" s="485" t="s">
        <v>260</v>
      </c>
      <c r="MH28" s="485" t="s">
        <v>260</v>
      </c>
      <c r="MI28" s="485" t="s">
        <v>260</v>
      </c>
      <c r="MJ28" s="485">
        <v>44</v>
      </c>
      <c r="MK28" s="485" t="s">
        <v>260</v>
      </c>
      <c r="ML28" s="485" t="s">
        <v>260</v>
      </c>
      <c r="MM28" s="485" t="s">
        <v>260</v>
      </c>
      <c r="MN28" s="485" t="s">
        <v>260</v>
      </c>
      <c r="MO28" s="485">
        <v>20</v>
      </c>
      <c r="MP28" s="485" t="s">
        <v>260</v>
      </c>
      <c r="MQ28" s="485">
        <v>24</v>
      </c>
      <c r="MR28" s="485" t="s">
        <v>260</v>
      </c>
      <c r="MS28" s="485" t="s">
        <v>260</v>
      </c>
      <c r="MT28" s="485" t="s">
        <v>260</v>
      </c>
      <c r="MU28" s="485" t="s">
        <v>260</v>
      </c>
      <c r="MV28" s="485" t="s">
        <v>260</v>
      </c>
      <c r="MW28" s="485" t="s">
        <v>260</v>
      </c>
      <c r="MX28" s="485" t="s">
        <v>260</v>
      </c>
      <c r="MY28" s="485" t="s">
        <v>260</v>
      </c>
      <c r="MZ28" s="485" t="s">
        <v>260</v>
      </c>
      <c r="NA28" s="485" t="s">
        <v>260</v>
      </c>
      <c r="NB28" s="485">
        <v>0</v>
      </c>
      <c r="NC28" s="485" t="s">
        <v>260</v>
      </c>
      <c r="ND28" s="485" t="s">
        <v>260</v>
      </c>
      <c r="NE28" s="485" t="s">
        <v>260</v>
      </c>
      <c r="NF28" s="485" t="s">
        <v>260</v>
      </c>
      <c r="NG28" s="485" t="s">
        <v>260</v>
      </c>
      <c r="NH28" s="485" t="s">
        <v>260</v>
      </c>
      <c r="NI28" s="485" t="s">
        <v>260</v>
      </c>
      <c r="NJ28" s="485" t="s">
        <v>5330</v>
      </c>
      <c r="NK28" s="485" t="s">
        <v>5330</v>
      </c>
      <c r="NL28" s="485" t="s">
        <v>260</v>
      </c>
      <c r="NM28" s="485" t="s">
        <v>260</v>
      </c>
      <c r="NN28" s="485" t="s">
        <v>260</v>
      </c>
      <c r="NO28" s="485">
        <v>16</v>
      </c>
      <c r="NP28" s="485">
        <v>0</v>
      </c>
      <c r="NQ28" s="485" t="s">
        <v>260</v>
      </c>
      <c r="NR28" s="485" t="s">
        <v>260</v>
      </c>
      <c r="NS28" s="485" t="s">
        <v>260</v>
      </c>
      <c r="NT28" s="485" t="s">
        <v>260</v>
      </c>
      <c r="NU28" s="485" t="s">
        <v>260</v>
      </c>
      <c r="NV28" s="485" t="s">
        <v>260</v>
      </c>
      <c r="NW28" s="485" t="s">
        <v>260</v>
      </c>
      <c r="NX28" s="485" t="s">
        <v>260</v>
      </c>
      <c r="NY28" s="485" t="s">
        <v>260</v>
      </c>
      <c r="NZ28" s="485" t="s">
        <v>260</v>
      </c>
      <c r="OA28" s="485" t="s">
        <v>260</v>
      </c>
      <c r="OB28" s="485" t="s">
        <v>260</v>
      </c>
      <c r="OC28" s="485" t="s">
        <v>260</v>
      </c>
      <c r="OD28" s="485">
        <v>16</v>
      </c>
      <c r="OE28" s="485">
        <v>16</v>
      </c>
      <c r="OF28" s="485" t="s">
        <v>260</v>
      </c>
      <c r="OG28" s="485" t="s">
        <v>260</v>
      </c>
      <c r="OH28" s="485" t="s">
        <v>260</v>
      </c>
      <c r="OI28" s="485" t="s">
        <v>260</v>
      </c>
      <c r="OJ28" s="485" t="s">
        <v>260</v>
      </c>
      <c r="OK28" s="485" t="s">
        <v>260</v>
      </c>
      <c r="OL28" s="485" t="s">
        <v>260</v>
      </c>
      <c r="OM28" s="483" t="s">
        <v>5330</v>
      </c>
      <c r="ON28" s="483" t="s">
        <v>260</v>
      </c>
      <c r="OO28" s="483" t="s">
        <v>260</v>
      </c>
      <c r="OP28" s="483" t="s">
        <v>260</v>
      </c>
      <c r="OQ28" s="483" t="s">
        <v>260</v>
      </c>
      <c r="OR28" s="483" t="s">
        <v>5330</v>
      </c>
      <c r="OS28" s="483" t="s">
        <v>260</v>
      </c>
      <c r="OT28" s="483" t="s">
        <v>260</v>
      </c>
      <c r="OU28" s="483" t="s">
        <v>260</v>
      </c>
      <c r="OV28" s="483" t="s">
        <v>260</v>
      </c>
      <c r="OW28" s="483" t="s">
        <v>260</v>
      </c>
      <c r="OX28" s="483" t="s">
        <v>260</v>
      </c>
      <c r="OY28" s="483" t="s">
        <v>260</v>
      </c>
      <c r="OZ28" s="483" t="s">
        <v>260</v>
      </c>
      <c r="PA28" s="483" t="s">
        <v>260</v>
      </c>
      <c r="PB28" s="483" t="s">
        <v>260</v>
      </c>
      <c r="PC28" s="483" t="s">
        <v>260</v>
      </c>
      <c r="PD28" s="483" t="s">
        <v>260</v>
      </c>
      <c r="PE28" s="485">
        <v>7</v>
      </c>
      <c r="PF28" s="483">
        <v>7</v>
      </c>
      <c r="PG28" s="483" t="s">
        <v>260</v>
      </c>
      <c r="PH28" s="483" t="s">
        <v>260</v>
      </c>
      <c r="PI28" s="483" t="s">
        <v>260</v>
      </c>
      <c r="PJ28" s="483" t="s">
        <v>260</v>
      </c>
      <c r="PK28" s="483" t="s">
        <v>260</v>
      </c>
      <c r="PL28" s="483" t="s">
        <v>260</v>
      </c>
      <c r="PM28" s="483" t="s">
        <v>260</v>
      </c>
    </row>
    <row r="29" spans="2:429" ht="15.6" x14ac:dyDescent="0.3">
      <c r="B29" s="487" t="s">
        <v>2460</v>
      </c>
      <c r="C29" s="483">
        <f t="shared" si="0"/>
        <v>377</v>
      </c>
      <c r="D29" s="483">
        <v>0</v>
      </c>
      <c r="E29" s="483" t="s">
        <v>260</v>
      </c>
      <c r="F29" s="483" t="s">
        <v>260</v>
      </c>
      <c r="G29" s="483" t="s">
        <v>260</v>
      </c>
      <c r="H29" s="483" t="s">
        <v>260</v>
      </c>
      <c r="I29" s="483" t="s">
        <v>260</v>
      </c>
      <c r="J29" s="483" t="s">
        <v>260</v>
      </c>
      <c r="K29" s="483" t="s">
        <v>260</v>
      </c>
      <c r="L29" s="483" t="s">
        <v>260</v>
      </c>
      <c r="M29" s="483" t="s">
        <v>260</v>
      </c>
      <c r="N29" s="483" t="s">
        <v>260</v>
      </c>
      <c r="O29" s="483" t="s">
        <v>260</v>
      </c>
      <c r="P29" s="483" t="s">
        <v>260</v>
      </c>
      <c r="Q29" s="483" t="s">
        <v>260</v>
      </c>
      <c r="R29" s="483" t="s">
        <v>260</v>
      </c>
      <c r="S29" s="483" t="s">
        <v>260</v>
      </c>
      <c r="T29" s="483" t="s">
        <v>260</v>
      </c>
      <c r="U29" s="483" t="s">
        <v>260</v>
      </c>
      <c r="V29" s="483" t="s">
        <v>260</v>
      </c>
      <c r="W29" s="483">
        <v>220</v>
      </c>
      <c r="X29" s="483" t="s">
        <v>260</v>
      </c>
      <c r="Y29" s="483" t="s">
        <v>260</v>
      </c>
      <c r="Z29" s="483" t="s">
        <v>260</v>
      </c>
      <c r="AA29" s="483" t="s">
        <v>260</v>
      </c>
      <c r="AB29" s="483" t="s">
        <v>260</v>
      </c>
      <c r="AC29" s="483">
        <v>103</v>
      </c>
      <c r="AD29" s="483">
        <v>54</v>
      </c>
      <c r="AE29" s="483" t="s">
        <v>260</v>
      </c>
      <c r="AF29" s="483" t="s">
        <v>260</v>
      </c>
      <c r="AG29" s="483" t="s">
        <v>260</v>
      </c>
      <c r="AH29" s="483" t="s">
        <v>260</v>
      </c>
      <c r="AI29" s="483" t="s">
        <v>260</v>
      </c>
      <c r="AJ29" s="483" t="s">
        <v>260</v>
      </c>
      <c r="AK29" s="483" t="s">
        <v>260</v>
      </c>
      <c r="AL29" s="483" t="s">
        <v>260</v>
      </c>
      <c r="AM29" s="483" t="s">
        <v>260</v>
      </c>
      <c r="AN29" s="483" t="s">
        <v>260</v>
      </c>
      <c r="AO29" s="483" t="s">
        <v>260</v>
      </c>
      <c r="AP29" s="483" t="s">
        <v>260</v>
      </c>
      <c r="AQ29" s="483" t="s">
        <v>260</v>
      </c>
      <c r="AR29" s="483" t="s">
        <v>260</v>
      </c>
      <c r="AS29" s="483" t="s">
        <v>260</v>
      </c>
      <c r="AT29" s="483">
        <f t="shared" si="1"/>
        <v>689</v>
      </c>
      <c r="AU29" s="483" t="s">
        <v>260</v>
      </c>
      <c r="AV29" s="483" t="s">
        <v>260</v>
      </c>
      <c r="AW29" s="483" t="s">
        <v>260</v>
      </c>
      <c r="AX29" s="483" t="s">
        <v>260</v>
      </c>
      <c r="AY29" s="483" t="s">
        <v>260</v>
      </c>
      <c r="AZ29" s="483" t="s">
        <v>260</v>
      </c>
      <c r="BA29" s="483" t="s">
        <v>260</v>
      </c>
      <c r="BB29" s="483" t="s">
        <v>260</v>
      </c>
      <c r="BC29" s="483" t="s">
        <v>260</v>
      </c>
      <c r="BD29" s="483" t="s">
        <v>260</v>
      </c>
      <c r="BE29" s="483">
        <v>37</v>
      </c>
      <c r="BF29" s="483" t="s">
        <v>260</v>
      </c>
      <c r="BG29" s="483" t="s">
        <v>260</v>
      </c>
      <c r="BH29" s="483" t="s">
        <v>260</v>
      </c>
      <c r="BI29" s="483" t="s">
        <v>260</v>
      </c>
      <c r="BJ29" s="483" t="s">
        <v>260</v>
      </c>
      <c r="BK29" s="483" t="s">
        <v>260</v>
      </c>
      <c r="BL29" s="483" t="s">
        <v>260</v>
      </c>
      <c r="BM29" s="483" t="s">
        <v>260</v>
      </c>
      <c r="BN29" s="483" t="s">
        <v>260</v>
      </c>
      <c r="BO29" s="483" t="s">
        <v>260</v>
      </c>
      <c r="BP29" s="483" t="s">
        <v>260</v>
      </c>
      <c r="BQ29" s="483" t="s">
        <v>260</v>
      </c>
      <c r="BR29" s="483" t="s">
        <v>260</v>
      </c>
      <c r="BS29" s="483" t="s">
        <v>260</v>
      </c>
      <c r="BT29" s="483" t="s">
        <v>260</v>
      </c>
      <c r="BU29" s="483" t="s">
        <v>260</v>
      </c>
      <c r="BV29" s="483" t="s">
        <v>260</v>
      </c>
      <c r="BW29" s="483" t="s">
        <v>260</v>
      </c>
      <c r="BX29" s="483" t="s">
        <v>260</v>
      </c>
      <c r="BY29" s="483" t="s">
        <v>260</v>
      </c>
      <c r="BZ29" s="483" t="s">
        <v>260</v>
      </c>
      <c r="CA29" s="483" t="s">
        <v>260</v>
      </c>
      <c r="CB29" s="483" t="s">
        <v>260</v>
      </c>
      <c r="CC29" s="483" t="s">
        <v>260</v>
      </c>
      <c r="CD29" s="483" t="s">
        <v>260</v>
      </c>
      <c r="CE29" s="483" t="s">
        <v>260</v>
      </c>
      <c r="CF29" s="483" t="s">
        <v>260</v>
      </c>
      <c r="CG29" s="483" t="s">
        <v>260</v>
      </c>
      <c r="CH29" s="483" t="s">
        <v>260</v>
      </c>
      <c r="CI29" s="483" t="s">
        <v>260</v>
      </c>
      <c r="CJ29" s="483" t="s">
        <v>260</v>
      </c>
      <c r="CK29" s="483" t="s">
        <v>260</v>
      </c>
      <c r="CL29" s="483" t="s">
        <v>260</v>
      </c>
      <c r="CM29" s="483" t="s">
        <v>260</v>
      </c>
      <c r="CN29" s="483">
        <v>76</v>
      </c>
      <c r="CO29" s="483">
        <v>69</v>
      </c>
      <c r="CP29" s="483">
        <v>354</v>
      </c>
      <c r="CQ29" s="483">
        <v>153</v>
      </c>
      <c r="CR29" s="483" t="s">
        <v>260</v>
      </c>
      <c r="CS29" s="483" t="s">
        <v>260</v>
      </c>
      <c r="CT29" s="483" t="s">
        <v>260</v>
      </c>
      <c r="CU29" s="483" t="s">
        <v>260</v>
      </c>
      <c r="CV29" s="483" t="s">
        <v>260</v>
      </c>
      <c r="CW29" s="483" t="s">
        <v>260</v>
      </c>
      <c r="CX29" s="483" t="s">
        <v>260</v>
      </c>
      <c r="CY29" s="483" t="s">
        <v>260</v>
      </c>
      <c r="CZ29" s="483" t="s">
        <v>260</v>
      </c>
      <c r="DA29" s="483" t="s">
        <v>260</v>
      </c>
      <c r="DB29" s="483" t="s">
        <v>260</v>
      </c>
      <c r="DC29" s="483" t="s">
        <v>260</v>
      </c>
      <c r="DD29" s="483" t="s">
        <v>260</v>
      </c>
      <c r="DE29" s="483" t="s">
        <v>260</v>
      </c>
      <c r="DF29" s="483" t="s">
        <v>260</v>
      </c>
      <c r="DG29" s="483" t="s">
        <v>260</v>
      </c>
      <c r="DH29" s="483" t="s">
        <v>260</v>
      </c>
      <c r="DI29" s="483" t="s">
        <v>260</v>
      </c>
      <c r="DJ29" s="483" t="s">
        <v>260</v>
      </c>
      <c r="DK29" s="483" t="s">
        <v>260</v>
      </c>
      <c r="DL29" s="483" t="s">
        <v>260</v>
      </c>
      <c r="DM29" s="483" t="s">
        <v>260</v>
      </c>
      <c r="DN29" s="483">
        <v>60</v>
      </c>
      <c r="DO29" s="483">
        <v>60</v>
      </c>
      <c r="DP29" s="483" t="s">
        <v>260</v>
      </c>
      <c r="DQ29" s="483" t="s">
        <v>260</v>
      </c>
      <c r="DR29" s="483" t="s">
        <v>260</v>
      </c>
      <c r="DS29" s="483" t="s">
        <v>260</v>
      </c>
      <c r="DT29" s="483" t="s">
        <v>260</v>
      </c>
      <c r="DU29" s="483" t="s">
        <v>260</v>
      </c>
      <c r="DV29" s="483" t="s">
        <v>260</v>
      </c>
      <c r="DW29" s="483" t="s">
        <v>260</v>
      </c>
      <c r="DX29" s="483" t="s">
        <v>260</v>
      </c>
      <c r="DY29" s="483" t="s">
        <v>260</v>
      </c>
      <c r="DZ29" s="483" t="s">
        <v>260</v>
      </c>
      <c r="EA29" s="483" t="s">
        <v>260</v>
      </c>
      <c r="EB29" s="483">
        <v>480</v>
      </c>
      <c r="EC29" s="483" t="s">
        <v>260</v>
      </c>
      <c r="ED29" s="483" t="s">
        <v>260</v>
      </c>
      <c r="EE29" s="483" t="s">
        <v>260</v>
      </c>
      <c r="EF29" s="483" t="s">
        <v>260</v>
      </c>
      <c r="EG29" s="483" t="s">
        <v>260</v>
      </c>
      <c r="EH29" s="483" t="s">
        <v>260</v>
      </c>
      <c r="EI29" s="483" t="s">
        <v>260</v>
      </c>
      <c r="EJ29" s="483" t="s">
        <v>260</v>
      </c>
      <c r="EK29" s="483" t="s">
        <v>260</v>
      </c>
      <c r="EL29" s="483" t="s">
        <v>260</v>
      </c>
      <c r="EM29" s="483" t="s">
        <v>260</v>
      </c>
      <c r="EN29" s="483" t="s">
        <v>260</v>
      </c>
      <c r="EO29" s="483" t="s">
        <v>260</v>
      </c>
      <c r="EP29" s="483" t="s">
        <v>260</v>
      </c>
      <c r="EQ29" s="483" t="s">
        <v>260</v>
      </c>
      <c r="ER29" s="483" t="s">
        <v>260</v>
      </c>
      <c r="ES29" s="483" t="s">
        <v>260</v>
      </c>
      <c r="ET29" s="483" t="s">
        <v>260</v>
      </c>
      <c r="EU29" s="483" t="s">
        <v>260</v>
      </c>
      <c r="EV29" s="483" t="s">
        <v>260</v>
      </c>
      <c r="EW29" s="483" t="s">
        <v>260</v>
      </c>
      <c r="EX29" s="483" t="s">
        <v>260</v>
      </c>
      <c r="EY29" s="483">
        <v>480</v>
      </c>
      <c r="EZ29" s="483" t="s">
        <v>260</v>
      </c>
      <c r="FA29" s="483" t="s">
        <v>260</v>
      </c>
      <c r="FB29" s="483" t="s">
        <v>260</v>
      </c>
      <c r="FC29" s="483" t="s">
        <v>260</v>
      </c>
      <c r="FD29" s="483">
        <v>191</v>
      </c>
      <c r="FE29" s="483" t="s">
        <v>260</v>
      </c>
      <c r="FF29" s="483" t="s">
        <v>260</v>
      </c>
      <c r="FG29" s="483" t="s">
        <v>260</v>
      </c>
      <c r="FH29" s="483" t="s">
        <v>260</v>
      </c>
      <c r="FI29" s="483" t="s">
        <v>260</v>
      </c>
      <c r="FJ29" s="483" t="s">
        <v>260</v>
      </c>
      <c r="FK29" s="483" t="s">
        <v>260</v>
      </c>
      <c r="FL29" s="483" t="s">
        <v>260</v>
      </c>
      <c r="FM29" s="483" t="s">
        <v>260</v>
      </c>
      <c r="FN29" s="483" t="s">
        <v>260</v>
      </c>
      <c r="FO29" s="483" t="s">
        <v>260</v>
      </c>
      <c r="FP29" s="483" t="s">
        <v>260</v>
      </c>
      <c r="FQ29" s="483" t="s">
        <v>260</v>
      </c>
      <c r="FR29" s="483" t="s">
        <v>260</v>
      </c>
      <c r="FS29" s="483" t="s">
        <v>260</v>
      </c>
      <c r="FT29" s="483" t="s">
        <v>260</v>
      </c>
      <c r="FU29" s="483" t="s">
        <v>260</v>
      </c>
      <c r="FV29" s="483" t="s">
        <v>260</v>
      </c>
      <c r="FW29" s="483" t="s">
        <v>260</v>
      </c>
      <c r="FX29" s="483" t="s">
        <v>260</v>
      </c>
      <c r="FY29" s="483" t="s">
        <v>260</v>
      </c>
      <c r="FZ29" s="483" t="s">
        <v>260</v>
      </c>
      <c r="GA29" s="483">
        <v>41</v>
      </c>
      <c r="GB29" s="483">
        <v>101</v>
      </c>
      <c r="GC29" s="483">
        <v>49</v>
      </c>
      <c r="GD29" s="483" t="s">
        <v>260</v>
      </c>
      <c r="GE29" s="483" t="s">
        <v>260</v>
      </c>
      <c r="GF29" s="483" t="s">
        <v>260</v>
      </c>
      <c r="GG29" s="483" t="s">
        <v>260</v>
      </c>
      <c r="GH29" s="483" t="s">
        <v>260</v>
      </c>
      <c r="GI29" s="483" t="s">
        <v>260</v>
      </c>
      <c r="GJ29" s="483" t="s">
        <v>260</v>
      </c>
      <c r="GK29" s="483" t="s">
        <v>260</v>
      </c>
      <c r="GL29" s="483" t="s">
        <v>260</v>
      </c>
      <c r="GM29" s="483" t="s">
        <v>260</v>
      </c>
      <c r="GN29" s="483" t="s">
        <v>260</v>
      </c>
      <c r="GO29" s="483" t="s">
        <v>260</v>
      </c>
      <c r="GP29" s="483" t="s">
        <v>260</v>
      </c>
      <c r="GQ29" s="483" t="s">
        <v>260</v>
      </c>
      <c r="GR29" s="483" t="s">
        <v>260</v>
      </c>
      <c r="GS29" s="483" t="s">
        <v>260</v>
      </c>
      <c r="GT29" s="483" t="s">
        <v>260</v>
      </c>
      <c r="GU29" s="483" t="s">
        <v>260</v>
      </c>
      <c r="GV29" s="483" t="s">
        <v>260</v>
      </c>
      <c r="GW29" s="483" t="s">
        <v>260</v>
      </c>
      <c r="GX29" s="483" t="s">
        <v>260</v>
      </c>
      <c r="GY29" s="483" t="s">
        <v>260</v>
      </c>
      <c r="GZ29" s="483">
        <v>0</v>
      </c>
      <c r="HA29" s="483" t="s">
        <v>260</v>
      </c>
      <c r="HB29" s="483" t="s">
        <v>260</v>
      </c>
      <c r="HC29" s="483" t="s">
        <v>260</v>
      </c>
      <c r="HD29" s="483" t="s">
        <v>260</v>
      </c>
      <c r="HE29" s="483" t="s">
        <v>260</v>
      </c>
      <c r="HF29" s="483" t="s">
        <v>260</v>
      </c>
      <c r="HG29" s="483" t="s">
        <v>260</v>
      </c>
      <c r="HH29" s="483" t="s">
        <v>260</v>
      </c>
      <c r="HI29" s="483" t="s">
        <v>260</v>
      </c>
      <c r="HJ29" s="483" t="s">
        <v>260</v>
      </c>
      <c r="HK29" s="483" t="s">
        <v>260</v>
      </c>
      <c r="HL29" s="483" t="s">
        <v>260</v>
      </c>
      <c r="HM29" s="483" t="s">
        <v>260</v>
      </c>
      <c r="HN29" s="483" t="s">
        <v>260</v>
      </c>
      <c r="HO29" s="483" t="s">
        <v>260</v>
      </c>
      <c r="HP29" s="483" t="s">
        <v>260</v>
      </c>
      <c r="HQ29" s="483" t="s">
        <v>260</v>
      </c>
      <c r="HR29" s="483" t="s">
        <v>260</v>
      </c>
      <c r="HS29" s="483" t="s">
        <v>260</v>
      </c>
      <c r="HT29" s="483" t="s">
        <v>260</v>
      </c>
      <c r="HU29" s="483" t="s">
        <v>260</v>
      </c>
      <c r="HV29" s="483" t="s">
        <v>260</v>
      </c>
      <c r="HW29" s="483" t="s">
        <v>260</v>
      </c>
      <c r="HX29" s="483" t="s">
        <v>260</v>
      </c>
      <c r="HY29" s="483" t="s">
        <v>260</v>
      </c>
      <c r="HZ29" s="483" t="s">
        <v>260</v>
      </c>
      <c r="IA29" s="483" t="s">
        <v>260</v>
      </c>
      <c r="IB29" s="483" t="s">
        <v>260</v>
      </c>
      <c r="IC29" s="483" t="s">
        <v>260</v>
      </c>
      <c r="ID29" s="483" t="s">
        <v>260</v>
      </c>
      <c r="IE29" s="483" t="s">
        <v>260</v>
      </c>
      <c r="IF29" s="483">
        <v>351</v>
      </c>
      <c r="IG29" s="483" t="s">
        <v>260</v>
      </c>
      <c r="IH29" s="483">
        <v>247</v>
      </c>
      <c r="II29" s="483">
        <v>104</v>
      </c>
      <c r="IJ29" s="483" t="s">
        <v>260</v>
      </c>
      <c r="IK29" s="483">
        <v>188</v>
      </c>
      <c r="IL29" s="483" t="s">
        <v>260</v>
      </c>
      <c r="IM29" s="483" t="s">
        <v>260</v>
      </c>
      <c r="IN29" s="483" t="s">
        <v>260</v>
      </c>
      <c r="IO29" s="483" t="s">
        <v>260</v>
      </c>
      <c r="IP29" s="483" t="s">
        <v>260</v>
      </c>
      <c r="IQ29" s="483" t="s">
        <v>260</v>
      </c>
      <c r="IR29" s="483">
        <v>18</v>
      </c>
      <c r="IS29" s="483">
        <v>134</v>
      </c>
      <c r="IT29" s="483">
        <v>36</v>
      </c>
      <c r="IU29" s="483" t="s">
        <v>260</v>
      </c>
      <c r="IV29" s="483" t="s">
        <v>260</v>
      </c>
      <c r="IW29" s="483" t="s">
        <v>260</v>
      </c>
      <c r="IX29" s="483" t="s">
        <v>260</v>
      </c>
      <c r="IY29" s="483" t="s">
        <v>260</v>
      </c>
      <c r="IZ29" s="483" t="s">
        <v>260</v>
      </c>
      <c r="JA29" s="483" t="s">
        <v>260</v>
      </c>
      <c r="JB29" s="483" t="s">
        <v>260</v>
      </c>
      <c r="JC29" s="483" t="s">
        <v>260</v>
      </c>
      <c r="JD29" s="483" t="s">
        <v>260</v>
      </c>
      <c r="JE29" s="483">
        <v>16</v>
      </c>
      <c r="JF29" s="483" t="s">
        <v>260</v>
      </c>
      <c r="JG29" s="483">
        <v>13</v>
      </c>
      <c r="JH29" s="483">
        <v>3</v>
      </c>
      <c r="JI29" s="483" t="s">
        <v>260</v>
      </c>
      <c r="JJ29" s="483" t="s">
        <v>260</v>
      </c>
      <c r="JK29" s="483" t="s">
        <v>260</v>
      </c>
      <c r="JL29" s="483" t="s">
        <v>260</v>
      </c>
      <c r="JM29" s="483" t="s">
        <v>260</v>
      </c>
      <c r="JN29" s="483" t="s">
        <v>260</v>
      </c>
      <c r="JO29" s="483" t="s">
        <v>260</v>
      </c>
      <c r="JP29" s="483" t="s">
        <v>260</v>
      </c>
      <c r="JQ29" s="483" t="s">
        <v>260</v>
      </c>
      <c r="JR29" s="483" t="s">
        <v>260</v>
      </c>
      <c r="JS29" s="483" t="s">
        <v>260</v>
      </c>
      <c r="JT29" s="483" t="s">
        <v>260</v>
      </c>
      <c r="JU29" s="483" t="s">
        <v>260</v>
      </c>
      <c r="JV29" s="483" t="s">
        <v>260</v>
      </c>
      <c r="JW29" s="483" t="s">
        <v>260</v>
      </c>
      <c r="JX29" s="483" t="s">
        <v>260</v>
      </c>
      <c r="JY29" s="483" t="s">
        <v>260</v>
      </c>
      <c r="JZ29" s="483" t="s">
        <v>260</v>
      </c>
      <c r="KA29" s="483" t="s">
        <v>260</v>
      </c>
      <c r="KB29" s="483">
        <v>23</v>
      </c>
      <c r="KC29" s="483" t="s">
        <v>260</v>
      </c>
      <c r="KD29" s="483" t="s">
        <v>260</v>
      </c>
      <c r="KE29" s="483" t="s">
        <v>260</v>
      </c>
      <c r="KF29" s="483" t="s">
        <v>260</v>
      </c>
      <c r="KG29" s="483" t="s">
        <v>260</v>
      </c>
      <c r="KH29" s="483" t="s">
        <v>260</v>
      </c>
      <c r="KI29" s="483" t="s">
        <v>260</v>
      </c>
      <c r="KJ29" s="483" t="s">
        <v>260</v>
      </c>
      <c r="KK29" s="483" t="s">
        <v>260</v>
      </c>
      <c r="KL29" s="483" t="s">
        <v>260</v>
      </c>
      <c r="KM29" s="483" t="s">
        <v>260</v>
      </c>
      <c r="KN29" s="483" t="s">
        <v>260</v>
      </c>
      <c r="KO29" s="483">
        <v>6</v>
      </c>
      <c r="KP29" s="483">
        <v>17</v>
      </c>
      <c r="KQ29" s="483" t="s">
        <v>260</v>
      </c>
      <c r="KR29" s="483" t="s">
        <v>260</v>
      </c>
      <c r="KS29" s="483" t="s">
        <v>260</v>
      </c>
      <c r="KT29" s="483" t="s">
        <v>260</v>
      </c>
      <c r="KU29" s="483" t="s">
        <v>260</v>
      </c>
      <c r="KV29" s="483" t="s">
        <v>260</v>
      </c>
      <c r="KW29" s="483" t="s">
        <v>260</v>
      </c>
      <c r="KX29" s="483" t="s">
        <v>260</v>
      </c>
      <c r="KY29" s="483" t="s">
        <v>260</v>
      </c>
      <c r="KZ29" s="483" t="s">
        <v>260</v>
      </c>
      <c r="LA29" s="483" t="s">
        <v>260</v>
      </c>
      <c r="LB29" s="483" t="s">
        <v>260</v>
      </c>
      <c r="LC29" s="483" t="s">
        <v>260</v>
      </c>
      <c r="LD29" s="483" t="s">
        <v>260</v>
      </c>
      <c r="LE29" s="483" t="s">
        <v>260</v>
      </c>
      <c r="LF29" s="483" t="s">
        <v>260</v>
      </c>
      <c r="LG29" s="483" t="s">
        <v>260</v>
      </c>
      <c r="LH29" s="483" t="s">
        <v>260</v>
      </c>
      <c r="LI29" s="483" t="s">
        <v>260</v>
      </c>
      <c r="LJ29" s="483" t="s">
        <v>260</v>
      </c>
      <c r="LK29" s="483" t="s">
        <v>260</v>
      </c>
      <c r="LL29" s="483" t="s">
        <v>260</v>
      </c>
      <c r="LM29" s="483" t="s">
        <v>260</v>
      </c>
      <c r="LN29" s="483" t="s">
        <v>260</v>
      </c>
      <c r="LO29" s="483" t="s">
        <v>260</v>
      </c>
      <c r="LP29" s="483" t="s">
        <v>260</v>
      </c>
      <c r="LQ29" s="483" t="s">
        <v>260</v>
      </c>
      <c r="LR29" s="485" t="s">
        <v>260</v>
      </c>
      <c r="LS29" s="485">
        <v>4</v>
      </c>
      <c r="LT29" s="485" t="s">
        <v>260</v>
      </c>
      <c r="LU29" s="485" t="s">
        <v>260</v>
      </c>
      <c r="LV29" s="485" t="s">
        <v>260</v>
      </c>
      <c r="LW29" s="485" t="s">
        <v>260</v>
      </c>
      <c r="LX29" s="485" t="s">
        <v>260</v>
      </c>
      <c r="LY29" s="485" t="s">
        <v>260</v>
      </c>
      <c r="LZ29" s="485" t="s">
        <v>260</v>
      </c>
      <c r="MA29" s="485" t="s">
        <v>260</v>
      </c>
      <c r="MB29" s="485">
        <v>4</v>
      </c>
      <c r="MC29" s="485">
        <v>13</v>
      </c>
      <c r="MD29" s="485" t="s">
        <v>260</v>
      </c>
      <c r="ME29" s="485" t="s">
        <v>260</v>
      </c>
      <c r="MF29" s="485" t="s">
        <v>260</v>
      </c>
      <c r="MG29" s="485">
        <v>5</v>
      </c>
      <c r="MH29" s="485">
        <v>8</v>
      </c>
      <c r="MI29" s="485" t="s">
        <v>260</v>
      </c>
      <c r="MJ29" s="485">
        <v>32</v>
      </c>
      <c r="MK29" s="485">
        <v>32</v>
      </c>
      <c r="ML29" s="485" t="s">
        <v>260</v>
      </c>
      <c r="MM29" s="485" t="s">
        <v>260</v>
      </c>
      <c r="MN29" s="485" t="s">
        <v>260</v>
      </c>
      <c r="MO29" s="485" t="s">
        <v>260</v>
      </c>
      <c r="MP29" s="485" t="s">
        <v>260</v>
      </c>
      <c r="MQ29" s="485" t="s">
        <v>260</v>
      </c>
      <c r="MR29" s="485" t="s">
        <v>260</v>
      </c>
      <c r="MS29" s="485" t="s">
        <v>260</v>
      </c>
      <c r="MT29" s="485" t="s">
        <v>260</v>
      </c>
      <c r="MU29" s="485" t="s">
        <v>260</v>
      </c>
      <c r="MV29" s="485" t="s">
        <v>260</v>
      </c>
      <c r="MW29" s="485" t="s">
        <v>260</v>
      </c>
      <c r="MX29" s="485" t="s">
        <v>260</v>
      </c>
      <c r="MY29" s="485" t="s">
        <v>260</v>
      </c>
      <c r="MZ29" s="485" t="s">
        <v>260</v>
      </c>
      <c r="NA29" s="485" t="s">
        <v>260</v>
      </c>
      <c r="NB29" s="485">
        <v>0</v>
      </c>
      <c r="NC29" s="485" t="s">
        <v>260</v>
      </c>
      <c r="ND29" s="485" t="s">
        <v>260</v>
      </c>
      <c r="NE29" s="485" t="s">
        <v>260</v>
      </c>
      <c r="NF29" s="485" t="s">
        <v>260</v>
      </c>
      <c r="NG29" s="485" t="s">
        <v>260</v>
      </c>
      <c r="NH29" s="485" t="s">
        <v>260</v>
      </c>
      <c r="NI29" s="485" t="s">
        <v>260</v>
      </c>
      <c r="NJ29" s="485" t="s">
        <v>260</v>
      </c>
      <c r="NK29" s="485" t="s">
        <v>260</v>
      </c>
      <c r="NL29" s="485" t="s">
        <v>260</v>
      </c>
      <c r="NM29" s="485" t="s">
        <v>260</v>
      </c>
      <c r="NN29" s="485" t="s">
        <v>260</v>
      </c>
      <c r="NO29" s="485">
        <v>64</v>
      </c>
      <c r="NP29" s="485">
        <v>64</v>
      </c>
      <c r="NQ29" s="485">
        <v>16</v>
      </c>
      <c r="NR29" s="485" t="s">
        <v>260</v>
      </c>
      <c r="NS29" s="485" t="s">
        <v>260</v>
      </c>
      <c r="NT29" s="485" t="s">
        <v>260</v>
      </c>
      <c r="NU29" s="485" t="s">
        <v>260</v>
      </c>
      <c r="NV29" s="485">
        <v>48</v>
      </c>
      <c r="NW29" s="485" t="s">
        <v>260</v>
      </c>
      <c r="NX29" s="485" t="s">
        <v>260</v>
      </c>
      <c r="NY29" s="485" t="s">
        <v>260</v>
      </c>
      <c r="NZ29" s="485" t="s">
        <v>260</v>
      </c>
      <c r="OA29" s="485" t="s">
        <v>260</v>
      </c>
      <c r="OB29" s="485" t="s">
        <v>260</v>
      </c>
      <c r="OC29" s="485" t="s">
        <v>260</v>
      </c>
      <c r="OD29" s="485">
        <v>0</v>
      </c>
      <c r="OE29" s="485" t="s">
        <v>260</v>
      </c>
      <c r="OF29" s="485" t="s">
        <v>260</v>
      </c>
      <c r="OG29" s="485" t="s">
        <v>260</v>
      </c>
      <c r="OH29" s="485" t="s">
        <v>260</v>
      </c>
      <c r="OI29" s="485" t="s">
        <v>260</v>
      </c>
      <c r="OJ29" s="485" t="s">
        <v>260</v>
      </c>
      <c r="OK29" s="485" t="s">
        <v>260</v>
      </c>
      <c r="OL29" s="485" t="s">
        <v>260</v>
      </c>
      <c r="OM29" s="483" t="s">
        <v>260</v>
      </c>
      <c r="ON29" s="483" t="s">
        <v>260</v>
      </c>
      <c r="OO29" s="483" t="s">
        <v>260</v>
      </c>
      <c r="OP29" s="483" t="s">
        <v>260</v>
      </c>
      <c r="OQ29" s="483" t="s">
        <v>260</v>
      </c>
      <c r="OR29" s="483" t="s">
        <v>260</v>
      </c>
      <c r="OS29" s="483" t="s">
        <v>260</v>
      </c>
      <c r="OT29" s="483" t="s">
        <v>260</v>
      </c>
      <c r="OU29" s="483" t="s">
        <v>260</v>
      </c>
      <c r="OV29" s="483" t="s">
        <v>260</v>
      </c>
      <c r="OW29" s="483" t="s">
        <v>260</v>
      </c>
      <c r="OX29" s="483" t="s">
        <v>260</v>
      </c>
      <c r="OY29" s="483" t="s">
        <v>260</v>
      </c>
      <c r="OZ29" s="483" t="s">
        <v>5330</v>
      </c>
      <c r="PA29" s="483">
        <v>24</v>
      </c>
      <c r="PB29" s="483" t="s">
        <v>260</v>
      </c>
      <c r="PC29" s="483" t="s">
        <v>260</v>
      </c>
      <c r="PD29" s="483" t="s">
        <v>260</v>
      </c>
      <c r="PE29" s="485">
        <v>41</v>
      </c>
      <c r="PF29" s="483" t="s">
        <v>260</v>
      </c>
      <c r="PG29" s="483">
        <v>41</v>
      </c>
      <c r="PH29" s="483" t="s">
        <v>260</v>
      </c>
      <c r="PI29" s="483" t="s">
        <v>260</v>
      </c>
      <c r="PJ29" s="483" t="s">
        <v>260</v>
      </c>
      <c r="PK29" s="483" t="s">
        <v>260</v>
      </c>
      <c r="PL29" s="483" t="s">
        <v>260</v>
      </c>
      <c r="PM29" s="483" t="s">
        <v>260</v>
      </c>
    </row>
    <row r="30" spans="2:429" ht="15.6" x14ac:dyDescent="0.3">
      <c r="B30" s="487" t="s">
        <v>856</v>
      </c>
      <c r="C30" s="483">
        <f t="shared" si="0"/>
        <v>62</v>
      </c>
      <c r="D30" s="483">
        <v>18</v>
      </c>
      <c r="E30" s="483" t="s">
        <v>260</v>
      </c>
      <c r="F30" s="483" t="s">
        <v>260</v>
      </c>
      <c r="G30" s="483">
        <v>18</v>
      </c>
      <c r="H30" s="483" t="s">
        <v>260</v>
      </c>
      <c r="I30" s="483" t="s">
        <v>260</v>
      </c>
      <c r="J30" s="483">
        <v>26</v>
      </c>
      <c r="K30" s="483" t="s">
        <v>260</v>
      </c>
      <c r="L30" s="483" t="s">
        <v>260</v>
      </c>
      <c r="M30" s="483" t="s">
        <v>260</v>
      </c>
      <c r="N30" s="483" t="s">
        <v>260</v>
      </c>
      <c r="O30" s="483" t="s">
        <v>260</v>
      </c>
      <c r="P30" s="483" t="s">
        <v>260</v>
      </c>
      <c r="Q30" s="483" t="s">
        <v>260</v>
      </c>
      <c r="R30" s="483" t="s">
        <v>260</v>
      </c>
      <c r="S30" s="483" t="s">
        <v>260</v>
      </c>
      <c r="T30" s="483" t="s">
        <v>260</v>
      </c>
      <c r="U30" s="483" t="s">
        <v>260</v>
      </c>
      <c r="V30" s="483" t="s">
        <v>260</v>
      </c>
      <c r="W30" s="483" t="s">
        <v>260</v>
      </c>
      <c r="X30" s="483" t="s">
        <v>260</v>
      </c>
      <c r="Y30" s="483" t="s">
        <v>260</v>
      </c>
      <c r="Z30" s="483" t="s">
        <v>260</v>
      </c>
      <c r="AA30" s="483" t="s">
        <v>260</v>
      </c>
      <c r="AB30" s="483" t="s">
        <v>260</v>
      </c>
      <c r="AC30" s="483" t="s">
        <v>260</v>
      </c>
      <c r="AD30" s="483" t="s">
        <v>260</v>
      </c>
      <c r="AE30" s="483" t="s">
        <v>260</v>
      </c>
      <c r="AF30" s="483" t="s">
        <v>260</v>
      </c>
      <c r="AG30" s="483" t="s">
        <v>260</v>
      </c>
      <c r="AH30" s="483" t="s">
        <v>260</v>
      </c>
      <c r="AI30" s="483" t="s">
        <v>260</v>
      </c>
      <c r="AJ30" s="483" t="s">
        <v>260</v>
      </c>
      <c r="AK30" s="483" t="s">
        <v>260</v>
      </c>
      <c r="AL30" s="483" t="s">
        <v>260</v>
      </c>
      <c r="AM30" s="483" t="s">
        <v>260</v>
      </c>
      <c r="AN30" s="483" t="s">
        <v>260</v>
      </c>
      <c r="AO30" s="483" t="s">
        <v>260</v>
      </c>
      <c r="AP30" s="483" t="s">
        <v>260</v>
      </c>
      <c r="AQ30" s="483" t="s">
        <v>260</v>
      </c>
      <c r="AR30" s="483" t="s">
        <v>260</v>
      </c>
      <c r="AS30" s="483" t="s">
        <v>260</v>
      </c>
      <c r="AT30" s="483">
        <f t="shared" si="1"/>
        <v>287</v>
      </c>
      <c r="AU30" s="483" t="s">
        <v>260</v>
      </c>
      <c r="AV30" s="483" t="s">
        <v>260</v>
      </c>
      <c r="AW30" s="483" t="s">
        <v>260</v>
      </c>
      <c r="AX30" s="483" t="s">
        <v>260</v>
      </c>
      <c r="AY30" s="483" t="s">
        <v>260</v>
      </c>
      <c r="AZ30" s="483" t="s">
        <v>260</v>
      </c>
      <c r="BA30" s="483" t="s">
        <v>260</v>
      </c>
      <c r="BB30" s="483" t="s">
        <v>260</v>
      </c>
      <c r="BC30" s="483" t="s">
        <v>260</v>
      </c>
      <c r="BD30" s="483" t="s">
        <v>260</v>
      </c>
      <c r="BE30" s="483">
        <v>83</v>
      </c>
      <c r="BF30" s="483" t="s">
        <v>260</v>
      </c>
      <c r="BG30" s="483">
        <v>174</v>
      </c>
      <c r="BH30" s="483" t="s">
        <v>260</v>
      </c>
      <c r="BI30" s="483" t="s">
        <v>260</v>
      </c>
      <c r="BJ30" s="483" t="s">
        <v>260</v>
      </c>
      <c r="BK30" s="483" t="s">
        <v>260</v>
      </c>
      <c r="BL30" s="483" t="s">
        <v>260</v>
      </c>
      <c r="BM30" s="483" t="s">
        <v>260</v>
      </c>
      <c r="BN30" s="483" t="s">
        <v>260</v>
      </c>
      <c r="BO30" s="483" t="s">
        <v>260</v>
      </c>
      <c r="BP30" s="483" t="s">
        <v>260</v>
      </c>
      <c r="BQ30" s="483" t="s">
        <v>260</v>
      </c>
      <c r="BR30" s="483">
        <v>30</v>
      </c>
      <c r="BS30" s="483" t="s">
        <v>260</v>
      </c>
      <c r="BT30" s="483" t="s">
        <v>260</v>
      </c>
      <c r="BU30" s="483" t="s">
        <v>260</v>
      </c>
      <c r="BV30" s="483" t="s">
        <v>260</v>
      </c>
      <c r="BW30" s="483" t="s">
        <v>260</v>
      </c>
      <c r="BX30" s="483" t="s">
        <v>260</v>
      </c>
      <c r="BY30" s="483" t="s">
        <v>260</v>
      </c>
      <c r="BZ30" s="483" t="s">
        <v>260</v>
      </c>
      <c r="CA30" s="483" t="s">
        <v>260</v>
      </c>
      <c r="CB30" s="483" t="s">
        <v>260</v>
      </c>
      <c r="CC30" s="483" t="s">
        <v>260</v>
      </c>
      <c r="CD30" s="483" t="s">
        <v>260</v>
      </c>
      <c r="CE30" s="483" t="s">
        <v>260</v>
      </c>
      <c r="CF30" s="483" t="s">
        <v>260</v>
      </c>
      <c r="CG30" s="483" t="s">
        <v>260</v>
      </c>
      <c r="CH30" s="483" t="s">
        <v>260</v>
      </c>
      <c r="CI30" s="483" t="s">
        <v>260</v>
      </c>
      <c r="CJ30" s="483" t="s">
        <v>260</v>
      </c>
      <c r="CK30" s="483" t="s">
        <v>260</v>
      </c>
      <c r="CL30" s="483" t="s">
        <v>260</v>
      </c>
      <c r="CM30" s="483" t="s">
        <v>260</v>
      </c>
      <c r="CN30" s="483" t="s">
        <v>260</v>
      </c>
      <c r="CO30" s="483" t="s">
        <v>260</v>
      </c>
      <c r="CP30" s="483" t="s">
        <v>260</v>
      </c>
      <c r="CQ30" s="483" t="s">
        <v>260</v>
      </c>
      <c r="CR30" s="483" t="s">
        <v>260</v>
      </c>
      <c r="CS30" s="483" t="s">
        <v>260</v>
      </c>
      <c r="CT30" s="483" t="s">
        <v>260</v>
      </c>
      <c r="CU30" s="483" t="s">
        <v>260</v>
      </c>
      <c r="CV30" s="483" t="s">
        <v>260</v>
      </c>
      <c r="CW30" s="483" t="s">
        <v>260</v>
      </c>
      <c r="CX30" s="483" t="s">
        <v>260</v>
      </c>
      <c r="CY30" s="483" t="s">
        <v>260</v>
      </c>
      <c r="CZ30" s="483" t="s">
        <v>260</v>
      </c>
      <c r="DA30" s="483" t="s">
        <v>260</v>
      </c>
      <c r="DB30" s="483" t="s">
        <v>260</v>
      </c>
      <c r="DC30" s="483" t="s">
        <v>260</v>
      </c>
      <c r="DD30" s="483" t="s">
        <v>260</v>
      </c>
      <c r="DE30" s="483" t="s">
        <v>260</v>
      </c>
      <c r="DF30" s="483" t="s">
        <v>260</v>
      </c>
      <c r="DG30" s="483" t="s">
        <v>260</v>
      </c>
      <c r="DH30" s="483" t="s">
        <v>260</v>
      </c>
      <c r="DI30" s="483" t="s">
        <v>260</v>
      </c>
      <c r="DJ30" s="483" t="s">
        <v>260</v>
      </c>
      <c r="DK30" s="483" t="s">
        <v>260</v>
      </c>
      <c r="DL30" s="483" t="s">
        <v>260</v>
      </c>
      <c r="DM30" s="483" t="s">
        <v>260</v>
      </c>
      <c r="DN30" s="483">
        <v>0</v>
      </c>
      <c r="DO30" s="483" t="s">
        <v>260</v>
      </c>
      <c r="DP30" s="483" t="s">
        <v>260</v>
      </c>
      <c r="DQ30" s="483" t="s">
        <v>260</v>
      </c>
      <c r="DR30" s="483" t="s">
        <v>260</v>
      </c>
      <c r="DS30" s="483" t="s">
        <v>260</v>
      </c>
      <c r="DT30" s="483" t="s">
        <v>260</v>
      </c>
      <c r="DU30" s="483" t="s">
        <v>260</v>
      </c>
      <c r="DV30" s="483" t="s">
        <v>260</v>
      </c>
      <c r="DW30" s="483" t="s">
        <v>260</v>
      </c>
      <c r="DX30" s="483" t="s">
        <v>260</v>
      </c>
      <c r="DY30" s="483" t="s">
        <v>260</v>
      </c>
      <c r="DZ30" s="483" t="s">
        <v>260</v>
      </c>
      <c r="EA30" s="483" t="s">
        <v>260</v>
      </c>
      <c r="EB30" s="483">
        <v>140</v>
      </c>
      <c r="EC30" s="483" t="s">
        <v>260</v>
      </c>
      <c r="ED30" s="483" t="s">
        <v>260</v>
      </c>
      <c r="EE30" s="483" t="s">
        <v>260</v>
      </c>
      <c r="EF30" s="483" t="s">
        <v>260</v>
      </c>
      <c r="EG30" s="483" t="s">
        <v>260</v>
      </c>
      <c r="EH30" s="483" t="s">
        <v>260</v>
      </c>
      <c r="EI30" s="483" t="s">
        <v>260</v>
      </c>
      <c r="EJ30" s="483" t="s">
        <v>260</v>
      </c>
      <c r="EK30" s="483" t="s">
        <v>260</v>
      </c>
      <c r="EL30" s="483" t="s">
        <v>260</v>
      </c>
      <c r="EM30" s="483" t="s">
        <v>260</v>
      </c>
      <c r="EN30" s="483" t="s">
        <v>260</v>
      </c>
      <c r="EO30" s="483" t="s">
        <v>260</v>
      </c>
      <c r="EP30" s="483" t="s">
        <v>260</v>
      </c>
      <c r="EQ30" s="483" t="s">
        <v>260</v>
      </c>
      <c r="ER30" s="483">
        <v>84</v>
      </c>
      <c r="ES30" s="483">
        <v>56</v>
      </c>
      <c r="ET30" s="483" t="s">
        <v>260</v>
      </c>
      <c r="EU30" s="483" t="s">
        <v>260</v>
      </c>
      <c r="EV30" s="483" t="s">
        <v>260</v>
      </c>
      <c r="EW30" s="483" t="s">
        <v>260</v>
      </c>
      <c r="EX30" s="483" t="s">
        <v>260</v>
      </c>
      <c r="EY30" s="483" t="s">
        <v>260</v>
      </c>
      <c r="EZ30" s="483" t="s">
        <v>260</v>
      </c>
      <c r="FA30" s="483" t="s">
        <v>260</v>
      </c>
      <c r="FB30" s="483" t="s">
        <v>260</v>
      </c>
      <c r="FC30" s="483" t="s">
        <v>260</v>
      </c>
      <c r="FD30" s="483">
        <v>44</v>
      </c>
      <c r="FE30" s="483" t="s">
        <v>260</v>
      </c>
      <c r="FF30" s="483" t="s">
        <v>260</v>
      </c>
      <c r="FG30" s="483" t="s">
        <v>260</v>
      </c>
      <c r="FH30" s="483" t="s">
        <v>260</v>
      </c>
      <c r="FI30" s="483" t="s">
        <v>260</v>
      </c>
      <c r="FJ30" s="483" t="s">
        <v>260</v>
      </c>
      <c r="FK30" s="483" t="s">
        <v>260</v>
      </c>
      <c r="FL30" s="483" t="s">
        <v>260</v>
      </c>
      <c r="FM30" s="483" t="s">
        <v>260</v>
      </c>
      <c r="FN30" s="483" t="s">
        <v>260</v>
      </c>
      <c r="FO30" s="483">
        <v>44</v>
      </c>
      <c r="FP30" s="483" t="s">
        <v>260</v>
      </c>
      <c r="FQ30" s="483" t="s">
        <v>260</v>
      </c>
      <c r="FR30" s="483" t="s">
        <v>260</v>
      </c>
      <c r="FS30" s="483" t="s">
        <v>260</v>
      </c>
      <c r="FT30" s="483" t="s">
        <v>260</v>
      </c>
      <c r="FU30" s="483" t="s">
        <v>260</v>
      </c>
      <c r="FV30" s="483" t="s">
        <v>260</v>
      </c>
      <c r="FW30" s="483" t="s">
        <v>260</v>
      </c>
      <c r="FX30" s="483" t="s">
        <v>260</v>
      </c>
      <c r="FY30" s="483" t="s">
        <v>260</v>
      </c>
      <c r="FZ30" s="483" t="s">
        <v>260</v>
      </c>
      <c r="GA30" s="483" t="s">
        <v>260</v>
      </c>
      <c r="GB30" s="483" t="s">
        <v>260</v>
      </c>
      <c r="GC30" s="483" t="s">
        <v>260</v>
      </c>
      <c r="GD30" s="483" t="s">
        <v>260</v>
      </c>
      <c r="GE30" s="483" t="s">
        <v>260</v>
      </c>
      <c r="GF30" s="483" t="s">
        <v>260</v>
      </c>
      <c r="GG30" s="483" t="s">
        <v>260</v>
      </c>
      <c r="GH30" s="483" t="s">
        <v>260</v>
      </c>
      <c r="GI30" s="483" t="s">
        <v>260</v>
      </c>
      <c r="GJ30" s="483" t="s">
        <v>260</v>
      </c>
      <c r="GK30" s="483" t="s">
        <v>260</v>
      </c>
      <c r="GL30" s="483" t="s">
        <v>260</v>
      </c>
      <c r="GM30" s="483" t="s">
        <v>260</v>
      </c>
      <c r="GN30" s="483" t="s">
        <v>260</v>
      </c>
      <c r="GO30" s="483" t="s">
        <v>260</v>
      </c>
      <c r="GP30" s="483" t="s">
        <v>260</v>
      </c>
      <c r="GQ30" s="483" t="s">
        <v>260</v>
      </c>
      <c r="GR30" s="483" t="s">
        <v>260</v>
      </c>
      <c r="GS30" s="483" t="s">
        <v>260</v>
      </c>
      <c r="GT30" s="483" t="s">
        <v>260</v>
      </c>
      <c r="GU30" s="483" t="s">
        <v>260</v>
      </c>
      <c r="GV30" s="483" t="s">
        <v>260</v>
      </c>
      <c r="GW30" s="483" t="s">
        <v>260</v>
      </c>
      <c r="GX30" s="483" t="s">
        <v>260</v>
      </c>
      <c r="GY30" s="483" t="s">
        <v>260</v>
      </c>
      <c r="GZ30" s="483">
        <v>20</v>
      </c>
      <c r="HA30" s="483" t="s">
        <v>260</v>
      </c>
      <c r="HB30" s="483" t="s">
        <v>260</v>
      </c>
      <c r="HC30" s="483" t="s">
        <v>260</v>
      </c>
      <c r="HD30" s="483" t="s">
        <v>260</v>
      </c>
      <c r="HE30" s="483" t="s">
        <v>260</v>
      </c>
      <c r="HF30" s="483" t="s">
        <v>260</v>
      </c>
      <c r="HG30" s="483" t="s">
        <v>260</v>
      </c>
      <c r="HH30" s="483" t="s">
        <v>260</v>
      </c>
      <c r="HI30" s="483" t="s">
        <v>260</v>
      </c>
      <c r="HJ30" s="483" t="s">
        <v>260</v>
      </c>
      <c r="HK30" s="483">
        <v>15</v>
      </c>
      <c r="HL30" s="483" t="s">
        <v>260</v>
      </c>
      <c r="HM30" s="483" t="s">
        <v>260</v>
      </c>
      <c r="HN30" s="483" t="s">
        <v>260</v>
      </c>
      <c r="HO30" s="483" t="s">
        <v>260</v>
      </c>
      <c r="HP30" s="483" t="s">
        <v>260</v>
      </c>
      <c r="HQ30" s="483" t="s">
        <v>260</v>
      </c>
      <c r="HR30" s="483" t="s">
        <v>260</v>
      </c>
      <c r="HS30" s="483">
        <v>5</v>
      </c>
      <c r="HT30" s="483" t="s">
        <v>260</v>
      </c>
      <c r="HU30" s="483" t="s">
        <v>260</v>
      </c>
      <c r="HV30" s="483" t="s">
        <v>260</v>
      </c>
      <c r="HW30" s="483" t="s">
        <v>260</v>
      </c>
      <c r="HX30" s="483" t="s">
        <v>260</v>
      </c>
      <c r="HY30" s="483" t="s">
        <v>260</v>
      </c>
      <c r="HZ30" s="483" t="s">
        <v>260</v>
      </c>
      <c r="IA30" s="483" t="s">
        <v>260</v>
      </c>
      <c r="IB30" s="483" t="s">
        <v>260</v>
      </c>
      <c r="IC30" s="483" t="s">
        <v>260</v>
      </c>
      <c r="ID30" s="483" t="s">
        <v>260</v>
      </c>
      <c r="IE30" s="483" t="s">
        <v>260</v>
      </c>
      <c r="IF30" s="483">
        <v>0</v>
      </c>
      <c r="IG30" s="483" t="s">
        <v>260</v>
      </c>
      <c r="IH30" s="483" t="s">
        <v>260</v>
      </c>
      <c r="II30" s="483" t="s">
        <v>260</v>
      </c>
      <c r="IJ30" s="483" t="s">
        <v>260</v>
      </c>
      <c r="IK30" s="483">
        <v>0</v>
      </c>
      <c r="IL30" s="483" t="s">
        <v>260</v>
      </c>
      <c r="IM30" s="483" t="s">
        <v>260</v>
      </c>
      <c r="IN30" s="483" t="s">
        <v>260</v>
      </c>
      <c r="IO30" s="483" t="s">
        <v>260</v>
      </c>
      <c r="IP30" s="483" t="s">
        <v>260</v>
      </c>
      <c r="IQ30" s="483" t="s">
        <v>260</v>
      </c>
      <c r="IR30" s="483" t="s">
        <v>260</v>
      </c>
      <c r="IS30" s="483" t="s">
        <v>260</v>
      </c>
      <c r="IT30" s="483" t="s">
        <v>260</v>
      </c>
      <c r="IU30" s="483" t="s">
        <v>260</v>
      </c>
      <c r="IV30" s="483" t="s">
        <v>260</v>
      </c>
      <c r="IW30" s="483" t="s">
        <v>260</v>
      </c>
      <c r="IX30" s="483" t="s">
        <v>260</v>
      </c>
      <c r="IY30" s="483" t="s">
        <v>260</v>
      </c>
      <c r="IZ30" s="483" t="s">
        <v>260</v>
      </c>
      <c r="JA30" s="483" t="s">
        <v>260</v>
      </c>
      <c r="JB30" s="483" t="s">
        <v>260</v>
      </c>
      <c r="JC30" s="483" t="s">
        <v>260</v>
      </c>
      <c r="JD30" s="483" t="s">
        <v>260</v>
      </c>
      <c r="JE30" s="483">
        <v>44</v>
      </c>
      <c r="JF30" s="483" t="s">
        <v>260</v>
      </c>
      <c r="JG30" s="483">
        <v>34</v>
      </c>
      <c r="JH30" s="483">
        <v>10</v>
      </c>
      <c r="JI30" s="483" t="s">
        <v>260</v>
      </c>
      <c r="JJ30" s="483" t="s">
        <v>260</v>
      </c>
      <c r="JK30" s="483" t="s">
        <v>260</v>
      </c>
      <c r="JL30" s="483" t="s">
        <v>260</v>
      </c>
      <c r="JM30" s="483" t="s">
        <v>260</v>
      </c>
      <c r="JN30" s="483" t="s">
        <v>260</v>
      </c>
      <c r="JO30" s="483" t="s">
        <v>260</v>
      </c>
      <c r="JP30" s="483" t="s">
        <v>260</v>
      </c>
      <c r="JQ30" s="483" t="s">
        <v>260</v>
      </c>
      <c r="JR30" s="483" t="s">
        <v>260</v>
      </c>
      <c r="JS30" s="483" t="s">
        <v>260</v>
      </c>
      <c r="JT30" s="483" t="s">
        <v>260</v>
      </c>
      <c r="JU30" s="483" t="s">
        <v>260</v>
      </c>
      <c r="JV30" s="483" t="s">
        <v>260</v>
      </c>
      <c r="JW30" s="483" t="s">
        <v>260</v>
      </c>
      <c r="JX30" s="483" t="s">
        <v>260</v>
      </c>
      <c r="JY30" s="483" t="s">
        <v>260</v>
      </c>
      <c r="JZ30" s="483" t="s">
        <v>260</v>
      </c>
      <c r="KA30" s="483" t="s">
        <v>260</v>
      </c>
      <c r="KB30" s="483">
        <v>4</v>
      </c>
      <c r="KC30" s="483" t="s">
        <v>260</v>
      </c>
      <c r="KD30" s="483" t="s">
        <v>260</v>
      </c>
      <c r="KE30" s="483" t="s">
        <v>260</v>
      </c>
      <c r="KF30" s="483" t="s">
        <v>260</v>
      </c>
      <c r="KG30" s="483" t="s">
        <v>260</v>
      </c>
      <c r="KH30" s="483">
        <v>4</v>
      </c>
      <c r="KI30" s="483" t="s">
        <v>260</v>
      </c>
      <c r="KJ30" s="483" t="s">
        <v>260</v>
      </c>
      <c r="KK30" s="483" t="s">
        <v>260</v>
      </c>
      <c r="KL30" s="483" t="s">
        <v>260</v>
      </c>
      <c r="KM30" s="483" t="s">
        <v>260</v>
      </c>
      <c r="KN30" s="483" t="s">
        <v>260</v>
      </c>
      <c r="KO30" s="483" t="s">
        <v>260</v>
      </c>
      <c r="KP30" s="483" t="s">
        <v>260</v>
      </c>
      <c r="KQ30" s="483" t="s">
        <v>260</v>
      </c>
      <c r="KR30" s="483" t="s">
        <v>260</v>
      </c>
      <c r="KS30" s="483" t="s">
        <v>260</v>
      </c>
      <c r="KT30" s="483" t="s">
        <v>260</v>
      </c>
      <c r="KU30" s="483" t="s">
        <v>260</v>
      </c>
      <c r="KV30" s="483" t="s">
        <v>260</v>
      </c>
      <c r="KW30" s="483" t="s">
        <v>260</v>
      </c>
      <c r="KX30" s="483" t="s">
        <v>260</v>
      </c>
      <c r="KY30" s="483" t="s">
        <v>260</v>
      </c>
      <c r="KZ30" s="483" t="s">
        <v>260</v>
      </c>
      <c r="LA30" s="483" t="s">
        <v>260</v>
      </c>
      <c r="LB30" s="483" t="s">
        <v>260</v>
      </c>
      <c r="LC30" s="483" t="s">
        <v>260</v>
      </c>
      <c r="LD30" s="483" t="s">
        <v>260</v>
      </c>
      <c r="LE30" s="483" t="s">
        <v>260</v>
      </c>
      <c r="LF30" s="483" t="s">
        <v>260</v>
      </c>
      <c r="LG30" s="483" t="s">
        <v>260</v>
      </c>
      <c r="LH30" s="483" t="s">
        <v>260</v>
      </c>
      <c r="LI30" s="483" t="s">
        <v>260</v>
      </c>
      <c r="LJ30" s="483" t="s">
        <v>260</v>
      </c>
      <c r="LK30" s="483" t="s">
        <v>260</v>
      </c>
      <c r="LL30" s="483" t="s">
        <v>260</v>
      </c>
      <c r="LM30" s="483" t="s">
        <v>260</v>
      </c>
      <c r="LN30" s="483" t="s">
        <v>260</v>
      </c>
      <c r="LO30" s="483" t="s">
        <v>260</v>
      </c>
      <c r="LP30" s="483" t="s">
        <v>260</v>
      </c>
      <c r="LQ30" s="483" t="s">
        <v>260</v>
      </c>
      <c r="LR30" s="485" t="s">
        <v>260</v>
      </c>
      <c r="LS30" s="485">
        <v>0</v>
      </c>
      <c r="LT30" s="485" t="s">
        <v>260</v>
      </c>
      <c r="LU30" s="485" t="s">
        <v>260</v>
      </c>
      <c r="LV30" s="485" t="s">
        <v>260</v>
      </c>
      <c r="LW30" s="485" t="s">
        <v>260</v>
      </c>
      <c r="LX30" s="485" t="s">
        <v>260</v>
      </c>
      <c r="LY30" s="485" t="s">
        <v>260</v>
      </c>
      <c r="LZ30" s="485" t="s">
        <v>260</v>
      </c>
      <c r="MA30" s="485" t="s">
        <v>260</v>
      </c>
      <c r="MB30" s="485" t="s">
        <v>260</v>
      </c>
      <c r="MC30" s="485">
        <v>0</v>
      </c>
      <c r="MD30" s="485" t="s">
        <v>260</v>
      </c>
      <c r="ME30" s="485" t="s">
        <v>260</v>
      </c>
      <c r="MF30" s="485" t="s">
        <v>260</v>
      </c>
      <c r="MG30" s="485" t="s">
        <v>260</v>
      </c>
      <c r="MH30" s="485" t="s">
        <v>260</v>
      </c>
      <c r="MI30" s="485" t="s">
        <v>260</v>
      </c>
      <c r="MJ30" s="485">
        <v>0</v>
      </c>
      <c r="MK30" s="485" t="s">
        <v>260</v>
      </c>
      <c r="ML30" s="485" t="s">
        <v>260</v>
      </c>
      <c r="MM30" s="485" t="s">
        <v>260</v>
      </c>
      <c r="MN30" s="485" t="s">
        <v>260</v>
      </c>
      <c r="MO30" s="485" t="s">
        <v>260</v>
      </c>
      <c r="MP30" s="485" t="s">
        <v>260</v>
      </c>
      <c r="MQ30" s="485" t="s">
        <v>260</v>
      </c>
      <c r="MR30" s="485" t="s">
        <v>260</v>
      </c>
      <c r="MS30" s="485" t="s">
        <v>260</v>
      </c>
      <c r="MT30" s="485" t="s">
        <v>260</v>
      </c>
      <c r="MU30" s="485" t="s">
        <v>260</v>
      </c>
      <c r="MV30" s="485" t="s">
        <v>260</v>
      </c>
      <c r="MW30" s="485" t="s">
        <v>260</v>
      </c>
      <c r="MX30" s="485" t="s">
        <v>260</v>
      </c>
      <c r="MY30" s="485" t="s">
        <v>260</v>
      </c>
      <c r="MZ30" s="485" t="s">
        <v>260</v>
      </c>
      <c r="NA30" s="485" t="s">
        <v>260</v>
      </c>
      <c r="NB30" s="485">
        <v>0</v>
      </c>
      <c r="NC30" s="485" t="s">
        <v>260</v>
      </c>
      <c r="ND30" s="485" t="s">
        <v>260</v>
      </c>
      <c r="NE30" s="485" t="s">
        <v>260</v>
      </c>
      <c r="NF30" s="485" t="s">
        <v>260</v>
      </c>
      <c r="NG30" s="485" t="s">
        <v>260</v>
      </c>
      <c r="NH30" s="485" t="s">
        <v>260</v>
      </c>
      <c r="NI30" s="485" t="s">
        <v>260</v>
      </c>
      <c r="NJ30" s="485" t="s">
        <v>260</v>
      </c>
      <c r="NK30" s="485" t="s">
        <v>5330</v>
      </c>
      <c r="NL30" s="485" t="s">
        <v>260</v>
      </c>
      <c r="NM30" s="485" t="s">
        <v>260</v>
      </c>
      <c r="NN30" s="485" t="s">
        <v>260</v>
      </c>
      <c r="NO30" s="485">
        <v>0</v>
      </c>
      <c r="NP30" s="485">
        <v>0</v>
      </c>
      <c r="NQ30" s="485" t="s">
        <v>260</v>
      </c>
      <c r="NR30" s="485" t="s">
        <v>260</v>
      </c>
      <c r="NS30" s="485" t="s">
        <v>260</v>
      </c>
      <c r="NT30" s="485" t="s">
        <v>260</v>
      </c>
      <c r="NU30" s="485" t="s">
        <v>260</v>
      </c>
      <c r="NV30" s="485" t="s">
        <v>260</v>
      </c>
      <c r="NW30" s="485" t="s">
        <v>260</v>
      </c>
      <c r="NX30" s="485" t="s">
        <v>260</v>
      </c>
      <c r="NY30" s="485" t="s">
        <v>260</v>
      </c>
      <c r="NZ30" s="485" t="s">
        <v>260</v>
      </c>
      <c r="OA30" s="485" t="s">
        <v>260</v>
      </c>
      <c r="OB30" s="485" t="s">
        <v>260</v>
      </c>
      <c r="OC30" s="485" t="s">
        <v>260</v>
      </c>
      <c r="OD30" s="485">
        <v>0</v>
      </c>
      <c r="OE30" s="485" t="s">
        <v>260</v>
      </c>
      <c r="OF30" s="485" t="s">
        <v>260</v>
      </c>
      <c r="OG30" s="485" t="s">
        <v>260</v>
      </c>
      <c r="OH30" s="485" t="s">
        <v>260</v>
      </c>
      <c r="OI30" s="485" t="s">
        <v>260</v>
      </c>
      <c r="OJ30" s="485" t="s">
        <v>260</v>
      </c>
      <c r="OK30" s="485" t="s">
        <v>260</v>
      </c>
      <c r="OL30" s="485" t="s">
        <v>260</v>
      </c>
      <c r="OM30" s="483" t="s">
        <v>260</v>
      </c>
      <c r="ON30" s="483" t="s">
        <v>260</v>
      </c>
      <c r="OO30" s="483" t="s">
        <v>260</v>
      </c>
      <c r="OP30" s="483" t="s">
        <v>260</v>
      </c>
      <c r="OQ30" s="483" t="s">
        <v>260</v>
      </c>
      <c r="OR30" s="483" t="s">
        <v>260</v>
      </c>
      <c r="OS30" s="483" t="s">
        <v>260</v>
      </c>
      <c r="OT30" s="483" t="s">
        <v>260</v>
      </c>
      <c r="OU30" s="483" t="s">
        <v>260</v>
      </c>
      <c r="OV30" s="483" t="s">
        <v>260</v>
      </c>
      <c r="OW30" s="483" t="s">
        <v>260</v>
      </c>
      <c r="OX30" s="483" t="s">
        <v>260</v>
      </c>
      <c r="OY30" s="483" t="s">
        <v>260</v>
      </c>
      <c r="OZ30" s="483" t="s">
        <v>260</v>
      </c>
      <c r="PA30" s="483" t="s">
        <v>260</v>
      </c>
      <c r="PB30" s="483" t="s">
        <v>260</v>
      </c>
      <c r="PC30" s="483" t="s">
        <v>260</v>
      </c>
      <c r="PD30" s="483" t="s">
        <v>260</v>
      </c>
      <c r="PE30" s="485">
        <v>0</v>
      </c>
      <c r="PF30" s="483" t="s">
        <v>260</v>
      </c>
      <c r="PG30" s="483" t="s">
        <v>260</v>
      </c>
      <c r="PH30" s="483" t="s">
        <v>260</v>
      </c>
      <c r="PI30" s="483" t="s">
        <v>260</v>
      </c>
      <c r="PJ30" s="483" t="s">
        <v>260</v>
      </c>
      <c r="PK30" s="483" t="s">
        <v>260</v>
      </c>
      <c r="PL30" s="483" t="s">
        <v>260</v>
      </c>
      <c r="PM30" s="483" t="s">
        <v>260</v>
      </c>
    </row>
    <row r="31" spans="2:429" ht="16.5" customHeight="1" x14ac:dyDescent="0.3">
      <c r="B31" s="487" t="s">
        <v>716</v>
      </c>
      <c r="C31" s="483">
        <f t="shared" si="0"/>
        <v>209</v>
      </c>
      <c r="D31" s="483">
        <v>0</v>
      </c>
      <c r="E31" s="483" t="s">
        <v>260</v>
      </c>
      <c r="F31" s="483" t="s">
        <v>260</v>
      </c>
      <c r="G31" s="483" t="s">
        <v>260</v>
      </c>
      <c r="H31" s="483" t="s">
        <v>260</v>
      </c>
      <c r="I31" s="483" t="s">
        <v>260</v>
      </c>
      <c r="J31" s="483" t="s">
        <v>260</v>
      </c>
      <c r="K31" s="483" t="s">
        <v>260</v>
      </c>
      <c r="L31" s="483" t="s">
        <v>260</v>
      </c>
      <c r="M31" s="483" t="s">
        <v>260</v>
      </c>
      <c r="N31" s="483" t="s">
        <v>260</v>
      </c>
      <c r="O31" s="483" t="s">
        <v>260</v>
      </c>
      <c r="P31" s="483" t="s">
        <v>260</v>
      </c>
      <c r="Q31" s="483" t="s">
        <v>260</v>
      </c>
      <c r="R31" s="483" t="s">
        <v>260</v>
      </c>
      <c r="S31" s="483" t="s">
        <v>260</v>
      </c>
      <c r="T31" s="483" t="s">
        <v>260</v>
      </c>
      <c r="U31" s="483" t="s">
        <v>260</v>
      </c>
      <c r="V31" s="483">
        <v>89</v>
      </c>
      <c r="W31" s="483" t="s">
        <v>260</v>
      </c>
      <c r="X31" s="483" t="s">
        <v>260</v>
      </c>
      <c r="Y31" s="483" t="s">
        <v>260</v>
      </c>
      <c r="Z31" s="483">
        <v>90</v>
      </c>
      <c r="AA31" s="483">
        <v>30</v>
      </c>
      <c r="AB31" s="483" t="s">
        <v>260</v>
      </c>
      <c r="AC31" s="483" t="s">
        <v>260</v>
      </c>
      <c r="AD31" s="483" t="s">
        <v>260</v>
      </c>
      <c r="AE31" s="483" t="s">
        <v>260</v>
      </c>
      <c r="AF31" s="483" t="s">
        <v>260</v>
      </c>
      <c r="AG31" s="483" t="s">
        <v>260</v>
      </c>
      <c r="AH31" s="483" t="s">
        <v>260</v>
      </c>
      <c r="AI31" s="483" t="s">
        <v>260</v>
      </c>
      <c r="AJ31" s="483" t="s">
        <v>260</v>
      </c>
      <c r="AK31" s="483" t="s">
        <v>260</v>
      </c>
      <c r="AL31" s="483" t="s">
        <v>260</v>
      </c>
      <c r="AM31" s="483" t="s">
        <v>260</v>
      </c>
      <c r="AN31" s="483" t="s">
        <v>260</v>
      </c>
      <c r="AO31" s="483" t="s">
        <v>260</v>
      </c>
      <c r="AP31" s="483" t="s">
        <v>260</v>
      </c>
      <c r="AQ31" s="483" t="s">
        <v>260</v>
      </c>
      <c r="AR31" s="483" t="s">
        <v>260</v>
      </c>
      <c r="AS31" s="483" t="s">
        <v>260</v>
      </c>
      <c r="AT31" s="483">
        <f t="shared" si="1"/>
        <v>0</v>
      </c>
      <c r="AU31" s="483" t="s">
        <v>260</v>
      </c>
      <c r="AV31" s="483" t="s">
        <v>260</v>
      </c>
      <c r="AW31" s="483" t="s">
        <v>260</v>
      </c>
      <c r="AX31" s="483" t="s">
        <v>260</v>
      </c>
      <c r="AY31" s="483" t="s">
        <v>260</v>
      </c>
      <c r="AZ31" s="483" t="s">
        <v>260</v>
      </c>
      <c r="BA31" s="483" t="s">
        <v>260</v>
      </c>
      <c r="BB31" s="483" t="s">
        <v>260</v>
      </c>
      <c r="BC31" s="483" t="s">
        <v>260</v>
      </c>
      <c r="BD31" s="483" t="s">
        <v>260</v>
      </c>
      <c r="BE31" s="483" t="s">
        <v>260</v>
      </c>
      <c r="BF31" s="483" t="s">
        <v>260</v>
      </c>
      <c r="BG31" s="483" t="s">
        <v>260</v>
      </c>
      <c r="BH31" s="483" t="s">
        <v>260</v>
      </c>
      <c r="BI31" s="483" t="s">
        <v>260</v>
      </c>
      <c r="BJ31" s="483" t="s">
        <v>260</v>
      </c>
      <c r="BK31" s="483" t="s">
        <v>260</v>
      </c>
      <c r="BL31" s="483" t="s">
        <v>260</v>
      </c>
      <c r="BM31" s="483" t="s">
        <v>260</v>
      </c>
      <c r="BN31" s="483" t="s">
        <v>260</v>
      </c>
      <c r="BO31" s="483" t="s">
        <v>260</v>
      </c>
      <c r="BP31" s="483" t="s">
        <v>260</v>
      </c>
      <c r="BQ31" s="483" t="s">
        <v>260</v>
      </c>
      <c r="BR31" s="483" t="s">
        <v>260</v>
      </c>
      <c r="BS31" s="483" t="s">
        <v>260</v>
      </c>
      <c r="BT31" s="483" t="s">
        <v>260</v>
      </c>
      <c r="BU31" s="483" t="s">
        <v>260</v>
      </c>
      <c r="BV31" s="483" t="s">
        <v>260</v>
      </c>
      <c r="BW31" s="483" t="s">
        <v>260</v>
      </c>
      <c r="BX31" s="483" t="s">
        <v>260</v>
      </c>
      <c r="BY31" s="483" t="s">
        <v>260</v>
      </c>
      <c r="BZ31" s="483" t="s">
        <v>260</v>
      </c>
      <c r="CA31" s="483" t="s">
        <v>260</v>
      </c>
      <c r="CB31" s="483" t="s">
        <v>260</v>
      </c>
      <c r="CC31" s="483" t="s">
        <v>260</v>
      </c>
      <c r="CD31" s="483" t="s">
        <v>260</v>
      </c>
      <c r="CE31" s="483" t="s">
        <v>260</v>
      </c>
      <c r="CF31" s="483" t="s">
        <v>260</v>
      </c>
      <c r="CG31" s="483" t="s">
        <v>260</v>
      </c>
      <c r="CH31" s="483" t="s">
        <v>260</v>
      </c>
      <c r="CI31" s="483" t="s">
        <v>260</v>
      </c>
      <c r="CJ31" s="483" t="s">
        <v>260</v>
      </c>
      <c r="CK31" s="483" t="s">
        <v>260</v>
      </c>
      <c r="CL31" s="483" t="s">
        <v>260</v>
      </c>
      <c r="CM31" s="483" t="s">
        <v>260</v>
      </c>
      <c r="CN31" s="483" t="s">
        <v>260</v>
      </c>
      <c r="CO31" s="483" t="s">
        <v>260</v>
      </c>
      <c r="CP31" s="483" t="s">
        <v>260</v>
      </c>
      <c r="CQ31" s="483" t="s">
        <v>260</v>
      </c>
      <c r="CR31" s="483" t="s">
        <v>260</v>
      </c>
      <c r="CS31" s="483" t="s">
        <v>260</v>
      </c>
      <c r="CT31" s="483" t="s">
        <v>260</v>
      </c>
      <c r="CU31" s="483" t="s">
        <v>260</v>
      </c>
      <c r="CV31" s="483" t="s">
        <v>260</v>
      </c>
      <c r="CW31" s="483" t="s">
        <v>260</v>
      </c>
      <c r="CX31" s="483" t="s">
        <v>260</v>
      </c>
      <c r="CY31" s="483" t="s">
        <v>260</v>
      </c>
      <c r="CZ31" s="483" t="s">
        <v>260</v>
      </c>
      <c r="DA31" s="483" t="s">
        <v>260</v>
      </c>
      <c r="DB31" s="483" t="s">
        <v>260</v>
      </c>
      <c r="DC31" s="483" t="s">
        <v>260</v>
      </c>
      <c r="DD31" s="483" t="s">
        <v>260</v>
      </c>
      <c r="DE31" s="483" t="s">
        <v>260</v>
      </c>
      <c r="DF31" s="483" t="s">
        <v>260</v>
      </c>
      <c r="DG31" s="483" t="s">
        <v>260</v>
      </c>
      <c r="DH31" s="483" t="s">
        <v>260</v>
      </c>
      <c r="DI31" s="483" t="s">
        <v>260</v>
      </c>
      <c r="DJ31" s="483" t="s">
        <v>260</v>
      </c>
      <c r="DK31" s="483" t="s">
        <v>260</v>
      </c>
      <c r="DL31" s="483" t="s">
        <v>260</v>
      </c>
      <c r="DM31" s="483" t="s">
        <v>260</v>
      </c>
      <c r="DN31" s="483">
        <v>1</v>
      </c>
      <c r="DO31" s="483" t="s">
        <v>260</v>
      </c>
      <c r="DP31" s="483" t="s">
        <v>260</v>
      </c>
      <c r="DQ31" s="483" t="s">
        <v>260</v>
      </c>
      <c r="DR31" s="483" t="s">
        <v>260</v>
      </c>
      <c r="DS31" s="483" t="s">
        <v>260</v>
      </c>
      <c r="DT31" s="483" t="s">
        <v>260</v>
      </c>
      <c r="DU31" s="483" t="s">
        <v>260</v>
      </c>
      <c r="DV31" s="483" t="s">
        <v>260</v>
      </c>
      <c r="DW31" s="483" t="s">
        <v>260</v>
      </c>
      <c r="DX31" s="483" t="s">
        <v>260</v>
      </c>
      <c r="DY31" s="483">
        <v>1</v>
      </c>
      <c r="DZ31" s="483" t="s">
        <v>260</v>
      </c>
      <c r="EA31" s="483" t="s">
        <v>260</v>
      </c>
      <c r="EB31" s="483">
        <v>141</v>
      </c>
      <c r="EC31" s="483">
        <v>120</v>
      </c>
      <c r="ED31" s="483" t="s">
        <v>260</v>
      </c>
      <c r="EE31" s="483" t="s">
        <v>260</v>
      </c>
      <c r="EF31" s="483" t="s">
        <v>260</v>
      </c>
      <c r="EG31" s="483" t="s">
        <v>260</v>
      </c>
      <c r="EH31" s="483" t="s">
        <v>260</v>
      </c>
      <c r="EI31" s="483" t="s">
        <v>260</v>
      </c>
      <c r="EJ31" s="483" t="s">
        <v>260</v>
      </c>
      <c r="EK31" s="483" t="s">
        <v>260</v>
      </c>
      <c r="EL31" s="483" t="s">
        <v>260</v>
      </c>
      <c r="EM31" s="483">
        <v>21</v>
      </c>
      <c r="EN31" s="483" t="s">
        <v>260</v>
      </c>
      <c r="EO31" s="483" t="s">
        <v>260</v>
      </c>
      <c r="EP31" s="483" t="s">
        <v>260</v>
      </c>
      <c r="EQ31" s="483" t="s">
        <v>260</v>
      </c>
      <c r="ER31" s="483" t="s">
        <v>260</v>
      </c>
      <c r="ES31" s="483" t="s">
        <v>260</v>
      </c>
      <c r="ET31" s="483" t="s">
        <v>260</v>
      </c>
      <c r="EU31" s="483" t="s">
        <v>260</v>
      </c>
      <c r="EV31" s="483" t="s">
        <v>260</v>
      </c>
      <c r="EW31" s="483" t="s">
        <v>260</v>
      </c>
      <c r="EX31" s="483" t="s">
        <v>260</v>
      </c>
      <c r="EY31" s="483" t="s">
        <v>260</v>
      </c>
      <c r="EZ31" s="483" t="s">
        <v>260</v>
      </c>
      <c r="FA31" s="483" t="s">
        <v>260</v>
      </c>
      <c r="FB31" s="483" t="s">
        <v>260</v>
      </c>
      <c r="FC31" s="483" t="s">
        <v>260</v>
      </c>
      <c r="FD31" s="483">
        <v>390</v>
      </c>
      <c r="FE31" s="483">
        <v>98</v>
      </c>
      <c r="FF31" s="483" t="s">
        <v>260</v>
      </c>
      <c r="FG31" s="483" t="s">
        <v>260</v>
      </c>
      <c r="FH31" s="483" t="s">
        <v>260</v>
      </c>
      <c r="FI31" s="483" t="s">
        <v>260</v>
      </c>
      <c r="FJ31" s="483">
        <v>185</v>
      </c>
      <c r="FK31" s="483">
        <v>107</v>
      </c>
      <c r="FL31" s="483" t="s">
        <v>260</v>
      </c>
      <c r="FM31" s="483" t="s">
        <v>260</v>
      </c>
      <c r="FN31" s="483" t="s">
        <v>260</v>
      </c>
      <c r="FO31" s="483" t="s">
        <v>260</v>
      </c>
      <c r="FP31" s="483" t="s">
        <v>260</v>
      </c>
      <c r="FQ31" s="483" t="s">
        <v>260</v>
      </c>
      <c r="FR31" s="483" t="s">
        <v>260</v>
      </c>
      <c r="FS31" s="483" t="s">
        <v>260</v>
      </c>
      <c r="FT31" s="483" t="s">
        <v>260</v>
      </c>
      <c r="FU31" s="483" t="s">
        <v>260</v>
      </c>
      <c r="FV31" s="483" t="s">
        <v>260</v>
      </c>
      <c r="FW31" s="483" t="s">
        <v>260</v>
      </c>
      <c r="FX31" s="483" t="s">
        <v>260</v>
      </c>
      <c r="FY31" s="483" t="s">
        <v>260</v>
      </c>
      <c r="FZ31" s="483" t="s">
        <v>260</v>
      </c>
      <c r="GA31" s="483" t="s">
        <v>260</v>
      </c>
      <c r="GB31" s="483" t="s">
        <v>260</v>
      </c>
      <c r="GC31" s="483" t="s">
        <v>260</v>
      </c>
      <c r="GD31" s="483" t="s">
        <v>260</v>
      </c>
      <c r="GE31" s="483" t="s">
        <v>260</v>
      </c>
      <c r="GF31" s="483" t="s">
        <v>260</v>
      </c>
      <c r="GG31" s="483" t="s">
        <v>260</v>
      </c>
      <c r="GH31" s="483" t="s">
        <v>260</v>
      </c>
      <c r="GI31" s="483" t="s">
        <v>260</v>
      </c>
      <c r="GJ31" s="483" t="s">
        <v>260</v>
      </c>
      <c r="GK31" s="483" t="s">
        <v>260</v>
      </c>
      <c r="GL31" s="483" t="s">
        <v>260</v>
      </c>
      <c r="GM31" s="483" t="s">
        <v>260</v>
      </c>
      <c r="GN31" s="483" t="s">
        <v>260</v>
      </c>
      <c r="GO31" s="483" t="s">
        <v>260</v>
      </c>
      <c r="GP31" s="483" t="s">
        <v>260</v>
      </c>
      <c r="GQ31" s="483" t="s">
        <v>260</v>
      </c>
      <c r="GR31" s="483" t="s">
        <v>260</v>
      </c>
      <c r="GS31" s="483" t="s">
        <v>260</v>
      </c>
      <c r="GT31" s="483" t="s">
        <v>260</v>
      </c>
      <c r="GU31" s="483" t="s">
        <v>260</v>
      </c>
      <c r="GV31" s="483" t="s">
        <v>260</v>
      </c>
      <c r="GW31" s="483" t="s">
        <v>260</v>
      </c>
      <c r="GX31" s="483" t="s">
        <v>260</v>
      </c>
      <c r="GY31" s="483" t="s">
        <v>260</v>
      </c>
      <c r="GZ31" s="483">
        <v>86</v>
      </c>
      <c r="HA31" s="483" t="s">
        <v>260</v>
      </c>
      <c r="HB31" s="483" t="s">
        <v>260</v>
      </c>
      <c r="HC31" s="483" t="s">
        <v>260</v>
      </c>
      <c r="HD31" s="483" t="s">
        <v>260</v>
      </c>
      <c r="HE31" s="483" t="s">
        <v>260</v>
      </c>
      <c r="HF31" s="483" t="s">
        <v>260</v>
      </c>
      <c r="HG31" s="483" t="s">
        <v>260</v>
      </c>
      <c r="HH31" s="483" t="s">
        <v>260</v>
      </c>
      <c r="HI31" s="483" t="s">
        <v>260</v>
      </c>
      <c r="HJ31" s="483">
        <v>86</v>
      </c>
      <c r="HK31" s="483" t="s">
        <v>260</v>
      </c>
      <c r="HL31" s="483" t="s">
        <v>260</v>
      </c>
      <c r="HM31" s="483" t="s">
        <v>260</v>
      </c>
      <c r="HN31" s="483" t="s">
        <v>260</v>
      </c>
      <c r="HO31" s="483" t="s">
        <v>260</v>
      </c>
      <c r="HP31" s="483" t="s">
        <v>260</v>
      </c>
      <c r="HQ31" s="483" t="s">
        <v>260</v>
      </c>
      <c r="HR31" s="483" t="s">
        <v>260</v>
      </c>
      <c r="HS31" s="483" t="s">
        <v>260</v>
      </c>
      <c r="HT31" s="483" t="s">
        <v>260</v>
      </c>
      <c r="HU31" s="483" t="s">
        <v>260</v>
      </c>
      <c r="HV31" s="483" t="s">
        <v>260</v>
      </c>
      <c r="HW31" s="483" t="s">
        <v>260</v>
      </c>
      <c r="HX31" s="483" t="s">
        <v>260</v>
      </c>
      <c r="HY31" s="483" t="s">
        <v>260</v>
      </c>
      <c r="HZ31" s="483" t="s">
        <v>260</v>
      </c>
      <c r="IA31" s="483" t="s">
        <v>260</v>
      </c>
      <c r="IB31" s="483" t="s">
        <v>260</v>
      </c>
      <c r="IC31" s="483" t="s">
        <v>260</v>
      </c>
      <c r="ID31" s="483" t="s">
        <v>260</v>
      </c>
      <c r="IE31" s="483" t="s">
        <v>260</v>
      </c>
      <c r="IF31" s="483">
        <v>0</v>
      </c>
      <c r="IG31" s="483" t="s">
        <v>260</v>
      </c>
      <c r="IH31" s="483" t="s">
        <v>260</v>
      </c>
      <c r="II31" s="483" t="s">
        <v>260</v>
      </c>
      <c r="IJ31" s="483" t="s">
        <v>260</v>
      </c>
      <c r="IK31" s="483">
        <v>0</v>
      </c>
      <c r="IL31" s="483" t="s">
        <v>260</v>
      </c>
      <c r="IM31" s="483" t="s">
        <v>260</v>
      </c>
      <c r="IN31" s="483">
        <v>60</v>
      </c>
      <c r="IO31" s="483" t="s">
        <v>260</v>
      </c>
      <c r="IP31" s="483" t="s">
        <v>260</v>
      </c>
      <c r="IQ31" s="483" t="s">
        <v>260</v>
      </c>
      <c r="IR31" s="483" t="s">
        <v>260</v>
      </c>
      <c r="IS31" s="483" t="s">
        <v>260</v>
      </c>
      <c r="IT31" s="483" t="s">
        <v>260</v>
      </c>
      <c r="IU31" s="483" t="s">
        <v>260</v>
      </c>
      <c r="IV31" s="483" t="s">
        <v>260</v>
      </c>
      <c r="IW31" s="483" t="s">
        <v>260</v>
      </c>
      <c r="IX31" s="483" t="s">
        <v>260</v>
      </c>
      <c r="IY31" s="483" t="s">
        <v>260</v>
      </c>
      <c r="IZ31" s="483" t="s">
        <v>260</v>
      </c>
      <c r="JA31" s="483" t="s">
        <v>260</v>
      </c>
      <c r="JB31" s="483" t="s">
        <v>260</v>
      </c>
      <c r="JC31" s="483" t="s">
        <v>260</v>
      </c>
      <c r="JD31" s="483" t="s">
        <v>260</v>
      </c>
      <c r="JE31" s="483">
        <v>0</v>
      </c>
      <c r="JF31" s="483" t="s">
        <v>260</v>
      </c>
      <c r="JG31" s="483" t="s">
        <v>260</v>
      </c>
      <c r="JH31" s="483" t="s">
        <v>260</v>
      </c>
      <c r="JI31" s="483" t="s">
        <v>260</v>
      </c>
      <c r="JJ31" s="483" t="s">
        <v>260</v>
      </c>
      <c r="JK31" s="483" t="s">
        <v>260</v>
      </c>
      <c r="JL31" s="483" t="s">
        <v>260</v>
      </c>
      <c r="JM31" s="483" t="s">
        <v>260</v>
      </c>
      <c r="JN31" s="483" t="s">
        <v>260</v>
      </c>
      <c r="JO31" s="483" t="s">
        <v>260</v>
      </c>
      <c r="JP31" s="483" t="s">
        <v>260</v>
      </c>
      <c r="JQ31" s="483" t="s">
        <v>260</v>
      </c>
      <c r="JR31" s="483" t="s">
        <v>260</v>
      </c>
      <c r="JS31" s="483" t="s">
        <v>260</v>
      </c>
      <c r="JT31" s="483" t="s">
        <v>260</v>
      </c>
      <c r="JU31" s="483" t="s">
        <v>260</v>
      </c>
      <c r="JV31" s="483" t="s">
        <v>260</v>
      </c>
      <c r="JW31" s="483" t="s">
        <v>260</v>
      </c>
      <c r="JX31" s="483" t="s">
        <v>260</v>
      </c>
      <c r="JY31" s="483" t="s">
        <v>260</v>
      </c>
      <c r="JZ31" s="483" t="s">
        <v>260</v>
      </c>
      <c r="KA31" s="483" t="s">
        <v>260</v>
      </c>
      <c r="KB31" s="483">
        <v>14</v>
      </c>
      <c r="KC31" s="483" t="s">
        <v>260</v>
      </c>
      <c r="KD31" s="483" t="s">
        <v>260</v>
      </c>
      <c r="KE31" s="483" t="s">
        <v>260</v>
      </c>
      <c r="KF31" s="483" t="s">
        <v>260</v>
      </c>
      <c r="KG31" s="483" t="s">
        <v>260</v>
      </c>
      <c r="KH31" s="483" t="s">
        <v>260</v>
      </c>
      <c r="KI31" s="483" t="s">
        <v>260</v>
      </c>
      <c r="KJ31" s="483" t="s">
        <v>260</v>
      </c>
      <c r="KK31" s="483" t="s">
        <v>260</v>
      </c>
      <c r="KL31" s="483" t="s">
        <v>260</v>
      </c>
      <c r="KM31" s="483" t="s">
        <v>260</v>
      </c>
      <c r="KN31" s="483" t="s">
        <v>260</v>
      </c>
      <c r="KO31" s="483" t="s">
        <v>260</v>
      </c>
      <c r="KP31" s="483" t="s">
        <v>260</v>
      </c>
      <c r="KQ31" s="483">
        <v>12</v>
      </c>
      <c r="KR31" s="483">
        <v>2</v>
      </c>
      <c r="KS31" s="483" t="s">
        <v>260</v>
      </c>
      <c r="KT31" s="483" t="s">
        <v>260</v>
      </c>
      <c r="KU31" s="483" t="s">
        <v>260</v>
      </c>
      <c r="KV31" s="483" t="s">
        <v>260</v>
      </c>
      <c r="KW31" s="483" t="s">
        <v>260</v>
      </c>
      <c r="KX31" s="483" t="s">
        <v>260</v>
      </c>
      <c r="KY31" s="483" t="s">
        <v>260</v>
      </c>
      <c r="KZ31" s="483" t="s">
        <v>260</v>
      </c>
      <c r="LA31" s="483" t="s">
        <v>260</v>
      </c>
      <c r="LB31" s="483" t="s">
        <v>260</v>
      </c>
      <c r="LC31" s="483" t="s">
        <v>260</v>
      </c>
      <c r="LD31" s="483" t="s">
        <v>260</v>
      </c>
      <c r="LE31" s="483" t="s">
        <v>260</v>
      </c>
      <c r="LF31" s="483" t="s">
        <v>260</v>
      </c>
      <c r="LG31" s="483" t="s">
        <v>260</v>
      </c>
      <c r="LH31" s="483" t="s">
        <v>260</v>
      </c>
      <c r="LI31" s="483" t="s">
        <v>260</v>
      </c>
      <c r="LJ31" s="483" t="s">
        <v>260</v>
      </c>
      <c r="LK31" s="483" t="s">
        <v>260</v>
      </c>
      <c r="LL31" s="483" t="s">
        <v>260</v>
      </c>
      <c r="LM31" s="483" t="s">
        <v>260</v>
      </c>
      <c r="LN31" s="483" t="s">
        <v>260</v>
      </c>
      <c r="LO31" s="483" t="s">
        <v>260</v>
      </c>
      <c r="LP31" s="483" t="s">
        <v>260</v>
      </c>
      <c r="LQ31" s="483" t="s">
        <v>260</v>
      </c>
      <c r="LR31" s="485" t="s">
        <v>260</v>
      </c>
      <c r="LS31" s="485">
        <v>0</v>
      </c>
      <c r="LT31" s="485" t="s">
        <v>260</v>
      </c>
      <c r="LU31" s="485" t="s">
        <v>260</v>
      </c>
      <c r="LV31" s="485" t="s">
        <v>260</v>
      </c>
      <c r="LW31" s="485" t="s">
        <v>260</v>
      </c>
      <c r="LX31" s="485" t="s">
        <v>260</v>
      </c>
      <c r="LY31" s="485" t="s">
        <v>260</v>
      </c>
      <c r="LZ31" s="485" t="s">
        <v>260</v>
      </c>
      <c r="MA31" s="485" t="s">
        <v>260</v>
      </c>
      <c r="MB31" s="485" t="s">
        <v>260</v>
      </c>
      <c r="MC31" s="485">
        <v>0</v>
      </c>
      <c r="MD31" s="485" t="s">
        <v>260</v>
      </c>
      <c r="ME31" s="485" t="s">
        <v>260</v>
      </c>
      <c r="MF31" s="485" t="s">
        <v>260</v>
      </c>
      <c r="MG31" s="485" t="s">
        <v>260</v>
      </c>
      <c r="MH31" s="485" t="s">
        <v>260</v>
      </c>
      <c r="MI31" s="485" t="s">
        <v>260</v>
      </c>
      <c r="MJ31" s="485">
        <v>0</v>
      </c>
      <c r="MK31" s="485" t="s">
        <v>260</v>
      </c>
      <c r="ML31" s="485" t="s">
        <v>260</v>
      </c>
      <c r="MM31" s="485" t="s">
        <v>260</v>
      </c>
      <c r="MN31" s="485" t="s">
        <v>260</v>
      </c>
      <c r="MO31" s="485" t="s">
        <v>260</v>
      </c>
      <c r="MP31" s="485" t="s">
        <v>260</v>
      </c>
      <c r="MQ31" s="485" t="s">
        <v>260</v>
      </c>
      <c r="MR31" s="485" t="s">
        <v>260</v>
      </c>
      <c r="MS31" s="485" t="s">
        <v>260</v>
      </c>
      <c r="MT31" s="485" t="s">
        <v>260</v>
      </c>
      <c r="MU31" s="485" t="s">
        <v>260</v>
      </c>
      <c r="MV31" s="485" t="s">
        <v>260</v>
      </c>
      <c r="MW31" s="485" t="s">
        <v>260</v>
      </c>
      <c r="MX31" s="485" t="s">
        <v>260</v>
      </c>
      <c r="MY31" s="485" t="s">
        <v>260</v>
      </c>
      <c r="MZ31" s="485" t="s">
        <v>260</v>
      </c>
      <c r="NA31" s="485" t="s">
        <v>260</v>
      </c>
      <c r="NB31" s="485">
        <v>0</v>
      </c>
      <c r="NC31" s="485" t="s">
        <v>260</v>
      </c>
      <c r="ND31" s="485" t="s">
        <v>260</v>
      </c>
      <c r="NE31" s="485" t="s">
        <v>5330</v>
      </c>
      <c r="NF31" s="485" t="s">
        <v>260</v>
      </c>
      <c r="NG31" s="485" t="s">
        <v>260</v>
      </c>
      <c r="NH31" s="485" t="s">
        <v>5330</v>
      </c>
      <c r="NI31" s="485" t="s">
        <v>260</v>
      </c>
      <c r="NJ31" s="485" t="s">
        <v>5330</v>
      </c>
      <c r="NK31" s="485" t="s">
        <v>260</v>
      </c>
      <c r="NL31" s="485" t="s">
        <v>260</v>
      </c>
      <c r="NM31" s="485" t="s">
        <v>260</v>
      </c>
      <c r="NN31" s="485" t="s">
        <v>260</v>
      </c>
      <c r="NO31" s="485">
        <v>0</v>
      </c>
      <c r="NP31" s="485">
        <v>0</v>
      </c>
      <c r="NQ31" s="485" t="s">
        <v>260</v>
      </c>
      <c r="NR31" s="485" t="s">
        <v>260</v>
      </c>
      <c r="NS31" s="485" t="s">
        <v>260</v>
      </c>
      <c r="NT31" s="485" t="s">
        <v>260</v>
      </c>
      <c r="NU31" s="485" t="s">
        <v>260</v>
      </c>
      <c r="NV31" s="485" t="s">
        <v>260</v>
      </c>
      <c r="NW31" s="485" t="s">
        <v>260</v>
      </c>
      <c r="NX31" s="485" t="s">
        <v>260</v>
      </c>
      <c r="NY31" s="485" t="s">
        <v>260</v>
      </c>
      <c r="NZ31" s="485" t="s">
        <v>260</v>
      </c>
      <c r="OA31" s="485" t="s">
        <v>260</v>
      </c>
      <c r="OB31" s="485" t="s">
        <v>260</v>
      </c>
      <c r="OC31" s="485" t="s">
        <v>260</v>
      </c>
      <c r="OD31" s="485">
        <v>0</v>
      </c>
      <c r="OE31" s="485" t="s">
        <v>260</v>
      </c>
      <c r="OF31" s="485" t="s">
        <v>260</v>
      </c>
      <c r="OG31" s="485" t="s">
        <v>260</v>
      </c>
      <c r="OH31" s="485" t="s">
        <v>260</v>
      </c>
      <c r="OI31" s="485" t="s">
        <v>260</v>
      </c>
      <c r="OJ31" s="485" t="s">
        <v>260</v>
      </c>
      <c r="OK31" s="485" t="s">
        <v>260</v>
      </c>
      <c r="OL31" s="485" t="s">
        <v>260</v>
      </c>
      <c r="OM31" s="483" t="s">
        <v>260</v>
      </c>
      <c r="ON31" s="483" t="s">
        <v>260</v>
      </c>
      <c r="OO31" s="483" t="s">
        <v>260</v>
      </c>
      <c r="OP31" s="483" t="s">
        <v>260</v>
      </c>
      <c r="OQ31" s="483" t="s">
        <v>260</v>
      </c>
      <c r="OR31" s="483" t="s">
        <v>260</v>
      </c>
      <c r="OS31" s="483" t="s">
        <v>260</v>
      </c>
      <c r="OT31" s="483" t="s">
        <v>260</v>
      </c>
      <c r="OU31" s="483" t="s">
        <v>260</v>
      </c>
      <c r="OV31" s="483" t="s">
        <v>260</v>
      </c>
      <c r="OW31" s="483" t="s">
        <v>260</v>
      </c>
      <c r="OX31" s="483" t="s">
        <v>260</v>
      </c>
      <c r="OY31" s="483" t="s">
        <v>260</v>
      </c>
      <c r="OZ31" s="483" t="s">
        <v>260</v>
      </c>
      <c r="PA31" s="483" t="s">
        <v>260</v>
      </c>
      <c r="PB31" s="483" t="s">
        <v>260</v>
      </c>
      <c r="PC31" s="483" t="s">
        <v>260</v>
      </c>
      <c r="PD31" s="483" t="s">
        <v>260</v>
      </c>
      <c r="PE31" s="485">
        <v>0</v>
      </c>
      <c r="PF31" s="483" t="s">
        <v>260</v>
      </c>
      <c r="PG31" s="483" t="s">
        <v>260</v>
      </c>
      <c r="PH31" s="483" t="s">
        <v>260</v>
      </c>
      <c r="PI31" s="483" t="s">
        <v>260</v>
      </c>
      <c r="PJ31" s="483" t="s">
        <v>260</v>
      </c>
      <c r="PK31" s="483" t="s">
        <v>260</v>
      </c>
      <c r="PL31" s="483" t="s">
        <v>260</v>
      </c>
      <c r="PM31" s="483" t="s">
        <v>260</v>
      </c>
    </row>
    <row r="32" spans="2:429" ht="16.5" customHeight="1" x14ac:dyDescent="0.3">
      <c r="B32" s="487" t="s">
        <v>344</v>
      </c>
      <c r="C32" s="483">
        <f t="shared" si="0"/>
        <v>112</v>
      </c>
      <c r="D32" s="483">
        <v>56</v>
      </c>
      <c r="E32" s="483">
        <v>56</v>
      </c>
      <c r="F32" s="483" t="s">
        <v>260</v>
      </c>
      <c r="G32" s="483" t="s">
        <v>260</v>
      </c>
      <c r="H32" s="483" t="s">
        <v>260</v>
      </c>
      <c r="I32" s="483" t="s">
        <v>260</v>
      </c>
      <c r="J32" s="483" t="s">
        <v>260</v>
      </c>
      <c r="K32" s="483" t="s">
        <v>260</v>
      </c>
      <c r="L32" s="483" t="s">
        <v>260</v>
      </c>
      <c r="M32" s="483" t="s">
        <v>260</v>
      </c>
      <c r="N32" s="483" t="s">
        <v>260</v>
      </c>
      <c r="O32" s="483" t="s">
        <v>260</v>
      </c>
      <c r="P32" s="483" t="s">
        <v>260</v>
      </c>
      <c r="Q32" s="483" t="s">
        <v>260</v>
      </c>
      <c r="R32" s="483" t="s">
        <v>260</v>
      </c>
      <c r="S32" s="483" t="s">
        <v>260</v>
      </c>
      <c r="T32" s="483" t="s">
        <v>260</v>
      </c>
      <c r="U32" s="483" t="s">
        <v>260</v>
      </c>
      <c r="V32" s="483" t="s">
        <v>260</v>
      </c>
      <c r="W32" s="483" t="s">
        <v>260</v>
      </c>
      <c r="X32" s="483" t="s">
        <v>260</v>
      </c>
      <c r="Y32" s="483" t="s">
        <v>260</v>
      </c>
      <c r="Z32" s="483" t="s">
        <v>260</v>
      </c>
      <c r="AA32" s="483" t="s">
        <v>260</v>
      </c>
      <c r="AB32" s="483" t="s">
        <v>260</v>
      </c>
      <c r="AC32" s="483" t="s">
        <v>260</v>
      </c>
      <c r="AD32" s="483" t="s">
        <v>260</v>
      </c>
      <c r="AE32" s="483" t="s">
        <v>260</v>
      </c>
      <c r="AF32" s="483" t="s">
        <v>260</v>
      </c>
      <c r="AG32" s="483" t="s">
        <v>260</v>
      </c>
      <c r="AH32" s="483" t="s">
        <v>260</v>
      </c>
      <c r="AI32" s="483" t="s">
        <v>260</v>
      </c>
      <c r="AJ32" s="483" t="s">
        <v>260</v>
      </c>
      <c r="AK32" s="483" t="s">
        <v>260</v>
      </c>
      <c r="AL32" s="483" t="s">
        <v>260</v>
      </c>
      <c r="AM32" s="483" t="s">
        <v>260</v>
      </c>
      <c r="AN32" s="483" t="s">
        <v>260</v>
      </c>
      <c r="AO32" s="483" t="s">
        <v>260</v>
      </c>
      <c r="AP32" s="483" t="s">
        <v>260</v>
      </c>
      <c r="AQ32" s="483" t="s">
        <v>260</v>
      </c>
      <c r="AR32" s="483" t="s">
        <v>260</v>
      </c>
      <c r="AS32" s="483" t="s">
        <v>260</v>
      </c>
      <c r="AT32" s="483">
        <f t="shared" si="1"/>
        <v>144</v>
      </c>
      <c r="AU32" s="483">
        <v>32</v>
      </c>
      <c r="AV32" s="483" t="s">
        <v>260</v>
      </c>
      <c r="AW32" s="483" t="s">
        <v>260</v>
      </c>
      <c r="AX32" s="483" t="s">
        <v>260</v>
      </c>
      <c r="AY32" s="483" t="s">
        <v>260</v>
      </c>
      <c r="AZ32" s="483">
        <v>78</v>
      </c>
      <c r="BA32" s="483">
        <v>34</v>
      </c>
      <c r="BB32" s="483" t="s">
        <v>260</v>
      </c>
      <c r="BC32" s="483" t="s">
        <v>260</v>
      </c>
      <c r="BD32" s="483" t="s">
        <v>260</v>
      </c>
      <c r="BE32" s="483" t="s">
        <v>260</v>
      </c>
      <c r="BF32" s="483" t="s">
        <v>260</v>
      </c>
      <c r="BG32" s="483" t="s">
        <v>260</v>
      </c>
      <c r="BH32" s="483" t="s">
        <v>260</v>
      </c>
      <c r="BI32" s="483" t="s">
        <v>260</v>
      </c>
      <c r="BJ32" s="483" t="s">
        <v>260</v>
      </c>
      <c r="BK32" s="483" t="s">
        <v>260</v>
      </c>
      <c r="BL32" s="483" t="s">
        <v>260</v>
      </c>
      <c r="BM32" s="483" t="s">
        <v>260</v>
      </c>
      <c r="BN32" s="483" t="s">
        <v>260</v>
      </c>
      <c r="BO32" s="483" t="s">
        <v>260</v>
      </c>
      <c r="BP32" s="483" t="s">
        <v>260</v>
      </c>
      <c r="BQ32" s="483" t="s">
        <v>260</v>
      </c>
      <c r="BR32" s="483" t="s">
        <v>260</v>
      </c>
      <c r="BS32" s="483" t="s">
        <v>260</v>
      </c>
      <c r="BT32" s="483" t="s">
        <v>260</v>
      </c>
      <c r="BU32" s="483" t="s">
        <v>260</v>
      </c>
      <c r="BV32" s="483" t="s">
        <v>260</v>
      </c>
      <c r="BW32" s="483" t="s">
        <v>260</v>
      </c>
      <c r="BX32" s="483" t="s">
        <v>260</v>
      </c>
      <c r="BY32" s="483" t="s">
        <v>260</v>
      </c>
      <c r="BZ32" s="483" t="s">
        <v>260</v>
      </c>
      <c r="CA32" s="483" t="s">
        <v>260</v>
      </c>
      <c r="CB32" s="483" t="s">
        <v>260</v>
      </c>
      <c r="CC32" s="483" t="s">
        <v>260</v>
      </c>
      <c r="CD32" s="483" t="s">
        <v>260</v>
      </c>
      <c r="CE32" s="483" t="s">
        <v>260</v>
      </c>
      <c r="CF32" s="483" t="s">
        <v>260</v>
      </c>
      <c r="CG32" s="483" t="s">
        <v>260</v>
      </c>
      <c r="CH32" s="483" t="s">
        <v>260</v>
      </c>
      <c r="CI32" s="483" t="s">
        <v>260</v>
      </c>
      <c r="CJ32" s="483" t="s">
        <v>260</v>
      </c>
      <c r="CK32" s="483" t="s">
        <v>260</v>
      </c>
      <c r="CL32" s="483" t="s">
        <v>260</v>
      </c>
      <c r="CM32" s="483" t="s">
        <v>260</v>
      </c>
      <c r="CN32" s="483" t="s">
        <v>260</v>
      </c>
      <c r="CO32" s="483" t="s">
        <v>260</v>
      </c>
      <c r="CP32" s="483" t="s">
        <v>260</v>
      </c>
      <c r="CQ32" s="483" t="s">
        <v>260</v>
      </c>
      <c r="CR32" s="483" t="s">
        <v>260</v>
      </c>
      <c r="CS32" s="483" t="s">
        <v>260</v>
      </c>
      <c r="CT32" s="483" t="s">
        <v>260</v>
      </c>
      <c r="CU32" s="483" t="s">
        <v>260</v>
      </c>
      <c r="CV32" s="483" t="s">
        <v>260</v>
      </c>
      <c r="CW32" s="483" t="s">
        <v>260</v>
      </c>
      <c r="CX32" s="483" t="s">
        <v>260</v>
      </c>
      <c r="CY32" s="483" t="s">
        <v>260</v>
      </c>
      <c r="CZ32" s="483" t="s">
        <v>260</v>
      </c>
      <c r="DA32" s="483" t="s">
        <v>260</v>
      </c>
      <c r="DB32" s="483" t="s">
        <v>260</v>
      </c>
      <c r="DC32" s="483" t="s">
        <v>260</v>
      </c>
      <c r="DD32" s="483" t="s">
        <v>260</v>
      </c>
      <c r="DE32" s="483" t="s">
        <v>260</v>
      </c>
      <c r="DF32" s="483" t="s">
        <v>260</v>
      </c>
      <c r="DG32" s="483" t="s">
        <v>260</v>
      </c>
      <c r="DH32" s="483" t="s">
        <v>260</v>
      </c>
      <c r="DI32" s="483" t="s">
        <v>260</v>
      </c>
      <c r="DJ32" s="483" t="s">
        <v>260</v>
      </c>
      <c r="DK32" s="483" t="s">
        <v>260</v>
      </c>
      <c r="DL32" s="483" t="s">
        <v>260</v>
      </c>
      <c r="DM32" s="483" t="s">
        <v>260</v>
      </c>
      <c r="DN32" s="483">
        <v>0</v>
      </c>
      <c r="DO32" s="483" t="s">
        <v>260</v>
      </c>
      <c r="DP32" s="483" t="s">
        <v>260</v>
      </c>
      <c r="DQ32" s="483" t="s">
        <v>260</v>
      </c>
      <c r="DR32" s="483" t="s">
        <v>260</v>
      </c>
      <c r="DS32" s="483" t="s">
        <v>260</v>
      </c>
      <c r="DT32" s="483" t="s">
        <v>260</v>
      </c>
      <c r="DU32" s="483" t="s">
        <v>260</v>
      </c>
      <c r="DV32" s="483" t="s">
        <v>260</v>
      </c>
      <c r="DW32" s="483" t="s">
        <v>260</v>
      </c>
      <c r="DX32" s="483" t="s">
        <v>260</v>
      </c>
      <c r="DY32" s="483" t="s">
        <v>260</v>
      </c>
      <c r="DZ32" s="483" t="s">
        <v>260</v>
      </c>
      <c r="EA32" s="483" t="s">
        <v>260</v>
      </c>
      <c r="EB32" s="483">
        <v>216</v>
      </c>
      <c r="EC32" s="483">
        <v>150</v>
      </c>
      <c r="ED32" s="483" t="s">
        <v>260</v>
      </c>
      <c r="EE32" s="483" t="s">
        <v>260</v>
      </c>
      <c r="EF32" s="483" t="s">
        <v>260</v>
      </c>
      <c r="EG32" s="483" t="s">
        <v>260</v>
      </c>
      <c r="EH32" s="483" t="s">
        <v>260</v>
      </c>
      <c r="EI32" s="483" t="s">
        <v>260</v>
      </c>
      <c r="EJ32" s="483" t="s">
        <v>260</v>
      </c>
      <c r="EK32" s="483" t="s">
        <v>260</v>
      </c>
      <c r="EL32" s="483" t="s">
        <v>260</v>
      </c>
      <c r="EM32" s="483">
        <v>66</v>
      </c>
      <c r="EN32" s="483" t="s">
        <v>260</v>
      </c>
      <c r="EO32" s="483" t="s">
        <v>260</v>
      </c>
      <c r="EP32" s="483" t="s">
        <v>260</v>
      </c>
      <c r="EQ32" s="483" t="s">
        <v>260</v>
      </c>
      <c r="ER32" s="483" t="s">
        <v>260</v>
      </c>
      <c r="ES32" s="483" t="s">
        <v>260</v>
      </c>
      <c r="ET32" s="483" t="s">
        <v>260</v>
      </c>
      <c r="EU32" s="483" t="s">
        <v>260</v>
      </c>
      <c r="EV32" s="483" t="s">
        <v>260</v>
      </c>
      <c r="EW32" s="483" t="s">
        <v>260</v>
      </c>
      <c r="EX32" s="483" t="s">
        <v>260</v>
      </c>
      <c r="EY32" s="483" t="s">
        <v>260</v>
      </c>
      <c r="EZ32" s="483" t="s">
        <v>260</v>
      </c>
      <c r="FA32" s="483" t="s">
        <v>260</v>
      </c>
      <c r="FB32" s="483" t="s">
        <v>260</v>
      </c>
      <c r="FC32" s="483" t="s">
        <v>260</v>
      </c>
      <c r="FD32" s="483">
        <v>112</v>
      </c>
      <c r="FE32" s="483" t="s">
        <v>260</v>
      </c>
      <c r="FF32" s="483" t="s">
        <v>260</v>
      </c>
      <c r="FG32" s="483" t="s">
        <v>260</v>
      </c>
      <c r="FH32" s="483" t="s">
        <v>260</v>
      </c>
      <c r="FI32" s="483" t="s">
        <v>260</v>
      </c>
      <c r="FJ32" s="483" t="s">
        <v>260</v>
      </c>
      <c r="FK32" s="483" t="s">
        <v>260</v>
      </c>
      <c r="FL32" s="483" t="s">
        <v>260</v>
      </c>
      <c r="FM32" s="483" t="s">
        <v>260</v>
      </c>
      <c r="FN32" s="483" t="s">
        <v>260</v>
      </c>
      <c r="FO32" s="483" t="s">
        <v>260</v>
      </c>
      <c r="FP32" s="483" t="s">
        <v>260</v>
      </c>
      <c r="FQ32" s="483" t="s">
        <v>260</v>
      </c>
      <c r="FR32" s="483" t="s">
        <v>260</v>
      </c>
      <c r="FS32" s="483" t="s">
        <v>260</v>
      </c>
      <c r="FT32" s="483" t="s">
        <v>260</v>
      </c>
      <c r="FU32" s="483" t="s">
        <v>260</v>
      </c>
      <c r="FV32" s="483" t="s">
        <v>260</v>
      </c>
      <c r="FW32" s="483" t="s">
        <v>260</v>
      </c>
      <c r="FX32" s="483" t="s">
        <v>260</v>
      </c>
      <c r="FY32" s="483" t="s">
        <v>260</v>
      </c>
      <c r="FZ32" s="483" t="s">
        <v>260</v>
      </c>
      <c r="GA32" s="483" t="s">
        <v>260</v>
      </c>
      <c r="GB32" s="483" t="s">
        <v>260</v>
      </c>
      <c r="GC32" s="483" t="s">
        <v>260</v>
      </c>
      <c r="GD32" s="483" t="s">
        <v>260</v>
      </c>
      <c r="GE32" s="483" t="s">
        <v>260</v>
      </c>
      <c r="GF32" s="483" t="s">
        <v>260</v>
      </c>
      <c r="GG32" s="483" t="s">
        <v>260</v>
      </c>
      <c r="GH32" s="483" t="s">
        <v>260</v>
      </c>
      <c r="GI32" s="483" t="s">
        <v>260</v>
      </c>
      <c r="GJ32" s="483" t="s">
        <v>260</v>
      </c>
      <c r="GK32" s="483" t="s">
        <v>260</v>
      </c>
      <c r="GL32" s="483" t="s">
        <v>260</v>
      </c>
      <c r="GM32" s="483" t="s">
        <v>260</v>
      </c>
      <c r="GN32" s="483">
        <v>112</v>
      </c>
      <c r="GO32" s="483" t="s">
        <v>260</v>
      </c>
      <c r="GP32" s="483" t="s">
        <v>260</v>
      </c>
      <c r="GQ32" s="483" t="s">
        <v>260</v>
      </c>
      <c r="GR32" s="483" t="s">
        <v>260</v>
      </c>
      <c r="GS32" s="483" t="s">
        <v>260</v>
      </c>
      <c r="GT32" s="483" t="s">
        <v>260</v>
      </c>
      <c r="GU32" s="483" t="s">
        <v>260</v>
      </c>
      <c r="GV32" s="483" t="s">
        <v>260</v>
      </c>
      <c r="GW32" s="483" t="s">
        <v>260</v>
      </c>
      <c r="GX32" s="483" t="s">
        <v>260</v>
      </c>
      <c r="GY32" s="483" t="s">
        <v>260</v>
      </c>
      <c r="GZ32" s="483">
        <v>48</v>
      </c>
      <c r="HA32" s="483">
        <v>48</v>
      </c>
      <c r="HB32" s="483" t="s">
        <v>260</v>
      </c>
      <c r="HC32" s="483" t="s">
        <v>260</v>
      </c>
      <c r="HD32" s="483" t="s">
        <v>260</v>
      </c>
      <c r="HE32" s="483" t="s">
        <v>260</v>
      </c>
      <c r="HF32" s="483" t="s">
        <v>260</v>
      </c>
      <c r="HG32" s="483" t="s">
        <v>260</v>
      </c>
      <c r="HH32" s="483" t="s">
        <v>260</v>
      </c>
      <c r="HI32" s="483" t="s">
        <v>260</v>
      </c>
      <c r="HJ32" s="483" t="s">
        <v>260</v>
      </c>
      <c r="HK32" s="483" t="s">
        <v>260</v>
      </c>
      <c r="HL32" s="483" t="s">
        <v>260</v>
      </c>
      <c r="HM32" s="483" t="s">
        <v>260</v>
      </c>
      <c r="HN32" s="483" t="s">
        <v>260</v>
      </c>
      <c r="HO32" s="483" t="s">
        <v>260</v>
      </c>
      <c r="HP32" s="483" t="s">
        <v>260</v>
      </c>
      <c r="HQ32" s="483" t="s">
        <v>260</v>
      </c>
      <c r="HR32" s="483" t="s">
        <v>260</v>
      </c>
      <c r="HS32" s="483" t="s">
        <v>260</v>
      </c>
      <c r="HT32" s="483" t="s">
        <v>260</v>
      </c>
      <c r="HU32" s="483" t="s">
        <v>260</v>
      </c>
      <c r="HV32" s="483" t="s">
        <v>260</v>
      </c>
      <c r="HW32" s="483" t="s">
        <v>260</v>
      </c>
      <c r="HX32" s="483" t="s">
        <v>260</v>
      </c>
      <c r="HY32" s="483" t="s">
        <v>260</v>
      </c>
      <c r="HZ32" s="483" t="s">
        <v>260</v>
      </c>
      <c r="IA32" s="483" t="s">
        <v>260</v>
      </c>
      <c r="IB32" s="483" t="s">
        <v>260</v>
      </c>
      <c r="IC32" s="483" t="s">
        <v>260</v>
      </c>
      <c r="ID32" s="483" t="s">
        <v>260</v>
      </c>
      <c r="IE32" s="483" t="s">
        <v>260</v>
      </c>
      <c r="IF32" s="483">
        <v>0</v>
      </c>
      <c r="IG32" s="483" t="s">
        <v>260</v>
      </c>
      <c r="IH32" s="483" t="s">
        <v>260</v>
      </c>
      <c r="II32" s="483" t="s">
        <v>260</v>
      </c>
      <c r="IJ32" s="483" t="s">
        <v>260</v>
      </c>
      <c r="IK32" s="483">
        <v>0</v>
      </c>
      <c r="IL32" s="483" t="s">
        <v>260</v>
      </c>
      <c r="IM32" s="483" t="s">
        <v>260</v>
      </c>
      <c r="IN32" s="483" t="s">
        <v>260</v>
      </c>
      <c r="IO32" s="483" t="s">
        <v>260</v>
      </c>
      <c r="IP32" s="483" t="s">
        <v>260</v>
      </c>
      <c r="IQ32" s="483" t="s">
        <v>260</v>
      </c>
      <c r="IR32" s="483" t="s">
        <v>260</v>
      </c>
      <c r="IS32" s="483" t="s">
        <v>260</v>
      </c>
      <c r="IT32" s="483" t="s">
        <v>260</v>
      </c>
      <c r="IU32" s="483" t="s">
        <v>260</v>
      </c>
      <c r="IV32" s="483" t="s">
        <v>260</v>
      </c>
      <c r="IW32" s="483" t="s">
        <v>260</v>
      </c>
      <c r="IX32" s="483" t="s">
        <v>260</v>
      </c>
      <c r="IY32" s="483" t="s">
        <v>260</v>
      </c>
      <c r="IZ32" s="483" t="s">
        <v>260</v>
      </c>
      <c r="JA32" s="483" t="s">
        <v>260</v>
      </c>
      <c r="JB32" s="483" t="s">
        <v>260</v>
      </c>
      <c r="JC32" s="483" t="s">
        <v>260</v>
      </c>
      <c r="JD32" s="483" t="s">
        <v>260</v>
      </c>
      <c r="JE32" s="483">
        <v>15</v>
      </c>
      <c r="JF32" s="483">
        <v>15</v>
      </c>
      <c r="JG32" s="483" t="s">
        <v>260</v>
      </c>
      <c r="JH32" s="483" t="s">
        <v>260</v>
      </c>
      <c r="JI32" s="483" t="s">
        <v>260</v>
      </c>
      <c r="JJ32" s="483" t="s">
        <v>260</v>
      </c>
      <c r="JK32" s="483" t="s">
        <v>260</v>
      </c>
      <c r="JL32" s="483" t="s">
        <v>260</v>
      </c>
      <c r="JM32" s="483" t="s">
        <v>260</v>
      </c>
      <c r="JN32" s="483" t="s">
        <v>260</v>
      </c>
      <c r="JO32" s="483" t="s">
        <v>260</v>
      </c>
      <c r="JP32" s="483" t="s">
        <v>260</v>
      </c>
      <c r="JQ32" s="483" t="s">
        <v>260</v>
      </c>
      <c r="JR32" s="483" t="s">
        <v>260</v>
      </c>
      <c r="JS32" s="483" t="s">
        <v>260</v>
      </c>
      <c r="JT32" s="483" t="s">
        <v>260</v>
      </c>
      <c r="JU32" s="483" t="s">
        <v>260</v>
      </c>
      <c r="JV32" s="483" t="s">
        <v>260</v>
      </c>
      <c r="JW32" s="483" t="s">
        <v>260</v>
      </c>
      <c r="JX32" s="483" t="s">
        <v>260</v>
      </c>
      <c r="JY32" s="483" t="s">
        <v>260</v>
      </c>
      <c r="JZ32" s="483" t="s">
        <v>260</v>
      </c>
      <c r="KA32" s="483" t="s">
        <v>260</v>
      </c>
      <c r="KB32" s="483">
        <v>0</v>
      </c>
      <c r="KC32" s="483" t="s">
        <v>260</v>
      </c>
      <c r="KD32" s="483" t="s">
        <v>260</v>
      </c>
      <c r="KE32" s="483" t="s">
        <v>260</v>
      </c>
      <c r="KF32" s="483" t="s">
        <v>260</v>
      </c>
      <c r="KG32" s="483" t="s">
        <v>260</v>
      </c>
      <c r="KH32" s="483" t="s">
        <v>260</v>
      </c>
      <c r="KI32" s="483" t="s">
        <v>260</v>
      </c>
      <c r="KJ32" s="483" t="s">
        <v>260</v>
      </c>
      <c r="KK32" s="483" t="s">
        <v>260</v>
      </c>
      <c r="KL32" s="483" t="s">
        <v>260</v>
      </c>
      <c r="KM32" s="483" t="s">
        <v>260</v>
      </c>
      <c r="KN32" s="483" t="s">
        <v>260</v>
      </c>
      <c r="KO32" s="483" t="s">
        <v>260</v>
      </c>
      <c r="KP32" s="483" t="s">
        <v>260</v>
      </c>
      <c r="KQ32" s="483" t="s">
        <v>260</v>
      </c>
      <c r="KR32" s="483" t="s">
        <v>260</v>
      </c>
      <c r="KS32" s="483" t="s">
        <v>260</v>
      </c>
      <c r="KT32" s="483" t="s">
        <v>260</v>
      </c>
      <c r="KU32" s="483" t="s">
        <v>260</v>
      </c>
      <c r="KV32" s="483" t="s">
        <v>260</v>
      </c>
      <c r="KW32" s="483" t="s">
        <v>260</v>
      </c>
      <c r="KX32" s="483" t="s">
        <v>260</v>
      </c>
      <c r="KY32" s="483" t="s">
        <v>260</v>
      </c>
      <c r="KZ32" s="483" t="s">
        <v>260</v>
      </c>
      <c r="LA32" s="483" t="s">
        <v>260</v>
      </c>
      <c r="LB32" s="483" t="s">
        <v>260</v>
      </c>
      <c r="LC32" s="483" t="s">
        <v>260</v>
      </c>
      <c r="LD32" s="483" t="s">
        <v>260</v>
      </c>
      <c r="LE32" s="483" t="s">
        <v>260</v>
      </c>
      <c r="LF32" s="483" t="s">
        <v>260</v>
      </c>
      <c r="LG32" s="483" t="s">
        <v>260</v>
      </c>
      <c r="LH32" s="483" t="s">
        <v>260</v>
      </c>
      <c r="LI32" s="483" t="s">
        <v>260</v>
      </c>
      <c r="LJ32" s="483" t="s">
        <v>260</v>
      </c>
      <c r="LK32" s="483" t="s">
        <v>260</v>
      </c>
      <c r="LL32" s="483" t="s">
        <v>260</v>
      </c>
      <c r="LM32" s="483" t="s">
        <v>260</v>
      </c>
      <c r="LN32" s="483" t="s">
        <v>260</v>
      </c>
      <c r="LO32" s="483" t="s">
        <v>260</v>
      </c>
      <c r="LP32" s="483" t="s">
        <v>260</v>
      </c>
      <c r="LQ32" s="483" t="s">
        <v>260</v>
      </c>
      <c r="LR32" s="485" t="s">
        <v>260</v>
      </c>
      <c r="LS32" s="485">
        <v>0</v>
      </c>
      <c r="LT32" s="485" t="s">
        <v>260</v>
      </c>
      <c r="LU32" s="485" t="s">
        <v>260</v>
      </c>
      <c r="LV32" s="485" t="s">
        <v>260</v>
      </c>
      <c r="LW32" s="485" t="s">
        <v>260</v>
      </c>
      <c r="LX32" s="485" t="s">
        <v>260</v>
      </c>
      <c r="LY32" s="485" t="s">
        <v>260</v>
      </c>
      <c r="LZ32" s="485" t="s">
        <v>260</v>
      </c>
      <c r="MA32" s="485" t="s">
        <v>260</v>
      </c>
      <c r="MB32" s="485" t="s">
        <v>260</v>
      </c>
      <c r="MC32" s="485">
        <v>0</v>
      </c>
      <c r="MD32" s="485" t="s">
        <v>260</v>
      </c>
      <c r="ME32" s="485" t="s">
        <v>260</v>
      </c>
      <c r="MF32" s="485" t="s">
        <v>260</v>
      </c>
      <c r="MG32" s="485" t="s">
        <v>260</v>
      </c>
      <c r="MH32" s="485" t="s">
        <v>260</v>
      </c>
      <c r="MI32" s="485" t="s">
        <v>260</v>
      </c>
      <c r="MJ32" s="485">
        <v>0</v>
      </c>
      <c r="MK32" s="485" t="s">
        <v>260</v>
      </c>
      <c r="ML32" s="485" t="s">
        <v>260</v>
      </c>
      <c r="MM32" s="485" t="s">
        <v>260</v>
      </c>
      <c r="MN32" s="485" t="s">
        <v>260</v>
      </c>
      <c r="MO32" s="485" t="s">
        <v>260</v>
      </c>
      <c r="MP32" s="485" t="s">
        <v>260</v>
      </c>
      <c r="MQ32" s="485" t="s">
        <v>260</v>
      </c>
      <c r="MR32" s="485" t="s">
        <v>260</v>
      </c>
      <c r="MS32" s="485" t="s">
        <v>260</v>
      </c>
      <c r="MT32" s="485" t="s">
        <v>260</v>
      </c>
      <c r="MU32" s="485" t="s">
        <v>260</v>
      </c>
      <c r="MV32" s="485" t="s">
        <v>260</v>
      </c>
      <c r="MW32" s="485" t="s">
        <v>260</v>
      </c>
      <c r="MX32" s="485" t="s">
        <v>260</v>
      </c>
      <c r="MY32" s="485" t="s">
        <v>260</v>
      </c>
      <c r="MZ32" s="485" t="s">
        <v>260</v>
      </c>
      <c r="NA32" s="485" t="s">
        <v>260</v>
      </c>
      <c r="NB32" s="485">
        <v>0</v>
      </c>
      <c r="NC32" s="485" t="s">
        <v>260</v>
      </c>
      <c r="ND32" s="485" t="s">
        <v>260</v>
      </c>
      <c r="NE32" s="485" t="s">
        <v>260</v>
      </c>
      <c r="NF32" s="485" t="s">
        <v>260</v>
      </c>
      <c r="NG32" s="485" t="s">
        <v>260</v>
      </c>
      <c r="NH32" s="485" t="s">
        <v>260</v>
      </c>
      <c r="NI32" s="485" t="s">
        <v>260</v>
      </c>
      <c r="NJ32" s="485" t="s">
        <v>260</v>
      </c>
      <c r="NK32" s="485" t="s">
        <v>260</v>
      </c>
      <c r="NL32" s="485" t="s">
        <v>260</v>
      </c>
      <c r="NM32" s="485" t="s">
        <v>260</v>
      </c>
      <c r="NN32" s="485" t="s">
        <v>260</v>
      </c>
      <c r="NO32" s="485">
        <v>0</v>
      </c>
      <c r="NP32" s="485">
        <v>0</v>
      </c>
      <c r="NQ32" s="485" t="s">
        <v>260</v>
      </c>
      <c r="NR32" s="485" t="s">
        <v>260</v>
      </c>
      <c r="NS32" s="485" t="s">
        <v>260</v>
      </c>
      <c r="NT32" s="485" t="s">
        <v>260</v>
      </c>
      <c r="NU32" s="485" t="s">
        <v>260</v>
      </c>
      <c r="NV32" s="485" t="s">
        <v>260</v>
      </c>
      <c r="NW32" s="485" t="s">
        <v>260</v>
      </c>
      <c r="NX32" s="485" t="s">
        <v>260</v>
      </c>
      <c r="NY32" s="485" t="s">
        <v>260</v>
      </c>
      <c r="NZ32" s="485" t="s">
        <v>260</v>
      </c>
      <c r="OA32" s="485" t="s">
        <v>260</v>
      </c>
      <c r="OB32" s="485" t="s">
        <v>260</v>
      </c>
      <c r="OC32" s="485" t="s">
        <v>260</v>
      </c>
      <c r="OD32" s="485">
        <v>0</v>
      </c>
      <c r="OE32" s="485" t="s">
        <v>260</v>
      </c>
      <c r="OF32" s="485" t="s">
        <v>260</v>
      </c>
      <c r="OG32" s="485" t="s">
        <v>260</v>
      </c>
      <c r="OH32" s="485" t="s">
        <v>260</v>
      </c>
      <c r="OI32" s="485" t="s">
        <v>260</v>
      </c>
      <c r="OJ32" s="485" t="s">
        <v>5330</v>
      </c>
      <c r="OK32" s="485" t="s">
        <v>260</v>
      </c>
      <c r="OL32" s="485" t="s">
        <v>260</v>
      </c>
      <c r="OM32" s="483">
        <v>30</v>
      </c>
      <c r="ON32" s="483" t="s">
        <v>260</v>
      </c>
      <c r="OO32" s="483" t="s">
        <v>260</v>
      </c>
      <c r="OP32" s="483" t="s">
        <v>260</v>
      </c>
      <c r="OQ32" s="483" t="s">
        <v>260</v>
      </c>
      <c r="OR32" s="483" t="s">
        <v>260</v>
      </c>
      <c r="OS32" s="483" t="s">
        <v>260</v>
      </c>
      <c r="OT32" s="483" t="s">
        <v>260</v>
      </c>
      <c r="OU32" s="483" t="s">
        <v>260</v>
      </c>
      <c r="OV32" s="483" t="s">
        <v>260</v>
      </c>
      <c r="OW32" s="483" t="s">
        <v>260</v>
      </c>
      <c r="OX32" s="483" t="s">
        <v>260</v>
      </c>
      <c r="OY32" s="483" t="s">
        <v>260</v>
      </c>
      <c r="OZ32" s="483" t="s">
        <v>260</v>
      </c>
      <c r="PA32" s="483" t="s">
        <v>260</v>
      </c>
      <c r="PB32" s="483" t="s">
        <v>260</v>
      </c>
      <c r="PC32" s="483" t="s">
        <v>260</v>
      </c>
      <c r="PD32" s="483" t="s">
        <v>260</v>
      </c>
      <c r="PE32" s="485">
        <v>0</v>
      </c>
      <c r="PF32" s="483" t="s">
        <v>260</v>
      </c>
      <c r="PG32" s="483" t="s">
        <v>260</v>
      </c>
      <c r="PH32" s="483" t="s">
        <v>260</v>
      </c>
      <c r="PI32" s="483" t="s">
        <v>260</v>
      </c>
      <c r="PJ32" s="483" t="s">
        <v>260</v>
      </c>
      <c r="PK32" s="483" t="s">
        <v>260</v>
      </c>
      <c r="PL32" s="483" t="s">
        <v>260</v>
      </c>
      <c r="PM32" s="483" t="s">
        <v>260</v>
      </c>
    </row>
    <row r="33" spans="2:429" ht="15.6" x14ac:dyDescent="0.3">
      <c r="B33" s="487" t="s">
        <v>2168</v>
      </c>
      <c r="C33" s="483">
        <f t="shared" si="0"/>
        <v>0</v>
      </c>
      <c r="D33" s="483">
        <v>0</v>
      </c>
      <c r="E33" s="483" t="s">
        <v>260</v>
      </c>
      <c r="F33" s="483" t="s">
        <v>260</v>
      </c>
      <c r="G33" s="483" t="s">
        <v>260</v>
      </c>
      <c r="H33" s="483" t="s">
        <v>260</v>
      </c>
      <c r="I33" s="483" t="s">
        <v>260</v>
      </c>
      <c r="J33" s="483" t="s">
        <v>260</v>
      </c>
      <c r="K33" s="483" t="s">
        <v>260</v>
      </c>
      <c r="L33" s="483" t="s">
        <v>260</v>
      </c>
      <c r="M33" s="483" t="s">
        <v>260</v>
      </c>
      <c r="N33" s="483" t="s">
        <v>260</v>
      </c>
      <c r="O33" s="483" t="s">
        <v>260</v>
      </c>
      <c r="P33" s="483" t="s">
        <v>260</v>
      </c>
      <c r="Q33" s="483" t="s">
        <v>260</v>
      </c>
      <c r="R33" s="483" t="s">
        <v>260</v>
      </c>
      <c r="S33" s="483" t="s">
        <v>260</v>
      </c>
      <c r="T33" s="483" t="s">
        <v>260</v>
      </c>
      <c r="U33" s="483" t="s">
        <v>260</v>
      </c>
      <c r="V33" s="483" t="s">
        <v>260</v>
      </c>
      <c r="W33" s="483" t="s">
        <v>260</v>
      </c>
      <c r="X33" s="483" t="s">
        <v>260</v>
      </c>
      <c r="Y33" s="483" t="s">
        <v>260</v>
      </c>
      <c r="Z33" s="483" t="s">
        <v>260</v>
      </c>
      <c r="AA33" s="483" t="s">
        <v>260</v>
      </c>
      <c r="AB33" s="483" t="s">
        <v>260</v>
      </c>
      <c r="AC33" s="483" t="s">
        <v>260</v>
      </c>
      <c r="AD33" s="483" t="s">
        <v>260</v>
      </c>
      <c r="AE33" s="483" t="s">
        <v>260</v>
      </c>
      <c r="AF33" s="483" t="s">
        <v>260</v>
      </c>
      <c r="AG33" s="483" t="s">
        <v>260</v>
      </c>
      <c r="AH33" s="483" t="s">
        <v>260</v>
      </c>
      <c r="AI33" s="483" t="s">
        <v>260</v>
      </c>
      <c r="AJ33" s="483" t="s">
        <v>260</v>
      </c>
      <c r="AK33" s="483" t="s">
        <v>260</v>
      </c>
      <c r="AL33" s="483" t="s">
        <v>260</v>
      </c>
      <c r="AM33" s="483" t="s">
        <v>260</v>
      </c>
      <c r="AN33" s="483" t="s">
        <v>260</v>
      </c>
      <c r="AO33" s="483" t="s">
        <v>260</v>
      </c>
      <c r="AP33" s="483" t="s">
        <v>260</v>
      </c>
      <c r="AQ33" s="483" t="s">
        <v>260</v>
      </c>
      <c r="AR33" s="483" t="s">
        <v>260</v>
      </c>
      <c r="AS33" s="483" t="s">
        <v>260</v>
      </c>
      <c r="AT33" s="483">
        <f t="shared" si="1"/>
        <v>0</v>
      </c>
      <c r="AU33" s="483" t="s">
        <v>260</v>
      </c>
      <c r="AV33" s="483" t="s">
        <v>260</v>
      </c>
      <c r="AW33" s="483" t="s">
        <v>260</v>
      </c>
      <c r="AX33" s="483" t="s">
        <v>260</v>
      </c>
      <c r="AY33" s="483" t="s">
        <v>260</v>
      </c>
      <c r="AZ33" s="483" t="s">
        <v>260</v>
      </c>
      <c r="BA33" s="483" t="s">
        <v>260</v>
      </c>
      <c r="BB33" s="483" t="s">
        <v>260</v>
      </c>
      <c r="BC33" s="483" t="s">
        <v>260</v>
      </c>
      <c r="BD33" s="483" t="s">
        <v>260</v>
      </c>
      <c r="BE33" s="483" t="s">
        <v>260</v>
      </c>
      <c r="BF33" s="483" t="s">
        <v>260</v>
      </c>
      <c r="BG33" s="483" t="s">
        <v>260</v>
      </c>
      <c r="BH33" s="483" t="s">
        <v>260</v>
      </c>
      <c r="BI33" s="483" t="s">
        <v>260</v>
      </c>
      <c r="BJ33" s="483" t="s">
        <v>260</v>
      </c>
      <c r="BK33" s="483" t="s">
        <v>260</v>
      </c>
      <c r="BL33" s="483" t="s">
        <v>260</v>
      </c>
      <c r="BM33" s="483" t="s">
        <v>260</v>
      </c>
      <c r="BN33" s="483" t="s">
        <v>260</v>
      </c>
      <c r="BO33" s="483" t="s">
        <v>260</v>
      </c>
      <c r="BP33" s="483" t="s">
        <v>260</v>
      </c>
      <c r="BQ33" s="483" t="s">
        <v>260</v>
      </c>
      <c r="BR33" s="483" t="s">
        <v>260</v>
      </c>
      <c r="BS33" s="483" t="s">
        <v>260</v>
      </c>
      <c r="BT33" s="483" t="s">
        <v>260</v>
      </c>
      <c r="BU33" s="483" t="s">
        <v>260</v>
      </c>
      <c r="BV33" s="483" t="s">
        <v>260</v>
      </c>
      <c r="BW33" s="483" t="s">
        <v>260</v>
      </c>
      <c r="BX33" s="483" t="s">
        <v>260</v>
      </c>
      <c r="BY33" s="483" t="s">
        <v>260</v>
      </c>
      <c r="BZ33" s="483" t="s">
        <v>260</v>
      </c>
      <c r="CA33" s="483" t="s">
        <v>260</v>
      </c>
      <c r="CB33" s="483" t="s">
        <v>260</v>
      </c>
      <c r="CC33" s="483" t="s">
        <v>260</v>
      </c>
      <c r="CD33" s="483" t="s">
        <v>260</v>
      </c>
      <c r="CE33" s="483" t="s">
        <v>260</v>
      </c>
      <c r="CF33" s="483" t="s">
        <v>260</v>
      </c>
      <c r="CG33" s="483" t="s">
        <v>260</v>
      </c>
      <c r="CH33" s="483" t="s">
        <v>260</v>
      </c>
      <c r="CI33" s="483" t="s">
        <v>260</v>
      </c>
      <c r="CJ33" s="483" t="s">
        <v>260</v>
      </c>
      <c r="CK33" s="483" t="s">
        <v>260</v>
      </c>
      <c r="CL33" s="483" t="s">
        <v>260</v>
      </c>
      <c r="CM33" s="483" t="s">
        <v>260</v>
      </c>
      <c r="CN33" s="483" t="s">
        <v>260</v>
      </c>
      <c r="CO33" s="483" t="s">
        <v>260</v>
      </c>
      <c r="CP33" s="483" t="s">
        <v>260</v>
      </c>
      <c r="CQ33" s="483" t="s">
        <v>260</v>
      </c>
      <c r="CR33" s="483" t="s">
        <v>260</v>
      </c>
      <c r="CS33" s="483" t="s">
        <v>260</v>
      </c>
      <c r="CT33" s="483" t="s">
        <v>260</v>
      </c>
      <c r="CU33" s="483" t="s">
        <v>260</v>
      </c>
      <c r="CV33" s="483" t="s">
        <v>260</v>
      </c>
      <c r="CW33" s="483" t="s">
        <v>260</v>
      </c>
      <c r="CX33" s="483" t="s">
        <v>260</v>
      </c>
      <c r="CY33" s="483" t="s">
        <v>260</v>
      </c>
      <c r="CZ33" s="483" t="s">
        <v>260</v>
      </c>
      <c r="DA33" s="483" t="s">
        <v>260</v>
      </c>
      <c r="DB33" s="483" t="s">
        <v>260</v>
      </c>
      <c r="DC33" s="483" t="s">
        <v>260</v>
      </c>
      <c r="DD33" s="483" t="s">
        <v>260</v>
      </c>
      <c r="DE33" s="483" t="s">
        <v>260</v>
      </c>
      <c r="DF33" s="483" t="s">
        <v>260</v>
      </c>
      <c r="DG33" s="483" t="s">
        <v>260</v>
      </c>
      <c r="DH33" s="483" t="s">
        <v>260</v>
      </c>
      <c r="DI33" s="483" t="s">
        <v>260</v>
      </c>
      <c r="DJ33" s="483" t="s">
        <v>260</v>
      </c>
      <c r="DK33" s="483" t="s">
        <v>260</v>
      </c>
      <c r="DL33" s="483" t="s">
        <v>260</v>
      </c>
      <c r="DM33" s="483" t="s">
        <v>260</v>
      </c>
      <c r="DN33" s="483">
        <v>0</v>
      </c>
      <c r="DO33" s="483" t="s">
        <v>260</v>
      </c>
      <c r="DP33" s="483" t="s">
        <v>260</v>
      </c>
      <c r="DQ33" s="483" t="s">
        <v>260</v>
      </c>
      <c r="DR33" s="483" t="s">
        <v>260</v>
      </c>
      <c r="DS33" s="483" t="s">
        <v>260</v>
      </c>
      <c r="DT33" s="483" t="s">
        <v>260</v>
      </c>
      <c r="DU33" s="483" t="s">
        <v>260</v>
      </c>
      <c r="DV33" s="483" t="s">
        <v>260</v>
      </c>
      <c r="DW33" s="483" t="s">
        <v>260</v>
      </c>
      <c r="DX33" s="483" t="s">
        <v>260</v>
      </c>
      <c r="DY33" s="483" t="s">
        <v>260</v>
      </c>
      <c r="DZ33" s="483" t="s">
        <v>260</v>
      </c>
      <c r="EA33" s="483" t="s">
        <v>260</v>
      </c>
      <c r="EB33" s="483">
        <v>0</v>
      </c>
      <c r="EC33" s="483" t="s">
        <v>260</v>
      </c>
      <c r="ED33" s="483" t="s">
        <v>260</v>
      </c>
      <c r="EE33" s="483" t="s">
        <v>260</v>
      </c>
      <c r="EF33" s="483" t="s">
        <v>260</v>
      </c>
      <c r="EG33" s="483" t="s">
        <v>260</v>
      </c>
      <c r="EH33" s="483" t="s">
        <v>260</v>
      </c>
      <c r="EI33" s="483" t="s">
        <v>260</v>
      </c>
      <c r="EJ33" s="483" t="s">
        <v>260</v>
      </c>
      <c r="EK33" s="483" t="s">
        <v>260</v>
      </c>
      <c r="EL33" s="483" t="s">
        <v>260</v>
      </c>
      <c r="EM33" s="483" t="s">
        <v>260</v>
      </c>
      <c r="EN33" s="483" t="s">
        <v>260</v>
      </c>
      <c r="EO33" s="483" t="s">
        <v>260</v>
      </c>
      <c r="EP33" s="483" t="s">
        <v>260</v>
      </c>
      <c r="EQ33" s="483" t="s">
        <v>260</v>
      </c>
      <c r="ER33" s="483" t="s">
        <v>260</v>
      </c>
      <c r="ES33" s="483" t="s">
        <v>260</v>
      </c>
      <c r="ET33" s="483" t="s">
        <v>260</v>
      </c>
      <c r="EU33" s="483" t="s">
        <v>260</v>
      </c>
      <c r="EV33" s="483" t="s">
        <v>260</v>
      </c>
      <c r="EW33" s="483" t="s">
        <v>260</v>
      </c>
      <c r="EX33" s="483" t="s">
        <v>260</v>
      </c>
      <c r="EY33" s="483" t="s">
        <v>260</v>
      </c>
      <c r="EZ33" s="483" t="s">
        <v>260</v>
      </c>
      <c r="FA33" s="483" t="s">
        <v>260</v>
      </c>
      <c r="FB33" s="483" t="s">
        <v>260</v>
      </c>
      <c r="FC33" s="483" t="s">
        <v>260</v>
      </c>
      <c r="FD33" s="483">
        <v>93</v>
      </c>
      <c r="FE33" s="483" t="s">
        <v>260</v>
      </c>
      <c r="FF33" s="483" t="s">
        <v>260</v>
      </c>
      <c r="FG33" s="483" t="s">
        <v>260</v>
      </c>
      <c r="FH33" s="483" t="s">
        <v>260</v>
      </c>
      <c r="FI33" s="483" t="s">
        <v>260</v>
      </c>
      <c r="FJ33" s="483" t="s">
        <v>260</v>
      </c>
      <c r="FK33" s="483" t="s">
        <v>260</v>
      </c>
      <c r="FL33" s="483" t="s">
        <v>260</v>
      </c>
      <c r="FM33" s="483" t="s">
        <v>260</v>
      </c>
      <c r="FN33" s="483" t="s">
        <v>260</v>
      </c>
      <c r="FO33" s="483" t="s">
        <v>260</v>
      </c>
      <c r="FP33" s="483" t="s">
        <v>260</v>
      </c>
      <c r="FQ33" s="483" t="s">
        <v>260</v>
      </c>
      <c r="FR33" s="483" t="s">
        <v>260</v>
      </c>
      <c r="FS33" s="483" t="s">
        <v>260</v>
      </c>
      <c r="FT33" s="483" t="s">
        <v>260</v>
      </c>
      <c r="FU33" s="483" t="s">
        <v>260</v>
      </c>
      <c r="FV33" s="483" t="s">
        <v>260</v>
      </c>
      <c r="FW33" s="483" t="s">
        <v>260</v>
      </c>
      <c r="FX33" s="483" t="s">
        <v>260</v>
      </c>
      <c r="FY33" s="483" t="s">
        <v>260</v>
      </c>
      <c r="FZ33" s="483" t="s">
        <v>260</v>
      </c>
      <c r="GA33" s="483" t="s">
        <v>260</v>
      </c>
      <c r="GB33" s="483" t="s">
        <v>260</v>
      </c>
      <c r="GC33" s="483" t="s">
        <v>260</v>
      </c>
      <c r="GD33" s="483" t="s">
        <v>260</v>
      </c>
      <c r="GE33" s="483" t="s">
        <v>260</v>
      </c>
      <c r="GF33" s="483" t="s">
        <v>260</v>
      </c>
      <c r="GG33" s="483" t="s">
        <v>260</v>
      </c>
      <c r="GH33" s="483" t="s">
        <v>260</v>
      </c>
      <c r="GI33" s="483" t="s">
        <v>260</v>
      </c>
      <c r="GJ33" s="483" t="s">
        <v>260</v>
      </c>
      <c r="GK33" s="483" t="s">
        <v>260</v>
      </c>
      <c r="GL33" s="483" t="s">
        <v>260</v>
      </c>
      <c r="GM33" s="483" t="s">
        <v>260</v>
      </c>
      <c r="GN33" s="483" t="s">
        <v>260</v>
      </c>
      <c r="GO33" s="483" t="s">
        <v>260</v>
      </c>
      <c r="GP33" s="483" t="s">
        <v>260</v>
      </c>
      <c r="GQ33" s="483" t="s">
        <v>260</v>
      </c>
      <c r="GR33" s="483" t="s">
        <v>260</v>
      </c>
      <c r="GS33" s="483" t="s">
        <v>260</v>
      </c>
      <c r="GT33" s="483">
        <v>93</v>
      </c>
      <c r="GU33" s="483" t="s">
        <v>260</v>
      </c>
      <c r="GV33" s="483" t="s">
        <v>260</v>
      </c>
      <c r="GW33" s="483" t="s">
        <v>260</v>
      </c>
      <c r="GX33" s="483" t="s">
        <v>260</v>
      </c>
      <c r="GY33" s="483" t="s">
        <v>260</v>
      </c>
      <c r="GZ33" s="483">
        <v>0</v>
      </c>
      <c r="HA33" s="483" t="s">
        <v>260</v>
      </c>
      <c r="HB33" s="483" t="s">
        <v>260</v>
      </c>
      <c r="HC33" s="483" t="s">
        <v>260</v>
      </c>
      <c r="HD33" s="483" t="s">
        <v>260</v>
      </c>
      <c r="HE33" s="483" t="s">
        <v>260</v>
      </c>
      <c r="HF33" s="483" t="s">
        <v>260</v>
      </c>
      <c r="HG33" s="483" t="s">
        <v>260</v>
      </c>
      <c r="HH33" s="483" t="s">
        <v>260</v>
      </c>
      <c r="HI33" s="483" t="s">
        <v>260</v>
      </c>
      <c r="HJ33" s="483" t="s">
        <v>260</v>
      </c>
      <c r="HK33" s="483" t="s">
        <v>260</v>
      </c>
      <c r="HL33" s="483" t="s">
        <v>260</v>
      </c>
      <c r="HM33" s="483" t="s">
        <v>260</v>
      </c>
      <c r="HN33" s="483" t="s">
        <v>260</v>
      </c>
      <c r="HO33" s="483" t="s">
        <v>260</v>
      </c>
      <c r="HP33" s="483" t="s">
        <v>260</v>
      </c>
      <c r="HQ33" s="483" t="s">
        <v>260</v>
      </c>
      <c r="HR33" s="483" t="s">
        <v>260</v>
      </c>
      <c r="HS33" s="483" t="s">
        <v>260</v>
      </c>
      <c r="HT33" s="483" t="s">
        <v>260</v>
      </c>
      <c r="HU33" s="483" t="s">
        <v>260</v>
      </c>
      <c r="HV33" s="483" t="s">
        <v>260</v>
      </c>
      <c r="HW33" s="483" t="s">
        <v>260</v>
      </c>
      <c r="HX33" s="483" t="s">
        <v>260</v>
      </c>
      <c r="HY33" s="483" t="s">
        <v>260</v>
      </c>
      <c r="HZ33" s="483" t="s">
        <v>260</v>
      </c>
      <c r="IA33" s="483" t="s">
        <v>260</v>
      </c>
      <c r="IB33" s="483" t="s">
        <v>260</v>
      </c>
      <c r="IC33" s="483" t="s">
        <v>260</v>
      </c>
      <c r="ID33" s="483" t="s">
        <v>260</v>
      </c>
      <c r="IE33" s="483" t="s">
        <v>260</v>
      </c>
      <c r="IF33" s="483">
        <v>0</v>
      </c>
      <c r="IG33" s="483" t="s">
        <v>260</v>
      </c>
      <c r="IH33" s="483" t="s">
        <v>260</v>
      </c>
      <c r="II33" s="483" t="s">
        <v>260</v>
      </c>
      <c r="IJ33" s="483" t="s">
        <v>260</v>
      </c>
      <c r="IK33" s="483">
        <v>0</v>
      </c>
      <c r="IL33" s="483" t="s">
        <v>260</v>
      </c>
      <c r="IM33" s="483" t="s">
        <v>260</v>
      </c>
      <c r="IN33" s="483" t="s">
        <v>260</v>
      </c>
      <c r="IO33" s="483" t="s">
        <v>260</v>
      </c>
      <c r="IP33" s="483" t="s">
        <v>260</v>
      </c>
      <c r="IQ33" s="483" t="s">
        <v>260</v>
      </c>
      <c r="IR33" s="483" t="s">
        <v>260</v>
      </c>
      <c r="IS33" s="483" t="s">
        <v>260</v>
      </c>
      <c r="IT33" s="483" t="s">
        <v>260</v>
      </c>
      <c r="IU33" s="483" t="s">
        <v>260</v>
      </c>
      <c r="IV33" s="483" t="s">
        <v>260</v>
      </c>
      <c r="IW33" s="483" t="s">
        <v>260</v>
      </c>
      <c r="IX33" s="483" t="s">
        <v>260</v>
      </c>
      <c r="IY33" s="483" t="s">
        <v>260</v>
      </c>
      <c r="IZ33" s="483" t="s">
        <v>260</v>
      </c>
      <c r="JA33" s="483" t="s">
        <v>260</v>
      </c>
      <c r="JB33" s="483" t="s">
        <v>260</v>
      </c>
      <c r="JC33" s="483" t="s">
        <v>260</v>
      </c>
      <c r="JD33" s="483" t="s">
        <v>260</v>
      </c>
      <c r="JE33" s="483">
        <v>0</v>
      </c>
      <c r="JF33" s="483" t="s">
        <v>260</v>
      </c>
      <c r="JG33" s="483" t="s">
        <v>260</v>
      </c>
      <c r="JH33" s="483" t="s">
        <v>260</v>
      </c>
      <c r="JI33" s="483" t="s">
        <v>260</v>
      </c>
      <c r="JJ33" s="483" t="s">
        <v>260</v>
      </c>
      <c r="JK33" s="483" t="s">
        <v>260</v>
      </c>
      <c r="JL33" s="483" t="s">
        <v>260</v>
      </c>
      <c r="JM33" s="483" t="s">
        <v>260</v>
      </c>
      <c r="JN33" s="483" t="s">
        <v>260</v>
      </c>
      <c r="JO33" s="483" t="s">
        <v>260</v>
      </c>
      <c r="JP33" s="483" t="s">
        <v>260</v>
      </c>
      <c r="JQ33" s="483" t="s">
        <v>260</v>
      </c>
      <c r="JR33" s="483" t="s">
        <v>260</v>
      </c>
      <c r="JS33" s="483" t="s">
        <v>260</v>
      </c>
      <c r="JT33" s="483" t="s">
        <v>260</v>
      </c>
      <c r="JU33" s="483" t="s">
        <v>260</v>
      </c>
      <c r="JV33" s="483" t="s">
        <v>260</v>
      </c>
      <c r="JW33" s="483" t="s">
        <v>260</v>
      </c>
      <c r="JX33" s="483" t="s">
        <v>260</v>
      </c>
      <c r="JY33" s="483" t="s">
        <v>260</v>
      </c>
      <c r="JZ33" s="483" t="s">
        <v>260</v>
      </c>
      <c r="KA33" s="483" t="s">
        <v>260</v>
      </c>
      <c r="KB33" s="483">
        <v>0</v>
      </c>
      <c r="KC33" s="483" t="s">
        <v>260</v>
      </c>
      <c r="KD33" s="483" t="s">
        <v>260</v>
      </c>
      <c r="KE33" s="483" t="s">
        <v>260</v>
      </c>
      <c r="KF33" s="483" t="s">
        <v>260</v>
      </c>
      <c r="KG33" s="483" t="s">
        <v>260</v>
      </c>
      <c r="KH33" s="483" t="s">
        <v>260</v>
      </c>
      <c r="KI33" s="483" t="s">
        <v>260</v>
      </c>
      <c r="KJ33" s="483" t="s">
        <v>260</v>
      </c>
      <c r="KK33" s="483" t="s">
        <v>260</v>
      </c>
      <c r="KL33" s="483" t="s">
        <v>260</v>
      </c>
      <c r="KM33" s="483" t="s">
        <v>260</v>
      </c>
      <c r="KN33" s="483" t="s">
        <v>260</v>
      </c>
      <c r="KO33" s="483" t="s">
        <v>260</v>
      </c>
      <c r="KP33" s="483" t="s">
        <v>260</v>
      </c>
      <c r="KQ33" s="483" t="s">
        <v>260</v>
      </c>
      <c r="KR33" s="483" t="s">
        <v>260</v>
      </c>
      <c r="KS33" s="483" t="s">
        <v>260</v>
      </c>
      <c r="KT33" s="483" t="s">
        <v>260</v>
      </c>
      <c r="KU33" s="483" t="s">
        <v>260</v>
      </c>
      <c r="KV33" s="483" t="s">
        <v>260</v>
      </c>
      <c r="KW33" s="483" t="s">
        <v>260</v>
      </c>
      <c r="KX33" s="483" t="s">
        <v>260</v>
      </c>
      <c r="KY33" s="483" t="s">
        <v>260</v>
      </c>
      <c r="KZ33" s="483" t="s">
        <v>260</v>
      </c>
      <c r="LA33" s="483" t="s">
        <v>260</v>
      </c>
      <c r="LB33" s="483" t="s">
        <v>260</v>
      </c>
      <c r="LC33" s="483" t="s">
        <v>260</v>
      </c>
      <c r="LD33" s="483" t="s">
        <v>260</v>
      </c>
      <c r="LE33" s="483" t="s">
        <v>260</v>
      </c>
      <c r="LF33" s="483" t="s">
        <v>260</v>
      </c>
      <c r="LG33" s="483" t="s">
        <v>260</v>
      </c>
      <c r="LH33" s="483" t="s">
        <v>260</v>
      </c>
      <c r="LI33" s="483" t="s">
        <v>260</v>
      </c>
      <c r="LJ33" s="483" t="s">
        <v>260</v>
      </c>
      <c r="LK33" s="483" t="s">
        <v>260</v>
      </c>
      <c r="LL33" s="483" t="s">
        <v>260</v>
      </c>
      <c r="LM33" s="483" t="s">
        <v>260</v>
      </c>
      <c r="LN33" s="483" t="s">
        <v>260</v>
      </c>
      <c r="LO33" s="483" t="s">
        <v>260</v>
      </c>
      <c r="LP33" s="483" t="s">
        <v>260</v>
      </c>
      <c r="LQ33" s="483" t="s">
        <v>260</v>
      </c>
      <c r="LR33" s="485" t="s">
        <v>260</v>
      </c>
      <c r="LS33" s="485">
        <v>0</v>
      </c>
      <c r="LT33" s="485" t="s">
        <v>260</v>
      </c>
      <c r="LU33" s="485" t="s">
        <v>260</v>
      </c>
      <c r="LV33" s="485" t="s">
        <v>260</v>
      </c>
      <c r="LW33" s="485" t="s">
        <v>260</v>
      </c>
      <c r="LX33" s="485" t="s">
        <v>260</v>
      </c>
      <c r="LY33" s="485" t="s">
        <v>260</v>
      </c>
      <c r="LZ33" s="485" t="s">
        <v>260</v>
      </c>
      <c r="MA33" s="485" t="s">
        <v>260</v>
      </c>
      <c r="MB33" s="485" t="s">
        <v>260</v>
      </c>
      <c r="MC33" s="485">
        <v>0</v>
      </c>
      <c r="MD33" s="485" t="s">
        <v>260</v>
      </c>
      <c r="ME33" s="485" t="s">
        <v>260</v>
      </c>
      <c r="MF33" s="485" t="s">
        <v>260</v>
      </c>
      <c r="MG33" s="485" t="s">
        <v>260</v>
      </c>
      <c r="MH33" s="485" t="s">
        <v>260</v>
      </c>
      <c r="MI33" s="485" t="s">
        <v>260</v>
      </c>
      <c r="MJ33" s="485">
        <v>0</v>
      </c>
      <c r="MK33" s="485" t="s">
        <v>260</v>
      </c>
      <c r="ML33" s="485" t="s">
        <v>260</v>
      </c>
      <c r="MM33" s="485" t="s">
        <v>260</v>
      </c>
      <c r="MN33" s="485" t="s">
        <v>260</v>
      </c>
      <c r="MO33" s="485" t="s">
        <v>260</v>
      </c>
      <c r="MP33" s="485" t="s">
        <v>260</v>
      </c>
      <c r="MQ33" s="485" t="s">
        <v>260</v>
      </c>
      <c r="MR33" s="485" t="s">
        <v>260</v>
      </c>
      <c r="MS33" s="485" t="s">
        <v>260</v>
      </c>
      <c r="MT33" s="485" t="s">
        <v>260</v>
      </c>
      <c r="MU33" s="485" t="s">
        <v>260</v>
      </c>
      <c r="MV33" s="485" t="s">
        <v>260</v>
      </c>
      <c r="MW33" s="485" t="s">
        <v>260</v>
      </c>
      <c r="MX33" s="485" t="s">
        <v>260</v>
      </c>
      <c r="MY33" s="485" t="s">
        <v>260</v>
      </c>
      <c r="MZ33" s="485" t="s">
        <v>260</v>
      </c>
      <c r="NA33" s="485" t="s">
        <v>260</v>
      </c>
      <c r="NB33" s="485">
        <v>0</v>
      </c>
      <c r="NC33" s="485" t="s">
        <v>260</v>
      </c>
      <c r="ND33" s="485" t="s">
        <v>260</v>
      </c>
      <c r="NE33" s="485" t="s">
        <v>260</v>
      </c>
      <c r="NF33" s="485" t="s">
        <v>260</v>
      </c>
      <c r="NG33" s="485" t="s">
        <v>260</v>
      </c>
      <c r="NH33" s="485" t="s">
        <v>260</v>
      </c>
      <c r="NI33" s="485" t="s">
        <v>260</v>
      </c>
      <c r="NJ33" s="485" t="s">
        <v>260</v>
      </c>
      <c r="NK33" s="485" t="s">
        <v>260</v>
      </c>
      <c r="NL33" s="485" t="s">
        <v>260</v>
      </c>
      <c r="NM33" s="485" t="s">
        <v>260</v>
      </c>
      <c r="NN33" s="485" t="s">
        <v>260</v>
      </c>
      <c r="NO33" s="485">
        <v>0</v>
      </c>
      <c r="NP33" s="485">
        <v>0</v>
      </c>
      <c r="NQ33" s="485" t="s">
        <v>260</v>
      </c>
      <c r="NR33" s="485" t="s">
        <v>260</v>
      </c>
      <c r="NS33" s="485" t="s">
        <v>260</v>
      </c>
      <c r="NT33" s="485" t="s">
        <v>260</v>
      </c>
      <c r="NU33" s="485" t="s">
        <v>260</v>
      </c>
      <c r="NV33" s="485" t="s">
        <v>260</v>
      </c>
      <c r="NW33" s="485" t="s">
        <v>260</v>
      </c>
      <c r="NX33" s="485" t="s">
        <v>260</v>
      </c>
      <c r="NY33" s="485" t="s">
        <v>260</v>
      </c>
      <c r="NZ33" s="485" t="s">
        <v>260</v>
      </c>
      <c r="OA33" s="485" t="s">
        <v>260</v>
      </c>
      <c r="OB33" s="485" t="s">
        <v>260</v>
      </c>
      <c r="OC33" s="485" t="s">
        <v>260</v>
      </c>
      <c r="OD33" s="485">
        <v>0</v>
      </c>
      <c r="OE33" s="485" t="s">
        <v>260</v>
      </c>
      <c r="OF33" s="485" t="s">
        <v>260</v>
      </c>
      <c r="OG33" s="485" t="s">
        <v>260</v>
      </c>
      <c r="OH33" s="485" t="s">
        <v>260</v>
      </c>
      <c r="OI33" s="485" t="s">
        <v>260</v>
      </c>
      <c r="OJ33" s="485" t="s">
        <v>260</v>
      </c>
      <c r="OK33" s="485" t="s">
        <v>260</v>
      </c>
      <c r="OL33" s="485" t="s">
        <v>260</v>
      </c>
      <c r="OM33" s="483" t="s">
        <v>260</v>
      </c>
      <c r="ON33" s="483" t="s">
        <v>260</v>
      </c>
      <c r="OO33" s="483" t="s">
        <v>260</v>
      </c>
      <c r="OP33" s="483" t="s">
        <v>260</v>
      </c>
      <c r="OQ33" s="483" t="s">
        <v>260</v>
      </c>
      <c r="OR33" s="483" t="s">
        <v>260</v>
      </c>
      <c r="OS33" s="483" t="s">
        <v>260</v>
      </c>
      <c r="OT33" s="483" t="s">
        <v>260</v>
      </c>
      <c r="OU33" s="483" t="s">
        <v>260</v>
      </c>
      <c r="OV33" s="483" t="s">
        <v>260</v>
      </c>
      <c r="OW33" s="483" t="s">
        <v>260</v>
      </c>
      <c r="OX33" s="483" t="s">
        <v>260</v>
      </c>
      <c r="OY33" s="483" t="s">
        <v>260</v>
      </c>
      <c r="OZ33" s="483" t="s">
        <v>260</v>
      </c>
      <c r="PA33" s="483" t="s">
        <v>260</v>
      </c>
      <c r="PB33" s="483" t="s">
        <v>260</v>
      </c>
      <c r="PC33" s="483" t="s">
        <v>260</v>
      </c>
      <c r="PD33" s="483" t="s">
        <v>260</v>
      </c>
      <c r="PE33" s="485">
        <v>0</v>
      </c>
      <c r="PF33" s="483" t="s">
        <v>260</v>
      </c>
      <c r="PG33" s="483" t="s">
        <v>260</v>
      </c>
      <c r="PH33" s="483" t="s">
        <v>260</v>
      </c>
      <c r="PI33" s="483" t="s">
        <v>260</v>
      </c>
      <c r="PJ33" s="483" t="s">
        <v>260</v>
      </c>
      <c r="PK33" s="483" t="s">
        <v>260</v>
      </c>
      <c r="PL33" s="483" t="s">
        <v>260</v>
      </c>
      <c r="PM33" s="483" t="s">
        <v>260</v>
      </c>
    </row>
    <row r="34" spans="2:429" ht="15.6" x14ac:dyDescent="0.3">
      <c r="B34" s="487" t="s">
        <v>2370</v>
      </c>
      <c r="C34" s="483">
        <f t="shared" si="0"/>
        <v>37</v>
      </c>
      <c r="D34" s="483">
        <v>0</v>
      </c>
      <c r="E34" s="483" t="s">
        <v>260</v>
      </c>
      <c r="F34" s="483" t="s">
        <v>260</v>
      </c>
      <c r="G34" s="483" t="s">
        <v>260</v>
      </c>
      <c r="H34" s="483">
        <v>37</v>
      </c>
      <c r="I34" s="483" t="s">
        <v>260</v>
      </c>
      <c r="J34" s="483" t="s">
        <v>260</v>
      </c>
      <c r="K34" s="483" t="s">
        <v>260</v>
      </c>
      <c r="L34" s="483" t="s">
        <v>260</v>
      </c>
      <c r="M34" s="483" t="s">
        <v>260</v>
      </c>
      <c r="N34" s="483" t="s">
        <v>260</v>
      </c>
      <c r="O34" s="483" t="s">
        <v>260</v>
      </c>
      <c r="P34" s="483" t="s">
        <v>260</v>
      </c>
      <c r="Q34" s="483" t="s">
        <v>260</v>
      </c>
      <c r="R34" s="483" t="s">
        <v>260</v>
      </c>
      <c r="S34" s="483" t="s">
        <v>260</v>
      </c>
      <c r="T34" s="483" t="s">
        <v>260</v>
      </c>
      <c r="U34" s="483" t="s">
        <v>260</v>
      </c>
      <c r="V34" s="483" t="s">
        <v>260</v>
      </c>
      <c r="W34" s="483" t="s">
        <v>260</v>
      </c>
      <c r="X34" s="483" t="s">
        <v>260</v>
      </c>
      <c r="Y34" s="483" t="s">
        <v>260</v>
      </c>
      <c r="Z34" s="483" t="s">
        <v>260</v>
      </c>
      <c r="AA34" s="483" t="s">
        <v>260</v>
      </c>
      <c r="AB34" s="483" t="s">
        <v>260</v>
      </c>
      <c r="AC34" s="483" t="s">
        <v>260</v>
      </c>
      <c r="AD34" s="483" t="s">
        <v>260</v>
      </c>
      <c r="AE34" s="483" t="s">
        <v>260</v>
      </c>
      <c r="AF34" s="483" t="s">
        <v>260</v>
      </c>
      <c r="AG34" s="483" t="s">
        <v>260</v>
      </c>
      <c r="AH34" s="483" t="s">
        <v>260</v>
      </c>
      <c r="AI34" s="483" t="s">
        <v>260</v>
      </c>
      <c r="AJ34" s="483" t="s">
        <v>260</v>
      </c>
      <c r="AK34" s="483" t="s">
        <v>260</v>
      </c>
      <c r="AL34" s="483" t="s">
        <v>260</v>
      </c>
      <c r="AM34" s="483" t="s">
        <v>260</v>
      </c>
      <c r="AN34" s="483" t="s">
        <v>260</v>
      </c>
      <c r="AO34" s="483" t="s">
        <v>260</v>
      </c>
      <c r="AP34" s="483" t="s">
        <v>260</v>
      </c>
      <c r="AQ34" s="483" t="s">
        <v>260</v>
      </c>
      <c r="AR34" s="483" t="s">
        <v>260</v>
      </c>
      <c r="AS34" s="483" t="s">
        <v>260</v>
      </c>
      <c r="AT34" s="483">
        <f t="shared" si="1"/>
        <v>406</v>
      </c>
      <c r="AU34" s="483" t="s">
        <v>260</v>
      </c>
      <c r="AV34" s="483" t="s">
        <v>260</v>
      </c>
      <c r="AW34" s="483" t="s">
        <v>260</v>
      </c>
      <c r="AX34" s="483" t="s">
        <v>260</v>
      </c>
      <c r="AY34" s="483" t="s">
        <v>260</v>
      </c>
      <c r="AZ34" s="483" t="s">
        <v>260</v>
      </c>
      <c r="BA34" s="483" t="s">
        <v>260</v>
      </c>
      <c r="BB34" s="483" t="s">
        <v>260</v>
      </c>
      <c r="BC34" s="483" t="s">
        <v>260</v>
      </c>
      <c r="BD34" s="483" t="s">
        <v>260</v>
      </c>
      <c r="BE34" s="483" t="s">
        <v>260</v>
      </c>
      <c r="BF34" s="483" t="s">
        <v>260</v>
      </c>
      <c r="BG34" s="483" t="s">
        <v>260</v>
      </c>
      <c r="BH34" s="483" t="s">
        <v>260</v>
      </c>
      <c r="BI34" s="483" t="s">
        <v>260</v>
      </c>
      <c r="BJ34" s="483" t="s">
        <v>260</v>
      </c>
      <c r="BK34" s="483" t="s">
        <v>260</v>
      </c>
      <c r="BL34" s="483" t="s">
        <v>260</v>
      </c>
      <c r="BM34" s="483" t="s">
        <v>260</v>
      </c>
      <c r="BN34" s="483" t="s">
        <v>260</v>
      </c>
      <c r="BO34" s="483" t="s">
        <v>260</v>
      </c>
      <c r="BP34" s="483" t="s">
        <v>260</v>
      </c>
      <c r="BQ34" s="483" t="s">
        <v>260</v>
      </c>
      <c r="BR34" s="483">
        <v>190</v>
      </c>
      <c r="BS34" s="483" t="s">
        <v>260</v>
      </c>
      <c r="BT34" s="483" t="s">
        <v>260</v>
      </c>
      <c r="BU34" s="483" t="s">
        <v>260</v>
      </c>
      <c r="BV34" s="483" t="s">
        <v>260</v>
      </c>
      <c r="BW34" s="483" t="s">
        <v>260</v>
      </c>
      <c r="BX34" s="483" t="s">
        <v>260</v>
      </c>
      <c r="BY34" s="483" t="s">
        <v>260</v>
      </c>
      <c r="BZ34" s="483" t="s">
        <v>260</v>
      </c>
      <c r="CA34" s="483" t="s">
        <v>260</v>
      </c>
      <c r="CB34" s="483" t="s">
        <v>260</v>
      </c>
      <c r="CC34" s="483">
        <v>49</v>
      </c>
      <c r="CD34" s="483" t="s">
        <v>260</v>
      </c>
      <c r="CE34" s="483" t="s">
        <v>260</v>
      </c>
      <c r="CF34" s="483" t="s">
        <v>260</v>
      </c>
      <c r="CG34" s="483" t="s">
        <v>260</v>
      </c>
      <c r="CH34" s="483" t="s">
        <v>260</v>
      </c>
      <c r="CI34" s="483" t="s">
        <v>260</v>
      </c>
      <c r="CJ34" s="483" t="s">
        <v>260</v>
      </c>
      <c r="CK34" s="483">
        <v>9</v>
      </c>
      <c r="CL34" s="483">
        <v>12</v>
      </c>
      <c r="CM34" s="483">
        <v>146</v>
      </c>
      <c r="CN34" s="483" t="s">
        <v>260</v>
      </c>
      <c r="CO34" s="483" t="s">
        <v>260</v>
      </c>
      <c r="CP34" s="483" t="s">
        <v>260</v>
      </c>
      <c r="CQ34" s="483" t="s">
        <v>260</v>
      </c>
      <c r="CR34" s="483" t="s">
        <v>260</v>
      </c>
      <c r="CS34" s="483" t="s">
        <v>260</v>
      </c>
      <c r="CT34" s="483" t="s">
        <v>260</v>
      </c>
      <c r="CU34" s="483" t="s">
        <v>260</v>
      </c>
      <c r="CV34" s="483" t="s">
        <v>260</v>
      </c>
      <c r="CW34" s="483" t="s">
        <v>260</v>
      </c>
      <c r="CX34" s="483" t="s">
        <v>260</v>
      </c>
      <c r="CY34" s="483" t="s">
        <v>260</v>
      </c>
      <c r="CZ34" s="483" t="s">
        <v>260</v>
      </c>
      <c r="DA34" s="483" t="s">
        <v>260</v>
      </c>
      <c r="DB34" s="483" t="s">
        <v>260</v>
      </c>
      <c r="DC34" s="483" t="s">
        <v>260</v>
      </c>
      <c r="DD34" s="483" t="s">
        <v>260</v>
      </c>
      <c r="DE34" s="483" t="s">
        <v>260</v>
      </c>
      <c r="DF34" s="483" t="s">
        <v>260</v>
      </c>
      <c r="DG34" s="483" t="s">
        <v>260</v>
      </c>
      <c r="DH34" s="483" t="s">
        <v>260</v>
      </c>
      <c r="DI34" s="483" t="s">
        <v>260</v>
      </c>
      <c r="DJ34" s="483" t="s">
        <v>260</v>
      </c>
      <c r="DK34" s="483" t="s">
        <v>260</v>
      </c>
      <c r="DL34" s="483" t="s">
        <v>260</v>
      </c>
      <c r="DM34" s="483" t="s">
        <v>260</v>
      </c>
      <c r="DN34" s="483">
        <v>0</v>
      </c>
      <c r="DO34" s="483" t="s">
        <v>260</v>
      </c>
      <c r="DP34" s="483" t="s">
        <v>260</v>
      </c>
      <c r="DQ34" s="483" t="s">
        <v>260</v>
      </c>
      <c r="DR34" s="483" t="s">
        <v>260</v>
      </c>
      <c r="DS34" s="483" t="s">
        <v>260</v>
      </c>
      <c r="DT34" s="483" t="s">
        <v>260</v>
      </c>
      <c r="DU34" s="483" t="s">
        <v>260</v>
      </c>
      <c r="DV34" s="483" t="s">
        <v>260</v>
      </c>
      <c r="DW34" s="483" t="s">
        <v>260</v>
      </c>
      <c r="DX34" s="483" t="s">
        <v>260</v>
      </c>
      <c r="DY34" s="483" t="s">
        <v>260</v>
      </c>
      <c r="DZ34" s="483" t="s">
        <v>260</v>
      </c>
      <c r="EA34" s="483" t="s">
        <v>260</v>
      </c>
      <c r="EB34" s="483">
        <v>0</v>
      </c>
      <c r="EC34" s="483" t="s">
        <v>260</v>
      </c>
      <c r="ED34" s="483" t="s">
        <v>260</v>
      </c>
      <c r="EE34" s="483" t="s">
        <v>260</v>
      </c>
      <c r="EF34" s="483" t="s">
        <v>260</v>
      </c>
      <c r="EG34" s="483" t="s">
        <v>260</v>
      </c>
      <c r="EH34" s="483" t="s">
        <v>260</v>
      </c>
      <c r="EI34" s="483" t="s">
        <v>260</v>
      </c>
      <c r="EJ34" s="483" t="s">
        <v>260</v>
      </c>
      <c r="EK34" s="483" t="s">
        <v>260</v>
      </c>
      <c r="EL34" s="483" t="s">
        <v>260</v>
      </c>
      <c r="EM34" s="483" t="s">
        <v>260</v>
      </c>
      <c r="EN34" s="483" t="s">
        <v>260</v>
      </c>
      <c r="EO34" s="483" t="s">
        <v>260</v>
      </c>
      <c r="EP34" s="483" t="s">
        <v>260</v>
      </c>
      <c r="EQ34" s="483" t="s">
        <v>260</v>
      </c>
      <c r="ER34" s="483" t="s">
        <v>260</v>
      </c>
      <c r="ES34" s="483" t="s">
        <v>260</v>
      </c>
      <c r="ET34" s="483" t="s">
        <v>260</v>
      </c>
      <c r="EU34" s="483" t="s">
        <v>260</v>
      </c>
      <c r="EV34" s="483" t="s">
        <v>260</v>
      </c>
      <c r="EW34" s="483" t="s">
        <v>260</v>
      </c>
      <c r="EX34" s="483" t="s">
        <v>260</v>
      </c>
      <c r="EY34" s="483" t="s">
        <v>260</v>
      </c>
      <c r="EZ34" s="483" t="s">
        <v>260</v>
      </c>
      <c r="FA34" s="483" t="s">
        <v>260</v>
      </c>
      <c r="FB34" s="483" t="s">
        <v>260</v>
      </c>
      <c r="FC34" s="483" t="s">
        <v>260</v>
      </c>
      <c r="FD34" s="483">
        <v>30</v>
      </c>
      <c r="FE34" s="483" t="s">
        <v>260</v>
      </c>
      <c r="FF34" s="483" t="s">
        <v>260</v>
      </c>
      <c r="FG34" s="483" t="s">
        <v>260</v>
      </c>
      <c r="FH34" s="483" t="s">
        <v>260</v>
      </c>
      <c r="FI34" s="483" t="s">
        <v>260</v>
      </c>
      <c r="FJ34" s="483" t="s">
        <v>260</v>
      </c>
      <c r="FK34" s="483">
        <v>30</v>
      </c>
      <c r="FL34" s="483" t="s">
        <v>260</v>
      </c>
      <c r="FM34" s="483" t="s">
        <v>260</v>
      </c>
      <c r="FN34" s="483" t="s">
        <v>260</v>
      </c>
      <c r="FO34" s="483" t="s">
        <v>260</v>
      </c>
      <c r="FP34" s="483" t="s">
        <v>260</v>
      </c>
      <c r="FQ34" s="483" t="s">
        <v>260</v>
      </c>
      <c r="FR34" s="483" t="s">
        <v>260</v>
      </c>
      <c r="FS34" s="483" t="s">
        <v>260</v>
      </c>
      <c r="FT34" s="483" t="s">
        <v>260</v>
      </c>
      <c r="FU34" s="483" t="s">
        <v>260</v>
      </c>
      <c r="FV34" s="483" t="s">
        <v>260</v>
      </c>
      <c r="FW34" s="483" t="s">
        <v>260</v>
      </c>
      <c r="FX34" s="483" t="s">
        <v>260</v>
      </c>
      <c r="FY34" s="483" t="s">
        <v>260</v>
      </c>
      <c r="FZ34" s="483" t="s">
        <v>260</v>
      </c>
      <c r="GA34" s="483" t="s">
        <v>260</v>
      </c>
      <c r="GB34" s="483" t="s">
        <v>260</v>
      </c>
      <c r="GC34" s="483" t="s">
        <v>260</v>
      </c>
      <c r="GD34" s="483" t="s">
        <v>260</v>
      </c>
      <c r="GE34" s="483" t="s">
        <v>260</v>
      </c>
      <c r="GF34" s="483" t="s">
        <v>260</v>
      </c>
      <c r="GG34" s="483" t="s">
        <v>260</v>
      </c>
      <c r="GH34" s="483" t="s">
        <v>260</v>
      </c>
      <c r="GI34" s="483" t="s">
        <v>260</v>
      </c>
      <c r="GJ34" s="483" t="s">
        <v>260</v>
      </c>
      <c r="GK34" s="483" t="s">
        <v>260</v>
      </c>
      <c r="GL34" s="483" t="s">
        <v>260</v>
      </c>
      <c r="GM34" s="483" t="s">
        <v>260</v>
      </c>
      <c r="GN34" s="483" t="s">
        <v>260</v>
      </c>
      <c r="GO34" s="483" t="s">
        <v>260</v>
      </c>
      <c r="GP34" s="483" t="s">
        <v>260</v>
      </c>
      <c r="GQ34" s="483" t="s">
        <v>260</v>
      </c>
      <c r="GR34" s="483" t="s">
        <v>260</v>
      </c>
      <c r="GS34" s="483" t="s">
        <v>260</v>
      </c>
      <c r="GT34" s="483" t="s">
        <v>260</v>
      </c>
      <c r="GU34" s="483" t="s">
        <v>260</v>
      </c>
      <c r="GV34" s="483" t="s">
        <v>260</v>
      </c>
      <c r="GW34" s="483" t="s">
        <v>260</v>
      </c>
      <c r="GX34" s="483" t="s">
        <v>260</v>
      </c>
      <c r="GY34" s="483" t="s">
        <v>260</v>
      </c>
      <c r="GZ34" s="483">
        <v>48</v>
      </c>
      <c r="HA34" s="483" t="s">
        <v>260</v>
      </c>
      <c r="HB34" s="483">
        <v>24</v>
      </c>
      <c r="HC34" s="483">
        <v>24</v>
      </c>
      <c r="HD34" s="483" t="s">
        <v>260</v>
      </c>
      <c r="HE34" s="483" t="s">
        <v>260</v>
      </c>
      <c r="HF34" s="483" t="s">
        <v>260</v>
      </c>
      <c r="HG34" s="483" t="s">
        <v>260</v>
      </c>
      <c r="HH34" s="483" t="s">
        <v>260</v>
      </c>
      <c r="HI34" s="483" t="s">
        <v>260</v>
      </c>
      <c r="HJ34" s="483" t="s">
        <v>260</v>
      </c>
      <c r="HK34" s="483" t="s">
        <v>260</v>
      </c>
      <c r="HL34" s="483" t="s">
        <v>260</v>
      </c>
      <c r="HM34" s="483" t="s">
        <v>260</v>
      </c>
      <c r="HN34" s="483" t="s">
        <v>260</v>
      </c>
      <c r="HO34" s="483" t="s">
        <v>260</v>
      </c>
      <c r="HP34" s="483" t="s">
        <v>260</v>
      </c>
      <c r="HQ34" s="483" t="s">
        <v>260</v>
      </c>
      <c r="HR34" s="483" t="s">
        <v>260</v>
      </c>
      <c r="HS34" s="483" t="s">
        <v>260</v>
      </c>
      <c r="HT34" s="483" t="s">
        <v>260</v>
      </c>
      <c r="HU34" s="483" t="s">
        <v>260</v>
      </c>
      <c r="HV34" s="483" t="s">
        <v>260</v>
      </c>
      <c r="HW34" s="483" t="s">
        <v>260</v>
      </c>
      <c r="HX34" s="483" t="s">
        <v>260</v>
      </c>
      <c r="HY34" s="483" t="s">
        <v>260</v>
      </c>
      <c r="HZ34" s="483" t="s">
        <v>260</v>
      </c>
      <c r="IA34" s="483" t="s">
        <v>260</v>
      </c>
      <c r="IB34" s="483" t="s">
        <v>260</v>
      </c>
      <c r="IC34" s="483" t="s">
        <v>260</v>
      </c>
      <c r="ID34" s="483" t="s">
        <v>260</v>
      </c>
      <c r="IE34" s="483" t="s">
        <v>260</v>
      </c>
      <c r="IF34" s="483">
        <v>0</v>
      </c>
      <c r="IG34" s="483" t="s">
        <v>260</v>
      </c>
      <c r="IH34" s="483" t="s">
        <v>260</v>
      </c>
      <c r="II34" s="483" t="s">
        <v>260</v>
      </c>
      <c r="IJ34" s="483" t="s">
        <v>260</v>
      </c>
      <c r="IK34" s="483">
        <v>0</v>
      </c>
      <c r="IL34" s="483" t="s">
        <v>260</v>
      </c>
      <c r="IM34" s="483" t="s">
        <v>260</v>
      </c>
      <c r="IN34" s="483" t="s">
        <v>260</v>
      </c>
      <c r="IO34" s="483" t="s">
        <v>260</v>
      </c>
      <c r="IP34" s="483" t="s">
        <v>260</v>
      </c>
      <c r="IQ34" s="483" t="s">
        <v>260</v>
      </c>
      <c r="IR34" s="483" t="s">
        <v>260</v>
      </c>
      <c r="IS34" s="483" t="s">
        <v>260</v>
      </c>
      <c r="IT34" s="483" t="s">
        <v>260</v>
      </c>
      <c r="IU34" s="483" t="s">
        <v>260</v>
      </c>
      <c r="IV34" s="483" t="s">
        <v>260</v>
      </c>
      <c r="IW34" s="483" t="s">
        <v>260</v>
      </c>
      <c r="IX34" s="483" t="s">
        <v>260</v>
      </c>
      <c r="IY34" s="483" t="s">
        <v>260</v>
      </c>
      <c r="IZ34" s="483" t="s">
        <v>260</v>
      </c>
      <c r="JA34" s="483" t="s">
        <v>260</v>
      </c>
      <c r="JB34" s="483" t="s">
        <v>260</v>
      </c>
      <c r="JC34" s="483" t="s">
        <v>260</v>
      </c>
      <c r="JD34" s="483" t="s">
        <v>260</v>
      </c>
      <c r="JE34" s="483">
        <v>30</v>
      </c>
      <c r="JF34" s="483" t="s">
        <v>260</v>
      </c>
      <c r="JG34" s="483">
        <v>26</v>
      </c>
      <c r="JH34" s="483">
        <v>4</v>
      </c>
      <c r="JI34" s="483" t="s">
        <v>260</v>
      </c>
      <c r="JJ34" s="483" t="s">
        <v>260</v>
      </c>
      <c r="JK34" s="483" t="s">
        <v>260</v>
      </c>
      <c r="JL34" s="483" t="s">
        <v>260</v>
      </c>
      <c r="JM34" s="483" t="s">
        <v>260</v>
      </c>
      <c r="JN34" s="483" t="s">
        <v>260</v>
      </c>
      <c r="JO34" s="483" t="s">
        <v>260</v>
      </c>
      <c r="JP34" s="483" t="s">
        <v>260</v>
      </c>
      <c r="JQ34" s="483" t="s">
        <v>260</v>
      </c>
      <c r="JR34" s="483" t="s">
        <v>260</v>
      </c>
      <c r="JS34" s="483" t="s">
        <v>260</v>
      </c>
      <c r="JT34" s="483" t="s">
        <v>260</v>
      </c>
      <c r="JU34" s="483" t="s">
        <v>260</v>
      </c>
      <c r="JV34" s="483" t="s">
        <v>260</v>
      </c>
      <c r="JW34" s="483" t="s">
        <v>260</v>
      </c>
      <c r="JX34" s="483" t="s">
        <v>260</v>
      </c>
      <c r="JY34" s="483" t="s">
        <v>260</v>
      </c>
      <c r="JZ34" s="483" t="s">
        <v>260</v>
      </c>
      <c r="KA34" s="483" t="s">
        <v>260</v>
      </c>
      <c r="KB34" s="483">
        <v>0</v>
      </c>
      <c r="KC34" s="483" t="s">
        <v>260</v>
      </c>
      <c r="KD34" s="483" t="s">
        <v>260</v>
      </c>
      <c r="KE34" s="483" t="s">
        <v>260</v>
      </c>
      <c r="KF34" s="483" t="s">
        <v>260</v>
      </c>
      <c r="KG34" s="483" t="s">
        <v>260</v>
      </c>
      <c r="KH34" s="483" t="s">
        <v>260</v>
      </c>
      <c r="KI34" s="483" t="s">
        <v>260</v>
      </c>
      <c r="KJ34" s="483" t="s">
        <v>260</v>
      </c>
      <c r="KK34" s="483" t="s">
        <v>260</v>
      </c>
      <c r="KL34" s="483" t="s">
        <v>260</v>
      </c>
      <c r="KM34" s="483" t="s">
        <v>260</v>
      </c>
      <c r="KN34" s="483" t="s">
        <v>260</v>
      </c>
      <c r="KO34" s="483" t="s">
        <v>260</v>
      </c>
      <c r="KP34" s="483" t="s">
        <v>260</v>
      </c>
      <c r="KQ34" s="483" t="s">
        <v>260</v>
      </c>
      <c r="KR34" s="483" t="s">
        <v>260</v>
      </c>
      <c r="KS34" s="483" t="s">
        <v>260</v>
      </c>
      <c r="KT34" s="483" t="s">
        <v>260</v>
      </c>
      <c r="KU34" s="483" t="s">
        <v>260</v>
      </c>
      <c r="KV34" s="483" t="s">
        <v>260</v>
      </c>
      <c r="KW34" s="483" t="s">
        <v>260</v>
      </c>
      <c r="KX34" s="483" t="s">
        <v>260</v>
      </c>
      <c r="KY34" s="483" t="s">
        <v>260</v>
      </c>
      <c r="KZ34" s="483" t="s">
        <v>260</v>
      </c>
      <c r="LA34" s="483" t="s">
        <v>260</v>
      </c>
      <c r="LB34" s="483" t="s">
        <v>260</v>
      </c>
      <c r="LC34" s="483" t="s">
        <v>260</v>
      </c>
      <c r="LD34" s="483" t="s">
        <v>260</v>
      </c>
      <c r="LE34" s="483" t="s">
        <v>260</v>
      </c>
      <c r="LF34" s="483" t="s">
        <v>260</v>
      </c>
      <c r="LG34" s="483" t="s">
        <v>260</v>
      </c>
      <c r="LH34" s="483" t="s">
        <v>260</v>
      </c>
      <c r="LI34" s="483" t="s">
        <v>260</v>
      </c>
      <c r="LJ34" s="483" t="s">
        <v>260</v>
      </c>
      <c r="LK34" s="483" t="s">
        <v>260</v>
      </c>
      <c r="LL34" s="483" t="s">
        <v>260</v>
      </c>
      <c r="LM34" s="483" t="s">
        <v>260</v>
      </c>
      <c r="LN34" s="483" t="s">
        <v>260</v>
      </c>
      <c r="LO34" s="483" t="s">
        <v>260</v>
      </c>
      <c r="LP34" s="483" t="s">
        <v>260</v>
      </c>
      <c r="LQ34" s="483" t="s">
        <v>260</v>
      </c>
      <c r="LR34" s="485" t="s">
        <v>260</v>
      </c>
      <c r="LS34" s="485">
        <v>0</v>
      </c>
      <c r="LT34" s="485" t="s">
        <v>260</v>
      </c>
      <c r="LU34" s="485" t="s">
        <v>260</v>
      </c>
      <c r="LV34" s="485" t="s">
        <v>260</v>
      </c>
      <c r="LW34" s="485" t="s">
        <v>260</v>
      </c>
      <c r="LX34" s="485" t="s">
        <v>260</v>
      </c>
      <c r="LY34" s="485" t="s">
        <v>260</v>
      </c>
      <c r="LZ34" s="485" t="s">
        <v>260</v>
      </c>
      <c r="MA34" s="485" t="s">
        <v>260</v>
      </c>
      <c r="MB34" s="485" t="s">
        <v>260</v>
      </c>
      <c r="MC34" s="485">
        <v>0</v>
      </c>
      <c r="MD34" s="485" t="s">
        <v>260</v>
      </c>
      <c r="ME34" s="485" t="s">
        <v>260</v>
      </c>
      <c r="MF34" s="485" t="s">
        <v>260</v>
      </c>
      <c r="MG34" s="485" t="s">
        <v>260</v>
      </c>
      <c r="MH34" s="485" t="s">
        <v>260</v>
      </c>
      <c r="MI34" s="485" t="s">
        <v>260</v>
      </c>
      <c r="MJ34" s="485">
        <v>0</v>
      </c>
      <c r="MK34" s="485" t="s">
        <v>260</v>
      </c>
      <c r="ML34" s="485" t="s">
        <v>260</v>
      </c>
      <c r="MM34" s="485" t="s">
        <v>260</v>
      </c>
      <c r="MN34" s="485" t="s">
        <v>260</v>
      </c>
      <c r="MO34" s="485" t="s">
        <v>260</v>
      </c>
      <c r="MP34" s="485" t="s">
        <v>260</v>
      </c>
      <c r="MQ34" s="485" t="s">
        <v>260</v>
      </c>
      <c r="MR34" s="485" t="s">
        <v>260</v>
      </c>
      <c r="MS34" s="485" t="s">
        <v>260</v>
      </c>
      <c r="MT34" s="485" t="s">
        <v>260</v>
      </c>
      <c r="MU34" s="485" t="s">
        <v>260</v>
      </c>
      <c r="MV34" s="485" t="s">
        <v>260</v>
      </c>
      <c r="MW34" s="485" t="s">
        <v>260</v>
      </c>
      <c r="MX34" s="485" t="s">
        <v>260</v>
      </c>
      <c r="MY34" s="485" t="s">
        <v>260</v>
      </c>
      <c r="MZ34" s="485" t="s">
        <v>260</v>
      </c>
      <c r="NA34" s="485" t="s">
        <v>260</v>
      </c>
      <c r="NB34" s="485">
        <v>0</v>
      </c>
      <c r="NC34" s="485" t="s">
        <v>260</v>
      </c>
      <c r="ND34" s="485" t="s">
        <v>260</v>
      </c>
      <c r="NE34" s="485" t="s">
        <v>260</v>
      </c>
      <c r="NF34" s="485" t="s">
        <v>260</v>
      </c>
      <c r="NG34" s="485" t="s">
        <v>260</v>
      </c>
      <c r="NH34" s="485" t="s">
        <v>260</v>
      </c>
      <c r="NI34" s="485" t="s">
        <v>260</v>
      </c>
      <c r="NJ34" s="485" t="s">
        <v>260</v>
      </c>
      <c r="NK34" s="485" t="s">
        <v>5330</v>
      </c>
      <c r="NL34" s="485" t="s">
        <v>260</v>
      </c>
      <c r="NM34" s="485" t="s">
        <v>260</v>
      </c>
      <c r="NN34" s="485" t="s">
        <v>260</v>
      </c>
      <c r="NO34" s="485">
        <v>20</v>
      </c>
      <c r="NP34" s="485">
        <v>20</v>
      </c>
      <c r="NQ34" s="485" t="s">
        <v>260</v>
      </c>
      <c r="NR34" s="485" t="s">
        <v>260</v>
      </c>
      <c r="NS34" s="485" t="s">
        <v>260</v>
      </c>
      <c r="NT34" s="485">
        <v>1</v>
      </c>
      <c r="NU34" s="485">
        <v>19</v>
      </c>
      <c r="NV34" s="485" t="s">
        <v>260</v>
      </c>
      <c r="NW34" s="485" t="s">
        <v>260</v>
      </c>
      <c r="NX34" s="485" t="s">
        <v>260</v>
      </c>
      <c r="NY34" s="485" t="s">
        <v>260</v>
      </c>
      <c r="NZ34" s="485" t="s">
        <v>260</v>
      </c>
      <c r="OA34" s="485" t="s">
        <v>260</v>
      </c>
      <c r="OB34" s="485" t="s">
        <v>260</v>
      </c>
      <c r="OC34" s="485" t="s">
        <v>260</v>
      </c>
      <c r="OD34" s="485">
        <v>0</v>
      </c>
      <c r="OE34" s="485" t="s">
        <v>260</v>
      </c>
      <c r="OF34" s="485" t="s">
        <v>260</v>
      </c>
      <c r="OG34" s="485" t="s">
        <v>260</v>
      </c>
      <c r="OH34" s="485" t="s">
        <v>260</v>
      </c>
      <c r="OI34" s="485" t="s">
        <v>260</v>
      </c>
      <c r="OJ34" s="485" t="s">
        <v>260</v>
      </c>
      <c r="OK34" s="485" t="s">
        <v>260</v>
      </c>
      <c r="OL34" s="485" t="s">
        <v>260</v>
      </c>
      <c r="OM34" s="483" t="s">
        <v>260</v>
      </c>
      <c r="ON34" s="483" t="s">
        <v>260</v>
      </c>
      <c r="OO34" s="483" t="s">
        <v>260</v>
      </c>
      <c r="OP34" s="483" t="s">
        <v>260</v>
      </c>
      <c r="OQ34" s="483" t="s">
        <v>260</v>
      </c>
      <c r="OR34" s="483" t="s">
        <v>260</v>
      </c>
      <c r="OS34" s="483" t="s">
        <v>260</v>
      </c>
      <c r="OT34" s="483" t="s">
        <v>260</v>
      </c>
      <c r="OU34" s="483" t="s">
        <v>260</v>
      </c>
      <c r="OV34" s="483" t="s">
        <v>260</v>
      </c>
      <c r="OW34" s="483" t="s">
        <v>260</v>
      </c>
      <c r="OX34" s="483">
        <v>20</v>
      </c>
      <c r="OY34" s="483" t="s">
        <v>260</v>
      </c>
      <c r="OZ34" s="483" t="s">
        <v>260</v>
      </c>
      <c r="PA34" s="483" t="s">
        <v>260</v>
      </c>
      <c r="PB34" s="483" t="s">
        <v>260</v>
      </c>
      <c r="PC34" s="483" t="s">
        <v>260</v>
      </c>
      <c r="PD34" s="483" t="s">
        <v>260</v>
      </c>
      <c r="PE34" s="485">
        <v>0</v>
      </c>
      <c r="PF34" s="483" t="s">
        <v>260</v>
      </c>
      <c r="PG34" s="483" t="s">
        <v>260</v>
      </c>
      <c r="PH34" s="483" t="s">
        <v>260</v>
      </c>
      <c r="PI34" s="483" t="s">
        <v>260</v>
      </c>
      <c r="PJ34" s="483" t="s">
        <v>260</v>
      </c>
      <c r="PK34" s="483" t="s">
        <v>260</v>
      </c>
      <c r="PL34" s="483" t="s">
        <v>260</v>
      </c>
      <c r="PM34" s="483" t="s">
        <v>260</v>
      </c>
    </row>
    <row r="35" spans="2:429" ht="15.6" x14ac:dyDescent="0.3">
      <c r="B35" s="487" t="s">
        <v>1646</v>
      </c>
      <c r="C35" s="483">
        <f t="shared" si="0"/>
        <v>52</v>
      </c>
      <c r="D35" s="483">
        <v>4</v>
      </c>
      <c r="E35" s="483">
        <v>4</v>
      </c>
      <c r="F35" s="483" t="s">
        <v>260</v>
      </c>
      <c r="G35" s="483" t="s">
        <v>260</v>
      </c>
      <c r="H35" s="483" t="s">
        <v>260</v>
      </c>
      <c r="I35" s="483" t="s">
        <v>260</v>
      </c>
      <c r="J35" s="483" t="s">
        <v>260</v>
      </c>
      <c r="K35" s="483" t="s">
        <v>260</v>
      </c>
      <c r="L35" s="483" t="s">
        <v>260</v>
      </c>
      <c r="M35" s="483" t="s">
        <v>260</v>
      </c>
      <c r="N35" s="483" t="s">
        <v>260</v>
      </c>
      <c r="O35" s="483" t="s">
        <v>260</v>
      </c>
      <c r="P35" s="483" t="s">
        <v>260</v>
      </c>
      <c r="Q35" s="483" t="s">
        <v>260</v>
      </c>
      <c r="R35" s="483" t="s">
        <v>260</v>
      </c>
      <c r="S35" s="483" t="s">
        <v>260</v>
      </c>
      <c r="T35" s="483" t="s">
        <v>260</v>
      </c>
      <c r="U35" s="483" t="s">
        <v>260</v>
      </c>
      <c r="V35" s="483">
        <v>44</v>
      </c>
      <c r="W35" s="483" t="s">
        <v>260</v>
      </c>
      <c r="X35" s="483" t="s">
        <v>260</v>
      </c>
      <c r="Y35" s="483" t="s">
        <v>260</v>
      </c>
      <c r="Z35" s="483" t="s">
        <v>260</v>
      </c>
      <c r="AA35" s="483" t="s">
        <v>260</v>
      </c>
      <c r="AB35" s="483" t="s">
        <v>260</v>
      </c>
      <c r="AC35" s="483" t="s">
        <v>260</v>
      </c>
      <c r="AD35" s="483" t="s">
        <v>260</v>
      </c>
      <c r="AE35" s="483" t="s">
        <v>260</v>
      </c>
      <c r="AF35" s="483" t="s">
        <v>260</v>
      </c>
      <c r="AG35" s="483" t="s">
        <v>260</v>
      </c>
      <c r="AH35" s="483" t="s">
        <v>260</v>
      </c>
      <c r="AI35" s="483" t="s">
        <v>260</v>
      </c>
      <c r="AJ35" s="483" t="s">
        <v>260</v>
      </c>
      <c r="AK35" s="483" t="s">
        <v>260</v>
      </c>
      <c r="AL35" s="483" t="s">
        <v>260</v>
      </c>
      <c r="AM35" s="483" t="s">
        <v>260</v>
      </c>
      <c r="AN35" s="483" t="s">
        <v>260</v>
      </c>
      <c r="AO35" s="483" t="s">
        <v>260</v>
      </c>
      <c r="AP35" s="483" t="s">
        <v>260</v>
      </c>
      <c r="AQ35" s="483" t="s">
        <v>260</v>
      </c>
      <c r="AR35" s="483" t="s">
        <v>260</v>
      </c>
      <c r="AS35" s="483" t="s">
        <v>260</v>
      </c>
      <c r="AT35" s="483">
        <f t="shared" si="1"/>
        <v>260</v>
      </c>
      <c r="AU35" s="483" t="s">
        <v>260</v>
      </c>
      <c r="AV35" s="483" t="s">
        <v>260</v>
      </c>
      <c r="AW35" s="483" t="s">
        <v>260</v>
      </c>
      <c r="AX35" s="483" t="s">
        <v>260</v>
      </c>
      <c r="AY35" s="483" t="s">
        <v>260</v>
      </c>
      <c r="AZ35" s="483" t="s">
        <v>260</v>
      </c>
      <c r="BA35" s="483" t="s">
        <v>260</v>
      </c>
      <c r="BB35" s="483" t="s">
        <v>260</v>
      </c>
      <c r="BC35" s="483" t="s">
        <v>260</v>
      </c>
      <c r="BD35" s="483" t="s">
        <v>260</v>
      </c>
      <c r="BE35" s="483" t="s">
        <v>260</v>
      </c>
      <c r="BF35" s="483" t="s">
        <v>260</v>
      </c>
      <c r="BG35" s="483" t="s">
        <v>260</v>
      </c>
      <c r="BH35" s="483" t="s">
        <v>260</v>
      </c>
      <c r="BI35" s="483" t="s">
        <v>260</v>
      </c>
      <c r="BJ35" s="483">
        <v>260</v>
      </c>
      <c r="BK35" s="483" t="s">
        <v>260</v>
      </c>
      <c r="BL35" s="483" t="s">
        <v>260</v>
      </c>
      <c r="BM35" s="483" t="s">
        <v>260</v>
      </c>
      <c r="BN35" s="483" t="s">
        <v>260</v>
      </c>
      <c r="BO35" s="483" t="s">
        <v>260</v>
      </c>
      <c r="BP35" s="483" t="s">
        <v>260</v>
      </c>
      <c r="BQ35" s="483" t="s">
        <v>260</v>
      </c>
      <c r="BR35" s="483" t="s">
        <v>260</v>
      </c>
      <c r="BS35" s="483" t="s">
        <v>260</v>
      </c>
      <c r="BT35" s="483" t="s">
        <v>260</v>
      </c>
      <c r="BU35" s="483" t="s">
        <v>260</v>
      </c>
      <c r="BV35" s="483" t="s">
        <v>260</v>
      </c>
      <c r="BW35" s="483" t="s">
        <v>260</v>
      </c>
      <c r="BX35" s="483" t="s">
        <v>260</v>
      </c>
      <c r="BY35" s="483" t="s">
        <v>260</v>
      </c>
      <c r="BZ35" s="483" t="s">
        <v>260</v>
      </c>
      <c r="CA35" s="483" t="s">
        <v>260</v>
      </c>
      <c r="CB35" s="483" t="s">
        <v>260</v>
      </c>
      <c r="CC35" s="483" t="s">
        <v>260</v>
      </c>
      <c r="CD35" s="483" t="s">
        <v>260</v>
      </c>
      <c r="CE35" s="483" t="s">
        <v>260</v>
      </c>
      <c r="CF35" s="483" t="s">
        <v>260</v>
      </c>
      <c r="CG35" s="483" t="s">
        <v>260</v>
      </c>
      <c r="CH35" s="483" t="s">
        <v>260</v>
      </c>
      <c r="CI35" s="483" t="s">
        <v>260</v>
      </c>
      <c r="CJ35" s="483" t="s">
        <v>260</v>
      </c>
      <c r="CK35" s="483" t="s">
        <v>260</v>
      </c>
      <c r="CL35" s="483" t="s">
        <v>260</v>
      </c>
      <c r="CM35" s="483" t="s">
        <v>260</v>
      </c>
      <c r="CN35" s="483" t="s">
        <v>260</v>
      </c>
      <c r="CO35" s="483" t="s">
        <v>260</v>
      </c>
      <c r="CP35" s="483" t="s">
        <v>260</v>
      </c>
      <c r="CQ35" s="483" t="s">
        <v>260</v>
      </c>
      <c r="CR35" s="483" t="s">
        <v>260</v>
      </c>
      <c r="CS35" s="483" t="s">
        <v>260</v>
      </c>
      <c r="CT35" s="483" t="s">
        <v>260</v>
      </c>
      <c r="CU35" s="483" t="s">
        <v>260</v>
      </c>
      <c r="CV35" s="483" t="s">
        <v>260</v>
      </c>
      <c r="CW35" s="483" t="s">
        <v>260</v>
      </c>
      <c r="CX35" s="483" t="s">
        <v>260</v>
      </c>
      <c r="CY35" s="483" t="s">
        <v>260</v>
      </c>
      <c r="CZ35" s="483" t="s">
        <v>260</v>
      </c>
      <c r="DA35" s="483" t="s">
        <v>260</v>
      </c>
      <c r="DB35" s="483" t="s">
        <v>260</v>
      </c>
      <c r="DC35" s="483" t="s">
        <v>260</v>
      </c>
      <c r="DD35" s="483" t="s">
        <v>260</v>
      </c>
      <c r="DE35" s="483" t="s">
        <v>260</v>
      </c>
      <c r="DF35" s="483" t="s">
        <v>260</v>
      </c>
      <c r="DG35" s="483" t="s">
        <v>260</v>
      </c>
      <c r="DH35" s="483" t="s">
        <v>260</v>
      </c>
      <c r="DI35" s="483" t="s">
        <v>260</v>
      </c>
      <c r="DJ35" s="483" t="s">
        <v>260</v>
      </c>
      <c r="DK35" s="483" t="s">
        <v>260</v>
      </c>
      <c r="DL35" s="483" t="s">
        <v>260</v>
      </c>
      <c r="DM35" s="483" t="s">
        <v>260</v>
      </c>
      <c r="DN35" s="483">
        <v>49</v>
      </c>
      <c r="DO35" s="483">
        <v>12</v>
      </c>
      <c r="DP35" s="483">
        <v>27</v>
      </c>
      <c r="DQ35" s="483" t="s">
        <v>260</v>
      </c>
      <c r="DR35" s="483" t="s">
        <v>260</v>
      </c>
      <c r="DS35" s="483" t="s">
        <v>260</v>
      </c>
      <c r="DT35" s="483">
        <v>10</v>
      </c>
      <c r="DU35" s="483" t="s">
        <v>260</v>
      </c>
      <c r="DV35" s="483" t="s">
        <v>260</v>
      </c>
      <c r="DW35" s="483" t="s">
        <v>260</v>
      </c>
      <c r="DX35" s="483" t="s">
        <v>260</v>
      </c>
      <c r="DY35" s="483" t="s">
        <v>260</v>
      </c>
      <c r="DZ35" s="483" t="s">
        <v>260</v>
      </c>
      <c r="EA35" s="483" t="s">
        <v>260</v>
      </c>
      <c r="EB35" s="483">
        <v>0</v>
      </c>
      <c r="EC35" s="483" t="s">
        <v>260</v>
      </c>
      <c r="ED35" s="483" t="s">
        <v>260</v>
      </c>
      <c r="EE35" s="483" t="s">
        <v>260</v>
      </c>
      <c r="EF35" s="483" t="s">
        <v>260</v>
      </c>
      <c r="EG35" s="483" t="s">
        <v>260</v>
      </c>
      <c r="EH35" s="483" t="s">
        <v>260</v>
      </c>
      <c r="EI35" s="483" t="s">
        <v>260</v>
      </c>
      <c r="EJ35" s="483" t="s">
        <v>260</v>
      </c>
      <c r="EK35" s="483" t="s">
        <v>260</v>
      </c>
      <c r="EL35" s="483" t="s">
        <v>260</v>
      </c>
      <c r="EM35" s="483" t="s">
        <v>260</v>
      </c>
      <c r="EN35" s="483" t="s">
        <v>260</v>
      </c>
      <c r="EO35" s="483" t="s">
        <v>260</v>
      </c>
      <c r="EP35" s="483" t="s">
        <v>260</v>
      </c>
      <c r="EQ35" s="483" t="s">
        <v>260</v>
      </c>
      <c r="ER35" s="483" t="s">
        <v>260</v>
      </c>
      <c r="ES35" s="483" t="s">
        <v>260</v>
      </c>
      <c r="ET35" s="483" t="s">
        <v>260</v>
      </c>
      <c r="EU35" s="483" t="s">
        <v>260</v>
      </c>
      <c r="EV35" s="483" t="s">
        <v>260</v>
      </c>
      <c r="EW35" s="483" t="s">
        <v>260</v>
      </c>
      <c r="EX35" s="483" t="s">
        <v>260</v>
      </c>
      <c r="EY35" s="483" t="s">
        <v>260</v>
      </c>
      <c r="EZ35" s="483" t="s">
        <v>260</v>
      </c>
      <c r="FA35" s="483" t="s">
        <v>260</v>
      </c>
      <c r="FB35" s="483" t="s">
        <v>260</v>
      </c>
      <c r="FC35" s="483" t="s">
        <v>260</v>
      </c>
      <c r="FD35" s="483">
        <v>120</v>
      </c>
      <c r="FE35" s="483" t="s">
        <v>260</v>
      </c>
      <c r="FF35" s="483" t="s">
        <v>260</v>
      </c>
      <c r="FG35" s="483" t="s">
        <v>260</v>
      </c>
      <c r="FH35" s="483" t="s">
        <v>260</v>
      </c>
      <c r="FI35" s="483" t="s">
        <v>260</v>
      </c>
      <c r="FJ35" s="483" t="s">
        <v>260</v>
      </c>
      <c r="FK35" s="483" t="s">
        <v>260</v>
      </c>
      <c r="FL35" s="483" t="s">
        <v>260</v>
      </c>
      <c r="FM35" s="483" t="s">
        <v>260</v>
      </c>
      <c r="FN35" s="483" t="s">
        <v>260</v>
      </c>
      <c r="FO35" s="483" t="s">
        <v>260</v>
      </c>
      <c r="FP35" s="483" t="s">
        <v>260</v>
      </c>
      <c r="FQ35" s="483" t="s">
        <v>260</v>
      </c>
      <c r="FR35" s="483" t="s">
        <v>260</v>
      </c>
      <c r="FS35" s="483" t="s">
        <v>260</v>
      </c>
      <c r="FT35" s="483" t="s">
        <v>260</v>
      </c>
      <c r="FU35" s="483" t="s">
        <v>260</v>
      </c>
      <c r="FV35" s="483" t="s">
        <v>260</v>
      </c>
      <c r="FW35" s="483" t="s">
        <v>260</v>
      </c>
      <c r="FX35" s="483" t="s">
        <v>260</v>
      </c>
      <c r="FY35" s="483">
        <v>120</v>
      </c>
      <c r="FZ35" s="483" t="s">
        <v>260</v>
      </c>
      <c r="GA35" s="483" t="s">
        <v>260</v>
      </c>
      <c r="GB35" s="483" t="s">
        <v>260</v>
      </c>
      <c r="GC35" s="483" t="s">
        <v>260</v>
      </c>
      <c r="GD35" s="483" t="s">
        <v>260</v>
      </c>
      <c r="GE35" s="483" t="s">
        <v>260</v>
      </c>
      <c r="GF35" s="483" t="s">
        <v>260</v>
      </c>
      <c r="GG35" s="483" t="s">
        <v>260</v>
      </c>
      <c r="GH35" s="483" t="s">
        <v>260</v>
      </c>
      <c r="GI35" s="483" t="s">
        <v>260</v>
      </c>
      <c r="GJ35" s="483" t="s">
        <v>260</v>
      </c>
      <c r="GK35" s="483" t="s">
        <v>260</v>
      </c>
      <c r="GL35" s="483" t="s">
        <v>260</v>
      </c>
      <c r="GM35" s="483" t="s">
        <v>260</v>
      </c>
      <c r="GN35" s="483" t="s">
        <v>260</v>
      </c>
      <c r="GO35" s="483" t="s">
        <v>260</v>
      </c>
      <c r="GP35" s="483" t="s">
        <v>260</v>
      </c>
      <c r="GQ35" s="483" t="s">
        <v>260</v>
      </c>
      <c r="GR35" s="483" t="s">
        <v>260</v>
      </c>
      <c r="GS35" s="483" t="s">
        <v>260</v>
      </c>
      <c r="GT35" s="483" t="s">
        <v>260</v>
      </c>
      <c r="GU35" s="483" t="s">
        <v>260</v>
      </c>
      <c r="GV35" s="483" t="s">
        <v>260</v>
      </c>
      <c r="GW35" s="483" t="s">
        <v>260</v>
      </c>
      <c r="GX35" s="483" t="s">
        <v>260</v>
      </c>
      <c r="GY35" s="483" t="s">
        <v>260</v>
      </c>
      <c r="GZ35" s="483">
        <v>0</v>
      </c>
      <c r="HA35" s="483" t="s">
        <v>260</v>
      </c>
      <c r="HB35" s="483" t="s">
        <v>260</v>
      </c>
      <c r="HC35" s="483" t="s">
        <v>260</v>
      </c>
      <c r="HD35" s="483" t="s">
        <v>260</v>
      </c>
      <c r="HE35" s="483" t="s">
        <v>260</v>
      </c>
      <c r="HF35" s="483" t="s">
        <v>260</v>
      </c>
      <c r="HG35" s="483" t="s">
        <v>260</v>
      </c>
      <c r="HH35" s="483" t="s">
        <v>260</v>
      </c>
      <c r="HI35" s="483" t="s">
        <v>260</v>
      </c>
      <c r="HJ35" s="483" t="s">
        <v>260</v>
      </c>
      <c r="HK35" s="483" t="s">
        <v>260</v>
      </c>
      <c r="HL35" s="483" t="s">
        <v>260</v>
      </c>
      <c r="HM35" s="483" t="s">
        <v>260</v>
      </c>
      <c r="HN35" s="483" t="s">
        <v>260</v>
      </c>
      <c r="HO35" s="483" t="s">
        <v>260</v>
      </c>
      <c r="HP35" s="483" t="s">
        <v>260</v>
      </c>
      <c r="HQ35" s="483" t="s">
        <v>260</v>
      </c>
      <c r="HR35" s="483" t="s">
        <v>260</v>
      </c>
      <c r="HS35" s="483" t="s">
        <v>260</v>
      </c>
      <c r="HT35" s="483" t="s">
        <v>260</v>
      </c>
      <c r="HU35" s="483" t="s">
        <v>260</v>
      </c>
      <c r="HV35" s="483" t="s">
        <v>260</v>
      </c>
      <c r="HW35" s="483" t="s">
        <v>260</v>
      </c>
      <c r="HX35" s="483" t="s">
        <v>260</v>
      </c>
      <c r="HY35" s="483" t="s">
        <v>260</v>
      </c>
      <c r="HZ35" s="483" t="s">
        <v>260</v>
      </c>
      <c r="IA35" s="483" t="s">
        <v>260</v>
      </c>
      <c r="IB35" s="483" t="s">
        <v>260</v>
      </c>
      <c r="IC35" s="483" t="s">
        <v>260</v>
      </c>
      <c r="ID35" s="483" t="s">
        <v>260</v>
      </c>
      <c r="IE35" s="483" t="s">
        <v>260</v>
      </c>
      <c r="IF35" s="483">
        <v>31</v>
      </c>
      <c r="IG35" s="483">
        <v>31</v>
      </c>
      <c r="IH35" s="483" t="s">
        <v>260</v>
      </c>
      <c r="II35" s="483" t="s">
        <v>260</v>
      </c>
      <c r="IJ35" s="483" t="s">
        <v>260</v>
      </c>
      <c r="IK35" s="483">
        <v>0</v>
      </c>
      <c r="IL35" s="483" t="s">
        <v>260</v>
      </c>
      <c r="IM35" s="483" t="s">
        <v>260</v>
      </c>
      <c r="IN35" s="483" t="s">
        <v>260</v>
      </c>
      <c r="IO35" s="483" t="s">
        <v>260</v>
      </c>
      <c r="IP35" s="483" t="s">
        <v>260</v>
      </c>
      <c r="IQ35" s="483" t="s">
        <v>260</v>
      </c>
      <c r="IR35" s="483" t="s">
        <v>260</v>
      </c>
      <c r="IS35" s="483" t="s">
        <v>260</v>
      </c>
      <c r="IT35" s="483" t="s">
        <v>260</v>
      </c>
      <c r="IU35" s="483" t="s">
        <v>260</v>
      </c>
      <c r="IV35" s="483" t="s">
        <v>260</v>
      </c>
      <c r="IW35" s="483" t="s">
        <v>260</v>
      </c>
      <c r="IX35" s="483" t="s">
        <v>260</v>
      </c>
      <c r="IY35" s="483" t="s">
        <v>260</v>
      </c>
      <c r="IZ35" s="483" t="s">
        <v>260</v>
      </c>
      <c r="JA35" s="483" t="s">
        <v>260</v>
      </c>
      <c r="JB35" s="483" t="s">
        <v>260</v>
      </c>
      <c r="JC35" s="483" t="s">
        <v>260</v>
      </c>
      <c r="JD35" s="483" t="s">
        <v>260</v>
      </c>
      <c r="JE35" s="483">
        <v>0</v>
      </c>
      <c r="JF35" s="483" t="s">
        <v>260</v>
      </c>
      <c r="JG35" s="483" t="s">
        <v>260</v>
      </c>
      <c r="JH35" s="483" t="s">
        <v>260</v>
      </c>
      <c r="JI35" s="483" t="s">
        <v>260</v>
      </c>
      <c r="JJ35" s="483" t="s">
        <v>260</v>
      </c>
      <c r="JK35" s="483" t="s">
        <v>260</v>
      </c>
      <c r="JL35" s="483" t="s">
        <v>260</v>
      </c>
      <c r="JM35" s="483" t="s">
        <v>260</v>
      </c>
      <c r="JN35" s="483" t="s">
        <v>260</v>
      </c>
      <c r="JO35" s="483" t="s">
        <v>260</v>
      </c>
      <c r="JP35" s="483" t="s">
        <v>260</v>
      </c>
      <c r="JQ35" s="483" t="s">
        <v>260</v>
      </c>
      <c r="JR35" s="483" t="s">
        <v>260</v>
      </c>
      <c r="JS35" s="483" t="s">
        <v>260</v>
      </c>
      <c r="JT35" s="483" t="s">
        <v>260</v>
      </c>
      <c r="JU35" s="483" t="s">
        <v>260</v>
      </c>
      <c r="JV35" s="483" t="s">
        <v>260</v>
      </c>
      <c r="JW35" s="483" t="s">
        <v>260</v>
      </c>
      <c r="JX35" s="483" t="s">
        <v>260</v>
      </c>
      <c r="JY35" s="483" t="s">
        <v>260</v>
      </c>
      <c r="JZ35" s="483" t="s">
        <v>260</v>
      </c>
      <c r="KA35" s="483" t="s">
        <v>260</v>
      </c>
      <c r="KB35" s="483">
        <v>14</v>
      </c>
      <c r="KC35" s="483" t="s">
        <v>260</v>
      </c>
      <c r="KD35" s="483" t="s">
        <v>260</v>
      </c>
      <c r="KE35" s="483" t="s">
        <v>260</v>
      </c>
      <c r="KF35" s="483" t="s">
        <v>260</v>
      </c>
      <c r="KG35" s="483" t="s">
        <v>260</v>
      </c>
      <c r="KH35" s="483" t="s">
        <v>260</v>
      </c>
      <c r="KI35" s="483" t="s">
        <v>260</v>
      </c>
      <c r="KJ35" s="483" t="s">
        <v>260</v>
      </c>
      <c r="KK35" s="483" t="s">
        <v>260</v>
      </c>
      <c r="KL35" s="483" t="s">
        <v>260</v>
      </c>
      <c r="KM35" s="483" t="s">
        <v>260</v>
      </c>
      <c r="KN35" s="483" t="s">
        <v>260</v>
      </c>
      <c r="KO35" s="483" t="s">
        <v>260</v>
      </c>
      <c r="KP35" s="483" t="s">
        <v>260</v>
      </c>
      <c r="KQ35" s="483">
        <v>12</v>
      </c>
      <c r="KR35" s="483">
        <v>2</v>
      </c>
      <c r="KS35" s="483" t="s">
        <v>260</v>
      </c>
      <c r="KT35" s="483" t="s">
        <v>260</v>
      </c>
      <c r="KU35" s="483" t="s">
        <v>260</v>
      </c>
      <c r="KV35" s="483" t="s">
        <v>260</v>
      </c>
      <c r="KW35" s="483" t="s">
        <v>260</v>
      </c>
      <c r="KX35" s="483" t="s">
        <v>260</v>
      </c>
      <c r="KY35" s="483" t="s">
        <v>260</v>
      </c>
      <c r="KZ35" s="483" t="s">
        <v>260</v>
      </c>
      <c r="LA35" s="483" t="s">
        <v>260</v>
      </c>
      <c r="LB35" s="483" t="s">
        <v>260</v>
      </c>
      <c r="LC35" s="483" t="s">
        <v>260</v>
      </c>
      <c r="LD35" s="483" t="s">
        <v>260</v>
      </c>
      <c r="LE35" s="483" t="s">
        <v>260</v>
      </c>
      <c r="LF35" s="483" t="s">
        <v>260</v>
      </c>
      <c r="LG35" s="483" t="s">
        <v>260</v>
      </c>
      <c r="LH35" s="483" t="s">
        <v>260</v>
      </c>
      <c r="LI35" s="483" t="s">
        <v>260</v>
      </c>
      <c r="LJ35" s="483" t="s">
        <v>260</v>
      </c>
      <c r="LK35" s="483" t="s">
        <v>260</v>
      </c>
      <c r="LL35" s="483" t="s">
        <v>260</v>
      </c>
      <c r="LM35" s="483" t="s">
        <v>260</v>
      </c>
      <c r="LN35" s="483" t="s">
        <v>260</v>
      </c>
      <c r="LO35" s="483" t="s">
        <v>260</v>
      </c>
      <c r="LP35" s="483" t="s">
        <v>260</v>
      </c>
      <c r="LQ35" s="483" t="s">
        <v>260</v>
      </c>
      <c r="LR35" s="485" t="s">
        <v>260</v>
      </c>
      <c r="LS35" s="485">
        <v>0</v>
      </c>
      <c r="LT35" s="485" t="s">
        <v>260</v>
      </c>
      <c r="LU35" s="485" t="s">
        <v>260</v>
      </c>
      <c r="LV35" s="485" t="s">
        <v>260</v>
      </c>
      <c r="LW35" s="485" t="s">
        <v>260</v>
      </c>
      <c r="LX35" s="485" t="s">
        <v>260</v>
      </c>
      <c r="LY35" s="485" t="s">
        <v>260</v>
      </c>
      <c r="LZ35" s="485" t="s">
        <v>260</v>
      </c>
      <c r="MA35" s="485" t="s">
        <v>260</v>
      </c>
      <c r="MB35" s="485" t="s">
        <v>260</v>
      </c>
      <c r="MC35" s="485">
        <v>0</v>
      </c>
      <c r="MD35" s="485" t="s">
        <v>260</v>
      </c>
      <c r="ME35" s="485" t="s">
        <v>260</v>
      </c>
      <c r="MF35" s="485" t="s">
        <v>260</v>
      </c>
      <c r="MG35" s="485" t="s">
        <v>260</v>
      </c>
      <c r="MH35" s="485" t="s">
        <v>260</v>
      </c>
      <c r="MI35" s="485" t="s">
        <v>260</v>
      </c>
      <c r="MJ35" s="485">
        <v>16</v>
      </c>
      <c r="MK35" s="485">
        <v>16</v>
      </c>
      <c r="ML35" s="485" t="s">
        <v>260</v>
      </c>
      <c r="MM35" s="485" t="s">
        <v>260</v>
      </c>
      <c r="MN35" s="485" t="s">
        <v>260</v>
      </c>
      <c r="MO35" s="485" t="s">
        <v>260</v>
      </c>
      <c r="MP35" s="485" t="s">
        <v>260</v>
      </c>
      <c r="MQ35" s="485" t="s">
        <v>260</v>
      </c>
      <c r="MR35" s="485" t="s">
        <v>260</v>
      </c>
      <c r="MS35" s="485" t="s">
        <v>260</v>
      </c>
      <c r="MT35" s="485" t="s">
        <v>260</v>
      </c>
      <c r="MU35" s="485" t="s">
        <v>260</v>
      </c>
      <c r="MV35" s="485" t="s">
        <v>260</v>
      </c>
      <c r="MW35" s="485" t="s">
        <v>260</v>
      </c>
      <c r="MX35" s="485" t="s">
        <v>260</v>
      </c>
      <c r="MY35" s="485" t="s">
        <v>260</v>
      </c>
      <c r="MZ35" s="485" t="s">
        <v>260</v>
      </c>
      <c r="NA35" s="485" t="s">
        <v>260</v>
      </c>
      <c r="NB35" s="485">
        <v>0</v>
      </c>
      <c r="NC35" s="485" t="s">
        <v>260</v>
      </c>
      <c r="ND35" s="485" t="s">
        <v>260</v>
      </c>
      <c r="NE35" s="485" t="s">
        <v>260</v>
      </c>
      <c r="NF35" s="485" t="s">
        <v>260</v>
      </c>
      <c r="NG35" s="485" t="s">
        <v>260</v>
      </c>
      <c r="NH35" s="485" t="s">
        <v>260</v>
      </c>
      <c r="NI35" s="485" t="s">
        <v>260</v>
      </c>
      <c r="NJ35" s="485" t="s">
        <v>260</v>
      </c>
      <c r="NK35" s="485" t="s">
        <v>260</v>
      </c>
      <c r="NL35" s="485" t="s">
        <v>260</v>
      </c>
      <c r="NM35" s="485" t="s">
        <v>260</v>
      </c>
      <c r="NN35" s="485" t="s">
        <v>260</v>
      </c>
      <c r="NO35" s="485">
        <v>0</v>
      </c>
      <c r="NP35" s="485">
        <v>0</v>
      </c>
      <c r="NQ35" s="485" t="s">
        <v>260</v>
      </c>
      <c r="NR35" s="485" t="s">
        <v>260</v>
      </c>
      <c r="NS35" s="485" t="s">
        <v>260</v>
      </c>
      <c r="NT35" s="485" t="s">
        <v>260</v>
      </c>
      <c r="NU35" s="485" t="s">
        <v>260</v>
      </c>
      <c r="NV35" s="485" t="s">
        <v>260</v>
      </c>
      <c r="NW35" s="485" t="s">
        <v>260</v>
      </c>
      <c r="NX35" s="485" t="s">
        <v>260</v>
      </c>
      <c r="NY35" s="485" t="s">
        <v>260</v>
      </c>
      <c r="NZ35" s="485" t="s">
        <v>260</v>
      </c>
      <c r="OA35" s="485" t="s">
        <v>260</v>
      </c>
      <c r="OB35" s="485" t="s">
        <v>260</v>
      </c>
      <c r="OC35" s="485" t="s">
        <v>260</v>
      </c>
      <c r="OD35" s="485">
        <v>0</v>
      </c>
      <c r="OE35" s="485" t="s">
        <v>260</v>
      </c>
      <c r="OF35" s="485" t="s">
        <v>260</v>
      </c>
      <c r="OG35" s="485" t="s">
        <v>260</v>
      </c>
      <c r="OH35" s="485" t="s">
        <v>260</v>
      </c>
      <c r="OI35" s="485" t="s">
        <v>260</v>
      </c>
      <c r="OJ35" s="485" t="s">
        <v>5330</v>
      </c>
      <c r="OK35" s="485" t="s">
        <v>260</v>
      </c>
      <c r="OL35" s="485" t="s">
        <v>260</v>
      </c>
      <c r="OM35" s="483" t="s">
        <v>260</v>
      </c>
      <c r="ON35" s="483" t="s">
        <v>260</v>
      </c>
      <c r="OO35" s="483" t="s">
        <v>260</v>
      </c>
      <c r="OP35" s="483" t="s">
        <v>260</v>
      </c>
      <c r="OQ35" s="483" t="s">
        <v>260</v>
      </c>
      <c r="OR35" s="483" t="s">
        <v>260</v>
      </c>
      <c r="OS35" s="483" t="s">
        <v>260</v>
      </c>
      <c r="OT35" s="483" t="s">
        <v>260</v>
      </c>
      <c r="OU35" s="483" t="s">
        <v>260</v>
      </c>
      <c r="OV35" s="483" t="s">
        <v>260</v>
      </c>
      <c r="OW35" s="483" t="s">
        <v>260</v>
      </c>
      <c r="OX35" s="483" t="s">
        <v>260</v>
      </c>
      <c r="OY35" s="483" t="s">
        <v>260</v>
      </c>
      <c r="OZ35" s="483" t="s">
        <v>260</v>
      </c>
      <c r="PA35" s="483" t="s">
        <v>260</v>
      </c>
      <c r="PB35" s="483" t="s">
        <v>260</v>
      </c>
      <c r="PC35" s="483" t="s">
        <v>260</v>
      </c>
      <c r="PD35" s="483" t="s">
        <v>260</v>
      </c>
      <c r="PE35" s="485">
        <v>0</v>
      </c>
      <c r="PF35" s="483" t="s">
        <v>260</v>
      </c>
      <c r="PG35" s="483" t="s">
        <v>260</v>
      </c>
      <c r="PH35" s="483" t="s">
        <v>260</v>
      </c>
      <c r="PI35" s="483" t="s">
        <v>260</v>
      </c>
      <c r="PJ35" s="483" t="s">
        <v>260</v>
      </c>
      <c r="PK35" s="483" t="s">
        <v>260</v>
      </c>
      <c r="PL35" s="483" t="s">
        <v>260</v>
      </c>
      <c r="PM35" s="483" t="s">
        <v>260</v>
      </c>
    </row>
    <row r="36" spans="2:429" ht="15.6" x14ac:dyDescent="0.3">
      <c r="B36" s="487" t="s">
        <v>2489</v>
      </c>
      <c r="C36" s="483">
        <f t="shared" si="0"/>
        <v>30</v>
      </c>
      <c r="D36" s="483">
        <v>0</v>
      </c>
      <c r="E36" s="483" t="s">
        <v>260</v>
      </c>
      <c r="F36" s="483" t="s">
        <v>260</v>
      </c>
      <c r="G36" s="483" t="s">
        <v>260</v>
      </c>
      <c r="H36" s="483" t="s">
        <v>260</v>
      </c>
      <c r="I36" s="483" t="s">
        <v>260</v>
      </c>
      <c r="J36" s="483" t="s">
        <v>260</v>
      </c>
      <c r="K36" s="483" t="s">
        <v>260</v>
      </c>
      <c r="L36" s="483" t="s">
        <v>260</v>
      </c>
      <c r="M36" s="483" t="s">
        <v>260</v>
      </c>
      <c r="N36" s="483" t="s">
        <v>260</v>
      </c>
      <c r="O36" s="483" t="s">
        <v>260</v>
      </c>
      <c r="P36" s="483" t="s">
        <v>260</v>
      </c>
      <c r="Q36" s="483" t="s">
        <v>260</v>
      </c>
      <c r="R36" s="483" t="s">
        <v>260</v>
      </c>
      <c r="S36" s="483" t="s">
        <v>260</v>
      </c>
      <c r="T36" s="483" t="s">
        <v>260</v>
      </c>
      <c r="U36" s="483" t="s">
        <v>260</v>
      </c>
      <c r="V36" s="483">
        <v>30</v>
      </c>
      <c r="W36" s="483" t="s">
        <v>260</v>
      </c>
      <c r="X36" s="483" t="s">
        <v>260</v>
      </c>
      <c r="Y36" s="483" t="s">
        <v>260</v>
      </c>
      <c r="Z36" s="483" t="s">
        <v>260</v>
      </c>
      <c r="AA36" s="483" t="s">
        <v>260</v>
      </c>
      <c r="AB36" s="483" t="s">
        <v>260</v>
      </c>
      <c r="AC36" s="483" t="s">
        <v>260</v>
      </c>
      <c r="AD36" s="483" t="s">
        <v>260</v>
      </c>
      <c r="AE36" s="483" t="s">
        <v>260</v>
      </c>
      <c r="AF36" s="483" t="s">
        <v>260</v>
      </c>
      <c r="AG36" s="483" t="s">
        <v>260</v>
      </c>
      <c r="AH36" s="483" t="s">
        <v>260</v>
      </c>
      <c r="AI36" s="483" t="s">
        <v>260</v>
      </c>
      <c r="AJ36" s="483" t="s">
        <v>260</v>
      </c>
      <c r="AK36" s="483" t="s">
        <v>260</v>
      </c>
      <c r="AL36" s="483" t="s">
        <v>260</v>
      </c>
      <c r="AM36" s="483" t="s">
        <v>260</v>
      </c>
      <c r="AN36" s="483" t="s">
        <v>260</v>
      </c>
      <c r="AO36" s="483" t="s">
        <v>260</v>
      </c>
      <c r="AP36" s="483" t="s">
        <v>260</v>
      </c>
      <c r="AQ36" s="483" t="s">
        <v>260</v>
      </c>
      <c r="AR36" s="483" t="s">
        <v>260</v>
      </c>
      <c r="AS36" s="483" t="s">
        <v>260</v>
      </c>
      <c r="AT36" s="483">
        <f t="shared" si="1"/>
        <v>94</v>
      </c>
      <c r="AU36" s="483" t="s">
        <v>260</v>
      </c>
      <c r="AV36" s="483" t="s">
        <v>260</v>
      </c>
      <c r="AW36" s="483" t="s">
        <v>260</v>
      </c>
      <c r="AX36" s="483" t="s">
        <v>260</v>
      </c>
      <c r="AY36" s="483" t="s">
        <v>260</v>
      </c>
      <c r="AZ36" s="483" t="s">
        <v>260</v>
      </c>
      <c r="BA36" s="483" t="s">
        <v>260</v>
      </c>
      <c r="BB36" s="483" t="s">
        <v>260</v>
      </c>
      <c r="BC36" s="483" t="s">
        <v>260</v>
      </c>
      <c r="BD36" s="483" t="s">
        <v>260</v>
      </c>
      <c r="BE36" s="483" t="s">
        <v>260</v>
      </c>
      <c r="BF36" s="483" t="s">
        <v>260</v>
      </c>
      <c r="BG36" s="483" t="s">
        <v>260</v>
      </c>
      <c r="BH36" s="483" t="s">
        <v>260</v>
      </c>
      <c r="BI36" s="483" t="s">
        <v>260</v>
      </c>
      <c r="BJ36" s="483" t="s">
        <v>260</v>
      </c>
      <c r="BK36" s="483" t="s">
        <v>260</v>
      </c>
      <c r="BL36" s="483" t="s">
        <v>260</v>
      </c>
      <c r="BM36" s="483" t="s">
        <v>260</v>
      </c>
      <c r="BN36" s="483" t="s">
        <v>260</v>
      </c>
      <c r="BO36" s="483" t="s">
        <v>260</v>
      </c>
      <c r="BP36" s="483" t="s">
        <v>260</v>
      </c>
      <c r="BQ36" s="483" t="s">
        <v>260</v>
      </c>
      <c r="BR36" s="483" t="s">
        <v>260</v>
      </c>
      <c r="BS36" s="483" t="s">
        <v>260</v>
      </c>
      <c r="BT36" s="483" t="s">
        <v>260</v>
      </c>
      <c r="BU36" s="483" t="s">
        <v>260</v>
      </c>
      <c r="BV36" s="483" t="s">
        <v>260</v>
      </c>
      <c r="BW36" s="483" t="s">
        <v>260</v>
      </c>
      <c r="BX36" s="483" t="s">
        <v>260</v>
      </c>
      <c r="BY36" s="483" t="s">
        <v>260</v>
      </c>
      <c r="BZ36" s="483" t="s">
        <v>260</v>
      </c>
      <c r="CA36" s="483" t="s">
        <v>260</v>
      </c>
      <c r="CB36" s="483" t="s">
        <v>260</v>
      </c>
      <c r="CC36" s="483" t="s">
        <v>260</v>
      </c>
      <c r="CD36" s="483" t="s">
        <v>260</v>
      </c>
      <c r="CE36" s="483" t="s">
        <v>260</v>
      </c>
      <c r="CF36" s="483" t="s">
        <v>260</v>
      </c>
      <c r="CG36" s="483" t="s">
        <v>260</v>
      </c>
      <c r="CH36" s="483" t="s">
        <v>260</v>
      </c>
      <c r="CI36" s="483" t="s">
        <v>260</v>
      </c>
      <c r="CJ36" s="483" t="s">
        <v>260</v>
      </c>
      <c r="CK36" s="483" t="s">
        <v>260</v>
      </c>
      <c r="CL36" s="483" t="s">
        <v>260</v>
      </c>
      <c r="CM36" s="483" t="s">
        <v>260</v>
      </c>
      <c r="CN36" s="483" t="s">
        <v>260</v>
      </c>
      <c r="CO36" s="483" t="s">
        <v>260</v>
      </c>
      <c r="CP36" s="483" t="s">
        <v>260</v>
      </c>
      <c r="CQ36" s="483" t="s">
        <v>260</v>
      </c>
      <c r="CR36" s="483" t="s">
        <v>260</v>
      </c>
      <c r="CS36" s="483">
        <v>72</v>
      </c>
      <c r="CT36" s="483">
        <v>7</v>
      </c>
      <c r="CU36" s="483">
        <v>15</v>
      </c>
      <c r="CV36" s="483" t="s">
        <v>260</v>
      </c>
      <c r="CW36" s="483" t="s">
        <v>260</v>
      </c>
      <c r="CX36" s="483" t="s">
        <v>260</v>
      </c>
      <c r="CY36" s="483" t="s">
        <v>260</v>
      </c>
      <c r="CZ36" s="483" t="s">
        <v>260</v>
      </c>
      <c r="DA36" s="483" t="s">
        <v>260</v>
      </c>
      <c r="DB36" s="483" t="s">
        <v>260</v>
      </c>
      <c r="DC36" s="483" t="s">
        <v>260</v>
      </c>
      <c r="DD36" s="483" t="s">
        <v>260</v>
      </c>
      <c r="DE36" s="483" t="s">
        <v>260</v>
      </c>
      <c r="DF36" s="483" t="s">
        <v>260</v>
      </c>
      <c r="DG36" s="483" t="s">
        <v>260</v>
      </c>
      <c r="DH36" s="483" t="s">
        <v>260</v>
      </c>
      <c r="DI36" s="483" t="s">
        <v>260</v>
      </c>
      <c r="DJ36" s="483" t="s">
        <v>260</v>
      </c>
      <c r="DK36" s="483" t="s">
        <v>260</v>
      </c>
      <c r="DL36" s="483" t="s">
        <v>260</v>
      </c>
      <c r="DM36" s="483" t="s">
        <v>260</v>
      </c>
      <c r="DN36" s="483">
        <v>7</v>
      </c>
      <c r="DO36" s="483" t="s">
        <v>260</v>
      </c>
      <c r="DP36" s="483">
        <v>7</v>
      </c>
      <c r="DQ36" s="483" t="s">
        <v>260</v>
      </c>
      <c r="DR36" s="483" t="s">
        <v>260</v>
      </c>
      <c r="DS36" s="483" t="s">
        <v>260</v>
      </c>
      <c r="DT36" s="483" t="s">
        <v>260</v>
      </c>
      <c r="DU36" s="483" t="s">
        <v>260</v>
      </c>
      <c r="DV36" s="483" t="s">
        <v>260</v>
      </c>
      <c r="DW36" s="483" t="s">
        <v>260</v>
      </c>
      <c r="DX36" s="483" t="s">
        <v>260</v>
      </c>
      <c r="DY36" s="483" t="s">
        <v>260</v>
      </c>
      <c r="DZ36" s="483" t="s">
        <v>260</v>
      </c>
      <c r="EA36" s="483" t="s">
        <v>260</v>
      </c>
      <c r="EB36" s="483">
        <v>0</v>
      </c>
      <c r="EC36" s="483" t="s">
        <v>5330</v>
      </c>
      <c r="ED36" s="483" t="s">
        <v>260</v>
      </c>
      <c r="EE36" s="483" t="s">
        <v>260</v>
      </c>
      <c r="EF36" s="483" t="s">
        <v>260</v>
      </c>
      <c r="EG36" s="483" t="s">
        <v>260</v>
      </c>
      <c r="EH36" s="483" t="s">
        <v>260</v>
      </c>
      <c r="EI36" s="483" t="s">
        <v>260</v>
      </c>
      <c r="EJ36" s="483" t="s">
        <v>260</v>
      </c>
      <c r="EK36" s="483" t="s">
        <v>260</v>
      </c>
      <c r="EL36" s="483" t="s">
        <v>260</v>
      </c>
      <c r="EM36" s="483" t="s">
        <v>260</v>
      </c>
      <c r="EN36" s="483" t="s">
        <v>260</v>
      </c>
      <c r="EO36" s="483" t="s">
        <v>260</v>
      </c>
      <c r="EP36" s="483" t="s">
        <v>260</v>
      </c>
      <c r="EQ36" s="483" t="s">
        <v>260</v>
      </c>
      <c r="ER36" s="483" t="s">
        <v>260</v>
      </c>
      <c r="ES36" s="483" t="s">
        <v>260</v>
      </c>
      <c r="ET36" s="483" t="s">
        <v>260</v>
      </c>
      <c r="EU36" s="483" t="s">
        <v>260</v>
      </c>
      <c r="EV36" s="483" t="s">
        <v>260</v>
      </c>
      <c r="EW36" s="483" t="s">
        <v>260</v>
      </c>
      <c r="EX36" s="483" t="s">
        <v>260</v>
      </c>
      <c r="EY36" s="483" t="s">
        <v>260</v>
      </c>
      <c r="EZ36" s="483" t="s">
        <v>260</v>
      </c>
      <c r="FA36" s="483" t="s">
        <v>260</v>
      </c>
      <c r="FB36" s="483" t="s">
        <v>260</v>
      </c>
      <c r="FC36" s="483" t="s">
        <v>260</v>
      </c>
      <c r="FD36" s="483">
        <v>256</v>
      </c>
      <c r="FE36" s="483">
        <v>148</v>
      </c>
      <c r="FF36" s="483" t="s">
        <v>260</v>
      </c>
      <c r="FG36" s="483" t="s">
        <v>260</v>
      </c>
      <c r="FH36" s="483" t="s">
        <v>260</v>
      </c>
      <c r="FI36" s="483" t="s">
        <v>260</v>
      </c>
      <c r="FJ36" s="483">
        <v>91</v>
      </c>
      <c r="FK36" s="483" t="s">
        <v>260</v>
      </c>
      <c r="FL36" s="483" t="s">
        <v>260</v>
      </c>
      <c r="FM36" s="483" t="s">
        <v>260</v>
      </c>
      <c r="FN36" s="483" t="s">
        <v>260</v>
      </c>
      <c r="FO36" s="483" t="s">
        <v>260</v>
      </c>
      <c r="FP36" s="483" t="s">
        <v>260</v>
      </c>
      <c r="FQ36" s="483" t="s">
        <v>260</v>
      </c>
      <c r="FR36" s="483" t="s">
        <v>260</v>
      </c>
      <c r="FS36" s="483" t="s">
        <v>260</v>
      </c>
      <c r="FT36" s="483" t="s">
        <v>260</v>
      </c>
      <c r="FU36" s="483" t="s">
        <v>260</v>
      </c>
      <c r="FV36" s="483" t="s">
        <v>260</v>
      </c>
      <c r="FW36" s="483" t="s">
        <v>260</v>
      </c>
      <c r="FX36" s="483" t="s">
        <v>260</v>
      </c>
      <c r="FY36" s="483" t="s">
        <v>260</v>
      </c>
      <c r="FZ36" s="483" t="s">
        <v>260</v>
      </c>
      <c r="GA36" s="483" t="s">
        <v>260</v>
      </c>
      <c r="GB36" s="483" t="s">
        <v>260</v>
      </c>
      <c r="GC36" s="483" t="s">
        <v>260</v>
      </c>
      <c r="GD36" s="483" t="s">
        <v>260</v>
      </c>
      <c r="GE36" s="483">
        <v>17</v>
      </c>
      <c r="GF36" s="483" t="s">
        <v>260</v>
      </c>
      <c r="GG36" s="483" t="s">
        <v>260</v>
      </c>
      <c r="GH36" s="483" t="s">
        <v>260</v>
      </c>
      <c r="GI36" s="483" t="s">
        <v>260</v>
      </c>
      <c r="GJ36" s="483" t="s">
        <v>260</v>
      </c>
      <c r="GK36" s="483" t="s">
        <v>260</v>
      </c>
      <c r="GL36" s="483" t="s">
        <v>260</v>
      </c>
      <c r="GM36" s="483" t="s">
        <v>260</v>
      </c>
      <c r="GN36" s="483" t="s">
        <v>260</v>
      </c>
      <c r="GO36" s="483" t="s">
        <v>260</v>
      </c>
      <c r="GP36" s="483" t="s">
        <v>260</v>
      </c>
      <c r="GQ36" s="483" t="s">
        <v>260</v>
      </c>
      <c r="GR36" s="483" t="s">
        <v>260</v>
      </c>
      <c r="GS36" s="483" t="s">
        <v>260</v>
      </c>
      <c r="GT36" s="483" t="s">
        <v>260</v>
      </c>
      <c r="GU36" s="483" t="s">
        <v>260</v>
      </c>
      <c r="GV36" s="483" t="s">
        <v>260</v>
      </c>
      <c r="GW36" s="483" t="s">
        <v>260</v>
      </c>
      <c r="GX36" s="483" t="s">
        <v>260</v>
      </c>
      <c r="GY36" s="483" t="s">
        <v>260</v>
      </c>
      <c r="GZ36" s="483">
        <v>24</v>
      </c>
      <c r="HA36" s="483" t="s">
        <v>260</v>
      </c>
      <c r="HB36" s="483" t="s">
        <v>260</v>
      </c>
      <c r="HC36" s="483" t="s">
        <v>260</v>
      </c>
      <c r="HD36" s="483" t="s">
        <v>260</v>
      </c>
      <c r="HE36" s="483" t="s">
        <v>260</v>
      </c>
      <c r="HF36" s="483" t="s">
        <v>260</v>
      </c>
      <c r="HG36" s="483" t="s">
        <v>260</v>
      </c>
      <c r="HH36" s="483" t="s">
        <v>260</v>
      </c>
      <c r="HI36" s="483" t="s">
        <v>260</v>
      </c>
      <c r="HJ36" s="483" t="s">
        <v>260</v>
      </c>
      <c r="HK36" s="483" t="s">
        <v>260</v>
      </c>
      <c r="HL36" s="483" t="s">
        <v>260</v>
      </c>
      <c r="HM36" s="483" t="s">
        <v>260</v>
      </c>
      <c r="HN36" s="483" t="s">
        <v>260</v>
      </c>
      <c r="HO36" s="483" t="s">
        <v>260</v>
      </c>
      <c r="HP36" s="483" t="s">
        <v>260</v>
      </c>
      <c r="HQ36" s="483" t="s">
        <v>260</v>
      </c>
      <c r="HR36" s="483">
        <v>16</v>
      </c>
      <c r="HS36" s="483">
        <v>8</v>
      </c>
      <c r="HT36" s="483" t="s">
        <v>260</v>
      </c>
      <c r="HU36" s="483" t="s">
        <v>260</v>
      </c>
      <c r="HV36" s="483" t="s">
        <v>260</v>
      </c>
      <c r="HW36" s="483" t="s">
        <v>260</v>
      </c>
      <c r="HX36" s="483" t="s">
        <v>260</v>
      </c>
      <c r="HY36" s="483" t="s">
        <v>260</v>
      </c>
      <c r="HZ36" s="483" t="s">
        <v>260</v>
      </c>
      <c r="IA36" s="483" t="s">
        <v>260</v>
      </c>
      <c r="IB36" s="483" t="s">
        <v>260</v>
      </c>
      <c r="IC36" s="483" t="s">
        <v>260</v>
      </c>
      <c r="ID36" s="483" t="s">
        <v>260</v>
      </c>
      <c r="IE36" s="483" t="s">
        <v>260</v>
      </c>
      <c r="IF36" s="483">
        <v>3</v>
      </c>
      <c r="IG36" s="483" t="s">
        <v>260</v>
      </c>
      <c r="IH36" s="483" t="s">
        <v>260</v>
      </c>
      <c r="II36" s="483" t="s">
        <v>260</v>
      </c>
      <c r="IJ36" s="483">
        <v>3</v>
      </c>
      <c r="IK36" s="483">
        <v>30</v>
      </c>
      <c r="IL36" s="483" t="s">
        <v>260</v>
      </c>
      <c r="IM36" s="483" t="s">
        <v>260</v>
      </c>
      <c r="IN36" s="483">
        <v>4</v>
      </c>
      <c r="IO36" s="483">
        <v>26</v>
      </c>
      <c r="IP36" s="483" t="s">
        <v>260</v>
      </c>
      <c r="IQ36" s="483" t="s">
        <v>260</v>
      </c>
      <c r="IR36" s="483" t="s">
        <v>260</v>
      </c>
      <c r="IS36" s="483" t="s">
        <v>260</v>
      </c>
      <c r="IT36" s="483" t="s">
        <v>260</v>
      </c>
      <c r="IU36" s="483" t="s">
        <v>260</v>
      </c>
      <c r="IV36" s="483" t="s">
        <v>260</v>
      </c>
      <c r="IW36" s="483" t="s">
        <v>260</v>
      </c>
      <c r="IX36" s="483" t="s">
        <v>260</v>
      </c>
      <c r="IY36" s="483" t="s">
        <v>260</v>
      </c>
      <c r="IZ36" s="483" t="s">
        <v>260</v>
      </c>
      <c r="JA36" s="483" t="s">
        <v>260</v>
      </c>
      <c r="JB36" s="483" t="s">
        <v>260</v>
      </c>
      <c r="JC36" s="483" t="s">
        <v>260</v>
      </c>
      <c r="JD36" s="483" t="s">
        <v>260</v>
      </c>
      <c r="JE36" s="483">
        <v>11</v>
      </c>
      <c r="JF36" s="483" t="s">
        <v>260</v>
      </c>
      <c r="JG36" s="483" t="s">
        <v>260</v>
      </c>
      <c r="JH36" s="483" t="s">
        <v>260</v>
      </c>
      <c r="JI36" s="483" t="s">
        <v>260</v>
      </c>
      <c r="JJ36" s="483" t="s">
        <v>260</v>
      </c>
      <c r="JK36" s="483" t="s">
        <v>260</v>
      </c>
      <c r="JL36" s="483" t="s">
        <v>260</v>
      </c>
      <c r="JM36" s="483">
        <v>9</v>
      </c>
      <c r="JN36" s="483">
        <v>2</v>
      </c>
      <c r="JO36" s="483" t="s">
        <v>260</v>
      </c>
      <c r="JP36" s="483" t="s">
        <v>260</v>
      </c>
      <c r="JQ36" s="483" t="s">
        <v>260</v>
      </c>
      <c r="JR36" s="483" t="s">
        <v>260</v>
      </c>
      <c r="JS36" s="483" t="s">
        <v>260</v>
      </c>
      <c r="JT36" s="483" t="s">
        <v>260</v>
      </c>
      <c r="JU36" s="483" t="s">
        <v>260</v>
      </c>
      <c r="JV36" s="483" t="s">
        <v>260</v>
      </c>
      <c r="JW36" s="483" t="s">
        <v>260</v>
      </c>
      <c r="JX36" s="483" t="s">
        <v>260</v>
      </c>
      <c r="JY36" s="483" t="s">
        <v>260</v>
      </c>
      <c r="JZ36" s="483" t="s">
        <v>260</v>
      </c>
      <c r="KA36" s="483" t="s">
        <v>260</v>
      </c>
      <c r="KB36" s="483">
        <v>0</v>
      </c>
      <c r="KC36" s="483" t="s">
        <v>260</v>
      </c>
      <c r="KD36" s="483" t="s">
        <v>260</v>
      </c>
      <c r="KE36" s="483" t="s">
        <v>260</v>
      </c>
      <c r="KF36" s="483" t="s">
        <v>260</v>
      </c>
      <c r="KG36" s="483" t="s">
        <v>260</v>
      </c>
      <c r="KH36" s="483" t="s">
        <v>260</v>
      </c>
      <c r="KI36" s="483" t="s">
        <v>260</v>
      </c>
      <c r="KJ36" s="483" t="s">
        <v>260</v>
      </c>
      <c r="KK36" s="483" t="s">
        <v>260</v>
      </c>
      <c r="KL36" s="483" t="s">
        <v>260</v>
      </c>
      <c r="KM36" s="483" t="s">
        <v>260</v>
      </c>
      <c r="KN36" s="483" t="s">
        <v>260</v>
      </c>
      <c r="KO36" s="483" t="s">
        <v>260</v>
      </c>
      <c r="KP36" s="483" t="s">
        <v>260</v>
      </c>
      <c r="KQ36" s="483" t="s">
        <v>260</v>
      </c>
      <c r="KR36" s="483" t="s">
        <v>260</v>
      </c>
      <c r="KS36" s="483" t="s">
        <v>260</v>
      </c>
      <c r="KT36" s="483" t="s">
        <v>260</v>
      </c>
      <c r="KU36" s="483" t="s">
        <v>260</v>
      </c>
      <c r="KV36" s="483" t="s">
        <v>260</v>
      </c>
      <c r="KW36" s="483" t="s">
        <v>260</v>
      </c>
      <c r="KX36" s="483" t="s">
        <v>260</v>
      </c>
      <c r="KY36" s="483" t="s">
        <v>260</v>
      </c>
      <c r="KZ36" s="483" t="s">
        <v>260</v>
      </c>
      <c r="LA36" s="483" t="s">
        <v>260</v>
      </c>
      <c r="LB36" s="483" t="s">
        <v>260</v>
      </c>
      <c r="LC36" s="483" t="s">
        <v>260</v>
      </c>
      <c r="LD36" s="483" t="s">
        <v>260</v>
      </c>
      <c r="LE36" s="483" t="s">
        <v>260</v>
      </c>
      <c r="LF36" s="483" t="s">
        <v>260</v>
      </c>
      <c r="LG36" s="483" t="s">
        <v>260</v>
      </c>
      <c r="LH36" s="483" t="s">
        <v>260</v>
      </c>
      <c r="LI36" s="483" t="s">
        <v>260</v>
      </c>
      <c r="LJ36" s="483" t="s">
        <v>260</v>
      </c>
      <c r="LK36" s="483" t="s">
        <v>260</v>
      </c>
      <c r="LL36" s="483" t="s">
        <v>260</v>
      </c>
      <c r="LM36" s="483" t="s">
        <v>260</v>
      </c>
      <c r="LN36" s="483" t="s">
        <v>260</v>
      </c>
      <c r="LO36" s="483" t="s">
        <v>260</v>
      </c>
      <c r="LP36" s="483" t="s">
        <v>260</v>
      </c>
      <c r="LQ36" s="483" t="s">
        <v>260</v>
      </c>
      <c r="LR36" s="485" t="s">
        <v>260</v>
      </c>
      <c r="LS36" s="485">
        <v>0</v>
      </c>
      <c r="LT36" s="485" t="s">
        <v>260</v>
      </c>
      <c r="LU36" s="485" t="s">
        <v>260</v>
      </c>
      <c r="LV36" s="485" t="s">
        <v>5332</v>
      </c>
      <c r="LW36" s="485" t="s">
        <v>260</v>
      </c>
      <c r="LX36" s="485" t="s">
        <v>260</v>
      </c>
      <c r="LY36" s="485" t="s">
        <v>260</v>
      </c>
      <c r="LZ36" s="485" t="s">
        <v>260</v>
      </c>
      <c r="MA36" s="485" t="s">
        <v>260</v>
      </c>
      <c r="MB36" s="485" t="s">
        <v>260</v>
      </c>
      <c r="MC36" s="485">
        <v>0</v>
      </c>
      <c r="MD36" s="485" t="s">
        <v>260</v>
      </c>
      <c r="ME36" s="485" t="s">
        <v>260</v>
      </c>
      <c r="MF36" s="485" t="s">
        <v>260</v>
      </c>
      <c r="MG36" s="485" t="s">
        <v>260</v>
      </c>
      <c r="MH36" s="485" t="s">
        <v>260</v>
      </c>
      <c r="MI36" s="485" t="s">
        <v>260</v>
      </c>
      <c r="MJ36" s="485">
        <v>0</v>
      </c>
      <c r="MK36" s="485" t="s">
        <v>5330</v>
      </c>
      <c r="ML36" s="485" t="s">
        <v>260</v>
      </c>
      <c r="MM36" s="485" t="s">
        <v>260</v>
      </c>
      <c r="MN36" s="485" t="s">
        <v>260</v>
      </c>
      <c r="MO36" s="485" t="s">
        <v>260</v>
      </c>
      <c r="MP36" s="485" t="s">
        <v>260</v>
      </c>
      <c r="MQ36" s="485" t="s">
        <v>260</v>
      </c>
      <c r="MR36" s="485" t="s">
        <v>260</v>
      </c>
      <c r="MS36" s="485" t="s">
        <v>260</v>
      </c>
      <c r="MT36" s="485" t="s">
        <v>260</v>
      </c>
      <c r="MU36" s="485" t="s">
        <v>260</v>
      </c>
      <c r="MV36" s="485" t="s">
        <v>260</v>
      </c>
      <c r="MW36" s="485" t="s">
        <v>260</v>
      </c>
      <c r="MX36" s="485" t="s">
        <v>260</v>
      </c>
      <c r="MY36" s="485" t="s">
        <v>260</v>
      </c>
      <c r="MZ36" s="485" t="s">
        <v>260</v>
      </c>
      <c r="NA36" s="485" t="s">
        <v>260</v>
      </c>
      <c r="NB36" s="485">
        <v>0</v>
      </c>
      <c r="NC36" s="485" t="s">
        <v>260</v>
      </c>
      <c r="ND36" s="485" t="s">
        <v>5330</v>
      </c>
      <c r="NE36" s="485" t="s">
        <v>260</v>
      </c>
      <c r="NF36" s="485" t="s">
        <v>260</v>
      </c>
      <c r="NG36" s="485" t="s">
        <v>260</v>
      </c>
      <c r="NH36" s="485" t="s">
        <v>260</v>
      </c>
      <c r="NI36" s="485" t="s">
        <v>260</v>
      </c>
      <c r="NJ36" s="485" t="s">
        <v>260</v>
      </c>
      <c r="NK36" s="485" t="s">
        <v>260</v>
      </c>
      <c r="NL36" s="485" t="s">
        <v>260</v>
      </c>
      <c r="NM36" s="485" t="s">
        <v>260</v>
      </c>
      <c r="NN36" s="485" t="s">
        <v>260</v>
      </c>
      <c r="NO36" s="485">
        <v>0</v>
      </c>
      <c r="NP36" s="485">
        <v>0</v>
      </c>
      <c r="NQ36" s="485" t="s">
        <v>260</v>
      </c>
      <c r="NR36" s="485" t="s">
        <v>260</v>
      </c>
      <c r="NS36" s="485" t="s">
        <v>260</v>
      </c>
      <c r="NT36" s="485" t="s">
        <v>260</v>
      </c>
      <c r="NU36" s="485" t="s">
        <v>260</v>
      </c>
      <c r="NV36" s="485" t="s">
        <v>260</v>
      </c>
      <c r="NW36" s="485" t="s">
        <v>260</v>
      </c>
      <c r="NX36" s="485" t="s">
        <v>260</v>
      </c>
      <c r="NY36" s="485" t="s">
        <v>260</v>
      </c>
      <c r="NZ36" s="485" t="s">
        <v>260</v>
      </c>
      <c r="OA36" s="485" t="s">
        <v>260</v>
      </c>
      <c r="OB36" s="485" t="s">
        <v>260</v>
      </c>
      <c r="OC36" s="485" t="s">
        <v>260</v>
      </c>
      <c r="OD36" s="485">
        <v>0</v>
      </c>
      <c r="OE36" s="485" t="s">
        <v>260</v>
      </c>
      <c r="OF36" s="485" t="s">
        <v>260</v>
      </c>
      <c r="OG36" s="485" t="s">
        <v>260</v>
      </c>
      <c r="OH36" s="485" t="s">
        <v>260</v>
      </c>
      <c r="OI36" s="485" t="s">
        <v>260</v>
      </c>
      <c r="OJ36" s="485" t="s">
        <v>260</v>
      </c>
      <c r="OK36" s="485" t="s">
        <v>260</v>
      </c>
      <c r="OL36" s="485" t="s">
        <v>260</v>
      </c>
      <c r="OM36" s="483" t="s">
        <v>260</v>
      </c>
      <c r="ON36" s="483" t="s">
        <v>260</v>
      </c>
      <c r="OO36" s="483" t="s">
        <v>260</v>
      </c>
      <c r="OP36" s="483" t="s">
        <v>260</v>
      </c>
      <c r="OQ36" s="483" t="s">
        <v>260</v>
      </c>
      <c r="OR36" s="483" t="s">
        <v>260</v>
      </c>
      <c r="OS36" s="483" t="s">
        <v>260</v>
      </c>
      <c r="OT36" s="483" t="s">
        <v>260</v>
      </c>
      <c r="OU36" s="483" t="s">
        <v>260</v>
      </c>
      <c r="OV36" s="483" t="s">
        <v>260</v>
      </c>
      <c r="OW36" s="483" t="s">
        <v>260</v>
      </c>
      <c r="OX36" s="483" t="s">
        <v>260</v>
      </c>
      <c r="OY36" s="483" t="s">
        <v>260</v>
      </c>
      <c r="OZ36" s="483" t="s">
        <v>260</v>
      </c>
      <c r="PA36" s="483" t="s">
        <v>260</v>
      </c>
      <c r="PB36" s="483" t="s">
        <v>260</v>
      </c>
      <c r="PC36" s="483" t="s">
        <v>260</v>
      </c>
      <c r="PD36" s="483" t="s">
        <v>260</v>
      </c>
      <c r="PE36" s="485">
        <v>0</v>
      </c>
      <c r="PF36" s="483" t="s">
        <v>260</v>
      </c>
      <c r="PG36" s="483" t="s">
        <v>260</v>
      </c>
      <c r="PH36" s="483" t="s">
        <v>260</v>
      </c>
      <c r="PI36" s="483" t="s">
        <v>260</v>
      </c>
      <c r="PJ36" s="483" t="s">
        <v>260</v>
      </c>
      <c r="PK36" s="483" t="s">
        <v>260</v>
      </c>
      <c r="PL36" s="483" t="s">
        <v>260</v>
      </c>
      <c r="PM36" s="483" t="s">
        <v>260</v>
      </c>
    </row>
    <row r="37" spans="2:429" ht="15.6" x14ac:dyDescent="0.3">
      <c r="B37" s="487" t="s">
        <v>480</v>
      </c>
      <c r="C37" s="483">
        <f t="shared" si="0"/>
        <v>90</v>
      </c>
      <c r="D37" s="483">
        <v>0</v>
      </c>
      <c r="E37" s="483" t="s">
        <v>260</v>
      </c>
      <c r="F37" s="483" t="s">
        <v>260</v>
      </c>
      <c r="G37" s="483" t="s">
        <v>260</v>
      </c>
      <c r="H37" s="483" t="s">
        <v>260</v>
      </c>
      <c r="I37" s="483" t="s">
        <v>260</v>
      </c>
      <c r="J37" s="483" t="s">
        <v>260</v>
      </c>
      <c r="K37" s="483" t="s">
        <v>260</v>
      </c>
      <c r="L37" s="483" t="s">
        <v>260</v>
      </c>
      <c r="M37" s="483" t="s">
        <v>260</v>
      </c>
      <c r="N37" s="483" t="s">
        <v>260</v>
      </c>
      <c r="O37" s="483" t="s">
        <v>260</v>
      </c>
      <c r="P37" s="483" t="s">
        <v>260</v>
      </c>
      <c r="Q37" s="483" t="s">
        <v>260</v>
      </c>
      <c r="R37" s="483" t="s">
        <v>260</v>
      </c>
      <c r="S37" s="483" t="s">
        <v>260</v>
      </c>
      <c r="T37" s="483" t="s">
        <v>260</v>
      </c>
      <c r="U37" s="483" t="s">
        <v>260</v>
      </c>
      <c r="V37" s="483">
        <v>90</v>
      </c>
      <c r="W37" s="483" t="s">
        <v>260</v>
      </c>
      <c r="X37" s="483" t="s">
        <v>260</v>
      </c>
      <c r="Y37" s="483" t="s">
        <v>260</v>
      </c>
      <c r="Z37" s="483" t="s">
        <v>260</v>
      </c>
      <c r="AA37" s="483" t="s">
        <v>260</v>
      </c>
      <c r="AB37" s="483" t="s">
        <v>260</v>
      </c>
      <c r="AC37" s="483" t="s">
        <v>260</v>
      </c>
      <c r="AD37" s="483" t="s">
        <v>260</v>
      </c>
      <c r="AE37" s="483" t="s">
        <v>260</v>
      </c>
      <c r="AF37" s="483" t="s">
        <v>260</v>
      </c>
      <c r="AG37" s="483" t="s">
        <v>260</v>
      </c>
      <c r="AH37" s="483" t="s">
        <v>260</v>
      </c>
      <c r="AI37" s="483" t="s">
        <v>260</v>
      </c>
      <c r="AJ37" s="483" t="s">
        <v>260</v>
      </c>
      <c r="AK37" s="483" t="s">
        <v>260</v>
      </c>
      <c r="AL37" s="483" t="s">
        <v>260</v>
      </c>
      <c r="AM37" s="483" t="s">
        <v>260</v>
      </c>
      <c r="AN37" s="483" t="s">
        <v>260</v>
      </c>
      <c r="AO37" s="483" t="s">
        <v>260</v>
      </c>
      <c r="AP37" s="483" t="s">
        <v>260</v>
      </c>
      <c r="AQ37" s="483" t="s">
        <v>260</v>
      </c>
      <c r="AR37" s="483" t="s">
        <v>260</v>
      </c>
      <c r="AS37" s="483" t="s">
        <v>260</v>
      </c>
      <c r="AT37" s="483">
        <f t="shared" si="1"/>
        <v>120</v>
      </c>
      <c r="AU37" s="483" t="s">
        <v>260</v>
      </c>
      <c r="AV37" s="483" t="s">
        <v>260</v>
      </c>
      <c r="AW37" s="483" t="s">
        <v>260</v>
      </c>
      <c r="AX37" s="483" t="s">
        <v>260</v>
      </c>
      <c r="AY37" s="483" t="s">
        <v>260</v>
      </c>
      <c r="AZ37" s="483" t="s">
        <v>260</v>
      </c>
      <c r="BA37" s="483" t="s">
        <v>260</v>
      </c>
      <c r="BB37" s="483" t="s">
        <v>260</v>
      </c>
      <c r="BC37" s="483" t="s">
        <v>260</v>
      </c>
      <c r="BD37" s="483" t="s">
        <v>260</v>
      </c>
      <c r="BE37" s="483" t="s">
        <v>260</v>
      </c>
      <c r="BF37" s="483" t="s">
        <v>260</v>
      </c>
      <c r="BG37" s="483" t="s">
        <v>260</v>
      </c>
      <c r="BH37" s="483" t="s">
        <v>260</v>
      </c>
      <c r="BI37" s="483">
        <v>100</v>
      </c>
      <c r="BJ37" s="483" t="s">
        <v>260</v>
      </c>
      <c r="BK37" s="483">
        <v>20</v>
      </c>
      <c r="BL37" s="483" t="s">
        <v>260</v>
      </c>
      <c r="BM37" s="483" t="s">
        <v>260</v>
      </c>
      <c r="BN37" s="483" t="s">
        <v>260</v>
      </c>
      <c r="BO37" s="483" t="s">
        <v>260</v>
      </c>
      <c r="BP37" s="483" t="s">
        <v>260</v>
      </c>
      <c r="BQ37" s="483" t="s">
        <v>260</v>
      </c>
      <c r="BR37" s="483" t="s">
        <v>260</v>
      </c>
      <c r="BS37" s="483" t="s">
        <v>260</v>
      </c>
      <c r="BT37" s="483" t="s">
        <v>260</v>
      </c>
      <c r="BU37" s="483" t="s">
        <v>260</v>
      </c>
      <c r="BV37" s="483" t="s">
        <v>260</v>
      </c>
      <c r="BW37" s="483" t="s">
        <v>260</v>
      </c>
      <c r="BX37" s="483" t="s">
        <v>260</v>
      </c>
      <c r="BY37" s="483" t="s">
        <v>260</v>
      </c>
      <c r="BZ37" s="483" t="s">
        <v>260</v>
      </c>
      <c r="CA37" s="483" t="s">
        <v>260</v>
      </c>
      <c r="CB37" s="483" t="s">
        <v>260</v>
      </c>
      <c r="CC37" s="483" t="s">
        <v>260</v>
      </c>
      <c r="CD37" s="483" t="s">
        <v>260</v>
      </c>
      <c r="CE37" s="483" t="s">
        <v>260</v>
      </c>
      <c r="CF37" s="483" t="s">
        <v>260</v>
      </c>
      <c r="CG37" s="483" t="s">
        <v>260</v>
      </c>
      <c r="CH37" s="483" t="s">
        <v>260</v>
      </c>
      <c r="CI37" s="483" t="s">
        <v>260</v>
      </c>
      <c r="CJ37" s="483" t="s">
        <v>260</v>
      </c>
      <c r="CK37" s="483" t="s">
        <v>260</v>
      </c>
      <c r="CL37" s="483" t="s">
        <v>260</v>
      </c>
      <c r="CM37" s="483" t="s">
        <v>260</v>
      </c>
      <c r="CN37" s="483" t="s">
        <v>260</v>
      </c>
      <c r="CO37" s="483" t="s">
        <v>260</v>
      </c>
      <c r="CP37" s="483" t="s">
        <v>260</v>
      </c>
      <c r="CQ37" s="483" t="s">
        <v>260</v>
      </c>
      <c r="CR37" s="483" t="s">
        <v>260</v>
      </c>
      <c r="CS37" s="483" t="s">
        <v>260</v>
      </c>
      <c r="CT37" s="483" t="s">
        <v>260</v>
      </c>
      <c r="CU37" s="483" t="s">
        <v>260</v>
      </c>
      <c r="CV37" s="483" t="s">
        <v>260</v>
      </c>
      <c r="CW37" s="483" t="s">
        <v>260</v>
      </c>
      <c r="CX37" s="483" t="s">
        <v>260</v>
      </c>
      <c r="CY37" s="483" t="s">
        <v>260</v>
      </c>
      <c r="CZ37" s="483" t="s">
        <v>260</v>
      </c>
      <c r="DA37" s="483" t="s">
        <v>260</v>
      </c>
      <c r="DB37" s="483" t="s">
        <v>260</v>
      </c>
      <c r="DC37" s="483" t="s">
        <v>260</v>
      </c>
      <c r="DD37" s="483" t="s">
        <v>260</v>
      </c>
      <c r="DE37" s="483" t="s">
        <v>260</v>
      </c>
      <c r="DF37" s="483" t="s">
        <v>260</v>
      </c>
      <c r="DG37" s="483" t="s">
        <v>260</v>
      </c>
      <c r="DH37" s="483" t="s">
        <v>260</v>
      </c>
      <c r="DI37" s="483" t="s">
        <v>260</v>
      </c>
      <c r="DJ37" s="483" t="s">
        <v>260</v>
      </c>
      <c r="DK37" s="483" t="s">
        <v>260</v>
      </c>
      <c r="DL37" s="483" t="s">
        <v>260</v>
      </c>
      <c r="DM37" s="483" t="s">
        <v>260</v>
      </c>
      <c r="DN37" s="483">
        <v>0</v>
      </c>
      <c r="DO37" s="483" t="s">
        <v>260</v>
      </c>
      <c r="DP37" s="483" t="s">
        <v>260</v>
      </c>
      <c r="DQ37" s="483" t="s">
        <v>260</v>
      </c>
      <c r="DR37" s="483" t="s">
        <v>260</v>
      </c>
      <c r="DS37" s="483" t="s">
        <v>260</v>
      </c>
      <c r="DT37" s="483" t="s">
        <v>260</v>
      </c>
      <c r="DU37" s="483" t="s">
        <v>260</v>
      </c>
      <c r="DV37" s="483" t="s">
        <v>260</v>
      </c>
      <c r="DW37" s="483" t="s">
        <v>260</v>
      </c>
      <c r="DX37" s="483" t="s">
        <v>260</v>
      </c>
      <c r="DY37" s="483" t="s">
        <v>260</v>
      </c>
      <c r="DZ37" s="483" t="s">
        <v>260</v>
      </c>
      <c r="EA37" s="483" t="s">
        <v>260</v>
      </c>
      <c r="EB37" s="483">
        <v>44</v>
      </c>
      <c r="EC37" s="483" t="s">
        <v>260</v>
      </c>
      <c r="ED37" s="483" t="s">
        <v>260</v>
      </c>
      <c r="EE37" s="483" t="s">
        <v>260</v>
      </c>
      <c r="EF37" s="483" t="s">
        <v>260</v>
      </c>
      <c r="EG37" s="483" t="s">
        <v>260</v>
      </c>
      <c r="EH37" s="483" t="s">
        <v>260</v>
      </c>
      <c r="EI37" s="483" t="s">
        <v>260</v>
      </c>
      <c r="EJ37" s="483" t="s">
        <v>260</v>
      </c>
      <c r="EK37" s="483" t="s">
        <v>260</v>
      </c>
      <c r="EL37" s="483" t="s">
        <v>260</v>
      </c>
      <c r="EM37" s="483" t="s">
        <v>260</v>
      </c>
      <c r="EN37" s="483">
        <v>17</v>
      </c>
      <c r="EO37" s="483">
        <v>27</v>
      </c>
      <c r="EP37" s="483" t="s">
        <v>260</v>
      </c>
      <c r="EQ37" s="483" t="s">
        <v>260</v>
      </c>
      <c r="ER37" s="483" t="s">
        <v>260</v>
      </c>
      <c r="ES37" s="483" t="s">
        <v>260</v>
      </c>
      <c r="ET37" s="483" t="s">
        <v>260</v>
      </c>
      <c r="EU37" s="483" t="s">
        <v>260</v>
      </c>
      <c r="EV37" s="483" t="s">
        <v>260</v>
      </c>
      <c r="EW37" s="483" t="s">
        <v>260</v>
      </c>
      <c r="EX37" s="483" t="s">
        <v>260</v>
      </c>
      <c r="EY37" s="483" t="s">
        <v>260</v>
      </c>
      <c r="EZ37" s="483" t="s">
        <v>260</v>
      </c>
      <c r="FA37" s="483" t="s">
        <v>260</v>
      </c>
      <c r="FB37" s="483" t="s">
        <v>260</v>
      </c>
      <c r="FC37" s="483" t="s">
        <v>260</v>
      </c>
      <c r="FD37" s="483">
        <v>160</v>
      </c>
      <c r="FE37" s="483">
        <v>90</v>
      </c>
      <c r="FF37" s="483">
        <v>70</v>
      </c>
      <c r="FG37" s="483" t="s">
        <v>260</v>
      </c>
      <c r="FH37" s="483" t="s">
        <v>260</v>
      </c>
      <c r="FI37" s="483" t="s">
        <v>260</v>
      </c>
      <c r="FJ37" s="483" t="s">
        <v>260</v>
      </c>
      <c r="FK37" s="483" t="s">
        <v>260</v>
      </c>
      <c r="FL37" s="483" t="s">
        <v>260</v>
      </c>
      <c r="FM37" s="483" t="s">
        <v>260</v>
      </c>
      <c r="FN37" s="483" t="s">
        <v>260</v>
      </c>
      <c r="FO37" s="483" t="s">
        <v>260</v>
      </c>
      <c r="FP37" s="483" t="s">
        <v>260</v>
      </c>
      <c r="FQ37" s="483" t="s">
        <v>260</v>
      </c>
      <c r="FR37" s="483" t="s">
        <v>260</v>
      </c>
      <c r="FS37" s="483" t="s">
        <v>260</v>
      </c>
      <c r="FT37" s="483" t="s">
        <v>260</v>
      </c>
      <c r="FU37" s="483" t="s">
        <v>260</v>
      </c>
      <c r="FV37" s="483" t="s">
        <v>260</v>
      </c>
      <c r="FW37" s="483" t="s">
        <v>260</v>
      </c>
      <c r="FX37" s="483" t="s">
        <v>260</v>
      </c>
      <c r="FY37" s="483" t="s">
        <v>260</v>
      </c>
      <c r="FZ37" s="483" t="s">
        <v>260</v>
      </c>
      <c r="GA37" s="483" t="s">
        <v>260</v>
      </c>
      <c r="GB37" s="483" t="s">
        <v>260</v>
      </c>
      <c r="GC37" s="483" t="s">
        <v>260</v>
      </c>
      <c r="GD37" s="483" t="s">
        <v>260</v>
      </c>
      <c r="GE37" s="483" t="s">
        <v>260</v>
      </c>
      <c r="GF37" s="483" t="s">
        <v>260</v>
      </c>
      <c r="GG37" s="483" t="s">
        <v>260</v>
      </c>
      <c r="GH37" s="483" t="s">
        <v>260</v>
      </c>
      <c r="GI37" s="483" t="s">
        <v>260</v>
      </c>
      <c r="GJ37" s="483" t="s">
        <v>260</v>
      </c>
      <c r="GK37" s="483" t="s">
        <v>260</v>
      </c>
      <c r="GL37" s="483" t="s">
        <v>260</v>
      </c>
      <c r="GM37" s="483" t="s">
        <v>260</v>
      </c>
      <c r="GN37" s="483" t="s">
        <v>260</v>
      </c>
      <c r="GO37" s="483" t="s">
        <v>260</v>
      </c>
      <c r="GP37" s="483" t="s">
        <v>260</v>
      </c>
      <c r="GQ37" s="483" t="s">
        <v>260</v>
      </c>
      <c r="GR37" s="483" t="s">
        <v>260</v>
      </c>
      <c r="GS37" s="483" t="s">
        <v>260</v>
      </c>
      <c r="GT37" s="483" t="s">
        <v>260</v>
      </c>
      <c r="GU37" s="483" t="s">
        <v>260</v>
      </c>
      <c r="GV37" s="483" t="s">
        <v>260</v>
      </c>
      <c r="GW37" s="483" t="s">
        <v>260</v>
      </c>
      <c r="GX37" s="483" t="s">
        <v>260</v>
      </c>
      <c r="GY37" s="483" t="s">
        <v>260</v>
      </c>
      <c r="GZ37" s="483">
        <v>24</v>
      </c>
      <c r="HA37" s="483" t="s">
        <v>260</v>
      </c>
      <c r="HB37" s="483" t="s">
        <v>260</v>
      </c>
      <c r="HC37" s="483" t="s">
        <v>260</v>
      </c>
      <c r="HD37" s="483">
        <v>24</v>
      </c>
      <c r="HE37" s="483" t="s">
        <v>260</v>
      </c>
      <c r="HF37" s="483" t="s">
        <v>260</v>
      </c>
      <c r="HG37" s="483" t="s">
        <v>260</v>
      </c>
      <c r="HH37" s="483" t="s">
        <v>260</v>
      </c>
      <c r="HI37" s="483" t="s">
        <v>260</v>
      </c>
      <c r="HJ37" s="483" t="s">
        <v>260</v>
      </c>
      <c r="HK37" s="483" t="s">
        <v>260</v>
      </c>
      <c r="HL37" s="483" t="s">
        <v>260</v>
      </c>
      <c r="HM37" s="483" t="s">
        <v>260</v>
      </c>
      <c r="HN37" s="483" t="s">
        <v>260</v>
      </c>
      <c r="HO37" s="483" t="s">
        <v>260</v>
      </c>
      <c r="HP37" s="483" t="s">
        <v>260</v>
      </c>
      <c r="HQ37" s="483" t="s">
        <v>260</v>
      </c>
      <c r="HR37" s="483" t="s">
        <v>260</v>
      </c>
      <c r="HS37" s="483" t="s">
        <v>260</v>
      </c>
      <c r="HT37" s="483" t="s">
        <v>260</v>
      </c>
      <c r="HU37" s="483" t="s">
        <v>260</v>
      </c>
      <c r="HV37" s="483" t="s">
        <v>260</v>
      </c>
      <c r="HW37" s="483" t="s">
        <v>260</v>
      </c>
      <c r="HX37" s="483" t="s">
        <v>260</v>
      </c>
      <c r="HY37" s="483" t="s">
        <v>260</v>
      </c>
      <c r="HZ37" s="483" t="s">
        <v>260</v>
      </c>
      <c r="IA37" s="483" t="s">
        <v>260</v>
      </c>
      <c r="IB37" s="483" t="s">
        <v>260</v>
      </c>
      <c r="IC37" s="483" t="s">
        <v>260</v>
      </c>
      <c r="ID37" s="483" t="s">
        <v>260</v>
      </c>
      <c r="IE37" s="483" t="s">
        <v>260</v>
      </c>
      <c r="IF37" s="483">
        <v>0</v>
      </c>
      <c r="IG37" s="483" t="s">
        <v>260</v>
      </c>
      <c r="IH37" s="483" t="s">
        <v>260</v>
      </c>
      <c r="II37" s="483" t="s">
        <v>260</v>
      </c>
      <c r="IJ37" s="483" t="s">
        <v>260</v>
      </c>
      <c r="IK37" s="483">
        <v>24</v>
      </c>
      <c r="IL37" s="483" t="s">
        <v>260</v>
      </c>
      <c r="IM37" s="483" t="s">
        <v>260</v>
      </c>
      <c r="IN37" s="483" t="s">
        <v>260</v>
      </c>
      <c r="IO37" s="483" t="s">
        <v>260</v>
      </c>
      <c r="IP37" s="483" t="s">
        <v>260</v>
      </c>
      <c r="IQ37" s="483" t="s">
        <v>260</v>
      </c>
      <c r="IR37" s="483" t="s">
        <v>260</v>
      </c>
      <c r="IS37" s="483" t="s">
        <v>260</v>
      </c>
      <c r="IT37" s="483" t="s">
        <v>260</v>
      </c>
      <c r="IU37" s="483" t="s">
        <v>260</v>
      </c>
      <c r="IV37" s="483" t="s">
        <v>260</v>
      </c>
      <c r="IW37" s="483" t="s">
        <v>260</v>
      </c>
      <c r="IX37" s="483" t="s">
        <v>260</v>
      </c>
      <c r="IY37" s="483" t="s">
        <v>260</v>
      </c>
      <c r="IZ37" s="483" t="s">
        <v>260</v>
      </c>
      <c r="JA37" s="483">
        <v>24</v>
      </c>
      <c r="JB37" s="483" t="s">
        <v>260</v>
      </c>
      <c r="JC37" s="483" t="s">
        <v>260</v>
      </c>
      <c r="JD37" s="483" t="s">
        <v>260</v>
      </c>
      <c r="JE37" s="483">
        <v>14</v>
      </c>
      <c r="JF37" s="483" t="s">
        <v>260</v>
      </c>
      <c r="JG37" s="483" t="s">
        <v>260</v>
      </c>
      <c r="JH37" s="483" t="s">
        <v>260</v>
      </c>
      <c r="JI37" s="483" t="s">
        <v>260</v>
      </c>
      <c r="JJ37" s="483">
        <v>11</v>
      </c>
      <c r="JK37" s="483">
        <v>3</v>
      </c>
      <c r="JL37" s="483" t="s">
        <v>260</v>
      </c>
      <c r="JM37" s="483" t="s">
        <v>260</v>
      </c>
      <c r="JN37" s="483" t="s">
        <v>260</v>
      </c>
      <c r="JO37" s="483" t="s">
        <v>260</v>
      </c>
      <c r="JP37" s="483" t="s">
        <v>260</v>
      </c>
      <c r="JQ37" s="483" t="s">
        <v>260</v>
      </c>
      <c r="JR37" s="483" t="s">
        <v>260</v>
      </c>
      <c r="JS37" s="483" t="s">
        <v>260</v>
      </c>
      <c r="JT37" s="483" t="s">
        <v>260</v>
      </c>
      <c r="JU37" s="483" t="s">
        <v>260</v>
      </c>
      <c r="JV37" s="483" t="s">
        <v>260</v>
      </c>
      <c r="JW37" s="483" t="s">
        <v>260</v>
      </c>
      <c r="JX37" s="483" t="s">
        <v>260</v>
      </c>
      <c r="JY37" s="483" t="s">
        <v>260</v>
      </c>
      <c r="JZ37" s="483" t="s">
        <v>260</v>
      </c>
      <c r="KA37" s="483" t="s">
        <v>260</v>
      </c>
      <c r="KB37" s="483">
        <v>0</v>
      </c>
      <c r="KC37" s="483" t="s">
        <v>260</v>
      </c>
      <c r="KD37" s="483" t="s">
        <v>260</v>
      </c>
      <c r="KE37" s="483" t="s">
        <v>260</v>
      </c>
      <c r="KF37" s="483" t="s">
        <v>260</v>
      </c>
      <c r="KG37" s="483" t="s">
        <v>260</v>
      </c>
      <c r="KH37" s="483" t="s">
        <v>260</v>
      </c>
      <c r="KI37" s="483" t="s">
        <v>260</v>
      </c>
      <c r="KJ37" s="483" t="s">
        <v>260</v>
      </c>
      <c r="KK37" s="483" t="s">
        <v>260</v>
      </c>
      <c r="KL37" s="483" t="s">
        <v>260</v>
      </c>
      <c r="KM37" s="483" t="s">
        <v>5333</v>
      </c>
      <c r="KN37" s="483" t="s">
        <v>5333</v>
      </c>
      <c r="KO37" s="483" t="s">
        <v>260</v>
      </c>
      <c r="KP37" s="483" t="s">
        <v>260</v>
      </c>
      <c r="KQ37" s="483" t="s">
        <v>260</v>
      </c>
      <c r="KR37" s="483" t="s">
        <v>260</v>
      </c>
      <c r="KS37" s="483" t="s">
        <v>260</v>
      </c>
      <c r="KT37" s="483" t="s">
        <v>260</v>
      </c>
      <c r="KU37" s="483" t="s">
        <v>260</v>
      </c>
      <c r="KV37" s="483" t="s">
        <v>260</v>
      </c>
      <c r="KW37" s="483" t="s">
        <v>260</v>
      </c>
      <c r="KX37" s="483" t="s">
        <v>260</v>
      </c>
      <c r="KY37" s="483" t="s">
        <v>260</v>
      </c>
      <c r="KZ37" s="483" t="s">
        <v>260</v>
      </c>
      <c r="LA37" s="483" t="s">
        <v>260</v>
      </c>
      <c r="LB37" s="483" t="s">
        <v>260</v>
      </c>
      <c r="LC37" s="483" t="s">
        <v>260</v>
      </c>
      <c r="LD37" s="483" t="s">
        <v>260</v>
      </c>
      <c r="LE37" s="483" t="s">
        <v>260</v>
      </c>
      <c r="LF37" s="483" t="s">
        <v>260</v>
      </c>
      <c r="LG37" s="483" t="s">
        <v>260</v>
      </c>
      <c r="LH37" s="483" t="s">
        <v>260</v>
      </c>
      <c r="LI37" s="483" t="s">
        <v>260</v>
      </c>
      <c r="LJ37" s="483" t="s">
        <v>260</v>
      </c>
      <c r="LK37" s="483" t="s">
        <v>260</v>
      </c>
      <c r="LL37" s="483" t="s">
        <v>260</v>
      </c>
      <c r="LM37" s="483" t="s">
        <v>260</v>
      </c>
      <c r="LN37" s="483" t="s">
        <v>260</v>
      </c>
      <c r="LO37" s="483" t="s">
        <v>260</v>
      </c>
      <c r="LP37" s="483" t="s">
        <v>260</v>
      </c>
      <c r="LQ37" s="483" t="s">
        <v>260</v>
      </c>
      <c r="LR37" s="485" t="s">
        <v>260</v>
      </c>
      <c r="LS37" s="485">
        <v>20</v>
      </c>
      <c r="LT37" s="485">
        <v>12</v>
      </c>
      <c r="LU37" s="485" t="s">
        <v>260</v>
      </c>
      <c r="LV37" s="485">
        <v>8</v>
      </c>
      <c r="LW37" s="485" t="s">
        <v>260</v>
      </c>
      <c r="LX37" s="485" t="s">
        <v>260</v>
      </c>
      <c r="LY37" s="485" t="s">
        <v>260</v>
      </c>
      <c r="LZ37" s="485" t="s">
        <v>260</v>
      </c>
      <c r="MA37" s="485" t="s">
        <v>260</v>
      </c>
      <c r="MB37" s="485" t="s">
        <v>260</v>
      </c>
      <c r="MC37" s="485">
        <v>0</v>
      </c>
      <c r="MD37" s="485" t="s">
        <v>260</v>
      </c>
      <c r="ME37" s="485" t="s">
        <v>260</v>
      </c>
      <c r="MF37" s="485" t="s">
        <v>260</v>
      </c>
      <c r="MG37" s="485" t="s">
        <v>260</v>
      </c>
      <c r="MH37" s="485" t="s">
        <v>260</v>
      </c>
      <c r="MI37" s="485" t="s">
        <v>260</v>
      </c>
      <c r="MJ37" s="485">
        <v>0</v>
      </c>
      <c r="MK37" s="485" t="s">
        <v>5330</v>
      </c>
      <c r="ML37" s="485" t="s">
        <v>5330</v>
      </c>
      <c r="MM37" s="485" t="s">
        <v>260</v>
      </c>
      <c r="MN37" s="485" t="s">
        <v>260</v>
      </c>
      <c r="MO37" s="485" t="s">
        <v>260</v>
      </c>
      <c r="MP37" s="485" t="s">
        <v>260</v>
      </c>
      <c r="MQ37" s="485" t="s">
        <v>260</v>
      </c>
      <c r="MR37" s="485" t="s">
        <v>260</v>
      </c>
      <c r="MS37" s="485" t="s">
        <v>260</v>
      </c>
      <c r="MT37" s="485" t="s">
        <v>260</v>
      </c>
      <c r="MU37" s="485" t="s">
        <v>260</v>
      </c>
      <c r="MV37" s="485" t="s">
        <v>260</v>
      </c>
      <c r="MW37" s="485" t="s">
        <v>260</v>
      </c>
      <c r="MX37" s="485" t="s">
        <v>260</v>
      </c>
      <c r="MY37" s="485" t="s">
        <v>260</v>
      </c>
      <c r="MZ37" s="485" t="s">
        <v>260</v>
      </c>
      <c r="NA37" s="485" t="s">
        <v>260</v>
      </c>
      <c r="NB37" s="485">
        <v>0</v>
      </c>
      <c r="NC37" s="485" t="s">
        <v>260</v>
      </c>
      <c r="ND37" s="485" t="s">
        <v>260</v>
      </c>
      <c r="NE37" s="485" t="s">
        <v>260</v>
      </c>
      <c r="NF37" s="485" t="s">
        <v>260</v>
      </c>
      <c r="NG37" s="485" t="s">
        <v>260</v>
      </c>
      <c r="NH37" s="485" t="s">
        <v>5330</v>
      </c>
      <c r="NI37" s="485" t="s">
        <v>260</v>
      </c>
      <c r="NJ37" s="485" t="s">
        <v>260</v>
      </c>
      <c r="NK37" s="485" t="s">
        <v>260</v>
      </c>
      <c r="NL37" s="485" t="s">
        <v>260</v>
      </c>
      <c r="NM37" s="485" t="s">
        <v>260</v>
      </c>
      <c r="NN37" s="485" t="s">
        <v>260</v>
      </c>
      <c r="NO37" s="485">
        <v>24</v>
      </c>
      <c r="NP37" s="485">
        <v>24</v>
      </c>
      <c r="NQ37" s="485">
        <v>24</v>
      </c>
      <c r="NR37" s="485" t="s">
        <v>260</v>
      </c>
      <c r="NS37" s="485" t="s">
        <v>260</v>
      </c>
      <c r="NT37" s="485" t="s">
        <v>260</v>
      </c>
      <c r="NU37" s="485" t="s">
        <v>260</v>
      </c>
      <c r="NV37" s="485" t="s">
        <v>260</v>
      </c>
      <c r="NW37" s="485" t="s">
        <v>260</v>
      </c>
      <c r="NX37" s="485" t="s">
        <v>260</v>
      </c>
      <c r="NY37" s="485" t="s">
        <v>260</v>
      </c>
      <c r="NZ37" s="485" t="s">
        <v>260</v>
      </c>
      <c r="OA37" s="485" t="s">
        <v>260</v>
      </c>
      <c r="OB37" s="485" t="s">
        <v>260</v>
      </c>
      <c r="OC37" s="485" t="s">
        <v>260</v>
      </c>
      <c r="OD37" s="485">
        <v>0</v>
      </c>
      <c r="OE37" s="485" t="s">
        <v>260</v>
      </c>
      <c r="OF37" s="485" t="s">
        <v>260</v>
      </c>
      <c r="OG37" s="485" t="s">
        <v>260</v>
      </c>
      <c r="OH37" s="485" t="s">
        <v>260</v>
      </c>
      <c r="OI37" s="485" t="s">
        <v>260</v>
      </c>
      <c r="OJ37" s="485" t="s">
        <v>260</v>
      </c>
      <c r="OK37" s="485" t="s">
        <v>260</v>
      </c>
      <c r="OL37" s="485" t="s">
        <v>260</v>
      </c>
      <c r="OM37" s="483" t="s">
        <v>260</v>
      </c>
      <c r="ON37" s="483" t="s">
        <v>260</v>
      </c>
      <c r="OO37" s="483" t="s">
        <v>260</v>
      </c>
      <c r="OP37" s="483" t="s">
        <v>260</v>
      </c>
      <c r="OQ37" s="483" t="s">
        <v>260</v>
      </c>
      <c r="OR37" s="483" t="s">
        <v>5330</v>
      </c>
      <c r="OS37" s="483" t="s">
        <v>5330</v>
      </c>
      <c r="OT37" s="483" t="s">
        <v>260</v>
      </c>
      <c r="OU37" s="483" t="s">
        <v>260</v>
      </c>
      <c r="OV37" s="483" t="s">
        <v>260</v>
      </c>
      <c r="OW37" s="483" t="s">
        <v>260</v>
      </c>
      <c r="OX37" s="483" t="s">
        <v>260</v>
      </c>
      <c r="OY37" s="483" t="s">
        <v>260</v>
      </c>
      <c r="OZ37" s="483" t="s">
        <v>260</v>
      </c>
      <c r="PA37" s="483" t="s">
        <v>260</v>
      </c>
      <c r="PB37" s="483" t="s">
        <v>260</v>
      </c>
      <c r="PC37" s="483" t="s">
        <v>260</v>
      </c>
      <c r="PD37" s="483" t="s">
        <v>260</v>
      </c>
      <c r="PE37" s="485">
        <v>0</v>
      </c>
      <c r="PF37" s="483" t="s">
        <v>260</v>
      </c>
      <c r="PG37" s="483" t="s">
        <v>260</v>
      </c>
      <c r="PH37" s="483" t="s">
        <v>260</v>
      </c>
      <c r="PI37" s="483" t="s">
        <v>260</v>
      </c>
      <c r="PJ37" s="483" t="s">
        <v>260</v>
      </c>
      <c r="PK37" s="483" t="s">
        <v>5330</v>
      </c>
      <c r="PL37" s="483" t="s">
        <v>260</v>
      </c>
      <c r="PM37" s="483" t="s">
        <v>260</v>
      </c>
    </row>
    <row r="38" spans="2:429" ht="15.6" x14ac:dyDescent="0.3">
      <c r="B38" s="487" t="s">
        <v>1701</v>
      </c>
      <c r="C38" s="483">
        <f t="shared" si="0"/>
        <v>0</v>
      </c>
      <c r="D38" s="483">
        <v>0</v>
      </c>
      <c r="E38" s="483" t="s">
        <v>260</v>
      </c>
      <c r="F38" s="483" t="s">
        <v>260</v>
      </c>
      <c r="G38" s="483" t="s">
        <v>260</v>
      </c>
      <c r="H38" s="483" t="s">
        <v>260</v>
      </c>
      <c r="I38" s="483" t="s">
        <v>260</v>
      </c>
      <c r="J38" s="483" t="s">
        <v>260</v>
      </c>
      <c r="K38" s="483" t="s">
        <v>260</v>
      </c>
      <c r="L38" s="483" t="s">
        <v>260</v>
      </c>
      <c r="M38" s="483" t="s">
        <v>260</v>
      </c>
      <c r="N38" s="483" t="s">
        <v>260</v>
      </c>
      <c r="O38" s="483" t="s">
        <v>260</v>
      </c>
      <c r="P38" s="483" t="s">
        <v>260</v>
      </c>
      <c r="Q38" s="483" t="s">
        <v>260</v>
      </c>
      <c r="R38" s="483" t="s">
        <v>260</v>
      </c>
      <c r="S38" s="483" t="s">
        <v>260</v>
      </c>
      <c r="T38" s="483" t="s">
        <v>260</v>
      </c>
      <c r="U38" s="483" t="s">
        <v>260</v>
      </c>
      <c r="V38" s="483" t="s">
        <v>260</v>
      </c>
      <c r="W38" s="483" t="s">
        <v>260</v>
      </c>
      <c r="X38" s="483" t="s">
        <v>260</v>
      </c>
      <c r="Y38" s="483" t="s">
        <v>260</v>
      </c>
      <c r="Z38" s="483" t="s">
        <v>260</v>
      </c>
      <c r="AA38" s="483" t="s">
        <v>260</v>
      </c>
      <c r="AB38" s="483" t="s">
        <v>260</v>
      </c>
      <c r="AC38" s="483" t="s">
        <v>260</v>
      </c>
      <c r="AD38" s="483" t="s">
        <v>260</v>
      </c>
      <c r="AE38" s="483" t="s">
        <v>260</v>
      </c>
      <c r="AF38" s="483" t="s">
        <v>260</v>
      </c>
      <c r="AG38" s="483" t="s">
        <v>260</v>
      </c>
      <c r="AH38" s="483" t="s">
        <v>260</v>
      </c>
      <c r="AI38" s="483" t="s">
        <v>260</v>
      </c>
      <c r="AJ38" s="483" t="s">
        <v>260</v>
      </c>
      <c r="AK38" s="483" t="s">
        <v>260</v>
      </c>
      <c r="AL38" s="483" t="s">
        <v>260</v>
      </c>
      <c r="AM38" s="483" t="s">
        <v>260</v>
      </c>
      <c r="AN38" s="483" t="s">
        <v>260</v>
      </c>
      <c r="AO38" s="483" t="s">
        <v>260</v>
      </c>
      <c r="AP38" s="483" t="s">
        <v>260</v>
      </c>
      <c r="AQ38" s="483" t="s">
        <v>260</v>
      </c>
      <c r="AR38" s="483" t="s">
        <v>260</v>
      </c>
      <c r="AS38" s="483" t="s">
        <v>260</v>
      </c>
      <c r="AT38" s="483">
        <f t="shared" si="1"/>
        <v>74</v>
      </c>
      <c r="AU38" s="483" t="s">
        <v>260</v>
      </c>
      <c r="AV38" s="483" t="s">
        <v>260</v>
      </c>
      <c r="AW38" s="483" t="s">
        <v>260</v>
      </c>
      <c r="AX38" s="483" t="s">
        <v>260</v>
      </c>
      <c r="AY38" s="483" t="s">
        <v>260</v>
      </c>
      <c r="AZ38" s="483" t="s">
        <v>260</v>
      </c>
      <c r="BA38" s="483" t="s">
        <v>260</v>
      </c>
      <c r="BB38" s="483" t="s">
        <v>260</v>
      </c>
      <c r="BC38" s="483">
        <v>56</v>
      </c>
      <c r="BD38" s="483">
        <v>18</v>
      </c>
      <c r="BE38" s="483" t="s">
        <v>260</v>
      </c>
      <c r="BF38" s="483" t="s">
        <v>260</v>
      </c>
      <c r="BG38" s="483" t="s">
        <v>260</v>
      </c>
      <c r="BH38" s="483" t="s">
        <v>260</v>
      </c>
      <c r="BI38" s="483" t="s">
        <v>260</v>
      </c>
      <c r="BJ38" s="483" t="s">
        <v>260</v>
      </c>
      <c r="BK38" s="483" t="s">
        <v>260</v>
      </c>
      <c r="BL38" s="483" t="s">
        <v>260</v>
      </c>
      <c r="BM38" s="483" t="s">
        <v>260</v>
      </c>
      <c r="BN38" s="483" t="s">
        <v>260</v>
      </c>
      <c r="BO38" s="483" t="s">
        <v>260</v>
      </c>
      <c r="BP38" s="483" t="s">
        <v>260</v>
      </c>
      <c r="BQ38" s="483" t="s">
        <v>260</v>
      </c>
      <c r="BR38" s="483" t="s">
        <v>260</v>
      </c>
      <c r="BS38" s="483" t="s">
        <v>260</v>
      </c>
      <c r="BT38" s="483" t="s">
        <v>260</v>
      </c>
      <c r="BU38" s="483" t="s">
        <v>260</v>
      </c>
      <c r="BV38" s="483" t="s">
        <v>260</v>
      </c>
      <c r="BW38" s="483" t="s">
        <v>260</v>
      </c>
      <c r="BX38" s="483" t="s">
        <v>260</v>
      </c>
      <c r="BY38" s="483" t="s">
        <v>260</v>
      </c>
      <c r="BZ38" s="483" t="s">
        <v>260</v>
      </c>
      <c r="CA38" s="483" t="s">
        <v>260</v>
      </c>
      <c r="CB38" s="483" t="s">
        <v>260</v>
      </c>
      <c r="CC38" s="483" t="s">
        <v>260</v>
      </c>
      <c r="CD38" s="483" t="s">
        <v>260</v>
      </c>
      <c r="CE38" s="483" t="s">
        <v>260</v>
      </c>
      <c r="CF38" s="483" t="s">
        <v>260</v>
      </c>
      <c r="CG38" s="483" t="s">
        <v>260</v>
      </c>
      <c r="CH38" s="483" t="s">
        <v>260</v>
      </c>
      <c r="CI38" s="483" t="s">
        <v>260</v>
      </c>
      <c r="CJ38" s="483" t="s">
        <v>260</v>
      </c>
      <c r="CK38" s="483" t="s">
        <v>260</v>
      </c>
      <c r="CL38" s="483" t="s">
        <v>260</v>
      </c>
      <c r="CM38" s="483" t="s">
        <v>260</v>
      </c>
      <c r="CN38" s="483" t="s">
        <v>260</v>
      </c>
      <c r="CO38" s="483" t="s">
        <v>260</v>
      </c>
      <c r="CP38" s="483" t="s">
        <v>260</v>
      </c>
      <c r="CQ38" s="483" t="s">
        <v>260</v>
      </c>
      <c r="CR38" s="483" t="s">
        <v>260</v>
      </c>
      <c r="CS38" s="483" t="s">
        <v>260</v>
      </c>
      <c r="CT38" s="483" t="s">
        <v>260</v>
      </c>
      <c r="CU38" s="483" t="s">
        <v>260</v>
      </c>
      <c r="CV38" s="483" t="s">
        <v>260</v>
      </c>
      <c r="CW38" s="483" t="s">
        <v>260</v>
      </c>
      <c r="CX38" s="483" t="s">
        <v>260</v>
      </c>
      <c r="CY38" s="483" t="s">
        <v>260</v>
      </c>
      <c r="CZ38" s="483" t="s">
        <v>260</v>
      </c>
      <c r="DA38" s="483" t="s">
        <v>260</v>
      </c>
      <c r="DB38" s="483" t="s">
        <v>260</v>
      </c>
      <c r="DC38" s="483" t="s">
        <v>260</v>
      </c>
      <c r="DD38" s="483" t="s">
        <v>260</v>
      </c>
      <c r="DE38" s="483" t="s">
        <v>260</v>
      </c>
      <c r="DF38" s="483" t="s">
        <v>260</v>
      </c>
      <c r="DG38" s="483" t="s">
        <v>260</v>
      </c>
      <c r="DH38" s="483" t="s">
        <v>260</v>
      </c>
      <c r="DI38" s="483" t="s">
        <v>260</v>
      </c>
      <c r="DJ38" s="483" t="s">
        <v>260</v>
      </c>
      <c r="DK38" s="483" t="s">
        <v>260</v>
      </c>
      <c r="DL38" s="483" t="s">
        <v>260</v>
      </c>
      <c r="DM38" s="483" t="s">
        <v>260</v>
      </c>
      <c r="DN38" s="483">
        <v>0</v>
      </c>
      <c r="DO38" s="483" t="s">
        <v>260</v>
      </c>
      <c r="DP38" s="483" t="s">
        <v>260</v>
      </c>
      <c r="DQ38" s="483" t="s">
        <v>260</v>
      </c>
      <c r="DR38" s="483" t="s">
        <v>260</v>
      </c>
      <c r="DS38" s="483" t="s">
        <v>260</v>
      </c>
      <c r="DT38" s="483" t="s">
        <v>260</v>
      </c>
      <c r="DU38" s="483" t="s">
        <v>260</v>
      </c>
      <c r="DV38" s="483" t="s">
        <v>260</v>
      </c>
      <c r="DW38" s="483" t="s">
        <v>260</v>
      </c>
      <c r="DX38" s="483" t="s">
        <v>260</v>
      </c>
      <c r="DY38" s="483" t="s">
        <v>260</v>
      </c>
      <c r="DZ38" s="483" t="s">
        <v>260</v>
      </c>
      <c r="EA38" s="483" t="s">
        <v>260</v>
      </c>
      <c r="EB38" s="483">
        <v>0</v>
      </c>
      <c r="EC38" s="483" t="s">
        <v>260</v>
      </c>
      <c r="ED38" s="483" t="s">
        <v>260</v>
      </c>
      <c r="EE38" s="483" t="s">
        <v>260</v>
      </c>
      <c r="EF38" s="483" t="s">
        <v>260</v>
      </c>
      <c r="EG38" s="483" t="s">
        <v>260</v>
      </c>
      <c r="EH38" s="483" t="s">
        <v>260</v>
      </c>
      <c r="EI38" s="483" t="s">
        <v>260</v>
      </c>
      <c r="EJ38" s="483" t="s">
        <v>260</v>
      </c>
      <c r="EK38" s="483" t="s">
        <v>260</v>
      </c>
      <c r="EL38" s="483" t="s">
        <v>260</v>
      </c>
      <c r="EM38" s="483" t="s">
        <v>260</v>
      </c>
      <c r="EN38" s="483" t="s">
        <v>260</v>
      </c>
      <c r="EO38" s="483" t="s">
        <v>260</v>
      </c>
      <c r="EP38" s="483" t="s">
        <v>260</v>
      </c>
      <c r="EQ38" s="483" t="s">
        <v>260</v>
      </c>
      <c r="ER38" s="483" t="s">
        <v>260</v>
      </c>
      <c r="ES38" s="483" t="s">
        <v>260</v>
      </c>
      <c r="ET38" s="483" t="s">
        <v>260</v>
      </c>
      <c r="EU38" s="483" t="s">
        <v>260</v>
      </c>
      <c r="EV38" s="483" t="s">
        <v>260</v>
      </c>
      <c r="EW38" s="483" t="s">
        <v>260</v>
      </c>
      <c r="EX38" s="483" t="s">
        <v>260</v>
      </c>
      <c r="EY38" s="483" t="s">
        <v>260</v>
      </c>
      <c r="EZ38" s="483" t="s">
        <v>260</v>
      </c>
      <c r="FA38" s="483" t="s">
        <v>260</v>
      </c>
      <c r="FB38" s="483" t="s">
        <v>260</v>
      </c>
      <c r="FC38" s="483" t="s">
        <v>260</v>
      </c>
      <c r="FD38" s="483">
        <v>0</v>
      </c>
      <c r="FE38" s="483" t="s">
        <v>260</v>
      </c>
      <c r="FF38" s="483" t="s">
        <v>260</v>
      </c>
      <c r="FG38" s="483" t="s">
        <v>260</v>
      </c>
      <c r="FH38" s="483" t="s">
        <v>260</v>
      </c>
      <c r="FI38" s="483" t="s">
        <v>260</v>
      </c>
      <c r="FJ38" s="483" t="s">
        <v>260</v>
      </c>
      <c r="FK38" s="483" t="s">
        <v>260</v>
      </c>
      <c r="FL38" s="483" t="s">
        <v>260</v>
      </c>
      <c r="FM38" s="483" t="s">
        <v>260</v>
      </c>
      <c r="FN38" s="483" t="s">
        <v>260</v>
      </c>
      <c r="FO38" s="483" t="s">
        <v>260</v>
      </c>
      <c r="FP38" s="483" t="s">
        <v>260</v>
      </c>
      <c r="FQ38" s="483" t="s">
        <v>260</v>
      </c>
      <c r="FR38" s="483" t="s">
        <v>260</v>
      </c>
      <c r="FS38" s="483" t="s">
        <v>260</v>
      </c>
      <c r="FT38" s="483" t="s">
        <v>260</v>
      </c>
      <c r="FU38" s="483" t="s">
        <v>260</v>
      </c>
      <c r="FV38" s="483" t="s">
        <v>260</v>
      </c>
      <c r="FW38" s="483" t="s">
        <v>260</v>
      </c>
      <c r="FX38" s="483" t="s">
        <v>260</v>
      </c>
      <c r="FY38" s="483" t="s">
        <v>260</v>
      </c>
      <c r="FZ38" s="483" t="s">
        <v>260</v>
      </c>
      <c r="GA38" s="483" t="s">
        <v>260</v>
      </c>
      <c r="GB38" s="483" t="s">
        <v>260</v>
      </c>
      <c r="GC38" s="483" t="s">
        <v>260</v>
      </c>
      <c r="GD38" s="483" t="s">
        <v>260</v>
      </c>
      <c r="GE38" s="483" t="s">
        <v>260</v>
      </c>
      <c r="GF38" s="483" t="s">
        <v>260</v>
      </c>
      <c r="GG38" s="483" t="s">
        <v>260</v>
      </c>
      <c r="GH38" s="483" t="s">
        <v>260</v>
      </c>
      <c r="GI38" s="483" t="s">
        <v>260</v>
      </c>
      <c r="GJ38" s="483" t="s">
        <v>260</v>
      </c>
      <c r="GK38" s="483" t="s">
        <v>260</v>
      </c>
      <c r="GL38" s="483" t="s">
        <v>260</v>
      </c>
      <c r="GM38" s="483" t="s">
        <v>260</v>
      </c>
      <c r="GN38" s="483" t="s">
        <v>260</v>
      </c>
      <c r="GO38" s="483" t="s">
        <v>260</v>
      </c>
      <c r="GP38" s="483" t="s">
        <v>260</v>
      </c>
      <c r="GQ38" s="483" t="s">
        <v>260</v>
      </c>
      <c r="GR38" s="483" t="s">
        <v>260</v>
      </c>
      <c r="GS38" s="483" t="s">
        <v>260</v>
      </c>
      <c r="GT38" s="483" t="s">
        <v>260</v>
      </c>
      <c r="GU38" s="483" t="s">
        <v>260</v>
      </c>
      <c r="GV38" s="483" t="s">
        <v>260</v>
      </c>
      <c r="GW38" s="483" t="s">
        <v>260</v>
      </c>
      <c r="GX38" s="483" t="s">
        <v>260</v>
      </c>
      <c r="GY38" s="483" t="s">
        <v>260</v>
      </c>
      <c r="GZ38" s="483">
        <v>0</v>
      </c>
      <c r="HA38" s="483" t="s">
        <v>260</v>
      </c>
      <c r="HB38" s="483" t="s">
        <v>260</v>
      </c>
      <c r="HC38" s="483" t="s">
        <v>260</v>
      </c>
      <c r="HD38" s="483" t="s">
        <v>260</v>
      </c>
      <c r="HE38" s="483" t="s">
        <v>260</v>
      </c>
      <c r="HF38" s="483" t="s">
        <v>260</v>
      </c>
      <c r="HG38" s="483" t="s">
        <v>260</v>
      </c>
      <c r="HH38" s="483" t="s">
        <v>260</v>
      </c>
      <c r="HI38" s="483" t="s">
        <v>260</v>
      </c>
      <c r="HJ38" s="483" t="s">
        <v>260</v>
      </c>
      <c r="HK38" s="483" t="s">
        <v>260</v>
      </c>
      <c r="HL38" s="483" t="s">
        <v>260</v>
      </c>
      <c r="HM38" s="483" t="s">
        <v>260</v>
      </c>
      <c r="HN38" s="483" t="s">
        <v>260</v>
      </c>
      <c r="HO38" s="483" t="s">
        <v>260</v>
      </c>
      <c r="HP38" s="483" t="s">
        <v>260</v>
      </c>
      <c r="HQ38" s="483" t="s">
        <v>260</v>
      </c>
      <c r="HR38" s="483" t="s">
        <v>260</v>
      </c>
      <c r="HS38" s="483" t="s">
        <v>260</v>
      </c>
      <c r="HT38" s="483" t="s">
        <v>260</v>
      </c>
      <c r="HU38" s="483" t="s">
        <v>260</v>
      </c>
      <c r="HV38" s="483" t="s">
        <v>260</v>
      </c>
      <c r="HW38" s="483" t="s">
        <v>260</v>
      </c>
      <c r="HX38" s="483" t="s">
        <v>260</v>
      </c>
      <c r="HY38" s="483" t="s">
        <v>260</v>
      </c>
      <c r="HZ38" s="483" t="s">
        <v>260</v>
      </c>
      <c r="IA38" s="483" t="s">
        <v>260</v>
      </c>
      <c r="IB38" s="483" t="s">
        <v>260</v>
      </c>
      <c r="IC38" s="483" t="s">
        <v>260</v>
      </c>
      <c r="ID38" s="483" t="s">
        <v>260</v>
      </c>
      <c r="IE38" s="483" t="s">
        <v>260</v>
      </c>
      <c r="IF38" s="483">
        <v>0</v>
      </c>
      <c r="IG38" s="483" t="s">
        <v>260</v>
      </c>
      <c r="IH38" s="483" t="s">
        <v>260</v>
      </c>
      <c r="II38" s="483" t="s">
        <v>260</v>
      </c>
      <c r="IJ38" s="483" t="s">
        <v>260</v>
      </c>
      <c r="IK38" s="483">
        <v>0</v>
      </c>
      <c r="IL38" s="483" t="s">
        <v>260</v>
      </c>
      <c r="IM38" s="483" t="s">
        <v>260</v>
      </c>
      <c r="IN38" s="483" t="s">
        <v>260</v>
      </c>
      <c r="IO38" s="483" t="s">
        <v>260</v>
      </c>
      <c r="IP38" s="483" t="s">
        <v>260</v>
      </c>
      <c r="IQ38" s="483" t="s">
        <v>260</v>
      </c>
      <c r="IR38" s="483" t="s">
        <v>260</v>
      </c>
      <c r="IS38" s="483" t="s">
        <v>260</v>
      </c>
      <c r="IT38" s="483" t="s">
        <v>260</v>
      </c>
      <c r="IU38" s="483" t="s">
        <v>260</v>
      </c>
      <c r="IV38" s="483" t="s">
        <v>260</v>
      </c>
      <c r="IW38" s="483" t="s">
        <v>260</v>
      </c>
      <c r="IX38" s="483" t="s">
        <v>260</v>
      </c>
      <c r="IY38" s="483" t="s">
        <v>260</v>
      </c>
      <c r="IZ38" s="483" t="s">
        <v>260</v>
      </c>
      <c r="JA38" s="483" t="s">
        <v>260</v>
      </c>
      <c r="JB38" s="483" t="s">
        <v>260</v>
      </c>
      <c r="JC38" s="483" t="s">
        <v>260</v>
      </c>
      <c r="JD38" s="483" t="s">
        <v>260</v>
      </c>
      <c r="JE38" s="483">
        <v>0</v>
      </c>
      <c r="JF38" s="483" t="s">
        <v>260</v>
      </c>
      <c r="JG38" s="483" t="s">
        <v>260</v>
      </c>
      <c r="JH38" s="483" t="s">
        <v>260</v>
      </c>
      <c r="JI38" s="483" t="s">
        <v>260</v>
      </c>
      <c r="JJ38" s="483" t="s">
        <v>260</v>
      </c>
      <c r="JK38" s="483" t="s">
        <v>260</v>
      </c>
      <c r="JL38" s="483" t="s">
        <v>260</v>
      </c>
      <c r="JM38" s="483" t="s">
        <v>260</v>
      </c>
      <c r="JN38" s="483" t="s">
        <v>260</v>
      </c>
      <c r="JO38" s="483" t="s">
        <v>260</v>
      </c>
      <c r="JP38" s="483" t="s">
        <v>260</v>
      </c>
      <c r="JQ38" s="483" t="s">
        <v>260</v>
      </c>
      <c r="JR38" s="483" t="s">
        <v>260</v>
      </c>
      <c r="JS38" s="483" t="s">
        <v>260</v>
      </c>
      <c r="JT38" s="483" t="s">
        <v>260</v>
      </c>
      <c r="JU38" s="483" t="s">
        <v>260</v>
      </c>
      <c r="JV38" s="483" t="s">
        <v>260</v>
      </c>
      <c r="JW38" s="483" t="s">
        <v>260</v>
      </c>
      <c r="JX38" s="483" t="s">
        <v>260</v>
      </c>
      <c r="JY38" s="483" t="s">
        <v>260</v>
      </c>
      <c r="JZ38" s="483" t="s">
        <v>260</v>
      </c>
      <c r="KA38" s="483" t="s">
        <v>260</v>
      </c>
      <c r="KB38" s="483">
        <v>0</v>
      </c>
      <c r="KC38" s="483" t="s">
        <v>260</v>
      </c>
      <c r="KD38" s="483" t="s">
        <v>260</v>
      </c>
      <c r="KE38" s="483" t="s">
        <v>260</v>
      </c>
      <c r="KF38" s="483" t="s">
        <v>260</v>
      </c>
      <c r="KG38" s="483" t="s">
        <v>260</v>
      </c>
      <c r="KH38" s="483" t="s">
        <v>260</v>
      </c>
      <c r="KI38" s="483" t="s">
        <v>260</v>
      </c>
      <c r="KJ38" s="483" t="s">
        <v>260</v>
      </c>
      <c r="KK38" s="483" t="s">
        <v>260</v>
      </c>
      <c r="KL38" s="483" t="s">
        <v>260</v>
      </c>
      <c r="KM38" s="483" t="s">
        <v>260</v>
      </c>
      <c r="KN38" s="483" t="s">
        <v>260</v>
      </c>
      <c r="KO38" s="483" t="s">
        <v>260</v>
      </c>
      <c r="KP38" s="483" t="s">
        <v>260</v>
      </c>
      <c r="KQ38" s="483" t="s">
        <v>260</v>
      </c>
      <c r="KR38" s="483" t="s">
        <v>260</v>
      </c>
      <c r="KS38" s="483" t="s">
        <v>260</v>
      </c>
      <c r="KT38" s="483" t="s">
        <v>260</v>
      </c>
      <c r="KU38" s="483" t="s">
        <v>260</v>
      </c>
      <c r="KV38" s="483" t="s">
        <v>260</v>
      </c>
      <c r="KW38" s="483" t="s">
        <v>260</v>
      </c>
      <c r="KX38" s="483" t="s">
        <v>260</v>
      </c>
      <c r="KY38" s="483" t="s">
        <v>260</v>
      </c>
      <c r="KZ38" s="483" t="s">
        <v>260</v>
      </c>
      <c r="LA38" s="483" t="s">
        <v>260</v>
      </c>
      <c r="LB38" s="483" t="s">
        <v>260</v>
      </c>
      <c r="LC38" s="483" t="s">
        <v>260</v>
      </c>
      <c r="LD38" s="483" t="s">
        <v>260</v>
      </c>
      <c r="LE38" s="483" t="s">
        <v>260</v>
      </c>
      <c r="LF38" s="483" t="s">
        <v>260</v>
      </c>
      <c r="LG38" s="483" t="s">
        <v>260</v>
      </c>
      <c r="LH38" s="483" t="s">
        <v>260</v>
      </c>
      <c r="LI38" s="483" t="s">
        <v>260</v>
      </c>
      <c r="LJ38" s="483" t="s">
        <v>260</v>
      </c>
      <c r="LK38" s="483" t="s">
        <v>260</v>
      </c>
      <c r="LL38" s="483" t="s">
        <v>260</v>
      </c>
      <c r="LM38" s="483" t="s">
        <v>260</v>
      </c>
      <c r="LN38" s="483" t="s">
        <v>260</v>
      </c>
      <c r="LO38" s="483" t="s">
        <v>260</v>
      </c>
      <c r="LP38" s="483" t="s">
        <v>260</v>
      </c>
      <c r="LQ38" s="483" t="s">
        <v>260</v>
      </c>
      <c r="LR38" s="485" t="s">
        <v>260</v>
      </c>
      <c r="LS38" s="485">
        <v>0</v>
      </c>
      <c r="LT38" s="485" t="s">
        <v>260</v>
      </c>
      <c r="LU38" s="485" t="s">
        <v>260</v>
      </c>
      <c r="LV38" s="485" t="s">
        <v>260</v>
      </c>
      <c r="LW38" s="485" t="s">
        <v>260</v>
      </c>
      <c r="LX38" s="485" t="s">
        <v>260</v>
      </c>
      <c r="LY38" s="485" t="s">
        <v>260</v>
      </c>
      <c r="LZ38" s="485" t="s">
        <v>260</v>
      </c>
      <c r="MA38" s="485" t="s">
        <v>260</v>
      </c>
      <c r="MB38" s="485" t="s">
        <v>260</v>
      </c>
      <c r="MC38" s="485">
        <v>0</v>
      </c>
      <c r="MD38" s="485" t="s">
        <v>260</v>
      </c>
      <c r="ME38" s="485" t="s">
        <v>260</v>
      </c>
      <c r="MF38" s="485" t="s">
        <v>260</v>
      </c>
      <c r="MG38" s="485" t="s">
        <v>260</v>
      </c>
      <c r="MH38" s="485" t="s">
        <v>260</v>
      </c>
      <c r="MI38" s="485" t="s">
        <v>260</v>
      </c>
      <c r="MJ38" s="485">
        <v>0</v>
      </c>
      <c r="MK38" s="485" t="s">
        <v>260</v>
      </c>
      <c r="ML38" s="485" t="s">
        <v>260</v>
      </c>
      <c r="MM38" s="485" t="s">
        <v>260</v>
      </c>
      <c r="MN38" s="485" t="s">
        <v>260</v>
      </c>
      <c r="MO38" s="485" t="s">
        <v>260</v>
      </c>
      <c r="MP38" s="485" t="s">
        <v>260</v>
      </c>
      <c r="MQ38" s="485" t="s">
        <v>260</v>
      </c>
      <c r="MR38" s="485" t="s">
        <v>260</v>
      </c>
      <c r="MS38" s="485" t="s">
        <v>260</v>
      </c>
      <c r="MT38" s="485" t="s">
        <v>260</v>
      </c>
      <c r="MU38" s="485" t="s">
        <v>260</v>
      </c>
      <c r="MV38" s="485" t="s">
        <v>260</v>
      </c>
      <c r="MW38" s="485" t="s">
        <v>260</v>
      </c>
      <c r="MX38" s="485" t="s">
        <v>260</v>
      </c>
      <c r="MY38" s="485" t="s">
        <v>260</v>
      </c>
      <c r="MZ38" s="485" t="s">
        <v>260</v>
      </c>
      <c r="NA38" s="485" t="s">
        <v>260</v>
      </c>
      <c r="NB38" s="485">
        <v>0</v>
      </c>
      <c r="NC38" s="485" t="s">
        <v>260</v>
      </c>
      <c r="ND38" s="485" t="s">
        <v>260</v>
      </c>
      <c r="NE38" s="485" t="s">
        <v>260</v>
      </c>
      <c r="NF38" s="485" t="s">
        <v>260</v>
      </c>
      <c r="NG38" s="485" t="s">
        <v>260</v>
      </c>
      <c r="NH38" s="485" t="s">
        <v>260</v>
      </c>
      <c r="NI38" s="485" t="s">
        <v>260</v>
      </c>
      <c r="NJ38" s="485" t="s">
        <v>5330</v>
      </c>
      <c r="NK38" s="485" t="s">
        <v>260</v>
      </c>
      <c r="NL38" s="485" t="s">
        <v>260</v>
      </c>
      <c r="NM38" s="485" t="s">
        <v>260</v>
      </c>
      <c r="NN38" s="485" t="s">
        <v>260</v>
      </c>
      <c r="NO38" s="485">
        <v>0</v>
      </c>
      <c r="NP38" s="485">
        <v>0</v>
      </c>
      <c r="NQ38" s="485" t="s">
        <v>260</v>
      </c>
      <c r="NR38" s="485" t="s">
        <v>260</v>
      </c>
      <c r="NS38" s="485" t="s">
        <v>260</v>
      </c>
      <c r="NT38" s="485" t="s">
        <v>260</v>
      </c>
      <c r="NU38" s="485" t="s">
        <v>260</v>
      </c>
      <c r="NV38" s="485" t="s">
        <v>260</v>
      </c>
      <c r="NW38" s="485" t="s">
        <v>260</v>
      </c>
      <c r="NX38" s="485" t="s">
        <v>260</v>
      </c>
      <c r="NY38" s="485" t="s">
        <v>260</v>
      </c>
      <c r="NZ38" s="485" t="s">
        <v>260</v>
      </c>
      <c r="OA38" s="485" t="s">
        <v>260</v>
      </c>
      <c r="OB38" s="485" t="s">
        <v>260</v>
      </c>
      <c r="OC38" s="485" t="s">
        <v>260</v>
      </c>
      <c r="OD38" s="485">
        <v>0</v>
      </c>
      <c r="OE38" s="485" t="s">
        <v>260</v>
      </c>
      <c r="OF38" s="485" t="s">
        <v>260</v>
      </c>
      <c r="OG38" s="485" t="s">
        <v>260</v>
      </c>
      <c r="OH38" s="485" t="s">
        <v>260</v>
      </c>
      <c r="OI38" s="485" t="s">
        <v>260</v>
      </c>
      <c r="OJ38" s="485" t="s">
        <v>260</v>
      </c>
      <c r="OK38" s="485" t="s">
        <v>260</v>
      </c>
      <c r="OL38" s="485" t="s">
        <v>260</v>
      </c>
      <c r="OM38" s="483" t="s">
        <v>260</v>
      </c>
      <c r="ON38" s="483" t="s">
        <v>260</v>
      </c>
      <c r="OO38" s="483" t="s">
        <v>260</v>
      </c>
      <c r="OP38" s="483" t="s">
        <v>260</v>
      </c>
      <c r="OQ38" s="483" t="s">
        <v>260</v>
      </c>
      <c r="OR38" s="483" t="s">
        <v>260</v>
      </c>
      <c r="OS38" s="483" t="s">
        <v>260</v>
      </c>
      <c r="OT38" s="483" t="s">
        <v>260</v>
      </c>
      <c r="OU38" s="483" t="s">
        <v>260</v>
      </c>
      <c r="OV38" s="483" t="s">
        <v>260</v>
      </c>
      <c r="OW38" s="483" t="s">
        <v>260</v>
      </c>
      <c r="OX38" s="483" t="s">
        <v>260</v>
      </c>
      <c r="OY38" s="483" t="s">
        <v>260</v>
      </c>
      <c r="OZ38" s="483" t="s">
        <v>260</v>
      </c>
      <c r="PA38" s="483" t="s">
        <v>260</v>
      </c>
      <c r="PB38" s="483" t="s">
        <v>260</v>
      </c>
      <c r="PC38" s="483" t="s">
        <v>260</v>
      </c>
      <c r="PD38" s="483" t="s">
        <v>260</v>
      </c>
      <c r="PE38" s="485">
        <v>0</v>
      </c>
      <c r="PF38" s="483" t="s">
        <v>260</v>
      </c>
      <c r="PG38" s="483" t="s">
        <v>260</v>
      </c>
      <c r="PH38" s="483" t="s">
        <v>260</v>
      </c>
      <c r="PI38" s="483" t="s">
        <v>260</v>
      </c>
      <c r="PJ38" s="483" t="s">
        <v>260</v>
      </c>
      <c r="PK38" s="483" t="s">
        <v>260</v>
      </c>
      <c r="PL38" s="483" t="s">
        <v>260</v>
      </c>
      <c r="PM38" s="483" t="s">
        <v>260</v>
      </c>
    </row>
    <row r="39" spans="2:429" ht="15.6" x14ac:dyDescent="0.3">
      <c r="B39" s="487" t="s">
        <v>1919</v>
      </c>
      <c r="C39" s="483">
        <f t="shared" si="0"/>
        <v>0</v>
      </c>
      <c r="D39" s="483">
        <v>0</v>
      </c>
      <c r="E39" s="483" t="s">
        <v>260</v>
      </c>
      <c r="F39" s="483" t="s">
        <v>260</v>
      </c>
      <c r="G39" s="483" t="s">
        <v>260</v>
      </c>
      <c r="H39" s="483" t="s">
        <v>260</v>
      </c>
      <c r="I39" s="483" t="s">
        <v>260</v>
      </c>
      <c r="J39" s="483" t="s">
        <v>260</v>
      </c>
      <c r="K39" s="483" t="s">
        <v>260</v>
      </c>
      <c r="L39" s="483" t="s">
        <v>260</v>
      </c>
      <c r="M39" s="483" t="s">
        <v>260</v>
      </c>
      <c r="N39" s="483" t="s">
        <v>260</v>
      </c>
      <c r="O39" s="483" t="s">
        <v>260</v>
      </c>
      <c r="P39" s="483" t="s">
        <v>260</v>
      </c>
      <c r="Q39" s="483" t="s">
        <v>260</v>
      </c>
      <c r="R39" s="483" t="s">
        <v>260</v>
      </c>
      <c r="S39" s="483" t="s">
        <v>260</v>
      </c>
      <c r="T39" s="483" t="s">
        <v>260</v>
      </c>
      <c r="U39" s="483" t="s">
        <v>260</v>
      </c>
      <c r="V39" s="483" t="s">
        <v>260</v>
      </c>
      <c r="W39" s="483" t="s">
        <v>260</v>
      </c>
      <c r="X39" s="483" t="s">
        <v>260</v>
      </c>
      <c r="Y39" s="483" t="s">
        <v>260</v>
      </c>
      <c r="Z39" s="483" t="s">
        <v>260</v>
      </c>
      <c r="AA39" s="483" t="s">
        <v>260</v>
      </c>
      <c r="AB39" s="483" t="s">
        <v>260</v>
      </c>
      <c r="AC39" s="483" t="s">
        <v>260</v>
      </c>
      <c r="AD39" s="483" t="s">
        <v>260</v>
      </c>
      <c r="AE39" s="483" t="s">
        <v>260</v>
      </c>
      <c r="AF39" s="483" t="s">
        <v>260</v>
      </c>
      <c r="AG39" s="483" t="s">
        <v>260</v>
      </c>
      <c r="AH39" s="483" t="s">
        <v>260</v>
      </c>
      <c r="AI39" s="483" t="s">
        <v>260</v>
      </c>
      <c r="AJ39" s="483" t="s">
        <v>260</v>
      </c>
      <c r="AK39" s="483" t="s">
        <v>260</v>
      </c>
      <c r="AL39" s="483" t="s">
        <v>260</v>
      </c>
      <c r="AM39" s="483" t="s">
        <v>260</v>
      </c>
      <c r="AN39" s="483" t="s">
        <v>260</v>
      </c>
      <c r="AO39" s="483" t="s">
        <v>260</v>
      </c>
      <c r="AP39" s="483" t="s">
        <v>260</v>
      </c>
      <c r="AQ39" s="483" t="s">
        <v>260</v>
      </c>
      <c r="AR39" s="483" t="s">
        <v>260</v>
      </c>
      <c r="AS39" s="483" t="s">
        <v>260</v>
      </c>
      <c r="AT39" s="483">
        <f t="shared" si="1"/>
        <v>306</v>
      </c>
      <c r="AU39" s="483" t="s">
        <v>260</v>
      </c>
      <c r="AV39" s="483" t="s">
        <v>260</v>
      </c>
      <c r="AW39" s="483" t="s">
        <v>260</v>
      </c>
      <c r="AX39" s="483" t="s">
        <v>260</v>
      </c>
      <c r="AY39" s="483" t="s">
        <v>260</v>
      </c>
      <c r="AZ39" s="483" t="s">
        <v>260</v>
      </c>
      <c r="BA39" s="483" t="s">
        <v>260</v>
      </c>
      <c r="BB39" s="483" t="s">
        <v>260</v>
      </c>
      <c r="BC39" s="483" t="s">
        <v>260</v>
      </c>
      <c r="BD39" s="483" t="s">
        <v>260</v>
      </c>
      <c r="BE39" s="483" t="s">
        <v>260</v>
      </c>
      <c r="BF39" s="483" t="s">
        <v>260</v>
      </c>
      <c r="BG39" s="483" t="s">
        <v>260</v>
      </c>
      <c r="BH39" s="483" t="s">
        <v>260</v>
      </c>
      <c r="BI39" s="483" t="s">
        <v>260</v>
      </c>
      <c r="BJ39" s="483" t="s">
        <v>260</v>
      </c>
      <c r="BK39" s="483" t="s">
        <v>260</v>
      </c>
      <c r="BL39" s="483" t="s">
        <v>260</v>
      </c>
      <c r="BM39" s="483" t="s">
        <v>260</v>
      </c>
      <c r="BN39" s="483" t="s">
        <v>260</v>
      </c>
      <c r="BO39" s="483" t="s">
        <v>260</v>
      </c>
      <c r="BP39" s="483" t="s">
        <v>260</v>
      </c>
      <c r="BQ39" s="483" t="s">
        <v>260</v>
      </c>
      <c r="BR39" s="483">
        <v>234</v>
      </c>
      <c r="BS39" s="483" t="s">
        <v>260</v>
      </c>
      <c r="BT39" s="483" t="s">
        <v>260</v>
      </c>
      <c r="BU39" s="483" t="s">
        <v>260</v>
      </c>
      <c r="BV39" s="483" t="s">
        <v>260</v>
      </c>
      <c r="BW39" s="483" t="s">
        <v>260</v>
      </c>
      <c r="BX39" s="483" t="s">
        <v>260</v>
      </c>
      <c r="BY39" s="483" t="s">
        <v>260</v>
      </c>
      <c r="BZ39" s="483" t="s">
        <v>260</v>
      </c>
      <c r="CA39" s="483" t="s">
        <v>260</v>
      </c>
      <c r="CB39" s="483" t="s">
        <v>260</v>
      </c>
      <c r="CC39" s="483">
        <v>22</v>
      </c>
      <c r="CD39" s="483" t="s">
        <v>260</v>
      </c>
      <c r="CE39" s="483" t="s">
        <v>260</v>
      </c>
      <c r="CF39" s="483">
        <v>50</v>
      </c>
      <c r="CG39" s="483" t="s">
        <v>260</v>
      </c>
      <c r="CH39" s="483" t="s">
        <v>260</v>
      </c>
      <c r="CI39" s="483" t="s">
        <v>260</v>
      </c>
      <c r="CJ39" s="483" t="s">
        <v>260</v>
      </c>
      <c r="CK39" s="483" t="s">
        <v>260</v>
      </c>
      <c r="CL39" s="483" t="s">
        <v>260</v>
      </c>
      <c r="CM39" s="483" t="s">
        <v>260</v>
      </c>
      <c r="CN39" s="483" t="s">
        <v>260</v>
      </c>
      <c r="CO39" s="483" t="s">
        <v>260</v>
      </c>
      <c r="CP39" s="483" t="s">
        <v>260</v>
      </c>
      <c r="CQ39" s="483" t="s">
        <v>260</v>
      </c>
      <c r="CR39" s="483" t="s">
        <v>260</v>
      </c>
      <c r="CS39" s="483" t="s">
        <v>260</v>
      </c>
      <c r="CT39" s="483" t="s">
        <v>260</v>
      </c>
      <c r="CU39" s="483" t="s">
        <v>260</v>
      </c>
      <c r="CV39" s="483" t="s">
        <v>260</v>
      </c>
      <c r="CW39" s="483" t="s">
        <v>260</v>
      </c>
      <c r="CX39" s="483" t="s">
        <v>260</v>
      </c>
      <c r="CY39" s="483" t="s">
        <v>260</v>
      </c>
      <c r="CZ39" s="483" t="s">
        <v>260</v>
      </c>
      <c r="DA39" s="483" t="s">
        <v>260</v>
      </c>
      <c r="DB39" s="483" t="s">
        <v>260</v>
      </c>
      <c r="DC39" s="483" t="s">
        <v>260</v>
      </c>
      <c r="DD39" s="483" t="s">
        <v>260</v>
      </c>
      <c r="DE39" s="483" t="s">
        <v>260</v>
      </c>
      <c r="DF39" s="483" t="s">
        <v>260</v>
      </c>
      <c r="DG39" s="483" t="s">
        <v>260</v>
      </c>
      <c r="DH39" s="483" t="s">
        <v>260</v>
      </c>
      <c r="DI39" s="483" t="s">
        <v>260</v>
      </c>
      <c r="DJ39" s="483" t="s">
        <v>260</v>
      </c>
      <c r="DK39" s="483" t="s">
        <v>260</v>
      </c>
      <c r="DL39" s="483" t="s">
        <v>260</v>
      </c>
      <c r="DM39" s="483" t="s">
        <v>260</v>
      </c>
      <c r="DN39" s="483">
        <v>0</v>
      </c>
      <c r="DO39" s="483" t="s">
        <v>260</v>
      </c>
      <c r="DP39" s="483" t="s">
        <v>260</v>
      </c>
      <c r="DQ39" s="483" t="s">
        <v>260</v>
      </c>
      <c r="DR39" s="483" t="s">
        <v>260</v>
      </c>
      <c r="DS39" s="483" t="s">
        <v>260</v>
      </c>
      <c r="DT39" s="483" t="s">
        <v>260</v>
      </c>
      <c r="DU39" s="483" t="s">
        <v>260</v>
      </c>
      <c r="DV39" s="483" t="s">
        <v>260</v>
      </c>
      <c r="DW39" s="483" t="s">
        <v>260</v>
      </c>
      <c r="DX39" s="483" t="s">
        <v>260</v>
      </c>
      <c r="DY39" s="483" t="s">
        <v>260</v>
      </c>
      <c r="DZ39" s="483" t="s">
        <v>260</v>
      </c>
      <c r="EA39" s="483" t="s">
        <v>260</v>
      </c>
      <c r="EB39" s="483">
        <v>0</v>
      </c>
      <c r="EC39" s="483" t="s">
        <v>260</v>
      </c>
      <c r="ED39" s="483" t="s">
        <v>260</v>
      </c>
      <c r="EE39" s="483" t="s">
        <v>260</v>
      </c>
      <c r="EF39" s="483" t="s">
        <v>260</v>
      </c>
      <c r="EG39" s="483" t="s">
        <v>260</v>
      </c>
      <c r="EH39" s="483" t="s">
        <v>260</v>
      </c>
      <c r="EI39" s="483" t="s">
        <v>260</v>
      </c>
      <c r="EJ39" s="483" t="s">
        <v>260</v>
      </c>
      <c r="EK39" s="483" t="s">
        <v>260</v>
      </c>
      <c r="EL39" s="483" t="s">
        <v>260</v>
      </c>
      <c r="EM39" s="483" t="s">
        <v>260</v>
      </c>
      <c r="EN39" s="483" t="s">
        <v>260</v>
      </c>
      <c r="EO39" s="483" t="s">
        <v>260</v>
      </c>
      <c r="EP39" s="483" t="s">
        <v>260</v>
      </c>
      <c r="EQ39" s="483" t="s">
        <v>260</v>
      </c>
      <c r="ER39" s="483" t="s">
        <v>260</v>
      </c>
      <c r="ES39" s="483" t="s">
        <v>260</v>
      </c>
      <c r="ET39" s="483" t="s">
        <v>260</v>
      </c>
      <c r="EU39" s="483" t="s">
        <v>260</v>
      </c>
      <c r="EV39" s="483" t="s">
        <v>260</v>
      </c>
      <c r="EW39" s="483" t="s">
        <v>260</v>
      </c>
      <c r="EX39" s="483" t="s">
        <v>260</v>
      </c>
      <c r="EY39" s="483" t="s">
        <v>260</v>
      </c>
      <c r="EZ39" s="483" t="s">
        <v>260</v>
      </c>
      <c r="FA39" s="483" t="s">
        <v>260</v>
      </c>
      <c r="FB39" s="483" t="s">
        <v>260</v>
      </c>
      <c r="FC39" s="483" t="s">
        <v>260</v>
      </c>
      <c r="FD39" s="483">
        <v>30</v>
      </c>
      <c r="FE39" s="483" t="s">
        <v>260</v>
      </c>
      <c r="FF39" s="483" t="s">
        <v>260</v>
      </c>
      <c r="FG39" s="483" t="s">
        <v>260</v>
      </c>
      <c r="FH39" s="483" t="s">
        <v>260</v>
      </c>
      <c r="FI39" s="483" t="s">
        <v>260</v>
      </c>
      <c r="FJ39" s="483" t="s">
        <v>260</v>
      </c>
      <c r="FK39" s="483" t="s">
        <v>260</v>
      </c>
      <c r="FL39" s="483" t="s">
        <v>260</v>
      </c>
      <c r="FM39" s="483" t="s">
        <v>260</v>
      </c>
      <c r="FN39" s="483" t="s">
        <v>260</v>
      </c>
      <c r="FO39" s="483" t="s">
        <v>260</v>
      </c>
      <c r="FP39" s="483" t="s">
        <v>260</v>
      </c>
      <c r="FQ39" s="483" t="s">
        <v>260</v>
      </c>
      <c r="FR39" s="483" t="s">
        <v>260</v>
      </c>
      <c r="FS39" s="483" t="s">
        <v>260</v>
      </c>
      <c r="FT39" s="483" t="s">
        <v>260</v>
      </c>
      <c r="FU39" s="483" t="s">
        <v>260</v>
      </c>
      <c r="FV39" s="483" t="s">
        <v>260</v>
      </c>
      <c r="FW39" s="483" t="s">
        <v>260</v>
      </c>
      <c r="FX39" s="483" t="s">
        <v>260</v>
      </c>
      <c r="FY39" s="483" t="s">
        <v>260</v>
      </c>
      <c r="FZ39" s="483" t="s">
        <v>260</v>
      </c>
      <c r="GA39" s="483" t="s">
        <v>260</v>
      </c>
      <c r="GB39" s="483" t="s">
        <v>260</v>
      </c>
      <c r="GC39" s="483" t="s">
        <v>260</v>
      </c>
      <c r="GD39" s="483" t="s">
        <v>260</v>
      </c>
      <c r="GE39" s="483" t="s">
        <v>260</v>
      </c>
      <c r="GF39" s="483" t="s">
        <v>260</v>
      </c>
      <c r="GG39" s="483" t="s">
        <v>260</v>
      </c>
      <c r="GH39" s="483" t="s">
        <v>260</v>
      </c>
      <c r="GI39" s="483" t="s">
        <v>260</v>
      </c>
      <c r="GJ39" s="483" t="s">
        <v>260</v>
      </c>
      <c r="GK39" s="483" t="s">
        <v>260</v>
      </c>
      <c r="GL39" s="483" t="s">
        <v>260</v>
      </c>
      <c r="GM39" s="483" t="s">
        <v>260</v>
      </c>
      <c r="GN39" s="483" t="s">
        <v>260</v>
      </c>
      <c r="GO39" s="483" t="s">
        <v>260</v>
      </c>
      <c r="GP39" s="483" t="s">
        <v>260</v>
      </c>
      <c r="GQ39" s="483">
        <v>30</v>
      </c>
      <c r="GR39" s="483" t="s">
        <v>260</v>
      </c>
      <c r="GS39" s="483" t="s">
        <v>260</v>
      </c>
      <c r="GT39" s="483" t="s">
        <v>260</v>
      </c>
      <c r="GU39" s="483" t="s">
        <v>260</v>
      </c>
      <c r="GV39" s="483" t="s">
        <v>260</v>
      </c>
      <c r="GW39" s="483" t="s">
        <v>260</v>
      </c>
      <c r="GX39" s="483" t="s">
        <v>260</v>
      </c>
      <c r="GY39" s="483" t="s">
        <v>260</v>
      </c>
      <c r="GZ39" s="483">
        <v>16</v>
      </c>
      <c r="HA39" s="483" t="s">
        <v>260</v>
      </c>
      <c r="HB39" s="483" t="s">
        <v>260</v>
      </c>
      <c r="HC39" s="483" t="s">
        <v>260</v>
      </c>
      <c r="HD39" s="483" t="s">
        <v>260</v>
      </c>
      <c r="HE39" s="483">
        <v>16</v>
      </c>
      <c r="HF39" s="483" t="s">
        <v>260</v>
      </c>
      <c r="HG39" s="483" t="s">
        <v>260</v>
      </c>
      <c r="HH39" s="483" t="s">
        <v>260</v>
      </c>
      <c r="HI39" s="483" t="s">
        <v>260</v>
      </c>
      <c r="HJ39" s="483" t="s">
        <v>260</v>
      </c>
      <c r="HK39" s="483" t="s">
        <v>260</v>
      </c>
      <c r="HL39" s="483" t="s">
        <v>260</v>
      </c>
      <c r="HM39" s="483" t="s">
        <v>260</v>
      </c>
      <c r="HN39" s="483" t="s">
        <v>260</v>
      </c>
      <c r="HO39" s="483" t="s">
        <v>260</v>
      </c>
      <c r="HP39" s="483" t="s">
        <v>260</v>
      </c>
      <c r="HQ39" s="483" t="s">
        <v>260</v>
      </c>
      <c r="HR39" s="483" t="s">
        <v>260</v>
      </c>
      <c r="HS39" s="483" t="s">
        <v>260</v>
      </c>
      <c r="HT39" s="483" t="s">
        <v>260</v>
      </c>
      <c r="HU39" s="483" t="s">
        <v>260</v>
      </c>
      <c r="HV39" s="483" t="s">
        <v>260</v>
      </c>
      <c r="HW39" s="483" t="s">
        <v>260</v>
      </c>
      <c r="HX39" s="483" t="s">
        <v>260</v>
      </c>
      <c r="HY39" s="483" t="s">
        <v>260</v>
      </c>
      <c r="HZ39" s="483" t="s">
        <v>260</v>
      </c>
      <c r="IA39" s="483" t="s">
        <v>260</v>
      </c>
      <c r="IB39" s="483" t="s">
        <v>260</v>
      </c>
      <c r="IC39" s="483" t="s">
        <v>260</v>
      </c>
      <c r="ID39" s="483" t="s">
        <v>260</v>
      </c>
      <c r="IE39" s="483" t="s">
        <v>260</v>
      </c>
      <c r="IF39" s="483">
        <v>0</v>
      </c>
      <c r="IG39" s="483" t="s">
        <v>260</v>
      </c>
      <c r="IH39" s="483" t="s">
        <v>260</v>
      </c>
      <c r="II39" s="483" t="s">
        <v>260</v>
      </c>
      <c r="IJ39" s="483" t="s">
        <v>260</v>
      </c>
      <c r="IK39" s="483">
        <v>0</v>
      </c>
      <c r="IL39" s="483" t="s">
        <v>260</v>
      </c>
      <c r="IM39" s="483" t="s">
        <v>260</v>
      </c>
      <c r="IN39" s="483" t="s">
        <v>260</v>
      </c>
      <c r="IO39" s="483" t="s">
        <v>260</v>
      </c>
      <c r="IP39" s="483" t="s">
        <v>260</v>
      </c>
      <c r="IQ39" s="483" t="s">
        <v>260</v>
      </c>
      <c r="IR39" s="483" t="s">
        <v>260</v>
      </c>
      <c r="IS39" s="483" t="s">
        <v>260</v>
      </c>
      <c r="IT39" s="483" t="s">
        <v>260</v>
      </c>
      <c r="IU39" s="483" t="s">
        <v>260</v>
      </c>
      <c r="IV39" s="483" t="s">
        <v>260</v>
      </c>
      <c r="IW39" s="483" t="s">
        <v>260</v>
      </c>
      <c r="IX39" s="483" t="s">
        <v>260</v>
      </c>
      <c r="IY39" s="483" t="s">
        <v>260</v>
      </c>
      <c r="IZ39" s="483" t="s">
        <v>260</v>
      </c>
      <c r="JA39" s="483" t="s">
        <v>260</v>
      </c>
      <c r="JB39" s="483" t="s">
        <v>260</v>
      </c>
      <c r="JC39" s="483" t="s">
        <v>260</v>
      </c>
      <c r="JD39" s="483" t="s">
        <v>260</v>
      </c>
      <c r="JE39" s="483">
        <v>0</v>
      </c>
      <c r="JF39" s="483" t="s">
        <v>260</v>
      </c>
      <c r="JG39" s="483" t="s">
        <v>260</v>
      </c>
      <c r="JH39" s="483" t="s">
        <v>260</v>
      </c>
      <c r="JI39" s="483" t="s">
        <v>260</v>
      </c>
      <c r="JJ39" s="483" t="s">
        <v>260</v>
      </c>
      <c r="JK39" s="483" t="s">
        <v>260</v>
      </c>
      <c r="JL39" s="483" t="s">
        <v>260</v>
      </c>
      <c r="JM39" s="483" t="s">
        <v>260</v>
      </c>
      <c r="JN39" s="483" t="s">
        <v>260</v>
      </c>
      <c r="JO39" s="483" t="s">
        <v>260</v>
      </c>
      <c r="JP39" s="483" t="s">
        <v>260</v>
      </c>
      <c r="JQ39" s="483" t="s">
        <v>260</v>
      </c>
      <c r="JR39" s="483" t="s">
        <v>260</v>
      </c>
      <c r="JS39" s="483" t="s">
        <v>260</v>
      </c>
      <c r="JT39" s="483" t="s">
        <v>260</v>
      </c>
      <c r="JU39" s="483" t="s">
        <v>260</v>
      </c>
      <c r="JV39" s="483" t="s">
        <v>260</v>
      </c>
      <c r="JW39" s="483" t="s">
        <v>260</v>
      </c>
      <c r="JX39" s="483" t="s">
        <v>260</v>
      </c>
      <c r="JY39" s="483" t="s">
        <v>260</v>
      </c>
      <c r="JZ39" s="483" t="s">
        <v>260</v>
      </c>
      <c r="KA39" s="483" t="s">
        <v>260</v>
      </c>
      <c r="KB39" s="483">
        <v>0</v>
      </c>
      <c r="KC39" s="483" t="s">
        <v>260</v>
      </c>
      <c r="KD39" s="483" t="s">
        <v>260</v>
      </c>
      <c r="KE39" s="483" t="s">
        <v>260</v>
      </c>
      <c r="KF39" s="483" t="s">
        <v>260</v>
      </c>
      <c r="KG39" s="483" t="s">
        <v>260</v>
      </c>
      <c r="KH39" s="483" t="s">
        <v>260</v>
      </c>
      <c r="KI39" s="483" t="s">
        <v>260</v>
      </c>
      <c r="KJ39" s="483" t="s">
        <v>260</v>
      </c>
      <c r="KK39" s="483" t="s">
        <v>260</v>
      </c>
      <c r="KL39" s="483" t="s">
        <v>260</v>
      </c>
      <c r="KM39" s="483" t="s">
        <v>260</v>
      </c>
      <c r="KN39" s="483" t="s">
        <v>260</v>
      </c>
      <c r="KO39" s="483" t="s">
        <v>260</v>
      </c>
      <c r="KP39" s="483" t="s">
        <v>260</v>
      </c>
      <c r="KQ39" s="483" t="s">
        <v>260</v>
      </c>
      <c r="KR39" s="483" t="s">
        <v>260</v>
      </c>
      <c r="KS39" s="483" t="s">
        <v>260</v>
      </c>
      <c r="KT39" s="483" t="s">
        <v>260</v>
      </c>
      <c r="KU39" s="483" t="s">
        <v>260</v>
      </c>
      <c r="KV39" s="483" t="s">
        <v>260</v>
      </c>
      <c r="KW39" s="483" t="s">
        <v>260</v>
      </c>
      <c r="KX39" s="483" t="s">
        <v>260</v>
      </c>
      <c r="KY39" s="483" t="s">
        <v>260</v>
      </c>
      <c r="KZ39" s="483" t="s">
        <v>260</v>
      </c>
      <c r="LA39" s="483" t="s">
        <v>260</v>
      </c>
      <c r="LB39" s="483" t="s">
        <v>260</v>
      </c>
      <c r="LC39" s="483" t="s">
        <v>260</v>
      </c>
      <c r="LD39" s="483" t="s">
        <v>260</v>
      </c>
      <c r="LE39" s="483" t="s">
        <v>260</v>
      </c>
      <c r="LF39" s="483" t="s">
        <v>260</v>
      </c>
      <c r="LG39" s="483" t="s">
        <v>260</v>
      </c>
      <c r="LH39" s="483" t="s">
        <v>260</v>
      </c>
      <c r="LI39" s="483" t="s">
        <v>260</v>
      </c>
      <c r="LJ39" s="483" t="s">
        <v>260</v>
      </c>
      <c r="LK39" s="483" t="s">
        <v>260</v>
      </c>
      <c r="LL39" s="483" t="s">
        <v>260</v>
      </c>
      <c r="LM39" s="483" t="s">
        <v>260</v>
      </c>
      <c r="LN39" s="483" t="s">
        <v>260</v>
      </c>
      <c r="LO39" s="483" t="s">
        <v>260</v>
      </c>
      <c r="LP39" s="483" t="s">
        <v>260</v>
      </c>
      <c r="LQ39" s="483" t="s">
        <v>260</v>
      </c>
      <c r="LR39" s="485" t="s">
        <v>260</v>
      </c>
      <c r="LS39" s="485">
        <v>0</v>
      </c>
      <c r="LT39" s="485" t="s">
        <v>260</v>
      </c>
      <c r="LU39" s="485" t="s">
        <v>260</v>
      </c>
      <c r="LV39" s="485" t="s">
        <v>260</v>
      </c>
      <c r="LW39" s="485" t="s">
        <v>260</v>
      </c>
      <c r="LX39" s="485" t="s">
        <v>260</v>
      </c>
      <c r="LY39" s="485" t="s">
        <v>260</v>
      </c>
      <c r="LZ39" s="485" t="s">
        <v>260</v>
      </c>
      <c r="MA39" s="485" t="s">
        <v>260</v>
      </c>
      <c r="MB39" s="485" t="s">
        <v>260</v>
      </c>
      <c r="MC39" s="485">
        <v>0</v>
      </c>
      <c r="MD39" s="485" t="s">
        <v>260</v>
      </c>
      <c r="ME39" s="485" t="s">
        <v>260</v>
      </c>
      <c r="MF39" s="485" t="s">
        <v>260</v>
      </c>
      <c r="MG39" s="485" t="s">
        <v>260</v>
      </c>
      <c r="MH39" s="485" t="s">
        <v>260</v>
      </c>
      <c r="MI39" s="485" t="s">
        <v>260</v>
      </c>
      <c r="MJ39" s="485">
        <v>4</v>
      </c>
      <c r="MK39" s="485" t="s">
        <v>260</v>
      </c>
      <c r="ML39" s="485" t="s">
        <v>260</v>
      </c>
      <c r="MM39" s="485" t="s">
        <v>260</v>
      </c>
      <c r="MN39" s="485" t="s">
        <v>260</v>
      </c>
      <c r="MO39" s="485" t="s">
        <v>260</v>
      </c>
      <c r="MP39" s="485" t="s">
        <v>260</v>
      </c>
      <c r="MQ39" s="485" t="s">
        <v>260</v>
      </c>
      <c r="MR39" s="485">
        <v>4</v>
      </c>
      <c r="MS39" s="485" t="s">
        <v>260</v>
      </c>
      <c r="MT39" s="485" t="s">
        <v>260</v>
      </c>
      <c r="MU39" s="485" t="s">
        <v>260</v>
      </c>
      <c r="MV39" s="485" t="s">
        <v>260</v>
      </c>
      <c r="MW39" s="485" t="s">
        <v>260</v>
      </c>
      <c r="MX39" s="485" t="s">
        <v>260</v>
      </c>
      <c r="MY39" s="485" t="s">
        <v>260</v>
      </c>
      <c r="MZ39" s="485" t="s">
        <v>260</v>
      </c>
      <c r="NA39" s="485" t="s">
        <v>260</v>
      </c>
      <c r="NB39" s="485">
        <v>0</v>
      </c>
      <c r="NC39" s="485" t="s">
        <v>260</v>
      </c>
      <c r="ND39" s="485" t="s">
        <v>260</v>
      </c>
      <c r="NE39" s="485" t="s">
        <v>260</v>
      </c>
      <c r="NF39" s="485" t="s">
        <v>260</v>
      </c>
      <c r="NG39" s="485" t="s">
        <v>260</v>
      </c>
      <c r="NH39" s="485" t="s">
        <v>260</v>
      </c>
      <c r="NI39" s="485" t="s">
        <v>260</v>
      </c>
      <c r="NJ39" s="485" t="s">
        <v>5330</v>
      </c>
      <c r="NK39" s="485" t="s">
        <v>5330</v>
      </c>
      <c r="NL39" s="485" t="s">
        <v>5330</v>
      </c>
      <c r="NM39" s="485" t="s">
        <v>260</v>
      </c>
      <c r="NN39" s="485" t="s">
        <v>260</v>
      </c>
      <c r="NO39" s="485">
        <v>0</v>
      </c>
      <c r="NP39" s="485">
        <v>0</v>
      </c>
      <c r="NQ39" s="485" t="s">
        <v>260</v>
      </c>
      <c r="NR39" s="485" t="s">
        <v>260</v>
      </c>
      <c r="NS39" s="485" t="s">
        <v>260</v>
      </c>
      <c r="NT39" s="485" t="s">
        <v>260</v>
      </c>
      <c r="NU39" s="485" t="s">
        <v>260</v>
      </c>
      <c r="NV39" s="485" t="s">
        <v>260</v>
      </c>
      <c r="NW39" s="485" t="s">
        <v>260</v>
      </c>
      <c r="NX39" s="485" t="s">
        <v>260</v>
      </c>
      <c r="NY39" s="485" t="s">
        <v>260</v>
      </c>
      <c r="NZ39" s="485" t="s">
        <v>260</v>
      </c>
      <c r="OA39" s="485" t="s">
        <v>260</v>
      </c>
      <c r="OB39" s="485" t="s">
        <v>260</v>
      </c>
      <c r="OC39" s="485" t="s">
        <v>260</v>
      </c>
      <c r="OD39" s="485">
        <v>0</v>
      </c>
      <c r="OE39" s="485" t="s">
        <v>260</v>
      </c>
      <c r="OF39" s="485" t="s">
        <v>260</v>
      </c>
      <c r="OG39" s="485" t="s">
        <v>260</v>
      </c>
      <c r="OH39" s="485" t="s">
        <v>260</v>
      </c>
      <c r="OI39" s="485" t="s">
        <v>260</v>
      </c>
      <c r="OJ39" s="485" t="s">
        <v>260</v>
      </c>
      <c r="OK39" s="485" t="s">
        <v>260</v>
      </c>
      <c r="OL39" s="485" t="s">
        <v>260</v>
      </c>
      <c r="OM39" s="483" t="s">
        <v>260</v>
      </c>
      <c r="ON39" s="483" t="s">
        <v>260</v>
      </c>
      <c r="OO39" s="483" t="s">
        <v>260</v>
      </c>
      <c r="OP39" s="483" t="s">
        <v>260</v>
      </c>
      <c r="OQ39" s="483" t="s">
        <v>260</v>
      </c>
      <c r="OR39" s="483" t="s">
        <v>260</v>
      </c>
      <c r="OS39" s="483" t="s">
        <v>260</v>
      </c>
      <c r="OT39" s="483" t="s">
        <v>260</v>
      </c>
      <c r="OU39" s="483" t="s">
        <v>260</v>
      </c>
      <c r="OV39" s="483" t="s">
        <v>260</v>
      </c>
      <c r="OW39" s="483" t="s">
        <v>260</v>
      </c>
      <c r="OX39" s="483" t="s">
        <v>260</v>
      </c>
      <c r="OY39" s="483" t="s">
        <v>260</v>
      </c>
      <c r="OZ39" s="483" t="s">
        <v>260</v>
      </c>
      <c r="PA39" s="483" t="s">
        <v>260</v>
      </c>
      <c r="PB39" s="483" t="s">
        <v>260</v>
      </c>
      <c r="PC39" s="483" t="s">
        <v>260</v>
      </c>
      <c r="PD39" s="483" t="s">
        <v>260</v>
      </c>
      <c r="PE39" s="485">
        <v>0</v>
      </c>
      <c r="PF39" s="483" t="s">
        <v>260</v>
      </c>
      <c r="PG39" s="483" t="s">
        <v>260</v>
      </c>
      <c r="PH39" s="483" t="s">
        <v>260</v>
      </c>
      <c r="PI39" s="483" t="s">
        <v>260</v>
      </c>
      <c r="PJ39" s="483" t="s">
        <v>260</v>
      </c>
      <c r="PK39" s="483" t="s">
        <v>260</v>
      </c>
      <c r="PL39" s="483" t="s">
        <v>260</v>
      </c>
      <c r="PM39" s="483" t="s">
        <v>260</v>
      </c>
    </row>
    <row r="40" spans="2:429" ht="15.6" x14ac:dyDescent="0.3">
      <c r="B40" s="487" t="s">
        <v>664</v>
      </c>
      <c r="C40" s="483">
        <f t="shared" si="0"/>
        <v>75</v>
      </c>
      <c r="D40" s="483">
        <v>0</v>
      </c>
      <c r="E40" s="483" t="s">
        <v>260</v>
      </c>
      <c r="F40" s="483" t="s">
        <v>260</v>
      </c>
      <c r="G40" s="483" t="s">
        <v>260</v>
      </c>
      <c r="H40" s="483" t="s">
        <v>260</v>
      </c>
      <c r="I40" s="483" t="s">
        <v>260</v>
      </c>
      <c r="J40" s="483" t="s">
        <v>260</v>
      </c>
      <c r="K40" s="483" t="s">
        <v>260</v>
      </c>
      <c r="L40" s="483" t="s">
        <v>260</v>
      </c>
      <c r="M40" s="483" t="s">
        <v>260</v>
      </c>
      <c r="N40" s="483" t="s">
        <v>260</v>
      </c>
      <c r="O40" s="483" t="s">
        <v>260</v>
      </c>
      <c r="P40" s="483" t="s">
        <v>260</v>
      </c>
      <c r="Q40" s="483" t="s">
        <v>260</v>
      </c>
      <c r="R40" s="483" t="s">
        <v>260</v>
      </c>
      <c r="S40" s="483" t="s">
        <v>260</v>
      </c>
      <c r="T40" s="483" t="s">
        <v>260</v>
      </c>
      <c r="U40" s="483" t="s">
        <v>260</v>
      </c>
      <c r="V40" s="483" t="s">
        <v>260</v>
      </c>
      <c r="W40" s="483" t="s">
        <v>260</v>
      </c>
      <c r="X40" s="483" t="s">
        <v>260</v>
      </c>
      <c r="Y40" s="483" t="s">
        <v>260</v>
      </c>
      <c r="Z40" s="483" t="s">
        <v>260</v>
      </c>
      <c r="AA40" s="483" t="s">
        <v>260</v>
      </c>
      <c r="AB40" s="483" t="s">
        <v>260</v>
      </c>
      <c r="AC40" s="483" t="s">
        <v>260</v>
      </c>
      <c r="AD40" s="483" t="s">
        <v>260</v>
      </c>
      <c r="AE40" s="483">
        <v>75</v>
      </c>
      <c r="AF40" s="483" t="s">
        <v>260</v>
      </c>
      <c r="AG40" s="483" t="s">
        <v>260</v>
      </c>
      <c r="AH40" s="483" t="s">
        <v>260</v>
      </c>
      <c r="AI40" s="483" t="s">
        <v>260</v>
      </c>
      <c r="AJ40" s="483" t="s">
        <v>260</v>
      </c>
      <c r="AK40" s="483" t="s">
        <v>260</v>
      </c>
      <c r="AL40" s="483" t="s">
        <v>260</v>
      </c>
      <c r="AM40" s="483" t="s">
        <v>260</v>
      </c>
      <c r="AN40" s="483" t="s">
        <v>260</v>
      </c>
      <c r="AO40" s="483" t="s">
        <v>260</v>
      </c>
      <c r="AP40" s="483" t="s">
        <v>260</v>
      </c>
      <c r="AQ40" s="483" t="s">
        <v>260</v>
      </c>
      <c r="AR40" s="483" t="s">
        <v>260</v>
      </c>
      <c r="AS40" s="483" t="s">
        <v>260</v>
      </c>
      <c r="AT40" s="483">
        <f t="shared" si="1"/>
        <v>147</v>
      </c>
      <c r="AU40" s="483" t="s">
        <v>260</v>
      </c>
      <c r="AV40" s="483" t="s">
        <v>260</v>
      </c>
      <c r="AW40" s="483" t="s">
        <v>260</v>
      </c>
      <c r="AX40" s="483" t="s">
        <v>260</v>
      </c>
      <c r="AY40" s="483" t="s">
        <v>260</v>
      </c>
      <c r="AZ40" s="483" t="s">
        <v>260</v>
      </c>
      <c r="BA40" s="483" t="s">
        <v>260</v>
      </c>
      <c r="BB40" s="483" t="s">
        <v>260</v>
      </c>
      <c r="BC40" s="483" t="s">
        <v>260</v>
      </c>
      <c r="BD40" s="483" t="s">
        <v>260</v>
      </c>
      <c r="BE40" s="483" t="s">
        <v>260</v>
      </c>
      <c r="BF40" s="483" t="s">
        <v>260</v>
      </c>
      <c r="BG40" s="483" t="s">
        <v>260</v>
      </c>
      <c r="BH40" s="483" t="s">
        <v>260</v>
      </c>
      <c r="BI40" s="483" t="s">
        <v>260</v>
      </c>
      <c r="BJ40" s="483" t="s">
        <v>260</v>
      </c>
      <c r="BK40" s="483" t="s">
        <v>260</v>
      </c>
      <c r="BL40" s="483">
        <v>11</v>
      </c>
      <c r="BM40" s="483">
        <v>4</v>
      </c>
      <c r="BN40" s="483">
        <v>6</v>
      </c>
      <c r="BO40" s="483">
        <v>126</v>
      </c>
      <c r="BP40" s="483" t="s">
        <v>260</v>
      </c>
      <c r="BQ40" s="483" t="s">
        <v>260</v>
      </c>
      <c r="BR40" s="483" t="s">
        <v>260</v>
      </c>
      <c r="BS40" s="483" t="s">
        <v>260</v>
      </c>
      <c r="BT40" s="483" t="s">
        <v>260</v>
      </c>
      <c r="BU40" s="483" t="s">
        <v>260</v>
      </c>
      <c r="BV40" s="483" t="s">
        <v>260</v>
      </c>
      <c r="BW40" s="483" t="s">
        <v>260</v>
      </c>
      <c r="BX40" s="483" t="s">
        <v>260</v>
      </c>
      <c r="BY40" s="483" t="s">
        <v>260</v>
      </c>
      <c r="BZ40" s="483" t="s">
        <v>260</v>
      </c>
      <c r="CA40" s="483" t="s">
        <v>260</v>
      </c>
      <c r="CB40" s="483" t="s">
        <v>260</v>
      </c>
      <c r="CC40" s="483" t="s">
        <v>260</v>
      </c>
      <c r="CD40" s="483" t="s">
        <v>260</v>
      </c>
      <c r="CE40" s="483" t="s">
        <v>260</v>
      </c>
      <c r="CF40" s="483" t="s">
        <v>260</v>
      </c>
      <c r="CG40" s="483" t="s">
        <v>260</v>
      </c>
      <c r="CH40" s="483" t="s">
        <v>260</v>
      </c>
      <c r="CI40" s="483" t="s">
        <v>260</v>
      </c>
      <c r="CJ40" s="483" t="s">
        <v>260</v>
      </c>
      <c r="CK40" s="483" t="s">
        <v>260</v>
      </c>
      <c r="CL40" s="483" t="s">
        <v>260</v>
      </c>
      <c r="CM40" s="483" t="s">
        <v>260</v>
      </c>
      <c r="CN40" s="483" t="s">
        <v>260</v>
      </c>
      <c r="CO40" s="483" t="s">
        <v>260</v>
      </c>
      <c r="CP40" s="483" t="s">
        <v>260</v>
      </c>
      <c r="CQ40" s="483" t="s">
        <v>260</v>
      </c>
      <c r="CR40" s="483" t="s">
        <v>260</v>
      </c>
      <c r="CS40" s="483" t="s">
        <v>260</v>
      </c>
      <c r="CT40" s="483" t="s">
        <v>260</v>
      </c>
      <c r="CU40" s="483" t="s">
        <v>260</v>
      </c>
      <c r="CV40" s="483" t="s">
        <v>260</v>
      </c>
      <c r="CW40" s="483" t="s">
        <v>260</v>
      </c>
      <c r="CX40" s="483" t="s">
        <v>260</v>
      </c>
      <c r="CY40" s="483" t="s">
        <v>260</v>
      </c>
      <c r="CZ40" s="483" t="s">
        <v>260</v>
      </c>
      <c r="DA40" s="483" t="s">
        <v>260</v>
      </c>
      <c r="DB40" s="483" t="s">
        <v>260</v>
      </c>
      <c r="DC40" s="483" t="s">
        <v>260</v>
      </c>
      <c r="DD40" s="483" t="s">
        <v>260</v>
      </c>
      <c r="DE40" s="483" t="s">
        <v>260</v>
      </c>
      <c r="DF40" s="483" t="s">
        <v>260</v>
      </c>
      <c r="DG40" s="483" t="s">
        <v>260</v>
      </c>
      <c r="DH40" s="483" t="s">
        <v>260</v>
      </c>
      <c r="DI40" s="483" t="s">
        <v>260</v>
      </c>
      <c r="DJ40" s="483" t="s">
        <v>260</v>
      </c>
      <c r="DK40" s="483" t="s">
        <v>260</v>
      </c>
      <c r="DL40" s="483" t="s">
        <v>260</v>
      </c>
      <c r="DM40" s="483" t="s">
        <v>260</v>
      </c>
      <c r="DN40" s="483">
        <v>41</v>
      </c>
      <c r="DO40" s="483">
        <v>21</v>
      </c>
      <c r="DP40" s="483" t="s">
        <v>260</v>
      </c>
      <c r="DQ40" s="483">
        <v>20</v>
      </c>
      <c r="DR40" s="483" t="s">
        <v>260</v>
      </c>
      <c r="DS40" s="483" t="s">
        <v>260</v>
      </c>
      <c r="DT40" s="483" t="s">
        <v>260</v>
      </c>
      <c r="DU40" s="483" t="s">
        <v>260</v>
      </c>
      <c r="DV40" s="483" t="s">
        <v>260</v>
      </c>
      <c r="DW40" s="483" t="s">
        <v>260</v>
      </c>
      <c r="DX40" s="483" t="s">
        <v>260</v>
      </c>
      <c r="DY40" s="483" t="s">
        <v>260</v>
      </c>
      <c r="DZ40" s="483" t="s">
        <v>260</v>
      </c>
      <c r="EA40" s="483" t="s">
        <v>260</v>
      </c>
      <c r="EB40" s="483">
        <v>172</v>
      </c>
      <c r="EC40" s="483">
        <v>10</v>
      </c>
      <c r="ED40" s="483" t="s">
        <v>260</v>
      </c>
      <c r="EE40" s="483" t="s">
        <v>260</v>
      </c>
      <c r="EF40" s="483" t="s">
        <v>260</v>
      </c>
      <c r="EG40" s="483" t="s">
        <v>260</v>
      </c>
      <c r="EH40" s="483" t="s">
        <v>260</v>
      </c>
      <c r="EI40" s="483" t="s">
        <v>260</v>
      </c>
      <c r="EJ40" s="483" t="s">
        <v>260</v>
      </c>
      <c r="EK40" s="483" t="s">
        <v>260</v>
      </c>
      <c r="EL40" s="483" t="s">
        <v>260</v>
      </c>
      <c r="EM40" s="483" t="s">
        <v>260</v>
      </c>
      <c r="EN40" s="483" t="s">
        <v>260</v>
      </c>
      <c r="EO40" s="483" t="s">
        <v>260</v>
      </c>
      <c r="EP40" s="483">
        <v>162</v>
      </c>
      <c r="EQ40" s="483" t="s">
        <v>260</v>
      </c>
      <c r="ER40" s="483" t="s">
        <v>260</v>
      </c>
      <c r="ES40" s="483" t="s">
        <v>260</v>
      </c>
      <c r="ET40" s="483" t="s">
        <v>260</v>
      </c>
      <c r="EU40" s="483" t="s">
        <v>260</v>
      </c>
      <c r="EV40" s="483" t="s">
        <v>260</v>
      </c>
      <c r="EW40" s="483" t="s">
        <v>260</v>
      </c>
      <c r="EX40" s="483" t="s">
        <v>260</v>
      </c>
      <c r="EY40" s="483" t="s">
        <v>260</v>
      </c>
      <c r="EZ40" s="483" t="s">
        <v>260</v>
      </c>
      <c r="FA40" s="483" t="s">
        <v>260</v>
      </c>
      <c r="FB40" s="483" t="s">
        <v>260</v>
      </c>
      <c r="FC40" s="483" t="s">
        <v>260</v>
      </c>
      <c r="FD40" s="483">
        <v>100</v>
      </c>
      <c r="FE40" s="483" t="s">
        <v>260</v>
      </c>
      <c r="FF40" s="483" t="s">
        <v>260</v>
      </c>
      <c r="FG40" s="483">
        <v>100</v>
      </c>
      <c r="FH40" s="483" t="s">
        <v>260</v>
      </c>
      <c r="FI40" s="483" t="s">
        <v>260</v>
      </c>
      <c r="FJ40" s="483" t="s">
        <v>260</v>
      </c>
      <c r="FK40" s="483" t="s">
        <v>260</v>
      </c>
      <c r="FL40" s="483" t="s">
        <v>260</v>
      </c>
      <c r="FM40" s="483" t="s">
        <v>260</v>
      </c>
      <c r="FN40" s="483" t="s">
        <v>260</v>
      </c>
      <c r="FO40" s="483" t="s">
        <v>260</v>
      </c>
      <c r="FP40" s="483" t="s">
        <v>260</v>
      </c>
      <c r="FQ40" s="483" t="s">
        <v>260</v>
      </c>
      <c r="FR40" s="483" t="s">
        <v>260</v>
      </c>
      <c r="FS40" s="483" t="s">
        <v>260</v>
      </c>
      <c r="FT40" s="483" t="s">
        <v>260</v>
      </c>
      <c r="FU40" s="483" t="s">
        <v>260</v>
      </c>
      <c r="FV40" s="483" t="s">
        <v>260</v>
      </c>
      <c r="FW40" s="483" t="s">
        <v>260</v>
      </c>
      <c r="FX40" s="483" t="s">
        <v>260</v>
      </c>
      <c r="FY40" s="483" t="s">
        <v>260</v>
      </c>
      <c r="FZ40" s="483" t="s">
        <v>260</v>
      </c>
      <c r="GA40" s="483" t="s">
        <v>260</v>
      </c>
      <c r="GB40" s="483" t="s">
        <v>260</v>
      </c>
      <c r="GC40" s="483" t="s">
        <v>260</v>
      </c>
      <c r="GD40" s="483" t="s">
        <v>260</v>
      </c>
      <c r="GE40" s="483" t="s">
        <v>260</v>
      </c>
      <c r="GF40" s="483" t="s">
        <v>260</v>
      </c>
      <c r="GG40" s="483" t="s">
        <v>260</v>
      </c>
      <c r="GH40" s="483" t="s">
        <v>260</v>
      </c>
      <c r="GI40" s="483" t="s">
        <v>260</v>
      </c>
      <c r="GJ40" s="483" t="s">
        <v>260</v>
      </c>
      <c r="GK40" s="483" t="s">
        <v>260</v>
      </c>
      <c r="GL40" s="483" t="s">
        <v>260</v>
      </c>
      <c r="GM40" s="483" t="s">
        <v>260</v>
      </c>
      <c r="GN40" s="483" t="s">
        <v>260</v>
      </c>
      <c r="GO40" s="483" t="s">
        <v>260</v>
      </c>
      <c r="GP40" s="483" t="s">
        <v>260</v>
      </c>
      <c r="GQ40" s="483" t="s">
        <v>260</v>
      </c>
      <c r="GR40" s="483" t="s">
        <v>260</v>
      </c>
      <c r="GS40" s="483" t="s">
        <v>260</v>
      </c>
      <c r="GT40" s="483" t="s">
        <v>260</v>
      </c>
      <c r="GU40" s="483" t="s">
        <v>260</v>
      </c>
      <c r="GV40" s="483" t="s">
        <v>260</v>
      </c>
      <c r="GW40" s="483" t="s">
        <v>260</v>
      </c>
      <c r="GX40" s="483" t="s">
        <v>260</v>
      </c>
      <c r="GY40" s="483" t="s">
        <v>260</v>
      </c>
      <c r="GZ40" s="483">
        <v>13</v>
      </c>
      <c r="HA40" s="483" t="s">
        <v>260</v>
      </c>
      <c r="HB40" s="483" t="s">
        <v>260</v>
      </c>
      <c r="HC40" s="483" t="s">
        <v>260</v>
      </c>
      <c r="HD40" s="483" t="s">
        <v>260</v>
      </c>
      <c r="HE40" s="483">
        <v>13</v>
      </c>
      <c r="HF40" s="483" t="s">
        <v>260</v>
      </c>
      <c r="HG40" s="483" t="s">
        <v>260</v>
      </c>
      <c r="HH40" s="483" t="s">
        <v>260</v>
      </c>
      <c r="HI40" s="483" t="s">
        <v>260</v>
      </c>
      <c r="HJ40" s="483" t="s">
        <v>260</v>
      </c>
      <c r="HK40" s="483" t="s">
        <v>260</v>
      </c>
      <c r="HL40" s="483" t="s">
        <v>260</v>
      </c>
      <c r="HM40" s="483" t="s">
        <v>260</v>
      </c>
      <c r="HN40" s="483" t="s">
        <v>260</v>
      </c>
      <c r="HO40" s="483" t="s">
        <v>260</v>
      </c>
      <c r="HP40" s="483" t="s">
        <v>260</v>
      </c>
      <c r="HQ40" s="483" t="s">
        <v>260</v>
      </c>
      <c r="HR40" s="483" t="s">
        <v>260</v>
      </c>
      <c r="HS40" s="483" t="s">
        <v>260</v>
      </c>
      <c r="HT40" s="483" t="s">
        <v>260</v>
      </c>
      <c r="HU40" s="483" t="s">
        <v>260</v>
      </c>
      <c r="HV40" s="483" t="s">
        <v>260</v>
      </c>
      <c r="HW40" s="483" t="s">
        <v>260</v>
      </c>
      <c r="HX40" s="483" t="s">
        <v>260</v>
      </c>
      <c r="HY40" s="483" t="s">
        <v>260</v>
      </c>
      <c r="HZ40" s="483" t="s">
        <v>260</v>
      </c>
      <c r="IA40" s="483" t="s">
        <v>260</v>
      </c>
      <c r="IB40" s="483" t="s">
        <v>260</v>
      </c>
      <c r="IC40" s="483" t="s">
        <v>260</v>
      </c>
      <c r="ID40" s="483" t="s">
        <v>260</v>
      </c>
      <c r="IE40" s="483" t="s">
        <v>260</v>
      </c>
      <c r="IF40" s="483">
        <v>0</v>
      </c>
      <c r="IG40" s="483" t="s">
        <v>260</v>
      </c>
      <c r="IH40" s="483" t="s">
        <v>260</v>
      </c>
      <c r="II40" s="483" t="s">
        <v>260</v>
      </c>
      <c r="IJ40" s="483" t="s">
        <v>260</v>
      </c>
      <c r="IK40" s="483">
        <v>27</v>
      </c>
      <c r="IL40" s="483" t="s">
        <v>260</v>
      </c>
      <c r="IM40" s="483" t="s">
        <v>260</v>
      </c>
      <c r="IN40" s="483" t="s">
        <v>260</v>
      </c>
      <c r="IO40" s="483" t="s">
        <v>260</v>
      </c>
      <c r="IP40" s="483" t="s">
        <v>260</v>
      </c>
      <c r="IQ40" s="483" t="s">
        <v>260</v>
      </c>
      <c r="IR40" s="483" t="s">
        <v>260</v>
      </c>
      <c r="IS40" s="483" t="s">
        <v>260</v>
      </c>
      <c r="IT40" s="483" t="s">
        <v>260</v>
      </c>
      <c r="IU40" s="483" t="s">
        <v>260</v>
      </c>
      <c r="IV40" s="483" t="s">
        <v>260</v>
      </c>
      <c r="IW40" s="483" t="s">
        <v>260</v>
      </c>
      <c r="IX40" s="483" t="s">
        <v>260</v>
      </c>
      <c r="IY40" s="483" t="s">
        <v>260</v>
      </c>
      <c r="IZ40" s="483">
        <v>6</v>
      </c>
      <c r="JA40" s="483">
        <v>21</v>
      </c>
      <c r="JB40" s="483" t="s">
        <v>260</v>
      </c>
      <c r="JC40" s="483" t="s">
        <v>260</v>
      </c>
      <c r="JD40" s="483" t="s">
        <v>260</v>
      </c>
      <c r="JE40" s="483">
        <v>8</v>
      </c>
      <c r="JF40" s="483" t="s">
        <v>260</v>
      </c>
      <c r="JG40" s="483" t="s">
        <v>260</v>
      </c>
      <c r="JH40" s="483" t="s">
        <v>260</v>
      </c>
      <c r="JI40" s="483" t="s">
        <v>260</v>
      </c>
      <c r="JJ40" s="483" t="s">
        <v>260</v>
      </c>
      <c r="JK40" s="483" t="s">
        <v>260</v>
      </c>
      <c r="JL40" s="483" t="s">
        <v>260</v>
      </c>
      <c r="JM40" s="483" t="s">
        <v>260</v>
      </c>
      <c r="JN40" s="483" t="s">
        <v>260</v>
      </c>
      <c r="JO40" s="483">
        <v>4</v>
      </c>
      <c r="JP40" s="483">
        <v>4</v>
      </c>
      <c r="JQ40" s="483" t="s">
        <v>260</v>
      </c>
      <c r="JR40" s="483" t="s">
        <v>260</v>
      </c>
      <c r="JS40" s="483" t="s">
        <v>260</v>
      </c>
      <c r="JT40" s="483" t="s">
        <v>260</v>
      </c>
      <c r="JU40" s="483" t="s">
        <v>260</v>
      </c>
      <c r="JV40" s="483" t="s">
        <v>260</v>
      </c>
      <c r="JW40" s="483" t="s">
        <v>260</v>
      </c>
      <c r="JX40" s="483" t="s">
        <v>260</v>
      </c>
      <c r="JY40" s="483" t="s">
        <v>260</v>
      </c>
      <c r="JZ40" s="483" t="s">
        <v>260</v>
      </c>
      <c r="KA40" s="483" t="s">
        <v>260</v>
      </c>
      <c r="KB40" s="483">
        <v>0</v>
      </c>
      <c r="KC40" s="483" t="s">
        <v>260</v>
      </c>
      <c r="KD40" s="483" t="s">
        <v>260</v>
      </c>
      <c r="KE40" s="483" t="s">
        <v>260</v>
      </c>
      <c r="KF40" s="483" t="s">
        <v>260</v>
      </c>
      <c r="KG40" s="483" t="s">
        <v>260</v>
      </c>
      <c r="KH40" s="483" t="s">
        <v>260</v>
      </c>
      <c r="KI40" s="483" t="s">
        <v>260</v>
      </c>
      <c r="KJ40" s="483" t="s">
        <v>260</v>
      </c>
      <c r="KK40" s="483" t="s">
        <v>260</v>
      </c>
      <c r="KL40" s="483" t="s">
        <v>260</v>
      </c>
      <c r="KM40" s="483" t="s">
        <v>260</v>
      </c>
      <c r="KN40" s="483" t="s">
        <v>260</v>
      </c>
      <c r="KO40" s="483" t="s">
        <v>260</v>
      </c>
      <c r="KP40" s="483" t="s">
        <v>260</v>
      </c>
      <c r="KQ40" s="483" t="s">
        <v>260</v>
      </c>
      <c r="KR40" s="483" t="s">
        <v>260</v>
      </c>
      <c r="KS40" s="483" t="s">
        <v>260</v>
      </c>
      <c r="KT40" s="483" t="s">
        <v>260</v>
      </c>
      <c r="KU40" s="483" t="s">
        <v>260</v>
      </c>
      <c r="KV40" s="483" t="s">
        <v>260</v>
      </c>
      <c r="KW40" s="483" t="s">
        <v>260</v>
      </c>
      <c r="KX40" s="483" t="s">
        <v>260</v>
      </c>
      <c r="KY40" s="483" t="s">
        <v>260</v>
      </c>
      <c r="KZ40" s="483" t="s">
        <v>260</v>
      </c>
      <c r="LA40" s="483" t="s">
        <v>260</v>
      </c>
      <c r="LB40" s="483" t="s">
        <v>260</v>
      </c>
      <c r="LC40" s="483" t="s">
        <v>260</v>
      </c>
      <c r="LD40" s="483" t="s">
        <v>260</v>
      </c>
      <c r="LE40" s="483" t="s">
        <v>260</v>
      </c>
      <c r="LF40" s="483" t="s">
        <v>260</v>
      </c>
      <c r="LG40" s="483" t="s">
        <v>260</v>
      </c>
      <c r="LH40" s="483" t="s">
        <v>260</v>
      </c>
      <c r="LI40" s="483" t="s">
        <v>260</v>
      </c>
      <c r="LJ40" s="483" t="s">
        <v>260</v>
      </c>
      <c r="LK40" s="483" t="s">
        <v>260</v>
      </c>
      <c r="LL40" s="483" t="s">
        <v>260</v>
      </c>
      <c r="LM40" s="483" t="s">
        <v>260</v>
      </c>
      <c r="LN40" s="483" t="s">
        <v>260</v>
      </c>
      <c r="LO40" s="483" t="s">
        <v>260</v>
      </c>
      <c r="LP40" s="483" t="s">
        <v>260</v>
      </c>
      <c r="LQ40" s="483" t="s">
        <v>260</v>
      </c>
      <c r="LR40" s="485" t="s">
        <v>260</v>
      </c>
      <c r="LS40" s="485">
        <v>0</v>
      </c>
      <c r="LT40" s="485" t="s">
        <v>260</v>
      </c>
      <c r="LU40" s="485" t="s">
        <v>260</v>
      </c>
      <c r="LV40" s="485" t="s">
        <v>260</v>
      </c>
      <c r="LW40" s="485" t="s">
        <v>260</v>
      </c>
      <c r="LX40" s="485" t="s">
        <v>260</v>
      </c>
      <c r="LY40" s="485" t="s">
        <v>260</v>
      </c>
      <c r="LZ40" s="485" t="s">
        <v>260</v>
      </c>
      <c r="MA40" s="485" t="s">
        <v>260</v>
      </c>
      <c r="MB40" s="485" t="s">
        <v>260</v>
      </c>
      <c r="MC40" s="485">
        <v>0</v>
      </c>
      <c r="MD40" s="485" t="s">
        <v>260</v>
      </c>
      <c r="ME40" s="485" t="s">
        <v>260</v>
      </c>
      <c r="MF40" s="485" t="s">
        <v>260</v>
      </c>
      <c r="MG40" s="485" t="s">
        <v>260</v>
      </c>
      <c r="MH40" s="485" t="s">
        <v>260</v>
      </c>
      <c r="MI40" s="485" t="s">
        <v>260</v>
      </c>
      <c r="MJ40" s="485">
        <v>0</v>
      </c>
      <c r="MK40" s="485" t="s">
        <v>260</v>
      </c>
      <c r="ML40" s="485" t="s">
        <v>260</v>
      </c>
      <c r="MM40" s="485" t="s">
        <v>260</v>
      </c>
      <c r="MN40" s="485" t="s">
        <v>260</v>
      </c>
      <c r="MO40" s="485" t="s">
        <v>260</v>
      </c>
      <c r="MP40" s="485" t="s">
        <v>260</v>
      </c>
      <c r="MQ40" s="485" t="s">
        <v>260</v>
      </c>
      <c r="MR40" s="485" t="s">
        <v>260</v>
      </c>
      <c r="MS40" s="485" t="s">
        <v>260</v>
      </c>
      <c r="MT40" s="485" t="s">
        <v>260</v>
      </c>
      <c r="MU40" s="485" t="s">
        <v>260</v>
      </c>
      <c r="MV40" s="485" t="s">
        <v>260</v>
      </c>
      <c r="MW40" s="485" t="s">
        <v>260</v>
      </c>
      <c r="MX40" s="485" t="s">
        <v>260</v>
      </c>
      <c r="MY40" s="485" t="s">
        <v>260</v>
      </c>
      <c r="MZ40" s="485" t="s">
        <v>260</v>
      </c>
      <c r="NA40" s="485" t="s">
        <v>260</v>
      </c>
      <c r="NB40" s="485">
        <v>9</v>
      </c>
      <c r="NC40" s="485" t="s">
        <v>260</v>
      </c>
      <c r="ND40" s="485" t="s">
        <v>5330</v>
      </c>
      <c r="NE40" s="485">
        <v>9</v>
      </c>
      <c r="NF40" s="485" t="s">
        <v>260</v>
      </c>
      <c r="NG40" s="485" t="s">
        <v>260</v>
      </c>
      <c r="NH40" s="485" t="s">
        <v>260</v>
      </c>
      <c r="NI40" s="485" t="s">
        <v>260</v>
      </c>
      <c r="NJ40" s="485" t="s">
        <v>260</v>
      </c>
      <c r="NK40" s="485" t="s">
        <v>260</v>
      </c>
      <c r="NL40" s="485" t="s">
        <v>260</v>
      </c>
      <c r="NM40" s="485" t="s">
        <v>260</v>
      </c>
      <c r="NN40" s="485" t="s">
        <v>260</v>
      </c>
      <c r="NO40" s="485">
        <v>0</v>
      </c>
      <c r="NP40" s="485">
        <v>0</v>
      </c>
      <c r="NQ40" s="485" t="s">
        <v>260</v>
      </c>
      <c r="NR40" s="485" t="s">
        <v>260</v>
      </c>
      <c r="NS40" s="485" t="s">
        <v>260</v>
      </c>
      <c r="NT40" s="485" t="s">
        <v>260</v>
      </c>
      <c r="NU40" s="485" t="s">
        <v>260</v>
      </c>
      <c r="NV40" s="485" t="s">
        <v>260</v>
      </c>
      <c r="NW40" s="485" t="s">
        <v>260</v>
      </c>
      <c r="NX40" s="485" t="s">
        <v>260</v>
      </c>
      <c r="NY40" s="485" t="s">
        <v>260</v>
      </c>
      <c r="NZ40" s="485" t="s">
        <v>260</v>
      </c>
      <c r="OA40" s="485" t="s">
        <v>260</v>
      </c>
      <c r="OB40" s="485" t="s">
        <v>260</v>
      </c>
      <c r="OC40" s="485" t="s">
        <v>260</v>
      </c>
      <c r="OD40" s="485">
        <v>0</v>
      </c>
      <c r="OE40" s="485" t="s">
        <v>260</v>
      </c>
      <c r="OF40" s="485" t="s">
        <v>260</v>
      </c>
      <c r="OG40" s="485" t="s">
        <v>260</v>
      </c>
      <c r="OH40" s="485" t="s">
        <v>260</v>
      </c>
      <c r="OI40" s="485" t="s">
        <v>260</v>
      </c>
      <c r="OJ40" s="485" t="s">
        <v>260</v>
      </c>
      <c r="OK40" s="485" t="s">
        <v>260</v>
      </c>
      <c r="OL40" s="485" t="s">
        <v>260</v>
      </c>
      <c r="OM40" s="483" t="s">
        <v>260</v>
      </c>
      <c r="ON40" s="483" t="s">
        <v>260</v>
      </c>
      <c r="OO40" s="483" t="s">
        <v>260</v>
      </c>
      <c r="OP40" s="483" t="s">
        <v>260</v>
      </c>
      <c r="OQ40" s="483" t="s">
        <v>260</v>
      </c>
      <c r="OR40" s="483" t="s">
        <v>260</v>
      </c>
      <c r="OS40" s="483" t="s">
        <v>260</v>
      </c>
      <c r="OT40" s="483">
        <v>10</v>
      </c>
      <c r="OU40" s="483" t="s">
        <v>260</v>
      </c>
      <c r="OV40" s="483" t="s">
        <v>260</v>
      </c>
      <c r="OW40" s="483" t="s">
        <v>260</v>
      </c>
      <c r="OX40" s="483" t="s">
        <v>260</v>
      </c>
      <c r="OY40" s="483" t="s">
        <v>260</v>
      </c>
      <c r="OZ40" s="483" t="s">
        <v>260</v>
      </c>
      <c r="PA40" s="483" t="s">
        <v>260</v>
      </c>
      <c r="PB40" s="483" t="s">
        <v>260</v>
      </c>
      <c r="PC40" s="483" t="s">
        <v>260</v>
      </c>
      <c r="PD40" s="483" t="s">
        <v>260</v>
      </c>
      <c r="PE40" s="485">
        <v>0</v>
      </c>
      <c r="PF40" s="483" t="s">
        <v>260</v>
      </c>
      <c r="PG40" s="483" t="s">
        <v>260</v>
      </c>
      <c r="PH40" s="483" t="s">
        <v>260</v>
      </c>
      <c r="PI40" s="483" t="s">
        <v>260</v>
      </c>
      <c r="PJ40" s="483" t="s">
        <v>260</v>
      </c>
      <c r="PK40" s="483" t="s">
        <v>260</v>
      </c>
      <c r="PL40" s="483" t="s">
        <v>260</v>
      </c>
      <c r="PM40" s="483" t="s">
        <v>260</v>
      </c>
    </row>
    <row r="41" spans="2:429" ht="15.6" x14ac:dyDescent="0.3">
      <c r="B41" s="487" t="s">
        <v>5334</v>
      </c>
      <c r="C41" s="483">
        <f t="shared" si="0"/>
        <v>229</v>
      </c>
      <c r="D41" s="483">
        <v>0</v>
      </c>
      <c r="E41" s="483" t="s">
        <v>260</v>
      </c>
      <c r="F41" s="483" t="s">
        <v>260</v>
      </c>
      <c r="G41" s="483" t="s">
        <v>260</v>
      </c>
      <c r="H41" s="483" t="s">
        <v>260</v>
      </c>
      <c r="I41" s="483" t="s">
        <v>260</v>
      </c>
      <c r="J41" s="483" t="s">
        <v>260</v>
      </c>
      <c r="K41" s="483" t="s">
        <v>260</v>
      </c>
      <c r="L41" s="483" t="s">
        <v>260</v>
      </c>
      <c r="M41" s="483" t="s">
        <v>260</v>
      </c>
      <c r="N41" s="483" t="s">
        <v>260</v>
      </c>
      <c r="O41" s="483" t="s">
        <v>260</v>
      </c>
      <c r="P41" s="483" t="s">
        <v>260</v>
      </c>
      <c r="Q41" s="483" t="s">
        <v>260</v>
      </c>
      <c r="R41" s="483" t="s">
        <v>260</v>
      </c>
      <c r="S41" s="483" t="s">
        <v>260</v>
      </c>
      <c r="T41" s="483" t="s">
        <v>260</v>
      </c>
      <c r="U41" s="483" t="s">
        <v>260</v>
      </c>
      <c r="V41" s="483" t="s">
        <v>260</v>
      </c>
      <c r="W41" s="483" t="s">
        <v>260</v>
      </c>
      <c r="X41" s="483" t="s">
        <v>260</v>
      </c>
      <c r="Y41" s="483" t="s">
        <v>260</v>
      </c>
      <c r="Z41" s="483" t="s">
        <v>260</v>
      </c>
      <c r="AA41" s="483" t="s">
        <v>260</v>
      </c>
      <c r="AB41" s="483" t="s">
        <v>260</v>
      </c>
      <c r="AC41" s="483" t="s">
        <v>260</v>
      </c>
      <c r="AD41" s="483" t="s">
        <v>260</v>
      </c>
      <c r="AE41" s="483">
        <v>199</v>
      </c>
      <c r="AF41" s="483">
        <v>30</v>
      </c>
      <c r="AG41" s="483" t="s">
        <v>260</v>
      </c>
      <c r="AH41" s="483" t="s">
        <v>260</v>
      </c>
      <c r="AI41" s="483" t="s">
        <v>260</v>
      </c>
      <c r="AJ41" s="483" t="s">
        <v>260</v>
      </c>
      <c r="AK41" s="483" t="s">
        <v>260</v>
      </c>
      <c r="AL41" s="483" t="s">
        <v>260</v>
      </c>
      <c r="AM41" s="483" t="s">
        <v>260</v>
      </c>
      <c r="AN41" s="483" t="s">
        <v>260</v>
      </c>
      <c r="AO41" s="483" t="s">
        <v>260</v>
      </c>
      <c r="AP41" s="483" t="s">
        <v>260</v>
      </c>
      <c r="AQ41" s="483" t="s">
        <v>260</v>
      </c>
      <c r="AR41" s="483" t="s">
        <v>260</v>
      </c>
      <c r="AS41" s="483" t="s">
        <v>260</v>
      </c>
      <c r="AT41" s="483">
        <f t="shared" si="1"/>
        <v>95</v>
      </c>
      <c r="AU41" s="483" t="s">
        <v>260</v>
      </c>
      <c r="AV41" s="483" t="s">
        <v>260</v>
      </c>
      <c r="AW41" s="483" t="s">
        <v>260</v>
      </c>
      <c r="AX41" s="483" t="s">
        <v>260</v>
      </c>
      <c r="AY41" s="483" t="s">
        <v>260</v>
      </c>
      <c r="AZ41" s="483" t="s">
        <v>260</v>
      </c>
      <c r="BA41" s="483" t="s">
        <v>260</v>
      </c>
      <c r="BB41" s="483" t="s">
        <v>260</v>
      </c>
      <c r="BC41" s="483" t="s">
        <v>260</v>
      </c>
      <c r="BD41" s="483" t="s">
        <v>260</v>
      </c>
      <c r="BE41" s="483" t="s">
        <v>260</v>
      </c>
      <c r="BF41" s="483" t="s">
        <v>260</v>
      </c>
      <c r="BG41" s="483" t="s">
        <v>260</v>
      </c>
      <c r="BH41" s="483" t="s">
        <v>260</v>
      </c>
      <c r="BI41" s="483">
        <v>32</v>
      </c>
      <c r="BJ41" s="483" t="s">
        <v>260</v>
      </c>
      <c r="BK41" s="483" t="s">
        <v>260</v>
      </c>
      <c r="BL41" s="483">
        <v>12</v>
      </c>
      <c r="BM41" s="483" t="s">
        <v>260</v>
      </c>
      <c r="BN41" s="483">
        <v>39</v>
      </c>
      <c r="BO41" s="483" t="s">
        <v>260</v>
      </c>
      <c r="BP41" s="483" t="s">
        <v>260</v>
      </c>
      <c r="BQ41" s="483" t="s">
        <v>260</v>
      </c>
      <c r="BR41" s="483" t="s">
        <v>260</v>
      </c>
      <c r="BS41" s="483" t="s">
        <v>260</v>
      </c>
      <c r="BT41" s="483" t="s">
        <v>260</v>
      </c>
      <c r="BU41" s="483" t="s">
        <v>260</v>
      </c>
      <c r="BV41" s="483" t="s">
        <v>260</v>
      </c>
      <c r="BW41" s="483" t="s">
        <v>260</v>
      </c>
      <c r="BX41" s="483" t="s">
        <v>260</v>
      </c>
      <c r="BY41" s="483" t="s">
        <v>260</v>
      </c>
      <c r="BZ41" s="483" t="s">
        <v>260</v>
      </c>
      <c r="CA41" s="483" t="s">
        <v>260</v>
      </c>
      <c r="CB41" s="483" t="s">
        <v>260</v>
      </c>
      <c r="CC41" s="483" t="s">
        <v>260</v>
      </c>
      <c r="CD41" s="483" t="s">
        <v>260</v>
      </c>
      <c r="CE41" s="483" t="s">
        <v>260</v>
      </c>
      <c r="CF41" s="483" t="s">
        <v>260</v>
      </c>
      <c r="CG41" s="483" t="s">
        <v>260</v>
      </c>
      <c r="CH41" s="483" t="s">
        <v>260</v>
      </c>
      <c r="CI41" s="483" t="s">
        <v>260</v>
      </c>
      <c r="CJ41" s="483" t="s">
        <v>260</v>
      </c>
      <c r="CK41" s="483" t="s">
        <v>260</v>
      </c>
      <c r="CL41" s="483" t="s">
        <v>260</v>
      </c>
      <c r="CM41" s="483" t="s">
        <v>260</v>
      </c>
      <c r="CN41" s="483" t="s">
        <v>260</v>
      </c>
      <c r="CO41" s="483" t="s">
        <v>260</v>
      </c>
      <c r="CP41" s="483" t="s">
        <v>260</v>
      </c>
      <c r="CQ41" s="483" t="s">
        <v>260</v>
      </c>
      <c r="CR41" s="483">
        <v>12</v>
      </c>
      <c r="CS41" s="483" t="s">
        <v>260</v>
      </c>
      <c r="CT41" s="483" t="s">
        <v>260</v>
      </c>
      <c r="CU41" s="483" t="s">
        <v>260</v>
      </c>
      <c r="CV41" s="483" t="s">
        <v>260</v>
      </c>
      <c r="CW41" s="483" t="s">
        <v>260</v>
      </c>
      <c r="CX41" s="483" t="s">
        <v>260</v>
      </c>
      <c r="CY41" s="483" t="s">
        <v>260</v>
      </c>
      <c r="CZ41" s="483" t="s">
        <v>260</v>
      </c>
      <c r="DA41" s="483" t="s">
        <v>260</v>
      </c>
      <c r="DB41" s="483" t="s">
        <v>260</v>
      </c>
      <c r="DC41" s="483" t="s">
        <v>260</v>
      </c>
      <c r="DD41" s="483" t="s">
        <v>260</v>
      </c>
      <c r="DE41" s="483" t="s">
        <v>260</v>
      </c>
      <c r="DF41" s="483" t="s">
        <v>260</v>
      </c>
      <c r="DG41" s="483" t="s">
        <v>260</v>
      </c>
      <c r="DH41" s="483" t="s">
        <v>260</v>
      </c>
      <c r="DI41" s="483" t="s">
        <v>260</v>
      </c>
      <c r="DJ41" s="483" t="s">
        <v>260</v>
      </c>
      <c r="DK41" s="483" t="s">
        <v>260</v>
      </c>
      <c r="DL41" s="483" t="s">
        <v>260</v>
      </c>
      <c r="DM41" s="483" t="s">
        <v>260</v>
      </c>
      <c r="DN41" s="483">
        <v>0</v>
      </c>
      <c r="DO41" s="483" t="s">
        <v>260</v>
      </c>
      <c r="DP41" s="483" t="s">
        <v>260</v>
      </c>
      <c r="DQ41" s="483" t="s">
        <v>260</v>
      </c>
      <c r="DR41" s="483" t="s">
        <v>260</v>
      </c>
      <c r="DS41" s="483" t="s">
        <v>260</v>
      </c>
      <c r="DT41" s="483" t="s">
        <v>260</v>
      </c>
      <c r="DU41" s="483" t="s">
        <v>260</v>
      </c>
      <c r="DV41" s="483" t="s">
        <v>260</v>
      </c>
      <c r="DW41" s="483" t="s">
        <v>260</v>
      </c>
      <c r="DX41" s="483" t="s">
        <v>260</v>
      </c>
      <c r="DY41" s="483" t="s">
        <v>260</v>
      </c>
      <c r="DZ41" s="483" t="s">
        <v>260</v>
      </c>
      <c r="EA41" s="483" t="s">
        <v>260</v>
      </c>
      <c r="EB41" s="483">
        <v>0</v>
      </c>
      <c r="EC41" s="483" t="s">
        <v>260</v>
      </c>
      <c r="ED41" s="483" t="s">
        <v>260</v>
      </c>
      <c r="EE41" s="483" t="s">
        <v>260</v>
      </c>
      <c r="EF41" s="483" t="s">
        <v>260</v>
      </c>
      <c r="EG41" s="483" t="s">
        <v>260</v>
      </c>
      <c r="EH41" s="483" t="s">
        <v>260</v>
      </c>
      <c r="EI41" s="483" t="s">
        <v>260</v>
      </c>
      <c r="EJ41" s="483" t="s">
        <v>260</v>
      </c>
      <c r="EK41" s="483" t="s">
        <v>260</v>
      </c>
      <c r="EL41" s="483" t="s">
        <v>260</v>
      </c>
      <c r="EM41" s="483" t="s">
        <v>260</v>
      </c>
      <c r="EN41" s="483" t="s">
        <v>260</v>
      </c>
      <c r="EO41" s="483" t="s">
        <v>260</v>
      </c>
      <c r="EP41" s="483" t="s">
        <v>260</v>
      </c>
      <c r="EQ41" s="483" t="s">
        <v>260</v>
      </c>
      <c r="ER41" s="483" t="s">
        <v>260</v>
      </c>
      <c r="ES41" s="483" t="s">
        <v>260</v>
      </c>
      <c r="ET41" s="483" t="s">
        <v>260</v>
      </c>
      <c r="EU41" s="483" t="s">
        <v>260</v>
      </c>
      <c r="EV41" s="483" t="s">
        <v>260</v>
      </c>
      <c r="EW41" s="483" t="s">
        <v>260</v>
      </c>
      <c r="EX41" s="483" t="s">
        <v>260</v>
      </c>
      <c r="EY41" s="483" t="s">
        <v>260</v>
      </c>
      <c r="EZ41" s="483" t="s">
        <v>260</v>
      </c>
      <c r="FA41" s="483" t="s">
        <v>260</v>
      </c>
      <c r="FB41" s="483" t="s">
        <v>260</v>
      </c>
      <c r="FC41" s="483" t="s">
        <v>260</v>
      </c>
      <c r="FD41" s="483">
        <v>335</v>
      </c>
      <c r="FE41" s="483" t="s">
        <v>260</v>
      </c>
      <c r="FF41" s="483" t="s">
        <v>260</v>
      </c>
      <c r="FG41" s="483">
        <v>320</v>
      </c>
      <c r="FH41" s="483">
        <v>3</v>
      </c>
      <c r="FI41" s="483" t="s">
        <v>260</v>
      </c>
      <c r="FJ41" s="483" t="s">
        <v>260</v>
      </c>
      <c r="FK41" s="483" t="s">
        <v>260</v>
      </c>
      <c r="FL41" s="483" t="s">
        <v>260</v>
      </c>
      <c r="FM41" s="483" t="s">
        <v>260</v>
      </c>
      <c r="FN41" s="483" t="s">
        <v>260</v>
      </c>
      <c r="FO41" s="483" t="s">
        <v>260</v>
      </c>
      <c r="FP41" s="483" t="s">
        <v>260</v>
      </c>
      <c r="FQ41" s="483" t="s">
        <v>260</v>
      </c>
      <c r="FR41" s="483" t="s">
        <v>260</v>
      </c>
      <c r="FS41" s="483" t="s">
        <v>260</v>
      </c>
      <c r="FT41" s="483" t="s">
        <v>260</v>
      </c>
      <c r="FU41" s="483" t="s">
        <v>260</v>
      </c>
      <c r="FV41" s="483" t="s">
        <v>260</v>
      </c>
      <c r="FW41" s="483" t="s">
        <v>260</v>
      </c>
      <c r="FX41" s="483" t="s">
        <v>260</v>
      </c>
      <c r="FY41" s="483" t="s">
        <v>260</v>
      </c>
      <c r="FZ41" s="483" t="s">
        <v>260</v>
      </c>
      <c r="GA41" s="483" t="s">
        <v>260</v>
      </c>
      <c r="GB41" s="483" t="s">
        <v>260</v>
      </c>
      <c r="GC41" s="483" t="s">
        <v>260</v>
      </c>
      <c r="GD41" s="483">
        <v>12</v>
      </c>
      <c r="GE41" s="483" t="s">
        <v>260</v>
      </c>
      <c r="GF41" s="483" t="s">
        <v>260</v>
      </c>
      <c r="GG41" s="483" t="s">
        <v>260</v>
      </c>
      <c r="GH41" s="483" t="s">
        <v>260</v>
      </c>
      <c r="GI41" s="483" t="s">
        <v>260</v>
      </c>
      <c r="GJ41" s="483" t="s">
        <v>260</v>
      </c>
      <c r="GK41" s="483" t="s">
        <v>260</v>
      </c>
      <c r="GL41" s="483" t="s">
        <v>260</v>
      </c>
      <c r="GM41" s="483" t="s">
        <v>260</v>
      </c>
      <c r="GN41" s="483" t="s">
        <v>260</v>
      </c>
      <c r="GO41" s="483" t="s">
        <v>260</v>
      </c>
      <c r="GP41" s="483" t="s">
        <v>260</v>
      </c>
      <c r="GQ41" s="483" t="s">
        <v>260</v>
      </c>
      <c r="GR41" s="483" t="s">
        <v>260</v>
      </c>
      <c r="GS41" s="483" t="s">
        <v>260</v>
      </c>
      <c r="GT41" s="483" t="s">
        <v>260</v>
      </c>
      <c r="GU41" s="483" t="s">
        <v>260</v>
      </c>
      <c r="GV41" s="483" t="s">
        <v>260</v>
      </c>
      <c r="GW41" s="483" t="s">
        <v>260</v>
      </c>
      <c r="GX41" s="483" t="s">
        <v>260</v>
      </c>
      <c r="GY41" s="483" t="s">
        <v>260</v>
      </c>
      <c r="GZ41" s="483">
        <v>42</v>
      </c>
      <c r="HA41" s="483" t="s">
        <v>260</v>
      </c>
      <c r="HB41" s="483" t="s">
        <v>260</v>
      </c>
      <c r="HC41" s="483" t="s">
        <v>260</v>
      </c>
      <c r="HD41" s="483" t="s">
        <v>260</v>
      </c>
      <c r="HE41" s="483" t="s">
        <v>260</v>
      </c>
      <c r="HF41" s="483">
        <v>6</v>
      </c>
      <c r="HG41" s="483" t="s">
        <v>260</v>
      </c>
      <c r="HH41" s="483" t="s">
        <v>260</v>
      </c>
      <c r="HI41" s="483" t="s">
        <v>260</v>
      </c>
      <c r="HJ41" s="483" t="s">
        <v>260</v>
      </c>
      <c r="HK41" s="483" t="s">
        <v>260</v>
      </c>
      <c r="HL41" s="483" t="s">
        <v>260</v>
      </c>
      <c r="HM41" s="483" t="s">
        <v>260</v>
      </c>
      <c r="HN41" s="483" t="s">
        <v>260</v>
      </c>
      <c r="HO41" s="483" t="s">
        <v>260</v>
      </c>
      <c r="HP41" s="483" t="s">
        <v>260</v>
      </c>
      <c r="HQ41" s="483">
        <v>36</v>
      </c>
      <c r="HR41" s="483" t="s">
        <v>260</v>
      </c>
      <c r="HS41" s="483" t="s">
        <v>260</v>
      </c>
      <c r="HT41" s="483" t="s">
        <v>260</v>
      </c>
      <c r="HU41" s="483" t="s">
        <v>260</v>
      </c>
      <c r="HV41" s="483" t="s">
        <v>260</v>
      </c>
      <c r="HW41" s="483" t="s">
        <v>260</v>
      </c>
      <c r="HX41" s="483" t="s">
        <v>260</v>
      </c>
      <c r="HY41" s="483" t="s">
        <v>260</v>
      </c>
      <c r="HZ41" s="483" t="s">
        <v>260</v>
      </c>
      <c r="IA41" s="483" t="s">
        <v>260</v>
      </c>
      <c r="IB41" s="483" t="s">
        <v>260</v>
      </c>
      <c r="IC41" s="483" t="s">
        <v>260</v>
      </c>
      <c r="ID41" s="483" t="s">
        <v>260</v>
      </c>
      <c r="IE41" s="483" t="s">
        <v>260</v>
      </c>
      <c r="IF41" s="483">
        <v>0</v>
      </c>
      <c r="IG41" s="483" t="s">
        <v>260</v>
      </c>
      <c r="IH41" s="483" t="s">
        <v>260</v>
      </c>
      <c r="II41" s="483" t="s">
        <v>260</v>
      </c>
      <c r="IJ41" s="483" t="s">
        <v>260</v>
      </c>
      <c r="IK41" s="483">
        <v>81</v>
      </c>
      <c r="IL41" s="483" t="s">
        <v>260</v>
      </c>
      <c r="IM41" s="483" t="s">
        <v>260</v>
      </c>
      <c r="IN41" s="483" t="s">
        <v>260</v>
      </c>
      <c r="IO41" s="483" t="s">
        <v>260</v>
      </c>
      <c r="IP41" s="483" t="s">
        <v>260</v>
      </c>
      <c r="IQ41" s="483" t="s">
        <v>260</v>
      </c>
      <c r="IR41" s="483" t="s">
        <v>260</v>
      </c>
      <c r="IS41" s="483" t="s">
        <v>260</v>
      </c>
      <c r="IT41" s="483" t="s">
        <v>260</v>
      </c>
      <c r="IU41" s="483">
        <v>18</v>
      </c>
      <c r="IV41" s="483">
        <v>60</v>
      </c>
      <c r="IW41" s="483">
        <v>3</v>
      </c>
      <c r="IX41" s="483" t="s">
        <v>260</v>
      </c>
      <c r="IY41" s="483" t="s">
        <v>260</v>
      </c>
      <c r="IZ41" s="483" t="s">
        <v>260</v>
      </c>
      <c r="JA41" s="483" t="s">
        <v>260</v>
      </c>
      <c r="JB41" s="483" t="s">
        <v>260</v>
      </c>
      <c r="JC41" s="483" t="s">
        <v>260</v>
      </c>
      <c r="JD41" s="483" t="s">
        <v>260</v>
      </c>
      <c r="JE41" s="483">
        <v>14</v>
      </c>
      <c r="JF41" s="483" t="s">
        <v>260</v>
      </c>
      <c r="JG41" s="483" t="s">
        <v>260</v>
      </c>
      <c r="JH41" s="483" t="s">
        <v>260</v>
      </c>
      <c r="JI41" s="483" t="s">
        <v>260</v>
      </c>
      <c r="JJ41" s="483">
        <v>3</v>
      </c>
      <c r="JK41" s="483">
        <v>3</v>
      </c>
      <c r="JL41" s="483">
        <v>8</v>
      </c>
      <c r="JM41" s="483" t="s">
        <v>260</v>
      </c>
      <c r="JN41" s="483" t="s">
        <v>260</v>
      </c>
      <c r="JO41" s="483" t="s">
        <v>260</v>
      </c>
      <c r="JP41" s="483" t="s">
        <v>260</v>
      </c>
      <c r="JQ41" s="483" t="s">
        <v>260</v>
      </c>
      <c r="JR41" s="483" t="s">
        <v>260</v>
      </c>
      <c r="JS41" s="483" t="s">
        <v>260</v>
      </c>
      <c r="JT41" s="483" t="s">
        <v>260</v>
      </c>
      <c r="JU41" s="483" t="s">
        <v>260</v>
      </c>
      <c r="JV41" s="483" t="s">
        <v>260</v>
      </c>
      <c r="JW41" s="483" t="s">
        <v>260</v>
      </c>
      <c r="JX41" s="483" t="s">
        <v>260</v>
      </c>
      <c r="JY41" s="483" t="s">
        <v>260</v>
      </c>
      <c r="JZ41" s="483" t="s">
        <v>260</v>
      </c>
      <c r="KA41" s="483" t="s">
        <v>260</v>
      </c>
      <c r="KB41" s="483">
        <v>17</v>
      </c>
      <c r="KC41" s="483" t="s">
        <v>260</v>
      </c>
      <c r="KD41" s="483" t="s">
        <v>260</v>
      </c>
      <c r="KE41" s="483" t="s">
        <v>260</v>
      </c>
      <c r="KF41" s="483" t="s">
        <v>260</v>
      </c>
      <c r="KG41" s="483" t="s">
        <v>260</v>
      </c>
      <c r="KH41" s="483" t="s">
        <v>260</v>
      </c>
      <c r="KI41" s="483" t="s">
        <v>260</v>
      </c>
      <c r="KJ41" s="483" t="s">
        <v>260</v>
      </c>
      <c r="KK41" s="483" t="s">
        <v>260</v>
      </c>
      <c r="KL41" s="483" t="s">
        <v>260</v>
      </c>
      <c r="KM41" s="483" t="s">
        <v>260</v>
      </c>
      <c r="KN41" s="483" t="s">
        <v>260</v>
      </c>
      <c r="KO41" s="483" t="s">
        <v>260</v>
      </c>
      <c r="KP41" s="483" t="s">
        <v>260</v>
      </c>
      <c r="KQ41" s="483" t="s">
        <v>260</v>
      </c>
      <c r="KR41" s="483" t="s">
        <v>260</v>
      </c>
      <c r="KS41" s="483" t="s">
        <v>260</v>
      </c>
      <c r="KT41" s="483" t="s">
        <v>260</v>
      </c>
      <c r="KU41" s="483" t="s">
        <v>260</v>
      </c>
      <c r="KV41" s="483" t="s">
        <v>260</v>
      </c>
      <c r="KW41" s="483" t="s">
        <v>260</v>
      </c>
      <c r="KX41" s="483" t="s">
        <v>260</v>
      </c>
      <c r="KY41" s="483" t="s">
        <v>260</v>
      </c>
      <c r="KZ41" s="483" t="s">
        <v>260</v>
      </c>
      <c r="LA41" s="483" t="s">
        <v>260</v>
      </c>
      <c r="LB41" s="483" t="s">
        <v>260</v>
      </c>
      <c r="LC41" s="483" t="s">
        <v>260</v>
      </c>
      <c r="LD41" s="483" t="s">
        <v>260</v>
      </c>
      <c r="LE41" s="483" t="s">
        <v>260</v>
      </c>
      <c r="LF41" s="483" t="s">
        <v>260</v>
      </c>
      <c r="LG41" s="483">
        <v>17</v>
      </c>
      <c r="LH41" s="483" t="s">
        <v>260</v>
      </c>
      <c r="LI41" s="483" t="s">
        <v>260</v>
      </c>
      <c r="LJ41" s="483" t="s">
        <v>260</v>
      </c>
      <c r="LK41" s="483" t="s">
        <v>260</v>
      </c>
      <c r="LL41" s="483" t="s">
        <v>260</v>
      </c>
      <c r="LM41" s="483" t="s">
        <v>260</v>
      </c>
      <c r="LN41" s="483" t="s">
        <v>260</v>
      </c>
      <c r="LO41" s="483" t="s">
        <v>260</v>
      </c>
      <c r="LP41" s="483" t="s">
        <v>260</v>
      </c>
      <c r="LQ41" s="483" t="s">
        <v>260</v>
      </c>
      <c r="LR41" s="485" t="s">
        <v>260</v>
      </c>
      <c r="LS41" s="485">
        <v>0</v>
      </c>
      <c r="LT41" s="485" t="s">
        <v>260</v>
      </c>
      <c r="LU41" s="485" t="s">
        <v>260</v>
      </c>
      <c r="LV41" s="485" t="s">
        <v>260</v>
      </c>
      <c r="LW41" s="485" t="s">
        <v>260</v>
      </c>
      <c r="LX41" s="485" t="s">
        <v>260</v>
      </c>
      <c r="LY41" s="485" t="s">
        <v>260</v>
      </c>
      <c r="LZ41" s="485" t="s">
        <v>260</v>
      </c>
      <c r="MA41" s="485" t="s">
        <v>260</v>
      </c>
      <c r="MB41" s="485" t="s">
        <v>260</v>
      </c>
      <c r="MC41" s="485">
        <v>0</v>
      </c>
      <c r="MD41" s="485" t="s">
        <v>260</v>
      </c>
      <c r="ME41" s="485" t="s">
        <v>260</v>
      </c>
      <c r="MF41" s="485" t="s">
        <v>260</v>
      </c>
      <c r="MG41" s="485" t="s">
        <v>260</v>
      </c>
      <c r="MH41" s="485" t="s">
        <v>260</v>
      </c>
      <c r="MI41" s="485" t="s">
        <v>260</v>
      </c>
      <c r="MJ41" s="485">
        <v>98</v>
      </c>
      <c r="MK41" s="485">
        <v>86</v>
      </c>
      <c r="ML41" s="485">
        <v>6</v>
      </c>
      <c r="MM41" s="485" t="s">
        <v>260</v>
      </c>
      <c r="MN41" s="485" t="s">
        <v>260</v>
      </c>
      <c r="MO41" s="485" t="s">
        <v>260</v>
      </c>
      <c r="MP41" s="485" t="s">
        <v>260</v>
      </c>
      <c r="MQ41" s="485" t="s">
        <v>260</v>
      </c>
      <c r="MR41" s="485" t="s">
        <v>260</v>
      </c>
      <c r="MS41" s="485" t="s">
        <v>260</v>
      </c>
      <c r="MT41" s="485">
        <v>6</v>
      </c>
      <c r="MU41" s="485" t="s">
        <v>260</v>
      </c>
      <c r="MV41" s="485" t="s">
        <v>260</v>
      </c>
      <c r="MW41" s="485" t="s">
        <v>260</v>
      </c>
      <c r="MX41" s="485" t="s">
        <v>260</v>
      </c>
      <c r="MY41" s="485" t="s">
        <v>260</v>
      </c>
      <c r="MZ41" s="485" t="s">
        <v>260</v>
      </c>
      <c r="NA41" s="485" t="s">
        <v>260</v>
      </c>
      <c r="NB41" s="485">
        <v>17</v>
      </c>
      <c r="NC41" s="485" t="s">
        <v>260</v>
      </c>
      <c r="ND41" s="485" t="s">
        <v>260</v>
      </c>
      <c r="NE41" s="485" t="s">
        <v>260</v>
      </c>
      <c r="NF41" s="485">
        <v>12</v>
      </c>
      <c r="NG41" s="485">
        <v>5</v>
      </c>
      <c r="NH41" s="485" t="s">
        <v>260</v>
      </c>
      <c r="NI41" s="485" t="s">
        <v>260</v>
      </c>
      <c r="NJ41" s="485" t="s">
        <v>260</v>
      </c>
      <c r="NK41" s="485" t="s">
        <v>260</v>
      </c>
      <c r="NL41" s="485" t="s">
        <v>260</v>
      </c>
      <c r="NM41" s="485" t="s">
        <v>260</v>
      </c>
      <c r="NN41" s="485" t="s">
        <v>260</v>
      </c>
      <c r="NO41" s="485">
        <v>0</v>
      </c>
      <c r="NP41" s="485">
        <v>0</v>
      </c>
      <c r="NQ41" s="485" t="s">
        <v>260</v>
      </c>
      <c r="NR41" s="485" t="s">
        <v>260</v>
      </c>
      <c r="NS41" s="485" t="s">
        <v>260</v>
      </c>
      <c r="NT41" s="485" t="s">
        <v>260</v>
      </c>
      <c r="NU41" s="485" t="s">
        <v>260</v>
      </c>
      <c r="NV41" s="485" t="s">
        <v>260</v>
      </c>
      <c r="NW41" s="485" t="s">
        <v>260</v>
      </c>
      <c r="NX41" s="485" t="s">
        <v>260</v>
      </c>
      <c r="NY41" s="485" t="s">
        <v>260</v>
      </c>
      <c r="NZ41" s="485" t="s">
        <v>260</v>
      </c>
      <c r="OA41" s="485" t="s">
        <v>260</v>
      </c>
      <c r="OB41" s="485" t="s">
        <v>260</v>
      </c>
      <c r="OC41" s="485" t="s">
        <v>260</v>
      </c>
      <c r="OD41" s="485">
        <v>0</v>
      </c>
      <c r="OE41" s="485" t="s">
        <v>260</v>
      </c>
      <c r="OF41" s="485" t="s">
        <v>260</v>
      </c>
      <c r="OG41" s="485" t="s">
        <v>260</v>
      </c>
      <c r="OH41" s="485" t="s">
        <v>260</v>
      </c>
      <c r="OI41" s="485" t="s">
        <v>260</v>
      </c>
      <c r="OJ41" s="485" t="s">
        <v>260</v>
      </c>
      <c r="OK41" s="485" t="s">
        <v>260</v>
      </c>
      <c r="OL41" s="485" t="s">
        <v>260</v>
      </c>
      <c r="OM41" s="483" t="s">
        <v>260</v>
      </c>
      <c r="ON41" s="483" t="s">
        <v>260</v>
      </c>
      <c r="OO41" s="483" t="s">
        <v>260</v>
      </c>
      <c r="OP41" s="483">
        <v>36</v>
      </c>
      <c r="OQ41" s="483" t="s">
        <v>260</v>
      </c>
      <c r="OR41" s="483" t="s">
        <v>260</v>
      </c>
      <c r="OS41" s="483" t="s">
        <v>260</v>
      </c>
      <c r="OT41" s="483" t="s">
        <v>260</v>
      </c>
      <c r="OU41" s="483" t="s">
        <v>260</v>
      </c>
      <c r="OV41" s="483" t="s">
        <v>260</v>
      </c>
      <c r="OW41" s="483" t="s">
        <v>260</v>
      </c>
      <c r="OX41" s="483" t="s">
        <v>260</v>
      </c>
      <c r="OY41" s="483" t="s">
        <v>260</v>
      </c>
      <c r="OZ41" s="483" t="s">
        <v>260</v>
      </c>
      <c r="PA41" s="483" t="s">
        <v>260</v>
      </c>
      <c r="PB41" s="483" t="s">
        <v>260</v>
      </c>
      <c r="PC41" s="483" t="s">
        <v>260</v>
      </c>
      <c r="PD41" s="483" t="s">
        <v>260</v>
      </c>
      <c r="PE41" s="485">
        <v>8</v>
      </c>
      <c r="PF41" s="483" t="s">
        <v>260</v>
      </c>
      <c r="PG41" s="483" t="s">
        <v>260</v>
      </c>
      <c r="PH41" s="483">
        <v>8</v>
      </c>
      <c r="PI41" s="483" t="s">
        <v>260</v>
      </c>
      <c r="PJ41" s="483" t="s">
        <v>260</v>
      </c>
      <c r="PK41" s="483" t="s">
        <v>260</v>
      </c>
      <c r="PL41" s="483" t="s">
        <v>260</v>
      </c>
      <c r="PM41" s="483" t="s">
        <v>260</v>
      </c>
    </row>
    <row r="42" spans="2:429" ht="15.6" x14ac:dyDescent="0.3">
      <c r="B42" s="487" t="s">
        <v>1861</v>
      </c>
      <c r="C42" s="483">
        <f t="shared" si="0"/>
        <v>3</v>
      </c>
      <c r="D42" s="483">
        <v>0</v>
      </c>
      <c r="E42" s="483" t="s">
        <v>260</v>
      </c>
      <c r="F42" s="483" t="s">
        <v>260</v>
      </c>
      <c r="G42" s="483" t="s">
        <v>260</v>
      </c>
      <c r="H42" s="483" t="s">
        <v>260</v>
      </c>
      <c r="I42" s="483" t="s">
        <v>260</v>
      </c>
      <c r="J42" s="483" t="s">
        <v>260</v>
      </c>
      <c r="K42" s="483" t="s">
        <v>260</v>
      </c>
      <c r="L42" s="483" t="s">
        <v>260</v>
      </c>
      <c r="M42" s="483" t="s">
        <v>260</v>
      </c>
      <c r="N42" s="483" t="s">
        <v>260</v>
      </c>
      <c r="O42" s="483" t="s">
        <v>260</v>
      </c>
      <c r="P42" s="483" t="s">
        <v>260</v>
      </c>
      <c r="Q42" s="483" t="s">
        <v>260</v>
      </c>
      <c r="R42" s="483" t="s">
        <v>260</v>
      </c>
      <c r="S42" s="483" t="s">
        <v>260</v>
      </c>
      <c r="T42" s="483" t="s">
        <v>260</v>
      </c>
      <c r="U42" s="483" t="s">
        <v>260</v>
      </c>
      <c r="V42" s="483" t="s">
        <v>260</v>
      </c>
      <c r="W42" s="483">
        <v>3</v>
      </c>
      <c r="X42" s="483" t="s">
        <v>260</v>
      </c>
      <c r="Y42" s="483" t="s">
        <v>260</v>
      </c>
      <c r="Z42" s="483" t="s">
        <v>260</v>
      </c>
      <c r="AA42" s="483" t="s">
        <v>260</v>
      </c>
      <c r="AB42" s="483" t="s">
        <v>260</v>
      </c>
      <c r="AC42" s="483" t="s">
        <v>260</v>
      </c>
      <c r="AD42" s="483" t="s">
        <v>260</v>
      </c>
      <c r="AE42" s="483" t="s">
        <v>260</v>
      </c>
      <c r="AF42" s="483" t="s">
        <v>260</v>
      </c>
      <c r="AG42" s="483" t="s">
        <v>260</v>
      </c>
      <c r="AH42" s="483" t="s">
        <v>260</v>
      </c>
      <c r="AI42" s="483" t="s">
        <v>260</v>
      </c>
      <c r="AJ42" s="483" t="s">
        <v>260</v>
      </c>
      <c r="AK42" s="483" t="s">
        <v>260</v>
      </c>
      <c r="AL42" s="483" t="s">
        <v>260</v>
      </c>
      <c r="AM42" s="483" t="s">
        <v>260</v>
      </c>
      <c r="AN42" s="483" t="s">
        <v>260</v>
      </c>
      <c r="AO42" s="483" t="s">
        <v>260</v>
      </c>
      <c r="AP42" s="483" t="s">
        <v>260</v>
      </c>
      <c r="AQ42" s="483" t="s">
        <v>260</v>
      </c>
      <c r="AR42" s="483" t="s">
        <v>260</v>
      </c>
      <c r="AS42" s="483" t="s">
        <v>260</v>
      </c>
      <c r="AT42" s="483">
        <f t="shared" si="1"/>
        <v>4</v>
      </c>
      <c r="AU42" s="483" t="s">
        <v>260</v>
      </c>
      <c r="AV42" s="483" t="s">
        <v>260</v>
      </c>
      <c r="AW42" s="483" t="s">
        <v>260</v>
      </c>
      <c r="AX42" s="483" t="s">
        <v>260</v>
      </c>
      <c r="AY42" s="483" t="s">
        <v>260</v>
      </c>
      <c r="AZ42" s="483" t="s">
        <v>260</v>
      </c>
      <c r="BA42" s="483" t="s">
        <v>260</v>
      </c>
      <c r="BB42" s="483" t="s">
        <v>260</v>
      </c>
      <c r="BC42" s="483" t="s">
        <v>260</v>
      </c>
      <c r="BD42" s="483" t="s">
        <v>260</v>
      </c>
      <c r="BE42" s="483" t="s">
        <v>260</v>
      </c>
      <c r="BF42" s="483" t="s">
        <v>260</v>
      </c>
      <c r="BG42" s="483" t="s">
        <v>260</v>
      </c>
      <c r="BH42" s="483" t="s">
        <v>260</v>
      </c>
      <c r="BI42" s="483" t="s">
        <v>260</v>
      </c>
      <c r="BJ42" s="483" t="s">
        <v>260</v>
      </c>
      <c r="BK42" s="483" t="s">
        <v>260</v>
      </c>
      <c r="BL42" s="483" t="s">
        <v>260</v>
      </c>
      <c r="BM42" s="483" t="s">
        <v>260</v>
      </c>
      <c r="BN42" s="483" t="s">
        <v>260</v>
      </c>
      <c r="BO42" s="483" t="s">
        <v>260</v>
      </c>
      <c r="BP42" s="483">
        <v>4</v>
      </c>
      <c r="BQ42" s="483" t="s">
        <v>260</v>
      </c>
      <c r="BR42" s="483" t="s">
        <v>260</v>
      </c>
      <c r="BS42" s="483" t="s">
        <v>260</v>
      </c>
      <c r="BT42" s="483" t="s">
        <v>260</v>
      </c>
      <c r="BU42" s="483" t="s">
        <v>260</v>
      </c>
      <c r="BV42" s="483" t="s">
        <v>260</v>
      </c>
      <c r="BW42" s="483" t="s">
        <v>260</v>
      </c>
      <c r="BX42" s="483" t="s">
        <v>260</v>
      </c>
      <c r="BY42" s="483" t="s">
        <v>260</v>
      </c>
      <c r="BZ42" s="483" t="s">
        <v>260</v>
      </c>
      <c r="CA42" s="483" t="s">
        <v>260</v>
      </c>
      <c r="CB42" s="483" t="s">
        <v>260</v>
      </c>
      <c r="CC42" s="483" t="s">
        <v>260</v>
      </c>
      <c r="CD42" s="483" t="s">
        <v>260</v>
      </c>
      <c r="CE42" s="483" t="s">
        <v>260</v>
      </c>
      <c r="CF42" s="483" t="s">
        <v>260</v>
      </c>
      <c r="CG42" s="483" t="s">
        <v>260</v>
      </c>
      <c r="CH42" s="483" t="s">
        <v>260</v>
      </c>
      <c r="CI42" s="483" t="s">
        <v>260</v>
      </c>
      <c r="CJ42" s="483" t="s">
        <v>260</v>
      </c>
      <c r="CK42" s="483" t="s">
        <v>260</v>
      </c>
      <c r="CL42" s="483" t="s">
        <v>260</v>
      </c>
      <c r="CM42" s="483" t="s">
        <v>260</v>
      </c>
      <c r="CN42" s="483" t="s">
        <v>260</v>
      </c>
      <c r="CO42" s="483" t="s">
        <v>260</v>
      </c>
      <c r="CP42" s="483" t="s">
        <v>260</v>
      </c>
      <c r="CQ42" s="483" t="s">
        <v>260</v>
      </c>
      <c r="CR42" s="483" t="s">
        <v>260</v>
      </c>
      <c r="CS42" s="483" t="s">
        <v>260</v>
      </c>
      <c r="CT42" s="483" t="s">
        <v>260</v>
      </c>
      <c r="CU42" s="483" t="s">
        <v>260</v>
      </c>
      <c r="CV42" s="483" t="s">
        <v>260</v>
      </c>
      <c r="CW42" s="483" t="s">
        <v>260</v>
      </c>
      <c r="CX42" s="483" t="s">
        <v>260</v>
      </c>
      <c r="CY42" s="483" t="s">
        <v>260</v>
      </c>
      <c r="CZ42" s="483" t="s">
        <v>260</v>
      </c>
      <c r="DA42" s="483" t="s">
        <v>260</v>
      </c>
      <c r="DB42" s="483" t="s">
        <v>260</v>
      </c>
      <c r="DC42" s="483" t="s">
        <v>260</v>
      </c>
      <c r="DD42" s="483" t="s">
        <v>260</v>
      </c>
      <c r="DE42" s="483" t="s">
        <v>260</v>
      </c>
      <c r="DF42" s="483" t="s">
        <v>260</v>
      </c>
      <c r="DG42" s="483" t="s">
        <v>260</v>
      </c>
      <c r="DH42" s="483" t="s">
        <v>260</v>
      </c>
      <c r="DI42" s="483" t="s">
        <v>260</v>
      </c>
      <c r="DJ42" s="483" t="s">
        <v>260</v>
      </c>
      <c r="DK42" s="483" t="s">
        <v>260</v>
      </c>
      <c r="DL42" s="483" t="s">
        <v>260</v>
      </c>
      <c r="DM42" s="483" t="s">
        <v>260</v>
      </c>
      <c r="DN42" s="483">
        <v>0</v>
      </c>
      <c r="DO42" s="483" t="s">
        <v>260</v>
      </c>
      <c r="DP42" s="483" t="s">
        <v>260</v>
      </c>
      <c r="DQ42" s="483" t="s">
        <v>260</v>
      </c>
      <c r="DR42" s="483" t="s">
        <v>260</v>
      </c>
      <c r="DS42" s="483" t="s">
        <v>260</v>
      </c>
      <c r="DT42" s="483" t="s">
        <v>260</v>
      </c>
      <c r="DU42" s="483" t="s">
        <v>260</v>
      </c>
      <c r="DV42" s="483" t="s">
        <v>260</v>
      </c>
      <c r="DW42" s="483" t="s">
        <v>260</v>
      </c>
      <c r="DX42" s="483" t="s">
        <v>260</v>
      </c>
      <c r="DY42" s="483" t="s">
        <v>260</v>
      </c>
      <c r="DZ42" s="483" t="s">
        <v>260</v>
      </c>
      <c r="EA42" s="483" t="s">
        <v>260</v>
      </c>
      <c r="EB42" s="483">
        <v>0</v>
      </c>
      <c r="EC42" s="483" t="s">
        <v>260</v>
      </c>
      <c r="ED42" s="483" t="s">
        <v>260</v>
      </c>
      <c r="EE42" s="483" t="s">
        <v>260</v>
      </c>
      <c r="EF42" s="483" t="s">
        <v>260</v>
      </c>
      <c r="EG42" s="483" t="s">
        <v>260</v>
      </c>
      <c r="EH42" s="483" t="s">
        <v>260</v>
      </c>
      <c r="EI42" s="483" t="s">
        <v>260</v>
      </c>
      <c r="EJ42" s="483" t="s">
        <v>260</v>
      </c>
      <c r="EK42" s="483" t="s">
        <v>260</v>
      </c>
      <c r="EL42" s="483" t="s">
        <v>260</v>
      </c>
      <c r="EM42" s="483" t="s">
        <v>260</v>
      </c>
      <c r="EN42" s="483" t="s">
        <v>260</v>
      </c>
      <c r="EO42" s="483" t="s">
        <v>260</v>
      </c>
      <c r="EP42" s="483" t="s">
        <v>260</v>
      </c>
      <c r="EQ42" s="483" t="s">
        <v>260</v>
      </c>
      <c r="ER42" s="483" t="s">
        <v>260</v>
      </c>
      <c r="ES42" s="483" t="s">
        <v>260</v>
      </c>
      <c r="ET42" s="483" t="s">
        <v>260</v>
      </c>
      <c r="EU42" s="483" t="s">
        <v>260</v>
      </c>
      <c r="EV42" s="483" t="s">
        <v>260</v>
      </c>
      <c r="EW42" s="483" t="s">
        <v>260</v>
      </c>
      <c r="EX42" s="483" t="s">
        <v>260</v>
      </c>
      <c r="EY42" s="483" t="s">
        <v>260</v>
      </c>
      <c r="EZ42" s="483" t="s">
        <v>260</v>
      </c>
      <c r="FA42" s="483" t="s">
        <v>260</v>
      </c>
      <c r="FB42" s="483" t="s">
        <v>260</v>
      </c>
      <c r="FC42" s="483" t="s">
        <v>260</v>
      </c>
      <c r="FD42" s="483">
        <v>0</v>
      </c>
      <c r="FE42" s="483" t="s">
        <v>260</v>
      </c>
      <c r="FF42" s="483" t="s">
        <v>260</v>
      </c>
      <c r="FG42" s="483" t="s">
        <v>260</v>
      </c>
      <c r="FH42" s="483" t="s">
        <v>260</v>
      </c>
      <c r="FI42" s="483" t="s">
        <v>260</v>
      </c>
      <c r="FJ42" s="483" t="s">
        <v>260</v>
      </c>
      <c r="FK42" s="483" t="s">
        <v>260</v>
      </c>
      <c r="FL42" s="483" t="s">
        <v>260</v>
      </c>
      <c r="FM42" s="483" t="s">
        <v>260</v>
      </c>
      <c r="FN42" s="483" t="s">
        <v>260</v>
      </c>
      <c r="FO42" s="483" t="s">
        <v>260</v>
      </c>
      <c r="FP42" s="483" t="s">
        <v>260</v>
      </c>
      <c r="FQ42" s="483" t="s">
        <v>260</v>
      </c>
      <c r="FR42" s="483" t="s">
        <v>260</v>
      </c>
      <c r="FS42" s="483" t="s">
        <v>260</v>
      </c>
      <c r="FT42" s="483" t="s">
        <v>260</v>
      </c>
      <c r="FU42" s="483" t="s">
        <v>260</v>
      </c>
      <c r="FV42" s="483" t="s">
        <v>260</v>
      </c>
      <c r="FW42" s="483" t="s">
        <v>260</v>
      </c>
      <c r="FX42" s="483" t="s">
        <v>260</v>
      </c>
      <c r="FY42" s="483" t="s">
        <v>260</v>
      </c>
      <c r="FZ42" s="483" t="s">
        <v>260</v>
      </c>
      <c r="GA42" s="483" t="s">
        <v>260</v>
      </c>
      <c r="GB42" s="483" t="s">
        <v>260</v>
      </c>
      <c r="GC42" s="483" t="s">
        <v>260</v>
      </c>
      <c r="GD42" s="483" t="s">
        <v>260</v>
      </c>
      <c r="GE42" s="483" t="s">
        <v>260</v>
      </c>
      <c r="GF42" s="483" t="s">
        <v>260</v>
      </c>
      <c r="GG42" s="483" t="s">
        <v>260</v>
      </c>
      <c r="GH42" s="483" t="s">
        <v>260</v>
      </c>
      <c r="GI42" s="483" t="s">
        <v>260</v>
      </c>
      <c r="GJ42" s="483" t="s">
        <v>260</v>
      </c>
      <c r="GK42" s="483" t="s">
        <v>260</v>
      </c>
      <c r="GL42" s="483" t="s">
        <v>260</v>
      </c>
      <c r="GM42" s="483" t="s">
        <v>260</v>
      </c>
      <c r="GN42" s="483" t="s">
        <v>260</v>
      </c>
      <c r="GO42" s="483" t="s">
        <v>260</v>
      </c>
      <c r="GP42" s="483" t="s">
        <v>260</v>
      </c>
      <c r="GQ42" s="483" t="s">
        <v>260</v>
      </c>
      <c r="GR42" s="483" t="s">
        <v>260</v>
      </c>
      <c r="GS42" s="483" t="s">
        <v>260</v>
      </c>
      <c r="GT42" s="483" t="s">
        <v>260</v>
      </c>
      <c r="GU42" s="483" t="s">
        <v>260</v>
      </c>
      <c r="GV42" s="483" t="s">
        <v>260</v>
      </c>
      <c r="GW42" s="483" t="s">
        <v>260</v>
      </c>
      <c r="GX42" s="483" t="s">
        <v>260</v>
      </c>
      <c r="GY42" s="483" t="s">
        <v>260</v>
      </c>
      <c r="GZ42" s="483">
        <v>47</v>
      </c>
      <c r="HA42" s="483">
        <v>47</v>
      </c>
      <c r="HB42" s="483" t="s">
        <v>260</v>
      </c>
      <c r="HC42" s="483" t="s">
        <v>260</v>
      </c>
      <c r="HD42" s="483" t="s">
        <v>260</v>
      </c>
      <c r="HE42" s="483" t="s">
        <v>260</v>
      </c>
      <c r="HF42" s="483" t="s">
        <v>260</v>
      </c>
      <c r="HG42" s="483" t="s">
        <v>260</v>
      </c>
      <c r="HH42" s="483" t="s">
        <v>260</v>
      </c>
      <c r="HI42" s="483" t="s">
        <v>260</v>
      </c>
      <c r="HJ42" s="483" t="s">
        <v>260</v>
      </c>
      <c r="HK42" s="483" t="s">
        <v>260</v>
      </c>
      <c r="HL42" s="483" t="s">
        <v>260</v>
      </c>
      <c r="HM42" s="483" t="s">
        <v>260</v>
      </c>
      <c r="HN42" s="483" t="s">
        <v>260</v>
      </c>
      <c r="HO42" s="483" t="s">
        <v>260</v>
      </c>
      <c r="HP42" s="483" t="s">
        <v>260</v>
      </c>
      <c r="HQ42" s="483" t="s">
        <v>260</v>
      </c>
      <c r="HR42" s="483" t="s">
        <v>260</v>
      </c>
      <c r="HS42" s="483" t="s">
        <v>260</v>
      </c>
      <c r="HT42" s="483" t="s">
        <v>260</v>
      </c>
      <c r="HU42" s="483" t="s">
        <v>260</v>
      </c>
      <c r="HV42" s="483" t="s">
        <v>260</v>
      </c>
      <c r="HW42" s="483" t="s">
        <v>260</v>
      </c>
      <c r="HX42" s="483" t="s">
        <v>260</v>
      </c>
      <c r="HY42" s="483" t="s">
        <v>260</v>
      </c>
      <c r="HZ42" s="483" t="s">
        <v>260</v>
      </c>
      <c r="IA42" s="483" t="s">
        <v>260</v>
      </c>
      <c r="IB42" s="483" t="s">
        <v>260</v>
      </c>
      <c r="IC42" s="483" t="s">
        <v>260</v>
      </c>
      <c r="ID42" s="483" t="s">
        <v>260</v>
      </c>
      <c r="IE42" s="483" t="s">
        <v>260</v>
      </c>
      <c r="IF42" s="483">
        <v>0</v>
      </c>
      <c r="IG42" s="483" t="s">
        <v>260</v>
      </c>
      <c r="IH42" s="483" t="s">
        <v>260</v>
      </c>
      <c r="II42" s="483" t="s">
        <v>260</v>
      </c>
      <c r="IJ42" s="483" t="s">
        <v>260</v>
      </c>
      <c r="IK42" s="483">
        <v>0</v>
      </c>
      <c r="IL42" s="483" t="s">
        <v>260</v>
      </c>
      <c r="IM42" s="483" t="s">
        <v>260</v>
      </c>
      <c r="IN42" s="483" t="s">
        <v>260</v>
      </c>
      <c r="IO42" s="483" t="s">
        <v>260</v>
      </c>
      <c r="IP42" s="483" t="s">
        <v>260</v>
      </c>
      <c r="IQ42" s="483" t="s">
        <v>260</v>
      </c>
      <c r="IR42" s="483" t="s">
        <v>260</v>
      </c>
      <c r="IS42" s="483" t="s">
        <v>260</v>
      </c>
      <c r="IT42" s="483" t="s">
        <v>260</v>
      </c>
      <c r="IU42" s="483" t="s">
        <v>260</v>
      </c>
      <c r="IV42" s="483" t="s">
        <v>260</v>
      </c>
      <c r="IW42" s="483" t="s">
        <v>260</v>
      </c>
      <c r="IX42" s="483" t="s">
        <v>260</v>
      </c>
      <c r="IY42" s="483" t="s">
        <v>260</v>
      </c>
      <c r="IZ42" s="483" t="s">
        <v>260</v>
      </c>
      <c r="JA42" s="483" t="s">
        <v>260</v>
      </c>
      <c r="JB42" s="483" t="s">
        <v>260</v>
      </c>
      <c r="JC42" s="483" t="s">
        <v>260</v>
      </c>
      <c r="JD42" s="483" t="s">
        <v>260</v>
      </c>
      <c r="JE42" s="483">
        <v>0</v>
      </c>
      <c r="JF42" s="483" t="s">
        <v>260</v>
      </c>
      <c r="JG42" s="483" t="s">
        <v>260</v>
      </c>
      <c r="JH42" s="483" t="s">
        <v>260</v>
      </c>
      <c r="JI42" s="483" t="s">
        <v>260</v>
      </c>
      <c r="JJ42" s="483" t="s">
        <v>260</v>
      </c>
      <c r="JK42" s="483" t="s">
        <v>260</v>
      </c>
      <c r="JL42" s="483" t="s">
        <v>260</v>
      </c>
      <c r="JM42" s="483" t="s">
        <v>260</v>
      </c>
      <c r="JN42" s="483" t="s">
        <v>260</v>
      </c>
      <c r="JO42" s="483" t="s">
        <v>260</v>
      </c>
      <c r="JP42" s="483" t="s">
        <v>260</v>
      </c>
      <c r="JQ42" s="483" t="s">
        <v>260</v>
      </c>
      <c r="JR42" s="483" t="s">
        <v>260</v>
      </c>
      <c r="JS42" s="483" t="s">
        <v>260</v>
      </c>
      <c r="JT42" s="483" t="s">
        <v>260</v>
      </c>
      <c r="JU42" s="483" t="s">
        <v>260</v>
      </c>
      <c r="JV42" s="483" t="s">
        <v>260</v>
      </c>
      <c r="JW42" s="483" t="s">
        <v>260</v>
      </c>
      <c r="JX42" s="483" t="s">
        <v>260</v>
      </c>
      <c r="JY42" s="483" t="s">
        <v>260</v>
      </c>
      <c r="JZ42" s="483" t="s">
        <v>260</v>
      </c>
      <c r="KA42" s="483" t="s">
        <v>260</v>
      </c>
      <c r="KB42" s="483">
        <v>0</v>
      </c>
      <c r="KC42" s="483" t="s">
        <v>260</v>
      </c>
      <c r="KD42" s="483" t="s">
        <v>260</v>
      </c>
      <c r="KE42" s="483" t="s">
        <v>260</v>
      </c>
      <c r="KF42" s="483" t="s">
        <v>260</v>
      </c>
      <c r="KG42" s="483" t="s">
        <v>260</v>
      </c>
      <c r="KH42" s="483" t="s">
        <v>260</v>
      </c>
      <c r="KI42" s="483" t="s">
        <v>260</v>
      </c>
      <c r="KJ42" s="483" t="s">
        <v>260</v>
      </c>
      <c r="KK42" s="483" t="s">
        <v>260</v>
      </c>
      <c r="KL42" s="483" t="s">
        <v>260</v>
      </c>
      <c r="KM42" s="483" t="s">
        <v>260</v>
      </c>
      <c r="KN42" s="483" t="s">
        <v>260</v>
      </c>
      <c r="KO42" s="483" t="s">
        <v>260</v>
      </c>
      <c r="KP42" s="483" t="s">
        <v>260</v>
      </c>
      <c r="KQ42" s="483" t="s">
        <v>260</v>
      </c>
      <c r="KR42" s="483" t="s">
        <v>260</v>
      </c>
      <c r="KS42" s="483" t="s">
        <v>260</v>
      </c>
      <c r="KT42" s="483" t="s">
        <v>260</v>
      </c>
      <c r="KU42" s="483" t="s">
        <v>260</v>
      </c>
      <c r="KV42" s="483" t="s">
        <v>260</v>
      </c>
      <c r="KW42" s="483" t="s">
        <v>260</v>
      </c>
      <c r="KX42" s="483" t="s">
        <v>260</v>
      </c>
      <c r="KY42" s="483" t="s">
        <v>260</v>
      </c>
      <c r="KZ42" s="483" t="s">
        <v>260</v>
      </c>
      <c r="LA42" s="483" t="s">
        <v>260</v>
      </c>
      <c r="LB42" s="483" t="s">
        <v>260</v>
      </c>
      <c r="LC42" s="483" t="s">
        <v>260</v>
      </c>
      <c r="LD42" s="483" t="s">
        <v>260</v>
      </c>
      <c r="LE42" s="483" t="s">
        <v>260</v>
      </c>
      <c r="LF42" s="483" t="s">
        <v>260</v>
      </c>
      <c r="LG42" s="483" t="s">
        <v>260</v>
      </c>
      <c r="LH42" s="483" t="s">
        <v>260</v>
      </c>
      <c r="LI42" s="483" t="s">
        <v>260</v>
      </c>
      <c r="LJ42" s="483" t="s">
        <v>260</v>
      </c>
      <c r="LK42" s="483" t="s">
        <v>260</v>
      </c>
      <c r="LL42" s="483" t="s">
        <v>260</v>
      </c>
      <c r="LM42" s="483" t="s">
        <v>260</v>
      </c>
      <c r="LN42" s="483" t="s">
        <v>260</v>
      </c>
      <c r="LO42" s="483" t="s">
        <v>260</v>
      </c>
      <c r="LP42" s="483" t="s">
        <v>260</v>
      </c>
      <c r="LQ42" s="483" t="s">
        <v>260</v>
      </c>
      <c r="LR42" s="485" t="s">
        <v>260</v>
      </c>
      <c r="LS42" s="485">
        <v>0</v>
      </c>
      <c r="LT42" s="485" t="s">
        <v>260</v>
      </c>
      <c r="LU42" s="485" t="s">
        <v>260</v>
      </c>
      <c r="LV42" s="485" t="s">
        <v>260</v>
      </c>
      <c r="LW42" s="485" t="s">
        <v>260</v>
      </c>
      <c r="LX42" s="485" t="s">
        <v>260</v>
      </c>
      <c r="LY42" s="485" t="s">
        <v>260</v>
      </c>
      <c r="LZ42" s="485" t="s">
        <v>260</v>
      </c>
      <c r="MA42" s="485" t="s">
        <v>260</v>
      </c>
      <c r="MB42" s="485" t="s">
        <v>260</v>
      </c>
      <c r="MC42" s="485">
        <v>0</v>
      </c>
      <c r="MD42" s="485" t="s">
        <v>260</v>
      </c>
      <c r="ME42" s="485" t="s">
        <v>260</v>
      </c>
      <c r="MF42" s="485" t="s">
        <v>260</v>
      </c>
      <c r="MG42" s="485" t="s">
        <v>260</v>
      </c>
      <c r="MH42" s="485" t="s">
        <v>260</v>
      </c>
      <c r="MI42" s="485" t="s">
        <v>260</v>
      </c>
      <c r="MJ42" s="485">
        <v>0</v>
      </c>
      <c r="MK42" s="485" t="s">
        <v>260</v>
      </c>
      <c r="ML42" s="485" t="s">
        <v>260</v>
      </c>
      <c r="MM42" s="485" t="s">
        <v>260</v>
      </c>
      <c r="MN42" s="485" t="s">
        <v>260</v>
      </c>
      <c r="MO42" s="485" t="s">
        <v>260</v>
      </c>
      <c r="MP42" s="485" t="s">
        <v>260</v>
      </c>
      <c r="MQ42" s="485" t="s">
        <v>260</v>
      </c>
      <c r="MR42" s="485" t="s">
        <v>260</v>
      </c>
      <c r="MS42" s="485" t="s">
        <v>260</v>
      </c>
      <c r="MT42" s="485" t="s">
        <v>260</v>
      </c>
      <c r="MU42" s="485" t="s">
        <v>260</v>
      </c>
      <c r="MV42" s="485" t="s">
        <v>260</v>
      </c>
      <c r="MW42" s="485" t="s">
        <v>260</v>
      </c>
      <c r="MX42" s="485" t="s">
        <v>260</v>
      </c>
      <c r="MY42" s="485" t="s">
        <v>260</v>
      </c>
      <c r="MZ42" s="485" t="s">
        <v>260</v>
      </c>
      <c r="NA42" s="485" t="s">
        <v>260</v>
      </c>
      <c r="NB42" s="485">
        <v>0</v>
      </c>
      <c r="NC42" s="485" t="s">
        <v>260</v>
      </c>
      <c r="ND42" s="485" t="s">
        <v>260</v>
      </c>
      <c r="NE42" s="485" t="s">
        <v>260</v>
      </c>
      <c r="NF42" s="485" t="s">
        <v>260</v>
      </c>
      <c r="NG42" s="485" t="s">
        <v>260</v>
      </c>
      <c r="NH42" s="485" t="s">
        <v>260</v>
      </c>
      <c r="NI42" s="485" t="s">
        <v>260</v>
      </c>
      <c r="NJ42" s="485" t="s">
        <v>5330</v>
      </c>
      <c r="NK42" s="485" t="s">
        <v>5330</v>
      </c>
      <c r="NL42" s="485" t="s">
        <v>260</v>
      </c>
      <c r="NM42" s="485" t="s">
        <v>260</v>
      </c>
      <c r="NN42" s="485" t="s">
        <v>260</v>
      </c>
      <c r="NO42" s="485">
        <v>0</v>
      </c>
      <c r="NP42" s="485">
        <v>0</v>
      </c>
      <c r="NQ42" s="485" t="s">
        <v>260</v>
      </c>
      <c r="NR42" s="485" t="s">
        <v>260</v>
      </c>
      <c r="NS42" s="485" t="s">
        <v>260</v>
      </c>
      <c r="NT42" s="485" t="s">
        <v>260</v>
      </c>
      <c r="NU42" s="485" t="s">
        <v>260</v>
      </c>
      <c r="NV42" s="485" t="s">
        <v>260</v>
      </c>
      <c r="NW42" s="485" t="s">
        <v>260</v>
      </c>
      <c r="NX42" s="485" t="s">
        <v>260</v>
      </c>
      <c r="NY42" s="485" t="s">
        <v>260</v>
      </c>
      <c r="NZ42" s="485" t="s">
        <v>260</v>
      </c>
      <c r="OA42" s="485" t="s">
        <v>260</v>
      </c>
      <c r="OB42" s="485" t="s">
        <v>260</v>
      </c>
      <c r="OC42" s="485" t="s">
        <v>260</v>
      </c>
      <c r="OD42" s="485">
        <v>0</v>
      </c>
      <c r="OE42" s="485" t="s">
        <v>260</v>
      </c>
      <c r="OF42" s="485" t="s">
        <v>260</v>
      </c>
      <c r="OG42" s="485" t="s">
        <v>260</v>
      </c>
      <c r="OH42" s="485" t="s">
        <v>260</v>
      </c>
      <c r="OI42" s="485" t="s">
        <v>260</v>
      </c>
      <c r="OJ42" s="485" t="s">
        <v>260</v>
      </c>
      <c r="OK42" s="485" t="s">
        <v>260</v>
      </c>
      <c r="OL42" s="485" t="s">
        <v>260</v>
      </c>
      <c r="OM42" s="483" t="s">
        <v>260</v>
      </c>
      <c r="ON42" s="483" t="s">
        <v>260</v>
      </c>
      <c r="OO42" s="483" t="s">
        <v>260</v>
      </c>
      <c r="OP42" s="483">
        <v>24</v>
      </c>
      <c r="OQ42" s="483" t="s">
        <v>260</v>
      </c>
      <c r="OR42" s="483" t="s">
        <v>260</v>
      </c>
      <c r="OS42" s="483" t="s">
        <v>260</v>
      </c>
      <c r="OT42" s="483" t="s">
        <v>260</v>
      </c>
      <c r="OU42" s="483" t="s">
        <v>260</v>
      </c>
      <c r="OV42" s="483" t="s">
        <v>260</v>
      </c>
      <c r="OW42" s="483" t="s">
        <v>260</v>
      </c>
      <c r="OX42" s="483" t="s">
        <v>260</v>
      </c>
      <c r="OY42" s="483" t="s">
        <v>260</v>
      </c>
      <c r="OZ42" s="483" t="s">
        <v>260</v>
      </c>
      <c r="PA42" s="483" t="s">
        <v>260</v>
      </c>
      <c r="PB42" s="483" t="s">
        <v>260</v>
      </c>
      <c r="PC42" s="483" t="s">
        <v>260</v>
      </c>
      <c r="PD42" s="483" t="s">
        <v>260</v>
      </c>
      <c r="PE42" s="485">
        <v>0</v>
      </c>
      <c r="PF42" s="483" t="s">
        <v>260</v>
      </c>
      <c r="PG42" s="483" t="s">
        <v>260</v>
      </c>
      <c r="PH42" s="483" t="s">
        <v>260</v>
      </c>
      <c r="PI42" s="483" t="s">
        <v>260</v>
      </c>
      <c r="PJ42" s="483" t="s">
        <v>260</v>
      </c>
      <c r="PK42" s="483" t="s">
        <v>260</v>
      </c>
      <c r="PL42" s="483" t="s">
        <v>260</v>
      </c>
      <c r="PM42" s="483" t="s">
        <v>260</v>
      </c>
    </row>
    <row r="43" spans="2:429" ht="15.6" x14ac:dyDescent="0.3">
      <c r="B43" s="487" t="s">
        <v>937</v>
      </c>
      <c r="C43" s="483">
        <f t="shared" si="0"/>
        <v>0</v>
      </c>
      <c r="D43" s="483">
        <v>0</v>
      </c>
      <c r="E43" s="483" t="s">
        <v>260</v>
      </c>
      <c r="F43" s="483" t="s">
        <v>260</v>
      </c>
      <c r="G43" s="483" t="s">
        <v>260</v>
      </c>
      <c r="H43" s="483" t="s">
        <v>260</v>
      </c>
      <c r="I43" s="483" t="s">
        <v>260</v>
      </c>
      <c r="J43" s="483" t="s">
        <v>260</v>
      </c>
      <c r="K43" s="483" t="s">
        <v>260</v>
      </c>
      <c r="L43" s="483" t="s">
        <v>260</v>
      </c>
      <c r="M43" s="483" t="s">
        <v>260</v>
      </c>
      <c r="N43" s="483" t="s">
        <v>260</v>
      </c>
      <c r="O43" s="483" t="s">
        <v>260</v>
      </c>
      <c r="P43" s="483" t="s">
        <v>260</v>
      </c>
      <c r="Q43" s="483" t="s">
        <v>260</v>
      </c>
      <c r="R43" s="483" t="s">
        <v>260</v>
      </c>
      <c r="S43" s="483" t="s">
        <v>260</v>
      </c>
      <c r="T43" s="483" t="s">
        <v>260</v>
      </c>
      <c r="U43" s="483" t="s">
        <v>260</v>
      </c>
      <c r="V43" s="483" t="s">
        <v>260</v>
      </c>
      <c r="W43" s="483" t="s">
        <v>260</v>
      </c>
      <c r="X43" s="483" t="s">
        <v>260</v>
      </c>
      <c r="Y43" s="483" t="s">
        <v>260</v>
      </c>
      <c r="Z43" s="483" t="s">
        <v>260</v>
      </c>
      <c r="AA43" s="483" t="s">
        <v>260</v>
      </c>
      <c r="AB43" s="483" t="s">
        <v>260</v>
      </c>
      <c r="AC43" s="483" t="s">
        <v>260</v>
      </c>
      <c r="AD43" s="483" t="s">
        <v>260</v>
      </c>
      <c r="AE43" s="483" t="s">
        <v>260</v>
      </c>
      <c r="AF43" s="483" t="s">
        <v>260</v>
      </c>
      <c r="AG43" s="483" t="s">
        <v>260</v>
      </c>
      <c r="AH43" s="483" t="s">
        <v>260</v>
      </c>
      <c r="AI43" s="483" t="s">
        <v>260</v>
      </c>
      <c r="AJ43" s="483" t="s">
        <v>260</v>
      </c>
      <c r="AK43" s="483" t="s">
        <v>260</v>
      </c>
      <c r="AL43" s="483" t="s">
        <v>260</v>
      </c>
      <c r="AM43" s="483" t="s">
        <v>260</v>
      </c>
      <c r="AN43" s="483" t="s">
        <v>260</v>
      </c>
      <c r="AO43" s="483" t="s">
        <v>260</v>
      </c>
      <c r="AP43" s="483" t="s">
        <v>260</v>
      </c>
      <c r="AQ43" s="483" t="s">
        <v>260</v>
      </c>
      <c r="AR43" s="483" t="s">
        <v>260</v>
      </c>
      <c r="AS43" s="483" t="s">
        <v>260</v>
      </c>
      <c r="AT43" s="483">
        <f t="shared" si="1"/>
        <v>136</v>
      </c>
      <c r="AU43" s="483" t="s">
        <v>260</v>
      </c>
      <c r="AV43" s="483" t="s">
        <v>260</v>
      </c>
      <c r="AW43" s="483" t="s">
        <v>260</v>
      </c>
      <c r="AX43" s="483" t="s">
        <v>260</v>
      </c>
      <c r="AY43" s="483" t="s">
        <v>260</v>
      </c>
      <c r="AZ43" s="483" t="s">
        <v>260</v>
      </c>
      <c r="BA43" s="483" t="s">
        <v>260</v>
      </c>
      <c r="BB43" s="483" t="s">
        <v>260</v>
      </c>
      <c r="BC43" s="483" t="s">
        <v>260</v>
      </c>
      <c r="BD43" s="483" t="s">
        <v>260</v>
      </c>
      <c r="BE43" s="483" t="s">
        <v>260</v>
      </c>
      <c r="BF43" s="483" t="s">
        <v>260</v>
      </c>
      <c r="BG43" s="483" t="s">
        <v>260</v>
      </c>
      <c r="BH43" s="483" t="s">
        <v>260</v>
      </c>
      <c r="BI43" s="483" t="s">
        <v>260</v>
      </c>
      <c r="BJ43" s="483" t="s">
        <v>260</v>
      </c>
      <c r="BK43" s="483" t="s">
        <v>260</v>
      </c>
      <c r="BL43" s="483" t="s">
        <v>260</v>
      </c>
      <c r="BM43" s="483" t="s">
        <v>260</v>
      </c>
      <c r="BN43" s="483" t="s">
        <v>260</v>
      </c>
      <c r="BO43" s="483" t="s">
        <v>260</v>
      </c>
      <c r="BP43" s="483" t="s">
        <v>260</v>
      </c>
      <c r="BQ43" s="483" t="s">
        <v>260</v>
      </c>
      <c r="BR43" s="483" t="s">
        <v>260</v>
      </c>
      <c r="BS43" s="483">
        <v>56</v>
      </c>
      <c r="BT43" s="483" t="s">
        <v>260</v>
      </c>
      <c r="BU43" s="483">
        <v>80</v>
      </c>
      <c r="BV43" s="483" t="s">
        <v>260</v>
      </c>
      <c r="BW43" s="483" t="s">
        <v>260</v>
      </c>
      <c r="BX43" s="483" t="s">
        <v>260</v>
      </c>
      <c r="BY43" s="483" t="s">
        <v>260</v>
      </c>
      <c r="BZ43" s="483" t="s">
        <v>260</v>
      </c>
      <c r="CA43" s="483" t="s">
        <v>260</v>
      </c>
      <c r="CB43" s="483" t="s">
        <v>260</v>
      </c>
      <c r="CC43" s="483" t="s">
        <v>260</v>
      </c>
      <c r="CD43" s="483" t="s">
        <v>260</v>
      </c>
      <c r="CE43" s="483" t="s">
        <v>260</v>
      </c>
      <c r="CF43" s="483" t="s">
        <v>260</v>
      </c>
      <c r="CG43" s="483" t="s">
        <v>260</v>
      </c>
      <c r="CH43" s="483" t="s">
        <v>260</v>
      </c>
      <c r="CI43" s="483" t="s">
        <v>260</v>
      </c>
      <c r="CJ43" s="483" t="s">
        <v>260</v>
      </c>
      <c r="CK43" s="483" t="s">
        <v>260</v>
      </c>
      <c r="CL43" s="483" t="s">
        <v>260</v>
      </c>
      <c r="CM43" s="483" t="s">
        <v>260</v>
      </c>
      <c r="CN43" s="483" t="s">
        <v>260</v>
      </c>
      <c r="CO43" s="483" t="s">
        <v>260</v>
      </c>
      <c r="CP43" s="483" t="s">
        <v>260</v>
      </c>
      <c r="CQ43" s="483" t="s">
        <v>260</v>
      </c>
      <c r="CR43" s="483" t="s">
        <v>260</v>
      </c>
      <c r="CS43" s="483" t="s">
        <v>260</v>
      </c>
      <c r="CT43" s="483" t="s">
        <v>260</v>
      </c>
      <c r="CU43" s="483" t="s">
        <v>260</v>
      </c>
      <c r="CV43" s="483" t="s">
        <v>260</v>
      </c>
      <c r="CW43" s="483" t="s">
        <v>260</v>
      </c>
      <c r="CX43" s="483" t="s">
        <v>260</v>
      </c>
      <c r="CY43" s="483" t="s">
        <v>260</v>
      </c>
      <c r="CZ43" s="483" t="s">
        <v>260</v>
      </c>
      <c r="DA43" s="483" t="s">
        <v>260</v>
      </c>
      <c r="DB43" s="483" t="s">
        <v>260</v>
      </c>
      <c r="DC43" s="483" t="s">
        <v>260</v>
      </c>
      <c r="DD43" s="483" t="s">
        <v>260</v>
      </c>
      <c r="DE43" s="483" t="s">
        <v>260</v>
      </c>
      <c r="DF43" s="483" t="s">
        <v>260</v>
      </c>
      <c r="DG43" s="483" t="s">
        <v>260</v>
      </c>
      <c r="DH43" s="483" t="s">
        <v>260</v>
      </c>
      <c r="DI43" s="483" t="s">
        <v>260</v>
      </c>
      <c r="DJ43" s="483" t="s">
        <v>260</v>
      </c>
      <c r="DK43" s="483" t="s">
        <v>260</v>
      </c>
      <c r="DL43" s="483" t="s">
        <v>260</v>
      </c>
      <c r="DM43" s="483" t="s">
        <v>260</v>
      </c>
      <c r="DN43" s="483">
        <v>0</v>
      </c>
      <c r="DO43" s="483" t="s">
        <v>260</v>
      </c>
      <c r="DP43" s="483" t="s">
        <v>260</v>
      </c>
      <c r="DQ43" s="483" t="s">
        <v>260</v>
      </c>
      <c r="DR43" s="483" t="s">
        <v>260</v>
      </c>
      <c r="DS43" s="483" t="s">
        <v>260</v>
      </c>
      <c r="DT43" s="483" t="s">
        <v>260</v>
      </c>
      <c r="DU43" s="483" t="s">
        <v>260</v>
      </c>
      <c r="DV43" s="483" t="s">
        <v>260</v>
      </c>
      <c r="DW43" s="483" t="s">
        <v>260</v>
      </c>
      <c r="DX43" s="483" t="s">
        <v>260</v>
      </c>
      <c r="DY43" s="483" t="s">
        <v>260</v>
      </c>
      <c r="DZ43" s="483" t="s">
        <v>260</v>
      </c>
      <c r="EA43" s="483" t="s">
        <v>260</v>
      </c>
      <c r="EB43" s="483">
        <v>6</v>
      </c>
      <c r="EC43" s="483" t="s">
        <v>260</v>
      </c>
      <c r="ED43" s="483" t="s">
        <v>260</v>
      </c>
      <c r="EE43" s="483" t="s">
        <v>260</v>
      </c>
      <c r="EF43" s="483" t="s">
        <v>260</v>
      </c>
      <c r="EG43" s="483" t="s">
        <v>260</v>
      </c>
      <c r="EH43" s="483" t="s">
        <v>260</v>
      </c>
      <c r="EI43" s="483" t="s">
        <v>260</v>
      </c>
      <c r="EJ43" s="483" t="s">
        <v>260</v>
      </c>
      <c r="EK43" s="483" t="s">
        <v>260</v>
      </c>
      <c r="EL43" s="483" t="s">
        <v>260</v>
      </c>
      <c r="EM43" s="483" t="s">
        <v>260</v>
      </c>
      <c r="EN43" s="483" t="s">
        <v>260</v>
      </c>
      <c r="EO43" s="483" t="s">
        <v>260</v>
      </c>
      <c r="EP43" s="483" t="s">
        <v>260</v>
      </c>
      <c r="EQ43" s="483" t="s">
        <v>260</v>
      </c>
      <c r="ER43" s="483" t="s">
        <v>260</v>
      </c>
      <c r="ES43" s="483" t="s">
        <v>260</v>
      </c>
      <c r="ET43" s="483" t="s">
        <v>260</v>
      </c>
      <c r="EU43" s="483">
        <v>6</v>
      </c>
      <c r="EV43" s="483" t="s">
        <v>260</v>
      </c>
      <c r="EW43" s="483" t="s">
        <v>260</v>
      </c>
      <c r="EX43" s="483" t="s">
        <v>260</v>
      </c>
      <c r="EY43" s="483" t="s">
        <v>260</v>
      </c>
      <c r="EZ43" s="483" t="s">
        <v>260</v>
      </c>
      <c r="FA43" s="483" t="s">
        <v>260</v>
      </c>
      <c r="FB43" s="483" t="s">
        <v>260</v>
      </c>
      <c r="FC43" s="483" t="s">
        <v>260</v>
      </c>
      <c r="FD43" s="483">
        <v>44</v>
      </c>
      <c r="FE43" s="483" t="s">
        <v>260</v>
      </c>
      <c r="FF43" s="483" t="s">
        <v>260</v>
      </c>
      <c r="FG43" s="483" t="s">
        <v>260</v>
      </c>
      <c r="FH43" s="483" t="s">
        <v>260</v>
      </c>
      <c r="FI43" s="483" t="s">
        <v>260</v>
      </c>
      <c r="FJ43" s="483" t="s">
        <v>260</v>
      </c>
      <c r="FK43" s="483" t="s">
        <v>260</v>
      </c>
      <c r="FL43" s="483" t="s">
        <v>260</v>
      </c>
      <c r="FM43" s="483" t="s">
        <v>260</v>
      </c>
      <c r="FN43" s="483" t="s">
        <v>260</v>
      </c>
      <c r="FO43" s="483" t="s">
        <v>260</v>
      </c>
      <c r="FP43" s="483">
        <v>44</v>
      </c>
      <c r="FQ43" s="483" t="s">
        <v>260</v>
      </c>
      <c r="FR43" s="483" t="s">
        <v>260</v>
      </c>
      <c r="FS43" s="483" t="s">
        <v>260</v>
      </c>
      <c r="FT43" s="483" t="s">
        <v>260</v>
      </c>
      <c r="FU43" s="483" t="s">
        <v>260</v>
      </c>
      <c r="FV43" s="483" t="s">
        <v>260</v>
      </c>
      <c r="FW43" s="483" t="s">
        <v>260</v>
      </c>
      <c r="FX43" s="483" t="s">
        <v>260</v>
      </c>
      <c r="FY43" s="483" t="s">
        <v>260</v>
      </c>
      <c r="FZ43" s="483" t="s">
        <v>260</v>
      </c>
      <c r="GA43" s="483" t="s">
        <v>260</v>
      </c>
      <c r="GB43" s="483" t="s">
        <v>260</v>
      </c>
      <c r="GC43" s="483" t="s">
        <v>260</v>
      </c>
      <c r="GD43" s="483" t="s">
        <v>260</v>
      </c>
      <c r="GE43" s="483" t="s">
        <v>260</v>
      </c>
      <c r="GF43" s="483" t="s">
        <v>260</v>
      </c>
      <c r="GG43" s="483" t="s">
        <v>260</v>
      </c>
      <c r="GH43" s="483" t="s">
        <v>260</v>
      </c>
      <c r="GI43" s="483" t="s">
        <v>260</v>
      </c>
      <c r="GJ43" s="483" t="s">
        <v>260</v>
      </c>
      <c r="GK43" s="483" t="s">
        <v>260</v>
      </c>
      <c r="GL43" s="483" t="s">
        <v>260</v>
      </c>
      <c r="GM43" s="483" t="s">
        <v>260</v>
      </c>
      <c r="GN43" s="483" t="s">
        <v>260</v>
      </c>
      <c r="GO43" s="483" t="s">
        <v>260</v>
      </c>
      <c r="GP43" s="483" t="s">
        <v>260</v>
      </c>
      <c r="GQ43" s="483" t="s">
        <v>260</v>
      </c>
      <c r="GR43" s="483" t="s">
        <v>260</v>
      </c>
      <c r="GS43" s="483" t="s">
        <v>260</v>
      </c>
      <c r="GT43" s="483" t="s">
        <v>260</v>
      </c>
      <c r="GU43" s="483" t="s">
        <v>260</v>
      </c>
      <c r="GV43" s="483" t="s">
        <v>260</v>
      </c>
      <c r="GW43" s="483" t="s">
        <v>260</v>
      </c>
      <c r="GX43" s="483" t="s">
        <v>260</v>
      </c>
      <c r="GY43" s="483" t="s">
        <v>260</v>
      </c>
      <c r="GZ43" s="483">
        <v>30</v>
      </c>
      <c r="HA43" s="483" t="s">
        <v>260</v>
      </c>
      <c r="HB43" s="483" t="s">
        <v>260</v>
      </c>
      <c r="HC43" s="483" t="s">
        <v>260</v>
      </c>
      <c r="HD43" s="483" t="s">
        <v>260</v>
      </c>
      <c r="HE43" s="483" t="s">
        <v>260</v>
      </c>
      <c r="HF43" s="483" t="s">
        <v>260</v>
      </c>
      <c r="HG43" s="483" t="s">
        <v>260</v>
      </c>
      <c r="HH43" s="483" t="s">
        <v>260</v>
      </c>
      <c r="HI43" s="483" t="s">
        <v>260</v>
      </c>
      <c r="HJ43" s="483" t="s">
        <v>260</v>
      </c>
      <c r="HK43" s="483" t="s">
        <v>260</v>
      </c>
      <c r="HL43" s="483" t="s">
        <v>260</v>
      </c>
      <c r="HM43" s="483" t="s">
        <v>260</v>
      </c>
      <c r="HN43" s="483">
        <v>24</v>
      </c>
      <c r="HO43" s="483">
        <v>6</v>
      </c>
      <c r="HP43" s="483" t="s">
        <v>260</v>
      </c>
      <c r="HQ43" s="483" t="s">
        <v>260</v>
      </c>
      <c r="HR43" s="483" t="s">
        <v>260</v>
      </c>
      <c r="HS43" s="483" t="s">
        <v>260</v>
      </c>
      <c r="HT43" s="483" t="s">
        <v>260</v>
      </c>
      <c r="HU43" s="483" t="s">
        <v>260</v>
      </c>
      <c r="HV43" s="483" t="s">
        <v>260</v>
      </c>
      <c r="HW43" s="483" t="s">
        <v>260</v>
      </c>
      <c r="HX43" s="483" t="s">
        <v>260</v>
      </c>
      <c r="HY43" s="483" t="s">
        <v>260</v>
      </c>
      <c r="HZ43" s="483" t="s">
        <v>260</v>
      </c>
      <c r="IA43" s="483" t="s">
        <v>260</v>
      </c>
      <c r="IB43" s="483" t="s">
        <v>260</v>
      </c>
      <c r="IC43" s="483" t="s">
        <v>260</v>
      </c>
      <c r="ID43" s="483" t="s">
        <v>260</v>
      </c>
      <c r="IE43" s="483" t="s">
        <v>260</v>
      </c>
      <c r="IF43" s="483">
        <v>0</v>
      </c>
      <c r="IG43" s="483" t="s">
        <v>260</v>
      </c>
      <c r="IH43" s="483" t="s">
        <v>260</v>
      </c>
      <c r="II43" s="483" t="s">
        <v>260</v>
      </c>
      <c r="IJ43" s="483" t="s">
        <v>260</v>
      </c>
      <c r="IK43" s="483">
        <v>0</v>
      </c>
      <c r="IL43" s="483" t="s">
        <v>260</v>
      </c>
      <c r="IM43" s="483" t="s">
        <v>260</v>
      </c>
      <c r="IN43" s="483" t="s">
        <v>260</v>
      </c>
      <c r="IO43" s="483" t="s">
        <v>260</v>
      </c>
      <c r="IP43" s="483" t="s">
        <v>260</v>
      </c>
      <c r="IQ43" s="483" t="s">
        <v>260</v>
      </c>
      <c r="IR43" s="483" t="s">
        <v>260</v>
      </c>
      <c r="IS43" s="483" t="s">
        <v>260</v>
      </c>
      <c r="IT43" s="483" t="s">
        <v>260</v>
      </c>
      <c r="IU43" s="483" t="s">
        <v>260</v>
      </c>
      <c r="IV43" s="483" t="s">
        <v>260</v>
      </c>
      <c r="IW43" s="483" t="s">
        <v>260</v>
      </c>
      <c r="IX43" s="483" t="s">
        <v>260</v>
      </c>
      <c r="IY43" s="483" t="s">
        <v>260</v>
      </c>
      <c r="IZ43" s="483" t="s">
        <v>260</v>
      </c>
      <c r="JA43" s="483" t="s">
        <v>260</v>
      </c>
      <c r="JB43" s="483" t="s">
        <v>260</v>
      </c>
      <c r="JC43" s="483" t="s">
        <v>260</v>
      </c>
      <c r="JD43" s="483" t="s">
        <v>260</v>
      </c>
      <c r="JE43" s="483">
        <v>0</v>
      </c>
      <c r="JF43" s="483" t="s">
        <v>260</v>
      </c>
      <c r="JG43" s="483" t="s">
        <v>260</v>
      </c>
      <c r="JH43" s="483" t="s">
        <v>260</v>
      </c>
      <c r="JI43" s="483" t="s">
        <v>260</v>
      </c>
      <c r="JJ43" s="483" t="s">
        <v>260</v>
      </c>
      <c r="JK43" s="483" t="s">
        <v>260</v>
      </c>
      <c r="JL43" s="483" t="s">
        <v>260</v>
      </c>
      <c r="JM43" s="483" t="s">
        <v>260</v>
      </c>
      <c r="JN43" s="483" t="s">
        <v>260</v>
      </c>
      <c r="JO43" s="483" t="s">
        <v>260</v>
      </c>
      <c r="JP43" s="483" t="s">
        <v>260</v>
      </c>
      <c r="JQ43" s="483" t="s">
        <v>260</v>
      </c>
      <c r="JR43" s="483" t="s">
        <v>260</v>
      </c>
      <c r="JS43" s="483" t="s">
        <v>260</v>
      </c>
      <c r="JT43" s="483" t="s">
        <v>260</v>
      </c>
      <c r="JU43" s="483" t="s">
        <v>260</v>
      </c>
      <c r="JV43" s="483" t="s">
        <v>260</v>
      </c>
      <c r="JW43" s="483" t="s">
        <v>260</v>
      </c>
      <c r="JX43" s="483" t="s">
        <v>260</v>
      </c>
      <c r="JY43" s="483" t="s">
        <v>260</v>
      </c>
      <c r="JZ43" s="483" t="s">
        <v>260</v>
      </c>
      <c r="KA43" s="483" t="s">
        <v>260</v>
      </c>
      <c r="KB43" s="483">
        <v>0</v>
      </c>
      <c r="KC43" s="483" t="s">
        <v>260</v>
      </c>
      <c r="KD43" s="483" t="s">
        <v>260</v>
      </c>
      <c r="KE43" s="483" t="s">
        <v>260</v>
      </c>
      <c r="KF43" s="483" t="s">
        <v>260</v>
      </c>
      <c r="KG43" s="483" t="s">
        <v>260</v>
      </c>
      <c r="KH43" s="483" t="s">
        <v>260</v>
      </c>
      <c r="KI43" s="483" t="s">
        <v>260</v>
      </c>
      <c r="KJ43" s="483" t="s">
        <v>260</v>
      </c>
      <c r="KK43" s="483" t="s">
        <v>260</v>
      </c>
      <c r="KL43" s="483" t="s">
        <v>260</v>
      </c>
      <c r="KM43" s="483" t="s">
        <v>260</v>
      </c>
      <c r="KN43" s="483" t="s">
        <v>260</v>
      </c>
      <c r="KO43" s="483" t="s">
        <v>260</v>
      </c>
      <c r="KP43" s="483" t="s">
        <v>260</v>
      </c>
      <c r="KQ43" s="483" t="s">
        <v>260</v>
      </c>
      <c r="KR43" s="483" t="s">
        <v>260</v>
      </c>
      <c r="KS43" s="483" t="s">
        <v>260</v>
      </c>
      <c r="KT43" s="483" t="s">
        <v>260</v>
      </c>
      <c r="KU43" s="483" t="s">
        <v>260</v>
      </c>
      <c r="KV43" s="483" t="s">
        <v>260</v>
      </c>
      <c r="KW43" s="483" t="s">
        <v>260</v>
      </c>
      <c r="KX43" s="483" t="s">
        <v>260</v>
      </c>
      <c r="KY43" s="483" t="s">
        <v>260</v>
      </c>
      <c r="KZ43" s="483" t="s">
        <v>260</v>
      </c>
      <c r="LA43" s="483" t="s">
        <v>260</v>
      </c>
      <c r="LB43" s="483" t="s">
        <v>260</v>
      </c>
      <c r="LC43" s="483" t="s">
        <v>260</v>
      </c>
      <c r="LD43" s="483" t="s">
        <v>260</v>
      </c>
      <c r="LE43" s="483" t="s">
        <v>260</v>
      </c>
      <c r="LF43" s="483" t="s">
        <v>260</v>
      </c>
      <c r="LG43" s="483" t="s">
        <v>260</v>
      </c>
      <c r="LH43" s="483" t="s">
        <v>260</v>
      </c>
      <c r="LI43" s="483" t="s">
        <v>260</v>
      </c>
      <c r="LJ43" s="483" t="s">
        <v>260</v>
      </c>
      <c r="LK43" s="483" t="s">
        <v>260</v>
      </c>
      <c r="LL43" s="483" t="s">
        <v>260</v>
      </c>
      <c r="LM43" s="483" t="s">
        <v>260</v>
      </c>
      <c r="LN43" s="483" t="s">
        <v>260</v>
      </c>
      <c r="LO43" s="483" t="s">
        <v>260</v>
      </c>
      <c r="LP43" s="483" t="s">
        <v>260</v>
      </c>
      <c r="LQ43" s="483" t="s">
        <v>260</v>
      </c>
      <c r="LR43" s="485" t="s">
        <v>260</v>
      </c>
      <c r="LS43" s="485">
        <v>0</v>
      </c>
      <c r="LT43" s="485" t="s">
        <v>260</v>
      </c>
      <c r="LU43" s="485" t="s">
        <v>260</v>
      </c>
      <c r="LV43" s="485" t="s">
        <v>260</v>
      </c>
      <c r="LW43" s="485" t="s">
        <v>260</v>
      </c>
      <c r="LX43" s="485" t="s">
        <v>260</v>
      </c>
      <c r="LY43" s="485" t="s">
        <v>260</v>
      </c>
      <c r="LZ43" s="485" t="s">
        <v>260</v>
      </c>
      <c r="MA43" s="485" t="s">
        <v>260</v>
      </c>
      <c r="MB43" s="485" t="s">
        <v>260</v>
      </c>
      <c r="MC43" s="485">
        <v>0</v>
      </c>
      <c r="MD43" s="485" t="s">
        <v>260</v>
      </c>
      <c r="ME43" s="485" t="s">
        <v>260</v>
      </c>
      <c r="MF43" s="485" t="s">
        <v>260</v>
      </c>
      <c r="MG43" s="485" t="s">
        <v>260</v>
      </c>
      <c r="MH43" s="485" t="s">
        <v>260</v>
      </c>
      <c r="MI43" s="485" t="s">
        <v>260</v>
      </c>
      <c r="MJ43" s="485">
        <v>0</v>
      </c>
      <c r="MK43" s="485" t="s">
        <v>260</v>
      </c>
      <c r="ML43" s="485" t="s">
        <v>260</v>
      </c>
      <c r="MM43" s="485" t="s">
        <v>260</v>
      </c>
      <c r="MN43" s="485" t="s">
        <v>260</v>
      </c>
      <c r="MO43" s="485" t="s">
        <v>260</v>
      </c>
      <c r="MP43" s="485" t="s">
        <v>260</v>
      </c>
      <c r="MQ43" s="485" t="s">
        <v>260</v>
      </c>
      <c r="MR43" s="485" t="s">
        <v>260</v>
      </c>
      <c r="MS43" s="485" t="s">
        <v>260</v>
      </c>
      <c r="MT43" s="485" t="s">
        <v>260</v>
      </c>
      <c r="MU43" s="485" t="s">
        <v>260</v>
      </c>
      <c r="MV43" s="485" t="s">
        <v>260</v>
      </c>
      <c r="MW43" s="485" t="s">
        <v>260</v>
      </c>
      <c r="MX43" s="485" t="s">
        <v>260</v>
      </c>
      <c r="MY43" s="485" t="s">
        <v>260</v>
      </c>
      <c r="MZ43" s="485" t="s">
        <v>260</v>
      </c>
      <c r="NA43" s="485" t="s">
        <v>260</v>
      </c>
      <c r="NB43" s="485">
        <v>0</v>
      </c>
      <c r="NC43" s="485" t="s">
        <v>260</v>
      </c>
      <c r="ND43" s="485" t="s">
        <v>260</v>
      </c>
      <c r="NE43" s="485" t="s">
        <v>260</v>
      </c>
      <c r="NF43" s="485" t="s">
        <v>260</v>
      </c>
      <c r="NG43" s="485" t="s">
        <v>260</v>
      </c>
      <c r="NH43" s="485" t="s">
        <v>260</v>
      </c>
      <c r="NI43" s="485" t="s">
        <v>260</v>
      </c>
      <c r="NJ43" s="485" t="s">
        <v>260</v>
      </c>
      <c r="NK43" s="485" t="s">
        <v>260</v>
      </c>
      <c r="NL43" s="485" t="s">
        <v>260</v>
      </c>
      <c r="NM43" s="485" t="s">
        <v>260</v>
      </c>
      <c r="NN43" s="485" t="s">
        <v>260</v>
      </c>
      <c r="NO43" s="485">
        <v>0</v>
      </c>
      <c r="NP43" s="485">
        <v>0</v>
      </c>
      <c r="NQ43" s="485" t="s">
        <v>260</v>
      </c>
      <c r="NR43" s="485" t="s">
        <v>260</v>
      </c>
      <c r="NS43" s="485" t="s">
        <v>260</v>
      </c>
      <c r="NT43" s="485" t="s">
        <v>260</v>
      </c>
      <c r="NU43" s="485" t="s">
        <v>260</v>
      </c>
      <c r="NV43" s="485" t="s">
        <v>260</v>
      </c>
      <c r="NW43" s="485" t="s">
        <v>260</v>
      </c>
      <c r="NX43" s="485" t="s">
        <v>260</v>
      </c>
      <c r="NY43" s="485" t="s">
        <v>260</v>
      </c>
      <c r="NZ43" s="485" t="s">
        <v>260</v>
      </c>
      <c r="OA43" s="485" t="s">
        <v>260</v>
      </c>
      <c r="OB43" s="485" t="s">
        <v>260</v>
      </c>
      <c r="OC43" s="485" t="s">
        <v>260</v>
      </c>
      <c r="OD43" s="485">
        <v>0</v>
      </c>
      <c r="OE43" s="485" t="s">
        <v>260</v>
      </c>
      <c r="OF43" s="485" t="s">
        <v>260</v>
      </c>
      <c r="OG43" s="485" t="s">
        <v>260</v>
      </c>
      <c r="OH43" s="485" t="s">
        <v>260</v>
      </c>
      <c r="OI43" s="485" t="s">
        <v>260</v>
      </c>
      <c r="OJ43" s="485" t="s">
        <v>5330</v>
      </c>
      <c r="OK43" s="485" t="s">
        <v>260</v>
      </c>
      <c r="OL43" s="485" t="s">
        <v>260</v>
      </c>
      <c r="OM43" s="483" t="s">
        <v>260</v>
      </c>
      <c r="ON43" s="483" t="s">
        <v>260</v>
      </c>
      <c r="OO43" s="483" t="s">
        <v>260</v>
      </c>
      <c r="OP43" s="483" t="s">
        <v>260</v>
      </c>
      <c r="OQ43" s="483" t="s">
        <v>260</v>
      </c>
      <c r="OR43" s="483" t="s">
        <v>5330</v>
      </c>
      <c r="OS43" s="483" t="s">
        <v>260</v>
      </c>
      <c r="OT43" s="483" t="s">
        <v>260</v>
      </c>
      <c r="OU43" s="483" t="s">
        <v>260</v>
      </c>
      <c r="OV43" s="483" t="s">
        <v>260</v>
      </c>
      <c r="OW43" s="483" t="s">
        <v>260</v>
      </c>
      <c r="OX43" s="483" t="s">
        <v>260</v>
      </c>
      <c r="OY43" s="483" t="s">
        <v>260</v>
      </c>
      <c r="OZ43" s="483" t="s">
        <v>260</v>
      </c>
      <c r="PA43" s="483" t="s">
        <v>260</v>
      </c>
      <c r="PB43" s="483" t="s">
        <v>260</v>
      </c>
      <c r="PC43" s="483" t="s">
        <v>260</v>
      </c>
      <c r="PD43" s="483" t="s">
        <v>260</v>
      </c>
      <c r="PE43" s="485">
        <v>0</v>
      </c>
      <c r="PF43" s="483" t="s">
        <v>260</v>
      </c>
      <c r="PG43" s="483" t="s">
        <v>260</v>
      </c>
      <c r="PH43" s="483" t="s">
        <v>260</v>
      </c>
      <c r="PI43" s="483" t="s">
        <v>260</v>
      </c>
      <c r="PJ43" s="483" t="s">
        <v>260</v>
      </c>
      <c r="PK43" s="483" t="s">
        <v>260</v>
      </c>
      <c r="PL43" s="483" t="s">
        <v>260</v>
      </c>
      <c r="PM43" s="483" t="s">
        <v>260</v>
      </c>
    </row>
    <row r="44" spans="2:429" ht="15.6" x14ac:dyDescent="0.3">
      <c r="B44" s="487" t="s">
        <v>2547</v>
      </c>
      <c r="C44" s="483">
        <f t="shared" si="0"/>
        <v>76</v>
      </c>
      <c r="D44" s="483">
        <v>0</v>
      </c>
      <c r="E44" s="483" t="s">
        <v>260</v>
      </c>
      <c r="F44" s="483" t="s">
        <v>260</v>
      </c>
      <c r="G44" s="483" t="s">
        <v>260</v>
      </c>
      <c r="H44" s="483" t="s">
        <v>260</v>
      </c>
      <c r="I44" s="483" t="s">
        <v>260</v>
      </c>
      <c r="J44" s="483" t="s">
        <v>260</v>
      </c>
      <c r="K44" s="483" t="s">
        <v>260</v>
      </c>
      <c r="L44" s="483" t="s">
        <v>260</v>
      </c>
      <c r="M44" s="483" t="s">
        <v>260</v>
      </c>
      <c r="N44" s="483" t="s">
        <v>260</v>
      </c>
      <c r="O44" s="483" t="s">
        <v>260</v>
      </c>
      <c r="P44" s="483" t="s">
        <v>260</v>
      </c>
      <c r="Q44" s="483" t="s">
        <v>260</v>
      </c>
      <c r="R44" s="483" t="s">
        <v>260</v>
      </c>
      <c r="S44" s="483" t="s">
        <v>260</v>
      </c>
      <c r="T44" s="483" t="s">
        <v>260</v>
      </c>
      <c r="U44" s="483" t="s">
        <v>260</v>
      </c>
      <c r="V44" s="483" t="s">
        <v>260</v>
      </c>
      <c r="W44" s="483">
        <v>30</v>
      </c>
      <c r="X44" s="483" t="s">
        <v>260</v>
      </c>
      <c r="Y44" s="483" t="s">
        <v>260</v>
      </c>
      <c r="Z44" s="483" t="s">
        <v>260</v>
      </c>
      <c r="AA44" s="483" t="s">
        <v>260</v>
      </c>
      <c r="AB44" s="483" t="s">
        <v>260</v>
      </c>
      <c r="AC44" s="483" t="s">
        <v>260</v>
      </c>
      <c r="AD44" s="483" t="s">
        <v>260</v>
      </c>
      <c r="AE44" s="483">
        <v>46</v>
      </c>
      <c r="AF44" s="483" t="s">
        <v>260</v>
      </c>
      <c r="AG44" s="483" t="s">
        <v>260</v>
      </c>
      <c r="AH44" s="483" t="s">
        <v>260</v>
      </c>
      <c r="AI44" s="483" t="s">
        <v>260</v>
      </c>
      <c r="AJ44" s="483" t="s">
        <v>260</v>
      </c>
      <c r="AK44" s="483" t="s">
        <v>260</v>
      </c>
      <c r="AL44" s="483" t="s">
        <v>260</v>
      </c>
      <c r="AM44" s="483" t="s">
        <v>260</v>
      </c>
      <c r="AN44" s="483" t="s">
        <v>260</v>
      </c>
      <c r="AO44" s="483" t="s">
        <v>260</v>
      </c>
      <c r="AP44" s="483" t="s">
        <v>260</v>
      </c>
      <c r="AQ44" s="483" t="s">
        <v>260</v>
      </c>
      <c r="AR44" s="483" t="s">
        <v>260</v>
      </c>
      <c r="AS44" s="483" t="s">
        <v>260</v>
      </c>
      <c r="AT44" s="483">
        <f t="shared" si="1"/>
        <v>139</v>
      </c>
      <c r="AU44" s="483" t="s">
        <v>260</v>
      </c>
      <c r="AV44" s="483" t="s">
        <v>260</v>
      </c>
      <c r="AW44" s="483" t="s">
        <v>260</v>
      </c>
      <c r="AX44" s="483" t="s">
        <v>260</v>
      </c>
      <c r="AY44" s="483" t="s">
        <v>260</v>
      </c>
      <c r="AZ44" s="483" t="s">
        <v>260</v>
      </c>
      <c r="BA44" s="483" t="s">
        <v>260</v>
      </c>
      <c r="BB44" s="483">
        <v>85</v>
      </c>
      <c r="BC44" s="483" t="s">
        <v>260</v>
      </c>
      <c r="BD44" s="483" t="s">
        <v>260</v>
      </c>
      <c r="BE44" s="483" t="s">
        <v>260</v>
      </c>
      <c r="BF44" s="483" t="s">
        <v>260</v>
      </c>
      <c r="BG44" s="483" t="s">
        <v>260</v>
      </c>
      <c r="BH44" s="483" t="s">
        <v>260</v>
      </c>
      <c r="BI44" s="483" t="s">
        <v>260</v>
      </c>
      <c r="BJ44" s="483" t="s">
        <v>260</v>
      </c>
      <c r="BK44" s="483" t="s">
        <v>260</v>
      </c>
      <c r="BL44" s="483" t="s">
        <v>260</v>
      </c>
      <c r="BM44" s="483" t="s">
        <v>260</v>
      </c>
      <c r="BN44" s="483" t="s">
        <v>260</v>
      </c>
      <c r="BO44" s="483" t="s">
        <v>260</v>
      </c>
      <c r="BP44" s="483" t="s">
        <v>260</v>
      </c>
      <c r="BQ44" s="483">
        <v>30</v>
      </c>
      <c r="BR44" s="483" t="s">
        <v>260</v>
      </c>
      <c r="BS44" s="483" t="s">
        <v>260</v>
      </c>
      <c r="BT44" s="483" t="s">
        <v>260</v>
      </c>
      <c r="BU44" s="483" t="s">
        <v>260</v>
      </c>
      <c r="BV44" s="483" t="s">
        <v>260</v>
      </c>
      <c r="BW44" s="483" t="s">
        <v>260</v>
      </c>
      <c r="BX44" s="483" t="s">
        <v>260</v>
      </c>
      <c r="BY44" s="483" t="s">
        <v>260</v>
      </c>
      <c r="BZ44" s="483" t="s">
        <v>260</v>
      </c>
      <c r="CA44" s="483" t="s">
        <v>260</v>
      </c>
      <c r="CB44" s="483" t="s">
        <v>260</v>
      </c>
      <c r="CC44" s="483" t="s">
        <v>260</v>
      </c>
      <c r="CD44" s="483" t="s">
        <v>260</v>
      </c>
      <c r="CE44" s="483" t="s">
        <v>260</v>
      </c>
      <c r="CF44" s="483">
        <v>24</v>
      </c>
      <c r="CG44" s="483" t="s">
        <v>260</v>
      </c>
      <c r="CH44" s="483" t="s">
        <v>260</v>
      </c>
      <c r="CI44" s="483" t="s">
        <v>260</v>
      </c>
      <c r="CJ44" s="483" t="s">
        <v>260</v>
      </c>
      <c r="CK44" s="483" t="s">
        <v>260</v>
      </c>
      <c r="CL44" s="483" t="s">
        <v>260</v>
      </c>
      <c r="CM44" s="483" t="s">
        <v>260</v>
      </c>
      <c r="CN44" s="483" t="s">
        <v>260</v>
      </c>
      <c r="CO44" s="483" t="s">
        <v>260</v>
      </c>
      <c r="CP44" s="483" t="s">
        <v>260</v>
      </c>
      <c r="CQ44" s="483" t="s">
        <v>260</v>
      </c>
      <c r="CR44" s="483" t="s">
        <v>260</v>
      </c>
      <c r="CS44" s="483" t="s">
        <v>260</v>
      </c>
      <c r="CT44" s="483" t="s">
        <v>260</v>
      </c>
      <c r="CU44" s="483" t="s">
        <v>260</v>
      </c>
      <c r="CV44" s="483" t="s">
        <v>260</v>
      </c>
      <c r="CW44" s="483" t="s">
        <v>260</v>
      </c>
      <c r="CX44" s="483" t="s">
        <v>260</v>
      </c>
      <c r="CY44" s="483" t="s">
        <v>260</v>
      </c>
      <c r="CZ44" s="483" t="s">
        <v>260</v>
      </c>
      <c r="DA44" s="483" t="s">
        <v>260</v>
      </c>
      <c r="DB44" s="483" t="s">
        <v>260</v>
      </c>
      <c r="DC44" s="483" t="s">
        <v>260</v>
      </c>
      <c r="DD44" s="483" t="s">
        <v>260</v>
      </c>
      <c r="DE44" s="483" t="s">
        <v>260</v>
      </c>
      <c r="DF44" s="483" t="s">
        <v>260</v>
      </c>
      <c r="DG44" s="483" t="s">
        <v>260</v>
      </c>
      <c r="DH44" s="483" t="s">
        <v>260</v>
      </c>
      <c r="DI44" s="483" t="s">
        <v>260</v>
      </c>
      <c r="DJ44" s="483" t="s">
        <v>260</v>
      </c>
      <c r="DK44" s="483" t="s">
        <v>260</v>
      </c>
      <c r="DL44" s="483" t="s">
        <v>260</v>
      </c>
      <c r="DM44" s="483" t="s">
        <v>260</v>
      </c>
      <c r="DN44" s="483">
        <v>0</v>
      </c>
      <c r="DO44" s="483" t="s">
        <v>260</v>
      </c>
      <c r="DP44" s="483" t="s">
        <v>260</v>
      </c>
      <c r="DQ44" s="483" t="s">
        <v>260</v>
      </c>
      <c r="DR44" s="483" t="s">
        <v>5330</v>
      </c>
      <c r="DS44" s="483" t="s">
        <v>260</v>
      </c>
      <c r="DT44" s="483" t="s">
        <v>260</v>
      </c>
      <c r="DU44" s="483" t="s">
        <v>260</v>
      </c>
      <c r="DV44" s="483" t="s">
        <v>260</v>
      </c>
      <c r="DW44" s="483" t="s">
        <v>260</v>
      </c>
      <c r="DX44" s="483" t="s">
        <v>260</v>
      </c>
      <c r="DY44" s="483" t="s">
        <v>260</v>
      </c>
      <c r="DZ44" s="483" t="s">
        <v>260</v>
      </c>
      <c r="EA44" s="483" t="s">
        <v>260</v>
      </c>
      <c r="EB44" s="483">
        <v>0</v>
      </c>
      <c r="EC44" s="483" t="s">
        <v>260</v>
      </c>
      <c r="ED44" s="483" t="s">
        <v>260</v>
      </c>
      <c r="EE44" s="483" t="s">
        <v>260</v>
      </c>
      <c r="EF44" s="483" t="s">
        <v>260</v>
      </c>
      <c r="EG44" s="483" t="s">
        <v>260</v>
      </c>
      <c r="EH44" s="483" t="s">
        <v>260</v>
      </c>
      <c r="EI44" s="483" t="s">
        <v>260</v>
      </c>
      <c r="EJ44" s="483" t="s">
        <v>260</v>
      </c>
      <c r="EK44" s="483" t="s">
        <v>260</v>
      </c>
      <c r="EL44" s="483" t="s">
        <v>260</v>
      </c>
      <c r="EM44" s="483" t="s">
        <v>260</v>
      </c>
      <c r="EN44" s="483" t="s">
        <v>260</v>
      </c>
      <c r="EO44" s="483" t="s">
        <v>260</v>
      </c>
      <c r="EP44" s="483" t="s">
        <v>260</v>
      </c>
      <c r="EQ44" s="483" t="s">
        <v>260</v>
      </c>
      <c r="ER44" s="483" t="s">
        <v>260</v>
      </c>
      <c r="ES44" s="483" t="s">
        <v>260</v>
      </c>
      <c r="ET44" s="483" t="s">
        <v>260</v>
      </c>
      <c r="EU44" s="483" t="s">
        <v>260</v>
      </c>
      <c r="EV44" s="483" t="s">
        <v>260</v>
      </c>
      <c r="EW44" s="483" t="s">
        <v>260</v>
      </c>
      <c r="EX44" s="483" t="s">
        <v>260</v>
      </c>
      <c r="EY44" s="483" t="s">
        <v>260</v>
      </c>
      <c r="EZ44" s="483" t="s">
        <v>260</v>
      </c>
      <c r="FA44" s="483" t="s">
        <v>260</v>
      </c>
      <c r="FB44" s="483" t="s">
        <v>260</v>
      </c>
      <c r="FC44" s="483" t="s">
        <v>260</v>
      </c>
      <c r="FD44" s="483">
        <v>0</v>
      </c>
      <c r="FE44" s="483" t="s">
        <v>260</v>
      </c>
      <c r="FF44" s="483" t="s">
        <v>260</v>
      </c>
      <c r="FG44" s="483" t="s">
        <v>260</v>
      </c>
      <c r="FH44" s="483" t="s">
        <v>260</v>
      </c>
      <c r="FI44" s="483" t="s">
        <v>260</v>
      </c>
      <c r="FJ44" s="483" t="s">
        <v>260</v>
      </c>
      <c r="FK44" s="483" t="s">
        <v>260</v>
      </c>
      <c r="FL44" s="483" t="s">
        <v>260</v>
      </c>
      <c r="FM44" s="483" t="s">
        <v>260</v>
      </c>
      <c r="FN44" s="483" t="s">
        <v>260</v>
      </c>
      <c r="FO44" s="483" t="s">
        <v>260</v>
      </c>
      <c r="FP44" s="483" t="s">
        <v>260</v>
      </c>
      <c r="FQ44" s="483" t="s">
        <v>260</v>
      </c>
      <c r="FR44" s="483" t="s">
        <v>260</v>
      </c>
      <c r="FS44" s="483" t="s">
        <v>260</v>
      </c>
      <c r="FT44" s="483" t="s">
        <v>260</v>
      </c>
      <c r="FU44" s="483" t="s">
        <v>260</v>
      </c>
      <c r="FV44" s="483" t="s">
        <v>260</v>
      </c>
      <c r="FW44" s="483" t="s">
        <v>260</v>
      </c>
      <c r="FX44" s="483" t="s">
        <v>260</v>
      </c>
      <c r="FY44" s="483" t="s">
        <v>260</v>
      </c>
      <c r="FZ44" s="483" t="s">
        <v>260</v>
      </c>
      <c r="GA44" s="483" t="s">
        <v>260</v>
      </c>
      <c r="GB44" s="483" t="s">
        <v>260</v>
      </c>
      <c r="GC44" s="483" t="s">
        <v>260</v>
      </c>
      <c r="GD44" s="483" t="s">
        <v>260</v>
      </c>
      <c r="GE44" s="483" t="s">
        <v>260</v>
      </c>
      <c r="GF44" s="483" t="s">
        <v>260</v>
      </c>
      <c r="GG44" s="483" t="s">
        <v>260</v>
      </c>
      <c r="GH44" s="483" t="s">
        <v>260</v>
      </c>
      <c r="GI44" s="483" t="s">
        <v>260</v>
      </c>
      <c r="GJ44" s="483" t="s">
        <v>260</v>
      </c>
      <c r="GK44" s="483" t="s">
        <v>260</v>
      </c>
      <c r="GL44" s="483" t="s">
        <v>260</v>
      </c>
      <c r="GM44" s="483" t="s">
        <v>260</v>
      </c>
      <c r="GN44" s="483" t="s">
        <v>260</v>
      </c>
      <c r="GO44" s="483" t="s">
        <v>260</v>
      </c>
      <c r="GP44" s="483" t="s">
        <v>260</v>
      </c>
      <c r="GQ44" s="483" t="s">
        <v>260</v>
      </c>
      <c r="GR44" s="483" t="s">
        <v>260</v>
      </c>
      <c r="GS44" s="483" t="s">
        <v>260</v>
      </c>
      <c r="GT44" s="483" t="s">
        <v>260</v>
      </c>
      <c r="GU44" s="483" t="s">
        <v>260</v>
      </c>
      <c r="GV44" s="483" t="s">
        <v>260</v>
      </c>
      <c r="GW44" s="483" t="s">
        <v>260</v>
      </c>
      <c r="GX44" s="483" t="s">
        <v>260</v>
      </c>
      <c r="GY44" s="483" t="s">
        <v>260</v>
      </c>
      <c r="GZ44" s="483">
        <v>18</v>
      </c>
      <c r="HA44" s="483" t="s">
        <v>260</v>
      </c>
      <c r="HB44" s="483" t="s">
        <v>260</v>
      </c>
      <c r="HC44" s="483" t="s">
        <v>260</v>
      </c>
      <c r="HD44" s="483" t="s">
        <v>260</v>
      </c>
      <c r="HE44" s="483" t="s">
        <v>260</v>
      </c>
      <c r="HF44" s="483" t="s">
        <v>260</v>
      </c>
      <c r="HG44" s="483" t="s">
        <v>260</v>
      </c>
      <c r="HH44" s="483" t="s">
        <v>260</v>
      </c>
      <c r="HI44" s="483" t="s">
        <v>260</v>
      </c>
      <c r="HJ44" s="483" t="s">
        <v>260</v>
      </c>
      <c r="HK44" s="483" t="s">
        <v>260</v>
      </c>
      <c r="HL44" s="483" t="s">
        <v>260</v>
      </c>
      <c r="HM44" s="483" t="s">
        <v>260</v>
      </c>
      <c r="HN44" s="483" t="s">
        <v>260</v>
      </c>
      <c r="HO44" s="483" t="s">
        <v>260</v>
      </c>
      <c r="HP44" s="483" t="s">
        <v>260</v>
      </c>
      <c r="HQ44" s="483" t="s">
        <v>260</v>
      </c>
      <c r="HR44" s="483" t="s">
        <v>260</v>
      </c>
      <c r="HS44" s="483" t="s">
        <v>260</v>
      </c>
      <c r="HT44" s="483">
        <v>18</v>
      </c>
      <c r="HU44" s="483" t="s">
        <v>260</v>
      </c>
      <c r="HV44" s="483" t="s">
        <v>260</v>
      </c>
      <c r="HW44" s="483" t="s">
        <v>260</v>
      </c>
      <c r="HX44" s="483" t="s">
        <v>260</v>
      </c>
      <c r="HY44" s="483" t="s">
        <v>260</v>
      </c>
      <c r="HZ44" s="483" t="s">
        <v>260</v>
      </c>
      <c r="IA44" s="483" t="s">
        <v>260</v>
      </c>
      <c r="IB44" s="483" t="s">
        <v>260</v>
      </c>
      <c r="IC44" s="483" t="s">
        <v>260</v>
      </c>
      <c r="ID44" s="483" t="s">
        <v>260</v>
      </c>
      <c r="IE44" s="483" t="s">
        <v>260</v>
      </c>
      <c r="IF44" s="483">
        <v>0</v>
      </c>
      <c r="IG44" s="483" t="s">
        <v>260</v>
      </c>
      <c r="IH44" s="483" t="s">
        <v>260</v>
      </c>
      <c r="II44" s="483" t="s">
        <v>260</v>
      </c>
      <c r="IJ44" s="483" t="s">
        <v>260</v>
      </c>
      <c r="IK44" s="483">
        <v>0</v>
      </c>
      <c r="IL44" s="483" t="s">
        <v>260</v>
      </c>
      <c r="IM44" s="483" t="s">
        <v>260</v>
      </c>
      <c r="IN44" s="483" t="s">
        <v>260</v>
      </c>
      <c r="IO44" s="483" t="s">
        <v>260</v>
      </c>
      <c r="IP44" s="483" t="s">
        <v>260</v>
      </c>
      <c r="IQ44" s="483" t="s">
        <v>260</v>
      </c>
      <c r="IR44" s="483" t="s">
        <v>260</v>
      </c>
      <c r="IS44" s="483" t="s">
        <v>260</v>
      </c>
      <c r="IT44" s="483" t="s">
        <v>260</v>
      </c>
      <c r="IU44" s="483" t="s">
        <v>260</v>
      </c>
      <c r="IV44" s="483" t="s">
        <v>260</v>
      </c>
      <c r="IW44" s="483" t="s">
        <v>260</v>
      </c>
      <c r="IX44" s="483" t="s">
        <v>260</v>
      </c>
      <c r="IY44" s="483" t="s">
        <v>260</v>
      </c>
      <c r="IZ44" s="483" t="s">
        <v>260</v>
      </c>
      <c r="JA44" s="483" t="s">
        <v>260</v>
      </c>
      <c r="JB44" s="483" t="s">
        <v>260</v>
      </c>
      <c r="JC44" s="483" t="s">
        <v>260</v>
      </c>
      <c r="JD44" s="483" t="s">
        <v>260</v>
      </c>
      <c r="JE44" s="483">
        <v>0</v>
      </c>
      <c r="JF44" s="483" t="s">
        <v>260</v>
      </c>
      <c r="JG44" s="483" t="s">
        <v>260</v>
      </c>
      <c r="JH44" s="483" t="s">
        <v>260</v>
      </c>
      <c r="JI44" s="483" t="s">
        <v>260</v>
      </c>
      <c r="JJ44" s="483" t="s">
        <v>260</v>
      </c>
      <c r="JK44" s="483" t="s">
        <v>260</v>
      </c>
      <c r="JL44" s="483" t="s">
        <v>260</v>
      </c>
      <c r="JM44" s="483" t="s">
        <v>260</v>
      </c>
      <c r="JN44" s="483" t="s">
        <v>260</v>
      </c>
      <c r="JO44" s="483" t="s">
        <v>260</v>
      </c>
      <c r="JP44" s="483" t="s">
        <v>260</v>
      </c>
      <c r="JQ44" s="483" t="s">
        <v>260</v>
      </c>
      <c r="JR44" s="483" t="s">
        <v>260</v>
      </c>
      <c r="JS44" s="483" t="s">
        <v>260</v>
      </c>
      <c r="JT44" s="483" t="s">
        <v>260</v>
      </c>
      <c r="JU44" s="483" t="s">
        <v>260</v>
      </c>
      <c r="JV44" s="483" t="s">
        <v>260</v>
      </c>
      <c r="JW44" s="483" t="s">
        <v>260</v>
      </c>
      <c r="JX44" s="483" t="s">
        <v>260</v>
      </c>
      <c r="JY44" s="483" t="s">
        <v>260</v>
      </c>
      <c r="JZ44" s="483" t="s">
        <v>260</v>
      </c>
      <c r="KA44" s="483" t="s">
        <v>260</v>
      </c>
      <c r="KB44" s="483">
        <v>0</v>
      </c>
      <c r="KC44" s="483" t="s">
        <v>260</v>
      </c>
      <c r="KD44" s="483" t="s">
        <v>260</v>
      </c>
      <c r="KE44" s="483" t="s">
        <v>260</v>
      </c>
      <c r="KF44" s="483" t="s">
        <v>260</v>
      </c>
      <c r="KG44" s="483" t="s">
        <v>260</v>
      </c>
      <c r="KH44" s="483" t="s">
        <v>260</v>
      </c>
      <c r="KI44" s="483" t="s">
        <v>260</v>
      </c>
      <c r="KJ44" s="483" t="s">
        <v>260</v>
      </c>
      <c r="KK44" s="483" t="s">
        <v>260</v>
      </c>
      <c r="KL44" s="483" t="s">
        <v>260</v>
      </c>
      <c r="KM44" s="483" t="s">
        <v>260</v>
      </c>
      <c r="KN44" s="483" t="s">
        <v>260</v>
      </c>
      <c r="KO44" s="483" t="s">
        <v>260</v>
      </c>
      <c r="KP44" s="483" t="s">
        <v>260</v>
      </c>
      <c r="KQ44" s="483" t="s">
        <v>260</v>
      </c>
      <c r="KR44" s="483" t="s">
        <v>260</v>
      </c>
      <c r="KS44" s="483" t="s">
        <v>260</v>
      </c>
      <c r="KT44" s="483" t="s">
        <v>260</v>
      </c>
      <c r="KU44" s="483" t="s">
        <v>260</v>
      </c>
      <c r="KV44" s="483" t="s">
        <v>260</v>
      </c>
      <c r="KW44" s="483" t="s">
        <v>260</v>
      </c>
      <c r="KX44" s="483" t="s">
        <v>260</v>
      </c>
      <c r="KY44" s="483" t="s">
        <v>260</v>
      </c>
      <c r="KZ44" s="483" t="s">
        <v>260</v>
      </c>
      <c r="LA44" s="483" t="s">
        <v>260</v>
      </c>
      <c r="LB44" s="483" t="s">
        <v>260</v>
      </c>
      <c r="LC44" s="483" t="s">
        <v>260</v>
      </c>
      <c r="LD44" s="483" t="s">
        <v>260</v>
      </c>
      <c r="LE44" s="483" t="s">
        <v>260</v>
      </c>
      <c r="LF44" s="483" t="s">
        <v>260</v>
      </c>
      <c r="LG44" s="483" t="s">
        <v>260</v>
      </c>
      <c r="LH44" s="483" t="s">
        <v>260</v>
      </c>
      <c r="LI44" s="483" t="s">
        <v>260</v>
      </c>
      <c r="LJ44" s="483" t="s">
        <v>260</v>
      </c>
      <c r="LK44" s="483" t="s">
        <v>260</v>
      </c>
      <c r="LL44" s="483" t="s">
        <v>260</v>
      </c>
      <c r="LM44" s="483" t="s">
        <v>260</v>
      </c>
      <c r="LN44" s="483" t="s">
        <v>260</v>
      </c>
      <c r="LO44" s="483" t="s">
        <v>260</v>
      </c>
      <c r="LP44" s="483" t="s">
        <v>260</v>
      </c>
      <c r="LQ44" s="483" t="s">
        <v>260</v>
      </c>
      <c r="LR44" s="485" t="s">
        <v>260</v>
      </c>
      <c r="LS44" s="485">
        <v>0</v>
      </c>
      <c r="LT44" s="485" t="s">
        <v>260</v>
      </c>
      <c r="LU44" s="485" t="s">
        <v>260</v>
      </c>
      <c r="LV44" s="485" t="s">
        <v>260</v>
      </c>
      <c r="LW44" s="485" t="s">
        <v>260</v>
      </c>
      <c r="LX44" s="485" t="s">
        <v>260</v>
      </c>
      <c r="LY44" s="485" t="s">
        <v>260</v>
      </c>
      <c r="LZ44" s="485" t="s">
        <v>260</v>
      </c>
      <c r="MA44" s="485" t="s">
        <v>260</v>
      </c>
      <c r="MB44" s="485" t="s">
        <v>260</v>
      </c>
      <c r="MC44" s="485">
        <v>0</v>
      </c>
      <c r="MD44" s="485" t="s">
        <v>260</v>
      </c>
      <c r="ME44" s="485" t="s">
        <v>260</v>
      </c>
      <c r="MF44" s="485" t="s">
        <v>260</v>
      </c>
      <c r="MG44" s="485" t="s">
        <v>260</v>
      </c>
      <c r="MH44" s="485" t="s">
        <v>260</v>
      </c>
      <c r="MI44" s="485" t="s">
        <v>260</v>
      </c>
      <c r="MJ44" s="485">
        <v>0</v>
      </c>
      <c r="MK44" s="485" t="s">
        <v>260</v>
      </c>
      <c r="ML44" s="485" t="s">
        <v>260</v>
      </c>
      <c r="MM44" s="485" t="s">
        <v>260</v>
      </c>
      <c r="MN44" s="485" t="s">
        <v>260</v>
      </c>
      <c r="MO44" s="485" t="s">
        <v>260</v>
      </c>
      <c r="MP44" s="485" t="s">
        <v>260</v>
      </c>
      <c r="MQ44" s="485" t="s">
        <v>260</v>
      </c>
      <c r="MR44" s="485" t="s">
        <v>260</v>
      </c>
      <c r="MS44" s="485" t="s">
        <v>260</v>
      </c>
      <c r="MT44" s="485" t="s">
        <v>260</v>
      </c>
      <c r="MU44" s="485" t="s">
        <v>260</v>
      </c>
      <c r="MV44" s="485" t="s">
        <v>260</v>
      </c>
      <c r="MW44" s="485" t="s">
        <v>260</v>
      </c>
      <c r="MX44" s="485" t="s">
        <v>260</v>
      </c>
      <c r="MY44" s="485" t="s">
        <v>260</v>
      </c>
      <c r="MZ44" s="485" t="s">
        <v>260</v>
      </c>
      <c r="NA44" s="485" t="s">
        <v>260</v>
      </c>
      <c r="NB44" s="485">
        <v>0</v>
      </c>
      <c r="NC44" s="485" t="s">
        <v>260</v>
      </c>
      <c r="ND44" s="485" t="s">
        <v>260</v>
      </c>
      <c r="NE44" s="485" t="s">
        <v>260</v>
      </c>
      <c r="NF44" s="485" t="s">
        <v>260</v>
      </c>
      <c r="NG44" s="485" t="s">
        <v>260</v>
      </c>
      <c r="NH44" s="485" t="s">
        <v>260</v>
      </c>
      <c r="NI44" s="485" t="s">
        <v>5330</v>
      </c>
      <c r="NJ44" s="485" t="s">
        <v>260</v>
      </c>
      <c r="NK44" s="485" t="s">
        <v>260</v>
      </c>
      <c r="NL44" s="485" t="s">
        <v>260</v>
      </c>
      <c r="NM44" s="485" t="s">
        <v>260</v>
      </c>
      <c r="NN44" s="485" t="s">
        <v>260</v>
      </c>
      <c r="NO44" s="485">
        <v>0</v>
      </c>
      <c r="NP44" s="485">
        <v>0</v>
      </c>
      <c r="NQ44" s="485" t="s">
        <v>260</v>
      </c>
      <c r="NR44" s="485" t="s">
        <v>260</v>
      </c>
      <c r="NS44" s="485" t="s">
        <v>260</v>
      </c>
      <c r="NT44" s="485" t="s">
        <v>260</v>
      </c>
      <c r="NU44" s="485" t="s">
        <v>260</v>
      </c>
      <c r="NV44" s="485" t="s">
        <v>260</v>
      </c>
      <c r="NW44" s="485" t="s">
        <v>260</v>
      </c>
      <c r="NX44" s="485" t="s">
        <v>260</v>
      </c>
      <c r="NY44" s="485" t="s">
        <v>260</v>
      </c>
      <c r="NZ44" s="485" t="s">
        <v>260</v>
      </c>
      <c r="OA44" s="485" t="s">
        <v>260</v>
      </c>
      <c r="OB44" s="485" t="s">
        <v>260</v>
      </c>
      <c r="OC44" s="485" t="s">
        <v>260</v>
      </c>
      <c r="OD44" s="485">
        <v>0</v>
      </c>
      <c r="OE44" s="485" t="s">
        <v>260</v>
      </c>
      <c r="OF44" s="485" t="s">
        <v>260</v>
      </c>
      <c r="OG44" s="485" t="s">
        <v>260</v>
      </c>
      <c r="OH44" s="485" t="s">
        <v>260</v>
      </c>
      <c r="OI44" s="485" t="s">
        <v>260</v>
      </c>
      <c r="OJ44" s="485" t="s">
        <v>260</v>
      </c>
      <c r="OK44" s="485" t="s">
        <v>260</v>
      </c>
      <c r="OL44" s="485" t="s">
        <v>260</v>
      </c>
      <c r="OM44" s="483" t="s">
        <v>260</v>
      </c>
      <c r="ON44" s="483" t="s">
        <v>260</v>
      </c>
      <c r="OO44" s="483" t="s">
        <v>260</v>
      </c>
      <c r="OP44" s="483" t="s">
        <v>260</v>
      </c>
      <c r="OQ44" s="483" t="s">
        <v>260</v>
      </c>
      <c r="OR44" s="483" t="s">
        <v>260</v>
      </c>
      <c r="OS44" s="483" t="s">
        <v>260</v>
      </c>
      <c r="OT44" s="483" t="s">
        <v>260</v>
      </c>
      <c r="OU44" s="483" t="s">
        <v>260</v>
      </c>
      <c r="OV44" s="483" t="s">
        <v>260</v>
      </c>
      <c r="OW44" s="483" t="s">
        <v>260</v>
      </c>
      <c r="OX44" s="483" t="s">
        <v>260</v>
      </c>
      <c r="OY44" s="483" t="s">
        <v>260</v>
      </c>
      <c r="OZ44" s="483" t="s">
        <v>260</v>
      </c>
      <c r="PA44" s="483" t="s">
        <v>260</v>
      </c>
      <c r="PB44" s="483" t="s">
        <v>260</v>
      </c>
      <c r="PC44" s="483" t="s">
        <v>260</v>
      </c>
      <c r="PD44" s="483" t="s">
        <v>260</v>
      </c>
      <c r="PE44" s="485">
        <v>0</v>
      </c>
      <c r="PF44" s="483" t="s">
        <v>260</v>
      </c>
      <c r="PG44" s="483" t="s">
        <v>260</v>
      </c>
      <c r="PH44" s="483" t="s">
        <v>260</v>
      </c>
      <c r="PI44" s="483" t="s">
        <v>260</v>
      </c>
      <c r="PJ44" s="483" t="s">
        <v>260</v>
      </c>
      <c r="PK44" s="483" t="s">
        <v>260</v>
      </c>
      <c r="PL44" s="483" t="s">
        <v>260</v>
      </c>
      <c r="PM44" s="483" t="s">
        <v>260</v>
      </c>
    </row>
    <row r="45" spans="2:429" ht="15.6" x14ac:dyDescent="0.3">
      <c r="B45" s="487" t="s">
        <v>696</v>
      </c>
      <c r="C45" s="483">
        <f t="shared" si="0"/>
        <v>134</v>
      </c>
      <c r="D45" s="483">
        <v>0</v>
      </c>
      <c r="E45" s="483" t="s">
        <v>260</v>
      </c>
      <c r="F45" s="483" t="s">
        <v>260</v>
      </c>
      <c r="G45" s="483" t="s">
        <v>260</v>
      </c>
      <c r="H45" s="483" t="s">
        <v>260</v>
      </c>
      <c r="I45" s="483" t="s">
        <v>260</v>
      </c>
      <c r="J45" s="483" t="s">
        <v>260</v>
      </c>
      <c r="K45" s="483" t="s">
        <v>260</v>
      </c>
      <c r="L45" s="483" t="s">
        <v>260</v>
      </c>
      <c r="M45" s="483" t="s">
        <v>260</v>
      </c>
      <c r="N45" s="483" t="s">
        <v>260</v>
      </c>
      <c r="O45" s="483" t="s">
        <v>260</v>
      </c>
      <c r="P45" s="483" t="s">
        <v>260</v>
      </c>
      <c r="Q45" s="483" t="s">
        <v>260</v>
      </c>
      <c r="R45" s="483" t="s">
        <v>260</v>
      </c>
      <c r="S45" s="483" t="s">
        <v>260</v>
      </c>
      <c r="T45" s="483" t="s">
        <v>260</v>
      </c>
      <c r="U45" s="483" t="s">
        <v>260</v>
      </c>
      <c r="V45" s="483" t="s">
        <v>260</v>
      </c>
      <c r="W45" s="483" t="s">
        <v>260</v>
      </c>
      <c r="X45" s="483">
        <v>82</v>
      </c>
      <c r="Y45" s="483">
        <v>52</v>
      </c>
      <c r="Z45" s="483" t="s">
        <v>260</v>
      </c>
      <c r="AA45" s="483" t="s">
        <v>260</v>
      </c>
      <c r="AB45" s="483" t="s">
        <v>260</v>
      </c>
      <c r="AC45" s="483" t="s">
        <v>260</v>
      </c>
      <c r="AD45" s="483" t="s">
        <v>260</v>
      </c>
      <c r="AE45" s="483" t="s">
        <v>260</v>
      </c>
      <c r="AF45" s="483" t="s">
        <v>260</v>
      </c>
      <c r="AG45" s="483" t="s">
        <v>260</v>
      </c>
      <c r="AH45" s="483" t="s">
        <v>260</v>
      </c>
      <c r="AI45" s="483" t="s">
        <v>260</v>
      </c>
      <c r="AJ45" s="483" t="s">
        <v>260</v>
      </c>
      <c r="AK45" s="483" t="s">
        <v>260</v>
      </c>
      <c r="AL45" s="483" t="s">
        <v>260</v>
      </c>
      <c r="AM45" s="483" t="s">
        <v>260</v>
      </c>
      <c r="AN45" s="483" t="s">
        <v>260</v>
      </c>
      <c r="AO45" s="483" t="s">
        <v>260</v>
      </c>
      <c r="AP45" s="483" t="s">
        <v>260</v>
      </c>
      <c r="AQ45" s="483" t="s">
        <v>260</v>
      </c>
      <c r="AR45" s="483" t="s">
        <v>260</v>
      </c>
      <c r="AS45" s="483" t="s">
        <v>260</v>
      </c>
      <c r="AT45" s="483">
        <f t="shared" si="1"/>
        <v>295</v>
      </c>
      <c r="AU45" s="483" t="s">
        <v>260</v>
      </c>
      <c r="AV45" s="483" t="s">
        <v>260</v>
      </c>
      <c r="AW45" s="483" t="s">
        <v>260</v>
      </c>
      <c r="AX45" s="483">
        <v>127</v>
      </c>
      <c r="AY45" s="483" t="s">
        <v>260</v>
      </c>
      <c r="AZ45" s="483" t="s">
        <v>260</v>
      </c>
      <c r="BA45" s="483" t="s">
        <v>260</v>
      </c>
      <c r="BB45" s="483" t="s">
        <v>260</v>
      </c>
      <c r="BC45" s="483" t="s">
        <v>260</v>
      </c>
      <c r="BD45" s="483" t="s">
        <v>260</v>
      </c>
      <c r="BE45" s="483" t="s">
        <v>260</v>
      </c>
      <c r="BF45" s="483" t="s">
        <v>260</v>
      </c>
      <c r="BG45" s="483" t="s">
        <v>260</v>
      </c>
      <c r="BH45" s="483" t="s">
        <v>260</v>
      </c>
      <c r="BI45" s="483" t="s">
        <v>260</v>
      </c>
      <c r="BJ45" s="483" t="s">
        <v>260</v>
      </c>
      <c r="BK45" s="483" t="s">
        <v>260</v>
      </c>
      <c r="BL45" s="483" t="s">
        <v>260</v>
      </c>
      <c r="BM45" s="483" t="s">
        <v>260</v>
      </c>
      <c r="BN45" s="483" t="s">
        <v>260</v>
      </c>
      <c r="BO45" s="483" t="s">
        <v>260</v>
      </c>
      <c r="BP45" s="483" t="s">
        <v>260</v>
      </c>
      <c r="BQ45" s="483" t="s">
        <v>260</v>
      </c>
      <c r="BR45" s="483" t="s">
        <v>260</v>
      </c>
      <c r="BS45" s="483" t="s">
        <v>260</v>
      </c>
      <c r="BT45" s="483" t="s">
        <v>260</v>
      </c>
      <c r="BU45" s="483" t="s">
        <v>260</v>
      </c>
      <c r="BV45" s="483" t="s">
        <v>260</v>
      </c>
      <c r="BW45" s="483" t="s">
        <v>260</v>
      </c>
      <c r="BX45" s="483" t="s">
        <v>260</v>
      </c>
      <c r="BY45" s="483" t="s">
        <v>260</v>
      </c>
      <c r="BZ45" s="483" t="s">
        <v>260</v>
      </c>
      <c r="CA45" s="483" t="s">
        <v>260</v>
      </c>
      <c r="CB45" s="483" t="s">
        <v>260</v>
      </c>
      <c r="CC45" s="483" t="s">
        <v>260</v>
      </c>
      <c r="CD45" s="483">
        <v>168</v>
      </c>
      <c r="CE45" s="483" t="s">
        <v>260</v>
      </c>
      <c r="CF45" s="483" t="s">
        <v>260</v>
      </c>
      <c r="CG45" s="483" t="s">
        <v>260</v>
      </c>
      <c r="CH45" s="483" t="s">
        <v>260</v>
      </c>
      <c r="CI45" s="483" t="s">
        <v>260</v>
      </c>
      <c r="CJ45" s="483" t="s">
        <v>260</v>
      </c>
      <c r="CK45" s="483" t="s">
        <v>260</v>
      </c>
      <c r="CL45" s="483" t="s">
        <v>260</v>
      </c>
      <c r="CM45" s="483" t="s">
        <v>260</v>
      </c>
      <c r="CN45" s="483" t="s">
        <v>260</v>
      </c>
      <c r="CO45" s="483" t="s">
        <v>260</v>
      </c>
      <c r="CP45" s="483" t="s">
        <v>260</v>
      </c>
      <c r="CQ45" s="483" t="s">
        <v>260</v>
      </c>
      <c r="CR45" s="483" t="s">
        <v>260</v>
      </c>
      <c r="CS45" s="483" t="s">
        <v>260</v>
      </c>
      <c r="CT45" s="483" t="s">
        <v>260</v>
      </c>
      <c r="CU45" s="483" t="s">
        <v>260</v>
      </c>
      <c r="CV45" s="483" t="s">
        <v>260</v>
      </c>
      <c r="CW45" s="483" t="s">
        <v>260</v>
      </c>
      <c r="CX45" s="483" t="s">
        <v>260</v>
      </c>
      <c r="CY45" s="483" t="s">
        <v>260</v>
      </c>
      <c r="CZ45" s="483" t="s">
        <v>260</v>
      </c>
      <c r="DA45" s="483" t="s">
        <v>260</v>
      </c>
      <c r="DB45" s="483" t="s">
        <v>260</v>
      </c>
      <c r="DC45" s="483" t="s">
        <v>260</v>
      </c>
      <c r="DD45" s="483" t="s">
        <v>260</v>
      </c>
      <c r="DE45" s="483" t="s">
        <v>260</v>
      </c>
      <c r="DF45" s="483" t="s">
        <v>260</v>
      </c>
      <c r="DG45" s="483" t="s">
        <v>260</v>
      </c>
      <c r="DH45" s="483" t="s">
        <v>260</v>
      </c>
      <c r="DI45" s="483" t="s">
        <v>260</v>
      </c>
      <c r="DJ45" s="483" t="s">
        <v>260</v>
      </c>
      <c r="DK45" s="483" t="s">
        <v>260</v>
      </c>
      <c r="DL45" s="483" t="s">
        <v>260</v>
      </c>
      <c r="DM45" s="483" t="s">
        <v>260</v>
      </c>
      <c r="DN45" s="483">
        <v>0</v>
      </c>
      <c r="DO45" s="483" t="s">
        <v>260</v>
      </c>
      <c r="DP45" s="483" t="s">
        <v>260</v>
      </c>
      <c r="DQ45" s="483" t="s">
        <v>260</v>
      </c>
      <c r="DR45" s="483" t="s">
        <v>260</v>
      </c>
      <c r="DS45" s="483" t="s">
        <v>260</v>
      </c>
      <c r="DT45" s="483" t="s">
        <v>260</v>
      </c>
      <c r="DU45" s="483" t="s">
        <v>260</v>
      </c>
      <c r="DV45" s="483" t="s">
        <v>260</v>
      </c>
      <c r="DW45" s="483" t="s">
        <v>260</v>
      </c>
      <c r="DX45" s="483" t="s">
        <v>260</v>
      </c>
      <c r="DY45" s="483" t="s">
        <v>260</v>
      </c>
      <c r="DZ45" s="483" t="s">
        <v>260</v>
      </c>
      <c r="EA45" s="483" t="s">
        <v>260</v>
      </c>
      <c r="EB45" s="483">
        <v>8</v>
      </c>
      <c r="EC45" s="483" t="s">
        <v>260</v>
      </c>
      <c r="ED45" s="483" t="s">
        <v>260</v>
      </c>
      <c r="EE45" s="483" t="s">
        <v>260</v>
      </c>
      <c r="EF45" s="483" t="s">
        <v>260</v>
      </c>
      <c r="EG45" s="483" t="s">
        <v>260</v>
      </c>
      <c r="EH45" s="483" t="s">
        <v>260</v>
      </c>
      <c r="EI45" s="483" t="s">
        <v>260</v>
      </c>
      <c r="EJ45" s="483" t="s">
        <v>260</v>
      </c>
      <c r="EK45" s="483" t="s">
        <v>260</v>
      </c>
      <c r="EL45" s="483" t="s">
        <v>260</v>
      </c>
      <c r="EM45" s="483" t="s">
        <v>260</v>
      </c>
      <c r="EN45" s="483" t="s">
        <v>260</v>
      </c>
      <c r="EO45" s="483" t="s">
        <v>260</v>
      </c>
      <c r="EP45" s="483" t="s">
        <v>260</v>
      </c>
      <c r="EQ45" s="483">
        <v>8</v>
      </c>
      <c r="ER45" s="483" t="s">
        <v>260</v>
      </c>
      <c r="ES45" s="483" t="s">
        <v>260</v>
      </c>
      <c r="ET45" s="483" t="s">
        <v>260</v>
      </c>
      <c r="EU45" s="483" t="s">
        <v>260</v>
      </c>
      <c r="EV45" s="483" t="s">
        <v>260</v>
      </c>
      <c r="EW45" s="483" t="s">
        <v>260</v>
      </c>
      <c r="EX45" s="483" t="s">
        <v>260</v>
      </c>
      <c r="EY45" s="483" t="s">
        <v>260</v>
      </c>
      <c r="EZ45" s="483" t="s">
        <v>260</v>
      </c>
      <c r="FA45" s="483" t="s">
        <v>260</v>
      </c>
      <c r="FB45" s="483" t="s">
        <v>260</v>
      </c>
      <c r="FC45" s="483" t="s">
        <v>260</v>
      </c>
      <c r="FD45" s="483">
        <v>43</v>
      </c>
      <c r="FE45" s="483" t="s">
        <v>260</v>
      </c>
      <c r="FF45" s="483" t="s">
        <v>260</v>
      </c>
      <c r="FG45" s="483" t="s">
        <v>260</v>
      </c>
      <c r="FH45" s="483" t="s">
        <v>260</v>
      </c>
      <c r="FI45" s="483">
        <v>43</v>
      </c>
      <c r="FJ45" s="483" t="s">
        <v>260</v>
      </c>
      <c r="FK45" s="483" t="s">
        <v>260</v>
      </c>
      <c r="FL45" s="483" t="s">
        <v>260</v>
      </c>
      <c r="FM45" s="483" t="s">
        <v>260</v>
      </c>
      <c r="FN45" s="483" t="s">
        <v>260</v>
      </c>
      <c r="FO45" s="483" t="s">
        <v>260</v>
      </c>
      <c r="FP45" s="483" t="s">
        <v>260</v>
      </c>
      <c r="FQ45" s="483" t="s">
        <v>260</v>
      </c>
      <c r="FR45" s="483" t="s">
        <v>260</v>
      </c>
      <c r="FS45" s="483" t="s">
        <v>260</v>
      </c>
      <c r="FT45" s="483" t="s">
        <v>260</v>
      </c>
      <c r="FU45" s="483" t="s">
        <v>260</v>
      </c>
      <c r="FV45" s="483" t="s">
        <v>260</v>
      </c>
      <c r="FW45" s="483" t="s">
        <v>260</v>
      </c>
      <c r="FX45" s="483" t="s">
        <v>260</v>
      </c>
      <c r="FY45" s="483" t="s">
        <v>260</v>
      </c>
      <c r="FZ45" s="483" t="s">
        <v>260</v>
      </c>
      <c r="GA45" s="483" t="s">
        <v>260</v>
      </c>
      <c r="GB45" s="483" t="s">
        <v>260</v>
      </c>
      <c r="GC45" s="483" t="s">
        <v>260</v>
      </c>
      <c r="GD45" s="483" t="s">
        <v>260</v>
      </c>
      <c r="GE45" s="483" t="s">
        <v>260</v>
      </c>
      <c r="GF45" s="483" t="s">
        <v>260</v>
      </c>
      <c r="GG45" s="483" t="s">
        <v>260</v>
      </c>
      <c r="GH45" s="483" t="s">
        <v>260</v>
      </c>
      <c r="GI45" s="483" t="s">
        <v>260</v>
      </c>
      <c r="GJ45" s="483" t="s">
        <v>260</v>
      </c>
      <c r="GK45" s="483" t="s">
        <v>260</v>
      </c>
      <c r="GL45" s="483" t="s">
        <v>260</v>
      </c>
      <c r="GM45" s="483" t="s">
        <v>260</v>
      </c>
      <c r="GN45" s="483" t="s">
        <v>260</v>
      </c>
      <c r="GO45" s="483" t="s">
        <v>260</v>
      </c>
      <c r="GP45" s="483" t="s">
        <v>260</v>
      </c>
      <c r="GQ45" s="483" t="s">
        <v>260</v>
      </c>
      <c r="GR45" s="483" t="s">
        <v>260</v>
      </c>
      <c r="GS45" s="483" t="s">
        <v>260</v>
      </c>
      <c r="GT45" s="483" t="s">
        <v>260</v>
      </c>
      <c r="GU45" s="483" t="s">
        <v>260</v>
      </c>
      <c r="GV45" s="483" t="s">
        <v>260</v>
      </c>
      <c r="GW45" s="483" t="s">
        <v>260</v>
      </c>
      <c r="GX45" s="483" t="s">
        <v>260</v>
      </c>
      <c r="GY45" s="483" t="s">
        <v>260</v>
      </c>
      <c r="GZ45" s="483">
        <v>60</v>
      </c>
      <c r="HA45" s="483" t="s">
        <v>260</v>
      </c>
      <c r="HB45" s="483" t="s">
        <v>260</v>
      </c>
      <c r="HC45" s="483" t="s">
        <v>260</v>
      </c>
      <c r="HD45" s="483" t="s">
        <v>260</v>
      </c>
      <c r="HE45" s="483" t="s">
        <v>260</v>
      </c>
      <c r="HF45" s="483">
        <v>24</v>
      </c>
      <c r="HG45" s="483">
        <v>12</v>
      </c>
      <c r="HH45" s="483">
        <v>12</v>
      </c>
      <c r="HI45" s="483">
        <v>12</v>
      </c>
      <c r="HJ45" s="483" t="s">
        <v>260</v>
      </c>
      <c r="HK45" s="483" t="s">
        <v>260</v>
      </c>
      <c r="HL45" s="483" t="s">
        <v>260</v>
      </c>
      <c r="HM45" s="483" t="s">
        <v>260</v>
      </c>
      <c r="HN45" s="483" t="s">
        <v>260</v>
      </c>
      <c r="HO45" s="483" t="s">
        <v>260</v>
      </c>
      <c r="HP45" s="483" t="s">
        <v>260</v>
      </c>
      <c r="HQ45" s="483" t="s">
        <v>260</v>
      </c>
      <c r="HR45" s="483" t="s">
        <v>260</v>
      </c>
      <c r="HS45" s="483" t="s">
        <v>260</v>
      </c>
      <c r="HT45" s="483" t="s">
        <v>260</v>
      </c>
      <c r="HU45" s="483" t="s">
        <v>260</v>
      </c>
      <c r="HV45" s="483" t="s">
        <v>260</v>
      </c>
      <c r="HW45" s="483" t="s">
        <v>260</v>
      </c>
      <c r="HX45" s="483" t="s">
        <v>260</v>
      </c>
      <c r="HY45" s="483" t="s">
        <v>260</v>
      </c>
      <c r="HZ45" s="483" t="s">
        <v>260</v>
      </c>
      <c r="IA45" s="483" t="s">
        <v>260</v>
      </c>
      <c r="IB45" s="483" t="s">
        <v>260</v>
      </c>
      <c r="IC45" s="483" t="s">
        <v>260</v>
      </c>
      <c r="ID45" s="483" t="s">
        <v>260</v>
      </c>
      <c r="IE45" s="483" t="s">
        <v>260</v>
      </c>
      <c r="IF45" s="483">
        <v>0</v>
      </c>
      <c r="IG45" s="483" t="s">
        <v>260</v>
      </c>
      <c r="IH45" s="483" t="s">
        <v>260</v>
      </c>
      <c r="II45" s="483" t="s">
        <v>260</v>
      </c>
      <c r="IJ45" s="483" t="s">
        <v>260</v>
      </c>
      <c r="IK45" s="483">
        <v>22</v>
      </c>
      <c r="IL45" s="483" t="s">
        <v>260</v>
      </c>
      <c r="IM45" s="483" t="s">
        <v>260</v>
      </c>
      <c r="IN45" s="483" t="s">
        <v>260</v>
      </c>
      <c r="IO45" s="483" t="s">
        <v>260</v>
      </c>
      <c r="IP45" s="483" t="s">
        <v>260</v>
      </c>
      <c r="IQ45" s="483" t="s">
        <v>260</v>
      </c>
      <c r="IR45" s="483" t="s">
        <v>260</v>
      </c>
      <c r="IS45" s="483" t="s">
        <v>260</v>
      </c>
      <c r="IT45" s="483" t="s">
        <v>260</v>
      </c>
      <c r="IU45" s="483">
        <v>18</v>
      </c>
      <c r="IV45" s="483" t="s">
        <v>260</v>
      </c>
      <c r="IW45" s="483" t="s">
        <v>260</v>
      </c>
      <c r="IX45" s="483" t="s">
        <v>260</v>
      </c>
      <c r="IY45" s="483" t="s">
        <v>260</v>
      </c>
      <c r="IZ45" s="483" t="s">
        <v>260</v>
      </c>
      <c r="JA45" s="483">
        <v>4</v>
      </c>
      <c r="JB45" s="483" t="s">
        <v>260</v>
      </c>
      <c r="JC45" s="483" t="s">
        <v>260</v>
      </c>
      <c r="JD45" s="483" t="s">
        <v>260</v>
      </c>
      <c r="JE45" s="483">
        <v>0</v>
      </c>
      <c r="JF45" s="483" t="s">
        <v>260</v>
      </c>
      <c r="JG45" s="483" t="s">
        <v>260</v>
      </c>
      <c r="JH45" s="483" t="s">
        <v>260</v>
      </c>
      <c r="JI45" s="483" t="s">
        <v>260</v>
      </c>
      <c r="JJ45" s="483" t="s">
        <v>260</v>
      </c>
      <c r="JK45" s="483" t="s">
        <v>260</v>
      </c>
      <c r="JL45" s="483" t="s">
        <v>260</v>
      </c>
      <c r="JM45" s="483" t="s">
        <v>260</v>
      </c>
      <c r="JN45" s="483" t="s">
        <v>260</v>
      </c>
      <c r="JO45" s="483" t="s">
        <v>260</v>
      </c>
      <c r="JP45" s="483" t="s">
        <v>260</v>
      </c>
      <c r="JQ45" s="483" t="s">
        <v>260</v>
      </c>
      <c r="JR45" s="483" t="s">
        <v>260</v>
      </c>
      <c r="JS45" s="483" t="s">
        <v>260</v>
      </c>
      <c r="JT45" s="483" t="s">
        <v>260</v>
      </c>
      <c r="JU45" s="483" t="s">
        <v>260</v>
      </c>
      <c r="JV45" s="483" t="s">
        <v>260</v>
      </c>
      <c r="JW45" s="483" t="s">
        <v>260</v>
      </c>
      <c r="JX45" s="483" t="s">
        <v>260</v>
      </c>
      <c r="JY45" s="483" t="s">
        <v>260</v>
      </c>
      <c r="JZ45" s="483" t="s">
        <v>260</v>
      </c>
      <c r="KA45" s="483" t="s">
        <v>260</v>
      </c>
      <c r="KB45" s="483">
        <v>0</v>
      </c>
      <c r="KC45" s="483" t="s">
        <v>260</v>
      </c>
      <c r="KD45" s="483" t="s">
        <v>260</v>
      </c>
      <c r="KE45" s="483" t="s">
        <v>260</v>
      </c>
      <c r="KF45" s="483" t="s">
        <v>260</v>
      </c>
      <c r="KG45" s="483" t="s">
        <v>260</v>
      </c>
      <c r="KH45" s="483" t="s">
        <v>260</v>
      </c>
      <c r="KI45" s="483" t="s">
        <v>260</v>
      </c>
      <c r="KJ45" s="483" t="s">
        <v>260</v>
      </c>
      <c r="KK45" s="483" t="s">
        <v>260</v>
      </c>
      <c r="KL45" s="483" t="s">
        <v>260</v>
      </c>
      <c r="KM45" s="483" t="s">
        <v>260</v>
      </c>
      <c r="KN45" s="483" t="s">
        <v>260</v>
      </c>
      <c r="KO45" s="483" t="s">
        <v>260</v>
      </c>
      <c r="KP45" s="483" t="s">
        <v>260</v>
      </c>
      <c r="KQ45" s="483" t="s">
        <v>260</v>
      </c>
      <c r="KR45" s="483" t="s">
        <v>260</v>
      </c>
      <c r="KS45" s="483" t="s">
        <v>260</v>
      </c>
      <c r="KT45" s="483" t="s">
        <v>260</v>
      </c>
      <c r="KU45" s="483" t="s">
        <v>260</v>
      </c>
      <c r="KV45" s="483" t="s">
        <v>260</v>
      </c>
      <c r="KW45" s="483" t="s">
        <v>260</v>
      </c>
      <c r="KX45" s="483" t="s">
        <v>260</v>
      </c>
      <c r="KY45" s="483" t="s">
        <v>260</v>
      </c>
      <c r="KZ45" s="483" t="s">
        <v>260</v>
      </c>
      <c r="LA45" s="483" t="s">
        <v>260</v>
      </c>
      <c r="LB45" s="483" t="s">
        <v>260</v>
      </c>
      <c r="LC45" s="483" t="s">
        <v>260</v>
      </c>
      <c r="LD45" s="483" t="s">
        <v>260</v>
      </c>
      <c r="LE45" s="483" t="s">
        <v>260</v>
      </c>
      <c r="LF45" s="483" t="s">
        <v>260</v>
      </c>
      <c r="LG45" s="483" t="s">
        <v>260</v>
      </c>
      <c r="LH45" s="483" t="s">
        <v>260</v>
      </c>
      <c r="LI45" s="483" t="s">
        <v>260</v>
      </c>
      <c r="LJ45" s="483" t="s">
        <v>260</v>
      </c>
      <c r="LK45" s="483" t="s">
        <v>260</v>
      </c>
      <c r="LL45" s="483" t="s">
        <v>260</v>
      </c>
      <c r="LM45" s="483" t="s">
        <v>260</v>
      </c>
      <c r="LN45" s="483" t="s">
        <v>260</v>
      </c>
      <c r="LO45" s="483" t="s">
        <v>260</v>
      </c>
      <c r="LP45" s="483" t="s">
        <v>260</v>
      </c>
      <c r="LQ45" s="483" t="s">
        <v>260</v>
      </c>
      <c r="LR45" s="485" t="s">
        <v>260</v>
      </c>
      <c r="LS45" s="485">
        <v>0</v>
      </c>
      <c r="LT45" s="485" t="s">
        <v>260</v>
      </c>
      <c r="LU45" s="485" t="s">
        <v>260</v>
      </c>
      <c r="LV45" s="485" t="s">
        <v>260</v>
      </c>
      <c r="LW45" s="485" t="s">
        <v>260</v>
      </c>
      <c r="LX45" s="485" t="s">
        <v>260</v>
      </c>
      <c r="LY45" s="485" t="s">
        <v>260</v>
      </c>
      <c r="LZ45" s="485" t="s">
        <v>260</v>
      </c>
      <c r="MA45" s="485" t="s">
        <v>260</v>
      </c>
      <c r="MB45" s="485" t="s">
        <v>260</v>
      </c>
      <c r="MC45" s="485">
        <v>4</v>
      </c>
      <c r="MD45" s="485">
        <v>4</v>
      </c>
      <c r="ME45" s="485" t="s">
        <v>260</v>
      </c>
      <c r="MF45" s="485" t="s">
        <v>260</v>
      </c>
      <c r="MG45" s="485" t="s">
        <v>260</v>
      </c>
      <c r="MH45" s="485" t="s">
        <v>260</v>
      </c>
      <c r="MI45" s="485" t="s">
        <v>260</v>
      </c>
      <c r="MJ45" s="485">
        <v>18</v>
      </c>
      <c r="MK45" s="485" t="s">
        <v>260</v>
      </c>
      <c r="ML45" s="485" t="s">
        <v>260</v>
      </c>
      <c r="MM45" s="485">
        <v>12</v>
      </c>
      <c r="MN45" s="485">
        <v>6</v>
      </c>
      <c r="MO45" s="485" t="s">
        <v>260</v>
      </c>
      <c r="MP45" s="485" t="s">
        <v>260</v>
      </c>
      <c r="MQ45" s="485" t="s">
        <v>260</v>
      </c>
      <c r="MR45" s="485" t="s">
        <v>260</v>
      </c>
      <c r="MS45" s="485" t="s">
        <v>260</v>
      </c>
      <c r="MT45" s="485" t="s">
        <v>260</v>
      </c>
      <c r="MU45" s="485" t="s">
        <v>260</v>
      </c>
      <c r="MV45" s="485" t="s">
        <v>260</v>
      </c>
      <c r="MW45" s="485" t="s">
        <v>260</v>
      </c>
      <c r="MX45" s="485" t="s">
        <v>260</v>
      </c>
      <c r="MY45" s="485" t="s">
        <v>260</v>
      </c>
      <c r="MZ45" s="485" t="s">
        <v>260</v>
      </c>
      <c r="NA45" s="485" t="s">
        <v>260</v>
      </c>
      <c r="NB45" s="485">
        <v>0</v>
      </c>
      <c r="NC45" s="485" t="s">
        <v>260</v>
      </c>
      <c r="ND45" s="485" t="s">
        <v>260</v>
      </c>
      <c r="NE45" s="485" t="s">
        <v>260</v>
      </c>
      <c r="NF45" s="485" t="s">
        <v>260</v>
      </c>
      <c r="NG45" s="485" t="s">
        <v>260</v>
      </c>
      <c r="NH45" s="485" t="s">
        <v>260</v>
      </c>
      <c r="NI45" s="485" t="s">
        <v>260</v>
      </c>
      <c r="NJ45" s="485" t="s">
        <v>260</v>
      </c>
      <c r="NK45" s="485" t="s">
        <v>260</v>
      </c>
      <c r="NL45" s="485" t="s">
        <v>260</v>
      </c>
      <c r="NM45" s="485" t="s">
        <v>260</v>
      </c>
      <c r="NN45" s="485" t="s">
        <v>260</v>
      </c>
      <c r="NO45" s="485">
        <v>0</v>
      </c>
      <c r="NP45" s="485">
        <v>0</v>
      </c>
      <c r="NQ45" s="485" t="s">
        <v>260</v>
      </c>
      <c r="NR45" s="485" t="s">
        <v>260</v>
      </c>
      <c r="NS45" s="485" t="s">
        <v>260</v>
      </c>
      <c r="NT45" s="485" t="s">
        <v>260</v>
      </c>
      <c r="NU45" s="485" t="s">
        <v>260</v>
      </c>
      <c r="NV45" s="485" t="s">
        <v>260</v>
      </c>
      <c r="NW45" s="485" t="s">
        <v>260</v>
      </c>
      <c r="NX45" s="485" t="s">
        <v>260</v>
      </c>
      <c r="NY45" s="485" t="s">
        <v>260</v>
      </c>
      <c r="NZ45" s="485" t="s">
        <v>260</v>
      </c>
      <c r="OA45" s="485" t="s">
        <v>260</v>
      </c>
      <c r="OB45" s="485" t="s">
        <v>260</v>
      </c>
      <c r="OC45" s="485" t="s">
        <v>260</v>
      </c>
      <c r="OD45" s="485">
        <v>0</v>
      </c>
      <c r="OE45" s="485" t="s">
        <v>260</v>
      </c>
      <c r="OF45" s="485" t="s">
        <v>260</v>
      </c>
      <c r="OG45" s="485" t="s">
        <v>260</v>
      </c>
      <c r="OH45" s="485" t="s">
        <v>260</v>
      </c>
      <c r="OI45" s="485" t="s">
        <v>260</v>
      </c>
      <c r="OJ45" s="485" t="s">
        <v>260</v>
      </c>
      <c r="OK45" s="485" t="s">
        <v>260</v>
      </c>
      <c r="OL45" s="485" t="s">
        <v>260</v>
      </c>
      <c r="OM45" s="483" t="s">
        <v>260</v>
      </c>
      <c r="ON45" s="483" t="s">
        <v>260</v>
      </c>
      <c r="OO45" s="483" t="s">
        <v>260</v>
      </c>
      <c r="OP45" s="483" t="s">
        <v>260</v>
      </c>
      <c r="OQ45" s="483" t="s">
        <v>260</v>
      </c>
      <c r="OR45" s="483" t="s">
        <v>260</v>
      </c>
      <c r="OS45" s="483" t="s">
        <v>260</v>
      </c>
      <c r="OT45" s="483" t="s">
        <v>260</v>
      </c>
      <c r="OU45" s="483">
        <v>36</v>
      </c>
      <c r="OV45" s="483">
        <v>24</v>
      </c>
      <c r="OW45" s="483" t="s">
        <v>260</v>
      </c>
      <c r="OX45" s="483" t="s">
        <v>260</v>
      </c>
      <c r="OY45" s="483" t="s">
        <v>260</v>
      </c>
      <c r="OZ45" s="483" t="s">
        <v>260</v>
      </c>
      <c r="PA45" s="483" t="s">
        <v>260</v>
      </c>
      <c r="PB45" s="483" t="s">
        <v>260</v>
      </c>
      <c r="PC45" s="483" t="s">
        <v>260</v>
      </c>
      <c r="PD45" s="483" t="s">
        <v>260</v>
      </c>
      <c r="PE45" s="485">
        <v>0</v>
      </c>
      <c r="PF45" s="483" t="s">
        <v>260</v>
      </c>
      <c r="PG45" s="483" t="s">
        <v>260</v>
      </c>
      <c r="PH45" s="483" t="s">
        <v>260</v>
      </c>
      <c r="PI45" s="483" t="s">
        <v>260</v>
      </c>
      <c r="PJ45" s="483" t="s">
        <v>260</v>
      </c>
      <c r="PK45" s="483" t="s">
        <v>260</v>
      </c>
      <c r="PL45" s="483" t="s">
        <v>260</v>
      </c>
      <c r="PM45" s="483" t="s">
        <v>260</v>
      </c>
    </row>
    <row r="46" spans="2:429" ht="15.6" x14ac:dyDescent="0.3">
      <c r="B46" s="487" t="s">
        <v>2024</v>
      </c>
      <c r="C46" s="483">
        <f t="shared" si="0"/>
        <v>0</v>
      </c>
      <c r="D46" s="483">
        <v>0</v>
      </c>
      <c r="E46" s="483" t="s">
        <v>260</v>
      </c>
      <c r="F46" s="483" t="s">
        <v>260</v>
      </c>
      <c r="G46" s="483" t="s">
        <v>260</v>
      </c>
      <c r="H46" s="483" t="s">
        <v>260</v>
      </c>
      <c r="I46" s="483" t="s">
        <v>260</v>
      </c>
      <c r="J46" s="483" t="s">
        <v>260</v>
      </c>
      <c r="K46" s="483" t="s">
        <v>260</v>
      </c>
      <c r="L46" s="483" t="s">
        <v>260</v>
      </c>
      <c r="M46" s="483" t="s">
        <v>260</v>
      </c>
      <c r="N46" s="483" t="s">
        <v>260</v>
      </c>
      <c r="O46" s="483" t="s">
        <v>260</v>
      </c>
      <c r="P46" s="483" t="s">
        <v>260</v>
      </c>
      <c r="Q46" s="483" t="s">
        <v>260</v>
      </c>
      <c r="R46" s="483" t="s">
        <v>260</v>
      </c>
      <c r="S46" s="483" t="s">
        <v>260</v>
      </c>
      <c r="T46" s="483" t="s">
        <v>260</v>
      </c>
      <c r="U46" s="483" t="s">
        <v>260</v>
      </c>
      <c r="V46" s="483" t="s">
        <v>260</v>
      </c>
      <c r="W46" s="483" t="s">
        <v>260</v>
      </c>
      <c r="X46" s="483" t="s">
        <v>260</v>
      </c>
      <c r="Y46" s="483" t="s">
        <v>260</v>
      </c>
      <c r="Z46" s="483" t="s">
        <v>260</v>
      </c>
      <c r="AA46" s="483" t="s">
        <v>260</v>
      </c>
      <c r="AB46" s="483" t="s">
        <v>260</v>
      </c>
      <c r="AC46" s="483" t="s">
        <v>260</v>
      </c>
      <c r="AD46" s="483" t="s">
        <v>260</v>
      </c>
      <c r="AE46" s="483" t="s">
        <v>260</v>
      </c>
      <c r="AF46" s="483" t="s">
        <v>260</v>
      </c>
      <c r="AG46" s="483" t="s">
        <v>260</v>
      </c>
      <c r="AH46" s="483" t="s">
        <v>260</v>
      </c>
      <c r="AI46" s="483" t="s">
        <v>260</v>
      </c>
      <c r="AJ46" s="483" t="s">
        <v>260</v>
      </c>
      <c r="AK46" s="483" t="s">
        <v>260</v>
      </c>
      <c r="AL46" s="483" t="s">
        <v>260</v>
      </c>
      <c r="AM46" s="483" t="s">
        <v>260</v>
      </c>
      <c r="AN46" s="483" t="s">
        <v>260</v>
      </c>
      <c r="AO46" s="483" t="s">
        <v>260</v>
      </c>
      <c r="AP46" s="483" t="s">
        <v>260</v>
      </c>
      <c r="AQ46" s="483" t="s">
        <v>260</v>
      </c>
      <c r="AR46" s="483" t="s">
        <v>260</v>
      </c>
      <c r="AS46" s="483" t="s">
        <v>260</v>
      </c>
      <c r="AT46" s="483">
        <f t="shared" si="1"/>
        <v>0</v>
      </c>
      <c r="AU46" s="483" t="s">
        <v>260</v>
      </c>
      <c r="AV46" s="483" t="s">
        <v>260</v>
      </c>
      <c r="AW46" s="483" t="s">
        <v>260</v>
      </c>
      <c r="AX46" s="483" t="s">
        <v>260</v>
      </c>
      <c r="AY46" s="483" t="s">
        <v>260</v>
      </c>
      <c r="AZ46" s="483" t="s">
        <v>260</v>
      </c>
      <c r="BA46" s="483" t="s">
        <v>260</v>
      </c>
      <c r="BB46" s="483" t="s">
        <v>260</v>
      </c>
      <c r="BC46" s="483" t="s">
        <v>260</v>
      </c>
      <c r="BD46" s="483" t="s">
        <v>260</v>
      </c>
      <c r="BE46" s="483" t="s">
        <v>260</v>
      </c>
      <c r="BF46" s="483" t="s">
        <v>260</v>
      </c>
      <c r="BG46" s="483" t="s">
        <v>260</v>
      </c>
      <c r="BH46" s="483" t="s">
        <v>260</v>
      </c>
      <c r="BI46" s="483" t="s">
        <v>260</v>
      </c>
      <c r="BJ46" s="483" t="s">
        <v>260</v>
      </c>
      <c r="BK46" s="483" t="s">
        <v>260</v>
      </c>
      <c r="BL46" s="483" t="s">
        <v>260</v>
      </c>
      <c r="BM46" s="483" t="s">
        <v>260</v>
      </c>
      <c r="BN46" s="483" t="s">
        <v>260</v>
      </c>
      <c r="BO46" s="483" t="s">
        <v>260</v>
      </c>
      <c r="BP46" s="483" t="s">
        <v>260</v>
      </c>
      <c r="BQ46" s="483" t="s">
        <v>260</v>
      </c>
      <c r="BR46" s="483" t="s">
        <v>260</v>
      </c>
      <c r="BS46" s="483" t="s">
        <v>260</v>
      </c>
      <c r="BT46" s="483" t="s">
        <v>260</v>
      </c>
      <c r="BU46" s="483" t="s">
        <v>260</v>
      </c>
      <c r="BV46" s="483" t="s">
        <v>260</v>
      </c>
      <c r="BW46" s="483" t="s">
        <v>260</v>
      </c>
      <c r="BX46" s="483" t="s">
        <v>260</v>
      </c>
      <c r="BY46" s="483" t="s">
        <v>260</v>
      </c>
      <c r="BZ46" s="483" t="s">
        <v>260</v>
      </c>
      <c r="CA46" s="483" t="s">
        <v>260</v>
      </c>
      <c r="CB46" s="483" t="s">
        <v>260</v>
      </c>
      <c r="CC46" s="483" t="s">
        <v>260</v>
      </c>
      <c r="CD46" s="483" t="s">
        <v>260</v>
      </c>
      <c r="CE46" s="483" t="s">
        <v>260</v>
      </c>
      <c r="CF46" s="483" t="s">
        <v>260</v>
      </c>
      <c r="CG46" s="483" t="s">
        <v>260</v>
      </c>
      <c r="CH46" s="483" t="s">
        <v>260</v>
      </c>
      <c r="CI46" s="483" t="s">
        <v>260</v>
      </c>
      <c r="CJ46" s="483" t="s">
        <v>260</v>
      </c>
      <c r="CK46" s="483" t="s">
        <v>260</v>
      </c>
      <c r="CL46" s="483" t="s">
        <v>260</v>
      </c>
      <c r="CM46" s="483" t="s">
        <v>260</v>
      </c>
      <c r="CN46" s="483" t="s">
        <v>260</v>
      </c>
      <c r="CO46" s="483" t="s">
        <v>260</v>
      </c>
      <c r="CP46" s="483" t="s">
        <v>260</v>
      </c>
      <c r="CQ46" s="483" t="s">
        <v>260</v>
      </c>
      <c r="CR46" s="483" t="s">
        <v>260</v>
      </c>
      <c r="CS46" s="483" t="s">
        <v>260</v>
      </c>
      <c r="CT46" s="483" t="s">
        <v>260</v>
      </c>
      <c r="CU46" s="483" t="s">
        <v>260</v>
      </c>
      <c r="CV46" s="483" t="s">
        <v>260</v>
      </c>
      <c r="CW46" s="483" t="s">
        <v>260</v>
      </c>
      <c r="CX46" s="483" t="s">
        <v>260</v>
      </c>
      <c r="CY46" s="483" t="s">
        <v>260</v>
      </c>
      <c r="CZ46" s="483" t="s">
        <v>260</v>
      </c>
      <c r="DA46" s="483" t="s">
        <v>260</v>
      </c>
      <c r="DB46" s="483" t="s">
        <v>260</v>
      </c>
      <c r="DC46" s="483" t="s">
        <v>260</v>
      </c>
      <c r="DD46" s="483" t="s">
        <v>260</v>
      </c>
      <c r="DE46" s="483" t="s">
        <v>260</v>
      </c>
      <c r="DF46" s="483" t="s">
        <v>260</v>
      </c>
      <c r="DG46" s="483" t="s">
        <v>260</v>
      </c>
      <c r="DH46" s="483" t="s">
        <v>260</v>
      </c>
      <c r="DI46" s="483" t="s">
        <v>260</v>
      </c>
      <c r="DJ46" s="483" t="s">
        <v>260</v>
      </c>
      <c r="DK46" s="483" t="s">
        <v>260</v>
      </c>
      <c r="DL46" s="483" t="s">
        <v>260</v>
      </c>
      <c r="DM46" s="483" t="s">
        <v>260</v>
      </c>
      <c r="DN46" s="483">
        <v>0</v>
      </c>
      <c r="DO46" s="483" t="s">
        <v>260</v>
      </c>
      <c r="DP46" s="483" t="s">
        <v>260</v>
      </c>
      <c r="DQ46" s="483" t="s">
        <v>260</v>
      </c>
      <c r="DR46" s="483" t="s">
        <v>260</v>
      </c>
      <c r="DS46" s="483" t="s">
        <v>260</v>
      </c>
      <c r="DT46" s="483" t="s">
        <v>260</v>
      </c>
      <c r="DU46" s="483" t="s">
        <v>260</v>
      </c>
      <c r="DV46" s="483" t="s">
        <v>260</v>
      </c>
      <c r="DW46" s="483" t="s">
        <v>260</v>
      </c>
      <c r="DX46" s="483" t="s">
        <v>260</v>
      </c>
      <c r="DY46" s="483" t="s">
        <v>260</v>
      </c>
      <c r="DZ46" s="483" t="s">
        <v>260</v>
      </c>
      <c r="EA46" s="483" t="s">
        <v>260</v>
      </c>
      <c r="EB46" s="483">
        <v>48</v>
      </c>
      <c r="EC46" s="483" t="s">
        <v>260</v>
      </c>
      <c r="ED46" s="483" t="s">
        <v>260</v>
      </c>
      <c r="EE46" s="483" t="s">
        <v>260</v>
      </c>
      <c r="EF46" s="483" t="s">
        <v>260</v>
      </c>
      <c r="EG46" s="483" t="s">
        <v>260</v>
      </c>
      <c r="EH46" s="483" t="s">
        <v>260</v>
      </c>
      <c r="EI46" s="483" t="s">
        <v>260</v>
      </c>
      <c r="EJ46" s="483" t="s">
        <v>260</v>
      </c>
      <c r="EK46" s="483" t="s">
        <v>260</v>
      </c>
      <c r="EL46" s="483" t="s">
        <v>260</v>
      </c>
      <c r="EM46" s="483">
        <v>48</v>
      </c>
      <c r="EN46" s="483" t="s">
        <v>260</v>
      </c>
      <c r="EO46" s="483" t="s">
        <v>260</v>
      </c>
      <c r="EP46" s="483" t="s">
        <v>260</v>
      </c>
      <c r="EQ46" s="483" t="s">
        <v>260</v>
      </c>
      <c r="ER46" s="483" t="s">
        <v>260</v>
      </c>
      <c r="ES46" s="483" t="s">
        <v>260</v>
      </c>
      <c r="ET46" s="483" t="s">
        <v>260</v>
      </c>
      <c r="EU46" s="483" t="s">
        <v>260</v>
      </c>
      <c r="EV46" s="483" t="s">
        <v>260</v>
      </c>
      <c r="EW46" s="483" t="s">
        <v>260</v>
      </c>
      <c r="EX46" s="483" t="s">
        <v>260</v>
      </c>
      <c r="EY46" s="483" t="s">
        <v>260</v>
      </c>
      <c r="EZ46" s="483" t="s">
        <v>260</v>
      </c>
      <c r="FA46" s="483" t="s">
        <v>260</v>
      </c>
      <c r="FB46" s="483" t="s">
        <v>260</v>
      </c>
      <c r="FC46" s="483" t="s">
        <v>260</v>
      </c>
      <c r="FD46" s="483">
        <v>0</v>
      </c>
      <c r="FE46" s="483" t="s">
        <v>260</v>
      </c>
      <c r="FF46" s="483" t="s">
        <v>260</v>
      </c>
      <c r="FG46" s="483" t="s">
        <v>260</v>
      </c>
      <c r="FH46" s="483" t="s">
        <v>260</v>
      </c>
      <c r="FI46" s="483" t="s">
        <v>260</v>
      </c>
      <c r="FJ46" s="483" t="s">
        <v>260</v>
      </c>
      <c r="FK46" s="483" t="s">
        <v>260</v>
      </c>
      <c r="FL46" s="483" t="s">
        <v>260</v>
      </c>
      <c r="FM46" s="483" t="s">
        <v>260</v>
      </c>
      <c r="FN46" s="483" t="s">
        <v>260</v>
      </c>
      <c r="FO46" s="483" t="s">
        <v>260</v>
      </c>
      <c r="FP46" s="483" t="s">
        <v>260</v>
      </c>
      <c r="FQ46" s="483" t="s">
        <v>260</v>
      </c>
      <c r="FR46" s="483" t="s">
        <v>260</v>
      </c>
      <c r="FS46" s="483" t="s">
        <v>260</v>
      </c>
      <c r="FT46" s="483" t="s">
        <v>260</v>
      </c>
      <c r="FU46" s="483" t="s">
        <v>260</v>
      </c>
      <c r="FV46" s="483" t="s">
        <v>260</v>
      </c>
      <c r="FW46" s="483" t="s">
        <v>260</v>
      </c>
      <c r="FX46" s="483" t="s">
        <v>260</v>
      </c>
      <c r="FY46" s="483" t="s">
        <v>260</v>
      </c>
      <c r="FZ46" s="483" t="s">
        <v>260</v>
      </c>
      <c r="GA46" s="483" t="s">
        <v>260</v>
      </c>
      <c r="GB46" s="483" t="s">
        <v>260</v>
      </c>
      <c r="GC46" s="483" t="s">
        <v>260</v>
      </c>
      <c r="GD46" s="483" t="s">
        <v>260</v>
      </c>
      <c r="GE46" s="483" t="s">
        <v>260</v>
      </c>
      <c r="GF46" s="483" t="s">
        <v>260</v>
      </c>
      <c r="GG46" s="483" t="s">
        <v>260</v>
      </c>
      <c r="GH46" s="483" t="s">
        <v>260</v>
      </c>
      <c r="GI46" s="483" t="s">
        <v>260</v>
      </c>
      <c r="GJ46" s="483" t="s">
        <v>260</v>
      </c>
      <c r="GK46" s="483" t="s">
        <v>260</v>
      </c>
      <c r="GL46" s="483" t="s">
        <v>260</v>
      </c>
      <c r="GM46" s="483" t="s">
        <v>260</v>
      </c>
      <c r="GN46" s="483" t="s">
        <v>260</v>
      </c>
      <c r="GO46" s="483" t="s">
        <v>260</v>
      </c>
      <c r="GP46" s="483" t="s">
        <v>260</v>
      </c>
      <c r="GQ46" s="483" t="s">
        <v>260</v>
      </c>
      <c r="GR46" s="483" t="s">
        <v>260</v>
      </c>
      <c r="GS46" s="483" t="s">
        <v>260</v>
      </c>
      <c r="GT46" s="483" t="s">
        <v>260</v>
      </c>
      <c r="GU46" s="483" t="s">
        <v>260</v>
      </c>
      <c r="GV46" s="483" t="s">
        <v>260</v>
      </c>
      <c r="GW46" s="483" t="s">
        <v>260</v>
      </c>
      <c r="GX46" s="483" t="s">
        <v>260</v>
      </c>
      <c r="GY46" s="483" t="s">
        <v>260</v>
      </c>
      <c r="GZ46" s="483">
        <v>0</v>
      </c>
      <c r="HA46" s="483" t="s">
        <v>260</v>
      </c>
      <c r="HB46" s="483" t="s">
        <v>260</v>
      </c>
      <c r="HC46" s="483" t="s">
        <v>260</v>
      </c>
      <c r="HD46" s="483" t="s">
        <v>260</v>
      </c>
      <c r="HE46" s="483" t="s">
        <v>260</v>
      </c>
      <c r="HF46" s="483" t="s">
        <v>260</v>
      </c>
      <c r="HG46" s="483" t="s">
        <v>260</v>
      </c>
      <c r="HH46" s="483" t="s">
        <v>260</v>
      </c>
      <c r="HI46" s="483" t="s">
        <v>260</v>
      </c>
      <c r="HJ46" s="483" t="s">
        <v>260</v>
      </c>
      <c r="HK46" s="483" t="s">
        <v>260</v>
      </c>
      <c r="HL46" s="483" t="s">
        <v>260</v>
      </c>
      <c r="HM46" s="483" t="s">
        <v>260</v>
      </c>
      <c r="HN46" s="483" t="s">
        <v>260</v>
      </c>
      <c r="HO46" s="483" t="s">
        <v>260</v>
      </c>
      <c r="HP46" s="483" t="s">
        <v>260</v>
      </c>
      <c r="HQ46" s="483" t="s">
        <v>260</v>
      </c>
      <c r="HR46" s="483" t="s">
        <v>260</v>
      </c>
      <c r="HS46" s="483" t="s">
        <v>260</v>
      </c>
      <c r="HT46" s="483" t="s">
        <v>260</v>
      </c>
      <c r="HU46" s="483" t="s">
        <v>260</v>
      </c>
      <c r="HV46" s="483" t="s">
        <v>260</v>
      </c>
      <c r="HW46" s="483" t="s">
        <v>260</v>
      </c>
      <c r="HX46" s="483" t="s">
        <v>260</v>
      </c>
      <c r="HY46" s="483" t="s">
        <v>260</v>
      </c>
      <c r="HZ46" s="483" t="s">
        <v>260</v>
      </c>
      <c r="IA46" s="483" t="s">
        <v>260</v>
      </c>
      <c r="IB46" s="483" t="s">
        <v>260</v>
      </c>
      <c r="IC46" s="483" t="s">
        <v>260</v>
      </c>
      <c r="ID46" s="483" t="s">
        <v>260</v>
      </c>
      <c r="IE46" s="483" t="s">
        <v>260</v>
      </c>
      <c r="IF46" s="483">
        <v>0</v>
      </c>
      <c r="IG46" s="483" t="s">
        <v>260</v>
      </c>
      <c r="IH46" s="483" t="s">
        <v>260</v>
      </c>
      <c r="II46" s="483" t="s">
        <v>260</v>
      </c>
      <c r="IJ46" s="483" t="s">
        <v>260</v>
      </c>
      <c r="IK46" s="483">
        <v>0</v>
      </c>
      <c r="IL46" s="483" t="s">
        <v>260</v>
      </c>
      <c r="IM46" s="483" t="s">
        <v>260</v>
      </c>
      <c r="IN46" s="483" t="s">
        <v>260</v>
      </c>
      <c r="IO46" s="483" t="s">
        <v>260</v>
      </c>
      <c r="IP46" s="483" t="s">
        <v>260</v>
      </c>
      <c r="IQ46" s="483" t="s">
        <v>260</v>
      </c>
      <c r="IR46" s="483" t="s">
        <v>260</v>
      </c>
      <c r="IS46" s="483" t="s">
        <v>260</v>
      </c>
      <c r="IT46" s="483" t="s">
        <v>260</v>
      </c>
      <c r="IU46" s="483" t="s">
        <v>260</v>
      </c>
      <c r="IV46" s="483" t="s">
        <v>260</v>
      </c>
      <c r="IW46" s="483" t="s">
        <v>260</v>
      </c>
      <c r="IX46" s="483" t="s">
        <v>260</v>
      </c>
      <c r="IY46" s="483" t="s">
        <v>260</v>
      </c>
      <c r="IZ46" s="483" t="s">
        <v>260</v>
      </c>
      <c r="JA46" s="483" t="s">
        <v>260</v>
      </c>
      <c r="JB46" s="483" t="s">
        <v>260</v>
      </c>
      <c r="JC46" s="483" t="s">
        <v>260</v>
      </c>
      <c r="JD46" s="483" t="s">
        <v>260</v>
      </c>
      <c r="JE46" s="483">
        <v>0</v>
      </c>
      <c r="JF46" s="483" t="s">
        <v>260</v>
      </c>
      <c r="JG46" s="483" t="s">
        <v>260</v>
      </c>
      <c r="JH46" s="483" t="s">
        <v>260</v>
      </c>
      <c r="JI46" s="483" t="s">
        <v>260</v>
      </c>
      <c r="JJ46" s="483" t="s">
        <v>260</v>
      </c>
      <c r="JK46" s="483" t="s">
        <v>260</v>
      </c>
      <c r="JL46" s="483" t="s">
        <v>260</v>
      </c>
      <c r="JM46" s="483" t="s">
        <v>260</v>
      </c>
      <c r="JN46" s="483" t="s">
        <v>260</v>
      </c>
      <c r="JO46" s="483" t="s">
        <v>260</v>
      </c>
      <c r="JP46" s="483" t="s">
        <v>260</v>
      </c>
      <c r="JQ46" s="483" t="s">
        <v>260</v>
      </c>
      <c r="JR46" s="483" t="s">
        <v>260</v>
      </c>
      <c r="JS46" s="483" t="s">
        <v>260</v>
      </c>
      <c r="JT46" s="483" t="s">
        <v>260</v>
      </c>
      <c r="JU46" s="483" t="s">
        <v>260</v>
      </c>
      <c r="JV46" s="483" t="s">
        <v>260</v>
      </c>
      <c r="JW46" s="483" t="s">
        <v>260</v>
      </c>
      <c r="JX46" s="483" t="s">
        <v>260</v>
      </c>
      <c r="JY46" s="483" t="s">
        <v>260</v>
      </c>
      <c r="JZ46" s="483" t="s">
        <v>260</v>
      </c>
      <c r="KA46" s="483" t="s">
        <v>260</v>
      </c>
      <c r="KB46" s="483">
        <v>0</v>
      </c>
      <c r="KC46" s="483" t="s">
        <v>260</v>
      </c>
      <c r="KD46" s="483" t="s">
        <v>260</v>
      </c>
      <c r="KE46" s="483" t="s">
        <v>260</v>
      </c>
      <c r="KF46" s="483" t="s">
        <v>260</v>
      </c>
      <c r="KG46" s="483" t="s">
        <v>260</v>
      </c>
      <c r="KH46" s="483" t="s">
        <v>260</v>
      </c>
      <c r="KI46" s="483" t="s">
        <v>260</v>
      </c>
      <c r="KJ46" s="483" t="s">
        <v>260</v>
      </c>
      <c r="KK46" s="483" t="s">
        <v>260</v>
      </c>
      <c r="KL46" s="483" t="s">
        <v>260</v>
      </c>
      <c r="KM46" s="483" t="s">
        <v>260</v>
      </c>
      <c r="KN46" s="483" t="s">
        <v>260</v>
      </c>
      <c r="KO46" s="483" t="s">
        <v>260</v>
      </c>
      <c r="KP46" s="483" t="s">
        <v>260</v>
      </c>
      <c r="KQ46" s="483" t="s">
        <v>260</v>
      </c>
      <c r="KR46" s="483" t="s">
        <v>260</v>
      </c>
      <c r="KS46" s="483" t="s">
        <v>260</v>
      </c>
      <c r="KT46" s="483" t="s">
        <v>260</v>
      </c>
      <c r="KU46" s="483" t="s">
        <v>260</v>
      </c>
      <c r="KV46" s="483" t="s">
        <v>260</v>
      </c>
      <c r="KW46" s="483" t="s">
        <v>260</v>
      </c>
      <c r="KX46" s="483" t="s">
        <v>260</v>
      </c>
      <c r="KY46" s="483" t="s">
        <v>260</v>
      </c>
      <c r="KZ46" s="483" t="s">
        <v>260</v>
      </c>
      <c r="LA46" s="483" t="s">
        <v>260</v>
      </c>
      <c r="LB46" s="483" t="s">
        <v>260</v>
      </c>
      <c r="LC46" s="483" t="s">
        <v>260</v>
      </c>
      <c r="LD46" s="483" t="s">
        <v>260</v>
      </c>
      <c r="LE46" s="483" t="s">
        <v>260</v>
      </c>
      <c r="LF46" s="483" t="s">
        <v>260</v>
      </c>
      <c r="LG46" s="483" t="s">
        <v>260</v>
      </c>
      <c r="LH46" s="483" t="s">
        <v>260</v>
      </c>
      <c r="LI46" s="483" t="s">
        <v>260</v>
      </c>
      <c r="LJ46" s="483" t="s">
        <v>260</v>
      </c>
      <c r="LK46" s="483" t="s">
        <v>260</v>
      </c>
      <c r="LL46" s="483" t="s">
        <v>260</v>
      </c>
      <c r="LM46" s="483" t="s">
        <v>260</v>
      </c>
      <c r="LN46" s="483" t="s">
        <v>260</v>
      </c>
      <c r="LO46" s="483" t="s">
        <v>260</v>
      </c>
      <c r="LP46" s="483" t="s">
        <v>260</v>
      </c>
      <c r="LQ46" s="483" t="s">
        <v>260</v>
      </c>
      <c r="LR46" s="485" t="s">
        <v>260</v>
      </c>
      <c r="LS46" s="485">
        <v>0</v>
      </c>
      <c r="LT46" s="485" t="s">
        <v>260</v>
      </c>
      <c r="LU46" s="485" t="s">
        <v>260</v>
      </c>
      <c r="LV46" s="485" t="s">
        <v>260</v>
      </c>
      <c r="LW46" s="485" t="s">
        <v>260</v>
      </c>
      <c r="LX46" s="485" t="s">
        <v>260</v>
      </c>
      <c r="LY46" s="485" t="s">
        <v>260</v>
      </c>
      <c r="LZ46" s="485" t="s">
        <v>260</v>
      </c>
      <c r="MA46" s="485" t="s">
        <v>260</v>
      </c>
      <c r="MB46" s="485" t="s">
        <v>260</v>
      </c>
      <c r="MC46" s="485">
        <v>0</v>
      </c>
      <c r="MD46" s="485" t="s">
        <v>260</v>
      </c>
      <c r="ME46" s="485" t="s">
        <v>260</v>
      </c>
      <c r="MF46" s="485" t="s">
        <v>260</v>
      </c>
      <c r="MG46" s="485" t="s">
        <v>260</v>
      </c>
      <c r="MH46" s="485" t="s">
        <v>260</v>
      </c>
      <c r="MI46" s="485" t="s">
        <v>260</v>
      </c>
      <c r="MJ46" s="485">
        <v>0</v>
      </c>
      <c r="MK46" s="485" t="s">
        <v>260</v>
      </c>
      <c r="ML46" s="485" t="s">
        <v>260</v>
      </c>
      <c r="MM46" s="485" t="s">
        <v>260</v>
      </c>
      <c r="MN46" s="485" t="s">
        <v>260</v>
      </c>
      <c r="MO46" s="485" t="s">
        <v>260</v>
      </c>
      <c r="MP46" s="485" t="s">
        <v>260</v>
      </c>
      <c r="MQ46" s="485" t="s">
        <v>260</v>
      </c>
      <c r="MR46" s="485" t="s">
        <v>260</v>
      </c>
      <c r="MS46" s="485" t="s">
        <v>260</v>
      </c>
      <c r="MT46" s="485" t="s">
        <v>260</v>
      </c>
      <c r="MU46" s="485" t="s">
        <v>260</v>
      </c>
      <c r="MV46" s="485" t="s">
        <v>260</v>
      </c>
      <c r="MW46" s="485" t="s">
        <v>260</v>
      </c>
      <c r="MX46" s="485" t="s">
        <v>260</v>
      </c>
      <c r="MY46" s="485" t="s">
        <v>260</v>
      </c>
      <c r="MZ46" s="485" t="s">
        <v>260</v>
      </c>
      <c r="NA46" s="485" t="s">
        <v>260</v>
      </c>
      <c r="NB46" s="485">
        <v>0</v>
      </c>
      <c r="NC46" s="485" t="s">
        <v>260</v>
      </c>
      <c r="ND46" s="485" t="s">
        <v>260</v>
      </c>
      <c r="NE46" s="485" t="s">
        <v>260</v>
      </c>
      <c r="NF46" s="485" t="s">
        <v>260</v>
      </c>
      <c r="NG46" s="485" t="s">
        <v>260</v>
      </c>
      <c r="NH46" s="485" t="s">
        <v>260</v>
      </c>
      <c r="NI46" s="485" t="s">
        <v>260</v>
      </c>
      <c r="NJ46" s="485" t="s">
        <v>260</v>
      </c>
      <c r="NK46" s="485" t="s">
        <v>260</v>
      </c>
      <c r="NL46" s="485" t="s">
        <v>260</v>
      </c>
      <c r="NM46" s="485" t="s">
        <v>260</v>
      </c>
      <c r="NN46" s="485" t="s">
        <v>260</v>
      </c>
      <c r="NO46" s="485">
        <v>0</v>
      </c>
      <c r="NP46" s="485">
        <v>0</v>
      </c>
      <c r="NQ46" s="485" t="s">
        <v>260</v>
      </c>
      <c r="NR46" s="485" t="s">
        <v>260</v>
      </c>
      <c r="NS46" s="485" t="s">
        <v>260</v>
      </c>
      <c r="NT46" s="485" t="s">
        <v>260</v>
      </c>
      <c r="NU46" s="485" t="s">
        <v>260</v>
      </c>
      <c r="NV46" s="485" t="s">
        <v>260</v>
      </c>
      <c r="NW46" s="485" t="s">
        <v>260</v>
      </c>
      <c r="NX46" s="485" t="s">
        <v>260</v>
      </c>
      <c r="NY46" s="485" t="s">
        <v>260</v>
      </c>
      <c r="NZ46" s="485" t="s">
        <v>260</v>
      </c>
      <c r="OA46" s="485" t="s">
        <v>260</v>
      </c>
      <c r="OB46" s="485" t="s">
        <v>260</v>
      </c>
      <c r="OC46" s="485" t="s">
        <v>260</v>
      </c>
      <c r="OD46" s="485">
        <v>0</v>
      </c>
      <c r="OE46" s="485" t="s">
        <v>260</v>
      </c>
      <c r="OF46" s="485" t="s">
        <v>260</v>
      </c>
      <c r="OG46" s="485" t="s">
        <v>260</v>
      </c>
      <c r="OH46" s="485" t="s">
        <v>260</v>
      </c>
      <c r="OI46" s="485" t="s">
        <v>260</v>
      </c>
      <c r="OJ46" s="485" t="s">
        <v>260</v>
      </c>
      <c r="OK46" s="485" t="s">
        <v>260</v>
      </c>
      <c r="OL46" s="485" t="s">
        <v>260</v>
      </c>
      <c r="OM46" s="483" t="s">
        <v>260</v>
      </c>
      <c r="ON46" s="483" t="s">
        <v>260</v>
      </c>
      <c r="OO46" s="483" t="s">
        <v>260</v>
      </c>
      <c r="OP46" s="483" t="s">
        <v>260</v>
      </c>
      <c r="OQ46" s="483" t="s">
        <v>260</v>
      </c>
      <c r="OR46" s="483" t="s">
        <v>260</v>
      </c>
      <c r="OS46" s="483" t="s">
        <v>260</v>
      </c>
      <c r="OT46" s="483" t="s">
        <v>260</v>
      </c>
      <c r="OU46" s="483" t="s">
        <v>260</v>
      </c>
      <c r="OV46" s="483" t="s">
        <v>260</v>
      </c>
      <c r="OW46" s="483" t="s">
        <v>260</v>
      </c>
      <c r="OX46" s="483" t="s">
        <v>260</v>
      </c>
      <c r="OY46" s="483" t="s">
        <v>260</v>
      </c>
      <c r="OZ46" s="483" t="s">
        <v>260</v>
      </c>
      <c r="PA46" s="483" t="s">
        <v>260</v>
      </c>
      <c r="PB46" s="483" t="s">
        <v>260</v>
      </c>
      <c r="PC46" s="483" t="s">
        <v>260</v>
      </c>
      <c r="PD46" s="483" t="s">
        <v>260</v>
      </c>
      <c r="PE46" s="485">
        <v>0</v>
      </c>
      <c r="PF46" s="483" t="s">
        <v>260</v>
      </c>
      <c r="PG46" s="483" t="s">
        <v>260</v>
      </c>
      <c r="PH46" s="483" t="s">
        <v>260</v>
      </c>
      <c r="PI46" s="483" t="s">
        <v>260</v>
      </c>
      <c r="PJ46" s="483" t="s">
        <v>260</v>
      </c>
      <c r="PK46" s="483" t="s">
        <v>260</v>
      </c>
      <c r="PL46" s="483" t="s">
        <v>260</v>
      </c>
      <c r="PM46" s="483" t="s">
        <v>260</v>
      </c>
    </row>
    <row r="47" spans="2:429" ht="15.6" x14ac:dyDescent="0.3">
      <c r="B47" s="487" t="s">
        <v>4895</v>
      </c>
      <c r="C47" s="483">
        <f t="shared" si="0"/>
        <v>0</v>
      </c>
      <c r="D47" s="483">
        <v>0</v>
      </c>
      <c r="E47" s="483" t="s">
        <v>260</v>
      </c>
      <c r="F47" s="483" t="s">
        <v>260</v>
      </c>
      <c r="G47" s="483" t="s">
        <v>260</v>
      </c>
      <c r="H47" s="483" t="s">
        <v>260</v>
      </c>
      <c r="I47" s="483" t="s">
        <v>260</v>
      </c>
      <c r="J47" s="483" t="s">
        <v>260</v>
      </c>
      <c r="K47" s="483" t="s">
        <v>260</v>
      </c>
      <c r="L47" s="483" t="s">
        <v>260</v>
      </c>
      <c r="M47" s="483" t="s">
        <v>260</v>
      </c>
      <c r="N47" s="483" t="s">
        <v>260</v>
      </c>
      <c r="O47" s="483" t="s">
        <v>260</v>
      </c>
      <c r="P47" s="483" t="s">
        <v>260</v>
      </c>
      <c r="Q47" s="483" t="s">
        <v>260</v>
      </c>
      <c r="R47" s="483" t="s">
        <v>260</v>
      </c>
      <c r="S47" s="483" t="s">
        <v>260</v>
      </c>
      <c r="T47" s="483" t="s">
        <v>260</v>
      </c>
      <c r="U47" s="483" t="s">
        <v>260</v>
      </c>
      <c r="V47" s="483" t="s">
        <v>260</v>
      </c>
      <c r="W47" s="483" t="s">
        <v>260</v>
      </c>
      <c r="X47" s="483" t="s">
        <v>260</v>
      </c>
      <c r="Y47" s="483" t="s">
        <v>260</v>
      </c>
      <c r="Z47" s="483" t="s">
        <v>260</v>
      </c>
      <c r="AA47" s="483" t="s">
        <v>260</v>
      </c>
      <c r="AB47" s="483" t="s">
        <v>260</v>
      </c>
      <c r="AC47" s="483" t="s">
        <v>260</v>
      </c>
      <c r="AD47" s="483" t="s">
        <v>260</v>
      </c>
      <c r="AE47" s="483" t="s">
        <v>260</v>
      </c>
      <c r="AF47" s="483" t="s">
        <v>260</v>
      </c>
      <c r="AG47" s="483" t="s">
        <v>260</v>
      </c>
      <c r="AH47" s="483" t="s">
        <v>260</v>
      </c>
      <c r="AI47" s="483" t="s">
        <v>260</v>
      </c>
      <c r="AJ47" s="483" t="s">
        <v>260</v>
      </c>
      <c r="AK47" s="483" t="s">
        <v>260</v>
      </c>
      <c r="AL47" s="483" t="s">
        <v>260</v>
      </c>
      <c r="AM47" s="483" t="s">
        <v>260</v>
      </c>
      <c r="AN47" s="483" t="s">
        <v>260</v>
      </c>
      <c r="AO47" s="483" t="s">
        <v>260</v>
      </c>
      <c r="AP47" s="483" t="s">
        <v>260</v>
      </c>
      <c r="AQ47" s="483" t="s">
        <v>260</v>
      </c>
      <c r="AR47" s="483" t="s">
        <v>260</v>
      </c>
      <c r="AS47" s="483" t="s">
        <v>260</v>
      </c>
      <c r="AT47" s="483">
        <f t="shared" si="1"/>
        <v>0</v>
      </c>
      <c r="AU47" s="483" t="s">
        <v>260</v>
      </c>
      <c r="AV47" s="483" t="s">
        <v>260</v>
      </c>
      <c r="AW47" s="483" t="s">
        <v>260</v>
      </c>
      <c r="AX47" s="483" t="s">
        <v>260</v>
      </c>
      <c r="AY47" s="483" t="s">
        <v>260</v>
      </c>
      <c r="AZ47" s="483" t="s">
        <v>260</v>
      </c>
      <c r="BA47" s="483" t="s">
        <v>260</v>
      </c>
      <c r="BB47" s="483" t="s">
        <v>260</v>
      </c>
      <c r="BC47" s="483" t="s">
        <v>260</v>
      </c>
      <c r="BD47" s="483" t="s">
        <v>260</v>
      </c>
      <c r="BE47" s="483" t="s">
        <v>260</v>
      </c>
      <c r="BF47" s="483" t="s">
        <v>260</v>
      </c>
      <c r="BG47" s="483" t="s">
        <v>260</v>
      </c>
      <c r="BH47" s="483" t="s">
        <v>260</v>
      </c>
      <c r="BI47" s="483" t="s">
        <v>260</v>
      </c>
      <c r="BJ47" s="483" t="s">
        <v>260</v>
      </c>
      <c r="BK47" s="483" t="s">
        <v>260</v>
      </c>
      <c r="BL47" s="483" t="s">
        <v>260</v>
      </c>
      <c r="BM47" s="483" t="s">
        <v>260</v>
      </c>
      <c r="BN47" s="483" t="s">
        <v>260</v>
      </c>
      <c r="BO47" s="483" t="s">
        <v>260</v>
      </c>
      <c r="BP47" s="483" t="s">
        <v>260</v>
      </c>
      <c r="BQ47" s="483" t="s">
        <v>260</v>
      </c>
      <c r="BR47" s="483" t="s">
        <v>260</v>
      </c>
      <c r="BS47" s="483" t="s">
        <v>260</v>
      </c>
      <c r="BT47" s="483" t="s">
        <v>260</v>
      </c>
      <c r="BU47" s="483" t="s">
        <v>260</v>
      </c>
      <c r="BV47" s="483" t="s">
        <v>260</v>
      </c>
      <c r="BW47" s="483" t="s">
        <v>260</v>
      </c>
      <c r="BX47" s="483" t="s">
        <v>260</v>
      </c>
      <c r="BY47" s="483" t="s">
        <v>260</v>
      </c>
      <c r="BZ47" s="483" t="s">
        <v>260</v>
      </c>
      <c r="CA47" s="483" t="s">
        <v>260</v>
      </c>
      <c r="CB47" s="483" t="s">
        <v>260</v>
      </c>
      <c r="CC47" s="483" t="s">
        <v>260</v>
      </c>
      <c r="CD47" s="483" t="s">
        <v>260</v>
      </c>
      <c r="CE47" s="483" t="s">
        <v>260</v>
      </c>
      <c r="CF47" s="483" t="s">
        <v>260</v>
      </c>
      <c r="CG47" s="483" t="s">
        <v>260</v>
      </c>
      <c r="CH47" s="483" t="s">
        <v>260</v>
      </c>
      <c r="CI47" s="483" t="s">
        <v>260</v>
      </c>
      <c r="CJ47" s="483" t="s">
        <v>260</v>
      </c>
      <c r="CK47" s="483" t="s">
        <v>260</v>
      </c>
      <c r="CL47" s="483" t="s">
        <v>260</v>
      </c>
      <c r="CM47" s="483" t="s">
        <v>260</v>
      </c>
      <c r="CN47" s="483" t="s">
        <v>260</v>
      </c>
      <c r="CO47" s="483" t="s">
        <v>260</v>
      </c>
      <c r="CP47" s="483" t="s">
        <v>260</v>
      </c>
      <c r="CQ47" s="483" t="s">
        <v>260</v>
      </c>
      <c r="CR47" s="483" t="s">
        <v>260</v>
      </c>
      <c r="CS47" s="483" t="s">
        <v>260</v>
      </c>
      <c r="CT47" s="483" t="s">
        <v>260</v>
      </c>
      <c r="CU47" s="483" t="s">
        <v>260</v>
      </c>
      <c r="CV47" s="483" t="s">
        <v>260</v>
      </c>
      <c r="CW47" s="483" t="s">
        <v>260</v>
      </c>
      <c r="CX47" s="483" t="s">
        <v>260</v>
      </c>
      <c r="CY47" s="483" t="s">
        <v>260</v>
      </c>
      <c r="CZ47" s="483" t="s">
        <v>260</v>
      </c>
      <c r="DA47" s="483" t="s">
        <v>260</v>
      </c>
      <c r="DB47" s="483" t="s">
        <v>260</v>
      </c>
      <c r="DC47" s="483" t="s">
        <v>260</v>
      </c>
      <c r="DD47" s="483" t="s">
        <v>260</v>
      </c>
      <c r="DE47" s="483" t="s">
        <v>260</v>
      </c>
      <c r="DF47" s="483" t="s">
        <v>260</v>
      </c>
      <c r="DG47" s="483" t="s">
        <v>260</v>
      </c>
      <c r="DH47" s="483" t="s">
        <v>260</v>
      </c>
      <c r="DI47" s="483" t="s">
        <v>260</v>
      </c>
      <c r="DJ47" s="483" t="s">
        <v>260</v>
      </c>
      <c r="DK47" s="483" t="s">
        <v>260</v>
      </c>
      <c r="DL47" s="483" t="s">
        <v>260</v>
      </c>
      <c r="DM47" s="483" t="s">
        <v>260</v>
      </c>
      <c r="DN47" s="483">
        <v>40</v>
      </c>
      <c r="DO47" s="483">
        <v>40</v>
      </c>
      <c r="DP47" s="483" t="s">
        <v>260</v>
      </c>
      <c r="DQ47" s="483" t="s">
        <v>260</v>
      </c>
      <c r="DR47" s="483" t="s">
        <v>260</v>
      </c>
      <c r="DS47" s="483" t="s">
        <v>260</v>
      </c>
      <c r="DT47" s="483" t="s">
        <v>260</v>
      </c>
      <c r="DU47" s="483" t="s">
        <v>260</v>
      </c>
      <c r="DV47" s="483" t="s">
        <v>260</v>
      </c>
      <c r="DW47" s="483" t="s">
        <v>260</v>
      </c>
      <c r="DX47" s="483" t="s">
        <v>260</v>
      </c>
      <c r="DY47" s="483" t="s">
        <v>260</v>
      </c>
      <c r="DZ47" s="483" t="s">
        <v>260</v>
      </c>
      <c r="EA47" s="483" t="s">
        <v>260</v>
      </c>
      <c r="EB47" s="483">
        <v>8</v>
      </c>
      <c r="EC47" s="483">
        <v>8</v>
      </c>
      <c r="ED47" s="483" t="s">
        <v>260</v>
      </c>
      <c r="EE47" s="483" t="s">
        <v>260</v>
      </c>
      <c r="EF47" s="483" t="s">
        <v>260</v>
      </c>
      <c r="EG47" s="483" t="s">
        <v>260</v>
      </c>
      <c r="EH47" s="483" t="s">
        <v>260</v>
      </c>
      <c r="EI47" s="483" t="s">
        <v>260</v>
      </c>
      <c r="EJ47" s="483" t="s">
        <v>260</v>
      </c>
      <c r="EK47" s="483" t="s">
        <v>260</v>
      </c>
      <c r="EL47" s="483" t="s">
        <v>260</v>
      </c>
      <c r="EM47" s="483" t="s">
        <v>260</v>
      </c>
      <c r="EN47" s="483" t="s">
        <v>260</v>
      </c>
      <c r="EO47" s="483" t="s">
        <v>260</v>
      </c>
      <c r="EP47" s="483" t="s">
        <v>260</v>
      </c>
      <c r="EQ47" s="483" t="s">
        <v>260</v>
      </c>
      <c r="ER47" s="483" t="s">
        <v>260</v>
      </c>
      <c r="ES47" s="483" t="s">
        <v>260</v>
      </c>
      <c r="ET47" s="483" t="s">
        <v>260</v>
      </c>
      <c r="EU47" s="483" t="s">
        <v>260</v>
      </c>
      <c r="EV47" s="483" t="s">
        <v>260</v>
      </c>
      <c r="EW47" s="483" t="s">
        <v>260</v>
      </c>
      <c r="EX47" s="483" t="s">
        <v>260</v>
      </c>
      <c r="EY47" s="483" t="s">
        <v>260</v>
      </c>
      <c r="EZ47" s="483" t="s">
        <v>260</v>
      </c>
      <c r="FA47" s="483" t="s">
        <v>260</v>
      </c>
      <c r="FB47" s="483" t="s">
        <v>260</v>
      </c>
      <c r="FC47" s="483" t="s">
        <v>260</v>
      </c>
      <c r="FD47" s="483">
        <v>0</v>
      </c>
      <c r="FE47" s="483" t="s">
        <v>260</v>
      </c>
      <c r="FF47" s="483" t="s">
        <v>260</v>
      </c>
      <c r="FG47" s="483" t="s">
        <v>260</v>
      </c>
      <c r="FH47" s="483" t="s">
        <v>260</v>
      </c>
      <c r="FI47" s="483" t="s">
        <v>260</v>
      </c>
      <c r="FJ47" s="483" t="s">
        <v>260</v>
      </c>
      <c r="FK47" s="483" t="s">
        <v>260</v>
      </c>
      <c r="FL47" s="483" t="s">
        <v>260</v>
      </c>
      <c r="FM47" s="483" t="s">
        <v>260</v>
      </c>
      <c r="FN47" s="483" t="s">
        <v>260</v>
      </c>
      <c r="FO47" s="483" t="s">
        <v>260</v>
      </c>
      <c r="FP47" s="483" t="s">
        <v>260</v>
      </c>
      <c r="FQ47" s="483" t="s">
        <v>260</v>
      </c>
      <c r="FR47" s="483" t="s">
        <v>260</v>
      </c>
      <c r="FS47" s="483" t="s">
        <v>260</v>
      </c>
      <c r="FT47" s="483" t="s">
        <v>260</v>
      </c>
      <c r="FU47" s="483" t="s">
        <v>260</v>
      </c>
      <c r="FV47" s="483" t="s">
        <v>260</v>
      </c>
      <c r="FW47" s="483" t="s">
        <v>260</v>
      </c>
      <c r="FX47" s="483" t="s">
        <v>260</v>
      </c>
      <c r="FY47" s="483" t="s">
        <v>260</v>
      </c>
      <c r="FZ47" s="483" t="s">
        <v>260</v>
      </c>
      <c r="GA47" s="483" t="s">
        <v>260</v>
      </c>
      <c r="GB47" s="483" t="s">
        <v>260</v>
      </c>
      <c r="GC47" s="483" t="s">
        <v>260</v>
      </c>
      <c r="GD47" s="483" t="s">
        <v>260</v>
      </c>
      <c r="GE47" s="483" t="s">
        <v>260</v>
      </c>
      <c r="GF47" s="483" t="s">
        <v>260</v>
      </c>
      <c r="GG47" s="483" t="s">
        <v>260</v>
      </c>
      <c r="GH47" s="483" t="s">
        <v>260</v>
      </c>
      <c r="GI47" s="483" t="s">
        <v>260</v>
      </c>
      <c r="GJ47" s="483" t="s">
        <v>260</v>
      </c>
      <c r="GK47" s="483" t="s">
        <v>260</v>
      </c>
      <c r="GL47" s="483" t="s">
        <v>260</v>
      </c>
      <c r="GM47" s="483" t="s">
        <v>260</v>
      </c>
      <c r="GN47" s="483" t="s">
        <v>260</v>
      </c>
      <c r="GO47" s="483" t="s">
        <v>260</v>
      </c>
      <c r="GP47" s="483" t="s">
        <v>260</v>
      </c>
      <c r="GQ47" s="483" t="s">
        <v>260</v>
      </c>
      <c r="GR47" s="483" t="s">
        <v>260</v>
      </c>
      <c r="GS47" s="483" t="s">
        <v>260</v>
      </c>
      <c r="GT47" s="483" t="s">
        <v>260</v>
      </c>
      <c r="GU47" s="483" t="s">
        <v>260</v>
      </c>
      <c r="GV47" s="483" t="s">
        <v>260</v>
      </c>
      <c r="GW47" s="483" t="s">
        <v>260</v>
      </c>
      <c r="GX47" s="483" t="s">
        <v>260</v>
      </c>
      <c r="GY47" s="483" t="s">
        <v>260</v>
      </c>
      <c r="GZ47" s="483">
        <v>0</v>
      </c>
      <c r="HA47" s="483" t="s">
        <v>260</v>
      </c>
      <c r="HB47" s="483" t="s">
        <v>260</v>
      </c>
      <c r="HC47" s="483" t="s">
        <v>260</v>
      </c>
      <c r="HD47" s="483" t="s">
        <v>260</v>
      </c>
      <c r="HE47" s="483" t="s">
        <v>260</v>
      </c>
      <c r="HF47" s="483" t="s">
        <v>260</v>
      </c>
      <c r="HG47" s="483" t="s">
        <v>260</v>
      </c>
      <c r="HH47" s="483" t="s">
        <v>260</v>
      </c>
      <c r="HI47" s="483" t="s">
        <v>260</v>
      </c>
      <c r="HJ47" s="483" t="s">
        <v>260</v>
      </c>
      <c r="HK47" s="483" t="s">
        <v>260</v>
      </c>
      <c r="HL47" s="483" t="s">
        <v>260</v>
      </c>
      <c r="HM47" s="483" t="s">
        <v>260</v>
      </c>
      <c r="HN47" s="483" t="s">
        <v>260</v>
      </c>
      <c r="HO47" s="483" t="s">
        <v>260</v>
      </c>
      <c r="HP47" s="483" t="s">
        <v>260</v>
      </c>
      <c r="HQ47" s="483" t="s">
        <v>260</v>
      </c>
      <c r="HR47" s="483" t="s">
        <v>260</v>
      </c>
      <c r="HS47" s="483" t="s">
        <v>260</v>
      </c>
      <c r="HT47" s="483" t="s">
        <v>260</v>
      </c>
      <c r="HU47" s="483" t="s">
        <v>260</v>
      </c>
      <c r="HV47" s="483" t="s">
        <v>260</v>
      </c>
      <c r="HW47" s="483" t="s">
        <v>260</v>
      </c>
      <c r="HX47" s="483" t="s">
        <v>260</v>
      </c>
      <c r="HY47" s="483" t="s">
        <v>260</v>
      </c>
      <c r="HZ47" s="483" t="s">
        <v>260</v>
      </c>
      <c r="IA47" s="483" t="s">
        <v>260</v>
      </c>
      <c r="IB47" s="483" t="s">
        <v>260</v>
      </c>
      <c r="IC47" s="483" t="s">
        <v>260</v>
      </c>
      <c r="ID47" s="483" t="s">
        <v>260</v>
      </c>
      <c r="IE47" s="483" t="s">
        <v>260</v>
      </c>
      <c r="IF47" s="483">
        <v>0</v>
      </c>
      <c r="IG47" s="483" t="s">
        <v>260</v>
      </c>
      <c r="IH47" s="483" t="s">
        <v>260</v>
      </c>
      <c r="II47" s="483" t="s">
        <v>260</v>
      </c>
      <c r="IJ47" s="483" t="s">
        <v>260</v>
      </c>
      <c r="IK47" s="483">
        <v>0</v>
      </c>
      <c r="IL47" s="483" t="s">
        <v>260</v>
      </c>
      <c r="IM47" s="483" t="s">
        <v>260</v>
      </c>
      <c r="IN47" s="483" t="s">
        <v>260</v>
      </c>
      <c r="IO47" s="483" t="s">
        <v>260</v>
      </c>
      <c r="IP47" s="483" t="s">
        <v>260</v>
      </c>
      <c r="IQ47" s="483" t="s">
        <v>260</v>
      </c>
      <c r="IR47" s="483" t="s">
        <v>260</v>
      </c>
      <c r="IS47" s="483" t="s">
        <v>260</v>
      </c>
      <c r="IT47" s="483" t="s">
        <v>260</v>
      </c>
      <c r="IU47" s="483" t="s">
        <v>260</v>
      </c>
      <c r="IV47" s="483" t="s">
        <v>260</v>
      </c>
      <c r="IW47" s="483" t="s">
        <v>260</v>
      </c>
      <c r="IX47" s="483" t="s">
        <v>260</v>
      </c>
      <c r="IY47" s="483" t="s">
        <v>260</v>
      </c>
      <c r="IZ47" s="483" t="s">
        <v>260</v>
      </c>
      <c r="JA47" s="483" t="s">
        <v>260</v>
      </c>
      <c r="JB47" s="483" t="s">
        <v>260</v>
      </c>
      <c r="JC47" s="483" t="s">
        <v>260</v>
      </c>
      <c r="JD47" s="483" t="s">
        <v>260</v>
      </c>
      <c r="JE47" s="483">
        <v>0</v>
      </c>
      <c r="JF47" s="483" t="s">
        <v>260</v>
      </c>
      <c r="JG47" s="483" t="s">
        <v>260</v>
      </c>
      <c r="JH47" s="483" t="s">
        <v>260</v>
      </c>
      <c r="JI47" s="483" t="s">
        <v>260</v>
      </c>
      <c r="JJ47" s="483" t="s">
        <v>260</v>
      </c>
      <c r="JK47" s="483" t="s">
        <v>260</v>
      </c>
      <c r="JL47" s="483" t="s">
        <v>260</v>
      </c>
      <c r="JM47" s="483" t="s">
        <v>260</v>
      </c>
      <c r="JN47" s="483" t="s">
        <v>260</v>
      </c>
      <c r="JO47" s="483" t="s">
        <v>260</v>
      </c>
      <c r="JP47" s="483" t="s">
        <v>260</v>
      </c>
      <c r="JQ47" s="483" t="s">
        <v>260</v>
      </c>
      <c r="JR47" s="483" t="s">
        <v>260</v>
      </c>
      <c r="JS47" s="483" t="s">
        <v>260</v>
      </c>
      <c r="JT47" s="483" t="s">
        <v>260</v>
      </c>
      <c r="JU47" s="483" t="s">
        <v>260</v>
      </c>
      <c r="JV47" s="483" t="s">
        <v>260</v>
      </c>
      <c r="JW47" s="483" t="s">
        <v>260</v>
      </c>
      <c r="JX47" s="483" t="s">
        <v>260</v>
      </c>
      <c r="JY47" s="483" t="s">
        <v>260</v>
      </c>
      <c r="JZ47" s="483" t="s">
        <v>260</v>
      </c>
      <c r="KA47" s="483" t="s">
        <v>260</v>
      </c>
      <c r="KB47" s="483">
        <v>0</v>
      </c>
      <c r="KC47" s="483" t="s">
        <v>260</v>
      </c>
      <c r="KD47" s="483" t="s">
        <v>260</v>
      </c>
      <c r="KE47" s="483" t="s">
        <v>260</v>
      </c>
      <c r="KF47" s="483" t="s">
        <v>260</v>
      </c>
      <c r="KG47" s="483" t="s">
        <v>260</v>
      </c>
      <c r="KH47" s="483" t="s">
        <v>260</v>
      </c>
      <c r="KI47" s="483" t="s">
        <v>260</v>
      </c>
      <c r="KJ47" s="483" t="s">
        <v>260</v>
      </c>
      <c r="KK47" s="483" t="s">
        <v>260</v>
      </c>
      <c r="KL47" s="483" t="s">
        <v>260</v>
      </c>
      <c r="KM47" s="483" t="s">
        <v>260</v>
      </c>
      <c r="KN47" s="483" t="s">
        <v>260</v>
      </c>
      <c r="KO47" s="483" t="s">
        <v>260</v>
      </c>
      <c r="KP47" s="483" t="s">
        <v>260</v>
      </c>
      <c r="KQ47" s="483" t="s">
        <v>260</v>
      </c>
      <c r="KR47" s="483" t="s">
        <v>260</v>
      </c>
      <c r="KS47" s="483" t="s">
        <v>260</v>
      </c>
      <c r="KT47" s="483" t="s">
        <v>260</v>
      </c>
      <c r="KU47" s="483" t="s">
        <v>260</v>
      </c>
      <c r="KV47" s="483" t="s">
        <v>260</v>
      </c>
      <c r="KW47" s="483" t="s">
        <v>260</v>
      </c>
      <c r="KX47" s="483" t="s">
        <v>260</v>
      </c>
      <c r="KY47" s="483" t="s">
        <v>260</v>
      </c>
      <c r="KZ47" s="483" t="s">
        <v>260</v>
      </c>
      <c r="LA47" s="483" t="s">
        <v>260</v>
      </c>
      <c r="LB47" s="483" t="s">
        <v>260</v>
      </c>
      <c r="LC47" s="483" t="s">
        <v>260</v>
      </c>
      <c r="LD47" s="483" t="s">
        <v>260</v>
      </c>
      <c r="LE47" s="483" t="s">
        <v>260</v>
      </c>
      <c r="LF47" s="483" t="s">
        <v>260</v>
      </c>
      <c r="LG47" s="483" t="s">
        <v>260</v>
      </c>
      <c r="LH47" s="483" t="s">
        <v>260</v>
      </c>
      <c r="LI47" s="483" t="s">
        <v>260</v>
      </c>
      <c r="LJ47" s="483" t="s">
        <v>260</v>
      </c>
      <c r="LK47" s="483" t="s">
        <v>260</v>
      </c>
      <c r="LL47" s="483" t="s">
        <v>260</v>
      </c>
      <c r="LM47" s="483" t="s">
        <v>260</v>
      </c>
      <c r="LN47" s="483" t="s">
        <v>260</v>
      </c>
      <c r="LO47" s="483" t="s">
        <v>260</v>
      </c>
      <c r="LP47" s="483" t="s">
        <v>260</v>
      </c>
      <c r="LQ47" s="483" t="s">
        <v>260</v>
      </c>
      <c r="LR47" s="485" t="s">
        <v>260</v>
      </c>
      <c r="LS47" s="485">
        <v>0</v>
      </c>
      <c r="LT47" s="485" t="s">
        <v>260</v>
      </c>
      <c r="LU47" s="485" t="s">
        <v>260</v>
      </c>
      <c r="LV47" s="485" t="s">
        <v>260</v>
      </c>
      <c r="LW47" s="485" t="s">
        <v>260</v>
      </c>
      <c r="LX47" s="485" t="s">
        <v>260</v>
      </c>
      <c r="LY47" s="485" t="s">
        <v>260</v>
      </c>
      <c r="LZ47" s="485" t="s">
        <v>260</v>
      </c>
      <c r="MA47" s="485" t="s">
        <v>260</v>
      </c>
      <c r="MB47" s="485" t="s">
        <v>260</v>
      </c>
      <c r="MC47" s="485">
        <v>0</v>
      </c>
      <c r="MD47" s="485" t="s">
        <v>260</v>
      </c>
      <c r="ME47" s="485" t="s">
        <v>260</v>
      </c>
      <c r="MF47" s="485" t="s">
        <v>260</v>
      </c>
      <c r="MG47" s="485" t="s">
        <v>260</v>
      </c>
      <c r="MH47" s="485" t="s">
        <v>260</v>
      </c>
      <c r="MI47" s="485" t="s">
        <v>260</v>
      </c>
      <c r="MJ47" s="485">
        <v>0</v>
      </c>
      <c r="MK47" s="485" t="s">
        <v>260</v>
      </c>
      <c r="ML47" s="485" t="s">
        <v>260</v>
      </c>
      <c r="MM47" s="485" t="s">
        <v>260</v>
      </c>
      <c r="MN47" s="485" t="s">
        <v>260</v>
      </c>
      <c r="MO47" s="485" t="s">
        <v>260</v>
      </c>
      <c r="MP47" s="485" t="s">
        <v>260</v>
      </c>
      <c r="MQ47" s="485" t="s">
        <v>260</v>
      </c>
      <c r="MR47" s="485" t="s">
        <v>260</v>
      </c>
      <c r="MS47" s="485" t="s">
        <v>260</v>
      </c>
      <c r="MT47" s="485" t="s">
        <v>260</v>
      </c>
      <c r="MU47" s="485" t="s">
        <v>260</v>
      </c>
      <c r="MV47" s="485" t="s">
        <v>260</v>
      </c>
      <c r="MW47" s="485" t="s">
        <v>260</v>
      </c>
      <c r="MX47" s="485" t="s">
        <v>260</v>
      </c>
      <c r="MY47" s="485" t="s">
        <v>260</v>
      </c>
      <c r="MZ47" s="485" t="s">
        <v>260</v>
      </c>
      <c r="NA47" s="485" t="s">
        <v>260</v>
      </c>
      <c r="NB47" s="485">
        <v>0</v>
      </c>
      <c r="NC47" s="485" t="s">
        <v>260</v>
      </c>
      <c r="ND47" s="485" t="s">
        <v>260</v>
      </c>
      <c r="NE47" s="485" t="s">
        <v>260</v>
      </c>
      <c r="NF47" s="485" t="s">
        <v>260</v>
      </c>
      <c r="NG47" s="485" t="s">
        <v>260</v>
      </c>
      <c r="NH47" s="485" t="s">
        <v>260</v>
      </c>
      <c r="NI47" s="485" t="s">
        <v>260</v>
      </c>
      <c r="NJ47" s="485" t="s">
        <v>260</v>
      </c>
      <c r="NK47" s="485" t="s">
        <v>260</v>
      </c>
      <c r="NL47" s="485" t="s">
        <v>260</v>
      </c>
      <c r="NM47" s="485" t="s">
        <v>260</v>
      </c>
      <c r="NN47" s="485" t="s">
        <v>260</v>
      </c>
      <c r="NO47" s="485">
        <v>0</v>
      </c>
      <c r="NP47" s="485">
        <v>0</v>
      </c>
      <c r="NQ47" s="485" t="s">
        <v>260</v>
      </c>
      <c r="NR47" s="485" t="s">
        <v>260</v>
      </c>
      <c r="NS47" s="485" t="s">
        <v>260</v>
      </c>
      <c r="NT47" s="485" t="s">
        <v>260</v>
      </c>
      <c r="NU47" s="485" t="s">
        <v>260</v>
      </c>
      <c r="NV47" s="485" t="s">
        <v>260</v>
      </c>
      <c r="NW47" s="485" t="s">
        <v>260</v>
      </c>
      <c r="NX47" s="485" t="s">
        <v>260</v>
      </c>
      <c r="NY47" s="485" t="s">
        <v>260</v>
      </c>
      <c r="NZ47" s="485" t="s">
        <v>260</v>
      </c>
      <c r="OA47" s="485" t="s">
        <v>260</v>
      </c>
      <c r="OB47" s="485" t="s">
        <v>260</v>
      </c>
      <c r="OC47" s="485" t="s">
        <v>260</v>
      </c>
      <c r="OD47" s="485">
        <v>0</v>
      </c>
      <c r="OE47" s="485" t="s">
        <v>260</v>
      </c>
      <c r="OF47" s="485" t="s">
        <v>260</v>
      </c>
      <c r="OG47" s="485" t="s">
        <v>260</v>
      </c>
      <c r="OH47" s="485" t="s">
        <v>260</v>
      </c>
      <c r="OI47" s="485" t="s">
        <v>260</v>
      </c>
      <c r="OJ47" s="485" t="s">
        <v>5330</v>
      </c>
      <c r="OK47" s="485" t="s">
        <v>260</v>
      </c>
      <c r="OL47" s="485" t="s">
        <v>260</v>
      </c>
      <c r="OM47" s="483" t="s">
        <v>260</v>
      </c>
      <c r="ON47" s="483" t="s">
        <v>260</v>
      </c>
      <c r="OO47" s="483" t="s">
        <v>260</v>
      </c>
      <c r="OP47" s="483" t="s">
        <v>260</v>
      </c>
      <c r="OQ47" s="483" t="s">
        <v>260</v>
      </c>
      <c r="OR47" s="483" t="s">
        <v>260</v>
      </c>
      <c r="OS47" s="483" t="s">
        <v>260</v>
      </c>
      <c r="OT47" s="483" t="s">
        <v>260</v>
      </c>
      <c r="OU47" s="483" t="s">
        <v>260</v>
      </c>
      <c r="OV47" s="483" t="s">
        <v>260</v>
      </c>
      <c r="OW47" s="483" t="s">
        <v>260</v>
      </c>
      <c r="OX47" s="483" t="s">
        <v>260</v>
      </c>
      <c r="OY47" s="483" t="s">
        <v>260</v>
      </c>
      <c r="OZ47" s="483" t="s">
        <v>260</v>
      </c>
      <c r="PA47" s="483" t="s">
        <v>260</v>
      </c>
      <c r="PB47" s="483" t="s">
        <v>260</v>
      </c>
      <c r="PC47" s="483" t="s">
        <v>260</v>
      </c>
      <c r="PD47" s="483" t="s">
        <v>260</v>
      </c>
      <c r="PE47" s="485">
        <v>0</v>
      </c>
      <c r="PF47" s="483" t="s">
        <v>260</v>
      </c>
      <c r="PG47" s="483" t="s">
        <v>260</v>
      </c>
      <c r="PH47" s="483" t="s">
        <v>260</v>
      </c>
      <c r="PI47" s="483" t="s">
        <v>260</v>
      </c>
      <c r="PJ47" s="483" t="s">
        <v>260</v>
      </c>
      <c r="PK47" s="483" t="s">
        <v>260</v>
      </c>
      <c r="PL47" s="483" t="s">
        <v>260</v>
      </c>
      <c r="PM47" s="483" t="s">
        <v>260</v>
      </c>
    </row>
    <row r="48" spans="2:429" ht="15.6" x14ac:dyDescent="0.3">
      <c r="B48" s="487" t="s">
        <v>4896</v>
      </c>
      <c r="C48" s="483">
        <f t="shared" si="0"/>
        <v>0</v>
      </c>
      <c r="D48" s="483">
        <v>0</v>
      </c>
      <c r="E48" s="483" t="s">
        <v>260</v>
      </c>
      <c r="F48" s="483" t="s">
        <v>260</v>
      </c>
      <c r="G48" s="483" t="s">
        <v>260</v>
      </c>
      <c r="H48" s="483" t="s">
        <v>260</v>
      </c>
      <c r="I48" s="483" t="s">
        <v>260</v>
      </c>
      <c r="J48" s="483" t="s">
        <v>260</v>
      </c>
      <c r="K48" s="483" t="s">
        <v>260</v>
      </c>
      <c r="L48" s="483" t="s">
        <v>260</v>
      </c>
      <c r="M48" s="483" t="s">
        <v>260</v>
      </c>
      <c r="N48" s="483" t="s">
        <v>260</v>
      </c>
      <c r="O48" s="483" t="s">
        <v>260</v>
      </c>
      <c r="P48" s="483" t="s">
        <v>260</v>
      </c>
      <c r="Q48" s="483" t="s">
        <v>260</v>
      </c>
      <c r="R48" s="483" t="s">
        <v>260</v>
      </c>
      <c r="S48" s="483" t="s">
        <v>260</v>
      </c>
      <c r="T48" s="483" t="s">
        <v>260</v>
      </c>
      <c r="U48" s="483" t="s">
        <v>260</v>
      </c>
      <c r="V48" s="483" t="s">
        <v>260</v>
      </c>
      <c r="W48" s="483" t="s">
        <v>260</v>
      </c>
      <c r="X48" s="483" t="s">
        <v>260</v>
      </c>
      <c r="Y48" s="483" t="s">
        <v>260</v>
      </c>
      <c r="Z48" s="483" t="s">
        <v>260</v>
      </c>
      <c r="AA48" s="483" t="s">
        <v>260</v>
      </c>
      <c r="AB48" s="483" t="s">
        <v>260</v>
      </c>
      <c r="AC48" s="483" t="s">
        <v>260</v>
      </c>
      <c r="AD48" s="483" t="s">
        <v>260</v>
      </c>
      <c r="AE48" s="483" t="s">
        <v>260</v>
      </c>
      <c r="AF48" s="483" t="s">
        <v>260</v>
      </c>
      <c r="AG48" s="483" t="s">
        <v>260</v>
      </c>
      <c r="AH48" s="483" t="s">
        <v>260</v>
      </c>
      <c r="AI48" s="483" t="s">
        <v>260</v>
      </c>
      <c r="AJ48" s="483" t="s">
        <v>260</v>
      </c>
      <c r="AK48" s="483" t="s">
        <v>260</v>
      </c>
      <c r="AL48" s="483" t="s">
        <v>260</v>
      </c>
      <c r="AM48" s="483" t="s">
        <v>260</v>
      </c>
      <c r="AN48" s="483" t="s">
        <v>260</v>
      </c>
      <c r="AO48" s="483" t="s">
        <v>260</v>
      </c>
      <c r="AP48" s="483" t="s">
        <v>260</v>
      </c>
      <c r="AQ48" s="483" t="s">
        <v>260</v>
      </c>
      <c r="AR48" s="483" t="s">
        <v>260</v>
      </c>
      <c r="AS48" s="483" t="s">
        <v>260</v>
      </c>
      <c r="AT48" s="483">
        <f t="shared" si="1"/>
        <v>0</v>
      </c>
      <c r="AU48" s="483" t="s">
        <v>260</v>
      </c>
      <c r="AV48" s="483" t="s">
        <v>260</v>
      </c>
      <c r="AW48" s="483" t="s">
        <v>260</v>
      </c>
      <c r="AX48" s="483" t="s">
        <v>260</v>
      </c>
      <c r="AY48" s="483" t="s">
        <v>260</v>
      </c>
      <c r="AZ48" s="483" t="s">
        <v>260</v>
      </c>
      <c r="BA48" s="483" t="s">
        <v>260</v>
      </c>
      <c r="BB48" s="483" t="s">
        <v>260</v>
      </c>
      <c r="BC48" s="483" t="s">
        <v>260</v>
      </c>
      <c r="BD48" s="483" t="s">
        <v>260</v>
      </c>
      <c r="BE48" s="483" t="s">
        <v>260</v>
      </c>
      <c r="BF48" s="483" t="s">
        <v>260</v>
      </c>
      <c r="BG48" s="483" t="s">
        <v>260</v>
      </c>
      <c r="BH48" s="483" t="s">
        <v>260</v>
      </c>
      <c r="BI48" s="483" t="s">
        <v>260</v>
      </c>
      <c r="BJ48" s="483" t="s">
        <v>260</v>
      </c>
      <c r="BK48" s="483" t="s">
        <v>260</v>
      </c>
      <c r="BL48" s="483" t="s">
        <v>260</v>
      </c>
      <c r="BM48" s="483" t="s">
        <v>260</v>
      </c>
      <c r="BN48" s="483" t="s">
        <v>260</v>
      </c>
      <c r="BO48" s="483" t="s">
        <v>260</v>
      </c>
      <c r="BP48" s="483" t="s">
        <v>260</v>
      </c>
      <c r="BQ48" s="483" t="s">
        <v>260</v>
      </c>
      <c r="BR48" s="483" t="s">
        <v>260</v>
      </c>
      <c r="BS48" s="483" t="s">
        <v>260</v>
      </c>
      <c r="BT48" s="483" t="s">
        <v>260</v>
      </c>
      <c r="BU48" s="483" t="s">
        <v>260</v>
      </c>
      <c r="BV48" s="483" t="s">
        <v>260</v>
      </c>
      <c r="BW48" s="483" t="s">
        <v>260</v>
      </c>
      <c r="BX48" s="483" t="s">
        <v>260</v>
      </c>
      <c r="BY48" s="483" t="s">
        <v>260</v>
      </c>
      <c r="BZ48" s="483" t="s">
        <v>260</v>
      </c>
      <c r="CA48" s="483" t="s">
        <v>260</v>
      </c>
      <c r="CB48" s="483" t="s">
        <v>260</v>
      </c>
      <c r="CC48" s="483" t="s">
        <v>260</v>
      </c>
      <c r="CD48" s="483" t="s">
        <v>260</v>
      </c>
      <c r="CE48" s="483" t="s">
        <v>260</v>
      </c>
      <c r="CF48" s="483" t="s">
        <v>260</v>
      </c>
      <c r="CG48" s="483" t="s">
        <v>260</v>
      </c>
      <c r="CH48" s="483" t="s">
        <v>260</v>
      </c>
      <c r="CI48" s="483" t="s">
        <v>260</v>
      </c>
      <c r="CJ48" s="483" t="s">
        <v>260</v>
      </c>
      <c r="CK48" s="483" t="s">
        <v>260</v>
      </c>
      <c r="CL48" s="483" t="s">
        <v>260</v>
      </c>
      <c r="CM48" s="483" t="s">
        <v>260</v>
      </c>
      <c r="CN48" s="483" t="s">
        <v>260</v>
      </c>
      <c r="CO48" s="483" t="s">
        <v>260</v>
      </c>
      <c r="CP48" s="483" t="s">
        <v>260</v>
      </c>
      <c r="CQ48" s="483" t="s">
        <v>260</v>
      </c>
      <c r="CR48" s="483" t="s">
        <v>260</v>
      </c>
      <c r="CS48" s="483" t="s">
        <v>260</v>
      </c>
      <c r="CT48" s="483" t="s">
        <v>260</v>
      </c>
      <c r="CU48" s="483" t="s">
        <v>260</v>
      </c>
      <c r="CV48" s="483" t="s">
        <v>260</v>
      </c>
      <c r="CW48" s="483" t="s">
        <v>260</v>
      </c>
      <c r="CX48" s="483" t="s">
        <v>260</v>
      </c>
      <c r="CY48" s="483" t="s">
        <v>260</v>
      </c>
      <c r="CZ48" s="483" t="s">
        <v>260</v>
      </c>
      <c r="DA48" s="483" t="s">
        <v>260</v>
      </c>
      <c r="DB48" s="483" t="s">
        <v>260</v>
      </c>
      <c r="DC48" s="483" t="s">
        <v>260</v>
      </c>
      <c r="DD48" s="483" t="s">
        <v>260</v>
      </c>
      <c r="DE48" s="483" t="s">
        <v>260</v>
      </c>
      <c r="DF48" s="483" t="s">
        <v>260</v>
      </c>
      <c r="DG48" s="483" t="s">
        <v>260</v>
      </c>
      <c r="DH48" s="483" t="s">
        <v>260</v>
      </c>
      <c r="DI48" s="483" t="s">
        <v>260</v>
      </c>
      <c r="DJ48" s="483" t="s">
        <v>260</v>
      </c>
      <c r="DK48" s="483" t="s">
        <v>260</v>
      </c>
      <c r="DL48" s="483" t="s">
        <v>260</v>
      </c>
      <c r="DM48" s="483" t="s">
        <v>260</v>
      </c>
      <c r="DN48" s="483">
        <v>0</v>
      </c>
      <c r="DO48" s="483" t="s">
        <v>260</v>
      </c>
      <c r="DP48" s="483" t="s">
        <v>260</v>
      </c>
      <c r="DQ48" s="483" t="s">
        <v>260</v>
      </c>
      <c r="DR48" s="483" t="s">
        <v>260</v>
      </c>
      <c r="DS48" s="483" t="s">
        <v>260</v>
      </c>
      <c r="DT48" s="483" t="s">
        <v>260</v>
      </c>
      <c r="DU48" s="483" t="s">
        <v>260</v>
      </c>
      <c r="DV48" s="483" t="s">
        <v>260</v>
      </c>
      <c r="DW48" s="483" t="s">
        <v>260</v>
      </c>
      <c r="DX48" s="483" t="s">
        <v>260</v>
      </c>
      <c r="DY48" s="483" t="s">
        <v>260</v>
      </c>
      <c r="DZ48" s="483" t="s">
        <v>260</v>
      </c>
      <c r="EA48" s="483" t="s">
        <v>260</v>
      </c>
      <c r="EB48" s="483">
        <v>0</v>
      </c>
      <c r="EC48" s="483" t="s">
        <v>260</v>
      </c>
      <c r="ED48" s="483" t="s">
        <v>260</v>
      </c>
      <c r="EE48" s="483" t="s">
        <v>260</v>
      </c>
      <c r="EF48" s="483" t="s">
        <v>260</v>
      </c>
      <c r="EG48" s="483" t="s">
        <v>260</v>
      </c>
      <c r="EH48" s="483" t="s">
        <v>260</v>
      </c>
      <c r="EI48" s="483" t="s">
        <v>260</v>
      </c>
      <c r="EJ48" s="483" t="s">
        <v>260</v>
      </c>
      <c r="EK48" s="483" t="s">
        <v>260</v>
      </c>
      <c r="EL48" s="483" t="s">
        <v>260</v>
      </c>
      <c r="EM48" s="483" t="s">
        <v>260</v>
      </c>
      <c r="EN48" s="483" t="s">
        <v>260</v>
      </c>
      <c r="EO48" s="483" t="s">
        <v>260</v>
      </c>
      <c r="EP48" s="483" t="s">
        <v>260</v>
      </c>
      <c r="EQ48" s="483" t="s">
        <v>260</v>
      </c>
      <c r="ER48" s="483" t="s">
        <v>260</v>
      </c>
      <c r="ES48" s="483" t="s">
        <v>260</v>
      </c>
      <c r="ET48" s="483" t="s">
        <v>260</v>
      </c>
      <c r="EU48" s="483" t="s">
        <v>260</v>
      </c>
      <c r="EV48" s="483" t="s">
        <v>260</v>
      </c>
      <c r="EW48" s="483" t="s">
        <v>260</v>
      </c>
      <c r="EX48" s="483" t="s">
        <v>260</v>
      </c>
      <c r="EY48" s="483" t="s">
        <v>260</v>
      </c>
      <c r="EZ48" s="483" t="s">
        <v>260</v>
      </c>
      <c r="FA48" s="483" t="s">
        <v>260</v>
      </c>
      <c r="FB48" s="483" t="s">
        <v>260</v>
      </c>
      <c r="FC48" s="483" t="s">
        <v>260</v>
      </c>
      <c r="FD48" s="483">
        <v>0</v>
      </c>
      <c r="FE48" s="483" t="s">
        <v>260</v>
      </c>
      <c r="FF48" s="483" t="s">
        <v>260</v>
      </c>
      <c r="FG48" s="483" t="s">
        <v>260</v>
      </c>
      <c r="FH48" s="483" t="s">
        <v>260</v>
      </c>
      <c r="FI48" s="483" t="s">
        <v>260</v>
      </c>
      <c r="FJ48" s="483" t="s">
        <v>260</v>
      </c>
      <c r="FK48" s="483" t="s">
        <v>260</v>
      </c>
      <c r="FL48" s="483" t="s">
        <v>260</v>
      </c>
      <c r="FM48" s="483" t="s">
        <v>260</v>
      </c>
      <c r="FN48" s="483" t="s">
        <v>260</v>
      </c>
      <c r="FO48" s="483" t="s">
        <v>260</v>
      </c>
      <c r="FP48" s="483" t="s">
        <v>260</v>
      </c>
      <c r="FQ48" s="483" t="s">
        <v>260</v>
      </c>
      <c r="FR48" s="483" t="s">
        <v>260</v>
      </c>
      <c r="FS48" s="483" t="s">
        <v>260</v>
      </c>
      <c r="FT48" s="483" t="s">
        <v>260</v>
      </c>
      <c r="FU48" s="483" t="s">
        <v>260</v>
      </c>
      <c r="FV48" s="483" t="s">
        <v>260</v>
      </c>
      <c r="FW48" s="483" t="s">
        <v>260</v>
      </c>
      <c r="FX48" s="483" t="s">
        <v>260</v>
      </c>
      <c r="FY48" s="483" t="s">
        <v>260</v>
      </c>
      <c r="FZ48" s="483" t="s">
        <v>260</v>
      </c>
      <c r="GA48" s="483" t="s">
        <v>260</v>
      </c>
      <c r="GB48" s="483" t="s">
        <v>260</v>
      </c>
      <c r="GC48" s="483" t="s">
        <v>260</v>
      </c>
      <c r="GD48" s="483" t="s">
        <v>260</v>
      </c>
      <c r="GE48" s="483" t="s">
        <v>260</v>
      </c>
      <c r="GF48" s="483" t="s">
        <v>260</v>
      </c>
      <c r="GG48" s="483" t="s">
        <v>260</v>
      </c>
      <c r="GH48" s="483" t="s">
        <v>260</v>
      </c>
      <c r="GI48" s="483" t="s">
        <v>260</v>
      </c>
      <c r="GJ48" s="483" t="s">
        <v>260</v>
      </c>
      <c r="GK48" s="483" t="s">
        <v>260</v>
      </c>
      <c r="GL48" s="483" t="s">
        <v>260</v>
      </c>
      <c r="GM48" s="483" t="s">
        <v>260</v>
      </c>
      <c r="GN48" s="483" t="s">
        <v>260</v>
      </c>
      <c r="GO48" s="483" t="s">
        <v>260</v>
      </c>
      <c r="GP48" s="483" t="s">
        <v>260</v>
      </c>
      <c r="GQ48" s="483" t="s">
        <v>260</v>
      </c>
      <c r="GR48" s="483" t="s">
        <v>260</v>
      </c>
      <c r="GS48" s="483" t="s">
        <v>260</v>
      </c>
      <c r="GT48" s="483" t="s">
        <v>260</v>
      </c>
      <c r="GU48" s="483" t="s">
        <v>260</v>
      </c>
      <c r="GV48" s="483" t="s">
        <v>260</v>
      </c>
      <c r="GW48" s="483" t="s">
        <v>260</v>
      </c>
      <c r="GX48" s="483" t="s">
        <v>260</v>
      </c>
      <c r="GY48" s="483" t="s">
        <v>260</v>
      </c>
      <c r="GZ48" s="483">
        <v>0</v>
      </c>
      <c r="HA48" s="483" t="s">
        <v>260</v>
      </c>
      <c r="HB48" s="483" t="s">
        <v>260</v>
      </c>
      <c r="HC48" s="483" t="s">
        <v>260</v>
      </c>
      <c r="HD48" s="483" t="s">
        <v>260</v>
      </c>
      <c r="HE48" s="483" t="s">
        <v>260</v>
      </c>
      <c r="HF48" s="483" t="s">
        <v>260</v>
      </c>
      <c r="HG48" s="483" t="s">
        <v>260</v>
      </c>
      <c r="HH48" s="483" t="s">
        <v>260</v>
      </c>
      <c r="HI48" s="483" t="s">
        <v>260</v>
      </c>
      <c r="HJ48" s="483" t="s">
        <v>260</v>
      </c>
      <c r="HK48" s="483" t="s">
        <v>260</v>
      </c>
      <c r="HL48" s="483" t="s">
        <v>260</v>
      </c>
      <c r="HM48" s="483" t="s">
        <v>260</v>
      </c>
      <c r="HN48" s="483" t="s">
        <v>260</v>
      </c>
      <c r="HO48" s="483" t="s">
        <v>260</v>
      </c>
      <c r="HP48" s="483" t="s">
        <v>260</v>
      </c>
      <c r="HQ48" s="483" t="s">
        <v>260</v>
      </c>
      <c r="HR48" s="483" t="s">
        <v>260</v>
      </c>
      <c r="HS48" s="483" t="s">
        <v>260</v>
      </c>
      <c r="HT48" s="483" t="s">
        <v>260</v>
      </c>
      <c r="HU48" s="483" t="s">
        <v>260</v>
      </c>
      <c r="HV48" s="483" t="s">
        <v>260</v>
      </c>
      <c r="HW48" s="483" t="s">
        <v>260</v>
      </c>
      <c r="HX48" s="483" t="s">
        <v>260</v>
      </c>
      <c r="HY48" s="483" t="s">
        <v>260</v>
      </c>
      <c r="HZ48" s="483" t="s">
        <v>260</v>
      </c>
      <c r="IA48" s="483" t="s">
        <v>260</v>
      </c>
      <c r="IB48" s="483" t="s">
        <v>260</v>
      </c>
      <c r="IC48" s="483" t="s">
        <v>260</v>
      </c>
      <c r="ID48" s="483" t="s">
        <v>260</v>
      </c>
      <c r="IE48" s="483" t="s">
        <v>260</v>
      </c>
      <c r="IF48" s="483">
        <v>0</v>
      </c>
      <c r="IG48" s="483" t="s">
        <v>260</v>
      </c>
      <c r="IH48" s="483" t="s">
        <v>260</v>
      </c>
      <c r="II48" s="483" t="s">
        <v>260</v>
      </c>
      <c r="IJ48" s="483" t="s">
        <v>260</v>
      </c>
      <c r="IK48" s="483">
        <v>0</v>
      </c>
      <c r="IL48" s="483" t="s">
        <v>260</v>
      </c>
      <c r="IM48" s="483" t="s">
        <v>260</v>
      </c>
      <c r="IN48" s="483" t="s">
        <v>260</v>
      </c>
      <c r="IO48" s="483" t="s">
        <v>260</v>
      </c>
      <c r="IP48" s="483" t="s">
        <v>260</v>
      </c>
      <c r="IQ48" s="483" t="s">
        <v>260</v>
      </c>
      <c r="IR48" s="483" t="s">
        <v>260</v>
      </c>
      <c r="IS48" s="483" t="s">
        <v>260</v>
      </c>
      <c r="IT48" s="483" t="s">
        <v>260</v>
      </c>
      <c r="IU48" s="483" t="s">
        <v>260</v>
      </c>
      <c r="IV48" s="483" t="s">
        <v>260</v>
      </c>
      <c r="IW48" s="483" t="s">
        <v>260</v>
      </c>
      <c r="IX48" s="483" t="s">
        <v>260</v>
      </c>
      <c r="IY48" s="483" t="s">
        <v>260</v>
      </c>
      <c r="IZ48" s="483" t="s">
        <v>260</v>
      </c>
      <c r="JA48" s="483" t="s">
        <v>260</v>
      </c>
      <c r="JB48" s="483" t="s">
        <v>260</v>
      </c>
      <c r="JC48" s="483" t="s">
        <v>260</v>
      </c>
      <c r="JD48" s="483" t="s">
        <v>260</v>
      </c>
      <c r="JE48" s="483">
        <v>0</v>
      </c>
      <c r="JF48" s="483" t="s">
        <v>260</v>
      </c>
      <c r="JG48" s="483" t="s">
        <v>260</v>
      </c>
      <c r="JH48" s="483" t="s">
        <v>260</v>
      </c>
      <c r="JI48" s="483" t="s">
        <v>260</v>
      </c>
      <c r="JJ48" s="483" t="s">
        <v>260</v>
      </c>
      <c r="JK48" s="483" t="s">
        <v>260</v>
      </c>
      <c r="JL48" s="483" t="s">
        <v>260</v>
      </c>
      <c r="JM48" s="483" t="s">
        <v>260</v>
      </c>
      <c r="JN48" s="483" t="s">
        <v>260</v>
      </c>
      <c r="JO48" s="483" t="s">
        <v>260</v>
      </c>
      <c r="JP48" s="483" t="s">
        <v>260</v>
      </c>
      <c r="JQ48" s="483" t="s">
        <v>260</v>
      </c>
      <c r="JR48" s="483" t="s">
        <v>260</v>
      </c>
      <c r="JS48" s="483" t="s">
        <v>260</v>
      </c>
      <c r="JT48" s="483" t="s">
        <v>260</v>
      </c>
      <c r="JU48" s="483" t="s">
        <v>260</v>
      </c>
      <c r="JV48" s="483" t="s">
        <v>260</v>
      </c>
      <c r="JW48" s="483" t="s">
        <v>260</v>
      </c>
      <c r="JX48" s="483" t="s">
        <v>260</v>
      </c>
      <c r="JY48" s="483" t="s">
        <v>260</v>
      </c>
      <c r="JZ48" s="483" t="s">
        <v>260</v>
      </c>
      <c r="KA48" s="483" t="s">
        <v>260</v>
      </c>
      <c r="KB48" s="483">
        <v>0</v>
      </c>
      <c r="KC48" s="483" t="s">
        <v>260</v>
      </c>
      <c r="KD48" s="483" t="s">
        <v>260</v>
      </c>
      <c r="KE48" s="483" t="s">
        <v>260</v>
      </c>
      <c r="KF48" s="483" t="s">
        <v>260</v>
      </c>
      <c r="KG48" s="483" t="s">
        <v>260</v>
      </c>
      <c r="KH48" s="483" t="s">
        <v>260</v>
      </c>
      <c r="KI48" s="483" t="s">
        <v>260</v>
      </c>
      <c r="KJ48" s="483" t="s">
        <v>260</v>
      </c>
      <c r="KK48" s="483" t="s">
        <v>260</v>
      </c>
      <c r="KL48" s="483" t="s">
        <v>260</v>
      </c>
      <c r="KM48" s="483" t="s">
        <v>260</v>
      </c>
      <c r="KN48" s="483" t="s">
        <v>260</v>
      </c>
      <c r="KO48" s="483" t="s">
        <v>260</v>
      </c>
      <c r="KP48" s="483" t="s">
        <v>260</v>
      </c>
      <c r="KQ48" s="483" t="s">
        <v>260</v>
      </c>
      <c r="KR48" s="483" t="s">
        <v>260</v>
      </c>
      <c r="KS48" s="483" t="s">
        <v>260</v>
      </c>
      <c r="KT48" s="483" t="s">
        <v>260</v>
      </c>
      <c r="KU48" s="483" t="s">
        <v>260</v>
      </c>
      <c r="KV48" s="483" t="s">
        <v>260</v>
      </c>
      <c r="KW48" s="483" t="s">
        <v>260</v>
      </c>
      <c r="KX48" s="483" t="s">
        <v>260</v>
      </c>
      <c r="KY48" s="483" t="s">
        <v>260</v>
      </c>
      <c r="KZ48" s="483" t="s">
        <v>260</v>
      </c>
      <c r="LA48" s="483" t="s">
        <v>260</v>
      </c>
      <c r="LB48" s="483" t="s">
        <v>260</v>
      </c>
      <c r="LC48" s="483" t="s">
        <v>260</v>
      </c>
      <c r="LD48" s="483" t="s">
        <v>260</v>
      </c>
      <c r="LE48" s="483" t="s">
        <v>260</v>
      </c>
      <c r="LF48" s="483" t="s">
        <v>260</v>
      </c>
      <c r="LG48" s="483" t="s">
        <v>260</v>
      </c>
      <c r="LH48" s="483" t="s">
        <v>260</v>
      </c>
      <c r="LI48" s="483" t="s">
        <v>260</v>
      </c>
      <c r="LJ48" s="483" t="s">
        <v>260</v>
      </c>
      <c r="LK48" s="483" t="s">
        <v>260</v>
      </c>
      <c r="LL48" s="483" t="s">
        <v>260</v>
      </c>
      <c r="LM48" s="483" t="s">
        <v>260</v>
      </c>
      <c r="LN48" s="483" t="s">
        <v>260</v>
      </c>
      <c r="LO48" s="483" t="s">
        <v>260</v>
      </c>
      <c r="LP48" s="483" t="s">
        <v>260</v>
      </c>
      <c r="LQ48" s="483" t="s">
        <v>260</v>
      </c>
      <c r="LR48" s="485" t="s">
        <v>260</v>
      </c>
      <c r="LS48" s="485">
        <v>0</v>
      </c>
      <c r="LT48" s="485" t="s">
        <v>260</v>
      </c>
      <c r="LU48" s="485" t="s">
        <v>260</v>
      </c>
      <c r="LV48" s="485" t="s">
        <v>260</v>
      </c>
      <c r="LW48" s="485" t="s">
        <v>260</v>
      </c>
      <c r="LX48" s="485" t="s">
        <v>260</v>
      </c>
      <c r="LY48" s="485" t="s">
        <v>260</v>
      </c>
      <c r="LZ48" s="485" t="s">
        <v>260</v>
      </c>
      <c r="MA48" s="485" t="s">
        <v>260</v>
      </c>
      <c r="MB48" s="485" t="s">
        <v>260</v>
      </c>
      <c r="MC48" s="485">
        <v>0</v>
      </c>
      <c r="MD48" s="485" t="s">
        <v>260</v>
      </c>
      <c r="ME48" s="485" t="s">
        <v>260</v>
      </c>
      <c r="MF48" s="485" t="s">
        <v>260</v>
      </c>
      <c r="MG48" s="485" t="s">
        <v>260</v>
      </c>
      <c r="MH48" s="485" t="s">
        <v>260</v>
      </c>
      <c r="MI48" s="485" t="s">
        <v>260</v>
      </c>
      <c r="MJ48" s="485">
        <v>0</v>
      </c>
      <c r="MK48" s="485" t="s">
        <v>260</v>
      </c>
      <c r="ML48" s="485" t="s">
        <v>260</v>
      </c>
      <c r="MM48" s="485" t="s">
        <v>260</v>
      </c>
      <c r="MN48" s="485" t="s">
        <v>260</v>
      </c>
      <c r="MO48" s="485" t="s">
        <v>260</v>
      </c>
      <c r="MP48" s="485" t="s">
        <v>260</v>
      </c>
      <c r="MQ48" s="485" t="s">
        <v>260</v>
      </c>
      <c r="MR48" s="485" t="s">
        <v>260</v>
      </c>
      <c r="MS48" s="485" t="s">
        <v>260</v>
      </c>
      <c r="MT48" s="485" t="s">
        <v>260</v>
      </c>
      <c r="MU48" s="485" t="s">
        <v>260</v>
      </c>
      <c r="MV48" s="485" t="s">
        <v>260</v>
      </c>
      <c r="MW48" s="485" t="s">
        <v>260</v>
      </c>
      <c r="MX48" s="485" t="s">
        <v>260</v>
      </c>
      <c r="MY48" s="485" t="s">
        <v>260</v>
      </c>
      <c r="MZ48" s="485" t="s">
        <v>260</v>
      </c>
      <c r="NA48" s="485" t="s">
        <v>260</v>
      </c>
      <c r="NB48" s="485">
        <v>0</v>
      </c>
      <c r="NC48" s="485" t="s">
        <v>260</v>
      </c>
      <c r="ND48" s="485" t="s">
        <v>260</v>
      </c>
      <c r="NE48" s="485" t="s">
        <v>260</v>
      </c>
      <c r="NF48" s="485" t="s">
        <v>260</v>
      </c>
      <c r="NG48" s="485" t="s">
        <v>260</v>
      </c>
      <c r="NH48" s="485" t="s">
        <v>260</v>
      </c>
      <c r="NI48" s="485" t="s">
        <v>260</v>
      </c>
      <c r="NJ48" s="485" t="s">
        <v>260</v>
      </c>
      <c r="NK48" s="485" t="s">
        <v>260</v>
      </c>
      <c r="NL48" s="485" t="s">
        <v>260</v>
      </c>
      <c r="NM48" s="485" t="s">
        <v>260</v>
      </c>
      <c r="NN48" s="485" t="s">
        <v>260</v>
      </c>
      <c r="NO48" s="485">
        <v>0</v>
      </c>
      <c r="NP48" s="485">
        <v>0</v>
      </c>
      <c r="NQ48" s="485" t="s">
        <v>260</v>
      </c>
      <c r="NR48" s="485" t="s">
        <v>260</v>
      </c>
      <c r="NS48" s="485" t="s">
        <v>260</v>
      </c>
      <c r="NT48" s="485" t="s">
        <v>260</v>
      </c>
      <c r="NU48" s="485" t="s">
        <v>260</v>
      </c>
      <c r="NV48" s="485" t="s">
        <v>260</v>
      </c>
      <c r="NW48" s="485" t="s">
        <v>260</v>
      </c>
      <c r="NX48" s="485" t="s">
        <v>260</v>
      </c>
      <c r="NY48" s="485" t="s">
        <v>260</v>
      </c>
      <c r="NZ48" s="485" t="s">
        <v>260</v>
      </c>
      <c r="OA48" s="485" t="s">
        <v>260</v>
      </c>
      <c r="OB48" s="485" t="s">
        <v>260</v>
      </c>
      <c r="OC48" s="485" t="s">
        <v>260</v>
      </c>
      <c r="OD48" s="485">
        <v>0</v>
      </c>
      <c r="OE48" s="485" t="s">
        <v>260</v>
      </c>
      <c r="OF48" s="485" t="s">
        <v>260</v>
      </c>
      <c r="OG48" s="485" t="s">
        <v>260</v>
      </c>
      <c r="OH48" s="485" t="s">
        <v>260</v>
      </c>
      <c r="OI48" s="485" t="s">
        <v>260</v>
      </c>
      <c r="OJ48" s="485" t="s">
        <v>260</v>
      </c>
      <c r="OK48" s="485" t="s">
        <v>260</v>
      </c>
      <c r="OL48" s="485" t="s">
        <v>260</v>
      </c>
      <c r="OM48" s="483" t="s">
        <v>260</v>
      </c>
      <c r="ON48" s="483" t="s">
        <v>260</v>
      </c>
      <c r="OO48" s="483" t="s">
        <v>260</v>
      </c>
      <c r="OP48" s="483" t="s">
        <v>260</v>
      </c>
      <c r="OQ48" s="483" t="s">
        <v>260</v>
      </c>
      <c r="OR48" s="483" t="s">
        <v>260</v>
      </c>
      <c r="OS48" s="483" t="s">
        <v>260</v>
      </c>
      <c r="OT48" s="483" t="s">
        <v>260</v>
      </c>
      <c r="OU48" s="483" t="s">
        <v>260</v>
      </c>
      <c r="OV48" s="483" t="s">
        <v>260</v>
      </c>
      <c r="OW48" s="483" t="s">
        <v>260</v>
      </c>
      <c r="OX48" s="483" t="s">
        <v>260</v>
      </c>
      <c r="OY48" s="483" t="s">
        <v>260</v>
      </c>
      <c r="OZ48" s="483" t="s">
        <v>260</v>
      </c>
      <c r="PA48" s="483" t="s">
        <v>260</v>
      </c>
      <c r="PB48" s="483" t="s">
        <v>260</v>
      </c>
      <c r="PC48" s="483" t="s">
        <v>260</v>
      </c>
      <c r="PD48" s="483" t="s">
        <v>260</v>
      </c>
      <c r="PE48" s="485">
        <v>0</v>
      </c>
      <c r="PF48" s="483" t="s">
        <v>260</v>
      </c>
      <c r="PG48" s="483" t="s">
        <v>260</v>
      </c>
      <c r="PH48" s="483" t="s">
        <v>260</v>
      </c>
      <c r="PI48" s="483" t="s">
        <v>260</v>
      </c>
      <c r="PJ48" s="483" t="s">
        <v>260</v>
      </c>
      <c r="PK48" s="483" t="s">
        <v>260</v>
      </c>
      <c r="PL48" s="483" t="s">
        <v>260</v>
      </c>
      <c r="PM48" s="483" t="s">
        <v>260</v>
      </c>
    </row>
    <row r="49" spans="2:429" ht="15.6" x14ac:dyDescent="0.3">
      <c r="B49" s="616" t="s">
        <v>4897</v>
      </c>
      <c r="C49" s="484">
        <f t="shared" si="0"/>
        <v>45</v>
      </c>
      <c r="D49" s="484">
        <v>0</v>
      </c>
      <c r="E49" s="484" t="s">
        <v>260</v>
      </c>
      <c r="F49" s="484" t="s">
        <v>260</v>
      </c>
      <c r="G49" s="484" t="s">
        <v>260</v>
      </c>
      <c r="H49" s="484" t="s">
        <v>260</v>
      </c>
      <c r="I49" s="484" t="s">
        <v>260</v>
      </c>
      <c r="J49" s="484" t="s">
        <v>260</v>
      </c>
      <c r="K49" s="484" t="s">
        <v>260</v>
      </c>
      <c r="L49" s="484" t="s">
        <v>260</v>
      </c>
      <c r="M49" s="484" t="s">
        <v>260</v>
      </c>
      <c r="N49" s="484" t="s">
        <v>260</v>
      </c>
      <c r="O49" s="484" t="s">
        <v>260</v>
      </c>
      <c r="P49" s="484" t="s">
        <v>260</v>
      </c>
      <c r="Q49" s="484" t="s">
        <v>260</v>
      </c>
      <c r="R49" s="484" t="s">
        <v>260</v>
      </c>
      <c r="S49" s="484" t="s">
        <v>260</v>
      </c>
      <c r="T49" s="484">
        <v>45</v>
      </c>
      <c r="U49" s="484" t="s">
        <v>260</v>
      </c>
      <c r="V49" s="484" t="s">
        <v>260</v>
      </c>
      <c r="W49" s="484" t="s">
        <v>260</v>
      </c>
      <c r="X49" s="484" t="s">
        <v>260</v>
      </c>
      <c r="Y49" s="484" t="s">
        <v>260</v>
      </c>
      <c r="Z49" s="484" t="s">
        <v>260</v>
      </c>
      <c r="AA49" s="484" t="s">
        <v>260</v>
      </c>
      <c r="AB49" s="484" t="s">
        <v>260</v>
      </c>
      <c r="AC49" s="484" t="s">
        <v>260</v>
      </c>
      <c r="AD49" s="484" t="s">
        <v>260</v>
      </c>
      <c r="AE49" s="484" t="s">
        <v>260</v>
      </c>
      <c r="AF49" s="484" t="s">
        <v>260</v>
      </c>
      <c r="AG49" s="484" t="s">
        <v>260</v>
      </c>
      <c r="AH49" s="484" t="s">
        <v>260</v>
      </c>
      <c r="AI49" s="484" t="s">
        <v>260</v>
      </c>
      <c r="AJ49" s="484" t="s">
        <v>260</v>
      </c>
      <c r="AK49" s="484" t="s">
        <v>260</v>
      </c>
      <c r="AL49" s="484" t="s">
        <v>260</v>
      </c>
      <c r="AM49" s="484" t="s">
        <v>260</v>
      </c>
      <c r="AN49" s="484" t="s">
        <v>260</v>
      </c>
      <c r="AO49" s="484" t="s">
        <v>260</v>
      </c>
      <c r="AP49" s="484" t="s">
        <v>260</v>
      </c>
      <c r="AQ49" s="484" t="s">
        <v>260</v>
      </c>
      <c r="AR49" s="484" t="s">
        <v>260</v>
      </c>
      <c r="AS49" s="484" t="s">
        <v>260</v>
      </c>
      <c r="AT49" s="484">
        <f t="shared" si="1"/>
        <v>20</v>
      </c>
      <c r="AU49" s="484" t="s">
        <v>260</v>
      </c>
      <c r="AV49" s="484" t="s">
        <v>260</v>
      </c>
      <c r="AW49" s="484" t="s">
        <v>260</v>
      </c>
      <c r="AX49" s="484" t="s">
        <v>260</v>
      </c>
      <c r="AY49" s="484" t="s">
        <v>260</v>
      </c>
      <c r="AZ49" s="484" t="s">
        <v>260</v>
      </c>
      <c r="BA49" s="484" t="s">
        <v>260</v>
      </c>
      <c r="BB49" s="484" t="s">
        <v>260</v>
      </c>
      <c r="BC49" s="484" t="s">
        <v>260</v>
      </c>
      <c r="BD49" s="484" t="s">
        <v>260</v>
      </c>
      <c r="BE49" s="484" t="s">
        <v>260</v>
      </c>
      <c r="BF49" s="484" t="s">
        <v>260</v>
      </c>
      <c r="BG49" s="484" t="s">
        <v>260</v>
      </c>
      <c r="BH49" s="484">
        <v>20</v>
      </c>
      <c r="BI49" s="484" t="s">
        <v>260</v>
      </c>
      <c r="BJ49" s="484" t="s">
        <v>260</v>
      </c>
      <c r="BK49" s="484" t="s">
        <v>260</v>
      </c>
      <c r="BL49" s="484" t="s">
        <v>260</v>
      </c>
      <c r="BM49" s="484" t="s">
        <v>260</v>
      </c>
      <c r="BN49" s="484" t="s">
        <v>260</v>
      </c>
      <c r="BO49" s="484" t="s">
        <v>260</v>
      </c>
      <c r="BP49" s="484" t="s">
        <v>260</v>
      </c>
      <c r="BQ49" s="484" t="s">
        <v>260</v>
      </c>
      <c r="BR49" s="484" t="s">
        <v>260</v>
      </c>
      <c r="BS49" s="484" t="s">
        <v>260</v>
      </c>
      <c r="BT49" s="484" t="s">
        <v>260</v>
      </c>
      <c r="BU49" s="484" t="s">
        <v>260</v>
      </c>
      <c r="BV49" s="484" t="s">
        <v>260</v>
      </c>
      <c r="BW49" s="484" t="s">
        <v>260</v>
      </c>
      <c r="BX49" s="484" t="s">
        <v>260</v>
      </c>
      <c r="BY49" s="484" t="s">
        <v>260</v>
      </c>
      <c r="BZ49" s="484" t="s">
        <v>260</v>
      </c>
      <c r="CA49" s="484" t="s">
        <v>260</v>
      </c>
      <c r="CB49" s="484" t="s">
        <v>260</v>
      </c>
      <c r="CC49" s="484" t="s">
        <v>260</v>
      </c>
      <c r="CD49" s="484" t="s">
        <v>260</v>
      </c>
      <c r="CE49" s="484" t="s">
        <v>260</v>
      </c>
      <c r="CF49" s="484" t="s">
        <v>260</v>
      </c>
      <c r="CG49" s="484" t="s">
        <v>260</v>
      </c>
      <c r="CH49" s="484" t="s">
        <v>260</v>
      </c>
      <c r="CI49" s="484" t="s">
        <v>260</v>
      </c>
      <c r="CJ49" s="484" t="s">
        <v>260</v>
      </c>
      <c r="CK49" s="484" t="s">
        <v>260</v>
      </c>
      <c r="CL49" s="484" t="s">
        <v>260</v>
      </c>
      <c r="CM49" s="484" t="s">
        <v>260</v>
      </c>
      <c r="CN49" s="484" t="s">
        <v>260</v>
      </c>
      <c r="CO49" s="484" t="s">
        <v>260</v>
      </c>
      <c r="CP49" s="484" t="s">
        <v>260</v>
      </c>
      <c r="CQ49" s="484" t="s">
        <v>260</v>
      </c>
      <c r="CR49" s="484" t="s">
        <v>260</v>
      </c>
      <c r="CS49" s="484" t="s">
        <v>260</v>
      </c>
      <c r="CT49" s="484" t="s">
        <v>260</v>
      </c>
      <c r="CU49" s="484" t="s">
        <v>260</v>
      </c>
      <c r="CV49" s="484" t="s">
        <v>260</v>
      </c>
      <c r="CW49" s="484" t="s">
        <v>260</v>
      </c>
      <c r="CX49" s="484" t="s">
        <v>260</v>
      </c>
      <c r="CY49" s="484" t="s">
        <v>260</v>
      </c>
      <c r="CZ49" s="484" t="s">
        <v>260</v>
      </c>
      <c r="DA49" s="484" t="s">
        <v>260</v>
      </c>
      <c r="DB49" s="484" t="s">
        <v>260</v>
      </c>
      <c r="DC49" s="484" t="s">
        <v>260</v>
      </c>
      <c r="DD49" s="484" t="s">
        <v>260</v>
      </c>
      <c r="DE49" s="484" t="s">
        <v>260</v>
      </c>
      <c r="DF49" s="484" t="s">
        <v>260</v>
      </c>
      <c r="DG49" s="484" t="s">
        <v>260</v>
      </c>
      <c r="DH49" s="484" t="s">
        <v>260</v>
      </c>
      <c r="DI49" s="484" t="s">
        <v>260</v>
      </c>
      <c r="DJ49" s="484" t="s">
        <v>260</v>
      </c>
      <c r="DK49" s="484" t="s">
        <v>260</v>
      </c>
      <c r="DL49" s="484" t="s">
        <v>260</v>
      </c>
      <c r="DM49" s="484" t="s">
        <v>260</v>
      </c>
      <c r="DN49" s="484">
        <v>0</v>
      </c>
      <c r="DO49" s="484" t="s">
        <v>260</v>
      </c>
      <c r="DP49" s="484" t="s">
        <v>260</v>
      </c>
      <c r="DQ49" s="484" t="s">
        <v>260</v>
      </c>
      <c r="DR49" s="484" t="s">
        <v>260</v>
      </c>
      <c r="DS49" s="484" t="s">
        <v>260</v>
      </c>
      <c r="DT49" s="484" t="s">
        <v>260</v>
      </c>
      <c r="DU49" s="484" t="s">
        <v>260</v>
      </c>
      <c r="DV49" s="484" t="s">
        <v>260</v>
      </c>
      <c r="DW49" s="484" t="s">
        <v>260</v>
      </c>
      <c r="DX49" s="484" t="s">
        <v>260</v>
      </c>
      <c r="DY49" s="484" t="s">
        <v>260</v>
      </c>
      <c r="DZ49" s="484" t="s">
        <v>260</v>
      </c>
      <c r="EA49" s="484" t="s">
        <v>260</v>
      </c>
      <c r="EB49" s="484">
        <v>0</v>
      </c>
      <c r="EC49" s="484" t="s">
        <v>260</v>
      </c>
      <c r="ED49" s="484" t="s">
        <v>260</v>
      </c>
      <c r="EE49" s="484" t="s">
        <v>260</v>
      </c>
      <c r="EF49" s="484" t="s">
        <v>260</v>
      </c>
      <c r="EG49" s="484" t="s">
        <v>260</v>
      </c>
      <c r="EH49" s="484" t="s">
        <v>260</v>
      </c>
      <c r="EI49" s="484" t="s">
        <v>260</v>
      </c>
      <c r="EJ49" s="484" t="s">
        <v>260</v>
      </c>
      <c r="EK49" s="484" t="s">
        <v>260</v>
      </c>
      <c r="EL49" s="484" t="s">
        <v>260</v>
      </c>
      <c r="EM49" s="484" t="s">
        <v>260</v>
      </c>
      <c r="EN49" s="484" t="s">
        <v>260</v>
      </c>
      <c r="EO49" s="484" t="s">
        <v>260</v>
      </c>
      <c r="EP49" s="484" t="s">
        <v>260</v>
      </c>
      <c r="EQ49" s="484" t="s">
        <v>260</v>
      </c>
      <c r="ER49" s="484" t="s">
        <v>260</v>
      </c>
      <c r="ES49" s="484" t="s">
        <v>260</v>
      </c>
      <c r="ET49" s="484" t="s">
        <v>260</v>
      </c>
      <c r="EU49" s="484" t="s">
        <v>260</v>
      </c>
      <c r="EV49" s="484" t="s">
        <v>260</v>
      </c>
      <c r="EW49" s="484" t="s">
        <v>260</v>
      </c>
      <c r="EX49" s="484" t="s">
        <v>260</v>
      </c>
      <c r="EY49" s="484" t="s">
        <v>260</v>
      </c>
      <c r="EZ49" s="484" t="s">
        <v>260</v>
      </c>
      <c r="FA49" s="484" t="s">
        <v>260</v>
      </c>
      <c r="FB49" s="484" t="s">
        <v>260</v>
      </c>
      <c r="FC49" s="484" t="s">
        <v>260</v>
      </c>
      <c r="FD49" s="484">
        <v>0</v>
      </c>
      <c r="FE49" s="484" t="s">
        <v>260</v>
      </c>
      <c r="FF49" s="484" t="s">
        <v>260</v>
      </c>
      <c r="FG49" s="484" t="s">
        <v>260</v>
      </c>
      <c r="FH49" s="484" t="s">
        <v>260</v>
      </c>
      <c r="FI49" s="484" t="s">
        <v>260</v>
      </c>
      <c r="FJ49" s="484" t="s">
        <v>260</v>
      </c>
      <c r="FK49" s="484" t="s">
        <v>260</v>
      </c>
      <c r="FL49" s="484" t="s">
        <v>260</v>
      </c>
      <c r="FM49" s="484" t="s">
        <v>260</v>
      </c>
      <c r="FN49" s="484" t="s">
        <v>260</v>
      </c>
      <c r="FO49" s="484" t="s">
        <v>260</v>
      </c>
      <c r="FP49" s="484" t="s">
        <v>260</v>
      </c>
      <c r="FQ49" s="484" t="s">
        <v>260</v>
      </c>
      <c r="FR49" s="484" t="s">
        <v>260</v>
      </c>
      <c r="FS49" s="484" t="s">
        <v>260</v>
      </c>
      <c r="FT49" s="484" t="s">
        <v>260</v>
      </c>
      <c r="FU49" s="484" t="s">
        <v>260</v>
      </c>
      <c r="FV49" s="484" t="s">
        <v>260</v>
      </c>
      <c r="FW49" s="484" t="s">
        <v>260</v>
      </c>
      <c r="FX49" s="484" t="s">
        <v>260</v>
      </c>
      <c r="FY49" s="484" t="s">
        <v>260</v>
      </c>
      <c r="FZ49" s="484" t="s">
        <v>260</v>
      </c>
      <c r="GA49" s="484" t="s">
        <v>260</v>
      </c>
      <c r="GB49" s="484" t="s">
        <v>260</v>
      </c>
      <c r="GC49" s="484" t="s">
        <v>260</v>
      </c>
      <c r="GD49" s="484" t="s">
        <v>260</v>
      </c>
      <c r="GE49" s="484" t="s">
        <v>260</v>
      </c>
      <c r="GF49" s="484" t="s">
        <v>260</v>
      </c>
      <c r="GG49" s="484" t="s">
        <v>260</v>
      </c>
      <c r="GH49" s="484" t="s">
        <v>260</v>
      </c>
      <c r="GI49" s="484" t="s">
        <v>260</v>
      </c>
      <c r="GJ49" s="484" t="s">
        <v>260</v>
      </c>
      <c r="GK49" s="484" t="s">
        <v>260</v>
      </c>
      <c r="GL49" s="484" t="s">
        <v>260</v>
      </c>
      <c r="GM49" s="484" t="s">
        <v>260</v>
      </c>
      <c r="GN49" s="484" t="s">
        <v>260</v>
      </c>
      <c r="GO49" s="484" t="s">
        <v>260</v>
      </c>
      <c r="GP49" s="484" t="s">
        <v>260</v>
      </c>
      <c r="GQ49" s="484" t="s">
        <v>260</v>
      </c>
      <c r="GR49" s="484" t="s">
        <v>260</v>
      </c>
      <c r="GS49" s="484" t="s">
        <v>260</v>
      </c>
      <c r="GT49" s="484" t="s">
        <v>260</v>
      </c>
      <c r="GU49" s="484" t="s">
        <v>260</v>
      </c>
      <c r="GV49" s="484" t="s">
        <v>260</v>
      </c>
      <c r="GW49" s="484" t="s">
        <v>260</v>
      </c>
      <c r="GX49" s="484" t="s">
        <v>260</v>
      </c>
      <c r="GY49" s="484" t="s">
        <v>260</v>
      </c>
      <c r="GZ49" s="484">
        <v>0</v>
      </c>
      <c r="HA49" s="484" t="s">
        <v>260</v>
      </c>
      <c r="HB49" s="484" t="s">
        <v>260</v>
      </c>
      <c r="HC49" s="484" t="s">
        <v>260</v>
      </c>
      <c r="HD49" s="484" t="s">
        <v>260</v>
      </c>
      <c r="HE49" s="484" t="s">
        <v>260</v>
      </c>
      <c r="HF49" s="484" t="s">
        <v>260</v>
      </c>
      <c r="HG49" s="484" t="s">
        <v>260</v>
      </c>
      <c r="HH49" s="484" t="s">
        <v>260</v>
      </c>
      <c r="HI49" s="484" t="s">
        <v>260</v>
      </c>
      <c r="HJ49" s="484" t="s">
        <v>260</v>
      </c>
      <c r="HK49" s="484" t="s">
        <v>260</v>
      </c>
      <c r="HL49" s="484" t="s">
        <v>260</v>
      </c>
      <c r="HM49" s="484" t="s">
        <v>260</v>
      </c>
      <c r="HN49" s="484" t="s">
        <v>260</v>
      </c>
      <c r="HO49" s="484" t="s">
        <v>260</v>
      </c>
      <c r="HP49" s="484" t="s">
        <v>260</v>
      </c>
      <c r="HQ49" s="484" t="s">
        <v>260</v>
      </c>
      <c r="HR49" s="484" t="s">
        <v>260</v>
      </c>
      <c r="HS49" s="484" t="s">
        <v>260</v>
      </c>
      <c r="HT49" s="484" t="s">
        <v>260</v>
      </c>
      <c r="HU49" s="484" t="s">
        <v>260</v>
      </c>
      <c r="HV49" s="484" t="s">
        <v>260</v>
      </c>
      <c r="HW49" s="484" t="s">
        <v>260</v>
      </c>
      <c r="HX49" s="484" t="s">
        <v>260</v>
      </c>
      <c r="HY49" s="484" t="s">
        <v>260</v>
      </c>
      <c r="HZ49" s="484" t="s">
        <v>260</v>
      </c>
      <c r="IA49" s="484" t="s">
        <v>260</v>
      </c>
      <c r="IB49" s="484" t="s">
        <v>260</v>
      </c>
      <c r="IC49" s="484" t="s">
        <v>260</v>
      </c>
      <c r="ID49" s="484" t="s">
        <v>260</v>
      </c>
      <c r="IE49" s="484" t="s">
        <v>260</v>
      </c>
      <c r="IF49" s="484">
        <v>0</v>
      </c>
      <c r="IG49" s="484" t="s">
        <v>260</v>
      </c>
      <c r="IH49" s="484" t="s">
        <v>260</v>
      </c>
      <c r="II49" s="484" t="s">
        <v>260</v>
      </c>
      <c r="IJ49" s="484" t="s">
        <v>260</v>
      </c>
      <c r="IK49" s="484">
        <v>24</v>
      </c>
      <c r="IL49" s="484" t="s">
        <v>260</v>
      </c>
      <c r="IM49" s="484" t="s">
        <v>260</v>
      </c>
      <c r="IN49" s="484" t="s">
        <v>260</v>
      </c>
      <c r="IO49" s="484" t="s">
        <v>260</v>
      </c>
      <c r="IP49" s="484" t="s">
        <v>260</v>
      </c>
      <c r="IQ49" s="484" t="s">
        <v>260</v>
      </c>
      <c r="IR49" s="484" t="s">
        <v>260</v>
      </c>
      <c r="IS49" s="484" t="s">
        <v>260</v>
      </c>
      <c r="IT49" s="484" t="s">
        <v>260</v>
      </c>
      <c r="IU49" s="484" t="s">
        <v>260</v>
      </c>
      <c r="IV49" s="484" t="s">
        <v>260</v>
      </c>
      <c r="IW49" s="484" t="s">
        <v>260</v>
      </c>
      <c r="IX49" s="484" t="s">
        <v>260</v>
      </c>
      <c r="IY49" s="484" t="s">
        <v>260</v>
      </c>
      <c r="IZ49" s="484" t="s">
        <v>260</v>
      </c>
      <c r="JA49" s="484" t="s">
        <v>260</v>
      </c>
      <c r="JB49" s="484">
        <v>24</v>
      </c>
      <c r="JC49" s="484" t="s">
        <v>260</v>
      </c>
      <c r="JD49" s="484" t="s">
        <v>260</v>
      </c>
      <c r="JE49" s="484">
        <v>0</v>
      </c>
      <c r="JF49" s="484" t="s">
        <v>260</v>
      </c>
      <c r="JG49" s="484" t="s">
        <v>260</v>
      </c>
      <c r="JH49" s="484" t="s">
        <v>260</v>
      </c>
      <c r="JI49" s="484" t="s">
        <v>260</v>
      </c>
      <c r="JJ49" s="484" t="s">
        <v>260</v>
      </c>
      <c r="JK49" s="484" t="s">
        <v>260</v>
      </c>
      <c r="JL49" s="484" t="s">
        <v>260</v>
      </c>
      <c r="JM49" s="484" t="s">
        <v>260</v>
      </c>
      <c r="JN49" s="484" t="s">
        <v>260</v>
      </c>
      <c r="JO49" s="484" t="s">
        <v>260</v>
      </c>
      <c r="JP49" s="484" t="s">
        <v>260</v>
      </c>
      <c r="JQ49" s="484" t="s">
        <v>260</v>
      </c>
      <c r="JR49" s="484" t="s">
        <v>260</v>
      </c>
      <c r="JS49" s="484" t="s">
        <v>260</v>
      </c>
      <c r="JT49" s="484" t="s">
        <v>260</v>
      </c>
      <c r="JU49" s="484" t="s">
        <v>260</v>
      </c>
      <c r="JV49" s="484" t="s">
        <v>260</v>
      </c>
      <c r="JW49" s="484" t="s">
        <v>260</v>
      </c>
      <c r="JX49" s="484" t="s">
        <v>260</v>
      </c>
      <c r="JY49" s="484" t="s">
        <v>260</v>
      </c>
      <c r="JZ49" s="484" t="s">
        <v>260</v>
      </c>
      <c r="KA49" s="484" t="s">
        <v>260</v>
      </c>
      <c r="KB49" s="484">
        <v>0</v>
      </c>
      <c r="KC49" s="484" t="s">
        <v>260</v>
      </c>
      <c r="KD49" s="484" t="s">
        <v>260</v>
      </c>
      <c r="KE49" s="484" t="s">
        <v>260</v>
      </c>
      <c r="KF49" s="484" t="s">
        <v>260</v>
      </c>
      <c r="KG49" s="484" t="s">
        <v>260</v>
      </c>
      <c r="KH49" s="484" t="s">
        <v>260</v>
      </c>
      <c r="KI49" s="484" t="s">
        <v>260</v>
      </c>
      <c r="KJ49" s="484" t="s">
        <v>260</v>
      </c>
      <c r="KK49" s="484" t="s">
        <v>260</v>
      </c>
      <c r="KL49" s="484" t="s">
        <v>260</v>
      </c>
      <c r="KM49" s="484" t="s">
        <v>260</v>
      </c>
      <c r="KN49" s="484" t="s">
        <v>260</v>
      </c>
      <c r="KO49" s="484" t="s">
        <v>260</v>
      </c>
      <c r="KP49" s="484" t="s">
        <v>260</v>
      </c>
      <c r="KQ49" s="484" t="s">
        <v>260</v>
      </c>
      <c r="KR49" s="484" t="s">
        <v>260</v>
      </c>
      <c r="KS49" s="484" t="s">
        <v>260</v>
      </c>
      <c r="KT49" s="484" t="s">
        <v>260</v>
      </c>
      <c r="KU49" s="484" t="s">
        <v>260</v>
      </c>
      <c r="KV49" s="484" t="s">
        <v>260</v>
      </c>
      <c r="KW49" s="484" t="s">
        <v>260</v>
      </c>
      <c r="KX49" s="484" t="s">
        <v>260</v>
      </c>
      <c r="KY49" s="484" t="s">
        <v>260</v>
      </c>
      <c r="KZ49" s="484" t="s">
        <v>260</v>
      </c>
      <c r="LA49" s="484" t="s">
        <v>260</v>
      </c>
      <c r="LB49" s="484" t="s">
        <v>260</v>
      </c>
      <c r="LC49" s="484" t="s">
        <v>260</v>
      </c>
      <c r="LD49" s="484" t="s">
        <v>260</v>
      </c>
      <c r="LE49" s="484" t="s">
        <v>260</v>
      </c>
      <c r="LF49" s="484" t="s">
        <v>260</v>
      </c>
      <c r="LG49" s="484" t="s">
        <v>260</v>
      </c>
      <c r="LH49" s="484" t="s">
        <v>260</v>
      </c>
      <c r="LI49" s="484" t="s">
        <v>260</v>
      </c>
      <c r="LJ49" s="484" t="s">
        <v>260</v>
      </c>
      <c r="LK49" s="484" t="s">
        <v>260</v>
      </c>
      <c r="LL49" s="484" t="s">
        <v>260</v>
      </c>
      <c r="LM49" s="484" t="s">
        <v>260</v>
      </c>
      <c r="LN49" s="484" t="s">
        <v>260</v>
      </c>
      <c r="LO49" s="484" t="s">
        <v>260</v>
      </c>
      <c r="LP49" s="484" t="s">
        <v>260</v>
      </c>
      <c r="LQ49" s="484" t="s">
        <v>260</v>
      </c>
      <c r="LR49" s="486" t="s">
        <v>260</v>
      </c>
      <c r="LS49" s="486">
        <v>0</v>
      </c>
      <c r="LT49" s="486" t="s">
        <v>260</v>
      </c>
      <c r="LU49" s="486" t="s">
        <v>260</v>
      </c>
      <c r="LV49" s="486" t="s">
        <v>260</v>
      </c>
      <c r="LW49" s="486" t="s">
        <v>260</v>
      </c>
      <c r="LX49" s="486" t="s">
        <v>260</v>
      </c>
      <c r="LY49" s="486" t="s">
        <v>260</v>
      </c>
      <c r="LZ49" s="486" t="s">
        <v>260</v>
      </c>
      <c r="MA49" s="486" t="s">
        <v>260</v>
      </c>
      <c r="MB49" s="486" t="s">
        <v>260</v>
      </c>
      <c r="MC49" s="486">
        <v>0</v>
      </c>
      <c r="MD49" s="486" t="s">
        <v>260</v>
      </c>
      <c r="ME49" s="486" t="s">
        <v>260</v>
      </c>
      <c r="MF49" s="486" t="s">
        <v>260</v>
      </c>
      <c r="MG49" s="486" t="s">
        <v>260</v>
      </c>
      <c r="MH49" s="486" t="s">
        <v>260</v>
      </c>
      <c r="MI49" s="486" t="s">
        <v>260</v>
      </c>
      <c r="MJ49" s="486">
        <v>20</v>
      </c>
      <c r="MK49" s="486">
        <v>20</v>
      </c>
      <c r="ML49" s="486" t="s">
        <v>260</v>
      </c>
      <c r="MM49" s="486" t="s">
        <v>260</v>
      </c>
      <c r="MN49" s="486" t="s">
        <v>260</v>
      </c>
      <c r="MO49" s="486" t="s">
        <v>260</v>
      </c>
      <c r="MP49" s="486" t="s">
        <v>260</v>
      </c>
      <c r="MQ49" s="486" t="s">
        <v>260</v>
      </c>
      <c r="MR49" s="486" t="s">
        <v>260</v>
      </c>
      <c r="MS49" s="486" t="s">
        <v>260</v>
      </c>
      <c r="MT49" s="486" t="s">
        <v>260</v>
      </c>
      <c r="MU49" s="486" t="s">
        <v>260</v>
      </c>
      <c r="MV49" s="486" t="s">
        <v>260</v>
      </c>
      <c r="MW49" s="486" t="s">
        <v>260</v>
      </c>
      <c r="MX49" s="486" t="s">
        <v>260</v>
      </c>
      <c r="MY49" s="486" t="s">
        <v>260</v>
      </c>
      <c r="MZ49" s="486" t="s">
        <v>260</v>
      </c>
      <c r="NA49" s="486" t="s">
        <v>260</v>
      </c>
      <c r="NB49" s="486">
        <v>0</v>
      </c>
      <c r="NC49" s="486" t="s">
        <v>5330</v>
      </c>
      <c r="ND49" s="486" t="s">
        <v>5330</v>
      </c>
      <c r="NE49" s="486" t="s">
        <v>260</v>
      </c>
      <c r="NF49" s="486" t="s">
        <v>260</v>
      </c>
      <c r="NG49" s="486" t="s">
        <v>260</v>
      </c>
      <c r="NH49" s="486" t="s">
        <v>260</v>
      </c>
      <c r="NI49" s="486" t="s">
        <v>260</v>
      </c>
      <c r="NJ49" s="486" t="s">
        <v>260</v>
      </c>
      <c r="NK49" s="486" t="s">
        <v>260</v>
      </c>
      <c r="NL49" s="486" t="s">
        <v>260</v>
      </c>
      <c r="NM49" s="486" t="s">
        <v>260</v>
      </c>
      <c r="NN49" s="486" t="s">
        <v>260</v>
      </c>
      <c r="NO49" s="486">
        <v>0</v>
      </c>
      <c r="NP49" s="486">
        <v>0</v>
      </c>
      <c r="NQ49" s="486" t="s">
        <v>260</v>
      </c>
      <c r="NR49" s="486" t="s">
        <v>260</v>
      </c>
      <c r="NS49" s="486" t="s">
        <v>260</v>
      </c>
      <c r="NT49" s="486" t="s">
        <v>260</v>
      </c>
      <c r="NU49" s="486" t="s">
        <v>260</v>
      </c>
      <c r="NV49" s="486" t="s">
        <v>260</v>
      </c>
      <c r="NW49" s="486" t="s">
        <v>260</v>
      </c>
      <c r="NX49" s="486" t="s">
        <v>260</v>
      </c>
      <c r="NY49" s="486" t="s">
        <v>260</v>
      </c>
      <c r="NZ49" s="486" t="s">
        <v>260</v>
      </c>
      <c r="OA49" s="486" t="s">
        <v>260</v>
      </c>
      <c r="OB49" s="486" t="s">
        <v>260</v>
      </c>
      <c r="OC49" s="486" t="s">
        <v>260</v>
      </c>
      <c r="OD49" s="486">
        <v>0</v>
      </c>
      <c r="OE49" s="486" t="s">
        <v>260</v>
      </c>
      <c r="OF49" s="486" t="s">
        <v>260</v>
      </c>
      <c r="OG49" s="486" t="s">
        <v>260</v>
      </c>
      <c r="OH49" s="486" t="s">
        <v>260</v>
      </c>
      <c r="OI49" s="486" t="s">
        <v>260</v>
      </c>
      <c r="OJ49" s="486" t="s">
        <v>260</v>
      </c>
      <c r="OK49" s="486" t="s">
        <v>260</v>
      </c>
      <c r="OL49" s="486" t="s">
        <v>260</v>
      </c>
      <c r="OM49" s="484" t="s">
        <v>260</v>
      </c>
      <c r="ON49" s="484" t="s">
        <v>260</v>
      </c>
      <c r="OO49" s="484">
        <v>31</v>
      </c>
      <c r="OP49" s="484">
        <v>16</v>
      </c>
      <c r="OQ49" s="484" t="s">
        <v>260</v>
      </c>
      <c r="OR49" s="484" t="s">
        <v>260</v>
      </c>
      <c r="OS49" s="484" t="s">
        <v>260</v>
      </c>
      <c r="OT49" s="484" t="s">
        <v>260</v>
      </c>
      <c r="OU49" s="484" t="s">
        <v>260</v>
      </c>
      <c r="OV49" s="484" t="s">
        <v>260</v>
      </c>
      <c r="OW49" s="484" t="s">
        <v>260</v>
      </c>
      <c r="OX49" s="484" t="s">
        <v>260</v>
      </c>
      <c r="OY49" s="484" t="s">
        <v>260</v>
      </c>
      <c r="OZ49" s="484" t="s">
        <v>260</v>
      </c>
      <c r="PA49" s="484" t="s">
        <v>260</v>
      </c>
      <c r="PB49" s="484" t="s">
        <v>260</v>
      </c>
      <c r="PC49" s="484" t="s">
        <v>260</v>
      </c>
      <c r="PD49" s="484" t="s">
        <v>260</v>
      </c>
      <c r="PE49" s="486">
        <v>0</v>
      </c>
      <c r="PF49" s="484" t="s">
        <v>260</v>
      </c>
      <c r="PG49" s="484" t="s">
        <v>260</v>
      </c>
      <c r="PH49" s="484" t="s">
        <v>260</v>
      </c>
      <c r="PI49" s="484" t="s">
        <v>260</v>
      </c>
      <c r="PJ49" s="484" t="s">
        <v>260</v>
      </c>
      <c r="PK49" s="484" t="s">
        <v>260</v>
      </c>
      <c r="PL49" s="484" t="s">
        <v>260</v>
      </c>
      <c r="PM49" s="484" t="s">
        <v>260</v>
      </c>
    </row>
  </sheetData>
  <mergeCells count="1">
    <mergeCell ref="B4:N9"/>
  </mergeCell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8CBAD"/>
  </sheetPr>
  <dimension ref="A1:T174"/>
  <sheetViews>
    <sheetView showGridLines="0" zoomScaleNormal="100" workbookViewId="0"/>
  </sheetViews>
  <sheetFormatPr baseColWidth="10" defaultColWidth="8.59765625" defaultRowHeight="15.9" customHeight="1" x14ac:dyDescent="0.3"/>
  <cols>
    <col min="1" max="1" width="8.59765625" style="3" customWidth="1"/>
    <col min="2" max="2" width="25.5" style="24" customWidth="1"/>
    <col min="3" max="3" width="10.5" style="339" bestFit="1" customWidth="1"/>
    <col min="4" max="12" width="20.59765625" style="108" customWidth="1"/>
    <col min="13" max="13" width="20.59765625" style="344" customWidth="1"/>
    <col min="14" max="15" width="20.59765625" style="108" customWidth="1"/>
    <col min="16" max="16" width="20.59765625" style="140" customWidth="1"/>
    <col min="17" max="18" width="39.09765625" style="24" customWidth="1"/>
    <col min="19" max="19" width="8.59765625" style="24" customWidth="1"/>
    <col min="20" max="16384" width="8.59765625" style="24"/>
  </cols>
  <sheetData>
    <row r="1" spans="1:20" s="35" customFormat="1" ht="18.75" customHeight="1" x14ac:dyDescent="0.3">
      <c r="B1" s="168"/>
      <c r="C1" s="168"/>
      <c r="D1" s="168"/>
      <c r="E1" s="168"/>
      <c r="F1" s="168"/>
      <c r="G1" s="168"/>
      <c r="H1" s="168"/>
      <c r="I1" s="168"/>
      <c r="J1" s="168"/>
      <c r="K1" s="168"/>
      <c r="L1" s="168"/>
      <c r="M1" s="168"/>
      <c r="N1" s="168"/>
      <c r="O1" s="168"/>
      <c r="P1" s="169"/>
      <c r="Q1" s="168"/>
      <c r="R1" s="168"/>
    </row>
    <row r="2" spans="1:20" s="164" customFormat="1" ht="24.75" customHeight="1" x14ac:dyDescent="0.35">
      <c r="A2" s="35"/>
      <c r="B2" s="410" t="s">
        <v>5335</v>
      </c>
      <c r="P2" s="495"/>
    </row>
    <row r="3" spans="1:20" s="164" customFormat="1" ht="15.9" customHeight="1" x14ac:dyDescent="0.35">
      <c r="A3" s="35"/>
      <c r="B3" s="165"/>
      <c r="E3" s="166"/>
      <c r="P3" s="495"/>
    </row>
    <row r="4" spans="1:20" s="164" customFormat="1" ht="15.9" customHeight="1" x14ac:dyDescent="0.3">
      <c r="A4" s="35"/>
      <c r="B4" s="1178" t="s">
        <v>5336</v>
      </c>
      <c r="C4" s="1178"/>
      <c r="D4" s="1178"/>
      <c r="E4" s="1178"/>
      <c r="F4" s="1178"/>
      <c r="P4" s="495"/>
    </row>
    <row r="5" spans="1:20" s="164" customFormat="1" ht="15.9" customHeight="1" x14ac:dyDescent="0.3">
      <c r="A5" s="35"/>
      <c r="B5" s="1178"/>
      <c r="C5" s="1178"/>
      <c r="D5" s="1178"/>
      <c r="E5" s="1178"/>
      <c r="F5" s="1178"/>
      <c r="P5" s="495"/>
    </row>
    <row r="6" spans="1:20" s="164" customFormat="1" ht="15.9" customHeight="1" x14ac:dyDescent="0.3">
      <c r="A6" s="35"/>
      <c r="B6" s="1178"/>
      <c r="C6" s="1178"/>
      <c r="D6" s="1178"/>
      <c r="E6" s="1178"/>
      <c r="F6" s="1178"/>
      <c r="P6" s="495"/>
    </row>
    <row r="7" spans="1:20" s="164" customFormat="1" ht="15.9" customHeight="1" x14ac:dyDescent="0.3">
      <c r="A7" s="35"/>
      <c r="B7" s="1178"/>
      <c r="C7" s="1178"/>
      <c r="D7" s="1178"/>
      <c r="E7" s="1178"/>
      <c r="F7" s="1178"/>
      <c r="P7" s="495"/>
    </row>
    <row r="8" spans="1:20" s="164" customFormat="1" ht="15.9" customHeight="1" x14ac:dyDescent="0.3">
      <c r="A8" s="35"/>
      <c r="B8" s="1178"/>
      <c r="C8" s="1178"/>
      <c r="D8" s="1178"/>
      <c r="E8" s="1178"/>
      <c r="F8" s="1178"/>
      <c r="P8" s="495"/>
    </row>
    <row r="9" spans="1:20" s="43" customFormat="1" ht="15.9" customHeight="1" x14ac:dyDescent="0.35">
      <c r="A9" s="35"/>
      <c r="B9" s="1178"/>
      <c r="C9" s="1178"/>
      <c r="D9" s="1178"/>
      <c r="E9" s="1178"/>
      <c r="F9" s="1178"/>
      <c r="H9" s="167"/>
      <c r="P9" s="496"/>
    </row>
    <row r="10" spans="1:20" s="339" customFormat="1" ht="15.9" customHeight="1" x14ac:dyDescent="0.3">
      <c r="A10" s="330"/>
      <c r="D10" s="351" t="s">
        <v>4889</v>
      </c>
      <c r="E10" s="351" t="s">
        <v>3664</v>
      </c>
      <c r="F10" s="351" t="s">
        <v>3665</v>
      </c>
      <c r="G10" s="351" t="s">
        <v>3666</v>
      </c>
      <c r="H10" s="351" t="s">
        <v>3667</v>
      </c>
      <c r="I10" s="351" t="s">
        <v>3668</v>
      </c>
      <c r="J10" s="351" t="s">
        <v>3669</v>
      </c>
      <c r="K10" s="351" t="s">
        <v>3670</v>
      </c>
      <c r="L10" s="351" t="s">
        <v>3671</v>
      </c>
      <c r="M10" s="351" t="s">
        <v>3672</v>
      </c>
      <c r="N10" s="351" t="s">
        <v>3673</v>
      </c>
      <c r="O10" s="351" t="s">
        <v>3674</v>
      </c>
      <c r="P10" s="497" t="s">
        <v>5337</v>
      </c>
    </row>
    <row r="11" spans="1:20" s="352" customFormat="1" ht="15.9" customHeight="1" x14ac:dyDescent="0.3">
      <c r="A11" s="330"/>
      <c r="B11" s="1173" t="s">
        <v>3499</v>
      </c>
      <c r="C11" s="1175" t="s">
        <v>3500</v>
      </c>
      <c r="D11" s="1175">
        <v>1</v>
      </c>
      <c r="E11" s="1214">
        <v>2</v>
      </c>
      <c r="F11" s="1175">
        <v>3</v>
      </c>
      <c r="G11" s="1214">
        <v>4</v>
      </c>
      <c r="H11" s="1175">
        <v>5</v>
      </c>
      <c r="I11" s="1214">
        <v>6</v>
      </c>
      <c r="J11" s="1175">
        <v>7</v>
      </c>
      <c r="K11" s="1214">
        <v>8</v>
      </c>
      <c r="L11" s="1175">
        <v>9</v>
      </c>
      <c r="M11" s="1214">
        <v>10</v>
      </c>
      <c r="N11" s="1175">
        <v>11</v>
      </c>
      <c r="O11" s="1214">
        <v>12</v>
      </c>
      <c r="P11" s="1214">
        <v>13</v>
      </c>
      <c r="Q11" s="1144" t="s">
        <v>5338</v>
      </c>
      <c r="R11" s="1144" t="s">
        <v>5339</v>
      </c>
    </row>
    <row r="12" spans="1:20" s="352" customFormat="1" ht="15.9" customHeight="1" x14ac:dyDescent="0.3">
      <c r="A12" s="5"/>
      <c r="B12" s="1174"/>
      <c r="C12" s="1176"/>
      <c r="D12" s="1176"/>
      <c r="E12" s="1215"/>
      <c r="F12" s="1176"/>
      <c r="G12" s="1215"/>
      <c r="H12" s="1176"/>
      <c r="I12" s="1215"/>
      <c r="J12" s="1176"/>
      <c r="K12" s="1215"/>
      <c r="L12" s="1176"/>
      <c r="M12" s="1215"/>
      <c r="N12" s="1176"/>
      <c r="O12" s="1215"/>
      <c r="P12" s="1215"/>
      <c r="Q12" s="1145" t="s">
        <v>3514</v>
      </c>
      <c r="R12" s="1145" t="s">
        <v>3514</v>
      </c>
    </row>
    <row r="13" spans="1:20" ht="15.9" customHeight="1" x14ac:dyDescent="0.3">
      <c r="A13" s="5"/>
      <c r="B13" s="2" t="s">
        <v>255</v>
      </c>
      <c r="C13" s="339">
        <v>0</v>
      </c>
      <c r="D13" s="315">
        <f>SUMIFS('Bilateral Assistance, MAIN DATA'!S:S,'Bilateral Assistance, MAIN DATA'!B:B,'Commitments per Month'!B13,'Bilateral Assistance, MAIN DATA'!AG:AG,1,'Bilateral Assistance, MAIN DATA'!AH:AH,'Commitments per Month'!$D$11)/1000000000</f>
        <v>0</v>
      </c>
      <c r="E13" s="315">
        <f>SUMIFS('Bilateral Assistance, MAIN DATA'!S:S,'Bilateral Assistance, MAIN DATA'!B:B,'Commitments per Month'!B13,'Bilateral Assistance, MAIN DATA'!AG:AG,1,'Bilateral Assistance, MAIN DATA'!AH:AH,'Commitments per Month'!$E$11)/1000000000</f>
        <v>0</v>
      </c>
      <c r="F13" s="315">
        <f>SUMIFS('Bilateral Assistance, MAIN DATA'!S:S,'Bilateral Assistance, MAIN DATA'!B:B,'Commitments per Month'!B13,'Bilateral Assistance, MAIN DATA'!AG:AG,1,'Bilateral Assistance, MAIN DATA'!AH:AH,'Commitments per Month'!$F$11)/1000000000</f>
        <v>0.12663472743752427</v>
      </c>
      <c r="G13" s="315">
        <f>SUMIFS('Bilateral Assistance, MAIN DATA'!S:S,'Bilateral Assistance, MAIN DATA'!B:B,'Commitments per Month'!B13,'Bilateral Assistance, MAIN DATA'!AG:AG,1,'Bilateral Assistance, MAIN DATA'!AH:AH,'Commitments per Month'!$G$11)/1000000000</f>
        <v>6.6165997669299495E-2</v>
      </c>
      <c r="H13" s="315">
        <f>SUMIFS('Bilateral Assistance, MAIN DATA'!S:S,'Bilateral Assistance, MAIN DATA'!B:B,'Commitments per Month'!B13,'Bilateral Assistance, MAIN DATA'!AG:AG,1,'Bilateral Assistance, MAIN DATA'!AH:AH,'Commitments per Month'!$H$11)/1000000000</f>
        <v>3.9427683542664765E-2</v>
      </c>
      <c r="I13" s="315">
        <f>SUMIFS('Bilateral Assistance, MAIN DATA'!S:S,'Bilateral Assistance, MAIN DATA'!B:B,'Commitments per Month'!B13,'Bilateral Assistance, MAIN DATA'!AG:AG,1,'Bilateral Assistance, MAIN DATA'!AH:AH,'Commitments per Month'!$I$11)/1000000000</f>
        <v>0</v>
      </c>
      <c r="J13" s="315">
        <f>SUMIFS('Bilateral Assistance, MAIN DATA'!S:S,'Bilateral Assistance, MAIN DATA'!B:B,'Commitments per Month'!B13,'Bilateral Assistance, MAIN DATA'!AG:AG,1,'Bilateral Assistance, MAIN DATA'!AH:AH,'Commitments per Month'!$J$11)/1000000000</f>
        <v>5.7102162372135175E-2</v>
      </c>
      <c r="K13" s="315">
        <f>SUMIFS('Bilateral Assistance, MAIN DATA'!S:S,'Bilateral Assistance, MAIN DATA'!B:B,'Commitments per Month'!B13,'Bilateral Assistance, MAIN DATA'!AG:AG,1,'Bilateral Assistance, MAIN DATA'!AH:AH,'Commitments per Month'!$K$11)/1000000000</f>
        <v>0</v>
      </c>
      <c r="L13" s="316">
        <f>SUMIFS('Bilateral Assistance, MAIN DATA'!S:S,'Bilateral Assistance, MAIN DATA'!B:B,'Commitments per Month'!B13,'Bilateral Assistance, MAIN DATA'!AG:AG,1,'Bilateral Assistance, MAIN DATA'!AH:AH,'Commitments per Month'!$L$11)/1000000000</f>
        <v>0</v>
      </c>
      <c r="M13" s="270">
        <f>SUMIFS('Bilateral Assistance, MAIN DATA'!S:S,'Bilateral Assistance, MAIN DATA'!B:B,'Commitments per Month'!B13,'Bilateral Assistance, MAIN DATA'!AG:AG,1,'Bilateral Assistance, MAIN DATA'!AH:AH,'Commitments per Month'!$M$11)/1000000000</f>
        <v>0.13789977987828564</v>
      </c>
      <c r="N13" s="316">
        <f>SUMIFS('Bilateral Assistance, MAIN DATA'!S:S,'Bilateral Assistance, MAIN DATA'!B:B,'Commitments per Month'!B13,'Bilateral Assistance, MAIN DATA'!AG:AG,1,'Bilateral Assistance, MAIN DATA'!AH:AH,'Commitments per Month'!$N$11)/1000000000</f>
        <v>0</v>
      </c>
      <c r="O13" s="316">
        <f>SUMIFS('Bilateral Assistance, MAIN DATA'!S:S,'Bilateral Assistance, MAIN DATA'!B:B,'Commitments per Month'!B13,'Bilateral Assistance, MAIN DATA'!AG:AG,1,'Bilateral Assistance, MAIN DATA'!AH:AH,'Commitments per Month'!$O$11)/1000000000</f>
        <v>0</v>
      </c>
      <c r="P13" s="604">
        <f>SUMIFS('Bilateral Assistance, MAIN DATA'!S:S,'Bilateral Assistance, MAIN DATA'!B:B,'Commitments per Month'!B13,'Bilateral Assistance, MAIN DATA'!AG:AG,1,'Bilateral Assistance, MAIN DATA'!AH:AH,'Commitments per Month'!$P$11)/1000000000</f>
        <v>0</v>
      </c>
      <c r="Q13" s="316">
        <f>SUM(D13:P13)</f>
        <v>0.42723035089990935</v>
      </c>
      <c r="R13" s="316">
        <f>SUMIFS('Bilateral Assistance, MAIN DATA'!S:S,'Bilateral Assistance, MAIN DATA'!B:B,'Commitments per Month'!B13,'Bilateral Assistance, MAIN DATA'!AG:AG,0)/1000000000</f>
        <v>0</v>
      </c>
    </row>
    <row r="14" spans="1:20" ht="15.9" customHeight="1" x14ac:dyDescent="0.3">
      <c r="A14" s="5"/>
      <c r="B14" s="24" t="s">
        <v>344</v>
      </c>
      <c r="C14" s="339">
        <v>1</v>
      </c>
      <c r="D14" s="315">
        <f>SUMIFS('Bilateral Assistance, MAIN DATA'!S:S,'Bilateral Assistance, MAIN DATA'!B:B,'Commitments per Month'!B14,'Bilateral Assistance, MAIN DATA'!AG:AG,1,'Bilateral Assistance, MAIN DATA'!AH:AH,'Commitments per Month'!$D$11)/1000000000</f>
        <v>0</v>
      </c>
      <c r="E14" s="315">
        <f>SUMIFS('Bilateral Assistance, MAIN DATA'!S:S,'Bilateral Assistance, MAIN DATA'!B:B,'Commitments per Month'!B14,'Bilateral Assistance, MAIN DATA'!AG:AG,1,'Bilateral Assistance, MAIN DATA'!AH:AH,'Commitments per Month'!$E$11)/1000000000</f>
        <v>1.0296666666666666E-3</v>
      </c>
      <c r="F14" s="315">
        <f>SUMIFS('Bilateral Assistance, MAIN DATA'!S:S,'Bilateral Assistance, MAIN DATA'!B:B,'Commitments per Month'!B14,'Bilateral Assistance, MAIN DATA'!AG:AG,1,'Bilateral Assistance, MAIN DATA'!AH:AH,'Commitments per Month'!$F$11)/1000000000</f>
        <v>1.3416546714285715E-2</v>
      </c>
      <c r="G14" s="315">
        <f>SUMIFS('Bilateral Assistance, MAIN DATA'!S:S,'Bilateral Assistance, MAIN DATA'!B:B,'Commitments per Month'!B14,'Bilateral Assistance, MAIN DATA'!AG:AG,1,'Bilateral Assistance, MAIN DATA'!AH:AH,'Commitments per Month'!$G$11)/1000000000</f>
        <v>0</v>
      </c>
      <c r="H14" s="315">
        <f>SUMIFS('Bilateral Assistance, MAIN DATA'!S:S,'Bilateral Assistance, MAIN DATA'!B:B,'Commitments per Month'!B14,'Bilateral Assistance, MAIN DATA'!AG:AG,1,'Bilateral Assistance, MAIN DATA'!AH:AH,'Commitments per Month'!$H$11)/1000000000</f>
        <v>3.6900000000000002E-2</v>
      </c>
      <c r="I14" s="315">
        <f>SUMIFS('Bilateral Assistance, MAIN DATA'!S:S,'Bilateral Assistance, MAIN DATA'!B:B,'Commitments per Month'!B14,'Bilateral Assistance, MAIN DATA'!AG:AG,1,'Bilateral Assistance, MAIN DATA'!AH:AH,'Commitments per Month'!$I$11)/1000000000</f>
        <v>1.0885714285714285E-2</v>
      </c>
      <c r="J14" s="315">
        <f>SUMIFS('Bilateral Assistance, MAIN DATA'!S:S,'Bilateral Assistance, MAIN DATA'!B:B,'Commitments per Month'!B14,'Bilateral Assistance, MAIN DATA'!AG:AG,1,'Bilateral Assistance, MAIN DATA'!AH:AH,'Commitments per Month'!$J$11)/1000000000</f>
        <v>0</v>
      </c>
      <c r="K14" s="315">
        <f>SUMIFS('Bilateral Assistance, MAIN DATA'!S:S,'Bilateral Assistance, MAIN DATA'!B:B,'Commitments per Month'!B14,'Bilateral Assistance, MAIN DATA'!AG:AG,1,'Bilateral Assistance, MAIN DATA'!AH:AH,'Commitments per Month'!$K$11)/1000000000</f>
        <v>0</v>
      </c>
      <c r="L14" s="316">
        <f>SUMIFS('Bilateral Assistance, MAIN DATA'!S:S,'Bilateral Assistance, MAIN DATA'!B:B,'Commitments per Month'!B14,'Bilateral Assistance, MAIN DATA'!AG:AG,1,'Bilateral Assistance, MAIN DATA'!AH:AH,'Commitments per Month'!$L$11)/1000000000</f>
        <v>0.50173095238095233</v>
      </c>
      <c r="M14" s="270">
        <f>SUMIFS('Bilateral Assistance, MAIN DATA'!S:S,'Bilateral Assistance, MAIN DATA'!B:B,'Commitments per Month'!B14,'Bilateral Assistance, MAIN DATA'!AG:AG,1,'Bilateral Assistance, MAIN DATA'!AH:AH,'Commitments per Month'!$M$11)/1000000000</f>
        <v>0</v>
      </c>
      <c r="N14" s="316">
        <f>SUMIFS('Bilateral Assistance, MAIN DATA'!S:S,'Bilateral Assistance, MAIN DATA'!B:B,'Commitments per Month'!B14,'Bilateral Assistance, MAIN DATA'!AG:AG,1,'Bilateral Assistance, MAIN DATA'!AH:AH,'Commitments per Month'!$N$11)/1000000000</f>
        <v>3.6453666666666662E-2</v>
      </c>
      <c r="O14" s="316">
        <f>SUMIFS('Bilateral Assistance, MAIN DATA'!S:S,'Bilateral Assistance, MAIN DATA'!B:B,'Commitments per Month'!B14,'Bilateral Assistance, MAIN DATA'!AG:AG,1,'Bilateral Assistance, MAIN DATA'!AH:AH,'Commitments per Month'!$O$11)/1000000000</f>
        <v>2.5000000000000001E-2</v>
      </c>
      <c r="P14" s="604">
        <f>SUMIFS('Bilateral Assistance, MAIN DATA'!S:S,'Bilateral Assistance, MAIN DATA'!B:B,'Commitments per Month'!B14,'Bilateral Assistance, MAIN DATA'!AG:AG,1,'Bilateral Assistance, MAIN DATA'!AH:AH,'Commitments per Month'!$P$11)/1000000000</f>
        <v>0</v>
      </c>
      <c r="Q14" s="316">
        <f t="shared" ref="Q14:Q53" si="0">SUM(D14:P14)</f>
        <v>0.6254165467142857</v>
      </c>
      <c r="R14" s="316">
        <f>SUMIFS('Bilateral Assistance, MAIN DATA'!S:S,'Bilateral Assistance, MAIN DATA'!B:B,'Commitments per Month'!B14,'Bilateral Assistance, MAIN DATA'!AG:AG,0)/1000000000</f>
        <v>0</v>
      </c>
    </row>
    <row r="15" spans="1:20" ht="15.9" customHeight="1" x14ac:dyDescent="0.3">
      <c r="A15" s="5"/>
      <c r="B15" s="24" t="s">
        <v>413</v>
      </c>
      <c r="C15" s="339">
        <v>1</v>
      </c>
      <c r="D15" s="315">
        <f>SUMIFS('Bilateral Assistance, MAIN DATA'!S:S,'Bilateral Assistance, MAIN DATA'!B:B,'Commitments per Month'!B15,'Bilateral Assistance, MAIN DATA'!AG:AG,1,'Bilateral Assistance, MAIN DATA'!AH:AH,'Commitments per Month'!$D$11)/1000000000</f>
        <v>0</v>
      </c>
      <c r="E15" s="315">
        <f>SUMIFS('Bilateral Assistance, MAIN DATA'!S:S,'Bilateral Assistance, MAIN DATA'!B:B,'Commitments per Month'!B15,'Bilateral Assistance, MAIN DATA'!AG:AG,1,'Bilateral Assistance, MAIN DATA'!AH:AH,'Commitments per Month'!$E$11)/1000000000</f>
        <v>7.5999999999999998E-2</v>
      </c>
      <c r="F15" s="315">
        <f>SUMIFS('Bilateral Assistance, MAIN DATA'!S:S,'Bilateral Assistance, MAIN DATA'!B:B,'Commitments per Month'!B15,'Bilateral Assistance, MAIN DATA'!AG:AG,1,'Bilateral Assistance, MAIN DATA'!AH:AH,'Commitments per Month'!$F$11)/1000000000</f>
        <v>1.4630000000000001E-2</v>
      </c>
      <c r="G15" s="315">
        <f>SUMIFS('Bilateral Assistance, MAIN DATA'!S:S,'Bilateral Assistance, MAIN DATA'!B:B,'Commitments per Month'!B15,'Bilateral Assistance, MAIN DATA'!AG:AG,1,'Bilateral Assistance, MAIN DATA'!AH:AH,'Commitments per Month'!$G$11)/1000000000</f>
        <v>6.0600000000000001E-2</v>
      </c>
      <c r="H15" s="315">
        <f>SUMIFS('Bilateral Assistance, MAIN DATA'!S:S,'Bilateral Assistance, MAIN DATA'!B:B,'Commitments per Month'!B15,'Bilateral Assistance, MAIN DATA'!AG:AG,1,'Bilateral Assistance, MAIN DATA'!AH:AH,'Commitments per Month'!$H$11)/1000000000</f>
        <v>2.9770000000000001E-2</v>
      </c>
      <c r="I15" s="315">
        <f>SUMIFS('Bilateral Assistance, MAIN DATA'!S:S,'Bilateral Assistance, MAIN DATA'!B:B,'Commitments per Month'!B15,'Bilateral Assistance, MAIN DATA'!AG:AG,1,'Bilateral Assistance, MAIN DATA'!AH:AH,'Commitments per Month'!$I$11)/1000000000</f>
        <v>0</v>
      </c>
      <c r="J15" s="315">
        <f>SUMIFS('Bilateral Assistance, MAIN DATA'!S:S,'Bilateral Assistance, MAIN DATA'!B:B,'Commitments per Month'!B15,'Bilateral Assistance, MAIN DATA'!AG:AG,1,'Bilateral Assistance, MAIN DATA'!AH:AH,'Commitments per Month'!$J$11)/1000000000</f>
        <v>8.0000000000000004E-4</v>
      </c>
      <c r="K15" s="315">
        <f>SUMIFS('Bilateral Assistance, MAIN DATA'!S:S,'Bilateral Assistance, MAIN DATA'!B:B,'Commitments per Month'!B15,'Bilateral Assistance, MAIN DATA'!AG:AG,1,'Bilateral Assistance, MAIN DATA'!AH:AH,'Commitments per Month'!$K$11)/1000000000</f>
        <v>8.0000000000000002E-3</v>
      </c>
      <c r="L15" s="316">
        <f>SUMIFS('Bilateral Assistance, MAIN DATA'!S:S,'Bilateral Assistance, MAIN DATA'!B:B,'Commitments per Month'!B15,'Bilateral Assistance, MAIN DATA'!AG:AG,1,'Bilateral Assistance, MAIN DATA'!AH:AH,'Commitments per Month'!$L$11)/1000000000</f>
        <v>1.2E-2</v>
      </c>
      <c r="M15" s="270">
        <f>SUMIFS('Bilateral Assistance, MAIN DATA'!S:S,'Bilateral Assistance, MAIN DATA'!B:B,'Commitments per Month'!B15,'Bilateral Assistance, MAIN DATA'!AG:AG,1,'Bilateral Assistance, MAIN DATA'!AH:AH,'Commitments per Month'!$M$11)/1000000000</f>
        <v>0</v>
      </c>
      <c r="N15" s="316">
        <f>SUMIFS('Bilateral Assistance, MAIN DATA'!S:S,'Bilateral Assistance, MAIN DATA'!B:B,'Commitments per Month'!B15,'Bilateral Assistance, MAIN DATA'!AG:AG,1,'Bilateral Assistance, MAIN DATA'!AH:AH,'Commitments per Month'!$N$11)/1000000000</f>
        <v>4.96E-3</v>
      </c>
      <c r="O15" s="316">
        <f>SUMIFS('Bilateral Assistance, MAIN DATA'!S:S,'Bilateral Assistance, MAIN DATA'!B:B,'Commitments per Month'!B15,'Bilateral Assistance, MAIN DATA'!AG:AG,1,'Bilateral Assistance, MAIN DATA'!AH:AH,'Commitments per Month'!$O$11)/1000000000</f>
        <v>4.0000000000000002E-4</v>
      </c>
      <c r="P15" s="604">
        <f>SUMIFS('Bilateral Assistance, MAIN DATA'!S:S,'Bilateral Assistance, MAIN DATA'!B:B,'Commitments per Month'!B15,'Bilateral Assistance, MAIN DATA'!AG:AG,1,'Bilateral Assistance, MAIN DATA'!AH:AH,'Commitments per Month'!$P$11)/1000000000</f>
        <v>3.755E-2</v>
      </c>
      <c r="Q15" s="316">
        <f t="shared" si="0"/>
        <v>0.24471000000000001</v>
      </c>
      <c r="R15" s="316">
        <f>SUMIFS('Bilateral Assistance, MAIN DATA'!S:S,'Bilateral Assistance, MAIN DATA'!B:B,'Commitments per Month'!B15,'Bilateral Assistance, MAIN DATA'!AG:AG,0)/1000000000</f>
        <v>0</v>
      </c>
      <c r="S15" s="405"/>
      <c r="T15" s="405"/>
    </row>
    <row r="16" spans="1:20" ht="15.9" customHeight="1" x14ac:dyDescent="0.3">
      <c r="A16" s="5"/>
      <c r="B16" s="24" t="s">
        <v>480</v>
      </c>
      <c r="C16" s="339">
        <v>1</v>
      </c>
      <c r="D16" s="315">
        <f>SUMIFS('Bilateral Assistance, MAIN DATA'!S:S,'Bilateral Assistance, MAIN DATA'!B:B,'Commitments per Month'!B16,'Bilateral Assistance, MAIN DATA'!AG:AG,1,'Bilateral Assistance, MAIN DATA'!AH:AH,'Commitments per Month'!$D$11)/1000000000</f>
        <v>0</v>
      </c>
      <c r="E16" s="315">
        <f>SUMIFS('Bilateral Assistance, MAIN DATA'!S:S,'Bilateral Assistance, MAIN DATA'!B:B,'Commitments per Month'!B16,'Bilateral Assistance, MAIN DATA'!AG:AG,1,'Bilateral Assistance, MAIN DATA'!AH:AH,'Commitments per Month'!$E$11)/1000000000</f>
        <v>0</v>
      </c>
      <c r="F16" s="315">
        <f>SUMIFS('Bilateral Assistance, MAIN DATA'!S:S,'Bilateral Assistance, MAIN DATA'!B:B,'Commitments per Month'!B16,'Bilateral Assistance, MAIN DATA'!AG:AG,1,'Bilateral Assistance, MAIN DATA'!AH:AH,'Commitments per Month'!$F$11)/1000000000</f>
        <v>0</v>
      </c>
      <c r="G16" s="315">
        <f>SUMIFS('Bilateral Assistance, MAIN DATA'!S:S,'Bilateral Assistance, MAIN DATA'!B:B,'Commitments per Month'!B16,'Bilateral Assistance, MAIN DATA'!AG:AG,1,'Bilateral Assistance, MAIN DATA'!AH:AH,'Commitments per Month'!$G$11)/1000000000</f>
        <v>0.22976827630637078</v>
      </c>
      <c r="H16" s="315">
        <f>SUMIFS('Bilateral Assistance, MAIN DATA'!S:S,'Bilateral Assistance, MAIN DATA'!B:B,'Commitments per Month'!B16,'Bilateral Assistance, MAIN DATA'!AG:AG,1,'Bilateral Assistance, MAIN DATA'!AH:AH,'Commitments per Month'!$H$11)/1000000000</f>
        <v>0</v>
      </c>
      <c r="I16" s="315">
        <f>SUMIFS('Bilateral Assistance, MAIN DATA'!S:S,'Bilateral Assistance, MAIN DATA'!B:B,'Commitments per Month'!B16,'Bilateral Assistance, MAIN DATA'!AG:AG,1,'Bilateral Assistance, MAIN DATA'!AH:AH,'Commitments per Month'!$I$11)/1000000000</f>
        <v>0</v>
      </c>
      <c r="J16" s="315">
        <f>SUMIFS('Bilateral Assistance, MAIN DATA'!S:S,'Bilateral Assistance, MAIN DATA'!B:B,'Commitments per Month'!B16,'Bilateral Assistance, MAIN DATA'!AG:AG,1,'Bilateral Assistance, MAIN DATA'!AH:AH,'Commitments per Month'!$J$11)/1000000000</f>
        <v>0</v>
      </c>
      <c r="K16" s="315">
        <f>SUMIFS('Bilateral Assistance, MAIN DATA'!S:S,'Bilateral Assistance, MAIN DATA'!B:B,'Commitments per Month'!B16,'Bilateral Assistance, MAIN DATA'!AG:AG,1,'Bilateral Assistance, MAIN DATA'!AH:AH,'Commitments per Month'!$K$11)/1000000000</f>
        <v>0</v>
      </c>
      <c r="L16" s="316">
        <f>SUMIFS('Bilateral Assistance, MAIN DATA'!S:S,'Bilateral Assistance, MAIN DATA'!B:B,'Commitments per Month'!B16,'Bilateral Assistance, MAIN DATA'!AG:AG,1,'Bilateral Assistance, MAIN DATA'!AH:AH,'Commitments per Month'!$L$11)/1000000000</f>
        <v>0</v>
      </c>
      <c r="M16" s="270">
        <f>SUMIFS('Bilateral Assistance, MAIN DATA'!S:S,'Bilateral Assistance, MAIN DATA'!B:B,'Commitments per Month'!B16,'Bilateral Assistance, MAIN DATA'!AG:AG,1,'Bilateral Assistance, MAIN DATA'!AH:AH,'Commitments per Month'!$M$11)/1000000000</f>
        <v>0</v>
      </c>
      <c r="N16" s="316">
        <f>SUMIFS('Bilateral Assistance, MAIN DATA'!S:S,'Bilateral Assistance, MAIN DATA'!B:B,'Commitments per Month'!B16,'Bilateral Assistance, MAIN DATA'!AG:AG,1,'Bilateral Assistance, MAIN DATA'!AH:AH,'Commitments per Month'!$N$11)/1000000000</f>
        <v>0</v>
      </c>
      <c r="O16" s="316">
        <f>SUMIFS('Bilateral Assistance, MAIN DATA'!S:S,'Bilateral Assistance, MAIN DATA'!B:B,'Commitments per Month'!B16,'Bilateral Assistance, MAIN DATA'!AG:AG,1,'Bilateral Assistance, MAIN DATA'!AH:AH,'Commitments per Month'!$O$11)/1000000000</f>
        <v>1.0225994477962982E-2</v>
      </c>
      <c r="P16" s="604">
        <f>SUMIFS('Bilateral Assistance, MAIN DATA'!S:S,'Bilateral Assistance, MAIN DATA'!B:B,'Commitments per Month'!B16,'Bilateral Assistance, MAIN DATA'!AG:AG,1,'Bilateral Assistance, MAIN DATA'!AH:AH,'Commitments per Month'!$P$11)/1000000000</f>
        <v>0</v>
      </c>
      <c r="Q16" s="316">
        <f t="shared" si="0"/>
        <v>0.23999427078433377</v>
      </c>
      <c r="R16" s="316">
        <f>SUMIFS('Bilateral Assistance, MAIN DATA'!S:S,'Bilateral Assistance, MAIN DATA'!B:B,'Commitments per Month'!B16,'Bilateral Assistance, MAIN DATA'!AG:AG,0)/1000000000</f>
        <v>0</v>
      </c>
      <c r="S16" s="405"/>
      <c r="T16" s="405"/>
    </row>
    <row r="17" spans="1:20" ht="15.9" customHeight="1" x14ac:dyDescent="0.3">
      <c r="A17" s="5"/>
      <c r="B17" s="24" t="s">
        <v>517</v>
      </c>
      <c r="C17" s="339">
        <v>0</v>
      </c>
      <c r="D17" s="315">
        <f>SUMIFS('Bilateral Assistance, MAIN DATA'!S:S,'Bilateral Assistance, MAIN DATA'!B:B,'Commitments per Month'!B17,'Bilateral Assistance, MAIN DATA'!AG:AG,1,'Bilateral Assistance, MAIN DATA'!AH:AH,'Commitments per Month'!$D$11)/1000000000</f>
        <v>0.27274634589831459</v>
      </c>
      <c r="E17" s="315">
        <f>SUMIFS('Bilateral Assistance, MAIN DATA'!S:S,'Bilateral Assistance, MAIN DATA'!B:B,'Commitments per Month'!B17,'Bilateral Assistance, MAIN DATA'!AG:AG,1,'Bilateral Assistance, MAIN DATA'!AH:AH,'Commitments per Month'!$E$11)/1000000000</f>
        <v>0.38754337377303694</v>
      </c>
      <c r="F17" s="315">
        <f>SUMIFS('Bilateral Assistance, MAIN DATA'!S:S,'Bilateral Assistance, MAIN DATA'!B:B,'Commitments per Month'!B17,'Bilateral Assistance, MAIN DATA'!AG:AG,1,'Bilateral Assistance, MAIN DATA'!AH:AH,'Commitments per Month'!$F$11)/1000000000</f>
        <v>7.727716723447195E-2</v>
      </c>
      <c r="G17" s="315">
        <f>SUMIFS('Bilateral Assistance, MAIN DATA'!S:S,'Bilateral Assistance, MAIN DATA'!B:B,'Commitments per Month'!B17,'Bilateral Assistance, MAIN DATA'!AG:AG,1,'Bilateral Assistance, MAIN DATA'!AH:AH,'Commitments per Month'!$G$11)/1000000000</f>
        <v>1.1386546058831954</v>
      </c>
      <c r="H17" s="315">
        <f>SUMIFS('Bilateral Assistance, MAIN DATA'!S:S,'Bilateral Assistance, MAIN DATA'!B:B,'Commitments per Month'!B17,'Bilateral Assistance, MAIN DATA'!AG:AG,1,'Bilateral Assistance, MAIN DATA'!AH:AH,'Commitments per Month'!$H$11)/1000000000</f>
        <v>0.21120358066997691</v>
      </c>
      <c r="I17" s="315">
        <f>SUMIFS('Bilateral Assistance, MAIN DATA'!S:S,'Bilateral Assistance, MAIN DATA'!B:B,'Commitments per Month'!B17,'Bilateral Assistance, MAIN DATA'!AG:AG,1,'Bilateral Assistance, MAIN DATA'!AH:AH,'Commitments per Month'!$I$11)/1000000000</f>
        <v>0.39014338473737808</v>
      </c>
      <c r="J17" s="315">
        <f>SUMIFS('Bilateral Assistance, MAIN DATA'!S:S,'Bilateral Assistance, MAIN DATA'!B:B,'Commitments per Month'!B17,'Bilateral Assistance, MAIN DATA'!AG:AG,1,'Bilateral Assistance, MAIN DATA'!AH:AH,'Commitments per Month'!$J$11)/1000000000</f>
        <v>0.31470732219036301</v>
      </c>
      <c r="K17" s="315">
        <f>SUMIFS('Bilateral Assistance, MAIN DATA'!S:S,'Bilateral Assistance, MAIN DATA'!B:B,'Commitments per Month'!B17,'Bilateral Assistance, MAIN DATA'!AG:AG,1,'Bilateral Assistance, MAIN DATA'!AH:AH,'Commitments per Month'!$K$11)/1000000000</f>
        <v>2.692495978739772E-3</v>
      </c>
      <c r="L17" s="316">
        <f>SUMIFS('Bilateral Assistance, MAIN DATA'!S:S,'Bilateral Assistance, MAIN DATA'!B:B,'Commitments per Month'!B17,'Bilateral Assistance, MAIN DATA'!AG:AG,1,'Bilateral Assistance, MAIN DATA'!AH:AH,'Commitments per Month'!$L$11)/1000000000</f>
        <v>3.6366179453108612E-2</v>
      </c>
      <c r="M17" s="270">
        <f>SUMIFS('Bilateral Assistance, MAIN DATA'!S:S,'Bilateral Assistance, MAIN DATA'!B:B,'Commitments per Month'!B17,'Bilateral Assistance, MAIN DATA'!AG:AG,1,'Bilateral Assistance, MAIN DATA'!AH:AH,'Commitments per Month'!$M$11)/1000000000</f>
        <v>0.73221903629624452</v>
      </c>
      <c r="N17" s="316">
        <f>SUMIFS('Bilateral Assistance, MAIN DATA'!S:S,'Bilateral Assistance, MAIN DATA'!B:B,'Commitments per Month'!B17,'Bilateral Assistance, MAIN DATA'!AG:AG,1,'Bilateral Assistance, MAIN DATA'!AH:AH,'Commitments per Month'!$N$11)/1000000000</f>
        <v>0.37275333939436323</v>
      </c>
      <c r="O17" s="316">
        <f>SUMIFS('Bilateral Assistance, MAIN DATA'!S:S,'Bilateral Assistance, MAIN DATA'!B:B,'Commitments per Month'!B17,'Bilateral Assistance, MAIN DATA'!AG:AG,1,'Bilateral Assistance, MAIN DATA'!AH:AH,'Commitments per Month'!$O$11)/1000000000</f>
        <v>8.042520455975942E-2</v>
      </c>
      <c r="P17" s="604">
        <f>SUMIFS('Bilateral Assistance, MAIN DATA'!S:S,'Bilateral Assistance, MAIN DATA'!B:B,'Commitments per Month'!B17,'Bilateral Assistance, MAIN DATA'!AG:AG,1,'Bilateral Assistance, MAIN DATA'!AH:AH,'Commitments per Month'!$P$11)/1000000000</f>
        <v>0</v>
      </c>
      <c r="Q17" s="316">
        <f t="shared" si="0"/>
        <v>4.0167320360689525</v>
      </c>
      <c r="R17" s="316">
        <f>SUMIFS('Bilateral Assistance, MAIN DATA'!S:S,'Bilateral Assistance, MAIN DATA'!B:B,'Commitments per Month'!B17,'Bilateral Assistance, MAIN DATA'!AG:AG,0)/1000000000</f>
        <v>0</v>
      </c>
      <c r="S17" s="405"/>
      <c r="T17" s="405"/>
    </row>
    <row r="18" spans="1:20" ht="15.9" customHeight="1" x14ac:dyDescent="0.3">
      <c r="A18" s="5"/>
      <c r="B18" s="24" t="s">
        <v>664</v>
      </c>
      <c r="C18" s="339">
        <v>1</v>
      </c>
      <c r="D18" s="315">
        <f>SUMIFS('Bilateral Assistance, MAIN DATA'!S:S,'Bilateral Assistance, MAIN DATA'!B:B,'Commitments per Month'!B18,'Bilateral Assistance, MAIN DATA'!AG:AG,1,'Bilateral Assistance, MAIN DATA'!AH:AH,'Commitments per Month'!$D$11)/1000000000</f>
        <v>0</v>
      </c>
      <c r="E18" s="315">
        <f>SUMIFS('Bilateral Assistance, MAIN DATA'!S:S,'Bilateral Assistance, MAIN DATA'!B:B,'Commitments per Month'!B18,'Bilateral Assistance, MAIN DATA'!AG:AG,1,'Bilateral Assistance, MAIN DATA'!AH:AH,'Commitments per Month'!$E$11)/1000000000</f>
        <v>1.7652519893899207E-2</v>
      </c>
      <c r="F18" s="315">
        <f>SUMIFS('Bilateral Assistance, MAIN DATA'!S:S,'Bilateral Assistance, MAIN DATA'!B:B,'Commitments per Month'!B18,'Bilateral Assistance, MAIN DATA'!AG:AG,1,'Bilateral Assistance, MAIN DATA'!AH:AH,'Commitments per Month'!$F$11)/1000000000</f>
        <v>0</v>
      </c>
      <c r="G18" s="315">
        <f>SUMIFS('Bilateral Assistance, MAIN DATA'!S:S,'Bilateral Assistance, MAIN DATA'!B:B,'Commitments per Month'!B18,'Bilateral Assistance, MAIN DATA'!AG:AG,1,'Bilateral Assistance, MAIN DATA'!AH:AH,'Commitments per Month'!$G$11)/1000000000</f>
        <v>2.0116710875331563E-4</v>
      </c>
      <c r="H18" s="315">
        <f>SUMIFS('Bilateral Assistance, MAIN DATA'!S:S,'Bilateral Assistance, MAIN DATA'!B:B,'Commitments per Month'!B18,'Bilateral Assistance, MAIN DATA'!AG:AG,1,'Bilateral Assistance, MAIN DATA'!AH:AH,'Commitments per Month'!$H$11)/1000000000</f>
        <v>5.0000000000000001E-3</v>
      </c>
      <c r="I18" s="315">
        <f>SUMIFS('Bilateral Assistance, MAIN DATA'!S:S,'Bilateral Assistance, MAIN DATA'!B:B,'Commitments per Month'!B18,'Bilateral Assistance, MAIN DATA'!AG:AG,1,'Bilateral Assistance, MAIN DATA'!AH:AH,'Commitments per Month'!$I$11)/1000000000</f>
        <v>3.3000000000000003E-5</v>
      </c>
      <c r="J18" s="315">
        <f>SUMIFS('Bilateral Assistance, MAIN DATA'!S:S,'Bilateral Assistance, MAIN DATA'!B:B,'Commitments per Month'!B18,'Bilateral Assistance, MAIN DATA'!AG:AG,1,'Bilateral Assistance, MAIN DATA'!AH:AH,'Commitments per Month'!$J$11)/1000000000</f>
        <v>0</v>
      </c>
      <c r="K18" s="315">
        <f>SUMIFS('Bilateral Assistance, MAIN DATA'!S:S,'Bilateral Assistance, MAIN DATA'!B:B,'Commitments per Month'!B18,'Bilateral Assistance, MAIN DATA'!AG:AG,1,'Bilateral Assistance, MAIN DATA'!AH:AH,'Commitments per Month'!$K$11)/1000000000</f>
        <v>0</v>
      </c>
      <c r="L18" s="316">
        <f>SUMIFS('Bilateral Assistance, MAIN DATA'!S:S,'Bilateral Assistance, MAIN DATA'!B:B,'Commitments per Month'!B18,'Bilateral Assistance, MAIN DATA'!AG:AG,1,'Bilateral Assistance, MAIN DATA'!AH:AH,'Commitments per Month'!$L$11)/1000000000</f>
        <v>0</v>
      </c>
      <c r="M18" s="270">
        <f>SUMIFS('Bilateral Assistance, MAIN DATA'!S:S,'Bilateral Assistance, MAIN DATA'!B:B,'Commitments per Month'!B18,'Bilateral Assistance, MAIN DATA'!AG:AG,1,'Bilateral Assistance, MAIN DATA'!AH:AH,'Commitments per Month'!$M$11)/1000000000</f>
        <v>0</v>
      </c>
      <c r="N18" s="316">
        <f>SUMIFS('Bilateral Assistance, MAIN DATA'!S:S,'Bilateral Assistance, MAIN DATA'!B:B,'Commitments per Month'!B18,'Bilateral Assistance, MAIN DATA'!AG:AG,1,'Bilateral Assistance, MAIN DATA'!AH:AH,'Commitments per Month'!$N$11)/1000000000</f>
        <v>0</v>
      </c>
      <c r="O18" s="316">
        <f>SUMIFS('Bilateral Assistance, MAIN DATA'!S:S,'Bilateral Assistance, MAIN DATA'!B:B,'Commitments per Month'!B18,'Bilateral Assistance, MAIN DATA'!AG:AG,1,'Bilateral Assistance, MAIN DATA'!AH:AH,'Commitments per Month'!$O$11)/1000000000</f>
        <v>3.0000000000000001E-3</v>
      </c>
      <c r="P18" s="604">
        <f>SUMIFS('Bilateral Assistance, MAIN DATA'!S:S,'Bilateral Assistance, MAIN DATA'!B:B,'Commitments per Month'!B18,'Bilateral Assistance, MAIN DATA'!AG:AG,1,'Bilateral Assistance, MAIN DATA'!AH:AH,'Commitments per Month'!$P$11)/1000000000</f>
        <v>0</v>
      </c>
      <c r="Q18" s="316">
        <f t="shared" si="0"/>
        <v>2.5886687002652519E-2</v>
      </c>
      <c r="R18" s="316">
        <f>SUMIFS('Bilateral Assistance, MAIN DATA'!S:S,'Bilateral Assistance, MAIN DATA'!B:B,'Commitments per Month'!B18,'Bilateral Assistance, MAIN DATA'!AG:AG,0)/1000000000</f>
        <v>0</v>
      </c>
      <c r="S18" s="405"/>
      <c r="T18" s="405"/>
    </row>
    <row r="19" spans="1:20" ht="15.9" customHeight="1" x14ac:dyDescent="0.3">
      <c r="A19" s="5"/>
      <c r="B19" s="24" t="s">
        <v>696</v>
      </c>
      <c r="C19" s="339">
        <v>1</v>
      </c>
      <c r="D19" s="315">
        <f>SUMIFS('Bilateral Assistance, MAIN DATA'!S:S,'Bilateral Assistance, MAIN DATA'!B:B,'Commitments per Month'!B19,'Bilateral Assistance, MAIN DATA'!AG:AG,1,'Bilateral Assistance, MAIN DATA'!AH:AH,'Commitments per Month'!$D$11)/1000000000</f>
        <v>0</v>
      </c>
      <c r="E19" s="315">
        <f>SUMIFS('Bilateral Assistance, MAIN DATA'!S:S,'Bilateral Assistance, MAIN DATA'!B:B,'Commitments per Month'!B19,'Bilateral Assistance, MAIN DATA'!AG:AG,1,'Bilateral Assistance, MAIN DATA'!AH:AH,'Commitments per Month'!$E$11)/1000000000</f>
        <v>0</v>
      </c>
      <c r="F19" s="315">
        <f>SUMIFS('Bilateral Assistance, MAIN DATA'!S:S,'Bilateral Assistance, MAIN DATA'!B:B,'Commitments per Month'!B19,'Bilateral Assistance, MAIN DATA'!AG:AG,1,'Bilateral Assistance, MAIN DATA'!AH:AH,'Commitments per Month'!$F$11)/1000000000</f>
        <v>2E-3</v>
      </c>
      <c r="G19" s="315">
        <f>SUMIFS('Bilateral Assistance, MAIN DATA'!S:S,'Bilateral Assistance, MAIN DATA'!B:B,'Commitments per Month'!B19,'Bilateral Assistance, MAIN DATA'!AG:AG,1,'Bilateral Assistance, MAIN DATA'!AH:AH,'Commitments per Month'!$G$11)/1000000000</f>
        <v>0</v>
      </c>
      <c r="H19" s="315">
        <f>SUMIFS('Bilateral Assistance, MAIN DATA'!S:S,'Bilateral Assistance, MAIN DATA'!B:B,'Commitments per Month'!B19,'Bilateral Assistance, MAIN DATA'!AG:AG,1,'Bilateral Assistance, MAIN DATA'!AH:AH,'Commitments per Month'!$H$11)/1000000000</f>
        <v>0</v>
      </c>
      <c r="I19" s="315">
        <f>SUMIFS('Bilateral Assistance, MAIN DATA'!S:S,'Bilateral Assistance, MAIN DATA'!B:B,'Commitments per Month'!B19,'Bilateral Assistance, MAIN DATA'!AG:AG,1,'Bilateral Assistance, MAIN DATA'!AH:AH,'Commitments per Month'!$I$11)/1000000000</f>
        <v>5.0000000000000001E-4</v>
      </c>
      <c r="J19" s="315">
        <f>SUMIFS('Bilateral Assistance, MAIN DATA'!S:S,'Bilateral Assistance, MAIN DATA'!B:B,'Commitments per Month'!B19,'Bilateral Assistance, MAIN DATA'!AG:AG,1,'Bilateral Assistance, MAIN DATA'!AH:AH,'Commitments per Month'!$J$11)/1000000000</f>
        <v>0</v>
      </c>
      <c r="K19" s="315">
        <f>SUMIFS('Bilateral Assistance, MAIN DATA'!S:S,'Bilateral Assistance, MAIN DATA'!B:B,'Commitments per Month'!B19,'Bilateral Assistance, MAIN DATA'!AG:AG,1,'Bilateral Assistance, MAIN DATA'!AH:AH,'Commitments per Month'!$K$11)/1000000000</f>
        <v>0</v>
      </c>
      <c r="L19" s="316">
        <f>SUMIFS('Bilateral Assistance, MAIN DATA'!S:S,'Bilateral Assistance, MAIN DATA'!B:B,'Commitments per Month'!B19,'Bilateral Assistance, MAIN DATA'!AG:AG,1,'Bilateral Assistance, MAIN DATA'!AH:AH,'Commitments per Month'!$L$11)/1000000000</f>
        <v>0</v>
      </c>
      <c r="M19" s="270">
        <f>SUMIFS('Bilateral Assistance, MAIN DATA'!S:S,'Bilateral Assistance, MAIN DATA'!B:B,'Commitments per Month'!B19,'Bilateral Assistance, MAIN DATA'!AG:AG,1,'Bilateral Assistance, MAIN DATA'!AH:AH,'Commitments per Month'!$M$11)/1000000000</f>
        <v>0</v>
      </c>
      <c r="N19" s="316">
        <f>SUMIFS('Bilateral Assistance, MAIN DATA'!S:S,'Bilateral Assistance, MAIN DATA'!B:B,'Commitments per Month'!B19,'Bilateral Assistance, MAIN DATA'!AG:AG,1,'Bilateral Assistance, MAIN DATA'!AH:AH,'Commitments per Month'!$N$11)/1000000000</f>
        <v>0</v>
      </c>
      <c r="O19" s="316">
        <f>SUMIFS('Bilateral Assistance, MAIN DATA'!S:S,'Bilateral Assistance, MAIN DATA'!B:B,'Commitments per Month'!B19,'Bilateral Assistance, MAIN DATA'!AG:AG,1,'Bilateral Assistance, MAIN DATA'!AH:AH,'Commitments per Month'!$O$11)/1000000000</f>
        <v>5.0000000000000001E-4</v>
      </c>
      <c r="P19" s="604">
        <f>SUMIFS('Bilateral Assistance, MAIN DATA'!S:S,'Bilateral Assistance, MAIN DATA'!B:B,'Commitments per Month'!B19,'Bilateral Assistance, MAIN DATA'!AG:AG,1,'Bilateral Assistance, MAIN DATA'!AH:AH,'Commitments per Month'!$P$11)/1000000000</f>
        <v>0</v>
      </c>
      <c r="Q19" s="316">
        <f t="shared" si="0"/>
        <v>3.0000000000000001E-3</v>
      </c>
      <c r="R19" s="316">
        <f>SUMIFS('Bilateral Assistance, MAIN DATA'!S:S,'Bilateral Assistance, MAIN DATA'!B:B,'Commitments per Month'!B19,'Bilateral Assistance, MAIN DATA'!AG:AG,0)/1000000000</f>
        <v>0</v>
      </c>
    </row>
    <row r="20" spans="1:20" ht="15.9" customHeight="1" x14ac:dyDescent="0.3">
      <c r="A20" s="5"/>
      <c r="B20" s="24" t="s">
        <v>716</v>
      </c>
      <c r="C20" s="339">
        <v>1</v>
      </c>
      <c r="D20" s="315">
        <f>SUMIFS('Bilateral Assistance, MAIN DATA'!S:S,'Bilateral Assistance, MAIN DATA'!B:B,'Commitments per Month'!B20,'Bilateral Assistance, MAIN DATA'!AG:AG,1,'Bilateral Assistance, MAIN DATA'!AH:AH,'Commitments per Month'!$D$11)/1000000000</f>
        <v>0</v>
      </c>
      <c r="E20" s="315">
        <f>SUMIFS('Bilateral Assistance, MAIN DATA'!S:S,'Bilateral Assistance, MAIN DATA'!B:B,'Commitments per Month'!B20,'Bilateral Assistance, MAIN DATA'!AG:AG,1,'Bilateral Assistance, MAIN DATA'!AH:AH,'Commitments per Month'!$E$11)/1000000000</f>
        <v>3.8555143012008006E-2</v>
      </c>
      <c r="F20" s="315">
        <f>SUMIFS('Bilateral Assistance, MAIN DATA'!S:S,'Bilateral Assistance, MAIN DATA'!B:B,'Commitments per Month'!B20,'Bilateral Assistance, MAIN DATA'!AG:AG,1,'Bilateral Assistance, MAIN DATA'!AH:AH,'Commitments per Month'!$F$11)/1000000000</f>
        <v>4.1377095603418158E-2</v>
      </c>
      <c r="G20" s="315">
        <f>SUMIFS('Bilateral Assistance, MAIN DATA'!S:S,'Bilateral Assistance, MAIN DATA'!B:B,'Commitments per Month'!B20,'Bilateral Assistance, MAIN DATA'!AG:AG,1,'Bilateral Assistance, MAIN DATA'!AH:AH,'Commitments per Month'!$G$11)/1000000000</f>
        <v>0.1296065295653194</v>
      </c>
      <c r="H20" s="315">
        <f>SUMIFS('Bilateral Assistance, MAIN DATA'!S:S,'Bilateral Assistance, MAIN DATA'!B:B,'Commitments per Month'!B20,'Bilateral Assistance, MAIN DATA'!AG:AG,1,'Bilateral Assistance, MAIN DATA'!AH:AH,'Commitments per Month'!$H$11)/1000000000</f>
        <v>0.12662513103974077</v>
      </c>
      <c r="I20" s="315">
        <f>SUMIFS('Bilateral Assistance, MAIN DATA'!S:S,'Bilateral Assistance, MAIN DATA'!B:B,'Commitments per Month'!B20,'Bilateral Assistance, MAIN DATA'!AG:AG,1,'Bilateral Assistance, MAIN DATA'!AH:AH,'Commitments per Month'!$I$11)/1000000000</f>
        <v>6.8855160583245978E-2</v>
      </c>
      <c r="J20" s="315">
        <f>SUMIFS('Bilateral Assistance, MAIN DATA'!S:S,'Bilateral Assistance, MAIN DATA'!B:B,'Commitments per Month'!B20,'Bilateral Assistance, MAIN DATA'!AG:AG,1,'Bilateral Assistance, MAIN DATA'!AH:AH,'Commitments per Month'!$J$11)/1000000000</f>
        <v>0</v>
      </c>
      <c r="K20" s="315">
        <f>SUMIFS('Bilateral Assistance, MAIN DATA'!S:S,'Bilateral Assistance, MAIN DATA'!B:B,'Commitments per Month'!B20,'Bilateral Assistance, MAIN DATA'!AG:AG,1,'Bilateral Assistance, MAIN DATA'!AH:AH,'Commitments per Month'!$K$11)/1000000000</f>
        <v>0</v>
      </c>
      <c r="L20" s="316">
        <f>SUMIFS('Bilateral Assistance, MAIN DATA'!S:S,'Bilateral Assistance, MAIN DATA'!B:B,'Commitments per Month'!B20,'Bilateral Assistance, MAIN DATA'!AG:AG,1,'Bilateral Assistance, MAIN DATA'!AH:AH,'Commitments per Month'!$L$11)/1000000000</f>
        <v>0</v>
      </c>
      <c r="M20" s="270">
        <f>SUMIFS('Bilateral Assistance, MAIN DATA'!S:S,'Bilateral Assistance, MAIN DATA'!B:B,'Commitments per Month'!B20,'Bilateral Assistance, MAIN DATA'!AG:AG,1,'Bilateral Assistance, MAIN DATA'!AH:AH,'Commitments per Month'!$M$11)/1000000000</f>
        <v>8.2654013128275999E-2</v>
      </c>
      <c r="N20" s="316">
        <f>SUMIFS('Bilateral Assistance, MAIN DATA'!S:S,'Bilateral Assistance, MAIN DATA'!B:B,'Commitments per Month'!B20,'Bilateral Assistance, MAIN DATA'!AG:AG,1,'Bilateral Assistance, MAIN DATA'!AH:AH,'Commitments per Month'!$N$11)/1000000000</f>
        <v>8.2476190476190481E-2</v>
      </c>
      <c r="O20" s="316">
        <f>SUMIFS('Bilateral Assistance, MAIN DATA'!S:S,'Bilateral Assistance, MAIN DATA'!B:B,'Commitments per Month'!B20,'Bilateral Assistance, MAIN DATA'!AG:AG,1,'Bilateral Assistance, MAIN DATA'!AH:AH,'Commitments per Month'!$O$11)/1000000000</f>
        <v>0</v>
      </c>
      <c r="P20" s="604">
        <f>SUMIFS('Bilateral Assistance, MAIN DATA'!S:S,'Bilateral Assistance, MAIN DATA'!B:B,'Commitments per Month'!B20,'Bilateral Assistance, MAIN DATA'!AG:AG,1,'Bilateral Assistance, MAIN DATA'!AH:AH,'Commitments per Month'!$P$11)/1000000000</f>
        <v>0</v>
      </c>
      <c r="Q20" s="316">
        <f t="shared" si="0"/>
        <v>0.57014926340819883</v>
      </c>
      <c r="R20" s="316">
        <f>SUMIFS('Bilateral Assistance, MAIN DATA'!S:S,'Bilateral Assistance, MAIN DATA'!B:B,'Commitments per Month'!B20,'Bilateral Assistance, MAIN DATA'!AG:AG,0)/1000000000</f>
        <v>0</v>
      </c>
    </row>
    <row r="21" spans="1:20" ht="15.9" customHeight="1" x14ac:dyDescent="0.3">
      <c r="A21" s="5"/>
      <c r="B21" s="24" t="s">
        <v>856</v>
      </c>
      <c r="C21" s="339">
        <v>1</v>
      </c>
      <c r="D21" s="315">
        <f>SUMIFS('Bilateral Assistance, MAIN DATA'!S:S,'Bilateral Assistance, MAIN DATA'!B:B,'Commitments per Month'!B21,'Bilateral Assistance, MAIN DATA'!AG:AG,1,'Bilateral Assistance, MAIN DATA'!AH:AH,'Commitments per Month'!$D$11)/1000000000</f>
        <v>0</v>
      </c>
      <c r="E21" s="315">
        <f>SUMIFS('Bilateral Assistance, MAIN DATA'!S:S,'Bilateral Assistance, MAIN DATA'!B:B,'Commitments per Month'!B21,'Bilateral Assistance, MAIN DATA'!AG:AG,1,'Bilateral Assistance, MAIN DATA'!AH:AH,'Commitments per Month'!$E$11)/1000000000</f>
        <v>0</v>
      </c>
      <c r="F21" s="315">
        <f>SUMIFS('Bilateral Assistance, MAIN DATA'!S:S,'Bilateral Assistance, MAIN DATA'!B:B,'Commitments per Month'!B21,'Bilateral Assistance, MAIN DATA'!AG:AG,1,'Bilateral Assistance, MAIN DATA'!AH:AH,'Commitments per Month'!$F$11)/1000000000</f>
        <v>3.855736646764564E-2</v>
      </c>
      <c r="G21" s="315">
        <f>SUMIFS('Bilateral Assistance, MAIN DATA'!S:S,'Bilateral Assistance, MAIN DATA'!B:B,'Commitments per Month'!B21,'Bilateral Assistance, MAIN DATA'!AG:AG,1,'Bilateral Assistance, MAIN DATA'!AH:AH,'Commitments per Month'!$G$11)/1000000000</f>
        <v>0.13447367005540314</v>
      </c>
      <c r="H21" s="315">
        <f>SUMIFS('Bilateral Assistance, MAIN DATA'!S:S,'Bilateral Assistance, MAIN DATA'!B:B,'Commitments per Month'!B21,'Bilateral Assistance, MAIN DATA'!AG:AG,1,'Bilateral Assistance, MAIN DATA'!AH:AH,'Commitments per Month'!$H$11)/1000000000</f>
        <v>0.15531708891399063</v>
      </c>
      <c r="I21" s="315">
        <f>SUMIFS('Bilateral Assistance, MAIN DATA'!S:S,'Bilateral Assistance, MAIN DATA'!B:B,'Commitments per Month'!B21,'Bilateral Assistance, MAIN DATA'!AG:AG,1,'Bilateral Assistance, MAIN DATA'!AH:AH,'Commitments per Month'!$I$11)/1000000000</f>
        <v>0</v>
      </c>
      <c r="J21" s="315">
        <f>SUMIFS('Bilateral Assistance, MAIN DATA'!S:S,'Bilateral Assistance, MAIN DATA'!B:B,'Commitments per Month'!B21,'Bilateral Assistance, MAIN DATA'!AG:AG,1,'Bilateral Assistance, MAIN DATA'!AH:AH,'Commitments per Month'!$J$11)/1000000000</f>
        <v>0</v>
      </c>
      <c r="K21" s="315">
        <f>SUMIFS('Bilateral Assistance, MAIN DATA'!S:S,'Bilateral Assistance, MAIN DATA'!B:B,'Commitments per Month'!B21,'Bilateral Assistance, MAIN DATA'!AG:AG,1,'Bilateral Assistance, MAIN DATA'!AH:AH,'Commitments per Month'!$K$11)/1000000000</f>
        <v>0.12626840944543058</v>
      </c>
      <c r="L21" s="316">
        <f>SUMIFS('Bilateral Assistance, MAIN DATA'!S:S,'Bilateral Assistance, MAIN DATA'!B:B,'Commitments per Month'!B21,'Bilateral Assistance, MAIN DATA'!AG:AG,1,'Bilateral Assistance, MAIN DATA'!AH:AH,'Commitments per Month'!$L$11)/1000000000</f>
        <v>0.16847735463396268</v>
      </c>
      <c r="M21" s="270">
        <f>SUMIFS('Bilateral Assistance, MAIN DATA'!S:S,'Bilateral Assistance, MAIN DATA'!B:B,'Commitments per Month'!B21,'Bilateral Assistance, MAIN DATA'!AG:AG,1,'Bilateral Assistance, MAIN DATA'!AH:AH,'Commitments per Month'!$M$11)/1000000000</f>
        <v>1.8200000000000001E-2</v>
      </c>
      <c r="N21" s="316">
        <f>SUMIFS('Bilateral Assistance, MAIN DATA'!S:S,'Bilateral Assistance, MAIN DATA'!B:B,'Commitments per Month'!B21,'Bilateral Assistance, MAIN DATA'!AG:AG,1,'Bilateral Assistance, MAIN DATA'!AH:AH,'Commitments per Month'!$N$11)/1000000000</f>
        <v>0</v>
      </c>
      <c r="O21" s="316">
        <f>SUMIFS('Bilateral Assistance, MAIN DATA'!S:S,'Bilateral Assistance, MAIN DATA'!B:B,'Commitments per Month'!B21,'Bilateral Assistance, MAIN DATA'!AG:AG,1,'Bilateral Assistance, MAIN DATA'!AH:AH,'Commitments per Month'!$O$11)/1000000000</f>
        <v>7.8399999999999997E-2</v>
      </c>
      <c r="P21" s="604">
        <f>SUMIFS('Bilateral Assistance, MAIN DATA'!S:S,'Bilateral Assistance, MAIN DATA'!B:B,'Commitments per Month'!B21,'Bilateral Assistance, MAIN DATA'!AG:AG,1,'Bilateral Assistance, MAIN DATA'!AH:AH,'Commitments per Month'!$P$11)/1000000000</f>
        <v>0</v>
      </c>
      <c r="Q21" s="316">
        <f t="shared" si="0"/>
        <v>0.71969388951643265</v>
      </c>
      <c r="R21" s="316">
        <f>SUMIFS('Bilateral Assistance, MAIN DATA'!S:S,'Bilateral Assistance, MAIN DATA'!B:B,'Commitments per Month'!B21,'Bilateral Assistance, MAIN DATA'!AG:AG,0)/1000000000</f>
        <v>0</v>
      </c>
    </row>
    <row r="22" spans="1:20" ht="15.9" customHeight="1" x14ac:dyDescent="0.3">
      <c r="A22" s="5"/>
      <c r="B22" s="24" t="s">
        <v>937</v>
      </c>
      <c r="C22" s="339">
        <v>1</v>
      </c>
      <c r="D22" s="315">
        <f>SUMIFS('Bilateral Assistance, MAIN DATA'!S:S,'Bilateral Assistance, MAIN DATA'!B:B,'Commitments per Month'!B22,'Bilateral Assistance, MAIN DATA'!AG:AG,1,'Bilateral Assistance, MAIN DATA'!AH:AH,'Commitments per Month'!$D$11)/1000000000</f>
        <v>0</v>
      </c>
      <c r="E22" s="315">
        <f>SUMIFS('Bilateral Assistance, MAIN DATA'!S:S,'Bilateral Assistance, MAIN DATA'!B:B,'Commitments per Month'!B22,'Bilateral Assistance, MAIN DATA'!AG:AG,1,'Bilateral Assistance, MAIN DATA'!AH:AH,'Commitments per Month'!$E$11)/1000000000</f>
        <v>5.3E-3</v>
      </c>
      <c r="F22" s="315">
        <f>SUMIFS('Bilateral Assistance, MAIN DATA'!S:S,'Bilateral Assistance, MAIN DATA'!B:B,'Commitments per Month'!B22,'Bilateral Assistance, MAIN DATA'!AG:AG,1,'Bilateral Assistance, MAIN DATA'!AH:AH,'Commitments per Month'!$F$11)/1000000000</f>
        <v>0</v>
      </c>
      <c r="G22" s="315">
        <f>SUMIFS('Bilateral Assistance, MAIN DATA'!S:S,'Bilateral Assistance, MAIN DATA'!B:B,'Commitments per Month'!B22,'Bilateral Assistance, MAIN DATA'!AG:AG,1,'Bilateral Assistance, MAIN DATA'!AH:AH,'Commitments per Month'!$G$11)/1000000000</f>
        <v>5.0000000000000001E-3</v>
      </c>
      <c r="H22" s="315">
        <f>SUMIFS('Bilateral Assistance, MAIN DATA'!S:S,'Bilateral Assistance, MAIN DATA'!B:B,'Commitments per Month'!B22,'Bilateral Assistance, MAIN DATA'!AG:AG,1,'Bilateral Assistance, MAIN DATA'!AH:AH,'Commitments per Month'!$H$11)/1000000000</f>
        <v>0.2429</v>
      </c>
      <c r="I22" s="315">
        <f>SUMIFS('Bilateral Assistance, MAIN DATA'!S:S,'Bilateral Assistance, MAIN DATA'!B:B,'Commitments per Month'!B22,'Bilateral Assistance, MAIN DATA'!AG:AG,1,'Bilateral Assistance, MAIN DATA'!AH:AH,'Commitments per Month'!$I$11)/1000000000</f>
        <v>0</v>
      </c>
      <c r="J22" s="315">
        <f>SUMIFS('Bilateral Assistance, MAIN DATA'!S:S,'Bilateral Assistance, MAIN DATA'!B:B,'Commitments per Month'!B22,'Bilateral Assistance, MAIN DATA'!AG:AG,1,'Bilateral Assistance, MAIN DATA'!AH:AH,'Commitments per Month'!$J$11)/1000000000</f>
        <v>0</v>
      </c>
      <c r="K22" s="315">
        <f>SUMIFS('Bilateral Assistance, MAIN DATA'!S:S,'Bilateral Assistance, MAIN DATA'!B:B,'Commitments per Month'!B22,'Bilateral Assistance, MAIN DATA'!AG:AG,1,'Bilateral Assistance, MAIN DATA'!AH:AH,'Commitments per Month'!$K$11)/1000000000</f>
        <v>1.7819999999999999E-2</v>
      </c>
      <c r="L22" s="316">
        <f>SUMIFS('Bilateral Assistance, MAIN DATA'!S:S,'Bilateral Assistance, MAIN DATA'!B:B,'Commitments per Month'!B22,'Bilateral Assistance, MAIN DATA'!AG:AG,1,'Bilateral Assistance, MAIN DATA'!AH:AH,'Commitments per Month'!$L$11)/1000000000</f>
        <v>0</v>
      </c>
      <c r="M22" s="270">
        <f>SUMIFS('Bilateral Assistance, MAIN DATA'!S:S,'Bilateral Assistance, MAIN DATA'!B:B,'Commitments per Month'!B22,'Bilateral Assistance, MAIN DATA'!AG:AG,1,'Bilateral Assistance, MAIN DATA'!AH:AH,'Commitments per Month'!$M$11)/1000000000</f>
        <v>3.1879999999999999E-2</v>
      </c>
      <c r="N22" s="316">
        <f>SUMIFS('Bilateral Assistance, MAIN DATA'!S:S,'Bilateral Assistance, MAIN DATA'!B:B,'Commitments per Month'!B22,'Bilateral Assistance, MAIN DATA'!AG:AG,1,'Bilateral Assistance, MAIN DATA'!AH:AH,'Commitments per Month'!$N$11)/1000000000</f>
        <v>0</v>
      </c>
      <c r="O22" s="316">
        <f>SUMIFS('Bilateral Assistance, MAIN DATA'!S:S,'Bilateral Assistance, MAIN DATA'!B:B,'Commitments per Month'!B22,'Bilateral Assistance, MAIN DATA'!AG:AG,1,'Bilateral Assistance, MAIN DATA'!AH:AH,'Commitments per Month'!$O$11)/1000000000</f>
        <v>7.7999999999999996E-3</v>
      </c>
      <c r="P22" s="604">
        <f>SUMIFS('Bilateral Assistance, MAIN DATA'!S:S,'Bilateral Assistance, MAIN DATA'!B:B,'Commitments per Month'!B22,'Bilateral Assistance, MAIN DATA'!AG:AG,1,'Bilateral Assistance, MAIN DATA'!AH:AH,'Commitments per Month'!$P$11)/1000000000</f>
        <v>0</v>
      </c>
      <c r="Q22" s="316">
        <f t="shared" si="0"/>
        <v>0.31069999999999998</v>
      </c>
      <c r="R22" s="316">
        <f>SUMIFS('Bilateral Assistance, MAIN DATA'!S:S,'Bilateral Assistance, MAIN DATA'!B:B,'Commitments per Month'!B22,'Bilateral Assistance, MAIN DATA'!AG:AG,0)/1000000000</f>
        <v>2.0702279999999999E-3</v>
      </c>
    </row>
    <row r="23" spans="1:20" ht="15.9" customHeight="1" x14ac:dyDescent="0.3">
      <c r="A23" s="331"/>
      <c r="B23" s="37" t="s">
        <v>3426</v>
      </c>
      <c r="C23" s="339">
        <v>0</v>
      </c>
      <c r="D23" s="315">
        <f>SUMIFS('Bilateral Assistance, MAIN DATA'!S:S,'Bilateral Assistance, MAIN DATA'!B:B,'Commitments per Month'!B23,'Bilateral Assistance, MAIN DATA'!AG:AG,1,'Bilateral Assistance, MAIN DATA'!AH:AH,'Commitments per Month'!$D$11)/1000000000</f>
        <v>0</v>
      </c>
      <c r="E23" s="315">
        <f>SUMIFS('Bilateral Assistance, MAIN DATA'!S:S,'Bilateral Assistance, MAIN DATA'!B:B,'Commitments per Month'!B23,'Bilateral Assistance, MAIN DATA'!AG:AG,1,'Bilateral Assistance, MAIN DATA'!AH:AH,'Commitments per Month'!$E$11)/1000000000+0.5</f>
        <v>1.7</v>
      </c>
      <c r="F23" s="315">
        <f>SUMIFS('Bilateral Assistance, MAIN DATA'!S:S,'Bilateral Assistance, MAIN DATA'!B:B,'Commitments per Month'!B23,'Bilateral Assistance, MAIN DATA'!AG:AG,1,'Bilateral Assistance, MAIN DATA'!AH:AH,'Commitments per Month'!$F$11)/1000000000+2.5025</f>
        <v>2.9175</v>
      </c>
      <c r="G23" s="315">
        <f>SUMIFS('Bilateral Assistance, MAIN DATA'!S:S,'Bilateral Assistance, MAIN DATA'!B:B,'Commitments per Month'!B23,'Bilateral Assistance, MAIN DATA'!AG:AG,1,'Bilateral Assistance, MAIN DATA'!AH:AH,'Commitments per Month'!$G$11)/1000000000+0.5</f>
        <v>1.22</v>
      </c>
      <c r="H23" s="315">
        <f>SUMIFS('Bilateral Assistance, MAIN DATA'!S:S,'Bilateral Assistance, MAIN DATA'!B:B,'Commitments per Month'!B23,'Bilateral Assistance, MAIN DATA'!AG:AG,1,'Bilateral Assistance, MAIN DATA'!AH:AH,'Commitments per Month'!$H$11)/1000000000+0.5</f>
        <v>9.6999999999999993</v>
      </c>
      <c r="I23" s="315">
        <f>SUMIFS('Bilateral Assistance, MAIN DATA'!S:S,'Bilateral Assistance, MAIN DATA'!B:B,'Commitments per Month'!B23,'Bilateral Assistance, MAIN DATA'!AG:AG,1,'Bilateral Assistance, MAIN DATA'!AH:AH,'Commitments per Month'!$I$11)/1000000000</f>
        <v>0.20499999999999999</v>
      </c>
      <c r="J23" s="315">
        <f>SUMIFS('Bilateral Assistance, MAIN DATA'!S:S,'Bilateral Assistance, MAIN DATA'!B:B,'Commitments per Month'!B23,'Bilateral Assistance, MAIN DATA'!AG:AG,1,'Bilateral Assistance, MAIN DATA'!AH:AH,'Commitments per Month'!$J$11)/1000000000+0.5</f>
        <v>0.5</v>
      </c>
      <c r="K23" s="315">
        <f>SUMIFS('Bilateral Assistance, MAIN DATA'!S:S,'Bilateral Assistance, MAIN DATA'!B:B,'Commitments per Month'!B23,'Bilateral Assistance, MAIN DATA'!AG:AG,1,'Bilateral Assistance, MAIN DATA'!AH:AH,'Commitments per Month'!$K$11)/1000000000</f>
        <v>0</v>
      </c>
      <c r="L23" s="316">
        <f>SUMIFS('Bilateral Assistance, MAIN DATA'!S:S,'Bilateral Assistance, MAIN DATA'!B:B,'Commitments per Month'!B23,'Bilateral Assistance, MAIN DATA'!AG:AG,1,'Bilateral Assistance, MAIN DATA'!AH:AH,'Commitments per Month'!$L$11)/1000000000</f>
        <v>0</v>
      </c>
      <c r="M23" s="315">
        <f>SUMIFS('Bilateral Assistance, MAIN DATA'!S:S,'Bilateral Assistance, MAIN DATA'!B:B,'Commitments per Month'!B23,'Bilateral Assistance, MAIN DATA'!AG:AG,1,'Bilateral Assistance, MAIN DATA'!AH:AH,'Commitments per Month'!$M$11)/1000000000+0.6</f>
        <v>0.75</v>
      </c>
      <c r="N23" s="316">
        <f>SUMIFS('Bilateral Assistance, MAIN DATA'!S:S,'Bilateral Assistance, MAIN DATA'!B:B,'Commitments per Month'!B23,'Bilateral Assistance, MAIN DATA'!AG:AG,1,'Bilateral Assistance, MAIN DATA'!AH:AH,'Commitments per Month'!$N$11)/1000000000</f>
        <v>18</v>
      </c>
      <c r="O23" s="316">
        <f>SUMIFS('Bilateral Assistance, MAIN DATA'!S:S,'Bilateral Assistance, MAIN DATA'!B:B,'Commitments per Month'!B23,'Bilateral Assistance, MAIN DATA'!AG:AG,1,'Bilateral Assistance, MAIN DATA'!AH:AH,'Commitments per Month'!$O$11)/1000000000</f>
        <v>0.03</v>
      </c>
      <c r="P23" s="604">
        <f>SUMIFS('Bilateral Assistance, MAIN DATA'!S:S,'Bilateral Assistance, MAIN DATA'!B:B,'Commitments per Month'!B23,'Bilateral Assistance, MAIN DATA'!AG:AG,1,'Bilateral Assistance, MAIN DATA'!AH:AH,'Commitments per Month'!$P$11)/1000000000</f>
        <v>0</v>
      </c>
      <c r="Q23" s="316">
        <f t="shared" si="0"/>
        <v>35.022500000000001</v>
      </c>
      <c r="R23" s="316">
        <f>SUMIFS('Bilateral Assistance, MAIN DATA'!S:S,'Bilateral Assistance, MAIN DATA'!B:B,'Commitments per Month'!B23,'Bilateral Assistance, MAIN DATA'!AG:AG,0)/1000000000</f>
        <v>0</v>
      </c>
    </row>
    <row r="24" spans="1:20" ht="15.9" customHeight="1" x14ac:dyDescent="0.3">
      <c r="A24" s="331"/>
      <c r="B24" s="24" t="s">
        <v>1025</v>
      </c>
      <c r="C24" s="339">
        <v>1</v>
      </c>
      <c r="D24" s="315">
        <f>SUMIFS('Bilateral Assistance, MAIN DATA'!S:S,'Bilateral Assistance, MAIN DATA'!B:B,'Commitments per Month'!B24,'Bilateral Assistance, MAIN DATA'!AG:AG,1,'Bilateral Assistance, MAIN DATA'!AH:AH,'Commitments per Month'!$D$11)/1000000000</f>
        <v>0</v>
      </c>
      <c r="E24" s="315">
        <f>SUMIFS('Bilateral Assistance, MAIN DATA'!S:S,'Bilateral Assistance, MAIN DATA'!B:B,'Commitments per Month'!B24,'Bilateral Assistance, MAIN DATA'!AG:AG,1,'Bilateral Assistance, MAIN DATA'!AH:AH,'Commitments per Month'!$E$11)/1000000000</f>
        <v>3.1300000000000001E-2</v>
      </c>
      <c r="F24" s="315">
        <f>SUMIFS('Bilateral Assistance, MAIN DATA'!S:S,'Bilateral Assistance, MAIN DATA'!B:B,'Commitments per Month'!B24,'Bilateral Assistance, MAIN DATA'!AG:AG,1,'Bilateral Assistance, MAIN DATA'!AH:AH,'Commitments per Month'!$F$11)/1000000000</f>
        <v>6.4945031746031744E-3</v>
      </c>
      <c r="G24" s="315">
        <f>SUMIFS('Bilateral Assistance, MAIN DATA'!S:S,'Bilateral Assistance, MAIN DATA'!B:B,'Commitments per Month'!B24,'Bilateral Assistance, MAIN DATA'!AG:AG,1,'Bilateral Assistance, MAIN DATA'!AH:AH,'Commitments per Month'!$G$11)/1000000000</f>
        <v>4.7709523809523806E-2</v>
      </c>
      <c r="H24" s="315">
        <f>SUMIFS('Bilateral Assistance, MAIN DATA'!S:S,'Bilateral Assistance, MAIN DATA'!B:B,'Commitments per Month'!B24,'Bilateral Assistance, MAIN DATA'!AG:AG,1,'Bilateral Assistance, MAIN DATA'!AH:AH,'Commitments per Month'!$H$11)/1000000000</f>
        <v>0</v>
      </c>
      <c r="I24" s="315">
        <f>SUMIFS('Bilateral Assistance, MAIN DATA'!S:S,'Bilateral Assistance, MAIN DATA'!B:B,'Commitments per Month'!B24,'Bilateral Assistance, MAIN DATA'!AG:AG,1,'Bilateral Assistance, MAIN DATA'!AH:AH,'Commitments per Month'!$I$11)/1000000000</f>
        <v>5.475E-2</v>
      </c>
      <c r="J24" s="315">
        <f>SUMIFS('Bilateral Assistance, MAIN DATA'!S:S,'Bilateral Assistance, MAIN DATA'!B:B,'Commitments per Month'!B24,'Bilateral Assistance, MAIN DATA'!AG:AG,1,'Bilateral Assistance, MAIN DATA'!AH:AH,'Commitments per Month'!$J$11)/1000000000</f>
        <v>7.4798650793650792E-4</v>
      </c>
      <c r="K24" s="315">
        <f>SUMIFS('Bilateral Assistance, MAIN DATA'!S:S,'Bilateral Assistance, MAIN DATA'!B:B,'Commitments per Month'!B24,'Bilateral Assistance, MAIN DATA'!AG:AG,1,'Bilateral Assistance, MAIN DATA'!AH:AH,'Commitments per Month'!$K$11)/1000000000</f>
        <v>7.4798650793650792E-4</v>
      </c>
      <c r="L24" s="316">
        <f>SUMIFS('Bilateral Assistance, MAIN DATA'!S:S,'Bilateral Assistance, MAIN DATA'!B:B,'Commitments per Month'!B24,'Bilateral Assistance, MAIN DATA'!AG:AG,1,'Bilateral Assistance, MAIN DATA'!AH:AH,'Commitments per Month'!$L$11)/1000000000</f>
        <v>7.825E-2</v>
      </c>
      <c r="M24" s="270">
        <f>SUMIFS('Bilateral Assistance, MAIN DATA'!S:S,'Bilateral Assistance, MAIN DATA'!B:B,'Commitments per Month'!B24,'Bilateral Assistance, MAIN DATA'!AG:AG,1,'Bilateral Assistance, MAIN DATA'!AH:AH,'Commitments per Month'!$M$11)/1000000000</f>
        <v>0.03</v>
      </c>
      <c r="N24" s="316">
        <f>SUMIFS('Bilateral Assistance, MAIN DATA'!S:S,'Bilateral Assistance, MAIN DATA'!B:B,'Commitments per Month'!B24,'Bilateral Assistance, MAIN DATA'!AG:AG,1,'Bilateral Assistance, MAIN DATA'!AH:AH,'Commitments per Month'!$N$11)/1000000000</f>
        <v>5.5599999999999997E-2</v>
      </c>
      <c r="O24" s="316">
        <f>SUMIFS('Bilateral Assistance, MAIN DATA'!S:S,'Bilateral Assistance, MAIN DATA'!B:B,'Commitments per Month'!B24,'Bilateral Assistance, MAIN DATA'!AG:AG,1,'Bilateral Assistance, MAIN DATA'!AH:AH,'Commitments per Month'!$O$11)/1000000000</f>
        <v>3.3799999999999997E-2</v>
      </c>
      <c r="P24" s="604">
        <f>SUMIFS('Bilateral Assistance, MAIN DATA'!S:S,'Bilateral Assistance, MAIN DATA'!B:B,'Commitments per Month'!B24,'Bilateral Assistance, MAIN DATA'!AG:AG,1,'Bilateral Assistance, MAIN DATA'!AH:AH,'Commitments per Month'!$P$11)/1000000000</f>
        <v>0</v>
      </c>
      <c r="Q24" s="316">
        <f t="shared" si="0"/>
        <v>0.33939999999999998</v>
      </c>
      <c r="R24" s="316">
        <f>SUMIFS('Bilateral Assistance, MAIN DATA'!S:S,'Bilateral Assistance, MAIN DATA'!B:B,'Commitments per Month'!B24,'Bilateral Assistance, MAIN DATA'!AG:AG,0)/1000000000</f>
        <v>0</v>
      </c>
    </row>
    <row r="25" spans="1:20" ht="15.9" customHeight="1" x14ac:dyDescent="0.3">
      <c r="A25" s="331"/>
      <c r="B25" s="24" t="s">
        <v>1131</v>
      </c>
      <c r="C25" s="339">
        <v>1</v>
      </c>
      <c r="D25" s="315">
        <f>SUMIFS('Bilateral Assistance, MAIN DATA'!S:S,'Bilateral Assistance, MAIN DATA'!B:B,'Commitments per Month'!B25,'Bilateral Assistance, MAIN DATA'!AG:AG,1,'Bilateral Assistance, MAIN DATA'!AH:AH,'Commitments per Month'!$D$11)/1000000000</f>
        <v>0</v>
      </c>
      <c r="E25" s="315">
        <f>SUMIFS('Bilateral Assistance, MAIN DATA'!S:S,'Bilateral Assistance, MAIN DATA'!B:B,'Commitments per Month'!B25,'Bilateral Assistance, MAIN DATA'!AG:AG,1,'Bilateral Assistance, MAIN DATA'!AH:AH,'Commitments per Month'!$E$11)/1000000000</f>
        <v>0.5</v>
      </c>
      <c r="F25" s="315">
        <f>SUMIFS('Bilateral Assistance, MAIN DATA'!S:S,'Bilateral Assistance, MAIN DATA'!B:B,'Commitments per Month'!B25,'Bilateral Assistance, MAIN DATA'!AG:AG,1,'Bilateral Assistance, MAIN DATA'!AH:AH,'Commitments per Month'!$F$11)/1000000000</f>
        <v>0.11870238095238096</v>
      </c>
      <c r="G25" s="315">
        <f>SUMIFS('Bilateral Assistance, MAIN DATA'!S:S,'Bilateral Assistance, MAIN DATA'!B:B,'Commitments per Month'!B25,'Bilateral Assistance, MAIN DATA'!AG:AG,1,'Bilateral Assistance, MAIN DATA'!AH:AH,'Commitments per Month'!$G$11)/1000000000</f>
        <v>0.18326478311908767</v>
      </c>
      <c r="H25" s="315">
        <f>SUMIFS('Bilateral Assistance, MAIN DATA'!S:S,'Bilateral Assistance, MAIN DATA'!B:B,'Commitments per Month'!B25,'Bilateral Assistance, MAIN DATA'!AG:AG,1,'Bilateral Assistance, MAIN DATA'!AH:AH,'Commitments per Month'!$H$11)/1000000000</f>
        <v>1.0134027523809524E-2</v>
      </c>
      <c r="I25" s="315">
        <f>SUMIFS('Bilateral Assistance, MAIN DATA'!S:S,'Bilateral Assistance, MAIN DATA'!B:B,'Commitments per Month'!B25,'Bilateral Assistance, MAIN DATA'!AG:AG,1,'Bilateral Assistance, MAIN DATA'!AH:AH,'Commitments per Month'!$I$11)/1000000000</f>
        <v>0.10633328087763909</v>
      </c>
      <c r="J25" s="315">
        <f>SUMIFS('Bilateral Assistance, MAIN DATA'!S:S,'Bilateral Assistance, MAIN DATA'!B:B,'Commitments per Month'!B25,'Bilateral Assistance, MAIN DATA'!AG:AG,1,'Bilateral Assistance, MAIN DATA'!AH:AH,'Commitments per Month'!$J$11)/1000000000</f>
        <v>0</v>
      </c>
      <c r="K25" s="315">
        <f>SUMIFS('Bilateral Assistance, MAIN DATA'!S:S,'Bilateral Assistance, MAIN DATA'!B:B,'Commitments per Month'!B25,'Bilateral Assistance, MAIN DATA'!AG:AG,1,'Bilateral Assistance, MAIN DATA'!AH:AH,'Commitments per Month'!$K$11)/1000000000</f>
        <v>0</v>
      </c>
      <c r="L25" s="316">
        <f>SUMIFS('Bilateral Assistance, MAIN DATA'!S:S,'Bilateral Assistance, MAIN DATA'!B:B,'Commitments per Month'!B25,'Bilateral Assistance, MAIN DATA'!AG:AG,1,'Bilateral Assistance, MAIN DATA'!AH:AH,'Commitments per Month'!$L$11)/1000000000</f>
        <v>8.9999999999999993E-3</v>
      </c>
      <c r="M25" s="270">
        <f>SUMIFS('Bilateral Assistance, MAIN DATA'!S:S,'Bilateral Assistance, MAIN DATA'!B:B,'Commitments per Month'!B25,'Bilateral Assistance, MAIN DATA'!AG:AG,1,'Bilateral Assistance, MAIN DATA'!AH:AH,'Commitments per Month'!$M$11)/1000000000</f>
        <v>0.1</v>
      </c>
      <c r="N25" s="316">
        <f>SUMIFS('Bilateral Assistance, MAIN DATA'!S:S,'Bilateral Assistance, MAIN DATA'!B:B,'Commitments per Month'!B25,'Bilateral Assistance, MAIN DATA'!AG:AG,1,'Bilateral Assistance, MAIN DATA'!AH:AH,'Commitments per Month'!$N$11)/1000000000</f>
        <v>0.18188249003360343</v>
      </c>
      <c r="O25" s="316">
        <f>SUMIFS('Bilateral Assistance, MAIN DATA'!S:S,'Bilateral Assistance, MAIN DATA'!B:B,'Commitments per Month'!B25,'Bilateral Assistance, MAIN DATA'!AG:AG,1,'Bilateral Assistance, MAIN DATA'!AH:AH,'Commitments per Month'!$O$11)/1000000000</f>
        <v>0.46529999999999999</v>
      </c>
      <c r="P25" s="604">
        <f>SUMIFS('Bilateral Assistance, MAIN DATA'!S:S,'Bilateral Assistance, MAIN DATA'!B:B,'Commitments per Month'!B25,'Bilateral Assistance, MAIN DATA'!AG:AG,1,'Bilateral Assistance, MAIN DATA'!AH:AH,'Commitments per Month'!$P$11)/1000000000</f>
        <v>0</v>
      </c>
      <c r="Q25" s="316">
        <f t="shared" si="0"/>
        <v>1.6746169625065206</v>
      </c>
      <c r="R25" s="316">
        <f>SUMIFS('Bilateral Assistance, MAIN DATA'!S:S,'Bilateral Assistance, MAIN DATA'!B:B,'Commitments per Month'!B25,'Bilateral Assistance, MAIN DATA'!AG:AG,0)/1000000000</f>
        <v>0</v>
      </c>
    </row>
    <row r="26" spans="1:20" ht="15.9" customHeight="1" x14ac:dyDescent="0.3">
      <c r="A26" s="19"/>
      <c r="B26" s="24" t="s">
        <v>1288</v>
      </c>
      <c r="C26" s="339">
        <v>1</v>
      </c>
      <c r="D26" s="315">
        <f>SUMIFS('Bilateral Assistance, MAIN DATA'!S:S,'Bilateral Assistance, MAIN DATA'!B:B,'Commitments per Month'!B26,'Bilateral Assistance, MAIN DATA'!AG:AG,1,'Bilateral Assistance, MAIN DATA'!AH:AH,'Commitments per Month'!$D$11)/1000000000</f>
        <v>0</v>
      </c>
      <c r="E26" s="315">
        <f>SUMIFS('Bilateral Assistance, MAIN DATA'!S:S,'Bilateral Assistance, MAIN DATA'!B:B,'Commitments per Month'!B26,'Bilateral Assistance, MAIN DATA'!AG:AG,1,'Bilateral Assistance, MAIN DATA'!AH:AH,'Commitments per Month'!$E$11)/1000000000</f>
        <v>0</v>
      </c>
      <c r="F26" s="315">
        <f>SUMIFS('Bilateral Assistance, MAIN DATA'!S:S,'Bilateral Assistance, MAIN DATA'!B:B,'Commitments per Month'!B26,'Bilateral Assistance, MAIN DATA'!AG:AG,1,'Bilateral Assistance, MAIN DATA'!AH:AH,'Commitments per Month'!$F$11)/1000000000</f>
        <v>0.15</v>
      </c>
      <c r="G26" s="315">
        <f>SUMIFS('Bilateral Assistance, MAIN DATA'!S:S,'Bilateral Assistance, MAIN DATA'!B:B,'Commitments per Month'!B26,'Bilateral Assistance, MAIN DATA'!AG:AG,1,'Bilateral Assistance, MAIN DATA'!AH:AH,'Commitments per Month'!$G$11)/1000000000</f>
        <v>0.44</v>
      </c>
      <c r="H26" s="315">
        <f>SUMIFS('Bilateral Assistance, MAIN DATA'!S:S,'Bilateral Assistance, MAIN DATA'!B:B,'Commitments per Month'!B26,'Bilateral Assistance, MAIN DATA'!AG:AG,1,'Bilateral Assistance, MAIN DATA'!AH:AH,'Commitments per Month'!$H$11)/1000000000</f>
        <v>1.46</v>
      </c>
      <c r="I26" s="315">
        <f>SUMIFS('Bilateral Assistance, MAIN DATA'!S:S,'Bilateral Assistance, MAIN DATA'!B:B,'Commitments per Month'!B26,'Bilateral Assistance, MAIN DATA'!AG:AG,1,'Bilateral Assistance, MAIN DATA'!AH:AH,'Commitments per Month'!$I$11)/1000000000</f>
        <v>1.8939999999999999</v>
      </c>
      <c r="J26" s="315">
        <f>SUMIFS('Bilateral Assistance, MAIN DATA'!S:S,'Bilateral Assistance, MAIN DATA'!B:B,'Commitments per Month'!B26,'Bilateral Assistance, MAIN DATA'!AG:AG,1,'Bilateral Assistance, MAIN DATA'!AH:AH,'Commitments per Month'!$J$11)/1000000000</f>
        <v>0.40600000000000003</v>
      </c>
      <c r="K26" s="315">
        <f>SUMIFS('Bilateral Assistance, MAIN DATA'!S:S,'Bilateral Assistance, MAIN DATA'!B:B,'Commitments per Month'!B26,'Bilateral Assistance, MAIN DATA'!AG:AG,1,'Bilateral Assistance, MAIN DATA'!AH:AH,'Commitments per Month'!$K$11)/1000000000</f>
        <v>0</v>
      </c>
      <c r="L26" s="316">
        <f>SUMIFS('Bilateral Assistance, MAIN DATA'!S:S,'Bilateral Assistance, MAIN DATA'!B:B,'Commitments per Month'!B26,'Bilateral Assistance, MAIN DATA'!AG:AG,1,'Bilateral Assistance, MAIN DATA'!AH:AH,'Commitments per Month'!$L$11)/1000000000</f>
        <v>0.2</v>
      </c>
      <c r="M26" s="270">
        <f>SUMIFS('Bilateral Assistance, MAIN DATA'!S:S,'Bilateral Assistance, MAIN DATA'!B:B,'Commitments per Month'!B26,'Bilateral Assistance, MAIN DATA'!AG:AG,1,'Bilateral Assistance, MAIN DATA'!AH:AH,'Commitments per Month'!$M$11)/1000000000</f>
        <v>0</v>
      </c>
      <c r="N26" s="316">
        <f>SUMIFS('Bilateral Assistance, MAIN DATA'!S:S,'Bilateral Assistance, MAIN DATA'!B:B,'Commitments per Month'!B26,'Bilateral Assistance, MAIN DATA'!AG:AG,1,'Bilateral Assistance, MAIN DATA'!AH:AH,'Commitments per Month'!$N$11)/1000000000</f>
        <v>1.04</v>
      </c>
      <c r="O26" s="316">
        <f>SUMIFS('Bilateral Assistance, MAIN DATA'!S:S,'Bilateral Assistance, MAIN DATA'!B:B,'Commitments per Month'!B26,'Bilateral Assistance, MAIN DATA'!AG:AG,1,'Bilateral Assistance, MAIN DATA'!AH:AH,'Commitments per Month'!$O$11)/1000000000</f>
        <v>0.08</v>
      </c>
      <c r="P26" s="604">
        <f>SUMIFS('Bilateral Assistance, MAIN DATA'!S:S,'Bilateral Assistance, MAIN DATA'!B:B,'Commitments per Month'!B26,'Bilateral Assistance, MAIN DATA'!AG:AG,1,'Bilateral Assistance, MAIN DATA'!AH:AH,'Commitments per Month'!$P$11)/1000000000</f>
        <v>0.48120000000000002</v>
      </c>
      <c r="Q26" s="316">
        <f t="shared" si="0"/>
        <v>6.1512000000000002</v>
      </c>
      <c r="R26" s="316">
        <f>SUMIFS('Bilateral Assistance, MAIN DATA'!S:S,'Bilateral Assistance, MAIN DATA'!B:B,'Commitments per Month'!B26,'Bilateral Assistance, MAIN DATA'!AG:AG,0)/1000000000</f>
        <v>0</v>
      </c>
    </row>
    <row r="27" spans="1:20" ht="15.9" customHeight="1" x14ac:dyDescent="0.3">
      <c r="A27" s="19"/>
      <c r="B27" s="24" t="s">
        <v>1606</v>
      </c>
      <c r="C27" s="339">
        <v>1</v>
      </c>
      <c r="D27" s="315">
        <f>SUMIFS('Bilateral Assistance, MAIN DATA'!S:S,'Bilateral Assistance, MAIN DATA'!B:B,'Commitments per Month'!B27,'Bilateral Assistance, MAIN DATA'!AG:AG,1,'Bilateral Assistance, MAIN DATA'!AH:AH,'Commitments per Month'!$D$11)/1000000000</f>
        <v>0</v>
      </c>
      <c r="E27" s="315">
        <f>SUMIFS('Bilateral Assistance, MAIN DATA'!S:S,'Bilateral Assistance, MAIN DATA'!B:B,'Commitments per Month'!B27,'Bilateral Assistance, MAIN DATA'!AG:AG,1,'Bilateral Assistance, MAIN DATA'!AH:AH,'Commitments per Month'!$E$11)/1000000000</f>
        <v>0</v>
      </c>
      <c r="F27" s="315">
        <f>SUMIFS('Bilateral Assistance, MAIN DATA'!S:S,'Bilateral Assistance, MAIN DATA'!B:B,'Commitments per Month'!B27,'Bilateral Assistance, MAIN DATA'!AG:AG,1,'Bilateral Assistance, MAIN DATA'!AH:AH,'Commitments per Month'!$F$11)/1000000000</f>
        <v>1.6467865904761902E-2</v>
      </c>
      <c r="G27" s="315">
        <f>SUMIFS('Bilateral Assistance, MAIN DATA'!S:S,'Bilateral Assistance, MAIN DATA'!B:B,'Commitments per Month'!B27,'Bilateral Assistance, MAIN DATA'!AG:AG,1,'Bilateral Assistance, MAIN DATA'!AH:AH,'Commitments per Month'!$G$11)/1000000000</f>
        <v>0</v>
      </c>
      <c r="H27" s="315">
        <f>SUMIFS('Bilateral Assistance, MAIN DATA'!S:S,'Bilateral Assistance, MAIN DATA'!B:B,'Commitments per Month'!B27,'Bilateral Assistance, MAIN DATA'!AG:AG,1,'Bilateral Assistance, MAIN DATA'!AH:AH,'Commitments per Month'!$H$11)/1000000000</f>
        <v>0.14484233142857142</v>
      </c>
      <c r="I27" s="315">
        <f>SUMIFS('Bilateral Assistance, MAIN DATA'!S:S,'Bilateral Assistance, MAIN DATA'!B:B,'Commitments per Month'!B27,'Bilateral Assistance, MAIN DATA'!AG:AG,1,'Bilateral Assistance, MAIN DATA'!AH:AH,'Commitments per Month'!$I$11)/1000000000</f>
        <v>0</v>
      </c>
      <c r="J27" s="315">
        <f>SUMIFS('Bilateral Assistance, MAIN DATA'!S:S,'Bilateral Assistance, MAIN DATA'!B:B,'Commitments per Month'!B27,'Bilateral Assistance, MAIN DATA'!AG:AG,1,'Bilateral Assistance, MAIN DATA'!AH:AH,'Commitments per Month'!$J$11)/1000000000</f>
        <v>0</v>
      </c>
      <c r="K27" s="315">
        <f>SUMIFS('Bilateral Assistance, MAIN DATA'!S:S,'Bilateral Assistance, MAIN DATA'!B:B,'Commitments per Month'!B27,'Bilateral Assistance, MAIN DATA'!AG:AG,1,'Bilateral Assistance, MAIN DATA'!AH:AH,'Commitments per Month'!$K$11)/1000000000</f>
        <v>0</v>
      </c>
      <c r="L27" s="316">
        <f>SUMIFS('Bilateral Assistance, MAIN DATA'!S:S,'Bilateral Assistance, MAIN DATA'!B:B,'Commitments per Month'!B27,'Bilateral Assistance, MAIN DATA'!AG:AG,1,'Bilateral Assistance, MAIN DATA'!AH:AH,'Commitments per Month'!$L$11)/1000000000</f>
        <v>2.1392096380952384E-2</v>
      </c>
      <c r="M27" s="270">
        <f>SUMIFS('Bilateral Assistance, MAIN DATA'!S:S,'Bilateral Assistance, MAIN DATA'!B:B,'Commitments per Month'!B27,'Bilateral Assistance, MAIN DATA'!AG:AG,1,'Bilateral Assistance, MAIN DATA'!AH:AH,'Commitments per Month'!$M$11)/1000000000</f>
        <v>0</v>
      </c>
      <c r="N27" s="316">
        <f>SUMIFS('Bilateral Assistance, MAIN DATA'!S:S,'Bilateral Assistance, MAIN DATA'!B:B,'Commitments per Month'!B27,'Bilateral Assistance, MAIN DATA'!AG:AG,1,'Bilateral Assistance, MAIN DATA'!AH:AH,'Commitments per Month'!$N$11)/1000000000</f>
        <v>0</v>
      </c>
      <c r="O27" s="316">
        <f>SUMIFS('Bilateral Assistance, MAIN DATA'!S:S,'Bilateral Assistance, MAIN DATA'!B:B,'Commitments per Month'!B27,'Bilateral Assistance, MAIN DATA'!AG:AG,1,'Bilateral Assistance, MAIN DATA'!AH:AH,'Commitments per Month'!$O$11)/1000000000</f>
        <v>0</v>
      </c>
      <c r="P27" s="604">
        <f>SUMIFS('Bilateral Assistance, MAIN DATA'!S:S,'Bilateral Assistance, MAIN DATA'!B:B,'Commitments per Month'!B27,'Bilateral Assistance, MAIN DATA'!AG:AG,1,'Bilateral Assistance, MAIN DATA'!AH:AH,'Commitments per Month'!$P$11)/1000000000</f>
        <v>0</v>
      </c>
      <c r="Q27" s="316">
        <f t="shared" si="0"/>
        <v>0.1827022937142857</v>
      </c>
      <c r="R27" s="316">
        <f>SUMIFS('Bilateral Assistance, MAIN DATA'!S:S,'Bilateral Assistance, MAIN DATA'!B:B,'Commitments per Month'!B27,'Bilateral Assistance, MAIN DATA'!AG:AG,0)/1000000000</f>
        <v>0</v>
      </c>
    </row>
    <row r="28" spans="1:20" ht="15.9" customHeight="1" x14ac:dyDescent="0.3">
      <c r="A28" s="19"/>
      <c r="B28" s="24" t="s">
        <v>1646</v>
      </c>
      <c r="C28" s="339">
        <v>1</v>
      </c>
      <c r="D28" s="315">
        <f>SUMIFS('Bilateral Assistance, MAIN DATA'!S:S,'Bilateral Assistance, MAIN DATA'!B:B,'Commitments per Month'!B28,'Bilateral Assistance, MAIN DATA'!AG:AG,1,'Bilateral Assistance, MAIN DATA'!AH:AH,'Commitments per Month'!$D$11)/1000000000</f>
        <v>0</v>
      </c>
      <c r="E28" s="315">
        <f>SUMIFS('Bilateral Assistance, MAIN DATA'!S:S,'Bilateral Assistance, MAIN DATA'!B:B,'Commitments per Month'!B28,'Bilateral Assistance, MAIN DATA'!AG:AG,1,'Bilateral Assistance, MAIN DATA'!AH:AH,'Commitments per Month'!$E$11)/1000000000</f>
        <v>1.894857142857143E-4</v>
      </c>
      <c r="F28" s="315">
        <f>SUMIFS('Bilateral Assistance, MAIN DATA'!S:S,'Bilateral Assistance, MAIN DATA'!B:B,'Commitments per Month'!B28,'Bilateral Assistance, MAIN DATA'!AG:AG,1,'Bilateral Assistance, MAIN DATA'!AH:AH,'Commitments per Month'!$F$11)/1000000000</f>
        <v>6.4043488695212838E-3</v>
      </c>
      <c r="G28" s="315">
        <f>SUMIFS('Bilateral Assistance, MAIN DATA'!S:S,'Bilateral Assistance, MAIN DATA'!B:B,'Commitments per Month'!B28,'Bilateral Assistance, MAIN DATA'!AG:AG,1,'Bilateral Assistance, MAIN DATA'!AH:AH,'Commitments per Month'!$G$11)/1000000000</f>
        <v>0</v>
      </c>
      <c r="H28" s="315">
        <f>SUMIFS('Bilateral Assistance, MAIN DATA'!S:S,'Bilateral Assistance, MAIN DATA'!B:B,'Commitments per Month'!B28,'Bilateral Assistance, MAIN DATA'!AG:AG,1,'Bilateral Assistance, MAIN DATA'!AH:AH,'Commitments per Month'!$H$11)/1000000000</f>
        <v>3.7661866868763418E-2</v>
      </c>
      <c r="I28" s="315">
        <f>SUMIFS('Bilateral Assistance, MAIN DATA'!S:S,'Bilateral Assistance, MAIN DATA'!B:B,'Commitments per Month'!B28,'Bilateral Assistance, MAIN DATA'!AG:AG,1,'Bilateral Assistance, MAIN DATA'!AH:AH,'Commitments per Month'!$I$11)/1000000000</f>
        <v>0</v>
      </c>
      <c r="J28" s="315">
        <f>SUMIFS('Bilateral Assistance, MAIN DATA'!S:S,'Bilateral Assistance, MAIN DATA'!B:B,'Commitments per Month'!B28,'Bilateral Assistance, MAIN DATA'!AG:AG,1,'Bilateral Assistance, MAIN DATA'!AH:AH,'Commitments per Month'!$J$11)/1000000000</f>
        <v>0</v>
      </c>
      <c r="K28" s="315">
        <f>SUMIFS('Bilateral Assistance, MAIN DATA'!S:S,'Bilateral Assistance, MAIN DATA'!B:B,'Commitments per Month'!B28,'Bilateral Assistance, MAIN DATA'!AG:AG,1,'Bilateral Assistance, MAIN DATA'!AH:AH,'Commitments per Month'!$K$11)/1000000000</f>
        <v>0</v>
      </c>
      <c r="L28" s="316">
        <f>SUMIFS('Bilateral Assistance, MAIN DATA'!S:S,'Bilateral Assistance, MAIN DATA'!B:B,'Commitments per Month'!B28,'Bilateral Assistance, MAIN DATA'!AG:AG,1,'Bilateral Assistance, MAIN DATA'!AH:AH,'Commitments per Month'!$L$11)/1000000000</f>
        <v>0</v>
      </c>
      <c r="M28" s="270">
        <f>SUMIFS('Bilateral Assistance, MAIN DATA'!S:S,'Bilateral Assistance, MAIN DATA'!B:B,'Commitments per Month'!B28,'Bilateral Assistance, MAIN DATA'!AG:AG,1,'Bilateral Assistance, MAIN DATA'!AH:AH,'Commitments per Month'!$M$11)/1000000000</f>
        <v>0</v>
      </c>
      <c r="N28" s="316">
        <f>SUMIFS('Bilateral Assistance, MAIN DATA'!S:S,'Bilateral Assistance, MAIN DATA'!B:B,'Commitments per Month'!B28,'Bilateral Assistance, MAIN DATA'!AG:AG,1,'Bilateral Assistance, MAIN DATA'!AH:AH,'Commitments per Month'!$N$11)/1000000000</f>
        <v>9.6501199949475811E-4</v>
      </c>
      <c r="O28" s="316">
        <f>SUMIFS('Bilateral Assistance, MAIN DATA'!S:S,'Bilateral Assistance, MAIN DATA'!B:B,'Commitments per Month'!B28,'Bilateral Assistance, MAIN DATA'!AG:AG,1,'Bilateral Assistance, MAIN DATA'!AH:AH,'Commitments per Month'!$O$11)/1000000000</f>
        <v>0</v>
      </c>
      <c r="P28" s="604">
        <f>SUMIFS('Bilateral Assistance, MAIN DATA'!S:S,'Bilateral Assistance, MAIN DATA'!B:B,'Commitments per Month'!B28,'Bilateral Assistance, MAIN DATA'!AG:AG,1,'Bilateral Assistance, MAIN DATA'!AH:AH,'Commitments per Month'!$P$11)/1000000000</f>
        <v>0</v>
      </c>
      <c r="Q28" s="316">
        <f t="shared" si="0"/>
        <v>4.5220713452065173E-2</v>
      </c>
      <c r="R28" s="316">
        <f>SUMIFS('Bilateral Assistance, MAIN DATA'!S:S,'Bilateral Assistance, MAIN DATA'!B:B,'Commitments per Month'!B28,'Bilateral Assistance, MAIN DATA'!AG:AG,0)/1000000000</f>
        <v>2.0634920634920633E-3</v>
      </c>
    </row>
    <row r="29" spans="1:20" ht="15.9" customHeight="1" x14ac:dyDescent="0.3">
      <c r="A29" s="19"/>
      <c r="B29" s="24" t="s">
        <v>1701</v>
      </c>
      <c r="C29" s="339">
        <v>1</v>
      </c>
      <c r="D29" s="315">
        <f>SUMIFS('Bilateral Assistance, MAIN DATA'!S:S,'Bilateral Assistance, MAIN DATA'!B:B,'Commitments per Month'!B29,'Bilateral Assistance, MAIN DATA'!AG:AG,1,'Bilateral Assistance, MAIN DATA'!AH:AH,'Commitments per Month'!$D$11)/1000000000</f>
        <v>0</v>
      </c>
      <c r="E29" s="315">
        <f>SUMIFS('Bilateral Assistance, MAIN DATA'!S:S,'Bilateral Assistance, MAIN DATA'!B:B,'Commitments per Month'!B29,'Bilateral Assistance, MAIN DATA'!AG:AG,1,'Bilateral Assistance, MAIN DATA'!AH:AH,'Commitments per Month'!$E$11)/1000000000</f>
        <v>0.01</v>
      </c>
      <c r="F29" s="315">
        <f>SUMIFS('Bilateral Assistance, MAIN DATA'!S:S,'Bilateral Assistance, MAIN DATA'!B:B,'Commitments per Month'!B29,'Bilateral Assistance, MAIN DATA'!AG:AG,1,'Bilateral Assistance, MAIN DATA'!AH:AH,'Commitments per Month'!$F$11)/1000000000</f>
        <v>1.3618666666666667E-4</v>
      </c>
      <c r="G29" s="315">
        <f>SUMIFS('Bilateral Assistance, MAIN DATA'!S:S,'Bilateral Assistance, MAIN DATA'!B:B,'Commitments per Month'!B29,'Bilateral Assistance, MAIN DATA'!AG:AG,1,'Bilateral Assistance, MAIN DATA'!AH:AH,'Commitments per Month'!$G$11)/1000000000</f>
        <v>5.2999999999999999E-2</v>
      </c>
      <c r="H29" s="315">
        <f>SUMIFS('Bilateral Assistance, MAIN DATA'!S:S,'Bilateral Assistance, MAIN DATA'!B:B,'Commitments per Month'!B29,'Bilateral Assistance, MAIN DATA'!AG:AG,1,'Bilateral Assistance, MAIN DATA'!AH:AH,'Commitments per Month'!$H$11)/1000000000</f>
        <v>5.0000000000000001E-4</v>
      </c>
      <c r="I29" s="315">
        <f>SUMIFS('Bilateral Assistance, MAIN DATA'!S:S,'Bilateral Assistance, MAIN DATA'!B:B,'Commitments per Month'!B29,'Bilateral Assistance, MAIN DATA'!AG:AG,1,'Bilateral Assistance, MAIN DATA'!AH:AH,'Commitments per Month'!$I$11)/1000000000</f>
        <v>2.1970000000000002E-3</v>
      </c>
      <c r="J29" s="315">
        <f>SUMIFS('Bilateral Assistance, MAIN DATA'!S:S,'Bilateral Assistance, MAIN DATA'!B:B,'Commitments per Month'!B29,'Bilateral Assistance, MAIN DATA'!AG:AG,1,'Bilateral Assistance, MAIN DATA'!AH:AH,'Commitments per Month'!$J$11)/1000000000</f>
        <v>0</v>
      </c>
      <c r="K29" s="315">
        <f>SUMIFS('Bilateral Assistance, MAIN DATA'!S:S,'Bilateral Assistance, MAIN DATA'!B:B,'Commitments per Month'!B29,'Bilateral Assistance, MAIN DATA'!AG:AG,1,'Bilateral Assistance, MAIN DATA'!AH:AH,'Commitments per Month'!$K$11)/1000000000</f>
        <v>0</v>
      </c>
      <c r="L29" s="316">
        <f>SUMIFS('Bilateral Assistance, MAIN DATA'!S:S,'Bilateral Assistance, MAIN DATA'!B:B,'Commitments per Month'!B29,'Bilateral Assistance, MAIN DATA'!AG:AG,1,'Bilateral Assistance, MAIN DATA'!AH:AH,'Commitments per Month'!$L$11)/1000000000</f>
        <v>0</v>
      </c>
      <c r="M29" s="270">
        <f>SUMIFS('Bilateral Assistance, MAIN DATA'!S:S,'Bilateral Assistance, MAIN DATA'!B:B,'Commitments per Month'!B29,'Bilateral Assistance, MAIN DATA'!AG:AG,1,'Bilateral Assistance, MAIN DATA'!AH:AH,'Commitments per Month'!$M$11)/1000000000</f>
        <v>0</v>
      </c>
      <c r="N29" s="316">
        <f>SUMIFS('Bilateral Assistance, MAIN DATA'!S:S,'Bilateral Assistance, MAIN DATA'!B:B,'Commitments per Month'!B29,'Bilateral Assistance, MAIN DATA'!AG:AG,1,'Bilateral Assistance, MAIN DATA'!AH:AH,'Commitments per Month'!$N$11)/1000000000</f>
        <v>0</v>
      </c>
      <c r="O29" s="316">
        <f>SUMIFS('Bilateral Assistance, MAIN DATA'!S:S,'Bilateral Assistance, MAIN DATA'!B:B,'Commitments per Month'!B29,'Bilateral Assistance, MAIN DATA'!AG:AG,1,'Bilateral Assistance, MAIN DATA'!AH:AH,'Commitments per Month'!$O$11)/1000000000</f>
        <v>0</v>
      </c>
      <c r="P29" s="604">
        <f>SUMIFS('Bilateral Assistance, MAIN DATA'!S:S,'Bilateral Assistance, MAIN DATA'!B:B,'Commitments per Month'!B29,'Bilateral Assistance, MAIN DATA'!AG:AG,1,'Bilateral Assistance, MAIN DATA'!AH:AH,'Commitments per Month'!$P$11)/1000000000</f>
        <v>0</v>
      </c>
      <c r="Q29" s="316">
        <f t="shared" si="0"/>
        <v>6.5833186666666668E-2</v>
      </c>
      <c r="R29" s="316">
        <f>SUMIFS('Bilateral Assistance, MAIN DATA'!S:S,'Bilateral Assistance, MAIN DATA'!B:B,'Commitments per Month'!B29,'Bilateral Assistance, MAIN DATA'!AG:AG,0)/1000000000</f>
        <v>2.7214285714285713E-3</v>
      </c>
    </row>
    <row r="30" spans="1:20" ht="15.9" customHeight="1" x14ac:dyDescent="0.3">
      <c r="A30" s="19"/>
      <c r="B30" s="24" t="s">
        <v>1730</v>
      </c>
      <c r="C30" s="339">
        <v>1</v>
      </c>
      <c r="D30" s="315">
        <f>SUMIFS('Bilateral Assistance, MAIN DATA'!S:S,'Bilateral Assistance, MAIN DATA'!B:B,'Commitments per Month'!B30,'Bilateral Assistance, MAIN DATA'!AG:AG,1,'Bilateral Assistance, MAIN DATA'!AH:AH,'Commitments per Month'!$D$11)/1000000000</f>
        <v>0</v>
      </c>
      <c r="E30" s="315">
        <f>SUMIFS('Bilateral Assistance, MAIN DATA'!S:S,'Bilateral Assistance, MAIN DATA'!B:B,'Commitments per Month'!B30,'Bilateral Assistance, MAIN DATA'!AG:AG,1,'Bilateral Assistance, MAIN DATA'!AH:AH,'Commitments per Month'!$E$11)/1000000000</f>
        <v>0.26100000000000001</v>
      </c>
      <c r="F30" s="315">
        <f>SUMIFS('Bilateral Assistance, MAIN DATA'!S:S,'Bilateral Assistance, MAIN DATA'!B:B,'Commitments per Month'!B30,'Bilateral Assistance, MAIN DATA'!AG:AG,1,'Bilateral Assistance, MAIN DATA'!AH:AH,'Commitments per Month'!$F$11)/1000000000</f>
        <v>8.0642714285714279E-3</v>
      </c>
      <c r="G30" s="315">
        <f>SUMIFS('Bilateral Assistance, MAIN DATA'!S:S,'Bilateral Assistance, MAIN DATA'!B:B,'Commitments per Month'!B30,'Bilateral Assistance, MAIN DATA'!AG:AG,1,'Bilateral Assistance, MAIN DATA'!AH:AH,'Commitments per Month'!$G$11)/1000000000</f>
        <v>3.3142857142857141E-2</v>
      </c>
      <c r="H30" s="315">
        <f>SUMIFS('Bilateral Assistance, MAIN DATA'!S:S,'Bilateral Assistance, MAIN DATA'!B:B,'Commitments per Month'!B30,'Bilateral Assistance, MAIN DATA'!AG:AG,1,'Bilateral Assistance, MAIN DATA'!AH:AH,'Commitments per Month'!$H$11)/1000000000</f>
        <v>0</v>
      </c>
      <c r="I30" s="315">
        <f>SUMIFS('Bilateral Assistance, MAIN DATA'!S:S,'Bilateral Assistance, MAIN DATA'!B:B,'Commitments per Month'!B30,'Bilateral Assistance, MAIN DATA'!AG:AG,1,'Bilateral Assistance, MAIN DATA'!AH:AH,'Commitments per Month'!$I$11)/1000000000</f>
        <v>0</v>
      </c>
      <c r="J30" s="315">
        <f>SUMIFS('Bilateral Assistance, MAIN DATA'!S:S,'Bilateral Assistance, MAIN DATA'!B:B,'Commitments per Month'!B30,'Bilateral Assistance, MAIN DATA'!AG:AG,1,'Bilateral Assistance, MAIN DATA'!AH:AH,'Commitments per Month'!$J$11)/1000000000</f>
        <v>0</v>
      </c>
      <c r="K30" s="315">
        <f>SUMIFS('Bilateral Assistance, MAIN DATA'!S:S,'Bilateral Assistance, MAIN DATA'!B:B,'Commitments per Month'!B30,'Bilateral Assistance, MAIN DATA'!AG:AG,1,'Bilateral Assistance, MAIN DATA'!AH:AH,'Commitments per Month'!$K$11)/1000000000</f>
        <v>0.2</v>
      </c>
      <c r="L30" s="316">
        <f>SUMIFS('Bilateral Assistance, MAIN DATA'!S:S,'Bilateral Assistance, MAIN DATA'!B:B,'Commitments per Month'!B30,'Bilateral Assistance, MAIN DATA'!AG:AG,1,'Bilateral Assistance, MAIN DATA'!AH:AH,'Commitments per Month'!$L$11)/1000000000</f>
        <v>0</v>
      </c>
      <c r="M30" s="270">
        <f>SUMIFS('Bilateral Assistance, MAIN DATA'!S:S,'Bilateral Assistance, MAIN DATA'!B:B,'Commitments per Month'!B30,'Bilateral Assistance, MAIN DATA'!AG:AG,1,'Bilateral Assistance, MAIN DATA'!AH:AH,'Commitments per Month'!$M$11)/1000000000</f>
        <v>0.16914838062565363</v>
      </c>
      <c r="N30" s="316">
        <f>SUMIFS('Bilateral Assistance, MAIN DATA'!S:S,'Bilateral Assistance, MAIN DATA'!B:B,'Commitments per Month'!B30,'Bilateral Assistance, MAIN DATA'!AG:AG,1,'Bilateral Assistance, MAIN DATA'!AH:AH,'Commitments per Month'!$N$11)/1000000000</f>
        <v>0</v>
      </c>
      <c r="O30" s="316">
        <f>SUMIFS('Bilateral Assistance, MAIN DATA'!S:S,'Bilateral Assistance, MAIN DATA'!B:B,'Commitments per Month'!B30,'Bilateral Assistance, MAIN DATA'!AG:AG,1,'Bilateral Assistance, MAIN DATA'!AH:AH,'Commitments per Month'!$O$11)/1000000000</f>
        <v>0.01</v>
      </c>
      <c r="P30" s="604">
        <f>SUMIFS('Bilateral Assistance, MAIN DATA'!S:S,'Bilateral Assistance, MAIN DATA'!B:B,'Commitments per Month'!B30,'Bilateral Assistance, MAIN DATA'!AG:AG,1,'Bilateral Assistance, MAIN DATA'!AH:AH,'Commitments per Month'!$P$11)/1000000000</f>
        <v>0.34177000000000002</v>
      </c>
      <c r="Q30" s="316">
        <f t="shared" si="0"/>
        <v>1.0231255091970821</v>
      </c>
      <c r="R30" s="316">
        <f>SUMIFS('Bilateral Assistance, MAIN DATA'!S:S,'Bilateral Assistance, MAIN DATA'!B:B,'Commitments per Month'!B30,'Bilateral Assistance, MAIN DATA'!AG:AG,0)/1000000000</f>
        <v>0</v>
      </c>
    </row>
    <row r="31" spans="1:20" ht="15.9" customHeight="1" x14ac:dyDescent="0.3">
      <c r="A31" s="19"/>
      <c r="B31" s="24" t="s">
        <v>1804</v>
      </c>
      <c r="C31" s="339">
        <v>0</v>
      </c>
      <c r="D31" s="315">
        <f>SUMIFS('Bilateral Assistance, MAIN DATA'!S:S,'Bilateral Assistance, MAIN DATA'!B:B,'Commitments per Month'!B31,'Bilateral Assistance, MAIN DATA'!AG:AG,1,'Bilateral Assistance, MAIN DATA'!AH:AH,'Commitments per Month'!$D$11)/1000000000</f>
        <v>0</v>
      </c>
      <c r="E31" s="315">
        <f>SUMIFS('Bilateral Assistance, MAIN DATA'!S:S,'Bilateral Assistance, MAIN DATA'!B:B,'Commitments per Month'!B31,'Bilateral Assistance, MAIN DATA'!AG:AG,1,'Bilateral Assistance, MAIN DATA'!AH:AH,'Commitments per Month'!$E$11)/1000000000</f>
        <v>0</v>
      </c>
      <c r="F31" s="315">
        <f>SUMIFS('Bilateral Assistance, MAIN DATA'!S:S,'Bilateral Assistance, MAIN DATA'!B:B,'Commitments per Month'!B31,'Bilateral Assistance, MAIN DATA'!AG:AG,1,'Bilateral Assistance, MAIN DATA'!AH:AH,'Commitments per Month'!$F$11)/1000000000</f>
        <v>9.7333333333333327E-2</v>
      </c>
      <c r="G31" s="315">
        <f>SUMIFS('Bilateral Assistance, MAIN DATA'!S:S,'Bilateral Assistance, MAIN DATA'!B:B,'Commitments per Month'!B31,'Bilateral Assistance, MAIN DATA'!AG:AG,1,'Bilateral Assistance, MAIN DATA'!AH:AH,'Commitments per Month'!$G$11)/1000000000</f>
        <v>0.19283809523809525</v>
      </c>
      <c r="H31" s="315">
        <f>SUMIFS('Bilateral Assistance, MAIN DATA'!S:S,'Bilateral Assistance, MAIN DATA'!B:B,'Commitments per Month'!B31,'Bilateral Assistance, MAIN DATA'!AG:AG,1,'Bilateral Assistance, MAIN DATA'!AH:AH,'Commitments per Month'!$H$11)/1000000000</f>
        <v>0.2872952380952381</v>
      </c>
      <c r="I31" s="315">
        <f>SUMIFS('Bilateral Assistance, MAIN DATA'!S:S,'Bilateral Assistance, MAIN DATA'!B:B,'Commitments per Month'!B31,'Bilateral Assistance, MAIN DATA'!AG:AG,1,'Bilateral Assistance, MAIN DATA'!AH:AH,'Commitments per Month'!$I$11)/1000000000</f>
        <v>0</v>
      </c>
      <c r="J31" s="315">
        <f>SUMIFS('Bilateral Assistance, MAIN DATA'!S:S,'Bilateral Assistance, MAIN DATA'!B:B,'Commitments per Month'!B31,'Bilateral Assistance, MAIN DATA'!AG:AG,1,'Bilateral Assistance, MAIN DATA'!AH:AH,'Commitments per Month'!$J$11)/1000000000</f>
        <v>0</v>
      </c>
      <c r="K31" s="315">
        <f>SUMIFS('Bilateral Assistance, MAIN DATA'!S:S,'Bilateral Assistance, MAIN DATA'!B:B,'Commitments per Month'!B31,'Bilateral Assistance, MAIN DATA'!AG:AG,1,'Bilateral Assistance, MAIN DATA'!AH:AH,'Commitments per Month'!$K$11)/1000000000</f>
        <v>6.8571428571428567E-5</v>
      </c>
      <c r="L31" s="316">
        <f>SUMIFS('Bilateral Assistance, MAIN DATA'!S:S,'Bilateral Assistance, MAIN DATA'!B:B,'Commitments per Month'!B31,'Bilateral Assistance, MAIN DATA'!AG:AG,1,'Bilateral Assistance, MAIN DATA'!AH:AH,'Commitments per Month'!$L$11)/1000000000</f>
        <v>0</v>
      </c>
      <c r="M31" s="270">
        <f>SUMIFS('Bilateral Assistance, MAIN DATA'!S:S,'Bilateral Assistance, MAIN DATA'!B:B,'Commitments per Month'!B31,'Bilateral Assistance, MAIN DATA'!AG:AG,1,'Bilateral Assistance, MAIN DATA'!AH:AH,'Commitments per Month'!$M$11)/1000000000</f>
        <v>0</v>
      </c>
      <c r="N31" s="316">
        <f>SUMIFS('Bilateral Assistance, MAIN DATA'!S:S,'Bilateral Assistance, MAIN DATA'!B:B,'Commitments per Month'!B31,'Bilateral Assistance, MAIN DATA'!AG:AG,1,'Bilateral Assistance, MAIN DATA'!AH:AH,'Commitments per Month'!$N$11)/1000000000</f>
        <v>2.4476190476190474E-3</v>
      </c>
      <c r="O31" s="316">
        <f>SUMIFS('Bilateral Assistance, MAIN DATA'!S:S,'Bilateral Assistance, MAIN DATA'!B:B,'Commitments per Month'!B31,'Bilateral Assistance, MAIN DATA'!AG:AG,1,'Bilateral Assistance, MAIN DATA'!AH:AH,'Commitments per Month'!$O$11)/1000000000</f>
        <v>0.47178130476190472</v>
      </c>
      <c r="P31" s="604">
        <f>SUMIFS('Bilateral Assistance, MAIN DATA'!S:S,'Bilateral Assistance, MAIN DATA'!B:B,'Commitments per Month'!B31,'Bilateral Assistance, MAIN DATA'!AG:AG,1,'Bilateral Assistance, MAIN DATA'!AH:AH,'Commitments per Month'!$P$11)/1000000000</f>
        <v>0</v>
      </c>
      <c r="Q31" s="316">
        <f t="shared" si="0"/>
        <v>1.051764161904762</v>
      </c>
      <c r="R31" s="316">
        <f>SUMIFS('Bilateral Assistance, MAIN DATA'!S:S,'Bilateral Assistance, MAIN DATA'!B:B,'Commitments per Month'!B31,'Bilateral Assistance, MAIN DATA'!AG:AG,0)/1000000000</f>
        <v>0</v>
      </c>
    </row>
    <row r="32" spans="1:20" ht="15.9" customHeight="1" x14ac:dyDescent="0.3">
      <c r="A32" s="19"/>
      <c r="B32" s="24" t="s">
        <v>1861</v>
      </c>
      <c r="C32" s="339">
        <v>1</v>
      </c>
      <c r="D32" s="315">
        <f>SUMIFS('Bilateral Assistance, MAIN DATA'!S:S,'Bilateral Assistance, MAIN DATA'!B:B,'Commitments per Month'!B32,'Bilateral Assistance, MAIN DATA'!AG:AG,1,'Bilateral Assistance, MAIN DATA'!AH:AH,'Commitments per Month'!$D$11)/1000000000</f>
        <v>0</v>
      </c>
      <c r="E32" s="315">
        <f>SUMIFS('Bilateral Assistance, MAIN DATA'!S:S,'Bilateral Assistance, MAIN DATA'!B:B,'Commitments per Month'!B32,'Bilateral Assistance, MAIN DATA'!AG:AG,1,'Bilateral Assistance, MAIN DATA'!AH:AH,'Commitments per Month'!$E$11)/1000000000</f>
        <v>0</v>
      </c>
      <c r="F32" s="315">
        <f>SUMIFS('Bilateral Assistance, MAIN DATA'!S:S,'Bilateral Assistance, MAIN DATA'!B:B,'Commitments per Month'!B32,'Bilateral Assistance, MAIN DATA'!AG:AG,1,'Bilateral Assistance, MAIN DATA'!AH:AH,'Commitments per Month'!$F$11)/1000000000</f>
        <v>5.7274170000000003E-3</v>
      </c>
      <c r="G32" s="315">
        <f>SUMIFS('Bilateral Assistance, MAIN DATA'!S:S,'Bilateral Assistance, MAIN DATA'!B:B,'Commitments per Month'!B32,'Bilateral Assistance, MAIN DATA'!AG:AG,1,'Bilateral Assistance, MAIN DATA'!AH:AH,'Commitments per Month'!$G$11)/1000000000</f>
        <v>0.218829996</v>
      </c>
      <c r="H32" s="315">
        <f>SUMIFS('Bilateral Assistance, MAIN DATA'!S:S,'Bilateral Assistance, MAIN DATA'!B:B,'Commitments per Month'!B32,'Bilateral Assistance, MAIN DATA'!AG:AG,1,'Bilateral Assistance, MAIN DATA'!AH:AH,'Commitments per Month'!$H$11)/1000000000</f>
        <v>1.1424E-2</v>
      </c>
      <c r="I32" s="315">
        <f>SUMIFS('Bilateral Assistance, MAIN DATA'!S:S,'Bilateral Assistance, MAIN DATA'!B:B,'Commitments per Month'!B32,'Bilateral Assistance, MAIN DATA'!AG:AG,1,'Bilateral Assistance, MAIN DATA'!AH:AH,'Commitments per Month'!$I$11)/1000000000</f>
        <v>0</v>
      </c>
      <c r="J32" s="315">
        <f>SUMIFS('Bilateral Assistance, MAIN DATA'!S:S,'Bilateral Assistance, MAIN DATA'!B:B,'Commitments per Month'!B32,'Bilateral Assistance, MAIN DATA'!AG:AG,1,'Bilateral Assistance, MAIN DATA'!AH:AH,'Commitments per Month'!$J$11)/1000000000</f>
        <v>3.0356000000000001E-2</v>
      </c>
      <c r="K32" s="315">
        <f>SUMIFS('Bilateral Assistance, MAIN DATA'!S:S,'Bilateral Assistance, MAIN DATA'!B:B,'Commitments per Month'!B32,'Bilateral Assistance, MAIN DATA'!AG:AG,1,'Bilateral Assistance, MAIN DATA'!AH:AH,'Commitments per Month'!$K$11)/1000000000</f>
        <v>4.6198784616549374E-2</v>
      </c>
      <c r="L32" s="316">
        <f>SUMIFS('Bilateral Assistance, MAIN DATA'!S:S,'Bilateral Assistance, MAIN DATA'!B:B,'Commitments per Month'!B32,'Bilateral Assistance, MAIN DATA'!AG:AG,1,'Bilateral Assistance, MAIN DATA'!AH:AH,'Commitments per Month'!$L$11)/1000000000</f>
        <v>0</v>
      </c>
      <c r="M32" s="270">
        <f>SUMIFS('Bilateral Assistance, MAIN DATA'!S:S,'Bilateral Assistance, MAIN DATA'!B:B,'Commitments per Month'!B32,'Bilateral Assistance, MAIN DATA'!AG:AG,1,'Bilateral Assistance, MAIN DATA'!AH:AH,'Commitments per Month'!$M$11)/1000000000</f>
        <v>0</v>
      </c>
      <c r="N32" s="316">
        <f>SUMIFS('Bilateral Assistance, MAIN DATA'!S:S,'Bilateral Assistance, MAIN DATA'!B:B,'Commitments per Month'!B32,'Bilateral Assistance, MAIN DATA'!AG:AG,1,'Bilateral Assistance, MAIN DATA'!AH:AH,'Commitments per Month'!$N$11)/1000000000</f>
        <v>5.5964000000000003E-4</v>
      </c>
      <c r="O32" s="316">
        <f>SUMIFS('Bilateral Assistance, MAIN DATA'!S:S,'Bilateral Assistance, MAIN DATA'!B:B,'Commitments per Month'!B32,'Bilateral Assistance, MAIN DATA'!AG:AG,1,'Bilateral Assistance, MAIN DATA'!AH:AH,'Commitments per Month'!$O$11)/1000000000</f>
        <v>0</v>
      </c>
      <c r="P32" s="604">
        <f>SUMIFS('Bilateral Assistance, MAIN DATA'!S:S,'Bilateral Assistance, MAIN DATA'!B:B,'Commitments per Month'!B32,'Bilateral Assistance, MAIN DATA'!AG:AG,1,'Bilateral Assistance, MAIN DATA'!AH:AH,'Commitments per Month'!$P$11)/1000000000</f>
        <v>0</v>
      </c>
      <c r="Q32" s="316">
        <f t="shared" si="0"/>
        <v>0.31309583761654936</v>
      </c>
      <c r="R32" s="316">
        <f>SUMIFS('Bilateral Assistance, MAIN DATA'!S:S,'Bilateral Assistance, MAIN DATA'!B:B,'Commitments per Month'!B32,'Bilateral Assistance, MAIN DATA'!AG:AG,0)/1000000000</f>
        <v>0</v>
      </c>
    </row>
    <row r="33" spans="1:18" ht="15.9" customHeight="1" x14ac:dyDescent="0.3">
      <c r="A33" s="19"/>
      <c r="B33" s="24" t="s">
        <v>1919</v>
      </c>
      <c r="C33" s="339">
        <v>1</v>
      </c>
      <c r="D33" s="315">
        <f>SUMIFS('Bilateral Assistance, MAIN DATA'!S:S,'Bilateral Assistance, MAIN DATA'!B:B,'Commitments per Month'!B33,'Bilateral Assistance, MAIN DATA'!AG:AG,1,'Bilateral Assistance, MAIN DATA'!AH:AH,'Commitments per Month'!$D$11)/1000000000</f>
        <v>0</v>
      </c>
      <c r="E33" s="315">
        <f>SUMIFS('Bilateral Assistance, MAIN DATA'!S:S,'Bilateral Assistance, MAIN DATA'!B:B,'Commitments per Month'!B33,'Bilateral Assistance, MAIN DATA'!AG:AG,1,'Bilateral Assistance, MAIN DATA'!AH:AH,'Commitments per Month'!$E$11)/1000000000</f>
        <v>5.7999999999999996E-3</v>
      </c>
      <c r="F33" s="315">
        <f>SUMIFS('Bilateral Assistance, MAIN DATA'!S:S,'Bilateral Assistance, MAIN DATA'!B:B,'Commitments per Month'!B33,'Bilateral Assistance, MAIN DATA'!AG:AG,1,'Bilateral Assistance, MAIN DATA'!AH:AH,'Commitments per Month'!$F$11)/1000000000</f>
        <v>4.3999999999999997E-2</v>
      </c>
      <c r="G33" s="315">
        <f>SUMIFS('Bilateral Assistance, MAIN DATA'!S:S,'Bilateral Assistance, MAIN DATA'!B:B,'Commitments per Month'!B33,'Bilateral Assistance, MAIN DATA'!AG:AG,1,'Bilateral Assistance, MAIN DATA'!AH:AH,'Commitments per Month'!$G$11)/1000000000</f>
        <v>9.5200000000000007E-2</v>
      </c>
      <c r="H33" s="315">
        <f>SUMIFS('Bilateral Assistance, MAIN DATA'!S:S,'Bilateral Assistance, MAIN DATA'!B:B,'Commitments per Month'!B33,'Bilateral Assistance, MAIN DATA'!AG:AG,1,'Bilateral Assistance, MAIN DATA'!AH:AH,'Commitments per Month'!$H$11)/1000000000</f>
        <v>1.7500000000000002E-2</v>
      </c>
      <c r="I33" s="315">
        <f>SUMIFS('Bilateral Assistance, MAIN DATA'!S:S,'Bilateral Assistance, MAIN DATA'!B:B,'Commitments per Month'!B33,'Bilateral Assistance, MAIN DATA'!AG:AG,1,'Bilateral Assistance, MAIN DATA'!AH:AH,'Commitments per Month'!$I$11)/1000000000</f>
        <v>0</v>
      </c>
      <c r="J33" s="315">
        <f>SUMIFS('Bilateral Assistance, MAIN DATA'!S:S,'Bilateral Assistance, MAIN DATA'!B:B,'Commitments per Month'!B33,'Bilateral Assistance, MAIN DATA'!AG:AG,1,'Bilateral Assistance, MAIN DATA'!AH:AH,'Commitments per Month'!$J$11)/1000000000</f>
        <v>5.0678571428571427E-2</v>
      </c>
      <c r="K33" s="315">
        <f>SUMIFS('Bilateral Assistance, MAIN DATA'!S:S,'Bilateral Assistance, MAIN DATA'!B:B,'Commitments per Month'!B33,'Bilateral Assistance, MAIN DATA'!AG:AG,1,'Bilateral Assistance, MAIN DATA'!AH:AH,'Commitments per Month'!$K$11)/1000000000</f>
        <v>0</v>
      </c>
      <c r="L33" s="316">
        <f>SUMIFS('Bilateral Assistance, MAIN DATA'!S:S,'Bilateral Assistance, MAIN DATA'!B:B,'Commitments per Month'!B33,'Bilateral Assistance, MAIN DATA'!AG:AG,1,'Bilateral Assistance, MAIN DATA'!AH:AH,'Commitments per Month'!$L$11)/1000000000</f>
        <v>3.5821428571428567E-2</v>
      </c>
      <c r="M33" s="270">
        <f>SUMIFS('Bilateral Assistance, MAIN DATA'!S:S,'Bilateral Assistance, MAIN DATA'!B:B,'Commitments per Month'!B33,'Bilateral Assistance, MAIN DATA'!AG:AG,1,'Bilateral Assistance, MAIN DATA'!AH:AH,'Commitments per Month'!$M$11)/1000000000</f>
        <v>1.121988761904762E-2</v>
      </c>
      <c r="N33" s="316">
        <f>SUMIFS('Bilateral Assistance, MAIN DATA'!S:S,'Bilateral Assistance, MAIN DATA'!B:B,'Commitments per Month'!B33,'Bilateral Assistance, MAIN DATA'!AG:AG,1,'Bilateral Assistance, MAIN DATA'!AH:AH,'Commitments per Month'!$N$11)/1000000000</f>
        <v>4.0780112380952388E-2</v>
      </c>
      <c r="O33" s="316">
        <f>SUMIFS('Bilateral Assistance, MAIN DATA'!S:S,'Bilateral Assistance, MAIN DATA'!B:B,'Commitments per Month'!B33,'Bilateral Assistance, MAIN DATA'!AG:AG,1,'Bilateral Assistance, MAIN DATA'!AH:AH,'Commitments per Month'!$O$11)/1000000000</f>
        <v>0.05</v>
      </c>
      <c r="P33" s="604">
        <f>SUMIFS('Bilateral Assistance, MAIN DATA'!S:S,'Bilateral Assistance, MAIN DATA'!B:B,'Commitments per Month'!B33,'Bilateral Assistance, MAIN DATA'!AG:AG,1,'Bilateral Assistance, MAIN DATA'!AH:AH,'Commitments per Month'!$P$11)/1000000000</f>
        <v>0</v>
      </c>
      <c r="Q33" s="316">
        <f t="shared" si="0"/>
        <v>0.35100000000000003</v>
      </c>
      <c r="R33" s="316">
        <f>SUMIFS('Bilateral Assistance, MAIN DATA'!S:S,'Bilateral Assistance, MAIN DATA'!B:B,'Commitments per Month'!B33,'Bilateral Assistance, MAIN DATA'!AG:AG,0)/1000000000</f>
        <v>0</v>
      </c>
    </row>
    <row r="34" spans="1:18" ht="15.9" customHeight="1" x14ac:dyDescent="0.3">
      <c r="A34" s="19"/>
      <c r="B34" s="24" t="s">
        <v>2024</v>
      </c>
      <c r="C34" s="339">
        <v>1</v>
      </c>
      <c r="D34" s="315">
        <f>SUMIFS('Bilateral Assistance, MAIN DATA'!S:S,'Bilateral Assistance, MAIN DATA'!B:B,'Commitments per Month'!B34,'Bilateral Assistance, MAIN DATA'!AG:AG,1,'Bilateral Assistance, MAIN DATA'!AH:AH,'Commitments per Month'!$D$11)/1000000000</f>
        <v>0</v>
      </c>
      <c r="E34" s="315">
        <f>SUMIFS('Bilateral Assistance, MAIN DATA'!S:S,'Bilateral Assistance, MAIN DATA'!B:B,'Commitments per Month'!B34,'Bilateral Assistance, MAIN DATA'!AG:AG,1,'Bilateral Assistance, MAIN DATA'!AH:AH,'Commitments per Month'!$E$11)/1000000000</f>
        <v>0.05</v>
      </c>
      <c r="F34" s="315">
        <f>SUMIFS('Bilateral Assistance, MAIN DATA'!S:S,'Bilateral Assistance, MAIN DATA'!B:B,'Commitments per Month'!B34,'Bilateral Assistance, MAIN DATA'!AG:AG,1,'Bilateral Assistance, MAIN DATA'!AH:AH,'Commitments per Month'!$F$11)/1000000000</f>
        <v>1.9047619047619048E-4</v>
      </c>
      <c r="G34" s="315">
        <f>SUMIFS('Bilateral Assistance, MAIN DATA'!S:S,'Bilateral Assistance, MAIN DATA'!B:B,'Commitments per Month'!B34,'Bilateral Assistance, MAIN DATA'!AG:AG,1,'Bilateral Assistance, MAIN DATA'!AH:AH,'Commitments per Month'!$G$11)/1000000000</f>
        <v>0</v>
      </c>
      <c r="H34" s="315">
        <f>SUMIFS('Bilateral Assistance, MAIN DATA'!S:S,'Bilateral Assistance, MAIN DATA'!B:B,'Commitments per Month'!B34,'Bilateral Assistance, MAIN DATA'!AG:AG,1,'Bilateral Assistance, MAIN DATA'!AH:AH,'Commitments per Month'!$H$11)/1000000000</f>
        <v>1E-3</v>
      </c>
      <c r="I34" s="315">
        <f>SUMIFS('Bilateral Assistance, MAIN DATA'!S:S,'Bilateral Assistance, MAIN DATA'!B:B,'Commitments per Month'!B34,'Bilateral Assistance, MAIN DATA'!AG:AG,1,'Bilateral Assistance, MAIN DATA'!AH:AH,'Commitments per Month'!$I$11)/1000000000</f>
        <v>0</v>
      </c>
      <c r="J34" s="315">
        <f>SUMIFS('Bilateral Assistance, MAIN DATA'!S:S,'Bilateral Assistance, MAIN DATA'!B:B,'Commitments per Month'!B34,'Bilateral Assistance, MAIN DATA'!AG:AG,1,'Bilateral Assistance, MAIN DATA'!AH:AH,'Commitments per Month'!$J$11)/1000000000</f>
        <v>0</v>
      </c>
      <c r="K34" s="315">
        <f>SUMIFS('Bilateral Assistance, MAIN DATA'!S:S,'Bilateral Assistance, MAIN DATA'!B:B,'Commitments per Month'!B34,'Bilateral Assistance, MAIN DATA'!AG:AG,1,'Bilateral Assistance, MAIN DATA'!AH:AH,'Commitments per Month'!$K$11)/1000000000</f>
        <v>0</v>
      </c>
      <c r="L34" s="316">
        <f>SUMIFS('Bilateral Assistance, MAIN DATA'!S:S,'Bilateral Assistance, MAIN DATA'!B:B,'Commitments per Month'!B34,'Bilateral Assistance, MAIN DATA'!AG:AG,1,'Bilateral Assistance, MAIN DATA'!AH:AH,'Commitments per Month'!$L$11)/1000000000</f>
        <v>0</v>
      </c>
      <c r="M34" s="270">
        <f>SUMIFS('Bilateral Assistance, MAIN DATA'!S:S,'Bilateral Assistance, MAIN DATA'!B:B,'Commitments per Month'!B34,'Bilateral Assistance, MAIN DATA'!AG:AG,1,'Bilateral Assistance, MAIN DATA'!AH:AH,'Commitments per Month'!$M$11)/1000000000</f>
        <v>2.1809523809523806E-2</v>
      </c>
      <c r="N34" s="316">
        <f>SUMIFS('Bilateral Assistance, MAIN DATA'!S:S,'Bilateral Assistance, MAIN DATA'!B:B,'Commitments per Month'!B34,'Bilateral Assistance, MAIN DATA'!AG:AG,1,'Bilateral Assistance, MAIN DATA'!AH:AH,'Commitments per Month'!$N$11)/1000000000</f>
        <v>3.0000000000000001E-3</v>
      </c>
      <c r="O34" s="316">
        <f>SUMIFS('Bilateral Assistance, MAIN DATA'!S:S,'Bilateral Assistance, MAIN DATA'!B:B,'Commitments per Month'!B34,'Bilateral Assistance, MAIN DATA'!AG:AG,1,'Bilateral Assistance, MAIN DATA'!AH:AH,'Commitments per Month'!$O$11)/1000000000</f>
        <v>0</v>
      </c>
      <c r="P34" s="604">
        <f>SUMIFS('Bilateral Assistance, MAIN DATA'!S:S,'Bilateral Assistance, MAIN DATA'!B:B,'Commitments per Month'!B34,'Bilateral Assistance, MAIN DATA'!AG:AG,1,'Bilateral Assistance, MAIN DATA'!AH:AH,'Commitments per Month'!$P$11)/1000000000</f>
        <v>0</v>
      </c>
      <c r="Q34" s="316">
        <f t="shared" si="0"/>
        <v>7.6000000000000012E-2</v>
      </c>
      <c r="R34" s="316">
        <f>SUMIFS('Bilateral Assistance, MAIN DATA'!S:S,'Bilateral Assistance, MAIN DATA'!B:B,'Commitments per Month'!B34,'Bilateral Assistance, MAIN DATA'!AG:AG,0)/1000000000</f>
        <v>3.0000000000000001E-3</v>
      </c>
    </row>
    <row r="35" spans="1:18" ht="15.9" customHeight="1" x14ac:dyDescent="0.3">
      <c r="A35" s="19"/>
      <c r="B35" s="24" t="s">
        <v>2066</v>
      </c>
      <c r="C35" s="339">
        <v>1</v>
      </c>
      <c r="D35" s="315">
        <f>SUMIFS('Bilateral Assistance, MAIN DATA'!S:S,'Bilateral Assistance, MAIN DATA'!B:B,'Commitments per Month'!B35,'Bilateral Assistance, MAIN DATA'!AG:AG,1,'Bilateral Assistance, MAIN DATA'!AH:AH,'Commitments per Month'!$D$11)/1000000000</f>
        <v>0</v>
      </c>
      <c r="E35" s="315">
        <f>SUMIFS('Bilateral Assistance, MAIN DATA'!S:S,'Bilateral Assistance, MAIN DATA'!B:B,'Commitments per Month'!B35,'Bilateral Assistance, MAIN DATA'!AG:AG,1,'Bilateral Assistance, MAIN DATA'!AH:AH,'Commitments per Month'!$E$11)/1000000000</f>
        <v>0</v>
      </c>
      <c r="F35" s="315">
        <f>SUMIFS('Bilateral Assistance, MAIN DATA'!S:S,'Bilateral Assistance, MAIN DATA'!B:B,'Commitments per Month'!B35,'Bilateral Assistance, MAIN DATA'!AG:AG,1,'Bilateral Assistance, MAIN DATA'!AH:AH,'Commitments per Month'!$F$11)/1000000000</f>
        <v>1.15E-3</v>
      </c>
      <c r="G35" s="315">
        <f>SUMIFS('Bilateral Assistance, MAIN DATA'!S:S,'Bilateral Assistance, MAIN DATA'!B:B,'Commitments per Month'!B35,'Bilateral Assistance, MAIN DATA'!AG:AG,1,'Bilateral Assistance, MAIN DATA'!AH:AH,'Commitments per Month'!$G$11)/1000000000</f>
        <v>0</v>
      </c>
      <c r="H35" s="315">
        <f>SUMIFS('Bilateral Assistance, MAIN DATA'!S:S,'Bilateral Assistance, MAIN DATA'!B:B,'Commitments per Month'!B35,'Bilateral Assistance, MAIN DATA'!AG:AG,1,'Bilateral Assistance, MAIN DATA'!AH:AH,'Commitments per Month'!$H$11)/1000000000</f>
        <v>0</v>
      </c>
      <c r="I35" s="315">
        <f>SUMIFS('Bilateral Assistance, MAIN DATA'!S:S,'Bilateral Assistance, MAIN DATA'!B:B,'Commitments per Month'!B35,'Bilateral Assistance, MAIN DATA'!AG:AG,1,'Bilateral Assistance, MAIN DATA'!AH:AH,'Commitments per Month'!$I$11)/1000000000</f>
        <v>0</v>
      </c>
      <c r="J35" s="315">
        <f>SUMIFS('Bilateral Assistance, MAIN DATA'!S:S,'Bilateral Assistance, MAIN DATA'!B:B,'Commitments per Month'!B35,'Bilateral Assistance, MAIN DATA'!AG:AG,1,'Bilateral Assistance, MAIN DATA'!AH:AH,'Commitments per Month'!$J$11)/1000000000</f>
        <v>0</v>
      </c>
      <c r="K35" s="315">
        <f>SUMIFS('Bilateral Assistance, MAIN DATA'!S:S,'Bilateral Assistance, MAIN DATA'!B:B,'Commitments per Month'!B35,'Bilateral Assistance, MAIN DATA'!AG:AG,1,'Bilateral Assistance, MAIN DATA'!AH:AH,'Commitments per Month'!$K$11)/1000000000</f>
        <v>0</v>
      </c>
      <c r="L35" s="316">
        <f>SUMIFS('Bilateral Assistance, MAIN DATA'!S:S,'Bilateral Assistance, MAIN DATA'!B:B,'Commitments per Month'!B35,'Bilateral Assistance, MAIN DATA'!AG:AG,1,'Bilateral Assistance, MAIN DATA'!AH:AH,'Commitments per Month'!$L$11)/1000000000</f>
        <v>0</v>
      </c>
      <c r="M35" s="270">
        <f>SUMIFS('Bilateral Assistance, MAIN DATA'!S:S,'Bilateral Assistance, MAIN DATA'!B:B,'Commitments per Month'!B35,'Bilateral Assistance, MAIN DATA'!AG:AG,1,'Bilateral Assistance, MAIN DATA'!AH:AH,'Commitments per Month'!$M$11)/1000000000</f>
        <v>0</v>
      </c>
      <c r="N35" s="316">
        <f>SUMIFS('Bilateral Assistance, MAIN DATA'!S:S,'Bilateral Assistance, MAIN DATA'!B:B,'Commitments per Month'!B35,'Bilateral Assistance, MAIN DATA'!AG:AG,1,'Bilateral Assistance, MAIN DATA'!AH:AH,'Commitments per Month'!$N$11)/1000000000</f>
        <v>0</v>
      </c>
      <c r="O35" s="316">
        <f>SUMIFS('Bilateral Assistance, MAIN DATA'!S:S,'Bilateral Assistance, MAIN DATA'!B:B,'Commitments per Month'!B35,'Bilateral Assistance, MAIN DATA'!AG:AG,1,'Bilateral Assistance, MAIN DATA'!AH:AH,'Commitments per Month'!$O$11)/1000000000</f>
        <v>0</v>
      </c>
      <c r="P35" s="604">
        <f>SUMIFS('Bilateral Assistance, MAIN DATA'!S:S,'Bilateral Assistance, MAIN DATA'!B:B,'Commitments per Month'!B35,'Bilateral Assistance, MAIN DATA'!AG:AG,1,'Bilateral Assistance, MAIN DATA'!AH:AH,'Commitments per Month'!$P$11)/1000000000</f>
        <v>0</v>
      </c>
      <c r="Q35" s="316">
        <f t="shared" si="0"/>
        <v>1.15E-3</v>
      </c>
      <c r="R35" s="316">
        <f>SUMIFS('Bilateral Assistance, MAIN DATA'!S:S,'Bilateral Assistance, MAIN DATA'!B:B,'Commitments per Month'!B35,'Bilateral Assistance, MAIN DATA'!AG:AG,0)/1000000000</f>
        <v>5.5000000000000003E-4</v>
      </c>
    </row>
    <row r="36" spans="1:18" ht="15.9" customHeight="1" x14ac:dyDescent="0.3">
      <c r="A36" s="19"/>
      <c r="B36" s="24" t="s">
        <v>2076</v>
      </c>
      <c r="C36" s="339">
        <v>1</v>
      </c>
      <c r="D36" s="315">
        <f>SUMIFS('Bilateral Assistance, MAIN DATA'!S:S,'Bilateral Assistance, MAIN DATA'!B:B,'Commitments per Month'!B36,'Bilateral Assistance, MAIN DATA'!AG:AG,1,'Bilateral Assistance, MAIN DATA'!AH:AH,'Commitments per Month'!$D$11)/1000000000</f>
        <v>0</v>
      </c>
      <c r="E36" s="315">
        <f>SUMIFS('Bilateral Assistance, MAIN DATA'!S:S,'Bilateral Assistance, MAIN DATA'!B:B,'Commitments per Month'!B36,'Bilateral Assistance, MAIN DATA'!AG:AG,1,'Bilateral Assistance, MAIN DATA'!AH:AH,'Commitments per Month'!$E$11)/1000000000</f>
        <v>0.05</v>
      </c>
      <c r="F36" s="315">
        <f>SUMIFS('Bilateral Assistance, MAIN DATA'!S:S,'Bilateral Assistance, MAIN DATA'!B:B,'Commitments per Month'!B36,'Bilateral Assistance, MAIN DATA'!AG:AG,1,'Bilateral Assistance, MAIN DATA'!AH:AH,'Commitments per Month'!$F$11)/1000000000</f>
        <v>9.6917428571428571E-2</v>
      </c>
      <c r="G36" s="315">
        <f>SUMIFS('Bilateral Assistance, MAIN DATA'!S:S,'Bilateral Assistance, MAIN DATA'!B:B,'Commitments per Month'!B36,'Bilateral Assistance, MAIN DATA'!AG:AG,1,'Bilateral Assistance, MAIN DATA'!AH:AH,'Commitments per Month'!$G$11)/1000000000</f>
        <v>6.5613843754767337E-2</v>
      </c>
      <c r="H36" s="315">
        <f>SUMIFS('Bilateral Assistance, MAIN DATA'!S:S,'Bilateral Assistance, MAIN DATA'!B:B,'Commitments per Month'!B36,'Bilateral Assistance, MAIN DATA'!AG:AG,1,'Bilateral Assistance, MAIN DATA'!AH:AH,'Commitments per Month'!$H$11)/1000000000</f>
        <v>0.21014047619047618</v>
      </c>
      <c r="I36" s="315">
        <f>SUMIFS('Bilateral Assistance, MAIN DATA'!S:S,'Bilateral Assistance, MAIN DATA'!B:B,'Commitments per Month'!B36,'Bilateral Assistance, MAIN DATA'!AG:AG,1,'Bilateral Assistance, MAIN DATA'!AH:AH,'Commitments per Month'!$I$11)/1000000000</f>
        <v>3.9368306252860405E-2</v>
      </c>
      <c r="J36" s="315">
        <f>SUMIFS('Bilateral Assistance, MAIN DATA'!S:S,'Bilateral Assistance, MAIN DATA'!B:B,'Commitments per Month'!B36,'Bilateral Assistance, MAIN DATA'!AG:AG,1,'Bilateral Assistance, MAIN DATA'!AH:AH,'Commitments per Month'!$J$11)/1000000000</f>
        <v>0.37101784999237225</v>
      </c>
      <c r="K36" s="315">
        <f>SUMIFS('Bilateral Assistance, MAIN DATA'!S:S,'Bilateral Assistance, MAIN DATA'!B:B,'Commitments per Month'!B36,'Bilateral Assistance, MAIN DATA'!AG:AG,1,'Bilateral Assistance, MAIN DATA'!AH:AH,'Commitments per Month'!$K$11)/1000000000</f>
        <v>7.85E-2</v>
      </c>
      <c r="L36" s="316">
        <f>SUMIFS('Bilateral Assistance, MAIN DATA'!S:S,'Bilateral Assistance, MAIN DATA'!B:B,'Commitments per Month'!B36,'Bilateral Assistance, MAIN DATA'!AG:AG,1,'Bilateral Assistance, MAIN DATA'!AH:AH,'Commitments per Month'!$L$11)/1000000000</f>
        <v>0</v>
      </c>
      <c r="M36" s="270">
        <f>SUMIFS('Bilateral Assistance, MAIN DATA'!S:S,'Bilateral Assistance, MAIN DATA'!B:B,'Commitments per Month'!B36,'Bilateral Assistance, MAIN DATA'!AG:AG,1,'Bilateral Assistance, MAIN DATA'!AH:AH,'Commitments per Month'!$M$11)/1000000000</f>
        <v>0.18</v>
      </c>
      <c r="N36" s="316">
        <f>SUMIFS('Bilateral Assistance, MAIN DATA'!S:S,'Bilateral Assistance, MAIN DATA'!B:B,'Commitments per Month'!B36,'Bilateral Assistance, MAIN DATA'!AG:AG,1,'Bilateral Assistance, MAIN DATA'!AH:AH,'Commitments per Month'!$N$11)/1000000000</f>
        <v>0.12</v>
      </c>
      <c r="O36" s="316">
        <f>SUMIFS('Bilateral Assistance, MAIN DATA'!S:S,'Bilateral Assistance, MAIN DATA'!B:B,'Commitments per Month'!B36,'Bilateral Assistance, MAIN DATA'!AG:AG,1,'Bilateral Assistance, MAIN DATA'!AH:AH,'Commitments per Month'!$O$11)/1000000000</f>
        <v>0.20599999999999999</v>
      </c>
      <c r="P36" s="604">
        <f>SUMIFS('Bilateral Assistance, MAIN DATA'!S:S,'Bilateral Assistance, MAIN DATA'!B:B,'Commitments per Month'!B36,'Bilateral Assistance, MAIN DATA'!AG:AG,1,'Bilateral Assistance, MAIN DATA'!AH:AH,'Commitments per Month'!$P$11)/1000000000</f>
        <v>0</v>
      </c>
      <c r="Q36" s="316">
        <f t="shared" si="0"/>
        <v>1.4175579047619049</v>
      </c>
      <c r="R36" s="316">
        <f>SUMIFS('Bilateral Assistance, MAIN DATA'!S:S,'Bilateral Assistance, MAIN DATA'!B:B,'Commitments per Month'!B36,'Bilateral Assistance, MAIN DATA'!AG:AG,0)/1000000000</f>
        <v>1.5E-3</v>
      </c>
    </row>
    <row r="37" spans="1:18" ht="15.9" customHeight="1" x14ac:dyDescent="0.3">
      <c r="A37" s="19"/>
      <c r="B37" s="2" t="s">
        <v>2168</v>
      </c>
      <c r="C37" s="339">
        <v>0</v>
      </c>
      <c r="D37" s="315">
        <f>SUMIFS('Bilateral Assistance, MAIN DATA'!S:S,'Bilateral Assistance, MAIN DATA'!B:B,'Commitments per Month'!B37,'Bilateral Assistance, MAIN DATA'!AG:AG,1,'Bilateral Assistance, MAIN DATA'!AH:AH,'Commitments per Month'!$D$11)/1000000000</f>
        <v>0</v>
      </c>
      <c r="E37" s="315">
        <f>SUMIFS('Bilateral Assistance, MAIN DATA'!S:S,'Bilateral Assistance, MAIN DATA'!B:B,'Commitments per Month'!B37,'Bilateral Assistance, MAIN DATA'!AG:AG,1,'Bilateral Assistance, MAIN DATA'!AH:AH,'Commitments per Month'!$E$11)/1000000000</f>
        <v>2.4055809477988932E-3</v>
      </c>
      <c r="F37" s="315">
        <f>SUMIFS('Bilateral Assistance, MAIN DATA'!S:S,'Bilateral Assistance, MAIN DATA'!B:B,'Commitments per Month'!B37,'Bilateral Assistance, MAIN DATA'!AG:AG,1,'Bilateral Assistance, MAIN DATA'!AH:AH,'Commitments per Month'!$F$11)/1000000000</f>
        <v>7.5402657021432576E-3</v>
      </c>
      <c r="G37" s="315">
        <f>SUMIFS('Bilateral Assistance, MAIN DATA'!S:S,'Bilateral Assistance, MAIN DATA'!B:B,'Commitments per Month'!B37,'Bilateral Assistance, MAIN DATA'!AG:AG,1,'Bilateral Assistance, MAIN DATA'!AH:AH,'Commitments per Month'!$G$11)/1000000000</f>
        <v>6.9761847486167908E-3</v>
      </c>
      <c r="H37" s="315">
        <f>SUMIFS('Bilateral Assistance, MAIN DATA'!S:S,'Bilateral Assistance, MAIN DATA'!B:B,'Commitments per Month'!B37,'Bilateral Assistance, MAIN DATA'!AG:AG,1,'Bilateral Assistance, MAIN DATA'!AH:AH,'Commitments per Month'!$H$11)/1000000000</f>
        <v>0</v>
      </c>
      <c r="I37" s="315">
        <f>SUMIFS('Bilateral Assistance, MAIN DATA'!S:S,'Bilateral Assistance, MAIN DATA'!B:B,'Commitments per Month'!B37,'Bilateral Assistance, MAIN DATA'!AG:AG,1,'Bilateral Assistance, MAIN DATA'!AH:AH,'Commitments per Month'!$I$11)/1000000000</f>
        <v>2.7062785662737548E-3</v>
      </c>
      <c r="J37" s="315">
        <f>SUMIFS('Bilateral Assistance, MAIN DATA'!S:S,'Bilateral Assistance, MAIN DATA'!B:B,'Commitments per Month'!B37,'Bilateral Assistance, MAIN DATA'!AG:AG,1,'Bilateral Assistance, MAIN DATA'!AH:AH,'Commitments per Month'!$J$11)/1000000000</f>
        <v>0</v>
      </c>
      <c r="K37" s="315">
        <f>SUMIFS('Bilateral Assistance, MAIN DATA'!S:S,'Bilateral Assistance, MAIN DATA'!B:B,'Commitments per Month'!B37,'Bilateral Assistance, MAIN DATA'!AG:AG,1,'Bilateral Assistance, MAIN DATA'!AH:AH,'Commitments per Month'!$K$11)/1000000000</f>
        <v>0</v>
      </c>
      <c r="L37" s="316">
        <f>SUMIFS('Bilateral Assistance, MAIN DATA'!S:S,'Bilateral Assistance, MAIN DATA'!B:B,'Commitments per Month'!B37,'Bilateral Assistance, MAIN DATA'!AG:AG,1,'Bilateral Assistance, MAIN DATA'!AH:AH,'Commitments per Month'!$L$11)/1000000000</f>
        <v>0</v>
      </c>
      <c r="M37" s="270">
        <f>SUMIFS('Bilateral Assistance, MAIN DATA'!S:S,'Bilateral Assistance, MAIN DATA'!B:B,'Commitments per Month'!B37,'Bilateral Assistance, MAIN DATA'!AG:AG,1,'Bilateral Assistance, MAIN DATA'!AH:AH,'Commitments per Month'!$M$11)/1000000000</f>
        <v>0</v>
      </c>
      <c r="N37" s="316">
        <f>SUMIFS('Bilateral Assistance, MAIN DATA'!S:S,'Bilateral Assistance, MAIN DATA'!B:B,'Commitments per Month'!B37,'Bilateral Assistance, MAIN DATA'!AG:AG,1,'Bilateral Assistance, MAIN DATA'!AH:AH,'Commitments per Month'!$N$11)/1000000000</f>
        <v>1.1125811883569881E-3</v>
      </c>
      <c r="O37" s="316">
        <f>SUMIFS('Bilateral Assistance, MAIN DATA'!S:S,'Bilateral Assistance, MAIN DATA'!B:B,'Commitments per Month'!B37,'Bilateral Assistance, MAIN DATA'!AG:AG,1,'Bilateral Assistance, MAIN DATA'!AH:AH,'Commitments per Month'!$O$11)/1000000000</f>
        <v>0</v>
      </c>
      <c r="P37" s="604">
        <f>SUMIFS('Bilateral Assistance, MAIN DATA'!S:S,'Bilateral Assistance, MAIN DATA'!B:B,'Commitments per Month'!B37,'Bilateral Assistance, MAIN DATA'!AG:AG,1,'Bilateral Assistance, MAIN DATA'!AH:AH,'Commitments per Month'!$P$11)/1000000000</f>
        <v>0</v>
      </c>
      <c r="Q37" s="316">
        <f t="shared" si="0"/>
        <v>2.0740891153189684E-2</v>
      </c>
      <c r="R37" s="316">
        <f>SUMIFS('Bilateral Assistance, MAIN DATA'!S:S,'Bilateral Assistance, MAIN DATA'!B:B,'Commitments per Month'!B37,'Bilateral Assistance, MAIN DATA'!AG:AG,0)/1000000000</f>
        <v>0</v>
      </c>
    </row>
    <row r="38" spans="1:18" ht="15.9" customHeight="1" x14ac:dyDescent="0.3">
      <c r="A38" s="19"/>
      <c r="B38" s="2" t="s">
        <v>2206</v>
      </c>
      <c r="C38" s="339">
        <v>0</v>
      </c>
      <c r="D38" s="315">
        <f>SUMIFS('Bilateral Assistance, MAIN DATA'!S:S,'Bilateral Assistance, MAIN DATA'!B:B,'Commitments per Month'!B38,'Bilateral Assistance, MAIN DATA'!AG:AG,1,'Bilateral Assistance, MAIN DATA'!AH:AH,'Commitments per Month'!$D$11)/1000000000</f>
        <v>0</v>
      </c>
      <c r="E38" s="315">
        <f>SUMIFS('Bilateral Assistance, MAIN DATA'!S:S,'Bilateral Assistance, MAIN DATA'!B:B,'Commitments per Month'!B38,'Bilateral Assistance, MAIN DATA'!AG:AG,1,'Bilateral Assistance, MAIN DATA'!AH:AH,'Commitments per Month'!$E$11)/1000000000</f>
        <v>2.8095238095238091E-3</v>
      </c>
      <c r="F38" s="315">
        <f>SUMIFS('Bilateral Assistance, MAIN DATA'!S:S,'Bilateral Assistance, MAIN DATA'!B:B,'Commitments per Month'!B38,'Bilateral Assistance, MAIN DATA'!AG:AG,1,'Bilateral Assistance, MAIN DATA'!AH:AH,'Commitments per Month'!$F$11)/1000000000</f>
        <v>2.8095238095238091E-3</v>
      </c>
      <c r="G38" s="315">
        <f>SUMIFS('Bilateral Assistance, MAIN DATA'!S:S,'Bilateral Assistance, MAIN DATA'!B:B,'Commitments per Month'!B38,'Bilateral Assistance, MAIN DATA'!AG:AG,1,'Bilateral Assistance, MAIN DATA'!AH:AH,'Commitments per Month'!$G$11)/1000000000</f>
        <v>0.14784939891546053</v>
      </c>
      <c r="H38" s="315">
        <f>SUMIFS('Bilateral Assistance, MAIN DATA'!S:S,'Bilateral Assistance, MAIN DATA'!B:B,'Commitments per Month'!B38,'Bilateral Assistance, MAIN DATA'!AG:AG,1,'Bilateral Assistance, MAIN DATA'!AH:AH,'Commitments per Month'!$H$11)/1000000000</f>
        <v>3.3649639948852547E-2</v>
      </c>
      <c r="I38" s="315">
        <f>SUMIFS('Bilateral Assistance, MAIN DATA'!S:S,'Bilateral Assistance, MAIN DATA'!B:B,'Commitments per Month'!B38,'Bilateral Assistance, MAIN DATA'!AG:AG,1,'Bilateral Assistance, MAIN DATA'!AH:AH,'Commitments per Month'!$I$11)/1000000000</f>
        <v>0.37174036062979438</v>
      </c>
      <c r="J38" s="315">
        <f>SUMIFS('Bilateral Assistance, MAIN DATA'!S:S,'Bilateral Assistance, MAIN DATA'!B:B,'Commitments per Month'!B38,'Bilateral Assistance, MAIN DATA'!AG:AG,1,'Bilateral Assistance, MAIN DATA'!AH:AH,'Commitments per Month'!$J$11)/1000000000</f>
        <v>1.5831498399999998E-2</v>
      </c>
      <c r="K38" s="315">
        <f>SUMIFS('Bilateral Assistance, MAIN DATA'!S:S,'Bilateral Assistance, MAIN DATA'!B:B,'Commitments per Month'!B38,'Bilateral Assistance, MAIN DATA'!AG:AG,1,'Bilateral Assistance, MAIN DATA'!AH:AH,'Commitments per Month'!$K$11)/1000000000</f>
        <v>0</v>
      </c>
      <c r="L38" s="316">
        <f>SUMIFS('Bilateral Assistance, MAIN DATA'!S:S,'Bilateral Assistance, MAIN DATA'!B:B,'Commitments per Month'!B38,'Bilateral Assistance, MAIN DATA'!AG:AG,1,'Bilateral Assistance, MAIN DATA'!AH:AH,'Commitments per Month'!$L$11)/1000000000</f>
        <v>0.30261062813302181</v>
      </c>
      <c r="M38" s="270">
        <f>SUMIFS('Bilateral Assistance, MAIN DATA'!S:S,'Bilateral Assistance, MAIN DATA'!B:B,'Commitments per Month'!B38,'Bilateral Assistance, MAIN DATA'!AG:AG,1,'Bilateral Assistance, MAIN DATA'!AH:AH,'Commitments per Month'!$M$11)/1000000000</f>
        <v>0.31909215127587898</v>
      </c>
      <c r="N38" s="316">
        <f>SUMIFS('Bilateral Assistance, MAIN DATA'!S:S,'Bilateral Assistance, MAIN DATA'!B:B,'Commitments per Month'!B38,'Bilateral Assistance, MAIN DATA'!AG:AG,1,'Bilateral Assistance, MAIN DATA'!AH:AH,'Commitments per Month'!$N$11)/1000000000</f>
        <v>1.4421274263793946E-2</v>
      </c>
      <c r="O38" s="316">
        <f>SUMIFS('Bilateral Assistance, MAIN DATA'!S:S,'Bilateral Assistance, MAIN DATA'!B:B,'Commitments per Month'!B38,'Bilateral Assistance, MAIN DATA'!AG:AG,1,'Bilateral Assistance, MAIN DATA'!AH:AH,'Commitments per Month'!$O$11)/1000000000</f>
        <v>2.6919711959082038E-2</v>
      </c>
      <c r="P38" s="604">
        <f>SUMIFS('Bilateral Assistance, MAIN DATA'!S:S,'Bilateral Assistance, MAIN DATA'!B:B,'Commitments per Month'!B38,'Bilateral Assistance, MAIN DATA'!AG:AG,1,'Bilateral Assistance, MAIN DATA'!AH:AH,'Commitments per Month'!$P$11)/1000000000</f>
        <v>0</v>
      </c>
      <c r="Q38" s="316">
        <f t="shared" si="0"/>
        <v>1.2377337111449316</v>
      </c>
      <c r="R38" s="316">
        <f>SUMIFS('Bilateral Assistance, MAIN DATA'!S:S,'Bilateral Assistance, MAIN DATA'!B:B,'Commitments per Month'!B38,'Bilateral Assistance, MAIN DATA'!AG:AG,0)/1000000000</f>
        <v>0</v>
      </c>
    </row>
    <row r="39" spans="1:18" ht="15.9" customHeight="1" x14ac:dyDescent="0.3">
      <c r="A39" s="19"/>
      <c r="B39" s="24" t="s">
        <v>2303</v>
      </c>
      <c r="C39" s="339">
        <v>1</v>
      </c>
      <c r="D39" s="315">
        <f>SUMIFS('Bilateral Assistance, MAIN DATA'!S:S,'Bilateral Assistance, MAIN DATA'!B:B,'Commitments per Month'!B39,'Bilateral Assistance, MAIN DATA'!AG:AG,1,'Bilateral Assistance, MAIN DATA'!AH:AH,'Commitments per Month'!$D$11)/1000000000</f>
        <v>0</v>
      </c>
      <c r="E39" s="315">
        <f>SUMIFS('Bilateral Assistance, MAIN DATA'!S:S,'Bilateral Assistance, MAIN DATA'!B:B,'Commitments per Month'!B39,'Bilateral Assistance, MAIN DATA'!AG:AG,1,'Bilateral Assistance, MAIN DATA'!AH:AH,'Commitments per Month'!$E$11)/1000000000</f>
        <v>0.95238095238095233</v>
      </c>
      <c r="F39" s="315">
        <f>SUMIFS('Bilateral Assistance, MAIN DATA'!S:S,'Bilateral Assistance, MAIN DATA'!B:B,'Commitments per Month'!B39,'Bilateral Assistance, MAIN DATA'!AG:AG,1,'Bilateral Assistance, MAIN DATA'!AH:AH,'Commitments per Month'!$F$11)/1000000000</f>
        <v>6.4623139392111671E-3</v>
      </c>
      <c r="G39" s="315">
        <f>SUMIFS('Bilateral Assistance, MAIN DATA'!S:S,'Bilateral Assistance, MAIN DATA'!B:B,'Commitments per Month'!B39,'Bilateral Assistance, MAIN DATA'!AG:AG,1,'Bilateral Assistance, MAIN DATA'!AH:AH,'Commitments per Month'!$G$11)/1000000000</f>
        <v>1.8626190476190476</v>
      </c>
      <c r="H39" s="315">
        <f>SUMIFS('Bilateral Assistance, MAIN DATA'!S:S,'Bilateral Assistance, MAIN DATA'!B:B,'Commitments per Month'!B39,'Bilateral Assistance, MAIN DATA'!AG:AG,1,'Bilateral Assistance, MAIN DATA'!AH:AH,'Commitments per Month'!$H$11)/1000000000</f>
        <v>0.1</v>
      </c>
      <c r="I39" s="315">
        <f>SUMIFS('Bilateral Assistance, MAIN DATA'!S:S,'Bilateral Assistance, MAIN DATA'!B:B,'Commitments per Month'!B39,'Bilateral Assistance, MAIN DATA'!AG:AG,1,'Bilateral Assistance, MAIN DATA'!AH:AH,'Commitments per Month'!$I$11)/1000000000</f>
        <v>0</v>
      </c>
      <c r="J39" s="315">
        <f>SUMIFS('Bilateral Assistance, MAIN DATA'!S:S,'Bilateral Assistance, MAIN DATA'!B:B,'Commitments per Month'!B39,'Bilateral Assistance, MAIN DATA'!AG:AG,1,'Bilateral Assistance, MAIN DATA'!AH:AH,'Commitments per Month'!$J$11)/1000000000</f>
        <v>0.18961889200000001</v>
      </c>
      <c r="K39" s="315">
        <f>SUMIFS('Bilateral Assistance, MAIN DATA'!S:S,'Bilateral Assistance, MAIN DATA'!B:B,'Commitments per Month'!B39,'Bilateral Assistance, MAIN DATA'!AG:AG,1,'Bilateral Assistance, MAIN DATA'!AH:AH,'Commitments per Month'!$K$11)/1000000000</f>
        <v>7.1428571428571426E-3</v>
      </c>
      <c r="L39" s="316">
        <f>SUMIFS('Bilateral Assistance, MAIN DATA'!S:S,'Bilateral Assistance, MAIN DATA'!B:B,'Commitments per Month'!B39,'Bilateral Assistance, MAIN DATA'!AG:AG,1,'Bilateral Assistance, MAIN DATA'!AH:AH,'Commitments per Month'!$L$11)/1000000000</f>
        <v>0</v>
      </c>
      <c r="M39" s="270">
        <f>SUMIFS('Bilateral Assistance, MAIN DATA'!S:S,'Bilateral Assistance, MAIN DATA'!B:B,'Commitments per Month'!B39,'Bilateral Assistance, MAIN DATA'!AG:AG,1,'Bilateral Assistance, MAIN DATA'!AH:AH,'Commitments per Month'!$M$11)/1000000000</f>
        <v>0</v>
      </c>
      <c r="N39" s="316">
        <f>SUMIFS('Bilateral Assistance, MAIN DATA'!S:S,'Bilateral Assistance, MAIN DATA'!B:B,'Commitments per Month'!B39,'Bilateral Assistance, MAIN DATA'!AG:AG,1,'Bilateral Assistance, MAIN DATA'!AH:AH,'Commitments per Month'!$N$11)/1000000000</f>
        <v>2.2428571428571428E-3</v>
      </c>
      <c r="O39" s="316">
        <f>SUMIFS('Bilateral Assistance, MAIN DATA'!S:S,'Bilateral Assistance, MAIN DATA'!B:B,'Commitments per Month'!B39,'Bilateral Assistance, MAIN DATA'!AG:AG,1,'Bilateral Assistance, MAIN DATA'!AH:AH,'Commitments per Month'!$O$11)/1000000000</f>
        <v>0.43821217714285715</v>
      </c>
      <c r="P39" s="604">
        <f>SUMIFS('Bilateral Assistance, MAIN DATA'!S:S,'Bilateral Assistance, MAIN DATA'!B:B,'Commitments per Month'!B39,'Bilateral Assistance, MAIN DATA'!AG:AG,1,'Bilateral Assistance, MAIN DATA'!AH:AH,'Commitments per Month'!$P$11)/1000000000</f>
        <v>0</v>
      </c>
      <c r="Q39" s="316">
        <f t="shared" si="0"/>
        <v>3.5586790973677824</v>
      </c>
      <c r="R39" s="316">
        <f>SUMIFS('Bilateral Assistance, MAIN DATA'!S:S,'Bilateral Assistance, MAIN DATA'!B:B,'Commitments per Month'!B39,'Bilateral Assistance, MAIN DATA'!AG:AG,0)/1000000000</f>
        <v>0</v>
      </c>
    </row>
    <row r="40" spans="1:18" ht="15.9" customHeight="1" x14ac:dyDescent="0.3">
      <c r="A40" s="19"/>
      <c r="B40" s="24" t="s">
        <v>2370</v>
      </c>
      <c r="C40" s="339">
        <v>1</v>
      </c>
      <c r="D40" s="315">
        <f>SUMIFS('Bilateral Assistance, MAIN DATA'!S:S,'Bilateral Assistance, MAIN DATA'!B:B,'Commitments per Month'!B40,'Bilateral Assistance, MAIN DATA'!AG:AG,1,'Bilateral Assistance, MAIN DATA'!AH:AH,'Commitments per Month'!$D$11)/1000000000</f>
        <v>0</v>
      </c>
      <c r="E40" s="315">
        <f>SUMIFS('Bilateral Assistance, MAIN DATA'!S:S,'Bilateral Assistance, MAIN DATA'!B:B,'Commitments per Month'!B40,'Bilateral Assistance, MAIN DATA'!AG:AG,1,'Bilateral Assistance, MAIN DATA'!AH:AH,'Commitments per Month'!$E$11)/1000000000</f>
        <v>0</v>
      </c>
      <c r="F40" s="315">
        <f>SUMIFS('Bilateral Assistance, MAIN DATA'!S:S,'Bilateral Assistance, MAIN DATA'!B:B,'Commitments per Month'!B40,'Bilateral Assistance, MAIN DATA'!AG:AG,1,'Bilateral Assistance, MAIN DATA'!AH:AH,'Commitments per Month'!$F$11)/1000000000</f>
        <v>1E-4</v>
      </c>
      <c r="G40" s="315">
        <f>SUMIFS('Bilateral Assistance, MAIN DATA'!S:S,'Bilateral Assistance, MAIN DATA'!B:B,'Commitments per Month'!B40,'Bilateral Assistance, MAIN DATA'!AG:AG,1,'Bilateral Assistance, MAIN DATA'!AH:AH,'Commitments per Month'!$G$11)/1000000000</f>
        <v>2.3074285714285714E-3</v>
      </c>
      <c r="H40" s="315">
        <f>SUMIFS('Bilateral Assistance, MAIN DATA'!S:S,'Bilateral Assistance, MAIN DATA'!B:B,'Commitments per Month'!B40,'Bilateral Assistance, MAIN DATA'!AG:AG,1,'Bilateral Assistance, MAIN DATA'!AH:AH,'Commitments per Month'!$H$11)/1000000000</f>
        <v>0.25950878455351611</v>
      </c>
      <c r="I40" s="315">
        <f>SUMIFS('Bilateral Assistance, MAIN DATA'!S:S,'Bilateral Assistance, MAIN DATA'!B:B,'Commitments per Month'!B40,'Bilateral Assistance, MAIN DATA'!AG:AG,1,'Bilateral Assistance, MAIN DATA'!AH:AH,'Commitments per Month'!$I$11)/1000000000</f>
        <v>0</v>
      </c>
      <c r="J40" s="315">
        <f>SUMIFS('Bilateral Assistance, MAIN DATA'!S:S,'Bilateral Assistance, MAIN DATA'!B:B,'Commitments per Month'!B40,'Bilateral Assistance, MAIN DATA'!AG:AG,1,'Bilateral Assistance, MAIN DATA'!AH:AH,'Commitments per Month'!$J$11)/1000000000</f>
        <v>0</v>
      </c>
      <c r="K40" s="315">
        <f>SUMIFS('Bilateral Assistance, MAIN DATA'!S:S,'Bilateral Assistance, MAIN DATA'!B:B,'Commitments per Month'!B40,'Bilateral Assistance, MAIN DATA'!AG:AG,1,'Bilateral Assistance, MAIN DATA'!AH:AH,'Commitments per Month'!$K$11)/1000000000</f>
        <v>0</v>
      </c>
      <c r="L40" s="316">
        <f>SUMIFS('Bilateral Assistance, MAIN DATA'!S:S,'Bilateral Assistance, MAIN DATA'!B:B,'Commitments per Month'!B40,'Bilateral Assistance, MAIN DATA'!AG:AG,1,'Bilateral Assistance, MAIN DATA'!AH:AH,'Commitments per Month'!$L$11)/1000000000</f>
        <v>0</v>
      </c>
      <c r="M40" s="270">
        <f>SUMIFS('Bilateral Assistance, MAIN DATA'!S:S,'Bilateral Assistance, MAIN DATA'!B:B,'Commitments per Month'!B40,'Bilateral Assistance, MAIN DATA'!AG:AG,1,'Bilateral Assistance, MAIN DATA'!AH:AH,'Commitments per Month'!$M$11)/1000000000</f>
        <v>3.3428571428571426E-2</v>
      </c>
      <c r="N40" s="316">
        <f>SUMIFS('Bilateral Assistance, MAIN DATA'!S:S,'Bilateral Assistance, MAIN DATA'!B:B,'Commitments per Month'!B40,'Bilateral Assistance, MAIN DATA'!AG:AG,1,'Bilateral Assistance, MAIN DATA'!AH:AH,'Commitments per Month'!$N$11)/1000000000</f>
        <v>0</v>
      </c>
      <c r="O40" s="316">
        <f>SUMIFS('Bilateral Assistance, MAIN DATA'!S:S,'Bilateral Assistance, MAIN DATA'!B:B,'Commitments per Month'!B40,'Bilateral Assistance, MAIN DATA'!AG:AG,1,'Bilateral Assistance, MAIN DATA'!AH:AH,'Commitments per Month'!$O$11)/1000000000</f>
        <v>0.16718809523809522</v>
      </c>
      <c r="P40" s="604">
        <f>SUMIFS('Bilateral Assistance, MAIN DATA'!S:S,'Bilateral Assistance, MAIN DATA'!B:B,'Commitments per Month'!B40,'Bilateral Assistance, MAIN DATA'!AG:AG,1,'Bilateral Assistance, MAIN DATA'!AH:AH,'Commitments per Month'!$P$11)/1000000000</f>
        <v>0</v>
      </c>
      <c r="Q40" s="316">
        <f t="shared" si="0"/>
        <v>0.46253287979161128</v>
      </c>
      <c r="R40" s="316">
        <f>SUMIFS('Bilateral Assistance, MAIN DATA'!S:S,'Bilateral Assistance, MAIN DATA'!B:B,'Commitments per Month'!B40,'Bilateral Assistance, MAIN DATA'!AG:AG,0)/1000000000</f>
        <v>0</v>
      </c>
    </row>
    <row r="41" spans="1:18" ht="15.9" customHeight="1" x14ac:dyDescent="0.3">
      <c r="B41" s="2" t="s">
        <v>2424</v>
      </c>
      <c r="C41" s="339">
        <v>0</v>
      </c>
      <c r="D41" s="315">
        <f>SUMIFS('Bilateral Assistance, MAIN DATA'!S:S,'Bilateral Assistance, MAIN DATA'!B:B,'Commitments per Month'!B41,'Bilateral Assistance, MAIN DATA'!AG:AG,1,'Bilateral Assistance, MAIN DATA'!AH:AH,'Commitments per Month'!$D$11)/1000000000</f>
        <v>0</v>
      </c>
      <c r="E41" s="315">
        <f>SUMIFS('Bilateral Assistance, MAIN DATA'!S:S,'Bilateral Assistance, MAIN DATA'!B:B,'Commitments per Month'!B41,'Bilateral Assistance, MAIN DATA'!AG:AG,1,'Bilateral Assistance, MAIN DATA'!AH:AH,'Commitments per Month'!$E$11)/1000000000</f>
        <v>9.5238095238095247E-3</v>
      </c>
      <c r="F41" s="315">
        <f>SUMIFS('Bilateral Assistance, MAIN DATA'!S:S,'Bilateral Assistance, MAIN DATA'!B:B,'Commitments per Month'!B41,'Bilateral Assistance, MAIN DATA'!AG:AG,1,'Bilateral Assistance, MAIN DATA'!AH:AH,'Commitments per Month'!$F$11)/1000000000</f>
        <v>7.6190476190476193E-4</v>
      </c>
      <c r="G41" s="315">
        <f>SUMIFS('Bilateral Assistance, MAIN DATA'!S:S,'Bilateral Assistance, MAIN DATA'!B:B,'Commitments per Month'!B41,'Bilateral Assistance, MAIN DATA'!AG:AG,1,'Bilateral Assistance, MAIN DATA'!AH:AH,'Commitments per Month'!$G$11)/1000000000</f>
        <v>3.0095238095238092E-2</v>
      </c>
      <c r="H41" s="315">
        <f>SUMIFS('Bilateral Assistance, MAIN DATA'!S:S,'Bilateral Assistance, MAIN DATA'!B:B,'Commitments per Month'!B41,'Bilateral Assistance, MAIN DATA'!AG:AG,1,'Bilateral Assistance, MAIN DATA'!AH:AH,'Commitments per Month'!$H$11)/1000000000</f>
        <v>1.1238095238095239E-3</v>
      </c>
      <c r="I41" s="315">
        <f>SUMIFS('Bilateral Assistance, MAIN DATA'!S:S,'Bilateral Assistance, MAIN DATA'!B:B,'Commitments per Month'!B41,'Bilateral Assistance, MAIN DATA'!AG:AG,1,'Bilateral Assistance, MAIN DATA'!AH:AH,'Commitments per Month'!$I$11)/1000000000</f>
        <v>4.8761904761904763E-2</v>
      </c>
      <c r="J41" s="315">
        <f>SUMIFS('Bilateral Assistance, MAIN DATA'!S:S,'Bilateral Assistance, MAIN DATA'!B:B,'Commitments per Month'!B41,'Bilateral Assistance, MAIN DATA'!AG:AG,1,'Bilateral Assistance, MAIN DATA'!AH:AH,'Commitments per Month'!$J$11)/1000000000</f>
        <v>0</v>
      </c>
      <c r="K41" s="315">
        <f>SUMIFS('Bilateral Assistance, MAIN DATA'!S:S,'Bilateral Assistance, MAIN DATA'!B:B,'Commitments per Month'!B41,'Bilateral Assistance, MAIN DATA'!AG:AG,1,'Bilateral Assistance, MAIN DATA'!AH:AH,'Commitments per Month'!$K$11)/1000000000</f>
        <v>0</v>
      </c>
      <c r="L41" s="316">
        <f>SUMIFS('Bilateral Assistance, MAIN DATA'!S:S,'Bilateral Assistance, MAIN DATA'!B:B,'Commitments per Month'!B41,'Bilateral Assistance, MAIN DATA'!AG:AG,1,'Bilateral Assistance, MAIN DATA'!AH:AH,'Commitments per Month'!$L$11)/1000000000</f>
        <v>0</v>
      </c>
      <c r="M41" s="270">
        <f>SUMIFS('Bilateral Assistance, MAIN DATA'!S:S,'Bilateral Assistance, MAIN DATA'!B:B,'Commitments per Month'!B41,'Bilateral Assistance, MAIN DATA'!AG:AG,1,'Bilateral Assistance, MAIN DATA'!AH:AH,'Commitments per Month'!$M$11)/1000000000</f>
        <v>0</v>
      </c>
      <c r="N41" s="316">
        <f>SUMIFS('Bilateral Assistance, MAIN DATA'!S:S,'Bilateral Assistance, MAIN DATA'!B:B,'Commitments per Month'!B41,'Bilateral Assistance, MAIN DATA'!AG:AG,1,'Bilateral Assistance, MAIN DATA'!AH:AH,'Commitments per Month'!$N$11)/1000000000</f>
        <v>0</v>
      </c>
      <c r="O41" s="316">
        <f>SUMIFS('Bilateral Assistance, MAIN DATA'!S:S,'Bilateral Assistance, MAIN DATA'!B:B,'Commitments per Month'!B41,'Bilateral Assistance, MAIN DATA'!AG:AG,1,'Bilateral Assistance, MAIN DATA'!AH:AH,'Commitments per Month'!$O$11)/1000000000</f>
        <v>8.3809523809523813E-3</v>
      </c>
      <c r="P41" s="604">
        <f>SUMIFS('Bilateral Assistance, MAIN DATA'!S:S,'Bilateral Assistance, MAIN DATA'!B:B,'Commitments per Month'!B41,'Bilateral Assistance, MAIN DATA'!AG:AG,1,'Bilateral Assistance, MAIN DATA'!AH:AH,'Commitments per Month'!$P$11)/1000000000</f>
        <v>0</v>
      </c>
      <c r="Q41" s="316">
        <f t="shared" si="0"/>
        <v>9.864761904761904E-2</v>
      </c>
      <c r="R41" s="316">
        <f>SUMIFS('Bilateral Assistance, MAIN DATA'!S:S,'Bilateral Assistance, MAIN DATA'!B:B,'Commitments per Month'!B41,'Bilateral Assistance, MAIN DATA'!AG:AG,0)/1000000000</f>
        <v>0</v>
      </c>
    </row>
    <row r="42" spans="1:18" ht="15.9" customHeight="1" x14ac:dyDescent="0.3">
      <c r="B42" s="24" t="s">
        <v>2460</v>
      </c>
      <c r="C42" s="339">
        <v>1</v>
      </c>
      <c r="D42" s="315">
        <f>SUMIFS('Bilateral Assistance, MAIN DATA'!S:S,'Bilateral Assistance, MAIN DATA'!B:B,'Commitments per Month'!B42,'Bilateral Assistance, MAIN DATA'!AG:AG,1,'Bilateral Assistance, MAIN DATA'!AH:AH,'Commitments per Month'!$D$11)/1000000000</f>
        <v>0</v>
      </c>
      <c r="E42" s="315">
        <f>SUMIFS('Bilateral Assistance, MAIN DATA'!S:S,'Bilateral Assistance, MAIN DATA'!B:B,'Commitments per Month'!B42,'Bilateral Assistance, MAIN DATA'!AG:AG,1,'Bilateral Assistance, MAIN DATA'!AH:AH,'Commitments per Month'!$E$11)/1000000000</f>
        <v>3.1392705142857143E-3</v>
      </c>
      <c r="F42" s="315">
        <f>SUMIFS('Bilateral Assistance, MAIN DATA'!S:S,'Bilateral Assistance, MAIN DATA'!B:B,'Commitments per Month'!B42,'Bilateral Assistance, MAIN DATA'!AG:AG,1,'Bilateral Assistance, MAIN DATA'!AH:AH,'Commitments per Month'!$F$11)/1000000000</f>
        <v>1.0217218055867748E-3</v>
      </c>
      <c r="G42" s="315">
        <f>SUMIFS('Bilateral Assistance, MAIN DATA'!S:S,'Bilateral Assistance, MAIN DATA'!B:B,'Commitments per Month'!B42,'Bilateral Assistance, MAIN DATA'!AG:AG,1,'Bilateral Assistance, MAIN DATA'!AH:AH,'Commitments per Month'!$G$11)/1000000000</f>
        <v>3.3261904761904761E-3</v>
      </c>
      <c r="H42" s="315">
        <f>SUMIFS('Bilateral Assistance, MAIN DATA'!S:S,'Bilateral Assistance, MAIN DATA'!B:B,'Commitments per Month'!B42,'Bilateral Assistance, MAIN DATA'!AG:AG,1,'Bilateral Assistance, MAIN DATA'!AH:AH,'Commitments per Month'!$H$11)/1000000000</f>
        <v>3.2000000000000002E-3</v>
      </c>
      <c r="I42" s="315">
        <f>SUMIFS('Bilateral Assistance, MAIN DATA'!S:S,'Bilateral Assistance, MAIN DATA'!B:B,'Commitments per Month'!B42,'Bilateral Assistance, MAIN DATA'!AG:AG,1,'Bilateral Assistance, MAIN DATA'!AH:AH,'Commitments per Month'!$I$11)/1000000000</f>
        <v>0</v>
      </c>
      <c r="J42" s="315">
        <f>SUMIFS('Bilateral Assistance, MAIN DATA'!S:S,'Bilateral Assistance, MAIN DATA'!B:B,'Commitments per Month'!B42,'Bilateral Assistance, MAIN DATA'!AG:AG,1,'Bilateral Assistance, MAIN DATA'!AH:AH,'Commitments per Month'!$J$11)/1000000000</f>
        <v>0</v>
      </c>
      <c r="K42" s="315">
        <f>SUMIFS('Bilateral Assistance, MAIN DATA'!S:S,'Bilateral Assistance, MAIN DATA'!B:B,'Commitments per Month'!B42,'Bilateral Assistance, MAIN DATA'!AG:AG,1,'Bilateral Assistance, MAIN DATA'!AH:AH,'Commitments per Month'!$K$11)/1000000000</f>
        <v>0</v>
      </c>
      <c r="L42" s="316">
        <f>SUMIFS('Bilateral Assistance, MAIN DATA'!S:S,'Bilateral Assistance, MAIN DATA'!B:B,'Commitments per Month'!B42,'Bilateral Assistance, MAIN DATA'!AG:AG,1,'Bilateral Assistance, MAIN DATA'!AH:AH,'Commitments per Month'!$L$11)/1000000000</f>
        <v>0</v>
      </c>
      <c r="M42" s="270">
        <f>SUMIFS('Bilateral Assistance, MAIN DATA'!S:S,'Bilateral Assistance, MAIN DATA'!B:B,'Commitments per Month'!B42,'Bilateral Assistance, MAIN DATA'!AG:AG,1,'Bilateral Assistance, MAIN DATA'!AH:AH,'Commitments per Month'!$M$11)/1000000000</f>
        <v>0</v>
      </c>
      <c r="N42" s="316">
        <f>SUMIFS('Bilateral Assistance, MAIN DATA'!S:S,'Bilateral Assistance, MAIN DATA'!B:B,'Commitments per Month'!B42,'Bilateral Assistance, MAIN DATA'!AG:AG,1,'Bilateral Assistance, MAIN DATA'!AH:AH,'Commitments per Month'!$N$11)/1000000000</f>
        <v>0</v>
      </c>
      <c r="O42" s="316">
        <f>SUMIFS('Bilateral Assistance, MAIN DATA'!S:S,'Bilateral Assistance, MAIN DATA'!B:B,'Commitments per Month'!B42,'Bilateral Assistance, MAIN DATA'!AG:AG,1,'Bilateral Assistance, MAIN DATA'!AH:AH,'Commitments per Month'!$O$11)/1000000000</f>
        <v>0</v>
      </c>
      <c r="P42" s="604">
        <f>SUMIFS('Bilateral Assistance, MAIN DATA'!S:S,'Bilateral Assistance, MAIN DATA'!B:B,'Commitments per Month'!B42,'Bilateral Assistance, MAIN DATA'!AG:AG,1,'Bilateral Assistance, MAIN DATA'!AH:AH,'Commitments per Month'!$P$11)/1000000000</f>
        <v>0</v>
      </c>
      <c r="Q42" s="316">
        <f t="shared" si="0"/>
        <v>1.0687182796062965E-2</v>
      </c>
      <c r="R42" s="316">
        <f>SUMIFS('Bilateral Assistance, MAIN DATA'!S:S,'Bilateral Assistance, MAIN DATA'!B:B,'Commitments per Month'!B42,'Bilateral Assistance, MAIN DATA'!AG:AG,0)/1000000000</f>
        <v>0</v>
      </c>
    </row>
    <row r="43" spans="1:18" ht="15.9" customHeight="1" x14ac:dyDescent="0.3">
      <c r="B43" s="24" t="s">
        <v>2489</v>
      </c>
      <c r="C43" s="339">
        <v>1</v>
      </c>
      <c r="D43" s="315">
        <f>SUMIFS('Bilateral Assistance, MAIN DATA'!S:S,'Bilateral Assistance, MAIN DATA'!B:B,'Commitments per Month'!B43,'Bilateral Assistance, MAIN DATA'!AG:AG,1,'Bilateral Assistance, MAIN DATA'!AH:AH,'Commitments per Month'!$D$11)/1000000000</f>
        <v>0</v>
      </c>
      <c r="E43" s="315">
        <f>SUMIFS('Bilateral Assistance, MAIN DATA'!S:S,'Bilateral Assistance, MAIN DATA'!B:B,'Commitments per Month'!B43,'Bilateral Assistance, MAIN DATA'!AG:AG,1,'Bilateral Assistance, MAIN DATA'!AH:AH,'Commitments per Month'!$E$11)/1000000000</f>
        <v>1.72E-2</v>
      </c>
      <c r="F43" s="315">
        <f>SUMIFS('Bilateral Assistance, MAIN DATA'!S:S,'Bilateral Assistance, MAIN DATA'!B:B,'Commitments per Month'!B43,'Bilateral Assistance, MAIN DATA'!AG:AG,1,'Bilateral Assistance, MAIN DATA'!AH:AH,'Commitments per Month'!$F$11)/1000000000</f>
        <v>3.2199999999999999E-2</v>
      </c>
      <c r="G43" s="315">
        <f>SUMIFS('Bilateral Assistance, MAIN DATA'!S:S,'Bilateral Assistance, MAIN DATA'!B:B,'Commitments per Month'!B43,'Bilateral Assistance, MAIN DATA'!AG:AG,1,'Bilateral Assistance, MAIN DATA'!AH:AH,'Commitments per Month'!$G$11)/1000000000</f>
        <v>7.2999999999999995E-2</v>
      </c>
      <c r="H43" s="315">
        <f>SUMIFS('Bilateral Assistance, MAIN DATA'!S:S,'Bilateral Assistance, MAIN DATA'!B:B,'Commitments per Month'!B43,'Bilateral Assistance, MAIN DATA'!AG:AG,1,'Bilateral Assistance, MAIN DATA'!AH:AH,'Commitments per Month'!$H$11)/1000000000</f>
        <v>0</v>
      </c>
      <c r="I43" s="315">
        <f>SUMIFS('Bilateral Assistance, MAIN DATA'!S:S,'Bilateral Assistance, MAIN DATA'!B:B,'Commitments per Month'!B43,'Bilateral Assistance, MAIN DATA'!AG:AG,1,'Bilateral Assistance, MAIN DATA'!AH:AH,'Commitments per Month'!$I$11)/1000000000</f>
        <v>7.2619047619047611E-2</v>
      </c>
      <c r="J43" s="315">
        <f>SUMIFS('Bilateral Assistance, MAIN DATA'!S:S,'Bilateral Assistance, MAIN DATA'!B:B,'Commitments per Month'!B43,'Bilateral Assistance, MAIN DATA'!AG:AG,1,'Bilateral Assistance, MAIN DATA'!AH:AH,'Commitments per Month'!$J$11)/1000000000</f>
        <v>0</v>
      </c>
      <c r="K43" s="315">
        <f>SUMIFS('Bilateral Assistance, MAIN DATA'!S:S,'Bilateral Assistance, MAIN DATA'!B:B,'Commitments per Month'!B43,'Bilateral Assistance, MAIN DATA'!AG:AG,1,'Bilateral Assistance, MAIN DATA'!AH:AH,'Commitments per Month'!$K$11)/1000000000</f>
        <v>1.6044072285714289E-2</v>
      </c>
      <c r="L43" s="316">
        <f>SUMIFS('Bilateral Assistance, MAIN DATA'!S:S,'Bilateral Assistance, MAIN DATA'!B:B,'Commitments per Month'!B43,'Bilateral Assistance, MAIN DATA'!AG:AG,1,'Bilateral Assistance, MAIN DATA'!AH:AH,'Commitments per Month'!$L$11)/1000000000</f>
        <v>0</v>
      </c>
      <c r="M43" s="270">
        <f>SUMIFS('Bilateral Assistance, MAIN DATA'!S:S,'Bilateral Assistance, MAIN DATA'!B:B,'Commitments per Month'!B43,'Bilateral Assistance, MAIN DATA'!AG:AG,1,'Bilateral Assistance, MAIN DATA'!AH:AH,'Commitments per Month'!$M$11)/1000000000</f>
        <v>0</v>
      </c>
      <c r="N43" s="316">
        <f>SUMIFS('Bilateral Assistance, MAIN DATA'!S:S,'Bilateral Assistance, MAIN DATA'!B:B,'Commitments per Month'!B43,'Bilateral Assistance, MAIN DATA'!AG:AG,1,'Bilateral Assistance, MAIN DATA'!AH:AH,'Commitments per Month'!$N$11)/1000000000</f>
        <v>0</v>
      </c>
      <c r="O43" s="316">
        <f>SUMIFS('Bilateral Assistance, MAIN DATA'!S:S,'Bilateral Assistance, MAIN DATA'!B:B,'Commitments per Month'!B43,'Bilateral Assistance, MAIN DATA'!AG:AG,1,'Bilateral Assistance, MAIN DATA'!AH:AH,'Commitments per Month'!$O$11)/1000000000</f>
        <v>1.2999999999999999E-2</v>
      </c>
      <c r="P43" s="604">
        <f>SUMIFS('Bilateral Assistance, MAIN DATA'!S:S,'Bilateral Assistance, MAIN DATA'!B:B,'Commitments per Month'!B43,'Bilateral Assistance, MAIN DATA'!AG:AG,1,'Bilateral Assistance, MAIN DATA'!AH:AH,'Commitments per Month'!$P$11)/1000000000</f>
        <v>0</v>
      </c>
      <c r="Q43" s="316">
        <f t="shared" si="0"/>
        <v>0.22406311990476188</v>
      </c>
      <c r="R43" s="316">
        <f>SUMIFS('Bilateral Assistance, MAIN DATA'!S:S,'Bilateral Assistance, MAIN DATA'!B:B,'Commitments per Month'!B43,'Bilateral Assistance, MAIN DATA'!AG:AG,0)/1000000000</f>
        <v>0</v>
      </c>
    </row>
    <row r="44" spans="1:18" ht="15.9" customHeight="1" x14ac:dyDescent="0.3">
      <c r="B44" s="24" t="s">
        <v>2547</v>
      </c>
      <c r="C44" s="339">
        <v>1</v>
      </c>
      <c r="D44" s="315">
        <f>SUMIFS('Bilateral Assistance, MAIN DATA'!S:S,'Bilateral Assistance, MAIN DATA'!B:B,'Commitments per Month'!B44,'Bilateral Assistance, MAIN DATA'!AG:AG,1,'Bilateral Assistance, MAIN DATA'!AH:AH,'Commitments per Month'!$D$11)/1000000000</f>
        <v>0</v>
      </c>
      <c r="E44" s="315">
        <f>SUMIFS('Bilateral Assistance, MAIN DATA'!S:S,'Bilateral Assistance, MAIN DATA'!B:B,'Commitments per Month'!B44,'Bilateral Assistance, MAIN DATA'!AG:AG,1,'Bilateral Assistance, MAIN DATA'!AH:AH,'Commitments per Month'!$E$11)/1000000000</f>
        <v>2.63E-4</v>
      </c>
      <c r="F44" s="315">
        <f>SUMIFS('Bilateral Assistance, MAIN DATA'!S:S,'Bilateral Assistance, MAIN DATA'!B:B,'Commitments per Month'!B44,'Bilateral Assistance, MAIN DATA'!AG:AG,1,'Bilateral Assistance, MAIN DATA'!AH:AH,'Commitments per Month'!$F$11)/1000000000</f>
        <v>0</v>
      </c>
      <c r="G44" s="315">
        <f>SUMIFS('Bilateral Assistance, MAIN DATA'!S:S,'Bilateral Assistance, MAIN DATA'!B:B,'Commitments per Month'!B44,'Bilateral Assistance, MAIN DATA'!AG:AG,1,'Bilateral Assistance, MAIN DATA'!AH:AH,'Commitments per Month'!$G$11)/1000000000</f>
        <v>1.82E-3</v>
      </c>
      <c r="H44" s="315">
        <f>SUMIFS('Bilateral Assistance, MAIN DATA'!S:S,'Bilateral Assistance, MAIN DATA'!B:B,'Commitments per Month'!B44,'Bilateral Assistance, MAIN DATA'!AG:AG,1,'Bilateral Assistance, MAIN DATA'!AH:AH,'Commitments per Month'!$H$11)/1000000000</f>
        <v>0</v>
      </c>
      <c r="I44" s="315">
        <f>SUMIFS('Bilateral Assistance, MAIN DATA'!S:S,'Bilateral Assistance, MAIN DATA'!B:B,'Commitments per Month'!B44,'Bilateral Assistance, MAIN DATA'!AG:AG,1,'Bilateral Assistance, MAIN DATA'!AH:AH,'Commitments per Month'!$I$11)/1000000000</f>
        <v>2.3634496239999997E-2</v>
      </c>
      <c r="J44" s="315">
        <f>SUMIFS('Bilateral Assistance, MAIN DATA'!S:S,'Bilateral Assistance, MAIN DATA'!B:B,'Commitments per Month'!B44,'Bilateral Assistance, MAIN DATA'!AG:AG,1,'Bilateral Assistance, MAIN DATA'!AH:AH,'Commitments per Month'!$J$11)/1000000000</f>
        <v>0</v>
      </c>
      <c r="K44" s="315">
        <f>SUMIFS('Bilateral Assistance, MAIN DATA'!S:S,'Bilateral Assistance, MAIN DATA'!B:B,'Commitments per Month'!B44,'Bilateral Assistance, MAIN DATA'!AG:AG,1,'Bilateral Assistance, MAIN DATA'!AH:AH,'Commitments per Month'!$K$11)/1000000000</f>
        <v>0</v>
      </c>
      <c r="L44" s="316">
        <f>SUMIFS('Bilateral Assistance, MAIN DATA'!S:S,'Bilateral Assistance, MAIN DATA'!B:B,'Commitments per Month'!B44,'Bilateral Assistance, MAIN DATA'!AG:AG,1,'Bilateral Assistance, MAIN DATA'!AH:AH,'Commitments per Month'!$L$11)/1000000000</f>
        <v>2.7115759999999999E-2</v>
      </c>
      <c r="M44" s="270">
        <f>SUMIFS('Bilateral Assistance, MAIN DATA'!S:S,'Bilateral Assistance, MAIN DATA'!B:B,'Commitments per Month'!B44,'Bilateral Assistance, MAIN DATA'!AG:AG,1,'Bilateral Assistance, MAIN DATA'!AH:AH,'Commitments per Month'!$M$11)/1000000000</f>
        <v>0</v>
      </c>
      <c r="N44" s="316">
        <f>SUMIFS('Bilateral Assistance, MAIN DATA'!S:S,'Bilateral Assistance, MAIN DATA'!B:B,'Commitments per Month'!B44,'Bilateral Assistance, MAIN DATA'!AG:AG,1,'Bilateral Assistance, MAIN DATA'!AH:AH,'Commitments per Month'!$N$11)/1000000000</f>
        <v>1.3393899999999999E-4</v>
      </c>
      <c r="O44" s="316">
        <f>SUMIFS('Bilateral Assistance, MAIN DATA'!S:S,'Bilateral Assistance, MAIN DATA'!B:B,'Commitments per Month'!B44,'Bilateral Assistance, MAIN DATA'!AG:AG,1,'Bilateral Assistance, MAIN DATA'!AH:AH,'Commitments per Month'!$O$11)/1000000000</f>
        <v>2.0830610000000002E-3</v>
      </c>
      <c r="P44" s="604">
        <f>SUMIFS('Bilateral Assistance, MAIN DATA'!S:S,'Bilateral Assistance, MAIN DATA'!B:B,'Commitments per Month'!B44,'Bilateral Assistance, MAIN DATA'!AG:AG,1,'Bilateral Assistance, MAIN DATA'!AH:AH,'Commitments per Month'!$P$11)/1000000000</f>
        <v>0</v>
      </c>
      <c r="Q44" s="316">
        <f t="shared" si="0"/>
        <v>5.5050256239999998E-2</v>
      </c>
      <c r="R44" s="316">
        <f>SUMIFS('Bilateral Assistance, MAIN DATA'!S:S,'Bilateral Assistance, MAIN DATA'!B:B,'Commitments per Month'!B44,'Bilateral Assistance, MAIN DATA'!AG:AG,0)/1000000000</f>
        <v>6.6666666666666662E-3</v>
      </c>
    </row>
    <row r="45" spans="1:18" ht="15.9" customHeight="1" x14ac:dyDescent="0.3">
      <c r="B45" s="24" t="s">
        <v>2615</v>
      </c>
      <c r="C45" s="339">
        <v>1</v>
      </c>
      <c r="D45" s="315">
        <f>SUMIFS('Bilateral Assistance, MAIN DATA'!S:S,'Bilateral Assistance, MAIN DATA'!B:B,'Commitments per Month'!B45,'Bilateral Assistance, MAIN DATA'!AG:AG,1,'Bilateral Assistance, MAIN DATA'!AH:AH,'Commitments per Month'!$D$11)/1000000000</f>
        <v>0</v>
      </c>
      <c r="E45" s="315">
        <f>SUMIFS('Bilateral Assistance, MAIN DATA'!S:S,'Bilateral Assistance, MAIN DATA'!B:B,'Commitments per Month'!B45,'Bilateral Assistance, MAIN DATA'!AG:AG,1,'Bilateral Assistance, MAIN DATA'!AH:AH,'Commitments per Month'!$E$11)/1000000000</f>
        <v>1.4999999999999999E-4</v>
      </c>
      <c r="F45" s="315">
        <f>SUMIFS('Bilateral Assistance, MAIN DATA'!S:S,'Bilateral Assistance, MAIN DATA'!B:B,'Commitments per Month'!B45,'Bilateral Assistance, MAIN DATA'!AG:AG,1,'Bilateral Assistance, MAIN DATA'!AH:AH,'Commitments per Month'!$F$11)/1000000000</f>
        <v>7.5276380952380942E-2</v>
      </c>
      <c r="G45" s="315">
        <f>SUMIFS('Bilateral Assistance, MAIN DATA'!S:S,'Bilateral Assistance, MAIN DATA'!B:B,'Commitments per Month'!B45,'Bilateral Assistance, MAIN DATA'!AG:AG,1,'Bilateral Assistance, MAIN DATA'!AH:AH,'Commitments per Month'!$G$11)/1000000000</f>
        <v>2.5461523809523809E-2</v>
      </c>
      <c r="H45" s="315">
        <f>SUMIFS('Bilateral Assistance, MAIN DATA'!S:S,'Bilateral Assistance, MAIN DATA'!B:B,'Commitments per Month'!B45,'Bilateral Assistance, MAIN DATA'!AG:AG,1,'Bilateral Assistance, MAIN DATA'!AH:AH,'Commitments per Month'!$H$11)/1000000000</f>
        <v>0</v>
      </c>
      <c r="I45" s="315">
        <f>SUMIFS('Bilateral Assistance, MAIN DATA'!S:S,'Bilateral Assistance, MAIN DATA'!B:B,'Commitments per Month'!B45,'Bilateral Assistance, MAIN DATA'!AG:AG,1,'Bilateral Assistance, MAIN DATA'!AH:AH,'Commitments per Month'!$I$11)/1000000000</f>
        <v>0.25</v>
      </c>
      <c r="J45" s="315">
        <f>SUMIFS('Bilateral Assistance, MAIN DATA'!S:S,'Bilateral Assistance, MAIN DATA'!B:B,'Commitments per Month'!B45,'Bilateral Assistance, MAIN DATA'!AG:AG,1,'Bilateral Assistance, MAIN DATA'!AH:AH,'Commitments per Month'!$J$11)/1000000000</f>
        <v>5.7142857142857134E-3</v>
      </c>
      <c r="K45" s="315">
        <f>SUMIFS('Bilateral Assistance, MAIN DATA'!S:S,'Bilateral Assistance, MAIN DATA'!B:B,'Commitments per Month'!B45,'Bilateral Assistance, MAIN DATA'!AG:AG,1,'Bilateral Assistance, MAIN DATA'!AH:AH,'Commitments per Month'!$K$11)/1000000000</f>
        <v>1.0230521315192743E-2</v>
      </c>
      <c r="L45" s="316">
        <f>SUMIFS('Bilateral Assistance, MAIN DATA'!S:S,'Bilateral Assistance, MAIN DATA'!B:B,'Commitments per Month'!B45,'Bilateral Assistance, MAIN DATA'!AG:AG,1,'Bilateral Assistance, MAIN DATA'!AH:AH,'Commitments per Month'!$L$11)/1000000000</f>
        <v>0</v>
      </c>
      <c r="M45" s="270">
        <f>SUMIFS('Bilateral Assistance, MAIN DATA'!S:S,'Bilateral Assistance, MAIN DATA'!B:B,'Commitments per Month'!B45,'Bilateral Assistance, MAIN DATA'!AG:AG,1,'Bilateral Assistance, MAIN DATA'!AH:AH,'Commitments per Month'!$M$11)/1000000000</f>
        <v>6.4115686968902949E-3</v>
      </c>
      <c r="N45" s="316">
        <f>SUMIFS('Bilateral Assistance, MAIN DATA'!S:S,'Bilateral Assistance, MAIN DATA'!B:B,'Commitments per Month'!B45,'Bilateral Assistance, MAIN DATA'!AG:AG,1,'Bilateral Assistance, MAIN DATA'!AH:AH,'Commitments per Month'!$N$11)/1000000000</f>
        <v>8.5066502113840779E-3</v>
      </c>
      <c r="O45" s="316">
        <f>SUMIFS('Bilateral Assistance, MAIN DATA'!S:S,'Bilateral Assistance, MAIN DATA'!B:B,'Commitments per Month'!B45,'Bilateral Assistance, MAIN DATA'!AG:AG,1,'Bilateral Assistance, MAIN DATA'!AH:AH,'Commitments per Month'!$O$11)/1000000000</f>
        <v>0</v>
      </c>
      <c r="P45" s="604">
        <f>SUMIFS('Bilateral Assistance, MAIN DATA'!S:S,'Bilateral Assistance, MAIN DATA'!B:B,'Commitments per Month'!B45,'Bilateral Assistance, MAIN DATA'!AG:AG,1,'Bilateral Assistance, MAIN DATA'!AH:AH,'Commitments per Month'!$P$11)/1000000000</f>
        <v>4.4999999999999997E-3</v>
      </c>
      <c r="Q45" s="316">
        <f t="shared" si="0"/>
        <v>0.3862509306996576</v>
      </c>
      <c r="R45" s="316">
        <f>SUMIFS('Bilateral Assistance, MAIN DATA'!S:S,'Bilateral Assistance, MAIN DATA'!B:B,'Commitments per Month'!B45,'Bilateral Assistance, MAIN DATA'!AG:AG,0)/1000000000</f>
        <v>1.161542E-3</v>
      </c>
    </row>
    <row r="46" spans="1:18" ht="15.9" customHeight="1" x14ac:dyDescent="0.3">
      <c r="B46" s="24" t="s">
        <v>2715</v>
      </c>
      <c r="C46" s="339">
        <v>1</v>
      </c>
      <c r="D46" s="315">
        <f>SUMIFS('Bilateral Assistance, MAIN DATA'!S:S,'Bilateral Assistance, MAIN DATA'!B:B,'Commitments per Month'!B46,'Bilateral Assistance, MAIN DATA'!AG:AG,1,'Bilateral Assistance, MAIN DATA'!AH:AH,'Commitments per Month'!$D$11)/1000000000</f>
        <v>0</v>
      </c>
      <c r="E46" s="315">
        <f>SUMIFS('Bilateral Assistance, MAIN DATA'!S:S,'Bilateral Assistance, MAIN DATA'!B:B,'Commitments per Month'!B46,'Bilateral Assistance, MAIN DATA'!AG:AG,1,'Bilateral Assistance, MAIN DATA'!AH:AH,'Commitments per Month'!$E$11)/1000000000</f>
        <v>8.2583960359699046E-2</v>
      </c>
      <c r="F46" s="315">
        <f>SUMIFS('Bilateral Assistance, MAIN DATA'!S:S,'Bilateral Assistance, MAIN DATA'!B:B,'Commitments per Month'!B46,'Bilateral Assistance, MAIN DATA'!AG:AG,1,'Bilateral Assistance, MAIN DATA'!AH:AH,'Commitments per Month'!$F$11)/1000000000</f>
        <v>5.4669714285714287E-2</v>
      </c>
      <c r="G46" s="315">
        <f>SUMIFS('Bilateral Assistance, MAIN DATA'!S:S,'Bilateral Assistance, MAIN DATA'!B:B,'Commitments per Month'!B46,'Bilateral Assistance, MAIN DATA'!AG:AG,1,'Bilateral Assistance, MAIN DATA'!AH:AH,'Commitments per Month'!$G$11)/1000000000</f>
        <v>4.3999999999999997E-2</v>
      </c>
      <c r="H46" s="315">
        <f>SUMIFS('Bilateral Assistance, MAIN DATA'!S:S,'Bilateral Assistance, MAIN DATA'!B:B,'Commitments per Month'!B46,'Bilateral Assistance, MAIN DATA'!AG:AG,1,'Bilateral Assistance, MAIN DATA'!AH:AH,'Commitments per Month'!$H$11)/1000000000</f>
        <v>7.3407964764176908E-2</v>
      </c>
      <c r="I46" s="315">
        <f>SUMIFS('Bilateral Assistance, MAIN DATA'!S:S,'Bilateral Assistance, MAIN DATA'!B:B,'Commitments per Month'!B46,'Bilateral Assistance, MAIN DATA'!AG:AG,1,'Bilateral Assistance, MAIN DATA'!AH:AH,'Commitments per Month'!$I$11)/1000000000</f>
        <v>9.1759955955221142E-2</v>
      </c>
      <c r="J46" s="315">
        <f>SUMIFS('Bilateral Assistance, MAIN DATA'!S:S,'Bilateral Assistance, MAIN DATA'!B:B,'Commitments per Month'!B46,'Bilateral Assistance, MAIN DATA'!AG:AG,1,'Bilateral Assistance, MAIN DATA'!AH:AH,'Commitments per Month'!$J$11)/1000000000</f>
        <v>5.3009726555331253E-2</v>
      </c>
      <c r="K46" s="315">
        <f>SUMIFS('Bilateral Assistance, MAIN DATA'!S:S,'Bilateral Assistance, MAIN DATA'!B:B,'Commitments per Month'!B46,'Bilateral Assistance, MAIN DATA'!AG:AG,1,'Bilateral Assistance, MAIN DATA'!AH:AH,'Commitments per Month'!$K$11)/1000000000</f>
        <v>9.1759955955221142E-2</v>
      </c>
      <c r="L46" s="316">
        <f>SUMIFS('Bilateral Assistance, MAIN DATA'!S:S,'Bilateral Assistance, MAIN DATA'!B:B,'Commitments per Month'!B46,'Bilateral Assistance, MAIN DATA'!AG:AG,1,'Bilateral Assistance, MAIN DATA'!AH:AH,'Commitments per Month'!$L$11)/1000000000</f>
        <v>9.285714285714286E-3</v>
      </c>
      <c r="M46" s="270">
        <f>SUMIFS('Bilateral Assistance, MAIN DATA'!S:S,'Bilateral Assistance, MAIN DATA'!B:B,'Commitments per Month'!B46,'Bilateral Assistance, MAIN DATA'!AG:AG,1,'Bilateral Assistance, MAIN DATA'!AH:AH,'Commitments per Month'!$M$11)/1000000000</f>
        <v>0</v>
      </c>
      <c r="N46" s="316">
        <f>SUMIFS('Bilateral Assistance, MAIN DATA'!S:S,'Bilateral Assistance, MAIN DATA'!B:B,'Commitments per Month'!B46,'Bilateral Assistance, MAIN DATA'!AG:AG,1,'Bilateral Assistance, MAIN DATA'!AH:AH,'Commitments per Month'!$N$11)/1000000000</f>
        <v>0.30372545421178193</v>
      </c>
      <c r="O46" s="316">
        <f>SUMIFS('Bilateral Assistance, MAIN DATA'!S:S,'Bilateral Assistance, MAIN DATA'!B:B,'Commitments per Month'!B46,'Bilateral Assistance, MAIN DATA'!AG:AG,1,'Bilateral Assistance, MAIN DATA'!AH:AH,'Commitments per Month'!$O$11)/1000000000</f>
        <v>0</v>
      </c>
      <c r="P46" s="604">
        <f>SUMIFS('Bilateral Assistance, MAIN DATA'!S:S,'Bilateral Assistance, MAIN DATA'!B:B,'Commitments per Month'!B46,'Bilateral Assistance, MAIN DATA'!AG:AG,1,'Bilateral Assistance, MAIN DATA'!AH:AH,'Commitments per Month'!$P$11)/1000000000</f>
        <v>0</v>
      </c>
      <c r="Q46" s="316">
        <f t="shared" si="0"/>
        <v>0.80420244637285987</v>
      </c>
      <c r="R46" s="316">
        <f>SUMIFS('Bilateral Assistance, MAIN DATA'!S:S,'Bilateral Assistance, MAIN DATA'!B:B,'Commitments per Month'!B46,'Bilateral Assistance, MAIN DATA'!AG:AG,0)/1000000000</f>
        <v>0</v>
      </c>
    </row>
    <row r="47" spans="1:18" ht="15.9" customHeight="1" x14ac:dyDescent="0.3">
      <c r="B47" s="2" t="s">
        <v>2792</v>
      </c>
      <c r="C47" s="339">
        <v>0</v>
      </c>
      <c r="D47" s="315">
        <f>SUMIFS('Bilateral Assistance, MAIN DATA'!S:S,'Bilateral Assistance, MAIN DATA'!B:B,'Commitments per Month'!B47,'Bilateral Assistance, MAIN DATA'!AG:AG,1,'Bilateral Assistance, MAIN DATA'!AH:AH,'Commitments per Month'!$D$11)/1000000000</f>
        <v>0</v>
      </c>
      <c r="E47" s="315">
        <f>SUMIFS('Bilateral Assistance, MAIN DATA'!S:S,'Bilateral Assistance, MAIN DATA'!B:B,'Commitments per Month'!B47,'Bilateral Assistance, MAIN DATA'!AG:AG,1,'Bilateral Assistance, MAIN DATA'!AH:AH,'Commitments per Month'!$E$11)/1000000000</f>
        <v>0</v>
      </c>
      <c r="F47" s="315">
        <f>SUMIFS('Bilateral Assistance, MAIN DATA'!S:S,'Bilateral Assistance, MAIN DATA'!B:B,'Commitments per Month'!B47,'Bilateral Assistance, MAIN DATA'!AG:AG,1,'Bilateral Assistance, MAIN DATA'!AH:AH,'Commitments per Month'!$F$11)/1000000000</f>
        <v>6.1000406669377796E-2</v>
      </c>
      <c r="G47" s="315">
        <f>SUMIFS('Bilateral Assistance, MAIN DATA'!S:S,'Bilateral Assistance, MAIN DATA'!B:B,'Commitments per Month'!B47,'Bilateral Assistance, MAIN DATA'!AG:AG,1,'Bilateral Assistance, MAIN DATA'!AH:AH,'Commitments per Month'!$G$11)/1000000000</f>
        <v>0</v>
      </c>
      <c r="H47" s="315">
        <f>SUMIFS('Bilateral Assistance, MAIN DATA'!S:S,'Bilateral Assistance, MAIN DATA'!B:B,'Commitments per Month'!B47,'Bilateral Assistance, MAIN DATA'!AG:AG,1,'Bilateral Assistance, MAIN DATA'!AH:AH,'Commitments per Month'!$H$11)/1000000000</f>
        <v>0</v>
      </c>
      <c r="I47" s="315">
        <f>SUMIFS('Bilateral Assistance, MAIN DATA'!S:S,'Bilateral Assistance, MAIN DATA'!B:B,'Commitments per Month'!B47,'Bilateral Assistance, MAIN DATA'!AG:AG,1,'Bilateral Assistance, MAIN DATA'!AH:AH,'Commitments per Month'!$I$11)/1000000000</f>
        <v>0</v>
      </c>
      <c r="J47" s="315">
        <f>SUMIFS('Bilateral Assistance, MAIN DATA'!S:S,'Bilateral Assistance, MAIN DATA'!B:B,'Commitments per Month'!B47,'Bilateral Assistance, MAIN DATA'!AG:AG,1,'Bilateral Assistance, MAIN DATA'!AH:AH,'Commitments per Month'!$J$11)/1000000000</f>
        <v>0</v>
      </c>
      <c r="K47" s="315">
        <f>SUMIFS('Bilateral Assistance, MAIN DATA'!S:S,'Bilateral Assistance, MAIN DATA'!B:B,'Commitments per Month'!B47,'Bilateral Assistance, MAIN DATA'!AG:AG,1,'Bilateral Assistance, MAIN DATA'!AH:AH,'Commitments per Month'!$K$11)/1000000000</f>
        <v>2.0333468889792598E-2</v>
      </c>
      <c r="L47" s="316">
        <f>SUMIFS('Bilateral Assistance, MAIN DATA'!S:S,'Bilateral Assistance, MAIN DATA'!B:B,'Commitments per Month'!B47,'Bilateral Assistance, MAIN DATA'!AG:AG,1,'Bilateral Assistance, MAIN DATA'!AH:AH,'Commitments per Month'!$L$11)/1000000000</f>
        <v>0</v>
      </c>
      <c r="M47" s="270">
        <f>SUMIFS('Bilateral Assistance, MAIN DATA'!S:S,'Bilateral Assistance, MAIN DATA'!B:B,'Commitments per Month'!B47,'Bilateral Assistance, MAIN DATA'!AG:AG,1,'Bilateral Assistance, MAIN DATA'!AH:AH,'Commitments per Month'!$M$11)/1000000000</f>
        <v>0</v>
      </c>
      <c r="N47" s="316">
        <f>SUMIFS('Bilateral Assistance, MAIN DATA'!S:S,'Bilateral Assistance, MAIN DATA'!B:B,'Commitments per Month'!B47,'Bilateral Assistance, MAIN DATA'!AG:AG,1,'Bilateral Assistance, MAIN DATA'!AH:AH,'Commitments per Month'!$N$11)/1000000000</f>
        <v>0.10166734444896298</v>
      </c>
      <c r="O47" s="316">
        <f>SUMIFS('Bilateral Assistance, MAIN DATA'!S:S,'Bilateral Assistance, MAIN DATA'!B:B,'Commitments per Month'!B47,'Bilateral Assistance, MAIN DATA'!AG:AG,1,'Bilateral Assistance, MAIN DATA'!AH:AH,'Commitments per Month'!$O$11)/1000000000</f>
        <v>5.8967059780398533E-2</v>
      </c>
      <c r="P47" s="604">
        <f>SUMIFS('Bilateral Assistance, MAIN DATA'!S:S,'Bilateral Assistance, MAIN DATA'!B:B,'Commitments per Month'!B47,'Bilateral Assistance, MAIN DATA'!AG:AG,1,'Bilateral Assistance, MAIN DATA'!AH:AH,'Commitments per Month'!$P$11)/1000000000</f>
        <v>0</v>
      </c>
      <c r="Q47" s="316">
        <f t="shared" si="0"/>
        <v>0.24196827978853191</v>
      </c>
      <c r="R47" s="316">
        <f>SUMIFS('Bilateral Assistance, MAIN DATA'!S:S,'Bilateral Assistance, MAIN DATA'!B:B,'Commitments per Month'!B47,'Bilateral Assistance, MAIN DATA'!AG:AG,0)/1000000000</f>
        <v>0</v>
      </c>
    </row>
    <row r="48" spans="1:18" ht="15.9" customHeight="1" x14ac:dyDescent="0.3">
      <c r="B48" s="2" t="s">
        <v>2820</v>
      </c>
      <c r="C48" s="339">
        <v>0</v>
      </c>
      <c r="D48" s="315">
        <f>SUMIFS('Bilateral Assistance, MAIN DATA'!S:S,'Bilateral Assistance, MAIN DATA'!B:B,'Commitments per Month'!B48,'Bilateral Assistance, MAIN DATA'!AG:AG,1,'Bilateral Assistance, MAIN DATA'!AH:AH,'Commitments per Month'!$D$11)/1000000000</f>
        <v>0</v>
      </c>
      <c r="E48" s="315">
        <f>SUMIFS('Bilateral Assistance, MAIN DATA'!S:S,'Bilateral Assistance, MAIN DATA'!B:B,'Commitments per Month'!B48,'Bilateral Assistance, MAIN DATA'!AG:AG,1,'Bilateral Assistance, MAIN DATA'!AH:AH,'Commitments per Month'!$E$11)/1000000000</f>
        <v>4.5617173333333337E-2</v>
      </c>
      <c r="F48" s="315">
        <f>SUMIFS('Bilateral Assistance, MAIN DATA'!S:S,'Bilateral Assistance, MAIN DATA'!B:B,'Commitments per Month'!B48,'Bilateral Assistance, MAIN DATA'!AG:AG,1,'Bilateral Assistance, MAIN DATA'!AH:AH,'Commitments per Month'!$F$11)/1000000000</f>
        <v>0</v>
      </c>
      <c r="G48" s="315">
        <f>SUMIFS('Bilateral Assistance, MAIN DATA'!S:S,'Bilateral Assistance, MAIN DATA'!B:B,'Commitments per Month'!B48,'Bilateral Assistance, MAIN DATA'!AG:AG,1,'Bilateral Assistance, MAIN DATA'!AH:AH,'Commitments per Month'!$G$11)/1000000000</f>
        <v>0</v>
      </c>
      <c r="H48" s="315">
        <f>SUMIFS('Bilateral Assistance, MAIN DATA'!S:S,'Bilateral Assistance, MAIN DATA'!B:B,'Commitments per Month'!B48,'Bilateral Assistance, MAIN DATA'!AG:AG,1,'Bilateral Assistance, MAIN DATA'!AH:AH,'Commitments per Month'!$H$11)/1000000000</f>
        <v>0</v>
      </c>
      <c r="I48" s="315">
        <f>SUMIFS('Bilateral Assistance, MAIN DATA'!S:S,'Bilateral Assistance, MAIN DATA'!B:B,'Commitments per Month'!B48,'Bilateral Assistance, MAIN DATA'!AG:AG,1,'Bilateral Assistance, MAIN DATA'!AH:AH,'Commitments per Month'!$I$11)/1000000000</f>
        <v>0</v>
      </c>
      <c r="J48" s="315">
        <f>SUMIFS('Bilateral Assistance, MAIN DATA'!S:S,'Bilateral Assistance, MAIN DATA'!B:B,'Commitments per Month'!B48,'Bilateral Assistance, MAIN DATA'!AG:AG,1,'Bilateral Assistance, MAIN DATA'!AH:AH,'Commitments per Month'!$J$11)/1000000000</f>
        <v>0</v>
      </c>
      <c r="K48" s="315">
        <f>SUMIFS('Bilateral Assistance, MAIN DATA'!S:S,'Bilateral Assistance, MAIN DATA'!B:B,'Commitments per Month'!B48,'Bilateral Assistance, MAIN DATA'!AG:AG,1,'Bilateral Assistance, MAIN DATA'!AH:AH,'Commitments per Month'!$K$11)/1000000000</f>
        <v>1.5974761904761905E-2</v>
      </c>
      <c r="L48" s="316">
        <f>SUMIFS('Bilateral Assistance, MAIN DATA'!S:S,'Bilateral Assistance, MAIN DATA'!B:B,'Commitments per Month'!B48,'Bilateral Assistance, MAIN DATA'!AG:AG,1,'Bilateral Assistance, MAIN DATA'!AH:AH,'Commitments per Month'!$L$11)/1000000000</f>
        <v>0</v>
      </c>
      <c r="M48" s="270">
        <f>SUMIFS('Bilateral Assistance, MAIN DATA'!S:S,'Bilateral Assistance, MAIN DATA'!B:B,'Commitments per Month'!B48,'Bilateral Assistance, MAIN DATA'!AG:AG,1,'Bilateral Assistance, MAIN DATA'!AH:AH,'Commitments per Month'!$M$11)/1000000000</f>
        <v>0</v>
      </c>
      <c r="N48" s="316">
        <f>SUMIFS('Bilateral Assistance, MAIN DATA'!S:S,'Bilateral Assistance, MAIN DATA'!B:B,'Commitments per Month'!B48,'Bilateral Assistance, MAIN DATA'!AG:AG,1,'Bilateral Assistance, MAIN DATA'!AH:AH,'Commitments per Month'!$N$11)/1000000000</f>
        <v>0</v>
      </c>
      <c r="O48" s="316">
        <f>SUMIFS('Bilateral Assistance, MAIN DATA'!S:S,'Bilateral Assistance, MAIN DATA'!B:B,'Commitments per Month'!B48,'Bilateral Assistance, MAIN DATA'!AG:AG,1,'Bilateral Assistance, MAIN DATA'!AH:AH,'Commitments per Month'!$O$11)/1000000000</f>
        <v>0</v>
      </c>
      <c r="P48" s="604">
        <f>SUMIFS('Bilateral Assistance, MAIN DATA'!S:S,'Bilateral Assistance, MAIN DATA'!B:B,'Commitments per Month'!B48,'Bilateral Assistance, MAIN DATA'!AG:AG,1,'Bilateral Assistance, MAIN DATA'!AH:AH,'Commitments per Month'!$P$11)/1000000000</f>
        <v>0</v>
      </c>
      <c r="Q48" s="316">
        <f t="shared" si="0"/>
        <v>6.1591935238095238E-2</v>
      </c>
      <c r="R48" s="316">
        <f>SUMIFS('Bilateral Assistance, MAIN DATA'!S:S,'Bilateral Assistance, MAIN DATA'!B:B,'Commitments per Month'!B48,'Bilateral Assistance, MAIN DATA'!AG:AG,0)/1000000000</f>
        <v>0</v>
      </c>
    </row>
    <row r="49" spans="1:20" ht="15.9" customHeight="1" x14ac:dyDescent="0.3">
      <c r="B49" s="24" t="s">
        <v>2864</v>
      </c>
      <c r="C49" s="339">
        <v>0</v>
      </c>
      <c r="D49" s="315">
        <f>SUMIFS('Bilateral Assistance, MAIN DATA'!S:S,'Bilateral Assistance, MAIN DATA'!B:B,'Commitments per Month'!B49,'Bilateral Assistance, MAIN DATA'!AG:AG,1,'Bilateral Assistance, MAIN DATA'!AH:AH,'Commitments per Month'!$D$11)/1000000000</f>
        <v>0</v>
      </c>
      <c r="E49" s="315">
        <f>SUMIFS('Bilateral Assistance, MAIN DATA'!S:S,'Bilateral Assistance, MAIN DATA'!B:B,'Commitments per Month'!B49,'Bilateral Assistance, MAIN DATA'!AG:AG,1,'Bilateral Assistance, MAIN DATA'!AH:AH,'Commitments per Month'!$E$11)/1000000000</f>
        <v>0.80477947310441444</v>
      </c>
      <c r="F49" s="315">
        <f>SUMIFS('Bilateral Assistance, MAIN DATA'!S:S,'Bilateral Assistance, MAIN DATA'!B:B,'Commitments per Month'!B49,'Bilateral Assistance, MAIN DATA'!AG:AG,1,'Bilateral Assistance, MAIN DATA'!AH:AH,'Commitments per Month'!$F$11)/1000000000</f>
        <v>1.1215533994742757</v>
      </c>
      <c r="G49" s="315">
        <f>SUMIFS('Bilateral Assistance, MAIN DATA'!S:S,'Bilateral Assistance, MAIN DATA'!B:B,'Commitments per Month'!B49,'Bilateral Assistance, MAIN DATA'!AG:AG,1,'Bilateral Assistance, MAIN DATA'!AH:AH,'Commitments per Month'!$G$11)/1000000000</f>
        <v>1.4063078408935672</v>
      </c>
      <c r="H49" s="315">
        <f>SUMIFS('Bilateral Assistance, MAIN DATA'!S:S,'Bilateral Assistance, MAIN DATA'!B:B,'Commitments per Month'!B49,'Bilateral Assistance, MAIN DATA'!AG:AG,1,'Bilateral Assistance, MAIN DATA'!AH:AH,'Commitments per Month'!$H$11)/1000000000</f>
        <v>1.555936106744807</v>
      </c>
      <c r="I49" s="315">
        <f>SUMIFS('Bilateral Assistance, MAIN DATA'!S:S,'Bilateral Assistance, MAIN DATA'!B:B,'Commitments per Month'!B49,'Bilateral Assistance, MAIN DATA'!AG:AG,1,'Bilateral Assistance, MAIN DATA'!AH:AH,'Commitments per Month'!$I$11)/1000000000</f>
        <v>1.1601735619648699</v>
      </c>
      <c r="J49" s="315">
        <f>SUMIFS('Bilateral Assistance, MAIN DATA'!S:S,'Bilateral Assistance, MAIN DATA'!B:B,'Commitments per Month'!B49,'Bilateral Assistance, MAIN DATA'!AG:AG,1,'Bilateral Assistance, MAIN DATA'!AH:AH,'Commitments per Month'!$J$11)/1000000000</f>
        <v>5.8008678098243494E-3</v>
      </c>
      <c r="K49" s="315">
        <f>SUMIFS('Bilateral Assistance, MAIN DATA'!S:S,'Bilateral Assistance, MAIN DATA'!B:B,'Commitments per Month'!B49,'Bilateral Assistance, MAIN DATA'!AG:AG,1,'Bilateral Assistance, MAIN DATA'!AH:AH,'Commitments per Month'!$K$11)/1000000000</f>
        <v>0.1657142857142857</v>
      </c>
      <c r="L49" s="316">
        <f>SUMIFS('Bilateral Assistance, MAIN DATA'!S:S,'Bilateral Assistance, MAIN DATA'!B:B,'Commitments per Month'!B49,'Bilateral Assistance, MAIN DATA'!AG:AG,1,'Bilateral Assistance, MAIN DATA'!AH:AH,'Commitments per Month'!$L$11)/1000000000</f>
        <v>0.47619047619047616</v>
      </c>
      <c r="M49" s="270">
        <f>SUMIFS('Bilateral Assistance, MAIN DATA'!S:S,'Bilateral Assistance, MAIN DATA'!B:B,'Commitments per Month'!B49,'Bilateral Assistance, MAIN DATA'!AG:AG,1,'Bilateral Assistance, MAIN DATA'!AH:AH,'Commitments per Month'!$M$11)/1000000000</f>
        <v>0.28189130777686239</v>
      </c>
      <c r="N49" s="316">
        <f>SUMIFS('Bilateral Assistance, MAIN DATA'!S:S,'Bilateral Assistance, MAIN DATA'!B:B,'Commitments per Month'!B49,'Bilateral Assistance, MAIN DATA'!AG:AG,1,'Bilateral Assistance, MAIN DATA'!AH:AH,'Commitments per Month'!$N$11)/1000000000</f>
        <v>0.10031001147979696</v>
      </c>
      <c r="O49" s="316">
        <f>SUMIFS('Bilateral Assistance, MAIN DATA'!S:S,'Bilateral Assistance, MAIN DATA'!B:B,'Commitments per Month'!B49,'Bilateral Assistance, MAIN DATA'!AG:AG,1,'Bilateral Assistance, MAIN DATA'!AH:AH,'Commitments per Month'!$O$11)/1000000000</f>
        <v>0.47619047619047616</v>
      </c>
      <c r="P49" s="604">
        <f>SUMIFS('Bilateral Assistance, MAIN DATA'!S:S,'Bilateral Assistance, MAIN DATA'!B:B,'Commitments per Month'!B49,'Bilateral Assistance, MAIN DATA'!AG:AG,1,'Bilateral Assistance, MAIN DATA'!AH:AH,'Commitments per Month'!$P$11)/1000000000</f>
        <v>0.75183110709625123</v>
      </c>
      <c r="Q49" s="316">
        <f t="shared" si="0"/>
        <v>8.3066789144399085</v>
      </c>
      <c r="R49" s="316">
        <f>SUMIFS('Bilateral Assistance, MAIN DATA'!S:S,'Bilateral Assistance, MAIN DATA'!B:B,'Commitments per Month'!B49,'Bilateral Assistance, MAIN DATA'!AG:AG,0)/1000000000</f>
        <v>0</v>
      </c>
    </row>
    <row r="50" spans="1:20" ht="15.9" customHeight="1" x14ac:dyDescent="0.3">
      <c r="B50" s="24" t="s">
        <v>3038</v>
      </c>
      <c r="C50" s="339">
        <v>0</v>
      </c>
      <c r="D50" s="315">
        <f>SUMIFS('Bilateral Assistance, MAIN DATA'!S:S,'Bilateral Assistance, MAIN DATA'!B:B,'Commitments per Month'!B50,'Bilateral Assistance, MAIN DATA'!AG:AG,1,'Bilateral Assistance, MAIN DATA'!AH:AH,'Commitments per Month'!$D$11)/1000000000</f>
        <v>0</v>
      </c>
      <c r="E50" s="315">
        <f>SUMIFS('Bilateral Assistance, MAIN DATA'!S:S,'Bilateral Assistance, MAIN DATA'!B:B,'Commitments per Month'!B50,'Bilateral Assistance, MAIN DATA'!AG:AG,1,'Bilateral Assistance, MAIN DATA'!AH:AH,'Commitments per Month'!$E$11)/1000000000</f>
        <v>5.1428571428571428E-2</v>
      </c>
      <c r="F50" s="315">
        <f>SUMIFS('Bilateral Assistance, MAIN DATA'!S:S,'Bilateral Assistance, MAIN DATA'!B:B,'Commitments per Month'!B50,'Bilateral Assistance, MAIN DATA'!AG:AG,1,'Bilateral Assistance, MAIN DATA'!AH:AH,'Commitments per Month'!$F$11)/1000000000</f>
        <v>9.7460520857142843</v>
      </c>
      <c r="G50" s="315">
        <f>SUMIFS('Bilateral Assistance, MAIN DATA'!S:S,'Bilateral Assistance, MAIN DATA'!B:B,'Commitments per Month'!B50,'Bilateral Assistance, MAIN DATA'!AG:AG,1,'Bilateral Assistance, MAIN DATA'!AH:AH,'Commitments per Month'!$G$11)/1000000000</f>
        <v>7.4733333333333327</v>
      </c>
      <c r="H50" s="315">
        <f>SUMIFS('Bilateral Assistance, MAIN DATA'!S:S,'Bilateral Assistance, MAIN DATA'!B:B,'Commitments per Month'!B50,'Bilateral Assistance, MAIN DATA'!AG:AG,1,'Bilateral Assistance, MAIN DATA'!AH:AH,'Commitments per Month'!$H$11)/1000000000</f>
        <v>7.5131725676190468</v>
      </c>
      <c r="I50" s="315">
        <f>SUMIFS('Bilateral Assistance, MAIN DATA'!S:S,'Bilateral Assistance, MAIN DATA'!B:B,'Commitments per Month'!B50,'Bilateral Assistance, MAIN DATA'!AG:AG,1,'Bilateral Assistance, MAIN DATA'!AH:AH,'Commitments per Month'!$I$11)/1000000000</f>
        <v>0.21471941142857143</v>
      </c>
      <c r="J50" s="315">
        <f>SUMIFS('Bilateral Assistance, MAIN DATA'!S:S,'Bilateral Assistance, MAIN DATA'!B:B,'Commitments per Month'!B50,'Bilateral Assistance, MAIN DATA'!AG:AG,1,'Bilateral Assistance, MAIN DATA'!AH:AH,'Commitments per Month'!$J$11)/1000000000</f>
        <v>0.37143786380952382</v>
      </c>
      <c r="K50" s="315">
        <f>SUMIFS('Bilateral Assistance, MAIN DATA'!S:S,'Bilateral Assistance, MAIN DATA'!B:B,'Commitments per Month'!B50,'Bilateral Assistance, MAIN DATA'!AG:AG,1,'Bilateral Assistance, MAIN DATA'!AH:AH,'Commitments per Month'!$K$11)/1000000000</f>
        <v>1.125280380952381E-2</v>
      </c>
      <c r="L50" s="316">
        <f>SUMIFS('Bilateral Assistance, MAIN DATA'!S:S,'Bilateral Assistance, MAIN DATA'!B:B,'Commitments per Month'!B50,'Bilateral Assistance, MAIN DATA'!AG:AG,1,'Bilateral Assistance, MAIN DATA'!AH:AH,'Commitments per Month'!$L$11)/1000000000</f>
        <v>10.700716688571429</v>
      </c>
      <c r="M50" s="270">
        <f>SUMIFS('Bilateral Assistance, MAIN DATA'!S:S,'Bilateral Assistance, MAIN DATA'!B:B,'Commitments per Month'!B50,'Bilateral Assistance, MAIN DATA'!AG:AG,1,'Bilateral Assistance, MAIN DATA'!AH:AH,'Commitments per Month'!$M$11)/1000000000</f>
        <v>0</v>
      </c>
      <c r="N50" s="316">
        <f>SUMIFS('Bilateral Assistance, MAIN DATA'!S:S,'Bilateral Assistance, MAIN DATA'!B:B,'Commitments per Month'!B50,'Bilateral Assistance, MAIN DATA'!AG:AG,1,'Bilateral Assistance, MAIN DATA'!AH:AH,'Commitments per Month'!$N$11)/1000000000</f>
        <v>0</v>
      </c>
      <c r="O50" s="316">
        <f>SUMIFS('Bilateral Assistance, MAIN DATA'!S:S,'Bilateral Assistance, MAIN DATA'!B:B,'Commitments per Month'!B50,'Bilateral Assistance, MAIN DATA'!AG:AG,1,'Bilateral Assistance, MAIN DATA'!AH:AH,'Commitments per Month'!$O$11)/1000000000</f>
        <v>37.094571428571427</v>
      </c>
      <c r="P50" s="604">
        <f>SUMIFS('Bilateral Assistance, MAIN DATA'!S:S,'Bilateral Assistance, MAIN DATA'!B:B,'Commitments per Month'!B50,'Bilateral Assistance, MAIN DATA'!AG:AG,1,'Bilateral Assistance, MAIN DATA'!AH:AH,'Commitments per Month'!$P$11)/1000000000</f>
        <v>0</v>
      </c>
      <c r="Q50" s="316">
        <f t="shared" si="0"/>
        <v>73.176684754285716</v>
      </c>
      <c r="R50" s="316">
        <f>SUMIFS('Bilateral Assistance, MAIN DATA'!S:S,'Bilateral Assistance, MAIN DATA'!B:B,'Commitments per Month'!B50,'Bilateral Assistance, MAIN DATA'!AG:AG,0)/1000000000</f>
        <v>0</v>
      </c>
    </row>
    <row r="51" spans="1:20" ht="15.9" customHeight="1" x14ac:dyDescent="0.3">
      <c r="B51" s="24" t="s">
        <v>656</v>
      </c>
      <c r="C51" s="339">
        <v>0</v>
      </c>
      <c r="D51" s="315">
        <f>SUMIFS('Bilateral Assistance, MAIN DATA'!S:S,'Bilateral Assistance, MAIN DATA'!B:B,'Commitments per Month'!B51,'Bilateral Assistance, MAIN DATA'!AG:AG,1,'Bilateral Assistance, MAIN DATA'!AH:AH,'Commitments per Month'!$D$11)/1000000000</f>
        <v>0</v>
      </c>
      <c r="E51" s="315">
        <f>SUMIFS('Bilateral Assistance, MAIN DATA'!S:S,'Bilateral Assistance, MAIN DATA'!B:B,'Commitments per Month'!B51,'Bilateral Assistance, MAIN DATA'!AG:AG,1,'Bilateral Assistance, MAIN DATA'!AH:AH,'Commitments per Month'!$E$11)/1000000000</f>
        <v>0</v>
      </c>
      <c r="F51" s="315">
        <f>SUMIFS('Bilateral Assistance, MAIN DATA'!S:S,'Bilateral Assistance, MAIN DATA'!B:B,'Commitments per Month'!B51,'Bilateral Assistance, MAIN DATA'!AG:AG,1,'Bilateral Assistance, MAIN DATA'!AH:AH,'Commitments per Month'!$F$11)/1000000000</f>
        <v>2.0820320632937745E-3</v>
      </c>
      <c r="G51" s="315">
        <f>SUMIFS('Bilateral Assistance, MAIN DATA'!S:S,'Bilateral Assistance, MAIN DATA'!B:B,'Commitments per Month'!B51,'Bilateral Assistance, MAIN DATA'!AG:AG,1,'Bilateral Assistance, MAIN DATA'!AH:AH,'Commitments per Month'!$G$11)/1000000000</f>
        <v>0</v>
      </c>
      <c r="H51" s="315">
        <f>SUMIFS('Bilateral Assistance, MAIN DATA'!S:S,'Bilateral Assistance, MAIN DATA'!B:B,'Commitments per Month'!B51,'Bilateral Assistance, MAIN DATA'!AG:AG,1,'Bilateral Assistance, MAIN DATA'!AH:AH,'Commitments per Month'!$H$11)/1000000000</f>
        <v>0</v>
      </c>
      <c r="I51" s="315">
        <f>SUMIFS('Bilateral Assistance, MAIN DATA'!S:S,'Bilateral Assistance, MAIN DATA'!B:B,'Commitments per Month'!B51,'Bilateral Assistance, MAIN DATA'!AG:AG,1,'Bilateral Assistance, MAIN DATA'!AH:AH,'Commitments per Month'!$I$11)/1000000000</f>
        <v>0</v>
      </c>
      <c r="J51" s="315">
        <f>SUMIFS('Bilateral Assistance, MAIN DATA'!S:S,'Bilateral Assistance, MAIN DATA'!B:B,'Commitments per Month'!B51,'Bilateral Assistance, MAIN DATA'!AG:AG,1,'Bilateral Assistance, MAIN DATA'!AH:AH,'Commitments per Month'!$J$11)/1000000000</f>
        <v>0</v>
      </c>
      <c r="K51" s="315">
        <f>SUMIFS('Bilateral Assistance, MAIN DATA'!S:S,'Bilateral Assistance, MAIN DATA'!B:B,'Commitments per Month'!B51,'Bilateral Assistance, MAIN DATA'!AG:AG,1,'Bilateral Assistance, MAIN DATA'!AH:AH,'Commitments per Month'!$K$11)/1000000000</f>
        <v>0</v>
      </c>
      <c r="L51" s="316">
        <f>SUMIFS('Bilateral Assistance, MAIN DATA'!S:S,'Bilateral Assistance, MAIN DATA'!B:B,'Commitments per Month'!B51,'Bilateral Assistance, MAIN DATA'!AG:AG,1,'Bilateral Assistance, MAIN DATA'!AH:AH,'Commitments per Month'!$L$11)/1000000000</f>
        <v>0</v>
      </c>
      <c r="M51" s="270">
        <f>SUMIFS('Bilateral Assistance, MAIN DATA'!S:S,'Bilateral Assistance, MAIN DATA'!B:B,'Commitments per Month'!B51,'Bilateral Assistance, MAIN DATA'!AG:AG,1,'Bilateral Assistance, MAIN DATA'!AH:AH,'Commitments per Month'!$M$11)/1000000000</f>
        <v>0</v>
      </c>
      <c r="N51" s="316">
        <f>SUMIFS('Bilateral Assistance, MAIN DATA'!S:S,'Bilateral Assistance, MAIN DATA'!B:B,'Commitments per Month'!B51,'Bilateral Assistance, MAIN DATA'!AG:AG,1,'Bilateral Assistance, MAIN DATA'!AH:AH,'Commitments per Month'!$N$11)/1000000000</f>
        <v>0</v>
      </c>
      <c r="O51" s="316">
        <f>SUMIFS('Bilateral Assistance, MAIN DATA'!S:S,'Bilateral Assistance, MAIN DATA'!B:B,'Commitments per Month'!B51,'Bilateral Assistance, MAIN DATA'!AG:AG,1,'Bilateral Assistance, MAIN DATA'!AH:AH,'Commitments per Month'!$O$11)/1000000000</f>
        <v>0</v>
      </c>
      <c r="P51" s="604">
        <f>SUMIFS('Bilateral Assistance, MAIN DATA'!S:S,'Bilateral Assistance, MAIN DATA'!B:B,'Commitments per Month'!B51,'Bilateral Assistance, MAIN DATA'!AG:AG,1,'Bilateral Assistance, MAIN DATA'!AH:AH,'Commitments per Month'!$P$11)/1000000000</f>
        <v>0</v>
      </c>
      <c r="Q51" s="316">
        <f t="shared" si="0"/>
        <v>2.0820320632937745E-3</v>
      </c>
      <c r="R51" s="316">
        <f>SUMIFS('Bilateral Assistance, MAIN DATA'!S:S,'Bilateral Assistance, MAIN DATA'!B:B,'Commitments per Month'!B51,'Bilateral Assistance, MAIN DATA'!AG:AG,0)/1000000000</f>
        <v>0</v>
      </c>
    </row>
    <row r="52" spans="1:20" ht="15.9" customHeight="1" x14ac:dyDescent="0.3">
      <c r="B52" s="24" t="s">
        <v>2840</v>
      </c>
      <c r="C52" s="339">
        <v>0</v>
      </c>
      <c r="D52" s="315">
        <f>SUMIFS('Bilateral Assistance, MAIN DATA'!S:S,'Bilateral Assistance, MAIN DATA'!B:B,'Commitments per Month'!B52,'Bilateral Assistance, MAIN DATA'!AG:AG,1,'Bilateral Assistance, MAIN DATA'!AH:AH,'Commitments per Month'!$D$11)/1000000000</f>
        <v>0</v>
      </c>
      <c r="E52" s="315">
        <f>SUMIFS('Bilateral Assistance, MAIN DATA'!S:S,'Bilateral Assistance, MAIN DATA'!B:B,'Commitments per Month'!B52,'Bilateral Assistance, MAIN DATA'!AG:AG,1,'Bilateral Assistance, MAIN DATA'!AH:AH,'Commitments per Month'!$E$11)/1000000000</f>
        <v>0</v>
      </c>
      <c r="F52" s="315">
        <f>SUMIFS('Bilateral Assistance, MAIN DATA'!S:S,'Bilateral Assistance, MAIN DATA'!B:B,'Commitments per Month'!B52,'Bilateral Assistance, MAIN DATA'!AG:AG,1,'Bilateral Assistance, MAIN DATA'!AH:AH,'Commitments per Month'!$F$11)/1000000000</f>
        <v>0</v>
      </c>
      <c r="G52" s="315">
        <f>SUMIFS('Bilateral Assistance, MAIN DATA'!S:S,'Bilateral Assistance, MAIN DATA'!B:B,'Commitments per Month'!B52,'Bilateral Assistance, MAIN DATA'!AG:AG,1,'Bilateral Assistance, MAIN DATA'!AH:AH,'Commitments per Month'!$G$11)/1000000000</f>
        <v>7.619047619047619E-3</v>
      </c>
      <c r="H52" s="315">
        <f>SUMIFS('Bilateral Assistance, MAIN DATA'!S:S,'Bilateral Assistance, MAIN DATA'!B:B,'Commitments per Month'!B52,'Bilateral Assistance, MAIN DATA'!AG:AG,1,'Bilateral Assistance, MAIN DATA'!AH:AH,'Commitments per Month'!$H$11)/1000000000</f>
        <v>0</v>
      </c>
      <c r="I52" s="315">
        <f>SUMIFS('Bilateral Assistance, MAIN DATA'!S:S,'Bilateral Assistance, MAIN DATA'!B:B,'Commitments per Month'!B52,'Bilateral Assistance, MAIN DATA'!AG:AG,1,'Bilateral Assistance, MAIN DATA'!AH:AH,'Commitments per Month'!$I$11)/1000000000</f>
        <v>4.2857142857142851E-3</v>
      </c>
      <c r="J52" s="315">
        <f>SUMIFS('Bilateral Assistance, MAIN DATA'!S:S,'Bilateral Assistance, MAIN DATA'!B:B,'Commitments per Month'!B52,'Bilateral Assistance, MAIN DATA'!AG:AG,1,'Bilateral Assistance, MAIN DATA'!AH:AH,'Commitments per Month'!$J$11)/1000000000</f>
        <v>0</v>
      </c>
      <c r="K52" s="315">
        <f>SUMIFS('Bilateral Assistance, MAIN DATA'!S:S,'Bilateral Assistance, MAIN DATA'!B:B,'Commitments per Month'!B52,'Bilateral Assistance, MAIN DATA'!AG:AG,1,'Bilateral Assistance, MAIN DATA'!AH:AH,'Commitments per Month'!$K$11)/1000000000</f>
        <v>0</v>
      </c>
      <c r="L52" s="316">
        <f>SUMIFS('Bilateral Assistance, MAIN DATA'!S:S,'Bilateral Assistance, MAIN DATA'!B:B,'Commitments per Month'!B52,'Bilateral Assistance, MAIN DATA'!AG:AG,1,'Bilateral Assistance, MAIN DATA'!AH:AH,'Commitments per Month'!$L$11)/1000000000</f>
        <v>0</v>
      </c>
      <c r="M52" s="270">
        <f>SUMIFS('Bilateral Assistance, MAIN DATA'!S:S,'Bilateral Assistance, MAIN DATA'!B:B,'Commitments per Month'!B52,'Bilateral Assistance, MAIN DATA'!AG:AG,1,'Bilateral Assistance, MAIN DATA'!AH:AH,'Commitments per Month'!$M$11)/1000000000</f>
        <v>5.333333333333333E-2</v>
      </c>
      <c r="N52" s="316">
        <f>SUMIFS('Bilateral Assistance, MAIN DATA'!S:S,'Bilateral Assistance, MAIN DATA'!B:B,'Commitments per Month'!B52,'Bilateral Assistance, MAIN DATA'!AG:AG,1,'Bilateral Assistance, MAIN DATA'!AH:AH,'Commitments per Month'!$N$11)/1000000000</f>
        <v>0</v>
      </c>
      <c r="O52" s="316">
        <f>SUMIFS('Bilateral Assistance, MAIN DATA'!S:S,'Bilateral Assistance, MAIN DATA'!B:B,'Commitments per Month'!B52,'Bilateral Assistance, MAIN DATA'!AG:AG,1,'Bilateral Assistance, MAIN DATA'!AH:AH,'Commitments per Month'!$O$11)/1000000000</f>
        <v>0</v>
      </c>
      <c r="P52" s="604">
        <f>SUMIFS('Bilateral Assistance, MAIN DATA'!S:S,'Bilateral Assistance, MAIN DATA'!B:B,'Commitments per Month'!B52,'Bilateral Assistance, MAIN DATA'!AG:AG,1,'Bilateral Assistance, MAIN DATA'!AH:AH,'Commitments per Month'!$P$11)/1000000000</f>
        <v>0</v>
      </c>
      <c r="Q52" s="316">
        <f t="shared" si="0"/>
        <v>6.5238095238095234E-2</v>
      </c>
      <c r="R52" s="316">
        <f>SUMIFS('Bilateral Assistance, MAIN DATA'!S:S,'Bilateral Assistance, MAIN DATA'!B:B,'Commitments per Month'!B52,'Bilateral Assistance, MAIN DATA'!AG:AG,0)/1000000000</f>
        <v>0</v>
      </c>
    </row>
    <row r="53" spans="1:20" ht="15.9" customHeight="1" x14ac:dyDescent="0.3">
      <c r="B53" s="289" t="s">
        <v>1687</v>
      </c>
      <c r="C53" s="370">
        <v>0</v>
      </c>
      <c r="D53" s="315">
        <f>SUMIFS('Bilateral Assistance, MAIN DATA'!S:S,'Bilateral Assistance, MAIN DATA'!B:B,'Commitments per Month'!B53,'Bilateral Assistance, MAIN DATA'!AG:AG,1,'Bilateral Assistance, MAIN DATA'!AH:AH,'Commitments per Month'!$D$11)/1000000000</f>
        <v>0</v>
      </c>
      <c r="E53" s="315">
        <f>SUMIFS('Bilateral Assistance, MAIN DATA'!S:S,'Bilateral Assistance, MAIN DATA'!B:B,'Commitments per Month'!B53,'Bilateral Assistance, MAIN DATA'!AG:AG,1,'Bilateral Assistance, MAIN DATA'!AH:AH,'Commitments per Month'!$E$11)/1000000000</f>
        <v>0</v>
      </c>
      <c r="F53" s="315">
        <f>SUMIFS('Bilateral Assistance, MAIN DATA'!S:S,'Bilateral Assistance, MAIN DATA'!B:B,'Commitments per Month'!B53,'Bilateral Assistance, MAIN DATA'!AG:AG,1,'Bilateral Assistance, MAIN DATA'!AH:AH,'Commitments per Month'!$F$11)/1000000000</f>
        <v>0</v>
      </c>
      <c r="G53" s="315">
        <f>SUMIFS('Bilateral Assistance, MAIN DATA'!S:S,'Bilateral Assistance, MAIN DATA'!B:B,'Commitments per Month'!B53,'Bilateral Assistance, MAIN DATA'!AG:AG,1,'Bilateral Assistance, MAIN DATA'!AH:AH,'Commitments per Month'!$G$11)/1000000000</f>
        <v>0</v>
      </c>
      <c r="H53" s="315">
        <f>SUMIFS('Bilateral Assistance, MAIN DATA'!S:S,'Bilateral Assistance, MAIN DATA'!B:B,'Commitments per Month'!B53,'Bilateral Assistance, MAIN DATA'!AG:AG,1,'Bilateral Assistance, MAIN DATA'!AH:AH,'Commitments per Month'!$H$11)/1000000000</f>
        <v>0</v>
      </c>
      <c r="I53" s="315">
        <f>SUMIFS('Bilateral Assistance, MAIN DATA'!S:S,'Bilateral Assistance, MAIN DATA'!B:B,'Commitments per Month'!B53,'Bilateral Assistance, MAIN DATA'!AG:AG,1,'Bilateral Assistance, MAIN DATA'!AH:AH,'Commitments per Month'!$I$11)/1000000000</f>
        <v>0</v>
      </c>
      <c r="J53" s="315">
        <f>SUMIFS('Bilateral Assistance, MAIN DATA'!S:S,'Bilateral Assistance, MAIN DATA'!B:B,'Commitments per Month'!B53,'Bilateral Assistance, MAIN DATA'!AG:AG,1,'Bilateral Assistance, MAIN DATA'!AH:AH,'Commitments per Month'!$J$11)/1000000000</f>
        <v>0</v>
      </c>
      <c r="K53" s="315">
        <f>SUMIFS('Bilateral Assistance, MAIN DATA'!S:S,'Bilateral Assistance, MAIN DATA'!B:B,'Commitments per Month'!B53,'Bilateral Assistance, MAIN DATA'!AG:AG,1,'Bilateral Assistance, MAIN DATA'!AH:AH,'Commitments per Month'!$K$11)/1000000000</f>
        <v>0</v>
      </c>
      <c r="L53" s="316">
        <f>SUMIFS('Bilateral Assistance, MAIN DATA'!S:S,'Bilateral Assistance, MAIN DATA'!B:B,'Commitments per Month'!B53,'Bilateral Assistance, MAIN DATA'!AG:AG,1,'Bilateral Assistance, MAIN DATA'!AH:AH,'Commitments per Month'!$L$11)/1000000000</f>
        <v>7.3571428571428567E-5</v>
      </c>
      <c r="M53" s="270">
        <f>SUMIFS('Bilateral Assistance, MAIN DATA'!S:S,'Bilateral Assistance, MAIN DATA'!B:B,'Commitments per Month'!B53,'Bilateral Assistance, MAIN DATA'!AG:AG,1,'Bilateral Assistance, MAIN DATA'!AH:AH,'Commitments per Month'!$M$11)/1000000000</f>
        <v>0</v>
      </c>
      <c r="N53" s="316">
        <f>SUMIFS('Bilateral Assistance, MAIN DATA'!S:S,'Bilateral Assistance, MAIN DATA'!B:B,'Commitments per Month'!B53,'Bilateral Assistance, MAIN DATA'!AG:AG,1,'Bilateral Assistance, MAIN DATA'!AH:AH,'Commitments per Month'!$N$11)/1000000000</f>
        <v>0</v>
      </c>
      <c r="O53" s="316">
        <f>SUMIFS('Bilateral Assistance, MAIN DATA'!S:S,'Bilateral Assistance, MAIN DATA'!B:B,'Commitments per Month'!B53,'Bilateral Assistance, MAIN DATA'!AG:AG,1,'Bilateral Assistance, MAIN DATA'!AH:AH,'Commitments per Month'!$O$11)/1000000000</f>
        <v>0</v>
      </c>
      <c r="P53" s="604">
        <f>SUMIFS('Bilateral Assistance, MAIN DATA'!S:S,'Bilateral Assistance, MAIN DATA'!B:B,'Commitments per Month'!B53,'Bilateral Assistance, MAIN DATA'!AG:AG,1,'Bilateral Assistance, MAIN DATA'!AH:AH,'Commitments per Month'!$P$11)/1000000000</f>
        <v>0</v>
      </c>
      <c r="Q53" s="316">
        <f t="shared" si="0"/>
        <v>7.3571428571428567E-5</v>
      </c>
      <c r="R53" s="316">
        <f>SUMIFS('Bilateral Assistance, MAIN DATA'!S:S,'Bilateral Assistance, MAIN DATA'!B:B,'Commitments per Month'!B53,'Bilateral Assistance, MAIN DATA'!AG:AG,0)/1000000000</f>
        <v>1.7809523809523809E-3</v>
      </c>
    </row>
    <row r="54" spans="1:20" ht="15.9" customHeight="1" x14ac:dyDescent="0.3">
      <c r="B54" s="65" t="s">
        <v>3517</v>
      </c>
      <c r="C54" s="374" t="s">
        <v>260</v>
      </c>
      <c r="D54" s="603">
        <f t="shared" ref="D54:R54" si="1">SUM(D13:D53)</f>
        <v>0.27274634589831459</v>
      </c>
      <c r="E54" s="603">
        <f t="shared" si="1"/>
        <v>5.1066515044622838</v>
      </c>
      <c r="F54" s="603">
        <f t="shared" si="1"/>
        <v>14.894510864726785</v>
      </c>
      <c r="G54" s="603">
        <f t="shared" si="1"/>
        <v>15.398784579734127</v>
      </c>
      <c r="H54" s="603">
        <f t="shared" si="1"/>
        <v>22.267640297427441</v>
      </c>
      <c r="I54" s="603">
        <f t="shared" si="1"/>
        <v>5.0124665781882358</v>
      </c>
      <c r="J54" s="603">
        <f t="shared" si="1"/>
        <v>2.3728230267803436</v>
      </c>
      <c r="K54" s="603">
        <f t="shared" si="1"/>
        <v>0.81874897499457688</v>
      </c>
      <c r="L54" s="603">
        <f t="shared" si="1"/>
        <v>12.579030850029616</v>
      </c>
      <c r="M54" s="603">
        <f t="shared" si="1"/>
        <v>2.9591875538685679</v>
      </c>
      <c r="N54" s="603">
        <f t="shared" si="1"/>
        <v>20.47399818194582</v>
      </c>
      <c r="O54" s="603">
        <f t="shared" si="1"/>
        <v>39.838145466062919</v>
      </c>
      <c r="P54" s="603">
        <f t="shared" si="1"/>
        <v>1.6168511070962512</v>
      </c>
      <c r="Q54" s="603">
        <f t="shared" si="1"/>
        <v>143.61158533121531</v>
      </c>
      <c r="R54" s="603">
        <f t="shared" si="1"/>
        <v>2.1514309682539683E-2</v>
      </c>
    </row>
    <row r="55" spans="1:20" ht="15.9" customHeight="1" x14ac:dyDescent="0.3">
      <c r="B55" s="2"/>
      <c r="C55" s="377"/>
      <c r="G55" s="379"/>
      <c r="H55" s="379"/>
      <c r="I55" s="379"/>
      <c r="J55" s="379"/>
      <c r="K55" s="379"/>
    </row>
    <row r="56" spans="1:20" s="108" customFormat="1" ht="15.9" customHeight="1" x14ac:dyDescent="0.3">
      <c r="A56" s="3"/>
      <c r="B56" s="24"/>
      <c r="C56" s="339"/>
      <c r="D56" s="379"/>
      <c r="E56" s="379"/>
      <c r="F56" s="379"/>
      <c r="G56" s="379"/>
      <c r="H56" s="379"/>
      <c r="I56" s="379"/>
      <c r="J56" s="379"/>
      <c r="K56" s="379"/>
      <c r="M56" s="344"/>
      <c r="P56" s="140"/>
      <c r="Q56" s="24"/>
      <c r="R56" s="24"/>
      <c r="S56" s="24"/>
      <c r="T56" s="24"/>
    </row>
    <row r="57" spans="1:20" s="108" customFormat="1" ht="15.9" customHeight="1" x14ac:dyDescent="0.3">
      <c r="A57" s="3"/>
      <c r="B57" s="24"/>
      <c r="C57" s="339"/>
      <c r="D57" s="379"/>
      <c r="E57" s="379"/>
      <c r="F57" s="379"/>
      <c r="G57" s="379"/>
      <c r="H57" s="379"/>
      <c r="I57" s="379"/>
      <c r="J57" s="379"/>
      <c r="K57" s="379"/>
      <c r="M57" s="344"/>
      <c r="P57" s="140"/>
      <c r="Q57" s="24"/>
      <c r="R57" s="24"/>
      <c r="S57" s="24"/>
      <c r="T57" s="24"/>
    </row>
    <row r="58" spans="1:20" s="108" customFormat="1" ht="15.9" customHeight="1" x14ac:dyDescent="0.3">
      <c r="A58" s="3"/>
      <c r="B58" s="24"/>
      <c r="C58" s="339"/>
      <c r="D58" s="379"/>
      <c r="E58" s="379"/>
      <c r="F58" s="379"/>
      <c r="G58" s="379"/>
      <c r="H58" s="379"/>
      <c r="I58" s="379"/>
      <c r="J58" s="379"/>
      <c r="K58" s="379"/>
      <c r="M58" s="344"/>
      <c r="P58" s="140"/>
      <c r="Q58" s="24"/>
      <c r="R58" s="24"/>
      <c r="S58" s="24"/>
      <c r="T58" s="24"/>
    </row>
    <row r="59" spans="1:20" s="108" customFormat="1" ht="15.9" customHeight="1" x14ac:dyDescent="0.3">
      <c r="A59" s="3"/>
      <c r="B59" s="24"/>
      <c r="C59" s="339"/>
      <c r="D59" s="379"/>
      <c r="E59" s="379"/>
      <c r="F59" s="379"/>
      <c r="G59" s="379"/>
      <c r="H59" s="379"/>
      <c r="I59" s="379"/>
      <c r="J59" s="379"/>
      <c r="K59" s="379"/>
      <c r="M59" s="344"/>
      <c r="Q59" s="24"/>
      <c r="R59" s="24"/>
      <c r="S59" s="24"/>
      <c r="T59" s="24"/>
    </row>
    <row r="60" spans="1:20" s="108" customFormat="1" ht="15.9" customHeight="1" x14ac:dyDescent="0.3">
      <c r="A60" s="3"/>
      <c r="B60" s="24"/>
      <c r="C60" s="339"/>
      <c r="D60" s="379"/>
      <c r="E60" s="379"/>
      <c r="F60" s="379"/>
      <c r="G60" s="379"/>
      <c r="H60" s="379"/>
      <c r="I60" s="379"/>
      <c r="J60" s="379"/>
      <c r="K60" s="379"/>
      <c r="M60" s="344"/>
      <c r="P60" s="140"/>
      <c r="Q60" s="24"/>
      <c r="R60" s="24"/>
      <c r="S60" s="24"/>
      <c r="T60" s="24"/>
    </row>
    <row r="61" spans="1:20" s="108" customFormat="1" ht="15.9" customHeight="1" x14ac:dyDescent="0.3">
      <c r="A61" s="3"/>
      <c r="B61" s="109"/>
      <c r="C61" s="380"/>
      <c r="D61" s="379"/>
      <c r="E61" s="379"/>
      <c r="F61" s="379"/>
      <c r="G61" s="379"/>
      <c r="H61" s="379"/>
      <c r="I61" s="379"/>
      <c r="J61" s="379"/>
      <c r="K61" s="379"/>
      <c r="M61" s="344"/>
      <c r="P61" s="140"/>
      <c r="Q61" s="24"/>
      <c r="R61" s="24"/>
      <c r="S61" s="24"/>
      <c r="T61" s="24"/>
    </row>
    <row r="62" spans="1:20" s="108" customFormat="1" ht="15.9" customHeight="1" x14ac:dyDescent="0.3">
      <c r="A62" s="3"/>
      <c r="B62" s="24"/>
      <c r="C62" s="339"/>
      <c r="D62" s="379"/>
      <c r="E62" s="379"/>
      <c r="F62" s="379"/>
      <c r="G62" s="379"/>
      <c r="H62" s="379"/>
      <c r="I62" s="379"/>
      <c r="J62" s="379"/>
      <c r="K62" s="379"/>
      <c r="M62" s="344"/>
      <c r="P62" s="140"/>
      <c r="Q62" s="24"/>
      <c r="R62" s="24"/>
      <c r="S62" s="24"/>
      <c r="T62" s="24"/>
    </row>
    <row r="63" spans="1:20" s="108" customFormat="1" ht="15.9" customHeight="1" x14ac:dyDescent="0.3">
      <c r="A63" s="3"/>
      <c r="B63" s="22"/>
      <c r="C63" s="381"/>
      <c r="D63" s="379"/>
      <c r="E63" s="379"/>
      <c r="F63" s="379"/>
      <c r="G63" s="379"/>
      <c r="H63" s="379"/>
      <c r="I63" s="379"/>
      <c r="J63" s="379"/>
      <c r="K63" s="379"/>
      <c r="M63" s="344"/>
      <c r="P63" s="140"/>
      <c r="Q63" s="24"/>
      <c r="R63" s="24"/>
      <c r="S63" s="24"/>
      <c r="T63" s="24"/>
    </row>
    <row r="64" spans="1:20" s="108" customFormat="1" ht="15.9" customHeight="1" x14ac:dyDescent="0.3">
      <c r="A64" s="3"/>
      <c r="B64" s="24"/>
      <c r="C64" s="339"/>
      <c r="D64" s="379"/>
      <c r="E64" s="379"/>
      <c r="F64" s="379"/>
      <c r="G64" s="379"/>
      <c r="H64" s="379"/>
      <c r="I64" s="379"/>
      <c r="J64" s="379"/>
      <c r="K64" s="379"/>
      <c r="M64" s="344"/>
      <c r="P64" s="140"/>
      <c r="Q64" s="24"/>
      <c r="R64" s="24"/>
      <c r="S64" s="24"/>
      <c r="T64" s="24"/>
    </row>
    <row r="65" spans="1:20" s="108" customFormat="1" ht="15.9" customHeight="1" x14ac:dyDescent="0.3">
      <c r="A65" s="3"/>
      <c r="B65" s="24"/>
      <c r="C65" s="339"/>
      <c r="D65" s="379"/>
      <c r="E65" s="379"/>
      <c r="F65" s="379"/>
      <c r="G65" s="379"/>
      <c r="H65" s="379"/>
      <c r="I65" s="379"/>
      <c r="J65" s="379"/>
      <c r="K65" s="379"/>
      <c r="M65" s="344"/>
      <c r="P65" s="140"/>
      <c r="Q65" s="24"/>
      <c r="R65" s="24"/>
      <c r="S65" s="24"/>
      <c r="T65" s="24"/>
    </row>
    <row r="66" spans="1:20" s="108" customFormat="1" ht="15.9" customHeight="1" x14ac:dyDescent="0.3">
      <c r="A66" s="3"/>
      <c r="B66" s="24"/>
      <c r="C66" s="339"/>
      <c r="D66" s="379"/>
      <c r="E66" s="379"/>
      <c r="F66" s="379"/>
      <c r="G66" s="379"/>
      <c r="H66" s="379"/>
      <c r="I66" s="379"/>
      <c r="J66" s="379"/>
      <c r="K66" s="379"/>
      <c r="M66" s="344"/>
      <c r="P66" s="140"/>
      <c r="Q66" s="24"/>
      <c r="R66" s="24"/>
      <c r="S66" s="24"/>
      <c r="T66" s="24"/>
    </row>
    <row r="67" spans="1:20" s="108" customFormat="1" ht="15.9" customHeight="1" x14ac:dyDescent="0.3">
      <c r="A67" s="3"/>
      <c r="B67" s="24"/>
      <c r="C67" s="339"/>
      <c r="D67" s="379"/>
      <c r="E67" s="379"/>
      <c r="F67" s="379"/>
      <c r="G67" s="379"/>
      <c r="H67" s="379"/>
      <c r="I67" s="379"/>
      <c r="J67" s="379"/>
      <c r="K67" s="379"/>
      <c r="M67" s="344"/>
      <c r="P67" s="140"/>
      <c r="Q67" s="24"/>
      <c r="R67" s="24"/>
      <c r="S67" s="24"/>
      <c r="T67" s="24"/>
    </row>
    <row r="68" spans="1:20" s="108" customFormat="1" ht="15.9" customHeight="1" x14ac:dyDescent="0.3">
      <c r="A68" s="3"/>
      <c r="B68" s="24"/>
      <c r="C68" s="339"/>
      <c r="D68" s="379"/>
      <c r="E68" s="379"/>
      <c r="F68" s="379"/>
      <c r="G68" s="379"/>
      <c r="H68" s="379"/>
      <c r="I68" s="379"/>
      <c r="J68" s="379"/>
      <c r="K68" s="379"/>
      <c r="M68" s="344"/>
      <c r="P68" s="140"/>
      <c r="Q68" s="24"/>
      <c r="R68" s="24"/>
      <c r="S68" s="24"/>
      <c r="T68" s="24"/>
    </row>
    <row r="69" spans="1:20" s="108" customFormat="1" ht="15.9" customHeight="1" x14ac:dyDescent="0.3">
      <c r="A69" s="3"/>
      <c r="B69" s="24"/>
      <c r="C69" s="339"/>
      <c r="D69" s="379"/>
      <c r="E69" s="379"/>
      <c r="F69" s="379"/>
      <c r="G69" s="379"/>
      <c r="H69" s="379"/>
      <c r="I69" s="379"/>
      <c r="J69" s="379"/>
      <c r="K69" s="379"/>
      <c r="M69" s="344"/>
      <c r="P69" s="140"/>
      <c r="Q69" s="24"/>
      <c r="R69" s="24"/>
      <c r="S69" s="24"/>
      <c r="T69" s="24"/>
    </row>
    <row r="70" spans="1:20" s="108" customFormat="1" ht="15.9" customHeight="1" x14ac:dyDescent="0.3">
      <c r="A70" s="3"/>
      <c r="B70" s="24"/>
      <c r="C70" s="339"/>
      <c r="D70" s="379"/>
      <c r="E70" s="379"/>
      <c r="F70" s="379"/>
      <c r="G70" s="379"/>
      <c r="H70" s="379"/>
      <c r="I70" s="379"/>
      <c r="J70" s="379"/>
      <c r="K70" s="379"/>
      <c r="M70" s="344"/>
      <c r="P70" s="140"/>
      <c r="Q70" s="24"/>
      <c r="R70" s="24"/>
      <c r="S70" s="24"/>
      <c r="T70" s="24"/>
    </row>
    <row r="71" spans="1:20" s="108" customFormat="1" ht="15.9" customHeight="1" x14ac:dyDescent="0.3">
      <c r="A71" s="3"/>
      <c r="B71" s="24"/>
      <c r="C71" s="339"/>
      <c r="D71" s="379"/>
      <c r="E71" s="379"/>
      <c r="F71" s="379"/>
      <c r="G71" s="379"/>
      <c r="H71" s="379"/>
      <c r="I71" s="379"/>
      <c r="J71" s="379"/>
      <c r="K71" s="379"/>
      <c r="M71" s="344"/>
      <c r="P71" s="140"/>
      <c r="Q71" s="24"/>
      <c r="R71" s="24"/>
      <c r="S71" s="24"/>
      <c r="T71" s="24"/>
    </row>
    <row r="72" spans="1:20" s="108" customFormat="1" ht="15.9" customHeight="1" x14ac:dyDescent="0.3">
      <c r="A72" s="3"/>
      <c r="B72" s="24"/>
      <c r="C72" s="339"/>
      <c r="D72" s="379"/>
      <c r="E72" s="379"/>
      <c r="F72" s="379"/>
      <c r="G72" s="379"/>
      <c r="H72" s="379"/>
      <c r="I72" s="379"/>
      <c r="J72" s="379"/>
      <c r="K72" s="379"/>
      <c r="M72" s="344"/>
      <c r="P72" s="140"/>
      <c r="Q72" s="24"/>
      <c r="R72" s="24"/>
      <c r="S72" s="24"/>
      <c r="T72" s="24"/>
    </row>
    <row r="73" spans="1:20" s="108" customFormat="1" ht="15.9" customHeight="1" x14ac:dyDescent="0.3">
      <c r="A73" s="3"/>
      <c r="B73" s="24"/>
      <c r="C73" s="339"/>
      <c r="D73" s="379"/>
      <c r="E73" s="379"/>
      <c r="F73" s="379"/>
      <c r="G73" s="379"/>
      <c r="H73" s="379"/>
      <c r="I73" s="379"/>
      <c r="J73" s="379"/>
      <c r="K73" s="379"/>
      <c r="M73" s="344"/>
      <c r="P73" s="140"/>
      <c r="Q73" s="24"/>
      <c r="R73" s="24"/>
      <c r="S73" s="24"/>
      <c r="T73" s="24"/>
    </row>
    <row r="74" spans="1:20" s="108" customFormat="1" ht="15.9" customHeight="1" x14ac:dyDescent="0.3">
      <c r="A74" s="3"/>
      <c r="B74" s="24"/>
      <c r="C74" s="339"/>
      <c r="D74" s="379"/>
      <c r="E74" s="379"/>
      <c r="F74" s="379"/>
      <c r="G74" s="379"/>
      <c r="H74" s="379"/>
      <c r="I74" s="379"/>
      <c r="J74" s="379"/>
      <c r="K74" s="379"/>
      <c r="M74" s="344"/>
      <c r="P74" s="140"/>
      <c r="Q74" s="24"/>
      <c r="R74" s="24"/>
      <c r="S74" s="24"/>
      <c r="T74" s="24"/>
    </row>
    <row r="75" spans="1:20" s="108" customFormat="1" ht="15.9" customHeight="1" x14ac:dyDescent="0.3">
      <c r="A75" s="3"/>
      <c r="B75" s="24"/>
      <c r="C75" s="339"/>
      <c r="D75" s="379"/>
      <c r="E75" s="379"/>
      <c r="F75" s="379"/>
      <c r="G75" s="379"/>
      <c r="H75" s="379"/>
      <c r="I75" s="379"/>
      <c r="J75" s="379"/>
      <c r="K75" s="379"/>
      <c r="M75" s="344"/>
      <c r="P75" s="140"/>
      <c r="Q75" s="24"/>
      <c r="R75" s="24"/>
      <c r="S75" s="24"/>
      <c r="T75" s="24"/>
    </row>
    <row r="76" spans="1:20" s="108" customFormat="1" ht="15.9" customHeight="1" x14ac:dyDescent="0.3">
      <c r="A76" s="3"/>
      <c r="B76" s="24"/>
      <c r="C76" s="339"/>
      <c r="D76" s="379"/>
      <c r="E76" s="379"/>
      <c r="F76" s="379"/>
      <c r="G76" s="379"/>
      <c r="H76" s="379"/>
      <c r="I76" s="379"/>
      <c r="J76" s="379"/>
      <c r="K76" s="379"/>
      <c r="M76" s="344"/>
      <c r="P76" s="140"/>
      <c r="Q76" s="24"/>
      <c r="R76" s="24"/>
      <c r="S76" s="24"/>
      <c r="T76" s="24"/>
    </row>
    <row r="77" spans="1:20" s="108" customFormat="1" ht="15.9" customHeight="1" x14ac:dyDescent="0.3">
      <c r="A77" s="3"/>
      <c r="B77" s="24"/>
      <c r="C77" s="339"/>
      <c r="D77" s="379"/>
      <c r="E77" s="379"/>
      <c r="F77" s="379"/>
      <c r="G77" s="379"/>
      <c r="H77" s="379"/>
      <c r="I77" s="379"/>
      <c r="J77" s="379"/>
      <c r="K77" s="379"/>
      <c r="M77" s="344"/>
      <c r="P77" s="140"/>
      <c r="Q77" s="24"/>
      <c r="R77" s="24"/>
      <c r="S77" s="24"/>
      <c r="T77" s="24"/>
    </row>
    <row r="78" spans="1:20" s="108" customFormat="1" ht="15.9" customHeight="1" x14ac:dyDescent="0.3">
      <c r="A78" s="3"/>
      <c r="B78" s="24"/>
      <c r="C78" s="339"/>
      <c r="D78" s="379"/>
      <c r="E78" s="379"/>
      <c r="F78" s="379"/>
      <c r="G78" s="379"/>
      <c r="H78" s="379"/>
      <c r="I78" s="379"/>
      <c r="J78" s="379"/>
      <c r="K78" s="379"/>
      <c r="M78" s="344"/>
      <c r="P78" s="140"/>
      <c r="Q78" s="24"/>
      <c r="R78" s="24"/>
      <c r="S78" s="24"/>
      <c r="T78" s="24"/>
    </row>
    <row r="79" spans="1:20" s="108" customFormat="1" ht="15.9" customHeight="1" x14ac:dyDescent="0.3">
      <c r="A79" s="3"/>
      <c r="B79" s="24"/>
      <c r="C79" s="339"/>
      <c r="D79" s="379"/>
      <c r="E79" s="379"/>
      <c r="F79" s="379"/>
      <c r="G79" s="379"/>
      <c r="H79" s="379"/>
      <c r="I79" s="379"/>
      <c r="J79" s="379"/>
      <c r="K79" s="379"/>
      <c r="M79" s="344"/>
      <c r="P79" s="140"/>
      <c r="Q79" s="24"/>
      <c r="R79" s="24"/>
      <c r="S79" s="24"/>
      <c r="T79" s="24"/>
    </row>
    <row r="80" spans="1:20" s="108" customFormat="1" ht="15.9" customHeight="1" x14ac:dyDescent="0.3">
      <c r="A80" s="3"/>
      <c r="B80" s="24"/>
      <c r="C80" s="339"/>
      <c r="D80" s="379"/>
      <c r="E80" s="379"/>
      <c r="F80" s="379"/>
      <c r="G80" s="379"/>
      <c r="H80" s="379"/>
      <c r="I80" s="379"/>
      <c r="J80" s="379"/>
      <c r="K80" s="379"/>
      <c r="M80" s="344"/>
      <c r="P80" s="140"/>
      <c r="Q80" s="24"/>
      <c r="R80" s="24"/>
      <c r="S80" s="24"/>
      <c r="T80" s="24"/>
    </row>
    <row r="81" spans="1:20" s="108" customFormat="1" ht="15.9" customHeight="1" x14ac:dyDescent="0.3">
      <c r="A81" s="3"/>
      <c r="B81" s="24"/>
      <c r="C81" s="339"/>
      <c r="D81" s="379"/>
      <c r="E81" s="379"/>
      <c r="F81" s="379"/>
      <c r="G81" s="379"/>
      <c r="H81" s="379"/>
      <c r="I81" s="379"/>
      <c r="J81" s="379"/>
      <c r="K81" s="379"/>
      <c r="M81" s="344"/>
      <c r="P81" s="140"/>
      <c r="Q81" s="24"/>
      <c r="R81" s="24"/>
      <c r="S81" s="24"/>
      <c r="T81" s="24"/>
    </row>
    <row r="82" spans="1:20" s="108" customFormat="1" ht="15.9" customHeight="1" x14ac:dyDescent="0.3">
      <c r="A82" s="3"/>
      <c r="B82" s="24"/>
      <c r="C82" s="339"/>
      <c r="D82" s="379"/>
      <c r="E82" s="379"/>
      <c r="F82" s="379"/>
      <c r="G82" s="379"/>
      <c r="H82" s="379"/>
      <c r="I82" s="379"/>
      <c r="J82" s="379"/>
      <c r="K82" s="379"/>
      <c r="M82" s="344"/>
      <c r="P82" s="140"/>
      <c r="Q82" s="24"/>
      <c r="R82" s="24"/>
      <c r="S82" s="24"/>
      <c r="T82" s="24"/>
    </row>
    <row r="83" spans="1:20" s="108" customFormat="1" ht="15.9" customHeight="1" x14ac:dyDescent="0.3">
      <c r="A83" s="3"/>
      <c r="B83" s="24"/>
      <c r="C83" s="339"/>
      <c r="D83" s="379"/>
      <c r="E83" s="379"/>
      <c r="F83" s="379"/>
      <c r="G83" s="379"/>
      <c r="H83" s="379"/>
      <c r="I83" s="379"/>
      <c r="J83" s="379"/>
      <c r="K83" s="379"/>
      <c r="M83" s="344"/>
      <c r="P83" s="140"/>
      <c r="Q83" s="24"/>
      <c r="R83" s="24"/>
      <c r="S83" s="24"/>
      <c r="T83" s="24"/>
    </row>
    <row r="84" spans="1:20" s="108" customFormat="1" ht="15.9" customHeight="1" x14ac:dyDescent="0.3">
      <c r="A84" s="3"/>
      <c r="B84" s="24"/>
      <c r="C84" s="339"/>
      <c r="D84" s="379"/>
      <c r="E84" s="379"/>
      <c r="F84" s="379"/>
      <c r="G84" s="379"/>
      <c r="H84" s="379"/>
      <c r="I84" s="379"/>
      <c r="J84" s="379"/>
      <c r="K84" s="379"/>
      <c r="M84" s="344"/>
      <c r="P84" s="140"/>
      <c r="Q84" s="24"/>
      <c r="R84" s="24"/>
      <c r="S84" s="24"/>
      <c r="T84" s="24"/>
    </row>
    <row r="85" spans="1:20" s="108" customFormat="1" ht="15.9" customHeight="1" x14ac:dyDescent="0.3">
      <c r="A85" s="3"/>
      <c r="B85" s="24"/>
      <c r="C85" s="339"/>
      <c r="D85" s="379"/>
      <c r="E85" s="379"/>
      <c r="F85" s="379"/>
      <c r="G85" s="379"/>
      <c r="H85" s="379"/>
      <c r="I85" s="379"/>
      <c r="J85" s="379"/>
      <c r="K85" s="379"/>
      <c r="M85" s="344"/>
      <c r="P85" s="140"/>
      <c r="Q85" s="24"/>
      <c r="R85" s="24"/>
      <c r="S85" s="24"/>
      <c r="T85" s="24"/>
    </row>
    <row r="86" spans="1:20" s="108" customFormat="1" ht="15.9" customHeight="1" x14ac:dyDescent="0.3">
      <c r="A86" s="3"/>
      <c r="B86" s="24"/>
      <c r="C86" s="339"/>
      <c r="D86" s="379"/>
      <c r="E86" s="379"/>
      <c r="F86" s="379"/>
      <c r="G86" s="379"/>
      <c r="H86" s="379"/>
      <c r="I86" s="379"/>
      <c r="J86" s="379"/>
      <c r="K86" s="379"/>
      <c r="M86" s="344"/>
      <c r="P86" s="140"/>
      <c r="Q86" s="24"/>
      <c r="R86" s="24"/>
      <c r="S86" s="24"/>
      <c r="T86" s="24"/>
    </row>
    <row r="87" spans="1:20" s="108" customFormat="1" ht="15.9" customHeight="1" x14ac:dyDescent="0.3">
      <c r="A87" s="3"/>
      <c r="B87" s="24"/>
      <c r="C87" s="339"/>
      <c r="D87" s="379"/>
      <c r="E87" s="379"/>
      <c r="F87" s="379"/>
      <c r="G87" s="379"/>
      <c r="H87" s="379"/>
      <c r="I87" s="379"/>
      <c r="J87" s="379"/>
      <c r="K87" s="379"/>
      <c r="M87" s="344"/>
      <c r="P87" s="140"/>
      <c r="Q87" s="24"/>
      <c r="R87" s="24"/>
      <c r="S87" s="24"/>
      <c r="T87" s="24"/>
    </row>
    <row r="88" spans="1:20" s="108" customFormat="1" ht="15.9" customHeight="1" x14ac:dyDescent="0.3">
      <c r="A88" s="3"/>
      <c r="B88" s="24"/>
      <c r="C88" s="339"/>
      <c r="D88" s="379"/>
      <c r="E88" s="379"/>
      <c r="F88" s="379"/>
      <c r="G88" s="379"/>
      <c r="H88" s="379"/>
      <c r="I88" s="379"/>
      <c r="J88" s="379"/>
      <c r="K88" s="379"/>
      <c r="M88" s="344"/>
      <c r="P88" s="140"/>
      <c r="Q88" s="24"/>
      <c r="R88" s="24"/>
      <c r="S88" s="24"/>
      <c r="T88" s="24"/>
    </row>
    <row r="89" spans="1:20" s="108" customFormat="1" ht="15.9" customHeight="1" x14ac:dyDescent="0.3">
      <c r="A89" s="3"/>
      <c r="B89" s="24"/>
      <c r="C89" s="339"/>
      <c r="D89" s="379"/>
      <c r="E89" s="379"/>
      <c r="F89" s="379"/>
      <c r="G89" s="379"/>
      <c r="H89" s="379"/>
      <c r="I89" s="379"/>
      <c r="J89" s="379"/>
      <c r="K89" s="379"/>
      <c r="M89" s="344"/>
      <c r="P89" s="140"/>
      <c r="Q89" s="24"/>
      <c r="R89" s="24"/>
      <c r="S89" s="24"/>
      <c r="T89" s="24"/>
    </row>
    <row r="90" spans="1:20" s="108" customFormat="1" ht="15.9" customHeight="1" x14ac:dyDescent="0.3">
      <c r="A90" s="3"/>
      <c r="B90" s="24"/>
      <c r="C90" s="339"/>
      <c r="D90" s="379"/>
      <c r="E90" s="379"/>
      <c r="F90" s="379"/>
      <c r="G90" s="379"/>
      <c r="H90" s="379"/>
      <c r="I90" s="379"/>
      <c r="J90" s="379"/>
      <c r="K90" s="379"/>
      <c r="M90" s="344"/>
      <c r="P90" s="140"/>
      <c r="Q90" s="24"/>
      <c r="R90" s="24"/>
      <c r="S90" s="24"/>
      <c r="T90" s="24"/>
    </row>
    <row r="91" spans="1:20" s="108" customFormat="1" ht="15.9" customHeight="1" x14ac:dyDescent="0.3">
      <c r="A91" s="3"/>
      <c r="B91" s="24"/>
      <c r="C91" s="339"/>
      <c r="D91" s="379"/>
      <c r="E91" s="379"/>
      <c r="F91" s="379"/>
      <c r="G91" s="379"/>
      <c r="H91" s="379"/>
      <c r="I91" s="379"/>
      <c r="J91" s="379"/>
      <c r="K91" s="379"/>
      <c r="M91" s="344"/>
      <c r="P91" s="140"/>
      <c r="Q91" s="24"/>
      <c r="R91" s="24"/>
      <c r="S91" s="24"/>
      <c r="T91" s="24"/>
    </row>
    <row r="92" spans="1:20" s="108" customFormat="1" ht="15.9" customHeight="1" x14ac:dyDescent="0.3">
      <c r="A92" s="3"/>
      <c r="B92" s="24"/>
      <c r="C92" s="339"/>
      <c r="D92" s="379"/>
      <c r="E92" s="379"/>
      <c r="F92" s="379"/>
      <c r="G92" s="379"/>
      <c r="H92" s="379"/>
      <c r="I92" s="379"/>
      <c r="J92" s="379"/>
      <c r="K92" s="379"/>
      <c r="M92" s="344"/>
      <c r="P92" s="140"/>
      <c r="Q92" s="24"/>
      <c r="R92" s="24"/>
      <c r="S92" s="24"/>
      <c r="T92" s="24"/>
    </row>
    <row r="93" spans="1:20" s="108" customFormat="1" ht="15.9" customHeight="1" x14ac:dyDescent="0.3">
      <c r="A93" s="3"/>
      <c r="B93" s="24"/>
      <c r="C93" s="339"/>
      <c r="D93" s="379"/>
      <c r="E93" s="379"/>
      <c r="F93" s="379"/>
      <c r="G93" s="379"/>
      <c r="H93" s="379"/>
      <c r="I93" s="379"/>
      <c r="J93" s="379"/>
      <c r="K93" s="379"/>
      <c r="M93" s="344"/>
      <c r="P93" s="140"/>
      <c r="Q93" s="24"/>
      <c r="R93" s="24"/>
      <c r="S93" s="24"/>
      <c r="T93" s="24"/>
    </row>
    <row r="94" spans="1:20" s="108" customFormat="1" ht="15.9" customHeight="1" x14ac:dyDescent="0.3">
      <c r="A94" s="3"/>
      <c r="B94" s="24"/>
      <c r="C94" s="339"/>
      <c r="D94" s="379"/>
      <c r="E94" s="379"/>
      <c r="F94" s="379"/>
      <c r="G94" s="379"/>
      <c r="H94" s="379"/>
      <c r="I94" s="379"/>
      <c r="J94" s="379"/>
      <c r="K94" s="379"/>
      <c r="M94" s="344"/>
      <c r="P94" s="140"/>
      <c r="Q94" s="24"/>
      <c r="R94" s="24"/>
      <c r="S94" s="24"/>
      <c r="T94" s="24"/>
    </row>
    <row r="95" spans="1:20" s="108" customFormat="1" ht="15.9" customHeight="1" x14ac:dyDescent="0.3">
      <c r="A95" s="3"/>
      <c r="B95" s="24"/>
      <c r="C95" s="339"/>
      <c r="D95" s="379"/>
      <c r="E95" s="379"/>
      <c r="F95" s="379"/>
      <c r="G95" s="379"/>
      <c r="H95" s="379"/>
      <c r="I95" s="379"/>
      <c r="J95" s="379"/>
      <c r="K95" s="379"/>
      <c r="M95" s="344"/>
      <c r="P95" s="140"/>
      <c r="Q95" s="24"/>
      <c r="R95" s="24"/>
      <c r="S95" s="24"/>
      <c r="T95" s="24"/>
    </row>
    <row r="96" spans="1:20" s="108" customFormat="1" ht="15.9" customHeight="1" x14ac:dyDescent="0.3">
      <c r="A96" s="3"/>
      <c r="B96" s="24"/>
      <c r="C96" s="339"/>
      <c r="D96" s="379"/>
      <c r="E96" s="379"/>
      <c r="F96" s="379"/>
      <c r="G96" s="379"/>
      <c r="H96" s="379"/>
      <c r="I96" s="379"/>
      <c r="J96" s="379"/>
      <c r="K96" s="379"/>
      <c r="M96" s="344"/>
      <c r="P96" s="140"/>
      <c r="Q96" s="24"/>
      <c r="R96" s="24"/>
      <c r="S96" s="24"/>
      <c r="T96" s="24"/>
    </row>
    <row r="97" spans="1:20" s="108" customFormat="1" ht="15.9" customHeight="1" x14ac:dyDescent="0.3">
      <c r="A97" s="3"/>
      <c r="B97" s="24"/>
      <c r="C97" s="339"/>
      <c r="D97" s="379"/>
      <c r="E97" s="379"/>
      <c r="F97" s="379"/>
      <c r="G97" s="379"/>
      <c r="H97" s="379"/>
      <c r="I97" s="379"/>
      <c r="J97" s="379"/>
      <c r="K97" s="379"/>
      <c r="M97" s="344"/>
      <c r="P97" s="140"/>
      <c r="Q97" s="24"/>
      <c r="R97" s="24"/>
      <c r="S97" s="24"/>
      <c r="T97" s="24"/>
    </row>
    <row r="98" spans="1:20" s="108" customFormat="1" ht="15.9" customHeight="1" x14ac:dyDescent="0.3">
      <c r="A98" s="3"/>
      <c r="B98" s="24"/>
      <c r="C98" s="339"/>
      <c r="D98" s="379"/>
      <c r="E98" s="379"/>
      <c r="F98" s="379"/>
      <c r="G98" s="379"/>
      <c r="H98" s="379"/>
      <c r="I98" s="379"/>
      <c r="J98" s="379"/>
      <c r="K98" s="379"/>
      <c r="M98" s="344"/>
      <c r="P98" s="140"/>
      <c r="Q98" s="24"/>
      <c r="R98" s="24"/>
      <c r="S98" s="24"/>
      <c r="T98" s="24"/>
    </row>
    <row r="99" spans="1:20" s="108" customFormat="1" ht="15.9" customHeight="1" x14ac:dyDescent="0.3">
      <c r="A99" s="3"/>
      <c r="B99" s="24"/>
      <c r="C99" s="339"/>
      <c r="D99" s="379"/>
      <c r="E99" s="379"/>
      <c r="F99" s="379"/>
      <c r="G99" s="379"/>
      <c r="H99" s="379"/>
      <c r="I99" s="379"/>
      <c r="J99" s="379"/>
      <c r="K99" s="379"/>
      <c r="M99" s="344"/>
      <c r="P99" s="140"/>
      <c r="Q99" s="24"/>
      <c r="R99" s="24"/>
      <c r="S99" s="24"/>
      <c r="T99" s="24"/>
    </row>
    <row r="100" spans="1:20" s="108" customFormat="1" ht="15.9" customHeight="1" x14ac:dyDescent="0.3">
      <c r="A100" s="3"/>
      <c r="B100" s="24"/>
      <c r="C100" s="339"/>
      <c r="D100" s="379"/>
      <c r="E100" s="379"/>
      <c r="F100" s="379"/>
      <c r="G100" s="379"/>
      <c r="H100" s="379"/>
      <c r="I100" s="379"/>
      <c r="J100" s="379"/>
      <c r="K100" s="379"/>
      <c r="M100" s="344"/>
      <c r="P100" s="140"/>
      <c r="Q100" s="24"/>
      <c r="R100" s="24"/>
      <c r="S100" s="24"/>
      <c r="T100" s="24"/>
    </row>
    <row r="101" spans="1:20" s="108" customFormat="1" ht="15.9" customHeight="1" x14ac:dyDescent="0.3">
      <c r="A101" s="3"/>
      <c r="B101" s="24"/>
      <c r="C101" s="339"/>
      <c r="D101" s="379"/>
      <c r="E101" s="379"/>
      <c r="F101" s="379"/>
      <c r="G101" s="379"/>
      <c r="H101" s="379"/>
      <c r="I101" s="379"/>
      <c r="J101" s="379"/>
      <c r="K101" s="379"/>
      <c r="M101" s="344"/>
      <c r="P101" s="140"/>
      <c r="Q101" s="24"/>
      <c r="R101" s="24"/>
      <c r="S101" s="24"/>
      <c r="T101" s="24"/>
    </row>
    <row r="102" spans="1:20" s="108" customFormat="1" ht="15.9" customHeight="1" x14ac:dyDescent="0.3">
      <c r="A102" s="3"/>
      <c r="B102" s="24"/>
      <c r="C102" s="339"/>
      <c r="D102" s="379"/>
      <c r="E102" s="379"/>
      <c r="F102" s="379"/>
      <c r="G102" s="379"/>
      <c r="H102" s="379"/>
      <c r="I102" s="379"/>
      <c r="J102" s="379"/>
      <c r="K102" s="379"/>
      <c r="M102" s="344"/>
      <c r="P102" s="140"/>
      <c r="Q102" s="24"/>
      <c r="R102" s="24"/>
      <c r="S102" s="24"/>
      <c r="T102" s="24"/>
    </row>
    <row r="103" spans="1:20" s="108" customFormat="1" ht="15.9" customHeight="1" x14ac:dyDescent="0.3">
      <c r="A103" s="3"/>
      <c r="B103" s="24"/>
      <c r="C103" s="339"/>
      <c r="D103" s="379"/>
      <c r="E103" s="379"/>
      <c r="F103" s="379"/>
      <c r="G103" s="379"/>
      <c r="H103" s="379"/>
      <c r="I103" s="379"/>
      <c r="J103" s="379"/>
      <c r="K103" s="379"/>
      <c r="M103" s="344"/>
      <c r="P103" s="140"/>
      <c r="Q103" s="24"/>
      <c r="R103" s="24"/>
      <c r="S103" s="24"/>
      <c r="T103" s="24"/>
    </row>
    <row r="104" spans="1:20" s="108" customFormat="1" ht="15.9" customHeight="1" x14ac:dyDescent="0.3">
      <c r="A104" s="3"/>
      <c r="B104" s="24"/>
      <c r="C104" s="339"/>
      <c r="D104" s="379"/>
      <c r="E104" s="379"/>
      <c r="F104" s="379"/>
      <c r="G104" s="379"/>
      <c r="H104" s="379"/>
      <c r="I104" s="379"/>
      <c r="J104" s="379"/>
      <c r="K104" s="379"/>
      <c r="M104" s="344"/>
      <c r="P104" s="140"/>
      <c r="Q104" s="24"/>
      <c r="R104" s="24"/>
      <c r="S104" s="24"/>
      <c r="T104" s="24"/>
    </row>
    <row r="105" spans="1:20" s="108" customFormat="1" ht="15.9" customHeight="1" x14ac:dyDescent="0.3">
      <c r="A105" s="3"/>
      <c r="B105" s="24"/>
      <c r="C105" s="339"/>
      <c r="D105" s="379"/>
      <c r="E105" s="379"/>
      <c r="F105" s="379"/>
      <c r="G105" s="379"/>
      <c r="H105" s="379"/>
      <c r="I105" s="379"/>
      <c r="J105" s="379"/>
      <c r="K105" s="379"/>
      <c r="M105" s="344"/>
      <c r="P105" s="140"/>
      <c r="Q105" s="24"/>
      <c r="R105" s="24"/>
      <c r="S105" s="24"/>
      <c r="T105" s="24"/>
    </row>
    <row r="106" spans="1:20" s="108" customFormat="1" ht="15.9" customHeight="1" x14ac:dyDescent="0.3">
      <c r="A106" s="3"/>
      <c r="B106" s="24"/>
      <c r="C106" s="339"/>
      <c r="D106" s="379"/>
      <c r="E106" s="379"/>
      <c r="F106" s="379"/>
      <c r="G106" s="379"/>
      <c r="H106" s="379"/>
      <c r="I106" s="379"/>
      <c r="J106" s="379"/>
      <c r="K106" s="379"/>
      <c r="M106" s="344"/>
      <c r="P106" s="140"/>
      <c r="Q106" s="24"/>
      <c r="R106" s="24"/>
      <c r="S106" s="24"/>
      <c r="T106" s="24"/>
    </row>
    <row r="107" spans="1:20" s="108" customFormat="1" ht="15.9" customHeight="1" x14ac:dyDescent="0.3">
      <c r="A107" s="3"/>
      <c r="B107" s="24"/>
      <c r="C107" s="339"/>
      <c r="D107" s="379"/>
      <c r="E107" s="379"/>
      <c r="F107" s="379"/>
      <c r="G107" s="379"/>
      <c r="H107" s="379"/>
      <c r="I107" s="379"/>
      <c r="J107" s="379"/>
      <c r="K107" s="379"/>
      <c r="M107" s="344"/>
      <c r="P107" s="140"/>
      <c r="Q107" s="24"/>
      <c r="R107" s="24"/>
      <c r="S107" s="24"/>
      <c r="T107" s="24"/>
    </row>
    <row r="108" spans="1:20" s="108" customFormat="1" ht="15.9" customHeight="1" x14ac:dyDescent="0.3">
      <c r="A108" s="3"/>
      <c r="B108" s="24"/>
      <c r="C108" s="339"/>
      <c r="D108" s="379"/>
      <c r="E108" s="379"/>
      <c r="F108" s="379"/>
      <c r="G108" s="379"/>
      <c r="H108" s="379"/>
      <c r="I108" s="379"/>
      <c r="J108" s="379"/>
      <c r="K108" s="379"/>
      <c r="M108" s="344"/>
      <c r="P108" s="140"/>
      <c r="Q108" s="24"/>
      <c r="R108" s="24"/>
      <c r="S108" s="24"/>
      <c r="T108" s="24"/>
    </row>
    <row r="109" spans="1:20" s="108" customFormat="1" ht="15.9" customHeight="1" x14ac:dyDescent="0.3">
      <c r="A109" s="3"/>
      <c r="B109" s="24"/>
      <c r="C109" s="339"/>
      <c r="D109" s="379"/>
      <c r="E109" s="379"/>
      <c r="F109" s="379"/>
      <c r="G109" s="379"/>
      <c r="H109" s="379"/>
      <c r="I109" s="379"/>
      <c r="J109" s="379"/>
      <c r="K109" s="379"/>
      <c r="M109" s="344"/>
      <c r="P109" s="140"/>
      <c r="Q109" s="24"/>
      <c r="R109" s="24"/>
      <c r="S109" s="24"/>
      <c r="T109" s="24"/>
    </row>
    <row r="110" spans="1:20" s="108" customFormat="1" ht="15.9" customHeight="1" x14ac:dyDescent="0.3">
      <c r="A110" s="3"/>
      <c r="B110" s="24"/>
      <c r="C110" s="339"/>
      <c r="D110" s="379"/>
      <c r="E110" s="379"/>
      <c r="F110" s="379"/>
      <c r="G110" s="379"/>
      <c r="H110" s="379"/>
      <c r="I110" s="379"/>
      <c r="J110" s="379"/>
      <c r="K110" s="379"/>
      <c r="M110" s="344"/>
      <c r="P110" s="140"/>
      <c r="Q110" s="24"/>
      <c r="R110" s="24"/>
      <c r="S110" s="24"/>
      <c r="T110" s="24"/>
    </row>
    <row r="111" spans="1:20" s="108" customFormat="1" ht="15.9" customHeight="1" x14ac:dyDescent="0.3">
      <c r="A111" s="3"/>
      <c r="B111" s="24"/>
      <c r="C111" s="339"/>
      <c r="D111" s="379"/>
      <c r="E111" s="379"/>
      <c r="F111" s="379"/>
      <c r="G111" s="379"/>
      <c r="H111" s="379"/>
      <c r="I111" s="379"/>
      <c r="J111" s="379"/>
      <c r="K111" s="379"/>
      <c r="M111" s="344"/>
      <c r="P111" s="140"/>
      <c r="Q111" s="24"/>
      <c r="R111" s="24"/>
      <c r="S111" s="24"/>
      <c r="T111" s="24"/>
    </row>
    <row r="112" spans="1:20" s="108" customFormat="1" ht="15.9" customHeight="1" x14ac:dyDescent="0.3">
      <c r="A112" s="3"/>
      <c r="B112" s="24"/>
      <c r="C112" s="339"/>
      <c r="D112" s="379"/>
      <c r="E112" s="379"/>
      <c r="F112" s="379"/>
      <c r="G112" s="379"/>
      <c r="H112" s="379"/>
      <c r="I112" s="379"/>
      <c r="J112" s="379"/>
      <c r="K112" s="379"/>
      <c r="M112" s="344"/>
      <c r="P112" s="140"/>
      <c r="Q112" s="24"/>
      <c r="R112" s="24"/>
      <c r="S112" s="24"/>
      <c r="T112" s="24"/>
    </row>
    <row r="113" spans="1:20" s="108" customFormat="1" ht="15.9" customHeight="1" x14ac:dyDescent="0.3">
      <c r="A113" s="3"/>
      <c r="B113" s="24"/>
      <c r="C113" s="339"/>
      <c r="D113" s="379"/>
      <c r="E113" s="379"/>
      <c r="F113" s="379"/>
      <c r="G113" s="379"/>
      <c r="H113" s="379"/>
      <c r="I113" s="379"/>
      <c r="J113" s="379"/>
      <c r="K113" s="379"/>
      <c r="M113" s="344"/>
      <c r="P113" s="140"/>
      <c r="Q113" s="24"/>
      <c r="R113" s="24"/>
      <c r="S113" s="24"/>
      <c r="T113" s="24"/>
    </row>
    <row r="114" spans="1:20" s="108" customFormat="1" ht="15.9" customHeight="1" x14ac:dyDescent="0.3">
      <c r="A114" s="3"/>
      <c r="B114" s="24"/>
      <c r="C114" s="339"/>
      <c r="D114" s="379"/>
      <c r="E114" s="379"/>
      <c r="F114" s="379"/>
      <c r="G114" s="379"/>
      <c r="H114" s="379"/>
      <c r="I114" s="379"/>
      <c r="J114" s="379"/>
      <c r="K114" s="379"/>
      <c r="M114" s="344"/>
      <c r="P114" s="140"/>
      <c r="Q114" s="24"/>
      <c r="R114" s="24"/>
      <c r="S114" s="24"/>
      <c r="T114" s="24"/>
    </row>
    <row r="115" spans="1:20" s="108" customFormat="1" ht="15.9" customHeight="1" x14ac:dyDescent="0.3">
      <c r="A115" s="3"/>
      <c r="B115" s="24"/>
      <c r="C115" s="339"/>
      <c r="D115" s="379"/>
      <c r="E115" s="379"/>
      <c r="F115" s="379"/>
      <c r="G115" s="379"/>
      <c r="H115" s="379"/>
      <c r="I115" s="379"/>
      <c r="J115" s="379"/>
      <c r="K115" s="379"/>
      <c r="M115" s="344"/>
      <c r="P115" s="140"/>
      <c r="Q115" s="24"/>
      <c r="R115" s="24"/>
      <c r="S115" s="24"/>
      <c r="T115" s="24"/>
    </row>
    <row r="116" spans="1:20" s="108" customFormat="1" ht="15.9" customHeight="1" x14ac:dyDescent="0.3">
      <c r="A116" s="3"/>
      <c r="B116" s="24"/>
      <c r="C116" s="339"/>
      <c r="D116" s="379"/>
      <c r="E116" s="379"/>
      <c r="F116" s="379"/>
      <c r="G116" s="379"/>
      <c r="H116" s="379"/>
      <c r="I116" s="379"/>
      <c r="J116" s="379"/>
      <c r="K116" s="379"/>
      <c r="M116" s="344"/>
      <c r="P116" s="140"/>
      <c r="Q116" s="24"/>
      <c r="R116" s="24"/>
      <c r="S116" s="24"/>
      <c r="T116" s="24"/>
    </row>
    <row r="117" spans="1:20" s="108" customFormat="1" ht="15.9" customHeight="1" x14ac:dyDescent="0.3">
      <c r="A117" s="3"/>
      <c r="B117" s="24"/>
      <c r="C117" s="339"/>
      <c r="D117" s="379"/>
      <c r="E117" s="379"/>
      <c r="F117" s="379"/>
      <c r="G117" s="379"/>
      <c r="H117" s="379"/>
      <c r="I117" s="379"/>
      <c r="J117" s="379"/>
      <c r="K117" s="379"/>
      <c r="M117" s="344"/>
      <c r="P117" s="140"/>
      <c r="Q117" s="24"/>
      <c r="R117" s="24"/>
      <c r="S117" s="24"/>
      <c r="T117" s="24"/>
    </row>
    <row r="118" spans="1:20" s="108" customFormat="1" ht="15.9" customHeight="1" x14ac:dyDescent="0.3">
      <c r="A118" s="3"/>
      <c r="B118" s="24"/>
      <c r="C118" s="339"/>
      <c r="D118" s="379"/>
      <c r="E118" s="379"/>
      <c r="F118" s="379"/>
      <c r="G118" s="379"/>
      <c r="H118" s="379"/>
      <c r="I118" s="379"/>
      <c r="J118" s="379"/>
      <c r="K118" s="379"/>
      <c r="M118" s="344"/>
      <c r="P118" s="140"/>
      <c r="Q118" s="24"/>
      <c r="R118" s="24"/>
      <c r="S118" s="24"/>
      <c r="T118" s="24"/>
    </row>
    <row r="119" spans="1:20" s="108" customFormat="1" ht="15.9" customHeight="1" x14ac:dyDescent="0.3">
      <c r="A119" s="3"/>
      <c r="B119" s="24"/>
      <c r="C119" s="339"/>
      <c r="D119" s="379"/>
      <c r="E119" s="379"/>
      <c r="F119" s="379"/>
      <c r="G119" s="379"/>
      <c r="H119" s="379"/>
      <c r="I119" s="379"/>
      <c r="J119" s="379"/>
      <c r="K119" s="379"/>
      <c r="M119" s="344"/>
      <c r="P119" s="140"/>
      <c r="Q119" s="24"/>
      <c r="R119" s="24"/>
      <c r="S119" s="24"/>
      <c r="T119" s="24"/>
    </row>
    <row r="120" spans="1:20" s="108" customFormat="1" ht="15.9" customHeight="1" x14ac:dyDescent="0.3">
      <c r="A120" s="3"/>
      <c r="B120" s="24"/>
      <c r="C120" s="339"/>
      <c r="D120" s="379"/>
      <c r="E120" s="379"/>
      <c r="F120" s="379"/>
      <c r="G120" s="379"/>
      <c r="H120" s="379"/>
      <c r="I120" s="379"/>
      <c r="J120" s="379"/>
      <c r="K120" s="379"/>
      <c r="M120" s="344"/>
      <c r="P120" s="140"/>
      <c r="Q120" s="24"/>
      <c r="R120" s="24"/>
      <c r="S120" s="24"/>
      <c r="T120" s="24"/>
    </row>
    <row r="121" spans="1:20" s="108" customFormat="1" ht="15.9" customHeight="1" x14ac:dyDescent="0.3">
      <c r="A121" s="3"/>
      <c r="B121" s="24"/>
      <c r="C121" s="339"/>
      <c r="D121" s="379"/>
      <c r="E121" s="379"/>
      <c r="F121" s="379"/>
      <c r="G121" s="379"/>
      <c r="H121" s="379"/>
      <c r="I121" s="379"/>
      <c r="J121" s="379"/>
      <c r="K121" s="379"/>
      <c r="M121" s="344"/>
      <c r="P121" s="140"/>
      <c r="Q121" s="24"/>
      <c r="R121" s="24"/>
      <c r="S121" s="24"/>
      <c r="T121" s="24"/>
    </row>
    <row r="122" spans="1:20" s="108" customFormat="1" ht="15.9" customHeight="1" x14ac:dyDescent="0.3">
      <c r="A122" s="3"/>
      <c r="B122" s="24"/>
      <c r="C122" s="339"/>
      <c r="D122" s="379"/>
      <c r="E122" s="379"/>
      <c r="F122" s="382"/>
      <c r="G122" s="379"/>
      <c r="H122" s="379"/>
      <c r="I122" s="379"/>
      <c r="J122" s="379"/>
      <c r="K122" s="379"/>
      <c r="M122" s="344"/>
      <c r="P122" s="140"/>
      <c r="Q122" s="24"/>
      <c r="R122" s="24"/>
      <c r="S122" s="24"/>
      <c r="T122" s="24"/>
    </row>
    <row r="123" spans="1:20" s="108" customFormat="1" ht="15.9" customHeight="1" x14ac:dyDescent="0.3">
      <c r="A123" s="3"/>
      <c r="B123" s="24"/>
      <c r="C123" s="339"/>
      <c r="D123" s="379"/>
      <c r="E123" s="379"/>
      <c r="F123" s="379"/>
      <c r="G123" s="379"/>
      <c r="H123" s="379"/>
      <c r="I123" s="379"/>
      <c r="J123" s="379"/>
      <c r="K123" s="379"/>
      <c r="M123" s="344"/>
      <c r="P123" s="140"/>
      <c r="Q123" s="24"/>
      <c r="R123" s="24"/>
      <c r="S123" s="24"/>
      <c r="T123" s="24"/>
    </row>
    <row r="124" spans="1:20" s="108" customFormat="1" ht="15.9" customHeight="1" x14ac:dyDescent="0.3">
      <c r="A124" s="3"/>
      <c r="B124" s="24"/>
      <c r="C124" s="339"/>
      <c r="D124" s="379"/>
      <c r="E124" s="379"/>
      <c r="F124" s="379"/>
      <c r="G124" s="379"/>
      <c r="H124" s="379"/>
      <c r="I124" s="379"/>
      <c r="J124" s="379"/>
      <c r="K124" s="379"/>
      <c r="M124" s="344"/>
      <c r="P124" s="140"/>
      <c r="Q124" s="24"/>
      <c r="R124" s="24"/>
      <c r="S124" s="24"/>
      <c r="T124" s="24"/>
    </row>
    <row r="125" spans="1:20" s="108" customFormat="1" ht="15.9" customHeight="1" x14ac:dyDescent="0.3">
      <c r="A125" s="3"/>
      <c r="B125" s="24"/>
      <c r="C125" s="339"/>
      <c r="D125" s="379"/>
      <c r="E125" s="379"/>
      <c r="F125" s="379"/>
      <c r="G125" s="379"/>
      <c r="H125" s="379"/>
      <c r="I125" s="379"/>
      <c r="J125" s="379"/>
      <c r="K125" s="379"/>
      <c r="M125" s="344"/>
      <c r="P125" s="140"/>
      <c r="Q125" s="24"/>
      <c r="R125" s="24"/>
      <c r="S125" s="24"/>
      <c r="T125" s="24"/>
    </row>
    <row r="126" spans="1:20" s="108" customFormat="1" ht="15.9" customHeight="1" x14ac:dyDescent="0.3">
      <c r="A126" s="3"/>
      <c r="B126" s="24"/>
      <c r="C126" s="339"/>
      <c r="D126" s="379"/>
      <c r="E126" s="379"/>
      <c r="F126" s="379"/>
      <c r="G126" s="379"/>
      <c r="H126" s="379"/>
      <c r="I126" s="379"/>
      <c r="J126" s="379"/>
      <c r="K126" s="379"/>
      <c r="M126" s="344"/>
      <c r="P126" s="140"/>
      <c r="Q126" s="24"/>
      <c r="R126" s="24"/>
      <c r="S126" s="24"/>
      <c r="T126" s="24"/>
    </row>
    <row r="127" spans="1:20" s="108" customFormat="1" ht="15.9" customHeight="1" x14ac:dyDescent="0.3">
      <c r="A127" s="3"/>
      <c r="B127" s="24"/>
      <c r="C127" s="339"/>
      <c r="D127" s="379"/>
      <c r="E127" s="379"/>
      <c r="F127" s="383"/>
      <c r="G127" s="379"/>
      <c r="H127" s="379"/>
      <c r="I127" s="379"/>
      <c r="J127" s="379"/>
      <c r="K127" s="379"/>
      <c r="M127" s="344"/>
      <c r="P127" s="140"/>
      <c r="Q127" s="24"/>
      <c r="R127" s="24"/>
      <c r="S127" s="24"/>
      <c r="T127" s="24"/>
    </row>
    <row r="128" spans="1:20" s="108" customFormat="1" ht="15.9" customHeight="1" x14ac:dyDescent="0.3">
      <c r="A128" s="3"/>
      <c r="B128" s="24"/>
      <c r="C128" s="339"/>
      <c r="D128" s="379"/>
      <c r="E128" s="379"/>
      <c r="F128" s="379"/>
      <c r="G128" s="379"/>
      <c r="H128" s="379"/>
      <c r="I128" s="379"/>
      <c r="J128" s="379"/>
      <c r="K128" s="379"/>
      <c r="M128" s="344"/>
      <c r="P128" s="140"/>
      <c r="Q128" s="24"/>
      <c r="R128" s="24"/>
      <c r="S128" s="24"/>
      <c r="T128" s="24"/>
    </row>
    <row r="129" spans="1:20" s="108" customFormat="1" ht="15.9" customHeight="1" x14ac:dyDescent="0.3">
      <c r="A129" s="3"/>
      <c r="B129" s="24"/>
      <c r="C129" s="339"/>
      <c r="D129" s="379"/>
      <c r="E129" s="379"/>
      <c r="F129" s="379"/>
      <c r="G129" s="379"/>
      <c r="H129" s="379"/>
      <c r="I129" s="379"/>
      <c r="J129" s="379"/>
      <c r="K129" s="379"/>
      <c r="M129" s="344"/>
      <c r="P129" s="140"/>
      <c r="Q129" s="24"/>
      <c r="R129" s="24"/>
      <c r="S129" s="24"/>
      <c r="T129" s="24"/>
    </row>
    <row r="130" spans="1:20" s="108" customFormat="1" ht="15.9" customHeight="1" x14ac:dyDescent="0.3">
      <c r="A130" s="3"/>
      <c r="B130" s="24"/>
      <c r="C130" s="339"/>
      <c r="D130" s="379"/>
      <c r="E130" s="379"/>
      <c r="F130" s="379"/>
      <c r="G130" s="379"/>
      <c r="H130" s="379"/>
      <c r="I130" s="379"/>
      <c r="J130" s="379"/>
      <c r="K130" s="379"/>
      <c r="M130" s="344"/>
      <c r="P130" s="140"/>
      <c r="Q130" s="24"/>
      <c r="R130" s="24"/>
      <c r="S130" s="24"/>
      <c r="T130" s="24"/>
    </row>
    <row r="131" spans="1:20" s="108" customFormat="1" ht="15.9" customHeight="1" x14ac:dyDescent="0.3">
      <c r="A131" s="3"/>
      <c r="B131" s="24"/>
      <c r="C131" s="339"/>
      <c r="G131" s="379"/>
      <c r="H131" s="379"/>
      <c r="I131" s="379"/>
      <c r="J131" s="379"/>
      <c r="K131" s="379"/>
      <c r="M131" s="344"/>
      <c r="P131" s="140"/>
      <c r="Q131" s="24"/>
      <c r="R131" s="24"/>
      <c r="S131" s="24"/>
      <c r="T131" s="24"/>
    </row>
    <row r="132" spans="1:20" s="108" customFormat="1" ht="15.9" customHeight="1" x14ac:dyDescent="0.3">
      <c r="A132" s="3"/>
      <c r="B132" s="24"/>
      <c r="C132" s="339"/>
      <c r="D132" s="379"/>
      <c r="E132" s="379"/>
      <c r="F132" s="379"/>
      <c r="G132" s="379"/>
      <c r="H132" s="379"/>
      <c r="I132" s="379"/>
      <c r="J132" s="379"/>
      <c r="K132" s="379"/>
      <c r="M132" s="344"/>
      <c r="P132" s="140"/>
      <c r="Q132" s="24"/>
      <c r="R132" s="24"/>
      <c r="S132" s="24"/>
      <c r="T132" s="24"/>
    </row>
    <row r="133" spans="1:20" s="108" customFormat="1" ht="15.9" customHeight="1" x14ac:dyDescent="0.3">
      <c r="A133" s="3"/>
      <c r="B133" s="24"/>
      <c r="C133" s="339"/>
      <c r="D133" s="379"/>
      <c r="E133" s="379"/>
      <c r="F133" s="379"/>
      <c r="G133" s="379"/>
      <c r="H133" s="379"/>
      <c r="I133" s="379"/>
      <c r="J133" s="379"/>
      <c r="K133" s="379"/>
      <c r="M133" s="344"/>
      <c r="P133" s="140"/>
      <c r="Q133" s="24"/>
      <c r="R133" s="24"/>
      <c r="S133" s="24"/>
      <c r="T133" s="24"/>
    </row>
    <row r="134" spans="1:20" s="108" customFormat="1" ht="15.9" customHeight="1" x14ac:dyDescent="0.3">
      <c r="A134" s="3"/>
      <c r="B134" s="24"/>
      <c r="C134" s="339"/>
      <c r="D134" s="379"/>
      <c r="E134" s="379"/>
      <c r="F134" s="379"/>
      <c r="G134" s="379"/>
      <c r="H134" s="379"/>
      <c r="I134" s="379"/>
      <c r="J134" s="379"/>
      <c r="K134" s="379"/>
      <c r="M134" s="344"/>
      <c r="P134" s="140"/>
      <c r="Q134" s="24"/>
      <c r="R134" s="24"/>
      <c r="S134" s="24"/>
      <c r="T134" s="24"/>
    </row>
    <row r="135" spans="1:20" s="108" customFormat="1" ht="15.9" customHeight="1" x14ac:dyDescent="0.3">
      <c r="A135" s="3"/>
      <c r="B135" s="24"/>
      <c r="C135" s="339"/>
      <c r="D135" s="379"/>
      <c r="E135" s="379"/>
      <c r="F135" s="379"/>
      <c r="G135" s="379"/>
      <c r="H135" s="379"/>
      <c r="I135" s="379"/>
      <c r="J135" s="379"/>
      <c r="K135" s="379"/>
      <c r="M135" s="344"/>
      <c r="P135" s="140"/>
      <c r="Q135" s="24"/>
      <c r="R135" s="24"/>
      <c r="S135" s="24"/>
      <c r="T135" s="24"/>
    </row>
    <row r="136" spans="1:20" s="108" customFormat="1" ht="15.9" customHeight="1" x14ac:dyDescent="0.3">
      <c r="A136" s="3"/>
      <c r="B136" s="24"/>
      <c r="C136" s="339"/>
      <c r="D136" s="379"/>
      <c r="E136" s="379"/>
      <c r="F136" s="379"/>
      <c r="G136" s="379"/>
      <c r="H136" s="379"/>
      <c r="I136" s="379"/>
      <c r="J136" s="379"/>
      <c r="K136" s="379"/>
      <c r="M136" s="344"/>
      <c r="P136" s="140"/>
      <c r="Q136" s="24"/>
      <c r="R136" s="24"/>
      <c r="S136" s="24"/>
      <c r="T136" s="24"/>
    </row>
    <row r="137" spans="1:20" s="108" customFormat="1" ht="15.9" customHeight="1" x14ac:dyDescent="0.3">
      <c r="A137" s="3"/>
      <c r="B137" s="24"/>
      <c r="C137" s="339"/>
      <c r="D137" s="379"/>
      <c r="E137" s="379"/>
      <c r="F137" s="379"/>
      <c r="G137" s="379"/>
      <c r="H137" s="379"/>
      <c r="I137" s="379"/>
      <c r="J137" s="379"/>
      <c r="K137" s="379"/>
      <c r="M137" s="344"/>
      <c r="P137" s="140"/>
      <c r="Q137" s="24"/>
      <c r="R137" s="24"/>
      <c r="S137" s="24"/>
      <c r="T137" s="24"/>
    </row>
    <row r="138" spans="1:20" s="108" customFormat="1" ht="15.9" customHeight="1" x14ac:dyDescent="0.3">
      <c r="A138" s="3"/>
      <c r="B138" s="24"/>
      <c r="C138" s="339"/>
      <c r="D138" s="379"/>
      <c r="E138" s="379"/>
      <c r="F138" s="379"/>
      <c r="G138" s="379"/>
      <c r="H138" s="379"/>
      <c r="I138" s="379"/>
      <c r="J138" s="379"/>
      <c r="K138" s="379"/>
      <c r="M138" s="344"/>
      <c r="P138" s="140"/>
      <c r="Q138" s="24"/>
      <c r="R138" s="24"/>
      <c r="S138" s="24"/>
      <c r="T138" s="24"/>
    </row>
    <row r="139" spans="1:20" s="108" customFormat="1" ht="15.9" customHeight="1" x14ac:dyDescent="0.3">
      <c r="A139" s="3"/>
      <c r="B139" s="24"/>
      <c r="C139" s="339"/>
      <c r="D139" s="379"/>
      <c r="E139" s="379"/>
      <c r="F139" s="379"/>
      <c r="G139" s="379"/>
      <c r="H139" s="379"/>
      <c r="I139" s="379"/>
      <c r="J139" s="379"/>
      <c r="K139" s="379"/>
      <c r="M139" s="344"/>
      <c r="P139" s="140"/>
      <c r="Q139" s="24"/>
      <c r="R139" s="24"/>
      <c r="S139" s="24"/>
      <c r="T139" s="24"/>
    </row>
    <row r="140" spans="1:20" s="108" customFormat="1" ht="15.9" customHeight="1" x14ac:dyDescent="0.3">
      <c r="A140" s="3"/>
      <c r="B140" s="24"/>
      <c r="C140" s="339"/>
      <c r="D140" s="379"/>
      <c r="E140" s="379"/>
      <c r="F140" s="379"/>
      <c r="G140" s="379"/>
      <c r="H140" s="379"/>
      <c r="I140" s="379"/>
      <c r="J140" s="379"/>
      <c r="K140" s="379"/>
      <c r="M140" s="344"/>
      <c r="P140" s="140"/>
      <c r="Q140" s="24"/>
      <c r="R140" s="24"/>
      <c r="S140" s="24"/>
      <c r="T140" s="24"/>
    </row>
    <row r="141" spans="1:20" s="108" customFormat="1" ht="15.9" customHeight="1" x14ac:dyDescent="0.3">
      <c r="A141" s="3"/>
      <c r="B141" s="24"/>
      <c r="C141" s="339"/>
      <c r="D141" s="379"/>
      <c r="E141" s="379"/>
      <c r="F141" s="379"/>
      <c r="G141" s="379"/>
      <c r="H141" s="379"/>
      <c r="I141" s="379"/>
      <c r="J141" s="379"/>
      <c r="K141" s="379"/>
      <c r="M141" s="344"/>
      <c r="P141" s="140"/>
      <c r="Q141" s="24"/>
      <c r="R141" s="24"/>
      <c r="S141" s="24"/>
      <c r="T141" s="24"/>
    </row>
    <row r="142" spans="1:20" s="108" customFormat="1" ht="15.9" customHeight="1" x14ac:dyDescent="0.3">
      <c r="A142" s="3"/>
      <c r="B142" s="24"/>
      <c r="C142" s="339"/>
      <c r="D142" s="379"/>
      <c r="E142" s="379"/>
      <c r="F142" s="379"/>
      <c r="G142" s="379"/>
      <c r="H142" s="379"/>
      <c r="I142" s="379"/>
      <c r="J142" s="379"/>
      <c r="K142" s="379"/>
      <c r="M142" s="344"/>
      <c r="P142" s="140"/>
      <c r="Q142" s="24"/>
      <c r="R142" s="24"/>
      <c r="S142" s="24"/>
      <c r="T142" s="24"/>
    </row>
    <row r="143" spans="1:20" s="108" customFormat="1" ht="15.9" customHeight="1" x14ac:dyDescent="0.3">
      <c r="A143" s="3"/>
      <c r="B143" s="24"/>
      <c r="C143" s="339"/>
      <c r="D143" s="379"/>
      <c r="E143" s="379"/>
      <c r="F143" s="379"/>
      <c r="G143" s="379"/>
      <c r="H143" s="379"/>
      <c r="I143" s="379"/>
      <c r="J143" s="379"/>
      <c r="K143" s="379"/>
      <c r="M143" s="344"/>
      <c r="P143" s="140"/>
      <c r="Q143" s="24"/>
      <c r="R143" s="24"/>
      <c r="S143" s="24"/>
      <c r="T143" s="24"/>
    </row>
    <row r="144" spans="1:20" s="108" customFormat="1" ht="15.9" customHeight="1" x14ac:dyDescent="0.3">
      <c r="A144" s="3"/>
      <c r="B144" s="24"/>
      <c r="C144" s="339"/>
      <c r="D144" s="379"/>
      <c r="E144" s="379"/>
      <c r="F144" s="379"/>
      <c r="G144" s="379"/>
      <c r="H144" s="379"/>
      <c r="I144" s="379"/>
      <c r="J144" s="379"/>
      <c r="K144" s="379"/>
      <c r="M144" s="344"/>
      <c r="P144" s="140"/>
      <c r="Q144" s="24"/>
      <c r="R144" s="24"/>
      <c r="S144" s="24"/>
      <c r="T144" s="24"/>
    </row>
    <row r="145" spans="1:20" s="108" customFormat="1" ht="15.9" customHeight="1" x14ac:dyDescent="0.3">
      <c r="A145" s="3"/>
      <c r="B145" s="24"/>
      <c r="C145" s="339"/>
      <c r="D145" s="379"/>
      <c r="E145" s="379"/>
      <c r="F145" s="379"/>
      <c r="G145" s="379"/>
      <c r="H145" s="379"/>
      <c r="I145" s="379"/>
      <c r="J145" s="379"/>
      <c r="K145" s="379"/>
      <c r="M145" s="344"/>
      <c r="P145" s="140"/>
      <c r="Q145" s="24"/>
      <c r="R145" s="24"/>
      <c r="S145" s="24"/>
      <c r="T145" s="24"/>
    </row>
    <row r="146" spans="1:20" s="108" customFormat="1" ht="15.9" customHeight="1" x14ac:dyDescent="0.3">
      <c r="A146" s="3"/>
      <c r="B146" s="24"/>
      <c r="C146" s="339"/>
      <c r="D146" s="379"/>
      <c r="E146" s="379"/>
      <c r="F146" s="379"/>
      <c r="G146" s="379"/>
      <c r="H146" s="379"/>
      <c r="I146" s="379"/>
      <c r="J146" s="379"/>
      <c r="K146" s="379"/>
      <c r="M146" s="344"/>
      <c r="P146" s="140"/>
      <c r="Q146" s="24"/>
      <c r="R146" s="24"/>
      <c r="S146" s="24"/>
      <c r="T146" s="24"/>
    </row>
    <row r="147" spans="1:20" s="108" customFormat="1" ht="15.9" customHeight="1" x14ac:dyDescent="0.3">
      <c r="A147" s="3"/>
      <c r="B147" s="24"/>
      <c r="C147" s="339"/>
      <c r="D147" s="379"/>
      <c r="E147" s="379"/>
      <c r="F147" s="379"/>
      <c r="G147" s="379"/>
      <c r="H147" s="379"/>
      <c r="I147" s="379"/>
      <c r="J147" s="379"/>
      <c r="K147" s="379"/>
      <c r="M147" s="344"/>
      <c r="P147" s="140"/>
      <c r="Q147" s="24"/>
      <c r="R147" s="24"/>
      <c r="S147" s="24"/>
      <c r="T147" s="24"/>
    </row>
    <row r="148" spans="1:20" s="108" customFormat="1" ht="15.9" customHeight="1" x14ac:dyDescent="0.3">
      <c r="A148" s="3"/>
      <c r="B148" s="24"/>
      <c r="C148" s="339"/>
      <c r="D148" s="379"/>
      <c r="E148" s="379"/>
      <c r="F148" s="379"/>
      <c r="G148" s="379"/>
      <c r="H148" s="379"/>
      <c r="I148" s="379"/>
      <c r="J148" s="379"/>
      <c r="K148" s="379"/>
      <c r="M148" s="344"/>
      <c r="P148" s="140"/>
      <c r="Q148" s="24"/>
      <c r="R148" s="24"/>
      <c r="S148" s="24"/>
      <c r="T148" s="24"/>
    </row>
    <row r="149" spans="1:20" s="108" customFormat="1" ht="15.9" customHeight="1" x14ac:dyDescent="0.3">
      <c r="A149" s="3"/>
      <c r="B149" s="24"/>
      <c r="C149" s="339"/>
      <c r="D149" s="379"/>
      <c r="E149" s="379"/>
      <c r="F149" s="379"/>
      <c r="G149" s="379"/>
      <c r="H149" s="379"/>
      <c r="I149" s="379"/>
      <c r="J149" s="379"/>
      <c r="K149" s="379"/>
      <c r="M149" s="344"/>
      <c r="P149" s="140"/>
      <c r="Q149" s="24"/>
      <c r="R149" s="24"/>
      <c r="S149" s="24"/>
      <c r="T149" s="24"/>
    </row>
    <row r="150" spans="1:20" s="108" customFormat="1" ht="15.9" customHeight="1" x14ac:dyDescent="0.3">
      <c r="A150" s="3"/>
      <c r="B150" s="24"/>
      <c r="C150" s="339"/>
      <c r="D150" s="379"/>
      <c r="E150" s="379"/>
      <c r="F150" s="379"/>
      <c r="G150" s="379"/>
      <c r="H150" s="379"/>
      <c r="I150" s="379"/>
      <c r="J150" s="379"/>
      <c r="K150" s="379"/>
      <c r="M150" s="344"/>
      <c r="P150" s="140"/>
      <c r="Q150" s="24"/>
      <c r="R150" s="24"/>
      <c r="S150" s="24"/>
      <c r="T150" s="24"/>
    </row>
    <row r="151" spans="1:20" s="108" customFormat="1" ht="15.9" customHeight="1" x14ac:dyDescent="0.3">
      <c r="A151" s="3"/>
      <c r="B151" s="24"/>
      <c r="C151" s="339"/>
      <c r="D151" s="379"/>
      <c r="E151" s="379"/>
      <c r="F151" s="379"/>
      <c r="G151" s="379"/>
      <c r="H151" s="379"/>
      <c r="I151" s="379"/>
      <c r="J151" s="379"/>
      <c r="K151" s="379"/>
      <c r="M151" s="344"/>
      <c r="P151" s="140"/>
      <c r="Q151" s="24"/>
      <c r="R151" s="24"/>
      <c r="S151" s="24"/>
      <c r="T151" s="24"/>
    </row>
    <row r="152" spans="1:20" s="108" customFormat="1" ht="15.9" customHeight="1" x14ac:dyDescent="0.3">
      <c r="A152" s="3"/>
      <c r="B152" s="24"/>
      <c r="C152" s="339"/>
      <c r="D152" s="379"/>
      <c r="E152" s="379"/>
      <c r="F152" s="379"/>
      <c r="G152" s="379"/>
      <c r="H152" s="379"/>
      <c r="I152" s="379"/>
      <c r="J152" s="379"/>
      <c r="K152" s="379"/>
      <c r="M152" s="344"/>
      <c r="P152" s="140"/>
      <c r="Q152" s="24"/>
      <c r="R152" s="24"/>
      <c r="S152" s="24"/>
      <c r="T152" s="24"/>
    </row>
    <row r="153" spans="1:20" s="108" customFormat="1" ht="15.9" customHeight="1" x14ac:dyDescent="0.3">
      <c r="A153" s="3"/>
      <c r="B153" s="24"/>
      <c r="C153" s="339"/>
      <c r="D153" s="379"/>
      <c r="E153" s="379"/>
      <c r="F153" s="379"/>
      <c r="G153" s="379"/>
      <c r="H153" s="379"/>
      <c r="I153" s="379"/>
      <c r="J153" s="379"/>
      <c r="K153" s="379"/>
      <c r="M153" s="344"/>
      <c r="P153" s="140"/>
      <c r="Q153" s="24"/>
      <c r="R153" s="24"/>
      <c r="S153" s="24"/>
      <c r="T153" s="24"/>
    </row>
    <row r="154" spans="1:20" s="108" customFormat="1" ht="15.9" customHeight="1" x14ac:dyDescent="0.3">
      <c r="A154" s="3"/>
      <c r="B154" s="24"/>
      <c r="C154" s="339"/>
      <c r="D154" s="379"/>
      <c r="E154" s="379"/>
      <c r="F154" s="379"/>
      <c r="G154" s="379"/>
      <c r="H154" s="379"/>
      <c r="I154" s="379"/>
      <c r="J154" s="379"/>
      <c r="K154" s="379"/>
      <c r="M154" s="344"/>
      <c r="P154" s="140"/>
      <c r="Q154" s="24"/>
      <c r="R154" s="24"/>
      <c r="S154" s="24"/>
      <c r="T154" s="24"/>
    </row>
    <row r="155" spans="1:20" s="108" customFormat="1" ht="15.9" customHeight="1" x14ac:dyDescent="0.3">
      <c r="A155" s="3"/>
      <c r="B155" s="24"/>
      <c r="C155" s="339"/>
      <c r="D155" s="379"/>
      <c r="E155" s="379"/>
      <c r="F155" s="379"/>
      <c r="G155" s="379"/>
      <c r="H155" s="379"/>
      <c r="I155" s="379"/>
      <c r="J155" s="379"/>
      <c r="K155" s="379"/>
      <c r="M155" s="344"/>
      <c r="P155" s="140"/>
      <c r="Q155" s="24"/>
      <c r="R155" s="24"/>
      <c r="S155" s="24"/>
      <c r="T155" s="24"/>
    </row>
    <row r="156" spans="1:20" s="108" customFormat="1" ht="15.9" customHeight="1" x14ac:dyDescent="0.3">
      <c r="A156" s="3"/>
      <c r="B156" s="24"/>
      <c r="C156" s="339"/>
      <c r="D156" s="379"/>
      <c r="E156" s="379"/>
      <c r="F156" s="379"/>
      <c r="G156" s="379"/>
      <c r="H156" s="379"/>
      <c r="I156" s="379"/>
      <c r="J156" s="379"/>
      <c r="K156" s="379"/>
      <c r="M156" s="344"/>
      <c r="P156" s="140"/>
      <c r="Q156" s="24"/>
      <c r="R156" s="24"/>
      <c r="S156" s="24"/>
      <c r="T156" s="24"/>
    </row>
    <row r="157" spans="1:20" s="108" customFormat="1" ht="15.9" customHeight="1" x14ac:dyDescent="0.3">
      <c r="A157" s="3"/>
      <c r="B157" s="24"/>
      <c r="C157" s="339"/>
      <c r="D157" s="379"/>
      <c r="E157" s="379"/>
      <c r="F157" s="379"/>
      <c r="G157" s="379"/>
      <c r="H157" s="379"/>
      <c r="I157" s="379"/>
      <c r="J157" s="379"/>
      <c r="K157" s="379"/>
      <c r="M157" s="344"/>
      <c r="P157" s="140"/>
      <c r="Q157" s="24"/>
      <c r="R157" s="24"/>
      <c r="S157" s="24"/>
      <c r="T157" s="24"/>
    </row>
    <row r="158" spans="1:20" s="108" customFormat="1" ht="15.9" customHeight="1" x14ac:dyDescent="0.3">
      <c r="A158" s="3"/>
      <c r="B158" s="24"/>
      <c r="C158" s="339"/>
      <c r="D158" s="379"/>
      <c r="E158" s="379"/>
      <c r="F158" s="379"/>
      <c r="G158" s="379"/>
      <c r="H158" s="379"/>
      <c r="I158" s="379"/>
      <c r="J158" s="379"/>
      <c r="K158" s="379"/>
      <c r="M158" s="344"/>
      <c r="P158" s="140"/>
      <c r="Q158" s="24"/>
      <c r="R158" s="24"/>
      <c r="S158" s="24"/>
      <c r="T158" s="24"/>
    </row>
    <row r="159" spans="1:20" s="108" customFormat="1" ht="15.9" customHeight="1" x14ac:dyDescent="0.3">
      <c r="A159" s="3"/>
      <c r="B159" s="24"/>
      <c r="C159" s="339"/>
      <c r="D159" s="379"/>
      <c r="E159" s="379"/>
      <c r="F159" s="379"/>
      <c r="G159" s="379"/>
      <c r="H159" s="379"/>
      <c r="I159" s="379"/>
      <c r="J159" s="379"/>
      <c r="K159" s="379"/>
      <c r="M159" s="344"/>
      <c r="P159" s="140"/>
      <c r="Q159" s="24"/>
      <c r="R159" s="24"/>
      <c r="S159" s="24"/>
      <c r="T159" s="24"/>
    </row>
    <row r="160" spans="1:20" s="108" customFormat="1" ht="15.9" customHeight="1" x14ac:dyDescent="0.3">
      <c r="A160" s="3"/>
      <c r="B160" s="24"/>
      <c r="C160" s="339"/>
      <c r="D160" s="379"/>
      <c r="E160" s="379"/>
      <c r="F160" s="379"/>
      <c r="G160" s="379"/>
      <c r="H160" s="379"/>
      <c r="I160" s="379"/>
      <c r="J160" s="379"/>
      <c r="K160" s="379"/>
      <c r="M160" s="344"/>
      <c r="P160" s="140"/>
      <c r="Q160" s="24"/>
      <c r="R160" s="24"/>
      <c r="S160" s="24"/>
      <c r="T160" s="24"/>
    </row>
    <row r="161" spans="1:20" s="108" customFormat="1" ht="15.9" customHeight="1" x14ac:dyDescent="0.3">
      <c r="A161" s="3"/>
      <c r="B161" s="24"/>
      <c r="C161" s="339"/>
      <c r="D161" s="379"/>
      <c r="E161" s="379"/>
      <c r="F161" s="379"/>
      <c r="G161" s="379"/>
      <c r="H161" s="379"/>
      <c r="I161" s="379"/>
      <c r="J161" s="379"/>
      <c r="K161" s="379"/>
      <c r="M161" s="344"/>
      <c r="P161" s="140"/>
      <c r="Q161" s="24"/>
      <c r="R161" s="24"/>
      <c r="S161" s="24"/>
      <c r="T161" s="24"/>
    </row>
    <row r="162" spans="1:20" s="108" customFormat="1" ht="15.9" customHeight="1" x14ac:dyDescent="0.3">
      <c r="A162" s="3"/>
      <c r="B162" s="24"/>
      <c r="C162" s="339"/>
      <c r="D162" s="379"/>
      <c r="E162" s="379"/>
      <c r="F162" s="379"/>
      <c r="G162" s="379"/>
      <c r="H162" s="379"/>
      <c r="I162" s="379"/>
      <c r="J162" s="379"/>
      <c r="K162" s="379"/>
      <c r="M162" s="344"/>
      <c r="P162" s="140"/>
      <c r="Q162" s="24"/>
      <c r="R162" s="24"/>
      <c r="S162" s="24"/>
      <c r="T162" s="24"/>
    </row>
    <row r="163" spans="1:20" s="108" customFormat="1" ht="15.9" customHeight="1" x14ac:dyDescent="0.3">
      <c r="A163" s="3"/>
      <c r="B163" s="24"/>
      <c r="C163" s="339"/>
      <c r="D163" s="379"/>
      <c r="E163" s="379"/>
      <c r="F163" s="379"/>
      <c r="G163" s="379"/>
      <c r="H163" s="379"/>
      <c r="I163" s="379"/>
      <c r="J163" s="379"/>
      <c r="K163" s="379"/>
      <c r="M163" s="344"/>
      <c r="P163" s="140"/>
      <c r="Q163" s="24"/>
      <c r="R163" s="24"/>
      <c r="S163" s="24"/>
      <c r="T163" s="24"/>
    </row>
    <row r="164" spans="1:20" s="108" customFormat="1" ht="15.9" customHeight="1" x14ac:dyDescent="0.3">
      <c r="A164" s="3"/>
      <c r="B164" s="24"/>
      <c r="C164" s="339"/>
      <c r="D164" s="379"/>
      <c r="E164" s="379"/>
      <c r="F164" s="379"/>
      <c r="G164" s="379"/>
      <c r="H164" s="379"/>
      <c r="I164" s="379"/>
      <c r="J164" s="379"/>
      <c r="K164" s="379"/>
      <c r="M164" s="344"/>
      <c r="P164" s="140"/>
      <c r="Q164" s="24"/>
      <c r="R164" s="24"/>
      <c r="S164" s="24"/>
      <c r="T164" s="24"/>
    </row>
    <row r="165" spans="1:20" s="108" customFormat="1" ht="15.9" customHeight="1" x14ac:dyDescent="0.3">
      <c r="A165" s="3"/>
      <c r="B165" s="24"/>
      <c r="C165" s="339"/>
      <c r="D165" s="379"/>
      <c r="E165" s="379"/>
      <c r="F165" s="379"/>
      <c r="G165" s="379"/>
      <c r="H165" s="379"/>
      <c r="I165" s="379"/>
      <c r="J165" s="379"/>
      <c r="K165" s="379"/>
      <c r="M165" s="344"/>
      <c r="P165" s="140"/>
      <c r="Q165" s="24"/>
      <c r="R165" s="24"/>
      <c r="S165" s="24"/>
      <c r="T165" s="24"/>
    </row>
    <row r="166" spans="1:20" s="108" customFormat="1" ht="15.9" customHeight="1" x14ac:dyDescent="0.3">
      <c r="A166" s="3"/>
      <c r="B166" s="24"/>
      <c r="C166" s="339"/>
      <c r="G166" s="379"/>
      <c r="H166" s="379"/>
      <c r="I166" s="379"/>
      <c r="J166" s="379"/>
      <c r="K166" s="379"/>
      <c r="M166" s="344"/>
      <c r="P166" s="140"/>
      <c r="Q166" s="24"/>
      <c r="R166" s="24"/>
      <c r="S166" s="24"/>
      <c r="T166" s="24"/>
    </row>
    <row r="167" spans="1:20" s="108" customFormat="1" ht="15.9" customHeight="1" x14ac:dyDescent="0.3">
      <c r="A167" s="3"/>
      <c r="B167" s="24"/>
      <c r="C167" s="339"/>
      <c r="G167" s="379"/>
      <c r="H167" s="379"/>
      <c r="I167" s="379"/>
      <c r="J167" s="379"/>
      <c r="K167" s="379"/>
      <c r="M167" s="344"/>
      <c r="P167" s="140"/>
      <c r="Q167" s="24"/>
      <c r="R167" s="24"/>
      <c r="S167" s="24"/>
      <c r="T167" s="24"/>
    </row>
    <row r="168" spans="1:20" s="108" customFormat="1" ht="15.9" customHeight="1" x14ac:dyDescent="0.3">
      <c r="A168" s="3"/>
      <c r="B168" s="24"/>
      <c r="C168" s="339"/>
      <c r="G168" s="379"/>
      <c r="H168" s="379"/>
      <c r="I168" s="379"/>
      <c r="J168" s="379"/>
      <c r="K168" s="379"/>
      <c r="M168" s="344"/>
      <c r="P168" s="140"/>
      <c r="Q168" s="24"/>
      <c r="R168" s="24"/>
      <c r="S168" s="24"/>
      <c r="T168" s="24"/>
    </row>
    <row r="169" spans="1:20" s="108" customFormat="1" ht="15.9" customHeight="1" x14ac:dyDescent="0.3">
      <c r="A169" s="3"/>
      <c r="B169" s="24"/>
      <c r="C169" s="339"/>
      <c r="G169" s="379"/>
      <c r="H169" s="379"/>
      <c r="I169" s="379"/>
      <c r="J169" s="379"/>
      <c r="K169" s="379"/>
      <c r="M169" s="344"/>
      <c r="P169" s="140"/>
      <c r="Q169" s="24"/>
      <c r="R169" s="24"/>
      <c r="S169" s="24"/>
      <c r="T169" s="24"/>
    </row>
    <row r="170" spans="1:20" s="108" customFormat="1" ht="15.9" customHeight="1" x14ac:dyDescent="0.3">
      <c r="A170" s="3"/>
      <c r="B170" s="24"/>
      <c r="C170" s="339"/>
      <c r="G170" s="379"/>
      <c r="H170" s="379"/>
      <c r="I170" s="379"/>
      <c r="J170" s="379"/>
      <c r="K170" s="379"/>
      <c r="M170" s="344"/>
      <c r="P170" s="140"/>
      <c r="Q170" s="24"/>
      <c r="R170" s="24"/>
      <c r="S170" s="24"/>
      <c r="T170" s="24"/>
    </row>
    <row r="171" spans="1:20" s="108" customFormat="1" ht="15.9" customHeight="1" x14ac:dyDescent="0.3">
      <c r="A171" s="3"/>
      <c r="B171" s="24"/>
      <c r="C171" s="339"/>
      <c r="G171" s="379"/>
      <c r="H171" s="379"/>
      <c r="I171" s="379"/>
      <c r="J171" s="379"/>
      <c r="K171" s="379"/>
      <c r="M171" s="344"/>
      <c r="P171" s="140"/>
      <c r="Q171" s="24"/>
      <c r="R171" s="24"/>
      <c r="S171" s="24"/>
      <c r="T171" s="24"/>
    </row>
    <row r="172" spans="1:20" s="108" customFormat="1" ht="15.9" customHeight="1" x14ac:dyDescent="0.3">
      <c r="A172" s="3"/>
      <c r="B172" s="24"/>
      <c r="C172" s="339"/>
      <c r="G172" s="379"/>
      <c r="H172" s="379"/>
      <c r="I172" s="379"/>
      <c r="J172" s="379"/>
      <c r="K172" s="379"/>
      <c r="M172" s="344"/>
      <c r="P172" s="140"/>
      <c r="Q172" s="24"/>
      <c r="R172" s="24"/>
      <c r="S172" s="24"/>
      <c r="T172" s="24"/>
    </row>
    <row r="173" spans="1:20" s="108" customFormat="1" ht="15.9" customHeight="1" x14ac:dyDescent="0.3">
      <c r="A173" s="3"/>
      <c r="B173" s="24"/>
      <c r="C173" s="339"/>
      <c r="G173" s="379"/>
      <c r="H173" s="379"/>
      <c r="I173" s="379"/>
      <c r="J173" s="379"/>
      <c r="K173" s="379"/>
      <c r="M173" s="344"/>
      <c r="P173" s="140"/>
      <c r="Q173" s="24"/>
      <c r="R173" s="24"/>
      <c r="S173" s="24"/>
      <c r="T173" s="24"/>
    </row>
    <row r="174" spans="1:20" s="108" customFormat="1" ht="15.9" customHeight="1" x14ac:dyDescent="0.3">
      <c r="A174" s="3"/>
      <c r="B174" s="24"/>
      <c r="C174" s="339"/>
      <c r="G174" s="379"/>
      <c r="H174" s="379"/>
      <c r="I174" s="379"/>
      <c r="J174" s="379"/>
      <c r="K174" s="379"/>
      <c r="M174" s="344"/>
      <c r="P174" s="140"/>
      <c r="Q174" s="24"/>
      <c r="R174" s="24"/>
      <c r="S174" s="24"/>
      <c r="T174" s="24"/>
    </row>
  </sheetData>
  <mergeCells count="16">
    <mergeCell ref="P11:P12"/>
    <mergeCell ref="N11:N12"/>
    <mergeCell ref="O11:O12"/>
    <mergeCell ref="H11:H12"/>
    <mergeCell ref="I11:I12"/>
    <mergeCell ref="J11:J12"/>
    <mergeCell ref="K11:K12"/>
    <mergeCell ref="L11:L12"/>
    <mergeCell ref="M11:M12"/>
    <mergeCell ref="B4:F9"/>
    <mergeCell ref="G11:G12"/>
    <mergeCell ref="B11:B12"/>
    <mergeCell ref="C11:C12"/>
    <mergeCell ref="D11:D12"/>
    <mergeCell ref="E11:E12"/>
    <mergeCell ref="F11:F12"/>
  </mergeCell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8CBAD"/>
  </sheetPr>
  <dimension ref="A1:U174"/>
  <sheetViews>
    <sheetView showGridLines="0" zoomScaleNormal="100" workbookViewId="0"/>
  </sheetViews>
  <sheetFormatPr baseColWidth="10" defaultColWidth="8.5" defaultRowHeight="15.9" customHeight="1" x14ac:dyDescent="0.3"/>
  <cols>
    <col min="1" max="1" width="8.59765625" style="3" customWidth="1"/>
    <col min="2" max="2" width="25.5" style="24" customWidth="1"/>
    <col min="3" max="3" width="10.5" style="339" bestFit="1" customWidth="1"/>
    <col min="4" max="4" width="22.09765625" style="339" customWidth="1"/>
    <col min="5" max="13" width="20.59765625" style="108" customWidth="1"/>
    <col min="14" max="14" width="20.59765625" style="344" customWidth="1"/>
    <col min="15" max="17" width="20.59765625" style="108" customWidth="1"/>
    <col min="18" max="19" width="39.09765625" style="24" customWidth="1"/>
    <col min="20" max="16384" width="8.5" style="24"/>
  </cols>
  <sheetData>
    <row r="1" spans="1:21" s="168" customFormat="1" ht="15.6" x14ac:dyDescent="0.3">
      <c r="A1" s="35"/>
    </row>
    <row r="2" spans="1:21" s="164" customFormat="1" ht="24.75" customHeight="1" x14ac:dyDescent="0.35">
      <c r="A2" s="35"/>
      <c r="B2" s="410" t="s">
        <v>5340</v>
      </c>
    </row>
    <row r="3" spans="1:21" s="164" customFormat="1" ht="15.9" customHeight="1" x14ac:dyDescent="0.35">
      <c r="A3" s="35"/>
      <c r="B3" s="165"/>
      <c r="F3" s="166"/>
    </row>
    <row r="4" spans="1:21" s="43" customFormat="1" ht="15.9" customHeight="1" x14ac:dyDescent="0.35">
      <c r="A4" s="35"/>
      <c r="B4" s="1178" t="s">
        <v>5341</v>
      </c>
      <c r="C4" s="1178"/>
      <c r="D4" s="1178"/>
      <c r="E4" s="1178"/>
      <c r="F4" s="1178"/>
      <c r="G4" s="1178"/>
      <c r="H4" s="770"/>
      <c r="I4" s="167"/>
    </row>
    <row r="5" spans="1:21" s="43" customFormat="1" ht="15.9" customHeight="1" x14ac:dyDescent="0.35">
      <c r="A5" s="35"/>
      <c r="B5" s="1178"/>
      <c r="C5" s="1178"/>
      <c r="D5" s="1178"/>
      <c r="E5" s="1178"/>
      <c r="F5" s="1178"/>
      <c r="G5" s="1178"/>
      <c r="H5" s="770"/>
      <c r="I5" s="167"/>
    </row>
    <row r="6" spans="1:21" s="43" customFormat="1" ht="15.9" customHeight="1" x14ac:dyDescent="0.35">
      <c r="A6" s="35"/>
      <c r="B6" s="1178"/>
      <c r="C6" s="1178"/>
      <c r="D6" s="1178"/>
      <c r="E6" s="1178"/>
      <c r="F6" s="1178"/>
      <c r="G6" s="1178"/>
      <c r="H6" s="770"/>
      <c r="I6" s="167"/>
    </row>
    <row r="7" spans="1:21" s="43" customFormat="1" ht="15.9" customHeight="1" x14ac:dyDescent="0.35">
      <c r="A7" s="35"/>
      <c r="B7" s="1178"/>
      <c r="C7" s="1178"/>
      <c r="D7" s="1178"/>
      <c r="E7" s="1178"/>
      <c r="F7" s="1178"/>
      <c r="G7" s="1178"/>
      <c r="H7" s="770"/>
      <c r="I7" s="167"/>
    </row>
    <row r="8" spans="1:21" s="43" customFormat="1" ht="15.9" customHeight="1" x14ac:dyDescent="0.35">
      <c r="A8" s="35"/>
      <c r="B8" s="1178"/>
      <c r="C8" s="1178"/>
      <c r="D8" s="1178"/>
      <c r="E8" s="1178"/>
      <c r="F8" s="1178"/>
      <c r="G8" s="1178"/>
      <c r="H8" s="770"/>
      <c r="I8" s="167"/>
    </row>
    <row r="9" spans="1:21" s="43" customFormat="1" ht="15.9" customHeight="1" x14ac:dyDescent="0.35">
      <c r="A9" s="35"/>
      <c r="B9" s="770"/>
      <c r="C9" s="770"/>
      <c r="D9" s="770"/>
      <c r="E9" s="770"/>
      <c r="F9" s="770"/>
      <c r="G9" s="770"/>
      <c r="I9" s="167"/>
    </row>
    <row r="10" spans="1:21" s="339" customFormat="1" ht="15.9" customHeight="1" x14ac:dyDescent="0.3">
      <c r="A10" s="330"/>
      <c r="E10" s="351" t="s">
        <v>4889</v>
      </c>
      <c r="F10" s="351" t="s">
        <v>3664</v>
      </c>
      <c r="G10" s="351" t="s">
        <v>3665</v>
      </c>
      <c r="H10" s="351" t="s">
        <v>3666</v>
      </c>
      <c r="I10" s="351" t="s">
        <v>3667</v>
      </c>
      <c r="J10" s="351" t="s">
        <v>3668</v>
      </c>
      <c r="K10" s="351" t="s">
        <v>3669</v>
      </c>
      <c r="L10" s="351" t="s">
        <v>3670</v>
      </c>
      <c r="M10" s="351" t="s">
        <v>3671</v>
      </c>
      <c r="N10" s="351" t="s">
        <v>3672</v>
      </c>
      <c r="O10" s="351" t="s">
        <v>3673</v>
      </c>
      <c r="P10" s="351" t="s">
        <v>3674</v>
      </c>
      <c r="Q10" s="351" t="s">
        <v>5337</v>
      </c>
    </row>
    <row r="11" spans="1:21" s="352" customFormat="1" ht="15.9" customHeight="1" x14ac:dyDescent="0.3">
      <c r="A11" s="330"/>
      <c r="B11" s="1173" t="s">
        <v>3499</v>
      </c>
      <c r="C11" s="1175" t="s">
        <v>3500</v>
      </c>
      <c r="D11" s="1175" t="s">
        <v>4891</v>
      </c>
      <c r="E11" s="1175">
        <v>1</v>
      </c>
      <c r="F11" s="1214">
        <v>2</v>
      </c>
      <c r="G11" s="1175">
        <v>3</v>
      </c>
      <c r="H11" s="1214">
        <v>4</v>
      </c>
      <c r="I11" s="1175">
        <v>5</v>
      </c>
      <c r="J11" s="1214">
        <v>6</v>
      </c>
      <c r="K11" s="1175">
        <v>7</v>
      </c>
      <c r="L11" s="1214">
        <v>8</v>
      </c>
      <c r="M11" s="1175">
        <v>9</v>
      </c>
      <c r="N11" s="1214">
        <v>10</v>
      </c>
      <c r="O11" s="1175">
        <v>11</v>
      </c>
      <c r="P11" s="1214">
        <v>12</v>
      </c>
      <c r="Q11" s="1214">
        <v>13</v>
      </c>
      <c r="R11" s="1144" t="s">
        <v>5338</v>
      </c>
      <c r="S11" s="1144" t="s">
        <v>5339</v>
      </c>
    </row>
    <row r="12" spans="1:21" s="352" customFormat="1" ht="15.9" customHeight="1" x14ac:dyDescent="0.3">
      <c r="A12" s="5"/>
      <c r="B12" s="1174"/>
      <c r="C12" s="1176"/>
      <c r="D12" s="1176"/>
      <c r="E12" s="1176"/>
      <c r="F12" s="1215"/>
      <c r="G12" s="1176"/>
      <c r="H12" s="1215"/>
      <c r="I12" s="1176"/>
      <c r="J12" s="1215"/>
      <c r="K12" s="1176"/>
      <c r="L12" s="1215"/>
      <c r="M12" s="1176"/>
      <c r="N12" s="1215"/>
      <c r="O12" s="1176"/>
      <c r="P12" s="1215"/>
      <c r="Q12" s="1215"/>
      <c r="R12" s="1145" t="s">
        <v>3514</v>
      </c>
      <c r="S12" s="1145" t="s">
        <v>3514</v>
      </c>
    </row>
    <row r="13" spans="1:21" ht="15.9" customHeight="1" x14ac:dyDescent="0.3">
      <c r="A13" s="5"/>
      <c r="B13" s="2" t="s">
        <v>255</v>
      </c>
      <c r="C13" s="339">
        <v>0</v>
      </c>
      <c r="D13" s="339">
        <v>0</v>
      </c>
      <c r="E13" s="315">
        <f>SUMIFS('Bilateral Assistance, MAIN DATA'!S:S,'Bilateral Assistance, MAIN DATA'!B:B,'Comm per Month (Mil in-kind)'!B13,'Bilateral Assistance, MAIN DATA'!AG:AG,1,'Bilateral Assistance, MAIN DATA'!AH:AH,'Comm per Month (Mil in-kind)'!$E$11, 'Bilateral Assistance, MAIN DATA'!AS:AS,1)/1000000000</f>
        <v>0</v>
      </c>
      <c r="F13" s="315">
        <f>SUMIFS('Bilateral Assistance, MAIN DATA'!S:S,'Bilateral Assistance, MAIN DATA'!B:B,'Comm per Month (Mil in-kind)'!B13,'Bilateral Assistance, MAIN DATA'!AG:AG,1,'Bilateral Assistance, MAIN DATA'!AH:AH,'Comm per Month (Mil in-kind)'!$F$11, 'Bilateral Assistance, MAIN DATA'!AS:AS,1)/1000000000</f>
        <v>0</v>
      </c>
      <c r="G13" s="315">
        <f>SUMIFS('Bilateral Assistance, MAIN DATA'!S:S,'Bilateral Assistance, MAIN DATA'!B:B,'Comm per Month (Mil in-kind)'!B13,'Bilateral Assistance, MAIN DATA'!AG:AG,1,'Bilateral Assistance, MAIN DATA'!AH:AH,'Comm per Month (Mil in-kind)'!$G$11, 'Bilateral Assistance, MAIN DATA'!AS:AS,1)/1000000000</f>
        <v>7.510034960507575E-2</v>
      </c>
      <c r="H13" s="315">
        <f>SUMIFS('Bilateral Assistance, MAIN DATA'!S:S,'Bilateral Assistance, MAIN DATA'!B:B,'Comm per Month (Mil in-kind)'!B13,'Bilateral Assistance, MAIN DATA'!AG:AG,1,'Bilateral Assistance, MAIN DATA'!AH:AH,'Comm per Month (Mil in-kind)'!$H$11, 'Bilateral Assistance, MAIN DATA'!AS:AS,1)/1000000000</f>
        <v>6.6165997669299495E-2</v>
      </c>
      <c r="I13" s="315">
        <f>SUMIFS('Bilateral Assistance, MAIN DATA'!S:S,'Bilateral Assistance, MAIN DATA'!B:B,'Comm per Month (Mil in-kind)'!B13,'Bilateral Assistance, MAIN DATA'!AG:AG,1,'Bilateral Assistance, MAIN DATA'!AH:AH,'Comm per Month (Mil in-kind)'!$I$11, 'Bilateral Assistance, MAIN DATA'!AS:AS,1)/1000000000</f>
        <v>3.9427683542664765E-2</v>
      </c>
      <c r="J13" s="315">
        <f>SUMIFS('Bilateral Assistance, MAIN DATA'!S:S,'Bilateral Assistance, MAIN DATA'!B:B,'Comm per Month (Mil in-kind)'!B13,'Bilateral Assistance, MAIN DATA'!AG:AG,1,'Bilateral Assistance, MAIN DATA'!AH:AH,'Comm per Month (Mil in-kind)'!$J$11, 'Bilateral Assistance, MAIN DATA'!AS:AS,1)/1000000000</f>
        <v>0</v>
      </c>
      <c r="K13" s="315">
        <f>SUMIFS('Bilateral Assistance, MAIN DATA'!S:S,'Bilateral Assistance, MAIN DATA'!B:B,'Comm per Month (Mil in-kind)'!B13,'Bilateral Assistance, MAIN DATA'!AG:AG,1,'Bilateral Assistance, MAIN DATA'!AH:AH,'Comm per Month (Mil in-kind)'!$K$11, 'Bilateral Assistance, MAIN DATA'!AS:AS,1)/1000000000</f>
        <v>5.1469636151754497E-2</v>
      </c>
      <c r="L13" s="315">
        <f>SUMIFS('Bilateral Assistance, MAIN DATA'!S:S,'Bilateral Assistance, MAIN DATA'!B:B,'Comm per Month (Mil in-kind)'!B13,'Bilateral Assistance, MAIN DATA'!AG:AG,1,'Bilateral Assistance, MAIN DATA'!AH:AH,'Comm per Month (Mil in-kind)'!$L$11, 'Bilateral Assistance, MAIN DATA'!AS:AS,1)/1000000000</f>
        <v>0</v>
      </c>
      <c r="M13" s="316">
        <f>SUMIFS('Bilateral Assistance, MAIN DATA'!S:S,'Bilateral Assistance, MAIN DATA'!B:B,'Comm per Month (Mil in-kind)'!B13,'Bilateral Assistance, MAIN DATA'!AG:AG,1,'Bilateral Assistance, MAIN DATA'!AH:AH,'Comm per Month (Mil in-kind)'!$M$11, 'Bilateral Assistance, MAIN DATA'!AS:AS,1)/1000000000</f>
        <v>0</v>
      </c>
      <c r="N13" s="270">
        <f>SUMIFS('Bilateral Assistance, MAIN DATA'!S:S,'Bilateral Assistance, MAIN DATA'!B:B,'Comm per Month (Mil in-kind)'!B13,'Bilateral Assistance, MAIN DATA'!AG:AG,1,'Bilateral Assistance, MAIN DATA'!AH:AH,'Comm per Month (Mil in-kind)'!$N$11, 'Bilateral Assistance, MAIN DATA'!AS:AS,1)/1000000000</f>
        <v>0.12041952609089732</v>
      </c>
      <c r="O13" s="316">
        <f>SUMIFS('Bilateral Assistance, MAIN DATA'!S:S,'Bilateral Assistance, MAIN DATA'!B:B,'Comm per Month (Mil in-kind)'!B13,'Bilateral Assistance, MAIN DATA'!AG:AG,1,'Bilateral Assistance, MAIN DATA'!AH:AH,'Comm per Month (Mil in-kind)'!$O$11, 'Bilateral Assistance, MAIN DATA'!AS:AS,1)/1000000000</f>
        <v>0</v>
      </c>
      <c r="P13" s="316">
        <f>SUMIFS('Bilateral Assistance, MAIN DATA'!S:S,'Bilateral Assistance, MAIN DATA'!B:B,'Comm per Month (Mil in-kind)'!B13,'Bilateral Assistance, MAIN DATA'!AG:AG,1,'Bilateral Assistance, MAIN DATA'!AH:AH,'Comm per Month (Mil in-kind)'!$P$11, 'Bilateral Assistance, MAIN DATA'!AS:AS,1)/1000000000</f>
        <v>0</v>
      </c>
      <c r="Q13" s="316">
        <f>SUMIFS('Bilateral Assistance, MAIN DATA'!S:S,'Bilateral Assistance, MAIN DATA'!B:B,'Comm per Month (Mil in-kind)'!B13,'Bilateral Assistance, MAIN DATA'!AG:AG,1,'Bilateral Assistance, MAIN DATA'!AH:AH,'Comm per Month (Mil in-kind)'!$Q$11, 'Bilateral Assistance, MAIN DATA'!AS:AS,1)/1000000000</f>
        <v>0</v>
      </c>
      <c r="R13" s="316">
        <f>SUM(E13:Q13)</f>
        <v>0.35258319305969188</v>
      </c>
      <c r="S13" s="316">
        <f>SUMIFS('Bilateral Assistance, MAIN DATA'!S:S,'Bilateral Assistance, MAIN DATA'!B:B,'Comm per Month (Mil in-kind)'!B13,'Bilateral Assistance, MAIN DATA'!AG:AG,0,'Bilateral Assistance, MAIN DATA'!AS:AS,1)/1000000000</f>
        <v>0</v>
      </c>
    </row>
    <row r="14" spans="1:21" ht="15.9" customHeight="1" x14ac:dyDescent="0.3">
      <c r="A14" s="5"/>
      <c r="B14" s="24" t="s">
        <v>344</v>
      </c>
      <c r="C14" s="339">
        <v>1</v>
      </c>
      <c r="D14" s="339">
        <v>0</v>
      </c>
      <c r="E14" s="315">
        <f>SUMIFS('Bilateral Assistance, MAIN DATA'!S:S,'Bilateral Assistance, MAIN DATA'!B:B,'Comm per Month (Mil in-kind)'!B14,'Bilateral Assistance, MAIN DATA'!AG:AG,1,'Bilateral Assistance, MAIN DATA'!AH:AH,'Comm per Month (Mil in-kind)'!$E$11, 'Bilateral Assistance, MAIN DATA'!AS:AS,1)/1000000000</f>
        <v>0</v>
      </c>
      <c r="F14" s="315">
        <f>SUMIFS('Bilateral Assistance, MAIN DATA'!S:S,'Bilateral Assistance, MAIN DATA'!B:B,'Comm per Month (Mil in-kind)'!B14,'Bilateral Assistance, MAIN DATA'!AG:AG,1,'Bilateral Assistance, MAIN DATA'!AH:AH,'Comm per Month (Mil in-kind)'!$F$11, 'Bilateral Assistance, MAIN DATA'!AS:AS,1)/1000000000</f>
        <v>0</v>
      </c>
      <c r="G14" s="315">
        <f>SUMIFS('Bilateral Assistance, MAIN DATA'!S:S,'Bilateral Assistance, MAIN DATA'!B:B,'Comm per Month (Mil in-kind)'!B14,'Bilateral Assistance, MAIN DATA'!AG:AG,1,'Bilateral Assistance, MAIN DATA'!AH:AH,'Comm per Month (Mil in-kind)'!$G$11, 'Bilateral Assistance, MAIN DATA'!AS:AS,1)/1000000000</f>
        <v>3.4165467142857142E-3</v>
      </c>
      <c r="H14" s="315">
        <f>SUMIFS('Bilateral Assistance, MAIN DATA'!S:S,'Bilateral Assistance, MAIN DATA'!B:B,'Comm per Month (Mil in-kind)'!B14,'Bilateral Assistance, MAIN DATA'!AG:AG,1,'Bilateral Assistance, MAIN DATA'!AH:AH,'Comm per Month (Mil in-kind)'!$H$11, 'Bilateral Assistance, MAIN DATA'!AS:AS,1)/1000000000</f>
        <v>0</v>
      </c>
      <c r="I14" s="315">
        <f>SUMIFS('Bilateral Assistance, MAIN DATA'!S:S,'Bilateral Assistance, MAIN DATA'!B:B,'Comm per Month (Mil in-kind)'!B14,'Bilateral Assistance, MAIN DATA'!AG:AG,1,'Bilateral Assistance, MAIN DATA'!AH:AH,'Comm per Month (Mil in-kind)'!$I$11, 'Bilateral Assistance, MAIN DATA'!AS:AS,1)/1000000000</f>
        <v>0</v>
      </c>
      <c r="J14" s="315">
        <f>SUMIFS('Bilateral Assistance, MAIN DATA'!S:S,'Bilateral Assistance, MAIN DATA'!B:B,'Comm per Month (Mil in-kind)'!B14,'Bilateral Assistance, MAIN DATA'!AG:AG,1,'Bilateral Assistance, MAIN DATA'!AH:AH,'Comm per Month (Mil in-kind)'!$J$11, 'Bilateral Assistance, MAIN DATA'!AS:AS,1)/1000000000</f>
        <v>0</v>
      </c>
      <c r="K14" s="315">
        <f>SUMIFS('Bilateral Assistance, MAIN DATA'!S:S,'Bilateral Assistance, MAIN DATA'!B:B,'Comm per Month (Mil in-kind)'!B14,'Bilateral Assistance, MAIN DATA'!AG:AG,1,'Bilateral Assistance, MAIN DATA'!AH:AH,'Comm per Month (Mil in-kind)'!$K$11, 'Bilateral Assistance, MAIN DATA'!AS:AS,1)/1000000000</f>
        <v>0</v>
      </c>
      <c r="L14" s="315">
        <f>SUMIFS('Bilateral Assistance, MAIN DATA'!S:S,'Bilateral Assistance, MAIN DATA'!B:B,'Comm per Month (Mil in-kind)'!B14,'Bilateral Assistance, MAIN DATA'!AG:AG,1,'Bilateral Assistance, MAIN DATA'!AH:AH,'Comm per Month (Mil in-kind)'!$L$11, 'Bilateral Assistance, MAIN DATA'!AS:AS,1)/1000000000</f>
        <v>0</v>
      </c>
      <c r="M14" s="316">
        <f>SUMIFS('Bilateral Assistance, MAIN DATA'!S:S,'Bilateral Assistance, MAIN DATA'!B:B,'Comm per Month (Mil in-kind)'!B14,'Bilateral Assistance, MAIN DATA'!AG:AG,1,'Bilateral Assistance, MAIN DATA'!AH:AH,'Comm per Month (Mil in-kind)'!$M$11, 'Bilateral Assistance, MAIN DATA'!AS:AS,1)/1000000000</f>
        <v>0</v>
      </c>
      <c r="N14" s="270">
        <f>SUMIFS('Bilateral Assistance, MAIN DATA'!S:S,'Bilateral Assistance, MAIN DATA'!B:B,'Comm per Month (Mil in-kind)'!B14,'Bilateral Assistance, MAIN DATA'!AG:AG,1,'Bilateral Assistance, MAIN DATA'!AH:AH,'Comm per Month (Mil in-kind)'!$N$11, 'Bilateral Assistance, MAIN DATA'!AS:AS,1)/1000000000</f>
        <v>0</v>
      </c>
      <c r="O14" s="316">
        <f>SUMIFS('Bilateral Assistance, MAIN DATA'!S:S,'Bilateral Assistance, MAIN DATA'!B:B,'Comm per Month (Mil in-kind)'!B14,'Bilateral Assistance, MAIN DATA'!AG:AG,1,'Bilateral Assistance, MAIN DATA'!AH:AH,'Comm per Month (Mil in-kind)'!$O$11, 'Bilateral Assistance, MAIN DATA'!AS:AS,1)/1000000000</f>
        <v>0</v>
      </c>
      <c r="P14" s="316">
        <f>SUMIFS('Bilateral Assistance, MAIN DATA'!S:S,'Bilateral Assistance, MAIN DATA'!B:B,'Comm per Month (Mil in-kind)'!B14,'Bilateral Assistance, MAIN DATA'!AG:AG,1,'Bilateral Assistance, MAIN DATA'!AH:AH,'Comm per Month (Mil in-kind)'!$P$11, 'Bilateral Assistance, MAIN DATA'!AS:AS,1)/1000000000</f>
        <v>0</v>
      </c>
      <c r="Q14" s="316">
        <f>SUMIFS('Bilateral Assistance, MAIN DATA'!S:S,'Bilateral Assistance, MAIN DATA'!B:B,'Comm per Month (Mil in-kind)'!B14,'Bilateral Assistance, MAIN DATA'!AG:AG,1,'Bilateral Assistance, MAIN DATA'!AH:AH,'Comm per Month (Mil in-kind)'!$Q$11, 'Bilateral Assistance, MAIN DATA'!AS:AS,1)/1000000000</f>
        <v>0</v>
      </c>
      <c r="R14" s="316">
        <f t="shared" ref="R14:R53" si="0">SUM(E14:Q14)</f>
        <v>3.4165467142857142E-3</v>
      </c>
      <c r="S14" s="316">
        <f>SUMIFS('Bilateral Assistance, MAIN DATA'!S:S,'Bilateral Assistance, MAIN DATA'!B:B,'Comm per Month (Mil in-kind)'!B14,'Bilateral Assistance, MAIN DATA'!AG:AG,0,'Bilateral Assistance, MAIN DATA'!AS:AS,1)/1000000000</f>
        <v>0</v>
      </c>
    </row>
    <row r="15" spans="1:21" ht="15.9" customHeight="1" x14ac:dyDescent="0.3">
      <c r="A15" s="5"/>
      <c r="B15" s="24" t="s">
        <v>413</v>
      </c>
      <c r="C15" s="339">
        <v>1</v>
      </c>
      <c r="D15" s="339">
        <v>0</v>
      </c>
      <c r="E15" s="315">
        <f>SUMIFS('Bilateral Assistance, MAIN DATA'!S:S,'Bilateral Assistance, MAIN DATA'!B:B,'Comm per Month (Mil in-kind)'!B15,'Bilateral Assistance, MAIN DATA'!AG:AG,1,'Bilateral Assistance, MAIN DATA'!AH:AH,'Comm per Month (Mil in-kind)'!$E$11, 'Bilateral Assistance, MAIN DATA'!AS:AS,1)/1000000000</f>
        <v>0</v>
      </c>
      <c r="F15" s="315">
        <f>SUMIFS('Bilateral Assistance, MAIN DATA'!S:S,'Bilateral Assistance, MAIN DATA'!B:B,'Comm per Month (Mil in-kind)'!B15,'Bilateral Assistance, MAIN DATA'!AG:AG,1,'Bilateral Assistance, MAIN DATA'!AH:AH,'Comm per Month (Mil in-kind)'!$F$11, 'Bilateral Assistance, MAIN DATA'!AS:AS,1)/1000000000</f>
        <v>7.5999999999999998E-2</v>
      </c>
      <c r="G15" s="315">
        <f>SUMIFS('Bilateral Assistance, MAIN DATA'!S:S,'Bilateral Assistance, MAIN DATA'!B:B,'Comm per Month (Mil in-kind)'!B15,'Bilateral Assistance, MAIN DATA'!AG:AG,1,'Bilateral Assistance, MAIN DATA'!AH:AH,'Comm per Month (Mil in-kind)'!$G$11, 'Bilateral Assistance, MAIN DATA'!AS:AS,1)/1000000000</f>
        <v>1.0999999999999999E-2</v>
      </c>
      <c r="H15" s="315">
        <f>SUMIFS('Bilateral Assistance, MAIN DATA'!S:S,'Bilateral Assistance, MAIN DATA'!B:B,'Comm per Month (Mil in-kind)'!B15,'Bilateral Assistance, MAIN DATA'!AG:AG,1,'Bilateral Assistance, MAIN DATA'!AH:AH,'Comm per Month (Mil in-kind)'!$H$11, 'Bilateral Assistance, MAIN DATA'!AS:AS,1)/1000000000</f>
        <v>0</v>
      </c>
      <c r="I15" s="315">
        <f>SUMIFS('Bilateral Assistance, MAIN DATA'!S:S,'Bilateral Assistance, MAIN DATA'!B:B,'Comm per Month (Mil in-kind)'!B15,'Bilateral Assistance, MAIN DATA'!AG:AG,1,'Bilateral Assistance, MAIN DATA'!AH:AH,'Comm per Month (Mil in-kind)'!$I$11, 'Bilateral Assistance, MAIN DATA'!AS:AS,1)/1000000000</f>
        <v>0</v>
      </c>
      <c r="J15" s="315">
        <f>SUMIFS('Bilateral Assistance, MAIN DATA'!S:S,'Bilateral Assistance, MAIN DATA'!B:B,'Comm per Month (Mil in-kind)'!B15,'Bilateral Assistance, MAIN DATA'!AG:AG,1,'Bilateral Assistance, MAIN DATA'!AH:AH,'Comm per Month (Mil in-kind)'!$J$11, 'Bilateral Assistance, MAIN DATA'!AS:AS,1)/1000000000</f>
        <v>0</v>
      </c>
      <c r="K15" s="315">
        <f>SUMIFS('Bilateral Assistance, MAIN DATA'!S:S,'Bilateral Assistance, MAIN DATA'!B:B,'Comm per Month (Mil in-kind)'!B15,'Bilateral Assistance, MAIN DATA'!AG:AG,1,'Bilateral Assistance, MAIN DATA'!AH:AH,'Comm per Month (Mil in-kind)'!$K$11, 'Bilateral Assistance, MAIN DATA'!AS:AS,1)/1000000000</f>
        <v>0</v>
      </c>
      <c r="L15" s="315">
        <f>SUMIFS('Bilateral Assistance, MAIN DATA'!S:S,'Bilateral Assistance, MAIN DATA'!B:B,'Comm per Month (Mil in-kind)'!B15,'Bilateral Assistance, MAIN DATA'!AG:AG,1,'Bilateral Assistance, MAIN DATA'!AH:AH,'Comm per Month (Mil in-kind)'!$L$11, 'Bilateral Assistance, MAIN DATA'!AS:AS,1)/1000000000</f>
        <v>8.0000000000000002E-3</v>
      </c>
      <c r="M15" s="316">
        <f>SUMIFS('Bilateral Assistance, MAIN DATA'!S:S,'Bilateral Assistance, MAIN DATA'!B:B,'Comm per Month (Mil in-kind)'!B15,'Bilateral Assistance, MAIN DATA'!AG:AG,1,'Bilateral Assistance, MAIN DATA'!AH:AH,'Comm per Month (Mil in-kind)'!$M$11, 'Bilateral Assistance, MAIN DATA'!AS:AS,1)/1000000000</f>
        <v>1.2E-2</v>
      </c>
      <c r="N15" s="270">
        <f>SUMIFS('Bilateral Assistance, MAIN DATA'!S:S,'Bilateral Assistance, MAIN DATA'!B:B,'Comm per Month (Mil in-kind)'!B15,'Bilateral Assistance, MAIN DATA'!AG:AG,1,'Bilateral Assistance, MAIN DATA'!AH:AH,'Comm per Month (Mil in-kind)'!$N$11, 'Bilateral Assistance, MAIN DATA'!AS:AS,1)/1000000000</f>
        <v>0</v>
      </c>
      <c r="O15" s="316">
        <f>SUMIFS('Bilateral Assistance, MAIN DATA'!S:S,'Bilateral Assistance, MAIN DATA'!B:B,'Comm per Month (Mil in-kind)'!B15,'Bilateral Assistance, MAIN DATA'!AG:AG,1,'Bilateral Assistance, MAIN DATA'!AH:AH,'Comm per Month (Mil in-kind)'!$O$11, 'Bilateral Assistance, MAIN DATA'!AS:AS,1)/1000000000</f>
        <v>0</v>
      </c>
      <c r="P15" s="316">
        <f>SUMIFS('Bilateral Assistance, MAIN DATA'!S:S,'Bilateral Assistance, MAIN DATA'!B:B,'Comm per Month (Mil in-kind)'!B15,'Bilateral Assistance, MAIN DATA'!AG:AG,1,'Bilateral Assistance, MAIN DATA'!AH:AH,'Comm per Month (Mil in-kind)'!$P$11, 'Bilateral Assistance, MAIN DATA'!AS:AS,1)/1000000000</f>
        <v>4.0000000000000002E-4</v>
      </c>
      <c r="Q15" s="316">
        <f>SUMIFS('Bilateral Assistance, MAIN DATA'!S:S,'Bilateral Assistance, MAIN DATA'!B:B,'Comm per Month (Mil in-kind)'!B15,'Bilateral Assistance, MAIN DATA'!AG:AG,1,'Bilateral Assistance, MAIN DATA'!AH:AH,'Comm per Month (Mil in-kind)'!$Q$11, 'Bilateral Assistance, MAIN DATA'!AS:AS,1)/1000000000</f>
        <v>3.755E-2</v>
      </c>
      <c r="R15" s="316">
        <f t="shared" si="0"/>
        <v>0.14495</v>
      </c>
      <c r="S15" s="316">
        <f>SUMIFS('Bilateral Assistance, MAIN DATA'!S:S,'Bilateral Assistance, MAIN DATA'!B:B,'Comm per Month (Mil in-kind)'!B15,'Bilateral Assistance, MAIN DATA'!AG:AG,0,'Bilateral Assistance, MAIN DATA'!AS:AS,1)/1000000000</f>
        <v>0</v>
      </c>
      <c r="T15" s="405"/>
      <c r="U15" s="405"/>
    </row>
    <row r="16" spans="1:21" ht="15.9" customHeight="1" x14ac:dyDescent="0.3">
      <c r="A16" s="5"/>
      <c r="B16" s="24" t="s">
        <v>480</v>
      </c>
      <c r="C16" s="339">
        <v>1</v>
      </c>
      <c r="D16" s="339">
        <v>0</v>
      </c>
      <c r="E16" s="315">
        <f>SUMIFS('Bilateral Assistance, MAIN DATA'!S:S,'Bilateral Assistance, MAIN DATA'!B:B,'Comm per Month (Mil in-kind)'!B16,'Bilateral Assistance, MAIN DATA'!AG:AG,1,'Bilateral Assistance, MAIN DATA'!AH:AH,'Comm per Month (Mil in-kind)'!$E$11, 'Bilateral Assistance, MAIN DATA'!AS:AS,1)/1000000000</f>
        <v>0</v>
      </c>
      <c r="F16" s="315">
        <f>SUMIFS('Bilateral Assistance, MAIN DATA'!S:S,'Bilateral Assistance, MAIN DATA'!B:B,'Comm per Month (Mil in-kind)'!B16,'Bilateral Assistance, MAIN DATA'!AG:AG,1,'Bilateral Assistance, MAIN DATA'!AH:AH,'Comm per Month (Mil in-kind)'!$F$11, 'Bilateral Assistance, MAIN DATA'!AS:AS,1)/1000000000</f>
        <v>0</v>
      </c>
      <c r="G16" s="315">
        <f>SUMIFS('Bilateral Assistance, MAIN DATA'!S:S,'Bilateral Assistance, MAIN DATA'!B:B,'Comm per Month (Mil in-kind)'!B16,'Bilateral Assistance, MAIN DATA'!AG:AG,1,'Bilateral Assistance, MAIN DATA'!AH:AH,'Comm per Month (Mil in-kind)'!$G$11, 'Bilateral Assistance, MAIN DATA'!AS:AS,1)/1000000000</f>
        <v>0</v>
      </c>
      <c r="H16" s="315">
        <f>SUMIFS('Bilateral Assistance, MAIN DATA'!S:S,'Bilateral Assistance, MAIN DATA'!B:B,'Comm per Month (Mil in-kind)'!B16,'Bilateral Assistance, MAIN DATA'!AG:AG,1,'Bilateral Assistance, MAIN DATA'!AH:AH,'Comm per Month (Mil in-kind)'!$H$11, 'Bilateral Assistance, MAIN DATA'!AS:AS,1)/1000000000</f>
        <v>0.2290622763063708</v>
      </c>
      <c r="I16" s="315">
        <f>SUMIFS('Bilateral Assistance, MAIN DATA'!S:S,'Bilateral Assistance, MAIN DATA'!B:B,'Comm per Month (Mil in-kind)'!B16,'Bilateral Assistance, MAIN DATA'!AG:AG,1,'Bilateral Assistance, MAIN DATA'!AH:AH,'Comm per Month (Mil in-kind)'!$I$11, 'Bilateral Assistance, MAIN DATA'!AS:AS,1)/1000000000</f>
        <v>0</v>
      </c>
      <c r="J16" s="315">
        <f>SUMIFS('Bilateral Assistance, MAIN DATA'!S:S,'Bilateral Assistance, MAIN DATA'!B:B,'Comm per Month (Mil in-kind)'!B16,'Bilateral Assistance, MAIN DATA'!AG:AG,1,'Bilateral Assistance, MAIN DATA'!AH:AH,'Comm per Month (Mil in-kind)'!$J$11, 'Bilateral Assistance, MAIN DATA'!AS:AS,1)/1000000000</f>
        <v>0</v>
      </c>
      <c r="K16" s="315">
        <f>SUMIFS('Bilateral Assistance, MAIN DATA'!S:S,'Bilateral Assistance, MAIN DATA'!B:B,'Comm per Month (Mil in-kind)'!B16,'Bilateral Assistance, MAIN DATA'!AG:AG,1,'Bilateral Assistance, MAIN DATA'!AH:AH,'Comm per Month (Mil in-kind)'!$K$11, 'Bilateral Assistance, MAIN DATA'!AS:AS,1)/1000000000</f>
        <v>0</v>
      </c>
      <c r="L16" s="315">
        <f>SUMIFS('Bilateral Assistance, MAIN DATA'!S:S,'Bilateral Assistance, MAIN DATA'!B:B,'Comm per Month (Mil in-kind)'!B16,'Bilateral Assistance, MAIN DATA'!AG:AG,1,'Bilateral Assistance, MAIN DATA'!AH:AH,'Comm per Month (Mil in-kind)'!$L$11, 'Bilateral Assistance, MAIN DATA'!AS:AS,1)/1000000000</f>
        <v>0</v>
      </c>
      <c r="M16" s="316">
        <f>SUMIFS('Bilateral Assistance, MAIN DATA'!S:S,'Bilateral Assistance, MAIN DATA'!B:B,'Comm per Month (Mil in-kind)'!B16,'Bilateral Assistance, MAIN DATA'!AG:AG,1,'Bilateral Assistance, MAIN DATA'!AH:AH,'Comm per Month (Mil in-kind)'!$M$11, 'Bilateral Assistance, MAIN DATA'!AS:AS,1)/1000000000</f>
        <v>0</v>
      </c>
      <c r="N16" s="270">
        <f>SUMIFS('Bilateral Assistance, MAIN DATA'!S:S,'Bilateral Assistance, MAIN DATA'!B:B,'Comm per Month (Mil in-kind)'!B16,'Bilateral Assistance, MAIN DATA'!AG:AG,1,'Bilateral Assistance, MAIN DATA'!AH:AH,'Comm per Month (Mil in-kind)'!$N$11, 'Bilateral Assistance, MAIN DATA'!AS:AS,1)/1000000000</f>
        <v>0</v>
      </c>
      <c r="O16" s="316">
        <f>SUMIFS('Bilateral Assistance, MAIN DATA'!S:S,'Bilateral Assistance, MAIN DATA'!B:B,'Comm per Month (Mil in-kind)'!B16,'Bilateral Assistance, MAIN DATA'!AG:AG,1,'Bilateral Assistance, MAIN DATA'!AH:AH,'Comm per Month (Mil in-kind)'!$O$11, 'Bilateral Assistance, MAIN DATA'!AS:AS,1)/1000000000</f>
        <v>0</v>
      </c>
      <c r="P16" s="316">
        <f>SUMIFS('Bilateral Assistance, MAIN DATA'!S:S,'Bilateral Assistance, MAIN DATA'!B:B,'Comm per Month (Mil in-kind)'!B16,'Bilateral Assistance, MAIN DATA'!AG:AG,1,'Bilateral Assistance, MAIN DATA'!AH:AH,'Comm per Month (Mil in-kind)'!$P$11, 'Bilateral Assistance, MAIN DATA'!AS:AS,1)/1000000000</f>
        <v>1.0225994477962982E-2</v>
      </c>
      <c r="Q16" s="316">
        <f>SUMIFS('Bilateral Assistance, MAIN DATA'!S:S,'Bilateral Assistance, MAIN DATA'!B:B,'Comm per Month (Mil in-kind)'!B16,'Bilateral Assistance, MAIN DATA'!AG:AG,1,'Bilateral Assistance, MAIN DATA'!AH:AH,'Comm per Month (Mil in-kind)'!$Q$11, 'Bilateral Assistance, MAIN DATA'!AS:AS,1)/1000000000</f>
        <v>0</v>
      </c>
      <c r="R16" s="316">
        <f t="shared" si="0"/>
        <v>0.23928827078433379</v>
      </c>
      <c r="S16" s="316">
        <f>SUMIFS('Bilateral Assistance, MAIN DATA'!S:S,'Bilateral Assistance, MAIN DATA'!B:B,'Comm per Month (Mil in-kind)'!B16,'Bilateral Assistance, MAIN DATA'!AG:AG,0,'Bilateral Assistance, MAIN DATA'!AS:AS,1)/1000000000</f>
        <v>0</v>
      </c>
      <c r="T16" s="405"/>
      <c r="U16" s="405"/>
    </row>
    <row r="17" spans="1:21" ht="15.9" customHeight="1" x14ac:dyDescent="0.3">
      <c r="A17" s="5"/>
      <c r="B17" s="24" t="s">
        <v>517</v>
      </c>
      <c r="C17" s="339">
        <v>0</v>
      </c>
      <c r="D17" s="339">
        <v>1</v>
      </c>
      <c r="E17" s="315">
        <f>SUMIFS('Bilateral Assistance, MAIN DATA'!S:S,'Bilateral Assistance, MAIN DATA'!B:B,'Comm per Month (Mil in-kind)'!B17,'Bilateral Assistance, MAIN DATA'!AG:AG,1,'Bilateral Assistance, MAIN DATA'!AH:AH,'Comm per Month (Mil in-kind)'!$E$11, 'Bilateral Assistance, MAIN DATA'!AS:AS,1)/1000000000</f>
        <v>0.23777886565494091</v>
      </c>
      <c r="F17" s="315">
        <f>SUMIFS('Bilateral Assistance, MAIN DATA'!S:S,'Bilateral Assistance, MAIN DATA'!B:B,'Comm per Month (Mil in-kind)'!B17,'Bilateral Assistance, MAIN DATA'!AG:AG,1,'Bilateral Assistance, MAIN DATA'!AH:AH,'Comm per Month (Mil in-kind)'!$F$11, 'Bilateral Assistance, MAIN DATA'!AS:AS,1)/1000000000</f>
        <v>3.7868571339300355E-2</v>
      </c>
      <c r="G17" s="315">
        <f>SUMIFS('Bilateral Assistance, MAIN DATA'!S:S,'Bilateral Assistance, MAIN DATA'!B:B,'Comm per Month (Mil in-kind)'!B17,'Bilateral Assistance, MAIN DATA'!AG:AG,1,'Bilateral Assistance, MAIN DATA'!AH:AH,'Comm per Month (Mil in-kind)'!$G$11, 'Bilateral Assistance, MAIN DATA'!AS:AS,1)/1000000000</f>
        <v>4.2309686991098279E-2</v>
      </c>
      <c r="H17" s="315">
        <f>SUMIFS('Bilateral Assistance, MAIN DATA'!S:S,'Bilateral Assistance, MAIN DATA'!B:B,'Comm per Month (Mil in-kind)'!B17,'Bilateral Assistance, MAIN DATA'!AG:AG,1,'Bilateral Assistance, MAIN DATA'!AH:AH,'Comm per Month (Mil in-kind)'!$H$11, 'Bilateral Assistance, MAIN DATA'!AS:AS,1)/1000000000</f>
        <v>0.36937004052897471</v>
      </c>
      <c r="I17" s="315">
        <f>SUMIFS('Bilateral Assistance, MAIN DATA'!S:S,'Bilateral Assistance, MAIN DATA'!B:B,'Comm per Month (Mil in-kind)'!B17,'Bilateral Assistance, MAIN DATA'!AG:AG,1,'Bilateral Assistance, MAIN DATA'!AH:AH,'Comm per Month (Mil in-kind)'!$I$11, 'Bilateral Assistance, MAIN DATA'!AS:AS,1)/1000000000</f>
        <v>3.4967480243373664E-2</v>
      </c>
      <c r="J17" s="315">
        <f>SUMIFS('Bilateral Assistance, MAIN DATA'!S:S,'Bilateral Assistance, MAIN DATA'!B:B,'Comm per Month (Mil in-kind)'!B17,'Bilateral Assistance, MAIN DATA'!AG:AG,1,'Bilateral Assistance, MAIN DATA'!AH:AH,'Comm per Month (Mil in-kind)'!$J$11, 'Bilateral Assistance, MAIN DATA'!AS:AS,1)/1000000000</f>
        <v>0.1614560639457143</v>
      </c>
      <c r="K17" s="315">
        <f>SUMIFS('Bilateral Assistance, MAIN DATA'!S:S,'Bilateral Assistance, MAIN DATA'!B:B,'Comm per Month (Mil in-kind)'!B17,'Bilateral Assistance, MAIN DATA'!AG:AG,1,'Bilateral Assistance, MAIN DATA'!AH:AH,'Comm per Month (Mil in-kind)'!$K$11, 'Bilateral Assistance, MAIN DATA'!AS:AS,1)/1000000000</f>
        <v>0</v>
      </c>
      <c r="L17" s="315">
        <f>SUMIFS('Bilateral Assistance, MAIN DATA'!S:S,'Bilateral Assistance, MAIN DATA'!B:B,'Comm per Month (Mil in-kind)'!B17,'Bilateral Assistance, MAIN DATA'!AG:AG,1,'Bilateral Assistance, MAIN DATA'!AH:AH,'Comm per Month (Mil in-kind)'!$L$11, 'Bilateral Assistance, MAIN DATA'!AS:AS,1)/1000000000</f>
        <v>0</v>
      </c>
      <c r="M17" s="316">
        <f>SUMIFS('Bilateral Assistance, MAIN DATA'!S:S,'Bilateral Assistance, MAIN DATA'!B:B,'Comm per Month (Mil in-kind)'!B17,'Bilateral Assistance, MAIN DATA'!AG:AG,1,'Bilateral Assistance, MAIN DATA'!AH:AH,'Comm per Month (Mil in-kind)'!$M$11, 'Bilateral Assistance, MAIN DATA'!AS:AS,1)/1000000000</f>
        <v>0</v>
      </c>
      <c r="N17" s="270">
        <f>SUMIFS('Bilateral Assistance, MAIN DATA'!S:S,'Bilateral Assistance, MAIN DATA'!B:B,'Comm per Month (Mil in-kind)'!B17,'Bilateral Assistance, MAIN DATA'!AG:AG,1,'Bilateral Assistance, MAIN DATA'!AH:AH,'Comm per Month (Mil in-kind)'!$N$11, 'Bilateral Assistance, MAIN DATA'!AS:AS,1)/1000000000</f>
        <v>3.2869431428771245E-2</v>
      </c>
      <c r="O17" s="316">
        <f>SUMIFS('Bilateral Assistance, MAIN DATA'!S:S,'Bilateral Assistance, MAIN DATA'!B:B,'Comm per Month (Mil in-kind)'!B17,'Bilateral Assistance, MAIN DATA'!AG:AG,1,'Bilateral Assistance, MAIN DATA'!AH:AH,'Comm per Month (Mil in-kind)'!$O$11, 'Bilateral Assistance, MAIN DATA'!AS:AS,1)/1000000000</f>
        <v>0.37275333939436323</v>
      </c>
      <c r="P17" s="316">
        <f>SUMIFS('Bilateral Assistance, MAIN DATA'!S:S,'Bilateral Assistance, MAIN DATA'!B:B,'Comm per Month (Mil in-kind)'!B17,'Bilateral Assistance, MAIN DATA'!AG:AG,1,'Bilateral Assistance, MAIN DATA'!AH:AH,'Comm per Month (Mil in-kind)'!$P$11, 'Bilateral Assistance, MAIN DATA'!AS:AS,1)/1000000000</f>
        <v>0</v>
      </c>
      <c r="Q17" s="316">
        <f>SUMIFS('Bilateral Assistance, MAIN DATA'!S:S,'Bilateral Assistance, MAIN DATA'!B:B,'Comm per Month (Mil in-kind)'!B17,'Bilateral Assistance, MAIN DATA'!AG:AG,1,'Bilateral Assistance, MAIN DATA'!AH:AH,'Comm per Month (Mil in-kind)'!$Q$11, 'Bilateral Assistance, MAIN DATA'!AS:AS,1)/1000000000</f>
        <v>0</v>
      </c>
      <c r="R17" s="316">
        <f t="shared" si="0"/>
        <v>1.2893734795265366</v>
      </c>
      <c r="S17" s="316">
        <f>SUMIFS('Bilateral Assistance, MAIN DATA'!S:S,'Bilateral Assistance, MAIN DATA'!B:B,'Comm per Month (Mil in-kind)'!B17,'Bilateral Assistance, MAIN DATA'!AG:AG,0,'Bilateral Assistance, MAIN DATA'!AS:AS,1)/1000000000</f>
        <v>0</v>
      </c>
      <c r="T17" s="405"/>
      <c r="U17" s="405"/>
    </row>
    <row r="18" spans="1:21" ht="15.9" customHeight="1" x14ac:dyDescent="0.3">
      <c r="A18" s="5"/>
      <c r="B18" s="24" t="s">
        <v>664</v>
      </c>
      <c r="C18" s="339">
        <v>1</v>
      </c>
      <c r="D18" s="339">
        <v>0</v>
      </c>
      <c r="E18" s="315">
        <f>SUMIFS('Bilateral Assistance, MAIN DATA'!S:S,'Bilateral Assistance, MAIN DATA'!B:B,'Comm per Month (Mil in-kind)'!B18,'Bilateral Assistance, MAIN DATA'!AG:AG,1,'Bilateral Assistance, MAIN DATA'!AH:AH,'Comm per Month (Mil in-kind)'!$E$11, 'Bilateral Assistance, MAIN DATA'!AS:AS,1)/1000000000</f>
        <v>0</v>
      </c>
      <c r="F18" s="315">
        <f>SUMIFS('Bilateral Assistance, MAIN DATA'!S:S,'Bilateral Assistance, MAIN DATA'!B:B,'Comm per Month (Mil in-kind)'!B18,'Bilateral Assistance, MAIN DATA'!AG:AG,1,'Bilateral Assistance, MAIN DATA'!AH:AH,'Comm per Month (Mil in-kind)'!$F$11, 'Bilateral Assistance, MAIN DATA'!AS:AS,1)/1000000000</f>
        <v>1.6445623342175066E-2</v>
      </c>
      <c r="G18" s="315">
        <f>SUMIFS('Bilateral Assistance, MAIN DATA'!S:S,'Bilateral Assistance, MAIN DATA'!B:B,'Comm per Month (Mil in-kind)'!B18,'Bilateral Assistance, MAIN DATA'!AG:AG,1,'Bilateral Assistance, MAIN DATA'!AH:AH,'Comm per Month (Mil in-kind)'!$G$11, 'Bilateral Assistance, MAIN DATA'!AS:AS,1)/1000000000</f>
        <v>0</v>
      </c>
      <c r="H18" s="315">
        <f>SUMIFS('Bilateral Assistance, MAIN DATA'!S:S,'Bilateral Assistance, MAIN DATA'!B:B,'Comm per Month (Mil in-kind)'!B18,'Bilateral Assistance, MAIN DATA'!AG:AG,1,'Bilateral Assistance, MAIN DATA'!AH:AH,'Comm per Month (Mil in-kind)'!$H$11, 'Bilateral Assistance, MAIN DATA'!AS:AS,1)/1000000000</f>
        <v>0</v>
      </c>
      <c r="I18" s="315">
        <f>SUMIFS('Bilateral Assistance, MAIN DATA'!S:S,'Bilateral Assistance, MAIN DATA'!B:B,'Comm per Month (Mil in-kind)'!B18,'Bilateral Assistance, MAIN DATA'!AG:AG,1,'Bilateral Assistance, MAIN DATA'!AH:AH,'Comm per Month (Mil in-kind)'!$I$11, 'Bilateral Assistance, MAIN DATA'!AS:AS,1)/1000000000</f>
        <v>0</v>
      </c>
      <c r="J18" s="315">
        <f>SUMIFS('Bilateral Assistance, MAIN DATA'!S:S,'Bilateral Assistance, MAIN DATA'!B:B,'Comm per Month (Mil in-kind)'!B18,'Bilateral Assistance, MAIN DATA'!AG:AG,1,'Bilateral Assistance, MAIN DATA'!AH:AH,'Comm per Month (Mil in-kind)'!$J$11, 'Bilateral Assistance, MAIN DATA'!AS:AS,1)/1000000000</f>
        <v>0</v>
      </c>
      <c r="K18" s="315">
        <f>SUMIFS('Bilateral Assistance, MAIN DATA'!S:S,'Bilateral Assistance, MAIN DATA'!B:B,'Comm per Month (Mil in-kind)'!B18,'Bilateral Assistance, MAIN DATA'!AG:AG,1,'Bilateral Assistance, MAIN DATA'!AH:AH,'Comm per Month (Mil in-kind)'!$K$11, 'Bilateral Assistance, MAIN DATA'!AS:AS,1)/1000000000</f>
        <v>0</v>
      </c>
      <c r="L18" s="315">
        <f>SUMIFS('Bilateral Assistance, MAIN DATA'!S:S,'Bilateral Assistance, MAIN DATA'!B:B,'Comm per Month (Mil in-kind)'!B18,'Bilateral Assistance, MAIN DATA'!AG:AG,1,'Bilateral Assistance, MAIN DATA'!AH:AH,'Comm per Month (Mil in-kind)'!$L$11, 'Bilateral Assistance, MAIN DATA'!AS:AS,1)/1000000000</f>
        <v>0</v>
      </c>
      <c r="M18" s="316">
        <f>SUMIFS('Bilateral Assistance, MAIN DATA'!S:S,'Bilateral Assistance, MAIN DATA'!B:B,'Comm per Month (Mil in-kind)'!B18,'Bilateral Assistance, MAIN DATA'!AG:AG,1,'Bilateral Assistance, MAIN DATA'!AH:AH,'Comm per Month (Mil in-kind)'!$M$11, 'Bilateral Assistance, MAIN DATA'!AS:AS,1)/1000000000</f>
        <v>0</v>
      </c>
      <c r="N18" s="270">
        <f>SUMIFS('Bilateral Assistance, MAIN DATA'!S:S,'Bilateral Assistance, MAIN DATA'!B:B,'Comm per Month (Mil in-kind)'!B18,'Bilateral Assistance, MAIN DATA'!AG:AG,1,'Bilateral Assistance, MAIN DATA'!AH:AH,'Comm per Month (Mil in-kind)'!$N$11, 'Bilateral Assistance, MAIN DATA'!AS:AS,1)/1000000000</f>
        <v>0</v>
      </c>
      <c r="O18" s="316">
        <f>SUMIFS('Bilateral Assistance, MAIN DATA'!S:S,'Bilateral Assistance, MAIN DATA'!B:B,'Comm per Month (Mil in-kind)'!B18,'Bilateral Assistance, MAIN DATA'!AG:AG,1,'Bilateral Assistance, MAIN DATA'!AH:AH,'Comm per Month (Mil in-kind)'!$O$11, 'Bilateral Assistance, MAIN DATA'!AS:AS,1)/1000000000</f>
        <v>0</v>
      </c>
      <c r="P18" s="316">
        <f>SUMIFS('Bilateral Assistance, MAIN DATA'!S:S,'Bilateral Assistance, MAIN DATA'!B:B,'Comm per Month (Mil in-kind)'!B18,'Bilateral Assistance, MAIN DATA'!AG:AG,1,'Bilateral Assistance, MAIN DATA'!AH:AH,'Comm per Month (Mil in-kind)'!$P$11, 'Bilateral Assistance, MAIN DATA'!AS:AS,1)/1000000000</f>
        <v>3.0000000000000001E-3</v>
      </c>
      <c r="Q18" s="316">
        <f>SUMIFS('Bilateral Assistance, MAIN DATA'!S:S,'Bilateral Assistance, MAIN DATA'!B:B,'Comm per Month (Mil in-kind)'!B18,'Bilateral Assistance, MAIN DATA'!AG:AG,1,'Bilateral Assistance, MAIN DATA'!AH:AH,'Comm per Month (Mil in-kind)'!$Q$11, 'Bilateral Assistance, MAIN DATA'!AS:AS,1)/1000000000</f>
        <v>0</v>
      </c>
      <c r="R18" s="316">
        <f t="shared" si="0"/>
        <v>1.9445623342175065E-2</v>
      </c>
      <c r="S18" s="316">
        <f>SUMIFS('Bilateral Assistance, MAIN DATA'!S:S,'Bilateral Assistance, MAIN DATA'!B:B,'Comm per Month (Mil in-kind)'!B18,'Bilateral Assistance, MAIN DATA'!AG:AG,0,'Bilateral Assistance, MAIN DATA'!AS:AS,1)/1000000000</f>
        <v>0</v>
      </c>
      <c r="T18" s="405"/>
      <c r="U18" s="405"/>
    </row>
    <row r="19" spans="1:21" ht="15.9" customHeight="1" x14ac:dyDescent="0.3">
      <c r="A19" s="5"/>
      <c r="B19" s="24" t="s">
        <v>696</v>
      </c>
      <c r="C19" s="339">
        <v>1</v>
      </c>
      <c r="D19" s="339">
        <v>0</v>
      </c>
      <c r="E19" s="315">
        <f>SUMIFS('Bilateral Assistance, MAIN DATA'!S:S,'Bilateral Assistance, MAIN DATA'!B:B,'Comm per Month (Mil in-kind)'!B19,'Bilateral Assistance, MAIN DATA'!AG:AG,1,'Bilateral Assistance, MAIN DATA'!AH:AH,'Comm per Month (Mil in-kind)'!$E$11, 'Bilateral Assistance, MAIN DATA'!AS:AS,1)/1000000000</f>
        <v>0</v>
      </c>
      <c r="F19" s="315">
        <f>SUMIFS('Bilateral Assistance, MAIN DATA'!S:S,'Bilateral Assistance, MAIN DATA'!B:B,'Comm per Month (Mil in-kind)'!B19,'Bilateral Assistance, MAIN DATA'!AG:AG,1,'Bilateral Assistance, MAIN DATA'!AH:AH,'Comm per Month (Mil in-kind)'!$F$11, 'Bilateral Assistance, MAIN DATA'!AS:AS,1)/1000000000</f>
        <v>0</v>
      </c>
      <c r="G19" s="315">
        <f>SUMIFS('Bilateral Assistance, MAIN DATA'!S:S,'Bilateral Assistance, MAIN DATA'!B:B,'Comm per Month (Mil in-kind)'!B19,'Bilateral Assistance, MAIN DATA'!AG:AG,1,'Bilateral Assistance, MAIN DATA'!AH:AH,'Comm per Month (Mil in-kind)'!$G$11, 'Bilateral Assistance, MAIN DATA'!AS:AS,1)/1000000000</f>
        <v>0</v>
      </c>
      <c r="H19" s="315">
        <f>SUMIFS('Bilateral Assistance, MAIN DATA'!S:S,'Bilateral Assistance, MAIN DATA'!B:B,'Comm per Month (Mil in-kind)'!B19,'Bilateral Assistance, MAIN DATA'!AG:AG,1,'Bilateral Assistance, MAIN DATA'!AH:AH,'Comm per Month (Mil in-kind)'!$H$11, 'Bilateral Assistance, MAIN DATA'!AS:AS,1)/1000000000</f>
        <v>0</v>
      </c>
      <c r="I19" s="315">
        <f>SUMIFS('Bilateral Assistance, MAIN DATA'!S:S,'Bilateral Assistance, MAIN DATA'!B:B,'Comm per Month (Mil in-kind)'!B19,'Bilateral Assistance, MAIN DATA'!AG:AG,1,'Bilateral Assistance, MAIN DATA'!AH:AH,'Comm per Month (Mil in-kind)'!$I$11, 'Bilateral Assistance, MAIN DATA'!AS:AS,1)/1000000000</f>
        <v>0</v>
      </c>
      <c r="J19" s="315">
        <f>SUMIFS('Bilateral Assistance, MAIN DATA'!S:S,'Bilateral Assistance, MAIN DATA'!B:B,'Comm per Month (Mil in-kind)'!B19,'Bilateral Assistance, MAIN DATA'!AG:AG,1,'Bilateral Assistance, MAIN DATA'!AH:AH,'Comm per Month (Mil in-kind)'!$J$11, 'Bilateral Assistance, MAIN DATA'!AS:AS,1)/1000000000</f>
        <v>0</v>
      </c>
      <c r="K19" s="315">
        <f>SUMIFS('Bilateral Assistance, MAIN DATA'!S:S,'Bilateral Assistance, MAIN DATA'!B:B,'Comm per Month (Mil in-kind)'!B19,'Bilateral Assistance, MAIN DATA'!AG:AG,1,'Bilateral Assistance, MAIN DATA'!AH:AH,'Comm per Month (Mil in-kind)'!$K$11, 'Bilateral Assistance, MAIN DATA'!AS:AS,1)/1000000000</f>
        <v>0</v>
      </c>
      <c r="L19" s="315">
        <f>SUMIFS('Bilateral Assistance, MAIN DATA'!S:S,'Bilateral Assistance, MAIN DATA'!B:B,'Comm per Month (Mil in-kind)'!B19,'Bilateral Assistance, MAIN DATA'!AG:AG,1,'Bilateral Assistance, MAIN DATA'!AH:AH,'Comm per Month (Mil in-kind)'!$L$11, 'Bilateral Assistance, MAIN DATA'!AS:AS,1)/1000000000</f>
        <v>0</v>
      </c>
      <c r="M19" s="316">
        <f>SUMIFS('Bilateral Assistance, MAIN DATA'!S:S,'Bilateral Assistance, MAIN DATA'!B:B,'Comm per Month (Mil in-kind)'!B19,'Bilateral Assistance, MAIN DATA'!AG:AG,1,'Bilateral Assistance, MAIN DATA'!AH:AH,'Comm per Month (Mil in-kind)'!$M$11, 'Bilateral Assistance, MAIN DATA'!AS:AS,1)/1000000000</f>
        <v>0</v>
      </c>
      <c r="N19" s="270">
        <f>SUMIFS('Bilateral Assistance, MAIN DATA'!S:S,'Bilateral Assistance, MAIN DATA'!B:B,'Comm per Month (Mil in-kind)'!B19,'Bilateral Assistance, MAIN DATA'!AG:AG,1,'Bilateral Assistance, MAIN DATA'!AH:AH,'Comm per Month (Mil in-kind)'!$N$11, 'Bilateral Assistance, MAIN DATA'!AS:AS,1)/1000000000</f>
        <v>0</v>
      </c>
      <c r="O19" s="316">
        <f>SUMIFS('Bilateral Assistance, MAIN DATA'!S:S,'Bilateral Assistance, MAIN DATA'!B:B,'Comm per Month (Mil in-kind)'!B19,'Bilateral Assistance, MAIN DATA'!AG:AG,1,'Bilateral Assistance, MAIN DATA'!AH:AH,'Comm per Month (Mil in-kind)'!$O$11, 'Bilateral Assistance, MAIN DATA'!AS:AS,1)/1000000000</f>
        <v>0</v>
      </c>
      <c r="P19" s="316">
        <f>SUMIFS('Bilateral Assistance, MAIN DATA'!S:S,'Bilateral Assistance, MAIN DATA'!B:B,'Comm per Month (Mil in-kind)'!B19,'Bilateral Assistance, MAIN DATA'!AG:AG,1,'Bilateral Assistance, MAIN DATA'!AH:AH,'Comm per Month (Mil in-kind)'!$P$11, 'Bilateral Assistance, MAIN DATA'!AS:AS,1)/1000000000</f>
        <v>0</v>
      </c>
      <c r="Q19" s="316">
        <f>SUMIFS('Bilateral Assistance, MAIN DATA'!S:S,'Bilateral Assistance, MAIN DATA'!B:B,'Comm per Month (Mil in-kind)'!B19,'Bilateral Assistance, MAIN DATA'!AG:AG,1,'Bilateral Assistance, MAIN DATA'!AH:AH,'Comm per Month (Mil in-kind)'!$Q$11, 'Bilateral Assistance, MAIN DATA'!AS:AS,1)/1000000000</f>
        <v>0</v>
      </c>
      <c r="R19" s="316">
        <f t="shared" si="0"/>
        <v>0</v>
      </c>
      <c r="S19" s="316">
        <f>SUMIFS('Bilateral Assistance, MAIN DATA'!S:S,'Bilateral Assistance, MAIN DATA'!B:B,'Comm per Month (Mil in-kind)'!B19,'Bilateral Assistance, MAIN DATA'!AG:AG,0,'Bilateral Assistance, MAIN DATA'!AS:AS,1)/1000000000</f>
        <v>0</v>
      </c>
    </row>
    <row r="20" spans="1:21" ht="15.9" customHeight="1" x14ac:dyDescent="0.3">
      <c r="A20" s="5"/>
      <c r="B20" s="24" t="s">
        <v>716</v>
      </c>
      <c r="C20" s="339">
        <v>1</v>
      </c>
      <c r="D20" s="339">
        <v>0</v>
      </c>
      <c r="E20" s="315">
        <f>SUMIFS('Bilateral Assistance, MAIN DATA'!S:S,'Bilateral Assistance, MAIN DATA'!B:B,'Comm per Month (Mil in-kind)'!B20,'Bilateral Assistance, MAIN DATA'!AG:AG,1,'Bilateral Assistance, MAIN DATA'!AH:AH,'Comm per Month (Mil in-kind)'!$E$11, 'Bilateral Assistance, MAIN DATA'!AS:AS,1)/1000000000</f>
        <v>0</v>
      </c>
      <c r="F20" s="315">
        <f>SUMIFS('Bilateral Assistance, MAIN DATA'!S:S,'Bilateral Assistance, MAIN DATA'!B:B,'Comm per Month (Mil in-kind)'!B20,'Bilateral Assistance, MAIN DATA'!AG:AG,1,'Bilateral Assistance, MAIN DATA'!AH:AH,'Comm per Month (Mil in-kind)'!$F$11, 'Bilateral Assistance, MAIN DATA'!AS:AS,1)/1000000000</f>
        <v>2.6046804119412941E-2</v>
      </c>
      <c r="G20" s="315">
        <f>SUMIFS('Bilateral Assistance, MAIN DATA'!S:S,'Bilateral Assistance, MAIN DATA'!B:B,'Comm per Month (Mil in-kind)'!B20,'Bilateral Assistance, MAIN DATA'!AG:AG,1,'Bilateral Assistance, MAIN DATA'!AH:AH,'Comm per Month (Mil in-kind)'!$G$11, 'Bilateral Assistance, MAIN DATA'!AS:AS,1)/1000000000</f>
        <v>3.5414787397947838E-2</v>
      </c>
      <c r="H20" s="315">
        <f>SUMIFS('Bilateral Assistance, MAIN DATA'!S:S,'Bilateral Assistance, MAIN DATA'!B:B,'Comm per Month (Mil in-kind)'!B20,'Bilateral Assistance, MAIN DATA'!AG:AG,1,'Bilateral Assistance, MAIN DATA'!AH:AH,'Comm per Month (Mil in-kind)'!$H$11, 'Bilateral Assistance, MAIN DATA'!AS:AS,1)/1000000000</f>
        <v>0.12902280708366495</v>
      </c>
      <c r="I20" s="315">
        <f>SUMIFS('Bilateral Assistance, MAIN DATA'!S:S,'Bilateral Assistance, MAIN DATA'!B:B,'Comm per Month (Mil in-kind)'!B20,'Bilateral Assistance, MAIN DATA'!AG:AG,1,'Bilateral Assistance, MAIN DATA'!AH:AH,'Comm per Month (Mil in-kind)'!$I$11, 'Bilateral Assistance, MAIN DATA'!AS:AS,1)/1000000000</f>
        <v>0.10857142857142857</v>
      </c>
      <c r="J20" s="315">
        <f>SUMIFS('Bilateral Assistance, MAIN DATA'!S:S,'Bilateral Assistance, MAIN DATA'!B:B,'Comm per Month (Mil in-kind)'!B20,'Bilateral Assistance, MAIN DATA'!AG:AG,1,'Bilateral Assistance, MAIN DATA'!AH:AH,'Comm per Month (Mil in-kind)'!$J$11, 'Bilateral Assistance, MAIN DATA'!AS:AS,1)/1000000000</f>
        <v>0</v>
      </c>
      <c r="K20" s="315">
        <f>SUMIFS('Bilateral Assistance, MAIN DATA'!S:S,'Bilateral Assistance, MAIN DATA'!B:B,'Comm per Month (Mil in-kind)'!B20,'Bilateral Assistance, MAIN DATA'!AG:AG,1,'Bilateral Assistance, MAIN DATA'!AH:AH,'Comm per Month (Mil in-kind)'!$K$11, 'Bilateral Assistance, MAIN DATA'!AS:AS,1)/1000000000</f>
        <v>0</v>
      </c>
      <c r="L20" s="315">
        <f>SUMIFS('Bilateral Assistance, MAIN DATA'!S:S,'Bilateral Assistance, MAIN DATA'!B:B,'Comm per Month (Mil in-kind)'!B20,'Bilateral Assistance, MAIN DATA'!AG:AG,1,'Bilateral Assistance, MAIN DATA'!AH:AH,'Comm per Month (Mil in-kind)'!$L$11, 'Bilateral Assistance, MAIN DATA'!AS:AS,1)/1000000000</f>
        <v>0</v>
      </c>
      <c r="M20" s="316">
        <f>SUMIFS('Bilateral Assistance, MAIN DATA'!S:S,'Bilateral Assistance, MAIN DATA'!B:B,'Comm per Month (Mil in-kind)'!B20,'Bilateral Assistance, MAIN DATA'!AG:AG,1,'Bilateral Assistance, MAIN DATA'!AH:AH,'Comm per Month (Mil in-kind)'!$M$11, 'Bilateral Assistance, MAIN DATA'!AS:AS,1)/1000000000</f>
        <v>0</v>
      </c>
      <c r="N20" s="270">
        <f>SUMIFS('Bilateral Assistance, MAIN DATA'!S:S,'Bilateral Assistance, MAIN DATA'!B:B,'Comm per Month (Mil in-kind)'!B20,'Bilateral Assistance, MAIN DATA'!AG:AG,1,'Bilateral Assistance, MAIN DATA'!AH:AH,'Comm per Month (Mil in-kind)'!$N$11, 'Bilateral Assistance, MAIN DATA'!AS:AS,1)/1000000000</f>
        <v>8.2654013128275999E-2</v>
      </c>
      <c r="O20" s="316">
        <f>SUMIFS('Bilateral Assistance, MAIN DATA'!S:S,'Bilateral Assistance, MAIN DATA'!B:B,'Comm per Month (Mil in-kind)'!B20,'Bilateral Assistance, MAIN DATA'!AG:AG,1,'Bilateral Assistance, MAIN DATA'!AH:AH,'Comm per Month (Mil in-kind)'!$O$11, 'Bilateral Assistance, MAIN DATA'!AS:AS,1)/1000000000</f>
        <v>4.2857142857142858E-2</v>
      </c>
      <c r="P20" s="316">
        <f>SUMIFS('Bilateral Assistance, MAIN DATA'!S:S,'Bilateral Assistance, MAIN DATA'!B:B,'Comm per Month (Mil in-kind)'!B20,'Bilateral Assistance, MAIN DATA'!AG:AG,1,'Bilateral Assistance, MAIN DATA'!AH:AH,'Comm per Month (Mil in-kind)'!$P$11, 'Bilateral Assistance, MAIN DATA'!AS:AS,1)/1000000000</f>
        <v>0</v>
      </c>
      <c r="Q20" s="316">
        <f>SUMIFS('Bilateral Assistance, MAIN DATA'!S:S,'Bilateral Assistance, MAIN DATA'!B:B,'Comm per Month (Mil in-kind)'!B20,'Bilateral Assistance, MAIN DATA'!AG:AG,1,'Bilateral Assistance, MAIN DATA'!AH:AH,'Comm per Month (Mil in-kind)'!$Q$11, 'Bilateral Assistance, MAIN DATA'!AS:AS,1)/1000000000</f>
        <v>0</v>
      </c>
      <c r="R20" s="316">
        <f t="shared" si="0"/>
        <v>0.42456698315787317</v>
      </c>
      <c r="S20" s="316">
        <f>SUMIFS('Bilateral Assistance, MAIN DATA'!S:S,'Bilateral Assistance, MAIN DATA'!B:B,'Comm per Month (Mil in-kind)'!B20,'Bilateral Assistance, MAIN DATA'!AG:AG,0,'Bilateral Assistance, MAIN DATA'!AS:AS,1)/1000000000</f>
        <v>0</v>
      </c>
    </row>
    <row r="21" spans="1:21" ht="15.9" customHeight="1" x14ac:dyDescent="0.3">
      <c r="A21" s="5"/>
      <c r="B21" s="24" t="s">
        <v>856</v>
      </c>
      <c r="C21" s="339">
        <v>1</v>
      </c>
      <c r="D21" s="339">
        <v>0</v>
      </c>
      <c r="E21" s="315">
        <f>SUMIFS('Bilateral Assistance, MAIN DATA'!S:S,'Bilateral Assistance, MAIN DATA'!B:B,'Comm per Month (Mil in-kind)'!B21,'Bilateral Assistance, MAIN DATA'!AG:AG,1,'Bilateral Assistance, MAIN DATA'!AH:AH,'Comm per Month (Mil in-kind)'!$E$11, 'Bilateral Assistance, MAIN DATA'!AS:AS,1)/1000000000</f>
        <v>0</v>
      </c>
      <c r="F21" s="315">
        <f>SUMIFS('Bilateral Assistance, MAIN DATA'!S:S,'Bilateral Assistance, MAIN DATA'!B:B,'Comm per Month (Mil in-kind)'!B21,'Bilateral Assistance, MAIN DATA'!AG:AG,1,'Bilateral Assistance, MAIN DATA'!AH:AH,'Comm per Month (Mil in-kind)'!$F$11, 'Bilateral Assistance, MAIN DATA'!AS:AS,1)/1000000000</f>
        <v>0</v>
      </c>
      <c r="G21" s="315">
        <f>SUMIFS('Bilateral Assistance, MAIN DATA'!S:S,'Bilateral Assistance, MAIN DATA'!B:B,'Comm per Month (Mil in-kind)'!B21,'Bilateral Assistance, MAIN DATA'!AG:AG,1,'Bilateral Assistance, MAIN DATA'!AH:AH,'Comm per Month (Mil in-kind)'!$G$11, 'Bilateral Assistance, MAIN DATA'!AS:AS,1)/1000000000</f>
        <v>0</v>
      </c>
      <c r="H21" s="315">
        <f>SUMIFS('Bilateral Assistance, MAIN DATA'!S:S,'Bilateral Assistance, MAIN DATA'!B:B,'Comm per Month (Mil in-kind)'!B21,'Bilateral Assistance, MAIN DATA'!AG:AG,1,'Bilateral Assistance, MAIN DATA'!AH:AH,'Comm per Month (Mil in-kind)'!$H$11, 'Bilateral Assistance, MAIN DATA'!AS:AS,1)/1000000000</f>
        <v>0.13447367005540314</v>
      </c>
      <c r="I21" s="315">
        <f>SUMIFS('Bilateral Assistance, MAIN DATA'!S:S,'Bilateral Assistance, MAIN DATA'!B:B,'Comm per Month (Mil in-kind)'!B21,'Bilateral Assistance, MAIN DATA'!AG:AG,1,'Bilateral Assistance, MAIN DATA'!AH:AH,'Comm per Month (Mil in-kind)'!$I$11, 'Bilateral Assistance, MAIN DATA'!AS:AS,1)/1000000000</f>
        <v>0.13447367005540314</v>
      </c>
      <c r="J21" s="315">
        <f>SUMIFS('Bilateral Assistance, MAIN DATA'!S:S,'Bilateral Assistance, MAIN DATA'!B:B,'Comm per Month (Mil in-kind)'!B21,'Bilateral Assistance, MAIN DATA'!AG:AG,1,'Bilateral Assistance, MAIN DATA'!AH:AH,'Comm per Month (Mil in-kind)'!$J$11, 'Bilateral Assistance, MAIN DATA'!AS:AS,1)/1000000000</f>
        <v>0</v>
      </c>
      <c r="K21" s="315">
        <f>SUMIFS('Bilateral Assistance, MAIN DATA'!S:S,'Bilateral Assistance, MAIN DATA'!B:B,'Comm per Month (Mil in-kind)'!B21,'Bilateral Assistance, MAIN DATA'!AG:AG,1,'Bilateral Assistance, MAIN DATA'!AH:AH,'Comm per Month (Mil in-kind)'!$K$11, 'Bilateral Assistance, MAIN DATA'!AS:AS,1)/1000000000</f>
        <v>0</v>
      </c>
      <c r="L21" s="315">
        <f>SUMIFS('Bilateral Assistance, MAIN DATA'!S:S,'Bilateral Assistance, MAIN DATA'!B:B,'Comm per Month (Mil in-kind)'!B21,'Bilateral Assistance, MAIN DATA'!AG:AG,1,'Bilateral Assistance, MAIN DATA'!AH:AH,'Comm per Month (Mil in-kind)'!$L$11, 'Bilateral Assistance, MAIN DATA'!AS:AS,1)/1000000000</f>
        <v>0.11026840944543059</v>
      </c>
      <c r="M21" s="316">
        <f>SUMIFS('Bilateral Assistance, MAIN DATA'!S:S,'Bilateral Assistance, MAIN DATA'!B:B,'Comm per Month (Mil in-kind)'!B21,'Bilateral Assistance, MAIN DATA'!AG:AG,1,'Bilateral Assistance, MAIN DATA'!AH:AH,'Comm per Month (Mil in-kind)'!$M$11, 'Bilateral Assistance, MAIN DATA'!AS:AS,1)/1000000000</f>
        <v>0.13097735463396268</v>
      </c>
      <c r="N21" s="270">
        <f>SUMIFS('Bilateral Assistance, MAIN DATA'!S:S,'Bilateral Assistance, MAIN DATA'!B:B,'Comm per Month (Mil in-kind)'!B21,'Bilateral Assistance, MAIN DATA'!AG:AG,1,'Bilateral Assistance, MAIN DATA'!AH:AH,'Comm per Month (Mil in-kind)'!$N$11, 'Bilateral Assistance, MAIN DATA'!AS:AS,1)/1000000000</f>
        <v>0</v>
      </c>
      <c r="O21" s="316">
        <f>SUMIFS('Bilateral Assistance, MAIN DATA'!S:S,'Bilateral Assistance, MAIN DATA'!B:B,'Comm per Month (Mil in-kind)'!B21,'Bilateral Assistance, MAIN DATA'!AG:AG,1,'Bilateral Assistance, MAIN DATA'!AH:AH,'Comm per Month (Mil in-kind)'!$O$11, 'Bilateral Assistance, MAIN DATA'!AS:AS,1)/1000000000</f>
        <v>0</v>
      </c>
      <c r="P21" s="316">
        <f>SUMIFS('Bilateral Assistance, MAIN DATA'!S:S,'Bilateral Assistance, MAIN DATA'!B:B,'Comm per Month (Mil in-kind)'!B21,'Bilateral Assistance, MAIN DATA'!AG:AG,1,'Bilateral Assistance, MAIN DATA'!AH:AH,'Comm per Month (Mil in-kind)'!$P$11, 'Bilateral Assistance, MAIN DATA'!AS:AS,1)/1000000000</f>
        <v>5.28E-2</v>
      </c>
      <c r="Q21" s="316">
        <f>SUMIFS('Bilateral Assistance, MAIN DATA'!S:S,'Bilateral Assistance, MAIN DATA'!B:B,'Comm per Month (Mil in-kind)'!B21,'Bilateral Assistance, MAIN DATA'!AG:AG,1,'Bilateral Assistance, MAIN DATA'!AH:AH,'Comm per Month (Mil in-kind)'!$Q$11, 'Bilateral Assistance, MAIN DATA'!AS:AS,1)/1000000000</f>
        <v>0</v>
      </c>
      <c r="R21" s="316">
        <f t="shared" si="0"/>
        <v>0.56299310419019954</v>
      </c>
      <c r="S21" s="316">
        <f>SUMIFS('Bilateral Assistance, MAIN DATA'!S:S,'Bilateral Assistance, MAIN DATA'!B:B,'Comm per Month (Mil in-kind)'!B21,'Bilateral Assistance, MAIN DATA'!AG:AG,0,'Bilateral Assistance, MAIN DATA'!AS:AS,1)/1000000000</f>
        <v>0</v>
      </c>
    </row>
    <row r="22" spans="1:21" ht="15.9" customHeight="1" x14ac:dyDescent="0.3">
      <c r="A22" s="5"/>
      <c r="B22" s="24" t="s">
        <v>937</v>
      </c>
      <c r="C22" s="339">
        <v>1</v>
      </c>
      <c r="D22" s="339">
        <v>0</v>
      </c>
      <c r="E22" s="315">
        <f>SUMIFS('Bilateral Assistance, MAIN DATA'!S:S,'Bilateral Assistance, MAIN DATA'!B:B,'Comm per Month (Mil in-kind)'!B22,'Bilateral Assistance, MAIN DATA'!AG:AG,1,'Bilateral Assistance, MAIN DATA'!AH:AH,'Comm per Month (Mil in-kind)'!$E$11, 'Bilateral Assistance, MAIN DATA'!AS:AS,1)/1000000000</f>
        <v>0</v>
      </c>
      <c r="F22" s="315">
        <f>SUMIFS('Bilateral Assistance, MAIN DATA'!S:S,'Bilateral Assistance, MAIN DATA'!B:B,'Comm per Month (Mil in-kind)'!B22,'Bilateral Assistance, MAIN DATA'!AG:AG,1,'Bilateral Assistance, MAIN DATA'!AH:AH,'Comm per Month (Mil in-kind)'!$F$11, 'Bilateral Assistance, MAIN DATA'!AS:AS,1)/1000000000</f>
        <v>5.3E-3</v>
      </c>
      <c r="G22" s="315">
        <f>SUMIFS('Bilateral Assistance, MAIN DATA'!S:S,'Bilateral Assistance, MAIN DATA'!B:B,'Comm per Month (Mil in-kind)'!B22,'Bilateral Assistance, MAIN DATA'!AG:AG,1,'Bilateral Assistance, MAIN DATA'!AH:AH,'Comm per Month (Mil in-kind)'!$G$11, 'Bilateral Assistance, MAIN DATA'!AS:AS,1)/1000000000</f>
        <v>0</v>
      </c>
      <c r="H22" s="315">
        <f>SUMIFS('Bilateral Assistance, MAIN DATA'!S:S,'Bilateral Assistance, MAIN DATA'!B:B,'Comm per Month (Mil in-kind)'!B22,'Bilateral Assistance, MAIN DATA'!AG:AG,1,'Bilateral Assistance, MAIN DATA'!AH:AH,'Comm per Month (Mil in-kind)'!$H$11, 'Bilateral Assistance, MAIN DATA'!AS:AS,1)/1000000000</f>
        <v>5.0000000000000001E-3</v>
      </c>
      <c r="I22" s="315">
        <f>SUMIFS('Bilateral Assistance, MAIN DATA'!S:S,'Bilateral Assistance, MAIN DATA'!B:B,'Comm per Month (Mil in-kind)'!B22,'Bilateral Assistance, MAIN DATA'!AG:AG,1,'Bilateral Assistance, MAIN DATA'!AH:AH,'Comm per Month (Mil in-kind)'!$I$11, 'Bilateral Assistance, MAIN DATA'!AS:AS,1)/1000000000</f>
        <v>0.24</v>
      </c>
      <c r="J22" s="315">
        <f>SUMIFS('Bilateral Assistance, MAIN DATA'!S:S,'Bilateral Assistance, MAIN DATA'!B:B,'Comm per Month (Mil in-kind)'!B22,'Bilateral Assistance, MAIN DATA'!AG:AG,1,'Bilateral Assistance, MAIN DATA'!AH:AH,'Comm per Month (Mil in-kind)'!$J$11, 'Bilateral Assistance, MAIN DATA'!AS:AS,1)/1000000000</f>
        <v>0</v>
      </c>
      <c r="K22" s="315">
        <f>SUMIFS('Bilateral Assistance, MAIN DATA'!S:S,'Bilateral Assistance, MAIN DATA'!B:B,'Comm per Month (Mil in-kind)'!B22,'Bilateral Assistance, MAIN DATA'!AG:AG,1,'Bilateral Assistance, MAIN DATA'!AH:AH,'Comm per Month (Mil in-kind)'!$K$11, 'Bilateral Assistance, MAIN DATA'!AS:AS,1)/1000000000</f>
        <v>0</v>
      </c>
      <c r="L22" s="315">
        <f>SUMIFS('Bilateral Assistance, MAIN DATA'!S:S,'Bilateral Assistance, MAIN DATA'!B:B,'Comm per Month (Mil in-kind)'!B22,'Bilateral Assistance, MAIN DATA'!AG:AG,1,'Bilateral Assistance, MAIN DATA'!AH:AH,'Comm per Month (Mil in-kind)'!$L$11, 'Bilateral Assistance, MAIN DATA'!AS:AS,1)/1000000000</f>
        <v>1.7819999999999999E-2</v>
      </c>
      <c r="M22" s="316">
        <f>SUMIFS('Bilateral Assistance, MAIN DATA'!S:S,'Bilateral Assistance, MAIN DATA'!B:B,'Comm per Month (Mil in-kind)'!B22,'Bilateral Assistance, MAIN DATA'!AG:AG,1,'Bilateral Assistance, MAIN DATA'!AH:AH,'Comm per Month (Mil in-kind)'!$M$11, 'Bilateral Assistance, MAIN DATA'!AS:AS,1)/1000000000</f>
        <v>0</v>
      </c>
      <c r="N22" s="270">
        <f>SUMIFS('Bilateral Assistance, MAIN DATA'!S:S,'Bilateral Assistance, MAIN DATA'!B:B,'Comm per Month (Mil in-kind)'!B22,'Bilateral Assistance, MAIN DATA'!AG:AG,1,'Bilateral Assistance, MAIN DATA'!AH:AH,'Comm per Month (Mil in-kind)'!$N$11, 'Bilateral Assistance, MAIN DATA'!AS:AS,1)/1000000000</f>
        <v>3.1879999999999999E-2</v>
      </c>
      <c r="O22" s="316">
        <f>SUMIFS('Bilateral Assistance, MAIN DATA'!S:S,'Bilateral Assistance, MAIN DATA'!B:B,'Comm per Month (Mil in-kind)'!B22,'Bilateral Assistance, MAIN DATA'!AG:AG,1,'Bilateral Assistance, MAIN DATA'!AH:AH,'Comm per Month (Mil in-kind)'!$O$11, 'Bilateral Assistance, MAIN DATA'!AS:AS,1)/1000000000</f>
        <v>0</v>
      </c>
      <c r="P22" s="316">
        <f>SUMIFS('Bilateral Assistance, MAIN DATA'!S:S,'Bilateral Assistance, MAIN DATA'!B:B,'Comm per Month (Mil in-kind)'!B22,'Bilateral Assistance, MAIN DATA'!AG:AG,1,'Bilateral Assistance, MAIN DATA'!AH:AH,'Comm per Month (Mil in-kind)'!$P$11, 'Bilateral Assistance, MAIN DATA'!AS:AS,1)/1000000000</f>
        <v>7.7999999999999996E-3</v>
      </c>
      <c r="Q22" s="316">
        <f>SUMIFS('Bilateral Assistance, MAIN DATA'!S:S,'Bilateral Assistance, MAIN DATA'!B:B,'Comm per Month (Mil in-kind)'!B22,'Bilateral Assistance, MAIN DATA'!AG:AG,1,'Bilateral Assistance, MAIN DATA'!AH:AH,'Comm per Month (Mil in-kind)'!$Q$11, 'Bilateral Assistance, MAIN DATA'!AS:AS,1)/1000000000</f>
        <v>0</v>
      </c>
      <c r="R22" s="316">
        <f t="shared" si="0"/>
        <v>0.30779999999999996</v>
      </c>
      <c r="S22" s="316">
        <f>SUMIFS('Bilateral Assistance, MAIN DATA'!S:S,'Bilateral Assistance, MAIN DATA'!B:B,'Comm per Month (Mil in-kind)'!B22,'Bilateral Assistance, MAIN DATA'!AG:AG,0,'Bilateral Assistance, MAIN DATA'!AS:AS,1)/1000000000</f>
        <v>0</v>
      </c>
    </row>
    <row r="23" spans="1:21" ht="15.9" customHeight="1" x14ac:dyDescent="0.3">
      <c r="A23" s="331"/>
      <c r="B23" s="37" t="s">
        <v>3426</v>
      </c>
      <c r="C23" s="339">
        <v>1</v>
      </c>
      <c r="D23" s="339">
        <v>1</v>
      </c>
      <c r="E23" s="315">
        <f>SUMIFS('Bilateral Assistance, MAIN DATA'!S:S,'Bilateral Assistance, MAIN DATA'!B:B,'Comm per Month (Mil in-kind)'!B23,'Bilateral Assistance, MAIN DATA'!AG:AG,1,'Bilateral Assistance, MAIN DATA'!AH:AH,'Comm per Month (Mil in-kind)'!$E$11, 'Bilateral Assistance, MAIN DATA'!AS:AS,1)/1000000000</f>
        <v>0</v>
      </c>
      <c r="F23" s="315">
        <f>SUMIFS('Bilateral Assistance, MAIN DATA'!S:S,'Bilateral Assistance, MAIN DATA'!B:B,'Comm per Month (Mil in-kind)'!B23,'Bilateral Assistance, MAIN DATA'!AG:AG,1,'Bilateral Assistance, MAIN DATA'!AH:AH,'Comm per Month (Mil in-kind)'!$F$11, 'Bilateral Assistance, MAIN DATA'!AS:AS,1)/1000000000</f>
        <v>0</v>
      </c>
      <c r="G23" s="315">
        <f>SUMIFS('Bilateral Assistance, MAIN DATA'!S:S,'Bilateral Assistance, MAIN DATA'!B:B,'Comm per Month (Mil in-kind)'!B23,'Bilateral Assistance, MAIN DATA'!AG:AG,1,'Bilateral Assistance, MAIN DATA'!AH:AH,'Comm per Month (Mil in-kind)'!$G$11, 'Bilateral Assistance, MAIN DATA'!AS:AS,1)/1000000000</f>
        <v>0</v>
      </c>
      <c r="H23" s="315">
        <f>SUMIFS('Bilateral Assistance, MAIN DATA'!S:S,'Bilateral Assistance, MAIN DATA'!B:B,'Comm per Month (Mil in-kind)'!B23,'Bilateral Assistance, MAIN DATA'!AG:AG,1,'Bilateral Assistance, MAIN DATA'!AH:AH,'Comm per Month (Mil in-kind)'!$H$11, 'Bilateral Assistance, MAIN DATA'!AS:AS,1)/1000000000</f>
        <v>0</v>
      </c>
      <c r="I23" s="315">
        <f>SUMIFS('Bilateral Assistance, MAIN DATA'!S:S,'Bilateral Assistance, MAIN DATA'!B:B,'Comm per Month (Mil in-kind)'!B23,'Bilateral Assistance, MAIN DATA'!AG:AG,1,'Bilateral Assistance, MAIN DATA'!AH:AH,'Comm per Month (Mil in-kind)'!$I$11, 'Bilateral Assistance, MAIN DATA'!AS:AS,1)/1000000000</f>
        <v>0</v>
      </c>
      <c r="J23" s="315">
        <f>SUMIFS('Bilateral Assistance, MAIN DATA'!S:S,'Bilateral Assistance, MAIN DATA'!B:B,'Comm per Month (Mil in-kind)'!B23,'Bilateral Assistance, MAIN DATA'!AG:AG,1,'Bilateral Assistance, MAIN DATA'!AH:AH,'Comm per Month (Mil in-kind)'!$J$11, 'Bilateral Assistance, MAIN DATA'!AS:AS,1)/1000000000</f>
        <v>0</v>
      </c>
      <c r="K23" s="315">
        <f>SUMIFS('Bilateral Assistance, MAIN DATA'!S:S,'Bilateral Assistance, MAIN DATA'!B:B,'Comm per Month (Mil in-kind)'!B23,'Bilateral Assistance, MAIN DATA'!AG:AG,1,'Bilateral Assistance, MAIN DATA'!AH:AH,'Comm per Month (Mil in-kind)'!$K$11, 'Bilateral Assistance, MAIN DATA'!AS:AS,1)/1000000000</f>
        <v>0</v>
      </c>
      <c r="L23" s="315">
        <f>SUMIFS('Bilateral Assistance, MAIN DATA'!S:S,'Bilateral Assistance, MAIN DATA'!B:B,'Comm per Month (Mil in-kind)'!B23,'Bilateral Assistance, MAIN DATA'!AG:AG,1,'Bilateral Assistance, MAIN DATA'!AH:AH,'Comm per Month (Mil in-kind)'!$L$11, 'Bilateral Assistance, MAIN DATA'!AS:AS,1)/1000000000</f>
        <v>0</v>
      </c>
      <c r="M23" s="316">
        <f>SUMIFS('Bilateral Assistance, MAIN DATA'!S:S,'Bilateral Assistance, MAIN DATA'!B:B,'Comm per Month (Mil in-kind)'!B23,'Bilateral Assistance, MAIN DATA'!AG:AG,1,'Bilateral Assistance, MAIN DATA'!AH:AH,'Comm per Month (Mil in-kind)'!$M$11, 'Bilateral Assistance, MAIN DATA'!AS:AS,1)/1000000000</f>
        <v>0</v>
      </c>
      <c r="N23" s="270">
        <f>SUMIFS('Bilateral Assistance, MAIN DATA'!S:S,'Bilateral Assistance, MAIN DATA'!B:B,'Comm per Month (Mil in-kind)'!B23,'Bilateral Assistance, MAIN DATA'!AG:AG,1,'Bilateral Assistance, MAIN DATA'!AH:AH,'Comm per Month (Mil in-kind)'!$N$11, 'Bilateral Assistance, MAIN DATA'!AS:AS,1)/1000000000</f>
        <v>0</v>
      </c>
      <c r="O23" s="316">
        <f>SUMIFS('Bilateral Assistance, MAIN DATA'!S:S,'Bilateral Assistance, MAIN DATA'!B:B,'Comm per Month (Mil in-kind)'!B23,'Bilateral Assistance, MAIN DATA'!AG:AG,1,'Bilateral Assistance, MAIN DATA'!AH:AH,'Comm per Month (Mil in-kind)'!$O$11, 'Bilateral Assistance, MAIN DATA'!AS:AS,1)/1000000000</f>
        <v>0</v>
      </c>
      <c r="P23" s="316">
        <f>SUMIFS('Bilateral Assistance, MAIN DATA'!S:S,'Bilateral Assistance, MAIN DATA'!B:B,'Comm per Month (Mil in-kind)'!B23,'Bilateral Assistance, MAIN DATA'!AG:AG,1,'Bilateral Assistance, MAIN DATA'!AH:AH,'Comm per Month (Mil in-kind)'!$P$11, 'Bilateral Assistance, MAIN DATA'!AS:AS,1)/1000000000</f>
        <v>0</v>
      </c>
      <c r="Q23" s="316">
        <f>SUMIFS('Bilateral Assistance, MAIN DATA'!S:S,'Bilateral Assistance, MAIN DATA'!B:B,'Comm per Month (Mil in-kind)'!B23,'Bilateral Assistance, MAIN DATA'!AG:AG,1,'Bilateral Assistance, MAIN DATA'!AH:AH,'Comm per Month (Mil in-kind)'!$Q$11, 'Bilateral Assistance, MAIN DATA'!AS:AS,1)/1000000000</f>
        <v>0</v>
      </c>
      <c r="R23" s="316">
        <f t="shared" si="0"/>
        <v>0</v>
      </c>
      <c r="S23" s="316">
        <f>SUMIFS('Bilateral Assistance, MAIN DATA'!S:S,'Bilateral Assistance, MAIN DATA'!B:B,'Comm per Month (Mil in-kind)'!B23,'Bilateral Assistance, MAIN DATA'!AG:AG,0,'Bilateral Assistance, MAIN DATA'!AS:AS,1)/1000000000</f>
        <v>0</v>
      </c>
    </row>
    <row r="24" spans="1:21" ht="15.9" customHeight="1" x14ac:dyDescent="0.3">
      <c r="A24" s="331"/>
      <c r="B24" s="24" t="s">
        <v>1025</v>
      </c>
      <c r="C24" s="339">
        <v>1</v>
      </c>
      <c r="D24" s="339">
        <v>0</v>
      </c>
      <c r="E24" s="315">
        <f>SUMIFS('Bilateral Assistance, MAIN DATA'!S:S,'Bilateral Assistance, MAIN DATA'!B:B,'Comm per Month (Mil in-kind)'!B24,'Bilateral Assistance, MAIN DATA'!AG:AG,1,'Bilateral Assistance, MAIN DATA'!AH:AH,'Comm per Month (Mil in-kind)'!$E$11, 'Bilateral Assistance, MAIN DATA'!AS:AS,1)/1000000000</f>
        <v>0</v>
      </c>
      <c r="F24" s="315">
        <f>SUMIFS('Bilateral Assistance, MAIN DATA'!S:S,'Bilateral Assistance, MAIN DATA'!B:B,'Comm per Month (Mil in-kind)'!B24,'Bilateral Assistance, MAIN DATA'!AG:AG,1,'Bilateral Assistance, MAIN DATA'!AH:AH,'Comm per Month (Mil in-kind)'!$F$11, 'Bilateral Assistance, MAIN DATA'!AS:AS,1)/1000000000</f>
        <v>2.93E-2</v>
      </c>
      <c r="G24" s="315">
        <f>SUMIFS('Bilateral Assistance, MAIN DATA'!S:S,'Bilateral Assistance, MAIN DATA'!B:B,'Comm per Month (Mil in-kind)'!B24,'Bilateral Assistance, MAIN DATA'!AG:AG,1,'Bilateral Assistance, MAIN DATA'!AH:AH,'Comm per Month (Mil in-kind)'!$G$11, 'Bilateral Assistance, MAIN DATA'!AS:AS,1)/1000000000</f>
        <v>0</v>
      </c>
      <c r="H24" s="315">
        <f>SUMIFS('Bilateral Assistance, MAIN DATA'!S:S,'Bilateral Assistance, MAIN DATA'!B:B,'Comm per Month (Mil in-kind)'!B24,'Bilateral Assistance, MAIN DATA'!AG:AG,1,'Bilateral Assistance, MAIN DATA'!AH:AH,'Comm per Month (Mil in-kind)'!$H$11, 'Bilateral Assistance, MAIN DATA'!AS:AS,1)/1000000000</f>
        <v>0</v>
      </c>
      <c r="I24" s="315">
        <f>SUMIFS('Bilateral Assistance, MAIN DATA'!S:S,'Bilateral Assistance, MAIN DATA'!B:B,'Comm per Month (Mil in-kind)'!B24,'Bilateral Assistance, MAIN DATA'!AG:AG,1,'Bilateral Assistance, MAIN DATA'!AH:AH,'Comm per Month (Mil in-kind)'!$I$11, 'Bilateral Assistance, MAIN DATA'!AS:AS,1)/1000000000</f>
        <v>0</v>
      </c>
      <c r="J24" s="315">
        <f>SUMIFS('Bilateral Assistance, MAIN DATA'!S:S,'Bilateral Assistance, MAIN DATA'!B:B,'Comm per Month (Mil in-kind)'!B24,'Bilateral Assistance, MAIN DATA'!AG:AG,1,'Bilateral Assistance, MAIN DATA'!AH:AH,'Comm per Month (Mil in-kind)'!$J$11, 'Bilateral Assistance, MAIN DATA'!AS:AS,1)/1000000000</f>
        <v>5.475E-2</v>
      </c>
      <c r="K24" s="315">
        <f>SUMIFS('Bilateral Assistance, MAIN DATA'!S:S,'Bilateral Assistance, MAIN DATA'!B:B,'Comm per Month (Mil in-kind)'!B24,'Bilateral Assistance, MAIN DATA'!AG:AG,1,'Bilateral Assistance, MAIN DATA'!AH:AH,'Comm per Month (Mil in-kind)'!$K$11, 'Bilateral Assistance, MAIN DATA'!AS:AS,1)/1000000000</f>
        <v>0</v>
      </c>
      <c r="L24" s="315">
        <f>SUMIFS('Bilateral Assistance, MAIN DATA'!S:S,'Bilateral Assistance, MAIN DATA'!B:B,'Comm per Month (Mil in-kind)'!B24,'Bilateral Assistance, MAIN DATA'!AG:AG,1,'Bilateral Assistance, MAIN DATA'!AH:AH,'Comm per Month (Mil in-kind)'!$L$11, 'Bilateral Assistance, MAIN DATA'!AS:AS,1)/1000000000</f>
        <v>0</v>
      </c>
      <c r="M24" s="316">
        <f>SUMIFS('Bilateral Assistance, MAIN DATA'!S:S,'Bilateral Assistance, MAIN DATA'!B:B,'Comm per Month (Mil in-kind)'!B24,'Bilateral Assistance, MAIN DATA'!AG:AG,1,'Bilateral Assistance, MAIN DATA'!AH:AH,'Comm per Month (Mil in-kind)'!$M$11, 'Bilateral Assistance, MAIN DATA'!AS:AS,1)/1000000000</f>
        <v>8.2500000000000004E-3</v>
      </c>
      <c r="N24" s="270">
        <f>SUMIFS('Bilateral Assistance, MAIN DATA'!S:S,'Bilateral Assistance, MAIN DATA'!B:B,'Comm per Month (Mil in-kind)'!B24,'Bilateral Assistance, MAIN DATA'!AG:AG,1,'Bilateral Assistance, MAIN DATA'!AH:AH,'Comm per Month (Mil in-kind)'!$N$11, 'Bilateral Assistance, MAIN DATA'!AS:AS,1)/1000000000</f>
        <v>0</v>
      </c>
      <c r="O24" s="316">
        <f>SUMIFS('Bilateral Assistance, MAIN DATA'!S:S,'Bilateral Assistance, MAIN DATA'!B:B,'Comm per Month (Mil in-kind)'!B24,'Bilateral Assistance, MAIN DATA'!AG:AG,1,'Bilateral Assistance, MAIN DATA'!AH:AH,'Comm per Month (Mil in-kind)'!$O$11, 'Bilateral Assistance, MAIN DATA'!AS:AS,1)/1000000000</f>
        <v>5.5599999999999997E-2</v>
      </c>
      <c r="P24" s="316">
        <f>SUMIFS('Bilateral Assistance, MAIN DATA'!S:S,'Bilateral Assistance, MAIN DATA'!B:B,'Comm per Month (Mil in-kind)'!B24,'Bilateral Assistance, MAIN DATA'!AG:AG,1,'Bilateral Assistance, MAIN DATA'!AH:AH,'Comm per Month (Mil in-kind)'!$P$11, 'Bilateral Assistance, MAIN DATA'!AS:AS,1)/1000000000</f>
        <v>2.8799999999999999E-2</v>
      </c>
      <c r="Q24" s="316">
        <f>SUMIFS('Bilateral Assistance, MAIN DATA'!S:S,'Bilateral Assistance, MAIN DATA'!B:B,'Comm per Month (Mil in-kind)'!B24,'Bilateral Assistance, MAIN DATA'!AG:AG,1,'Bilateral Assistance, MAIN DATA'!AH:AH,'Comm per Month (Mil in-kind)'!$Q$11, 'Bilateral Assistance, MAIN DATA'!AS:AS,1)/1000000000</f>
        <v>0</v>
      </c>
      <c r="R24" s="316">
        <f t="shared" si="0"/>
        <v>0.17669999999999997</v>
      </c>
      <c r="S24" s="316">
        <f>SUMIFS('Bilateral Assistance, MAIN DATA'!S:S,'Bilateral Assistance, MAIN DATA'!B:B,'Comm per Month (Mil in-kind)'!B24,'Bilateral Assistance, MAIN DATA'!AG:AG,0,'Bilateral Assistance, MAIN DATA'!AS:AS,1)/1000000000</f>
        <v>0</v>
      </c>
    </row>
    <row r="25" spans="1:21" ht="15.9" customHeight="1" x14ac:dyDescent="0.3">
      <c r="A25" s="331"/>
      <c r="B25" s="24" t="s">
        <v>1131</v>
      </c>
      <c r="C25" s="339">
        <v>1</v>
      </c>
      <c r="D25" s="339">
        <v>0</v>
      </c>
      <c r="E25" s="315">
        <f>SUMIFS('Bilateral Assistance, MAIN DATA'!S:S,'Bilateral Assistance, MAIN DATA'!B:B,'Comm per Month (Mil in-kind)'!B25,'Bilateral Assistance, MAIN DATA'!AG:AG,1,'Bilateral Assistance, MAIN DATA'!AH:AH,'Comm per Month (Mil in-kind)'!$E$11, 'Bilateral Assistance, MAIN DATA'!AS:AS,1)/1000000000</f>
        <v>0</v>
      </c>
      <c r="F25" s="315">
        <f>SUMIFS('Bilateral Assistance, MAIN DATA'!S:S,'Bilateral Assistance, MAIN DATA'!B:B,'Comm per Month (Mil in-kind)'!B25,'Bilateral Assistance, MAIN DATA'!AG:AG,1,'Bilateral Assistance, MAIN DATA'!AH:AH,'Comm per Month (Mil in-kind)'!$F$11, 'Bilateral Assistance, MAIN DATA'!AS:AS,1)/1000000000</f>
        <v>0</v>
      </c>
      <c r="G25" s="315">
        <f>SUMIFS('Bilateral Assistance, MAIN DATA'!S:S,'Bilateral Assistance, MAIN DATA'!B:B,'Comm per Month (Mil in-kind)'!B25,'Bilateral Assistance, MAIN DATA'!AG:AG,1,'Bilateral Assistance, MAIN DATA'!AH:AH,'Comm per Month (Mil in-kind)'!$G$11, 'Bilateral Assistance, MAIN DATA'!AS:AS,1)/1000000000</f>
        <v>0</v>
      </c>
      <c r="H25" s="315">
        <f>SUMIFS('Bilateral Assistance, MAIN DATA'!S:S,'Bilateral Assistance, MAIN DATA'!B:B,'Comm per Month (Mil in-kind)'!B25,'Bilateral Assistance, MAIN DATA'!AG:AG,1,'Bilateral Assistance, MAIN DATA'!AH:AH,'Comm per Month (Mil in-kind)'!$H$11, 'Bilateral Assistance, MAIN DATA'!AS:AS,1)/1000000000</f>
        <v>0.17252192597623053</v>
      </c>
      <c r="I25" s="315">
        <f>SUMIFS('Bilateral Assistance, MAIN DATA'!S:S,'Bilateral Assistance, MAIN DATA'!B:B,'Comm per Month (Mil in-kind)'!B25,'Bilateral Assistance, MAIN DATA'!AG:AG,1,'Bilateral Assistance, MAIN DATA'!AH:AH,'Comm per Month (Mil in-kind)'!$I$11, 'Bilateral Assistance, MAIN DATA'!AS:AS,1)/1000000000</f>
        <v>0</v>
      </c>
      <c r="J25" s="315">
        <f>SUMIFS('Bilateral Assistance, MAIN DATA'!S:S,'Bilateral Assistance, MAIN DATA'!B:B,'Comm per Month (Mil in-kind)'!B25,'Bilateral Assistance, MAIN DATA'!AG:AG,1,'Bilateral Assistance, MAIN DATA'!AH:AH,'Comm per Month (Mil in-kind)'!$J$11, 'Bilateral Assistance, MAIN DATA'!AS:AS,1)/1000000000</f>
        <v>0.10522291213097242</v>
      </c>
      <c r="K25" s="315">
        <f>SUMIFS('Bilateral Assistance, MAIN DATA'!S:S,'Bilateral Assistance, MAIN DATA'!B:B,'Comm per Month (Mil in-kind)'!B25,'Bilateral Assistance, MAIN DATA'!AG:AG,1,'Bilateral Assistance, MAIN DATA'!AH:AH,'Comm per Month (Mil in-kind)'!$K$11, 'Bilateral Assistance, MAIN DATA'!AS:AS,1)/1000000000</f>
        <v>0</v>
      </c>
      <c r="L25" s="315">
        <f>SUMIFS('Bilateral Assistance, MAIN DATA'!S:S,'Bilateral Assistance, MAIN DATA'!B:B,'Comm per Month (Mil in-kind)'!B25,'Bilateral Assistance, MAIN DATA'!AG:AG,1,'Bilateral Assistance, MAIN DATA'!AH:AH,'Comm per Month (Mil in-kind)'!$L$11, 'Bilateral Assistance, MAIN DATA'!AS:AS,1)/1000000000</f>
        <v>0</v>
      </c>
      <c r="M25" s="316">
        <f>SUMIFS('Bilateral Assistance, MAIN DATA'!S:S,'Bilateral Assistance, MAIN DATA'!B:B,'Comm per Month (Mil in-kind)'!B25,'Bilateral Assistance, MAIN DATA'!AG:AG,1,'Bilateral Assistance, MAIN DATA'!AH:AH,'Comm per Month (Mil in-kind)'!$M$11, 'Bilateral Assistance, MAIN DATA'!AS:AS,1)/1000000000</f>
        <v>0</v>
      </c>
      <c r="N25" s="270">
        <f>SUMIFS('Bilateral Assistance, MAIN DATA'!S:S,'Bilateral Assistance, MAIN DATA'!B:B,'Comm per Month (Mil in-kind)'!B25,'Bilateral Assistance, MAIN DATA'!AG:AG,1,'Bilateral Assistance, MAIN DATA'!AH:AH,'Comm per Month (Mil in-kind)'!$N$11, 'Bilateral Assistance, MAIN DATA'!AS:AS,1)/1000000000</f>
        <v>0.1</v>
      </c>
      <c r="O25" s="316">
        <f>SUMIFS('Bilateral Assistance, MAIN DATA'!S:S,'Bilateral Assistance, MAIN DATA'!B:B,'Comm per Month (Mil in-kind)'!B25,'Bilateral Assistance, MAIN DATA'!AG:AG,1,'Bilateral Assistance, MAIN DATA'!AH:AH,'Comm per Month (Mil in-kind)'!$O$11, 'Bilateral Assistance, MAIN DATA'!AS:AS,1)/1000000000</f>
        <v>8.1882490033603414E-2</v>
      </c>
      <c r="P25" s="316">
        <f>SUMIFS('Bilateral Assistance, MAIN DATA'!S:S,'Bilateral Assistance, MAIN DATA'!B:B,'Comm per Month (Mil in-kind)'!B25,'Bilateral Assistance, MAIN DATA'!AG:AG,1,'Bilateral Assistance, MAIN DATA'!AH:AH,'Comm per Month (Mil in-kind)'!$P$11, 'Bilateral Assistance, MAIN DATA'!AS:AS,1)/1000000000</f>
        <v>0.2</v>
      </c>
      <c r="Q25" s="316">
        <f>SUMIFS('Bilateral Assistance, MAIN DATA'!S:S,'Bilateral Assistance, MAIN DATA'!B:B,'Comm per Month (Mil in-kind)'!B25,'Bilateral Assistance, MAIN DATA'!AG:AG,1,'Bilateral Assistance, MAIN DATA'!AH:AH,'Comm per Month (Mil in-kind)'!$Q$11, 'Bilateral Assistance, MAIN DATA'!AS:AS,1)/1000000000</f>
        <v>0</v>
      </c>
      <c r="R25" s="316">
        <f t="shared" si="0"/>
        <v>0.65962732814080638</v>
      </c>
      <c r="S25" s="316">
        <f>SUMIFS('Bilateral Assistance, MAIN DATA'!S:S,'Bilateral Assistance, MAIN DATA'!B:B,'Comm per Month (Mil in-kind)'!B25,'Bilateral Assistance, MAIN DATA'!AG:AG,0,'Bilateral Assistance, MAIN DATA'!AS:AS,1)/1000000000</f>
        <v>0</v>
      </c>
    </row>
    <row r="26" spans="1:21" ht="15.9" customHeight="1" x14ac:dyDescent="0.3">
      <c r="A26" s="19"/>
      <c r="B26" s="24" t="s">
        <v>1288</v>
      </c>
      <c r="C26" s="339">
        <v>1</v>
      </c>
      <c r="D26" s="339">
        <v>0</v>
      </c>
      <c r="E26" s="315">
        <f>SUMIFS('Bilateral Assistance, MAIN DATA'!S:S,'Bilateral Assistance, MAIN DATA'!B:B,'Comm per Month (Mil in-kind)'!B26,'Bilateral Assistance, MAIN DATA'!AG:AG,1,'Bilateral Assistance, MAIN DATA'!AH:AH,'Comm per Month (Mil in-kind)'!$E$11, 'Bilateral Assistance, MAIN DATA'!AS:AS,1)/1000000000</f>
        <v>0</v>
      </c>
      <c r="F26" s="315">
        <f>SUMIFS('Bilateral Assistance, MAIN DATA'!S:S,'Bilateral Assistance, MAIN DATA'!B:B,'Comm per Month (Mil in-kind)'!B26,'Bilateral Assistance, MAIN DATA'!AG:AG,1,'Bilateral Assistance, MAIN DATA'!AH:AH,'Comm per Month (Mil in-kind)'!$F$11, 'Bilateral Assistance, MAIN DATA'!AS:AS,1)/1000000000</f>
        <v>0</v>
      </c>
      <c r="G26" s="315">
        <f>SUMIFS('Bilateral Assistance, MAIN DATA'!S:S,'Bilateral Assistance, MAIN DATA'!B:B,'Comm per Month (Mil in-kind)'!B26,'Bilateral Assistance, MAIN DATA'!AG:AG,1,'Bilateral Assistance, MAIN DATA'!AH:AH,'Comm per Month (Mil in-kind)'!$G$11, 'Bilateral Assistance, MAIN DATA'!AS:AS,1)/1000000000</f>
        <v>0</v>
      </c>
      <c r="H26" s="315">
        <f>SUMIFS('Bilateral Assistance, MAIN DATA'!S:S,'Bilateral Assistance, MAIN DATA'!B:B,'Comm per Month (Mil in-kind)'!B26,'Bilateral Assistance, MAIN DATA'!AG:AG,1,'Bilateral Assistance, MAIN DATA'!AH:AH,'Comm per Month (Mil in-kind)'!$H$11, 'Bilateral Assistance, MAIN DATA'!AS:AS,1)/1000000000</f>
        <v>0</v>
      </c>
      <c r="I26" s="315">
        <f>SUMIFS('Bilateral Assistance, MAIN DATA'!S:S,'Bilateral Assistance, MAIN DATA'!B:B,'Comm per Month (Mil in-kind)'!B26,'Bilateral Assistance, MAIN DATA'!AG:AG,1,'Bilateral Assistance, MAIN DATA'!AH:AH,'Comm per Month (Mil in-kind)'!$I$11, 'Bilateral Assistance, MAIN DATA'!AS:AS,1)/1000000000</f>
        <v>0</v>
      </c>
      <c r="J26" s="315">
        <f>SUMIFS('Bilateral Assistance, MAIN DATA'!S:S,'Bilateral Assistance, MAIN DATA'!B:B,'Comm per Month (Mil in-kind)'!B26,'Bilateral Assistance, MAIN DATA'!AG:AG,1,'Bilateral Assistance, MAIN DATA'!AH:AH,'Comm per Month (Mil in-kind)'!$J$11, 'Bilateral Assistance, MAIN DATA'!AS:AS,1)/1000000000</f>
        <v>1.8939999999999999</v>
      </c>
      <c r="K26" s="315">
        <f>SUMIFS('Bilateral Assistance, MAIN DATA'!S:S,'Bilateral Assistance, MAIN DATA'!B:B,'Comm per Month (Mil in-kind)'!B26,'Bilateral Assistance, MAIN DATA'!AG:AG,1,'Bilateral Assistance, MAIN DATA'!AH:AH,'Comm per Month (Mil in-kind)'!$K$11, 'Bilateral Assistance, MAIN DATA'!AS:AS,1)/1000000000</f>
        <v>0</v>
      </c>
      <c r="L26" s="315">
        <f>SUMIFS('Bilateral Assistance, MAIN DATA'!S:S,'Bilateral Assistance, MAIN DATA'!B:B,'Comm per Month (Mil in-kind)'!B26,'Bilateral Assistance, MAIN DATA'!AG:AG,1,'Bilateral Assistance, MAIN DATA'!AH:AH,'Comm per Month (Mil in-kind)'!$L$11, 'Bilateral Assistance, MAIN DATA'!AS:AS,1)/1000000000</f>
        <v>0</v>
      </c>
      <c r="M26" s="316">
        <f>SUMIFS('Bilateral Assistance, MAIN DATA'!S:S,'Bilateral Assistance, MAIN DATA'!B:B,'Comm per Month (Mil in-kind)'!B26,'Bilateral Assistance, MAIN DATA'!AG:AG,1,'Bilateral Assistance, MAIN DATA'!AH:AH,'Comm per Month (Mil in-kind)'!$M$11, 'Bilateral Assistance, MAIN DATA'!AS:AS,1)/1000000000</f>
        <v>0</v>
      </c>
      <c r="N26" s="270">
        <f>SUMIFS('Bilateral Assistance, MAIN DATA'!S:S,'Bilateral Assistance, MAIN DATA'!B:B,'Comm per Month (Mil in-kind)'!B26,'Bilateral Assistance, MAIN DATA'!AG:AG,1,'Bilateral Assistance, MAIN DATA'!AH:AH,'Comm per Month (Mil in-kind)'!$N$11, 'Bilateral Assistance, MAIN DATA'!AS:AS,1)/1000000000</f>
        <v>0</v>
      </c>
      <c r="O26" s="316">
        <f>SUMIFS('Bilateral Assistance, MAIN DATA'!S:S,'Bilateral Assistance, MAIN DATA'!B:B,'Comm per Month (Mil in-kind)'!B26,'Bilateral Assistance, MAIN DATA'!AG:AG,1,'Bilateral Assistance, MAIN DATA'!AH:AH,'Comm per Month (Mil in-kind)'!$O$11, 'Bilateral Assistance, MAIN DATA'!AS:AS,1)/1000000000</f>
        <v>0</v>
      </c>
      <c r="P26" s="316">
        <f>SUMIFS('Bilateral Assistance, MAIN DATA'!S:S,'Bilateral Assistance, MAIN DATA'!B:B,'Comm per Month (Mil in-kind)'!B26,'Bilateral Assistance, MAIN DATA'!AG:AG,1,'Bilateral Assistance, MAIN DATA'!AH:AH,'Comm per Month (Mil in-kind)'!$P$11, 'Bilateral Assistance, MAIN DATA'!AS:AS,1)/1000000000</f>
        <v>0</v>
      </c>
      <c r="Q26" s="316">
        <f>SUMIFS('Bilateral Assistance, MAIN DATA'!S:S,'Bilateral Assistance, MAIN DATA'!B:B,'Comm per Month (Mil in-kind)'!B26,'Bilateral Assistance, MAIN DATA'!AG:AG,1,'Bilateral Assistance, MAIN DATA'!AH:AH,'Comm per Month (Mil in-kind)'!$Q$11, 'Bilateral Assistance, MAIN DATA'!AS:AS,1)/1000000000</f>
        <v>0.4612</v>
      </c>
      <c r="R26" s="316">
        <f t="shared" si="0"/>
        <v>2.3552</v>
      </c>
      <c r="S26" s="316">
        <f>SUMIFS('Bilateral Assistance, MAIN DATA'!S:S,'Bilateral Assistance, MAIN DATA'!B:B,'Comm per Month (Mil in-kind)'!B26,'Bilateral Assistance, MAIN DATA'!AG:AG,0,'Bilateral Assistance, MAIN DATA'!AS:AS,1)/1000000000</f>
        <v>0</v>
      </c>
    </row>
    <row r="27" spans="1:21" ht="15.9" customHeight="1" x14ac:dyDescent="0.3">
      <c r="A27" s="19"/>
      <c r="B27" s="24" t="s">
        <v>1606</v>
      </c>
      <c r="C27" s="339">
        <v>1</v>
      </c>
      <c r="D27" s="339">
        <v>0</v>
      </c>
      <c r="E27" s="315">
        <f>SUMIFS('Bilateral Assistance, MAIN DATA'!S:S,'Bilateral Assistance, MAIN DATA'!B:B,'Comm per Month (Mil in-kind)'!B27,'Bilateral Assistance, MAIN DATA'!AG:AG,1,'Bilateral Assistance, MAIN DATA'!AH:AH,'Comm per Month (Mil in-kind)'!$E$11, 'Bilateral Assistance, MAIN DATA'!AS:AS,1)/1000000000</f>
        <v>0</v>
      </c>
      <c r="F27" s="315">
        <f>SUMIFS('Bilateral Assistance, MAIN DATA'!S:S,'Bilateral Assistance, MAIN DATA'!B:B,'Comm per Month (Mil in-kind)'!B27,'Bilateral Assistance, MAIN DATA'!AG:AG,1,'Bilateral Assistance, MAIN DATA'!AH:AH,'Comm per Month (Mil in-kind)'!$F$11, 'Bilateral Assistance, MAIN DATA'!AS:AS,1)/1000000000</f>
        <v>0</v>
      </c>
      <c r="G27" s="315">
        <f>SUMIFS('Bilateral Assistance, MAIN DATA'!S:S,'Bilateral Assistance, MAIN DATA'!B:B,'Comm per Month (Mil in-kind)'!B27,'Bilateral Assistance, MAIN DATA'!AG:AG,1,'Bilateral Assistance, MAIN DATA'!AH:AH,'Comm per Month (Mil in-kind)'!$G$11, 'Bilateral Assistance, MAIN DATA'!AS:AS,1)/1000000000</f>
        <v>1.6467865904761902E-2</v>
      </c>
      <c r="H27" s="315">
        <f>SUMIFS('Bilateral Assistance, MAIN DATA'!S:S,'Bilateral Assistance, MAIN DATA'!B:B,'Comm per Month (Mil in-kind)'!B27,'Bilateral Assistance, MAIN DATA'!AG:AG,1,'Bilateral Assistance, MAIN DATA'!AH:AH,'Comm per Month (Mil in-kind)'!$H$11, 'Bilateral Assistance, MAIN DATA'!AS:AS,1)/1000000000</f>
        <v>0</v>
      </c>
      <c r="I27" s="315">
        <f>SUMIFS('Bilateral Assistance, MAIN DATA'!S:S,'Bilateral Assistance, MAIN DATA'!B:B,'Comm per Month (Mil in-kind)'!B27,'Bilateral Assistance, MAIN DATA'!AG:AG,1,'Bilateral Assistance, MAIN DATA'!AH:AH,'Comm per Month (Mil in-kind)'!$I$11, 'Bilateral Assistance, MAIN DATA'!AS:AS,1)/1000000000</f>
        <v>0.14484233142857142</v>
      </c>
      <c r="J27" s="315">
        <f>SUMIFS('Bilateral Assistance, MAIN DATA'!S:S,'Bilateral Assistance, MAIN DATA'!B:B,'Comm per Month (Mil in-kind)'!B27,'Bilateral Assistance, MAIN DATA'!AG:AG,1,'Bilateral Assistance, MAIN DATA'!AH:AH,'Comm per Month (Mil in-kind)'!$J$11, 'Bilateral Assistance, MAIN DATA'!AS:AS,1)/1000000000</f>
        <v>0</v>
      </c>
      <c r="K27" s="315">
        <f>SUMIFS('Bilateral Assistance, MAIN DATA'!S:S,'Bilateral Assistance, MAIN DATA'!B:B,'Comm per Month (Mil in-kind)'!B27,'Bilateral Assistance, MAIN DATA'!AG:AG,1,'Bilateral Assistance, MAIN DATA'!AH:AH,'Comm per Month (Mil in-kind)'!$K$11, 'Bilateral Assistance, MAIN DATA'!AS:AS,1)/1000000000</f>
        <v>0</v>
      </c>
      <c r="L27" s="315">
        <f>SUMIFS('Bilateral Assistance, MAIN DATA'!S:S,'Bilateral Assistance, MAIN DATA'!B:B,'Comm per Month (Mil in-kind)'!B27,'Bilateral Assistance, MAIN DATA'!AG:AG,1,'Bilateral Assistance, MAIN DATA'!AH:AH,'Comm per Month (Mil in-kind)'!$L$11, 'Bilateral Assistance, MAIN DATA'!AS:AS,1)/1000000000</f>
        <v>0</v>
      </c>
      <c r="M27" s="316">
        <f>SUMIFS('Bilateral Assistance, MAIN DATA'!S:S,'Bilateral Assistance, MAIN DATA'!B:B,'Comm per Month (Mil in-kind)'!B27,'Bilateral Assistance, MAIN DATA'!AG:AG,1,'Bilateral Assistance, MAIN DATA'!AH:AH,'Comm per Month (Mil in-kind)'!$M$11, 'Bilateral Assistance, MAIN DATA'!AS:AS,1)/1000000000</f>
        <v>2.1392096380952384E-2</v>
      </c>
      <c r="N27" s="270">
        <f>SUMIFS('Bilateral Assistance, MAIN DATA'!S:S,'Bilateral Assistance, MAIN DATA'!B:B,'Comm per Month (Mil in-kind)'!B27,'Bilateral Assistance, MAIN DATA'!AG:AG,1,'Bilateral Assistance, MAIN DATA'!AH:AH,'Comm per Month (Mil in-kind)'!$N$11, 'Bilateral Assistance, MAIN DATA'!AS:AS,1)/1000000000</f>
        <v>0</v>
      </c>
      <c r="O27" s="316">
        <f>SUMIFS('Bilateral Assistance, MAIN DATA'!S:S,'Bilateral Assistance, MAIN DATA'!B:B,'Comm per Month (Mil in-kind)'!B27,'Bilateral Assistance, MAIN DATA'!AG:AG,1,'Bilateral Assistance, MAIN DATA'!AH:AH,'Comm per Month (Mil in-kind)'!$O$11, 'Bilateral Assistance, MAIN DATA'!AS:AS,1)/1000000000</f>
        <v>0</v>
      </c>
      <c r="P27" s="316">
        <f>SUMIFS('Bilateral Assistance, MAIN DATA'!S:S,'Bilateral Assistance, MAIN DATA'!B:B,'Comm per Month (Mil in-kind)'!B27,'Bilateral Assistance, MAIN DATA'!AG:AG,1,'Bilateral Assistance, MAIN DATA'!AH:AH,'Comm per Month (Mil in-kind)'!$P$11, 'Bilateral Assistance, MAIN DATA'!AS:AS,1)/1000000000</f>
        <v>0</v>
      </c>
      <c r="Q27" s="316">
        <f>SUMIFS('Bilateral Assistance, MAIN DATA'!S:S,'Bilateral Assistance, MAIN DATA'!B:B,'Comm per Month (Mil in-kind)'!B27,'Bilateral Assistance, MAIN DATA'!AG:AG,1,'Bilateral Assistance, MAIN DATA'!AH:AH,'Comm per Month (Mil in-kind)'!$Q$11, 'Bilateral Assistance, MAIN DATA'!AS:AS,1)/1000000000</f>
        <v>0</v>
      </c>
      <c r="R27" s="316">
        <f t="shared" si="0"/>
        <v>0.1827022937142857</v>
      </c>
      <c r="S27" s="316">
        <f>SUMIFS('Bilateral Assistance, MAIN DATA'!S:S,'Bilateral Assistance, MAIN DATA'!B:B,'Comm per Month (Mil in-kind)'!B27,'Bilateral Assistance, MAIN DATA'!AG:AG,0,'Bilateral Assistance, MAIN DATA'!AS:AS,1)/1000000000</f>
        <v>0</v>
      </c>
    </row>
    <row r="28" spans="1:21" ht="15.9" customHeight="1" x14ac:dyDescent="0.3">
      <c r="A28" s="19"/>
      <c r="B28" s="24" t="s">
        <v>1646</v>
      </c>
      <c r="C28" s="339">
        <v>1</v>
      </c>
      <c r="D28" s="339">
        <v>0</v>
      </c>
      <c r="E28" s="315">
        <f>SUMIFS('Bilateral Assistance, MAIN DATA'!S:S,'Bilateral Assistance, MAIN DATA'!B:B,'Comm per Month (Mil in-kind)'!B28,'Bilateral Assistance, MAIN DATA'!AG:AG,1,'Bilateral Assistance, MAIN DATA'!AH:AH,'Comm per Month (Mil in-kind)'!$E$11, 'Bilateral Assistance, MAIN DATA'!AS:AS,1)/1000000000</f>
        <v>0</v>
      </c>
      <c r="F28" s="315">
        <f>SUMIFS('Bilateral Assistance, MAIN DATA'!S:S,'Bilateral Assistance, MAIN DATA'!B:B,'Comm per Month (Mil in-kind)'!B28,'Bilateral Assistance, MAIN DATA'!AG:AG,1,'Bilateral Assistance, MAIN DATA'!AH:AH,'Comm per Month (Mil in-kind)'!$F$11, 'Bilateral Assistance, MAIN DATA'!AS:AS,1)/1000000000</f>
        <v>0</v>
      </c>
      <c r="G28" s="315">
        <f>SUMIFS('Bilateral Assistance, MAIN DATA'!S:S,'Bilateral Assistance, MAIN DATA'!B:B,'Comm per Month (Mil in-kind)'!B28,'Bilateral Assistance, MAIN DATA'!AG:AG,1,'Bilateral Assistance, MAIN DATA'!AH:AH,'Comm per Month (Mil in-kind)'!$G$11, 'Bilateral Assistance, MAIN DATA'!AS:AS,1)/1000000000</f>
        <v>0</v>
      </c>
      <c r="H28" s="315">
        <f>SUMIFS('Bilateral Assistance, MAIN DATA'!S:S,'Bilateral Assistance, MAIN DATA'!B:B,'Comm per Month (Mil in-kind)'!B28,'Bilateral Assistance, MAIN DATA'!AG:AG,1,'Bilateral Assistance, MAIN DATA'!AH:AH,'Comm per Month (Mil in-kind)'!$H$11, 'Bilateral Assistance, MAIN DATA'!AS:AS,1)/1000000000</f>
        <v>0</v>
      </c>
      <c r="I28" s="315">
        <f>SUMIFS('Bilateral Assistance, MAIN DATA'!S:S,'Bilateral Assistance, MAIN DATA'!B:B,'Comm per Month (Mil in-kind)'!B28,'Bilateral Assistance, MAIN DATA'!AG:AG,1,'Bilateral Assistance, MAIN DATA'!AH:AH,'Comm per Month (Mil in-kind)'!$I$11, 'Bilateral Assistance, MAIN DATA'!AS:AS,1)/1000000000</f>
        <v>0</v>
      </c>
      <c r="J28" s="315">
        <f>SUMIFS('Bilateral Assistance, MAIN DATA'!S:S,'Bilateral Assistance, MAIN DATA'!B:B,'Comm per Month (Mil in-kind)'!B28,'Bilateral Assistance, MAIN DATA'!AG:AG,1,'Bilateral Assistance, MAIN DATA'!AH:AH,'Comm per Month (Mil in-kind)'!$J$11, 'Bilateral Assistance, MAIN DATA'!AS:AS,1)/1000000000</f>
        <v>0</v>
      </c>
      <c r="K28" s="315">
        <f>SUMIFS('Bilateral Assistance, MAIN DATA'!S:S,'Bilateral Assistance, MAIN DATA'!B:B,'Comm per Month (Mil in-kind)'!B28,'Bilateral Assistance, MAIN DATA'!AG:AG,1,'Bilateral Assistance, MAIN DATA'!AH:AH,'Comm per Month (Mil in-kind)'!$K$11, 'Bilateral Assistance, MAIN DATA'!AS:AS,1)/1000000000</f>
        <v>0</v>
      </c>
      <c r="L28" s="315">
        <f>SUMIFS('Bilateral Assistance, MAIN DATA'!S:S,'Bilateral Assistance, MAIN DATA'!B:B,'Comm per Month (Mil in-kind)'!B28,'Bilateral Assistance, MAIN DATA'!AG:AG,1,'Bilateral Assistance, MAIN DATA'!AH:AH,'Comm per Month (Mil in-kind)'!$L$11, 'Bilateral Assistance, MAIN DATA'!AS:AS,1)/1000000000</f>
        <v>0</v>
      </c>
      <c r="M28" s="316">
        <f>SUMIFS('Bilateral Assistance, MAIN DATA'!S:S,'Bilateral Assistance, MAIN DATA'!B:B,'Comm per Month (Mil in-kind)'!B28,'Bilateral Assistance, MAIN DATA'!AG:AG,1,'Bilateral Assistance, MAIN DATA'!AH:AH,'Comm per Month (Mil in-kind)'!$M$11, 'Bilateral Assistance, MAIN DATA'!AS:AS,1)/1000000000</f>
        <v>0</v>
      </c>
      <c r="N28" s="270">
        <f>SUMIFS('Bilateral Assistance, MAIN DATA'!S:S,'Bilateral Assistance, MAIN DATA'!B:B,'Comm per Month (Mil in-kind)'!B28,'Bilateral Assistance, MAIN DATA'!AG:AG,1,'Bilateral Assistance, MAIN DATA'!AH:AH,'Comm per Month (Mil in-kind)'!$N$11, 'Bilateral Assistance, MAIN DATA'!AS:AS,1)/1000000000</f>
        <v>0</v>
      </c>
      <c r="O28" s="316">
        <f>SUMIFS('Bilateral Assistance, MAIN DATA'!S:S,'Bilateral Assistance, MAIN DATA'!B:B,'Comm per Month (Mil in-kind)'!B28,'Bilateral Assistance, MAIN DATA'!AG:AG,1,'Bilateral Assistance, MAIN DATA'!AH:AH,'Comm per Month (Mil in-kind)'!$O$11, 'Bilateral Assistance, MAIN DATA'!AS:AS,1)/1000000000</f>
        <v>0</v>
      </c>
      <c r="P28" s="316">
        <f>SUMIFS('Bilateral Assistance, MAIN DATA'!S:S,'Bilateral Assistance, MAIN DATA'!B:B,'Comm per Month (Mil in-kind)'!B28,'Bilateral Assistance, MAIN DATA'!AG:AG,1,'Bilateral Assistance, MAIN DATA'!AH:AH,'Comm per Month (Mil in-kind)'!$P$11, 'Bilateral Assistance, MAIN DATA'!AS:AS,1)/1000000000</f>
        <v>0</v>
      </c>
      <c r="Q28" s="316">
        <f>SUMIFS('Bilateral Assistance, MAIN DATA'!S:S,'Bilateral Assistance, MAIN DATA'!B:B,'Comm per Month (Mil in-kind)'!B28,'Bilateral Assistance, MAIN DATA'!AG:AG,1,'Bilateral Assistance, MAIN DATA'!AH:AH,'Comm per Month (Mil in-kind)'!$Q$11, 'Bilateral Assistance, MAIN DATA'!AS:AS,1)/1000000000</f>
        <v>0</v>
      </c>
      <c r="R28" s="316">
        <f t="shared" si="0"/>
        <v>0</v>
      </c>
      <c r="S28" s="316">
        <f>SUMIFS('Bilateral Assistance, MAIN DATA'!S:S,'Bilateral Assistance, MAIN DATA'!B:B,'Comm per Month (Mil in-kind)'!B28,'Bilateral Assistance, MAIN DATA'!AG:AG,0,'Bilateral Assistance, MAIN DATA'!AS:AS,1)/1000000000</f>
        <v>0</v>
      </c>
    </row>
    <row r="29" spans="1:21" ht="15.9" customHeight="1" x14ac:dyDescent="0.3">
      <c r="A29" s="19"/>
      <c r="B29" s="24" t="s">
        <v>1701</v>
      </c>
      <c r="C29" s="339">
        <v>1</v>
      </c>
      <c r="D29" s="339">
        <v>0</v>
      </c>
      <c r="E29" s="315">
        <f>SUMIFS('Bilateral Assistance, MAIN DATA'!S:S,'Bilateral Assistance, MAIN DATA'!B:B,'Comm per Month (Mil in-kind)'!B29,'Bilateral Assistance, MAIN DATA'!AG:AG,1,'Bilateral Assistance, MAIN DATA'!AH:AH,'Comm per Month (Mil in-kind)'!$E$11, 'Bilateral Assistance, MAIN DATA'!AS:AS,1)/1000000000</f>
        <v>0</v>
      </c>
      <c r="F29" s="315">
        <f>SUMIFS('Bilateral Assistance, MAIN DATA'!S:S,'Bilateral Assistance, MAIN DATA'!B:B,'Comm per Month (Mil in-kind)'!B29,'Bilateral Assistance, MAIN DATA'!AG:AG,1,'Bilateral Assistance, MAIN DATA'!AH:AH,'Comm per Month (Mil in-kind)'!$F$11, 'Bilateral Assistance, MAIN DATA'!AS:AS,1)/1000000000</f>
        <v>0</v>
      </c>
      <c r="G29" s="315">
        <f>SUMIFS('Bilateral Assistance, MAIN DATA'!S:S,'Bilateral Assistance, MAIN DATA'!B:B,'Comm per Month (Mil in-kind)'!B29,'Bilateral Assistance, MAIN DATA'!AG:AG,1,'Bilateral Assistance, MAIN DATA'!AH:AH,'Comm per Month (Mil in-kind)'!$G$11, 'Bilateral Assistance, MAIN DATA'!AS:AS,1)/1000000000</f>
        <v>0</v>
      </c>
      <c r="H29" s="315">
        <f>SUMIFS('Bilateral Assistance, MAIN DATA'!S:S,'Bilateral Assistance, MAIN DATA'!B:B,'Comm per Month (Mil in-kind)'!B29,'Bilateral Assistance, MAIN DATA'!AG:AG,1,'Bilateral Assistance, MAIN DATA'!AH:AH,'Comm per Month (Mil in-kind)'!$H$11, 'Bilateral Assistance, MAIN DATA'!AS:AS,1)/1000000000</f>
        <v>0</v>
      </c>
      <c r="I29" s="315">
        <f>SUMIFS('Bilateral Assistance, MAIN DATA'!S:S,'Bilateral Assistance, MAIN DATA'!B:B,'Comm per Month (Mil in-kind)'!B29,'Bilateral Assistance, MAIN DATA'!AG:AG,1,'Bilateral Assistance, MAIN DATA'!AH:AH,'Comm per Month (Mil in-kind)'!$I$11, 'Bilateral Assistance, MAIN DATA'!AS:AS,1)/1000000000</f>
        <v>0</v>
      </c>
      <c r="J29" s="315">
        <f>SUMIFS('Bilateral Assistance, MAIN DATA'!S:S,'Bilateral Assistance, MAIN DATA'!B:B,'Comm per Month (Mil in-kind)'!B29,'Bilateral Assistance, MAIN DATA'!AG:AG,1,'Bilateral Assistance, MAIN DATA'!AH:AH,'Comm per Month (Mil in-kind)'!$J$11, 'Bilateral Assistance, MAIN DATA'!AS:AS,1)/1000000000</f>
        <v>0</v>
      </c>
      <c r="K29" s="315">
        <f>SUMIFS('Bilateral Assistance, MAIN DATA'!S:S,'Bilateral Assistance, MAIN DATA'!B:B,'Comm per Month (Mil in-kind)'!B29,'Bilateral Assistance, MAIN DATA'!AG:AG,1,'Bilateral Assistance, MAIN DATA'!AH:AH,'Comm per Month (Mil in-kind)'!$K$11, 'Bilateral Assistance, MAIN DATA'!AS:AS,1)/1000000000</f>
        <v>0</v>
      </c>
      <c r="L29" s="315">
        <f>SUMIFS('Bilateral Assistance, MAIN DATA'!S:S,'Bilateral Assistance, MAIN DATA'!B:B,'Comm per Month (Mil in-kind)'!B29,'Bilateral Assistance, MAIN DATA'!AG:AG,1,'Bilateral Assistance, MAIN DATA'!AH:AH,'Comm per Month (Mil in-kind)'!$L$11, 'Bilateral Assistance, MAIN DATA'!AS:AS,1)/1000000000</f>
        <v>0</v>
      </c>
      <c r="M29" s="316">
        <f>SUMIFS('Bilateral Assistance, MAIN DATA'!S:S,'Bilateral Assistance, MAIN DATA'!B:B,'Comm per Month (Mil in-kind)'!B29,'Bilateral Assistance, MAIN DATA'!AG:AG,1,'Bilateral Assistance, MAIN DATA'!AH:AH,'Comm per Month (Mil in-kind)'!$M$11, 'Bilateral Assistance, MAIN DATA'!AS:AS,1)/1000000000</f>
        <v>0</v>
      </c>
      <c r="N29" s="270">
        <f>SUMIFS('Bilateral Assistance, MAIN DATA'!S:S,'Bilateral Assistance, MAIN DATA'!B:B,'Comm per Month (Mil in-kind)'!B29,'Bilateral Assistance, MAIN DATA'!AG:AG,1,'Bilateral Assistance, MAIN DATA'!AH:AH,'Comm per Month (Mil in-kind)'!$N$11, 'Bilateral Assistance, MAIN DATA'!AS:AS,1)/1000000000</f>
        <v>0</v>
      </c>
      <c r="O29" s="316">
        <f>SUMIFS('Bilateral Assistance, MAIN DATA'!S:S,'Bilateral Assistance, MAIN DATA'!B:B,'Comm per Month (Mil in-kind)'!B29,'Bilateral Assistance, MAIN DATA'!AG:AG,1,'Bilateral Assistance, MAIN DATA'!AH:AH,'Comm per Month (Mil in-kind)'!$O$11, 'Bilateral Assistance, MAIN DATA'!AS:AS,1)/1000000000</f>
        <v>0</v>
      </c>
      <c r="P29" s="316">
        <f>SUMIFS('Bilateral Assistance, MAIN DATA'!S:S,'Bilateral Assistance, MAIN DATA'!B:B,'Comm per Month (Mil in-kind)'!B29,'Bilateral Assistance, MAIN DATA'!AG:AG,1,'Bilateral Assistance, MAIN DATA'!AH:AH,'Comm per Month (Mil in-kind)'!$P$11, 'Bilateral Assistance, MAIN DATA'!AS:AS,1)/1000000000</f>
        <v>0</v>
      </c>
      <c r="Q29" s="316">
        <f>SUMIFS('Bilateral Assistance, MAIN DATA'!S:S,'Bilateral Assistance, MAIN DATA'!B:B,'Comm per Month (Mil in-kind)'!B29,'Bilateral Assistance, MAIN DATA'!AG:AG,1,'Bilateral Assistance, MAIN DATA'!AH:AH,'Comm per Month (Mil in-kind)'!$Q$11, 'Bilateral Assistance, MAIN DATA'!AS:AS,1)/1000000000</f>
        <v>0</v>
      </c>
      <c r="R29" s="316">
        <f t="shared" si="0"/>
        <v>0</v>
      </c>
      <c r="S29" s="316">
        <f>SUMIFS('Bilateral Assistance, MAIN DATA'!S:S,'Bilateral Assistance, MAIN DATA'!B:B,'Comm per Month (Mil in-kind)'!B29,'Bilateral Assistance, MAIN DATA'!AG:AG,0,'Bilateral Assistance, MAIN DATA'!AS:AS,1)/1000000000</f>
        <v>0</v>
      </c>
    </row>
    <row r="30" spans="1:21" ht="15.9" customHeight="1" x14ac:dyDescent="0.3">
      <c r="A30" s="19"/>
      <c r="B30" s="24" t="s">
        <v>1730</v>
      </c>
      <c r="C30" s="339">
        <v>1</v>
      </c>
      <c r="D30" s="339">
        <v>0</v>
      </c>
      <c r="E30" s="315">
        <f>SUMIFS('Bilateral Assistance, MAIN DATA'!S:S,'Bilateral Assistance, MAIN DATA'!B:B,'Comm per Month (Mil in-kind)'!B30,'Bilateral Assistance, MAIN DATA'!AG:AG,1,'Bilateral Assistance, MAIN DATA'!AH:AH,'Comm per Month (Mil in-kind)'!$E$11, 'Bilateral Assistance, MAIN DATA'!AS:AS,1)/1000000000</f>
        <v>0</v>
      </c>
      <c r="F30" s="315">
        <f>SUMIFS('Bilateral Assistance, MAIN DATA'!S:S,'Bilateral Assistance, MAIN DATA'!B:B,'Comm per Month (Mil in-kind)'!B30,'Bilateral Assistance, MAIN DATA'!AG:AG,1,'Bilateral Assistance, MAIN DATA'!AH:AH,'Comm per Month (Mil in-kind)'!$F$11, 'Bilateral Assistance, MAIN DATA'!AS:AS,1)/1000000000</f>
        <v>0.15</v>
      </c>
      <c r="G30" s="315">
        <f>SUMIFS('Bilateral Assistance, MAIN DATA'!S:S,'Bilateral Assistance, MAIN DATA'!B:B,'Comm per Month (Mil in-kind)'!B30,'Bilateral Assistance, MAIN DATA'!AG:AG,1,'Bilateral Assistance, MAIN DATA'!AH:AH,'Comm per Month (Mil in-kind)'!$G$11, 'Bilateral Assistance, MAIN DATA'!AS:AS,1)/1000000000</f>
        <v>0</v>
      </c>
      <c r="H30" s="315">
        <f>SUMIFS('Bilateral Assistance, MAIN DATA'!S:S,'Bilateral Assistance, MAIN DATA'!B:B,'Comm per Month (Mil in-kind)'!B30,'Bilateral Assistance, MAIN DATA'!AG:AG,1,'Bilateral Assistance, MAIN DATA'!AH:AH,'Comm per Month (Mil in-kind)'!$H$11, 'Bilateral Assistance, MAIN DATA'!AS:AS,1)/1000000000</f>
        <v>0</v>
      </c>
      <c r="I30" s="315">
        <f>SUMIFS('Bilateral Assistance, MAIN DATA'!S:S,'Bilateral Assistance, MAIN DATA'!B:B,'Comm per Month (Mil in-kind)'!B30,'Bilateral Assistance, MAIN DATA'!AG:AG,1,'Bilateral Assistance, MAIN DATA'!AH:AH,'Comm per Month (Mil in-kind)'!$I$11, 'Bilateral Assistance, MAIN DATA'!AS:AS,1)/1000000000</f>
        <v>0</v>
      </c>
      <c r="J30" s="315">
        <f>SUMIFS('Bilateral Assistance, MAIN DATA'!S:S,'Bilateral Assistance, MAIN DATA'!B:B,'Comm per Month (Mil in-kind)'!B30,'Bilateral Assistance, MAIN DATA'!AG:AG,1,'Bilateral Assistance, MAIN DATA'!AH:AH,'Comm per Month (Mil in-kind)'!$J$11, 'Bilateral Assistance, MAIN DATA'!AS:AS,1)/1000000000</f>
        <v>0</v>
      </c>
      <c r="K30" s="315">
        <f>SUMIFS('Bilateral Assistance, MAIN DATA'!S:S,'Bilateral Assistance, MAIN DATA'!B:B,'Comm per Month (Mil in-kind)'!B30,'Bilateral Assistance, MAIN DATA'!AG:AG,1,'Bilateral Assistance, MAIN DATA'!AH:AH,'Comm per Month (Mil in-kind)'!$K$11, 'Bilateral Assistance, MAIN DATA'!AS:AS,1)/1000000000</f>
        <v>0</v>
      </c>
      <c r="L30" s="315">
        <f>SUMIFS('Bilateral Assistance, MAIN DATA'!S:S,'Bilateral Assistance, MAIN DATA'!B:B,'Comm per Month (Mil in-kind)'!B30,'Bilateral Assistance, MAIN DATA'!AG:AG,1,'Bilateral Assistance, MAIN DATA'!AH:AH,'Comm per Month (Mil in-kind)'!$L$11, 'Bilateral Assistance, MAIN DATA'!AS:AS,1)/1000000000</f>
        <v>0</v>
      </c>
      <c r="M30" s="316">
        <f>SUMIFS('Bilateral Assistance, MAIN DATA'!S:S,'Bilateral Assistance, MAIN DATA'!B:B,'Comm per Month (Mil in-kind)'!B30,'Bilateral Assistance, MAIN DATA'!AG:AG,1,'Bilateral Assistance, MAIN DATA'!AH:AH,'Comm per Month (Mil in-kind)'!$M$11, 'Bilateral Assistance, MAIN DATA'!AS:AS,1)/1000000000</f>
        <v>0</v>
      </c>
      <c r="N30" s="270">
        <f>SUMIFS('Bilateral Assistance, MAIN DATA'!S:S,'Bilateral Assistance, MAIN DATA'!B:B,'Comm per Month (Mil in-kind)'!B30,'Bilateral Assistance, MAIN DATA'!AG:AG,1,'Bilateral Assistance, MAIN DATA'!AH:AH,'Comm per Month (Mil in-kind)'!$N$11, 'Bilateral Assistance, MAIN DATA'!AS:AS,1)/1000000000</f>
        <v>0.16914838062565363</v>
      </c>
      <c r="O30" s="316">
        <f>SUMIFS('Bilateral Assistance, MAIN DATA'!S:S,'Bilateral Assistance, MAIN DATA'!B:B,'Comm per Month (Mil in-kind)'!B30,'Bilateral Assistance, MAIN DATA'!AG:AG,1,'Bilateral Assistance, MAIN DATA'!AH:AH,'Comm per Month (Mil in-kind)'!$O$11, 'Bilateral Assistance, MAIN DATA'!AS:AS,1)/1000000000</f>
        <v>0</v>
      </c>
      <c r="P30" s="316">
        <f>SUMIFS('Bilateral Assistance, MAIN DATA'!S:S,'Bilateral Assistance, MAIN DATA'!B:B,'Comm per Month (Mil in-kind)'!B30,'Bilateral Assistance, MAIN DATA'!AG:AG,1,'Bilateral Assistance, MAIN DATA'!AH:AH,'Comm per Month (Mil in-kind)'!$P$11, 'Bilateral Assistance, MAIN DATA'!AS:AS,1)/1000000000</f>
        <v>0</v>
      </c>
      <c r="Q30" s="316">
        <f>SUMIFS('Bilateral Assistance, MAIN DATA'!S:S,'Bilateral Assistance, MAIN DATA'!B:B,'Comm per Month (Mil in-kind)'!B30,'Bilateral Assistance, MAIN DATA'!AG:AG,1,'Bilateral Assistance, MAIN DATA'!AH:AH,'Comm per Month (Mil in-kind)'!$Q$11, 'Bilateral Assistance, MAIN DATA'!AS:AS,1)/1000000000</f>
        <v>0.34177000000000002</v>
      </c>
      <c r="R30" s="316">
        <f t="shared" si="0"/>
        <v>0.66091838062565367</v>
      </c>
      <c r="S30" s="316">
        <f>SUMIFS('Bilateral Assistance, MAIN DATA'!S:S,'Bilateral Assistance, MAIN DATA'!B:B,'Comm per Month (Mil in-kind)'!B30,'Bilateral Assistance, MAIN DATA'!AG:AG,0,'Bilateral Assistance, MAIN DATA'!AS:AS,1)/1000000000</f>
        <v>0</v>
      </c>
    </row>
    <row r="31" spans="1:21" ht="15.9" customHeight="1" x14ac:dyDescent="0.3">
      <c r="A31" s="19"/>
      <c r="B31" s="24" t="s">
        <v>1804</v>
      </c>
      <c r="C31" s="339">
        <v>0</v>
      </c>
      <c r="D31" s="339">
        <v>0</v>
      </c>
      <c r="E31" s="315">
        <f>SUMIFS('Bilateral Assistance, MAIN DATA'!S:S,'Bilateral Assistance, MAIN DATA'!B:B,'Comm per Month (Mil in-kind)'!B31,'Bilateral Assistance, MAIN DATA'!AG:AG,1,'Bilateral Assistance, MAIN DATA'!AH:AH,'Comm per Month (Mil in-kind)'!$E$11, 'Bilateral Assistance, MAIN DATA'!AS:AS,1)/1000000000</f>
        <v>0</v>
      </c>
      <c r="F31" s="315">
        <f>SUMIFS('Bilateral Assistance, MAIN DATA'!S:S,'Bilateral Assistance, MAIN DATA'!B:B,'Comm per Month (Mil in-kind)'!B31,'Bilateral Assistance, MAIN DATA'!AG:AG,1,'Bilateral Assistance, MAIN DATA'!AH:AH,'Comm per Month (Mil in-kind)'!$F$11, 'Bilateral Assistance, MAIN DATA'!AS:AS,1)/1000000000</f>
        <v>0</v>
      </c>
      <c r="G31" s="315">
        <f>SUMIFS('Bilateral Assistance, MAIN DATA'!S:S,'Bilateral Assistance, MAIN DATA'!B:B,'Comm per Month (Mil in-kind)'!B31,'Bilateral Assistance, MAIN DATA'!AG:AG,1,'Bilateral Assistance, MAIN DATA'!AH:AH,'Comm per Month (Mil in-kind)'!$G$11, 'Bilateral Assistance, MAIN DATA'!AS:AS,1)/1000000000</f>
        <v>2.0952380952380953E-3</v>
      </c>
      <c r="H31" s="315">
        <f>SUMIFS('Bilateral Assistance, MAIN DATA'!S:S,'Bilateral Assistance, MAIN DATA'!B:B,'Comm per Month (Mil in-kind)'!B31,'Bilateral Assistance, MAIN DATA'!AG:AG,1,'Bilateral Assistance, MAIN DATA'!AH:AH,'Comm per Month (Mil in-kind)'!$H$11, 'Bilateral Assistance, MAIN DATA'!AS:AS,1)/1000000000</f>
        <v>1.7142857142857143E-4</v>
      </c>
      <c r="I31" s="315">
        <f>SUMIFS('Bilateral Assistance, MAIN DATA'!S:S,'Bilateral Assistance, MAIN DATA'!B:B,'Comm per Month (Mil in-kind)'!B31,'Bilateral Assistance, MAIN DATA'!AG:AG,1,'Bilateral Assistance, MAIN DATA'!AH:AH,'Comm per Month (Mil in-kind)'!$I$11, 'Bilateral Assistance, MAIN DATA'!AS:AS,1)/1000000000</f>
        <v>0</v>
      </c>
      <c r="J31" s="315">
        <f>SUMIFS('Bilateral Assistance, MAIN DATA'!S:S,'Bilateral Assistance, MAIN DATA'!B:B,'Comm per Month (Mil in-kind)'!B31,'Bilateral Assistance, MAIN DATA'!AG:AG,1,'Bilateral Assistance, MAIN DATA'!AH:AH,'Comm per Month (Mil in-kind)'!$J$11, 'Bilateral Assistance, MAIN DATA'!AS:AS,1)/1000000000</f>
        <v>0</v>
      </c>
      <c r="K31" s="315">
        <f>SUMIFS('Bilateral Assistance, MAIN DATA'!S:S,'Bilateral Assistance, MAIN DATA'!B:B,'Comm per Month (Mil in-kind)'!B31,'Bilateral Assistance, MAIN DATA'!AG:AG,1,'Bilateral Assistance, MAIN DATA'!AH:AH,'Comm per Month (Mil in-kind)'!$K$11, 'Bilateral Assistance, MAIN DATA'!AS:AS,1)/1000000000</f>
        <v>0</v>
      </c>
      <c r="L31" s="315">
        <f>SUMIFS('Bilateral Assistance, MAIN DATA'!S:S,'Bilateral Assistance, MAIN DATA'!B:B,'Comm per Month (Mil in-kind)'!B31,'Bilateral Assistance, MAIN DATA'!AG:AG,1,'Bilateral Assistance, MAIN DATA'!AH:AH,'Comm per Month (Mil in-kind)'!$L$11, 'Bilateral Assistance, MAIN DATA'!AS:AS,1)/1000000000</f>
        <v>6.8571428571428567E-5</v>
      </c>
      <c r="M31" s="316">
        <f>SUMIFS('Bilateral Assistance, MAIN DATA'!S:S,'Bilateral Assistance, MAIN DATA'!B:B,'Comm per Month (Mil in-kind)'!B31,'Bilateral Assistance, MAIN DATA'!AG:AG,1,'Bilateral Assistance, MAIN DATA'!AH:AH,'Comm per Month (Mil in-kind)'!$M$11, 'Bilateral Assistance, MAIN DATA'!AS:AS,1)/1000000000</f>
        <v>0</v>
      </c>
      <c r="N31" s="270">
        <f>SUMIFS('Bilateral Assistance, MAIN DATA'!S:S,'Bilateral Assistance, MAIN DATA'!B:B,'Comm per Month (Mil in-kind)'!B31,'Bilateral Assistance, MAIN DATA'!AG:AG,1,'Bilateral Assistance, MAIN DATA'!AH:AH,'Comm per Month (Mil in-kind)'!$N$11, 'Bilateral Assistance, MAIN DATA'!AS:AS,1)/1000000000</f>
        <v>0</v>
      </c>
      <c r="O31" s="316">
        <f>SUMIFS('Bilateral Assistance, MAIN DATA'!S:S,'Bilateral Assistance, MAIN DATA'!B:B,'Comm per Month (Mil in-kind)'!B31,'Bilateral Assistance, MAIN DATA'!AG:AG,1,'Bilateral Assistance, MAIN DATA'!AH:AH,'Comm per Month (Mil in-kind)'!$O$11, 'Bilateral Assistance, MAIN DATA'!AS:AS,1)/1000000000</f>
        <v>0</v>
      </c>
      <c r="P31" s="316">
        <f>SUMIFS('Bilateral Assistance, MAIN DATA'!S:S,'Bilateral Assistance, MAIN DATA'!B:B,'Comm per Month (Mil in-kind)'!B31,'Bilateral Assistance, MAIN DATA'!AG:AG,1,'Bilateral Assistance, MAIN DATA'!AH:AH,'Comm per Month (Mil in-kind)'!$P$11, 'Bilateral Assistance, MAIN DATA'!AS:AS,1)/1000000000</f>
        <v>0</v>
      </c>
      <c r="Q31" s="316">
        <f>SUMIFS('Bilateral Assistance, MAIN DATA'!S:S,'Bilateral Assistance, MAIN DATA'!B:B,'Comm per Month (Mil in-kind)'!B31,'Bilateral Assistance, MAIN DATA'!AG:AG,1,'Bilateral Assistance, MAIN DATA'!AH:AH,'Comm per Month (Mil in-kind)'!$Q$11, 'Bilateral Assistance, MAIN DATA'!AS:AS,1)/1000000000</f>
        <v>0</v>
      </c>
      <c r="R31" s="316">
        <f t="shared" si="0"/>
        <v>2.3352380952380955E-3</v>
      </c>
      <c r="S31" s="316">
        <f>SUMIFS('Bilateral Assistance, MAIN DATA'!S:S,'Bilateral Assistance, MAIN DATA'!B:B,'Comm per Month (Mil in-kind)'!B31,'Bilateral Assistance, MAIN DATA'!AG:AG,0,'Bilateral Assistance, MAIN DATA'!AS:AS,1)/1000000000</f>
        <v>0</v>
      </c>
    </row>
    <row r="32" spans="1:21" ht="15.9" customHeight="1" x14ac:dyDescent="0.3">
      <c r="A32" s="19"/>
      <c r="B32" s="24" t="s">
        <v>1861</v>
      </c>
      <c r="C32" s="339">
        <v>1</v>
      </c>
      <c r="D32" s="339">
        <v>0</v>
      </c>
      <c r="E32" s="315">
        <f>SUMIFS('Bilateral Assistance, MAIN DATA'!S:S,'Bilateral Assistance, MAIN DATA'!B:B,'Comm per Month (Mil in-kind)'!B32,'Bilateral Assistance, MAIN DATA'!AG:AG,1,'Bilateral Assistance, MAIN DATA'!AH:AH,'Comm per Month (Mil in-kind)'!$E$11, 'Bilateral Assistance, MAIN DATA'!AS:AS,1)/1000000000</f>
        <v>0</v>
      </c>
      <c r="F32" s="315">
        <f>SUMIFS('Bilateral Assistance, MAIN DATA'!S:S,'Bilateral Assistance, MAIN DATA'!B:B,'Comm per Month (Mil in-kind)'!B32,'Bilateral Assistance, MAIN DATA'!AG:AG,1,'Bilateral Assistance, MAIN DATA'!AH:AH,'Comm per Month (Mil in-kind)'!$F$11, 'Bilateral Assistance, MAIN DATA'!AS:AS,1)/1000000000</f>
        <v>0</v>
      </c>
      <c r="G32" s="315">
        <f>SUMIFS('Bilateral Assistance, MAIN DATA'!S:S,'Bilateral Assistance, MAIN DATA'!B:B,'Comm per Month (Mil in-kind)'!B32,'Bilateral Assistance, MAIN DATA'!AG:AG,1,'Bilateral Assistance, MAIN DATA'!AH:AH,'Comm per Month (Mil in-kind)'!$G$11, 'Bilateral Assistance, MAIN DATA'!AS:AS,1)/1000000000</f>
        <v>0</v>
      </c>
      <c r="H32" s="315">
        <f>SUMIFS('Bilateral Assistance, MAIN DATA'!S:S,'Bilateral Assistance, MAIN DATA'!B:B,'Comm per Month (Mil in-kind)'!B32,'Bilateral Assistance, MAIN DATA'!AG:AG,1,'Bilateral Assistance, MAIN DATA'!AH:AH,'Comm per Month (Mil in-kind)'!$H$11, 'Bilateral Assistance, MAIN DATA'!AS:AS,1)/1000000000</f>
        <v>0.21879999999999999</v>
      </c>
      <c r="I32" s="315">
        <f>SUMIFS('Bilateral Assistance, MAIN DATA'!S:S,'Bilateral Assistance, MAIN DATA'!B:B,'Comm per Month (Mil in-kind)'!B32,'Bilateral Assistance, MAIN DATA'!AG:AG,1,'Bilateral Assistance, MAIN DATA'!AH:AH,'Comm per Month (Mil in-kind)'!$I$11, 'Bilateral Assistance, MAIN DATA'!AS:AS,1)/1000000000</f>
        <v>0</v>
      </c>
      <c r="J32" s="315">
        <f>SUMIFS('Bilateral Assistance, MAIN DATA'!S:S,'Bilateral Assistance, MAIN DATA'!B:B,'Comm per Month (Mil in-kind)'!B32,'Bilateral Assistance, MAIN DATA'!AG:AG,1,'Bilateral Assistance, MAIN DATA'!AH:AH,'Comm per Month (Mil in-kind)'!$J$11, 'Bilateral Assistance, MAIN DATA'!AS:AS,1)/1000000000</f>
        <v>0</v>
      </c>
      <c r="K32" s="315">
        <f>SUMIFS('Bilateral Assistance, MAIN DATA'!S:S,'Bilateral Assistance, MAIN DATA'!B:B,'Comm per Month (Mil in-kind)'!B32,'Bilateral Assistance, MAIN DATA'!AG:AG,1,'Bilateral Assistance, MAIN DATA'!AH:AH,'Comm per Month (Mil in-kind)'!$K$11, 'Bilateral Assistance, MAIN DATA'!AS:AS,1)/1000000000</f>
        <v>0.03</v>
      </c>
      <c r="L32" s="315">
        <f>SUMIFS('Bilateral Assistance, MAIN DATA'!S:S,'Bilateral Assistance, MAIN DATA'!B:B,'Comm per Month (Mil in-kind)'!B32,'Bilateral Assistance, MAIN DATA'!AG:AG,1,'Bilateral Assistance, MAIN DATA'!AH:AH,'Comm per Month (Mil in-kind)'!$L$11, 'Bilateral Assistance, MAIN DATA'!AS:AS,1)/1000000000</f>
        <v>4.6198784616549374E-2</v>
      </c>
      <c r="M32" s="316">
        <f>SUMIFS('Bilateral Assistance, MAIN DATA'!S:S,'Bilateral Assistance, MAIN DATA'!B:B,'Comm per Month (Mil in-kind)'!B32,'Bilateral Assistance, MAIN DATA'!AG:AG,1,'Bilateral Assistance, MAIN DATA'!AH:AH,'Comm per Month (Mil in-kind)'!$M$11, 'Bilateral Assistance, MAIN DATA'!AS:AS,1)/1000000000</f>
        <v>0</v>
      </c>
      <c r="N32" s="270">
        <f>SUMIFS('Bilateral Assistance, MAIN DATA'!S:S,'Bilateral Assistance, MAIN DATA'!B:B,'Comm per Month (Mil in-kind)'!B32,'Bilateral Assistance, MAIN DATA'!AG:AG,1,'Bilateral Assistance, MAIN DATA'!AH:AH,'Comm per Month (Mil in-kind)'!$N$11, 'Bilateral Assistance, MAIN DATA'!AS:AS,1)/1000000000</f>
        <v>0</v>
      </c>
      <c r="O32" s="316">
        <f>SUMIFS('Bilateral Assistance, MAIN DATA'!S:S,'Bilateral Assistance, MAIN DATA'!B:B,'Comm per Month (Mil in-kind)'!B32,'Bilateral Assistance, MAIN DATA'!AG:AG,1,'Bilateral Assistance, MAIN DATA'!AH:AH,'Comm per Month (Mil in-kind)'!$O$11, 'Bilateral Assistance, MAIN DATA'!AS:AS,1)/1000000000</f>
        <v>0</v>
      </c>
      <c r="P32" s="316">
        <f>SUMIFS('Bilateral Assistance, MAIN DATA'!S:S,'Bilateral Assistance, MAIN DATA'!B:B,'Comm per Month (Mil in-kind)'!B32,'Bilateral Assistance, MAIN DATA'!AG:AG,1,'Bilateral Assistance, MAIN DATA'!AH:AH,'Comm per Month (Mil in-kind)'!$P$11, 'Bilateral Assistance, MAIN DATA'!AS:AS,1)/1000000000</f>
        <v>0</v>
      </c>
      <c r="Q32" s="316">
        <f>SUMIFS('Bilateral Assistance, MAIN DATA'!S:S,'Bilateral Assistance, MAIN DATA'!B:B,'Comm per Month (Mil in-kind)'!B32,'Bilateral Assistance, MAIN DATA'!AG:AG,1,'Bilateral Assistance, MAIN DATA'!AH:AH,'Comm per Month (Mil in-kind)'!$Q$11, 'Bilateral Assistance, MAIN DATA'!AS:AS,1)/1000000000</f>
        <v>0</v>
      </c>
      <c r="R32" s="316">
        <f t="shared" si="0"/>
        <v>0.29499878461654938</v>
      </c>
      <c r="S32" s="316">
        <f>SUMIFS('Bilateral Assistance, MAIN DATA'!S:S,'Bilateral Assistance, MAIN DATA'!B:B,'Comm per Month (Mil in-kind)'!B32,'Bilateral Assistance, MAIN DATA'!AG:AG,0,'Bilateral Assistance, MAIN DATA'!AS:AS,1)/1000000000</f>
        <v>0</v>
      </c>
    </row>
    <row r="33" spans="1:19" ht="15.9" customHeight="1" x14ac:dyDescent="0.3">
      <c r="A33" s="19"/>
      <c r="B33" s="24" t="s">
        <v>1919</v>
      </c>
      <c r="C33" s="339">
        <v>1</v>
      </c>
      <c r="D33" s="339">
        <v>0</v>
      </c>
      <c r="E33" s="315">
        <f>SUMIFS('Bilateral Assistance, MAIN DATA'!S:S,'Bilateral Assistance, MAIN DATA'!B:B,'Comm per Month (Mil in-kind)'!B33,'Bilateral Assistance, MAIN DATA'!AG:AG,1,'Bilateral Assistance, MAIN DATA'!AH:AH,'Comm per Month (Mil in-kind)'!$E$11, 'Bilateral Assistance, MAIN DATA'!AS:AS,1)/1000000000</f>
        <v>0</v>
      </c>
      <c r="F33" s="315">
        <f>SUMIFS('Bilateral Assistance, MAIN DATA'!S:S,'Bilateral Assistance, MAIN DATA'!B:B,'Comm per Month (Mil in-kind)'!B33,'Bilateral Assistance, MAIN DATA'!AG:AG,1,'Bilateral Assistance, MAIN DATA'!AH:AH,'Comm per Month (Mil in-kind)'!$F$11, 'Bilateral Assistance, MAIN DATA'!AS:AS,1)/1000000000</f>
        <v>0</v>
      </c>
      <c r="G33" s="315">
        <f>SUMIFS('Bilateral Assistance, MAIN DATA'!S:S,'Bilateral Assistance, MAIN DATA'!B:B,'Comm per Month (Mil in-kind)'!B33,'Bilateral Assistance, MAIN DATA'!AG:AG,1,'Bilateral Assistance, MAIN DATA'!AH:AH,'Comm per Month (Mil in-kind)'!$G$11, 'Bilateral Assistance, MAIN DATA'!AS:AS,1)/1000000000</f>
        <v>3.9E-2</v>
      </c>
      <c r="H33" s="315">
        <f>SUMIFS('Bilateral Assistance, MAIN DATA'!S:S,'Bilateral Assistance, MAIN DATA'!B:B,'Comm per Month (Mil in-kind)'!B33,'Bilateral Assistance, MAIN DATA'!AG:AG,1,'Bilateral Assistance, MAIN DATA'!AH:AH,'Comm per Month (Mil in-kind)'!$H$11, 'Bilateral Assistance, MAIN DATA'!AS:AS,1)/1000000000</f>
        <v>6.0999999999999999E-2</v>
      </c>
      <c r="I33" s="315">
        <f>SUMIFS('Bilateral Assistance, MAIN DATA'!S:S,'Bilateral Assistance, MAIN DATA'!B:B,'Comm per Month (Mil in-kind)'!B33,'Bilateral Assistance, MAIN DATA'!AG:AG,1,'Bilateral Assistance, MAIN DATA'!AH:AH,'Comm per Month (Mil in-kind)'!$I$11, 'Bilateral Assistance, MAIN DATA'!AS:AS,1)/1000000000</f>
        <v>1.55E-2</v>
      </c>
      <c r="J33" s="315">
        <f>SUMIFS('Bilateral Assistance, MAIN DATA'!S:S,'Bilateral Assistance, MAIN DATA'!B:B,'Comm per Month (Mil in-kind)'!B33,'Bilateral Assistance, MAIN DATA'!AG:AG,1,'Bilateral Assistance, MAIN DATA'!AH:AH,'Comm per Month (Mil in-kind)'!$J$11, 'Bilateral Assistance, MAIN DATA'!AS:AS,1)/1000000000</f>
        <v>0</v>
      </c>
      <c r="K33" s="315">
        <f>SUMIFS('Bilateral Assistance, MAIN DATA'!S:S,'Bilateral Assistance, MAIN DATA'!B:B,'Comm per Month (Mil in-kind)'!B33,'Bilateral Assistance, MAIN DATA'!AG:AG,1,'Bilateral Assistance, MAIN DATA'!AH:AH,'Comm per Month (Mil in-kind)'!$K$11, 'Bilateral Assistance, MAIN DATA'!AS:AS,1)/1000000000</f>
        <v>4.0678571428571425E-2</v>
      </c>
      <c r="L33" s="315">
        <f>SUMIFS('Bilateral Assistance, MAIN DATA'!S:S,'Bilateral Assistance, MAIN DATA'!B:B,'Comm per Month (Mil in-kind)'!B33,'Bilateral Assistance, MAIN DATA'!AG:AG,1,'Bilateral Assistance, MAIN DATA'!AH:AH,'Comm per Month (Mil in-kind)'!$L$11, 'Bilateral Assistance, MAIN DATA'!AS:AS,1)/1000000000</f>
        <v>0</v>
      </c>
      <c r="M33" s="316">
        <f>SUMIFS('Bilateral Assistance, MAIN DATA'!S:S,'Bilateral Assistance, MAIN DATA'!B:B,'Comm per Month (Mil in-kind)'!B33,'Bilateral Assistance, MAIN DATA'!AG:AG,1,'Bilateral Assistance, MAIN DATA'!AH:AH,'Comm per Month (Mil in-kind)'!$M$11, 'Bilateral Assistance, MAIN DATA'!AS:AS,1)/1000000000</f>
        <v>3.5821428571428567E-2</v>
      </c>
      <c r="N33" s="270">
        <f>SUMIFS('Bilateral Assistance, MAIN DATA'!S:S,'Bilateral Assistance, MAIN DATA'!B:B,'Comm per Month (Mil in-kind)'!B33,'Bilateral Assistance, MAIN DATA'!AG:AG,1,'Bilateral Assistance, MAIN DATA'!AH:AH,'Comm per Month (Mil in-kind)'!$N$11, 'Bilateral Assistance, MAIN DATA'!AS:AS,1)/1000000000</f>
        <v>1.121988761904762E-2</v>
      </c>
      <c r="O33" s="316">
        <f>SUMIFS('Bilateral Assistance, MAIN DATA'!S:S,'Bilateral Assistance, MAIN DATA'!B:B,'Comm per Month (Mil in-kind)'!B33,'Bilateral Assistance, MAIN DATA'!AG:AG,1,'Bilateral Assistance, MAIN DATA'!AH:AH,'Comm per Month (Mil in-kind)'!$O$11, 'Bilateral Assistance, MAIN DATA'!AS:AS,1)/1000000000</f>
        <v>0</v>
      </c>
      <c r="P33" s="316">
        <f>SUMIFS('Bilateral Assistance, MAIN DATA'!S:S,'Bilateral Assistance, MAIN DATA'!B:B,'Comm per Month (Mil in-kind)'!B33,'Bilateral Assistance, MAIN DATA'!AG:AG,1,'Bilateral Assistance, MAIN DATA'!AH:AH,'Comm per Month (Mil in-kind)'!$P$11, 'Bilateral Assistance, MAIN DATA'!AS:AS,1)/1000000000</f>
        <v>0</v>
      </c>
      <c r="Q33" s="316">
        <f>SUMIFS('Bilateral Assistance, MAIN DATA'!S:S,'Bilateral Assistance, MAIN DATA'!B:B,'Comm per Month (Mil in-kind)'!B33,'Bilateral Assistance, MAIN DATA'!AG:AG,1,'Bilateral Assistance, MAIN DATA'!AH:AH,'Comm per Month (Mil in-kind)'!$Q$11, 'Bilateral Assistance, MAIN DATA'!AS:AS,1)/1000000000</f>
        <v>0</v>
      </c>
      <c r="R33" s="316">
        <f t="shared" si="0"/>
        <v>0.20321988761904763</v>
      </c>
      <c r="S33" s="316">
        <f>SUMIFS('Bilateral Assistance, MAIN DATA'!S:S,'Bilateral Assistance, MAIN DATA'!B:B,'Comm per Month (Mil in-kind)'!B33,'Bilateral Assistance, MAIN DATA'!AG:AG,0,'Bilateral Assistance, MAIN DATA'!AS:AS,1)/1000000000</f>
        <v>0</v>
      </c>
    </row>
    <row r="34" spans="1:19" ht="15.9" customHeight="1" x14ac:dyDescent="0.3">
      <c r="A34" s="19"/>
      <c r="B34" s="24" t="s">
        <v>2024</v>
      </c>
      <c r="C34" s="339">
        <v>1</v>
      </c>
      <c r="D34" s="339">
        <v>0</v>
      </c>
      <c r="E34" s="315">
        <f>SUMIFS('Bilateral Assistance, MAIN DATA'!S:S,'Bilateral Assistance, MAIN DATA'!B:B,'Comm per Month (Mil in-kind)'!B34,'Bilateral Assistance, MAIN DATA'!AG:AG,1,'Bilateral Assistance, MAIN DATA'!AH:AH,'Comm per Month (Mil in-kind)'!$E$11, 'Bilateral Assistance, MAIN DATA'!AS:AS,1)/1000000000</f>
        <v>0</v>
      </c>
      <c r="F34" s="315">
        <f>SUMIFS('Bilateral Assistance, MAIN DATA'!S:S,'Bilateral Assistance, MAIN DATA'!B:B,'Comm per Month (Mil in-kind)'!B34,'Bilateral Assistance, MAIN DATA'!AG:AG,1,'Bilateral Assistance, MAIN DATA'!AH:AH,'Comm per Month (Mil in-kind)'!$F$11, 'Bilateral Assistance, MAIN DATA'!AS:AS,1)/1000000000</f>
        <v>0.05</v>
      </c>
      <c r="G34" s="315">
        <f>SUMIFS('Bilateral Assistance, MAIN DATA'!S:S,'Bilateral Assistance, MAIN DATA'!B:B,'Comm per Month (Mil in-kind)'!B34,'Bilateral Assistance, MAIN DATA'!AG:AG,1,'Bilateral Assistance, MAIN DATA'!AH:AH,'Comm per Month (Mil in-kind)'!$G$11, 'Bilateral Assistance, MAIN DATA'!AS:AS,1)/1000000000</f>
        <v>1.9047619047619048E-4</v>
      </c>
      <c r="H34" s="315">
        <f>SUMIFS('Bilateral Assistance, MAIN DATA'!S:S,'Bilateral Assistance, MAIN DATA'!B:B,'Comm per Month (Mil in-kind)'!B34,'Bilateral Assistance, MAIN DATA'!AG:AG,1,'Bilateral Assistance, MAIN DATA'!AH:AH,'Comm per Month (Mil in-kind)'!$H$11, 'Bilateral Assistance, MAIN DATA'!AS:AS,1)/1000000000</f>
        <v>0</v>
      </c>
      <c r="I34" s="315">
        <f>SUMIFS('Bilateral Assistance, MAIN DATA'!S:S,'Bilateral Assistance, MAIN DATA'!B:B,'Comm per Month (Mil in-kind)'!B34,'Bilateral Assistance, MAIN DATA'!AG:AG,1,'Bilateral Assistance, MAIN DATA'!AH:AH,'Comm per Month (Mil in-kind)'!$I$11, 'Bilateral Assistance, MAIN DATA'!AS:AS,1)/1000000000</f>
        <v>0</v>
      </c>
      <c r="J34" s="315">
        <f>SUMIFS('Bilateral Assistance, MAIN DATA'!S:S,'Bilateral Assistance, MAIN DATA'!B:B,'Comm per Month (Mil in-kind)'!B34,'Bilateral Assistance, MAIN DATA'!AG:AG,1,'Bilateral Assistance, MAIN DATA'!AH:AH,'Comm per Month (Mil in-kind)'!$J$11, 'Bilateral Assistance, MAIN DATA'!AS:AS,1)/1000000000</f>
        <v>0</v>
      </c>
      <c r="K34" s="315">
        <f>SUMIFS('Bilateral Assistance, MAIN DATA'!S:S,'Bilateral Assistance, MAIN DATA'!B:B,'Comm per Month (Mil in-kind)'!B34,'Bilateral Assistance, MAIN DATA'!AG:AG,1,'Bilateral Assistance, MAIN DATA'!AH:AH,'Comm per Month (Mil in-kind)'!$K$11, 'Bilateral Assistance, MAIN DATA'!AS:AS,1)/1000000000</f>
        <v>0</v>
      </c>
      <c r="L34" s="315">
        <f>SUMIFS('Bilateral Assistance, MAIN DATA'!S:S,'Bilateral Assistance, MAIN DATA'!B:B,'Comm per Month (Mil in-kind)'!B34,'Bilateral Assistance, MAIN DATA'!AG:AG,1,'Bilateral Assistance, MAIN DATA'!AH:AH,'Comm per Month (Mil in-kind)'!$L$11, 'Bilateral Assistance, MAIN DATA'!AS:AS,1)/1000000000</f>
        <v>0</v>
      </c>
      <c r="M34" s="316">
        <f>SUMIFS('Bilateral Assistance, MAIN DATA'!S:S,'Bilateral Assistance, MAIN DATA'!B:B,'Comm per Month (Mil in-kind)'!B34,'Bilateral Assistance, MAIN DATA'!AG:AG,1,'Bilateral Assistance, MAIN DATA'!AH:AH,'Comm per Month (Mil in-kind)'!$M$11, 'Bilateral Assistance, MAIN DATA'!AS:AS,1)/1000000000</f>
        <v>0</v>
      </c>
      <c r="N34" s="270">
        <f>SUMIFS('Bilateral Assistance, MAIN DATA'!S:S,'Bilateral Assistance, MAIN DATA'!B:B,'Comm per Month (Mil in-kind)'!B34,'Bilateral Assistance, MAIN DATA'!AG:AG,1,'Bilateral Assistance, MAIN DATA'!AH:AH,'Comm per Month (Mil in-kind)'!$N$11, 'Bilateral Assistance, MAIN DATA'!AS:AS,1)/1000000000</f>
        <v>2.1809523809523806E-2</v>
      </c>
      <c r="O34" s="316">
        <f>SUMIFS('Bilateral Assistance, MAIN DATA'!S:S,'Bilateral Assistance, MAIN DATA'!B:B,'Comm per Month (Mil in-kind)'!B34,'Bilateral Assistance, MAIN DATA'!AG:AG,1,'Bilateral Assistance, MAIN DATA'!AH:AH,'Comm per Month (Mil in-kind)'!$O$11, 'Bilateral Assistance, MAIN DATA'!AS:AS,1)/1000000000</f>
        <v>3.0000000000000001E-3</v>
      </c>
      <c r="P34" s="316">
        <f>SUMIFS('Bilateral Assistance, MAIN DATA'!S:S,'Bilateral Assistance, MAIN DATA'!B:B,'Comm per Month (Mil in-kind)'!B34,'Bilateral Assistance, MAIN DATA'!AG:AG,1,'Bilateral Assistance, MAIN DATA'!AH:AH,'Comm per Month (Mil in-kind)'!$P$11, 'Bilateral Assistance, MAIN DATA'!AS:AS,1)/1000000000</f>
        <v>0</v>
      </c>
      <c r="Q34" s="316">
        <f>SUMIFS('Bilateral Assistance, MAIN DATA'!S:S,'Bilateral Assistance, MAIN DATA'!B:B,'Comm per Month (Mil in-kind)'!B34,'Bilateral Assistance, MAIN DATA'!AG:AG,1,'Bilateral Assistance, MAIN DATA'!AH:AH,'Comm per Month (Mil in-kind)'!$Q$11, 'Bilateral Assistance, MAIN DATA'!AS:AS,1)/1000000000</f>
        <v>0</v>
      </c>
      <c r="R34" s="316">
        <f t="shared" si="0"/>
        <v>7.5000000000000011E-2</v>
      </c>
      <c r="S34" s="316">
        <f>SUMIFS('Bilateral Assistance, MAIN DATA'!S:S,'Bilateral Assistance, MAIN DATA'!B:B,'Comm per Month (Mil in-kind)'!B34,'Bilateral Assistance, MAIN DATA'!AG:AG,0,'Bilateral Assistance, MAIN DATA'!AS:AS,1)/1000000000</f>
        <v>0</v>
      </c>
    </row>
    <row r="35" spans="1:19" ht="15.9" customHeight="1" x14ac:dyDescent="0.3">
      <c r="A35" s="19"/>
      <c r="B35" s="24" t="s">
        <v>2066</v>
      </c>
      <c r="C35" s="339">
        <v>1</v>
      </c>
      <c r="D35" s="339">
        <v>0</v>
      </c>
      <c r="E35" s="315">
        <f>SUMIFS('Bilateral Assistance, MAIN DATA'!S:S,'Bilateral Assistance, MAIN DATA'!B:B,'Comm per Month (Mil in-kind)'!B35,'Bilateral Assistance, MAIN DATA'!AG:AG,1,'Bilateral Assistance, MAIN DATA'!AH:AH,'Comm per Month (Mil in-kind)'!$E$11, 'Bilateral Assistance, MAIN DATA'!AS:AS,1)/1000000000</f>
        <v>0</v>
      </c>
      <c r="F35" s="315">
        <f>SUMIFS('Bilateral Assistance, MAIN DATA'!S:S,'Bilateral Assistance, MAIN DATA'!B:B,'Comm per Month (Mil in-kind)'!B35,'Bilateral Assistance, MAIN DATA'!AG:AG,1,'Bilateral Assistance, MAIN DATA'!AH:AH,'Comm per Month (Mil in-kind)'!$F$11, 'Bilateral Assistance, MAIN DATA'!AS:AS,1)/1000000000</f>
        <v>0</v>
      </c>
      <c r="G35" s="315">
        <f>SUMIFS('Bilateral Assistance, MAIN DATA'!S:S,'Bilateral Assistance, MAIN DATA'!B:B,'Comm per Month (Mil in-kind)'!B35,'Bilateral Assistance, MAIN DATA'!AG:AG,1,'Bilateral Assistance, MAIN DATA'!AH:AH,'Comm per Month (Mil in-kind)'!$G$11, 'Bilateral Assistance, MAIN DATA'!AS:AS,1)/1000000000</f>
        <v>0</v>
      </c>
      <c r="H35" s="315">
        <f>SUMIFS('Bilateral Assistance, MAIN DATA'!S:S,'Bilateral Assistance, MAIN DATA'!B:B,'Comm per Month (Mil in-kind)'!B35,'Bilateral Assistance, MAIN DATA'!AG:AG,1,'Bilateral Assistance, MAIN DATA'!AH:AH,'Comm per Month (Mil in-kind)'!$H$11, 'Bilateral Assistance, MAIN DATA'!AS:AS,1)/1000000000</f>
        <v>0</v>
      </c>
      <c r="I35" s="315">
        <f>SUMIFS('Bilateral Assistance, MAIN DATA'!S:S,'Bilateral Assistance, MAIN DATA'!B:B,'Comm per Month (Mil in-kind)'!B35,'Bilateral Assistance, MAIN DATA'!AG:AG,1,'Bilateral Assistance, MAIN DATA'!AH:AH,'Comm per Month (Mil in-kind)'!$I$11, 'Bilateral Assistance, MAIN DATA'!AS:AS,1)/1000000000</f>
        <v>0</v>
      </c>
      <c r="J35" s="315">
        <f>SUMIFS('Bilateral Assistance, MAIN DATA'!S:S,'Bilateral Assistance, MAIN DATA'!B:B,'Comm per Month (Mil in-kind)'!B35,'Bilateral Assistance, MAIN DATA'!AG:AG,1,'Bilateral Assistance, MAIN DATA'!AH:AH,'Comm per Month (Mil in-kind)'!$J$11, 'Bilateral Assistance, MAIN DATA'!AS:AS,1)/1000000000</f>
        <v>0</v>
      </c>
      <c r="K35" s="315">
        <f>SUMIFS('Bilateral Assistance, MAIN DATA'!S:S,'Bilateral Assistance, MAIN DATA'!B:B,'Comm per Month (Mil in-kind)'!B35,'Bilateral Assistance, MAIN DATA'!AG:AG,1,'Bilateral Assistance, MAIN DATA'!AH:AH,'Comm per Month (Mil in-kind)'!$K$11, 'Bilateral Assistance, MAIN DATA'!AS:AS,1)/1000000000</f>
        <v>0</v>
      </c>
      <c r="L35" s="315">
        <f>SUMIFS('Bilateral Assistance, MAIN DATA'!S:S,'Bilateral Assistance, MAIN DATA'!B:B,'Comm per Month (Mil in-kind)'!B35,'Bilateral Assistance, MAIN DATA'!AG:AG,1,'Bilateral Assistance, MAIN DATA'!AH:AH,'Comm per Month (Mil in-kind)'!$L$11, 'Bilateral Assistance, MAIN DATA'!AS:AS,1)/1000000000</f>
        <v>0</v>
      </c>
      <c r="M35" s="316">
        <f>SUMIFS('Bilateral Assistance, MAIN DATA'!S:S,'Bilateral Assistance, MAIN DATA'!B:B,'Comm per Month (Mil in-kind)'!B35,'Bilateral Assistance, MAIN DATA'!AG:AG,1,'Bilateral Assistance, MAIN DATA'!AH:AH,'Comm per Month (Mil in-kind)'!$M$11, 'Bilateral Assistance, MAIN DATA'!AS:AS,1)/1000000000</f>
        <v>0</v>
      </c>
      <c r="N35" s="270">
        <f>SUMIFS('Bilateral Assistance, MAIN DATA'!S:S,'Bilateral Assistance, MAIN DATA'!B:B,'Comm per Month (Mil in-kind)'!B35,'Bilateral Assistance, MAIN DATA'!AG:AG,1,'Bilateral Assistance, MAIN DATA'!AH:AH,'Comm per Month (Mil in-kind)'!$N$11, 'Bilateral Assistance, MAIN DATA'!AS:AS,1)/1000000000</f>
        <v>0</v>
      </c>
      <c r="O35" s="316">
        <f>SUMIFS('Bilateral Assistance, MAIN DATA'!S:S,'Bilateral Assistance, MAIN DATA'!B:B,'Comm per Month (Mil in-kind)'!B35,'Bilateral Assistance, MAIN DATA'!AG:AG,1,'Bilateral Assistance, MAIN DATA'!AH:AH,'Comm per Month (Mil in-kind)'!$O$11, 'Bilateral Assistance, MAIN DATA'!AS:AS,1)/1000000000</f>
        <v>0</v>
      </c>
      <c r="P35" s="316">
        <f>SUMIFS('Bilateral Assistance, MAIN DATA'!S:S,'Bilateral Assistance, MAIN DATA'!B:B,'Comm per Month (Mil in-kind)'!B35,'Bilateral Assistance, MAIN DATA'!AG:AG,1,'Bilateral Assistance, MAIN DATA'!AH:AH,'Comm per Month (Mil in-kind)'!$P$11, 'Bilateral Assistance, MAIN DATA'!AS:AS,1)/1000000000</f>
        <v>0</v>
      </c>
      <c r="Q35" s="316">
        <f>SUMIFS('Bilateral Assistance, MAIN DATA'!S:S,'Bilateral Assistance, MAIN DATA'!B:B,'Comm per Month (Mil in-kind)'!B35,'Bilateral Assistance, MAIN DATA'!AG:AG,1,'Bilateral Assistance, MAIN DATA'!AH:AH,'Comm per Month (Mil in-kind)'!$Q$11, 'Bilateral Assistance, MAIN DATA'!AS:AS,1)/1000000000</f>
        <v>0</v>
      </c>
      <c r="R35" s="316">
        <f t="shared" si="0"/>
        <v>0</v>
      </c>
      <c r="S35" s="316">
        <f>SUMIFS('Bilateral Assistance, MAIN DATA'!S:S,'Bilateral Assistance, MAIN DATA'!B:B,'Comm per Month (Mil in-kind)'!B35,'Bilateral Assistance, MAIN DATA'!AG:AG,0,'Bilateral Assistance, MAIN DATA'!AS:AS,1)/1000000000</f>
        <v>0</v>
      </c>
    </row>
    <row r="36" spans="1:19" ht="15.9" customHeight="1" x14ac:dyDescent="0.3">
      <c r="A36" s="19"/>
      <c r="B36" s="24" t="s">
        <v>2076</v>
      </c>
      <c r="C36" s="339">
        <v>1</v>
      </c>
      <c r="D36" s="339">
        <v>0</v>
      </c>
      <c r="E36" s="315">
        <f>SUMIFS('Bilateral Assistance, MAIN DATA'!S:S,'Bilateral Assistance, MAIN DATA'!B:B,'Comm per Month (Mil in-kind)'!B36,'Bilateral Assistance, MAIN DATA'!AG:AG,1,'Bilateral Assistance, MAIN DATA'!AH:AH,'Comm per Month (Mil in-kind)'!$E$11, 'Bilateral Assistance, MAIN DATA'!AS:AS,1)/1000000000</f>
        <v>0</v>
      </c>
      <c r="F36" s="315">
        <f>SUMIFS('Bilateral Assistance, MAIN DATA'!S:S,'Bilateral Assistance, MAIN DATA'!B:B,'Comm per Month (Mil in-kind)'!B36,'Bilateral Assistance, MAIN DATA'!AG:AG,1,'Bilateral Assistance, MAIN DATA'!AH:AH,'Comm per Month (Mil in-kind)'!$F$11, 'Bilateral Assistance, MAIN DATA'!AS:AS,1)/1000000000</f>
        <v>0.05</v>
      </c>
      <c r="G36" s="315">
        <f>SUMIFS('Bilateral Assistance, MAIN DATA'!S:S,'Bilateral Assistance, MAIN DATA'!B:B,'Comm per Month (Mil in-kind)'!B36,'Bilateral Assistance, MAIN DATA'!AG:AG,1,'Bilateral Assistance, MAIN DATA'!AH:AH,'Comm per Month (Mil in-kind)'!$G$11, 'Bilateral Assistance, MAIN DATA'!AS:AS,1)/1000000000</f>
        <v>0</v>
      </c>
      <c r="H36" s="315">
        <f>SUMIFS('Bilateral Assistance, MAIN DATA'!S:S,'Bilateral Assistance, MAIN DATA'!B:B,'Comm per Month (Mil in-kind)'!B36,'Bilateral Assistance, MAIN DATA'!AG:AG,1,'Bilateral Assistance, MAIN DATA'!AH:AH,'Comm per Month (Mil in-kind)'!$H$11, 'Bilateral Assistance, MAIN DATA'!AS:AS,1)/1000000000</f>
        <v>6.5613843754767337E-2</v>
      </c>
      <c r="I36" s="315">
        <f>SUMIFS('Bilateral Assistance, MAIN DATA'!S:S,'Bilateral Assistance, MAIN DATA'!B:B,'Comm per Month (Mil in-kind)'!B36,'Bilateral Assistance, MAIN DATA'!AG:AG,1,'Bilateral Assistance, MAIN DATA'!AH:AH,'Comm per Month (Mil in-kind)'!$I$11, 'Bilateral Assistance, MAIN DATA'!AS:AS,1)/1000000000</f>
        <v>0</v>
      </c>
      <c r="J36" s="315">
        <f>SUMIFS('Bilateral Assistance, MAIN DATA'!S:S,'Bilateral Assistance, MAIN DATA'!B:B,'Comm per Month (Mil in-kind)'!B36,'Bilateral Assistance, MAIN DATA'!AG:AG,1,'Bilateral Assistance, MAIN DATA'!AH:AH,'Comm per Month (Mil in-kind)'!$J$11, 'Bilateral Assistance, MAIN DATA'!AS:AS,1)/1000000000</f>
        <v>3.9368306252860405E-2</v>
      </c>
      <c r="K36" s="315">
        <f>SUMIFS('Bilateral Assistance, MAIN DATA'!S:S,'Bilateral Assistance, MAIN DATA'!B:B,'Comm per Month (Mil in-kind)'!B36,'Bilateral Assistance, MAIN DATA'!AG:AG,1,'Bilateral Assistance, MAIN DATA'!AH:AH,'Comm per Month (Mil in-kind)'!$K$11, 'Bilateral Assistance, MAIN DATA'!AS:AS,1)/1000000000</f>
        <v>0.37101784999237225</v>
      </c>
      <c r="L36" s="315">
        <f>SUMIFS('Bilateral Assistance, MAIN DATA'!S:S,'Bilateral Assistance, MAIN DATA'!B:B,'Comm per Month (Mil in-kind)'!B36,'Bilateral Assistance, MAIN DATA'!AG:AG,1,'Bilateral Assistance, MAIN DATA'!AH:AH,'Comm per Month (Mil in-kind)'!$L$11, 'Bilateral Assistance, MAIN DATA'!AS:AS,1)/1000000000</f>
        <v>0</v>
      </c>
      <c r="M36" s="316">
        <f>SUMIFS('Bilateral Assistance, MAIN DATA'!S:S,'Bilateral Assistance, MAIN DATA'!B:B,'Comm per Month (Mil in-kind)'!B36,'Bilateral Assistance, MAIN DATA'!AG:AG,1,'Bilateral Assistance, MAIN DATA'!AH:AH,'Comm per Month (Mil in-kind)'!$M$11, 'Bilateral Assistance, MAIN DATA'!AS:AS,1)/1000000000</f>
        <v>0</v>
      </c>
      <c r="N36" s="270">
        <f>SUMIFS('Bilateral Assistance, MAIN DATA'!S:S,'Bilateral Assistance, MAIN DATA'!B:B,'Comm per Month (Mil in-kind)'!B36,'Bilateral Assistance, MAIN DATA'!AG:AG,1,'Bilateral Assistance, MAIN DATA'!AH:AH,'Comm per Month (Mil in-kind)'!$N$11, 'Bilateral Assistance, MAIN DATA'!AS:AS,1)/1000000000</f>
        <v>0</v>
      </c>
      <c r="O36" s="316">
        <f>SUMIFS('Bilateral Assistance, MAIN DATA'!S:S,'Bilateral Assistance, MAIN DATA'!B:B,'Comm per Month (Mil in-kind)'!B36,'Bilateral Assistance, MAIN DATA'!AG:AG,1,'Bilateral Assistance, MAIN DATA'!AH:AH,'Comm per Month (Mil in-kind)'!$O$11, 'Bilateral Assistance, MAIN DATA'!AS:AS,1)/1000000000</f>
        <v>0.12</v>
      </c>
      <c r="P36" s="316">
        <f>SUMIFS('Bilateral Assistance, MAIN DATA'!S:S,'Bilateral Assistance, MAIN DATA'!B:B,'Comm per Month (Mil in-kind)'!B36,'Bilateral Assistance, MAIN DATA'!AG:AG,1,'Bilateral Assistance, MAIN DATA'!AH:AH,'Comm per Month (Mil in-kind)'!$P$11, 'Bilateral Assistance, MAIN DATA'!AS:AS,1)/1000000000</f>
        <v>0.20250000000000001</v>
      </c>
      <c r="Q36" s="316">
        <f>SUMIFS('Bilateral Assistance, MAIN DATA'!S:S,'Bilateral Assistance, MAIN DATA'!B:B,'Comm per Month (Mil in-kind)'!B36,'Bilateral Assistance, MAIN DATA'!AG:AG,1,'Bilateral Assistance, MAIN DATA'!AH:AH,'Comm per Month (Mil in-kind)'!$Q$11, 'Bilateral Assistance, MAIN DATA'!AS:AS,1)/1000000000</f>
        <v>0</v>
      </c>
      <c r="R36" s="316">
        <f t="shared" si="0"/>
        <v>0.84850000000000003</v>
      </c>
      <c r="S36" s="316">
        <f>SUMIFS('Bilateral Assistance, MAIN DATA'!S:S,'Bilateral Assistance, MAIN DATA'!B:B,'Comm per Month (Mil in-kind)'!B36,'Bilateral Assistance, MAIN DATA'!AG:AG,0,'Bilateral Assistance, MAIN DATA'!AS:AS,1)/1000000000</f>
        <v>0</v>
      </c>
    </row>
    <row r="37" spans="1:19" ht="15.9" customHeight="1" x14ac:dyDescent="0.3">
      <c r="A37" s="19"/>
      <c r="B37" s="2" t="s">
        <v>2168</v>
      </c>
      <c r="C37" s="339">
        <v>0</v>
      </c>
      <c r="D37" s="339">
        <v>0</v>
      </c>
      <c r="E37" s="315">
        <f>SUMIFS('Bilateral Assistance, MAIN DATA'!S:S,'Bilateral Assistance, MAIN DATA'!B:B,'Comm per Month (Mil in-kind)'!B37,'Bilateral Assistance, MAIN DATA'!AG:AG,1,'Bilateral Assistance, MAIN DATA'!AH:AH,'Comm per Month (Mil in-kind)'!$E$11, 'Bilateral Assistance, MAIN DATA'!AS:AS,1)/1000000000</f>
        <v>0</v>
      </c>
      <c r="F37" s="315">
        <f>SUMIFS('Bilateral Assistance, MAIN DATA'!S:S,'Bilateral Assistance, MAIN DATA'!B:B,'Comm per Month (Mil in-kind)'!B37,'Bilateral Assistance, MAIN DATA'!AG:AG,1,'Bilateral Assistance, MAIN DATA'!AH:AH,'Comm per Month (Mil in-kind)'!$F$11, 'Bilateral Assistance, MAIN DATA'!AS:AS,1)/1000000000</f>
        <v>0</v>
      </c>
      <c r="G37" s="315">
        <f>SUMIFS('Bilateral Assistance, MAIN DATA'!S:S,'Bilateral Assistance, MAIN DATA'!B:B,'Comm per Month (Mil in-kind)'!B37,'Bilateral Assistance, MAIN DATA'!AG:AG,1,'Bilateral Assistance, MAIN DATA'!AH:AH,'Comm per Month (Mil in-kind)'!$G$11, 'Bilateral Assistance, MAIN DATA'!AS:AS,1)/1000000000</f>
        <v>1.1654761904761905E-3</v>
      </c>
      <c r="H37" s="315">
        <f>SUMIFS('Bilateral Assistance, MAIN DATA'!S:S,'Bilateral Assistance, MAIN DATA'!B:B,'Comm per Month (Mil in-kind)'!B37,'Bilateral Assistance, MAIN DATA'!AG:AG,1,'Bilateral Assistance, MAIN DATA'!AH:AH,'Comm per Month (Mil in-kind)'!$H$11, 'Bilateral Assistance, MAIN DATA'!AS:AS,1)/1000000000</f>
        <v>2.4657204714938659E-3</v>
      </c>
      <c r="I37" s="315">
        <f>SUMIFS('Bilateral Assistance, MAIN DATA'!S:S,'Bilateral Assistance, MAIN DATA'!B:B,'Comm per Month (Mil in-kind)'!B37,'Bilateral Assistance, MAIN DATA'!AG:AG,1,'Bilateral Assistance, MAIN DATA'!AH:AH,'Comm per Month (Mil in-kind)'!$I$11, 'Bilateral Assistance, MAIN DATA'!AS:AS,1)/1000000000</f>
        <v>0</v>
      </c>
      <c r="J37" s="315">
        <f>SUMIFS('Bilateral Assistance, MAIN DATA'!S:S,'Bilateral Assistance, MAIN DATA'!B:B,'Comm per Month (Mil in-kind)'!B37,'Bilateral Assistance, MAIN DATA'!AG:AG,1,'Bilateral Assistance, MAIN DATA'!AH:AH,'Comm per Month (Mil in-kind)'!$J$11, 'Bilateral Assistance, MAIN DATA'!AS:AS,1)/1000000000</f>
        <v>0</v>
      </c>
      <c r="K37" s="315">
        <f>SUMIFS('Bilateral Assistance, MAIN DATA'!S:S,'Bilateral Assistance, MAIN DATA'!B:B,'Comm per Month (Mil in-kind)'!B37,'Bilateral Assistance, MAIN DATA'!AG:AG,1,'Bilateral Assistance, MAIN DATA'!AH:AH,'Comm per Month (Mil in-kind)'!$K$11, 'Bilateral Assistance, MAIN DATA'!AS:AS,1)/1000000000</f>
        <v>0</v>
      </c>
      <c r="L37" s="315">
        <f>SUMIFS('Bilateral Assistance, MAIN DATA'!S:S,'Bilateral Assistance, MAIN DATA'!B:B,'Comm per Month (Mil in-kind)'!B37,'Bilateral Assistance, MAIN DATA'!AG:AG,1,'Bilateral Assistance, MAIN DATA'!AH:AH,'Comm per Month (Mil in-kind)'!$L$11, 'Bilateral Assistance, MAIN DATA'!AS:AS,1)/1000000000</f>
        <v>0</v>
      </c>
      <c r="M37" s="316">
        <f>SUMIFS('Bilateral Assistance, MAIN DATA'!S:S,'Bilateral Assistance, MAIN DATA'!B:B,'Comm per Month (Mil in-kind)'!B37,'Bilateral Assistance, MAIN DATA'!AG:AG,1,'Bilateral Assistance, MAIN DATA'!AH:AH,'Comm per Month (Mil in-kind)'!$M$11, 'Bilateral Assistance, MAIN DATA'!AS:AS,1)/1000000000</f>
        <v>0</v>
      </c>
      <c r="N37" s="270">
        <f>SUMIFS('Bilateral Assistance, MAIN DATA'!S:S,'Bilateral Assistance, MAIN DATA'!B:B,'Comm per Month (Mil in-kind)'!B37,'Bilateral Assistance, MAIN DATA'!AG:AG,1,'Bilateral Assistance, MAIN DATA'!AH:AH,'Comm per Month (Mil in-kind)'!$N$11, 'Bilateral Assistance, MAIN DATA'!AS:AS,1)/1000000000</f>
        <v>0</v>
      </c>
      <c r="O37" s="316">
        <f>SUMIFS('Bilateral Assistance, MAIN DATA'!S:S,'Bilateral Assistance, MAIN DATA'!B:B,'Comm per Month (Mil in-kind)'!B37,'Bilateral Assistance, MAIN DATA'!AG:AG,1,'Bilateral Assistance, MAIN DATA'!AH:AH,'Comm per Month (Mil in-kind)'!$O$11, 'Bilateral Assistance, MAIN DATA'!AS:AS,1)/1000000000</f>
        <v>1.1125811883569881E-3</v>
      </c>
      <c r="P37" s="316">
        <f>SUMIFS('Bilateral Assistance, MAIN DATA'!S:S,'Bilateral Assistance, MAIN DATA'!B:B,'Comm per Month (Mil in-kind)'!B37,'Bilateral Assistance, MAIN DATA'!AG:AG,1,'Bilateral Assistance, MAIN DATA'!AH:AH,'Comm per Month (Mil in-kind)'!$P$11, 'Bilateral Assistance, MAIN DATA'!AS:AS,1)/1000000000</f>
        <v>0</v>
      </c>
      <c r="Q37" s="316">
        <f>SUMIFS('Bilateral Assistance, MAIN DATA'!S:S,'Bilateral Assistance, MAIN DATA'!B:B,'Comm per Month (Mil in-kind)'!B37,'Bilateral Assistance, MAIN DATA'!AG:AG,1,'Bilateral Assistance, MAIN DATA'!AH:AH,'Comm per Month (Mil in-kind)'!$Q$11, 'Bilateral Assistance, MAIN DATA'!AS:AS,1)/1000000000</f>
        <v>0</v>
      </c>
      <c r="R37" s="316">
        <f t="shared" si="0"/>
        <v>4.7437778503270443E-3</v>
      </c>
      <c r="S37" s="316">
        <f>SUMIFS('Bilateral Assistance, MAIN DATA'!S:S,'Bilateral Assistance, MAIN DATA'!B:B,'Comm per Month (Mil in-kind)'!B37,'Bilateral Assistance, MAIN DATA'!AG:AG,0,'Bilateral Assistance, MAIN DATA'!AS:AS,1)/1000000000</f>
        <v>0</v>
      </c>
    </row>
    <row r="38" spans="1:19" ht="15.9" customHeight="1" x14ac:dyDescent="0.3">
      <c r="A38" s="19"/>
      <c r="B38" s="2" t="s">
        <v>2206</v>
      </c>
      <c r="C38" s="339">
        <v>0</v>
      </c>
      <c r="D38" s="339">
        <v>1</v>
      </c>
      <c r="E38" s="315">
        <f>SUMIFS('Bilateral Assistance, MAIN DATA'!S:S,'Bilateral Assistance, MAIN DATA'!B:B,'Comm per Month (Mil in-kind)'!B38,'Bilateral Assistance, MAIN DATA'!AG:AG,1,'Bilateral Assistance, MAIN DATA'!AH:AH,'Comm per Month (Mil in-kind)'!$E$11, 'Bilateral Assistance, MAIN DATA'!AS:AS,1)/1000000000</f>
        <v>0</v>
      </c>
      <c r="F38" s="315">
        <f>SUMIFS('Bilateral Assistance, MAIN DATA'!S:S,'Bilateral Assistance, MAIN DATA'!B:B,'Comm per Month (Mil in-kind)'!B38,'Bilateral Assistance, MAIN DATA'!AG:AG,1,'Bilateral Assistance, MAIN DATA'!AH:AH,'Comm per Month (Mil in-kind)'!$F$11, 'Bilateral Assistance, MAIN DATA'!AS:AS,1)/1000000000</f>
        <v>2.8095238095238091E-3</v>
      </c>
      <c r="G38" s="315">
        <f>SUMIFS('Bilateral Assistance, MAIN DATA'!S:S,'Bilateral Assistance, MAIN DATA'!B:B,'Comm per Month (Mil in-kind)'!B38,'Bilateral Assistance, MAIN DATA'!AG:AG,1,'Bilateral Assistance, MAIN DATA'!AH:AH,'Comm per Month (Mil in-kind)'!$G$11, 'Bilateral Assistance, MAIN DATA'!AS:AS,1)/1000000000</f>
        <v>2.8095238095238091E-3</v>
      </c>
      <c r="H38" s="315">
        <f>SUMIFS('Bilateral Assistance, MAIN DATA'!S:S,'Bilateral Assistance, MAIN DATA'!B:B,'Comm per Month (Mil in-kind)'!B38,'Bilateral Assistance, MAIN DATA'!AG:AG,1,'Bilateral Assistance, MAIN DATA'!AH:AH,'Comm per Month (Mil in-kind)'!$H$11, 'Bilateral Assistance, MAIN DATA'!AS:AS,1)/1000000000</f>
        <v>7.43009001701114E-2</v>
      </c>
      <c r="I38" s="315">
        <f>SUMIFS('Bilateral Assistance, MAIN DATA'!S:S,'Bilateral Assistance, MAIN DATA'!B:B,'Comm per Month (Mil in-kind)'!B38,'Bilateral Assistance, MAIN DATA'!AG:AG,1,'Bilateral Assistance, MAIN DATA'!AH:AH,'Comm per Month (Mil in-kind)'!$I$11, 'Bilateral Assistance, MAIN DATA'!AS:AS,1)/1000000000</f>
        <v>0</v>
      </c>
      <c r="J38" s="315">
        <f>SUMIFS('Bilateral Assistance, MAIN DATA'!S:S,'Bilateral Assistance, MAIN DATA'!B:B,'Comm per Month (Mil in-kind)'!B38,'Bilateral Assistance, MAIN DATA'!AG:AG,1,'Bilateral Assistance, MAIN DATA'!AH:AH,'Comm per Month (Mil in-kind)'!$J$11, 'Bilateral Assistance, MAIN DATA'!AS:AS,1)/1000000000</f>
        <v>8.3314875353915435E-2</v>
      </c>
      <c r="K38" s="315">
        <f>SUMIFS('Bilateral Assistance, MAIN DATA'!S:S,'Bilateral Assistance, MAIN DATA'!B:B,'Comm per Month (Mil in-kind)'!B38,'Bilateral Assistance, MAIN DATA'!AG:AG,1,'Bilateral Assistance, MAIN DATA'!AH:AH,'Comm per Month (Mil in-kind)'!$K$11, 'Bilateral Assistance, MAIN DATA'!AS:AS,1)/1000000000</f>
        <v>1.5831498399999998E-2</v>
      </c>
      <c r="L38" s="315">
        <f>SUMIFS('Bilateral Assistance, MAIN DATA'!S:S,'Bilateral Assistance, MAIN DATA'!B:B,'Comm per Month (Mil in-kind)'!B38,'Bilateral Assistance, MAIN DATA'!AG:AG,1,'Bilateral Assistance, MAIN DATA'!AH:AH,'Comm per Month (Mil in-kind)'!$L$11, 'Bilateral Assistance, MAIN DATA'!AS:AS,1)/1000000000</f>
        <v>0</v>
      </c>
      <c r="M38" s="316">
        <f>SUMIFS('Bilateral Assistance, MAIN DATA'!S:S,'Bilateral Assistance, MAIN DATA'!B:B,'Comm per Month (Mil in-kind)'!B38,'Bilateral Assistance, MAIN DATA'!AG:AG,1,'Bilateral Assistance, MAIN DATA'!AH:AH,'Comm per Month (Mil in-kind)'!$M$11, 'Bilateral Assistance, MAIN DATA'!AS:AS,1)/1000000000</f>
        <v>1.4185142857142856E-2</v>
      </c>
      <c r="N38" s="270">
        <f>SUMIFS('Bilateral Assistance, MAIN DATA'!S:S,'Bilateral Assistance, MAIN DATA'!B:B,'Comm per Month (Mil in-kind)'!B38,'Bilateral Assistance, MAIN DATA'!AG:AG,1,'Bilateral Assistance, MAIN DATA'!AH:AH,'Comm per Month (Mil in-kind)'!$N$11, 'Bilateral Assistance, MAIN DATA'!AS:AS,1)/1000000000</f>
        <v>3.0666665999999999E-2</v>
      </c>
      <c r="O38" s="316">
        <f>SUMIFS('Bilateral Assistance, MAIN DATA'!S:S,'Bilateral Assistance, MAIN DATA'!B:B,'Comm per Month (Mil in-kind)'!B38,'Bilateral Assistance, MAIN DATA'!AG:AG,1,'Bilateral Assistance, MAIN DATA'!AH:AH,'Comm per Month (Mil in-kind)'!$O$11, 'Bilateral Assistance, MAIN DATA'!AS:AS,1)/1000000000</f>
        <v>0</v>
      </c>
      <c r="P38" s="316">
        <f>SUMIFS('Bilateral Assistance, MAIN DATA'!S:S,'Bilateral Assistance, MAIN DATA'!B:B,'Comm per Month (Mil in-kind)'!B38,'Bilateral Assistance, MAIN DATA'!AG:AG,1,'Bilateral Assistance, MAIN DATA'!AH:AH,'Comm per Month (Mil in-kind)'!$P$11, 'Bilateral Assistance, MAIN DATA'!AS:AS,1)/1000000000</f>
        <v>2.6919711959082038E-2</v>
      </c>
      <c r="Q38" s="316">
        <f>SUMIFS('Bilateral Assistance, MAIN DATA'!S:S,'Bilateral Assistance, MAIN DATA'!B:B,'Comm per Month (Mil in-kind)'!B38,'Bilateral Assistance, MAIN DATA'!AG:AG,1,'Bilateral Assistance, MAIN DATA'!AH:AH,'Comm per Month (Mil in-kind)'!$Q$11, 'Bilateral Assistance, MAIN DATA'!AS:AS,1)/1000000000</f>
        <v>0</v>
      </c>
      <c r="R38" s="316">
        <f t="shared" si="0"/>
        <v>0.2508378423592994</v>
      </c>
      <c r="S38" s="316">
        <f>SUMIFS('Bilateral Assistance, MAIN DATA'!S:S,'Bilateral Assistance, MAIN DATA'!B:B,'Comm per Month (Mil in-kind)'!B38,'Bilateral Assistance, MAIN DATA'!AG:AG,0,'Bilateral Assistance, MAIN DATA'!AS:AS,1)/1000000000</f>
        <v>0</v>
      </c>
    </row>
    <row r="39" spans="1:19" ht="15.9" customHeight="1" x14ac:dyDescent="0.3">
      <c r="A39" s="19"/>
      <c r="B39" s="24" t="s">
        <v>2303</v>
      </c>
      <c r="C39" s="339">
        <v>1</v>
      </c>
      <c r="D39" s="339">
        <v>0</v>
      </c>
      <c r="E39" s="315">
        <f>SUMIFS('Bilateral Assistance, MAIN DATA'!S:S,'Bilateral Assistance, MAIN DATA'!B:B,'Comm per Month (Mil in-kind)'!B39,'Bilateral Assistance, MAIN DATA'!AG:AG,1,'Bilateral Assistance, MAIN DATA'!AH:AH,'Comm per Month (Mil in-kind)'!$E$11, 'Bilateral Assistance, MAIN DATA'!AS:AS,1)/1000000000</f>
        <v>0</v>
      </c>
      <c r="F39" s="315">
        <f>SUMIFS('Bilateral Assistance, MAIN DATA'!S:S,'Bilateral Assistance, MAIN DATA'!B:B,'Comm per Month (Mil in-kind)'!B39,'Bilateral Assistance, MAIN DATA'!AG:AG,1,'Bilateral Assistance, MAIN DATA'!AH:AH,'Comm per Month (Mil in-kind)'!$F$11, 'Bilateral Assistance, MAIN DATA'!AS:AS,1)/1000000000</f>
        <v>0</v>
      </c>
      <c r="G39" s="315">
        <f>SUMIFS('Bilateral Assistance, MAIN DATA'!S:S,'Bilateral Assistance, MAIN DATA'!B:B,'Comm per Month (Mil in-kind)'!B39,'Bilateral Assistance, MAIN DATA'!AG:AG,1,'Bilateral Assistance, MAIN DATA'!AH:AH,'Comm per Month (Mil in-kind)'!$G$11, 'Bilateral Assistance, MAIN DATA'!AS:AS,1)/1000000000</f>
        <v>0</v>
      </c>
      <c r="H39" s="315">
        <f>SUMIFS('Bilateral Assistance, MAIN DATA'!S:S,'Bilateral Assistance, MAIN DATA'!B:B,'Comm per Month (Mil in-kind)'!B39,'Bilateral Assistance, MAIN DATA'!AG:AG,1,'Bilateral Assistance, MAIN DATA'!AH:AH,'Comm per Month (Mil in-kind)'!$H$11, 'Bilateral Assistance, MAIN DATA'!AS:AS,1)/1000000000</f>
        <v>1.8</v>
      </c>
      <c r="I39" s="315">
        <f>SUMIFS('Bilateral Assistance, MAIN DATA'!S:S,'Bilateral Assistance, MAIN DATA'!B:B,'Comm per Month (Mil in-kind)'!B39,'Bilateral Assistance, MAIN DATA'!AG:AG,1,'Bilateral Assistance, MAIN DATA'!AH:AH,'Comm per Month (Mil in-kind)'!$I$11, 'Bilateral Assistance, MAIN DATA'!AS:AS,1)/1000000000</f>
        <v>0</v>
      </c>
      <c r="J39" s="315">
        <f>SUMIFS('Bilateral Assistance, MAIN DATA'!S:S,'Bilateral Assistance, MAIN DATA'!B:B,'Comm per Month (Mil in-kind)'!B39,'Bilateral Assistance, MAIN DATA'!AG:AG,1,'Bilateral Assistance, MAIN DATA'!AH:AH,'Comm per Month (Mil in-kind)'!$J$11, 'Bilateral Assistance, MAIN DATA'!AS:AS,1)/1000000000</f>
        <v>0</v>
      </c>
      <c r="K39" s="315">
        <f>SUMIFS('Bilateral Assistance, MAIN DATA'!S:S,'Bilateral Assistance, MAIN DATA'!B:B,'Comm per Month (Mil in-kind)'!B39,'Bilateral Assistance, MAIN DATA'!AG:AG,1,'Bilateral Assistance, MAIN DATA'!AH:AH,'Comm per Month (Mil in-kind)'!$K$11, 'Bilateral Assistance, MAIN DATA'!AS:AS,1)/1000000000</f>
        <v>0.18961889200000001</v>
      </c>
      <c r="L39" s="315">
        <f>SUMIFS('Bilateral Assistance, MAIN DATA'!S:S,'Bilateral Assistance, MAIN DATA'!B:B,'Comm per Month (Mil in-kind)'!B39,'Bilateral Assistance, MAIN DATA'!AG:AG,1,'Bilateral Assistance, MAIN DATA'!AH:AH,'Comm per Month (Mil in-kind)'!$L$11, 'Bilateral Assistance, MAIN DATA'!AS:AS,1)/1000000000</f>
        <v>0</v>
      </c>
      <c r="M39" s="316">
        <f>SUMIFS('Bilateral Assistance, MAIN DATA'!S:S,'Bilateral Assistance, MAIN DATA'!B:B,'Comm per Month (Mil in-kind)'!B39,'Bilateral Assistance, MAIN DATA'!AG:AG,1,'Bilateral Assistance, MAIN DATA'!AH:AH,'Comm per Month (Mil in-kind)'!$M$11, 'Bilateral Assistance, MAIN DATA'!AS:AS,1)/1000000000</f>
        <v>0</v>
      </c>
      <c r="N39" s="270">
        <f>SUMIFS('Bilateral Assistance, MAIN DATA'!S:S,'Bilateral Assistance, MAIN DATA'!B:B,'Comm per Month (Mil in-kind)'!B39,'Bilateral Assistance, MAIN DATA'!AG:AG,1,'Bilateral Assistance, MAIN DATA'!AH:AH,'Comm per Month (Mil in-kind)'!$N$11, 'Bilateral Assistance, MAIN DATA'!AS:AS,1)/1000000000</f>
        <v>0</v>
      </c>
      <c r="O39" s="316">
        <f>SUMIFS('Bilateral Assistance, MAIN DATA'!S:S,'Bilateral Assistance, MAIN DATA'!B:B,'Comm per Month (Mil in-kind)'!B39,'Bilateral Assistance, MAIN DATA'!AG:AG,1,'Bilateral Assistance, MAIN DATA'!AH:AH,'Comm per Month (Mil in-kind)'!$O$11, 'Bilateral Assistance, MAIN DATA'!AS:AS,1)/1000000000</f>
        <v>0</v>
      </c>
      <c r="P39" s="316">
        <f>SUMIFS('Bilateral Assistance, MAIN DATA'!S:S,'Bilateral Assistance, MAIN DATA'!B:B,'Comm per Month (Mil in-kind)'!B39,'Bilateral Assistance, MAIN DATA'!AG:AG,1,'Bilateral Assistance, MAIN DATA'!AH:AH,'Comm per Month (Mil in-kind)'!$P$11, 'Bilateral Assistance, MAIN DATA'!AS:AS,1)/1000000000</f>
        <v>0.43821217714285715</v>
      </c>
      <c r="Q39" s="316">
        <f>SUMIFS('Bilateral Assistance, MAIN DATA'!S:S,'Bilateral Assistance, MAIN DATA'!B:B,'Comm per Month (Mil in-kind)'!B39,'Bilateral Assistance, MAIN DATA'!AG:AG,1,'Bilateral Assistance, MAIN DATA'!AH:AH,'Comm per Month (Mil in-kind)'!$Q$11, 'Bilateral Assistance, MAIN DATA'!AS:AS,1)/1000000000</f>
        <v>0</v>
      </c>
      <c r="R39" s="316">
        <f t="shared" si="0"/>
        <v>2.4278310691428571</v>
      </c>
      <c r="S39" s="316">
        <f>SUMIFS('Bilateral Assistance, MAIN DATA'!S:S,'Bilateral Assistance, MAIN DATA'!B:B,'Comm per Month (Mil in-kind)'!B39,'Bilateral Assistance, MAIN DATA'!AG:AG,0,'Bilateral Assistance, MAIN DATA'!AS:AS,1)/1000000000</f>
        <v>0</v>
      </c>
    </row>
    <row r="40" spans="1:19" ht="15.9" customHeight="1" x14ac:dyDescent="0.3">
      <c r="A40" s="19"/>
      <c r="B40" s="24" t="s">
        <v>2370</v>
      </c>
      <c r="C40" s="339">
        <v>1</v>
      </c>
      <c r="D40" s="339">
        <v>0</v>
      </c>
      <c r="E40" s="315">
        <f>SUMIFS('Bilateral Assistance, MAIN DATA'!S:S,'Bilateral Assistance, MAIN DATA'!B:B,'Comm per Month (Mil in-kind)'!B40,'Bilateral Assistance, MAIN DATA'!AG:AG,1,'Bilateral Assistance, MAIN DATA'!AH:AH,'Comm per Month (Mil in-kind)'!$E$11, 'Bilateral Assistance, MAIN DATA'!AS:AS,1)/1000000000</f>
        <v>0</v>
      </c>
      <c r="F40" s="315">
        <f>SUMIFS('Bilateral Assistance, MAIN DATA'!S:S,'Bilateral Assistance, MAIN DATA'!B:B,'Comm per Month (Mil in-kind)'!B40,'Bilateral Assistance, MAIN DATA'!AG:AG,1,'Bilateral Assistance, MAIN DATA'!AH:AH,'Comm per Month (Mil in-kind)'!$F$11, 'Bilateral Assistance, MAIN DATA'!AS:AS,1)/1000000000</f>
        <v>0</v>
      </c>
      <c r="G40" s="315">
        <f>SUMIFS('Bilateral Assistance, MAIN DATA'!S:S,'Bilateral Assistance, MAIN DATA'!B:B,'Comm per Month (Mil in-kind)'!B40,'Bilateral Assistance, MAIN DATA'!AG:AG,1,'Bilateral Assistance, MAIN DATA'!AH:AH,'Comm per Month (Mil in-kind)'!$G$11, 'Bilateral Assistance, MAIN DATA'!AS:AS,1)/1000000000</f>
        <v>0</v>
      </c>
      <c r="H40" s="315">
        <f>SUMIFS('Bilateral Assistance, MAIN DATA'!S:S,'Bilateral Assistance, MAIN DATA'!B:B,'Comm per Month (Mil in-kind)'!B40,'Bilateral Assistance, MAIN DATA'!AG:AG,1,'Bilateral Assistance, MAIN DATA'!AH:AH,'Comm per Month (Mil in-kind)'!$H$11, 'Bilateral Assistance, MAIN DATA'!AS:AS,1)/1000000000</f>
        <v>2.3074285714285714E-3</v>
      </c>
      <c r="I40" s="315">
        <f>SUMIFS('Bilateral Assistance, MAIN DATA'!S:S,'Bilateral Assistance, MAIN DATA'!B:B,'Comm per Month (Mil in-kind)'!B40,'Bilateral Assistance, MAIN DATA'!AG:AG,1,'Bilateral Assistance, MAIN DATA'!AH:AH,'Comm per Month (Mil in-kind)'!$I$11, 'Bilateral Assistance, MAIN DATA'!AS:AS,1)/1000000000</f>
        <v>8.408784553516107E-3</v>
      </c>
      <c r="J40" s="315">
        <f>SUMIFS('Bilateral Assistance, MAIN DATA'!S:S,'Bilateral Assistance, MAIN DATA'!B:B,'Comm per Month (Mil in-kind)'!B40,'Bilateral Assistance, MAIN DATA'!AG:AG,1,'Bilateral Assistance, MAIN DATA'!AH:AH,'Comm per Month (Mil in-kind)'!$J$11, 'Bilateral Assistance, MAIN DATA'!AS:AS,1)/1000000000</f>
        <v>0</v>
      </c>
      <c r="K40" s="315">
        <f>SUMIFS('Bilateral Assistance, MAIN DATA'!S:S,'Bilateral Assistance, MAIN DATA'!B:B,'Comm per Month (Mil in-kind)'!B40,'Bilateral Assistance, MAIN DATA'!AG:AG,1,'Bilateral Assistance, MAIN DATA'!AH:AH,'Comm per Month (Mil in-kind)'!$K$11, 'Bilateral Assistance, MAIN DATA'!AS:AS,1)/1000000000</f>
        <v>0</v>
      </c>
      <c r="L40" s="315">
        <f>SUMIFS('Bilateral Assistance, MAIN DATA'!S:S,'Bilateral Assistance, MAIN DATA'!B:B,'Comm per Month (Mil in-kind)'!B40,'Bilateral Assistance, MAIN DATA'!AG:AG,1,'Bilateral Assistance, MAIN DATA'!AH:AH,'Comm per Month (Mil in-kind)'!$L$11, 'Bilateral Assistance, MAIN DATA'!AS:AS,1)/1000000000</f>
        <v>0</v>
      </c>
      <c r="M40" s="316">
        <f>SUMIFS('Bilateral Assistance, MAIN DATA'!S:S,'Bilateral Assistance, MAIN DATA'!B:B,'Comm per Month (Mil in-kind)'!B40,'Bilateral Assistance, MAIN DATA'!AG:AG,1,'Bilateral Assistance, MAIN DATA'!AH:AH,'Comm per Month (Mil in-kind)'!$M$11, 'Bilateral Assistance, MAIN DATA'!AS:AS,1)/1000000000</f>
        <v>0</v>
      </c>
      <c r="N40" s="270">
        <f>SUMIFS('Bilateral Assistance, MAIN DATA'!S:S,'Bilateral Assistance, MAIN DATA'!B:B,'Comm per Month (Mil in-kind)'!B40,'Bilateral Assistance, MAIN DATA'!AG:AG,1,'Bilateral Assistance, MAIN DATA'!AH:AH,'Comm per Month (Mil in-kind)'!$N$11, 'Bilateral Assistance, MAIN DATA'!AS:AS,1)/1000000000</f>
        <v>3.3428571428571426E-2</v>
      </c>
      <c r="O40" s="316">
        <f>SUMIFS('Bilateral Assistance, MAIN DATA'!S:S,'Bilateral Assistance, MAIN DATA'!B:B,'Comm per Month (Mil in-kind)'!B40,'Bilateral Assistance, MAIN DATA'!AG:AG,1,'Bilateral Assistance, MAIN DATA'!AH:AH,'Comm per Month (Mil in-kind)'!$O$11, 'Bilateral Assistance, MAIN DATA'!AS:AS,1)/1000000000</f>
        <v>0</v>
      </c>
      <c r="P40" s="316">
        <f>SUMIFS('Bilateral Assistance, MAIN DATA'!S:S,'Bilateral Assistance, MAIN DATA'!B:B,'Comm per Month (Mil in-kind)'!B40,'Bilateral Assistance, MAIN DATA'!AG:AG,1,'Bilateral Assistance, MAIN DATA'!AH:AH,'Comm per Month (Mil in-kind)'!$P$11, 'Bilateral Assistance, MAIN DATA'!AS:AS,1)/1000000000</f>
        <v>0</v>
      </c>
      <c r="Q40" s="316">
        <f>SUMIFS('Bilateral Assistance, MAIN DATA'!S:S,'Bilateral Assistance, MAIN DATA'!B:B,'Comm per Month (Mil in-kind)'!B40,'Bilateral Assistance, MAIN DATA'!AG:AG,1,'Bilateral Assistance, MAIN DATA'!AH:AH,'Comm per Month (Mil in-kind)'!$Q$11, 'Bilateral Assistance, MAIN DATA'!AS:AS,1)/1000000000</f>
        <v>0</v>
      </c>
      <c r="R40" s="316">
        <f t="shared" si="0"/>
        <v>4.41447845535161E-2</v>
      </c>
      <c r="S40" s="316">
        <f>SUMIFS('Bilateral Assistance, MAIN DATA'!S:S,'Bilateral Assistance, MAIN DATA'!B:B,'Comm per Month (Mil in-kind)'!B40,'Bilateral Assistance, MAIN DATA'!AG:AG,0,'Bilateral Assistance, MAIN DATA'!AS:AS,1)/1000000000</f>
        <v>0</v>
      </c>
    </row>
    <row r="41" spans="1:19" ht="15.9" customHeight="1" x14ac:dyDescent="0.3">
      <c r="B41" s="2" t="s">
        <v>2424</v>
      </c>
      <c r="C41" s="339">
        <v>0</v>
      </c>
      <c r="D41" s="339">
        <v>0</v>
      </c>
      <c r="E41" s="315">
        <f>SUMIFS('Bilateral Assistance, MAIN DATA'!S:S,'Bilateral Assistance, MAIN DATA'!B:B,'Comm per Month (Mil in-kind)'!B41,'Bilateral Assistance, MAIN DATA'!AG:AG,1,'Bilateral Assistance, MAIN DATA'!AH:AH,'Comm per Month (Mil in-kind)'!$E$11, 'Bilateral Assistance, MAIN DATA'!AS:AS,1)/1000000000</f>
        <v>0</v>
      </c>
      <c r="F41" s="315">
        <f>SUMIFS('Bilateral Assistance, MAIN DATA'!S:S,'Bilateral Assistance, MAIN DATA'!B:B,'Comm per Month (Mil in-kind)'!B41,'Bilateral Assistance, MAIN DATA'!AG:AG,1,'Bilateral Assistance, MAIN DATA'!AH:AH,'Comm per Month (Mil in-kind)'!$F$11, 'Bilateral Assistance, MAIN DATA'!AS:AS,1)/1000000000</f>
        <v>0</v>
      </c>
      <c r="G41" s="315">
        <f>SUMIFS('Bilateral Assistance, MAIN DATA'!S:S,'Bilateral Assistance, MAIN DATA'!B:B,'Comm per Month (Mil in-kind)'!B41,'Bilateral Assistance, MAIN DATA'!AG:AG,1,'Bilateral Assistance, MAIN DATA'!AH:AH,'Comm per Month (Mil in-kind)'!$G$11, 'Bilateral Assistance, MAIN DATA'!AS:AS,1)/1000000000</f>
        <v>7.6190476190476193E-4</v>
      </c>
      <c r="H41" s="315">
        <f>SUMIFS('Bilateral Assistance, MAIN DATA'!S:S,'Bilateral Assistance, MAIN DATA'!B:B,'Comm per Month (Mil in-kind)'!B41,'Bilateral Assistance, MAIN DATA'!AG:AG,1,'Bilateral Assistance, MAIN DATA'!AH:AH,'Comm per Month (Mil in-kind)'!$H$11, 'Bilateral Assistance, MAIN DATA'!AS:AS,1)/1000000000</f>
        <v>1.5238095238095239E-3</v>
      </c>
      <c r="I41" s="315">
        <f>SUMIFS('Bilateral Assistance, MAIN DATA'!S:S,'Bilateral Assistance, MAIN DATA'!B:B,'Comm per Month (Mil in-kind)'!B41,'Bilateral Assistance, MAIN DATA'!AG:AG,1,'Bilateral Assistance, MAIN DATA'!AH:AH,'Comm per Month (Mil in-kind)'!$I$11, 'Bilateral Assistance, MAIN DATA'!AS:AS,1)/1000000000</f>
        <v>1.1238095238095239E-3</v>
      </c>
      <c r="J41" s="315">
        <f>SUMIFS('Bilateral Assistance, MAIN DATA'!S:S,'Bilateral Assistance, MAIN DATA'!B:B,'Comm per Month (Mil in-kind)'!B41,'Bilateral Assistance, MAIN DATA'!AG:AG,1,'Bilateral Assistance, MAIN DATA'!AH:AH,'Comm per Month (Mil in-kind)'!$J$11, 'Bilateral Assistance, MAIN DATA'!AS:AS,1)/1000000000</f>
        <v>0</v>
      </c>
      <c r="K41" s="315">
        <f>SUMIFS('Bilateral Assistance, MAIN DATA'!S:S,'Bilateral Assistance, MAIN DATA'!B:B,'Comm per Month (Mil in-kind)'!B41,'Bilateral Assistance, MAIN DATA'!AG:AG,1,'Bilateral Assistance, MAIN DATA'!AH:AH,'Comm per Month (Mil in-kind)'!$K$11, 'Bilateral Assistance, MAIN DATA'!AS:AS,1)/1000000000</f>
        <v>0</v>
      </c>
      <c r="L41" s="315">
        <f>SUMIFS('Bilateral Assistance, MAIN DATA'!S:S,'Bilateral Assistance, MAIN DATA'!B:B,'Comm per Month (Mil in-kind)'!B41,'Bilateral Assistance, MAIN DATA'!AG:AG,1,'Bilateral Assistance, MAIN DATA'!AH:AH,'Comm per Month (Mil in-kind)'!$L$11, 'Bilateral Assistance, MAIN DATA'!AS:AS,1)/1000000000</f>
        <v>0</v>
      </c>
      <c r="M41" s="316">
        <f>SUMIFS('Bilateral Assistance, MAIN DATA'!S:S,'Bilateral Assistance, MAIN DATA'!B:B,'Comm per Month (Mil in-kind)'!B41,'Bilateral Assistance, MAIN DATA'!AG:AG,1,'Bilateral Assistance, MAIN DATA'!AH:AH,'Comm per Month (Mil in-kind)'!$M$11, 'Bilateral Assistance, MAIN DATA'!AS:AS,1)/1000000000</f>
        <v>0</v>
      </c>
      <c r="N41" s="270">
        <f>SUMIFS('Bilateral Assistance, MAIN DATA'!S:S,'Bilateral Assistance, MAIN DATA'!B:B,'Comm per Month (Mil in-kind)'!B41,'Bilateral Assistance, MAIN DATA'!AG:AG,1,'Bilateral Assistance, MAIN DATA'!AH:AH,'Comm per Month (Mil in-kind)'!$N$11, 'Bilateral Assistance, MAIN DATA'!AS:AS,1)/1000000000</f>
        <v>0</v>
      </c>
      <c r="O41" s="316">
        <f>SUMIFS('Bilateral Assistance, MAIN DATA'!S:S,'Bilateral Assistance, MAIN DATA'!B:B,'Comm per Month (Mil in-kind)'!B41,'Bilateral Assistance, MAIN DATA'!AG:AG,1,'Bilateral Assistance, MAIN DATA'!AH:AH,'Comm per Month (Mil in-kind)'!$O$11, 'Bilateral Assistance, MAIN DATA'!AS:AS,1)/1000000000</f>
        <v>0</v>
      </c>
      <c r="P41" s="316">
        <f>SUMIFS('Bilateral Assistance, MAIN DATA'!S:S,'Bilateral Assistance, MAIN DATA'!B:B,'Comm per Month (Mil in-kind)'!B41,'Bilateral Assistance, MAIN DATA'!AG:AG,1,'Bilateral Assistance, MAIN DATA'!AH:AH,'Comm per Month (Mil in-kind)'!$P$11, 'Bilateral Assistance, MAIN DATA'!AS:AS,1)/1000000000</f>
        <v>0</v>
      </c>
      <c r="Q41" s="316">
        <f>SUMIFS('Bilateral Assistance, MAIN DATA'!S:S,'Bilateral Assistance, MAIN DATA'!B:B,'Comm per Month (Mil in-kind)'!B41,'Bilateral Assistance, MAIN DATA'!AG:AG,1,'Bilateral Assistance, MAIN DATA'!AH:AH,'Comm per Month (Mil in-kind)'!$Q$11, 'Bilateral Assistance, MAIN DATA'!AS:AS,1)/1000000000</f>
        <v>0</v>
      </c>
      <c r="R41" s="316">
        <f t="shared" si="0"/>
        <v>3.4095238095238098E-3</v>
      </c>
      <c r="S41" s="316">
        <f>SUMIFS('Bilateral Assistance, MAIN DATA'!S:S,'Bilateral Assistance, MAIN DATA'!B:B,'Comm per Month (Mil in-kind)'!B41,'Bilateral Assistance, MAIN DATA'!AG:AG,0,'Bilateral Assistance, MAIN DATA'!AS:AS,1)/1000000000</f>
        <v>0</v>
      </c>
    </row>
    <row r="42" spans="1:19" ht="15.9" customHeight="1" x14ac:dyDescent="0.3">
      <c r="B42" s="24" t="s">
        <v>2460</v>
      </c>
      <c r="C42" s="339">
        <v>1</v>
      </c>
      <c r="D42" s="339">
        <v>0</v>
      </c>
      <c r="E42" s="315">
        <f>SUMIFS('Bilateral Assistance, MAIN DATA'!S:S,'Bilateral Assistance, MAIN DATA'!B:B,'Comm per Month (Mil in-kind)'!B42,'Bilateral Assistance, MAIN DATA'!AG:AG,1,'Bilateral Assistance, MAIN DATA'!AH:AH,'Comm per Month (Mil in-kind)'!$E$11, 'Bilateral Assistance, MAIN DATA'!AS:AS,1)/1000000000</f>
        <v>0</v>
      </c>
      <c r="F42" s="315">
        <f>SUMIFS('Bilateral Assistance, MAIN DATA'!S:S,'Bilateral Assistance, MAIN DATA'!B:B,'Comm per Month (Mil in-kind)'!B42,'Bilateral Assistance, MAIN DATA'!AG:AG,1,'Bilateral Assistance, MAIN DATA'!AH:AH,'Comm per Month (Mil in-kind)'!$F$11, 'Bilateral Assistance, MAIN DATA'!AS:AS,1)/1000000000</f>
        <v>3.0000000000000001E-3</v>
      </c>
      <c r="G42" s="315">
        <f>SUMIFS('Bilateral Assistance, MAIN DATA'!S:S,'Bilateral Assistance, MAIN DATA'!B:B,'Comm per Month (Mil in-kind)'!B42,'Bilateral Assistance, MAIN DATA'!AG:AG,1,'Bilateral Assistance, MAIN DATA'!AH:AH,'Comm per Month (Mil in-kind)'!$G$11, 'Bilateral Assistance, MAIN DATA'!AS:AS,1)/1000000000</f>
        <v>0</v>
      </c>
      <c r="H42" s="315">
        <f>SUMIFS('Bilateral Assistance, MAIN DATA'!S:S,'Bilateral Assistance, MAIN DATA'!B:B,'Comm per Month (Mil in-kind)'!B42,'Bilateral Assistance, MAIN DATA'!AG:AG,1,'Bilateral Assistance, MAIN DATA'!AH:AH,'Comm per Month (Mil in-kind)'!$H$11, 'Bilateral Assistance, MAIN DATA'!AS:AS,1)/1000000000</f>
        <v>0</v>
      </c>
      <c r="I42" s="315">
        <f>SUMIFS('Bilateral Assistance, MAIN DATA'!S:S,'Bilateral Assistance, MAIN DATA'!B:B,'Comm per Month (Mil in-kind)'!B42,'Bilateral Assistance, MAIN DATA'!AG:AG,1,'Bilateral Assistance, MAIN DATA'!AH:AH,'Comm per Month (Mil in-kind)'!$I$11, 'Bilateral Assistance, MAIN DATA'!AS:AS,1)/1000000000</f>
        <v>0</v>
      </c>
      <c r="J42" s="315">
        <f>SUMIFS('Bilateral Assistance, MAIN DATA'!S:S,'Bilateral Assistance, MAIN DATA'!B:B,'Comm per Month (Mil in-kind)'!B42,'Bilateral Assistance, MAIN DATA'!AG:AG,1,'Bilateral Assistance, MAIN DATA'!AH:AH,'Comm per Month (Mil in-kind)'!$J$11, 'Bilateral Assistance, MAIN DATA'!AS:AS,1)/1000000000</f>
        <v>0</v>
      </c>
      <c r="K42" s="315">
        <f>SUMIFS('Bilateral Assistance, MAIN DATA'!S:S,'Bilateral Assistance, MAIN DATA'!B:B,'Comm per Month (Mil in-kind)'!B42,'Bilateral Assistance, MAIN DATA'!AG:AG,1,'Bilateral Assistance, MAIN DATA'!AH:AH,'Comm per Month (Mil in-kind)'!$K$11, 'Bilateral Assistance, MAIN DATA'!AS:AS,1)/1000000000</f>
        <v>0</v>
      </c>
      <c r="L42" s="315">
        <f>SUMIFS('Bilateral Assistance, MAIN DATA'!S:S,'Bilateral Assistance, MAIN DATA'!B:B,'Comm per Month (Mil in-kind)'!B42,'Bilateral Assistance, MAIN DATA'!AG:AG,1,'Bilateral Assistance, MAIN DATA'!AH:AH,'Comm per Month (Mil in-kind)'!$L$11, 'Bilateral Assistance, MAIN DATA'!AS:AS,1)/1000000000</f>
        <v>0</v>
      </c>
      <c r="M42" s="316">
        <f>SUMIFS('Bilateral Assistance, MAIN DATA'!S:S,'Bilateral Assistance, MAIN DATA'!B:B,'Comm per Month (Mil in-kind)'!B42,'Bilateral Assistance, MAIN DATA'!AG:AG,1,'Bilateral Assistance, MAIN DATA'!AH:AH,'Comm per Month (Mil in-kind)'!$M$11, 'Bilateral Assistance, MAIN DATA'!AS:AS,1)/1000000000</f>
        <v>0</v>
      </c>
      <c r="N42" s="270">
        <f>SUMIFS('Bilateral Assistance, MAIN DATA'!S:S,'Bilateral Assistance, MAIN DATA'!B:B,'Comm per Month (Mil in-kind)'!B42,'Bilateral Assistance, MAIN DATA'!AG:AG,1,'Bilateral Assistance, MAIN DATA'!AH:AH,'Comm per Month (Mil in-kind)'!$N$11, 'Bilateral Assistance, MAIN DATA'!AS:AS,1)/1000000000</f>
        <v>0</v>
      </c>
      <c r="O42" s="316">
        <f>SUMIFS('Bilateral Assistance, MAIN DATA'!S:S,'Bilateral Assistance, MAIN DATA'!B:B,'Comm per Month (Mil in-kind)'!B42,'Bilateral Assistance, MAIN DATA'!AG:AG,1,'Bilateral Assistance, MAIN DATA'!AH:AH,'Comm per Month (Mil in-kind)'!$O$11, 'Bilateral Assistance, MAIN DATA'!AS:AS,1)/1000000000</f>
        <v>0</v>
      </c>
      <c r="P42" s="316">
        <f>SUMIFS('Bilateral Assistance, MAIN DATA'!S:S,'Bilateral Assistance, MAIN DATA'!B:B,'Comm per Month (Mil in-kind)'!B42,'Bilateral Assistance, MAIN DATA'!AG:AG,1,'Bilateral Assistance, MAIN DATA'!AH:AH,'Comm per Month (Mil in-kind)'!$P$11, 'Bilateral Assistance, MAIN DATA'!AS:AS,1)/1000000000</f>
        <v>0</v>
      </c>
      <c r="Q42" s="316">
        <f>SUMIFS('Bilateral Assistance, MAIN DATA'!S:S,'Bilateral Assistance, MAIN DATA'!B:B,'Comm per Month (Mil in-kind)'!B42,'Bilateral Assistance, MAIN DATA'!AG:AG,1,'Bilateral Assistance, MAIN DATA'!AH:AH,'Comm per Month (Mil in-kind)'!$Q$11, 'Bilateral Assistance, MAIN DATA'!AS:AS,1)/1000000000</f>
        <v>0</v>
      </c>
      <c r="R42" s="316">
        <f t="shared" si="0"/>
        <v>3.0000000000000001E-3</v>
      </c>
      <c r="S42" s="316">
        <f>SUMIFS('Bilateral Assistance, MAIN DATA'!S:S,'Bilateral Assistance, MAIN DATA'!B:B,'Comm per Month (Mil in-kind)'!B42,'Bilateral Assistance, MAIN DATA'!AG:AG,0,'Bilateral Assistance, MAIN DATA'!AS:AS,1)/1000000000</f>
        <v>0</v>
      </c>
    </row>
    <row r="43" spans="1:19" ht="15.9" customHeight="1" x14ac:dyDescent="0.3">
      <c r="B43" s="24" t="s">
        <v>2489</v>
      </c>
      <c r="C43" s="339">
        <v>1</v>
      </c>
      <c r="D43" s="339">
        <v>0</v>
      </c>
      <c r="E43" s="315">
        <f>SUMIFS('Bilateral Assistance, MAIN DATA'!S:S,'Bilateral Assistance, MAIN DATA'!B:B,'Comm per Month (Mil in-kind)'!B43,'Bilateral Assistance, MAIN DATA'!AG:AG,1,'Bilateral Assistance, MAIN DATA'!AH:AH,'Comm per Month (Mil in-kind)'!$E$11, 'Bilateral Assistance, MAIN DATA'!AS:AS,1)/1000000000</f>
        <v>0</v>
      </c>
      <c r="F43" s="315">
        <f>SUMIFS('Bilateral Assistance, MAIN DATA'!S:S,'Bilateral Assistance, MAIN DATA'!B:B,'Comm per Month (Mil in-kind)'!B43,'Bilateral Assistance, MAIN DATA'!AG:AG,1,'Bilateral Assistance, MAIN DATA'!AH:AH,'Comm per Month (Mil in-kind)'!$F$11, 'Bilateral Assistance, MAIN DATA'!AS:AS,1)/1000000000</f>
        <v>1.72E-2</v>
      </c>
      <c r="G43" s="315">
        <f>SUMIFS('Bilateral Assistance, MAIN DATA'!S:S,'Bilateral Assistance, MAIN DATA'!B:B,'Comm per Month (Mil in-kind)'!B43,'Bilateral Assistance, MAIN DATA'!AG:AG,1,'Bilateral Assistance, MAIN DATA'!AH:AH,'Comm per Month (Mil in-kind)'!$G$11, 'Bilateral Assistance, MAIN DATA'!AS:AS,1)/1000000000</f>
        <v>3.2199999999999999E-2</v>
      </c>
      <c r="H43" s="315">
        <f>SUMIFS('Bilateral Assistance, MAIN DATA'!S:S,'Bilateral Assistance, MAIN DATA'!B:B,'Comm per Month (Mil in-kind)'!B43,'Bilateral Assistance, MAIN DATA'!AG:AG,1,'Bilateral Assistance, MAIN DATA'!AH:AH,'Comm per Month (Mil in-kind)'!$H$11, 'Bilateral Assistance, MAIN DATA'!AS:AS,1)/1000000000</f>
        <v>6.8000000000000005E-2</v>
      </c>
      <c r="I43" s="315">
        <f>SUMIFS('Bilateral Assistance, MAIN DATA'!S:S,'Bilateral Assistance, MAIN DATA'!B:B,'Comm per Month (Mil in-kind)'!B43,'Bilateral Assistance, MAIN DATA'!AG:AG,1,'Bilateral Assistance, MAIN DATA'!AH:AH,'Comm per Month (Mil in-kind)'!$I$11, 'Bilateral Assistance, MAIN DATA'!AS:AS,1)/1000000000</f>
        <v>0</v>
      </c>
      <c r="J43" s="315">
        <f>SUMIFS('Bilateral Assistance, MAIN DATA'!S:S,'Bilateral Assistance, MAIN DATA'!B:B,'Comm per Month (Mil in-kind)'!B43,'Bilateral Assistance, MAIN DATA'!AG:AG,1,'Bilateral Assistance, MAIN DATA'!AH:AH,'Comm per Month (Mil in-kind)'!$J$11, 'Bilateral Assistance, MAIN DATA'!AS:AS,1)/1000000000</f>
        <v>7.2619047619047611E-2</v>
      </c>
      <c r="K43" s="315">
        <f>SUMIFS('Bilateral Assistance, MAIN DATA'!S:S,'Bilateral Assistance, MAIN DATA'!B:B,'Comm per Month (Mil in-kind)'!B43,'Bilateral Assistance, MAIN DATA'!AG:AG,1,'Bilateral Assistance, MAIN DATA'!AH:AH,'Comm per Month (Mil in-kind)'!$K$11, 'Bilateral Assistance, MAIN DATA'!AS:AS,1)/1000000000</f>
        <v>0</v>
      </c>
      <c r="L43" s="315">
        <f>SUMIFS('Bilateral Assistance, MAIN DATA'!S:S,'Bilateral Assistance, MAIN DATA'!B:B,'Comm per Month (Mil in-kind)'!B43,'Bilateral Assistance, MAIN DATA'!AG:AG,1,'Bilateral Assistance, MAIN DATA'!AH:AH,'Comm per Month (Mil in-kind)'!$L$11, 'Bilateral Assistance, MAIN DATA'!AS:AS,1)/1000000000</f>
        <v>1.6044072285714289E-2</v>
      </c>
      <c r="M43" s="316">
        <f>SUMIFS('Bilateral Assistance, MAIN DATA'!S:S,'Bilateral Assistance, MAIN DATA'!B:B,'Comm per Month (Mil in-kind)'!B43,'Bilateral Assistance, MAIN DATA'!AG:AG,1,'Bilateral Assistance, MAIN DATA'!AH:AH,'Comm per Month (Mil in-kind)'!$M$11, 'Bilateral Assistance, MAIN DATA'!AS:AS,1)/1000000000</f>
        <v>0</v>
      </c>
      <c r="N43" s="270">
        <f>SUMIFS('Bilateral Assistance, MAIN DATA'!S:S,'Bilateral Assistance, MAIN DATA'!B:B,'Comm per Month (Mil in-kind)'!B43,'Bilateral Assistance, MAIN DATA'!AG:AG,1,'Bilateral Assistance, MAIN DATA'!AH:AH,'Comm per Month (Mil in-kind)'!$N$11, 'Bilateral Assistance, MAIN DATA'!AS:AS,1)/1000000000</f>
        <v>0</v>
      </c>
      <c r="O43" s="316">
        <f>SUMIFS('Bilateral Assistance, MAIN DATA'!S:S,'Bilateral Assistance, MAIN DATA'!B:B,'Comm per Month (Mil in-kind)'!B43,'Bilateral Assistance, MAIN DATA'!AG:AG,1,'Bilateral Assistance, MAIN DATA'!AH:AH,'Comm per Month (Mil in-kind)'!$O$11, 'Bilateral Assistance, MAIN DATA'!AS:AS,1)/1000000000</f>
        <v>0</v>
      </c>
      <c r="P43" s="316">
        <f>SUMIFS('Bilateral Assistance, MAIN DATA'!S:S,'Bilateral Assistance, MAIN DATA'!B:B,'Comm per Month (Mil in-kind)'!B43,'Bilateral Assistance, MAIN DATA'!AG:AG,1,'Bilateral Assistance, MAIN DATA'!AH:AH,'Comm per Month (Mil in-kind)'!$P$11, 'Bilateral Assistance, MAIN DATA'!AS:AS,1)/1000000000</f>
        <v>8.9999999999999993E-3</v>
      </c>
      <c r="Q43" s="316">
        <f>SUMIFS('Bilateral Assistance, MAIN DATA'!S:S,'Bilateral Assistance, MAIN DATA'!B:B,'Comm per Month (Mil in-kind)'!B43,'Bilateral Assistance, MAIN DATA'!AG:AG,1,'Bilateral Assistance, MAIN DATA'!AH:AH,'Comm per Month (Mil in-kind)'!$Q$11, 'Bilateral Assistance, MAIN DATA'!AS:AS,1)/1000000000</f>
        <v>0</v>
      </c>
      <c r="R43" s="316">
        <f t="shared" si="0"/>
        <v>0.2150631199047619</v>
      </c>
      <c r="S43" s="316">
        <f>SUMIFS('Bilateral Assistance, MAIN DATA'!S:S,'Bilateral Assistance, MAIN DATA'!B:B,'Comm per Month (Mil in-kind)'!B43,'Bilateral Assistance, MAIN DATA'!AG:AG,0,'Bilateral Assistance, MAIN DATA'!AS:AS,1)/1000000000</f>
        <v>0</v>
      </c>
    </row>
    <row r="44" spans="1:19" ht="15.9" customHeight="1" x14ac:dyDescent="0.3">
      <c r="B44" s="24" t="s">
        <v>2547</v>
      </c>
      <c r="C44" s="339">
        <v>1</v>
      </c>
      <c r="D44" s="339">
        <v>0</v>
      </c>
      <c r="E44" s="315">
        <f>SUMIFS('Bilateral Assistance, MAIN DATA'!S:S,'Bilateral Assistance, MAIN DATA'!B:B,'Comm per Month (Mil in-kind)'!B44,'Bilateral Assistance, MAIN DATA'!AG:AG,1,'Bilateral Assistance, MAIN DATA'!AH:AH,'Comm per Month (Mil in-kind)'!$E$11, 'Bilateral Assistance, MAIN DATA'!AS:AS,1)/1000000000</f>
        <v>0</v>
      </c>
      <c r="F44" s="315">
        <f>SUMIFS('Bilateral Assistance, MAIN DATA'!S:S,'Bilateral Assistance, MAIN DATA'!B:B,'Comm per Month (Mil in-kind)'!B44,'Bilateral Assistance, MAIN DATA'!AG:AG,1,'Bilateral Assistance, MAIN DATA'!AH:AH,'Comm per Month (Mil in-kind)'!$F$11, 'Bilateral Assistance, MAIN DATA'!AS:AS,1)/1000000000</f>
        <v>0</v>
      </c>
      <c r="G44" s="315">
        <f>SUMIFS('Bilateral Assistance, MAIN DATA'!S:S,'Bilateral Assistance, MAIN DATA'!B:B,'Comm per Month (Mil in-kind)'!B44,'Bilateral Assistance, MAIN DATA'!AG:AG,1,'Bilateral Assistance, MAIN DATA'!AH:AH,'Comm per Month (Mil in-kind)'!$G$11, 'Bilateral Assistance, MAIN DATA'!AS:AS,1)/1000000000</f>
        <v>0</v>
      </c>
      <c r="H44" s="315">
        <f>SUMIFS('Bilateral Assistance, MAIN DATA'!S:S,'Bilateral Assistance, MAIN DATA'!B:B,'Comm per Month (Mil in-kind)'!B44,'Bilateral Assistance, MAIN DATA'!AG:AG,1,'Bilateral Assistance, MAIN DATA'!AH:AH,'Comm per Month (Mil in-kind)'!$H$11, 'Bilateral Assistance, MAIN DATA'!AS:AS,1)/1000000000</f>
        <v>0</v>
      </c>
      <c r="I44" s="315">
        <f>SUMIFS('Bilateral Assistance, MAIN DATA'!S:S,'Bilateral Assistance, MAIN DATA'!B:B,'Comm per Month (Mil in-kind)'!B44,'Bilateral Assistance, MAIN DATA'!AG:AG,1,'Bilateral Assistance, MAIN DATA'!AH:AH,'Comm per Month (Mil in-kind)'!$I$11, 'Bilateral Assistance, MAIN DATA'!AS:AS,1)/1000000000</f>
        <v>0</v>
      </c>
      <c r="J44" s="315">
        <f>SUMIFS('Bilateral Assistance, MAIN DATA'!S:S,'Bilateral Assistance, MAIN DATA'!B:B,'Comm per Month (Mil in-kind)'!B44,'Bilateral Assistance, MAIN DATA'!AG:AG,1,'Bilateral Assistance, MAIN DATA'!AH:AH,'Comm per Month (Mil in-kind)'!$J$11, 'Bilateral Assistance, MAIN DATA'!AS:AS,1)/1000000000</f>
        <v>2.3634496239999997E-2</v>
      </c>
      <c r="K44" s="315">
        <f>SUMIFS('Bilateral Assistance, MAIN DATA'!S:S,'Bilateral Assistance, MAIN DATA'!B:B,'Comm per Month (Mil in-kind)'!B44,'Bilateral Assistance, MAIN DATA'!AG:AG,1,'Bilateral Assistance, MAIN DATA'!AH:AH,'Comm per Month (Mil in-kind)'!$K$11, 'Bilateral Assistance, MAIN DATA'!AS:AS,1)/1000000000</f>
        <v>0</v>
      </c>
      <c r="L44" s="315">
        <f>SUMIFS('Bilateral Assistance, MAIN DATA'!S:S,'Bilateral Assistance, MAIN DATA'!B:B,'Comm per Month (Mil in-kind)'!B44,'Bilateral Assistance, MAIN DATA'!AG:AG,1,'Bilateral Assistance, MAIN DATA'!AH:AH,'Comm per Month (Mil in-kind)'!$L$11, 'Bilateral Assistance, MAIN DATA'!AS:AS,1)/1000000000</f>
        <v>0</v>
      </c>
      <c r="M44" s="316">
        <f>SUMIFS('Bilateral Assistance, MAIN DATA'!S:S,'Bilateral Assistance, MAIN DATA'!B:B,'Comm per Month (Mil in-kind)'!B44,'Bilateral Assistance, MAIN DATA'!AG:AG,1,'Bilateral Assistance, MAIN DATA'!AH:AH,'Comm per Month (Mil in-kind)'!$M$11, 'Bilateral Assistance, MAIN DATA'!AS:AS,1)/1000000000</f>
        <v>2.7115759999999999E-2</v>
      </c>
      <c r="N44" s="270">
        <f>SUMIFS('Bilateral Assistance, MAIN DATA'!S:S,'Bilateral Assistance, MAIN DATA'!B:B,'Comm per Month (Mil in-kind)'!B44,'Bilateral Assistance, MAIN DATA'!AG:AG,1,'Bilateral Assistance, MAIN DATA'!AH:AH,'Comm per Month (Mil in-kind)'!$N$11, 'Bilateral Assistance, MAIN DATA'!AS:AS,1)/1000000000</f>
        <v>0</v>
      </c>
      <c r="O44" s="316">
        <f>SUMIFS('Bilateral Assistance, MAIN DATA'!S:S,'Bilateral Assistance, MAIN DATA'!B:B,'Comm per Month (Mil in-kind)'!B44,'Bilateral Assistance, MAIN DATA'!AG:AG,1,'Bilateral Assistance, MAIN DATA'!AH:AH,'Comm per Month (Mil in-kind)'!$O$11, 'Bilateral Assistance, MAIN DATA'!AS:AS,1)/1000000000</f>
        <v>0</v>
      </c>
      <c r="P44" s="316">
        <f>SUMIFS('Bilateral Assistance, MAIN DATA'!S:S,'Bilateral Assistance, MAIN DATA'!B:B,'Comm per Month (Mil in-kind)'!B44,'Bilateral Assistance, MAIN DATA'!AG:AG,1,'Bilateral Assistance, MAIN DATA'!AH:AH,'Comm per Month (Mil in-kind)'!$P$11, 'Bilateral Assistance, MAIN DATA'!AS:AS,1)/1000000000</f>
        <v>0</v>
      </c>
      <c r="Q44" s="316">
        <f>SUMIFS('Bilateral Assistance, MAIN DATA'!S:S,'Bilateral Assistance, MAIN DATA'!B:B,'Comm per Month (Mil in-kind)'!B44,'Bilateral Assistance, MAIN DATA'!AG:AG,1,'Bilateral Assistance, MAIN DATA'!AH:AH,'Comm per Month (Mil in-kind)'!$Q$11, 'Bilateral Assistance, MAIN DATA'!AS:AS,1)/1000000000</f>
        <v>0</v>
      </c>
      <c r="R44" s="316">
        <f t="shared" si="0"/>
        <v>5.075025624E-2</v>
      </c>
      <c r="S44" s="316">
        <f>SUMIFS('Bilateral Assistance, MAIN DATA'!S:S,'Bilateral Assistance, MAIN DATA'!B:B,'Comm per Month (Mil in-kind)'!B44,'Bilateral Assistance, MAIN DATA'!AG:AG,0,'Bilateral Assistance, MAIN DATA'!AS:AS,1)/1000000000</f>
        <v>6.6666666666666662E-3</v>
      </c>
    </row>
    <row r="45" spans="1:19" ht="15.9" customHeight="1" x14ac:dyDescent="0.3">
      <c r="B45" s="24" t="s">
        <v>2615</v>
      </c>
      <c r="C45" s="339">
        <v>1</v>
      </c>
      <c r="D45" s="339">
        <v>0</v>
      </c>
      <c r="E45" s="315">
        <f>SUMIFS('Bilateral Assistance, MAIN DATA'!S:S,'Bilateral Assistance, MAIN DATA'!B:B,'Comm per Month (Mil in-kind)'!B45,'Bilateral Assistance, MAIN DATA'!AG:AG,1,'Bilateral Assistance, MAIN DATA'!AH:AH,'Comm per Month (Mil in-kind)'!$E$11, 'Bilateral Assistance, MAIN DATA'!AS:AS,1)/1000000000</f>
        <v>0</v>
      </c>
      <c r="F45" s="315">
        <f>SUMIFS('Bilateral Assistance, MAIN DATA'!S:S,'Bilateral Assistance, MAIN DATA'!B:B,'Comm per Month (Mil in-kind)'!B45,'Bilateral Assistance, MAIN DATA'!AG:AG,1,'Bilateral Assistance, MAIN DATA'!AH:AH,'Comm per Month (Mil in-kind)'!$F$11, 'Bilateral Assistance, MAIN DATA'!AS:AS,1)/1000000000</f>
        <v>0</v>
      </c>
      <c r="G45" s="315">
        <f>SUMIFS('Bilateral Assistance, MAIN DATA'!S:S,'Bilateral Assistance, MAIN DATA'!B:B,'Comm per Month (Mil in-kind)'!B45,'Bilateral Assistance, MAIN DATA'!AG:AG,1,'Bilateral Assistance, MAIN DATA'!AH:AH,'Comm per Month (Mil in-kind)'!$G$11, 'Bilateral Assistance, MAIN DATA'!AS:AS,1)/1000000000</f>
        <v>2.7275238095238092E-2</v>
      </c>
      <c r="H45" s="315">
        <f>SUMIFS('Bilateral Assistance, MAIN DATA'!S:S,'Bilateral Assistance, MAIN DATA'!B:B,'Comm per Month (Mil in-kind)'!B45,'Bilateral Assistance, MAIN DATA'!AG:AG,1,'Bilateral Assistance, MAIN DATA'!AH:AH,'Comm per Month (Mil in-kind)'!$H$11, 'Bilateral Assistance, MAIN DATA'!AS:AS,1)/1000000000</f>
        <v>2.4985333333333332E-2</v>
      </c>
      <c r="I45" s="315">
        <f>SUMIFS('Bilateral Assistance, MAIN DATA'!S:S,'Bilateral Assistance, MAIN DATA'!B:B,'Comm per Month (Mil in-kind)'!B45,'Bilateral Assistance, MAIN DATA'!AG:AG,1,'Bilateral Assistance, MAIN DATA'!AH:AH,'Comm per Month (Mil in-kind)'!$I$11, 'Bilateral Assistance, MAIN DATA'!AS:AS,1)/1000000000</f>
        <v>0</v>
      </c>
      <c r="J45" s="315">
        <f>SUMIFS('Bilateral Assistance, MAIN DATA'!S:S,'Bilateral Assistance, MAIN DATA'!B:B,'Comm per Month (Mil in-kind)'!B45,'Bilateral Assistance, MAIN DATA'!AG:AG,1,'Bilateral Assistance, MAIN DATA'!AH:AH,'Comm per Month (Mil in-kind)'!$J$11, 'Bilateral Assistance, MAIN DATA'!AS:AS,1)/1000000000</f>
        <v>0</v>
      </c>
      <c r="K45" s="315">
        <f>SUMIFS('Bilateral Assistance, MAIN DATA'!S:S,'Bilateral Assistance, MAIN DATA'!B:B,'Comm per Month (Mil in-kind)'!B45,'Bilateral Assistance, MAIN DATA'!AG:AG,1,'Bilateral Assistance, MAIN DATA'!AH:AH,'Comm per Month (Mil in-kind)'!$K$11, 'Bilateral Assistance, MAIN DATA'!AS:AS,1)/1000000000</f>
        <v>5.7142857142857134E-3</v>
      </c>
      <c r="L45" s="315">
        <f>SUMIFS('Bilateral Assistance, MAIN DATA'!S:S,'Bilateral Assistance, MAIN DATA'!B:B,'Comm per Month (Mil in-kind)'!B45,'Bilateral Assistance, MAIN DATA'!AG:AG,1,'Bilateral Assistance, MAIN DATA'!AH:AH,'Comm per Month (Mil in-kind)'!$L$11, 'Bilateral Assistance, MAIN DATA'!AS:AS,1)/1000000000</f>
        <v>1.0230521315192743E-2</v>
      </c>
      <c r="M45" s="316">
        <f>SUMIFS('Bilateral Assistance, MAIN DATA'!S:S,'Bilateral Assistance, MAIN DATA'!B:B,'Comm per Month (Mil in-kind)'!B45,'Bilateral Assistance, MAIN DATA'!AG:AG,1,'Bilateral Assistance, MAIN DATA'!AH:AH,'Comm per Month (Mil in-kind)'!$M$11, 'Bilateral Assistance, MAIN DATA'!AS:AS,1)/1000000000</f>
        <v>0</v>
      </c>
      <c r="N45" s="270">
        <f>SUMIFS('Bilateral Assistance, MAIN DATA'!S:S,'Bilateral Assistance, MAIN DATA'!B:B,'Comm per Month (Mil in-kind)'!B45,'Bilateral Assistance, MAIN DATA'!AG:AG,1,'Bilateral Assistance, MAIN DATA'!AH:AH,'Comm per Month (Mil in-kind)'!$N$11, 'Bilateral Assistance, MAIN DATA'!AS:AS,1)/1000000000</f>
        <v>6.4115686968902949E-3</v>
      </c>
      <c r="O45" s="316">
        <f>SUMIFS('Bilateral Assistance, MAIN DATA'!S:S,'Bilateral Assistance, MAIN DATA'!B:B,'Comm per Month (Mil in-kind)'!B45,'Bilateral Assistance, MAIN DATA'!AG:AG,1,'Bilateral Assistance, MAIN DATA'!AH:AH,'Comm per Month (Mil in-kind)'!$O$11, 'Bilateral Assistance, MAIN DATA'!AS:AS,1)/1000000000</f>
        <v>8.5066502113840779E-3</v>
      </c>
      <c r="P45" s="316">
        <f>SUMIFS('Bilateral Assistance, MAIN DATA'!S:S,'Bilateral Assistance, MAIN DATA'!B:B,'Comm per Month (Mil in-kind)'!B45,'Bilateral Assistance, MAIN DATA'!AG:AG,1,'Bilateral Assistance, MAIN DATA'!AH:AH,'Comm per Month (Mil in-kind)'!$P$11, 'Bilateral Assistance, MAIN DATA'!AS:AS,1)/1000000000</f>
        <v>0</v>
      </c>
      <c r="Q45" s="316">
        <f>SUMIFS('Bilateral Assistance, MAIN DATA'!S:S,'Bilateral Assistance, MAIN DATA'!B:B,'Comm per Month (Mil in-kind)'!B45,'Bilateral Assistance, MAIN DATA'!AG:AG,1,'Bilateral Assistance, MAIN DATA'!AH:AH,'Comm per Month (Mil in-kind)'!$Q$11, 'Bilateral Assistance, MAIN DATA'!AS:AS,1)/1000000000</f>
        <v>0</v>
      </c>
      <c r="R45" s="316">
        <f t="shared" si="0"/>
        <v>8.3123597366324242E-2</v>
      </c>
      <c r="S45" s="316">
        <f>SUMIFS('Bilateral Assistance, MAIN DATA'!S:S,'Bilateral Assistance, MAIN DATA'!B:B,'Comm per Month (Mil in-kind)'!B45,'Bilateral Assistance, MAIN DATA'!AG:AG,0,'Bilateral Assistance, MAIN DATA'!AS:AS,1)/1000000000</f>
        <v>0</v>
      </c>
    </row>
    <row r="46" spans="1:19" ht="15.9" customHeight="1" x14ac:dyDescent="0.3">
      <c r="B46" s="24" t="s">
        <v>2715</v>
      </c>
      <c r="C46" s="339">
        <v>1</v>
      </c>
      <c r="D46" s="339">
        <v>0</v>
      </c>
      <c r="E46" s="315">
        <f>SUMIFS('Bilateral Assistance, MAIN DATA'!S:S,'Bilateral Assistance, MAIN DATA'!B:B,'Comm per Month (Mil in-kind)'!B46,'Bilateral Assistance, MAIN DATA'!AG:AG,1,'Bilateral Assistance, MAIN DATA'!AH:AH,'Comm per Month (Mil in-kind)'!$E$11, 'Bilateral Assistance, MAIN DATA'!AS:AS,1)/1000000000</f>
        <v>0</v>
      </c>
      <c r="F46" s="315">
        <f>SUMIFS('Bilateral Assistance, MAIN DATA'!S:S,'Bilateral Assistance, MAIN DATA'!B:B,'Comm per Month (Mil in-kind)'!B46,'Bilateral Assistance, MAIN DATA'!AG:AG,1,'Bilateral Assistance, MAIN DATA'!AH:AH,'Comm per Month (Mil in-kind)'!$F$11, 'Bilateral Assistance, MAIN DATA'!AS:AS,1)/1000000000</f>
        <v>3.6703982382088461E-2</v>
      </c>
      <c r="G46" s="315">
        <f>SUMIFS('Bilateral Assistance, MAIN DATA'!S:S,'Bilateral Assistance, MAIN DATA'!B:B,'Comm per Month (Mil in-kind)'!B46,'Bilateral Assistance, MAIN DATA'!AG:AG,1,'Bilateral Assistance, MAIN DATA'!AH:AH,'Comm per Month (Mil in-kind)'!$G$11, 'Bilateral Assistance, MAIN DATA'!AS:AS,1)/1000000000</f>
        <v>7.0506666666666669E-3</v>
      </c>
      <c r="H46" s="315">
        <f>SUMIFS('Bilateral Assistance, MAIN DATA'!S:S,'Bilateral Assistance, MAIN DATA'!B:B,'Comm per Month (Mil in-kind)'!B46,'Bilateral Assistance, MAIN DATA'!AG:AG,1,'Bilateral Assistance, MAIN DATA'!AH:AH,'Comm per Month (Mil in-kind)'!$H$11, 'Bilateral Assistance, MAIN DATA'!AS:AS,1)/1000000000</f>
        <v>0</v>
      </c>
      <c r="I46" s="315">
        <f>SUMIFS('Bilateral Assistance, MAIN DATA'!S:S,'Bilateral Assistance, MAIN DATA'!B:B,'Comm per Month (Mil in-kind)'!B46,'Bilateral Assistance, MAIN DATA'!AG:AG,1,'Bilateral Assistance, MAIN DATA'!AH:AH,'Comm per Month (Mil in-kind)'!$I$11, 'Bilateral Assistance, MAIN DATA'!AS:AS,1)/1000000000</f>
        <v>0</v>
      </c>
      <c r="J46" s="315">
        <f>SUMIFS('Bilateral Assistance, MAIN DATA'!S:S,'Bilateral Assistance, MAIN DATA'!B:B,'Comm per Month (Mil in-kind)'!B46,'Bilateral Assistance, MAIN DATA'!AG:AG,1,'Bilateral Assistance, MAIN DATA'!AH:AH,'Comm per Month (Mil in-kind)'!$J$11, 'Bilateral Assistance, MAIN DATA'!AS:AS,1)/1000000000</f>
        <v>2.404110846026794E-2</v>
      </c>
      <c r="K46" s="315">
        <f>SUMIFS('Bilateral Assistance, MAIN DATA'!S:S,'Bilateral Assistance, MAIN DATA'!B:B,'Comm per Month (Mil in-kind)'!B46,'Bilateral Assistance, MAIN DATA'!AG:AG,1,'Bilateral Assistance, MAIN DATA'!AH:AH,'Comm per Month (Mil in-kind)'!$K$11, 'Bilateral Assistance, MAIN DATA'!AS:AS,1)/1000000000</f>
        <v>0</v>
      </c>
      <c r="L46" s="315">
        <f>SUMIFS('Bilateral Assistance, MAIN DATA'!S:S,'Bilateral Assistance, MAIN DATA'!B:B,'Comm per Month (Mil in-kind)'!B46,'Bilateral Assistance, MAIN DATA'!AG:AG,1,'Bilateral Assistance, MAIN DATA'!AH:AH,'Comm per Month (Mil in-kind)'!$L$11, 'Bilateral Assistance, MAIN DATA'!AS:AS,1)/1000000000</f>
        <v>4.5879977977610571E-2</v>
      </c>
      <c r="M46" s="316">
        <f>SUMIFS('Bilateral Assistance, MAIN DATA'!S:S,'Bilateral Assistance, MAIN DATA'!B:B,'Comm per Month (Mil in-kind)'!B46,'Bilateral Assistance, MAIN DATA'!AG:AG,1,'Bilateral Assistance, MAIN DATA'!AH:AH,'Comm per Month (Mil in-kind)'!$M$11, 'Bilateral Assistance, MAIN DATA'!AS:AS,1)/1000000000</f>
        <v>0</v>
      </c>
      <c r="N46" s="270">
        <f>SUMIFS('Bilateral Assistance, MAIN DATA'!S:S,'Bilateral Assistance, MAIN DATA'!B:B,'Comm per Month (Mil in-kind)'!B46,'Bilateral Assistance, MAIN DATA'!AG:AG,1,'Bilateral Assistance, MAIN DATA'!AH:AH,'Comm per Month (Mil in-kind)'!$N$11, 'Bilateral Assistance, MAIN DATA'!AS:AS,1)/1000000000</f>
        <v>0</v>
      </c>
      <c r="O46" s="316">
        <f>SUMIFS('Bilateral Assistance, MAIN DATA'!S:S,'Bilateral Assistance, MAIN DATA'!B:B,'Comm per Month (Mil in-kind)'!B46,'Bilateral Assistance, MAIN DATA'!AG:AG,1,'Bilateral Assistance, MAIN DATA'!AH:AH,'Comm per Month (Mil in-kind)'!$O$11, 'Bilateral Assistance, MAIN DATA'!AS:AS,1)/1000000000</f>
        <v>0.27527986786566339</v>
      </c>
      <c r="P46" s="316">
        <f>SUMIFS('Bilateral Assistance, MAIN DATA'!S:S,'Bilateral Assistance, MAIN DATA'!B:B,'Comm per Month (Mil in-kind)'!B46,'Bilateral Assistance, MAIN DATA'!AG:AG,1,'Bilateral Assistance, MAIN DATA'!AH:AH,'Comm per Month (Mil in-kind)'!$P$11, 'Bilateral Assistance, MAIN DATA'!AS:AS,1)/1000000000</f>
        <v>0</v>
      </c>
      <c r="Q46" s="316">
        <f>SUMIFS('Bilateral Assistance, MAIN DATA'!S:S,'Bilateral Assistance, MAIN DATA'!B:B,'Comm per Month (Mil in-kind)'!B46,'Bilateral Assistance, MAIN DATA'!AG:AG,1,'Bilateral Assistance, MAIN DATA'!AH:AH,'Comm per Month (Mil in-kind)'!$Q$11, 'Bilateral Assistance, MAIN DATA'!AS:AS,1)/1000000000</f>
        <v>0</v>
      </c>
      <c r="R46" s="316">
        <f t="shared" si="0"/>
        <v>0.38895560335229706</v>
      </c>
      <c r="S46" s="316">
        <f>SUMIFS('Bilateral Assistance, MAIN DATA'!S:S,'Bilateral Assistance, MAIN DATA'!B:B,'Comm per Month (Mil in-kind)'!B46,'Bilateral Assistance, MAIN DATA'!AG:AG,0,'Bilateral Assistance, MAIN DATA'!AS:AS,1)/1000000000</f>
        <v>0</v>
      </c>
    </row>
    <row r="47" spans="1:19" ht="15.9" customHeight="1" x14ac:dyDescent="0.3">
      <c r="B47" s="2" t="s">
        <v>2792</v>
      </c>
      <c r="C47" s="339">
        <v>0</v>
      </c>
      <c r="D47" s="339">
        <v>0</v>
      </c>
      <c r="E47" s="315">
        <f>SUMIFS('Bilateral Assistance, MAIN DATA'!S:S,'Bilateral Assistance, MAIN DATA'!B:B,'Comm per Month (Mil in-kind)'!B47,'Bilateral Assistance, MAIN DATA'!AG:AG,1,'Bilateral Assistance, MAIN DATA'!AH:AH,'Comm per Month (Mil in-kind)'!$E$11, 'Bilateral Assistance, MAIN DATA'!AS:AS,1)/1000000000</f>
        <v>0</v>
      </c>
      <c r="F47" s="315">
        <f>SUMIFS('Bilateral Assistance, MAIN DATA'!S:S,'Bilateral Assistance, MAIN DATA'!B:B,'Comm per Month (Mil in-kind)'!B47,'Bilateral Assistance, MAIN DATA'!AG:AG,1,'Bilateral Assistance, MAIN DATA'!AH:AH,'Comm per Month (Mil in-kind)'!$F$11, 'Bilateral Assistance, MAIN DATA'!AS:AS,1)/1000000000</f>
        <v>0</v>
      </c>
      <c r="G47" s="315">
        <f>SUMIFS('Bilateral Assistance, MAIN DATA'!S:S,'Bilateral Assistance, MAIN DATA'!B:B,'Comm per Month (Mil in-kind)'!B47,'Bilateral Assistance, MAIN DATA'!AG:AG,1,'Bilateral Assistance, MAIN DATA'!AH:AH,'Comm per Month (Mil in-kind)'!$G$11, 'Bilateral Assistance, MAIN DATA'!AS:AS,1)/1000000000</f>
        <v>0</v>
      </c>
      <c r="H47" s="315">
        <f>SUMIFS('Bilateral Assistance, MAIN DATA'!S:S,'Bilateral Assistance, MAIN DATA'!B:B,'Comm per Month (Mil in-kind)'!B47,'Bilateral Assistance, MAIN DATA'!AG:AG,1,'Bilateral Assistance, MAIN DATA'!AH:AH,'Comm per Month (Mil in-kind)'!$H$11, 'Bilateral Assistance, MAIN DATA'!AS:AS,1)/1000000000</f>
        <v>0</v>
      </c>
      <c r="I47" s="315">
        <f>SUMIFS('Bilateral Assistance, MAIN DATA'!S:S,'Bilateral Assistance, MAIN DATA'!B:B,'Comm per Month (Mil in-kind)'!B47,'Bilateral Assistance, MAIN DATA'!AG:AG,1,'Bilateral Assistance, MAIN DATA'!AH:AH,'Comm per Month (Mil in-kind)'!$I$11, 'Bilateral Assistance, MAIN DATA'!AS:AS,1)/1000000000</f>
        <v>0</v>
      </c>
      <c r="J47" s="315">
        <f>SUMIFS('Bilateral Assistance, MAIN DATA'!S:S,'Bilateral Assistance, MAIN DATA'!B:B,'Comm per Month (Mil in-kind)'!B47,'Bilateral Assistance, MAIN DATA'!AG:AG,1,'Bilateral Assistance, MAIN DATA'!AH:AH,'Comm per Month (Mil in-kind)'!$J$11, 'Bilateral Assistance, MAIN DATA'!AS:AS,1)/1000000000</f>
        <v>0</v>
      </c>
      <c r="K47" s="315">
        <f>SUMIFS('Bilateral Assistance, MAIN DATA'!S:S,'Bilateral Assistance, MAIN DATA'!B:B,'Comm per Month (Mil in-kind)'!B47,'Bilateral Assistance, MAIN DATA'!AG:AG,1,'Bilateral Assistance, MAIN DATA'!AH:AH,'Comm per Month (Mil in-kind)'!$K$11, 'Bilateral Assistance, MAIN DATA'!AS:AS,1)/1000000000</f>
        <v>0</v>
      </c>
      <c r="L47" s="315">
        <f>SUMIFS('Bilateral Assistance, MAIN DATA'!S:S,'Bilateral Assistance, MAIN DATA'!B:B,'Comm per Month (Mil in-kind)'!B47,'Bilateral Assistance, MAIN DATA'!AG:AG,1,'Bilateral Assistance, MAIN DATA'!AH:AH,'Comm per Month (Mil in-kind)'!$L$11, 'Bilateral Assistance, MAIN DATA'!AS:AS,1)/1000000000</f>
        <v>0</v>
      </c>
      <c r="M47" s="316">
        <f>SUMIFS('Bilateral Assistance, MAIN DATA'!S:S,'Bilateral Assistance, MAIN DATA'!B:B,'Comm per Month (Mil in-kind)'!B47,'Bilateral Assistance, MAIN DATA'!AG:AG,1,'Bilateral Assistance, MAIN DATA'!AH:AH,'Comm per Month (Mil in-kind)'!$M$11, 'Bilateral Assistance, MAIN DATA'!AS:AS,1)/1000000000</f>
        <v>0</v>
      </c>
      <c r="N47" s="270">
        <f>SUMIFS('Bilateral Assistance, MAIN DATA'!S:S,'Bilateral Assistance, MAIN DATA'!B:B,'Comm per Month (Mil in-kind)'!B47,'Bilateral Assistance, MAIN DATA'!AG:AG,1,'Bilateral Assistance, MAIN DATA'!AH:AH,'Comm per Month (Mil in-kind)'!$N$11, 'Bilateral Assistance, MAIN DATA'!AS:AS,1)/1000000000</f>
        <v>0</v>
      </c>
      <c r="O47" s="316">
        <f>SUMIFS('Bilateral Assistance, MAIN DATA'!S:S,'Bilateral Assistance, MAIN DATA'!B:B,'Comm per Month (Mil in-kind)'!B47,'Bilateral Assistance, MAIN DATA'!AG:AG,1,'Bilateral Assistance, MAIN DATA'!AH:AH,'Comm per Month (Mil in-kind)'!$O$11, 'Bilateral Assistance, MAIN DATA'!AS:AS,1)/1000000000</f>
        <v>0</v>
      </c>
      <c r="P47" s="316">
        <f>SUMIFS('Bilateral Assistance, MAIN DATA'!S:S,'Bilateral Assistance, MAIN DATA'!B:B,'Comm per Month (Mil in-kind)'!B47,'Bilateral Assistance, MAIN DATA'!AG:AG,1,'Bilateral Assistance, MAIN DATA'!AH:AH,'Comm per Month (Mil in-kind)'!$P$11, 'Bilateral Assistance, MAIN DATA'!AS:AS,1)/1000000000</f>
        <v>0</v>
      </c>
      <c r="Q47" s="316">
        <f>SUMIFS('Bilateral Assistance, MAIN DATA'!S:S,'Bilateral Assistance, MAIN DATA'!B:B,'Comm per Month (Mil in-kind)'!B47,'Bilateral Assistance, MAIN DATA'!AG:AG,1,'Bilateral Assistance, MAIN DATA'!AH:AH,'Comm per Month (Mil in-kind)'!$Q$11, 'Bilateral Assistance, MAIN DATA'!AS:AS,1)/1000000000</f>
        <v>0</v>
      </c>
      <c r="R47" s="316">
        <f t="shared" si="0"/>
        <v>0</v>
      </c>
      <c r="S47" s="316">
        <f>SUMIFS('Bilateral Assistance, MAIN DATA'!S:S,'Bilateral Assistance, MAIN DATA'!B:B,'Comm per Month (Mil in-kind)'!B47,'Bilateral Assistance, MAIN DATA'!AG:AG,0,'Bilateral Assistance, MAIN DATA'!AS:AS,1)/1000000000</f>
        <v>0</v>
      </c>
    </row>
    <row r="48" spans="1:19" ht="15.9" customHeight="1" x14ac:dyDescent="0.3">
      <c r="B48" s="2" t="s">
        <v>2820</v>
      </c>
      <c r="C48" s="339">
        <v>0</v>
      </c>
      <c r="D48" s="339">
        <v>1</v>
      </c>
      <c r="E48" s="315">
        <f>SUMIFS('Bilateral Assistance, MAIN DATA'!S:S,'Bilateral Assistance, MAIN DATA'!B:B,'Comm per Month (Mil in-kind)'!B48,'Bilateral Assistance, MAIN DATA'!AG:AG,1,'Bilateral Assistance, MAIN DATA'!AH:AH,'Comm per Month (Mil in-kind)'!$E$11, 'Bilateral Assistance, MAIN DATA'!AS:AS,1)/1000000000</f>
        <v>0</v>
      </c>
      <c r="F48" s="315">
        <f>SUMIFS('Bilateral Assistance, MAIN DATA'!S:S,'Bilateral Assistance, MAIN DATA'!B:B,'Comm per Month (Mil in-kind)'!B48,'Bilateral Assistance, MAIN DATA'!AG:AG,1,'Bilateral Assistance, MAIN DATA'!AH:AH,'Comm per Month (Mil in-kind)'!$F$11, 'Bilateral Assistance, MAIN DATA'!AS:AS,1)/1000000000</f>
        <v>4.5380952380952383E-2</v>
      </c>
      <c r="G48" s="315">
        <f>SUMIFS('Bilateral Assistance, MAIN DATA'!S:S,'Bilateral Assistance, MAIN DATA'!B:B,'Comm per Month (Mil in-kind)'!B48,'Bilateral Assistance, MAIN DATA'!AG:AG,1,'Bilateral Assistance, MAIN DATA'!AH:AH,'Comm per Month (Mil in-kind)'!$G$11, 'Bilateral Assistance, MAIN DATA'!AS:AS,1)/1000000000</f>
        <v>0</v>
      </c>
      <c r="H48" s="315">
        <f>SUMIFS('Bilateral Assistance, MAIN DATA'!S:S,'Bilateral Assistance, MAIN DATA'!B:B,'Comm per Month (Mil in-kind)'!B48,'Bilateral Assistance, MAIN DATA'!AG:AG,1,'Bilateral Assistance, MAIN DATA'!AH:AH,'Comm per Month (Mil in-kind)'!$H$11, 'Bilateral Assistance, MAIN DATA'!AS:AS,1)/1000000000</f>
        <v>0</v>
      </c>
      <c r="I48" s="315">
        <f>SUMIFS('Bilateral Assistance, MAIN DATA'!S:S,'Bilateral Assistance, MAIN DATA'!B:B,'Comm per Month (Mil in-kind)'!B48,'Bilateral Assistance, MAIN DATA'!AG:AG,1,'Bilateral Assistance, MAIN DATA'!AH:AH,'Comm per Month (Mil in-kind)'!$I$11, 'Bilateral Assistance, MAIN DATA'!AS:AS,1)/1000000000</f>
        <v>0</v>
      </c>
      <c r="J48" s="315">
        <f>SUMIFS('Bilateral Assistance, MAIN DATA'!S:S,'Bilateral Assistance, MAIN DATA'!B:B,'Comm per Month (Mil in-kind)'!B48,'Bilateral Assistance, MAIN DATA'!AG:AG,1,'Bilateral Assistance, MAIN DATA'!AH:AH,'Comm per Month (Mil in-kind)'!$J$11, 'Bilateral Assistance, MAIN DATA'!AS:AS,1)/1000000000</f>
        <v>0</v>
      </c>
      <c r="K48" s="315">
        <f>SUMIFS('Bilateral Assistance, MAIN DATA'!S:S,'Bilateral Assistance, MAIN DATA'!B:B,'Comm per Month (Mil in-kind)'!B48,'Bilateral Assistance, MAIN DATA'!AG:AG,1,'Bilateral Assistance, MAIN DATA'!AH:AH,'Comm per Month (Mil in-kind)'!$K$11, 'Bilateral Assistance, MAIN DATA'!AS:AS,1)/1000000000</f>
        <v>0</v>
      </c>
      <c r="L48" s="315">
        <f>SUMIFS('Bilateral Assistance, MAIN DATA'!S:S,'Bilateral Assistance, MAIN DATA'!B:B,'Comm per Month (Mil in-kind)'!B48,'Bilateral Assistance, MAIN DATA'!AG:AG,1,'Bilateral Assistance, MAIN DATA'!AH:AH,'Comm per Month (Mil in-kind)'!$L$11, 'Bilateral Assistance, MAIN DATA'!AS:AS,1)/1000000000</f>
        <v>1.5974761904761905E-2</v>
      </c>
      <c r="M48" s="316">
        <f>SUMIFS('Bilateral Assistance, MAIN DATA'!S:S,'Bilateral Assistance, MAIN DATA'!B:B,'Comm per Month (Mil in-kind)'!B48,'Bilateral Assistance, MAIN DATA'!AG:AG,1,'Bilateral Assistance, MAIN DATA'!AH:AH,'Comm per Month (Mil in-kind)'!$M$11, 'Bilateral Assistance, MAIN DATA'!AS:AS,1)/1000000000</f>
        <v>0</v>
      </c>
      <c r="N48" s="270">
        <f>SUMIFS('Bilateral Assistance, MAIN DATA'!S:S,'Bilateral Assistance, MAIN DATA'!B:B,'Comm per Month (Mil in-kind)'!B48,'Bilateral Assistance, MAIN DATA'!AG:AG,1,'Bilateral Assistance, MAIN DATA'!AH:AH,'Comm per Month (Mil in-kind)'!$N$11, 'Bilateral Assistance, MAIN DATA'!AS:AS,1)/1000000000</f>
        <v>0</v>
      </c>
      <c r="O48" s="316">
        <f>SUMIFS('Bilateral Assistance, MAIN DATA'!S:S,'Bilateral Assistance, MAIN DATA'!B:B,'Comm per Month (Mil in-kind)'!B48,'Bilateral Assistance, MAIN DATA'!AG:AG,1,'Bilateral Assistance, MAIN DATA'!AH:AH,'Comm per Month (Mil in-kind)'!$O$11, 'Bilateral Assistance, MAIN DATA'!AS:AS,1)/1000000000</f>
        <v>0</v>
      </c>
      <c r="P48" s="316">
        <f>SUMIFS('Bilateral Assistance, MAIN DATA'!S:S,'Bilateral Assistance, MAIN DATA'!B:B,'Comm per Month (Mil in-kind)'!B48,'Bilateral Assistance, MAIN DATA'!AG:AG,1,'Bilateral Assistance, MAIN DATA'!AH:AH,'Comm per Month (Mil in-kind)'!$P$11, 'Bilateral Assistance, MAIN DATA'!AS:AS,1)/1000000000</f>
        <v>0</v>
      </c>
      <c r="Q48" s="316">
        <f>SUMIFS('Bilateral Assistance, MAIN DATA'!S:S,'Bilateral Assistance, MAIN DATA'!B:B,'Comm per Month (Mil in-kind)'!B48,'Bilateral Assistance, MAIN DATA'!AG:AG,1,'Bilateral Assistance, MAIN DATA'!AH:AH,'Comm per Month (Mil in-kind)'!$Q$11, 'Bilateral Assistance, MAIN DATA'!AS:AS,1)/1000000000</f>
        <v>0</v>
      </c>
      <c r="R48" s="316">
        <f t="shared" si="0"/>
        <v>6.1355714285714291E-2</v>
      </c>
      <c r="S48" s="316">
        <f>SUMIFS('Bilateral Assistance, MAIN DATA'!S:S,'Bilateral Assistance, MAIN DATA'!B:B,'Comm per Month (Mil in-kind)'!B48,'Bilateral Assistance, MAIN DATA'!AG:AG,0,'Bilateral Assistance, MAIN DATA'!AS:AS,1)/1000000000</f>
        <v>0</v>
      </c>
    </row>
    <row r="49" spans="1:21" ht="15.9" customHeight="1" x14ac:dyDescent="0.3">
      <c r="B49" s="24" t="s">
        <v>2864</v>
      </c>
      <c r="C49" s="339">
        <v>0</v>
      </c>
      <c r="D49" s="339">
        <v>1</v>
      </c>
      <c r="E49" s="315">
        <f>SUMIFS('Bilateral Assistance, MAIN DATA'!S:S,'Bilateral Assistance, MAIN DATA'!B:B,'Comm per Month (Mil in-kind)'!B49,'Bilateral Assistance, MAIN DATA'!AG:AG,1,'Bilateral Assistance, MAIN DATA'!AH:AH,'Comm per Month (Mil in-kind)'!$E$11, 'Bilateral Assistance, MAIN DATA'!AS:AS,1)/1000000000</f>
        <v>0</v>
      </c>
      <c r="F49" s="315">
        <f>SUMIFS('Bilateral Assistance, MAIN DATA'!S:S,'Bilateral Assistance, MAIN DATA'!B:B,'Comm per Month (Mil in-kind)'!B49,'Bilateral Assistance, MAIN DATA'!AG:AG,1,'Bilateral Assistance, MAIN DATA'!AH:AH,'Comm per Month (Mil in-kind)'!$F$11, 'Bilateral Assistance, MAIN DATA'!AS:AS,1)/1000000000</f>
        <v>7.6190476190476197E-2</v>
      </c>
      <c r="G49" s="315">
        <f>SUMIFS('Bilateral Assistance, MAIN DATA'!S:S,'Bilateral Assistance, MAIN DATA'!B:B,'Comm per Month (Mil in-kind)'!B49,'Bilateral Assistance, MAIN DATA'!AG:AG,1,'Bilateral Assistance, MAIN DATA'!AH:AH,'Comm per Month (Mil in-kind)'!$G$11, 'Bilateral Assistance, MAIN DATA'!AS:AS,1)/1000000000</f>
        <v>0.68057142857142849</v>
      </c>
      <c r="H49" s="315">
        <f>SUMIFS('Bilateral Assistance, MAIN DATA'!S:S,'Bilateral Assistance, MAIN DATA'!B:B,'Comm per Month (Mil in-kind)'!B49,'Bilateral Assistance, MAIN DATA'!AG:AG,1,'Bilateral Assistance, MAIN DATA'!AH:AH,'Comm per Month (Mil in-kind)'!$H$11, 'Bilateral Assistance, MAIN DATA'!AS:AS,1)/1000000000</f>
        <v>0.17652386521080488</v>
      </c>
      <c r="I49" s="315">
        <f>SUMIFS('Bilateral Assistance, MAIN DATA'!S:S,'Bilateral Assistance, MAIN DATA'!B:B,'Comm per Month (Mil in-kind)'!B49,'Bilateral Assistance, MAIN DATA'!AG:AG,1,'Bilateral Assistance, MAIN DATA'!AH:AH,'Comm per Month (Mil in-kind)'!$I$11, 'Bilateral Assistance, MAIN DATA'!AS:AS,1)/1000000000</f>
        <v>1.5083170591257593</v>
      </c>
      <c r="J49" s="315">
        <f>SUMIFS('Bilateral Assistance, MAIN DATA'!S:S,'Bilateral Assistance, MAIN DATA'!B:B,'Comm per Month (Mil in-kind)'!B49,'Bilateral Assistance, MAIN DATA'!AG:AG,1,'Bilateral Assistance, MAIN DATA'!AH:AH,'Comm per Month (Mil in-kind)'!$J$11, 'Bilateral Assistance, MAIN DATA'!AS:AS,1)/1000000000</f>
        <v>1.1601735619648699</v>
      </c>
      <c r="K49" s="315">
        <f>SUMIFS('Bilateral Assistance, MAIN DATA'!S:S,'Bilateral Assistance, MAIN DATA'!B:B,'Comm per Month (Mil in-kind)'!B49,'Bilateral Assistance, MAIN DATA'!AG:AG,1,'Bilateral Assistance, MAIN DATA'!AH:AH,'Comm per Month (Mil in-kind)'!$K$11, 'Bilateral Assistance, MAIN DATA'!AS:AS,1)/1000000000</f>
        <v>0</v>
      </c>
      <c r="L49" s="315">
        <f>SUMIFS('Bilateral Assistance, MAIN DATA'!S:S,'Bilateral Assistance, MAIN DATA'!B:B,'Comm per Month (Mil in-kind)'!B49,'Bilateral Assistance, MAIN DATA'!AG:AG,1,'Bilateral Assistance, MAIN DATA'!AH:AH,'Comm per Month (Mil in-kind)'!$L$11, 'Bilateral Assistance, MAIN DATA'!AS:AS,1)/1000000000</f>
        <v>0.1657142857142857</v>
      </c>
      <c r="M49" s="316">
        <f>SUMIFS('Bilateral Assistance, MAIN DATA'!S:S,'Bilateral Assistance, MAIN DATA'!B:B,'Comm per Month (Mil in-kind)'!B49,'Bilateral Assistance, MAIN DATA'!AG:AG,1,'Bilateral Assistance, MAIN DATA'!AH:AH,'Comm per Month (Mil in-kind)'!$M$11, 'Bilateral Assistance, MAIN DATA'!AS:AS,1)/1000000000</f>
        <v>0</v>
      </c>
      <c r="N49" s="270">
        <f>SUMIFS('Bilateral Assistance, MAIN DATA'!S:S,'Bilateral Assistance, MAIN DATA'!B:B,'Comm per Month (Mil in-kind)'!B49,'Bilateral Assistance, MAIN DATA'!AG:AG,1,'Bilateral Assistance, MAIN DATA'!AH:AH,'Comm per Month (Mil in-kind)'!$N$11, 'Bilateral Assistance, MAIN DATA'!AS:AS,1)/1000000000</f>
        <v>0.278462736348291</v>
      </c>
      <c r="O49" s="316">
        <f>SUMIFS('Bilateral Assistance, MAIN DATA'!S:S,'Bilateral Assistance, MAIN DATA'!B:B,'Comm per Month (Mil in-kind)'!B49,'Bilateral Assistance, MAIN DATA'!AG:AG,1,'Bilateral Assistance, MAIN DATA'!AH:AH,'Comm per Month (Mil in-kind)'!$O$11, 'Bilateral Assistance, MAIN DATA'!AS:AS,1)/1000000000</f>
        <v>8.8708275860148247E-2</v>
      </c>
      <c r="P49" s="316">
        <f>SUMIFS('Bilateral Assistance, MAIN DATA'!S:S,'Bilateral Assistance, MAIN DATA'!B:B,'Comm per Month (Mil in-kind)'!B49,'Bilateral Assistance, MAIN DATA'!AG:AG,1,'Bilateral Assistance, MAIN DATA'!AH:AH,'Comm per Month (Mil in-kind)'!$P$11, 'Bilateral Assistance, MAIN DATA'!AS:AS,1)/1000000000</f>
        <v>0</v>
      </c>
      <c r="Q49" s="316">
        <f>SUMIFS('Bilateral Assistance, MAIN DATA'!S:S,'Bilateral Assistance, MAIN DATA'!B:B,'Comm per Month (Mil in-kind)'!B49,'Bilateral Assistance, MAIN DATA'!AG:AG,1,'Bilateral Assistance, MAIN DATA'!AH:AH,'Comm per Month (Mil in-kind)'!$Q$11, 'Bilateral Assistance, MAIN DATA'!AS:AS,1)/1000000000</f>
        <v>0.75183110709625123</v>
      </c>
      <c r="R49" s="316">
        <f t="shared" si="0"/>
        <v>4.8864927960823152</v>
      </c>
      <c r="S49" s="316">
        <f>SUMIFS('Bilateral Assistance, MAIN DATA'!S:S,'Bilateral Assistance, MAIN DATA'!B:B,'Comm per Month (Mil in-kind)'!B49,'Bilateral Assistance, MAIN DATA'!AG:AG,0,'Bilateral Assistance, MAIN DATA'!AS:AS,1)/1000000000</f>
        <v>0</v>
      </c>
    </row>
    <row r="50" spans="1:21" ht="15.9" customHeight="1" x14ac:dyDescent="0.3">
      <c r="B50" s="24" t="s">
        <v>3038</v>
      </c>
      <c r="C50" s="339">
        <v>0</v>
      </c>
      <c r="D50" s="339">
        <v>1</v>
      </c>
      <c r="E50" s="315">
        <f>SUMIFS('Bilateral Assistance, MAIN DATA'!S:S,'Bilateral Assistance, MAIN DATA'!B:B,'Comm per Month (Mil in-kind)'!B50,'Bilateral Assistance, MAIN DATA'!AG:AG,1,'Bilateral Assistance, MAIN DATA'!AH:AH,'Comm per Month (Mil in-kind)'!$E$11, 'Bilateral Assistance, MAIN DATA'!AS:AS,1)/1000000000</f>
        <v>0</v>
      </c>
      <c r="F50" s="315">
        <f>SUMIFS('Bilateral Assistance, MAIN DATA'!S:S,'Bilateral Assistance, MAIN DATA'!B:B,'Comm per Month (Mil in-kind)'!B50,'Bilateral Assistance, MAIN DATA'!AG:AG,1,'Bilateral Assistance, MAIN DATA'!AH:AH,'Comm per Month (Mil in-kind)'!$F$11, 'Bilateral Assistance, MAIN DATA'!AS:AS,1)/1000000000</f>
        <v>0</v>
      </c>
      <c r="G50" s="315">
        <f>SUMIFS('Bilateral Assistance, MAIN DATA'!S:S,'Bilateral Assistance, MAIN DATA'!B:B,'Comm per Month (Mil in-kind)'!B50,'Bilateral Assistance, MAIN DATA'!AG:AG,1,'Bilateral Assistance, MAIN DATA'!AH:AH,'Comm per Month (Mil in-kind)'!$G$11, 'Bilateral Assistance, MAIN DATA'!AS:AS,1)/1000000000</f>
        <v>8.5952380952380949</v>
      </c>
      <c r="H50" s="315">
        <f>SUMIFS('Bilateral Assistance, MAIN DATA'!S:S,'Bilateral Assistance, MAIN DATA'!B:B,'Comm per Month (Mil in-kind)'!B50,'Bilateral Assistance, MAIN DATA'!AG:AG,1,'Bilateral Assistance, MAIN DATA'!AH:AH,'Comm per Month (Mil in-kind)'!$H$11, 'Bilateral Assistance, MAIN DATA'!AS:AS,1)/1000000000</f>
        <v>7.4733333333333327</v>
      </c>
      <c r="I50" s="315">
        <f>SUMIFS('Bilateral Assistance, MAIN DATA'!S:S,'Bilateral Assistance, MAIN DATA'!B:B,'Comm per Month (Mil in-kind)'!B50,'Bilateral Assistance, MAIN DATA'!AG:AG,1,'Bilateral Assistance, MAIN DATA'!AH:AH,'Comm per Month (Mil in-kind)'!$I$11, 'Bilateral Assistance, MAIN DATA'!AS:AS,1)/1000000000</f>
        <v>0</v>
      </c>
      <c r="J50" s="315">
        <f>SUMIFS('Bilateral Assistance, MAIN DATA'!S:S,'Bilateral Assistance, MAIN DATA'!B:B,'Comm per Month (Mil in-kind)'!B50,'Bilateral Assistance, MAIN DATA'!AG:AG,1,'Bilateral Assistance, MAIN DATA'!AH:AH,'Comm per Month (Mil in-kind)'!$J$11, 'Bilateral Assistance, MAIN DATA'!AS:AS,1)/1000000000</f>
        <v>0</v>
      </c>
      <c r="K50" s="315">
        <f>SUMIFS('Bilateral Assistance, MAIN DATA'!S:S,'Bilateral Assistance, MAIN DATA'!B:B,'Comm per Month (Mil in-kind)'!B50,'Bilateral Assistance, MAIN DATA'!AG:AG,1,'Bilateral Assistance, MAIN DATA'!AH:AH,'Comm per Month (Mil in-kind)'!$K$11, 'Bilateral Assistance, MAIN DATA'!AS:AS,1)/1000000000</f>
        <v>0</v>
      </c>
      <c r="L50" s="315">
        <f>SUMIFS('Bilateral Assistance, MAIN DATA'!S:S,'Bilateral Assistance, MAIN DATA'!B:B,'Comm per Month (Mil in-kind)'!B50,'Bilateral Assistance, MAIN DATA'!AG:AG,1,'Bilateral Assistance, MAIN DATA'!AH:AH,'Comm per Month (Mil in-kind)'!$L$11, 'Bilateral Assistance, MAIN DATA'!AS:AS,1)/1000000000</f>
        <v>0</v>
      </c>
      <c r="M50" s="316">
        <f>SUMIFS('Bilateral Assistance, MAIN DATA'!S:S,'Bilateral Assistance, MAIN DATA'!B:B,'Comm per Month (Mil in-kind)'!B50,'Bilateral Assistance, MAIN DATA'!AG:AG,1,'Bilateral Assistance, MAIN DATA'!AH:AH,'Comm per Month (Mil in-kind)'!$M$11, 'Bilateral Assistance, MAIN DATA'!AS:AS,1)/1000000000</f>
        <v>6.3809523809523814</v>
      </c>
      <c r="N50" s="270">
        <f>SUMIFS('Bilateral Assistance, MAIN DATA'!S:S,'Bilateral Assistance, MAIN DATA'!B:B,'Comm per Month (Mil in-kind)'!B50,'Bilateral Assistance, MAIN DATA'!AG:AG,1,'Bilateral Assistance, MAIN DATA'!AH:AH,'Comm per Month (Mil in-kind)'!$N$11, 'Bilateral Assistance, MAIN DATA'!AS:AS,1)/1000000000</f>
        <v>0</v>
      </c>
      <c r="O50" s="316">
        <f>SUMIFS('Bilateral Assistance, MAIN DATA'!S:S,'Bilateral Assistance, MAIN DATA'!B:B,'Comm per Month (Mil in-kind)'!B50,'Bilateral Assistance, MAIN DATA'!AG:AG,1,'Bilateral Assistance, MAIN DATA'!AH:AH,'Comm per Month (Mil in-kind)'!$O$11, 'Bilateral Assistance, MAIN DATA'!AS:AS,1)/1000000000</f>
        <v>0</v>
      </c>
      <c r="P50" s="316">
        <f>SUMIFS('Bilateral Assistance, MAIN DATA'!S:S,'Bilateral Assistance, MAIN DATA'!B:B,'Comm per Month (Mil in-kind)'!B50,'Bilateral Assistance, MAIN DATA'!AG:AG,1,'Bilateral Assistance, MAIN DATA'!AH:AH,'Comm per Month (Mil in-kind)'!$P$11, 'Bilateral Assistance, MAIN DATA'!AS:AS,1)/1000000000</f>
        <v>21.888571428571428</v>
      </c>
      <c r="Q50" s="316">
        <f>SUMIFS('Bilateral Assistance, MAIN DATA'!S:S,'Bilateral Assistance, MAIN DATA'!B:B,'Comm per Month (Mil in-kind)'!B50,'Bilateral Assistance, MAIN DATA'!AG:AG,1,'Bilateral Assistance, MAIN DATA'!AH:AH,'Comm per Month (Mil in-kind)'!$Q$11, 'Bilateral Assistance, MAIN DATA'!AS:AS,1)/1000000000</f>
        <v>0</v>
      </c>
      <c r="R50" s="316">
        <f t="shared" si="0"/>
        <v>44.338095238095235</v>
      </c>
      <c r="S50" s="316">
        <f>SUMIFS('Bilateral Assistance, MAIN DATA'!S:S,'Bilateral Assistance, MAIN DATA'!B:B,'Comm per Month (Mil in-kind)'!B50,'Bilateral Assistance, MAIN DATA'!AG:AG,0,'Bilateral Assistance, MAIN DATA'!AS:AS,1)/1000000000</f>
        <v>0</v>
      </c>
    </row>
    <row r="51" spans="1:21" ht="15.9" customHeight="1" x14ac:dyDescent="0.3">
      <c r="B51" s="24" t="s">
        <v>656</v>
      </c>
      <c r="C51" s="339">
        <v>0</v>
      </c>
      <c r="D51" s="339">
        <v>0</v>
      </c>
      <c r="E51" s="315">
        <f>SUMIFS('Bilateral Assistance, MAIN DATA'!S:S,'Bilateral Assistance, MAIN DATA'!B:B,'Comm per Month (Mil in-kind)'!B51,'Bilateral Assistance, MAIN DATA'!AG:AG,1,'Bilateral Assistance, MAIN DATA'!AH:AH,'Comm per Month (Mil in-kind)'!$E$11, 'Bilateral Assistance, MAIN DATA'!AS:AS,1)/1000000000</f>
        <v>0</v>
      </c>
      <c r="F51" s="315">
        <f>SUMIFS('Bilateral Assistance, MAIN DATA'!S:S,'Bilateral Assistance, MAIN DATA'!B:B,'Comm per Month (Mil in-kind)'!B51,'Bilateral Assistance, MAIN DATA'!AG:AG,1,'Bilateral Assistance, MAIN DATA'!AH:AH,'Comm per Month (Mil in-kind)'!$F$11, 'Bilateral Assistance, MAIN DATA'!AS:AS,1)/1000000000</f>
        <v>0</v>
      </c>
      <c r="G51" s="315">
        <f>SUMIFS('Bilateral Assistance, MAIN DATA'!S:S,'Bilateral Assistance, MAIN DATA'!B:B,'Comm per Month (Mil in-kind)'!B51,'Bilateral Assistance, MAIN DATA'!AG:AG,1,'Bilateral Assistance, MAIN DATA'!AH:AH,'Comm per Month (Mil in-kind)'!$G$11, 'Bilateral Assistance, MAIN DATA'!AS:AS,1)/1000000000</f>
        <v>0</v>
      </c>
      <c r="H51" s="315">
        <f>SUMIFS('Bilateral Assistance, MAIN DATA'!S:S,'Bilateral Assistance, MAIN DATA'!B:B,'Comm per Month (Mil in-kind)'!B51,'Bilateral Assistance, MAIN DATA'!AG:AG,1,'Bilateral Assistance, MAIN DATA'!AH:AH,'Comm per Month (Mil in-kind)'!$H$11, 'Bilateral Assistance, MAIN DATA'!AS:AS,1)/1000000000</f>
        <v>0</v>
      </c>
      <c r="I51" s="315">
        <f>SUMIFS('Bilateral Assistance, MAIN DATA'!S:S,'Bilateral Assistance, MAIN DATA'!B:B,'Comm per Month (Mil in-kind)'!B51,'Bilateral Assistance, MAIN DATA'!AG:AG,1,'Bilateral Assistance, MAIN DATA'!AH:AH,'Comm per Month (Mil in-kind)'!$I$11, 'Bilateral Assistance, MAIN DATA'!AS:AS,1)/1000000000</f>
        <v>0</v>
      </c>
      <c r="J51" s="315">
        <f>SUMIFS('Bilateral Assistance, MAIN DATA'!S:S,'Bilateral Assistance, MAIN DATA'!B:B,'Comm per Month (Mil in-kind)'!B51,'Bilateral Assistance, MAIN DATA'!AG:AG,1,'Bilateral Assistance, MAIN DATA'!AH:AH,'Comm per Month (Mil in-kind)'!$J$11, 'Bilateral Assistance, MAIN DATA'!AS:AS,1)/1000000000</f>
        <v>0</v>
      </c>
      <c r="K51" s="315">
        <f>SUMIFS('Bilateral Assistance, MAIN DATA'!S:S,'Bilateral Assistance, MAIN DATA'!B:B,'Comm per Month (Mil in-kind)'!B51,'Bilateral Assistance, MAIN DATA'!AG:AG,1,'Bilateral Assistance, MAIN DATA'!AH:AH,'Comm per Month (Mil in-kind)'!$K$11, 'Bilateral Assistance, MAIN DATA'!AS:AS,1)/1000000000</f>
        <v>0</v>
      </c>
      <c r="L51" s="315">
        <f>SUMIFS('Bilateral Assistance, MAIN DATA'!S:S,'Bilateral Assistance, MAIN DATA'!B:B,'Comm per Month (Mil in-kind)'!B51,'Bilateral Assistance, MAIN DATA'!AG:AG,1,'Bilateral Assistance, MAIN DATA'!AH:AH,'Comm per Month (Mil in-kind)'!$L$11, 'Bilateral Assistance, MAIN DATA'!AS:AS,1)/1000000000</f>
        <v>0</v>
      </c>
      <c r="M51" s="316">
        <f>SUMIFS('Bilateral Assistance, MAIN DATA'!S:S,'Bilateral Assistance, MAIN DATA'!B:B,'Comm per Month (Mil in-kind)'!B51,'Bilateral Assistance, MAIN DATA'!AG:AG,1,'Bilateral Assistance, MAIN DATA'!AH:AH,'Comm per Month (Mil in-kind)'!$M$11, 'Bilateral Assistance, MAIN DATA'!AS:AS,1)/1000000000</f>
        <v>0</v>
      </c>
      <c r="N51" s="270">
        <f>SUMIFS('Bilateral Assistance, MAIN DATA'!S:S,'Bilateral Assistance, MAIN DATA'!B:B,'Comm per Month (Mil in-kind)'!B51,'Bilateral Assistance, MAIN DATA'!AG:AG,1,'Bilateral Assistance, MAIN DATA'!AH:AH,'Comm per Month (Mil in-kind)'!$N$11, 'Bilateral Assistance, MAIN DATA'!AS:AS,1)/1000000000</f>
        <v>0</v>
      </c>
      <c r="O51" s="316">
        <f>SUMIFS('Bilateral Assistance, MAIN DATA'!S:S,'Bilateral Assistance, MAIN DATA'!B:B,'Comm per Month (Mil in-kind)'!B51,'Bilateral Assistance, MAIN DATA'!AG:AG,1,'Bilateral Assistance, MAIN DATA'!AH:AH,'Comm per Month (Mil in-kind)'!$O$11, 'Bilateral Assistance, MAIN DATA'!AS:AS,1)/1000000000</f>
        <v>0</v>
      </c>
      <c r="P51" s="316">
        <f>SUMIFS('Bilateral Assistance, MAIN DATA'!S:S,'Bilateral Assistance, MAIN DATA'!B:B,'Comm per Month (Mil in-kind)'!B51,'Bilateral Assistance, MAIN DATA'!AG:AG,1,'Bilateral Assistance, MAIN DATA'!AH:AH,'Comm per Month (Mil in-kind)'!$P$11, 'Bilateral Assistance, MAIN DATA'!AS:AS,1)/1000000000</f>
        <v>0</v>
      </c>
      <c r="Q51" s="316">
        <f>SUMIFS('Bilateral Assistance, MAIN DATA'!S:S,'Bilateral Assistance, MAIN DATA'!B:B,'Comm per Month (Mil in-kind)'!B51,'Bilateral Assistance, MAIN DATA'!AG:AG,1,'Bilateral Assistance, MAIN DATA'!AH:AH,'Comm per Month (Mil in-kind)'!$Q$11, 'Bilateral Assistance, MAIN DATA'!AS:AS,1)/1000000000</f>
        <v>0</v>
      </c>
      <c r="R51" s="316">
        <f t="shared" si="0"/>
        <v>0</v>
      </c>
      <c r="S51" s="316">
        <f>SUMIFS('Bilateral Assistance, MAIN DATA'!S:S,'Bilateral Assistance, MAIN DATA'!B:B,'Comm per Month (Mil in-kind)'!B51,'Bilateral Assistance, MAIN DATA'!AG:AG,0,'Bilateral Assistance, MAIN DATA'!AS:AS,1)/1000000000</f>
        <v>0</v>
      </c>
    </row>
    <row r="52" spans="1:21" ht="15.9" customHeight="1" x14ac:dyDescent="0.3">
      <c r="B52" s="24" t="s">
        <v>2840</v>
      </c>
      <c r="C52" s="339">
        <v>0</v>
      </c>
      <c r="D52" s="339">
        <v>0</v>
      </c>
      <c r="E52" s="315">
        <f>SUMIFS('Bilateral Assistance, MAIN DATA'!S:S,'Bilateral Assistance, MAIN DATA'!B:B,'Comm per Month (Mil in-kind)'!B52,'Bilateral Assistance, MAIN DATA'!AG:AG,1,'Bilateral Assistance, MAIN DATA'!AH:AH,'Comm per Month (Mil in-kind)'!$E$11, 'Bilateral Assistance, MAIN DATA'!AS:AS,1)/1000000000</f>
        <v>0</v>
      </c>
      <c r="F52" s="315">
        <f>SUMIFS('Bilateral Assistance, MAIN DATA'!S:S,'Bilateral Assistance, MAIN DATA'!B:B,'Comm per Month (Mil in-kind)'!B52,'Bilateral Assistance, MAIN DATA'!AG:AG,1,'Bilateral Assistance, MAIN DATA'!AH:AH,'Comm per Month (Mil in-kind)'!$F$11, 'Bilateral Assistance, MAIN DATA'!AS:AS,1)/1000000000</f>
        <v>0</v>
      </c>
      <c r="G52" s="315">
        <f>SUMIFS('Bilateral Assistance, MAIN DATA'!S:S,'Bilateral Assistance, MAIN DATA'!B:B,'Comm per Month (Mil in-kind)'!B52,'Bilateral Assistance, MAIN DATA'!AG:AG,1,'Bilateral Assistance, MAIN DATA'!AH:AH,'Comm per Month (Mil in-kind)'!$G$11, 'Bilateral Assistance, MAIN DATA'!AS:AS,1)/1000000000</f>
        <v>0</v>
      </c>
      <c r="H52" s="315">
        <f>SUMIFS('Bilateral Assistance, MAIN DATA'!S:S,'Bilateral Assistance, MAIN DATA'!B:B,'Comm per Month (Mil in-kind)'!B52,'Bilateral Assistance, MAIN DATA'!AG:AG,1,'Bilateral Assistance, MAIN DATA'!AH:AH,'Comm per Month (Mil in-kind)'!$H$11, 'Bilateral Assistance, MAIN DATA'!AS:AS,1)/1000000000</f>
        <v>0</v>
      </c>
      <c r="I52" s="315">
        <f>SUMIFS('Bilateral Assistance, MAIN DATA'!S:S,'Bilateral Assistance, MAIN DATA'!B:B,'Comm per Month (Mil in-kind)'!B52,'Bilateral Assistance, MAIN DATA'!AG:AG,1,'Bilateral Assistance, MAIN DATA'!AH:AH,'Comm per Month (Mil in-kind)'!$I$11, 'Bilateral Assistance, MAIN DATA'!AS:AS,1)/1000000000</f>
        <v>0</v>
      </c>
      <c r="J52" s="315">
        <f>SUMIFS('Bilateral Assistance, MAIN DATA'!S:S,'Bilateral Assistance, MAIN DATA'!B:B,'Comm per Month (Mil in-kind)'!B52,'Bilateral Assistance, MAIN DATA'!AG:AG,1,'Bilateral Assistance, MAIN DATA'!AH:AH,'Comm per Month (Mil in-kind)'!$J$11, 'Bilateral Assistance, MAIN DATA'!AS:AS,1)/1000000000</f>
        <v>0</v>
      </c>
      <c r="K52" s="315">
        <f>SUMIFS('Bilateral Assistance, MAIN DATA'!S:S,'Bilateral Assistance, MAIN DATA'!B:B,'Comm per Month (Mil in-kind)'!B52,'Bilateral Assistance, MAIN DATA'!AG:AG,1,'Bilateral Assistance, MAIN DATA'!AH:AH,'Comm per Month (Mil in-kind)'!$K$11, 'Bilateral Assistance, MAIN DATA'!AS:AS,1)/1000000000</f>
        <v>0</v>
      </c>
      <c r="L52" s="315">
        <f>SUMIFS('Bilateral Assistance, MAIN DATA'!S:S,'Bilateral Assistance, MAIN DATA'!B:B,'Comm per Month (Mil in-kind)'!B52,'Bilateral Assistance, MAIN DATA'!AG:AG,1,'Bilateral Assistance, MAIN DATA'!AH:AH,'Comm per Month (Mil in-kind)'!$L$11, 'Bilateral Assistance, MAIN DATA'!AS:AS,1)/1000000000</f>
        <v>0</v>
      </c>
      <c r="M52" s="316">
        <f>SUMIFS('Bilateral Assistance, MAIN DATA'!S:S,'Bilateral Assistance, MAIN DATA'!B:B,'Comm per Month (Mil in-kind)'!B52,'Bilateral Assistance, MAIN DATA'!AG:AG,1,'Bilateral Assistance, MAIN DATA'!AH:AH,'Comm per Month (Mil in-kind)'!$M$11, 'Bilateral Assistance, MAIN DATA'!AS:AS,1)/1000000000</f>
        <v>0</v>
      </c>
      <c r="N52" s="270">
        <f>SUMIFS('Bilateral Assistance, MAIN DATA'!S:S,'Bilateral Assistance, MAIN DATA'!B:B,'Comm per Month (Mil in-kind)'!B52,'Bilateral Assistance, MAIN DATA'!AG:AG,1,'Bilateral Assistance, MAIN DATA'!AH:AH,'Comm per Month (Mil in-kind)'!$N$11, 'Bilateral Assistance, MAIN DATA'!AS:AS,1)/1000000000</f>
        <v>0</v>
      </c>
      <c r="O52" s="316">
        <f>SUMIFS('Bilateral Assistance, MAIN DATA'!S:S,'Bilateral Assistance, MAIN DATA'!B:B,'Comm per Month (Mil in-kind)'!B52,'Bilateral Assistance, MAIN DATA'!AG:AG,1,'Bilateral Assistance, MAIN DATA'!AH:AH,'Comm per Month (Mil in-kind)'!$O$11, 'Bilateral Assistance, MAIN DATA'!AS:AS,1)/1000000000</f>
        <v>0</v>
      </c>
      <c r="P52" s="316">
        <f>SUMIFS('Bilateral Assistance, MAIN DATA'!S:S,'Bilateral Assistance, MAIN DATA'!B:B,'Comm per Month (Mil in-kind)'!B52,'Bilateral Assistance, MAIN DATA'!AG:AG,1,'Bilateral Assistance, MAIN DATA'!AH:AH,'Comm per Month (Mil in-kind)'!$P$11, 'Bilateral Assistance, MAIN DATA'!AS:AS,1)/1000000000</f>
        <v>0</v>
      </c>
      <c r="Q52" s="316">
        <f>SUMIFS('Bilateral Assistance, MAIN DATA'!S:S,'Bilateral Assistance, MAIN DATA'!B:B,'Comm per Month (Mil in-kind)'!B52,'Bilateral Assistance, MAIN DATA'!AG:AG,1,'Bilateral Assistance, MAIN DATA'!AH:AH,'Comm per Month (Mil in-kind)'!$Q$11, 'Bilateral Assistance, MAIN DATA'!AS:AS,1)/1000000000</f>
        <v>0</v>
      </c>
      <c r="R52" s="316">
        <f t="shared" si="0"/>
        <v>0</v>
      </c>
      <c r="S52" s="316">
        <f>SUMIFS('Bilateral Assistance, MAIN DATA'!S:S,'Bilateral Assistance, MAIN DATA'!B:B,'Comm per Month (Mil in-kind)'!B52,'Bilateral Assistance, MAIN DATA'!AG:AG,0,'Bilateral Assistance, MAIN DATA'!AS:AS,1)/1000000000</f>
        <v>0</v>
      </c>
    </row>
    <row r="53" spans="1:21" ht="15.9" customHeight="1" x14ac:dyDescent="0.3">
      <c r="B53" s="289" t="s">
        <v>1687</v>
      </c>
      <c r="C53" s="370">
        <v>0</v>
      </c>
      <c r="D53" s="339">
        <v>0</v>
      </c>
      <c r="E53" s="315">
        <f>SUMIFS('Bilateral Assistance, MAIN DATA'!S:S,'Bilateral Assistance, MAIN DATA'!B:B,'Comm per Month (Mil in-kind)'!B53,'Bilateral Assistance, MAIN DATA'!AG:AG,1,'Bilateral Assistance, MAIN DATA'!AH:AH,'Comm per Month (Mil in-kind)'!$E$11, 'Bilateral Assistance, MAIN DATA'!AS:AS,1)/1000000000</f>
        <v>0</v>
      </c>
      <c r="F53" s="315">
        <f>SUMIFS('Bilateral Assistance, MAIN DATA'!S:S,'Bilateral Assistance, MAIN DATA'!B:B,'Comm per Month (Mil in-kind)'!B53,'Bilateral Assistance, MAIN DATA'!AG:AG,1,'Bilateral Assistance, MAIN DATA'!AH:AH,'Comm per Month (Mil in-kind)'!$F$11, 'Bilateral Assistance, MAIN DATA'!AS:AS,1)/1000000000</f>
        <v>0</v>
      </c>
      <c r="G53" s="315">
        <f>SUMIFS('Bilateral Assistance, MAIN DATA'!S:S,'Bilateral Assistance, MAIN DATA'!B:B,'Comm per Month (Mil in-kind)'!B53,'Bilateral Assistance, MAIN DATA'!AG:AG,1,'Bilateral Assistance, MAIN DATA'!AH:AH,'Comm per Month (Mil in-kind)'!$G$11, 'Bilateral Assistance, MAIN DATA'!AS:AS,1)/1000000000</f>
        <v>0</v>
      </c>
      <c r="H53" s="315">
        <f>SUMIFS('Bilateral Assistance, MAIN DATA'!S:S,'Bilateral Assistance, MAIN DATA'!B:B,'Comm per Month (Mil in-kind)'!B53,'Bilateral Assistance, MAIN DATA'!AG:AG,1,'Bilateral Assistance, MAIN DATA'!AH:AH,'Comm per Month (Mil in-kind)'!$H$11, 'Bilateral Assistance, MAIN DATA'!AS:AS,1)/1000000000</f>
        <v>0</v>
      </c>
      <c r="I53" s="315">
        <f>SUMIFS('Bilateral Assistance, MAIN DATA'!S:S,'Bilateral Assistance, MAIN DATA'!B:B,'Comm per Month (Mil in-kind)'!B53,'Bilateral Assistance, MAIN DATA'!AG:AG,1,'Bilateral Assistance, MAIN DATA'!AH:AH,'Comm per Month (Mil in-kind)'!$I$11, 'Bilateral Assistance, MAIN DATA'!AS:AS,1)/1000000000</f>
        <v>0</v>
      </c>
      <c r="J53" s="315">
        <f>SUMIFS('Bilateral Assistance, MAIN DATA'!S:S,'Bilateral Assistance, MAIN DATA'!B:B,'Comm per Month (Mil in-kind)'!B53,'Bilateral Assistance, MAIN DATA'!AG:AG,1,'Bilateral Assistance, MAIN DATA'!AH:AH,'Comm per Month (Mil in-kind)'!$J$11, 'Bilateral Assistance, MAIN DATA'!AS:AS,1)/1000000000</f>
        <v>0</v>
      </c>
      <c r="K53" s="315">
        <f>SUMIFS('Bilateral Assistance, MAIN DATA'!S:S,'Bilateral Assistance, MAIN DATA'!B:B,'Comm per Month (Mil in-kind)'!B53,'Bilateral Assistance, MAIN DATA'!AG:AG,1,'Bilateral Assistance, MAIN DATA'!AH:AH,'Comm per Month (Mil in-kind)'!$K$11, 'Bilateral Assistance, MAIN DATA'!AS:AS,1)/1000000000</f>
        <v>0</v>
      </c>
      <c r="L53" s="315">
        <f>SUMIFS('Bilateral Assistance, MAIN DATA'!S:S,'Bilateral Assistance, MAIN DATA'!B:B,'Comm per Month (Mil in-kind)'!B53,'Bilateral Assistance, MAIN DATA'!AG:AG,1,'Bilateral Assistance, MAIN DATA'!AH:AH,'Comm per Month (Mil in-kind)'!$L$11, 'Bilateral Assistance, MAIN DATA'!AS:AS,1)/1000000000</f>
        <v>0</v>
      </c>
      <c r="M53" s="316">
        <f>SUMIFS('Bilateral Assistance, MAIN DATA'!S:S,'Bilateral Assistance, MAIN DATA'!B:B,'Comm per Month (Mil in-kind)'!B53,'Bilateral Assistance, MAIN DATA'!AG:AG,1,'Bilateral Assistance, MAIN DATA'!AH:AH,'Comm per Month (Mil in-kind)'!$M$11, 'Bilateral Assistance, MAIN DATA'!AS:AS,1)/1000000000</f>
        <v>0</v>
      </c>
      <c r="N53" s="270">
        <f>SUMIFS('Bilateral Assistance, MAIN DATA'!S:S,'Bilateral Assistance, MAIN DATA'!B:B,'Comm per Month (Mil in-kind)'!B53,'Bilateral Assistance, MAIN DATA'!AG:AG,1,'Bilateral Assistance, MAIN DATA'!AH:AH,'Comm per Month (Mil in-kind)'!$N$11, 'Bilateral Assistance, MAIN DATA'!AS:AS,1)/1000000000</f>
        <v>0</v>
      </c>
      <c r="O53" s="316">
        <f>SUMIFS('Bilateral Assistance, MAIN DATA'!S:S,'Bilateral Assistance, MAIN DATA'!B:B,'Comm per Month (Mil in-kind)'!B53,'Bilateral Assistance, MAIN DATA'!AG:AG,1,'Bilateral Assistance, MAIN DATA'!AH:AH,'Comm per Month (Mil in-kind)'!$O$11, 'Bilateral Assistance, MAIN DATA'!AS:AS,1)/1000000000</f>
        <v>0</v>
      </c>
      <c r="P53" s="316">
        <f>SUMIFS('Bilateral Assistance, MAIN DATA'!S:S,'Bilateral Assistance, MAIN DATA'!B:B,'Comm per Month (Mil in-kind)'!B53,'Bilateral Assistance, MAIN DATA'!AG:AG,1,'Bilateral Assistance, MAIN DATA'!AH:AH,'Comm per Month (Mil in-kind)'!$P$11, 'Bilateral Assistance, MAIN DATA'!AS:AS,1)/1000000000</f>
        <v>0</v>
      </c>
      <c r="Q53" s="316">
        <f>SUMIFS('Bilateral Assistance, MAIN DATA'!S:S,'Bilateral Assistance, MAIN DATA'!B:B,'Comm per Month (Mil in-kind)'!B53,'Bilateral Assistance, MAIN DATA'!AG:AG,1,'Bilateral Assistance, MAIN DATA'!AH:AH,'Comm per Month (Mil in-kind)'!$Q$11, 'Bilateral Assistance, MAIN DATA'!AS:AS,1)/1000000000</f>
        <v>0</v>
      </c>
      <c r="R53" s="316">
        <f t="shared" si="0"/>
        <v>0</v>
      </c>
      <c r="S53" s="316">
        <f>SUMIFS('Bilateral Assistance, MAIN DATA'!S:S,'Bilateral Assistance, MAIN DATA'!B:B,'Comm per Month (Mil in-kind)'!B53,'Bilateral Assistance, MAIN DATA'!AG:AG,0,'Bilateral Assistance, MAIN DATA'!AS:AS,1)/1000000000</f>
        <v>0</v>
      </c>
    </row>
    <row r="54" spans="1:21" ht="15.9" customHeight="1" x14ac:dyDescent="0.3">
      <c r="B54" s="65" t="s">
        <v>3517</v>
      </c>
      <c r="C54" s="374" t="s">
        <v>260</v>
      </c>
      <c r="D54" s="374" t="s">
        <v>260</v>
      </c>
      <c r="E54" s="603">
        <f t="shared" ref="E54:S54" si="1">SUM(E13:E53)</f>
        <v>0.23777886565494091</v>
      </c>
      <c r="F54" s="603">
        <f t="shared" si="1"/>
        <v>0.62224593356392921</v>
      </c>
      <c r="G54" s="603">
        <f t="shared" si="1"/>
        <v>9.572067284232217</v>
      </c>
      <c r="H54" s="603">
        <f t="shared" si="1"/>
        <v>11.074642380560455</v>
      </c>
      <c r="I54" s="603">
        <f t="shared" si="1"/>
        <v>2.2356322470445265</v>
      </c>
      <c r="J54" s="603">
        <f t="shared" si="1"/>
        <v>3.6185803719676484</v>
      </c>
      <c r="K54" s="603">
        <f t="shared" si="1"/>
        <v>0.70433073368698385</v>
      </c>
      <c r="L54" s="603">
        <f t="shared" si="1"/>
        <v>0.43619938468811659</v>
      </c>
      <c r="M54" s="603">
        <f t="shared" si="1"/>
        <v>6.6306941633958676</v>
      </c>
      <c r="N54" s="603">
        <f t="shared" si="1"/>
        <v>0.91897030517592238</v>
      </c>
      <c r="O54" s="603">
        <f t="shared" si="1"/>
        <v>1.0497003474106621</v>
      </c>
      <c r="P54" s="603">
        <f t="shared" si="1"/>
        <v>22.868229312151332</v>
      </c>
      <c r="Q54" s="603">
        <f t="shared" si="1"/>
        <v>1.5923511070962513</v>
      </c>
      <c r="R54" s="603">
        <f t="shared" si="1"/>
        <v>61.561422436628845</v>
      </c>
      <c r="S54" s="603">
        <f t="shared" si="1"/>
        <v>6.6666666666666662E-3</v>
      </c>
    </row>
    <row r="55" spans="1:21" ht="15.9" customHeight="1" x14ac:dyDescent="0.3">
      <c r="B55" s="2"/>
      <c r="C55" s="377"/>
      <c r="D55" s="377"/>
      <c r="H55" s="379"/>
      <c r="I55" s="379"/>
      <c r="J55" s="379"/>
      <c r="K55" s="379"/>
      <c r="L55" s="379"/>
    </row>
    <row r="56" spans="1:21" s="108" customFormat="1" ht="15.9" customHeight="1" x14ac:dyDescent="0.3">
      <c r="A56" s="3"/>
      <c r="B56" s="24"/>
      <c r="C56" s="339"/>
      <c r="D56" s="339"/>
      <c r="E56" s="379"/>
      <c r="F56" s="379"/>
      <c r="G56" s="379"/>
      <c r="H56" s="379"/>
      <c r="I56" s="379"/>
      <c r="J56" s="379"/>
      <c r="K56" s="379"/>
      <c r="L56" s="379"/>
      <c r="N56" s="344"/>
      <c r="R56" s="24"/>
      <c r="S56" s="24"/>
      <c r="T56" s="24"/>
      <c r="U56" s="24"/>
    </row>
    <row r="57" spans="1:21" s="108" customFormat="1" ht="15.9" customHeight="1" x14ac:dyDescent="0.3">
      <c r="A57" s="3"/>
      <c r="B57" s="24"/>
      <c r="C57" s="339"/>
      <c r="D57" s="339"/>
      <c r="E57" s="379"/>
      <c r="F57" s="379"/>
      <c r="G57" s="379"/>
      <c r="H57" s="379"/>
      <c r="I57" s="379"/>
      <c r="J57" s="379"/>
      <c r="K57" s="379"/>
      <c r="L57" s="379"/>
      <c r="N57" s="344"/>
      <c r="R57" s="24"/>
      <c r="S57" s="24"/>
      <c r="T57" s="24"/>
      <c r="U57" s="24"/>
    </row>
    <row r="58" spans="1:21" s="108" customFormat="1" ht="15.9" customHeight="1" x14ac:dyDescent="0.3">
      <c r="A58" s="3"/>
      <c r="B58" s="24"/>
      <c r="C58" s="339"/>
      <c r="D58" s="339"/>
      <c r="E58" s="379"/>
      <c r="F58" s="379"/>
      <c r="G58" s="379"/>
      <c r="H58" s="379"/>
      <c r="I58" s="379"/>
      <c r="J58" s="379"/>
      <c r="K58" s="379"/>
      <c r="L58" s="379"/>
      <c r="N58" s="344"/>
      <c r="R58" s="24"/>
      <c r="S58" s="24"/>
      <c r="T58" s="24"/>
      <c r="U58" s="24"/>
    </row>
    <row r="59" spans="1:21" s="108" customFormat="1" ht="15.9" customHeight="1" x14ac:dyDescent="0.3">
      <c r="A59" s="3"/>
      <c r="B59" s="24"/>
      <c r="C59" s="339"/>
      <c r="D59" s="339"/>
      <c r="E59" s="379"/>
      <c r="F59" s="379"/>
      <c r="G59" s="379"/>
      <c r="H59" s="379"/>
      <c r="I59" s="379"/>
      <c r="J59" s="379"/>
      <c r="K59" s="379"/>
      <c r="L59" s="379"/>
      <c r="N59" s="344"/>
      <c r="R59" s="24"/>
      <c r="S59" s="24"/>
      <c r="T59" s="24"/>
      <c r="U59" s="24"/>
    </row>
    <row r="60" spans="1:21" s="108" customFormat="1" ht="15.9" customHeight="1" x14ac:dyDescent="0.3">
      <c r="A60" s="3"/>
      <c r="B60" s="24"/>
      <c r="C60" s="339"/>
      <c r="D60" s="339"/>
      <c r="E60" s="379"/>
      <c r="F60" s="379"/>
      <c r="G60" s="379"/>
      <c r="H60" s="379"/>
      <c r="I60" s="379"/>
      <c r="J60" s="379"/>
      <c r="K60" s="379"/>
      <c r="L60" s="379"/>
      <c r="N60" s="344"/>
      <c r="R60" s="24"/>
      <c r="S60" s="24"/>
      <c r="T60" s="24"/>
      <c r="U60" s="24"/>
    </row>
    <row r="61" spans="1:21" s="108" customFormat="1" ht="15.9" customHeight="1" x14ac:dyDescent="0.3">
      <c r="A61" s="3"/>
      <c r="B61" s="109"/>
      <c r="C61" s="380"/>
      <c r="D61" s="380"/>
      <c r="E61" s="379"/>
      <c r="F61" s="379"/>
      <c r="G61" s="379"/>
      <c r="H61" s="379"/>
      <c r="I61" s="379"/>
      <c r="J61" s="379"/>
      <c r="K61" s="379"/>
      <c r="L61" s="379"/>
      <c r="N61" s="344"/>
      <c r="R61" s="24"/>
      <c r="S61" s="24"/>
      <c r="T61" s="24"/>
      <c r="U61" s="24"/>
    </row>
    <row r="62" spans="1:21" s="108" customFormat="1" ht="15.9" customHeight="1" x14ac:dyDescent="0.3">
      <c r="A62" s="3"/>
      <c r="B62" s="24"/>
      <c r="C62" s="339"/>
      <c r="D62" s="339"/>
      <c r="E62" s="379"/>
      <c r="F62" s="379"/>
      <c r="G62" s="379"/>
      <c r="H62" s="379"/>
      <c r="I62" s="379"/>
      <c r="J62" s="379"/>
      <c r="K62" s="379"/>
      <c r="L62" s="379"/>
      <c r="N62" s="344"/>
      <c r="R62" s="24"/>
      <c r="S62" s="24"/>
      <c r="T62" s="24"/>
      <c r="U62" s="24"/>
    </row>
    <row r="63" spans="1:21" s="108" customFormat="1" ht="15.9" customHeight="1" x14ac:dyDescent="0.3">
      <c r="A63" s="3"/>
      <c r="B63" s="22"/>
      <c r="C63" s="381"/>
      <c r="D63" s="381"/>
      <c r="E63" s="379"/>
      <c r="F63" s="379"/>
      <c r="G63" s="379"/>
      <c r="H63" s="379"/>
      <c r="I63" s="379"/>
      <c r="J63" s="379"/>
      <c r="K63" s="379"/>
      <c r="L63" s="379"/>
      <c r="N63" s="344"/>
      <c r="R63" s="24"/>
      <c r="S63" s="24"/>
      <c r="T63" s="24"/>
      <c r="U63" s="24"/>
    </row>
    <row r="64" spans="1:21" s="108" customFormat="1" ht="15.9" customHeight="1" x14ac:dyDescent="0.3">
      <c r="A64" s="3"/>
      <c r="B64" s="24"/>
      <c r="C64" s="339"/>
      <c r="D64" s="339"/>
      <c r="E64" s="379"/>
      <c r="F64" s="379"/>
      <c r="G64" s="379"/>
      <c r="H64" s="379"/>
      <c r="I64" s="379"/>
      <c r="J64" s="379"/>
      <c r="K64" s="379"/>
      <c r="L64" s="379"/>
      <c r="N64" s="344"/>
      <c r="R64" s="24"/>
      <c r="S64" s="24"/>
      <c r="T64" s="24"/>
      <c r="U64" s="24"/>
    </row>
    <row r="65" spans="1:21" s="108" customFormat="1" ht="15.9" customHeight="1" x14ac:dyDescent="0.3">
      <c r="A65" s="3"/>
      <c r="B65" s="24"/>
      <c r="C65" s="339"/>
      <c r="D65" s="339"/>
      <c r="E65" s="379"/>
      <c r="F65" s="379"/>
      <c r="G65" s="379"/>
      <c r="H65" s="379"/>
      <c r="I65" s="379"/>
      <c r="J65" s="379"/>
      <c r="K65" s="379"/>
      <c r="L65" s="379"/>
      <c r="N65" s="344"/>
      <c r="R65" s="24"/>
      <c r="S65" s="24"/>
      <c r="T65" s="24"/>
      <c r="U65" s="24"/>
    </row>
    <row r="66" spans="1:21" s="108" customFormat="1" ht="15.9" customHeight="1" x14ac:dyDescent="0.3">
      <c r="A66" s="3"/>
      <c r="B66" s="24"/>
      <c r="C66" s="339"/>
      <c r="D66" s="339"/>
      <c r="E66" s="379"/>
      <c r="F66" s="379"/>
      <c r="G66" s="379"/>
      <c r="H66" s="379"/>
      <c r="I66" s="379"/>
      <c r="J66" s="379"/>
      <c r="K66" s="379"/>
      <c r="L66" s="379"/>
      <c r="N66" s="344"/>
      <c r="R66" s="24"/>
      <c r="S66" s="24"/>
      <c r="T66" s="24"/>
      <c r="U66" s="24"/>
    </row>
    <row r="67" spans="1:21" s="108" customFormat="1" ht="15.9" customHeight="1" x14ac:dyDescent="0.3">
      <c r="A67" s="3"/>
      <c r="B67" s="24"/>
      <c r="C67" s="339"/>
      <c r="D67" s="339"/>
      <c r="E67" s="379"/>
      <c r="F67" s="379"/>
      <c r="G67" s="379"/>
      <c r="H67" s="379"/>
      <c r="I67" s="379"/>
      <c r="J67" s="379"/>
      <c r="K67" s="379"/>
      <c r="L67" s="379"/>
      <c r="N67" s="344"/>
      <c r="R67" s="24"/>
      <c r="S67" s="24"/>
      <c r="T67" s="24"/>
      <c r="U67" s="24"/>
    </row>
    <row r="68" spans="1:21" s="108" customFormat="1" ht="15.9" customHeight="1" x14ac:dyDescent="0.3">
      <c r="A68" s="3"/>
      <c r="B68" s="24"/>
      <c r="C68" s="339"/>
      <c r="D68" s="339"/>
      <c r="E68" s="379"/>
      <c r="F68" s="379"/>
      <c r="G68" s="379"/>
      <c r="H68" s="379"/>
      <c r="I68" s="379"/>
      <c r="J68" s="379"/>
      <c r="K68" s="379"/>
      <c r="L68" s="379"/>
      <c r="N68" s="344"/>
      <c r="R68" s="24"/>
      <c r="S68" s="24"/>
      <c r="T68" s="24"/>
      <c r="U68" s="24"/>
    </row>
    <row r="69" spans="1:21" s="108" customFormat="1" ht="15.9" customHeight="1" x14ac:dyDescent="0.3">
      <c r="A69" s="3"/>
      <c r="B69" s="24"/>
      <c r="C69" s="339"/>
      <c r="D69" s="339"/>
      <c r="E69" s="379"/>
      <c r="F69" s="379"/>
      <c r="G69" s="379"/>
      <c r="H69" s="379"/>
      <c r="I69" s="379"/>
      <c r="J69" s="379"/>
      <c r="K69" s="379"/>
      <c r="L69" s="379"/>
      <c r="N69" s="344"/>
      <c r="R69" s="24"/>
      <c r="S69" s="24"/>
      <c r="T69" s="24"/>
      <c r="U69" s="24"/>
    </row>
    <row r="70" spans="1:21" s="108" customFormat="1" ht="15.9" customHeight="1" x14ac:dyDescent="0.3">
      <c r="A70" s="3"/>
      <c r="B70" s="24"/>
      <c r="C70" s="339"/>
      <c r="D70" s="339"/>
      <c r="E70" s="379"/>
      <c r="F70" s="379"/>
      <c r="G70" s="379"/>
      <c r="H70" s="379"/>
      <c r="I70" s="379"/>
      <c r="J70" s="379"/>
      <c r="K70" s="379"/>
      <c r="L70" s="379"/>
      <c r="N70" s="344"/>
      <c r="R70" s="24"/>
      <c r="S70" s="24"/>
      <c r="T70" s="24"/>
      <c r="U70" s="24"/>
    </row>
    <row r="71" spans="1:21" s="108" customFormat="1" ht="15.9" customHeight="1" x14ac:dyDescent="0.3">
      <c r="A71" s="3"/>
      <c r="B71" s="24"/>
      <c r="C71" s="339"/>
      <c r="D71" s="339"/>
      <c r="E71" s="379"/>
      <c r="F71" s="379"/>
      <c r="G71" s="379"/>
      <c r="H71" s="379"/>
      <c r="I71" s="379"/>
      <c r="J71" s="379"/>
      <c r="K71" s="379"/>
      <c r="L71" s="379"/>
      <c r="N71" s="344"/>
      <c r="R71" s="24"/>
      <c r="S71" s="24"/>
      <c r="T71" s="24"/>
      <c r="U71" s="24"/>
    </row>
    <row r="72" spans="1:21" s="108" customFormat="1" ht="15.9" customHeight="1" x14ac:dyDescent="0.3">
      <c r="A72" s="3"/>
      <c r="B72" s="24"/>
      <c r="C72" s="339"/>
      <c r="D72" s="339"/>
      <c r="E72" s="379"/>
      <c r="F72" s="379"/>
      <c r="G72" s="379"/>
      <c r="H72" s="379"/>
      <c r="I72" s="379"/>
      <c r="J72" s="379"/>
      <c r="K72" s="379"/>
      <c r="L72" s="379"/>
      <c r="N72" s="344"/>
      <c r="R72" s="24"/>
      <c r="S72" s="24"/>
      <c r="T72" s="24"/>
      <c r="U72" s="24"/>
    </row>
    <row r="73" spans="1:21" s="108" customFormat="1" ht="15.9" customHeight="1" x14ac:dyDescent="0.3">
      <c r="A73" s="3"/>
      <c r="B73" s="24"/>
      <c r="C73" s="339"/>
      <c r="D73" s="339"/>
      <c r="E73" s="379"/>
      <c r="F73" s="379"/>
      <c r="G73" s="379"/>
      <c r="H73" s="379"/>
      <c r="I73" s="379"/>
      <c r="J73" s="379"/>
      <c r="K73" s="379"/>
      <c r="L73" s="379"/>
      <c r="N73" s="344"/>
      <c r="R73" s="24"/>
      <c r="S73" s="24"/>
      <c r="T73" s="24"/>
      <c r="U73" s="24"/>
    </row>
    <row r="74" spans="1:21" s="108" customFormat="1" ht="15.9" customHeight="1" x14ac:dyDescent="0.3">
      <c r="A74" s="3"/>
      <c r="B74" s="24"/>
      <c r="C74" s="339"/>
      <c r="D74" s="339"/>
      <c r="E74" s="379"/>
      <c r="F74" s="379"/>
      <c r="G74" s="379"/>
      <c r="H74" s="379"/>
      <c r="I74" s="379"/>
      <c r="J74" s="379"/>
      <c r="K74" s="379"/>
      <c r="L74" s="379"/>
      <c r="N74" s="344"/>
      <c r="R74" s="24"/>
      <c r="S74" s="24"/>
      <c r="T74" s="24"/>
      <c r="U74" s="24"/>
    </row>
    <row r="75" spans="1:21" s="108" customFormat="1" ht="15.9" customHeight="1" x14ac:dyDescent="0.3">
      <c r="A75" s="3"/>
      <c r="B75" s="24"/>
      <c r="C75" s="339"/>
      <c r="D75" s="339"/>
      <c r="E75" s="379"/>
      <c r="F75" s="379"/>
      <c r="G75" s="379"/>
      <c r="H75" s="379"/>
      <c r="I75" s="379"/>
      <c r="J75" s="379"/>
      <c r="K75" s="379"/>
      <c r="L75" s="379"/>
      <c r="N75" s="344"/>
      <c r="R75" s="24"/>
      <c r="S75" s="24"/>
      <c r="T75" s="24"/>
      <c r="U75" s="24"/>
    </row>
    <row r="76" spans="1:21" s="108" customFormat="1" ht="15.9" customHeight="1" x14ac:dyDescent="0.3">
      <c r="A76" s="3"/>
      <c r="B76" s="24"/>
      <c r="C76" s="339"/>
      <c r="D76" s="339"/>
      <c r="E76" s="379"/>
      <c r="F76" s="379"/>
      <c r="G76" s="379"/>
      <c r="H76" s="379"/>
      <c r="I76" s="379"/>
      <c r="J76" s="379"/>
      <c r="K76" s="379"/>
      <c r="L76" s="379"/>
      <c r="N76" s="344"/>
      <c r="R76" s="24"/>
      <c r="S76" s="24"/>
      <c r="T76" s="24"/>
      <c r="U76" s="24"/>
    </row>
    <row r="77" spans="1:21" s="108" customFormat="1" ht="15.9" customHeight="1" x14ac:dyDescent="0.3">
      <c r="A77" s="3"/>
      <c r="B77" s="24"/>
      <c r="C77" s="339"/>
      <c r="D77" s="339"/>
      <c r="E77" s="379"/>
      <c r="F77" s="379"/>
      <c r="G77" s="379"/>
      <c r="H77" s="379"/>
      <c r="I77" s="379"/>
      <c r="J77" s="379"/>
      <c r="K77" s="379"/>
      <c r="L77" s="379"/>
      <c r="N77" s="344"/>
      <c r="R77" s="24"/>
      <c r="S77" s="24"/>
      <c r="T77" s="24"/>
      <c r="U77" s="24"/>
    </row>
    <row r="78" spans="1:21" s="108" customFormat="1" ht="15.9" customHeight="1" x14ac:dyDescent="0.3">
      <c r="A78" s="3"/>
      <c r="B78" s="24"/>
      <c r="C78" s="339"/>
      <c r="D78" s="339"/>
      <c r="E78" s="379"/>
      <c r="F78" s="379"/>
      <c r="G78" s="379"/>
      <c r="H78" s="379"/>
      <c r="I78" s="379"/>
      <c r="J78" s="379"/>
      <c r="K78" s="379"/>
      <c r="L78" s="379"/>
      <c r="N78" s="344"/>
      <c r="R78" s="24"/>
      <c r="S78" s="24"/>
      <c r="T78" s="24"/>
      <c r="U78" s="24"/>
    </row>
    <row r="79" spans="1:21" s="108" customFormat="1" ht="15.9" customHeight="1" x14ac:dyDescent="0.3">
      <c r="A79" s="3"/>
      <c r="B79" s="24"/>
      <c r="C79" s="339"/>
      <c r="D79" s="339"/>
      <c r="E79" s="379"/>
      <c r="F79" s="379"/>
      <c r="G79" s="379"/>
      <c r="H79" s="379"/>
      <c r="I79" s="379"/>
      <c r="J79" s="379"/>
      <c r="K79" s="379"/>
      <c r="L79" s="379"/>
      <c r="N79" s="344"/>
      <c r="R79" s="24"/>
      <c r="S79" s="24"/>
      <c r="T79" s="24"/>
      <c r="U79" s="24"/>
    </row>
    <row r="80" spans="1:21" s="108" customFormat="1" ht="15.9" customHeight="1" x14ac:dyDescent="0.3">
      <c r="A80" s="3"/>
      <c r="B80" s="24"/>
      <c r="C80" s="339"/>
      <c r="D80" s="339"/>
      <c r="E80" s="379"/>
      <c r="F80" s="379"/>
      <c r="G80" s="379"/>
      <c r="H80" s="379"/>
      <c r="I80" s="379"/>
      <c r="J80" s="379"/>
      <c r="K80" s="379"/>
      <c r="L80" s="379"/>
      <c r="N80" s="344"/>
      <c r="R80" s="24"/>
      <c r="S80" s="24"/>
      <c r="T80" s="24"/>
      <c r="U80" s="24"/>
    </row>
    <row r="81" spans="1:21" s="108" customFormat="1" ht="15.9" customHeight="1" x14ac:dyDescent="0.3">
      <c r="A81" s="3"/>
      <c r="B81" s="24"/>
      <c r="C81" s="339"/>
      <c r="D81" s="339"/>
      <c r="E81" s="379"/>
      <c r="F81" s="379"/>
      <c r="G81" s="379"/>
      <c r="H81" s="379"/>
      <c r="I81" s="379"/>
      <c r="J81" s="379"/>
      <c r="K81" s="379"/>
      <c r="L81" s="379"/>
      <c r="N81" s="344"/>
      <c r="R81" s="24"/>
      <c r="S81" s="24"/>
      <c r="T81" s="24"/>
      <c r="U81" s="24"/>
    </row>
    <row r="82" spans="1:21" s="108" customFormat="1" ht="15.9" customHeight="1" x14ac:dyDescent="0.3">
      <c r="A82" s="3"/>
      <c r="B82" s="24"/>
      <c r="C82" s="339"/>
      <c r="D82" s="339"/>
      <c r="E82" s="379"/>
      <c r="F82" s="379"/>
      <c r="G82" s="379"/>
      <c r="H82" s="379"/>
      <c r="I82" s="379"/>
      <c r="J82" s="379"/>
      <c r="K82" s="379"/>
      <c r="L82" s="379"/>
      <c r="N82" s="344"/>
      <c r="R82" s="24"/>
      <c r="S82" s="24"/>
      <c r="T82" s="24"/>
      <c r="U82" s="24"/>
    </row>
    <row r="83" spans="1:21" s="108" customFormat="1" ht="15.9" customHeight="1" x14ac:dyDescent="0.3">
      <c r="A83" s="3"/>
      <c r="B83" s="24"/>
      <c r="C83" s="339"/>
      <c r="D83" s="339"/>
      <c r="E83" s="379"/>
      <c r="F83" s="379"/>
      <c r="G83" s="379"/>
      <c r="H83" s="379"/>
      <c r="I83" s="379"/>
      <c r="J83" s="379"/>
      <c r="K83" s="379"/>
      <c r="L83" s="379"/>
      <c r="N83" s="344"/>
      <c r="R83" s="24"/>
      <c r="S83" s="24"/>
      <c r="T83" s="24"/>
      <c r="U83" s="24"/>
    </row>
    <row r="84" spans="1:21" s="108" customFormat="1" ht="15.9" customHeight="1" x14ac:dyDescent="0.3">
      <c r="A84" s="3"/>
      <c r="B84" s="24"/>
      <c r="C84" s="339"/>
      <c r="D84" s="339"/>
      <c r="E84" s="379"/>
      <c r="F84" s="379"/>
      <c r="G84" s="379"/>
      <c r="H84" s="379"/>
      <c r="I84" s="379"/>
      <c r="J84" s="379"/>
      <c r="K84" s="379"/>
      <c r="L84" s="379"/>
      <c r="N84" s="344"/>
      <c r="R84" s="24"/>
      <c r="S84" s="24"/>
      <c r="T84" s="24"/>
      <c r="U84" s="24"/>
    </row>
    <row r="85" spans="1:21" s="108" customFormat="1" ht="15.9" customHeight="1" x14ac:dyDescent="0.3">
      <c r="A85" s="3"/>
      <c r="B85" s="24"/>
      <c r="C85" s="339"/>
      <c r="D85" s="339"/>
      <c r="E85" s="379"/>
      <c r="F85" s="379"/>
      <c r="G85" s="379"/>
      <c r="H85" s="379"/>
      <c r="I85" s="379"/>
      <c r="J85" s="379"/>
      <c r="K85" s="379"/>
      <c r="L85" s="379"/>
      <c r="N85" s="344"/>
      <c r="R85" s="24"/>
      <c r="S85" s="24"/>
      <c r="T85" s="24"/>
      <c r="U85" s="24"/>
    </row>
    <row r="86" spans="1:21" s="108" customFormat="1" ht="15.9" customHeight="1" x14ac:dyDescent="0.3">
      <c r="A86" s="3"/>
      <c r="B86" s="24"/>
      <c r="C86" s="339"/>
      <c r="D86" s="339"/>
      <c r="E86" s="379"/>
      <c r="F86" s="379"/>
      <c r="G86" s="379"/>
      <c r="H86" s="379"/>
      <c r="I86" s="379"/>
      <c r="J86" s="379"/>
      <c r="K86" s="379"/>
      <c r="L86" s="379"/>
      <c r="N86" s="344"/>
      <c r="R86" s="24"/>
      <c r="S86" s="24"/>
      <c r="T86" s="24"/>
      <c r="U86" s="24"/>
    </row>
    <row r="87" spans="1:21" s="108" customFormat="1" ht="15.9" customHeight="1" x14ac:dyDescent="0.3">
      <c r="A87" s="3"/>
      <c r="B87" s="24"/>
      <c r="C87" s="339"/>
      <c r="D87" s="339"/>
      <c r="E87" s="379"/>
      <c r="F87" s="379"/>
      <c r="G87" s="379"/>
      <c r="H87" s="379"/>
      <c r="I87" s="379"/>
      <c r="J87" s="379"/>
      <c r="K87" s="379"/>
      <c r="L87" s="379"/>
      <c r="N87" s="344"/>
      <c r="R87" s="24"/>
      <c r="S87" s="24"/>
      <c r="T87" s="24"/>
      <c r="U87" s="24"/>
    </row>
    <row r="88" spans="1:21" s="108" customFormat="1" ht="15.9" customHeight="1" x14ac:dyDescent="0.3">
      <c r="A88" s="3"/>
      <c r="B88" s="24"/>
      <c r="C88" s="339"/>
      <c r="D88" s="339"/>
      <c r="E88" s="379"/>
      <c r="F88" s="379"/>
      <c r="G88" s="379"/>
      <c r="H88" s="379"/>
      <c r="I88" s="379"/>
      <c r="J88" s="379"/>
      <c r="K88" s="379"/>
      <c r="L88" s="379"/>
      <c r="N88" s="344"/>
      <c r="R88" s="24"/>
      <c r="S88" s="24"/>
      <c r="T88" s="24"/>
      <c r="U88" s="24"/>
    </row>
    <row r="89" spans="1:21" s="108" customFormat="1" ht="15.9" customHeight="1" x14ac:dyDescent="0.3">
      <c r="A89" s="3"/>
      <c r="B89" s="24"/>
      <c r="C89" s="339"/>
      <c r="D89" s="339"/>
      <c r="E89" s="379"/>
      <c r="F89" s="379"/>
      <c r="G89" s="379"/>
      <c r="H89" s="379"/>
      <c r="I89" s="379"/>
      <c r="J89" s="379"/>
      <c r="K89" s="379"/>
      <c r="L89" s="379"/>
      <c r="N89" s="344"/>
      <c r="R89" s="24"/>
      <c r="S89" s="24"/>
      <c r="T89" s="24"/>
      <c r="U89" s="24"/>
    </row>
    <row r="90" spans="1:21" s="108" customFormat="1" ht="15.9" customHeight="1" x14ac:dyDescent="0.3">
      <c r="A90" s="3"/>
      <c r="B90" s="24"/>
      <c r="C90" s="339"/>
      <c r="D90" s="339"/>
      <c r="E90" s="379"/>
      <c r="F90" s="379"/>
      <c r="G90" s="379"/>
      <c r="H90" s="379"/>
      <c r="I90" s="379"/>
      <c r="J90" s="379"/>
      <c r="K90" s="379"/>
      <c r="L90" s="379"/>
      <c r="N90" s="344"/>
      <c r="R90" s="24"/>
      <c r="S90" s="24"/>
      <c r="T90" s="24"/>
      <c r="U90" s="24"/>
    </row>
    <row r="91" spans="1:21" s="108" customFormat="1" ht="15.9" customHeight="1" x14ac:dyDescent="0.3">
      <c r="A91" s="3"/>
      <c r="B91" s="24"/>
      <c r="C91" s="339"/>
      <c r="D91" s="339"/>
      <c r="E91" s="379"/>
      <c r="F91" s="379"/>
      <c r="G91" s="379"/>
      <c r="H91" s="379"/>
      <c r="I91" s="379"/>
      <c r="J91" s="379"/>
      <c r="K91" s="379"/>
      <c r="L91" s="379"/>
      <c r="N91" s="344"/>
      <c r="R91" s="24"/>
      <c r="S91" s="24"/>
      <c r="T91" s="24"/>
      <c r="U91" s="24"/>
    </row>
    <row r="92" spans="1:21" s="108" customFormat="1" ht="15.9" customHeight="1" x14ac:dyDescent="0.3">
      <c r="A92" s="3"/>
      <c r="B92" s="24"/>
      <c r="C92" s="339"/>
      <c r="D92" s="339"/>
      <c r="E92" s="379"/>
      <c r="F92" s="379"/>
      <c r="G92" s="379"/>
      <c r="H92" s="379"/>
      <c r="I92" s="379"/>
      <c r="J92" s="379"/>
      <c r="K92" s="379"/>
      <c r="L92" s="379"/>
      <c r="N92" s="344"/>
      <c r="R92" s="24"/>
      <c r="S92" s="24"/>
      <c r="T92" s="24"/>
      <c r="U92" s="24"/>
    </row>
    <row r="93" spans="1:21" s="108" customFormat="1" ht="15.9" customHeight="1" x14ac:dyDescent="0.3">
      <c r="A93" s="3"/>
      <c r="B93" s="24"/>
      <c r="C93" s="339"/>
      <c r="D93" s="339"/>
      <c r="E93" s="379"/>
      <c r="F93" s="379"/>
      <c r="G93" s="379"/>
      <c r="H93" s="379"/>
      <c r="I93" s="379"/>
      <c r="J93" s="379"/>
      <c r="K93" s="379"/>
      <c r="L93" s="379"/>
      <c r="N93" s="344"/>
      <c r="R93" s="24"/>
      <c r="S93" s="24"/>
      <c r="T93" s="24"/>
      <c r="U93" s="24"/>
    </row>
    <row r="94" spans="1:21" s="108" customFormat="1" ht="15.9" customHeight="1" x14ac:dyDescent="0.3">
      <c r="A94" s="3"/>
      <c r="B94" s="24"/>
      <c r="C94" s="339"/>
      <c r="D94" s="339"/>
      <c r="E94" s="379"/>
      <c r="F94" s="379"/>
      <c r="G94" s="379"/>
      <c r="H94" s="379"/>
      <c r="I94" s="379"/>
      <c r="J94" s="379"/>
      <c r="K94" s="379"/>
      <c r="L94" s="379"/>
      <c r="N94" s="344"/>
      <c r="R94" s="24"/>
      <c r="S94" s="24"/>
      <c r="T94" s="24"/>
      <c r="U94" s="24"/>
    </row>
    <row r="95" spans="1:21" s="108" customFormat="1" ht="15.9" customHeight="1" x14ac:dyDescent="0.3">
      <c r="A95" s="3"/>
      <c r="B95" s="24"/>
      <c r="C95" s="339"/>
      <c r="D95" s="339"/>
      <c r="E95" s="379"/>
      <c r="F95" s="379"/>
      <c r="G95" s="379"/>
      <c r="H95" s="379"/>
      <c r="I95" s="379"/>
      <c r="J95" s="379"/>
      <c r="K95" s="379"/>
      <c r="L95" s="379"/>
      <c r="N95" s="344"/>
      <c r="R95" s="24"/>
      <c r="S95" s="24"/>
      <c r="T95" s="24"/>
      <c r="U95" s="24"/>
    </row>
    <row r="96" spans="1:21" s="108" customFormat="1" ht="15.9" customHeight="1" x14ac:dyDescent="0.3">
      <c r="A96" s="3"/>
      <c r="B96" s="24"/>
      <c r="C96" s="339"/>
      <c r="D96" s="339"/>
      <c r="E96" s="379"/>
      <c r="F96" s="379"/>
      <c r="G96" s="379"/>
      <c r="H96" s="379"/>
      <c r="I96" s="379"/>
      <c r="J96" s="379"/>
      <c r="K96" s="379"/>
      <c r="L96" s="379"/>
      <c r="N96" s="344"/>
      <c r="R96" s="24"/>
      <c r="S96" s="24"/>
      <c r="T96" s="24"/>
      <c r="U96" s="24"/>
    </row>
    <row r="97" spans="1:21" s="108" customFormat="1" ht="15.9" customHeight="1" x14ac:dyDescent="0.3">
      <c r="A97" s="3"/>
      <c r="B97" s="24"/>
      <c r="C97" s="339"/>
      <c r="D97" s="339"/>
      <c r="E97" s="379"/>
      <c r="F97" s="379"/>
      <c r="G97" s="379"/>
      <c r="H97" s="379"/>
      <c r="I97" s="379"/>
      <c r="J97" s="379"/>
      <c r="K97" s="379"/>
      <c r="L97" s="379"/>
      <c r="N97" s="344"/>
      <c r="R97" s="24"/>
      <c r="S97" s="24"/>
      <c r="T97" s="24"/>
      <c r="U97" s="24"/>
    </row>
    <row r="98" spans="1:21" s="108" customFormat="1" ht="15.9" customHeight="1" x14ac:dyDescent="0.3">
      <c r="A98" s="3"/>
      <c r="B98" s="24"/>
      <c r="C98" s="339"/>
      <c r="D98" s="339"/>
      <c r="E98" s="379"/>
      <c r="F98" s="379"/>
      <c r="G98" s="379"/>
      <c r="H98" s="379"/>
      <c r="I98" s="379"/>
      <c r="J98" s="379"/>
      <c r="K98" s="379"/>
      <c r="L98" s="379"/>
      <c r="N98" s="344"/>
      <c r="R98" s="24"/>
      <c r="S98" s="24"/>
      <c r="T98" s="24"/>
      <c r="U98" s="24"/>
    </row>
    <row r="99" spans="1:21" s="108" customFormat="1" ht="15.9" customHeight="1" x14ac:dyDescent="0.3">
      <c r="A99" s="3"/>
      <c r="B99" s="24"/>
      <c r="C99" s="339"/>
      <c r="D99" s="339"/>
      <c r="E99" s="379"/>
      <c r="F99" s="379"/>
      <c r="G99" s="379"/>
      <c r="H99" s="379"/>
      <c r="I99" s="379"/>
      <c r="J99" s="379"/>
      <c r="K99" s="379"/>
      <c r="L99" s="379"/>
      <c r="N99" s="344"/>
      <c r="R99" s="24"/>
      <c r="S99" s="24"/>
      <c r="T99" s="24"/>
      <c r="U99" s="24"/>
    </row>
    <row r="100" spans="1:21" s="108" customFormat="1" ht="15.9" customHeight="1" x14ac:dyDescent="0.3">
      <c r="A100" s="3"/>
      <c r="B100" s="24"/>
      <c r="C100" s="339"/>
      <c r="D100" s="339"/>
      <c r="E100" s="379"/>
      <c r="F100" s="379"/>
      <c r="G100" s="379"/>
      <c r="H100" s="379"/>
      <c r="I100" s="379"/>
      <c r="J100" s="379"/>
      <c r="K100" s="379"/>
      <c r="L100" s="379"/>
      <c r="N100" s="344"/>
      <c r="R100" s="24"/>
      <c r="S100" s="24"/>
      <c r="T100" s="24"/>
      <c r="U100" s="24"/>
    </row>
    <row r="101" spans="1:21" s="108" customFormat="1" ht="15.9" customHeight="1" x14ac:dyDescent="0.3">
      <c r="A101" s="3"/>
      <c r="B101" s="24"/>
      <c r="C101" s="339"/>
      <c r="D101" s="339"/>
      <c r="E101" s="379"/>
      <c r="F101" s="379"/>
      <c r="G101" s="379"/>
      <c r="H101" s="379"/>
      <c r="I101" s="379"/>
      <c r="J101" s="379"/>
      <c r="K101" s="379"/>
      <c r="L101" s="379"/>
      <c r="N101" s="344"/>
      <c r="R101" s="24"/>
      <c r="S101" s="24"/>
      <c r="T101" s="24"/>
      <c r="U101" s="24"/>
    </row>
    <row r="102" spans="1:21" s="108" customFormat="1" ht="15.9" customHeight="1" x14ac:dyDescent="0.3">
      <c r="A102" s="3"/>
      <c r="B102" s="24"/>
      <c r="C102" s="339"/>
      <c r="D102" s="339"/>
      <c r="E102" s="379"/>
      <c r="F102" s="379"/>
      <c r="G102" s="379"/>
      <c r="H102" s="379"/>
      <c r="I102" s="379"/>
      <c r="J102" s="379"/>
      <c r="K102" s="379"/>
      <c r="L102" s="379"/>
      <c r="N102" s="344"/>
      <c r="R102" s="24"/>
      <c r="S102" s="24"/>
      <c r="T102" s="24"/>
      <c r="U102" s="24"/>
    </row>
    <row r="103" spans="1:21" s="108" customFormat="1" ht="15.9" customHeight="1" x14ac:dyDescent="0.3">
      <c r="A103" s="3"/>
      <c r="B103" s="24"/>
      <c r="C103" s="339"/>
      <c r="D103" s="339"/>
      <c r="E103" s="379"/>
      <c r="F103" s="379"/>
      <c r="G103" s="379"/>
      <c r="H103" s="379"/>
      <c r="I103" s="379"/>
      <c r="J103" s="379"/>
      <c r="K103" s="379"/>
      <c r="L103" s="379"/>
      <c r="N103" s="344"/>
      <c r="R103" s="24"/>
      <c r="S103" s="24"/>
      <c r="T103" s="24"/>
      <c r="U103" s="24"/>
    </row>
    <row r="104" spans="1:21" s="108" customFormat="1" ht="15.9" customHeight="1" x14ac:dyDescent="0.3">
      <c r="A104" s="3"/>
      <c r="B104" s="24"/>
      <c r="C104" s="339"/>
      <c r="D104" s="339"/>
      <c r="E104" s="379"/>
      <c r="F104" s="379"/>
      <c r="G104" s="379"/>
      <c r="H104" s="379"/>
      <c r="I104" s="379"/>
      <c r="J104" s="379"/>
      <c r="K104" s="379"/>
      <c r="L104" s="379"/>
      <c r="N104" s="344"/>
      <c r="R104" s="24"/>
      <c r="S104" s="24"/>
      <c r="T104" s="24"/>
      <c r="U104" s="24"/>
    </row>
    <row r="105" spans="1:21" s="108" customFormat="1" ht="15.9" customHeight="1" x14ac:dyDescent="0.3">
      <c r="A105" s="3"/>
      <c r="B105" s="24"/>
      <c r="C105" s="339"/>
      <c r="D105" s="339"/>
      <c r="E105" s="379"/>
      <c r="F105" s="379"/>
      <c r="G105" s="379"/>
      <c r="H105" s="379"/>
      <c r="I105" s="379"/>
      <c r="J105" s="379"/>
      <c r="K105" s="379"/>
      <c r="L105" s="379"/>
      <c r="N105" s="344"/>
      <c r="R105" s="24"/>
      <c r="S105" s="24"/>
      <c r="T105" s="24"/>
      <c r="U105" s="24"/>
    </row>
    <row r="106" spans="1:21" s="108" customFormat="1" ht="15.9" customHeight="1" x14ac:dyDescent="0.3">
      <c r="A106" s="3"/>
      <c r="B106" s="24"/>
      <c r="C106" s="339"/>
      <c r="D106" s="339"/>
      <c r="E106" s="379"/>
      <c r="F106" s="379"/>
      <c r="G106" s="379"/>
      <c r="H106" s="379"/>
      <c r="I106" s="379"/>
      <c r="J106" s="379"/>
      <c r="K106" s="379"/>
      <c r="L106" s="379"/>
      <c r="N106" s="344"/>
      <c r="R106" s="24"/>
      <c r="S106" s="24"/>
      <c r="T106" s="24"/>
      <c r="U106" s="24"/>
    </row>
    <row r="107" spans="1:21" s="108" customFormat="1" ht="15.9" customHeight="1" x14ac:dyDescent="0.3">
      <c r="A107" s="3"/>
      <c r="B107" s="24"/>
      <c r="C107" s="339"/>
      <c r="D107" s="339"/>
      <c r="E107" s="379"/>
      <c r="F107" s="379"/>
      <c r="G107" s="379"/>
      <c r="H107" s="379"/>
      <c r="I107" s="379"/>
      <c r="J107" s="379"/>
      <c r="K107" s="379"/>
      <c r="L107" s="379"/>
      <c r="N107" s="344"/>
      <c r="R107" s="24"/>
      <c r="S107" s="24"/>
      <c r="T107" s="24"/>
      <c r="U107" s="24"/>
    </row>
    <row r="108" spans="1:21" s="108" customFormat="1" ht="15.9" customHeight="1" x14ac:dyDescent="0.3">
      <c r="A108" s="3"/>
      <c r="B108" s="24"/>
      <c r="C108" s="339"/>
      <c r="D108" s="339"/>
      <c r="E108" s="379"/>
      <c r="F108" s="379"/>
      <c r="G108" s="379"/>
      <c r="H108" s="379"/>
      <c r="I108" s="379"/>
      <c r="J108" s="379"/>
      <c r="K108" s="379"/>
      <c r="L108" s="379"/>
      <c r="N108" s="344"/>
      <c r="R108" s="24"/>
      <c r="S108" s="24"/>
      <c r="T108" s="24"/>
      <c r="U108" s="24"/>
    </row>
    <row r="109" spans="1:21" s="108" customFormat="1" ht="15.9" customHeight="1" x14ac:dyDescent="0.3">
      <c r="A109" s="3"/>
      <c r="B109" s="24"/>
      <c r="C109" s="339"/>
      <c r="D109" s="339"/>
      <c r="E109" s="379"/>
      <c r="F109" s="379"/>
      <c r="G109" s="379"/>
      <c r="H109" s="379"/>
      <c r="I109" s="379"/>
      <c r="J109" s="379"/>
      <c r="K109" s="379"/>
      <c r="L109" s="379"/>
      <c r="N109" s="344"/>
      <c r="R109" s="24"/>
      <c r="S109" s="24"/>
      <c r="T109" s="24"/>
      <c r="U109" s="24"/>
    </row>
    <row r="110" spans="1:21" s="108" customFormat="1" ht="15.9" customHeight="1" x14ac:dyDescent="0.3">
      <c r="A110" s="3"/>
      <c r="B110" s="24"/>
      <c r="C110" s="339"/>
      <c r="D110" s="339"/>
      <c r="E110" s="379"/>
      <c r="F110" s="379"/>
      <c r="G110" s="379"/>
      <c r="H110" s="379"/>
      <c r="I110" s="379"/>
      <c r="J110" s="379"/>
      <c r="K110" s="379"/>
      <c r="L110" s="379"/>
      <c r="N110" s="344"/>
      <c r="R110" s="24"/>
      <c r="S110" s="24"/>
      <c r="T110" s="24"/>
      <c r="U110" s="24"/>
    </row>
    <row r="111" spans="1:21" s="108" customFormat="1" ht="15.9" customHeight="1" x14ac:dyDescent="0.3">
      <c r="A111" s="3"/>
      <c r="B111" s="24"/>
      <c r="C111" s="339"/>
      <c r="D111" s="339"/>
      <c r="E111" s="379"/>
      <c r="F111" s="379"/>
      <c r="G111" s="379"/>
      <c r="H111" s="379"/>
      <c r="I111" s="379"/>
      <c r="J111" s="379"/>
      <c r="K111" s="379"/>
      <c r="L111" s="379"/>
      <c r="N111" s="344"/>
      <c r="R111" s="24"/>
      <c r="S111" s="24"/>
      <c r="T111" s="24"/>
      <c r="U111" s="24"/>
    </row>
    <row r="112" spans="1:21" s="108" customFormat="1" ht="15.9" customHeight="1" x14ac:dyDescent="0.3">
      <c r="A112" s="3"/>
      <c r="B112" s="24"/>
      <c r="C112" s="339"/>
      <c r="D112" s="339"/>
      <c r="E112" s="379"/>
      <c r="F112" s="379"/>
      <c r="G112" s="379"/>
      <c r="H112" s="379"/>
      <c r="I112" s="379"/>
      <c r="J112" s="379"/>
      <c r="K112" s="379"/>
      <c r="L112" s="379"/>
      <c r="N112" s="344"/>
      <c r="R112" s="24"/>
      <c r="S112" s="24"/>
      <c r="T112" s="24"/>
      <c r="U112" s="24"/>
    </row>
    <row r="113" spans="1:21" s="108" customFormat="1" ht="15.9" customHeight="1" x14ac:dyDescent="0.3">
      <c r="A113" s="3"/>
      <c r="B113" s="24"/>
      <c r="C113" s="339"/>
      <c r="D113" s="339"/>
      <c r="E113" s="379"/>
      <c r="F113" s="379"/>
      <c r="G113" s="379"/>
      <c r="H113" s="379"/>
      <c r="I113" s="379"/>
      <c r="J113" s="379"/>
      <c r="K113" s="379"/>
      <c r="L113" s="379"/>
      <c r="N113" s="344"/>
      <c r="R113" s="24"/>
      <c r="S113" s="24"/>
      <c r="T113" s="24"/>
      <c r="U113" s="24"/>
    </row>
    <row r="114" spans="1:21" s="108" customFormat="1" ht="15.9" customHeight="1" x14ac:dyDescent="0.3">
      <c r="A114" s="3"/>
      <c r="B114" s="24"/>
      <c r="C114" s="339"/>
      <c r="D114" s="339"/>
      <c r="E114" s="379"/>
      <c r="F114" s="379"/>
      <c r="G114" s="379"/>
      <c r="H114" s="379"/>
      <c r="I114" s="379"/>
      <c r="J114" s="379"/>
      <c r="K114" s="379"/>
      <c r="L114" s="379"/>
      <c r="N114" s="344"/>
      <c r="R114" s="24"/>
      <c r="S114" s="24"/>
      <c r="T114" s="24"/>
      <c r="U114" s="24"/>
    </row>
    <row r="115" spans="1:21" s="108" customFormat="1" ht="15.9" customHeight="1" x14ac:dyDescent="0.3">
      <c r="A115" s="3"/>
      <c r="B115" s="24"/>
      <c r="C115" s="339"/>
      <c r="D115" s="339"/>
      <c r="E115" s="379"/>
      <c r="F115" s="379"/>
      <c r="G115" s="379"/>
      <c r="H115" s="379"/>
      <c r="I115" s="379"/>
      <c r="J115" s="379"/>
      <c r="K115" s="379"/>
      <c r="L115" s="379"/>
      <c r="N115" s="344"/>
      <c r="R115" s="24"/>
      <c r="S115" s="24"/>
      <c r="T115" s="24"/>
      <c r="U115" s="24"/>
    </row>
    <row r="116" spans="1:21" s="108" customFormat="1" ht="15.9" customHeight="1" x14ac:dyDescent="0.3">
      <c r="A116" s="3"/>
      <c r="B116" s="24"/>
      <c r="C116" s="339"/>
      <c r="D116" s="339"/>
      <c r="E116" s="379"/>
      <c r="F116" s="379"/>
      <c r="G116" s="379"/>
      <c r="H116" s="379"/>
      <c r="I116" s="379"/>
      <c r="J116" s="379"/>
      <c r="K116" s="379"/>
      <c r="L116" s="379"/>
      <c r="N116" s="344"/>
      <c r="R116" s="24"/>
      <c r="S116" s="24"/>
      <c r="T116" s="24"/>
      <c r="U116" s="24"/>
    </row>
    <row r="117" spans="1:21" s="108" customFormat="1" ht="15.9" customHeight="1" x14ac:dyDescent="0.3">
      <c r="A117" s="3"/>
      <c r="B117" s="24"/>
      <c r="C117" s="339"/>
      <c r="D117" s="339"/>
      <c r="E117" s="379"/>
      <c r="F117" s="379"/>
      <c r="G117" s="379"/>
      <c r="H117" s="379"/>
      <c r="I117" s="379"/>
      <c r="J117" s="379"/>
      <c r="K117" s="379"/>
      <c r="L117" s="379"/>
      <c r="N117" s="344"/>
      <c r="R117" s="24"/>
      <c r="S117" s="24"/>
      <c r="T117" s="24"/>
      <c r="U117" s="24"/>
    </row>
    <row r="118" spans="1:21" s="108" customFormat="1" ht="15.9" customHeight="1" x14ac:dyDescent="0.3">
      <c r="A118" s="3"/>
      <c r="B118" s="24"/>
      <c r="C118" s="339"/>
      <c r="D118" s="339"/>
      <c r="E118" s="379"/>
      <c r="F118" s="379"/>
      <c r="G118" s="379"/>
      <c r="H118" s="379"/>
      <c r="I118" s="379"/>
      <c r="J118" s="379"/>
      <c r="K118" s="379"/>
      <c r="L118" s="379"/>
      <c r="N118" s="344"/>
      <c r="R118" s="24"/>
      <c r="S118" s="24"/>
      <c r="T118" s="24"/>
      <c r="U118" s="24"/>
    </row>
    <row r="119" spans="1:21" s="108" customFormat="1" ht="15.9" customHeight="1" x14ac:dyDescent="0.3">
      <c r="A119" s="3"/>
      <c r="B119" s="24"/>
      <c r="C119" s="339"/>
      <c r="D119" s="339"/>
      <c r="E119" s="379"/>
      <c r="F119" s="379"/>
      <c r="G119" s="379"/>
      <c r="H119" s="379"/>
      <c r="I119" s="379"/>
      <c r="J119" s="379"/>
      <c r="K119" s="379"/>
      <c r="L119" s="379"/>
      <c r="N119" s="344"/>
      <c r="R119" s="24"/>
      <c r="S119" s="24"/>
      <c r="T119" s="24"/>
      <c r="U119" s="24"/>
    </row>
    <row r="120" spans="1:21" s="108" customFormat="1" ht="15.9" customHeight="1" x14ac:dyDescent="0.3">
      <c r="A120" s="3"/>
      <c r="B120" s="24"/>
      <c r="C120" s="339"/>
      <c r="D120" s="339"/>
      <c r="E120" s="379"/>
      <c r="F120" s="379"/>
      <c r="G120" s="379"/>
      <c r="H120" s="379"/>
      <c r="I120" s="379"/>
      <c r="J120" s="379"/>
      <c r="K120" s="379"/>
      <c r="L120" s="379"/>
      <c r="N120" s="344"/>
      <c r="R120" s="24"/>
      <c r="S120" s="24"/>
      <c r="T120" s="24"/>
      <c r="U120" s="24"/>
    </row>
    <row r="121" spans="1:21" s="108" customFormat="1" ht="15.9" customHeight="1" x14ac:dyDescent="0.3">
      <c r="A121" s="3"/>
      <c r="B121" s="24"/>
      <c r="C121" s="339"/>
      <c r="D121" s="339"/>
      <c r="E121" s="379"/>
      <c r="F121" s="379"/>
      <c r="G121" s="379"/>
      <c r="H121" s="379"/>
      <c r="I121" s="379"/>
      <c r="J121" s="379"/>
      <c r="K121" s="379"/>
      <c r="L121" s="379"/>
      <c r="N121" s="344"/>
      <c r="R121" s="24"/>
      <c r="S121" s="24"/>
      <c r="T121" s="24"/>
      <c r="U121" s="24"/>
    </row>
    <row r="122" spans="1:21" s="108" customFormat="1" ht="15.9" customHeight="1" x14ac:dyDescent="0.3">
      <c r="A122" s="3"/>
      <c r="B122" s="24"/>
      <c r="C122" s="339"/>
      <c r="D122" s="339"/>
      <c r="E122" s="379"/>
      <c r="F122" s="379"/>
      <c r="G122" s="382"/>
      <c r="H122" s="379"/>
      <c r="I122" s="379"/>
      <c r="J122" s="379"/>
      <c r="K122" s="379"/>
      <c r="L122" s="379"/>
      <c r="N122" s="344"/>
      <c r="R122" s="24"/>
      <c r="S122" s="24"/>
      <c r="T122" s="24"/>
      <c r="U122" s="24"/>
    </row>
    <row r="123" spans="1:21" s="108" customFormat="1" ht="15.9" customHeight="1" x14ac:dyDescent="0.3">
      <c r="A123" s="3"/>
      <c r="B123" s="24"/>
      <c r="C123" s="339"/>
      <c r="D123" s="339"/>
      <c r="E123" s="379"/>
      <c r="F123" s="379"/>
      <c r="G123" s="379"/>
      <c r="H123" s="379"/>
      <c r="I123" s="379"/>
      <c r="J123" s="379"/>
      <c r="K123" s="379"/>
      <c r="L123" s="379"/>
      <c r="N123" s="344"/>
      <c r="R123" s="24"/>
      <c r="S123" s="24"/>
      <c r="T123" s="24"/>
      <c r="U123" s="24"/>
    </row>
    <row r="124" spans="1:21" s="108" customFormat="1" ht="15.9" customHeight="1" x14ac:dyDescent="0.3">
      <c r="A124" s="3"/>
      <c r="B124" s="24"/>
      <c r="C124" s="339"/>
      <c r="D124" s="339"/>
      <c r="E124" s="379"/>
      <c r="F124" s="379"/>
      <c r="G124" s="379"/>
      <c r="H124" s="379"/>
      <c r="I124" s="379"/>
      <c r="J124" s="379"/>
      <c r="K124" s="379"/>
      <c r="L124" s="379"/>
      <c r="N124" s="344"/>
      <c r="R124" s="24"/>
      <c r="S124" s="24"/>
      <c r="T124" s="24"/>
      <c r="U124" s="24"/>
    </row>
    <row r="125" spans="1:21" s="108" customFormat="1" ht="15.9" customHeight="1" x14ac:dyDescent="0.3">
      <c r="A125" s="3"/>
      <c r="B125" s="24"/>
      <c r="C125" s="339"/>
      <c r="D125" s="339"/>
      <c r="E125" s="379"/>
      <c r="F125" s="379"/>
      <c r="G125" s="379"/>
      <c r="H125" s="379"/>
      <c r="I125" s="379"/>
      <c r="J125" s="379"/>
      <c r="K125" s="379"/>
      <c r="L125" s="379"/>
      <c r="N125" s="344"/>
      <c r="R125" s="24"/>
      <c r="S125" s="24"/>
      <c r="T125" s="24"/>
      <c r="U125" s="24"/>
    </row>
    <row r="126" spans="1:21" s="108" customFormat="1" ht="15.9" customHeight="1" x14ac:dyDescent="0.3">
      <c r="A126" s="3"/>
      <c r="B126" s="24"/>
      <c r="C126" s="339"/>
      <c r="D126" s="339"/>
      <c r="E126" s="379"/>
      <c r="F126" s="379"/>
      <c r="G126" s="379"/>
      <c r="H126" s="379"/>
      <c r="I126" s="379"/>
      <c r="J126" s="379"/>
      <c r="K126" s="379"/>
      <c r="L126" s="379"/>
      <c r="N126" s="344"/>
      <c r="R126" s="24"/>
      <c r="S126" s="24"/>
      <c r="T126" s="24"/>
      <c r="U126" s="24"/>
    </row>
    <row r="127" spans="1:21" s="108" customFormat="1" ht="15.9" customHeight="1" x14ac:dyDescent="0.3">
      <c r="A127" s="3"/>
      <c r="B127" s="24"/>
      <c r="C127" s="339"/>
      <c r="D127" s="339"/>
      <c r="E127" s="379"/>
      <c r="F127" s="379"/>
      <c r="G127" s="383"/>
      <c r="H127" s="379"/>
      <c r="I127" s="379"/>
      <c r="J127" s="379"/>
      <c r="K127" s="379"/>
      <c r="L127" s="379"/>
      <c r="N127" s="344"/>
      <c r="R127" s="24"/>
      <c r="S127" s="24"/>
      <c r="T127" s="24"/>
      <c r="U127" s="24"/>
    </row>
    <row r="128" spans="1:21" s="108" customFormat="1" ht="15.9" customHeight="1" x14ac:dyDescent="0.3">
      <c r="A128" s="3"/>
      <c r="B128" s="24"/>
      <c r="C128" s="339"/>
      <c r="D128" s="339"/>
      <c r="E128" s="379"/>
      <c r="F128" s="379"/>
      <c r="G128" s="379"/>
      <c r="H128" s="379"/>
      <c r="I128" s="379"/>
      <c r="J128" s="379"/>
      <c r="K128" s="379"/>
      <c r="L128" s="379"/>
      <c r="N128" s="344"/>
      <c r="R128" s="24"/>
      <c r="S128" s="24"/>
      <c r="T128" s="24"/>
      <c r="U128" s="24"/>
    </row>
    <row r="129" spans="1:21" s="108" customFormat="1" ht="15.9" customHeight="1" x14ac:dyDescent="0.3">
      <c r="A129" s="3"/>
      <c r="B129" s="24"/>
      <c r="C129" s="339"/>
      <c r="D129" s="339"/>
      <c r="E129" s="379"/>
      <c r="F129" s="379"/>
      <c r="G129" s="379"/>
      <c r="H129" s="379"/>
      <c r="I129" s="379"/>
      <c r="J129" s="379"/>
      <c r="K129" s="379"/>
      <c r="L129" s="379"/>
      <c r="N129" s="344"/>
      <c r="R129" s="24"/>
      <c r="S129" s="24"/>
      <c r="T129" s="24"/>
      <c r="U129" s="24"/>
    </row>
    <row r="130" spans="1:21" s="108" customFormat="1" ht="15.9" customHeight="1" x14ac:dyDescent="0.3">
      <c r="A130" s="3"/>
      <c r="B130" s="24"/>
      <c r="C130" s="339"/>
      <c r="D130" s="339"/>
      <c r="E130" s="379"/>
      <c r="F130" s="379"/>
      <c r="G130" s="379"/>
      <c r="H130" s="379"/>
      <c r="I130" s="379"/>
      <c r="J130" s="379"/>
      <c r="K130" s="379"/>
      <c r="L130" s="379"/>
      <c r="N130" s="344"/>
      <c r="R130" s="24"/>
      <c r="S130" s="24"/>
      <c r="T130" s="24"/>
      <c r="U130" s="24"/>
    </row>
    <row r="131" spans="1:21" s="108" customFormat="1" ht="15.9" customHeight="1" x14ac:dyDescent="0.3">
      <c r="A131" s="3"/>
      <c r="B131" s="24"/>
      <c r="C131" s="339"/>
      <c r="D131" s="339"/>
      <c r="H131" s="379"/>
      <c r="I131" s="379"/>
      <c r="J131" s="379"/>
      <c r="K131" s="379"/>
      <c r="L131" s="379"/>
      <c r="N131" s="344"/>
      <c r="R131" s="24"/>
      <c r="S131" s="24"/>
      <c r="T131" s="24"/>
      <c r="U131" s="24"/>
    </row>
    <row r="132" spans="1:21" s="108" customFormat="1" ht="15.9" customHeight="1" x14ac:dyDescent="0.3">
      <c r="A132" s="3"/>
      <c r="B132" s="24"/>
      <c r="C132" s="339"/>
      <c r="D132" s="339"/>
      <c r="E132" s="379"/>
      <c r="F132" s="379"/>
      <c r="G132" s="379"/>
      <c r="H132" s="379"/>
      <c r="I132" s="379"/>
      <c r="J132" s="379"/>
      <c r="K132" s="379"/>
      <c r="L132" s="379"/>
      <c r="N132" s="344"/>
      <c r="R132" s="24"/>
      <c r="S132" s="24"/>
      <c r="T132" s="24"/>
      <c r="U132" s="24"/>
    </row>
    <row r="133" spans="1:21" s="108" customFormat="1" ht="15.9" customHeight="1" x14ac:dyDescent="0.3">
      <c r="A133" s="3"/>
      <c r="B133" s="24"/>
      <c r="C133" s="339"/>
      <c r="D133" s="339"/>
      <c r="E133" s="379"/>
      <c r="F133" s="379"/>
      <c r="G133" s="379"/>
      <c r="H133" s="379"/>
      <c r="I133" s="379"/>
      <c r="J133" s="379"/>
      <c r="K133" s="379"/>
      <c r="L133" s="379"/>
      <c r="N133" s="344"/>
      <c r="R133" s="24"/>
      <c r="S133" s="24"/>
      <c r="T133" s="24"/>
      <c r="U133" s="24"/>
    </row>
    <row r="134" spans="1:21" s="108" customFormat="1" ht="15.9" customHeight="1" x14ac:dyDescent="0.3">
      <c r="A134" s="3"/>
      <c r="B134" s="24"/>
      <c r="C134" s="339"/>
      <c r="D134" s="339"/>
      <c r="E134" s="379"/>
      <c r="F134" s="379"/>
      <c r="G134" s="379"/>
      <c r="H134" s="379"/>
      <c r="I134" s="379"/>
      <c r="J134" s="379"/>
      <c r="K134" s="379"/>
      <c r="L134" s="379"/>
      <c r="N134" s="344"/>
      <c r="R134" s="24"/>
      <c r="S134" s="24"/>
      <c r="T134" s="24"/>
      <c r="U134" s="24"/>
    </row>
    <row r="135" spans="1:21" s="108" customFormat="1" ht="15.9" customHeight="1" x14ac:dyDescent="0.3">
      <c r="A135" s="3"/>
      <c r="B135" s="24"/>
      <c r="C135" s="339"/>
      <c r="D135" s="339"/>
      <c r="E135" s="379"/>
      <c r="F135" s="379"/>
      <c r="G135" s="379"/>
      <c r="H135" s="379"/>
      <c r="I135" s="379"/>
      <c r="J135" s="379"/>
      <c r="K135" s="379"/>
      <c r="L135" s="379"/>
      <c r="N135" s="344"/>
      <c r="R135" s="24"/>
      <c r="S135" s="24"/>
      <c r="T135" s="24"/>
      <c r="U135" s="24"/>
    </row>
    <row r="136" spans="1:21" s="108" customFormat="1" ht="15.9" customHeight="1" x14ac:dyDescent="0.3">
      <c r="A136" s="3"/>
      <c r="B136" s="24"/>
      <c r="C136" s="339"/>
      <c r="D136" s="339"/>
      <c r="E136" s="379"/>
      <c r="F136" s="379"/>
      <c r="G136" s="379"/>
      <c r="H136" s="379"/>
      <c r="I136" s="379"/>
      <c r="J136" s="379"/>
      <c r="K136" s="379"/>
      <c r="L136" s="379"/>
      <c r="N136" s="344"/>
      <c r="R136" s="24"/>
      <c r="S136" s="24"/>
      <c r="T136" s="24"/>
      <c r="U136" s="24"/>
    </row>
    <row r="137" spans="1:21" s="108" customFormat="1" ht="15.9" customHeight="1" x14ac:dyDescent="0.3">
      <c r="A137" s="3"/>
      <c r="B137" s="24"/>
      <c r="C137" s="339"/>
      <c r="D137" s="339"/>
      <c r="E137" s="379"/>
      <c r="F137" s="379"/>
      <c r="G137" s="379"/>
      <c r="H137" s="379"/>
      <c r="I137" s="379"/>
      <c r="J137" s="379"/>
      <c r="K137" s="379"/>
      <c r="L137" s="379"/>
      <c r="N137" s="344"/>
      <c r="R137" s="24"/>
      <c r="S137" s="24"/>
      <c r="T137" s="24"/>
      <c r="U137" s="24"/>
    </row>
    <row r="138" spans="1:21" s="108" customFormat="1" ht="15.9" customHeight="1" x14ac:dyDescent="0.3">
      <c r="A138" s="3"/>
      <c r="B138" s="24"/>
      <c r="C138" s="339"/>
      <c r="D138" s="339"/>
      <c r="E138" s="379"/>
      <c r="F138" s="379"/>
      <c r="G138" s="379"/>
      <c r="H138" s="379"/>
      <c r="I138" s="379"/>
      <c r="J138" s="379"/>
      <c r="K138" s="379"/>
      <c r="L138" s="379"/>
      <c r="N138" s="344"/>
      <c r="R138" s="24"/>
      <c r="S138" s="24"/>
      <c r="T138" s="24"/>
      <c r="U138" s="24"/>
    </row>
    <row r="139" spans="1:21" s="108" customFormat="1" ht="15.9" customHeight="1" x14ac:dyDescent="0.3">
      <c r="A139" s="3"/>
      <c r="B139" s="24"/>
      <c r="C139" s="339"/>
      <c r="D139" s="339"/>
      <c r="E139" s="379"/>
      <c r="F139" s="379"/>
      <c r="G139" s="379"/>
      <c r="H139" s="379"/>
      <c r="I139" s="379"/>
      <c r="J139" s="379"/>
      <c r="K139" s="379"/>
      <c r="L139" s="379"/>
      <c r="N139" s="344"/>
      <c r="R139" s="24"/>
      <c r="S139" s="24"/>
      <c r="T139" s="24"/>
      <c r="U139" s="24"/>
    </row>
    <row r="140" spans="1:21" s="108" customFormat="1" ht="15.9" customHeight="1" x14ac:dyDescent="0.3">
      <c r="A140" s="3"/>
      <c r="B140" s="24"/>
      <c r="C140" s="339"/>
      <c r="D140" s="339"/>
      <c r="E140" s="379"/>
      <c r="F140" s="379"/>
      <c r="G140" s="379"/>
      <c r="H140" s="379"/>
      <c r="I140" s="379"/>
      <c r="J140" s="379"/>
      <c r="K140" s="379"/>
      <c r="L140" s="379"/>
      <c r="N140" s="344"/>
      <c r="R140" s="24"/>
      <c r="S140" s="24"/>
      <c r="T140" s="24"/>
      <c r="U140" s="24"/>
    </row>
    <row r="141" spans="1:21" s="108" customFormat="1" ht="15.9" customHeight="1" x14ac:dyDescent="0.3">
      <c r="A141" s="3"/>
      <c r="B141" s="24"/>
      <c r="C141" s="339"/>
      <c r="D141" s="339"/>
      <c r="E141" s="379"/>
      <c r="F141" s="379"/>
      <c r="G141" s="379"/>
      <c r="H141" s="379"/>
      <c r="I141" s="379"/>
      <c r="J141" s="379"/>
      <c r="K141" s="379"/>
      <c r="L141" s="379"/>
      <c r="N141" s="344"/>
      <c r="R141" s="24"/>
      <c r="S141" s="24"/>
      <c r="T141" s="24"/>
      <c r="U141" s="24"/>
    </row>
    <row r="142" spans="1:21" s="108" customFormat="1" ht="15.9" customHeight="1" x14ac:dyDescent="0.3">
      <c r="A142" s="3"/>
      <c r="B142" s="24"/>
      <c r="C142" s="339"/>
      <c r="D142" s="339"/>
      <c r="E142" s="379"/>
      <c r="F142" s="379"/>
      <c r="G142" s="379"/>
      <c r="H142" s="379"/>
      <c r="I142" s="379"/>
      <c r="J142" s="379"/>
      <c r="K142" s="379"/>
      <c r="L142" s="379"/>
      <c r="N142" s="344"/>
      <c r="R142" s="24"/>
      <c r="S142" s="24"/>
      <c r="T142" s="24"/>
      <c r="U142" s="24"/>
    </row>
    <row r="143" spans="1:21" s="108" customFormat="1" ht="15.9" customHeight="1" x14ac:dyDescent="0.3">
      <c r="A143" s="3"/>
      <c r="B143" s="24"/>
      <c r="C143" s="339"/>
      <c r="D143" s="339"/>
      <c r="E143" s="379"/>
      <c r="F143" s="379"/>
      <c r="G143" s="379"/>
      <c r="H143" s="379"/>
      <c r="I143" s="379"/>
      <c r="J143" s="379"/>
      <c r="K143" s="379"/>
      <c r="L143" s="379"/>
      <c r="N143" s="344"/>
      <c r="R143" s="24"/>
      <c r="S143" s="24"/>
      <c r="T143" s="24"/>
      <c r="U143" s="24"/>
    </row>
    <row r="144" spans="1:21" s="108" customFormat="1" ht="15.9" customHeight="1" x14ac:dyDescent="0.3">
      <c r="A144" s="3"/>
      <c r="B144" s="24"/>
      <c r="C144" s="339"/>
      <c r="D144" s="339"/>
      <c r="E144" s="379"/>
      <c r="F144" s="379"/>
      <c r="G144" s="379"/>
      <c r="H144" s="379"/>
      <c r="I144" s="379"/>
      <c r="J144" s="379"/>
      <c r="K144" s="379"/>
      <c r="L144" s="379"/>
      <c r="N144" s="344"/>
      <c r="R144" s="24"/>
      <c r="S144" s="24"/>
      <c r="T144" s="24"/>
      <c r="U144" s="24"/>
    </row>
    <row r="145" spans="1:21" s="108" customFormat="1" ht="15.9" customHeight="1" x14ac:dyDescent="0.3">
      <c r="A145" s="3"/>
      <c r="B145" s="24"/>
      <c r="C145" s="339"/>
      <c r="D145" s="339"/>
      <c r="E145" s="379"/>
      <c r="F145" s="379"/>
      <c r="G145" s="379"/>
      <c r="H145" s="379"/>
      <c r="I145" s="379"/>
      <c r="J145" s="379"/>
      <c r="K145" s="379"/>
      <c r="L145" s="379"/>
      <c r="N145" s="344"/>
      <c r="R145" s="24"/>
      <c r="S145" s="24"/>
      <c r="T145" s="24"/>
      <c r="U145" s="24"/>
    </row>
    <row r="146" spans="1:21" s="108" customFormat="1" ht="15.9" customHeight="1" x14ac:dyDescent="0.3">
      <c r="A146" s="3"/>
      <c r="B146" s="24"/>
      <c r="C146" s="339"/>
      <c r="D146" s="339"/>
      <c r="E146" s="379"/>
      <c r="F146" s="379"/>
      <c r="G146" s="379"/>
      <c r="H146" s="379"/>
      <c r="I146" s="379"/>
      <c r="J146" s="379"/>
      <c r="K146" s="379"/>
      <c r="L146" s="379"/>
      <c r="N146" s="344"/>
      <c r="R146" s="24"/>
      <c r="S146" s="24"/>
      <c r="T146" s="24"/>
      <c r="U146" s="24"/>
    </row>
    <row r="147" spans="1:21" s="108" customFormat="1" ht="15.9" customHeight="1" x14ac:dyDescent="0.3">
      <c r="A147" s="3"/>
      <c r="B147" s="24"/>
      <c r="C147" s="339"/>
      <c r="D147" s="339"/>
      <c r="E147" s="379"/>
      <c r="F147" s="379"/>
      <c r="G147" s="379"/>
      <c r="H147" s="379"/>
      <c r="I147" s="379"/>
      <c r="J147" s="379"/>
      <c r="K147" s="379"/>
      <c r="L147" s="379"/>
      <c r="N147" s="344"/>
      <c r="R147" s="24"/>
      <c r="S147" s="24"/>
      <c r="T147" s="24"/>
      <c r="U147" s="24"/>
    </row>
    <row r="148" spans="1:21" s="108" customFormat="1" ht="15.9" customHeight="1" x14ac:dyDescent="0.3">
      <c r="A148" s="3"/>
      <c r="B148" s="24"/>
      <c r="C148" s="339"/>
      <c r="D148" s="339"/>
      <c r="E148" s="379"/>
      <c r="F148" s="379"/>
      <c r="G148" s="379"/>
      <c r="H148" s="379"/>
      <c r="I148" s="379"/>
      <c r="J148" s="379"/>
      <c r="K148" s="379"/>
      <c r="L148" s="379"/>
      <c r="N148" s="344"/>
      <c r="R148" s="24"/>
      <c r="S148" s="24"/>
      <c r="T148" s="24"/>
      <c r="U148" s="24"/>
    </row>
    <row r="149" spans="1:21" s="108" customFormat="1" ht="15.9" customHeight="1" x14ac:dyDescent="0.3">
      <c r="A149" s="3"/>
      <c r="B149" s="24"/>
      <c r="C149" s="339"/>
      <c r="D149" s="339"/>
      <c r="E149" s="379"/>
      <c r="F149" s="379"/>
      <c r="G149" s="379"/>
      <c r="H149" s="379"/>
      <c r="I149" s="379"/>
      <c r="J149" s="379"/>
      <c r="K149" s="379"/>
      <c r="L149" s="379"/>
      <c r="N149" s="344"/>
      <c r="R149" s="24"/>
      <c r="S149" s="24"/>
      <c r="T149" s="24"/>
      <c r="U149" s="24"/>
    </row>
    <row r="150" spans="1:21" s="108" customFormat="1" ht="15.9" customHeight="1" x14ac:dyDescent="0.3">
      <c r="A150" s="3"/>
      <c r="B150" s="24"/>
      <c r="C150" s="339"/>
      <c r="D150" s="339"/>
      <c r="E150" s="379"/>
      <c r="F150" s="379"/>
      <c r="G150" s="379"/>
      <c r="H150" s="379"/>
      <c r="I150" s="379"/>
      <c r="J150" s="379"/>
      <c r="K150" s="379"/>
      <c r="L150" s="379"/>
      <c r="N150" s="344"/>
      <c r="R150" s="24"/>
      <c r="S150" s="24"/>
      <c r="T150" s="24"/>
      <c r="U150" s="24"/>
    </row>
    <row r="151" spans="1:21" s="108" customFormat="1" ht="15.9" customHeight="1" x14ac:dyDescent="0.3">
      <c r="A151" s="3"/>
      <c r="B151" s="24"/>
      <c r="C151" s="339"/>
      <c r="D151" s="339"/>
      <c r="E151" s="379"/>
      <c r="F151" s="379"/>
      <c r="G151" s="379"/>
      <c r="H151" s="379"/>
      <c r="I151" s="379"/>
      <c r="J151" s="379"/>
      <c r="K151" s="379"/>
      <c r="L151" s="379"/>
      <c r="N151" s="344"/>
      <c r="R151" s="24"/>
      <c r="S151" s="24"/>
      <c r="T151" s="24"/>
      <c r="U151" s="24"/>
    </row>
    <row r="152" spans="1:21" s="108" customFormat="1" ht="15.9" customHeight="1" x14ac:dyDescent="0.3">
      <c r="A152" s="3"/>
      <c r="B152" s="24"/>
      <c r="C152" s="339"/>
      <c r="D152" s="339"/>
      <c r="E152" s="379"/>
      <c r="F152" s="379"/>
      <c r="G152" s="379"/>
      <c r="H152" s="379"/>
      <c r="I152" s="379"/>
      <c r="J152" s="379"/>
      <c r="K152" s="379"/>
      <c r="L152" s="379"/>
      <c r="N152" s="344"/>
      <c r="R152" s="24"/>
      <c r="S152" s="24"/>
      <c r="T152" s="24"/>
      <c r="U152" s="24"/>
    </row>
    <row r="153" spans="1:21" s="108" customFormat="1" ht="15.9" customHeight="1" x14ac:dyDescent="0.3">
      <c r="A153" s="3"/>
      <c r="B153" s="24"/>
      <c r="C153" s="339"/>
      <c r="D153" s="339"/>
      <c r="E153" s="379"/>
      <c r="F153" s="379"/>
      <c r="G153" s="379"/>
      <c r="H153" s="379"/>
      <c r="I153" s="379"/>
      <c r="J153" s="379"/>
      <c r="K153" s="379"/>
      <c r="L153" s="379"/>
      <c r="N153" s="344"/>
      <c r="R153" s="24"/>
      <c r="S153" s="24"/>
      <c r="T153" s="24"/>
      <c r="U153" s="24"/>
    </row>
    <row r="154" spans="1:21" s="108" customFormat="1" ht="15.9" customHeight="1" x14ac:dyDescent="0.3">
      <c r="A154" s="3"/>
      <c r="B154" s="24"/>
      <c r="C154" s="339"/>
      <c r="D154" s="339"/>
      <c r="E154" s="379"/>
      <c r="F154" s="379"/>
      <c r="G154" s="379"/>
      <c r="H154" s="379"/>
      <c r="I154" s="379"/>
      <c r="J154" s="379"/>
      <c r="K154" s="379"/>
      <c r="L154" s="379"/>
      <c r="N154" s="344"/>
      <c r="R154" s="24"/>
      <c r="S154" s="24"/>
      <c r="T154" s="24"/>
      <c r="U154" s="24"/>
    </row>
    <row r="155" spans="1:21" s="108" customFormat="1" ht="15.9" customHeight="1" x14ac:dyDescent="0.3">
      <c r="A155" s="3"/>
      <c r="B155" s="24"/>
      <c r="C155" s="339"/>
      <c r="D155" s="339"/>
      <c r="E155" s="379"/>
      <c r="F155" s="379"/>
      <c r="G155" s="379"/>
      <c r="H155" s="379"/>
      <c r="I155" s="379"/>
      <c r="J155" s="379"/>
      <c r="K155" s="379"/>
      <c r="L155" s="379"/>
      <c r="N155" s="344"/>
      <c r="R155" s="24"/>
      <c r="S155" s="24"/>
      <c r="T155" s="24"/>
      <c r="U155" s="24"/>
    </row>
    <row r="156" spans="1:21" s="108" customFormat="1" ht="15.9" customHeight="1" x14ac:dyDescent="0.3">
      <c r="A156" s="3"/>
      <c r="B156" s="24"/>
      <c r="C156" s="339"/>
      <c r="D156" s="339"/>
      <c r="E156" s="379"/>
      <c r="F156" s="379"/>
      <c r="G156" s="379"/>
      <c r="H156" s="379"/>
      <c r="I156" s="379"/>
      <c r="J156" s="379"/>
      <c r="K156" s="379"/>
      <c r="L156" s="379"/>
      <c r="N156" s="344"/>
      <c r="R156" s="24"/>
      <c r="S156" s="24"/>
      <c r="T156" s="24"/>
      <c r="U156" s="24"/>
    </row>
    <row r="157" spans="1:21" s="108" customFormat="1" ht="15.9" customHeight="1" x14ac:dyDescent="0.3">
      <c r="A157" s="3"/>
      <c r="B157" s="24"/>
      <c r="C157" s="339"/>
      <c r="D157" s="339"/>
      <c r="E157" s="379"/>
      <c r="F157" s="379"/>
      <c r="G157" s="379"/>
      <c r="H157" s="379"/>
      <c r="I157" s="379"/>
      <c r="J157" s="379"/>
      <c r="K157" s="379"/>
      <c r="L157" s="379"/>
      <c r="N157" s="344"/>
      <c r="R157" s="24"/>
      <c r="S157" s="24"/>
      <c r="T157" s="24"/>
      <c r="U157" s="24"/>
    </row>
    <row r="158" spans="1:21" s="108" customFormat="1" ht="15.9" customHeight="1" x14ac:dyDescent="0.3">
      <c r="A158" s="3"/>
      <c r="B158" s="24"/>
      <c r="C158" s="339"/>
      <c r="D158" s="339"/>
      <c r="E158" s="379"/>
      <c r="F158" s="379"/>
      <c r="G158" s="379"/>
      <c r="H158" s="379"/>
      <c r="I158" s="379"/>
      <c r="J158" s="379"/>
      <c r="K158" s="379"/>
      <c r="L158" s="379"/>
      <c r="N158" s="344"/>
      <c r="R158" s="24"/>
      <c r="S158" s="24"/>
      <c r="T158" s="24"/>
      <c r="U158" s="24"/>
    </row>
    <row r="159" spans="1:21" s="108" customFormat="1" ht="15.9" customHeight="1" x14ac:dyDescent="0.3">
      <c r="A159" s="3"/>
      <c r="B159" s="24"/>
      <c r="C159" s="339"/>
      <c r="D159" s="339"/>
      <c r="E159" s="379"/>
      <c r="F159" s="379"/>
      <c r="G159" s="379"/>
      <c r="H159" s="379"/>
      <c r="I159" s="379"/>
      <c r="J159" s="379"/>
      <c r="K159" s="379"/>
      <c r="L159" s="379"/>
      <c r="N159" s="344"/>
      <c r="R159" s="24"/>
      <c r="S159" s="24"/>
      <c r="T159" s="24"/>
      <c r="U159" s="24"/>
    </row>
    <row r="160" spans="1:21" s="108" customFormat="1" ht="15.9" customHeight="1" x14ac:dyDescent="0.3">
      <c r="A160" s="3"/>
      <c r="B160" s="24"/>
      <c r="C160" s="339"/>
      <c r="D160" s="339"/>
      <c r="E160" s="379"/>
      <c r="F160" s="379"/>
      <c r="G160" s="379"/>
      <c r="H160" s="379"/>
      <c r="I160" s="379"/>
      <c r="J160" s="379"/>
      <c r="K160" s="379"/>
      <c r="L160" s="379"/>
      <c r="N160" s="344"/>
      <c r="R160" s="24"/>
      <c r="S160" s="24"/>
      <c r="T160" s="24"/>
      <c r="U160" s="24"/>
    </row>
    <row r="161" spans="1:21" s="108" customFormat="1" ht="15.9" customHeight="1" x14ac:dyDescent="0.3">
      <c r="A161" s="3"/>
      <c r="B161" s="24"/>
      <c r="C161" s="339"/>
      <c r="D161" s="339"/>
      <c r="E161" s="379"/>
      <c r="F161" s="379"/>
      <c r="G161" s="379"/>
      <c r="H161" s="379"/>
      <c r="I161" s="379"/>
      <c r="J161" s="379"/>
      <c r="K161" s="379"/>
      <c r="L161" s="379"/>
      <c r="N161" s="344"/>
      <c r="R161" s="24"/>
      <c r="S161" s="24"/>
      <c r="T161" s="24"/>
      <c r="U161" s="24"/>
    </row>
    <row r="162" spans="1:21" s="108" customFormat="1" ht="15.9" customHeight="1" x14ac:dyDescent="0.3">
      <c r="A162" s="3"/>
      <c r="B162" s="24"/>
      <c r="C162" s="339"/>
      <c r="D162" s="339"/>
      <c r="E162" s="379"/>
      <c r="F162" s="379"/>
      <c r="G162" s="379"/>
      <c r="H162" s="379"/>
      <c r="I162" s="379"/>
      <c r="J162" s="379"/>
      <c r="K162" s="379"/>
      <c r="L162" s="379"/>
      <c r="N162" s="344"/>
      <c r="R162" s="24"/>
      <c r="S162" s="24"/>
      <c r="T162" s="24"/>
      <c r="U162" s="24"/>
    </row>
    <row r="163" spans="1:21" s="108" customFormat="1" ht="15.9" customHeight="1" x14ac:dyDescent="0.3">
      <c r="A163" s="3"/>
      <c r="B163" s="24"/>
      <c r="C163" s="339"/>
      <c r="D163" s="339"/>
      <c r="E163" s="379"/>
      <c r="F163" s="379"/>
      <c r="G163" s="379"/>
      <c r="H163" s="379"/>
      <c r="I163" s="379"/>
      <c r="J163" s="379"/>
      <c r="K163" s="379"/>
      <c r="L163" s="379"/>
      <c r="N163" s="344"/>
      <c r="R163" s="24"/>
      <c r="S163" s="24"/>
      <c r="T163" s="24"/>
      <c r="U163" s="24"/>
    </row>
    <row r="164" spans="1:21" s="108" customFormat="1" ht="15.9" customHeight="1" x14ac:dyDescent="0.3">
      <c r="A164" s="3"/>
      <c r="B164" s="24"/>
      <c r="C164" s="339"/>
      <c r="D164" s="339"/>
      <c r="E164" s="379"/>
      <c r="F164" s="379"/>
      <c r="G164" s="379"/>
      <c r="H164" s="379"/>
      <c r="I164" s="379"/>
      <c r="J164" s="379"/>
      <c r="K164" s="379"/>
      <c r="L164" s="379"/>
      <c r="N164" s="344"/>
      <c r="R164" s="24"/>
      <c r="S164" s="24"/>
      <c r="T164" s="24"/>
      <c r="U164" s="24"/>
    </row>
    <row r="165" spans="1:21" s="108" customFormat="1" ht="15.9" customHeight="1" x14ac:dyDescent="0.3">
      <c r="A165" s="3"/>
      <c r="B165" s="24"/>
      <c r="C165" s="339"/>
      <c r="D165" s="339"/>
      <c r="E165" s="379"/>
      <c r="F165" s="379"/>
      <c r="G165" s="379"/>
      <c r="H165" s="379"/>
      <c r="I165" s="379"/>
      <c r="J165" s="379"/>
      <c r="K165" s="379"/>
      <c r="L165" s="379"/>
      <c r="N165" s="344"/>
      <c r="R165" s="24"/>
      <c r="S165" s="24"/>
      <c r="T165" s="24"/>
      <c r="U165" s="24"/>
    </row>
    <row r="166" spans="1:21" s="108" customFormat="1" ht="15.9" customHeight="1" x14ac:dyDescent="0.3">
      <c r="A166" s="3"/>
      <c r="B166" s="24"/>
      <c r="C166" s="339"/>
      <c r="D166" s="339"/>
      <c r="H166" s="379"/>
      <c r="I166" s="379"/>
      <c r="J166" s="379"/>
      <c r="K166" s="379"/>
      <c r="L166" s="379"/>
      <c r="N166" s="344"/>
      <c r="R166" s="24"/>
      <c r="S166" s="24"/>
      <c r="T166" s="24"/>
      <c r="U166" s="24"/>
    </row>
    <row r="167" spans="1:21" s="108" customFormat="1" ht="15.9" customHeight="1" x14ac:dyDescent="0.3">
      <c r="A167" s="3"/>
      <c r="B167" s="24"/>
      <c r="C167" s="339"/>
      <c r="D167" s="339"/>
      <c r="H167" s="379"/>
      <c r="I167" s="379"/>
      <c r="J167" s="379"/>
      <c r="K167" s="379"/>
      <c r="L167" s="379"/>
      <c r="N167" s="344"/>
      <c r="R167" s="24"/>
      <c r="S167" s="24"/>
      <c r="T167" s="24"/>
      <c r="U167" s="24"/>
    </row>
    <row r="168" spans="1:21" s="108" customFormat="1" ht="15.9" customHeight="1" x14ac:dyDescent="0.3">
      <c r="A168" s="3"/>
      <c r="B168" s="24"/>
      <c r="C168" s="339"/>
      <c r="D168" s="339"/>
      <c r="H168" s="379"/>
      <c r="I168" s="379"/>
      <c r="J168" s="379"/>
      <c r="K168" s="379"/>
      <c r="L168" s="379"/>
      <c r="N168" s="344"/>
      <c r="R168" s="24"/>
      <c r="S168" s="24"/>
      <c r="T168" s="24"/>
      <c r="U168" s="24"/>
    </row>
    <row r="169" spans="1:21" s="108" customFormat="1" ht="15.9" customHeight="1" x14ac:dyDescent="0.3">
      <c r="A169" s="3"/>
      <c r="B169" s="24"/>
      <c r="C169" s="339"/>
      <c r="D169" s="339"/>
      <c r="H169" s="379"/>
      <c r="I169" s="379"/>
      <c r="J169" s="379"/>
      <c r="K169" s="379"/>
      <c r="L169" s="379"/>
      <c r="N169" s="344"/>
      <c r="R169" s="24"/>
      <c r="S169" s="24"/>
      <c r="T169" s="24"/>
      <c r="U169" s="24"/>
    </row>
    <row r="170" spans="1:21" s="108" customFormat="1" ht="15.9" customHeight="1" x14ac:dyDescent="0.3">
      <c r="A170" s="3"/>
      <c r="B170" s="24"/>
      <c r="C170" s="339"/>
      <c r="D170" s="339"/>
      <c r="H170" s="379"/>
      <c r="I170" s="379"/>
      <c r="J170" s="379"/>
      <c r="K170" s="379"/>
      <c r="L170" s="379"/>
      <c r="N170" s="344"/>
      <c r="R170" s="24"/>
      <c r="S170" s="24"/>
      <c r="T170" s="24"/>
      <c r="U170" s="24"/>
    </row>
    <row r="171" spans="1:21" s="108" customFormat="1" ht="15.9" customHeight="1" x14ac:dyDescent="0.3">
      <c r="A171" s="3"/>
      <c r="B171" s="24"/>
      <c r="C171" s="339"/>
      <c r="D171" s="339"/>
      <c r="H171" s="379"/>
      <c r="I171" s="379"/>
      <c r="J171" s="379"/>
      <c r="K171" s="379"/>
      <c r="L171" s="379"/>
      <c r="N171" s="344"/>
      <c r="R171" s="24"/>
      <c r="S171" s="24"/>
      <c r="T171" s="24"/>
      <c r="U171" s="24"/>
    </row>
    <row r="172" spans="1:21" s="108" customFormat="1" ht="15.9" customHeight="1" x14ac:dyDescent="0.3">
      <c r="A172" s="3"/>
      <c r="B172" s="24"/>
      <c r="C172" s="339"/>
      <c r="D172" s="339"/>
      <c r="H172" s="379"/>
      <c r="I172" s="379"/>
      <c r="J172" s="379"/>
      <c r="K172" s="379"/>
      <c r="L172" s="379"/>
      <c r="N172" s="344"/>
      <c r="R172" s="24"/>
      <c r="S172" s="24"/>
      <c r="T172" s="24"/>
      <c r="U172" s="24"/>
    </row>
    <row r="173" spans="1:21" s="108" customFormat="1" ht="15.9" customHeight="1" x14ac:dyDescent="0.3">
      <c r="A173" s="3"/>
      <c r="B173" s="24"/>
      <c r="C173" s="339"/>
      <c r="D173" s="339"/>
      <c r="H173" s="379"/>
      <c r="I173" s="379"/>
      <c r="J173" s="379"/>
      <c r="K173" s="379"/>
      <c r="L173" s="379"/>
      <c r="N173" s="344"/>
      <c r="R173" s="24"/>
      <c r="S173" s="24"/>
      <c r="T173" s="24"/>
      <c r="U173" s="24"/>
    </row>
    <row r="174" spans="1:21" s="108" customFormat="1" ht="15.9" customHeight="1" x14ac:dyDescent="0.3">
      <c r="A174" s="3"/>
      <c r="B174" s="24"/>
      <c r="C174" s="339"/>
      <c r="D174" s="339"/>
      <c r="H174" s="379"/>
      <c r="I174" s="379"/>
      <c r="J174" s="379"/>
      <c r="K174" s="379"/>
      <c r="L174" s="379"/>
      <c r="N174" s="344"/>
      <c r="R174" s="24"/>
      <c r="S174" s="24"/>
      <c r="T174" s="24"/>
      <c r="U174" s="24"/>
    </row>
  </sheetData>
  <mergeCells count="17">
    <mergeCell ref="Q11:Q12"/>
    <mergeCell ref="D11:D12"/>
    <mergeCell ref="N11:N12"/>
    <mergeCell ref="O11:O12"/>
    <mergeCell ref="P11:P12"/>
    <mergeCell ref="H11:H12"/>
    <mergeCell ref="I11:I12"/>
    <mergeCell ref="J11:J12"/>
    <mergeCell ref="K11:K12"/>
    <mergeCell ref="L11:L12"/>
    <mergeCell ref="M11:M12"/>
    <mergeCell ref="B4:G8"/>
    <mergeCell ref="B11:B12"/>
    <mergeCell ref="C11:C12"/>
    <mergeCell ref="E11:E12"/>
    <mergeCell ref="F11:F12"/>
    <mergeCell ref="G11:G1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1:Q115"/>
  <sheetViews>
    <sheetView showGridLines="0" zoomScaleNormal="100" workbookViewId="0"/>
  </sheetViews>
  <sheetFormatPr baseColWidth="10" defaultColWidth="8.59765625" defaultRowHeight="15.9" customHeight="1" x14ac:dyDescent="0.3"/>
  <cols>
    <col min="1" max="1" width="8.59765625" style="2" customWidth="1"/>
    <col min="2" max="2" width="29" style="24" customWidth="1"/>
    <col min="3" max="3" width="21" style="140" customWidth="1"/>
    <col min="4" max="4" width="25.5" style="140" bestFit="1" customWidth="1"/>
    <col min="5" max="5" width="24.59765625" style="140" customWidth="1"/>
    <col min="6" max="6" width="25.5" style="140" bestFit="1" customWidth="1"/>
    <col min="7" max="8" width="8.59765625" style="140" customWidth="1"/>
    <col min="9" max="16" width="8.59765625" style="24" customWidth="1"/>
    <col min="17" max="17" width="8.59765625" style="13" customWidth="1"/>
    <col min="18" max="18" width="8.59765625" style="24" customWidth="1"/>
    <col min="19" max="16384" width="8.59765625" style="24"/>
  </cols>
  <sheetData>
    <row r="1" spans="1:15" s="35" customFormat="1" ht="15.9" customHeight="1" x14ac:dyDescent="0.3">
      <c r="B1" s="168"/>
      <c r="C1" s="168"/>
      <c r="D1" s="168"/>
      <c r="E1" s="168"/>
      <c r="F1" s="168"/>
    </row>
    <row r="2" spans="1:15" s="164" customFormat="1" ht="24.75" customHeight="1" x14ac:dyDescent="0.35">
      <c r="A2" s="35"/>
      <c r="B2" s="410" t="s">
        <v>3518</v>
      </c>
    </row>
    <row r="3" spans="1:15" s="164" customFormat="1" ht="15.9" customHeight="1" x14ac:dyDescent="0.35">
      <c r="A3" s="35"/>
      <c r="B3" s="165"/>
      <c r="E3" s="166"/>
    </row>
    <row r="4" spans="1:15" s="164" customFormat="1" ht="15.9" customHeight="1" x14ac:dyDescent="0.3">
      <c r="A4" s="35"/>
      <c r="B4" s="1177" t="s">
        <v>3519</v>
      </c>
      <c r="C4" s="1178"/>
      <c r="D4" s="1178"/>
      <c r="E4" s="1178"/>
      <c r="F4" s="1178"/>
    </row>
    <row r="5" spans="1:15" s="164" customFormat="1" ht="15.9" customHeight="1" x14ac:dyDescent="0.3">
      <c r="A5" s="35"/>
      <c r="B5" s="1178"/>
      <c r="C5" s="1178"/>
      <c r="D5" s="1178"/>
      <c r="E5" s="1178"/>
      <c r="F5" s="1178"/>
    </row>
    <row r="6" spans="1:15" s="164" customFormat="1" ht="15.9" customHeight="1" x14ac:dyDescent="0.3">
      <c r="A6" s="35"/>
      <c r="B6" s="1178"/>
      <c r="C6" s="1178"/>
      <c r="D6" s="1178"/>
      <c r="E6" s="1178"/>
      <c r="F6" s="1178"/>
    </row>
    <row r="7" spans="1:15" s="164" customFormat="1" ht="15.9" customHeight="1" x14ac:dyDescent="0.3">
      <c r="A7" s="35"/>
      <c r="B7" s="1178"/>
      <c r="C7" s="1178"/>
      <c r="D7" s="1178"/>
      <c r="E7" s="1178"/>
      <c r="F7" s="1178"/>
    </row>
    <row r="8" spans="1:15" s="164" customFormat="1" ht="15.9" customHeight="1" x14ac:dyDescent="0.3">
      <c r="A8" s="35"/>
      <c r="B8" s="1178"/>
      <c r="C8" s="1178"/>
      <c r="D8" s="1178"/>
      <c r="E8" s="1178"/>
      <c r="F8" s="1178"/>
    </row>
    <row r="9" spans="1:15" s="43" customFormat="1" ht="15.9" customHeight="1" x14ac:dyDescent="0.35">
      <c r="A9" s="35"/>
      <c r="B9" s="1178"/>
      <c r="C9" s="1178"/>
      <c r="D9" s="1178"/>
      <c r="E9" s="1178"/>
      <c r="F9" s="1178"/>
      <c r="H9" s="167"/>
    </row>
    <row r="11" spans="1:15" s="22" customFormat="1" ht="15.9" customHeight="1" x14ac:dyDescent="0.3">
      <c r="A11" s="2"/>
      <c r="B11" s="1179" t="s">
        <v>3520</v>
      </c>
      <c r="C11" s="282" t="s">
        <v>3501</v>
      </c>
      <c r="D11" s="282" t="s">
        <v>3502</v>
      </c>
      <c r="E11" s="282" t="s">
        <v>3503</v>
      </c>
      <c r="F11" s="282" t="s">
        <v>3504</v>
      </c>
      <c r="G11" s="141"/>
      <c r="H11" s="141"/>
      <c r="I11" s="21"/>
      <c r="J11" s="21"/>
      <c r="K11" s="21"/>
      <c r="L11" s="21"/>
      <c r="M11" s="21"/>
      <c r="N11" s="21"/>
      <c r="O11" s="21"/>
    </row>
    <row r="12" spans="1:15" s="22" customFormat="1" ht="15.9" customHeight="1" x14ac:dyDescent="0.3">
      <c r="A12" s="2"/>
      <c r="B12" s="1180"/>
      <c r="C12" s="283" t="s">
        <v>3514</v>
      </c>
      <c r="D12" s="283" t="s">
        <v>3514</v>
      </c>
      <c r="E12" s="283" t="s">
        <v>3514</v>
      </c>
      <c r="F12" s="283" t="s">
        <v>3514</v>
      </c>
      <c r="G12" s="141"/>
      <c r="H12" s="141"/>
      <c r="I12" s="21"/>
      <c r="J12" s="21"/>
      <c r="K12" s="21"/>
      <c r="L12" s="21"/>
      <c r="M12" s="21"/>
      <c r="N12" s="21"/>
      <c r="O12" s="21"/>
    </row>
    <row r="13" spans="1:15" ht="15.9" customHeight="1" x14ac:dyDescent="0.3">
      <c r="I13" s="2"/>
      <c r="J13" s="25"/>
      <c r="K13" s="2"/>
      <c r="L13" s="2"/>
      <c r="M13" s="2"/>
      <c r="N13" s="2"/>
      <c r="O13" s="2"/>
    </row>
    <row r="14" spans="1:15" ht="15.9" customHeight="1" x14ac:dyDescent="0.3">
      <c r="B14" s="26" t="s">
        <v>3521</v>
      </c>
      <c r="C14" s="145">
        <f>C15+C16</f>
        <v>34.743048685750551</v>
      </c>
      <c r="D14" s="145">
        <f>D15+D16</f>
        <v>6.3884096335007428</v>
      </c>
      <c r="E14" s="145">
        <f>E15+E16</f>
        <v>13.792694016564006</v>
      </c>
      <c r="F14" s="145">
        <f>F15+F16</f>
        <v>54.9241523358153</v>
      </c>
      <c r="G14" s="127"/>
      <c r="H14" s="127"/>
    </row>
    <row r="15" spans="1:15" ht="15.9" customHeight="1" x14ac:dyDescent="0.3">
      <c r="B15" s="22" t="s">
        <v>3522</v>
      </c>
      <c r="C15" s="146">
        <f>SUMIFS('Country Summary'!D:D,'Country Summary'!$C:$C,1)</f>
        <v>4.4205486857505525</v>
      </c>
      <c r="D15" s="146">
        <f>SUMIFS('Country Summary'!E:E,'Country Summary'!$C:$C,1)</f>
        <v>4.7884096335007422</v>
      </c>
      <c r="E15" s="146">
        <f>SUMIFS('Country Summary'!F:F,'Country Summary'!$C:$C,1)</f>
        <v>10.692694016564007</v>
      </c>
      <c r="F15" s="146">
        <f>SUMIFS('Country Summary'!G:G,'Country Summary'!$C:$C,1)</f>
        <v>19.901652335815299</v>
      </c>
      <c r="G15" s="142"/>
      <c r="H15" s="143"/>
      <c r="I15" s="2"/>
      <c r="J15" s="25"/>
      <c r="K15" s="2"/>
      <c r="L15" s="2"/>
      <c r="M15" s="2"/>
      <c r="N15" s="2"/>
      <c r="O15" s="2"/>
    </row>
    <row r="16" spans="1:15" ht="15.9" customHeight="1" x14ac:dyDescent="0.3">
      <c r="B16" s="22" t="s">
        <v>3523</v>
      </c>
      <c r="C16" s="127">
        <f>SUM(C17:C19)</f>
        <v>30.322500000000002</v>
      </c>
      <c r="D16" s="127">
        <f t="shared" ref="D16:E16" si="0">SUM(D17:D19)</f>
        <v>1.6</v>
      </c>
      <c r="E16" s="127">
        <f t="shared" si="0"/>
        <v>3.1</v>
      </c>
      <c r="F16" s="128">
        <f t="shared" ref="F16:F19" si="1">SUM(C16:E16)</f>
        <v>35.022500000000001</v>
      </c>
      <c r="G16" s="142"/>
      <c r="H16" s="143"/>
      <c r="I16" s="2"/>
      <c r="J16" s="25"/>
      <c r="K16" s="2"/>
      <c r="L16" s="2"/>
      <c r="M16" s="2"/>
      <c r="N16" s="2"/>
      <c r="O16" s="2"/>
    </row>
    <row r="17" spans="2:15" ht="15.9" customHeight="1" x14ac:dyDescent="0.3">
      <c r="B17" s="125" t="s">
        <v>3466</v>
      </c>
      <c r="C17" s="129">
        <f>SUMIFS('Bilateral Assistance, MAIN DATA'!S:S,'Bilateral Assistance, MAIN DATA'!D:D,"Financial",'Bilateral Assistance, MAIN DATA'!B:B,'Aggregates by Country Group'!B17)/1000000000</f>
        <v>0</v>
      </c>
      <c r="D17" s="129">
        <f>SUMIFS('Bilateral Assistance, MAIN DATA'!S:S,'Bilateral Assistance, MAIN DATA'!D:D,"Humanitarian",'Bilateral Assistance, MAIN DATA'!B:B,'Aggregates by Country Group'!B17)/1000000000</f>
        <v>0</v>
      </c>
      <c r="E17" s="129">
        <f>SUMIFS('Bilateral Assistance, MAIN DATA'!S:S,'Bilateral Assistance, MAIN DATA'!D:D,"Military",'Bilateral Assistance, MAIN DATA'!B:B,'Aggregates by Country Group'!B17)/1000000000</f>
        <v>3.1</v>
      </c>
      <c r="F17" s="284">
        <f t="shared" si="1"/>
        <v>3.1</v>
      </c>
      <c r="G17" s="129"/>
      <c r="H17" s="127"/>
      <c r="K17" s="2"/>
      <c r="L17" s="2"/>
      <c r="M17" s="2"/>
      <c r="N17" s="2"/>
      <c r="O17" s="2"/>
    </row>
    <row r="18" spans="2:15" ht="15.9" customHeight="1" x14ac:dyDescent="0.3">
      <c r="B18" s="125" t="s">
        <v>3489</v>
      </c>
      <c r="C18" s="129">
        <f>SUMIFS('Bilateral Assistance, MAIN DATA'!S:S,'Bilateral Assistance, MAIN DATA'!D:D,"Financial",'Bilateral Assistance, MAIN DATA'!B:B,'Aggregates by Country Group'!B18)/1000000000</f>
        <v>2.0024999999999999</v>
      </c>
      <c r="D18" s="129">
        <f>SUMIFS('Bilateral Assistance, MAIN DATA'!S:S,'Bilateral Assistance, MAIN DATA'!D:D,"Humanitarian",'Bilateral Assistance, MAIN DATA'!B:B,'Aggregates by Country Group'!B18)/1000000000</f>
        <v>0</v>
      </c>
      <c r="E18" s="129">
        <f>SUMIFS('Bilateral Assistance, MAIN DATA'!S:S,'Bilateral Assistance, MAIN DATA'!D:D,"Military",'Bilateral Assistance, MAIN DATA'!B:B,'Aggregates by Country Group'!B18)/1000000000</f>
        <v>0</v>
      </c>
      <c r="F18" s="284">
        <f t="shared" si="1"/>
        <v>2.0024999999999999</v>
      </c>
      <c r="G18" s="129"/>
      <c r="H18" s="127"/>
      <c r="I18" s="2"/>
      <c r="J18" s="25"/>
      <c r="K18" s="2"/>
      <c r="L18" s="2"/>
      <c r="M18" s="2"/>
      <c r="N18" s="2"/>
      <c r="O18" s="2"/>
    </row>
    <row r="19" spans="2:15" ht="15.9" customHeight="1" x14ac:dyDescent="0.3">
      <c r="B19" s="125" t="s">
        <v>3426</v>
      </c>
      <c r="C19" s="129">
        <f>SUMIFS('Bilateral Assistance, MAIN DATA'!S:S,'Bilateral Assistance, MAIN DATA'!D:D,"Financial",'Bilateral Assistance, MAIN DATA'!B:B,'Aggregates by Country Group'!B19)/1000000000</f>
        <v>28.32</v>
      </c>
      <c r="D19" s="129">
        <f>SUMIFS('Bilateral Assistance, MAIN DATA'!S:S,'Bilateral Assistance, MAIN DATA'!D:D,"Humanitarian",'Bilateral Assistance, MAIN DATA'!B:B,'Aggregates by Country Group'!B19)/1000000000</f>
        <v>1.6</v>
      </c>
      <c r="E19" s="129">
        <f>SUMIFS('Bilateral Assistance, MAIN DATA'!S:S,'Bilateral Assistance, MAIN DATA'!D:D,"Military",'Bilateral Assistance, MAIN DATA'!B:B,'Aggregates by Country Group'!B19)/1000000000</f>
        <v>0</v>
      </c>
      <c r="F19" s="284">
        <f t="shared" si="1"/>
        <v>29.92</v>
      </c>
      <c r="G19" s="129"/>
      <c r="H19" s="129"/>
      <c r="I19" s="2"/>
      <c r="J19" s="25"/>
      <c r="K19" s="2"/>
      <c r="L19" s="2"/>
      <c r="M19" s="2"/>
      <c r="N19" s="2"/>
      <c r="O19" s="2"/>
    </row>
    <row r="20" spans="2:15" ht="15.9" customHeight="1" x14ac:dyDescent="0.3">
      <c r="B20" s="125"/>
      <c r="C20" s="129"/>
      <c r="D20" s="129"/>
      <c r="E20" s="129"/>
      <c r="F20" s="129"/>
      <c r="G20" s="129"/>
      <c r="H20" s="129"/>
      <c r="I20" s="2"/>
      <c r="J20" s="25"/>
      <c r="K20" s="2"/>
      <c r="L20" s="2"/>
      <c r="M20" s="2"/>
      <c r="N20" s="2"/>
      <c r="O20" s="2"/>
    </row>
    <row r="21" spans="2:15" ht="15.9" customHeight="1" x14ac:dyDescent="0.3">
      <c r="B21" s="151" t="s">
        <v>3524</v>
      </c>
      <c r="C21" s="152">
        <f>SUM(C22:C27)</f>
        <v>30.514745055550897</v>
      </c>
      <c r="D21" s="152">
        <f t="shared" ref="D21:F21" si="2">SUM(D22:D27)</f>
        <v>4.5428093481072205</v>
      </c>
      <c r="E21" s="152">
        <f t="shared" si="2"/>
        <v>50.890512543189558</v>
      </c>
      <c r="F21" s="152">
        <f t="shared" si="2"/>
        <v>85.948066946847675</v>
      </c>
      <c r="G21" s="129"/>
      <c r="H21" s="129"/>
      <c r="I21" s="2"/>
      <c r="J21" s="25"/>
      <c r="K21" s="2"/>
      <c r="L21" s="2"/>
      <c r="M21" s="2"/>
      <c r="N21" s="2"/>
      <c r="O21" s="2"/>
    </row>
    <row r="22" spans="2:15" ht="15.9" customHeight="1" x14ac:dyDescent="0.3">
      <c r="B22" s="48" t="s">
        <v>3038</v>
      </c>
      <c r="C22" s="140">
        <f>VLOOKUP(B22,'Country Summary'!B:G,3,0)</f>
        <v>25.114285714285714</v>
      </c>
      <c r="D22" s="140">
        <f>VLOOKUP(B22,'Country Summary'!B:G,4,0)</f>
        <v>3.7243038019047616</v>
      </c>
      <c r="E22" s="140">
        <f>VLOOKUP(B22,'Country Summary'!B:G,5,0)</f>
        <v>44.338095238095235</v>
      </c>
      <c r="F22" s="122">
        <f>VLOOKUP(B22,'Country Summary'!B:G,6,0)</f>
        <v>73.176684754285702</v>
      </c>
      <c r="G22" s="129"/>
      <c r="H22" s="129"/>
      <c r="I22" s="2"/>
      <c r="J22" s="25"/>
      <c r="K22" s="2"/>
      <c r="L22" s="2"/>
      <c r="M22" s="2"/>
      <c r="N22" s="2"/>
      <c r="O22" s="2"/>
    </row>
    <row r="23" spans="2:15" ht="15.9" customHeight="1" x14ac:dyDescent="0.3">
      <c r="B23" s="48" t="s">
        <v>2864</v>
      </c>
      <c r="C23" s="140">
        <f>VLOOKUP(B23,'Country Summary'!B:G,3,0)</f>
        <v>3.0199781887370349</v>
      </c>
      <c r="D23" s="140">
        <f>VLOOKUP(B23,'Country Summary'!B:G,4,0)</f>
        <v>0.4002079296205569</v>
      </c>
      <c r="E23" s="140">
        <f>VLOOKUP(B23,'Country Summary'!B:G,5,0)</f>
        <v>4.8864927960823152</v>
      </c>
      <c r="F23" s="122">
        <f>VLOOKUP(B23,'Country Summary'!B:G,6,0)</f>
        <v>8.3066789144399067</v>
      </c>
      <c r="G23" s="129"/>
      <c r="H23" s="129"/>
      <c r="I23" s="2"/>
      <c r="J23" s="25"/>
      <c r="K23" s="2"/>
      <c r="L23" s="2"/>
      <c r="M23" s="2"/>
      <c r="N23" s="2"/>
      <c r="O23" s="2"/>
    </row>
    <row r="24" spans="2:15" ht="15.9" customHeight="1" x14ac:dyDescent="0.3">
      <c r="B24" s="48" t="s">
        <v>517</v>
      </c>
      <c r="C24" s="140">
        <f>VLOOKUP(B24,'Country Summary'!B:G,3,0)</f>
        <v>2.3804811525281488</v>
      </c>
      <c r="D24" s="140">
        <f>VLOOKUP(B24,'Country Summary'!B:G,4,0)</f>
        <v>0.34687740401426675</v>
      </c>
      <c r="E24" s="140">
        <f>VLOOKUP(B24,'Country Summary'!B:G,5,0)</f>
        <v>1.2893734795265364</v>
      </c>
      <c r="F24" s="122">
        <f>VLOOKUP(B24,'Country Summary'!B:G,6,0)</f>
        <v>4.0167320360689516</v>
      </c>
      <c r="G24" s="129"/>
      <c r="H24" s="129"/>
      <c r="I24" s="2"/>
      <c r="J24" s="25"/>
      <c r="K24" s="2"/>
      <c r="L24" s="2"/>
      <c r="M24" s="2"/>
      <c r="N24" s="2"/>
      <c r="O24" s="2"/>
    </row>
    <row r="25" spans="2:15" ht="15.9" customHeight="1" x14ac:dyDescent="0.3">
      <c r="B25" s="48" t="s">
        <v>255</v>
      </c>
      <c r="C25" s="140">
        <f>VLOOKUP(B25,'Country Summary'!B:G,3,0)</f>
        <v>0</v>
      </c>
      <c r="D25" s="140">
        <f>VLOOKUP(B25,'Country Summary'!B:G,4,0)</f>
        <v>6.9014631619836855E-2</v>
      </c>
      <c r="E25" s="140">
        <f>VLOOKUP(B25,'Country Summary'!B:G,5,0)</f>
        <v>0.35821571928007251</v>
      </c>
      <c r="F25" s="122">
        <f>VLOOKUP(B25,'Country Summary'!B:G,6,0)</f>
        <v>0.42723035089990935</v>
      </c>
      <c r="G25" s="129"/>
      <c r="H25" s="129"/>
      <c r="I25" s="2"/>
      <c r="J25" s="25"/>
      <c r="K25" s="2"/>
      <c r="L25" s="2"/>
      <c r="M25" s="2"/>
      <c r="N25" s="2"/>
      <c r="O25" s="2"/>
    </row>
    <row r="26" spans="2:15" ht="15.9" customHeight="1" x14ac:dyDescent="0.3">
      <c r="B26" s="48" t="s">
        <v>2168</v>
      </c>
      <c r="C26" s="140">
        <f>VLOOKUP(B26,'Country Summary'!B:G,3,0)</f>
        <v>0</v>
      </c>
      <c r="D26" s="140">
        <f>VLOOKUP(B26,'Country Summary'!B:G,4,0)</f>
        <v>2.4055809477988932E-3</v>
      </c>
      <c r="E26" s="140">
        <f>VLOOKUP(B26,'Country Summary'!B:G,5,0)</f>
        <v>1.8335310205390792E-2</v>
      </c>
      <c r="F26" s="122">
        <f>VLOOKUP(B26,'Country Summary'!B:G,6,0)</f>
        <v>2.0740891153189684E-2</v>
      </c>
      <c r="G26" s="129"/>
      <c r="H26" s="129"/>
      <c r="I26" s="2"/>
      <c r="J26" s="25"/>
      <c r="K26" s="2"/>
      <c r="L26" s="2"/>
      <c r="M26" s="2"/>
      <c r="N26" s="2"/>
      <c r="O26" s="2"/>
    </row>
    <row r="27" spans="2:15" ht="15.9" customHeight="1" x14ac:dyDescent="0.3">
      <c r="B27" s="48" t="s">
        <v>27</v>
      </c>
      <c r="G27" s="129"/>
      <c r="H27" s="129"/>
    </row>
    <row r="28" spans="2:15" ht="15.9" customHeight="1" x14ac:dyDescent="0.3">
      <c r="B28" s="151" t="s">
        <v>3525</v>
      </c>
      <c r="C28" s="153">
        <f>SUM(C29:C36)</f>
        <v>0.95247075643370149</v>
      </c>
      <c r="D28" s="153">
        <f t="shared" ref="D28:F28" si="3">SUM(D29:D36)</f>
        <v>1.1491677923415857</v>
      </c>
      <c r="E28" s="153">
        <f t="shared" si="3"/>
        <v>0.65924180945956568</v>
      </c>
      <c r="F28" s="153">
        <f t="shared" si="3"/>
        <v>2.7608803582348531</v>
      </c>
      <c r="I28" s="2"/>
      <c r="J28" s="2"/>
      <c r="K28" s="2"/>
      <c r="L28" s="2"/>
      <c r="M28" s="2"/>
      <c r="N28" s="2"/>
      <c r="O28" s="2"/>
    </row>
    <row r="29" spans="2:15" ht="15.9" customHeight="1" x14ac:dyDescent="0.3">
      <c r="B29" s="48" t="s">
        <v>656</v>
      </c>
      <c r="C29" s="122">
        <f>VLOOKUP(B29,'Country Summary'!B:G,3,0)</f>
        <v>0</v>
      </c>
      <c r="D29" s="140">
        <f>VLOOKUP(B29,'Country Summary'!B:G,4,0)</f>
        <v>2.0820320632937745E-3</v>
      </c>
      <c r="E29" s="140">
        <f>VLOOKUP(B29,'Country Summary'!B:G,5,0)</f>
        <v>0</v>
      </c>
      <c r="F29" s="122">
        <f>VLOOKUP(B29,'Country Summary'!B:G,6,0)</f>
        <v>2.0820320632937745E-3</v>
      </c>
      <c r="I29" s="2"/>
      <c r="J29" s="25"/>
      <c r="K29" s="2"/>
      <c r="L29" s="2"/>
      <c r="M29" s="2"/>
      <c r="N29" s="2"/>
      <c r="O29" s="2"/>
    </row>
    <row r="30" spans="2:15" ht="15.9" customHeight="1" x14ac:dyDescent="0.3">
      <c r="B30" s="48" t="s">
        <v>1804</v>
      </c>
      <c r="C30" s="122">
        <f>VLOOKUP(B30,'Country Summary'!B:G,3,0)</f>
        <v>0.57142857142857151</v>
      </c>
      <c r="D30" s="140">
        <f>VLOOKUP(B30,'Country Summary'!B:G,4,0)</f>
        <v>0.47800035238095234</v>
      </c>
      <c r="E30" s="140">
        <f>VLOOKUP(B30,'Country Summary'!B:G,5,0)</f>
        <v>2.3352380952380951E-3</v>
      </c>
      <c r="F30" s="122">
        <f>VLOOKUP(B30,'Country Summary'!B:G,6,0)</f>
        <v>1.051764161904762</v>
      </c>
      <c r="I30" s="2"/>
      <c r="J30" s="25"/>
      <c r="K30" s="2"/>
      <c r="L30" s="2"/>
      <c r="M30" s="2"/>
      <c r="N30" s="2"/>
      <c r="O30" s="2"/>
    </row>
    <row r="31" spans="2:15" ht="15.9" customHeight="1" x14ac:dyDescent="0.3">
      <c r="B31" s="48" t="s">
        <v>2206</v>
      </c>
      <c r="C31" s="122">
        <f>VLOOKUP(B31,'Country Summary'!B:G,3,0)</f>
        <v>0.32207512522473153</v>
      </c>
      <c r="D31" s="140">
        <f>VLOOKUP(B31,'Country Summary'!B:G,4,0)</f>
        <v>0.32351725265111086</v>
      </c>
      <c r="E31" s="140">
        <f>VLOOKUP(B31,'Country Summary'!B:G,5,0)</f>
        <v>0.59214133326908946</v>
      </c>
      <c r="F31" s="122">
        <f>VLOOKUP(B31,'Country Summary'!B:G,6,0)</f>
        <v>1.2377337111449318</v>
      </c>
      <c r="I31" s="2"/>
      <c r="J31" s="25"/>
      <c r="K31" s="2"/>
      <c r="L31" s="2"/>
      <c r="M31" s="2"/>
      <c r="N31" s="2"/>
      <c r="O31" s="2"/>
    </row>
    <row r="32" spans="2:15" ht="15.9" customHeight="1" x14ac:dyDescent="0.3">
      <c r="B32" s="48" t="s">
        <v>2424</v>
      </c>
      <c r="C32" s="122">
        <f>VLOOKUP(B32,'Country Summary'!B:G,3,0)</f>
        <v>0</v>
      </c>
      <c r="D32" s="140">
        <f>VLOOKUP(B32,'Country Summary'!B:G,4,0)</f>
        <v>9.5238095238095261E-2</v>
      </c>
      <c r="E32" s="140">
        <f>VLOOKUP(B32,'Country Summary'!B:G,5,0)</f>
        <v>3.4095238095238093E-3</v>
      </c>
      <c r="F32" s="122">
        <f>VLOOKUP(B32,'Country Summary'!B:G,6,0)</f>
        <v>9.8647619047619067E-2</v>
      </c>
      <c r="I32" s="2"/>
      <c r="J32" s="25"/>
      <c r="K32" s="2"/>
      <c r="L32" s="2"/>
      <c r="M32" s="2"/>
      <c r="N32" s="2"/>
      <c r="O32" s="2"/>
    </row>
    <row r="33" spans="2:15" ht="15.9" customHeight="1" x14ac:dyDescent="0.3">
      <c r="B33" s="48" t="s">
        <v>2792</v>
      </c>
      <c r="C33" s="122">
        <f>VLOOKUP(B33,'Country Summary'!B:G,3,0)</f>
        <v>5.8967059780398533E-2</v>
      </c>
      <c r="D33" s="140">
        <f>VLOOKUP(B33,'Country Summary'!B:G,4,0)</f>
        <v>0.18300122000813338</v>
      </c>
      <c r="E33" s="140">
        <f>VLOOKUP(B33,'Country Summary'!B:G,5,0)</f>
        <v>0</v>
      </c>
      <c r="F33" s="122">
        <f>VLOOKUP(B33,'Country Summary'!B:G,6,0)</f>
        <v>0.24196827978853191</v>
      </c>
      <c r="I33" s="2"/>
      <c r="J33" s="25"/>
      <c r="K33" s="2"/>
      <c r="L33" s="2"/>
      <c r="M33" s="2"/>
      <c r="N33" s="2"/>
      <c r="O33" s="2"/>
    </row>
    <row r="34" spans="2:15" ht="15.9" customHeight="1" x14ac:dyDescent="0.3">
      <c r="B34" s="48" t="s">
        <v>2840</v>
      </c>
      <c r="C34" s="122">
        <f>VLOOKUP(B34,'Country Summary'!B:G,3,0)</f>
        <v>0</v>
      </c>
      <c r="D34" s="140">
        <f>VLOOKUP(B34,'Country Summary'!B:G,4,0)</f>
        <v>6.5238095238095234E-2</v>
      </c>
      <c r="E34" s="140">
        <f>VLOOKUP(B34,'Country Summary'!B:G,5,0)</f>
        <v>0</v>
      </c>
      <c r="F34" s="122">
        <f>VLOOKUP(B34,'Country Summary'!B:G,6,0)</f>
        <v>6.5238095238095234E-2</v>
      </c>
      <c r="I34" s="2"/>
      <c r="J34" s="25"/>
      <c r="K34" s="2"/>
      <c r="L34" s="2"/>
      <c r="M34" s="2"/>
      <c r="N34" s="2"/>
      <c r="O34" s="2"/>
    </row>
    <row r="35" spans="2:15" ht="15.9" customHeight="1" x14ac:dyDescent="0.3">
      <c r="B35" s="48" t="s">
        <v>2820</v>
      </c>
      <c r="C35" s="122">
        <f>VLOOKUP(B35,'Country Summary'!B:G,3,0)</f>
        <v>0</v>
      </c>
      <c r="D35" s="140">
        <f>VLOOKUP(B35,'Country Summary'!B:G,4,0)</f>
        <v>2.3622095238095238E-4</v>
      </c>
      <c r="E35" s="140">
        <f>VLOOKUP(B35,'Country Summary'!B:G,5,0)</f>
        <v>6.1355714285714284E-2</v>
      </c>
      <c r="F35" s="122">
        <f>VLOOKUP(B35,'Country Summary'!B:G,6,0)</f>
        <v>6.1591935238095238E-2</v>
      </c>
      <c r="I35" s="2"/>
      <c r="J35" s="25"/>
      <c r="K35" s="2"/>
      <c r="L35" s="2"/>
      <c r="M35" s="2"/>
      <c r="N35" s="2"/>
      <c r="O35" s="2"/>
    </row>
    <row r="36" spans="2:15" ht="15.9" customHeight="1" x14ac:dyDescent="0.3">
      <c r="B36" s="48" t="s">
        <v>1687</v>
      </c>
      <c r="C36" s="122">
        <f>VLOOKUP(B36,'Country Summary'!B:G,3,0)</f>
        <v>0</v>
      </c>
      <c r="D36" s="140">
        <f>VLOOKUP(B36,'Country Summary'!B:G,4,0)</f>
        <v>1.8545238095238094E-3</v>
      </c>
      <c r="E36" s="140">
        <f>VLOOKUP(B36,'Country Summary'!B:G,5,0)</f>
        <v>0</v>
      </c>
      <c r="F36" s="122">
        <f>VLOOKUP(B36,'Country Summary'!B:G,6,0)</f>
        <v>1.8545238095238094E-3</v>
      </c>
      <c r="I36" s="2"/>
      <c r="J36" s="25"/>
      <c r="K36" s="2"/>
      <c r="L36" s="2"/>
      <c r="M36" s="2"/>
      <c r="N36" s="2"/>
      <c r="O36" s="2"/>
    </row>
    <row r="37" spans="2:15" ht="15.9" customHeight="1" x14ac:dyDescent="0.3">
      <c r="I37" s="2"/>
      <c r="J37" s="25"/>
      <c r="K37" s="2"/>
      <c r="L37" s="2"/>
      <c r="M37" s="2"/>
      <c r="N37" s="2"/>
      <c r="O37" s="2"/>
    </row>
    <row r="38" spans="2:15" ht="15.9" customHeight="1" x14ac:dyDescent="0.3">
      <c r="B38" s="26" t="s">
        <v>3526</v>
      </c>
      <c r="C38" s="126">
        <f>SUM(C39:C42)</f>
        <v>13.271730557248425</v>
      </c>
      <c r="D38" s="126">
        <f t="shared" ref="D38:F38" si="4">SUM(D39:D42)</f>
        <v>0</v>
      </c>
      <c r="E38" s="126">
        <f t="shared" si="4"/>
        <v>0</v>
      </c>
      <c r="F38" s="126">
        <f t="shared" si="4"/>
        <v>13.271730557248425</v>
      </c>
      <c r="I38" s="2"/>
      <c r="J38" s="25"/>
      <c r="K38" s="2"/>
      <c r="L38" s="2"/>
      <c r="M38" s="2"/>
      <c r="N38" s="2"/>
      <c r="O38" s="2"/>
    </row>
    <row r="39" spans="2:15" ht="15.9" customHeight="1" x14ac:dyDescent="0.3">
      <c r="B39" s="23" t="s">
        <v>3527</v>
      </c>
      <c r="C39" s="129">
        <f>SUMIFS('Multilateral Assistance'!S:S,'Multilateral Assistance'!B:B,'Aggregates by Country Group'!B39,'Multilateral Assistance'!D:D,"Financial")/1000000000</f>
        <v>3.2707781762960444</v>
      </c>
      <c r="D39" s="129">
        <f>SUMIFS('Multilateral Assistance'!S:S,'Multilateral Assistance'!B:B,'Aggregates by Country Group'!B39,'Multilateral Assistance'!D:D,"Humanitarian")/1000000000</f>
        <v>0</v>
      </c>
      <c r="E39" s="129">
        <f>SUMIFS('Multilateral Assistance'!S:S,'Multilateral Assistance'!B:B,'Aggregates by Country Group'!B39,'Multilateral Assistance'!D:D,"Military")/1000000000</f>
        <v>0</v>
      </c>
      <c r="F39" s="130">
        <f>SUM(C39:E39)</f>
        <v>3.2707781762960444</v>
      </c>
      <c r="I39" s="2"/>
      <c r="J39" s="25"/>
      <c r="K39" s="2"/>
      <c r="L39" s="2"/>
      <c r="M39" s="2"/>
      <c r="N39" s="2"/>
      <c r="O39" s="2"/>
    </row>
    <row r="40" spans="2:15" ht="15.9" customHeight="1" x14ac:dyDescent="0.3">
      <c r="B40" s="23" t="s">
        <v>3528</v>
      </c>
      <c r="C40" s="129">
        <f>SUMIFS('Multilateral Assistance'!S:S,'Multilateral Assistance'!B:B,'Aggregates by Country Group'!B40,'Multilateral Assistance'!D:D,"Financial")/1000000000</f>
        <v>2.8571428571428572</v>
      </c>
      <c r="D40" s="129">
        <f>SUMIFS('Multilateral Assistance'!S:S,'Multilateral Assistance'!B:B,'Aggregates by Country Group'!B40,'Multilateral Assistance'!D:D,"Humanitarian")/1000000000</f>
        <v>0</v>
      </c>
      <c r="E40" s="129">
        <f>SUMIFS('Multilateral Assistance'!S:S,'Multilateral Assistance'!B:B,'Aggregates by Country Group'!B40,'Multilateral Assistance'!D:D,"Military")/1000000000</f>
        <v>0</v>
      </c>
      <c r="F40" s="130">
        <f t="shared" ref="F40:F42" si="5">SUM(C40:E40)</f>
        <v>2.8571428571428572</v>
      </c>
      <c r="I40" s="2"/>
      <c r="J40" s="25"/>
      <c r="K40" s="2"/>
      <c r="L40" s="2"/>
      <c r="M40" s="2"/>
      <c r="N40" s="2"/>
      <c r="O40" s="2"/>
    </row>
    <row r="41" spans="2:15" ht="15.9" customHeight="1" x14ac:dyDescent="0.3">
      <c r="B41" s="23" t="s">
        <v>3529</v>
      </c>
      <c r="C41" s="129">
        <f>SUMIFS('Multilateral Assistance'!S:S,'Multilateral Assistance'!B:B,'Aggregates by Country Group'!B41,'Multilateral Assistance'!D:D,"Financial")/1000000000</f>
        <v>5.5238095238095239E-2</v>
      </c>
      <c r="D41" s="129">
        <f>SUMIFS('Multilateral Assistance'!S:S,'Multilateral Assistance'!B:B,'Aggregates by Country Group'!B41,'Multilateral Assistance'!D:D,"Humanitarian")/1000000000</f>
        <v>0</v>
      </c>
      <c r="E41" s="129">
        <f>SUMIFS('Multilateral Assistance'!S:S,'Multilateral Assistance'!B:B,'Aggregates by Country Group'!B41,'Multilateral Assistance'!D:D,"Military")/1000000000</f>
        <v>0</v>
      </c>
      <c r="F41" s="130">
        <f t="shared" si="5"/>
        <v>5.5238095238095239E-2</v>
      </c>
      <c r="I41" s="2"/>
      <c r="J41" s="25"/>
      <c r="K41" s="2"/>
      <c r="L41" s="2"/>
      <c r="M41" s="2"/>
      <c r="N41" s="2"/>
      <c r="O41" s="2"/>
    </row>
    <row r="42" spans="2:15" ht="15.9" customHeight="1" x14ac:dyDescent="0.3">
      <c r="B42" s="23" t="s">
        <v>3530</v>
      </c>
      <c r="C42" s="129">
        <f>SUMIFS('Multilateral Assistance'!S:S,'Multilateral Assistance'!B:B,'Aggregates by Country Group'!B42,'Multilateral Assistance'!D:D,"Financial")/1000000000</f>
        <v>7.0885714285714281</v>
      </c>
      <c r="D42" s="129">
        <f>SUMIFS('Multilateral Assistance'!S:S,'Multilateral Assistance'!B:B,'Aggregates by Country Group'!B42,'Multilateral Assistance'!D:D,"Humanitarian")/1000000000</f>
        <v>0</v>
      </c>
      <c r="E42" s="129">
        <f>SUMIFS('Multilateral Assistance'!S:S,'Multilateral Assistance'!B:B,'Aggregates by Country Group'!B42,'Multilateral Assistance'!D:D,"Military")/1000000000</f>
        <v>0</v>
      </c>
      <c r="F42" s="130">
        <f t="shared" si="5"/>
        <v>7.0885714285714281</v>
      </c>
      <c r="I42" s="2"/>
      <c r="J42" s="25"/>
      <c r="K42" s="2"/>
      <c r="L42" s="2"/>
      <c r="M42" s="2"/>
      <c r="N42" s="2"/>
      <c r="O42" s="2"/>
    </row>
    <row r="43" spans="2:15" ht="15.9" customHeight="1" x14ac:dyDescent="0.3">
      <c r="I43" s="2"/>
      <c r="J43" s="25"/>
      <c r="K43" s="2"/>
      <c r="L43" s="2"/>
      <c r="M43" s="2"/>
      <c r="N43" s="2"/>
      <c r="O43" s="2"/>
    </row>
    <row r="44" spans="2:15" ht="15.9" customHeight="1" x14ac:dyDescent="0.3">
      <c r="I44" s="2"/>
      <c r="J44" s="25"/>
      <c r="K44" s="2"/>
      <c r="L44" s="2"/>
      <c r="M44" s="2"/>
      <c r="N44" s="2"/>
      <c r="O44" s="2"/>
    </row>
    <row r="45" spans="2:15" ht="15.9" customHeight="1" x14ac:dyDescent="0.3">
      <c r="F45" s="791"/>
      <c r="I45" s="2"/>
      <c r="J45" s="25"/>
      <c r="K45" s="2"/>
      <c r="L45" s="2"/>
      <c r="M45" s="2"/>
      <c r="N45" s="2"/>
      <c r="O45" s="2"/>
    </row>
    <row r="46" spans="2:15" ht="15.9" customHeight="1" x14ac:dyDescent="0.3">
      <c r="I46" s="2"/>
      <c r="J46" s="25"/>
      <c r="K46" s="2"/>
      <c r="L46" s="2"/>
      <c r="M46" s="2"/>
      <c r="N46" s="2"/>
      <c r="O46" s="2"/>
    </row>
    <row r="47" spans="2:15" ht="15.9" customHeight="1" x14ac:dyDescent="0.3">
      <c r="I47" s="2"/>
      <c r="J47" s="25"/>
      <c r="K47" s="2"/>
      <c r="L47" s="2"/>
      <c r="M47" s="2"/>
      <c r="N47" s="2"/>
      <c r="O47" s="2"/>
    </row>
    <row r="48" spans="2:15" ht="15.9" customHeight="1" x14ac:dyDescent="0.3">
      <c r="I48" s="2"/>
      <c r="J48" s="25"/>
      <c r="K48" s="2"/>
      <c r="L48" s="2"/>
      <c r="M48" s="2"/>
      <c r="N48" s="2"/>
      <c r="O48" s="2"/>
    </row>
    <row r="49" spans="9:15" ht="15.9" customHeight="1" x14ac:dyDescent="0.3">
      <c r="I49" s="2"/>
      <c r="J49" s="25"/>
      <c r="K49" s="2"/>
      <c r="L49" s="2"/>
      <c r="M49" s="2"/>
      <c r="N49" s="2"/>
      <c r="O49" s="2"/>
    </row>
    <row r="50" spans="9:15" ht="15.9" customHeight="1" x14ac:dyDescent="0.3">
      <c r="I50" s="2"/>
      <c r="J50" s="25"/>
      <c r="K50" s="2"/>
      <c r="L50" s="2"/>
      <c r="M50" s="2"/>
      <c r="N50" s="2"/>
      <c r="O50" s="2"/>
    </row>
    <row r="51" spans="9:15" ht="15.9" customHeight="1" x14ac:dyDescent="0.3">
      <c r="I51" s="2"/>
      <c r="J51" s="25"/>
      <c r="K51" s="2"/>
      <c r="L51" s="2"/>
      <c r="M51" s="2"/>
      <c r="N51" s="2"/>
      <c r="O51" s="2"/>
    </row>
    <row r="52" spans="9:15" ht="15.9" customHeight="1" x14ac:dyDescent="0.3">
      <c r="I52" s="2"/>
      <c r="J52" s="25"/>
      <c r="K52" s="2"/>
      <c r="L52" s="2"/>
      <c r="M52" s="2"/>
      <c r="N52" s="2"/>
      <c r="O52" s="2"/>
    </row>
    <row r="53" spans="9:15" ht="15.9" customHeight="1" x14ac:dyDescent="0.3">
      <c r="I53" s="2"/>
      <c r="J53" s="25"/>
      <c r="K53" s="2"/>
      <c r="L53" s="2"/>
      <c r="M53" s="2"/>
      <c r="N53" s="2"/>
      <c r="O53" s="2"/>
    </row>
    <row r="54" spans="9:15" ht="15.9" customHeight="1" x14ac:dyDescent="0.3">
      <c r="I54" s="2"/>
      <c r="J54" s="25"/>
      <c r="K54" s="2"/>
      <c r="L54" s="2"/>
      <c r="M54" s="2"/>
      <c r="N54" s="2"/>
      <c r="O54" s="2"/>
    </row>
    <row r="55" spans="9:15" ht="15.9" customHeight="1" x14ac:dyDescent="0.3">
      <c r="I55" s="2"/>
      <c r="J55" s="25"/>
      <c r="K55" s="2"/>
      <c r="L55" s="2"/>
      <c r="M55" s="2"/>
      <c r="N55" s="2"/>
      <c r="O55" s="2"/>
    </row>
    <row r="56" spans="9:15" ht="15.9" customHeight="1" x14ac:dyDescent="0.3">
      <c r="I56" s="2"/>
      <c r="J56" s="25"/>
      <c r="K56" s="2"/>
      <c r="L56" s="2"/>
      <c r="M56" s="2"/>
      <c r="N56" s="2"/>
      <c r="O56" s="2"/>
    </row>
    <row r="57" spans="9:15" ht="15.9" customHeight="1" x14ac:dyDescent="0.3">
      <c r="I57" s="2"/>
      <c r="J57" s="25"/>
      <c r="K57" s="2"/>
      <c r="L57" s="2"/>
      <c r="M57" s="2"/>
      <c r="N57" s="2"/>
      <c r="O57" s="2"/>
    </row>
    <row r="58" spans="9:15" ht="15.9" customHeight="1" x14ac:dyDescent="0.3">
      <c r="I58" s="2"/>
      <c r="J58" s="25"/>
      <c r="K58" s="2"/>
      <c r="L58" s="2"/>
      <c r="M58" s="2"/>
      <c r="N58" s="2"/>
      <c r="O58" s="2"/>
    </row>
    <row r="59" spans="9:15" ht="15.9" customHeight="1" x14ac:dyDescent="0.3">
      <c r="I59" s="2"/>
      <c r="J59" s="25"/>
      <c r="K59" s="2"/>
      <c r="L59" s="2"/>
      <c r="M59" s="2"/>
      <c r="N59" s="2"/>
      <c r="O59" s="2"/>
    </row>
    <row r="60" spans="9:15" ht="15.9" customHeight="1" x14ac:dyDescent="0.3">
      <c r="I60" s="2"/>
      <c r="J60" s="25"/>
      <c r="K60" s="2"/>
      <c r="L60" s="2"/>
      <c r="M60" s="2"/>
      <c r="N60" s="2"/>
      <c r="O60" s="2"/>
    </row>
    <row r="61" spans="9:15" ht="15.9" customHeight="1" x14ac:dyDescent="0.3">
      <c r="I61" s="2"/>
      <c r="J61" s="25"/>
      <c r="K61" s="2"/>
      <c r="L61" s="2"/>
      <c r="M61" s="2"/>
      <c r="N61" s="2"/>
      <c r="O61" s="2"/>
    </row>
    <row r="62" spans="9:15" ht="15.9" customHeight="1" x14ac:dyDescent="0.3">
      <c r="I62" s="2"/>
      <c r="J62" s="2"/>
      <c r="K62" s="2"/>
      <c r="L62" s="2"/>
      <c r="M62" s="2"/>
      <c r="N62" s="2"/>
      <c r="O62" s="2"/>
    </row>
    <row r="63" spans="9:15" ht="15.9" customHeight="1" x14ac:dyDescent="0.3">
      <c r="I63" s="2"/>
      <c r="J63" s="28"/>
      <c r="K63" s="2"/>
      <c r="L63" s="2"/>
      <c r="M63" s="2"/>
      <c r="N63" s="2"/>
      <c r="O63" s="2"/>
    </row>
    <row r="64" spans="9:15" ht="15.9" customHeight="1" x14ac:dyDescent="0.3">
      <c r="I64" s="2"/>
      <c r="J64" s="25"/>
      <c r="K64" s="2"/>
      <c r="L64" s="2"/>
      <c r="M64" s="2"/>
      <c r="N64" s="2"/>
      <c r="O64" s="2"/>
    </row>
    <row r="65" spans="9:15" ht="15.9" customHeight="1" x14ac:dyDescent="0.3">
      <c r="I65" s="2"/>
      <c r="J65" s="25"/>
      <c r="K65" s="2"/>
      <c r="L65" s="2"/>
      <c r="M65" s="2"/>
      <c r="N65" s="2"/>
      <c r="O65" s="2"/>
    </row>
    <row r="66" spans="9:15" ht="15.9" customHeight="1" x14ac:dyDescent="0.3">
      <c r="I66" s="2"/>
      <c r="J66" s="25"/>
      <c r="K66" s="2"/>
      <c r="L66" s="2"/>
      <c r="M66" s="2"/>
      <c r="N66" s="2"/>
      <c r="O66" s="2"/>
    </row>
    <row r="67" spans="9:15" ht="15.9" customHeight="1" x14ac:dyDescent="0.3">
      <c r="I67" s="2"/>
      <c r="J67" s="25"/>
      <c r="K67" s="2"/>
      <c r="L67" s="2"/>
      <c r="M67" s="2"/>
      <c r="N67" s="2"/>
      <c r="O67" s="2"/>
    </row>
    <row r="68" spans="9:15" ht="15.9" customHeight="1" x14ac:dyDescent="0.3">
      <c r="I68" s="2"/>
      <c r="J68" s="29"/>
      <c r="K68" s="2"/>
      <c r="L68" s="2"/>
      <c r="M68" s="2"/>
      <c r="N68" s="2"/>
      <c r="O68" s="2"/>
    </row>
    <row r="69" spans="9:15" ht="15.9" customHeight="1" x14ac:dyDescent="0.3">
      <c r="I69" s="2"/>
      <c r="J69" s="25"/>
      <c r="K69" s="2"/>
      <c r="L69" s="2"/>
      <c r="M69" s="2"/>
      <c r="N69" s="2"/>
      <c r="O69" s="2"/>
    </row>
    <row r="70" spans="9:15" ht="15.9" customHeight="1" x14ac:dyDescent="0.3">
      <c r="I70" s="2"/>
      <c r="J70" s="25"/>
      <c r="K70" s="2"/>
      <c r="L70" s="2"/>
      <c r="M70" s="2"/>
      <c r="N70" s="2"/>
      <c r="O70" s="2"/>
    </row>
    <row r="71" spans="9:15" ht="15.9" customHeight="1" x14ac:dyDescent="0.3">
      <c r="I71" s="2"/>
      <c r="J71" s="25"/>
      <c r="K71" s="2"/>
      <c r="L71" s="2"/>
      <c r="M71" s="2"/>
      <c r="N71" s="2"/>
      <c r="O71" s="2"/>
    </row>
    <row r="72" spans="9:15" ht="15.9" customHeight="1" x14ac:dyDescent="0.3">
      <c r="K72" s="2"/>
      <c r="L72" s="2"/>
      <c r="M72" s="2"/>
      <c r="N72" s="2"/>
      <c r="O72" s="2"/>
    </row>
    <row r="73" spans="9:15" ht="15.9" customHeight="1" x14ac:dyDescent="0.3">
      <c r="I73" s="2"/>
      <c r="J73" s="2"/>
      <c r="K73" s="2"/>
      <c r="L73" s="2"/>
      <c r="M73" s="2"/>
      <c r="N73" s="2"/>
      <c r="O73" s="2"/>
    </row>
    <row r="74" spans="9:15" ht="15.9" customHeight="1" x14ac:dyDescent="0.3">
      <c r="I74" s="2"/>
      <c r="J74" s="2"/>
      <c r="K74" s="2"/>
      <c r="L74" s="2"/>
      <c r="M74" s="2"/>
      <c r="N74" s="2"/>
      <c r="O74" s="2"/>
    </row>
    <row r="75" spans="9:15" ht="15.9" customHeight="1" x14ac:dyDescent="0.3">
      <c r="I75" s="2"/>
      <c r="J75" s="2"/>
      <c r="K75" s="2"/>
      <c r="L75" s="2"/>
      <c r="M75" s="2"/>
      <c r="N75" s="2"/>
      <c r="O75" s="2"/>
    </row>
    <row r="76" spans="9:15" ht="15.9" customHeight="1" x14ac:dyDescent="0.3">
      <c r="I76" s="2"/>
      <c r="J76" s="2"/>
      <c r="K76" s="2"/>
      <c r="L76" s="2"/>
      <c r="M76" s="2"/>
      <c r="N76" s="2"/>
      <c r="O76" s="2"/>
    </row>
    <row r="77" spans="9:15" ht="15.9" customHeight="1" x14ac:dyDescent="0.3">
      <c r="I77" s="2"/>
      <c r="J77" s="2"/>
      <c r="K77" s="2"/>
      <c r="L77" s="2"/>
      <c r="M77" s="2"/>
      <c r="N77" s="2"/>
      <c r="O77" s="2"/>
    </row>
    <row r="78" spans="9:15" ht="15.9" customHeight="1" x14ac:dyDescent="0.3">
      <c r="I78" s="2"/>
      <c r="J78" s="2"/>
      <c r="K78" s="2"/>
      <c r="L78" s="2"/>
      <c r="M78" s="2"/>
      <c r="N78" s="2"/>
      <c r="O78" s="2"/>
    </row>
    <row r="79" spans="9:15" ht="15.9" customHeight="1" x14ac:dyDescent="0.3">
      <c r="I79" s="2"/>
      <c r="J79" s="2"/>
      <c r="K79" s="2"/>
      <c r="L79" s="2"/>
      <c r="M79" s="2"/>
      <c r="N79" s="2"/>
      <c r="O79" s="2"/>
    </row>
    <row r="80" spans="9:15" ht="15.9" customHeight="1" x14ac:dyDescent="0.3">
      <c r="I80" s="2"/>
      <c r="J80" s="2"/>
      <c r="K80" s="2"/>
      <c r="L80" s="2"/>
      <c r="M80" s="2"/>
      <c r="N80" s="2"/>
      <c r="O80" s="2"/>
    </row>
    <row r="81" spans="9:15" ht="15.9" customHeight="1" x14ac:dyDescent="0.3">
      <c r="I81" s="2"/>
      <c r="J81" s="2"/>
      <c r="K81" s="2"/>
      <c r="L81" s="2"/>
      <c r="M81" s="2"/>
      <c r="N81" s="2"/>
      <c r="O81" s="2"/>
    </row>
    <row r="82" spans="9:15" ht="15.9" customHeight="1" x14ac:dyDescent="0.3">
      <c r="I82" s="2"/>
      <c r="J82" s="2"/>
      <c r="K82" s="2"/>
      <c r="L82" s="2"/>
      <c r="M82" s="2"/>
      <c r="N82" s="2"/>
      <c r="O82" s="2"/>
    </row>
    <row r="83" spans="9:15" ht="15.9" customHeight="1" x14ac:dyDescent="0.3">
      <c r="I83" s="2"/>
      <c r="J83" s="2"/>
      <c r="K83" s="2"/>
      <c r="L83" s="2"/>
      <c r="M83" s="2"/>
      <c r="N83" s="2"/>
      <c r="O83" s="2"/>
    </row>
    <row r="84" spans="9:15" ht="15.9" customHeight="1" x14ac:dyDescent="0.3">
      <c r="I84" s="2"/>
      <c r="J84" s="2"/>
      <c r="K84" s="2"/>
      <c r="L84" s="2"/>
      <c r="M84" s="2"/>
      <c r="N84" s="2"/>
      <c r="O84" s="2"/>
    </row>
    <row r="85" spans="9:15" ht="15.9" customHeight="1" x14ac:dyDescent="0.3">
      <c r="I85" s="2"/>
      <c r="J85" s="2"/>
      <c r="K85" s="2"/>
      <c r="L85" s="2"/>
      <c r="M85" s="2"/>
      <c r="N85" s="2"/>
      <c r="O85" s="2"/>
    </row>
    <row r="86" spans="9:15" ht="15.9" customHeight="1" x14ac:dyDescent="0.3">
      <c r="I86" s="2"/>
      <c r="J86" s="2"/>
      <c r="K86" s="2"/>
      <c r="L86" s="2"/>
      <c r="M86" s="2"/>
      <c r="N86" s="2"/>
      <c r="O86" s="2"/>
    </row>
    <row r="87" spans="9:15" ht="15.9" customHeight="1" x14ac:dyDescent="0.3">
      <c r="I87" s="2"/>
      <c r="J87" s="2"/>
      <c r="K87" s="2"/>
      <c r="L87" s="2"/>
      <c r="M87" s="2"/>
      <c r="N87" s="2"/>
      <c r="O87" s="2"/>
    </row>
    <row r="88" spans="9:15" ht="15.9" customHeight="1" x14ac:dyDescent="0.3">
      <c r="I88" s="2"/>
      <c r="J88" s="2"/>
      <c r="K88" s="2"/>
      <c r="L88" s="2"/>
      <c r="M88" s="2"/>
      <c r="N88" s="2"/>
      <c r="O88" s="2"/>
    </row>
    <row r="89" spans="9:15" ht="15.9" customHeight="1" x14ac:dyDescent="0.3">
      <c r="I89" s="2"/>
      <c r="J89" s="2"/>
      <c r="K89" s="2"/>
      <c r="L89" s="2"/>
      <c r="M89" s="2"/>
      <c r="N89" s="2"/>
      <c r="O89" s="2"/>
    </row>
    <row r="90" spans="9:15" ht="15.9" customHeight="1" x14ac:dyDescent="0.3">
      <c r="I90" s="2"/>
      <c r="J90" s="2"/>
      <c r="K90" s="2"/>
      <c r="L90" s="2"/>
      <c r="M90" s="2"/>
      <c r="N90" s="2"/>
      <c r="O90" s="2"/>
    </row>
    <row r="91" spans="9:15" ht="15.9" customHeight="1" x14ac:dyDescent="0.3">
      <c r="I91" s="2"/>
      <c r="J91" s="2"/>
      <c r="K91" s="2"/>
      <c r="L91" s="2"/>
      <c r="M91" s="2"/>
      <c r="N91" s="2"/>
      <c r="O91" s="2"/>
    </row>
    <row r="92" spans="9:15" ht="15.9" customHeight="1" x14ac:dyDescent="0.3">
      <c r="I92" s="2"/>
      <c r="J92" s="2"/>
      <c r="K92" s="2"/>
      <c r="L92" s="2"/>
      <c r="M92" s="2"/>
      <c r="N92" s="2"/>
      <c r="O92" s="2"/>
    </row>
    <row r="93" spans="9:15" ht="15.9" customHeight="1" x14ac:dyDescent="0.3">
      <c r="I93" s="2"/>
      <c r="J93" s="2"/>
      <c r="K93" s="2"/>
      <c r="L93" s="2"/>
      <c r="M93" s="2"/>
      <c r="N93" s="2"/>
      <c r="O93" s="2"/>
    </row>
    <row r="94" spans="9:15" ht="15.9" customHeight="1" x14ac:dyDescent="0.3">
      <c r="I94" s="2"/>
      <c r="J94" s="2"/>
      <c r="K94" s="2"/>
      <c r="L94" s="2"/>
      <c r="M94" s="2"/>
      <c r="N94" s="2"/>
      <c r="O94" s="2"/>
    </row>
    <row r="95" spans="9:15" ht="15.9" customHeight="1" x14ac:dyDescent="0.3">
      <c r="I95" s="2"/>
      <c r="J95" s="2"/>
      <c r="K95" s="2"/>
      <c r="L95" s="2"/>
      <c r="M95" s="2"/>
      <c r="N95" s="2"/>
      <c r="O95" s="2"/>
    </row>
    <row r="96" spans="9:15" ht="15.9" customHeight="1" x14ac:dyDescent="0.3">
      <c r="I96" s="2"/>
      <c r="J96" s="2"/>
      <c r="K96" s="2"/>
      <c r="L96" s="2"/>
      <c r="M96" s="2"/>
      <c r="N96" s="2"/>
      <c r="O96" s="2"/>
    </row>
    <row r="97" spans="9:15" ht="15.9" customHeight="1" x14ac:dyDescent="0.3">
      <c r="I97" s="2"/>
      <c r="J97" s="2"/>
      <c r="K97" s="2"/>
      <c r="L97" s="2"/>
      <c r="M97" s="2"/>
      <c r="N97" s="2"/>
      <c r="O97" s="2"/>
    </row>
    <row r="98" spans="9:15" ht="15.9" customHeight="1" x14ac:dyDescent="0.3">
      <c r="I98" s="2"/>
      <c r="J98" s="2"/>
      <c r="K98" s="2"/>
      <c r="L98" s="2"/>
      <c r="M98" s="2"/>
      <c r="N98" s="2"/>
      <c r="O98" s="2"/>
    </row>
    <row r="99" spans="9:15" ht="15.9" customHeight="1" x14ac:dyDescent="0.3">
      <c r="I99" s="2"/>
      <c r="J99" s="2"/>
      <c r="K99" s="2"/>
      <c r="L99" s="2"/>
      <c r="M99" s="2"/>
      <c r="N99" s="2"/>
      <c r="O99" s="2"/>
    </row>
    <row r="100" spans="9:15" ht="15.9" customHeight="1" x14ac:dyDescent="0.3">
      <c r="I100" s="2"/>
      <c r="J100" s="2"/>
      <c r="K100" s="2"/>
      <c r="L100" s="2"/>
      <c r="M100" s="2"/>
      <c r="N100" s="2"/>
      <c r="O100" s="2"/>
    </row>
    <row r="101" spans="9:15" ht="15.9" customHeight="1" x14ac:dyDescent="0.3">
      <c r="I101" s="2"/>
      <c r="J101" s="2"/>
      <c r="K101" s="2"/>
      <c r="L101" s="2"/>
      <c r="M101" s="2"/>
      <c r="N101" s="2"/>
      <c r="O101" s="2"/>
    </row>
    <row r="102" spans="9:15" ht="15.9" customHeight="1" x14ac:dyDescent="0.3">
      <c r="I102" s="2"/>
      <c r="J102" s="2"/>
      <c r="K102" s="2"/>
      <c r="L102" s="2"/>
      <c r="M102" s="2"/>
      <c r="N102" s="2"/>
      <c r="O102" s="2"/>
    </row>
    <row r="103" spans="9:15" ht="15.9" customHeight="1" x14ac:dyDescent="0.3">
      <c r="I103" s="2"/>
      <c r="J103" s="2"/>
      <c r="K103" s="2"/>
      <c r="L103" s="2"/>
      <c r="M103" s="2"/>
      <c r="N103" s="2"/>
      <c r="O103" s="2"/>
    </row>
    <row r="104" spans="9:15" ht="15.9" customHeight="1" x14ac:dyDescent="0.3">
      <c r="I104" s="2"/>
      <c r="J104" s="2"/>
      <c r="K104" s="2"/>
      <c r="L104" s="2"/>
      <c r="M104" s="2"/>
      <c r="N104" s="2"/>
      <c r="O104" s="2"/>
    </row>
    <row r="105" spans="9:15" ht="15.9" customHeight="1" x14ac:dyDescent="0.3">
      <c r="I105" s="2"/>
      <c r="J105" s="2"/>
      <c r="K105" s="2"/>
      <c r="L105" s="2"/>
      <c r="M105" s="2"/>
      <c r="N105" s="2"/>
      <c r="O105" s="2"/>
    </row>
    <row r="106" spans="9:15" ht="15.9" customHeight="1" x14ac:dyDescent="0.3">
      <c r="I106" s="2"/>
      <c r="J106" s="2"/>
      <c r="K106" s="2"/>
      <c r="L106" s="2"/>
      <c r="M106" s="2"/>
      <c r="N106" s="2"/>
      <c r="O106" s="2"/>
    </row>
    <row r="107" spans="9:15" ht="15.9" customHeight="1" x14ac:dyDescent="0.3">
      <c r="K107" s="2"/>
      <c r="L107" s="2"/>
      <c r="M107" s="2"/>
      <c r="N107" s="2"/>
      <c r="O107" s="2"/>
    </row>
    <row r="108" spans="9:15" ht="15.9" customHeight="1" x14ac:dyDescent="0.3">
      <c r="K108" s="2"/>
      <c r="L108" s="2"/>
      <c r="M108" s="2"/>
      <c r="N108" s="2"/>
      <c r="O108" s="2"/>
    </row>
    <row r="109" spans="9:15" ht="15.9" customHeight="1" x14ac:dyDescent="0.3">
      <c r="K109" s="2"/>
      <c r="L109" s="2"/>
      <c r="M109" s="2"/>
      <c r="N109" s="2"/>
      <c r="O109" s="2"/>
    </row>
    <row r="110" spans="9:15" ht="15.9" customHeight="1" x14ac:dyDescent="0.3">
      <c r="K110" s="2"/>
      <c r="L110" s="2"/>
      <c r="M110" s="2"/>
      <c r="N110" s="2"/>
      <c r="O110" s="2"/>
    </row>
    <row r="111" spans="9:15" ht="15.9" customHeight="1" x14ac:dyDescent="0.3">
      <c r="K111" s="2"/>
      <c r="L111" s="2"/>
      <c r="M111" s="2"/>
      <c r="N111" s="2"/>
      <c r="O111" s="2"/>
    </row>
    <row r="112" spans="9:15" ht="15.9" customHeight="1" x14ac:dyDescent="0.3">
      <c r="K112" s="2"/>
      <c r="L112" s="2"/>
      <c r="M112" s="2"/>
      <c r="N112" s="2"/>
      <c r="O112" s="2"/>
    </row>
    <row r="113" spans="11:15" ht="15.9" customHeight="1" x14ac:dyDescent="0.3">
      <c r="K113" s="2"/>
      <c r="L113" s="2"/>
      <c r="M113" s="2"/>
      <c r="N113" s="2"/>
      <c r="O113" s="2"/>
    </row>
    <row r="114" spans="11:15" ht="15.9" customHeight="1" x14ac:dyDescent="0.3">
      <c r="K114" s="2"/>
      <c r="L114" s="2"/>
      <c r="M114" s="2"/>
      <c r="N114" s="2"/>
      <c r="O114" s="2"/>
    </row>
    <row r="115" spans="11:15" ht="15.9" customHeight="1" x14ac:dyDescent="0.3">
      <c r="K115" s="2"/>
      <c r="L115" s="2"/>
      <c r="M115" s="2"/>
      <c r="N115" s="2"/>
      <c r="O115" s="2"/>
    </row>
  </sheetData>
  <sortState ref="B40:B42">
    <sortCondition ref="B39:B42"/>
  </sortState>
  <mergeCells count="2">
    <mergeCell ref="B11:B12"/>
    <mergeCell ref="B4:F9"/>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5" tint="0.59999389629810485"/>
  </sheetPr>
  <dimension ref="A1:R174"/>
  <sheetViews>
    <sheetView showGridLines="0" zoomScaleNormal="100" workbookViewId="0"/>
  </sheetViews>
  <sheetFormatPr baseColWidth="10" defaultColWidth="8.59765625" defaultRowHeight="15.9" customHeight="1" x14ac:dyDescent="0.3"/>
  <cols>
    <col min="1" max="1" width="8.59765625" style="3" customWidth="1"/>
    <col min="2" max="2" width="25.5" style="24" customWidth="1"/>
    <col min="3" max="3" width="10.5" style="339" bestFit="1" customWidth="1"/>
    <col min="4" max="12" width="20.59765625" style="108" customWidth="1"/>
    <col min="13" max="13" width="20.59765625" style="344" customWidth="1"/>
    <col min="14" max="15" width="20.59765625" style="108" customWidth="1"/>
    <col min="16" max="16" width="20.59765625" style="140" customWidth="1"/>
    <col min="17" max="17" width="8.59765625" style="24" customWidth="1"/>
    <col min="18" max="16384" width="8.59765625" style="24"/>
  </cols>
  <sheetData>
    <row r="1" spans="1:18" s="735" customFormat="1" ht="15.9" customHeight="1" x14ac:dyDescent="0.3">
      <c r="P1" s="746"/>
    </row>
    <row r="2" spans="1:18" s="737" customFormat="1" ht="24.75" customHeight="1" x14ac:dyDescent="0.35">
      <c r="A2" s="735"/>
      <c r="B2" s="736" t="s">
        <v>5335</v>
      </c>
      <c r="P2" s="752"/>
    </row>
    <row r="3" spans="1:18" s="737" customFormat="1" ht="15.9" customHeight="1" x14ac:dyDescent="0.35">
      <c r="A3" s="735"/>
      <c r="B3" s="738"/>
      <c r="E3" s="739"/>
      <c r="P3" s="752"/>
    </row>
    <row r="4" spans="1:18" s="737" customFormat="1" ht="15.9" customHeight="1" x14ac:dyDescent="0.3">
      <c r="A4" s="735"/>
      <c r="B4" s="1178" t="s">
        <v>5342</v>
      </c>
      <c r="C4" s="1178"/>
      <c r="D4" s="1178"/>
      <c r="E4" s="1178"/>
      <c r="F4" s="1178"/>
      <c r="P4" s="752"/>
    </row>
    <row r="5" spans="1:18" s="737" customFormat="1" ht="15.9" customHeight="1" x14ac:dyDescent="0.3">
      <c r="A5" s="735"/>
      <c r="B5" s="1178"/>
      <c r="C5" s="1178"/>
      <c r="D5" s="1178"/>
      <c r="E5" s="1178"/>
      <c r="F5" s="1178"/>
      <c r="P5" s="752"/>
    </row>
    <row r="6" spans="1:18" s="737" customFormat="1" ht="15.9" customHeight="1" x14ac:dyDescent="0.3">
      <c r="A6" s="735"/>
      <c r="B6" s="1178"/>
      <c r="C6" s="1178"/>
      <c r="D6" s="1178"/>
      <c r="E6" s="1178"/>
      <c r="F6" s="1178"/>
      <c r="P6" s="752"/>
    </row>
    <row r="7" spans="1:18" s="737" customFormat="1" ht="15.9" customHeight="1" x14ac:dyDescent="0.3">
      <c r="A7" s="735"/>
      <c r="B7" s="1178"/>
      <c r="C7" s="1178"/>
      <c r="D7" s="1178"/>
      <c r="E7" s="1178"/>
      <c r="F7" s="1178"/>
      <c r="P7" s="752"/>
    </row>
    <row r="8" spans="1:18" s="737" customFormat="1" ht="15.9" customHeight="1" x14ac:dyDescent="0.3">
      <c r="A8" s="735"/>
      <c r="B8" s="1178"/>
      <c r="C8" s="1178"/>
      <c r="D8" s="1178"/>
      <c r="E8" s="1178"/>
      <c r="F8" s="1178"/>
      <c r="P8" s="752"/>
    </row>
    <row r="9" spans="1:18" s="747" customFormat="1" ht="15.9" customHeight="1" x14ac:dyDescent="0.35">
      <c r="A9" s="735"/>
      <c r="B9" s="1178"/>
      <c r="C9" s="1178"/>
      <c r="D9" s="1178"/>
      <c r="E9" s="1178"/>
      <c r="F9" s="1178"/>
      <c r="H9" s="753"/>
      <c r="P9" s="754"/>
    </row>
    <row r="10" spans="1:18" s="339" customFormat="1" ht="15.9" customHeight="1" x14ac:dyDescent="0.3">
      <c r="A10" s="330"/>
      <c r="D10" s="351" t="s">
        <v>4889</v>
      </c>
      <c r="E10" s="351" t="s">
        <v>3664</v>
      </c>
      <c r="F10" s="351" t="s">
        <v>3665</v>
      </c>
      <c r="G10" s="351" t="s">
        <v>3666</v>
      </c>
      <c r="H10" s="351" t="s">
        <v>3667</v>
      </c>
      <c r="I10" s="351" t="s">
        <v>3668</v>
      </c>
      <c r="J10" s="351" t="s">
        <v>3669</v>
      </c>
      <c r="K10" s="351" t="s">
        <v>3670</v>
      </c>
      <c r="L10" s="351" t="s">
        <v>3671</v>
      </c>
      <c r="M10" s="351" t="s">
        <v>3672</v>
      </c>
      <c r="N10" s="351" t="s">
        <v>3673</v>
      </c>
      <c r="O10" s="351" t="s">
        <v>3674</v>
      </c>
      <c r="P10" s="497" t="s">
        <v>5337</v>
      </c>
    </row>
    <row r="11" spans="1:18" s="352" customFormat="1" ht="15.9" customHeight="1" x14ac:dyDescent="0.3">
      <c r="A11" s="330"/>
      <c r="B11" s="1173" t="s">
        <v>3499</v>
      </c>
      <c r="C11" s="1175" t="s">
        <v>3500</v>
      </c>
      <c r="D11" s="1175">
        <v>1</v>
      </c>
      <c r="E11" s="1214">
        <v>2</v>
      </c>
      <c r="F11" s="1175">
        <v>3</v>
      </c>
      <c r="G11" s="1214">
        <v>4</v>
      </c>
      <c r="H11" s="1175">
        <v>5</v>
      </c>
      <c r="I11" s="1214">
        <v>6</v>
      </c>
      <c r="J11" s="1175">
        <v>7</v>
      </c>
      <c r="K11" s="1214">
        <v>8</v>
      </c>
      <c r="L11" s="1175">
        <v>9</v>
      </c>
      <c r="M11" s="1214">
        <v>10</v>
      </c>
      <c r="N11" s="1175">
        <v>11</v>
      </c>
      <c r="O11" s="1214">
        <v>12</v>
      </c>
      <c r="P11" s="1214">
        <v>13</v>
      </c>
    </row>
    <row r="12" spans="1:18" s="352" customFormat="1" ht="15.9" customHeight="1" x14ac:dyDescent="0.3">
      <c r="A12" s="5"/>
      <c r="B12" s="1174"/>
      <c r="C12" s="1176"/>
      <c r="D12" s="1176"/>
      <c r="E12" s="1215"/>
      <c r="F12" s="1176"/>
      <c r="G12" s="1215"/>
      <c r="H12" s="1176"/>
      <c r="I12" s="1215"/>
      <c r="J12" s="1176"/>
      <c r="K12" s="1215"/>
      <c r="L12" s="1176"/>
      <c r="M12" s="1215"/>
      <c r="N12" s="1176"/>
      <c r="O12" s="1215"/>
      <c r="P12" s="1215"/>
    </row>
    <row r="13" spans="1:18" ht="15.9" customHeight="1" x14ac:dyDescent="0.3">
      <c r="A13" s="5"/>
      <c r="B13" s="2" t="s">
        <v>255</v>
      </c>
      <c r="C13" s="339">
        <v>0</v>
      </c>
      <c r="D13" s="315" t="s">
        <v>5343</v>
      </c>
      <c r="E13" s="315" t="s">
        <v>5343</v>
      </c>
      <c r="F13" s="315" t="s">
        <v>5343</v>
      </c>
      <c r="G13" s="315" t="s">
        <v>5343</v>
      </c>
      <c r="H13" s="315" t="s">
        <v>5343</v>
      </c>
      <c r="I13" s="315" t="s">
        <v>5343</v>
      </c>
      <c r="J13" s="315" t="s">
        <v>5343</v>
      </c>
      <c r="K13" s="315" t="s">
        <v>5343</v>
      </c>
      <c r="L13" s="315" t="s">
        <v>5343</v>
      </c>
      <c r="M13" s="315" t="s">
        <v>5343</v>
      </c>
      <c r="N13" s="315" t="s">
        <v>5343</v>
      </c>
      <c r="O13" s="315" t="s">
        <v>5343</v>
      </c>
      <c r="P13" s="315" t="s">
        <v>5343</v>
      </c>
    </row>
    <row r="14" spans="1:18" ht="15.9" customHeight="1" x14ac:dyDescent="0.3">
      <c r="A14" s="5"/>
      <c r="B14" s="24" t="s">
        <v>344</v>
      </c>
      <c r="C14" s="339">
        <v>1</v>
      </c>
      <c r="D14" s="315">
        <v>0</v>
      </c>
      <c r="E14" s="315">
        <v>0</v>
      </c>
      <c r="F14" s="315">
        <v>0</v>
      </c>
      <c r="G14" s="315">
        <v>0</v>
      </c>
      <c r="H14" s="315">
        <v>1.0476190476190476E-2</v>
      </c>
      <c r="I14" s="315">
        <v>-9.5238095238095281E-4</v>
      </c>
      <c r="J14" s="315">
        <v>0</v>
      </c>
      <c r="K14" s="315">
        <v>0</v>
      </c>
      <c r="L14" s="315">
        <v>0</v>
      </c>
      <c r="M14" s="315">
        <v>0</v>
      </c>
      <c r="N14" s="315">
        <v>0</v>
      </c>
      <c r="O14" s="315">
        <v>0</v>
      </c>
      <c r="P14" s="315">
        <v>0</v>
      </c>
    </row>
    <row r="15" spans="1:18" ht="15.9" customHeight="1" x14ac:dyDescent="0.3">
      <c r="A15" s="5"/>
      <c r="B15" s="24" t="s">
        <v>413</v>
      </c>
      <c r="C15" s="339">
        <v>1</v>
      </c>
      <c r="D15" s="315" t="s">
        <v>5343</v>
      </c>
      <c r="E15" s="315" t="s">
        <v>5343</v>
      </c>
      <c r="F15" s="315" t="s">
        <v>5343</v>
      </c>
      <c r="G15" s="315" t="s">
        <v>5343</v>
      </c>
      <c r="H15" s="315" t="s">
        <v>5343</v>
      </c>
      <c r="I15" s="315" t="s">
        <v>5343</v>
      </c>
      <c r="J15" s="315" t="s">
        <v>5343</v>
      </c>
      <c r="K15" s="315" t="s">
        <v>5343</v>
      </c>
      <c r="L15" s="315" t="s">
        <v>5343</v>
      </c>
      <c r="M15" s="315" t="s">
        <v>5343</v>
      </c>
      <c r="N15" s="315" t="s">
        <v>5343</v>
      </c>
      <c r="O15" s="315" t="s">
        <v>5343</v>
      </c>
      <c r="P15" s="315" t="s">
        <v>5343</v>
      </c>
      <c r="Q15" s="755"/>
      <c r="R15" s="755"/>
    </row>
    <row r="16" spans="1:18" ht="15.9" customHeight="1" x14ac:dyDescent="0.3">
      <c r="A16" s="5"/>
      <c r="B16" s="24" t="s">
        <v>480</v>
      </c>
      <c r="C16" s="339">
        <v>1</v>
      </c>
      <c r="D16" s="315" t="s">
        <v>5343</v>
      </c>
      <c r="E16" s="315" t="s">
        <v>5343</v>
      </c>
      <c r="F16" s="315" t="s">
        <v>5343</v>
      </c>
      <c r="G16" s="315" t="s">
        <v>5343</v>
      </c>
      <c r="H16" s="315" t="s">
        <v>5343</v>
      </c>
      <c r="I16" s="315" t="s">
        <v>5343</v>
      </c>
      <c r="J16" s="315" t="s">
        <v>5343</v>
      </c>
      <c r="K16" s="315" t="s">
        <v>5343</v>
      </c>
      <c r="L16" s="315" t="s">
        <v>5343</v>
      </c>
      <c r="M16" s="315" t="s">
        <v>5343</v>
      </c>
      <c r="N16" s="315" t="s">
        <v>5343</v>
      </c>
      <c r="O16" s="315" t="s">
        <v>5343</v>
      </c>
      <c r="P16" s="315" t="s">
        <v>5343</v>
      </c>
      <c r="Q16" s="755"/>
      <c r="R16" s="755"/>
    </row>
    <row r="17" spans="1:18" ht="15.9" customHeight="1" x14ac:dyDescent="0.3">
      <c r="A17" s="5"/>
      <c r="B17" s="24" t="s">
        <v>517</v>
      </c>
      <c r="C17" s="339">
        <v>0</v>
      </c>
      <c r="D17" s="315">
        <v>0</v>
      </c>
      <c r="E17" s="315">
        <v>0</v>
      </c>
      <c r="F17" s="315">
        <v>0</v>
      </c>
      <c r="G17" s="315">
        <v>0.22476190476190475</v>
      </c>
      <c r="H17" s="315">
        <v>-7.7142857142857513E-2</v>
      </c>
      <c r="I17" s="315">
        <v>0.9666666666666669</v>
      </c>
      <c r="J17" s="315">
        <v>0</v>
      </c>
      <c r="K17" s="315">
        <v>0.33333333333333348</v>
      </c>
      <c r="L17" s="315">
        <v>0</v>
      </c>
      <c r="M17" s="315">
        <v>0</v>
      </c>
      <c r="N17" s="315">
        <v>0</v>
      </c>
      <c r="O17" s="315">
        <v>0.35238095238095224</v>
      </c>
      <c r="P17" s="315">
        <v>0</v>
      </c>
      <c r="Q17" s="755"/>
      <c r="R17" s="755"/>
    </row>
    <row r="18" spans="1:18" ht="15.9" customHeight="1" x14ac:dyDescent="0.3">
      <c r="A18" s="5"/>
      <c r="B18" s="24" t="s">
        <v>664</v>
      </c>
      <c r="C18" s="339">
        <v>1</v>
      </c>
      <c r="D18" s="315" t="s">
        <v>5343</v>
      </c>
      <c r="E18" s="315" t="s">
        <v>5343</v>
      </c>
      <c r="F18" s="315" t="s">
        <v>5343</v>
      </c>
      <c r="G18" s="315" t="s">
        <v>5343</v>
      </c>
      <c r="H18" s="315" t="s">
        <v>5343</v>
      </c>
      <c r="I18" s="315" t="s">
        <v>5343</v>
      </c>
      <c r="J18" s="315" t="s">
        <v>5343</v>
      </c>
      <c r="K18" s="315" t="s">
        <v>5343</v>
      </c>
      <c r="L18" s="315" t="s">
        <v>5343</v>
      </c>
      <c r="M18" s="315" t="s">
        <v>5343</v>
      </c>
      <c r="N18" s="315" t="s">
        <v>5343</v>
      </c>
      <c r="O18" s="315" t="s">
        <v>5343</v>
      </c>
      <c r="P18" s="315" t="s">
        <v>5343</v>
      </c>
      <c r="Q18" s="755"/>
      <c r="R18" s="755"/>
    </row>
    <row r="19" spans="1:18" ht="15.9" customHeight="1" x14ac:dyDescent="0.3">
      <c r="A19" s="5"/>
      <c r="B19" s="24" t="s">
        <v>696</v>
      </c>
      <c r="C19" s="339">
        <v>1</v>
      </c>
      <c r="D19" s="315" t="s">
        <v>5343</v>
      </c>
      <c r="E19" s="315" t="s">
        <v>5343</v>
      </c>
      <c r="F19" s="315" t="s">
        <v>5343</v>
      </c>
      <c r="G19" s="315" t="s">
        <v>5343</v>
      </c>
      <c r="H19" s="315" t="s">
        <v>5343</v>
      </c>
      <c r="I19" s="315" t="s">
        <v>5343</v>
      </c>
      <c r="J19" s="315" t="s">
        <v>5343</v>
      </c>
      <c r="K19" s="315" t="s">
        <v>5343</v>
      </c>
      <c r="L19" s="315" t="s">
        <v>5343</v>
      </c>
      <c r="M19" s="315" t="s">
        <v>5343</v>
      </c>
      <c r="N19" s="315" t="s">
        <v>5343</v>
      </c>
      <c r="O19" s="315" t="s">
        <v>5343</v>
      </c>
      <c r="P19" s="315" t="s">
        <v>5343</v>
      </c>
    </row>
    <row r="20" spans="1:18" ht="15.9" customHeight="1" x14ac:dyDescent="0.3">
      <c r="A20" s="5"/>
      <c r="B20" s="24" t="s">
        <v>716</v>
      </c>
      <c r="C20" s="339">
        <v>1</v>
      </c>
      <c r="D20" s="315" t="s">
        <v>5343</v>
      </c>
      <c r="E20" s="315" t="s">
        <v>5343</v>
      </c>
      <c r="F20" s="315" t="s">
        <v>5343</v>
      </c>
      <c r="G20" s="315" t="s">
        <v>5343</v>
      </c>
      <c r="H20" s="315" t="s">
        <v>5343</v>
      </c>
      <c r="I20" s="315" t="s">
        <v>5343</v>
      </c>
      <c r="J20" s="315" t="s">
        <v>5343</v>
      </c>
      <c r="K20" s="315" t="s">
        <v>5343</v>
      </c>
      <c r="L20" s="315" t="s">
        <v>5343</v>
      </c>
      <c r="M20" s="315" t="s">
        <v>5343</v>
      </c>
      <c r="N20" s="315" t="s">
        <v>5343</v>
      </c>
      <c r="O20" s="315" t="s">
        <v>5343</v>
      </c>
      <c r="P20" s="315" t="s">
        <v>5343</v>
      </c>
    </row>
    <row r="21" spans="1:18" ht="15.9" customHeight="1" x14ac:dyDescent="0.3">
      <c r="A21" s="5"/>
      <c r="B21" s="24" t="s">
        <v>856</v>
      </c>
      <c r="C21" s="339">
        <v>1</v>
      </c>
      <c r="D21" s="315">
        <v>0</v>
      </c>
      <c r="E21" s="315">
        <v>0</v>
      </c>
      <c r="F21" s="315">
        <v>0</v>
      </c>
      <c r="G21" s="315">
        <v>0</v>
      </c>
      <c r="H21" s="315">
        <v>0.21904761904761905</v>
      </c>
      <c r="I21" s="315">
        <v>-0.2</v>
      </c>
      <c r="J21" s="315">
        <v>0</v>
      </c>
      <c r="K21" s="315">
        <v>0</v>
      </c>
      <c r="L21" s="315">
        <v>0</v>
      </c>
      <c r="M21" s="315">
        <v>0</v>
      </c>
      <c r="N21" s="315">
        <v>0</v>
      </c>
      <c r="O21" s="315">
        <v>2.8571428571428571E-2</v>
      </c>
      <c r="P21" s="315">
        <v>0</v>
      </c>
    </row>
    <row r="22" spans="1:18" ht="15.9" customHeight="1" x14ac:dyDescent="0.3">
      <c r="A22" s="5"/>
      <c r="B22" s="24" t="s">
        <v>937</v>
      </c>
      <c r="C22" s="339">
        <v>1</v>
      </c>
      <c r="D22" s="315" t="s">
        <v>5343</v>
      </c>
      <c r="E22" s="315" t="s">
        <v>5343</v>
      </c>
      <c r="F22" s="315" t="s">
        <v>5343</v>
      </c>
      <c r="G22" s="315" t="s">
        <v>5343</v>
      </c>
      <c r="H22" s="315" t="s">
        <v>5343</v>
      </c>
      <c r="I22" s="315" t="s">
        <v>5343</v>
      </c>
      <c r="J22" s="315" t="s">
        <v>5343</v>
      </c>
      <c r="K22" s="315" t="s">
        <v>5343</v>
      </c>
      <c r="L22" s="315" t="s">
        <v>5343</v>
      </c>
      <c r="M22" s="315" t="s">
        <v>5343</v>
      </c>
      <c r="N22" s="315" t="s">
        <v>5343</v>
      </c>
      <c r="O22" s="315" t="s">
        <v>5343</v>
      </c>
      <c r="P22" s="315" t="s">
        <v>5343</v>
      </c>
    </row>
    <row r="23" spans="1:18" ht="15.9" customHeight="1" x14ac:dyDescent="0.3">
      <c r="A23" s="331"/>
      <c r="B23" s="37" t="s">
        <v>3581</v>
      </c>
      <c r="C23" s="339">
        <v>0</v>
      </c>
      <c r="D23" s="315">
        <v>0</v>
      </c>
      <c r="E23" s="315">
        <v>0</v>
      </c>
      <c r="F23" s="315">
        <v>0</v>
      </c>
      <c r="G23" s="315">
        <v>1.4285714285714286</v>
      </c>
      <c r="H23" s="315">
        <v>-1.9047619047619202E-2</v>
      </c>
      <c r="I23" s="315">
        <v>0.61904761904761907</v>
      </c>
      <c r="J23" s="315">
        <v>0</v>
      </c>
      <c r="K23" s="315">
        <v>0.97142857142857153</v>
      </c>
      <c r="L23" s="315">
        <v>0</v>
      </c>
      <c r="M23" s="315">
        <v>2.3047619047619046</v>
      </c>
      <c r="N23" s="315">
        <v>2.3999999999999995</v>
      </c>
      <c r="O23" s="315">
        <v>0.56190476190476168</v>
      </c>
      <c r="P23" s="315">
        <v>4.0476190476190474</v>
      </c>
    </row>
    <row r="24" spans="1:18" ht="15.9" customHeight="1" x14ac:dyDescent="0.3">
      <c r="A24" s="331"/>
      <c r="B24" s="24" t="s">
        <v>1025</v>
      </c>
      <c r="C24" s="339">
        <v>1</v>
      </c>
      <c r="D24" s="315">
        <v>0</v>
      </c>
      <c r="E24" s="315">
        <v>0</v>
      </c>
      <c r="F24" s="315">
        <v>0</v>
      </c>
      <c r="G24" s="315">
        <v>0</v>
      </c>
      <c r="H24" s="315">
        <v>0</v>
      </c>
      <c r="I24" s="315">
        <v>0</v>
      </c>
      <c r="J24" s="315">
        <v>0</v>
      </c>
      <c r="K24" s="315">
        <v>0</v>
      </c>
      <c r="L24" s="315">
        <v>0</v>
      </c>
      <c r="M24" s="315">
        <v>0</v>
      </c>
      <c r="N24" s="315">
        <v>0</v>
      </c>
      <c r="O24" s="315">
        <v>0</v>
      </c>
      <c r="P24" s="315">
        <v>0</v>
      </c>
    </row>
    <row r="25" spans="1:18" ht="15.9" customHeight="1" x14ac:dyDescent="0.3">
      <c r="A25" s="331"/>
      <c r="B25" s="24" t="s">
        <v>1131</v>
      </c>
      <c r="C25" s="339">
        <v>1</v>
      </c>
      <c r="D25" s="315">
        <v>0</v>
      </c>
      <c r="E25" s="315">
        <v>0</v>
      </c>
      <c r="F25" s="315">
        <v>0</v>
      </c>
      <c r="G25" s="315">
        <v>0.31523809523809526</v>
      </c>
      <c r="H25" s="315">
        <v>0</v>
      </c>
      <c r="I25" s="315">
        <v>-9.523809523809823E-4</v>
      </c>
      <c r="J25" s="315">
        <v>0</v>
      </c>
      <c r="K25" s="315">
        <v>0</v>
      </c>
      <c r="L25" s="315">
        <v>0</v>
      </c>
      <c r="M25" s="315">
        <v>0</v>
      </c>
      <c r="N25" s="315">
        <v>0</v>
      </c>
      <c r="O25" s="315">
        <v>0.10476190476190478</v>
      </c>
      <c r="P25" s="315">
        <v>0</v>
      </c>
    </row>
    <row r="26" spans="1:18" ht="15.9" customHeight="1" x14ac:dyDescent="0.3">
      <c r="A26" s="19"/>
      <c r="B26" s="24" t="s">
        <v>1288</v>
      </c>
      <c r="C26" s="339">
        <v>1</v>
      </c>
      <c r="D26" s="315">
        <v>0</v>
      </c>
      <c r="E26" s="315">
        <v>0</v>
      </c>
      <c r="F26" s="315">
        <v>0</v>
      </c>
      <c r="G26" s="315">
        <v>0</v>
      </c>
      <c r="H26" s="315">
        <v>0.15333333333333332</v>
      </c>
      <c r="I26" s="315">
        <v>0.15142857142857141</v>
      </c>
      <c r="J26" s="315">
        <v>1</v>
      </c>
      <c r="K26" s="315">
        <v>0</v>
      </c>
      <c r="L26" s="315">
        <v>0</v>
      </c>
      <c r="M26" s="315">
        <v>0</v>
      </c>
      <c r="N26" s="315">
        <v>0</v>
      </c>
      <c r="O26" s="315">
        <v>0.19999999999999996</v>
      </c>
      <c r="P26" s="315">
        <v>0</v>
      </c>
    </row>
    <row r="27" spans="1:18" ht="15.9" customHeight="1" x14ac:dyDescent="0.3">
      <c r="A27" s="19"/>
      <c r="B27" s="24" t="s">
        <v>1606</v>
      </c>
      <c r="C27" s="339">
        <v>1</v>
      </c>
      <c r="D27" s="315" t="s">
        <v>5343</v>
      </c>
      <c r="E27" s="315" t="s">
        <v>5343</v>
      </c>
      <c r="F27" s="315" t="s">
        <v>5343</v>
      </c>
      <c r="G27" s="315" t="s">
        <v>5343</v>
      </c>
      <c r="H27" s="315" t="s">
        <v>5343</v>
      </c>
      <c r="I27" s="315" t="s">
        <v>5343</v>
      </c>
      <c r="J27" s="315" t="s">
        <v>5343</v>
      </c>
      <c r="K27" s="315" t="s">
        <v>5343</v>
      </c>
      <c r="L27" s="315" t="s">
        <v>5343</v>
      </c>
      <c r="M27" s="315" t="s">
        <v>5343</v>
      </c>
      <c r="N27" s="315" t="s">
        <v>5343</v>
      </c>
      <c r="O27" s="315" t="s">
        <v>5343</v>
      </c>
      <c r="P27" s="315" t="s">
        <v>5343</v>
      </c>
    </row>
    <row r="28" spans="1:18" ht="15.9" customHeight="1" x14ac:dyDescent="0.3">
      <c r="A28" s="19"/>
      <c r="B28" s="24" t="s">
        <v>1646</v>
      </c>
      <c r="C28" s="339">
        <v>1</v>
      </c>
      <c r="D28" s="315" t="s">
        <v>5343</v>
      </c>
      <c r="E28" s="315" t="s">
        <v>5343</v>
      </c>
      <c r="F28" s="315" t="s">
        <v>5343</v>
      </c>
      <c r="G28" s="315" t="s">
        <v>5343</v>
      </c>
      <c r="H28" s="315" t="s">
        <v>5343</v>
      </c>
      <c r="I28" s="315" t="s">
        <v>5343</v>
      </c>
      <c r="J28" s="315" t="s">
        <v>5343</v>
      </c>
      <c r="K28" s="315" t="s">
        <v>5343</v>
      </c>
      <c r="L28" s="315" t="s">
        <v>5343</v>
      </c>
      <c r="M28" s="315" t="s">
        <v>5343</v>
      </c>
      <c r="N28" s="315" t="s">
        <v>5343</v>
      </c>
      <c r="O28" s="315" t="s">
        <v>5343</v>
      </c>
      <c r="P28" s="315" t="s">
        <v>5343</v>
      </c>
    </row>
    <row r="29" spans="1:18" ht="15.9" customHeight="1" x14ac:dyDescent="0.3">
      <c r="A29" s="19"/>
      <c r="B29" s="24" t="s">
        <v>1701</v>
      </c>
      <c r="C29" s="339">
        <v>1</v>
      </c>
      <c r="D29" s="315" t="s">
        <v>5343</v>
      </c>
      <c r="E29" s="315" t="s">
        <v>5343</v>
      </c>
      <c r="F29" s="315" t="s">
        <v>5343</v>
      </c>
      <c r="G29" s="315" t="s">
        <v>5343</v>
      </c>
      <c r="H29" s="315" t="s">
        <v>5343</v>
      </c>
      <c r="I29" s="315" t="s">
        <v>5343</v>
      </c>
      <c r="J29" s="315" t="s">
        <v>5343</v>
      </c>
      <c r="K29" s="315" t="s">
        <v>5343</v>
      </c>
      <c r="L29" s="315" t="s">
        <v>5343</v>
      </c>
      <c r="M29" s="315" t="s">
        <v>5343</v>
      </c>
      <c r="N29" s="315" t="s">
        <v>5343</v>
      </c>
      <c r="O29" s="315" t="s">
        <v>5343</v>
      </c>
      <c r="P29" s="315" t="s">
        <v>5343</v>
      </c>
    </row>
    <row r="30" spans="1:18" ht="15.9" customHeight="1" x14ac:dyDescent="0.3">
      <c r="A30" s="19"/>
      <c r="B30" s="24" t="s">
        <v>1730</v>
      </c>
      <c r="C30" s="339">
        <v>1</v>
      </c>
      <c r="D30" s="315">
        <v>0</v>
      </c>
      <c r="E30" s="315">
        <v>0</v>
      </c>
      <c r="F30" s="315">
        <v>0</v>
      </c>
      <c r="G30" s="315">
        <v>0.11714285714285713</v>
      </c>
      <c r="H30" s="315">
        <v>-2.8571428571428498E-3</v>
      </c>
      <c r="I30" s="315">
        <v>9.5238095238095316E-3</v>
      </c>
      <c r="J30" s="315">
        <v>0</v>
      </c>
      <c r="K30" s="315">
        <v>0.19047619047619047</v>
      </c>
      <c r="L30" s="315">
        <v>0</v>
      </c>
      <c r="M30" s="315">
        <v>0</v>
      </c>
      <c r="N30" s="315">
        <v>0</v>
      </c>
      <c r="O30" s="315">
        <v>0</v>
      </c>
      <c r="P30" s="315">
        <v>0</v>
      </c>
    </row>
    <row r="31" spans="1:18" ht="15.9" customHeight="1" x14ac:dyDescent="0.3">
      <c r="A31" s="19"/>
      <c r="B31" s="24" t="s">
        <v>1804</v>
      </c>
      <c r="C31" s="339">
        <v>0</v>
      </c>
      <c r="D31" s="315">
        <v>0</v>
      </c>
      <c r="E31" s="315">
        <v>0</v>
      </c>
      <c r="F31" s="315">
        <v>0</v>
      </c>
      <c r="G31" s="315">
        <v>0</v>
      </c>
      <c r="H31" s="315">
        <v>0</v>
      </c>
      <c r="I31" s="315">
        <v>9.5238095238095233E-2</v>
      </c>
      <c r="J31" s="315">
        <v>0.45714285714285707</v>
      </c>
      <c r="K31" s="315">
        <v>0</v>
      </c>
      <c r="L31" s="315">
        <v>0</v>
      </c>
      <c r="M31" s="315">
        <v>0</v>
      </c>
      <c r="N31" s="315">
        <v>0</v>
      </c>
      <c r="O31" s="315">
        <v>0</v>
      </c>
      <c r="P31" s="315">
        <v>0</v>
      </c>
    </row>
    <row r="32" spans="1:18" ht="15.9" customHeight="1" x14ac:dyDescent="0.3">
      <c r="A32" s="19"/>
      <c r="B32" s="24" t="s">
        <v>1861</v>
      </c>
      <c r="C32" s="339">
        <v>1</v>
      </c>
      <c r="D32" s="315">
        <v>0</v>
      </c>
      <c r="E32" s="315">
        <v>0</v>
      </c>
      <c r="F32" s="315">
        <v>0</v>
      </c>
      <c r="G32" s="315">
        <v>0</v>
      </c>
      <c r="H32" s="315">
        <v>4.7619047619047615E-3</v>
      </c>
      <c r="I32" s="315">
        <v>4.7619047619047615E-3</v>
      </c>
      <c r="J32" s="315">
        <v>0</v>
      </c>
      <c r="K32" s="315">
        <v>0</v>
      </c>
      <c r="L32" s="315">
        <v>0</v>
      </c>
      <c r="M32" s="315">
        <v>0</v>
      </c>
      <c r="N32" s="315">
        <v>0</v>
      </c>
      <c r="O32" s="315">
        <v>9.5238095238095229E-3</v>
      </c>
      <c r="P32" s="315">
        <v>0</v>
      </c>
    </row>
    <row r="33" spans="1:16" ht="15.9" customHeight="1" x14ac:dyDescent="0.3">
      <c r="A33" s="19"/>
      <c r="B33" s="24" t="s">
        <v>1919</v>
      </c>
      <c r="C33" s="339">
        <v>1</v>
      </c>
      <c r="D33" s="315">
        <v>0</v>
      </c>
      <c r="E33" s="315">
        <v>0</v>
      </c>
      <c r="F33" s="315">
        <v>0</v>
      </c>
      <c r="G33" s="315">
        <v>0</v>
      </c>
      <c r="H33" s="315">
        <v>4.7619047619047615E-3</v>
      </c>
      <c r="I33" s="315">
        <v>4.7619047619047615E-3</v>
      </c>
      <c r="J33" s="315">
        <v>0</v>
      </c>
      <c r="K33" s="315">
        <v>9.5238095238095229E-3</v>
      </c>
      <c r="L33" s="315">
        <v>0</v>
      </c>
      <c r="M33" s="315">
        <v>0</v>
      </c>
      <c r="N33" s="315">
        <v>0</v>
      </c>
      <c r="O33" s="315">
        <v>0</v>
      </c>
      <c r="P33" s="315">
        <v>0</v>
      </c>
    </row>
    <row r="34" spans="1:16" ht="15.9" customHeight="1" x14ac:dyDescent="0.3">
      <c r="A34" s="19"/>
      <c r="B34" s="24" t="s">
        <v>2024</v>
      </c>
      <c r="C34" s="339">
        <v>1</v>
      </c>
      <c r="D34" s="315" t="s">
        <v>5343</v>
      </c>
      <c r="E34" s="315" t="s">
        <v>5343</v>
      </c>
      <c r="F34" s="315" t="s">
        <v>5343</v>
      </c>
      <c r="G34" s="315" t="s">
        <v>5343</v>
      </c>
      <c r="H34" s="315" t="s">
        <v>5343</v>
      </c>
      <c r="I34" s="315" t="s">
        <v>5343</v>
      </c>
      <c r="J34" s="315" t="s">
        <v>5343</v>
      </c>
      <c r="K34" s="315" t="s">
        <v>5343</v>
      </c>
      <c r="L34" s="315" t="s">
        <v>5343</v>
      </c>
      <c r="M34" s="315" t="s">
        <v>5343</v>
      </c>
      <c r="N34" s="315" t="s">
        <v>5343</v>
      </c>
      <c r="O34" s="315" t="s">
        <v>5343</v>
      </c>
      <c r="P34" s="315" t="s">
        <v>5343</v>
      </c>
    </row>
    <row r="35" spans="1:16" ht="15.9" customHeight="1" x14ac:dyDescent="0.3">
      <c r="A35" s="19"/>
      <c r="B35" s="24" t="s">
        <v>2066</v>
      </c>
      <c r="C35" s="339">
        <v>1</v>
      </c>
      <c r="D35" s="315" t="s">
        <v>5343</v>
      </c>
      <c r="E35" s="315" t="s">
        <v>5343</v>
      </c>
      <c r="F35" s="315" t="s">
        <v>5343</v>
      </c>
      <c r="G35" s="315" t="s">
        <v>5343</v>
      </c>
      <c r="H35" s="315" t="s">
        <v>5343</v>
      </c>
      <c r="I35" s="315" t="s">
        <v>5343</v>
      </c>
      <c r="J35" s="315" t="s">
        <v>5343</v>
      </c>
      <c r="K35" s="315" t="s">
        <v>5343</v>
      </c>
      <c r="L35" s="315" t="s">
        <v>5343</v>
      </c>
      <c r="M35" s="315" t="s">
        <v>5343</v>
      </c>
      <c r="N35" s="315" t="s">
        <v>5343</v>
      </c>
      <c r="O35" s="315" t="s">
        <v>5343</v>
      </c>
      <c r="P35" s="315" t="s">
        <v>5343</v>
      </c>
    </row>
    <row r="36" spans="1:16" ht="15.9" customHeight="1" x14ac:dyDescent="0.3">
      <c r="A36" s="19"/>
      <c r="B36" s="24" t="s">
        <v>2076</v>
      </c>
      <c r="C36" s="339">
        <v>1</v>
      </c>
      <c r="D36" s="315">
        <v>0</v>
      </c>
      <c r="E36" s="315">
        <v>0</v>
      </c>
      <c r="F36" s="315">
        <v>0</v>
      </c>
      <c r="G36" s="315">
        <v>0</v>
      </c>
      <c r="H36" s="315">
        <v>0</v>
      </c>
      <c r="I36" s="315">
        <v>8.5714285714285701E-2</v>
      </c>
      <c r="J36" s="315">
        <v>0</v>
      </c>
      <c r="K36" s="315">
        <v>1.9047619047619063E-2</v>
      </c>
      <c r="L36" s="315">
        <v>0</v>
      </c>
      <c r="M36" s="315">
        <v>0</v>
      </c>
      <c r="N36" s="315">
        <v>0</v>
      </c>
      <c r="O36" s="315">
        <v>0.19999999999999996</v>
      </c>
      <c r="P36" s="315">
        <v>0</v>
      </c>
    </row>
    <row r="37" spans="1:16" ht="15.9" customHeight="1" x14ac:dyDescent="0.3">
      <c r="A37" s="19"/>
      <c r="B37" s="2" t="s">
        <v>2168</v>
      </c>
      <c r="C37" s="339">
        <v>0</v>
      </c>
      <c r="D37" s="315" t="s">
        <v>5343</v>
      </c>
      <c r="E37" s="315" t="s">
        <v>5343</v>
      </c>
      <c r="F37" s="315" t="s">
        <v>5343</v>
      </c>
      <c r="G37" s="315" t="s">
        <v>5343</v>
      </c>
      <c r="H37" s="315" t="s">
        <v>5343</v>
      </c>
      <c r="I37" s="315" t="s">
        <v>5343</v>
      </c>
      <c r="J37" s="315" t="s">
        <v>5343</v>
      </c>
      <c r="K37" s="315" t="s">
        <v>5343</v>
      </c>
      <c r="L37" s="315" t="s">
        <v>5343</v>
      </c>
      <c r="M37" s="315" t="s">
        <v>5343</v>
      </c>
      <c r="N37" s="315" t="s">
        <v>5343</v>
      </c>
      <c r="O37" s="315" t="s">
        <v>5343</v>
      </c>
      <c r="P37" s="315" t="s">
        <v>5343</v>
      </c>
    </row>
    <row r="38" spans="1:16" ht="15.9" customHeight="1" x14ac:dyDescent="0.3">
      <c r="A38" s="19"/>
      <c r="B38" s="2" t="s">
        <v>2206</v>
      </c>
      <c r="C38" s="339">
        <v>0</v>
      </c>
      <c r="D38" s="315">
        <v>0</v>
      </c>
      <c r="E38" s="315">
        <v>0</v>
      </c>
      <c r="F38" s="315">
        <v>0</v>
      </c>
      <c r="G38" s="315">
        <v>0</v>
      </c>
      <c r="H38" s="315">
        <v>2.0952380952380951E-2</v>
      </c>
      <c r="I38" s="315">
        <v>-1.9047619047619056E-3</v>
      </c>
      <c r="J38" s="315">
        <v>0</v>
      </c>
      <c r="K38" s="315">
        <v>0</v>
      </c>
      <c r="L38" s="315">
        <v>0</v>
      </c>
      <c r="M38" s="315">
        <v>0</v>
      </c>
      <c r="N38" s="315">
        <v>0</v>
      </c>
      <c r="O38" s="315">
        <v>0</v>
      </c>
      <c r="P38" s="315">
        <v>0</v>
      </c>
    </row>
    <row r="39" spans="1:16" ht="15.9" customHeight="1" x14ac:dyDescent="0.3">
      <c r="A39" s="19"/>
      <c r="B39" s="24" t="s">
        <v>2303</v>
      </c>
      <c r="C39" s="339">
        <v>1</v>
      </c>
      <c r="D39" s="315" t="s">
        <v>5343</v>
      </c>
      <c r="E39" s="315" t="s">
        <v>5343</v>
      </c>
      <c r="F39" s="315" t="s">
        <v>5343</v>
      </c>
      <c r="G39" s="315" t="s">
        <v>5343</v>
      </c>
      <c r="H39" s="315" t="s">
        <v>5343</v>
      </c>
      <c r="I39" s="315" t="s">
        <v>5343</v>
      </c>
      <c r="J39" s="315" t="s">
        <v>5343</v>
      </c>
      <c r="K39" s="315" t="s">
        <v>5343</v>
      </c>
      <c r="L39" s="315" t="s">
        <v>5343</v>
      </c>
      <c r="M39" s="315" t="s">
        <v>5343</v>
      </c>
      <c r="N39" s="315" t="s">
        <v>5343</v>
      </c>
      <c r="O39" s="315" t="s">
        <v>5343</v>
      </c>
      <c r="P39" s="315" t="s">
        <v>5343</v>
      </c>
    </row>
    <row r="40" spans="1:16" ht="15.9" customHeight="1" x14ac:dyDescent="0.3">
      <c r="A40" s="19"/>
      <c r="B40" s="24" t="s">
        <v>2370</v>
      </c>
      <c r="C40" s="339">
        <v>1</v>
      </c>
      <c r="D40" s="315">
        <v>0</v>
      </c>
      <c r="E40" s="315">
        <v>0</v>
      </c>
      <c r="F40" s="315">
        <v>0</v>
      </c>
      <c r="G40" s="315">
        <v>0</v>
      </c>
      <c r="H40" s="315">
        <v>0</v>
      </c>
      <c r="I40" s="315">
        <v>0</v>
      </c>
      <c r="J40" s="315">
        <v>0</v>
      </c>
      <c r="K40" s="315">
        <v>0</v>
      </c>
      <c r="L40" s="315">
        <v>0</v>
      </c>
      <c r="M40" s="315">
        <v>0</v>
      </c>
      <c r="N40" s="315">
        <v>0</v>
      </c>
      <c r="O40" s="315">
        <v>0</v>
      </c>
      <c r="P40" s="315">
        <v>0</v>
      </c>
    </row>
    <row r="41" spans="1:16" ht="15.9" customHeight="1" x14ac:dyDescent="0.3">
      <c r="B41" s="2" t="s">
        <v>2424</v>
      </c>
      <c r="C41" s="339">
        <v>0</v>
      </c>
      <c r="D41" s="315" t="s">
        <v>5343</v>
      </c>
      <c r="E41" s="315" t="s">
        <v>5343</v>
      </c>
      <c r="F41" s="315" t="s">
        <v>5343</v>
      </c>
      <c r="G41" s="315" t="s">
        <v>5343</v>
      </c>
      <c r="H41" s="315" t="s">
        <v>5343</v>
      </c>
      <c r="I41" s="315" t="s">
        <v>5343</v>
      </c>
      <c r="J41" s="315" t="s">
        <v>5343</v>
      </c>
      <c r="K41" s="315" t="s">
        <v>5343</v>
      </c>
      <c r="L41" s="315" t="s">
        <v>5343</v>
      </c>
      <c r="M41" s="315" t="s">
        <v>5343</v>
      </c>
      <c r="N41" s="315" t="s">
        <v>5343</v>
      </c>
      <c r="O41" s="315" t="s">
        <v>5343</v>
      </c>
      <c r="P41" s="315" t="s">
        <v>5343</v>
      </c>
    </row>
    <row r="42" spans="1:16" ht="15.9" customHeight="1" x14ac:dyDescent="0.3">
      <c r="B42" s="24" t="s">
        <v>2460</v>
      </c>
      <c r="C42" s="339">
        <v>1</v>
      </c>
      <c r="D42" s="315" t="s">
        <v>5343</v>
      </c>
      <c r="E42" s="315" t="s">
        <v>5343</v>
      </c>
      <c r="F42" s="315" t="s">
        <v>5343</v>
      </c>
      <c r="G42" s="315" t="s">
        <v>5343</v>
      </c>
      <c r="H42" s="315" t="s">
        <v>5343</v>
      </c>
      <c r="I42" s="315" t="s">
        <v>5343</v>
      </c>
      <c r="J42" s="315" t="s">
        <v>5343</v>
      </c>
      <c r="K42" s="315" t="s">
        <v>5343</v>
      </c>
      <c r="L42" s="315" t="s">
        <v>5343</v>
      </c>
      <c r="M42" s="315" t="s">
        <v>5343</v>
      </c>
      <c r="N42" s="315" t="s">
        <v>5343</v>
      </c>
      <c r="O42" s="315" t="s">
        <v>5343</v>
      </c>
      <c r="P42" s="315" t="s">
        <v>5343</v>
      </c>
    </row>
    <row r="43" spans="1:16" ht="15.9" customHeight="1" x14ac:dyDescent="0.3">
      <c r="B43" s="24" t="s">
        <v>2489</v>
      </c>
      <c r="C43" s="339">
        <v>1</v>
      </c>
      <c r="D43" s="315" t="s">
        <v>5343</v>
      </c>
      <c r="E43" s="315" t="s">
        <v>5343</v>
      </c>
      <c r="F43" s="315" t="s">
        <v>5343</v>
      </c>
      <c r="G43" s="315" t="s">
        <v>5343</v>
      </c>
      <c r="H43" s="315" t="s">
        <v>5343</v>
      </c>
      <c r="I43" s="315" t="s">
        <v>5343</v>
      </c>
      <c r="J43" s="315" t="s">
        <v>5343</v>
      </c>
      <c r="K43" s="315" t="s">
        <v>5343</v>
      </c>
      <c r="L43" s="315" t="s">
        <v>5343</v>
      </c>
      <c r="M43" s="315" t="s">
        <v>5343</v>
      </c>
      <c r="N43" s="315" t="s">
        <v>5343</v>
      </c>
      <c r="O43" s="315" t="s">
        <v>5343</v>
      </c>
      <c r="P43" s="315" t="s">
        <v>5343</v>
      </c>
    </row>
    <row r="44" spans="1:16" ht="15.9" customHeight="1" x14ac:dyDescent="0.3">
      <c r="B44" s="24" t="s">
        <v>2547</v>
      </c>
      <c r="C44" s="339">
        <v>1</v>
      </c>
      <c r="D44" s="315" t="s">
        <v>5343</v>
      </c>
      <c r="E44" s="315" t="s">
        <v>5343</v>
      </c>
      <c r="F44" s="315" t="s">
        <v>5343</v>
      </c>
      <c r="G44" s="315" t="s">
        <v>5343</v>
      </c>
      <c r="H44" s="315" t="s">
        <v>5343</v>
      </c>
      <c r="I44" s="315" t="s">
        <v>5343</v>
      </c>
      <c r="J44" s="315" t="s">
        <v>5343</v>
      </c>
      <c r="K44" s="315" t="s">
        <v>5343</v>
      </c>
      <c r="L44" s="315" t="s">
        <v>5343</v>
      </c>
      <c r="M44" s="315" t="s">
        <v>5343</v>
      </c>
      <c r="N44" s="315" t="s">
        <v>5343</v>
      </c>
      <c r="O44" s="315" t="s">
        <v>5343</v>
      </c>
      <c r="P44" s="315" t="s">
        <v>5343</v>
      </c>
    </row>
    <row r="45" spans="1:16" ht="15.9" customHeight="1" x14ac:dyDescent="0.3">
      <c r="B45" s="24" t="s">
        <v>2615</v>
      </c>
      <c r="C45" s="339">
        <v>1</v>
      </c>
      <c r="D45" s="315">
        <v>0</v>
      </c>
      <c r="E45" s="315">
        <v>0</v>
      </c>
      <c r="F45" s="315">
        <v>0</v>
      </c>
      <c r="G45" s="315">
        <v>0</v>
      </c>
      <c r="H45" s="315">
        <v>0</v>
      </c>
      <c r="I45" s="315">
        <v>0</v>
      </c>
      <c r="J45" s="315">
        <v>0</v>
      </c>
      <c r="K45" s="315">
        <v>0</v>
      </c>
      <c r="L45" s="315">
        <v>0</v>
      </c>
      <c r="M45" s="315">
        <v>0</v>
      </c>
      <c r="N45" s="315">
        <v>0</v>
      </c>
      <c r="O45" s="315">
        <v>0</v>
      </c>
      <c r="P45" s="315">
        <v>0</v>
      </c>
    </row>
    <row r="46" spans="1:16" ht="15.9" customHeight="1" x14ac:dyDescent="0.3">
      <c r="B46" s="24" t="s">
        <v>2715</v>
      </c>
      <c r="C46" s="339">
        <v>1</v>
      </c>
      <c r="D46" s="315">
        <v>0</v>
      </c>
      <c r="E46" s="315">
        <v>0</v>
      </c>
      <c r="F46" s="315">
        <v>0</v>
      </c>
      <c r="G46" s="315">
        <v>4.7619047619047616E-2</v>
      </c>
      <c r="H46" s="315">
        <v>0</v>
      </c>
      <c r="I46" s="315">
        <v>0</v>
      </c>
      <c r="J46" s="315">
        <v>0</v>
      </c>
      <c r="K46" s="315">
        <v>0</v>
      </c>
      <c r="L46" s="315">
        <v>0</v>
      </c>
      <c r="M46" s="315">
        <v>0</v>
      </c>
      <c r="N46" s="315">
        <v>0</v>
      </c>
      <c r="O46" s="315">
        <v>0</v>
      </c>
      <c r="P46" s="315">
        <v>0</v>
      </c>
    </row>
    <row r="47" spans="1:16" ht="15.9" customHeight="1" x14ac:dyDescent="0.3">
      <c r="B47" s="2" t="s">
        <v>2792</v>
      </c>
      <c r="C47" s="339">
        <v>0</v>
      </c>
      <c r="D47" s="315" t="s">
        <v>5343</v>
      </c>
      <c r="E47" s="315" t="s">
        <v>5343</v>
      </c>
      <c r="F47" s="315" t="s">
        <v>5343</v>
      </c>
      <c r="G47" s="315" t="s">
        <v>5343</v>
      </c>
      <c r="H47" s="315" t="s">
        <v>5343</v>
      </c>
      <c r="I47" s="315" t="s">
        <v>5343</v>
      </c>
      <c r="J47" s="315" t="s">
        <v>5343</v>
      </c>
      <c r="K47" s="315" t="s">
        <v>5343</v>
      </c>
      <c r="L47" s="315" t="s">
        <v>5343</v>
      </c>
      <c r="M47" s="315" t="s">
        <v>5343</v>
      </c>
      <c r="N47" s="315" t="s">
        <v>5343</v>
      </c>
      <c r="O47" s="315" t="s">
        <v>5343</v>
      </c>
      <c r="P47" s="315" t="s">
        <v>5343</v>
      </c>
    </row>
    <row r="48" spans="1:16" ht="15.9" customHeight="1" x14ac:dyDescent="0.3">
      <c r="B48" s="2" t="s">
        <v>2820</v>
      </c>
      <c r="C48" s="339">
        <v>0</v>
      </c>
      <c r="D48" s="315" t="s">
        <v>5343</v>
      </c>
      <c r="E48" s="315" t="s">
        <v>5343</v>
      </c>
      <c r="F48" s="315" t="s">
        <v>5343</v>
      </c>
      <c r="G48" s="315" t="s">
        <v>5343</v>
      </c>
      <c r="H48" s="315" t="s">
        <v>5343</v>
      </c>
      <c r="I48" s="315" t="s">
        <v>5343</v>
      </c>
      <c r="J48" s="315" t="s">
        <v>5343</v>
      </c>
      <c r="K48" s="315" t="s">
        <v>5343</v>
      </c>
      <c r="L48" s="315" t="s">
        <v>5343</v>
      </c>
      <c r="M48" s="315" t="s">
        <v>5343</v>
      </c>
      <c r="N48" s="315" t="s">
        <v>5343</v>
      </c>
      <c r="O48" s="315" t="s">
        <v>5343</v>
      </c>
      <c r="P48" s="315" t="s">
        <v>5343</v>
      </c>
    </row>
    <row r="49" spans="1:18" ht="15.9" customHeight="1" x14ac:dyDescent="0.3">
      <c r="B49" s="24" t="s">
        <v>2864</v>
      </c>
      <c r="C49" s="339">
        <v>0</v>
      </c>
      <c r="D49" s="315">
        <v>0</v>
      </c>
      <c r="E49" s="315">
        <v>0</v>
      </c>
      <c r="F49" s="315">
        <v>0</v>
      </c>
      <c r="G49" s="315">
        <v>0</v>
      </c>
      <c r="H49" s="315">
        <v>9.3333333333333338E-2</v>
      </c>
      <c r="I49" s="315">
        <v>3.0476190476190476E-2</v>
      </c>
      <c r="J49" s="315">
        <v>0.42857142857142849</v>
      </c>
      <c r="K49" s="315">
        <v>0</v>
      </c>
      <c r="L49" s="315">
        <v>0</v>
      </c>
      <c r="M49" s="315">
        <v>0</v>
      </c>
      <c r="N49" s="315">
        <v>0.47619047619047639</v>
      </c>
      <c r="O49" s="315">
        <v>0</v>
      </c>
      <c r="P49" s="315">
        <v>0</v>
      </c>
    </row>
    <row r="50" spans="1:18" ht="15.9" customHeight="1" x14ac:dyDescent="0.3">
      <c r="B50" s="24" t="s">
        <v>3038</v>
      </c>
      <c r="C50" s="339">
        <v>0</v>
      </c>
      <c r="D50" s="315">
        <v>0</v>
      </c>
      <c r="E50" s="315">
        <v>0</v>
      </c>
      <c r="F50" s="315">
        <v>0</v>
      </c>
      <c r="G50" s="315">
        <v>0</v>
      </c>
      <c r="H50" s="315">
        <v>0.46666666666666662</v>
      </c>
      <c r="I50" s="315">
        <v>0.47619047619047622</v>
      </c>
      <c r="J50" s="315">
        <v>2.8571428571428568</v>
      </c>
      <c r="K50" s="315">
        <v>2.8571428571428577</v>
      </c>
      <c r="L50" s="315">
        <v>1.4285714285714279</v>
      </c>
      <c r="M50" s="315">
        <v>0</v>
      </c>
      <c r="N50" s="315">
        <v>0</v>
      </c>
      <c r="O50" s="315">
        <v>3.3333333333333339</v>
      </c>
      <c r="P50" s="315">
        <v>0.64761904761904709</v>
      </c>
    </row>
    <row r="51" spans="1:18" ht="15.9" customHeight="1" x14ac:dyDescent="0.3">
      <c r="B51" s="24" t="s">
        <v>656</v>
      </c>
      <c r="C51" s="339">
        <v>0</v>
      </c>
      <c r="D51" s="315" t="s">
        <v>5343</v>
      </c>
      <c r="E51" s="315" t="s">
        <v>5343</v>
      </c>
      <c r="F51" s="315" t="s">
        <v>5343</v>
      </c>
      <c r="G51" s="315" t="s">
        <v>5343</v>
      </c>
      <c r="H51" s="315" t="s">
        <v>5343</v>
      </c>
      <c r="I51" s="315" t="s">
        <v>5343</v>
      </c>
      <c r="J51" s="315" t="s">
        <v>5343</v>
      </c>
      <c r="K51" s="315" t="s">
        <v>5343</v>
      </c>
      <c r="L51" s="315" t="s">
        <v>5343</v>
      </c>
      <c r="M51" s="315" t="s">
        <v>5343</v>
      </c>
      <c r="N51" s="315" t="s">
        <v>5343</v>
      </c>
      <c r="O51" s="315" t="s">
        <v>5343</v>
      </c>
      <c r="P51" s="315" t="s">
        <v>5343</v>
      </c>
    </row>
    <row r="52" spans="1:18" ht="15.9" customHeight="1" x14ac:dyDescent="0.3">
      <c r="B52" s="24" t="s">
        <v>2840</v>
      </c>
      <c r="C52" s="339">
        <v>0</v>
      </c>
      <c r="D52" s="315" t="s">
        <v>5343</v>
      </c>
      <c r="E52" s="315" t="s">
        <v>5343</v>
      </c>
      <c r="F52" s="315" t="s">
        <v>5343</v>
      </c>
      <c r="G52" s="315" t="s">
        <v>5343</v>
      </c>
      <c r="H52" s="315" t="s">
        <v>5343</v>
      </c>
      <c r="I52" s="315" t="s">
        <v>5343</v>
      </c>
      <c r="J52" s="315" t="s">
        <v>5343</v>
      </c>
      <c r="K52" s="315" t="s">
        <v>5343</v>
      </c>
      <c r="L52" s="315" t="s">
        <v>5343</v>
      </c>
      <c r="M52" s="315" t="s">
        <v>5343</v>
      </c>
      <c r="N52" s="315" t="s">
        <v>5343</v>
      </c>
      <c r="O52" s="315" t="s">
        <v>5343</v>
      </c>
      <c r="P52" s="315" t="s">
        <v>5343</v>
      </c>
    </row>
    <row r="53" spans="1:18" ht="15.9" customHeight="1" x14ac:dyDescent="0.3">
      <c r="B53" s="289" t="s">
        <v>1687</v>
      </c>
      <c r="C53" s="370">
        <v>0</v>
      </c>
      <c r="D53" s="315" t="s">
        <v>5343</v>
      </c>
      <c r="E53" s="315" t="s">
        <v>5343</v>
      </c>
      <c r="F53" s="315" t="s">
        <v>5343</v>
      </c>
      <c r="G53" s="315" t="s">
        <v>5343</v>
      </c>
      <c r="H53" s="315" t="s">
        <v>5343</v>
      </c>
      <c r="I53" s="315" t="s">
        <v>5343</v>
      </c>
      <c r="J53" s="315" t="s">
        <v>5343</v>
      </c>
      <c r="K53" s="315" t="s">
        <v>5343</v>
      </c>
      <c r="L53" s="315" t="s">
        <v>5343</v>
      </c>
      <c r="M53" s="315" t="s">
        <v>5343</v>
      </c>
      <c r="N53" s="315" t="s">
        <v>5343</v>
      </c>
      <c r="O53" s="315" t="s">
        <v>5343</v>
      </c>
      <c r="P53" s="315" t="s">
        <v>5343</v>
      </c>
    </row>
    <row r="54" spans="1:18" ht="15.9" customHeight="1" x14ac:dyDescent="0.3">
      <c r="B54" s="65" t="s">
        <v>3517</v>
      </c>
      <c r="C54" s="374" t="s">
        <v>260</v>
      </c>
      <c r="D54" s="603">
        <v>0</v>
      </c>
      <c r="E54" s="603">
        <v>0</v>
      </c>
      <c r="F54" s="603">
        <v>0</v>
      </c>
      <c r="G54" s="603">
        <v>2.2400000000000002</v>
      </c>
      <c r="H54" s="603">
        <v>3.3939999999999992</v>
      </c>
      <c r="I54" s="603">
        <v>5.5099999999999989</v>
      </c>
      <c r="J54" s="603">
        <v>10.489999999999998</v>
      </c>
      <c r="K54" s="603">
        <v>15.09</v>
      </c>
      <c r="L54" s="603">
        <v>16.59</v>
      </c>
      <c r="M54" s="603">
        <v>19.009999999999998</v>
      </c>
      <c r="N54" s="603">
        <v>22.03</v>
      </c>
      <c r="O54" s="603">
        <v>27.06</v>
      </c>
      <c r="P54" s="603">
        <v>31.989999999999995</v>
      </c>
    </row>
    <row r="55" spans="1:18" ht="15.9" customHeight="1" x14ac:dyDescent="0.3">
      <c r="B55" s="2"/>
      <c r="C55" s="377"/>
      <c r="G55" s="379"/>
      <c r="H55" s="379"/>
      <c r="I55" s="379"/>
      <c r="J55" s="379"/>
      <c r="K55" s="379"/>
    </row>
    <row r="56" spans="1:18" s="108" customFormat="1" ht="15.9" customHeight="1" x14ac:dyDescent="0.3">
      <c r="A56" s="3"/>
      <c r="B56" s="24"/>
      <c r="C56" s="339"/>
      <c r="D56" s="379"/>
      <c r="E56" s="379"/>
      <c r="F56" s="379"/>
      <c r="G56" s="379"/>
      <c r="H56" s="379"/>
      <c r="I56" s="379"/>
      <c r="J56" s="379"/>
      <c r="K56" s="379"/>
      <c r="L56" s="379"/>
      <c r="M56" s="379"/>
      <c r="N56" s="379"/>
      <c r="O56" s="379"/>
      <c r="P56" s="379"/>
      <c r="Q56" s="24"/>
      <c r="R56" s="24"/>
    </row>
    <row r="57" spans="1:18" s="108" customFormat="1" ht="15.9" customHeight="1" x14ac:dyDescent="0.3">
      <c r="A57" s="3"/>
      <c r="B57" s="24"/>
      <c r="C57" s="339"/>
      <c r="D57" s="379"/>
      <c r="E57" s="379"/>
      <c r="F57" s="379"/>
      <c r="G57" s="379"/>
      <c r="H57" s="379"/>
      <c r="I57" s="379"/>
      <c r="J57" s="379"/>
      <c r="K57" s="379"/>
      <c r="L57" s="379"/>
      <c r="M57" s="379"/>
      <c r="N57" s="379"/>
      <c r="O57" s="379"/>
      <c r="P57" s="379"/>
      <c r="Q57" s="24"/>
      <c r="R57" s="24"/>
    </row>
    <row r="58" spans="1:18" s="108" customFormat="1" ht="15.9" customHeight="1" x14ac:dyDescent="0.3">
      <c r="A58" s="3"/>
      <c r="B58" s="24"/>
      <c r="C58" s="339"/>
      <c r="D58" s="379"/>
      <c r="E58" s="379"/>
      <c r="F58" s="379"/>
      <c r="G58" s="379"/>
      <c r="H58" s="379"/>
      <c r="I58" s="379"/>
      <c r="J58" s="379"/>
      <c r="K58" s="379"/>
      <c r="L58" s="379"/>
      <c r="M58" s="379"/>
      <c r="N58" s="379"/>
      <c r="O58" s="379"/>
      <c r="P58" s="379"/>
      <c r="Q58" s="24"/>
      <c r="R58" s="24"/>
    </row>
    <row r="59" spans="1:18" s="108" customFormat="1" ht="15.9" customHeight="1" x14ac:dyDescent="0.3">
      <c r="A59" s="3"/>
      <c r="B59" s="24"/>
      <c r="C59" s="339"/>
      <c r="D59" s="379"/>
      <c r="E59" s="379"/>
      <c r="F59" s="379"/>
      <c r="G59" s="379"/>
      <c r="H59" s="379"/>
      <c r="I59" s="379"/>
      <c r="J59" s="379"/>
      <c r="K59" s="379"/>
      <c r="L59" s="379"/>
      <c r="M59" s="379"/>
      <c r="N59" s="379"/>
      <c r="O59" s="379"/>
      <c r="P59" s="379"/>
      <c r="Q59" s="24"/>
      <c r="R59" s="24"/>
    </row>
    <row r="60" spans="1:18" s="108" customFormat="1" ht="15.9" customHeight="1" x14ac:dyDescent="0.3">
      <c r="A60" s="3"/>
      <c r="B60" s="24"/>
      <c r="C60" s="339"/>
      <c r="D60" s="379"/>
      <c r="E60" s="379"/>
      <c r="F60" s="379"/>
      <c r="G60" s="379"/>
      <c r="H60" s="379"/>
      <c r="I60" s="379"/>
      <c r="J60" s="379"/>
      <c r="K60" s="379"/>
      <c r="L60" s="379"/>
      <c r="M60" s="379"/>
      <c r="N60" s="379"/>
      <c r="O60" s="379"/>
      <c r="P60" s="379"/>
      <c r="Q60" s="24"/>
      <c r="R60" s="24"/>
    </row>
    <row r="61" spans="1:18" s="108" customFormat="1" ht="15.9" customHeight="1" x14ac:dyDescent="0.3">
      <c r="A61" s="3"/>
      <c r="B61" s="109"/>
      <c r="C61" s="380"/>
      <c r="D61" s="379"/>
      <c r="E61" s="379"/>
      <c r="F61" s="379"/>
      <c r="G61" s="379"/>
      <c r="H61" s="379"/>
      <c r="I61" s="379"/>
      <c r="J61" s="379"/>
      <c r="K61" s="379"/>
      <c r="L61" s="379"/>
      <c r="M61" s="379"/>
      <c r="N61" s="379"/>
      <c r="O61" s="379"/>
      <c r="P61" s="379"/>
      <c r="Q61" s="24"/>
      <c r="R61" s="24"/>
    </row>
    <row r="62" spans="1:18" s="108" customFormat="1" ht="15.9" customHeight="1" x14ac:dyDescent="0.3">
      <c r="A62" s="3"/>
      <c r="B62" s="24"/>
      <c r="C62" s="339"/>
      <c r="D62" s="379"/>
      <c r="E62" s="379"/>
      <c r="F62" s="379"/>
      <c r="G62" s="379"/>
      <c r="H62" s="379"/>
      <c r="I62" s="379"/>
      <c r="J62" s="379"/>
      <c r="K62" s="379"/>
      <c r="L62" s="379"/>
      <c r="M62" s="379"/>
      <c r="N62" s="379"/>
      <c r="O62" s="379"/>
      <c r="P62" s="379"/>
      <c r="Q62" s="24"/>
      <c r="R62" s="24"/>
    </row>
    <row r="63" spans="1:18" s="108" customFormat="1" ht="15.9" customHeight="1" x14ac:dyDescent="0.3">
      <c r="A63" s="3"/>
      <c r="B63" s="22"/>
      <c r="C63" s="381"/>
      <c r="D63" s="379"/>
      <c r="E63" s="379"/>
      <c r="F63" s="379"/>
      <c r="G63" s="379"/>
      <c r="H63" s="379"/>
      <c r="I63" s="379"/>
      <c r="J63" s="379"/>
      <c r="K63" s="379"/>
      <c r="L63" s="379"/>
      <c r="M63" s="379"/>
      <c r="N63" s="379"/>
      <c r="O63" s="379"/>
      <c r="P63" s="379"/>
      <c r="Q63" s="24"/>
      <c r="R63" s="24"/>
    </row>
    <row r="64" spans="1:18" s="108" customFormat="1" ht="15.9" customHeight="1" x14ac:dyDescent="0.3">
      <c r="A64" s="3"/>
      <c r="B64" s="24"/>
      <c r="C64" s="339"/>
      <c r="D64" s="379"/>
      <c r="E64" s="379"/>
      <c r="F64" s="379"/>
      <c r="G64" s="379"/>
      <c r="H64" s="379"/>
      <c r="I64" s="379"/>
      <c r="J64" s="379"/>
      <c r="K64" s="379"/>
      <c r="L64" s="379"/>
      <c r="M64" s="379"/>
      <c r="N64" s="379"/>
      <c r="O64" s="379"/>
      <c r="P64" s="379"/>
      <c r="Q64" s="24"/>
      <c r="R64" s="24"/>
    </row>
    <row r="65" spans="1:18" s="108" customFormat="1" ht="15.9" customHeight="1" x14ac:dyDescent="0.3">
      <c r="A65" s="3"/>
      <c r="B65" s="24"/>
      <c r="C65" s="339"/>
      <c r="D65" s="379"/>
      <c r="E65" s="379"/>
      <c r="F65" s="379"/>
      <c r="G65" s="379"/>
      <c r="H65" s="379"/>
      <c r="I65" s="379"/>
      <c r="J65" s="379"/>
      <c r="K65" s="379"/>
      <c r="L65" s="379"/>
      <c r="M65" s="379"/>
      <c r="N65" s="379"/>
      <c r="O65" s="379"/>
      <c r="P65" s="379"/>
      <c r="Q65" s="24"/>
      <c r="R65" s="24"/>
    </row>
    <row r="66" spans="1:18" s="108" customFormat="1" ht="15.9" customHeight="1" x14ac:dyDescent="0.3">
      <c r="A66" s="3"/>
      <c r="B66" s="24"/>
      <c r="C66" s="339"/>
      <c r="D66" s="379"/>
      <c r="E66" s="379"/>
      <c r="F66" s="379"/>
      <c r="G66" s="379"/>
      <c r="H66" s="379"/>
      <c r="I66" s="379"/>
      <c r="J66" s="379"/>
      <c r="K66" s="379"/>
      <c r="L66" s="379"/>
      <c r="M66" s="379"/>
      <c r="N66" s="379"/>
      <c r="O66" s="379"/>
      <c r="P66" s="379"/>
      <c r="Q66" s="24"/>
      <c r="R66" s="24"/>
    </row>
    <row r="67" spans="1:18" s="108" customFormat="1" ht="15.9" customHeight="1" x14ac:dyDescent="0.3">
      <c r="A67" s="3"/>
      <c r="B67" s="24"/>
      <c r="C67" s="339"/>
      <c r="D67" s="379"/>
      <c r="E67" s="379"/>
      <c r="F67" s="379"/>
      <c r="G67" s="379"/>
      <c r="H67" s="379"/>
      <c r="I67" s="379"/>
      <c r="J67" s="379"/>
      <c r="K67" s="379"/>
      <c r="L67" s="379"/>
      <c r="M67" s="379"/>
      <c r="N67" s="379"/>
      <c r="O67" s="379"/>
      <c r="P67" s="379"/>
      <c r="Q67" s="24"/>
      <c r="R67" s="24"/>
    </row>
    <row r="68" spans="1:18" s="108" customFormat="1" ht="15.9" customHeight="1" x14ac:dyDescent="0.3">
      <c r="A68" s="3"/>
      <c r="B68" s="24"/>
      <c r="C68" s="339"/>
      <c r="D68" s="379"/>
      <c r="E68" s="379"/>
      <c r="F68" s="379"/>
      <c r="G68" s="379"/>
      <c r="H68" s="379"/>
      <c r="I68" s="379"/>
      <c r="J68" s="379"/>
      <c r="K68" s="379"/>
      <c r="L68" s="379"/>
      <c r="M68" s="379"/>
      <c r="N68" s="379"/>
      <c r="O68" s="379"/>
      <c r="P68" s="379"/>
      <c r="Q68" s="24"/>
      <c r="R68" s="24"/>
    </row>
    <row r="69" spans="1:18" s="108" customFormat="1" ht="15.9" customHeight="1" x14ac:dyDescent="0.3">
      <c r="A69" s="3"/>
      <c r="B69" s="24"/>
      <c r="C69" s="339"/>
      <c r="D69" s="379"/>
      <c r="E69" s="379"/>
      <c r="F69" s="379"/>
      <c r="G69" s="379"/>
      <c r="H69" s="379"/>
      <c r="I69" s="379"/>
      <c r="J69" s="379"/>
      <c r="K69" s="379"/>
      <c r="L69" s="379"/>
      <c r="M69" s="379"/>
      <c r="N69" s="379"/>
      <c r="O69" s="379"/>
      <c r="P69" s="379"/>
      <c r="Q69" s="24"/>
      <c r="R69" s="24"/>
    </row>
    <row r="70" spans="1:18" s="108" customFormat="1" ht="15.9" customHeight="1" x14ac:dyDescent="0.3">
      <c r="A70" s="3"/>
      <c r="B70" s="24"/>
      <c r="C70" s="339"/>
      <c r="D70" s="379"/>
      <c r="E70" s="379"/>
      <c r="F70" s="379"/>
      <c r="G70" s="379"/>
      <c r="H70" s="379"/>
      <c r="I70" s="379"/>
      <c r="J70" s="379"/>
      <c r="K70" s="379"/>
      <c r="L70" s="379"/>
      <c r="M70" s="379"/>
      <c r="N70" s="379"/>
      <c r="O70" s="379"/>
      <c r="P70" s="379"/>
      <c r="Q70" s="24"/>
      <c r="R70" s="24"/>
    </row>
    <row r="71" spans="1:18" s="108" customFormat="1" ht="15.9" customHeight="1" x14ac:dyDescent="0.3">
      <c r="A71" s="3"/>
      <c r="B71" s="24"/>
      <c r="C71" s="339"/>
      <c r="D71" s="379"/>
      <c r="E71" s="379"/>
      <c r="F71" s="379"/>
      <c r="G71" s="379"/>
      <c r="H71" s="379"/>
      <c r="I71" s="379"/>
      <c r="J71" s="379"/>
      <c r="K71" s="379"/>
      <c r="L71" s="379"/>
      <c r="M71" s="379"/>
      <c r="N71" s="379"/>
      <c r="O71" s="379"/>
      <c r="P71" s="379"/>
      <c r="Q71" s="24"/>
      <c r="R71" s="24"/>
    </row>
    <row r="72" spans="1:18" s="108" customFormat="1" ht="15.9" customHeight="1" x14ac:dyDescent="0.3">
      <c r="A72" s="3"/>
      <c r="B72" s="24"/>
      <c r="C72" s="339"/>
      <c r="D72" s="379"/>
      <c r="E72" s="379"/>
      <c r="F72" s="379"/>
      <c r="G72" s="379"/>
      <c r="H72" s="379"/>
      <c r="I72" s="379"/>
      <c r="J72" s="379"/>
      <c r="K72" s="379"/>
      <c r="L72" s="379"/>
      <c r="M72" s="379"/>
      <c r="N72" s="379"/>
      <c r="O72" s="379"/>
      <c r="P72" s="379"/>
      <c r="Q72" s="24"/>
      <c r="R72" s="24"/>
    </row>
    <row r="73" spans="1:18" s="108" customFormat="1" ht="15.9" customHeight="1" x14ac:dyDescent="0.3">
      <c r="A73" s="3"/>
      <c r="B73" s="24"/>
      <c r="C73" s="339"/>
      <c r="D73" s="379"/>
      <c r="E73" s="379"/>
      <c r="F73" s="379"/>
      <c r="G73" s="379"/>
      <c r="H73" s="379"/>
      <c r="I73" s="379"/>
      <c r="J73" s="379"/>
      <c r="K73" s="379"/>
      <c r="L73" s="379"/>
      <c r="M73" s="379"/>
      <c r="N73" s="379"/>
      <c r="O73" s="379"/>
      <c r="P73" s="379"/>
      <c r="Q73" s="24"/>
      <c r="R73" s="24"/>
    </row>
    <row r="74" spans="1:18" s="108" customFormat="1" ht="15.9" customHeight="1" x14ac:dyDescent="0.3">
      <c r="A74" s="3"/>
      <c r="B74" s="24"/>
      <c r="C74" s="339"/>
      <c r="D74" s="379"/>
      <c r="E74" s="379"/>
      <c r="F74" s="379"/>
      <c r="G74" s="379"/>
      <c r="H74" s="379"/>
      <c r="I74" s="379"/>
      <c r="J74" s="379"/>
      <c r="K74" s="379"/>
      <c r="L74" s="379"/>
      <c r="M74" s="379"/>
      <c r="N74" s="379"/>
      <c r="O74" s="379"/>
      <c r="P74" s="379"/>
      <c r="Q74" s="24"/>
      <c r="R74" s="24"/>
    </row>
    <row r="75" spans="1:18" s="108" customFormat="1" ht="15.9" customHeight="1" x14ac:dyDescent="0.3">
      <c r="A75" s="3"/>
      <c r="B75" s="24"/>
      <c r="C75" s="339"/>
      <c r="D75" s="379"/>
      <c r="E75" s="379"/>
      <c r="F75" s="379"/>
      <c r="G75" s="379"/>
      <c r="H75" s="379"/>
      <c r="I75" s="379"/>
      <c r="J75" s="379"/>
      <c r="K75" s="379"/>
      <c r="L75" s="379"/>
      <c r="M75" s="379"/>
      <c r="N75" s="379"/>
      <c r="O75" s="379"/>
      <c r="P75" s="379"/>
      <c r="Q75" s="24"/>
      <c r="R75" s="24"/>
    </row>
    <row r="76" spans="1:18" s="108" customFormat="1" ht="15.9" customHeight="1" x14ac:dyDescent="0.3">
      <c r="A76" s="3"/>
      <c r="B76" s="24"/>
      <c r="C76" s="339"/>
      <c r="D76" s="379"/>
      <c r="E76" s="379"/>
      <c r="F76" s="379"/>
      <c r="G76" s="379"/>
      <c r="H76" s="379"/>
      <c r="I76" s="379"/>
      <c r="J76" s="379"/>
      <c r="K76" s="379"/>
      <c r="L76" s="379"/>
      <c r="M76" s="379"/>
      <c r="N76" s="379"/>
      <c r="O76" s="379"/>
      <c r="P76" s="379"/>
      <c r="Q76" s="24"/>
      <c r="R76" s="24"/>
    </row>
    <row r="77" spans="1:18" s="108" customFormat="1" ht="15.9" customHeight="1" x14ac:dyDescent="0.3">
      <c r="A77" s="3"/>
      <c r="B77" s="24"/>
      <c r="C77" s="339"/>
      <c r="D77" s="379"/>
      <c r="E77" s="379"/>
      <c r="F77" s="379"/>
      <c r="G77" s="379"/>
      <c r="H77" s="379"/>
      <c r="I77" s="379"/>
      <c r="J77" s="379"/>
      <c r="K77" s="379"/>
      <c r="L77" s="379"/>
      <c r="M77" s="379"/>
      <c r="N77" s="379"/>
      <c r="O77" s="379"/>
      <c r="P77" s="379"/>
      <c r="Q77" s="24"/>
      <c r="R77" s="24"/>
    </row>
    <row r="78" spans="1:18" s="108" customFormat="1" ht="15.9" customHeight="1" x14ac:dyDescent="0.3">
      <c r="A78" s="3"/>
      <c r="B78" s="24"/>
      <c r="C78" s="339"/>
      <c r="D78" s="379"/>
      <c r="E78" s="379"/>
      <c r="F78" s="379"/>
      <c r="G78" s="379"/>
      <c r="H78" s="379"/>
      <c r="I78" s="379"/>
      <c r="J78" s="379"/>
      <c r="K78" s="379"/>
      <c r="L78" s="379"/>
      <c r="M78" s="379"/>
      <c r="N78" s="379"/>
      <c r="O78" s="379"/>
      <c r="P78" s="379"/>
      <c r="Q78" s="24"/>
      <c r="R78" s="24"/>
    </row>
    <row r="79" spans="1:18" s="108" customFormat="1" ht="15.9" customHeight="1" x14ac:dyDescent="0.3">
      <c r="A79" s="3"/>
      <c r="B79" s="24"/>
      <c r="C79" s="339"/>
      <c r="D79" s="379"/>
      <c r="E79" s="379"/>
      <c r="F79" s="379"/>
      <c r="G79" s="379"/>
      <c r="H79" s="379"/>
      <c r="I79" s="379"/>
      <c r="J79" s="379"/>
      <c r="K79" s="379"/>
      <c r="L79" s="379"/>
      <c r="M79" s="379"/>
      <c r="N79" s="379"/>
      <c r="O79" s="379"/>
      <c r="P79" s="379"/>
      <c r="Q79" s="24"/>
      <c r="R79" s="24"/>
    </row>
    <row r="80" spans="1:18" s="108" customFormat="1" ht="15.9" customHeight="1" x14ac:dyDescent="0.3">
      <c r="A80" s="3"/>
      <c r="B80" s="24"/>
      <c r="C80" s="339"/>
      <c r="D80" s="379"/>
      <c r="E80" s="379"/>
      <c r="F80" s="379"/>
      <c r="G80" s="379"/>
      <c r="H80" s="379"/>
      <c r="I80" s="379"/>
      <c r="J80" s="379"/>
      <c r="K80" s="379"/>
      <c r="L80" s="379"/>
      <c r="M80" s="379"/>
      <c r="N80" s="379"/>
      <c r="O80" s="379"/>
      <c r="P80" s="379"/>
      <c r="Q80" s="24"/>
      <c r="R80" s="24"/>
    </row>
    <row r="81" spans="1:18" s="108" customFormat="1" ht="15.9" customHeight="1" x14ac:dyDescent="0.3">
      <c r="A81" s="3"/>
      <c r="B81" s="24"/>
      <c r="C81" s="339"/>
      <c r="D81" s="379"/>
      <c r="E81" s="379"/>
      <c r="F81" s="379"/>
      <c r="G81" s="379"/>
      <c r="H81" s="379"/>
      <c r="I81" s="379"/>
      <c r="J81" s="379"/>
      <c r="K81" s="379"/>
      <c r="L81" s="379"/>
      <c r="M81" s="379"/>
      <c r="N81" s="379"/>
      <c r="O81" s="379"/>
      <c r="P81" s="379"/>
      <c r="Q81" s="24"/>
      <c r="R81" s="24"/>
    </row>
    <row r="82" spans="1:18" s="108" customFormat="1" ht="15.9" customHeight="1" x14ac:dyDescent="0.3">
      <c r="A82" s="3"/>
      <c r="B82" s="24"/>
      <c r="C82" s="339"/>
      <c r="D82" s="379"/>
      <c r="E82" s="379"/>
      <c r="F82" s="379"/>
      <c r="G82" s="379"/>
      <c r="H82" s="379"/>
      <c r="I82" s="379"/>
      <c r="J82" s="379"/>
      <c r="K82" s="379"/>
      <c r="L82" s="379"/>
      <c r="M82" s="379"/>
      <c r="N82" s="379"/>
      <c r="O82" s="379"/>
      <c r="P82" s="379"/>
      <c r="Q82" s="24"/>
      <c r="R82" s="24"/>
    </row>
    <row r="83" spans="1:18" s="108" customFormat="1" ht="15.9" customHeight="1" x14ac:dyDescent="0.3">
      <c r="A83" s="3"/>
      <c r="B83" s="24"/>
      <c r="C83" s="339"/>
      <c r="D83" s="379"/>
      <c r="E83" s="379"/>
      <c r="F83" s="379"/>
      <c r="G83" s="379"/>
      <c r="H83" s="379"/>
      <c r="I83" s="379"/>
      <c r="J83" s="379"/>
      <c r="K83" s="379"/>
      <c r="L83" s="379"/>
      <c r="M83" s="379"/>
      <c r="N83" s="379"/>
      <c r="O83" s="379"/>
      <c r="P83" s="379"/>
      <c r="Q83" s="24"/>
      <c r="R83" s="24"/>
    </row>
    <row r="84" spans="1:18" s="108" customFormat="1" ht="15.9" customHeight="1" x14ac:dyDescent="0.3">
      <c r="A84" s="3"/>
      <c r="B84" s="24"/>
      <c r="C84" s="339"/>
      <c r="D84" s="379"/>
      <c r="E84" s="379"/>
      <c r="F84" s="379"/>
      <c r="G84" s="379"/>
      <c r="H84" s="379"/>
      <c r="I84" s="379"/>
      <c r="J84" s="379"/>
      <c r="K84" s="379"/>
      <c r="L84" s="379"/>
      <c r="M84" s="379"/>
      <c r="N84" s="379"/>
      <c r="O84" s="379"/>
      <c r="P84" s="379"/>
      <c r="Q84" s="24"/>
      <c r="R84" s="24"/>
    </row>
    <row r="85" spans="1:18" s="108" customFormat="1" ht="15.9" customHeight="1" x14ac:dyDescent="0.3">
      <c r="A85" s="3"/>
      <c r="B85" s="24"/>
      <c r="C85" s="339"/>
      <c r="D85" s="379"/>
      <c r="E85" s="379"/>
      <c r="F85" s="379"/>
      <c r="G85" s="379"/>
      <c r="H85" s="379"/>
      <c r="I85" s="379"/>
      <c r="J85" s="379"/>
      <c r="K85" s="379"/>
      <c r="L85" s="379"/>
      <c r="M85" s="379"/>
      <c r="N85" s="379"/>
      <c r="O85" s="379"/>
      <c r="P85" s="379"/>
      <c r="Q85" s="24"/>
      <c r="R85" s="24"/>
    </row>
    <row r="86" spans="1:18" s="108" customFormat="1" ht="15.9" customHeight="1" x14ac:dyDescent="0.3">
      <c r="A86" s="3"/>
      <c r="B86" s="24"/>
      <c r="C86" s="339"/>
      <c r="D86" s="379"/>
      <c r="E86" s="379"/>
      <c r="F86" s="379"/>
      <c r="G86" s="379"/>
      <c r="H86" s="379"/>
      <c r="I86" s="379"/>
      <c r="J86" s="379"/>
      <c r="K86" s="379"/>
      <c r="L86" s="379"/>
      <c r="M86" s="379"/>
      <c r="N86" s="379"/>
      <c r="O86" s="379"/>
      <c r="P86" s="379"/>
      <c r="Q86" s="24"/>
      <c r="R86" s="24"/>
    </row>
    <row r="87" spans="1:18" s="108" customFormat="1" ht="15.9" customHeight="1" x14ac:dyDescent="0.3">
      <c r="A87" s="3"/>
      <c r="B87" s="24"/>
      <c r="C87" s="339"/>
      <c r="D87" s="379"/>
      <c r="E87" s="379"/>
      <c r="F87" s="379"/>
      <c r="G87" s="379"/>
      <c r="H87" s="379"/>
      <c r="I87" s="379"/>
      <c r="J87" s="379"/>
      <c r="K87" s="379"/>
      <c r="L87" s="379"/>
      <c r="M87" s="379"/>
      <c r="N87" s="379"/>
      <c r="O87" s="379"/>
      <c r="P87" s="379"/>
      <c r="Q87" s="24"/>
      <c r="R87" s="24"/>
    </row>
    <row r="88" spans="1:18" s="108" customFormat="1" ht="15.9" customHeight="1" x14ac:dyDescent="0.3">
      <c r="A88" s="3"/>
      <c r="B88" s="24"/>
      <c r="C88" s="339"/>
      <c r="D88" s="379"/>
      <c r="E88" s="379"/>
      <c r="F88" s="379"/>
      <c r="G88" s="379"/>
      <c r="H88" s="379"/>
      <c r="I88" s="379"/>
      <c r="J88" s="379"/>
      <c r="K88" s="379"/>
      <c r="L88" s="379"/>
      <c r="M88" s="379"/>
      <c r="N88" s="379"/>
      <c r="O88" s="379"/>
      <c r="P88" s="379"/>
      <c r="Q88" s="24"/>
      <c r="R88" s="24"/>
    </row>
    <row r="89" spans="1:18" s="108" customFormat="1" ht="15.9" customHeight="1" x14ac:dyDescent="0.3">
      <c r="A89" s="3"/>
      <c r="B89" s="24"/>
      <c r="C89" s="339"/>
      <c r="D89" s="379"/>
      <c r="E89" s="379"/>
      <c r="F89" s="379"/>
      <c r="G89" s="379"/>
      <c r="H89" s="379"/>
      <c r="I89" s="379"/>
      <c r="J89" s="379"/>
      <c r="K89" s="379"/>
      <c r="L89" s="379"/>
      <c r="M89" s="379"/>
      <c r="N89" s="379"/>
      <c r="O89" s="379"/>
      <c r="P89" s="379"/>
      <c r="Q89" s="24"/>
      <c r="R89" s="24"/>
    </row>
    <row r="90" spans="1:18" s="108" customFormat="1" ht="15.9" customHeight="1" x14ac:dyDescent="0.3">
      <c r="A90" s="3"/>
      <c r="B90" s="24"/>
      <c r="C90" s="339"/>
      <c r="D90" s="379"/>
      <c r="E90" s="379"/>
      <c r="F90" s="379"/>
      <c r="G90" s="379"/>
      <c r="H90" s="379"/>
      <c r="I90" s="379"/>
      <c r="J90" s="379"/>
      <c r="K90" s="379"/>
      <c r="L90" s="379"/>
      <c r="M90" s="379"/>
      <c r="N90" s="379"/>
      <c r="O90" s="379"/>
      <c r="P90" s="379"/>
      <c r="Q90" s="24"/>
      <c r="R90" s="24"/>
    </row>
    <row r="91" spans="1:18" s="108" customFormat="1" ht="15.9" customHeight="1" x14ac:dyDescent="0.3">
      <c r="A91" s="3"/>
      <c r="B91" s="24"/>
      <c r="C91" s="339"/>
      <c r="D91" s="379"/>
      <c r="E91" s="379"/>
      <c r="F91" s="379"/>
      <c r="G91" s="379"/>
      <c r="H91" s="379"/>
      <c r="I91" s="379"/>
      <c r="J91" s="379"/>
      <c r="K91" s="379"/>
      <c r="L91" s="379"/>
      <c r="M91" s="379"/>
      <c r="N91" s="379"/>
      <c r="O91" s="379"/>
      <c r="P91" s="379"/>
      <c r="Q91" s="24"/>
      <c r="R91" s="24"/>
    </row>
    <row r="92" spans="1:18" s="108" customFormat="1" ht="15.9" customHeight="1" x14ac:dyDescent="0.3">
      <c r="A92" s="3"/>
      <c r="B92" s="24"/>
      <c r="C92" s="339"/>
      <c r="D92" s="379"/>
      <c r="E92" s="379"/>
      <c r="F92" s="379"/>
      <c r="G92" s="379"/>
      <c r="H92" s="379"/>
      <c r="I92" s="379"/>
      <c r="J92" s="379"/>
      <c r="K92" s="379"/>
      <c r="L92" s="379"/>
      <c r="M92" s="379"/>
      <c r="N92" s="379"/>
      <c r="O92" s="379"/>
      <c r="P92" s="379"/>
      <c r="Q92" s="24"/>
      <c r="R92" s="24"/>
    </row>
    <row r="93" spans="1:18" s="108" customFormat="1" ht="15.9" customHeight="1" x14ac:dyDescent="0.3">
      <c r="A93" s="3"/>
      <c r="B93" s="24"/>
      <c r="C93" s="339"/>
      <c r="D93" s="379"/>
      <c r="E93" s="379"/>
      <c r="F93" s="379"/>
      <c r="G93" s="379"/>
      <c r="H93" s="379"/>
      <c r="I93" s="379"/>
      <c r="J93" s="379"/>
      <c r="K93" s="379"/>
      <c r="L93" s="379"/>
      <c r="M93" s="379"/>
      <c r="N93" s="379"/>
      <c r="O93" s="379"/>
      <c r="P93" s="379"/>
      <c r="Q93" s="24"/>
      <c r="R93" s="24"/>
    </row>
    <row r="94" spans="1:18" s="108" customFormat="1" ht="15.9" customHeight="1" x14ac:dyDescent="0.3">
      <c r="A94" s="3"/>
      <c r="B94" s="24"/>
      <c r="C94" s="339"/>
      <c r="D94" s="379"/>
      <c r="E94" s="379"/>
      <c r="F94" s="379"/>
      <c r="G94" s="379"/>
      <c r="H94" s="379"/>
      <c r="I94" s="379"/>
      <c r="J94" s="379"/>
      <c r="K94" s="379"/>
      <c r="L94" s="379"/>
      <c r="M94" s="379"/>
      <c r="N94" s="379"/>
      <c r="O94" s="379"/>
      <c r="P94" s="379"/>
      <c r="Q94" s="24"/>
      <c r="R94" s="24"/>
    </row>
    <row r="95" spans="1:18" s="108" customFormat="1" ht="15.9" customHeight="1" x14ac:dyDescent="0.3">
      <c r="A95" s="3"/>
      <c r="B95" s="24"/>
      <c r="C95" s="339"/>
      <c r="D95" s="379"/>
      <c r="E95" s="379"/>
      <c r="F95" s="379"/>
      <c r="G95" s="379"/>
      <c r="H95" s="379"/>
      <c r="I95" s="379"/>
      <c r="J95" s="379"/>
      <c r="K95" s="379"/>
      <c r="L95" s="379"/>
      <c r="M95" s="379"/>
      <c r="N95" s="379"/>
      <c r="O95" s="379"/>
      <c r="P95" s="379"/>
      <c r="Q95" s="24"/>
      <c r="R95" s="24"/>
    </row>
    <row r="96" spans="1:18" s="108" customFormat="1" ht="15.9" customHeight="1" x14ac:dyDescent="0.3">
      <c r="A96" s="3"/>
      <c r="B96" s="24"/>
      <c r="C96" s="339"/>
      <c r="D96" s="379"/>
      <c r="E96" s="379"/>
      <c r="F96" s="379"/>
      <c r="G96" s="379"/>
      <c r="H96" s="379"/>
      <c r="I96" s="379"/>
      <c r="J96" s="379"/>
      <c r="K96" s="379"/>
      <c r="L96" s="379"/>
      <c r="M96" s="379"/>
      <c r="N96" s="379"/>
      <c r="O96" s="379"/>
      <c r="P96" s="379"/>
      <c r="Q96" s="24"/>
      <c r="R96" s="24"/>
    </row>
    <row r="97" spans="1:18" s="108" customFormat="1" ht="15.9" customHeight="1" x14ac:dyDescent="0.3">
      <c r="A97" s="3"/>
      <c r="B97" s="24"/>
      <c r="C97" s="339"/>
      <c r="D97" s="379"/>
      <c r="E97" s="379"/>
      <c r="F97" s="379"/>
      <c r="G97" s="379"/>
      <c r="H97" s="379"/>
      <c r="I97" s="379"/>
      <c r="J97" s="379"/>
      <c r="K97" s="379"/>
      <c r="L97" s="379"/>
      <c r="M97" s="379"/>
      <c r="N97" s="379"/>
      <c r="O97" s="379"/>
      <c r="P97" s="379"/>
      <c r="Q97" s="24"/>
      <c r="R97" s="24"/>
    </row>
    <row r="98" spans="1:18" s="108" customFormat="1" ht="15.9" customHeight="1" x14ac:dyDescent="0.3">
      <c r="A98" s="3"/>
      <c r="B98" s="24"/>
      <c r="C98" s="339"/>
      <c r="D98" s="379"/>
      <c r="E98" s="379"/>
      <c r="F98" s="379"/>
      <c r="G98" s="379"/>
      <c r="H98" s="379"/>
      <c r="I98" s="379"/>
      <c r="J98" s="379"/>
      <c r="K98" s="379"/>
      <c r="L98" s="379"/>
      <c r="M98" s="379"/>
      <c r="N98" s="379"/>
      <c r="O98" s="379"/>
      <c r="P98" s="379"/>
      <c r="Q98" s="24"/>
      <c r="R98" s="24"/>
    </row>
    <row r="99" spans="1:18" s="108" customFormat="1" ht="15.9" customHeight="1" x14ac:dyDescent="0.3">
      <c r="A99" s="3"/>
      <c r="B99" s="24"/>
      <c r="C99" s="339"/>
      <c r="D99" s="379"/>
      <c r="E99" s="379"/>
      <c r="F99" s="379"/>
      <c r="G99" s="379"/>
      <c r="H99" s="379"/>
      <c r="I99" s="379"/>
      <c r="J99" s="379"/>
      <c r="K99" s="379"/>
      <c r="L99" s="379"/>
      <c r="M99" s="379"/>
      <c r="N99" s="379"/>
      <c r="O99" s="379"/>
      <c r="P99" s="379"/>
      <c r="Q99" s="24"/>
      <c r="R99" s="24"/>
    </row>
    <row r="100" spans="1:18" s="108" customFormat="1" ht="15.9" customHeight="1" x14ac:dyDescent="0.3">
      <c r="A100" s="3"/>
      <c r="B100" s="24"/>
      <c r="C100" s="339"/>
      <c r="D100" s="379"/>
      <c r="E100" s="379"/>
      <c r="F100" s="379"/>
      <c r="G100" s="379"/>
      <c r="H100" s="379"/>
      <c r="I100" s="379"/>
      <c r="J100" s="379"/>
      <c r="K100" s="379"/>
      <c r="M100" s="344"/>
      <c r="P100" s="140"/>
      <c r="Q100" s="24"/>
      <c r="R100" s="24"/>
    </row>
    <row r="101" spans="1:18" s="108" customFormat="1" ht="15.9" customHeight="1" x14ac:dyDescent="0.3">
      <c r="A101" s="3"/>
      <c r="B101" s="24"/>
      <c r="C101" s="339"/>
      <c r="D101" s="379"/>
      <c r="E101" s="379"/>
      <c r="F101" s="379"/>
      <c r="G101" s="379"/>
      <c r="H101" s="379"/>
      <c r="I101" s="379"/>
      <c r="J101" s="379"/>
      <c r="K101" s="379"/>
      <c r="M101" s="344"/>
      <c r="P101" s="140"/>
      <c r="Q101" s="24"/>
      <c r="R101" s="24"/>
    </row>
    <row r="102" spans="1:18" s="108" customFormat="1" ht="15.9" customHeight="1" x14ac:dyDescent="0.3">
      <c r="A102" s="3"/>
      <c r="B102" s="24"/>
      <c r="C102" s="339"/>
      <c r="D102" s="379"/>
      <c r="E102" s="379"/>
      <c r="F102" s="379"/>
      <c r="G102" s="379"/>
      <c r="H102" s="379"/>
      <c r="I102" s="379"/>
      <c r="J102" s="379"/>
      <c r="K102" s="379"/>
      <c r="M102" s="344"/>
      <c r="P102" s="140"/>
      <c r="Q102" s="24"/>
      <c r="R102" s="24"/>
    </row>
    <row r="103" spans="1:18" s="108" customFormat="1" ht="15.9" customHeight="1" x14ac:dyDescent="0.3">
      <c r="A103" s="3"/>
      <c r="B103" s="24"/>
      <c r="C103" s="339"/>
      <c r="D103" s="379"/>
      <c r="E103" s="379"/>
      <c r="F103" s="379"/>
      <c r="G103" s="379"/>
      <c r="H103" s="379"/>
      <c r="I103" s="379"/>
      <c r="J103" s="379"/>
      <c r="K103" s="379"/>
      <c r="M103" s="344"/>
      <c r="P103" s="140"/>
      <c r="Q103" s="24"/>
      <c r="R103" s="24"/>
    </row>
    <row r="104" spans="1:18" s="108" customFormat="1" ht="15.9" customHeight="1" x14ac:dyDescent="0.3">
      <c r="A104" s="3"/>
      <c r="B104" s="24"/>
      <c r="C104" s="339"/>
      <c r="D104" s="379"/>
      <c r="E104" s="379"/>
      <c r="F104" s="379"/>
      <c r="G104" s="379"/>
      <c r="H104" s="379"/>
      <c r="I104" s="379"/>
      <c r="J104" s="379"/>
      <c r="K104" s="379"/>
      <c r="M104" s="344"/>
      <c r="P104" s="140"/>
      <c r="Q104" s="24"/>
      <c r="R104" s="24"/>
    </row>
    <row r="105" spans="1:18" s="108" customFormat="1" ht="15.9" customHeight="1" x14ac:dyDescent="0.3">
      <c r="A105" s="3"/>
      <c r="B105" s="24"/>
      <c r="C105" s="339"/>
      <c r="D105" s="379"/>
      <c r="E105" s="379"/>
      <c r="F105" s="379"/>
      <c r="G105" s="379"/>
      <c r="H105" s="379"/>
      <c r="I105" s="379"/>
      <c r="J105" s="379"/>
      <c r="K105" s="379"/>
      <c r="M105" s="344"/>
      <c r="P105" s="140"/>
      <c r="Q105" s="24"/>
      <c r="R105" s="24"/>
    </row>
    <row r="106" spans="1:18" s="108" customFormat="1" ht="15.9" customHeight="1" x14ac:dyDescent="0.3">
      <c r="A106" s="3"/>
      <c r="B106" s="24"/>
      <c r="C106" s="339"/>
      <c r="D106" s="379"/>
      <c r="E106" s="379"/>
      <c r="F106" s="379"/>
      <c r="G106" s="379"/>
      <c r="H106" s="379"/>
      <c r="I106" s="379"/>
      <c r="J106" s="379"/>
      <c r="K106" s="379"/>
      <c r="M106" s="344"/>
      <c r="P106" s="140"/>
      <c r="Q106" s="24"/>
      <c r="R106" s="24"/>
    </row>
    <row r="107" spans="1:18" s="108" customFormat="1" ht="15.9" customHeight="1" x14ac:dyDescent="0.3">
      <c r="A107" s="3"/>
      <c r="B107" s="24"/>
      <c r="C107" s="339"/>
      <c r="D107" s="379"/>
      <c r="E107" s="379"/>
      <c r="F107" s="379"/>
      <c r="G107" s="379"/>
      <c r="H107" s="379"/>
      <c r="I107" s="379"/>
      <c r="J107" s="379"/>
      <c r="K107" s="379"/>
      <c r="M107" s="344"/>
      <c r="P107" s="140"/>
      <c r="Q107" s="24"/>
      <c r="R107" s="24"/>
    </row>
    <row r="108" spans="1:18" s="108" customFormat="1" ht="15.9" customHeight="1" x14ac:dyDescent="0.3">
      <c r="A108" s="3"/>
      <c r="B108" s="24"/>
      <c r="C108" s="339"/>
      <c r="D108" s="379"/>
      <c r="E108" s="379"/>
      <c r="F108" s="379"/>
      <c r="G108" s="379"/>
      <c r="H108" s="379"/>
      <c r="I108" s="379"/>
      <c r="J108" s="379"/>
      <c r="K108" s="379"/>
      <c r="M108" s="344"/>
      <c r="P108" s="140"/>
      <c r="Q108" s="24"/>
      <c r="R108" s="24"/>
    </row>
    <row r="109" spans="1:18" s="108" customFormat="1" ht="15.9" customHeight="1" x14ac:dyDescent="0.3">
      <c r="A109" s="3"/>
      <c r="B109" s="24"/>
      <c r="C109" s="339"/>
      <c r="D109" s="379"/>
      <c r="E109" s="379"/>
      <c r="F109" s="379"/>
      <c r="G109" s="379"/>
      <c r="H109" s="379"/>
      <c r="I109" s="379"/>
      <c r="J109" s="379"/>
      <c r="K109" s="379"/>
      <c r="M109" s="344"/>
      <c r="P109" s="140"/>
      <c r="Q109" s="24"/>
      <c r="R109" s="24"/>
    </row>
    <row r="110" spans="1:18" s="108" customFormat="1" ht="15.9" customHeight="1" x14ac:dyDescent="0.3">
      <c r="A110" s="3"/>
      <c r="B110" s="24"/>
      <c r="C110" s="339"/>
      <c r="D110" s="379"/>
      <c r="E110" s="379"/>
      <c r="F110" s="379"/>
      <c r="G110" s="379"/>
      <c r="H110" s="379"/>
      <c r="I110" s="379"/>
      <c r="J110" s="379"/>
      <c r="K110" s="379"/>
      <c r="M110" s="344"/>
      <c r="P110" s="140"/>
      <c r="Q110" s="24"/>
      <c r="R110" s="24"/>
    </row>
    <row r="111" spans="1:18" s="108" customFormat="1" ht="15.9" customHeight="1" x14ac:dyDescent="0.3">
      <c r="A111" s="3"/>
      <c r="B111" s="24"/>
      <c r="C111" s="339"/>
      <c r="D111" s="379"/>
      <c r="E111" s="379"/>
      <c r="F111" s="379"/>
      <c r="G111" s="379"/>
      <c r="H111" s="379"/>
      <c r="I111" s="379"/>
      <c r="J111" s="379"/>
      <c r="K111" s="379"/>
      <c r="M111" s="344"/>
      <c r="P111" s="140"/>
      <c r="Q111" s="24"/>
      <c r="R111" s="24"/>
    </row>
    <row r="112" spans="1:18" s="108" customFormat="1" ht="15.9" customHeight="1" x14ac:dyDescent="0.3">
      <c r="A112" s="3"/>
      <c r="B112" s="24"/>
      <c r="C112" s="339"/>
      <c r="D112" s="379"/>
      <c r="E112" s="379"/>
      <c r="F112" s="379"/>
      <c r="G112" s="379"/>
      <c r="H112" s="379"/>
      <c r="I112" s="379"/>
      <c r="J112" s="379"/>
      <c r="K112" s="379"/>
      <c r="M112" s="344"/>
      <c r="P112" s="140"/>
      <c r="Q112" s="24"/>
      <c r="R112" s="24"/>
    </row>
    <row r="113" spans="1:18" s="108" customFormat="1" ht="15.9" customHeight="1" x14ac:dyDescent="0.3">
      <c r="A113" s="3"/>
      <c r="B113" s="24"/>
      <c r="C113" s="339"/>
      <c r="D113" s="379"/>
      <c r="E113" s="379"/>
      <c r="F113" s="379"/>
      <c r="G113" s="379"/>
      <c r="H113" s="379"/>
      <c r="I113" s="379"/>
      <c r="J113" s="379"/>
      <c r="K113" s="379"/>
      <c r="M113" s="344"/>
      <c r="P113" s="140"/>
      <c r="Q113" s="24"/>
      <c r="R113" s="24"/>
    </row>
    <row r="114" spans="1:18" s="108" customFormat="1" ht="15.9" customHeight="1" x14ac:dyDescent="0.3">
      <c r="A114" s="3"/>
      <c r="B114" s="24"/>
      <c r="C114" s="339"/>
      <c r="D114" s="379"/>
      <c r="E114" s="379"/>
      <c r="F114" s="379"/>
      <c r="G114" s="379"/>
      <c r="H114" s="379"/>
      <c r="I114" s="379"/>
      <c r="J114" s="379"/>
      <c r="K114" s="379"/>
      <c r="M114" s="344"/>
      <c r="P114" s="140"/>
      <c r="Q114" s="24"/>
      <c r="R114" s="24"/>
    </row>
    <row r="115" spans="1:18" s="108" customFormat="1" ht="15.9" customHeight="1" x14ac:dyDescent="0.3">
      <c r="A115" s="3"/>
      <c r="B115" s="24"/>
      <c r="C115" s="339"/>
      <c r="D115" s="379"/>
      <c r="E115" s="379"/>
      <c r="F115" s="379"/>
      <c r="G115" s="379"/>
      <c r="H115" s="379"/>
      <c r="I115" s="379"/>
      <c r="J115" s="379"/>
      <c r="K115" s="379"/>
      <c r="M115" s="344"/>
      <c r="P115" s="140"/>
      <c r="Q115" s="24"/>
      <c r="R115" s="24"/>
    </row>
    <row r="116" spans="1:18" s="108" customFormat="1" ht="15.9" customHeight="1" x14ac:dyDescent="0.3">
      <c r="A116" s="3"/>
      <c r="B116" s="24"/>
      <c r="C116" s="339"/>
      <c r="D116" s="379"/>
      <c r="E116" s="379"/>
      <c r="F116" s="379"/>
      <c r="G116" s="379"/>
      <c r="H116" s="379"/>
      <c r="I116" s="379"/>
      <c r="J116" s="379"/>
      <c r="K116" s="379"/>
      <c r="M116" s="344"/>
      <c r="P116" s="140"/>
      <c r="Q116" s="24"/>
      <c r="R116" s="24"/>
    </row>
    <row r="117" spans="1:18" s="108" customFormat="1" ht="15.9" customHeight="1" x14ac:dyDescent="0.3">
      <c r="A117" s="3"/>
      <c r="B117" s="24"/>
      <c r="C117" s="339"/>
      <c r="D117" s="379"/>
      <c r="E117" s="379"/>
      <c r="F117" s="379"/>
      <c r="G117" s="379"/>
      <c r="H117" s="379"/>
      <c r="I117" s="379"/>
      <c r="J117" s="379"/>
      <c r="K117" s="379"/>
      <c r="M117" s="344"/>
      <c r="P117" s="140"/>
      <c r="Q117" s="24"/>
      <c r="R117" s="24"/>
    </row>
    <row r="118" spans="1:18" s="108" customFormat="1" ht="15.9" customHeight="1" x14ac:dyDescent="0.3">
      <c r="A118" s="3"/>
      <c r="B118" s="24"/>
      <c r="C118" s="339"/>
      <c r="D118" s="379"/>
      <c r="E118" s="379"/>
      <c r="F118" s="379"/>
      <c r="G118" s="379"/>
      <c r="H118" s="379"/>
      <c r="I118" s="379"/>
      <c r="J118" s="379"/>
      <c r="K118" s="379"/>
      <c r="M118" s="344"/>
      <c r="P118" s="140"/>
      <c r="Q118" s="24"/>
      <c r="R118" s="24"/>
    </row>
    <row r="119" spans="1:18" s="108" customFormat="1" ht="15.9" customHeight="1" x14ac:dyDescent="0.3">
      <c r="A119" s="3"/>
      <c r="B119" s="24"/>
      <c r="C119" s="339"/>
      <c r="D119" s="379"/>
      <c r="E119" s="379"/>
      <c r="F119" s="379"/>
      <c r="G119" s="379"/>
      <c r="H119" s="379"/>
      <c r="I119" s="379"/>
      <c r="J119" s="379"/>
      <c r="K119" s="379"/>
      <c r="M119" s="344"/>
      <c r="P119" s="140"/>
      <c r="Q119" s="24"/>
      <c r="R119" s="24"/>
    </row>
    <row r="120" spans="1:18" s="108" customFormat="1" ht="15.9" customHeight="1" x14ac:dyDescent="0.3">
      <c r="A120" s="3"/>
      <c r="B120" s="24"/>
      <c r="C120" s="339"/>
      <c r="D120" s="379"/>
      <c r="E120" s="379"/>
      <c r="F120" s="379"/>
      <c r="G120" s="379"/>
      <c r="H120" s="379"/>
      <c r="I120" s="379"/>
      <c r="J120" s="379"/>
      <c r="K120" s="379"/>
      <c r="M120" s="344"/>
      <c r="P120" s="140"/>
      <c r="Q120" s="24"/>
      <c r="R120" s="24"/>
    </row>
    <row r="121" spans="1:18" s="108" customFormat="1" ht="15.9" customHeight="1" x14ac:dyDescent="0.3">
      <c r="A121" s="3"/>
      <c r="B121" s="24"/>
      <c r="C121" s="339"/>
      <c r="D121" s="379"/>
      <c r="E121" s="379"/>
      <c r="F121" s="379"/>
      <c r="G121" s="379"/>
      <c r="H121" s="379"/>
      <c r="I121" s="379"/>
      <c r="J121" s="379"/>
      <c r="K121" s="379"/>
      <c r="M121" s="344"/>
      <c r="P121" s="140"/>
      <c r="Q121" s="24"/>
      <c r="R121" s="24"/>
    </row>
    <row r="122" spans="1:18" s="108" customFormat="1" ht="15.9" customHeight="1" x14ac:dyDescent="0.3">
      <c r="A122" s="3"/>
      <c r="B122" s="24"/>
      <c r="C122" s="339"/>
      <c r="D122" s="379"/>
      <c r="E122" s="379"/>
      <c r="F122" s="382"/>
      <c r="G122" s="379"/>
      <c r="H122" s="379"/>
      <c r="I122" s="379"/>
      <c r="J122" s="379"/>
      <c r="K122" s="379"/>
      <c r="M122" s="344"/>
      <c r="P122" s="140"/>
      <c r="Q122" s="24"/>
      <c r="R122" s="24"/>
    </row>
    <row r="123" spans="1:18" s="108" customFormat="1" ht="15.9" customHeight="1" x14ac:dyDescent="0.3">
      <c r="A123" s="3"/>
      <c r="B123" s="24"/>
      <c r="C123" s="339"/>
      <c r="D123" s="379"/>
      <c r="E123" s="379"/>
      <c r="F123" s="379"/>
      <c r="G123" s="379"/>
      <c r="H123" s="379"/>
      <c r="I123" s="379"/>
      <c r="J123" s="379"/>
      <c r="K123" s="379"/>
      <c r="M123" s="344"/>
      <c r="P123" s="140"/>
      <c r="Q123" s="24"/>
      <c r="R123" s="24"/>
    </row>
    <row r="124" spans="1:18" s="108" customFormat="1" ht="15.9" customHeight="1" x14ac:dyDescent="0.3">
      <c r="A124" s="3"/>
      <c r="B124" s="24"/>
      <c r="C124" s="339"/>
      <c r="D124" s="379"/>
      <c r="E124" s="379"/>
      <c r="F124" s="379"/>
      <c r="G124" s="379"/>
      <c r="H124" s="379"/>
      <c r="I124" s="379"/>
      <c r="J124" s="379"/>
      <c r="K124" s="379"/>
      <c r="M124" s="344"/>
      <c r="P124" s="140"/>
      <c r="Q124" s="24"/>
      <c r="R124" s="24"/>
    </row>
    <row r="125" spans="1:18" s="108" customFormat="1" ht="15.9" customHeight="1" x14ac:dyDescent="0.3">
      <c r="A125" s="3"/>
      <c r="B125" s="24"/>
      <c r="C125" s="339"/>
      <c r="D125" s="379"/>
      <c r="E125" s="379"/>
      <c r="F125" s="379"/>
      <c r="G125" s="379"/>
      <c r="H125" s="379"/>
      <c r="I125" s="379"/>
      <c r="J125" s="379"/>
      <c r="K125" s="379"/>
      <c r="M125" s="344"/>
      <c r="P125" s="140"/>
      <c r="Q125" s="24"/>
      <c r="R125" s="24"/>
    </row>
    <row r="126" spans="1:18" s="108" customFormat="1" ht="15.9" customHeight="1" x14ac:dyDescent="0.3">
      <c r="A126" s="3"/>
      <c r="B126" s="24"/>
      <c r="C126" s="339"/>
      <c r="D126" s="379"/>
      <c r="E126" s="379"/>
      <c r="F126" s="379"/>
      <c r="G126" s="379"/>
      <c r="H126" s="379"/>
      <c r="I126" s="379"/>
      <c r="J126" s="379"/>
      <c r="K126" s="379"/>
      <c r="M126" s="344"/>
      <c r="P126" s="140"/>
      <c r="Q126" s="24"/>
      <c r="R126" s="24"/>
    </row>
    <row r="127" spans="1:18" s="108" customFormat="1" ht="15.9" customHeight="1" x14ac:dyDescent="0.3">
      <c r="A127" s="3"/>
      <c r="B127" s="24"/>
      <c r="C127" s="339"/>
      <c r="D127" s="379"/>
      <c r="E127" s="379"/>
      <c r="F127" s="383"/>
      <c r="G127" s="379"/>
      <c r="H127" s="379"/>
      <c r="I127" s="379"/>
      <c r="J127" s="379"/>
      <c r="K127" s="379"/>
      <c r="M127" s="344"/>
      <c r="P127" s="140"/>
      <c r="Q127" s="24"/>
      <c r="R127" s="24"/>
    </row>
    <row r="128" spans="1:18" s="108" customFormat="1" ht="15.9" customHeight="1" x14ac:dyDescent="0.3">
      <c r="A128" s="3"/>
      <c r="B128" s="24"/>
      <c r="C128" s="339"/>
      <c r="D128" s="379"/>
      <c r="E128" s="379"/>
      <c r="F128" s="379"/>
      <c r="G128" s="379"/>
      <c r="H128" s="379"/>
      <c r="I128" s="379"/>
      <c r="J128" s="379"/>
      <c r="K128" s="379"/>
      <c r="M128" s="344"/>
      <c r="P128" s="140"/>
      <c r="Q128" s="24"/>
      <c r="R128" s="24"/>
    </row>
    <row r="129" spans="1:18" s="108" customFormat="1" ht="15.9" customHeight="1" x14ac:dyDescent="0.3">
      <c r="A129" s="3"/>
      <c r="B129" s="24"/>
      <c r="C129" s="339"/>
      <c r="D129" s="379"/>
      <c r="E129" s="379"/>
      <c r="F129" s="379"/>
      <c r="G129" s="379"/>
      <c r="H129" s="379"/>
      <c r="I129" s="379"/>
      <c r="J129" s="379"/>
      <c r="K129" s="379"/>
      <c r="M129" s="344"/>
      <c r="P129" s="140"/>
      <c r="Q129" s="24"/>
      <c r="R129" s="24"/>
    </row>
    <row r="130" spans="1:18" s="108" customFormat="1" ht="15.9" customHeight="1" x14ac:dyDescent="0.3">
      <c r="A130" s="3"/>
      <c r="B130" s="24"/>
      <c r="C130" s="339"/>
      <c r="D130" s="379"/>
      <c r="E130" s="379"/>
      <c r="F130" s="379"/>
      <c r="G130" s="379"/>
      <c r="H130" s="379"/>
      <c r="I130" s="379"/>
      <c r="J130" s="379"/>
      <c r="K130" s="379"/>
      <c r="M130" s="344"/>
      <c r="P130" s="140"/>
      <c r="Q130" s="24"/>
      <c r="R130" s="24"/>
    </row>
    <row r="131" spans="1:18" s="108" customFormat="1" ht="15.9" customHeight="1" x14ac:dyDescent="0.3">
      <c r="A131" s="3"/>
      <c r="B131" s="24"/>
      <c r="C131" s="339"/>
      <c r="G131" s="379"/>
      <c r="H131" s="379"/>
      <c r="I131" s="379"/>
      <c r="J131" s="379"/>
      <c r="K131" s="379"/>
      <c r="M131" s="344"/>
      <c r="P131" s="140"/>
      <c r="Q131" s="24"/>
      <c r="R131" s="24"/>
    </row>
    <row r="132" spans="1:18" s="108" customFormat="1" ht="15.9" customHeight="1" x14ac:dyDescent="0.3">
      <c r="A132" s="3"/>
      <c r="B132" s="24"/>
      <c r="C132" s="339"/>
      <c r="D132" s="379"/>
      <c r="E132" s="379"/>
      <c r="F132" s="379"/>
      <c r="G132" s="379"/>
      <c r="H132" s="379"/>
      <c r="I132" s="379"/>
      <c r="J132" s="379"/>
      <c r="K132" s="379"/>
      <c r="M132" s="344"/>
      <c r="P132" s="140"/>
      <c r="Q132" s="24"/>
      <c r="R132" s="24"/>
    </row>
    <row r="133" spans="1:18" s="108" customFormat="1" ht="15.9" customHeight="1" x14ac:dyDescent="0.3">
      <c r="A133" s="3"/>
      <c r="B133" s="24"/>
      <c r="C133" s="339"/>
      <c r="D133" s="379"/>
      <c r="E133" s="379"/>
      <c r="F133" s="379"/>
      <c r="G133" s="379"/>
      <c r="H133" s="379"/>
      <c r="I133" s="379"/>
      <c r="J133" s="379"/>
      <c r="K133" s="379"/>
      <c r="M133" s="344"/>
      <c r="P133" s="140"/>
      <c r="Q133" s="24"/>
      <c r="R133" s="24"/>
    </row>
    <row r="134" spans="1:18" s="108" customFormat="1" ht="15.9" customHeight="1" x14ac:dyDescent="0.3">
      <c r="A134" s="3"/>
      <c r="B134" s="24"/>
      <c r="C134" s="339"/>
      <c r="D134" s="379"/>
      <c r="E134" s="379"/>
      <c r="F134" s="379"/>
      <c r="G134" s="379"/>
      <c r="H134" s="379"/>
      <c r="I134" s="379"/>
      <c r="J134" s="379"/>
      <c r="K134" s="379"/>
      <c r="M134" s="344"/>
      <c r="P134" s="140"/>
      <c r="Q134" s="24"/>
      <c r="R134" s="24"/>
    </row>
    <row r="135" spans="1:18" s="108" customFormat="1" ht="15.9" customHeight="1" x14ac:dyDescent="0.3">
      <c r="A135" s="3"/>
      <c r="B135" s="24"/>
      <c r="C135" s="339"/>
      <c r="D135" s="379"/>
      <c r="E135" s="379"/>
      <c r="F135" s="379"/>
      <c r="G135" s="379"/>
      <c r="H135" s="379"/>
      <c r="I135" s="379"/>
      <c r="J135" s="379"/>
      <c r="K135" s="379"/>
      <c r="M135" s="344"/>
      <c r="P135" s="140"/>
      <c r="Q135" s="24"/>
      <c r="R135" s="24"/>
    </row>
    <row r="136" spans="1:18" s="108" customFormat="1" ht="15.9" customHeight="1" x14ac:dyDescent="0.3">
      <c r="A136" s="3"/>
      <c r="B136" s="24"/>
      <c r="C136" s="339"/>
      <c r="D136" s="379"/>
      <c r="E136" s="379"/>
      <c r="F136" s="379"/>
      <c r="G136" s="379"/>
      <c r="H136" s="379"/>
      <c r="I136" s="379"/>
      <c r="J136" s="379"/>
      <c r="K136" s="379"/>
      <c r="M136" s="344"/>
      <c r="P136" s="140"/>
      <c r="Q136" s="24"/>
      <c r="R136" s="24"/>
    </row>
    <row r="137" spans="1:18" s="108" customFormat="1" ht="15.9" customHeight="1" x14ac:dyDescent="0.3">
      <c r="A137" s="3"/>
      <c r="B137" s="24"/>
      <c r="C137" s="339"/>
      <c r="D137" s="379"/>
      <c r="E137" s="379"/>
      <c r="F137" s="379"/>
      <c r="G137" s="379"/>
      <c r="H137" s="379"/>
      <c r="I137" s="379"/>
      <c r="J137" s="379"/>
      <c r="K137" s="379"/>
      <c r="M137" s="344"/>
      <c r="P137" s="140"/>
      <c r="Q137" s="24"/>
      <c r="R137" s="24"/>
    </row>
    <row r="138" spans="1:18" s="108" customFormat="1" ht="15.9" customHeight="1" x14ac:dyDescent="0.3">
      <c r="A138" s="3"/>
      <c r="B138" s="24"/>
      <c r="C138" s="339"/>
      <c r="D138" s="379"/>
      <c r="E138" s="379"/>
      <c r="F138" s="379"/>
      <c r="G138" s="379"/>
      <c r="H138" s="379"/>
      <c r="I138" s="379"/>
      <c r="J138" s="379"/>
      <c r="K138" s="379"/>
      <c r="M138" s="344"/>
      <c r="P138" s="140"/>
      <c r="Q138" s="24"/>
      <c r="R138" s="24"/>
    </row>
    <row r="139" spans="1:18" s="108" customFormat="1" ht="15.9" customHeight="1" x14ac:dyDescent="0.3">
      <c r="A139" s="3"/>
      <c r="B139" s="24"/>
      <c r="C139" s="339"/>
      <c r="D139" s="379"/>
      <c r="E139" s="379"/>
      <c r="F139" s="379"/>
      <c r="G139" s="379"/>
      <c r="H139" s="379"/>
      <c r="I139" s="379"/>
      <c r="J139" s="379"/>
      <c r="K139" s="379"/>
      <c r="M139" s="344"/>
      <c r="P139" s="140"/>
      <c r="Q139" s="24"/>
      <c r="R139" s="24"/>
    </row>
    <row r="140" spans="1:18" s="108" customFormat="1" ht="15.9" customHeight="1" x14ac:dyDescent="0.3">
      <c r="A140" s="3"/>
      <c r="B140" s="24"/>
      <c r="C140" s="339"/>
      <c r="D140" s="379"/>
      <c r="E140" s="379"/>
      <c r="F140" s="379"/>
      <c r="G140" s="379"/>
      <c r="H140" s="379"/>
      <c r="I140" s="379"/>
      <c r="J140" s="379"/>
      <c r="K140" s="379"/>
      <c r="M140" s="344"/>
      <c r="P140" s="140"/>
      <c r="Q140" s="24"/>
      <c r="R140" s="24"/>
    </row>
    <row r="141" spans="1:18" s="108" customFormat="1" ht="15.9" customHeight="1" x14ac:dyDescent="0.3">
      <c r="A141" s="3"/>
      <c r="B141" s="24"/>
      <c r="C141" s="339"/>
      <c r="D141" s="379"/>
      <c r="E141" s="379"/>
      <c r="F141" s="379"/>
      <c r="G141" s="379"/>
      <c r="H141" s="379"/>
      <c r="I141" s="379"/>
      <c r="J141" s="379"/>
      <c r="K141" s="379"/>
      <c r="M141" s="344"/>
      <c r="P141" s="140"/>
      <c r="Q141" s="24"/>
      <c r="R141" s="24"/>
    </row>
    <row r="142" spans="1:18" s="108" customFormat="1" ht="15.9" customHeight="1" x14ac:dyDescent="0.3">
      <c r="A142" s="3"/>
      <c r="B142" s="24"/>
      <c r="C142" s="339"/>
      <c r="D142" s="379"/>
      <c r="E142" s="379"/>
      <c r="F142" s="379"/>
      <c r="G142" s="379"/>
      <c r="H142" s="379"/>
      <c r="I142" s="379"/>
      <c r="J142" s="379"/>
      <c r="K142" s="379"/>
      <c r="M142" s="344"/>
      <c r="P142" s="140"/>
      <c r="Q142" s="24"/>
      <c r="R142" s="24"/>
    </row>
    <row r="143" spans="1:18" s="108" customFormat="1" ht="15.9" customHeight="1" x14ac:dyDescent="0.3">
      <c r="A143" s="3"/>
      <c r="B143" s="24"/>
      <c r="C143" s="339"/>
      <c r="D143" s="379"/>
      <c r="E143" s="379"/>
      <c r="F143" s="379"/>
      <c r="G143" s="379"/>
      <c r="H143" s="379"/>
      <c r="I143" s="379"/>
      <c r="J143" s="379"/>
      <c r="K143" s="379"/>
      <c r="M143" s="344"/>
      <c r="P143" s="140"/>
      <c r="Q143" s="24"/>
      <c r="R143" s="24"/>
    </row>
    <row r="144" spans="1:18" s="108" customFormat="1" ht="15.9" customHeight="1" x14ac:dyDescent="0.3">
      <c r="A144" s="3"/>
      <c r="B144" s="24"/>
      <c r="C144" s="339"/>
      <c r="D144" s="379"/>
      <c r="E144" s="379"/>
      <c r="F144" s="379"/>
      <c r="G144" s="379"/>
      <c r="H144" s="379"/>
      <c r="I144" s="379"/>
      <c r="J144" s="379"/>
      <c r="K144" s="379"/>
      <c r="M144" s="344"/>
      <c r="P144" s="140"/>
      <c r="Q144" s="24"/>
      <c r="R144" s="24"/>
    </row>
    <row r="145" spans="1:18" s="108" customFormat="1" ht="15.9" customHeight="1" x14ac:dyDescent="0.3">
      <c r="A145" s="3"/>
      <c r="B145" s="24"/>
      <c r="C145" s="339"/>
      <c r="D145" s="379"/>
      <c r="E145" s="379"/>
      <c r="F145" s="379"/>
      <c r="G145" s="379"/>
      <c r="H145" s="379"/>
      <c r="I145" s="379"/>
      <c r="J145" s="379"/>
      <c r="K145" s="379"/>
      <c r="M145" s="344"/>
      <c r="P145" s="140"/>
      <c r="Q145" s="24"/>
      <c r="R145" s="24"/>
    </row>
    <row r="146" spans="1:18" s="108" customFormat="1" ht="15.9" customHeight="1" x14ac:dyDescent="0.3">
      <c r="A146" s="3"/>
      <c r="B146" s="24"/>
      <c r="C146" s="339"/>
      <c r="D146" s="379"/>
      <c r="E146" s="379"/>
      <c r="F146" s="379"/>
      <c r="G146" s="379"/>
      <c r="H146" s="379"/>
      <c r="I146" s="379"/>
      <c r="J146" s="379"/>
      <c r="K146" s="379"/>
      <c r="M146" s="344"/>
      <c r="P146" s="140"/>
      <c r="Q146" s="24"/>
      <c r="R146" s="24"/>
    </row>
    <row r="147" spans="1:18" s="108" customFormat="1" ht="15.9" customHeight="1" x14ac:dyDescent="0.3">
      <c r="A147" s="3"/>
      <c r="B147" s="24"/>
      <c r="C147" s="339"/>
      <c r="D147" s="379"/>
      <c r="E147" s="379"/>
      <c r="F147" s="379"/>
      <c r="G147" s="379"/>
      <c r="H147" s="379"/>
      <c r="I147" s="379"/>
      <c r="J147" s="379"/>
      <c r="K147" s="379"/>
      <c r="M147" s="344"/>
      <c r="P147" s="140"/>
      <c r="Q147" s="24"/>
      <c r="R147" s="24"/>
    </row>
    <row r="148" spans="1:18" s="108" customFormat="1" ht="15.9" customHeight="1" x14ac:dyDescent="0.3">
      <c r="A148" s="3"/>
      <c r="B148" s="24"/>
      <c r="C148" s="339"/>
      <c r="D148" s="379"/>
      <c r="E148" s="379"/>
      <c r="F148" s="379"/>
      <c r="G148" s="379"/>
      <c r="H148" s="379"/>
      <c r="I148" s="379"/>
      <c r="J148" s="379"/>
      <c r="K148" s="379"/>
      <c r="M148" s="344"/>
      <c r="P148" s="140"/>
      <c r="Q148" s="24"/>
      <c r="R148" s="24"/>
    </row>
    <row r="149" spans="1:18" s="108" customFormat="1" ht="15.9" customHeight="1" x14ac:dyDescent="0.3">
      <c r="A149" s="3"/>
      <c r="B149" s="24"/>
      <c r="C149" s="339"/>
      <c r="D149" s="379"/>
      <c r="E149" s="379"/>
      <c r="F149" s="379"/>
      <c r="G149" s="379"/>
      <c r="H149" s="379"/>
      <c r="I149" s="379"/>
      <c r="J149" s="379"/>
      <c r="K149" s="379"/>
      <c r="M149" s="344"/>
      <c r="P149" s="140"/>
      <c r="Q149" s="24"/>
      <c r="R149" s="24"/>
    </row>
    <row r="150" spans="1:18" s="108" customFormat="1" ht="15.9" customHeight="1" x14ac:dyDescent="0.3">
      <c r="A150" s="3"/>
      <c r="B150" s="24"/>
      <c r="C150" s="339"/>
      <c r="D150" s="379"/>
      <c r="E150" s="379"/>
      <c r="F150" s="379"/>
      <c r="G150" s="379"/>
      <c r="H150" s="379"/>
      <c r="I150" s="379"/>
      <c r="J150" s="379"/>
      <c r="K150" s="379"/>
      <c r="M150" s="344"/>
      <c r="P150" s="140"/>
      <c r="Q150" s="24"/>
      <c r="R150" s="24"/>
    </row>
    <row r="151" spans="1:18" s="108" customFormat="1" ht="15.9" customHeight="1" x14ac:dyDescent="0.3">
      <c r="A151" s="3"/>
      <c r="B151" s="24"/>
      <c r="C151" s="339"/>
      <c r="D151" s="379"/>
      <c r="E151" s="379"/>
      <c r="F151" s="379"/>
      <c r="G151" s="379"/>
      <c r="H151" s="379"/>
      <c r="I151" s="379"/>
      <c r="J151" s="379"/>
      <c r="K151" s="379"/>
      <c r="M151" s="344"/>
      <c r="P151" s="140"/>
      <c r="Q151" s="24"/>
      <c r="R151" s="24"/>
    </row>
    <row r="152" spans="1:18" s="108" customFormat="1" ht="15.9" customHeight="1" x14ac:dyDescent="0.3">
      <c r="A152" s="3"/>
      <c r="B152" s="24"/>
      <c r="C152" s="339"/>
      <c r="D152" s="379"/>
      <c r="E152" s="379"/>
      <c r="F152" s="379"/>
      <c r="G152" s="379"/>
      <c r="H152" s="379"/>
      <c r="I152" s="379"/>
      <c r="J152" s="379"/>
      <c r="K152" s="379"/>
      <c r="M152" s="344"/>
      <c r="P152" s="140"/>
      <c r="Q152" s="24"/>
      <c r="R152" s="24"/>
    </row>
    <row r="153" spans="1:18" s="108" customFormat="1" ht="15.9" customHeight="1" x14ac:dyDescent="0.3">
      <c r="A153" s="3"/>
      <c r="B153" s="24"/>
      <c r="C153" s="339"/>
      <c r="D153" s="379"/>
      <c r="E153" s="379"/>
      <c r="F153" s="379"/>
      <c r="G153" s="379"/>
      <c r="H153" s="379"/>
      <c r="I153" s="379"/>
      <c r="J153" s="379"/>
      <c r="K153" s="379"/>
      <c r="M153" s="344"/>
      <c r="P153" s="140"/>
      <c r="Q153" s="24"/>
      <c r="R153" s="24"/>
    </row>
    <row r="154" spans="1:18" s="108" customFormat="1" ht="15.9" customHeight="1" x14ac:dyDescent="0.3">
      <c r="A154" s="3"/>
      <c r="B154" s="24"/>
      <c r="C154" s="339"/>
      <c r="D154" s="379"/>
      <c r="E154" s="379"/>
      <c r="F154" s="379"/>
      <c r="G154" s="379"/>
      <c r="H154" s="379"/>
      <c r="I154" s="379"/>
      <c r="J154" s="379"/>
      <c r="K154" s="379"/>
      <c r="M154" s="344"/>
      <c r="P154" s="140"/>
      <c r="Q154" s="24"/>
      <c r="R154" s="24"/>
    </row>
    <row r="155" spans="1:18" s="108" customFormat="1" ht="15.9" customHeight="1" x14ac:dyDescent="0.3">
      <c r="A155" s="3"/>
      <c r="B155" s="24"/>
      <c r="C155" s="339"/>
      <c r="D155" s="379"/>
      <c r="E155" s="379"/>
      <c r="F155" s="379"/>
      <c r="G155" s="379"/>
      <c r="H155" s="379"/>
      <c r="I155" s="379"/>
      <c r="J155" s="379"/>
      <c r="K155" s="379"/>
      <c r="M155" s="344"/>
      <c r="P155" s="140"/>
      <c r="Q155" s="24"/>
      <c r="R155" s="24"/>
    </row>
    <row r="156" spans="1:18" s="108" customFormat="1" ht="15.9" customHeight="1" x14ac:dyDescent="0.3">
      <c r="A156" s="3"/>
      <c r="B156" s="24"/>
      <c r="C156" s="339"/>
      <c r="D156" s="379"/>
      <c r="E156" s="379"/>
      <c r="F156" s="379"/>
      <c r="G156" s="379"/>
      <c r="H156" s="379"/>
      <c r="I156" s="379"/>
      <c r="J156" s="379"/>
      <c r="K156" s="379"/>
      <c r="M156" s="344"/>
      <c r="P156" s="140"/>
      <c r="Q156" s="24"/>
      <c r="R156" s="24"/>
    </row>
    <row r="157" spans="1:18" s="108" customFormat="1" ht="15.9" customHeight="1" x14ac:dyDescent="0.3">
      <c r="A157" s="3"/>
      <c r="B157" s="24"/>
      <c r="C157" s="339"/>
      <c r="D157" s="379"/>
      <c r="E157" s="379"/>
      <c r="F157" s="379"/>
      <c r="G157" s="379"/>
      <c r="H157" s="379"/>
      <c r="I157" s="379"/>
      <c r="J157" s="379"/>
      <c r="K157" s="379"/>
      <c r="M157" s="344"/>
      <c r="P157" s="140"/>
      <c r="Q157" s="24"/>
      <c r="R157" s="24"/>
    </row>
    <row r="158" spans="1:18" s="108" customFormat="1" ht="15.9" customHeight="1" x14ac:dyDescent="0.3">
      <c r="A158" s="3"/>
      <c r="B158" s="24"/>
      <c r="C158" s="339"/>
      <c r="D158" s="379"/>
      <c r="E158" s="379"/>
      <c r="F158" s="379"/>
      <c r="G158" s="379"/>
      <c r="H158" s="379"/>
      <c r="I158" s="379"/>
      <c r="J158" s="379"/>
      <c r="K158" s="379"/>
      <c r="M158" s="344"/>
      <c r="P158" s="140"/>
      <c r="Q158" s="24"/>
      <c r="R158" s="24"/>
    </row>
    <row r="159" spans="1:18" s="108" customFormat="1" ht="15.9" customHeight="1" x14ac:dyDescent="0.3">
      <c r="A159" s="3"/>
      <c r="B159" s="24"/>
      <c r="C159" s="339"/>
      <c r="D159" s="379"/>
      <c r="E159" s="379"/>
      <c r="F159" s="379"/>
      <c r="G159" s="379"/>
      <c r="H159" s="379"/>
      <c r="I159" s="379"/>
      <c r="J159" s="379"/>
      <c r="K159" s="379"/>
      <c r="M159" s="344"/>
      <c r="P159" s="140"/>
      <c r="Q159" s="24"/>
      <c r="R159" s="24"/>
    </row>
    <row r="160" spans="1:18" s="108" customFormat="1" ht="15.9" customHeight="1" x14ac:dyDescent="0.3">
      <c r="A160" s="3"/>
      <c r="B160" s="24"/>
      <c r="C160" s="339"/>
      <c r="D160" s="379"/>
      <c r="E160" s="379"/>
      <c r="F160" s="379"/>
      <c r="G160" s="379"/>
      <c r="H160" s="379"/>
      <c r="I160" s="379"/>
      <c r="J160" s="379"/>
      <c r="K160" s="379"/>
      <c r="M160" s="344"/>
      <c r="P160" s="140"/>
      <c r="Q160" s="24"/>
      <c r="R160" s="24"/>
    </row>
    <row r="161" spans="1:18" s="108" customFormat="1" ht="15.9" customHeight="1" x14ac:dyDescent="0.3">
      <c r="A161" s="3"/>
      <c r="B161" s="24"/>
      <c r="C161" s="339"/>
      <c r="D161" s="379"/>
      <c r="E161" s="379"/>
      <c r="F161" s="379"/>
      <c r="G161" s="379"/>
      <c r="H161" s="379"/>
      <c r="I161" s="379"/>
      <c r="J161" s="379"/>
      <c r="K161" s="379"/>
      <c r="M161" s="344"/>
      <c r="P161" s="140"/>
      <c r="Q161" s="24"/>
      <c r="R161" s="24"/>
    </row>
    <row r="162" spans="1:18" s="108" customFormat="1" ht="15.9" customHeight="1" x14ac:dyDescent="0.3">
      <c r="A162" s="3"/>
      <c r="B162" s="24"/>
      <c r="C162" s="339"/>
      <c r="D162" s="379"/>
      <c r="E162" s="379"/>
      <c r="F162" s="379"/>
      <c r="G162" s="379"/>
      <c r="H162" s="379"/>
      <c r="I162" s="379"/>
      <c r="J162" s="379"/>
      <c r="K162" s="379"/>
      <c r="M162" s="344"/>
      <c r="P162" s="140"/>
      <c r="Q162" s="24"/>
      <c r="R162" s="24"/>
    </row>
    <row r="163" spans="1:18" s="108" customFormat="1" ht="15.9" customHeight="1" x14ac:dyDescent="0.3">
      <c r="A163" s="3"/>
      <c r="B163" s="24"/>
      <c r="C163" s="339"/>
      <c r="D163" s="379"/>
      <c r="E163" s="379"/>
      <c r="F163" s="379"/>
      <c r="G163" s="379"/>
      <c r="H163" s="379"/>
      <c r="I163" s="379"/>
      <c r="J163" s="379"/>
      <c r="K163" s="379"/>
      <c r="M163" s="344"/>
      <c r="P163" s="140"/>
      <c r="Q163" s="24"/>
      <c r="R163" s="24"/>
    </row>
    <row r="164" spans="1:18" s="108" customFormat="1" ht="15.9" customHeight="1" x14ac:dyDescent="0.3">
      <c r="A164" s="3"/>
      <c r="B164" s="24"/>
      <c r="C164" s="339"/>
      <c r="D164" s="379"/>
      <c r="E164" s="379"/>
      <c r="F164" s="379"/>
      <c r="G164" s="379"/>
      <c r="H164" s="379"/>
      <c r="I164" s="379"/>
      <c r="J164" s="379"/>
      <c r="K164" s="379"/>
      <c r="M164" s="344"/>
      <c r="P164" s="140"/>
      <c r="Q164" s="24"/>
      <c r="R164" s="24"/>
    </row>
    <row r="165" spans="1:18" s="108" customFormat="1" ht="15.9" customHeight="1" x14ac:dyDescent="0.3">
      <c r="A165" s="3"/>
      <c r="B165" s="24"/>
      <c r="C165" s="339"/>
      <c r="D165" s="379"/>
      <c r="E165" s="379"/>
      <c r="F165" s="379"/>
      <c r="G165" s="379"/>
      <c r="H165" s="379"/>
      <c r="I165" s="379"/>
      <c r="J165" s="379"/>
      <c r="K165" s="379"/>
      <c r="M165" s="344"/>
      <c r="P165" s="140"/>
      <c r="Q165" s="24"/>
      <c r="R165" s="24"/>
    </row>
    <row r="166" spans="1:18" s="108" customFormat="1" ht="15.9" customHeight="1" x14ac:dyDescent="0.3">
      <c r="A166" s="3"/>
      <c r="B166" s="24"/>
      <c r="C166" s="339"/>
      <c r="G166" s="379"/>
      <c r="H166" s="379"/>
      <c r="I166" s="379"/>
      <c r="J166" s="379"/>
      <c r="K166" s="379"/>
      <c r="M166" s="344"/>
      <c r="P166" s="140"/>
      <c r="Q166" s="24"/>
      <c r="R166" s="24"/>
    </row>
    <row r="167" spans="1:18" s="108" customFormat="1" ht="15.9" customHeight="1" x14ac:dyDescent="0.3">
      <c r="A167" s="3"/>
      <c r="B167" s="24"/>
      <c r="C167" s="339"/>
      <c r="G167" s="379"/>
      <c r="H167" s="379"/>
      <c r="I167" s="379"/>
      <c r="J167" s="379"/>
      <c r="K167" s="379"/>
      <c r="M167" s="344"/>
      <c r="P167" s="140"/>
      <c r="Q167" s="24"/>
      <c r="R167" s="24"/>
    </row>
    <row r="168" spans="1:18" s="108" customFormat="1" ht="15.9" customHeight="1" x14ac:dyDescent="0.3">
      <c r="A168" s="3"/>
      <c r="B168" s="24"/>
      <c r="C168" s="339"/>
      <c r="G168" s="379"/>
      <c r="H168" s="379"/>
      <c r="I168" s="379"/>
      <c r="J168" s="379"/>
      <c r="K168" s="379"/>
      <c r="M168" s="344"/>
      <c r="P168" s="140"/>
      <c r="Q168" s="24"/>
      <c r="R168" s="24"/>
    </row>
    <row r="169" spans="1:18" s="108" customFormat="1" ht="15.9" customHeight="1" x14ac:dyDescent="0.3">
      <c r="A169" s="3"/>
      <c r="B169" s="24"/>
      <c r="C169" s="339"/>
      <c r="G169" s="379"/>
      <c r="H169" s="379"/>
      <c r="I169" s="379"/>
      <c r="J169" s="379"/>
      <c r="K169" s="379"/>
      <c r="M169" s="344"/>
      <c r="P169" s="140"/>
      <c r="Q169" s="24"/>
      <c r="R169" s="24"/>
    </row>
    <row r="170" spans="1:18" s="108" customFormat="1" ht="15.9" customHeight="1" x14ac:dyDescent="0.3">
      <c r="A170" s="3"/>
      <c r="B170" s="24"/>
      <c r="C170" s="339"/>
      <c r="G170" s="379"/>
      <c r="H170" s="379"/>
      <c r="I170" s="379"/>
      <c r="J170" s="379"/>
      <c r="K170" s="379"/>
      <c r="M170" s="344"/>
      <c r="P170" s="140"/>
      <c r="Q170" s="24"/>
      <c r="R170" s="24"/>
    </row>
    <row r="171" spans="1:18" s="108" customFormat="1" ht="15.9" customHeight="1" x14ac:dyDescent="0.3">
      <c r="A171" s="3"/>
      <c r="B171" s="24"/>
      <c r="C171" s="339"/>
      <c r="G171" s="379"/>
      <c r="H171" s="379"/>
      <c r="I171" s="379"/>
      <c r="J171" s="379"/>
      <c r="K171" s="379"/>
      <c r="M171" s="344"/>
      <c r="P171" s="140"/>
      <c r="Q171" s="24"/>
      <c r="R171" s="24"/>
    </row>
    <row r="172" spans="1:18" s="108" customFormat="1" ht="15.9" customHeight="1" x14ac:dyDescent="0.3">
      <c r="A172" s="3"/>
      <c r="B172" s="24"/>
      <c r="C172" s="339"/>
      <c r="G172" s="379"/>
      <c r="H172" s="379"/>
      <c r="I172" s="379"/>
      <c r="J172" s="379"/>
      <c r="K172" s="379"/>
      <c r="M172" s="344"/>
      <c r="P172" s="140"/>
      <c r="Q172" s="24"/>
      <c r="R172" s="24"/>
    </row>
    <row r="173" spans="1:18" s="108" customFormat="1" ht="15.9" customHeight="1" x14ac:dyDescent="0.3">
      <c r="A173" s="3"/>
      <c r="B173" s="24"/>
      <c r="C173" s="339"/>
      <c r="G173" s="379"/>
      <c r="H173" s="379"/>
      <c r="I173" s="379"/>
      <c r="J173" s="379"/>
      <c r="K173" s="379"/>
      <c r="M173" s="344"/>
      <c r="P173" s="140"/>
      <c r="Q173" s="24"/>
      <c r="R173" s="24"/>
    </row>
    <row r="174" spans="1:18" s="108" customFormat="1" ht="15.9" customHeight="1" x14ac:dyDescent="0.3">
      <c r="A174" s="3"/>
      <c r="B174" s="24"/>
      <c r="C174" s="339"/>
      <c r="G174" s="379"/>
      <c r="H174" s="379"/>
      <c r="I174" s="379"/>
      <c r="J174" s="379"/>
      <c r="K174" s="379"/>
      <c r="M174" s="344"/>
      <c r="P174" s="140"/>
      <c r="Q174" s="24"/>
      <c r="R174" s="24"/>
    </row>
  </sheetData>
  <mergeCells count="16">
    <mergeCell ref="M11:M12"/>
    <mergeCell ref="N11:N12"/>
    <mergeCell ref="O11:O12"/>
    <mergeCell ref="P11:P12"/>
    <mergeCell ref="G11:G12"/>
    <mergeCell ref="H11:H12"/>
    <mergeCell ref="I11:I12"/>
    <mergeCell ref="J11:J12"/>
    <mergeCell ref="K11:K12"/>
    <mergeCell ref="L11:L12"/>
    <mergeCell ref="B4:F9"/>
    <mergeCell ref="B11:B12"/>
    <mergeCell ref="C11:C12"/>
    <mergeCell ref="D11:D12"/>
    <mergeCell ref="E11:E12"/>
    <mergeCell ref="F11:F12"/>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8CBAD"/>
  </sheetPr>
  <dimension ref="B1:X98"/>
  <sheetViews>
    <sheetView showGridLines="0" zoomScaleNormal="100" workbookViewId="0"/>
  </sheetViews>
  <sheetFormatPr baseColWidth="10" defaultColWidth="9" defaultRowHeight="15.75" customHeight="1" x14ac:dyDescent="0.3"/>
  <cols>
    <col min="1" max="1" width="8.59765625" style="890" customWidth="1"/>
    <col min="2" max="2" width="15.09765625" style="890" customWidth="1"/>
    <col min="3" max="3" width="21.09765625" style="890" bestFit="1" customWidth="1"/>
    <col min="4" max="4" width="15.09765625" style="890" bestFit="1" customWidth="1"/>
    <col min="5" max="6" width="28.3984375" style="890" bestFit="1" customWidth="1"/>
    <col min="7" max="7" width="14.59765625" style="890" bestFit="1" customWidth="1"/>
    <col min="8" max="8" width="14.3984375" style="890" bestFit="1" customWidth="1"/>
    <col min="9" max="9" width="28.3984375" style="890" bestFit="1" customWidth="1"/>
    <col min="10" max="10" width="14.3984375" style="904" bestFit="1" customWidth="1"/>
    <col min="11" max="11" width="28.59765625" style="890" bestFit="1" customWidth="1"/>
    <col min="12" max="13" width="9" style="890"/>
    <col min="14" max="14" width="9" style="890" customWidth="1"/>
    <col min="15" max="15" width="9" style="890"/>
    <col min="16" max="17" width="9" style="890" customWidth="1"/>
    <col min="18" max="18" width="9" style="903" customWidth="1"/>
    <col min="19" max="26" width="9" style="890" customWidth="1"/>
    <col min="27" max="16384" width="9" style="890"/>
  </cols>
  <sheetData>
    <row r="1" spans="2:24" ht="15.75" customHeight="1" x14ac:dyDescent="0.25">
      <c r="K1" s="1138"/>
      <c r="L1" s="1138"/>
      <c r="M1" s="1138"/>
      <c r="N1" s="1138"/>
      <c r="O1" s="1138"/>
      <c r="P1" s="1138"/>
      <c r="Q1" s="1138"/>
      <c r="R1" s="1138"/>
    </row>
    <row r="2" spans="2:24" ht="24.75" customHeight="1" x14ac:dyDescent="0.25">
      <c r="B2" s="913" t="s">
        <v>5344</v>
      </c>
      <c r="K2" s="1138"/>
      <c r="L2" s="1138"/>
      <c r="M2" s="1138"/>
      <c r="N2" s="1138"/>
      <c r="O2" s="1138"/>
      <c r="P2" s="1138"/>
      <c r="Q2" s="1138"/>
      <c r="R2" s="1138"/>
    </row>
    <row r="3" spans="2:24" ht="15.75" customHeight="1" x14ac:dyDescent="0.25">
      <c r="K3" s="1138"/>
      <c r="L3" s="1138"/>
      <c r="M3" s="1138"/>
      <c r="N3" s="1138"/>
      <c r="O3" s="1138"/>
      <c r="P3" s="1138"/>
      <c r="Q3" s="1138"/>
      <c r="R3" s="1138"/>
    </row>
    <row r="4" spans="2:24" ht="15.75" customHeight="1" x14ac:dyDescent="0.25">
      <c r="B4" s="1200" t="s">
        <v>5345</v>
      </c>
      <c r="C4" s="1200"/>
      <c r="D4" s="1200"/>
      <c r="E4" s="1200"/>
      <c r="F4" s="1200"/>
      <c r="K4" s="1138"/>
      <c r="L4" s="1138"/>
      <c r="M4" s="1138"/>
      <c r="N4" s="1138"/>
      <c r="O4" s="1138"/>
      <c r="P4" s="1138"/>
      <c r="Q4" s="1138"/>
      <c r="R4" s="1138"/>
    </row>
    <row r="5" spans="2:24" ht="15.75" customHeight="1" x14ac:dyDescent="0.25">
      <c r="B5" s="1200"/>
      <c r="C5" s="1200"/>
      <c r="D5" s="1200"/>
      <c r="E5" s="1200"/>
      <c r="F5" s="1200"/>
      <c r="K5" s="1138"/>
      <c r="L5" s="1138"/>
      <c r="M5" s="1138"/>
      <c r="N5" s="1138"/>
      <c r="O5" s="1138"/>
      <c r="P5" s="1138"/>
      <c r="Q5" s="1138"/>
      <c r="R5" s="1138"/>
    </row>
    <row r="6" spans="2:24" ht="15.75" customHeight="1" x14ac:dyDescent="0.25">
      <c r="B6" s="1200"/>
      <c r="C6" s="1200"/>
      <c r="D6" s="1200"/>
      <c r="E6" s="1200"/>
      <c r="F6" s="1200"/>
      <c r="L6" s="1138"/>
      <c r="M6" s="1138"/>
      <c r="N6" s="1138"/>
      <c r="O6" s="1138"/>
      <c r="P6" s="1138"/>
      <c r="Q6" s="1138"/>
      <c r="R6" s="1138"/>
    </row>
    <row r="7" spans="2:24" ht="15.75" customHeight="1" x14ac:dyDescent="0.25">
      <c r="B7" s="1200"/>
      <c r="C7" s="1200"/>
      <c r="D7" s="1200"/>
      <c r="E7" s="1200"/>
      <c r="F7" s="1200"/>
      <c r="L7" s="1138"/>
      <c r="M7" s="1138"/>
      <c r="N7" s="1138"/>
      <c r="O7" s="1138"/>
      <c r="P7" s="1138"/>
      <c r="Q7" s="1138"/>
      <c r="R7" s="1138"/>
    </row>
    <row r="8" spans="2:24" ht="15.75" customHeight="1" x14ac:dyDescent="0.25">
      <c r="B8" s="1200"/>
      <c r="C8" s="1200"/>
      <c r="D8" s="1200"/>
      <c r="E8" s="1200"/>
      <c r="F8" s="1200"/>
      <c r="L8" s="1138"/>
      <c r="M8" s="1138"/>
      <c r="N8" s="1138"/>
      <c r="O8" s="1138"/>
      <c r="P8" s="1138"/>
      <c r="Q8" s="1138"/>
      <c r="R8" s="1138"/>
      <c r="V8" s="901"/>
      <c r="W8" s="901"/>
      <c r="X8" s="901"/>
    </row>
    <row r="9" spans="2:24" ht="15.75" customHeight="1" x14ac:dyDescent="0.25">
      <c r="B9" s="1200"/>
      <c r="C9" s="1200"/>
      <c r="D9" s="1200"/>
      <c r="E9" s="1200"/>
      <c r="F9" s="1200"/>
      <c r="L9" s="1138"/>
      <c r="M9" s="1138"/>
      <c r="N9" s="1138"/>
      <c r="O9" s="1138"/>
      <c r="P9" s="1138"/>
      <c r="Q9" s="1138"/>
      <c r="R9" s="1138"/>
      <c r="U9" s="902"/>
      <c r="V9" s="899"/>
      <c r="W9" s="899"/>
      <c r="X9" s="899"/>
    </row>
    <row r="10" spans="2:24" ht="15.75" customHeight="1" x14ac:dyDescent="0.25">
      <c r="L10" s="1138"/>
      <c r="M10" s="1138"/>
      <c r="N10" s="1138"/>
      <c r="O10" s="1138"/>
      <c r="P10" s="1138"/>
      <c r="Q10" s="1138"/>
      <c r="R10" s="1138"/>
      <c r="U10" s="902"/>
      <c r="V10" s="892"/>
      <c r="W10" s="899"/>
      <c r="X10" s="899"/>
    </row>
    <row r="11" spans="2:24" ht="15.75" customHeight="1" x14ac:dyDescent="0.25">
      <c r="B11" s="1226" t="s">
        <v>3499</v>
      </c>
      <c r="C11" s="1228" t="s">
        <v>3500</v>
      </c>
      <c r="D11" s="931" t="s">
        <v>5346</v>
      </c>
      <c r="E11" s="932" t="s">
        <v>5347</v>
      </c>
      <c r="F11" s="932" t="s">
        <v>5347</v>
      </c>
      <c r="G11" s="932" t="s">
        <v>5348</v>
      </c>
      <c r="H11" s="932" t="s">
        <v>5349</v>
      </c>
      <c r="I11" s="932" t="s">
        <v>5347</v>
      </c>
      <c r="J11" s="932" t="s">
        <v>5349</v>
      </c>
      <c r="K11" s="933" t="s">
        <v>5350</v>
      </c>
      <c r="L11" s="1138"/>
      <c r="M11" s="1138"/>
      <c r="N11" s="1138"/>
      <c r="O11" s="1138"/>
      <c r="P11" s="1138"/>
      <c r="Q11" s="1138"/>
      <c r="R11" s="1138"/>
      <c r="U11" s="902"/>
      <c r="V11" s="892"/>
      <c r="W11" s="899"/>
      <c r="X11" s="899"/>
    </row>
    <row r="12" spans="2:24" ht="15.75" customHeight="1" x14ac:dyDescent="0.25">
      <c r="B12" s="1227"/>
      <c r="C12" s="1229"/>
      <c r="D12" s="934" t="s">
        <v>3514</v>
      </c>
      <c r="E12" s="934" t="s">
        <v>3514</v>
      </c>
      <c r="F12" s="934" t="s">
        <v>5351</v>
      </c>
      <c r="G12" s="934" t="s">
        <v>3516</v>
      </c>
      <c r="H12" s="934" t="s">
        <v>3516</v>
      </c>
      <c r="I12" s="934" t="s">
        <v>5352</v>
      </c>
      <c r="J12" s="935" t="s">
        <v>3514</v>
      </c>
      <c r="K12" s="934" t="s">
        <v>5351</v>
      </c>
      <c r="L12" s="1138"/>
      <c r="M12" s="1138"/>
      <c r="N12" s="1138"/>
      <c r="O12" s="1138"/>
      <c r="P12" s="1138"/>
      <c r="Q12" s="1138"/>
      <c r="R12" s="1138"/>
      <c r="U12" s="902"/>
      <c r="V12" s="899"/>
      <c r="W12" s="899"/>
      <c r="X12" s="899"/>
    </row>
    <row r="13" spans="2:24" ht="15.75" customHeight="1" x14ac:dyDescent="0.3">
      <c r="B13" s="910" t="s">
        <v>344</v>
      </c>
      <c r="C13" s="919">
        <v>1</v>
      </c>
      <c r="D13" s="920">
        <v>8.8245730000000009</v>
      </c>
      <c r="E13" s="920">
        <f>VLOOKUP(B13,'Country Summary'!B:P,15,0)</f>
        <v>1.6410450978269966</v>
      </c>
      <c r="F13" s="916">
        <f t="shared" ref="F13:F41" si="0">(E13/D13)</f>
        <v>0.18596311660938114</v>
      </c>
      <c r="G13" s="920">
        <f>100*(D13/(VLOOKUP(B13,'Country Summary'!B:I, 8,0)))</f>
        <v>2.1386313924803368</v>
      </c>
      <c r="H13" s="920">
        <f>VLOOKUP(B13,'Country Summary'!B:J,9,0)</f>
        <v>0.15156942553252337</v>
      </c>
      <c r="I13" s="920">
        <f>VLOOKUP(B13,'Country Summary'!B:Q,16,0)</f>
        <v>0.39770655902430402</v>
      </c>
      <c r="J13" s="920">
        <f>VLOOKUP(B13,'Country Summary'!B:G,6,0)</f>
        <v>0.62541654671428581</v>
      </c>
      <c r="K13" s="921">
        <f>J13/D13</f>
        <v>7.0872159674387161E-2</v>
      </c>
      <c r="L13" s="1138"/>
      <c r="M13" s="1138"/>
      <c r="N13" s="1138"/>
      <c r="O13" s="1138"/>
      <c r="P13" s="1138"/>
      <c r="Q13" s="1138"/>
      <c r="R13" s="1138"/>
      <c r="U13" s="902"/>
      <c r="V13" s="899"/>
      <c r="W13" s="899"/>
      <c r="X13" s="899"/>
    </row>
    <row r="14" spans="2:24" ht="15.75" customHeight="1" x14ac:dyDescent="0.3">
      <c r="B14" s="910" t="s">
        <v>413</v>
      </c>
      <c r="C14" s="919">
        <v>1</v>
      </c>
      <c r="D14" s="920">
        <v>4</v>
      </c>
      <c r="E14" s="920">
        <f>VLOOKUP(B14,'Country Summary'!B:P,15,0)</f>
        <v>1.5002294995191776</v>
      </c>
      <c r="F14" s="916">
        <f t="shared" si="0"/>
        <v>0.3750573748797944</v>
      </c>
      <c r="G14" s="920">
        <f>100*(D14/(VLOOKUP(B14,'Country Summary'!B:I, 8,0)))</f>
        <v>0.80481156209152827</v>
      </c>
      <c r="H14" s="920">
        <f>VLOOKUP(B14,'Country Summary'!B:J,9,0)</f>
        <v>4.9236359339854457E-2</v>
      </c>
      <c r="I14" s="920">
        <f>VLOOKUP(B14,'Country Summary'!B:Q,16,0)</f>
        <v>0.30185051175095517</v>
      </c>
      <c r="J14" s="920">
        <f>VLOOKUP(B14,'Country Summary'!B:G,6,0)</f>
        <v>0.24470999999999998</v>
      </c>
      <c r="K14" s="921">
        <f t="shared" ref="K14:K43" si="1">J14/D14</f>
        <v>6.1177499999999996E-2</v>
      </c>
      <c r="L14" s="1138"/>
      <c r="M14" s="1138"/>
      <c r="N14" s="1138"/>
      <c r="O14" s="1138"/>
      <c r="P14" s="1138"/>
      <c r="Q14" s="1138"/>
      <c r="R14" s="1138"/>
      <c r="U14" s="902"/>
      <c r="V14" s="892"/>
      <c r="W14" s="899"/>
      <c r="X14" s="899"/>
    </row>
    <row r="15" spans="2:24" ht="15.75" customHeight="1" x14ac:dyDescent="0.3">
      <c r="B15" s="910" t="s">
        <v>480</v>
      </c>
      <c r="C15" s="919">
        <v>1</v>
      </c>
      <c r="D15" s="920">
        <v>3.423</v>
      </c>
      <c r="E15" s="920">
        <f>VLOOKUP(B15,'Country Summary'!B:P,15,0)</f>
        <v>0.44533764418029942</v>
      </c>
      <c r="F15" s="916">
        <f t="shared" si="0"/>
        <v>0.13010156125629549</v>
      </c>
      <c r="G15" s="920">
        <f>100*(D15/(VLOOKUP(B15,'Country Summary'!B:I, 8,0)))</f>
        <v>5.1426292160236944</v>
      </c>
      <c r="H15" s="920">
        <f>VLOOKUP(B15,'Country Summary'!B:J,9,0)</f>
        <v>0.36056136389535975</v>
      </c>
      <c r="I15" s="920">
        <f>VLOOKUP(B15,'Country Summary'!B:Q,16,0)</f>
        <v>0.66906408996692135</v>
      </c>
      <c r="J15" s="920">
        <f>VLOOKUP(B15,'Country Summary'!B:G,6,0)</f>
        <v>0.23999427078433377</v>
      </c>
      <c r="K15" s="921">
        <f t="shared" si="1"/>
        <v>7.0112261403544776E-2</v>
      </c>
      <c r="U15" s="902"/>
      <c r="V15" s="899"/>
      <c r="W15" s="899"/>
      <c r="X15" s="899"/>
    </row>
    <row r="16" spans="2:24" ht="15.75" customHeight="1" x14ac:dyDescent="0.3">
      <c r="B16" s="910" t="s">
        <v>664</v>
      </c>
      <c r="C16" s="919">
        <v>1</v>
      </c>
      <c r="D16" s="920">
        <v>2.4146999999999998</v>
      </c>
      <c r="E16" s="920">
        <f>VLOOKUP(B16,'Country Summary'!B:P,15,0)</f>
        <v>0.17166691604200018</v>
      </c>
      <c r="F16" s="916">
        <f t="shared" si="0"/>
        <v>7.1092440486188846E-2</v>
      </c>
      <c r="G16" s="920">
        <f>100*(D16/(VLOOKUP(B16,'Country Summary'!B:I, 8,0)))</f>
        <v>4.4322857685278843</v>
      </c>
      <c r="H16" s="920">
        <f>VLOOKUP(B16,'Country Summary'!B:J,9,0)</f>
        <v>4.751612804745621E-2</v>
      </c>
      <c r="I16" s="920">
        <f>VLOOKUP(B16,'Country Summary'!B:Q,16,0)</f>
        <v>0.31510201221685036</v>
      </c>
      <c r="J16" s="920">
        <f>VLOOKUP(B16,'Country Summary'!B:G,6,0)</f>
        <v>2.5886687002652519E-2</v>
      </c>
      <c r="K16" s="921">
        <f t="shared" si="1"/>
        <v>1.0720456786620499E-2</v>
      </c>
      <c r="U16" s="902"/>
      <c r="V16" s="899"/>
      <c r="W16" s="899"/>
      <c r="X16" s="899"/>
    </row>
    <row r="17" spans="2:24" ht="15.75" customHeight="1" x14ac:dyDescent="0.3">
      <c r="B17" s="910" t="s">
        <v>696</v>
      </c>
      <c r="C17" s="919">
        <v>1</v>
      </c>
      <c r="D17" s="920">
        <v>0.18590000000000001</v>
      </c>
      <c r="E17" s="920">
        <f>VLOOKUP(B17,'Country Summary'!B:P,15,0)</f>
        <v>5.729012083086215E-2</v>
      </c>
      <c r="F17" s="916">
        <f t="shared" si="0"/>
        <v>0.30817708892341122</v>
      </c>
      <c r="G17" s="920">
        <f>100*(D17/(VLOOKUP(B17,'Country Summary'!B:I, 8,0)))</f>
        <v>0.79306779237505942</v>
      </c>
      <c r="H17" s="920">
        <f>VLOOKUP(B17,'Country Summary'!B:J,9,0)</f>
        <v>1.2798296810786326E-2</v>
      </c>
      <c r="I17" s="920">
        <f>VLOOKUP(B17,'Country Summary'!B:Q,16,0)</f>
        <v>0.24440532357306205</v>
      </c>
      <c r="J17" s="920">
        <f>VLOOKUP(B17,'Country Summary'!B:G,6,0)</f>
        <v>3.0000000000000001E-3</v>
      </c>
      <c r="K17" s="921">
        <f t="shared" si="1"/>
        <v>1.6137708445400752E-2</v>
      </c>
      <c r="U17" s="902"/>
      <c r="V17" s="892"/>
      <c r="W17" s="892"/>
      <c r="X17" s="892"/>
    </row>
    <row r="18" spans="2:24" ht="15.75" customHeight="1" x14ac:dyDescent="0.3">
      <c r="B18" s="910" t="s">
        <v>716</v>
      </c>
      <c r="C18" s="919">
        <v>1</v>
      </c>
      <c r="D18" s="920">
        <v>8.0289999999999999</v>
      </c>
      <c r="E18" s="920">
        <f>VLOOKUP(B18,'Country Summary'!B:P,15,0)</f>
        <v>1.0747792747508003</v>
      </c>
      <c r="F18" s="916">
        <f t="shared" si="0"/>
        <v>0.13386215901741191</v>
      </c>
      <c r="G18" s="920">
        <f>100*(D18/(VLOOKUP(B18,'Country Summary'!B:I, 8,0)))</f>
        <v>3.436240876513394</v>
      </c>
      <c r="H18" s="920">
        <f>VLOOKUP(B18,'Country Summary'!B:J,9,0)</f>
        <v>0.24401173304736024</v>
      </c>
      <c r="I18" s="920">
        <f>VLOOKUP(B18,'Country Summary'!B:Q,16,0)</f>
        <v>0.45998262263396689</v>
      </c>
      <c r="J18" s="920">
        <f>VLOOKUP(B18,'Country Summary'!B:G,6,0)</f>
        <v>0.57014926340819883</v>
      </c>
      <c r="K18" s="921">
        <f t="shared" si="1"/>
        <v>7.1011242173147193E-2</v>
      </c>
      <c r="U18" s="902"/>
      <c r="V18" s="892"/>
      <c r="W18" s="892"/>
      <c r="X18" s="892"/>
    </row>
    <row r="19" spans="2:24" ht="15.75" customHeight="1" x14ac:dyDescent="0.3">
      <c r="B19" s="910" t="s">
        <v>856</v>
      </c>
      <c r="C19" s="919">
        <v>1</v>
      </c>
      <c r="D19" s="920">
        <v>7.2089999999999996</v>
      </c>
      <c r="E19" s="920">
        <f>VLOOKUP(B19,'Country Summary'!B:P,15,0)</f>
        <v>1.6063610632567604</v>
      </c>
      <c r="F19" s="916">
        <f t="shared" si="0"/>
        <v>0.22282716926851998</v>
      </c>
      <c r="G19" s="920">
        <f>100*(D19/(VLOOKUP(B19,'Country Summary'!B:I, 8,0)))</f>
        <v>2.1257432252035868</v>
      </c>
      <c r="H19" s="920">
        <f>VLOOKUP(B19,'Country Summary'!B:J,9,0)</f>
        <v>0.2122186724732939</v>
      </c>
      <c r="I19" s="920">
        <f>VLOOKUP(B19,'Country Summary'!B:Q,16,0)</f>
        <v>0.47367334546384926</v>
      </c>
      <c r="J19" s="920">
        <f>VLOOKUP(B19,'Country Summary'!B:G,6,0)</f>
        <v>0.71969388951643276</v>
      </c>
      <c r="K19" s="921">
        <f t="shared" si="1"/>
        <v>9.9832693787825333E-2</v>
      </c>
      <c r="U19" s="902"/>
      <c r="V19" s="892"/>
      <c r="W19" s="892"/>
      <c r="X19" s="892"/>
    </row>
    <row r="20" spans="2:24" ht="15.75" customHeight="1" x14ac:dyDescent="0.3">
      <c r="B20" s="910" t="s">
        <v>937</v>
      </c>
      <c r="C20" s="919">
        <v>1</v>
      </c>
      <c r="D20" s="920">
        <v>0.28000000000000003</v>
      </c>
      <c r="E20" s="920">
        <f>VLOOKUP(B20,'Country Summary'!B:P,15,0)</f>
        <v>0.3802204583947621</v>
      </c>
      <c r="F20" s="916">
        <f t="shared" si="0"/>
        <v>1.3579302085527216</v>
      </c>
      <c r="G20" s="920">
        <f>100*(D20/(VLOOKUP(B20,'Country Summary'!B:I, 8,0)))</f>
        <v>0.95920789003953977</v>
      </c>
      <c r="H20" s="920">
        <f>VLOOKUP(B20,'Country Summary'!B:J,9,0)</f>
        <v>1.0714702516680921</v>
      </c>
      <c r="I20" s="920">
        <f>VLOOKUP(B20,'Country Summary'!B:Q,16,0)</f>
        <v>1.3025373701668084</v>
      </c>
      <c r="J20" s="920">
        <f>VLOOKUP(B20,'Country Summary'!B:G,6,0)</f>
        <v>0.31277022800000004</v>
      </c>
      <c r="K20" s="921">
        <f t="shared" si="1"/>
        <v>1.1170365285714285</v>
      </c>
      <c r="L20" s="1138"/>
      <c r="M20" s="1138"/>
    </row>
    <row r="21" spans="2:24" ht="15.75" customHeight="1" x14ac:dyDescent="0.3">
      <c r="B21" s="910" t="s">
        <v>1025</v>
      </c>
      <c r="C21" s="919">
        <v>1</v>
      </c>
      <c r="D21" s="920">
        <v>1.21</v>
      </c>
      <c r="E21" s="920">
        <f>VLOOKUP(B21,'Country Summary'!B:P,15,0)</f>
        <v>0.93409123173450381</v>
      </c>
      <c r="F21" s="916">
        <f t="shared" si="0"/>
        <v>0.77197622457397008</v>
      </c>
      <c r="G21" s="920">
        <f>100*(D21/(VLOOKUP(B21,'Country Summary'!B:I, 8,0)))</f>
        <v>0.47126274639613819</v>
      </c>
      <c r="H21" s="920">
        <f>VLOOKUP(B21,'Country Summary'!B:J,9,0)</f>
        <v>0.13218725299739614</v>
      </c>
      <c r="I21" s="920">
        <f>VLOOKUP(B21,'Country Summary'!B:Q,16,0)</f>
        <v>0.3638036357452511</v>
      </c>
      <c r="J21" s="920">
        <f>VLOOKUP(B21,'Country Summary'!B:G,6,0)</f>
        <v>0.33940000000000003</v>
      </c>
      <c r="K21" s="921">
        <f t="shared" si="1"/>
        <v>0.28049586776859509</v>
      </c>
      <c r="L21" s="1138"/>
      <c r="M21" s="1138"/>
    </row>
    <row r="22" spans="2:24" ht="15.75" customHeight="1" x14ac:dyDescent="0.3">
      <c r="B22" s="910" t="s">
        <v>1131</v>
      </c>
      <c r="C22" s="919">
        <v>1</v>
      </c>
      <c r="D22" s="920">
        <v>49.43</v>
      </c>
      <c r="E22" s="920">
        <f>VLOOKUP(B22,'Country Summary'!B:P,15,0)</f>
        <v>7.6574679800366088</v>
      </c>
      <c r="F22" s="916">
        <f t="shared" si="0"/>
        <v>0.15491539510492836</v>
      </c>
      <c r="G22" s="920">
        <f>100*(D22/(VLOOKUP(B22,'Country Summary'!B:I, 8,0)))</f>
        <v>1.9732026822478206</v>
      </c>
      <c r="H22" s="920">
        <f>VLOOKUP(B22,'Country Summary'!B:J,9,0)</f>
        <v>6.6849255151842313E-2</v>
      </c>
      <c r="I22" s="920">
        <f>VLOOKUP(B22,'Country Summary'!B:Q,16,0)</f>
        <v>0.30567947314252558</v>
      </c>
      <c r="J22" s="920">
        <f>VLOOKUP(B22,'Country Summary'!B:G,6,0)</f>
        <v>1.6746169625065208</v>
      </c>
      <c r="K22" s="921">
        <f t="shared" si="1"/>
        <v>3.3878554774560407E-2</v>
      </c>
      <c r="L22" s="1138"/>
      <c r="M22" s="1138"/>
    </row>
    <row r="23" spans="2:24" ht="15.75" customHeight="1" x14ac:dyDescent="0.3">
      <c r="B23" s="910" t="s">
        <v>1288</v>
      </c>
      <c r="C23" s="919">
        <v>1</v>
      </c>
      <c r="D23" s="920">
        <v>264.2</v>
      </c>
      <c r="E23" s="920">
        <f>VLOOKUP(B23,'Country Summary'!B:P,15,0)</f>
        <v>13.331095476972546</v>
      </c>
      <c r="F23" s="916">
        <f t="shared" si="0"/>
        <v>5.0458347755384353E-2</v>
      </c>
      <c r="G23" s="920">
        <f>100*(D23/(VLOOKUP(B23,'Country Summary'!B:I, 8,0)))</f>
        <v>7.2121722999271691</v>
      </c>
      <c r="H23" s="920">
        <f>VLOOKUP(B23,'Country Summary'!B:J,9,0)</f>
        <v>0.16791640519043149</v>
      </c>
      <c r="I23" s="920">
        <f>VLOOKUP(B23,'Country Summary'!B:Q,16,0)</f>
        <v>0.36391429798147529</v>
      </c>
      <c r="J23" s="920">
        <f>VLOOKUP(B23,'Country Summary'!B:G,6,0)</f>
        <v>6.1512000000000002</v>
      </c>
      <c r="K23" s="921">
        <f t="shared" si="1"/>
        <v>2.3282361847085542E-2</v>
      </c>
      <c r="L23" s="1138"/>
      <c r="M23" s="1138"/>
    </row>
    <row r="24" spans="2:24" ht="15.75" customHeight="1" x14ac:dyDescent="0.3">
      <c r="B24" s="910" t="s">
        <v>1606</v>
      </c>
      <c r="C24" s="919">
        <v>1</v>
      </c>
      <c r="D24" s="920">
        <v>10.5</v>
      </c>
      <c r="E24" s="920">
        <f>VLOOKUP(B24,'Country Summary'!B:P,15,0)</f>
        <v>0.67971934411598067</v>
      </c>
      <c r="F24" s="916">
        <f t="shared" si="0"/>
        <v>6.47351756300934E-2</v>
      </c>
      <c r="G24" s="920">
        <f>100*(D24/(VLOOKUP(B24,'Country Summary'!B:I, 8,0)))</f>
        <v>5.8384241920997777</v>
      </c>
      <c r="H24" s="920">
        <f>VLOOKUP(B24,'Country Summary'!B:J,9,0)</f>
        <v>0.10158985634034334</v>
      </c>
      <c r="I24" s="920">
        <f>VLOOKUP(B24,'Country Summary'!B:Q,16,0)</f>
        <v>0.37795141547856531</v>
      </c>
      <c r="J24" s="920">
        <f>VLOOKUP(B24,'Country Summary'!B:G,6,0)</f>
        <v>0.18270229371428573</v>
      </c>
      <c r="K24" s="921">
        <f t="shared" si="1"/>
        <v>1.7400218448979592E-2</v>
      </c>
      <c r="L24" s="1138"/>
      <c r="M24" s="1138"/>
      <c r="N24" s="1138"/>
      <c r="O24" s="1138"/>
    </row>
    <row r="25" spans="2:24" ht="15.75" customHeight="1" x14ac:dyDescent="0.3">
      <c r="B25" s="910" t="s">
        <v>1646</v>
      </c>
      <c r="C25" s="919">
        <v>1</v>
      </c>
      <c r="D25" s="920">
        <v>2.36</v>
      </c>
      <c r="E25" s="920">
        <f>VLOOKUP(B25,'Country Summary'!B:P,15,0)</f>
        <v>0.44941966296952995</v>
      </c>
      <c r="F25" s="916">
        <f t="shared" si="0"/>
        <v>0.19043206058030931</v>
      </c>
      <c r="G25" s="920">
        <f>100*(D25/(VLOOKUP(B25,'Country Summary'!B:I, 8,0)))</f>
        <v>1.5904144858904949</v>
      </c>
      <c r="H25" s="920">
        <f>VLOOKUP(B25,'Country Summary'!B:J,9,0)</f>
        <v>3.1865036188883679E-2</v>
      </c>
      <c r="I25" s="920">
        <f>VLOOKUP(B25,'Country Summary'!B:Q,16,0)</f>
        <v>0.30286590772490024</v>
      </c>
      <c r="J25" s="920">
        <f>VLOOKUP(B25,'Country Summary'!B:G,6,0)</f>
        <v>4.7284205515557245E-2</v>
      </c>
      <c r="K25" s="921">
        <f t="shared" si="1"/>
        <v>2.0035680303202224E-2</v>
      </c>
      <c r="L25" s="1138"/>
      <c r="M25" s="1138"/>
      <c r="N25" s="1138"/>
      <c r="O25" s="1138"/>
    </row>
    <row r="26" spans="2:24" ht="15.75" customHeight="1" x14ac:dyDescent="0.3">
      <c r="B26" s="910" t="s">
        <v>1701</v>
      </c>
      <c r="C26" s="919">
        <v>1</v>
      </c>
      <c r="D26" s="920">
        <v>3.0270000000000001</v>
      </c>
      <c r="E26" s="920">
        <f>VLOOKUP(B26,'Country Summary'!B:P,15,0)</f>
        <v>0.75130236184485066</v>
      </c>
      <c r="F26" s="916">
        <f t="shared" si="0"/>
        <v>0.24820031775515383</v>
      </c>
      <c r="G26" s="920">
        <f>100*(D26/(VLOOKUP(B26,'Country Summary'!B:I, 8,0)))</f>
        <v>0.74628600409965984</v>
      </c>
      <c r="H26" s="920">
        <f>VLOOKUP(B26,'Country Summary'!B:J,9,0)</f>
        <v>1.6901668275066981E-2</v>
      </c>
      <c r="I26" s="920">
        <f>VLOOKUP(B26,'Country Summary'!B:Q,16,0)</f>
        <v>0.18522842335375961</v>
      </c>
      <c r="J26" s="920">
        <f>VLOOKUP(B26,'Country Summary'!B:G,6,0)</f>
        <v>6.8554615238095237E-2</v>
      </c>
      <c r="K26" s="921">
        <f t="shared" si="1"/>
        <v>2.2647709031415671E-2</v>
      </c>
      <c r="L26" s="1138"/>
      <c r="M26" s="1138"/>
      <c r="N26" s="1138"/>
      <c r="O26" s="1138"/>
    </row>
    <row r="27" spans="2:24" ht="15.75" customHeight="1" x14ac:dyDescent="0.3">
      <c r="B27" s="910" t="s">
        <v>1730</v>
      </c>
      <c r="C27" s="919">
        <v>1</v>
      </c>
      <c r="D27" s="920">
        <v>83.44</v>
      </c>
      <c r="E27" s="920">
        <f>VLOOKUP(B27,'Country Summary'!B:P,15,0)</f>
        <v>5.4416588898901672</v>
      </c>
      <c r="F27" s="916">
        <f t="shared" si="0"/>
        <v>6.521642964873163E-2</v>
      </c>
      <c r="G27" s="920">
        <f>100*(D27/(VLOOKUP(B27,'Country Summary'!B:I, 8,0)))</f>
        <v>4.6387230425448607</v>
      </c>
      <c r="H27" s="920">
        <f>VLOOKUP(B27,'Country Summary'!B:J,9,0)</f>
        <v>5.6879145193287982E-2</v>
      </c>
      <c r="I27" s="920">
        <f>VLOOKUP(B27,'Country Summary'!B:Q,16,0)</f>
        <v>0.30252095496407727</v>
      </c>
      <c r="J27" s="920">
        <f>VLOOKUP(B27,'Country Summary'!B:G,6,0)</f>
        <v>1.0231255091970821</v>
      </c>
      <c r="K27" s="921">
        <f t="shared" si="1"/>
        <v>1.2261810992294848E-2</v>
      </c>
      <c r="L27" s="1138"/>
      <c r="M27" s="1138"/>
      <c r="N27" s="1138"/>
      <c r="O27" s="1138"/>
    </row>
    <row r="28" spans="2:24" ht="15.75" customHeight="1" x14ac:dyDescent="0.3">
      <c r="B28" s="910" t="s">
        <v>1861</v>
      </c>
      <c r="C28" s="919">
        <v>1</v>
      </c>
      <c r="D28" s="920">
        <v>1.0629999999999999</v>
      </c>
      <c r="E28" s="920">
        <f>VLOOKUP(B28,'Country Summary'!B:P,15,0)</f>
        <v>0.38312304161867083</v>
      </c>
      <c r="F28" s="916">
        <f t="shared" si="0"/>
        <v>0.36041678421323692</v>
      </c>
      <c r="G28" s="920">
        <f>100*(D28/(VLOOKUP(B28,'Country Summary'!B:I, 8,0)))</f>
        <v>3.3112985547352909</v>
      </c>
      <c r="H28" s="920">
        <f>VLOOKUP(B28,'Country Summary'!B:J,9,0)</f>
        <v>0.97530930817809547</v>
      </c>
      <c r="I28" s="920">
        <f>VLOOKUP(B28,'Country Summary'!B:Q,16,0)</f>
        <v>1.1934475766676329</v>
      </c>
      <c r="J28" s="920">
        <f>VLOOKUP(B28,'Country Summary'!B:G,6,0)</f>
        <v>0.31309583761654936</v>
      </c>
      <c r="K28" s="921">
        <f t="shared" si="1"/>
        <v>0.29453982842572846</v>
      </c>
      <c r="L28" s="1138"/>
      <c r="M28" s="1138"/>
      <c r="N28" s="1138"/>
      <c r="O28" s="1138"/>
    </row>
    <row r="29" spans="2:24" ht="15.75" customHeight="1" x14ac:dyDescent="0.3">
      <c r="B29" s="910" t="s">
        <v>1919</v>
      </c>
      <c r="C29" s="919">
        <v>1</v>
      </c>
      <c r="D29" s="920">
        <v>3.617</v>
      </c>
      <c r="E29" s="920">
        <f>VLOOKUP(B29,'Country Summary'!B:P,15,0)</f>
        <v>0.46328489418763119</v>
      </c>
      <c r="F29" s="916">
        <f t="shared" si="0"/>
        <v>0.12808540066011367</v>
      </c>
      <c r="G29" s="920">
        <f>100*(D29/(VLOOKUP(B29,'Country Summary'!B:I, 8,0)))</f>
        <v>6.7162761711681771</v>
      </c>
      <c r="H29" s="920">
        <f>VLOOKUP(B29,'Country Summary'!B:J,9,0)</f>
        <v>0.65175917502903802</v>
      </c>
      <c r="I29" s="920">
        <f>VLOOKUP(B29,'Country Summary'!B:Q,16,0)</f>
        <v>0.86025692432805023</v>
      </c>
      <c r="J29" s="920">
        <f>VLOOKUP(B29,'Country Summary'!B:G,6,0)</f>
        <v>0.35100000000000003</v>
      </c>
      <c r="K29" s="921">
        <f t="shared" si="1"/>
        <v>9.7041747304395923E-2</v>
      </c>
      <c r="L29" s="1138"/>
      <c r="M29" s="1138"/>
      <c r="N29" s="1138"/>
      <c r="O29" s="1138"/>
    </row>
    <row r="30" spans="2:24" ht="15.75" customHeight="1" x14ac:dyDescent="0.3">
      <c r="B30" s="910" t="s">
        <v>2024</v>
      </c>
      <c r="C30" s="919">
        <v>1</v>
      </c>
      <c r="D30" s="920">
        <v>2.4301999999999997</v>
      </c>
      <c r="E30" s="920">
        <f>VLOOKUP(B30,'Country Summary'!B:P,15,0)</f>
        <v>0.18772743153723756</v>
      </c>
      <c r="F30" s="916">
        <f t="shared" si="0"/>
        <v>7.7247729214565714E-2</v>
      </c>
      <c r="G30" s="920">
        <f>100*(D30/(VLOOKUP(B30,'Country Summary'!B:I, 8,0)))</f>
        <v>3.4786654639004495</v>
      </c>
      <c r="H30" s="920">
        <f>VLOOKUP(B30,'Country Summary'!B:J,9,0)</f>
        <v>0.11308310906433033</v>
      </c>
      <c r="I30" s="920">
        <f>VLOOKUP(B30,'Country Summary'!B:Q,16,0)</f>
        <v>0.26871900778344354</v>
      </c>
      <c r="J30" s="920">
        <f>VLOOKUP(B30,'Country Summary'!B:G,6,0)</f>
        <v>7.9000000000000001E-2</v>
      </c>
      <c r="K30" s="921">
        <f t="shared" si="1"/>
        <v>3.25076125421776E-2</v>
      </c>
      <c r="L30" s="1138"/>
      <c r="M30" s="1138"/>
      <c r="N30" s="1138"/>
      <c r="O30" s="1138"/>
    </row>
    <row r="31" spans="2:24" ht="15.75" customHeight="1" x14ac:dyDescent="0.3">
      <c r="B31" s="910" t="s">
        <v>2066</v>
      </c>
      <c r="C31" s="919">
        <v>1</v>
      </c>
      <c r="D31" s="920">
        <v>0.98050000000000004</v>
      </c>
      <c r="E31" s="920">
        <f>VLOOKUP(B31,'Country Summary'!B:P,15,0)</f>
        <v>3.0306363313434261E-2</v>
      </c>
      <c r="F31" s="916">
        <f t="shared" si="0"/>
        <v>3.0909090579739174E-2</v>
      </c>
      <c r="G31" s="920">
        <f>100*(D31/(VLOOKUP(B31,'Country Summary'!B:I, 8,0)))</f>
        <v>7.0287314181785421</v>
      </c>
      <c r="H31" s="920">
        <f>VLOOKUP(B31,'Country Summary'!B:J,9,0)</f>
        <v>1.2186479766347293E-2</v>
      </c>
      <c r="I31" s="920">
        <f>VLOOKUP(B31,'Country Summary'!B:Q,16,0)</f>
        <v>0.21725169606513911</v>
      </c>
      <c r="J31" s="920">
        <f>VLOOKUP(B31,'Country Summary'!B:G,6,0)</f>
        <v>1.6999999999999999E-3</v>
      </c>
      <c r="K31" s="921">
        <f t="shared" si="1"/>
        <v>1.7338092809790922E-3</v>
      </c>
      <c r="L31" s="1138"/>
      <c r="M31" s="1138"/>
      <c r="N31" s="1138"/>
      <c r="O31" s="1138"/>
    </row>
    <row r="32" spans="2:24" ht="15.75" customHeight="1" x14ac:dyDescent="0.3">
      <c r="B32" s="910" t="s">
        <v>2076</v>
      </c>
      <c r="C32" s="919">
        <v>1</v>
      </c>
      <c r="D32" s="920">
        <v>43.85</v>
      </c>
      <c r="E32" s="920">
        <f>VLOOKUP(B32,'Country Summary'!B:P,15,0)</f>
        <v>4.0656486816229274</v>
      </c>
      <c r="F32" s="916">
        <f t="shared" si="0"/>
        <v>9.2717187722301642E-2</v>
      </c>
      <c r="G32" s="920">
        <f>100*(D32/(VLOOKUP(B32,'Country Summary'!B:I, 8,0)))</f>
        <v>5.0382145992177847</v>
      </c>
      <c r="H32" s="920">
        <f>VLOOKUP(B32,'Country Summary'!B:J,9,0)</f>
        <v>0.16304488604120476</v>
      </c>
      <c r="I32" s="920">
        <f>VLOOKUP(B32,'Country Summary'!B:Q,16,0)</f>
        <v>0.46712908878091608</v>
      </c>
      <c r="J32" s="920">
        <f>VLOOKUP(B32,'Country Summary'!B:G,6,0)</f>
        <v>1.4190579047619047</v>
      </c>
      <c r="K32" s="921">
        <f t="shared" si="1"/>
        <v>3.2361639789325082E-2</v>
      </c>
      <c r="L32" s="1138"/>
      <c r="M32" s="1138"/>
      <c r="N32" s="1138"/>
      <c r="O32" s="1138"/>
    </row>
    <row r="33" spans="2:15" ht="15.75" customHeight="1" x14ac:dyDescent="0.3">
      <c r="B33" s="910" t="s">
        <v>2206</v>
      </c>
      <c r="C33" s="919">
        <v>0</v>
      </c>
      <c r="D33" s="920">
        <v>8.0839999999999996</v>
      </c>
      <c r="E33" s="920">
        <f>VLOOKUP(B33,'Country Summary'!B:P,15,0)</f>
        <v>1.2377337111449318</v>
      </c>
      <c r="F33" s="916">
        <f t="shared" si="0"/>
        <v>0.15310906867205987</v>
      </c>
      <c r="G33" s="920">
        <f>100*(D33/(VLOOKUP(B33,'Country Summary'!B:I, 8,0)))</f>
        <v>2.3435227520298927</v>
      </c>
      <c r="H33" s="920">
        <f>VLOOKUP(B33,'Country Summary'!B:J,9,0)</f>
        <v>0.35881458597507954</v>
      </c>
      <c r="I33" s="920">
        <f>VLOOKUP(B33,'Country Summary'!B:Q,16,0)</f>
        <v>0.35881458597507954</v>
      </c>
      <c r="J33" s="920">
        <f>VLOOKUP(B33,'Country Summary'!B:G,6,0)</f>
        <v>1.2377337111449318</v>
      </c>
      <c r="K33" s="921">
        <f t="shared" si="1"/>
        <v>0.15310906867205987</v>
      </c>
      <c r="L33" s="1138"/>
      <c r="M33" s="1138"/>
      <c r="N33" s="1138"/>
      <c r="O33" s="1138"/>
    </row>
    <row r="34" spans="2:15" ht="15.75" customHeight="1" x14ac:dyDescent="0.3">
      <c r="B34" s="910" t="s">
        <v>2303</v>
      </c>
      <c r="C34" s="919">
        <v>1</v>
      </c>
      <c r="D34" s="920">
        <v>12.4</v>
      </c>
      <c r="E34" s="920">
        <f>VLOOKUP(B34,'Country Summary'!B:P,15,0)</f>
        <v>5.0179271252458886</v>
      </c>
      <c r="F34" s="916">
        <f t="shared" si="0"/>
        <v>0.40467154235853942</v>
      </c>
      <c r="G34" s="920">
        <f>100*(D34/(VLOOKUP(B34,'Country Summary'!B:I, 8,0)))</f>
        <v>2.1822776394849179</v>
      </c>
      <c r="H34" s="920">
        <f>VLOOKUP(B34,'Country Summary'!B:J,9,0)</f>
        <v>0.62629240486194215</v>
      </c>
      <c r="I34" s="920">
        <f>VLOOKUP(B34,'Country Summary'!B:Q,16,0)</f>
        <v>0.88310565822491438</v>
      </c>
      <c r="J34" s="920">
        <f>VLOOKUP(B34,'Country Summary'!B:G,6,0)</f>
        <v>3.5586790973677824</v>
      </c>
      <c r="K34" s="921">
        <f t="shared" si="1"/>
        <v>0.28699024978772436</v>
      </c>
      <c r="L34" s="1138"/>
      <c r="M34" s="1138"/>
      <c r="N34" s="1138"/>
      <c r="O34" s="1138"/>
    </row>
    <row r="35" spans="2:15" ht="15.75" customHeight="1" x14ac:dyDescent="0.3">
      <c r="B35" s="910" t="s">
        <v>2370</v>
      </c>
      <c r="C35" s="919">
        <v>1</v>
      </c>
      <c r="D35" s="920">
        <v>7.04</v>
      </c>
      <c r="E35" s="920">
        <f>VLOOKUP(B35,'Country Summary'!B:P,15,0)</f>
        <v>0.95924524387358545</v>
      </c>
      <c r="F35" s="916">
        <f t="shared" si="0"/>
        <v>0.13625642668658886</v>
      </c>
      <c r="G35" s="920">
        <f>100*(D35/(VLOOKUP(B35,'Country Summary'!B:I, 8,0)))</f>
        <v>3.2344588888548569</v>
      </c>
      <c r="H35" s="920">
        <f>VLOOKUP(B35,'Country Summary'!B:J,9,0)</f>
        <v>0.21250619097011536</v>
      </c>
      <c r="I35" s="920">
        <f>VLOOKUP(B35,'Country Summary'!B:Q,16,0)</f>
        <v>0.44071581046003738</v>
      </c>
      <c r="J35" s="920">
        <f>VLOOKUP(B35,'Country Summary'!B:G,6,0)</f>
        <v>0.46253287979161134</v>
      </c>
      <c r="K35" s="921">
        <f t="shared" si="1"/>
        <v>6.5700693152217521E-2</v>
      </c>
      <c r="L35" s="1138"/>
      <c r="M35" s="1138"/>
      <c r="N35" s="1138"/>
      <c r="O35" s="1138"/>
    </row>
    <row r="36" spans="2:15" ht="15.75" customHeight="1" x14ac:dyDescent="0.3">
      <c r="B36" s="910" t="s">
        <v>2460</v>
      </c>
      <c r="C36" s="919">
        <v>1</v>
      </c>
      <c r="D36" s="920">
        <v>8.516</v>
      </c>
      <c r="E36" s="920">
        <f>VLOOKUP(B36,'Country Summary'!B:P,15,0)</f>
        <v>0.5689907491404449</v>
      </c>
      <c r="F36" s="916">
        <f t="shared" si="0"/>
        <v>6.6814320002400757E-2</v>
      </c>
      <c r="G36" s="920">
        <f>100*(D36/(VLOOKUP(B36,'Country Summary'!B:I, 8,0)))</f>
        <v>3.5951913742425838</v>
      </c>
      <c r="H36" s="920">
        <f>VLOOKUP(B36,'Country Summary'!B:J,9,0)</f>
        <v>4.5117974874776083E-3</v>
      </c>
      <c r="I36" s="920">
        <f>VLOOKUP(B36,'Country Summary'!B:Q,16,0)</f>
        <v>0.24021026694851494</v>
      </c>
      <c r="J36" s="920">
        <f>VLOOKUP(B36,'Country Summary'!B:G,6,0)</f>
        <v>1.0687182796062965E-2</v>
      </c>
      <c r="K36" s="921">
        <f t="shared" si="1"/>
        <v>1.2549533579219077E-3</v>
      </c>
      <c r="L36" s="1138"/>
      <c r="M36" s="1138"/>
      <c r="N36" s="1138"/>
      <c r="O36" s="1138"/>
    </row>
    <row r="37" spans="2:15" ht="15.75" customHeight="1" x14ac:dyDescent="0.3">
      <c r="B37" s="910" t="s">
        <v>2489</v>
      </c>
      <c r="C37" s="919">
        <v>1</v>
      </c>
      <c r="D37" s="920">
        <v>3.577</v>
      </c>
      <c r="E37" s="920">
        <f>VLOOKUP(B37,'Country Summary'!B:P,15,0)</f>
        <v>0.52882723843216084</v>
      </c>
      <c r="F37" s="916">
        <f t="shared" si="0"/>
        <v>0.14784099480910284</v>
      </c>
      <c r="G37" s="920">
        <f>100*(D37/(VLOOKUP(B37,'Country Summary'!B:I, 8,0)))</f>
        <v>3.5711311011161087</v>
      </c>
      <c r="H37" s="920">
        <f>VLOOKUP(B37,'Country Summary'!B:J,9,0)</f>
        <v>0.22369549234134833</v>
      </c>
      <c r="I37" s="920">
        <f>VLOOKUP(B37,'Country Summary'!B:Q,16,0)</f>
        <v>0.52795957458273235</v>
      </c>
      <c r="J37" s="920">
        <f>VLOOKUP(B37,'Country Summary'!B:G,6,0)</f>
        <v>0.22406311990476191</v>
      </c>
      <c r="K37" s="921">
        <f t="shared" si="1"/>
        <v>6.2639955243154022E-2</v>
      </c>
      <c r="L37" s="1138"/>
      <c r="M37" s="1138"/>
      <c r="N37" s="1138"/>
      <c r="O37" s="1138"/>
    </row>
    <row r="38" spans="2:15" ht="15.75" customHeight="1" x14ac:dyDescent="0.3">
      <c r="B38" s="910" t="s">
        <v>2547</v>
      </c>
      <c r="C38" s="919">
        <v>1</v>
      </c>
      <c r="D38" s="920">
        <v>0.52300000000000002</v>
      </c>
      <c r="E38" s="920">
        <f>VLOOKUP(B38,'Country Summary'!B:P,15,0)</f>
        <v>0.18576847793558285</v>
      </c>
      <c r="F38" s="916">
        <f t="shared" si="0"/>
        <v>0.35519785456134384</v>
      </c>
      <c r="G38" s="920">
        <f>100*(D38/(VLOOKUP(B38,'Country Summary'!B:I, 8,0)))</f>
        <v>1.024732227559835</v>
      </c>
      <c r="H38" s="920">
        <f>VLOOKUP(B38,'Country Summary'!B:J,9,0)</f>
        <v>0.12092412980552034</v>
      </c>
      <c r="I38" s="920">
        <f>VLOOKUP(B38,'Country Summary'!B:Q,16,0)</f>
        <v>0.36398268872912021</v>
      </c>
      <c r="J38" s="920">
        <f>VLOOKUP(B38,'Country Summary'!B:G,6,0)</f>
        <v>6.1716922906666666E-2</v>
      </c>
      <c r="K38" s="921">
        <f t="shared" si="1"/>
        <v>0.11800558873167621</v>
      </c>
      <c r="L38" s="1138"/>
      <c r="M38" s="1138"/>
      <c r="N38" s="1138"/>
      <c r="O38" s="1138"/>
    </row>
    <row r="39" spans="2:15" ht="15.75" customHeight="1" x14ac:dyDescent="0.3">
      <c r="B39" s="910" t="s">
        <v>2615</v>
      </c>
      <c r="C39" s="919">
        <v>1</v>
      </c>
      <c r="D39" s="920">
        <v>35.799999999999997</v>
      </c>
      <c r="E39" s="920">
        <f>VLOOKUP(B39,'Country Summary'!B:P,15,0)</f>
        <v>4.4263629622177492</v>
      </c>
      <c r="F39" s="916">
        <f t="shared" si="0"/>
        <v>0.12364142352563547</v>
      </c>
      <c r="G39" s="920">
        <f>100*(D39/(VLOOKUP(B39,'Country Summary'!B:I, 8,0)))</f>
        <v>2.9333164695598697</v>
      </c>
      <c r="H39" s="920">
        <f>VLOOKUP(B39,'Country Summary'!B:J,9,0)</f>
        <v>3.1743111359855275E-2</v>
      </c>
      <c r="I39" s="920">
        <f>VLOOKUP(B39,'Country Summary'!B:Q,16,0)</f>
        <v>0.36267942394757358</v>
      </c>
      <c r="J39" s="920">
        <f>VLOOKUP(B39,'Country Summary'!B:G,6,0)</f>
        <v>0.38741247269965756</v>
      </c>
      <c r="K39" s="921">
        <f t="shared" si="1"/>
        <v>1.0821577449711106E-2</v>
      </c>
      <c r="L39" s="1138"/>
      <c r="M39" s="1138"/>
      <c r="N39" s="1138"/>
      <c r="O39" s="1138"/>
    </row>
    <row r="40" spans="2:15" ht="15.75" customHeight="1" x14ac:dyDescent="0.3">
      <c r="B40" s="910" t="s">
        <v>2715</v>
      </c>
      <c r="C40" s="919">
        <v>1</v>
      </c>
      <c r="D40" s="920">
        <v>1.55</v>
      </c>
      <c r="E40" s="920">
        <f>VLOOKUP(B40,'Country Summary'!B:P,15,0)</f>
        <v>1.9852551043241422</v>
      </c>
      <c r="F40" s="916">
        <f t="shared" si="0"/>
        <v>1.2808097447252531</v>
      </c>
      <c r="G40" s="920">
        <f>100*(D40/(VLOOKUP(B40,'Country Summary'!B:I, 8,0)))</f>
        <v>0.30070947481141036</v>
      </c>
      <c r="H40" s="920">
        <f>VLOOKUP(B40,'Country Summary'!B:J,9,0)</f>
        <v>0.1560201905102156</v>
      </c>
      <c r="I40" s="920">
        <f>VLOOKUP(B40,'Country Summary'!B:Q,16,0)</f>
        <v>0.38515162566966743</v>
      </c>
      <c r="J40" s="920">
        <f>VLOOKUP(B40,'Country Summary'!B:G,6,0)</f>
        <v>0.80420244637286009</v>
      </c>
      <c r="K40" s="921">
        <f t="shared" si="1"/>
        <v>0.51884028798249038</v>
      </c>
      <c r="L40" s="1138"/>
      <c r="M40" s="1138"/>
      <c r="N40" s="1138"/>
      <c r="O40" s="1138"/>
    </row>
    <row r="41" spans="2:15" ht="15.75" customHeight="1" x14ac:dyDescent="0.3">
      <c r="B41" s="942" t="s">
        <v>2864</v>
      </c>
      <c r="C41" s="949">
        <v>0</v>
      </c>
      <c r="D41" s="950">
        <v>96.65</v>
      </c>
      <c r="E41" s="950">
        <f>VLOOKUP(B41,'Country Summary'!B:P,15,0)</f>
        <v>8.3066789144399067</v>
      </c>
      <c r="F41" s="944">
        <f t="shared" si="0"/>
        <v>8.5945979456181126E-2</v>
      </c>
      <c r="G41" s="950">
        <f>100*(D41/(VLOOKUP(B41,'Country Summary'!B:I, 8,0)))</f>
        <v>3.6771632258559692</v>
      </c>
      <c r="H41" s="950">
        <f>VLOOKUP(B41,'Country Summary'!B:J,9,0)</f>
        <v>0.31603739506644191</v>
      </c>
      <c r="I41" s="950">
        <f>VLOOKUP(B41,'Country Summary'!B:Q,16,0)</f>
        <v>0.31603739506644191</v>
      </c>
      <c r="J41" s="950">
        <f>VLOOKUP(B41,'Country Summary'!B:G,6,0)</f>
        <v>8.3066789144399067</v>
      </c>
      <c r="K41" s="945">
        <f t="shared" si="1"/>
        <v>8.5945979456181126E-2</v>
      </c>
      <c r="L41" s="1138"/>
      <c r="M41" s="1138"/>
      <c r="N41" s="1138"/>
      <c r="O41" s="1138"/>
    </row>
    <row r="42" spans="2:15" ht="15.75" customHeight="1" x14ac:dyDescent="0.3">
      <c r="B42" s="910"/>
      <c r="C42" s="919"/>
      <c r="D42" s="920"/>
      <c r="E42" s="920"/>
      <c r="F42" s="916"/>
      <c r="G42" s="920"/>
      <c r="H42" s="920"/>
      <c r="I42" s="920"/>
      <c r="J42" s="920"/>
      <c r="K42" s="921"/>
      <c r="L42" s="1138"/>
      <c r="M42" s="1138"/>
      <c r="N42" s="1138"/>
      <c r="O42" s="1138"/>
    </row>
    <row r="43" spans="2:15" ht="15.75" customHeight="1" x14ac:dyDescent="0.3">
      <c r="B43" s="936" t="s">
        <v>5353</v>
      </c>
      <c r="C43" s="937"/>
      <c r="D43" s="938">
        <f>SUMIFS(D13:D41,C13:C41,1)</f>
        <v>569.87987299999986</v>
      </c>
      <c r="E43" s="938">
        <f>SUMIFS(J13:J41,C13:C41,1)+(29.92+3.1+2)</f>
        <v>54.921652335815303</v>
      </c>
      <c r="F43" s="939">
        <f t="shared" ref="F43" si="2">(E43/D43)</f>
        <v>9.6374086781996798E-2</v>
      </c>
      <c r="G43" s="938">
        <f>(SUMIFS(D13:D41,C13:C41,1)/('Country Summary'!I23))*100</f>
        <v>3.9130030073532711</v>
      </c>
      <c r="H43" s="938">
        <f>(J43/('Country Summary'!I23))*100</f>
        <v>0.37711209140887864</v>
      </c>
      <c r="I43" s="938">
        <f>(J43/('Country Summary'!I23))*100</f>
        <v>0.37711209140887864</v>
      </c>
      <c r="J43" s="938">
        <f>SUMIFS(J13:J41,C13:C41,1)+((29.92+3.1+2))</f>
        <v>54.921652335815303</v>
      </c>
      <c r="K43" s="940">
        <f t="shared" si="1"/>
        <v>9.6374086781996798E-2</v>
      </c>
      <c r="L43" s="1138"/>
      <c r="M43" s="1138"/>
      <c r="N43" s="1138"/>
      <c r="O43" s="1138"/>
    </row>
    <row r="44" spans="2:15" ht="15.75" customHeight="1" x14ac:dyDescent="0.3">
      <c r="B44" s="910" t="s">
        <v>5354</v>
      </c>
      <c r="C44" s="915"/>
      <c r="D44" s="915">
        <f>SUMIFS(D13:D41,C13:C41,1)/27</f>
        <v>21.106661962962956</v>
      </c>
      <c r="E44" s="915">
        <f>E43/27</f>
        <v>2.0341352716968633</v>
      </c>
      <c r="F44" s="916">
        <f>SUM(F13:F33,F35:F40)/27</f>
        <v>0.26977744797831987</v>
      </c>
      <c r="G44" s="915"/>
      <c r="H44" s="915"/>
      <c r="I44" s="915"/>
      <c r="J44" s="915"/>
      <c r="K44" s="921"/>
      <c r="L44" s="1138"/>
      <c r="M44" s="1138"/>
      <c r="N44" s="1138"/>
      <c r="O44" s="1138"/>
    </row>
    <row r="45" spans="2:15" ht="15.75" customHeight="1" x14ac:dyDescent="0.3">
      <c r="B45" s="942" t="s">
        <v>5355</v>
      </c>
      <c r="C45" s="943"/>
      <c r="D45" s="943">
        <f>MEDIAN(D13:D32,D34:D40)</f>
        <v>3.617</v>
      </c>
      <c r="E45" s="943">
        <f>MEDIAN(E13:E32,E34:E40)</f>
        <v>0.75130236184485066</v>
      </c>
      <c r="F45" s="944">
        <f>MEDIAN(F13:F32,F34:F40)</f>
        <v>0.14784099480910284</v>
      </c>
      <c r="G45" s="943"/>
      <c r="H45" s="943"/>
      <c r="I45" s="943"/>
      <c r="J45" s="943"/>
      <c r="K45" s="945"/>
      <c r="L45" s="1138"/>
      <c r="M45" s="1138"/>
      <c r="N45" s="1138"/>
      <c r="O45" s="1138"/>
    </row>
    <row r="46" spans="2:15" ht="15.75" customHeight="1" x14ac:dyDescent="0.3">
      <c r="C46" s="911"/>
      <c r="D46" s="911"/>
      <c r="E46" s="911"/>
      <c r="F46" s="911"/>
      <c r="G46" s="911"/>
      <c r="H46" s="911"/>
      <c r="I46" s="911"/>
      <c r="J46" s="921"/>
      <c r="K46" s="911"/>
      <c r="L46" s="1138"/>
      <c r="M46" s="1138"/>
      <c r="N46" s="1138"/>
      <c r="O46" s="1138"/>
    </row>
    <row r="47" spans="2:15" ht="15.75" customHeight="1" x14ac:dyDescent="0.25">
      <c r="C47" s="1138"/>
      <c r="D47" s="1138"/>
      <c r="E47" s="1138"/>
      <c r="F47" s="1138"/>
      <c r="G47" s="1138"/>
      <c r="H47" s="1138"/>
      <c r="I47" s="1138"/>
      <c r="J47" s="900"/>
      <c r="K47" s="1138"/>
      <c r="L47" s="1138"/>
      <c r="M47" s="1138"/>
      <c r="N47" s="1138"/>
      <c r="O47" s="1138"/>
    </row>
    <row r="48" spans="2:15" ht="15.75" customHeight="1" x14ac:dyDescent="0.25">
      <c r="C48" s="1138"/>
      <c r="D48" s="1138"/>
      <c r="E48" s="1138"/>
      <c r="F48" s="1138"/>
      <c r="G48" s="1138"/>
      <c r="H48" s="1138"/>
      <c r="I48" s="1138"/>
      <c r="J48" s="900"/>
      <c r="K48" s="1138"/>
      <c r="L48" s="1138"/>
      <c r="M48" s="1138"/>
      <c r="N48" s="1138"/>
      <c r="O48" s="1138"/>
    </row>
    <row r="49" spans="3:15" ht="15.75" customHeight="1" x14ac:dyDescent="0.25">
      <c r="C49" s="1138"/>
      <c r="D49" s="1138"/>
      <c r="E49" s="1138"/>
      <c r="F49" s="1138"/>
      <c r="G49" s="1138"/>
      <c r="H49" s="1138"/>
      <c r="I49" s="1138"/>
      <c r="J49" s="900"/>
      <c r="K49" s="1138"/>
      <c r="L49" s="1138"/>
      <c r="M49" s="1138"/>
      <c r="N49" s="1138"/>
      <c r="O49" s="1138"/>
    </row>
    <row r="50" spans="3:15" ht="15.75" customHeight="1" x14ac:dyDescent="0.25">
      <c r="C50" s="1138"/>
      <c r="D50" s="1138"/>
      <c r="E50" s="1138"/>
      <c r="F50" s="1138"/>
      <c r="G50" s="1138"/>
      <c r="H50" s="1138"/>
      <c r="I50" s="1138"/>
      <c r="J50" s="900"/>
      <c r="K50" s="1138"/>
      <c r="L50" s="1138"/>
      <c r="M50" s="1138"/>
      <c r="N50" s="1138"/>
      <c r="O50" s="1138"/>
    </row>
    <row r="51" spans="3:15" ht="15.75" customHeight="1" x14ac:dyDescent="0.25">
      <c r="C51" s="1138"/>
      <c r="D51" s="1138"/>
      <c r="E51" s="1138"/>
      <c r="F51" s="1138"/>
      <c r="G51" s="1138"/>
      <c r="H51" s="1138"/>
      <c r="I51" s="1138"/>
      <c r="J51" s="900"/>
      <c r="K51" s="1138"/>
      <c r="L51" s="1138"/>
      <c r="M51" s="1138"/>
      <c r="N51" s="1138"/>
      <c r="O51" s="1138"/>
    </row>
    <row r="52" spans="3:15" ht="15.75" customHeight="1" x14ac:dyDescent="0.25">
      <c r="C52" s="1138"/>
      <c r="D52" s="1138"/>
      <c r="E52" s="1138"/>
      <c r="F52" s="1138"/>
      <c r="G52" s="1138"/>
      <c r="H52" s="1138"/>
      <c r="I52" s="1138"/>
      <c r="J52" s="900"/>
      <c r="K52" s="1138"/>
      <c r="L52" s="1138"/>
      <c r="M52" s="1138"/>
      <c r="N52" s="1138"/>
      <c r="O52" s="1138"/>
    </row>
    <row r="53" spans="3:15" ht="15.75" customHeight="1" x14ac:dyDescent="0.25">
      <c r="C53" s="1138"/>
      <c r="D53" s="1138"/>
      <c r="E53" s="1138"/>
      <c r="F53" s="1138"/>
      <c r="G53" s="1138"/>
      <c r="H53" s="1138"/>
      <c r="I53" s="1138"/>
      <c r="J53" s="900"/>
      <c r="K53" s="1138"/>
      <c r="L53" s="1138"/>
      <c r="M53" s="1138"/>
      <c r="N53" s="1138"/>
      <c r="O53" s="1138"/>
    </row>
    <row r="54" spans="3:15" ht="15.75" customHeight="1" x14ac:dyDescent="0.25">
      <c r="C54" s="1138"/>
      <c r="D54" s="1138"/>
      <c r="E54" s="1138"/>
      <c r="F54" s="1138"/>
      <c r="G54" s="1138"/>
      <c r="H54" s="1138"/>
      <c r="I54" s="1138"/>
      <c r="J54" s="900"/>
      <c r="K54" s="1138"/>
      <c r="L54" s="1138"/>
      <c r="M54" s="1138"/>
      <c r="N54" s="1138"/>
      <c r="O54" s="1138"/>
    </row>
    <row r="55" spans="3:15" ht="15.75" customHeight="1" x14ac:dyDescent="0.25">
      <c r="C55" s="1138"/>
      <c r="D55" s="1138"/>
      <c r="E55" s="1138"/>
      <c r="F55" s="1138"/>
      <c r="G55" s="1138"/>
      <c r="H55" s="1138"/>
      <c r="I55" s="1138"/>
      <c r="J55" s="900"/>
      <c r="K55" s="1138"/>
      <c r="L55" s="1138"/>
      <c r="M55" s="1138"/>
      <c r="N55" s="1138"/>
      <c r="O55" s="1138"/>
    </row>
    <row r="56" spans="3:15" ht="15.75" customHeight="1" x14ac:dyDescent="0.25">
      <c r="C56" s="1138"/>
      <c r="D56" s="1138"/>
      <c r="E56" s="1138"/>
      <c r="F56" s="1138"/>
      <c r="G56" s="1138"/>
      <c r="H56" s="1138"/>
      <c r="I56" s="1138"/>
      <c r="J56" s="900"/>
      <c r="K56" s="1138"/>
      <c r="L56" s="1138"/>
      <c r="M56" s="1138"/>
      <c r="N56" s="1138"/>
      <c r="O56" s="1138"/>
    </row>
    <row r="57" spans="3:15" ht="15.75" customHeight="1" x14ac:dyDescent="0.25">
      <c r="C57" s="1138"/>
      <c r="D57" s="1138"/>
      <c r="E57" s="1138"/>
      <c r="F57" s="1138"/>
      <c r="G57" s="1138"/>
      <c r="H57" s="1138"/>
      <c r="I57" s="1138"/>
      <c r="J57" s="900"/>
      <c r="K57" s="1138"/>
      <c r="L57" s="1138"/>
      <c r="M57" s="1138"/>
      <c r="N57" s="1138"/>
      <c r="O57" s="1138"/>
    </row>
    <row r="58" spans="3:15" ht="15.75" customHeight="1" x14ac:dyDescent="0.25">
      <c r="C58" s="1138"/>
      <c r="D58" s="1138"/>
      <c r="E58" s="1138"/>
      <c r="F58" s="1138"/>
      <c r="G58" s="1138"/>
      <c r="H58" s="1138"/>
      <c r="I58" s="1138"/>
      <c r="J58" s="900"/>
      <c r="K58" s="1138"/>
      <c r="L58" s="1138"/>
      <c r="M58" s="1138"/>
      <c r="N58" s="1138"/>
      <c r="O58" s="1138"/>
    </row>
    <row r="59" spans="3:15" ht="15.75" customHeight="1" x14ac:dyDescent="0.25">
      <c r="C59" s="1138"/>
      <c r="D59" s="1138"/>
      <c r="E59" s="1138"/>
      <c r="F59" s="1138"/>
      <c r="G59" s="1138"/>
      <c r="H59" s="1138"/>
      <c r="I59" s="1138"/>
      <c r="J59" s="900"/>
      <c r="K59" s="1138"/>
      <c r="L59" s="1138"/>
      <c r="M59" s="1138"/>
      <c r="N59" s="1138"/>
      <c r="O59" s="1138"/>
    </row>
    <row r="60" spans="3:15" ht="15.75" customHeight="1" x14ac:dyDescent="0.25">
      <c r="C60" s="1138"/>
      <c r="D60" s="1138"/>
      <c r="E60" s="1138"/>
      <c r="F60" s="1138"/>
      <c r="G60" s="1138"/>
      <c r="H60" s="1138"/>
      <c r="I60" s="1138"/>
      <c r="J60" s="900"/>
      <c r="K60" s="1138"/>
      <c r="L60" s="1138"/>
      <c r="M60" s="1138"/>
      <c r="N60" s="1138"/>
      <c r="O60" s="1138"/>
    </row>
    <row r="61" spans="3:15" ht="15.75" customHeight="1" x14ac:dyDescent="0.25">
      <c r="C61" s="1138"/>
      <c r="D61" s="1138"/>
      <c r="E61" s="1138"/>
      <c r="F61" s="1138"/>
      <c r="G61" s="1138"/>
      <c r="H61" s="1138"/>
      <c r="I61" s="1138"/>
      <c r="J61" s="900"/>
      <c r="K61" s="1138"/>
      <c r="L61" s="1138"/>
      <c r="M61" s="1138"/>
      <c r="N61" s="1138"/>
      <c r="O61" s="1138"/>
    </row>
    <row r="62" spans="3:15" ht="15.75" customHeight="1" x14ac:dyDescent="0.25">
      <c r="C62" s="1138"/>
      <c r="D62" s="1138"/>
      <c r="E62" s="1138"/>
      <c r="F62" s="1138"/>
      <c r="G62" s="1138"/>
      <c r="H62" s="1138"/>
      <c r="I62" s="1138"/>
      <c r="J62" s="900"/>
      <c r="K62" s="1138"/>
      <c r="L62" s="1138"/>
      <c r="M62" s="1138"/>
      <c r="N62" s="1138"/>
      <c r="O62" s="1138"/>
    </row>
    <row r="63" spans="3:15" ht="15.75" customHeight="1" x14ac:dyDescent="0.25">
      <c r="C63" s="1138"/>
      <c r="D63" s="1138"/>
      <c r="E63" s="1138"/>
      <c r="F63" s="1138"/>
      <c r="G63" s="1138"/>
      <c r="H63" s="1138"/>
      <c r="I63" s="1138"/>
      <c r="J63" s="900"/>
      <c r="K63" s="1138"/>
      <c r="L63" s="1138"/>
      <c r="M63" s="1138"/>
      <c r="N63" s="1138"/>
      <c r="O63" s="1138"/>
    </row>
    <row r="64" spans="3:15" ht="15.75" customHeight="1" x14ac:dyDescent="0.25">
      <c r="C64" s="1138"/>
      <c r="D64" s="1138"/>
      <c r="E64" s="1138"/>
      <c r="F64" s="1138"/>
      <c r="G64" s="1138"/>
      <c r="H64" s="1138"/>
      <c r="I64" s="1138"/>
      <c r="J64" s="900"/>
      <c r="K64" s="1138"/>
      <c r="L64" s="1138"/>
      <c r="M64" s="1138"/>
      <c r="N64" s="1138"/>
      <c r="O64" s="1138"/>
    </row>
    <row r="65" spans="3:21" ht="15.75" customHeight="1" x14ac:dyDescent="0.25">
      <c r="C65" s="1138"/>
      <c r="D65" s="1138"/>
      <c r="E65" s="1138"/>
      <c r="F65" s="1138"/>
      <c r="G65" s="1138"/>
      <c r="H65" s="1138"/>
      <c r="I65" s="1138"/>
      <c r="J65" s="900"/>
      <c r="K65" s="1138"/>
      <c r="L65" s="1138"/>
      <c r="M65" s="1138"/>
    </row>
    <row r="66" spans="3:21" ht="15.75" customHeight="1" x14ac:dyDescent="0.25">
      <c r="C66" s="1138"/>
      <c r="D66" s="1138"/>
      <c r="E66" s="1138"/>
      <c r="F66" s="1138"/>
      <c r="G66" s="1138"/>
      <c r="H66" s="1138"/>
      <c r="I66" s="1138"/>
      <c r="J66" s="900"/>
      <c r="K66" s="1138"/>
      <c r="L66" s="1138"/>
      <c r="M66" s="1138"/>
    </row>
    <row r="67" spans="3:21" ht="15.75" customHeight="1" x14ac:dyDescent="0.25">
      <c r="C67" s="1138"/>
      <c r="D67" s="1138"/>
      <c r="E67" s="1138"/>
      <c r="F67" s="1138"/>
      <c r="G67" s="1138"/>
      <c r="H67" s="1138"/>
      <c r="I67" s="1138"/>
      <c r="J67" s="900"/>
      <c r="K67" s="1138"/>
      <c r="L67" s="1138"/>
      <c r="M67" s="1138"/>
    </row>
    <row r="68" spans="3:21" ht="15.75" customHeight="1" x14ac:dyDescent="0.25">
      <c r="C68" s="1138"/>
      <c r="D68" s="1138"/>
      <c r="E68" s="1138"/>
      <c r="F68" s="1138"/>
      <c r="G68" s="1138"/>
      <c r="H68" s="1138"/>
      <c r="I68" s="1138"/>
      <c r="J68" s="900"/>
      <c r="K68" s="1138"/>
      <c r="L68" s="1138"/>
      <c r="M68" s="1138"/>
    </row>
    <row r="69" spans="3:21" ht="15.75" customHeight="1" x14ac:dyDescent="0.25">
      <c r="C69" s="1138"/>
      <c r="D69" s="1138"/>
      <c r="E69" s="1138"/>
      <c r="F69" s="1138"/>
      <c r="G69" s="1138"/>
      <c r="H69" s="1138"/>
      <c r="I69" s="1138"/>
      <c r="J69" s="900"/>
      <c r="K69" s="1138"/>
      <c r="L69" s="1138"/>
      <c r="M69" s="1138"/>
    </row>
    <row r="70" spans="3:21" ht="15.75" customHeight="1" x14ac:dyDescent="0.25">
      <c r="C70" s="1138"/>
      <c r="D70" s="1138"/>
      <c r="E70" s="1138"/>
      <c r="F70" s="1138"/>
      <c r="G70" s="1138"/>
      <c r="H70" s="1138"/>
      <c r="I70" s="1138"/>
      <c r="J70" s="900"/>
      <c r="K70" s="1138"/>
      <c r="L70" s="1138"/>
      <c r="M70" s="1138"/>
      <c r="S70" s="899"/>
      <c r="U70" s="892"/>
    </row>
    <row r="71" spans="3:21" ht="15.75" customHeight="1" x14ac:dyDescent="0.25">
      <c r="C71" s="1138"/>
      <c r="D71" s="1138"/>
      <c r="E71" s="1138"/>
      <c r="F71" s="1138"/>
      <c r="G71" s="1138"/>
      <c r="H71" s="1138"/>
      <c r="I71" s="1138"/>
      <c r="J71" s="900"/>
      <c r="K71" s="1138"/>
      <c r="L71" s="1138"/>
      <c r="M71" s="1138"/>
      <c r="S71" s="899"/>
      <c r="U71" s="892"/>
    </row>
    <row r="72" spans="3:21" ht="15.75" customHeight="1" x14ac:dyDescent="0.25">
      <c r="C72" s="1138"/>
      <c r="D72" s="1138"/>
      <c r="E72" s="1138"/>
      <c r="F72" s="1138"/>
      <c r="G72" s="1138"/>
      <c r="H72" s="1138"/>
      <c r="I72" s="1138"/>
      <c r="J72" s="900"/>
      <c r="K72" s="1138"/>
      <c r="L72" s="1138"/>
      <c r="M72" s="1138"/>
      <c r="S72" s="899"/>
      <c r="U72" s="892"/>
    </row>
    <row r="73" spans="3:21" ht="15.75" customHeight="1" x14ac:dyDescent="0.25">
      <c r="C73" s="1138"/>
      <c r="D73" s="1138"/>
      <c r="E73" s="1138"/>
      <c r="F73" s="1138"/>
      <c r="G73" s="1138"/>
      <c r="H73" s="1138"/>
      <c r="I73" s="1138"/>
      <c r="J73" s="900"/>
      <c r="K73" s="1138"/>
      <c r="L73" s="1138"/>
      <c r="M73" s="1138"/>
      <c r="S73" s="899"/>
      <c r="U73" s="892"/>
    </row>
    <row r="74" spans="3:21" ht="15.75" customHeight="1" x14ac:dyDescent="0.25">
      <c r="C74" s="1138"/>
      <c r="D74" s="1138"/>
      <c r="E74" s="1138"/>
      <c r="F74" s="1138"/>
      <c r="G74" s="1138"/>
      <c r="H74" s="1138"/>
      <c r="I74" s="1138"/>
      <c r="J74" s="900"/>
      <c r="K74" s="1138"/>
      <c r="L74" s="1138"/>
      <c r="M74" s="1138"/>
      <c r="S74" s="899"/>
      <c r="U74" s="892"/>
    </row>
    <row r="75" spans="3:21" ht="15.75" customHeight="1" x14ac:dyDescent="0.25">
      <c r="C75" s="1138"/>
      <c r="D75" s="1138"/>
      <c r="E75" s="1138"/>
      <c r="F75" s="1138"/>
      <c r="G75" s="1138"/>
      <c r="H75" s="1138"/>
      <c r="I75" s="1138"/>
      <c r="J75" s="900"/>
      <c r="K75" s="1138"/>
      <c r="L75" s="1138"/>
      <c r="M75" s="1138"/>
      <c r="S75" s="899"/>
      <c r="U75" s="892"/>
    </row>
    <row r="76" spans="3:21" ht="15.75" customHeight="1" x14ac:dyDescent="0.25">
      <c r="C76" s="1138"/>
      <c r="D76" s="1138"/>
      <c r="E76" s="1138"/>
      <c r="F76" s="1138"/>
      <c r="G76" s="1138"/>
      <c r="H76" s="1138"/>
      <c r="I76" s="1138"/>
      <c r="J76" s="900"/>
      <c r="K76" s="1138"/>
      <c r="L76" s="1138"/>
      <c r="M76" s="1138"/>
      <c r="S76" s="899"/>
      <c r="U76" s="892"/>
    </row>
    <row r="77" spans="3:21" ht="15.75" customHeight="1" x14ac:dyDescent="0.25">
      <c r="C77" s="1138"/>
      <c r="D77" s="1138"/>
      <c r="E77" s="1138"/>
      <c r="F77" s="1138"/>
      <c r="G77" s="1138"/>
      <c r="H77" s="1138"/>
      <c r="I77" s="1138"/>
      <c r="J77" s="900"/>
      <c r="K77" s="1138"/>
      <c r="L77" s="1138"/>
      <c r="M77" s="1138"/>
      <c r="S77" s="899"/>
      <c r="U77" s="892"/>
    </row>
    <row r="78" spans="3:21" ht="15.75" customHeight="1" x14ac:dyDescent="0.25">
      <c r="C78" s="1138"/>
      <c r="D78" s="1138"/>
      <c r="E78" s="1138"/>
      <c r="F78" s="1138"/>
      <c r="G78" s="1138"/>
      <c r="H78" s="1138"/>
      <c r="I78" s="1138"/>
      <c r="J78" s="900"/>
      <c r="K78" s="1138"/>
      <c r="L78" s="1138"/>
      <c r="M78" s="1138"/>
      <c r="S78" s="899"/>
      <c r="U78" s="892"/>
    </row>
    <row r="79" spans="3:21" ht="15.75" customHeight="1" x14ac:dyDescent="0.25">
      <c r="C79" s="1138"/>
      <c r="D79" s="1138"/>
      <c r="E79" s="1138"/>
      <c r="F79" s="1138"/>
      <c r="G79" s="1138"/>
      <c r="H79" s="1138"/>
      <c r="I79" s="1138"/>
      <c r="J79" s="900"/>
      <c r="K79" s="1138"/>
      <c r="L79" s="1138"/>
      <c r="M79" s="1138"/>
      <c r="S79" s="899"/>
      <c r="U79" s="892"/>
    </row>
    <row r="80" spans="3:21" ht="15.75" customHeight="1" x14ac:dyDescent="0.25">
      <c r="C80" s="1138"/>
      <c r="D80" s="1138"/>
      <c r="E80" s="1138"/>
      <c r="F80" s="1138"/>
      <c r="G80" s="1138"/>
      <c r="H80" s="1138"/>
      <c r="I80" s="1138"/>
      <c r="J80" s="900"/>
      <c r="K80" s="1138"/>
      <c r="L80" s="1138"/>
      <c r="M80" s="1138"/>
      <c r="S80" s="899"/>
      <c r="U80" s="892"/>
    </row>
    <row r="81" spans="3:21" ht="15.75" customHeight="1" x14ac:dyDescent="0.25">
      <c r="C81" s="1138"/>
      <c r="D81" s="1138"/>
      <c r="E81" s="1138"/>
      <c r="F81" s="1138"/>
      <c r="G81" s="1138"/>
      <c r="H81" s="1138"/>
      <c r="I81" s="1138"/>
      <c r="J81" s="900"/>
      <c r="K81" s="1138"/>
      <c r="L81" s="1138"/>
      <c r="M81" s="1138"/>
      <c r="S81" s="899"/>
      <c r="U81" s="892"/>
    </row>
    <row r="82" spans="3:21" ht="15.75" customHeight="1" x14ac:dyDescent="0.25">
      <c r="C82" s="1138"/>
      <c r="D82" s="1138"/>
      <c r="E82" s="1138"/>
      <c r="F82" s="1138"/>
      <c r="G82" s="1138"/>
      <c r="H82" s="1138"/>
      <c r="I82" s="1138"/>
      <c r="J82" s="900"/>
      <c r="K82" s="1138"/>
      <c r="L82" s="1138"/>
      <c r="M82" s="1138"/>
      <c r="S82" s="899"/>
      <c r="U82" s="892"/>
    </row>
    <row r="83" spans="3:21" ht="15.75" customHeight="1" x14ac:dyDescent="0.25">
      <c r="C83" s="1138"/>
      <c r="D83" s="1138"/>
      <c r="E83" s="1138"/>
      <c r="F83" s="1138"/>
      <c r="G83" s="1138"/>
      <c r="H83" s="1138"/>
      <c r="I83" s="1138"/>
      <c r="J83" s="900"/>
      <c r="K83" s="1138"/>
      <c r="L83" s="1138"/>
      <c r="M83" s="1138"/>
      <c r="S83" s="899"/>
      <c r="U83" s="892"/>
    </row>
    <row r="84" spans="3:21" ht="15.75" customHeight="1" x14ac:dyDescent="0.25">
      <c r="C84" s="1138"/>
      <c r="D84" s="1138"/>
      <c r="E84" s="1138"/>
      <c r="F84" s="1138"/>
      <c r="G84" s="1138"/>
      <c r="H84" s="1138"/>
      <c r="I84" s="1138"/>
      <c r="J84" s="900"/>
      <c r="K84" s="1138"/>
      <c r="L84" s="1138"/>
      <c r="M84" s="1138"/>
      <c r="S84" s="899"/>
      <c r="U84" s="892"/>
    </row>
    <row r="85" spans="3:21" ht="15.75" customHeight="1" x14ac:dyDescent="0.25">
      <c r="C85" s="1138"/>
      <c r="D85" s="1138"/>
      <c r="E85" s="1138"/>
      <c r="F85" s="1138"/>
      <c r="G85" s="1138"/>
      <c r="H85" s="1138"/>
      <c r="I85" s="1138"/>
      <c r="J85" s="900"/>
      <c r="K85" s="1138"/>
      <c r="L85" s="1138"/>
      <c r="M85" s="1138"/>
      <c r="S85" s="899"/>
      <c r="U85" s="892"/>
    </row>
    <row r="86" spans="3:21" ht="15.75" customHeight="1" x14ac:dyDescent="0.3">
      <c r="S86" s="899"/>
      <c r="U86" s="892"/>
    </row>
    <row r="87" spans="3:21" ht="15.75" customHeight="1" x14ac:dyDescent="0.3">
      <c r="S87" s="899"/>
      <c r="U87" s="892"/>
    </row>
    <row r="88" spans="3:21" ht="15.75" customHeight="1" x14ac:dyDescent="0.3">
      <c r="S88" s="899"/>
      <c r="U88" s="892"/>
    </row>
    <row r="89" spans="3:21" ht="15.75" customHeight="1" x14ac:dyDescent="0.3">
      <c r="S89" s="899"/>
      <c r="U89" s="892"/>
    </row>
    <row r="90" spans="3:21" ht="15.75" customHeight="1" x14ac:dyDescent="0.3">
      <c r="S90" s="899"/>
      <c r="U90" s="892"/>
    </row>
    <row r="91" spans="3:21" ht="15.75" customHeight="1" x14ac:dyDescent="0.3">
      <c r="S91" s="899"/>
      <c r="U91" s="892"/>
    </row>
    <row r="92" spans="3:21" ht="15.75" customHeight="1" x14ac:dyDescent="0.3">
      <c r="S92" s="899"/>
      <c r="U92" s="892"/>
    </row>
    <row r="93" spans="3:21" ht="15.75" customHeight="1" x14ac:dyDescent="0.3">
      <c r="S93" s="899"/>
      <c r="U93" s="892"/>
    </row>
    <row r="94" spans="3:21" ht="15.75" customHeight="1" x14ac:dyDescent="0.3">
      <c r="S94" s="899"/>
      <c r="U94" s="892"/>
    </row>
    <row r="95" spans="3:21" ht="15.75" customHeight="1" x14ac:dyDescent="0.3">
      <c r="S95" s="899"/>
      <c r="U95" s="892"/>
    </row>
    <row r="96" spans="3:21" ht="15.75" customHeight="1" x14ac:dyDescent="0.3">
      <c r="S96" s="899"/>
      <c r="U96" s="892"/>
    </row>
    <row r="97" spans="19:21" ht="15.75" customHeight="1" x14ac:dyDescent="0.3">
      <c r="S97" s="899"/>
      <c r="U97" s="892"/>
    </row>
    <row r="98" spans="19:21" ht="15.75" customHeight="1" x14ac:dyDescent="0.3">
      <c r="S98" s="899"/>
      <c r="U98" s="892"/>
    </row>
  </sheetData>
  <mergeCells count="3">
    <mergeCell ref="B11:B12"/>
    <mergeCell ref="C11:C12"/>
    <mergeCell ref="B4:F9"/>
  </mergeCells>
  <pageMargins left="0.7" right="0.7" top="0.78740157499999996" bottom="0.78740157499999996"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8CBAD"/>
  </sheetPr>
  <dimension ref="B2:V41"/>
  <sheetViews>
    <sheetView showGridLines="0" zoomScaleNormal="100" workbookViewId="0"/>
  </sheetViews>
  <sheetFormatPr baseColWidth="10" defaultColWidth="11" defaultRowHeight="15.75" customHeight="1" x14ac:dyDescent="0.3"/>
  <cols>
    <col min="1" max="1" width="8.59765625" style="890" customWidth="1"/>
    <col min="2" max="2" width="8.09765625" style="890" bestFit="1" customWidth="1"/>
    <col min="3" max="3" width="18.59765625" style="905" bestFit="1" customWidth="1"/>
    <col min="4" max="4" width="29.09765625" style="890" customWidth="1"/>
    <col min="5" max="5" width="25.09765625" style="890" bestFit="1" customWidth="1"/>
    <col min="6" max="6" width="98.8984375" style="890" bestFit="1" customWidth="1"/>
    <col min="7" max="7" width="60.5" style="890" bestFit="1" customWidth="1"/>
    <col min="8" max="8" width="9" style="890" customWidth="1"/>
    <col min="9" max="16384" width="11" style="890"/>
  </cols>
  <sheetData>
    <row r="2" spans="2:22" ht="24.75" customHeight="1" x14ac:dyDescent="0.3">
      <c r="B2" s="913" t="s">
        <v>5356</v>
      </c>
    </row>
    <row r="3" spans="2:22" ht="15.75" customHeight="1" x14ac:dyDescent="0.25">
      <c r="J3" s="1138"/>
      <c r="K3" s="1138"/>
      <c r="L3" s="1138"/>
      <c r="M3" s="1138"/>
      <c r="N3" s="1138"/>
      <c r="O3" s="1138"/>
      <c r="P3" s="1138"/>
      <c r="Q3" s="1138"/>
      <c r="R3" s="1138"/>
      <c r="S3" s="1138"/>
      <c r="T3" s="1138"/>
      <c r="U3" s="1138"/>
      <c r="V3" s="1138"/>
    </row>
    <row r="4" spans="2:22" ht="15.75" customHeight="1" x14ac:dyDescent="0.25">
      <c r="B4" s="1200" t="s">
        <v>5357</v>
      </c>
      <c r="C4" s="1200"/>
      <c r="D4" s="1200"/>
      <c r="E4" s="1200"/>
      <c r="F4" s="1200"/>
      <c r="J4" s="1230"/>
      <c r="K4" s="1230"/>
      <c r="L4" s="1138"/>
      <c r="M4" s="1138"/>
      <c r="N4" s="1138"/>
      <c r="O4" s="1138"/>
      <c r="P4" s="1138"/>
      <c r="Q4" s="1138"/>
      <c r="R4" s="1138"/>
      <c r="S4" s="1138"/>
      <c r="T4" s="1138"/>
      <c r="U4" s="1138"/>
      <c r="V4" s="1138"/>
    </row>
    <row r="5" spans="2:22" ht="15.75" customHeight="1" x14ac:dyDescent="0.25">
      <c r="B5" s="1200"/>
      <c r="C5" s="1200"/>
      <c r="D5" s="1200"/>
      <c r="E5" s="1200"/>
      <c r="F5" s="1200"/>
      <c r="J5" s="1230"/>
      <c r="K5" s="1230"/>
      <c r="L5" s="1138"/>
      <c r="M5" s="1138"/>
      <c r="N5" s="1138"/>
      <c r="O5" s="1138"/>
      <c r="P5" s="1138"/>
      <c r="Q5" s="1138"/>
      <c r="R5" s="1138"/>
      <c r="S5" s="1138"/>
      <c r="T5" s="1138"/>
      <c r="U5" s="1138"/>
      <c r="V5" s="1138"/>
    </row>
    <row r="6" spans="2:22" ht="15.75" customHeight="1" x14ac:dyDescent="0.25">
      <c r="B6" s="1200"/>
      <c r="C6" s="1200"/>
      <c r="D6" s="1200"/>
      <c r="E6" s="1200"/>
      <c r="F6" s="1200"/>
      <c r="J6" s="1138"/>
      <c r="K6" s="1138"/>
      <c r="L6" s="1138"/>
      <c r="M6" s="1138"/>
      <c r="N6" s="1138"/>
      <c r="O6" s="1138"/>
      <c r="P6" s="1138"/>
      <c r="Q6" s="1138"/>
      <c r="R6" s="1138"/>
      <c r="S6" s="1138"/>
      <c r="T6" s="1138"/>
      <c r="U6" s="1138"/>
      <c r="V6" s="1138"/>
    </row>
    <row r="7" spans="2:22" ht="15.75" customHeight="1" x14ac:dyDescent="0.25">
      <c r="B7" s="1200"/>
      <c r="C7" s="1200"/>
      <c r="D7" s="1200"/>
      <c r="E7" s="1200"/>
      <c r="F7" s="1200"/>
      <c r="J7" s="1138"/>
      <c r="K7" s="1138"/>
      <c r="L7" s="1138"/>
      <c r="M7" s="1138"/>
      <c r="N7" s="1138"/>
      <c r="O7" s="1138"/>
      <c r="P7" s="1138"/>
      <c r="Q7" s="1138"/>
      <c r="R7" s="1138"/>
      <c r="S7" s="1138"/>
      <c r="T7" s="1138"/>
      <c r="U7" s="1138"/>
      <c r="V7" s="1138"/>
    </row>
    <row r="8" spans="2:22" ht="15.75" customHeight="1" x14ac:dyDescent="0.25">
      <c r="B8" s="1200"/>
      <c r="C8" s="1200"/>
      <c r="D8" s="1200"/>
      <c r="E8" s="1200"/>
      <c r="F8" s="1200"/>
      <c r="J8" s="1138"/>
      <c r="K8" s="1138"/>
      <c r="L8" s="1138"/>
      <c r="M8" s="1138"/>
      <c r="N8" s="1138"/>
      <c r="O8" s="1138"/>
      <c r="P8" s="1138"/>
      <c r="Q8" s="1138"/>
      <c r="R8" s="1138"/>
      <c r="S8" s="1138"/>
      <c r="T8" s="1138"/>
      <c r="U8" s="1138"/>
      <c r="V8" s="1138"/>
    </row>
    <row r="9" spans="2:22" ht="15.75" customHeight="1" x14ac:dyDescent="0.25">
      <c r="B9" s="1200"/>
      <c r="C9" s="1200"/>
      <c r="D9" s="1200"/>
      <c r="E9" s="1200"/>
      <c r="F9" s="1200"/>
      <c r="J9" s="1138"/>
      <c r="K9" s="1138"/>
      <c r="L9" s="1138"/>
      <c r="M9" s="1138"/>
      <c r="N9" s="1138"/>
      <c r="O9" s="1138"/>
      <c r="P9" s="1138"/>
      <c r="Q9" s="1138"/>
      <c r="R9" s="1138"/>
      <c r="S9" s="1138"/>
      <c r="T9" s="1138"/>
      <c r="U9" s="1138"/>
      <c r="V9" s="1138"/>
    </row>
    <row r="10" spans="2:22" ht="15.75" customHeight="1" x14ac:dyDescent="0.25">
      <c r="J10" s="1138"/>
      <c r="K10" s="1138"/>
      <c r="L10" s="1138"/>
      <c r="M10" s="1138"/>
      <c r="N10" s="1138"/>
      <c r="O10" s="1138"/>
      <c r="P10" s="1138"/>
      <c r="Q10" s="1138"/>
      <c r="R10" s="1138"/>
      <c r="S10" s="1138"/>
      <c r="T10" s="1138"/>
      <c r="U10" s="1138"/>
      <c r="V10" s="1138"/>
    </row>
    <row r="11" spans="2:22" s="909" customFormat="1" ht="24.75" customHeight="1" x14ac:dyDescent="0.3">
      <c r="B11" s="926" t="s">
        <v>3499</v>
      </c>
      <c r="C11" s="941" t="s">
        <v>206</v>
      </c>
      <c r="D11" s="930" t="s">
        <v>5358</v>
      </c>
      <c r="E11" s="930" t="s">
        <v>5359</v>
      </c>
      <c r="F11" s="926" t="s">
        <v>3598</v>
      </c>
      <c r="G11" s="959"/>
      <c r="J11" s="918"/>
      <c r="K11" s="918"/>
      <c r="L11" s="918"/>
      <c r="M11" s="918"/>
      <c r="N11" s="918"/>
      <c r="O11" s="918"/>
      <c r="P11" s="918"/>
      <c r="Q11" s="918"/>
      <c r="R11" s="918"/>
      <c r="S11" s="918"/>
      <c r="T11" s="918"/>
      <c r="U11" s="918"/>
      <c r="V11" s="918"/>
    </row>
    <row r="12" spans="2:22" ht="15.75" customHeight="1" x14ac:dyDescent="0.3">
      <c r="B12" s="914" t="s">
        <v>1606</v>
      </c>
      <c r="C12" s="922">
        <v>40300</v>
      </c>
      <c r="D12" s="923" t="s">
        <v>5360</v>
      </c>
      <c r="E12" s="911">
        <v>52.9</v>
      </c>
      <c r="F12" s="917" t="s">
        <v>5361</v>
      </c>
      <c r="G12" s="910"/>
      <c r="J12" s="1138"/>
      <c r="K12" s="1138"/>
      <c r="L12" s="1138"/>
      <c r="M12" s="1138"/>
      <c r="N12" s="1138"/>
      <c r="O12" s="1138"/>
      <c r="P12" s="1138"/>
      <c r="Q12" s="1138"/>
      <c r="R12" s="1138"/>
      <c r="S12" s="1138"/>
      <c r="T12" s="1138"/>
      <c r="U12" s="1138"/>
      <c r="V12" s="1138"/>
    </row>
    <row r="13" spans="2:22" ht="15.75" customHeight="1" x14ac:dyDescent="0.3">
      <c r="B13" s="914" t="s">
        <v>1606</v>
      </c>
      <c r="C13" s="922">
        <v>40969</v>
      </c>
      <c r="D13" s="923" t="s">
        <v>5362</v>
      </c>
      <c r="E13" s="911">
        <v>144.69999999999999</v>
      </c>
      <c r="F13" s="917" t="s">
        <v>5363</v>
      </c>
      <c r="G13" s="910"/>
      <c r="J13" s="1138"/>
      <c r="K13" s="1138"/>
      <c r="L13" s="1138"/>
      <c r="M13" s="1138"/>
      <c r="N13" s="1138"/>
      <c r="O13" s="1138"/>
      <c r="P13" s="1138"/>
      <c r="Q13" s="1138"/>
      <c r="R13" s="1138"/>
      <c r="S13" s="1138"/>
      <c r="T13" s="1138"/>
      <c r="U13" s="1138"/>
      <c r="V13" s="1138"/>
    </row>
    <row r="14" spans="2:22" ht="15.75" customHeight="1" x14ac:dyDescent="0.3">
      <c r="B14" s="914" t="s">
        <v>1701</v>
      </c>
      <c r="C14" s="922">
        <v>40878</v>
      </c>
      <c r="D14" s="923" t="s">
        <v>5362</v>
      </c>
      <c r="E14" s="911">
        <v>17.7</v>
      </c>
      <c r="F14" s="917" t="s">
        <v>5364</v>
      </c>
      <c r="G14" s="917"/>
      <c r="J14" s="1138"/>
      <c r="K14" s="1138"/>
      <c r="L14" s="1138"/>
      <c r="M14" s="1138"/>
      <c r="N14" s="1138"/>
      <c r="O14" s="1138"/>
      <c r="P14" s="1138"/>
      <c r="Q14" s="1138"/>
      <c r="R14" s="1138"/>
      <c r="S14" s="1138"/>
      <c r="T14" s="1138"/>
      <c r="U14" s="1138"/>
      <c r="V14" s="1138"/>
    </row>
    <row r="15" spans="2:22" ht="15.75" customHeight="1" x14ac:dyDescent="0.3">
      <c r="B15" s="914" t="s">
        <v>1701</v>
      </c>
      <c r="C15" s="922">
        <v>40513</v>
      </c>
      <c r="D15" s="923" t="s">
        <v>5365</v>
      </c>
      <c r="E15" s="911">
        <v>22.5</v>
      </c>
      <c r="F15" s="917" t="s">
        <v>5364</v>
      </c>
      <c r="G15" s="910"/>
      <c r="J15" s="1138"/>
      <c r="K15" s="1138"/>
      <c r="L15" s="1138"/>
      <c r="M15" s="1138"/>
      <c r="N15" s="1138"/>
      <c r="O15" s="1138"/>
      <c r="P15" s="1138"/>
      <c r="Q15" s="1138"/>
      <c r="R15" s="1138"/>
      <c r="S15" s="1138"/>
      <c r="T15" s="1138"/>
      <c r="U15" s="1138"/>
      <c r="V15" s="1138"/>
    </row>
    <row r="16" spans="2:22" ht="15.75" customHeight="1" x14ac:dyDescent="0.3">
      <c r="B16" s="914" t="s">
        <v>1701</v>
      </c>
      <c r="C16" s="922">
        <v>40513</v>
      </c>
      <c r="D16" s="923" t="s">
        <v>5366</v>
      </c>
      <c r="E16" s="911">
        <v>4.8</v>
      </c>
      <c r="F16" s="917" t="s">
        <v>5364</v>
      </c>
      <c r="G16" s="910"/>
      <c r="J16" s="1138"/>
      <c r="K16" s="1138"/>
      <c r="L16" s="1138"/>
      <c r="M16" s="1138"/>
      <c r="N16" s="1138"/>
      <c r="O16" s="1138"/>
      <c r="P16" s="1138"/>
      <c r="Q16" s="1138"/>
      <c r="R16" s="1138"/>
      <c r="S16" s="1138"/>
      <c r="T16" s="1138"/>
      <c r="U16" s="1138"/>
      <c r="V16" s="1138"/>
    </row>
    <row r="17" spans="2:22" ht="15.75" customHeight="1" x14ac:dyDescent="0.3">
      <c r="B17" s="914" t="s">
        <v>2370</v>
      </c>
      <c r="C17" s="922">
        <v>40680</v>
      </c>
      <c r="D17" s="923" t="s">
        <v>5365</v>
      </c>
      <c r="E17" s="911">
        <v>26</v>
      </c>
      <c r="F17" s="917" t="s">
        <v>5367</v>
      </c>
      <c r="G17" s="910"/>
      <c r="J17" s="1138"/>
      <c r="K17" s="1138"/>
      <c r="L17" s="1138"/>
      <c r="M17" s="1138"/>
      <c r="N17" s="1138"/>
      <c r="O17" s="1138"/>
      <c r="P17" s="1138"/>
      <c r="Q17" s="1138"/>
      <c r="R17" s="1138"/>
      <c r="S17" s="1138"/>
      <c r="T17" s="1138"/>
      <c r="U17" s="1138"/>
      <c r="V17" s="1138"/>
    </row>
    <row r="18" spans="2:22" ht="15.75" customHeight="1" x14ac:dyDescent="0.3">
      <c r="B18" s="914" t="s">
        <v>2370</v>
      </c>
      <c r="C18" s="922">
        <v>40680</v>
      </c>
      <c r="D18" s="923" t="s">
        <v>5362</v>
      </c>
      <c r="E18" s="911">
        <v>26</v>
      </c>
      <c r="F18" s="917" t="s">
        <v>5367</v>
      </c>
      <c r="G18" s="910"/>
      <c r="J18" s="1138"/>
      <c r="K18" s="1138"/>
      <c r="L18" s="1138"/>
      <c r="M18" s="1138"/>
      <c r="N18" s="1138"/>
      <c r="O18" s="1138"/>
      <c r="P18" s="1138"/>
      <c r="Q18" s="1138"/>
      <c r="R18" s="1138"/>
      <c r="S18" s="1138"/>
      <c r="T18" s="1138"/>
      <c r="U18" s="1138"/>
      <c r="V18" s="1138"/>
    </row>
    <row r="19" spans="2:22" ht="15.75" customHeight="1" x14ac:dyDescent="0.3">
      <c r="B19" s="955" t="s">
        <v>2615</v>
      </c>
      <c r="C19" s="956">
        <v>41110</v>
      </c>
      <c r="D19" s="957" t="s">
        <v>5368</v>
      </c>
      <c r="E19" s="951">
        <v>100</v>
      </c>
      <c r="F19" s="958" t="s">
        <v>5369</v>
      </c>
      <c r="G19" s="910"/>
      <c r="J19" s="1138"/>
      <c r="K19" s="1138"/>
      <c r="L19" s="1138"/>
      <c r="M19" s="1138"/>
      <c r="N19" s="1138"/>
      <c r="O19" s="1138"/>
      <c r="P19" s="1138"/>
      <c r="Q19" s="1138"/>
      <c r="R19" s="1138"/>
      <c r="S19" s="1138"/>
      <c r="T19" s="1138"/>
      <c r="U19" s="1138"/>
      <c r="V19" s="1138"/>
    </row>
    <row r="20" spans="2:22" ht="15.75" customHeight="1" x14ac:dyDescent="0.25">
      <c r="G20" s="910"/>
      <c r="J20" s="1138"/>
      <c r="K20" s="1138"/>
      <c r="L20" s="1138"/>
      <c r="M20" s="1138"/>
      <c r="N20" s="1138"/>
      <c r="O20" s="1138"/>
      <c r="P20" s="1138"/>
      <c r="Q20" s="1138"/>
      <c r="R20" s="1138"/>
      <c r="S20" s="1138"/>
      <c r="T20" s="1138"/>
      <c r="U20" s="1138"/>
      <c r="V20" s="1138"/>
    </row>
    <row r="21" spans="2:22" ht="15.75" customHeight="1" x14ac:dyDescent="0.3">
      <c r="B21" s="954" t="s">
        <v>3517</v>
      </c>
      <c r="C21" s="946"/>
      <c r="D21" s="947"/>
      <c r="E21" s="948">
        <f>SUM(E12:E19)</f>
        <v>394.6</v>
      </c>
      <c r="F21" s="936"/>
      <c r="G21" s="910"/>
      <c r="J21" s="906"/>
      <c r="K21" s="906"/>
      <c r="L21" s="906"/>
      <c r="M21" s="906"/>
      <c r="N21" s="906"/>
      <c r="O21" s="906"/>
      <c r="P21" s="906"/>
      <c r="Q21" s="906"/>
      <c r="R21" s="906"/>
      <c r="S21" s="906"/>
      <c r="T21" s="906"/>
      <c r="U21" s="906"/>
    </row>
    <row r="22" spans="2:22" ht="15.75" customHeight="1" x14ac:dyDescent="0.3">
      <c r="B22" s="914"/>
      <c r="C22" s="922"/>
      <c r="D22" s="923"/>
      <c r="E22" s="911"/>
      <c r="F22" s="910"/>
      <c r="G22" s="910"/>
      <c r="J22" s="906"/>
      <c r="K22" s="906"/>
      <c r="L22" s="906"/>
      <c r="M22" s="906"/>
      <c r="N22" s="906"/>
      <c r="O22" s="906"/>
      <c r="P22" s="906"/>
      <c r="Q22" s="906"/>
      <c r="R22" s="906"/>
      <c r="S22" s="906"/>
      <c r="T22" s="906"/>
      <c r="U22" s="906"/>
    </row>
    <row r="23" spans="2:22" ht="15.75" customHeight="1" x14ac:dyDescent="0.3">
      <c r="B23" s="914"/>
      <c r="C23" s="922"/>
      <c r="D23" s="923"/>
      <c r="E23" s="911"/>
      <c r="F23" s="910"/>
      <c r="G23" s="910"/>
      <c r="N23" s="906"/>
      <c r="O23" s="906"/>
      <c r="P23" s="906"/>
      <c r="Q23" s="906"/>
      <c r="R23" s="906"/>
      <c r="S23" s="906"/>
      <c r="T23" s="906"/>
      <c r="U23" s="906"/>
    </row>
    <row r="24" spans="2:22" ht="15.75" customHeight="1" x14ac:dyDescent="0.3">
      <c r="B24" s="914"/>
      <c r="C24" s="922"/>
      <c r="D24" s="923"/>
      <c r="E24" s="911"/>
      <c r="F24" s="910"/>
      <c r="G24" s="910"/>
      <c r="N24" s="906"/>
      <c r="O24" s="906"/>
      <c r="P24" s="906"/>
      <c r="Q24" s="906"/>
      <c r="R24" s="906"/>
      <c r="S24" s="906"/>
      <c r="T24" s="906"/>
      <c r="U24" s="906"/>
    </row>
    <row r="25" spans="2:22" ht="15.75" customHeight="1" x14ac:dyDescent="0.3">
      <c r="B25" s="914"/>
      <c r="C25" s="922"/>
      <c r="D25" s="923"/>
      <c r="E25" s="911"/>
      <c r="F25" s="910"/>
      <c r="G25" s="910"/>
      <c r="N25" s="906"/>
      <c r="O25" s="906"/>
      <c r="P25" s="906"/>
      <c r="Q25" s="906"/>
      <c r="R25" s="906"/>
      <c r="S25" s="906"/>
      <c r="T25" s="906"/>
      <c r="U25" s="906"/>
    </row>
    <row r="26" spans="2:22" ht="15.75" customHeight="1" x14ac:dyDescent="0.3">
      <c r="G26" s="910"/>
      <c r="N26" s="906"/>
      <c r="O26" s="906"/>
      <c r="P26" s="906"/>
      <c r="Q26" s="906"/>
      <c r="R26" s="906"/>
      <c r="S26" s="906"/>
      <c r="T26" s="906"/>
      <c r="U26" s="906"/>
    </row>
    <row r="27" spans="2:22" ht="15.75" customHeight="1" x14ac:dyDescent="0.3">
      <c r="G27" s="910"/>
      <c r="N27" s="906"/>
      <c r="O27" s="906"/>
      <c r="P27" s="906"/>
      <c r="Q27" s="906"/>
      <c r="R27" s="906"/>
      <c r="S27" s="906"/>
      <c r="T27" s="906"/>
      <c r="U27" s="906"/>
    </row>
    <row r="28" spans="2:22" ht="15.75" customHeight="1" x14ac:dyDescent="0.3">
      <c r="G28" s="910"/>
      <c r="N28" s="906"/>
      <c r="O28" s="906"/>
      <c r="P28" s="906"/>
      <c r="Q28" s="906"/>
      <c r="R28" s="906"/>
      <c r="S28" s="906"/>
      <c r="T28" s="906"/>
      <c r="U28" s="906"/>
    </row>
    <row r="29" spans="2:22" ht="15.75" customHeight="1" x14ac:dyDescent="0.3">
      <c r="G29" s="910"/>
      <c r="N29" s="906"/>
      <c r="O29" s="906"/>
      <c r="P29" s="906"/>
      <c r="Q29" s="906"/>
      <c r="R29" s="906"/>
      <c r="S29" s="906"/>
      <c r="T29" s="906"/>
      <c r="U29" s="906"/>
    </row>
    <row r="30" spans="2:22" ht="15.75" customHeight="1" x14ac:dyDescent="0.3">
      <c r="G30" s="910"/>
      <c r="N30" s="906"/>
      <c r="O30" s="906"/>
      <c r="P30" s="906"/>
      <c r="Q30" s="906"/>
      <c r="R30" s="906"/>
      <c r="S30" s="906"/>
      <c r="T30" s="906"/>
      <c r="U30" s="906"/>
    </row>
    <row r="32" spans="2:22" ht="15.75" customHeight="1" x14ac:dyDescent="0.3">
      <c r="G32" s="910"/>
      <c r="N32" s="906"/>
      <c r="O32" s="906"/>
      <c r="P32" s="906"/>
      <c r="Q32" s="906"/>
      <c r="R32" s="906"/>
      <c r="S32" s="906"/>
      <c r="T32" s="906"/>
      <c r="U32" s="906"/>
    </row>
    <row r="33" spans="2:22" ht="15.75" customHeight="1" x14ac:dyDescent="0.3">
      <c r="B33" s="906"/>
      <c r="C33" s="906"/>
    </row>
    <row r="34" spans="2:22" ht="15.75" customHeight="1" x14ac:dyDescent="0.3">
      <c r="B34" s="907"/>
      <c r="C34" s="906"/>
      <c r="J34" s="1138"/>
      <c r="K34" s="1138"/>
      <c r="L34" s="1138"/>
      <c r="M34" s="1138"/>
      <c r="N34" s="1138"/>
      <c r="O34" s="1138"/>
      <c r="P34" s="1138"/>
      <c r="Q34" s="1138"/>
      <c r="R34" s="1138"/>
      <c r="S34" s="1138"/>
      <c r="T34" s="1138"/>
      <c r="U34" s="1138"/>
      <c r="V34" s="1138"/>
    </row>
    <row r="35" spans="2:22" ht="15.75" customHeight="1" x14ac:dyDescent="0.3">
      <c r="B35" s="908"/>
      <c r="C35" s="906"/>
      <c r="J35" s="1138"/>
      <c r="K35" s="1138"/>
      <c r="L35" s="1138"/>
      <c r="M35" s="1138"/>
      <c r="N35" s="1138"/>
      <c r="O35" s="1138"/>
      <c r="P35" s="1138"/>
      <c r="Q35" s="1138"/>
      <c r="R35" s="1138"/>
      <c r="S35" s="1138"/>
      <c r="T35" s="1138"/>
      <c r="U35" s="1138"/>
      <c r="V35" s="1138"/>
    </row>
    <row r="36" spans="2:22" ht="15.75" customHeight="1" x14ac:dyDescent="0.25">
      <c r="J36" s="1138"/>
      <c r="K36" s="1138"/>
      <c r="L36" s="1138"/>
      <c r="M36" s="1138"/>
      <c r="N36" s="1138"/>
      <c r="O36" s="1138"/>
      <c r="P36" s="1138"/>
      <c r="Q36" s="1138"/>
      <c r="R36" s="1138"/>
      <c r="S36" s="1138"/>
      <c r="T36" s="1138"/>
      <c r="U36" s="1138"/>
      <c r="V36" s="1138"/>
    </row>
    <row r="37" spans="2:22" ht="15.75" customHeight="1" x14ac:dyDescent="0.25">
      <c r="J37" s="1138"/>
      <c r="K37" s="1138"/>
      <c r="L37" s="1138"/>
      <c r="M37" s="1138"/>
      <c r="N37" s="1138"/>
      <c r="O37" s="1138"/>
      <c r="P37" s="1138"/>
      <c r="Q37" s="1138"/>
      <c r="R37" s="1138"/>
      <c r="S37" s="1138"/>
      <c r="T37" s="1138"/>
      <c r="U37" s="1138"/>
      <c r="V37" s="1138"/>
    </row>
    <row r="38" spans="2:22" ht="15.75" customHeight="1" x14ac:dyDescent="0.25">
      <c r="J38" s="1138"/>
      <c r="K38" s="1138"/>
      <c r="L38" s="1138"/>
      <c r="M38" s="1138"/>
      <c r="N38" s="1138"/>
      <c r="O38" s="1138"/>
      <c r="P38" s="1138"/>
      <c r="Q38" s="1138"/>
      <c r="R38" s="1138"/>
      <c r="S38" s="1138"/>
      <c r="T38" s="1138"/>
      <c r="U38" s="1138"/>
      <c r="V38" s="1138"/>
    </row>
    <row r="39" spans="2:22" ht="15.75" customHeight="1" x14ac:dyDescent="0.25">
      <c r="J39" s="1138"/>
      <c r="K39" s="1138"/>
      <c r="L39" s="1138"/>
      <c r="M39" s="1138"/>
      <c r="N39" s="1138"/>
      <c r="O39" s="1138"/>
      <c r="P39" s="1138"/>
      <c r="Q39" s="1138"/>
      <c r="R39" s="1138"/>
      <c r="S39" s="1138"/>
      <c r="T39" s="1138"/>
      <c r="U39" s="1138"/>
      <c r="V39" s="1138"/>
    </row>
    <row r="40" spans="2:22" ht="15.75" customHeight="1" x14ac:dyDescent="0.25">
      <c r="J40" s="1138"/>
      <c r="K40" s="1138"/>
      <c r="L40" s="1138"/>
      <c r="M40" s="1138"/>
      <c r="N40" s="1138"/>
      <c r="O40" s="1138"/>
      <c r="P40" s="1138"/>
      <c r="Q40" s="1138"/>
      <c r="R40" s="1138"/>
      <c r="S40" s="1138"/>
      <c r="T40" s="1138"/>
      <c r="U40" s="1138"/>
      <c r="V40" s="1138"/>
    </row>
    <row r="41" spans="2:22" ht="15.75" customHeight="1" x14ac:dyDescent="0.25">
      <c r="J41" s="1138"/>
      <c r="K41" s="1138"/>
      <c r="L41" s="1138"/>
      <c r="M41" s="1138"/>
      <c r="N41" s="1138"/>
      <c r="O41" s="1138"/>
      <c r="P41" s="1138"/>
      <c r="Q41" s="1138"/>
      <c r="R41" s="1138"/>
      <c r="S41" s="1138"/>
      <c r="T41" s="1138"/>
      <c r="U41" s="1138"/>
      <c r="V41" s="1138"/>
    </row>
  </sheetData>
  <mergeCells count="3">
    <mergeCell ref="J4:J5"/>
    <mergeCell ref="K4:K5"/>
    <mergeCell ref="B4:F9"/>
  </mergeCells>
  <hyperlinks>
    <hyperlink ref="F12" r:id="rId1" xr:uid="{00000000-0004-0000-3400-000000000000}"/>
    <hyperlink ref="F13" r:id="rId2" xr:uid="{00000000-0004-0000-3400-000001000000}"/>
    <hyperlink ref="F15" r:id="rId3" xr:uid="{00000000-0004-0000-3400-000002000000}"/>
    <hyperlink ref="F16" r:id="rId4" xr:uid="{00000000-0004-0000-3400-000003000000}"/>
    <hyperlink ref="F17" r:id="rId5" xr:uid="{00000000-0004-0000-3400-000004000000}"/>
    <hyperlink ref="F18" r:id="rId6" xr:uid="{00000000-0004-0000-3400-000005000000}"/>
    <hyperlink ref="F19" r:id="rId7" xr:uid="{00000000-0004-0000-3400-000006000000}"/>
    <hyperlink ref="F14" r:id="rId8" xr:uid="{00000000-0004-0000-3400-000007000000}"/>
  </hyperlinks>
  <pageMargins left="0.7" right="0.7" top="0.78740157499999996" bottom="0.78740157499999996" header="0.3" footer="0.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8CBAD"/>
  </sheetPr>
  <dimension ref="B2:W144"/>
  <sheetViews>
    <sheetView zoomScaleNormal="100" workbookViewId="0"/>
  </sheetViews>
  <sheetFormatPr baseColWidth="10" defaultColWidth="8.09765625" defaultRowHeight="15.9" customHeight="1" x14ac:dyDescent="0.3"/>
  <cols>
    <col min="1" max="1" width="8.09765625" style="982"/>
    <col min="2" max="2" width="32" style="982" customWidth="1"/>
    <col min="3" max="3" width="28.59765625" style="982" customWidth="1"/>
    <col min="4" max="4" width="42" style="982" customWidth="1"/>
    <col min="5" max="5" width="17.09765625" style="982" customWidth="1"/>
    <col min="6" max="6" width="18.59765625" style="982" customWidth="1"/>
    <col min="7" max="9" width="38.8984375" style="982" customWidth="1"/>
    <col min="10" max="10" width="42.09765625" style="988" customWidth="1"/>
    <col min="11" max="11" width="24.3984375" style="982" customWidth="1"/>
    <col min="12" max="12" width="25.59765625" style="982" customWidth="1"/>
    <col min="13" max="13" width="24.59765625" style="982" customWidth="1"/>
    <col min="14" max="14" width="9.5" style="982" customWidth="1"/>
    <col min="15" max="15" width="36.3984375" style="988" customWidth="1"/>
    <col min="16" max="17" width="45.09765625" style="982" customWidth="1"/>
    <col min="18" max="18" width="20.8984375" style="982" customWidth="1"/>
    <col min="19" max="19" width="26.59765625" style="982" customWidth="1"/>
    <col min="20" max="20" width="18" style="982" customWidth="1"/>
    <col min="21" max="22" width="25.3984375" style="982" customWidth="1"/>
    <col min="23" max="23" width="22.3984375" style="982" customWidth="1"/>
    <col min="24" max="16384" width="8.09765625" style="982"/>
  </cols>
  <sheetData>
    <row r="2" spans="2:23" ht="24.75" customHeight="1" x14ac:dyDescent="0.3">
      <c r="B2" s="913" t="s">
        <v>5370</v>
      </c>
    </row>
    <row r="4" spans="2:23" ht="15.9" customHeight="1" x14ac:dyDescent="0.3">
      <c r="B4" s="1231" t="s">
        <v>5371</v>
      </c>
      <c r="C4" s="1231"/>
      <c r="D4" s="1231"/>
      <c r="E4" s="1231"/>
      <c r="F4" s="1149"/>
      <c r="G4" s="1018"/>
      <c r="H4" s="1018"/>
      <c r="I4" s="1018"/>
    </row>
    <row r="5" spans="2:23" ht="15.9" customHeight="1" x14ac:dyDescent="0.3">
      <c r="B5" s="1231"/>
      <c r="C5" s="1231"/>
      <c r="D5" s="1231"/>
      <c r="E5" s="1231"/>
      <c r="F5" s="1149"/>
      <c r="G5" s="1018"/>
      <c r="H5" s="1018"/>
      <c r="I5" s="1018"/>
    </row>
    <row r="6" spans="2:23" ht="15.9" customHeight="1" x14ac:dyDescent="0.3">
      <c r="B6" s="1231"/>
      <c r="C6" s="1231"/>
      <c r="D6" s="1231"/>
      <c r="E6" s="1231"/>
      <c r="F6" s="1149"/>
      <c r="G6" s="1018"/>
      <c r="H6" s="1018"/>
      <c r="I6" s="1018"/>
    </row>
    <row r="7" spans="2:23" ht="15.9" customHeight="1" x14ac:dyDescent="0.3">
      <c r="B7" s="1231"/>
      <c r="C7" s="1231"/>
      <c r="D7" s="1231"/>
      <c r="E7" s="1231"/>
      <c r="F7" s="1149"/>
      <c r="G7" s="1018"/>
      <c r="H7" s="1018"/>
      <c r="I7" s="1018"/>
    </row>
    <row r="8" spans="2:23" ht="15.9" customHeight="1" x14ac:dyDescent="0.3">
      <c r="B8" s="1231"/>
      <c r="C8" s="1231"/>
      <c r="D8" s="1231"/>
      <c r="E8" s="1231"/>
      <c r="F8" s="1149"/>
      <c r="G8" s="1018"/>
      <c r="H8" s="1018"/>
      <c r="I8" s="1018"/>
    </row>
    <row r="9" spans="2:23" ht="15.9" customHeight="1" x14ac:dyDescent="0.3">
      <c r="B9" s="1231"/>
      <c r="C9" s="1231"/>
      <c r="D9" s="1231"/>
      <c r="E9" s="1231"/>
      <c r="F9" s="1149"/>
      <c r="G9" s="1018"/>
      <c r="H9" s="1018"/>
      <c r="I9" s="1018"/>
    </row>
    <row r="11" spans="2:23" ht="24.75" customHeight="1" x14ac:dyDescent="0.3">
      <c r="B11" s="986" t="s">
        <v>5372</v>
      </c>
      <c r="C11" s="987" t="s">
        <v>5373</v>
      </c>
      <c r="D11" s="987" t="s">
        <v>5374</v>
      </c>
      <c r="E11" s="987" t="s">
        <v>5375</v>
      </c>
      <c r="F11" s="987" t="s">
        <v>5376</v>
      </c>
      <c r="G11" s="987" t="s">
        <v>5377</v>
      </c>
      <c r="H11" s="987" t="s">
        <v>5378</v>
      </c>
      <c r="I11" s="987" t="s">
        <v>5379</v>
      </c>
      <c r="J11" s="989" t="s">
        <v>5380</v>
      </c>
      <c r="K11" s="987" t="s">
        <v>3928</v>
      </c>
      <c r="L11" s="987" t="s">
        <v>5381</v>
      </c>
      <c r="M11" s="987" t="s">
        <v>5382</v>
      </c>
      <c r="N11" s="987" t="s">
        <v>5383</v>
      </c>
      <c r="O11" s="989" t="s">
        <v>5384</v>
      </c>
      <c r="P11" s="987" t="s">
        <v>5385</v>
      </c>
      <c r="Q11" s="987" t="s">
        <v>5386</v>
      </c>
      <c r="R11" s="987" t="s">
        <v>5387</v>
      </c>
      <c r="S11" s="987" t="s">
        <v>5388</v>
      </c>
      <c r="T11" s="987" t="s">
        <v>5389</v>
      </c>
      <c r="U11" s="987" t="s">
        <v>5390</v>
      </c>
      <c r="V11" s="987" t="s">
        <v>5391</v>
      </c>
      <c r="W11" s="987" t="s">
        <v>5392</v>
      </c>
    </row>
    <row r="12" spans="2:23" ht="15.9" customHeight="1" x14ac:dyDescent="0.3">
      <c r="B12" s="982" t="s">
        <v>5393</v>
      </c>
      <c r="C12" s="993" t="s">
        <v>3038</v>
      </c>
      <c r="D12" s="990">
        <f>G12/'Exchange Rates'!$C$13</f>
        <v>19.294518323673955</v>
      </c>
      <c r="E12" s="991">
        <f>(G12/(O12/1000000000))*100</f>
        <v>0.86135279859176905</v>
      </c>
      <c r="F12" s="991">
        <f t="shared" ref="F12:F31" si="0">(H12/(Q12/1000000000))*100</f>
        <v>1.0691258889130508</v>
      </c>
      <c r="G12" s="992">
        <f>((((J12)/(VLOOKUP(L12,deflator!$B:$D,3)))*deflator!$C$107)/(M12/12)/1000000000)</f>
        <v>20.259244239857654</v>
      </c>
      <c r="H12" s="992">
        <f t="shared" ref="H12:H27" si="1">J12/(M12/12)/1000000000</f>
        <v>1.3829784848623659</v>
      </c>
      <c r="I12" s="992" t="s">
        <v>260</v>
      </c>
      <c r="J12" s="992">
        <v>1037233863.6467744</v>
      </c>
      <c r="K12" s="993" t="s">
        <v>346</v>
      </c>
      <c r="L12" s="993">
        <v>1941</v>
      </c>
      <c r="M12" s="993">
        <v>9</v>
      </c>
      <c r="N12" s="993">
        <v>1941</v>
      </c>
      <c r="O12" s="992">
        <f>(((P12)/(VLOOKUP(R12,deflator!$B:$D,3)))*deflator!$D$107)</f>
        <v>2352026286206.9546</v>
      </c>
      <c r="P12" s="992">
        <v>1815098662467.4001</v>
      </c>
      <c r="Q12" s="992">
        <f>1000000*129356</f>
        <v>129356000000</v>
      </c>
      <c r="R12" s="993">
        <v>2011</v>
      </c>
      <c r="S12" s="993" t="s">
        <v>5394</v>
      </c>
      <c r="T12" s="993" t="s">
        <v>5395</v>
      </c>
      <c r="U12" s="993" t="s">
        <v>5396</v>
      </c>
      <c r="V12" s="993"/>
      <c r="W12" s="993" t="s">
        <v>5397</v>
      </c>
    </row>
    <row r="13" spans="2:23" ht="15.9" customHeight="1" x14ac:dyDescent="0.3">
      <c r="B13" s="982" t="s">
        <v>5398</v>
      </c>
      <c r="C13" s="993" t="s">
        <v>3038</v>
      </c>
      <c r="D13" s="990">
        <f>G13/'Exchange Rates'!$C$13</f>
        <v>54.000734191500911</v>
      </c>
      <c r="E13" s="991">
        <f t="shared" ref="E13:E31" si="2">(G13/(O13/1000000000))*100</f>
        <v>2.1735335959952544</v>
      </c>
      <c r="F13" s="991">
        <f t="shared" si="0"/>
        <v>2.5261272789934881</v>
      </c>
      <c r="G13" s="992">
        <f>((((J13)/(VLOOKUP(L13,deflator!$B:$D,3)))*deflator!$C$107)/(M13/12)/1000000000)</f>
        <v>56.700770901075956</v>
      </c>
      <c r="H13" s="992">
        <f t="shared" si="1"/>
        <v>4.1932954993108211</v>
      </c>
      <c r="I13" s="992" t="s">
        <v>260</v>
      </c>
      <c r="J13" s="992">
        <v>4193295499.3108215</v>
      </c>
      <c r="K13" s="993" t="s">
        <v>346</v>
      </c>
      <c r="L13" s="993">
        <v>1942</v>
      </c>
      <c r="M13" s="993">
        <v>12</v>
      </c>
      <c r="N13" s="993">
        <v>1942</v>
      </c>
      <c r="O13" s="992">
        <f>(((P13)/(VLOOKUP(R13,deflator!$B:$D,3)))*deflator!$D$107)</f>
        <v>2608690797581.7524</v>
      </c>
      <c r="P13" s="992">
        <v>2013171028423.2</v>
      </c>
      <c r="Q13" s="992">
        <f>1000000*165997</f>
        <v>165997000000</v>
      </c>
      <c r="R13" s="993">
        <v>2011</v>
      </c>
      <c r="S13" s="993" t="s">
        <v>5394</v>
      </c>
      <c r="T13" s="993" t="s">
        <v>5395</v>
      </c>
      <c r="U13" s="993" t="s">
        <v>5396</v>
      </c>
      <c r="V13" s="993"/>
      <c r="W13" s="993" t="s">
        <v>5397</v>
      </c>
    </row>
    <row r="14" spans="2:23" ht="15.9" customHeight="1" x14ac:dyDescent="0.3">
      <c r="B14" s="982" t="s">
        <v>5399</v>
      </c>
      <c r="C14" s="993" t="s">
        <v>3038</v>
      </c>
      <c r="D14" s="990">
        <f>G14/'Exchange Rates'!$C$13</f>
        <v>99.417076252255185</v>
      </c>
      <c r="E14" s="991">
        <f t="shared" si="2"/>
        <v>3.6563307175594675</v>
      </c>
      <c r="F14" s="991">
        <f t="shared" si="0"/>
        <v>3.9823841764994974</v>
      </c>
      <c r="G14" s="992">
        <f>((((J14)/(VLOOKUP(L14,deflator!$B:$D,3)))*deflator!$C$107)/(M14/12)/1000000000)</f>
        <v>104.38793006486794</v>
      </c>
      <c r="H14" s="992">
        <f t="shared" si="1"/>
        <v>8.0890983869893098</v>
      </c>
      <c r="I14" s="992" t="s">
        <v>260</v>
      </c>
      <c r="J14" s="992">
        <v>8089098386.9893103</v>
      </c>
      <c r="K14" s="993" t="s">
        <v>346</v>
      </c>
      <c r="L14" s="993">
        <v>1943</v>
      </c>
      <c r="M14" s="993">
        <v>12</v>
      </c>
      <c r="N14" s="993">
        <v>1943</v>
      </c>
      <c r="O14" s="992">
        <f>(((P14)/(VLOOKUP(R14,deflator!$B:$D,3)))*deflator!$D$107)</f>
        <v>2854991469003.2456</v>
      </c>
      <c r="P14" s="992">
        <v>2203245442932.7998</v>
      </c>
      <c r="Q14" s="992">
        <f>1000000*203122</f>
        <v>203122000000</v>
      </c>
      <c r="R14" s="993">
        <v>2011</v>
      </c>
      <c r="S14" s="993" t="s">
        <v>5394</v>
      </c>
      <c r="T14" s="993" t="s">
        <v>5395</v>
      </c>
      <c r="U14" s="993" t="s">
        <v>5396</v>
      </c>
      <c r="V14" s="993"/>
      <c r="W14" s="993" t="s">
        <v>5397</v>
      </c>
    </row>
    <row r="15" spans="2:23" ht="15.9" customHeight="1" x14ac:dyDescent="0.3">
      <c r="B15" s="982" t="s">
        <v>5400</v>
      </c>
      <c r="C15" s="993" t="s">
        <v>3038</v>
      </c>
      <c r="D15" s="990">
        <f>G15/'Exchange Rates'!$C$13</f>
        <v>117.8343493738714</v>
      </c>
      <c r="E15" s="991">
        <f t="shared" si="2"/>
        <v>4.042682389081552</v>
      </c>
      <c r="F15" s="991">
        <f t="shared" si="0"/>
        <v>4.3714748933810119</v>
      </c>
      <c r="G15" s="992">
        <f>((((J15)/(VLOOKUP(L15,deflator!$B:$D,3)))*deflator!$C$107)/(M15/12)/1000000000)</f>
        <v>123.72606684256498</v>
      </c>
      <c r="H15" s="992">
        <f t="shared" si="1"/>
        <v>9.816146873087062</v>
      </c>
      <c r="I15" s="992" t="s">
        <v>260</v>
      </c>
      <c r="J15" s="992">
        <v>9816146873.0870628</v>
      </c>
      <c r="K15" s="993" t="s">
        <v>346</v>
      </c>
      <c r="L15" s="993">
        <v>1944</v>
      </c>
      <c r="M15" s="993">
        <v>12</v>
      </c>
      <c r="N15" s="993">
        <v>1944</v>
      </c>
      <c r="O15" s="992">
        <f>(((P15)/(VLOOKUP(R15,deflator!$B:$D,3)))*deflator!$D$107)</f>
        <v>3060494368212.6367</v>
      </c>
      <c r="P15" s="992">
        <v>2361835523186.3999</v>
      </c>
      <c r="Q15" s="992">
        <f>1000000*224550</f>
        <v>224550000000</v>
      </c>
      <c r="R15" s="993">
        <v>2011</v>
      </c>
      <c r="S15" s="993" t="s">
        <v>5394</v>
      </c>
      <c r="T15" s="993" t="s">
        <v>5395</v>
      </c>
      <c r="U15" s="993" t="s">
        <v>5396</v>
      </c>
      <c r="V15" s="993"/>
      <c r="W15" s="993" t="s">
        <v>5397</v>
      </c>
    </row>
    <row r="16" spans="2:23" ht="15.9" customHeight="1" x14ac:dyDescent="0.3">
      <c r="B16" s="1019" t="s">
        <v>5401</v>
      </c>
      <c r="C16" s="993" t="s">
        <v>3038</v>
      </c>
      <c r="D16" s="990">
        <f>G16/'Exchange Rates'!$C$13</f>
        <v>60.702031523144619</v>
      </c>
      <c r="E16" s="991">
        <f t="shared" si="2"/>
        <v>2.1250147843070621</v>
      </c>
      <c r="F16" s="991">
        <f t="shared" si="0"/>
        <v>2.271507658350481</v>
      </c>
      <c r="G16" s="992">
        <f>((((J16)/(VLOOKUP(L16,deflator!$B:$D,3)))*deflator!$C$107)/(M16/12)/1000000000)</f>
        <v>63.73713309930185</v>
      </c>
      <c r="H16" s="992">
        <f t="shared" si="1"/>
        <v>5.1829671692880428</v>
      </c>
      <c r="I16" s="992" t="s">
        <v>260</v>
      </c>
      <c r="J16" s="992">
        <v>3887225376.966032</v>
      </c>
      <c r="K16" s="993" t="s">
        <v>346</v>
      </c>
      <c r="L16" s="993">
        <v>1945</v>
      </c>
      <c r="M16" s="993">
        <v>9</v>
      </c>
      <c r="N16" s="993">
        <v>1945</v>
      </c>
      <c r="O16" s="992">
        <f>(((P16)/(VLOOKUP(R16,deflator!$B:$D,3)))*deflator!$D$107)</f>
        <v>2999373631185.6128</v>
      </c>
      <c r="P16" s="992">
        <v>2314667611553.2002</v>
      </c>
      <c r="Q16" s="992">
        <f>1000000*228173</f>
        <v>228173000000</v>
      </c>
      <c r="R16" s="993">
        <v>2011</v>
      </c>
      <c r="S16" s="993" t="s">
        <v>5394</v>
      </c>
      <c r="T16" s="993" t="s">
        <v>5395</v>
      </c>
      <c r="U16" s="993" t="s">
        <v>5396</v>
      </c>
      <c r="V16" s="993"/>
      <c r="W16" s="993" t="s">
        <v>5397</v>
      </c>
    </row>
    <row r="17" spans="2:23" ht="15.9" customHeight="1" x14ac:dyDescent="0.3">
      <c r="B17" s="1019" t="s">
        <v>3701</v>
      </c>
      <c r="C17" s="993" t="s">
        <v>3038</v>
      </c>
      <c r="D17" s="990">
        <f>G17/'Exchange Rates'!$C$13</f>
        <v>70.330841786274576</v>
      </c>
      <c r="E17" s="991">
        <f t="shared" ref="E17" si="3">(G17/(O17/1000000000))*100</f>
        <v>2.6610564108030452</v>
      </c>
      <c r="F17" s="991">
        <f t="shared" si="0"/>
        <v>3.1566041513497249</v>
      </c>
      <c r="G17" s="992">
        <f>((((J17)/(VLOOKUP(L17,deflator!$B:$D,3)))*deflator!$C$107)/(M17/12)/1000000000)</f>
        <v>73.847383875588307</v>
      </c>
      <c r="H17" s="992">
        <f t="shared" si="1"/>
        <v>6.0051111111111108</v>
      </c>
      <c r="I17" s="992" t="s">
        <v>260</v>
      </c>
      <c r="J17" s="992">
        <f>SUM(J12:J16)</f>
        <v>27023000000</v>
      </c>
      <c r="K17" s="993" t="s">
        <v>346</v>
      </c>
      <c r="L17" s="993">
        <v>1945</v>
      </c>
      <c r="M17" s="993">
        <f>SUM(M12:M16)</f>
        <v>54</v>
      </c>
      <c r="N17" s="993">
        <v>1945</v>
      </c>
      <c r="O17" s="992">
        <f>AVERAGE(O12:O16)</f>
        <v>2775115310438.0405</v>
      </c>
      <c r="P17" s="994">
        <f>AVERAGE(P12:P16)</f>
        <v>2141603653712.6001</v>
      </c>
      <c r="Q17" s="992">
        <f>AVERAGE(Q12:Q16)</f>
        <v>190239600000</v>
      </c>
      <c r="R17" s="993">
        <v>2011</v>
      </c>
      <c r="S17" s="993" t="s">
        <v>5394</v>
      </c>
      <c r="T17" s="993" t="s">
        <v>5395</v>
      </c>
      <c r="U17" s="993" t="s">
        <v>5396</v>
      </c>
      <c r="V17" s="993"/>
      <c r="W17" s="993" t="s">
        <v>5397</v>
      </c>
    </row>
    <row r="18" spans="2:23" ht="15.9" customHeight="1" x14ac:dyDescent="0.3">
      <c r="B18" s="1019" t="s">
        <v>5402</v>
      </c>
      <c r="C18" s="993" t="s">
        <v>3038</v>
      </c>
      <c r="D18" s="990">
        <f>G18/'Exchange Rates'!$C$13</f>
        <v>1.1161138678506135</v>
      </c>
      <c r="E18" s="991">
        <f t="shared" si="2"/>
        <v>4.9825955097341425E-2</v>
      </c>
      <c r="F18" s="991">
        <f t="shared" si="0"/>
        <v>6.184483131822259E-2</v>
      </c>
      <c r="G18" s="992">
        <f>((((J18)/(VLOOKUP(L18,deflator!$B:$D,3)))*deflator!$C$107)/(M18/12)/1000000000)</f>
        <v>1.1719195612431443</v>
      </c>
      <c r="H18" s="992">
        <f t="shared" si="1"/>
        <v>0.08</v>
      </c>
      <c r="I18" s="992" t="s">
        <v>260</v>
      </c>
      <c r="J18" s="992">
        <v>20000000</v>
      </c>
      <c r="K18" s="993" t="s">
        <v>346</v>
      </c>
      <c r="L18" s="993">
        <v>1941</v>
      </c>
      <c r="M18" s="993">
        <v>3</v>
      </c>
      <c r="N18" s="993">
        <v>1941</v>
      </c>
      <c r="O18" s="992">
        <f>(((P18)/(VLOOKUP(R18,deflator!$B:$D,3)))*deflator!$D$107)</f>
        <v>2352026286206.9546</v>
      </c>
      <c r="P18" s="992">
        <v>1815098662467.4001</v>
      </c>
      <c r="Q18" s="992">
        <v>129356000000</v>
      </c>
      <c r="R18" s="993">
        <v>2011</v>
      </c>
      <c r="S18" s="993" t="s">
        <v>5394</v>
      </c>
      <c r="T18" s="993" t="s">
        <v>5395</v>
      </c>
      <c r="U18" s="993" t="s">
        <v>5396</v>
      </c>
      <c r="V18" s="993"/>
      <c r="W18" s="993" t="s">
        <v>5397</v>
      </c>
    </row>
    <row r="19" spans="2:23" ht="15.9" customHeight="1" x14ac:dyDescent="0.3">
      <c r="B19" s="1019" t="s">
        <v>5403</v>
      </c>
      <c r="C19" s="993" t="s">
        <v>3038</v>
      </c>
      <c r="D19" s="990">
        <f>G19/'Exchange Rates'!$C$13</f>
        <v>17.719955643411598</v>
      </c>
      <c r="E19" s="991">
        <f t="shared" si="2"/>
        <v>0.71322954191542487</v>
      </c>
      <c r="F19" s="991">
        <f t="shared" si="0"/>
        <v>0.8289306433248792</v>
      </c>
      <c r="G19" s="992">
        <f>((((J19)/(VLOOKUP(L19,deflator!$B:$D,3)))*deflator!$C$107)/(M19/12)/1000000000)</f>
        <v>18.605953425582179</v>
      </c>
      <c r="H19" s="992">
        <f t="shared" si="1"/>
        <v>1.3759999999999999</v>
      </c>
      <c r="I19" s="992" t="s">
        <v>260</v>
      </c>
      <c r="J19" s="992">
        <v>1376000000</v>
      </c>
      <c r="K19" s="993" t="s">
        <v>346</v>
      </c>
      <c r="L19" s="993">
        <v>1942</v>
      </c>
      <c r="M19" s="993">
        <v>12</v>
      </c>
      <c r="N19" s="993">
        <v>1942</v>
      </c>
      <c r="O19" s="992">
        <f>(((P19)/(VLOOKUP(R19,deflator!$B:$D,3)))*deflator!$D$107)</f>
        <v>2608690797581.7524</v>
      </c>
      <c r="P19" s="992">
        <v>2013171028423.2</v>
      </c>
      <c r="Q19" s="992">
        <v>165997000000</v>
      </c>
      <c r="R19" s="993">
        <v>2011</v>
      </c>
      <c r="S19" s="993" t="s">
        <v>5394</v>
      </c>
      <c r="T19" s="993" t="s">
        <v>5395</v>
      </c>
      <c r="U19" s="993" t="s">
        <v>5396</v>
      </c>
      <c r="V19" s="993"/>
      <c r="W19" s="993" t="s">
        <v>5397</v>
      </c>
    </row>
    <row r="20" spans="2:23" ht="15.9" customHeight="1" x14ac:dyDescent="0.3">
      <c r="B20" s="1019" t="s">
        <v>5404</v>
      </c>
      <c r="C20" s="993" t="s">
        <v>3038</v>
      </c>
      <c r="D20" s="990">
        <f>G20/'Exchange Rates'!$C$13</f>
        <v>29.939059480352153</v>
      </c>
      <c r="E20" s="991">
        <f t="shared" si="2"/>
        <v>1.1010895407454553</v>
      </c>
      <c r="F20" s="991">
        <f t="shared" si="0"/>
        <v>1.1992792508935515</v>
      </c>
      <c r="G20" s="992">
        <f>((((J20)/(VLOOKUP(L20,deflator!$B:$D,3)))*deflator!$C$107)/(M20/12)/1000000000)</f>
        <v>31.436012454369763</v>
      </c>
      <c r="H20" s="992">
        <f t="shared" si="1"/>
        <v>2.4359999999999999</v>
      </c>
      <c r="I20" s="992" t="s">
        <v>260</v>
      </c>
      <c r="J20" s="992">
        <v>2436000000</v>
      </c>
      <c r="K20" s="993" t="s">
        <v>346</v>
      </c>
      <c r="L20" s="993">
        <v>1943</v>
      </c>
      <c r="M20" s="993">
        <v>12</v>
      </c>
      <c r="N20" s="993">
        <v>1943</v>
      </c>
      <c r="O20" s="992">
        <f>(((P20)/(VLOOKUP(R20,deflator!$B:$D,3)))*deflator!$D$107)</f>
        <v>2854991469003.2456</v>
      </c>
      <c r="P20" s="992">
        <v>2203245442932.7998</v>
      </c>
      <c r="Q20" s="992">
        <v>203122000000</v>
      </c>
      <c r="R20" s="993">
        <v>2011</v>
      </c>
      <c r="S20" s="993" t="s">
        <v>5394</v>
      </c>
      <c r="T20" s="993" t="s">
        <v>5395</v>
      </c>
      <c r="U20" s="993" t="s">
        <v>5396</v>
      </c>
      <c r="V20" s="993"/>
      <c r="W20" s="993" t="s">
        <v>5397</v>
      </c>
    </row>
    <row r="21" spans="2:23" ht="15.9" customHeight="1" x14ac:dyDescent="0.3">
      <c r="B21" s="1019" t="s">
        <v>5405</v>
      </c>
      <c r="C21" s="993" t="s">
        <v>3038</v>
      </c>
      <c r="D21" s="990">
        <f>G21/'Exchange Rates'!$C$13</f>
        <v>48.90484479865772</v>
      </c>
      <c r="E21" s="991">
        <f t="shared" si="2"/>
        <v>1.6778363512748313</v>
      </c>
      <c r="F21" s="991">
        <f t="shared" si="0"/>
        <v>1.8142952571810287</v>
      </c>
      <c r="G21" s="992">
        <f>((((J21)/(VLOOKUP(L21,deflator!$B:$D,3)))*deflator!$C$107)/(M21/12)/1000000000)</f>
        <v>51.350087038590608</v>
      </c>
      <c r="H21" s="992">
        <f t="shared" si="1"/>
        <v>4.0739999999999998</v>
      </c>
      <c r="I21" s="992" t="s">
        <v>260</v>
      </c>
      <c r="J21" s="992">
        <v>4074000000</v>
      </c>
      <c r="K21" s="993" t="s">
        <v>346</v>
      </c>
      <c r="L21" s="993">
        <v>1944</v>
      </c>
      <c r="M21" s="993">
        <v>12</v>
      </c>
      <c r="N21" s="993">
        <v>1944</v>
      </c>
      <c r="O21" s="992">
        <f>(((P21)/(VLOOKUP(R21,deflator!$B:$D,3)))*deflator!$D$107)</f>
        <v>3060494368212.6367</v>
      </c>
      <c r="P21" s="992">
        <v>2361835523186.3999</v>
      </c>
      <c r="Q21" s="992">
        <v>224550000000</v>
      </c>
      <c r="R21" s="993">
        <v>2011</v>
      </c>
      <c r="S21" s="993" t="s">
        <v>5394</v>
      </c>
      <c r="T21" s="993" t="s">
        <v>5395</v>
      </c>
      <c r="U21" s="993" t="s">
        <v>5396</v>
      </c>
      <c r="V21" s="993"/>
      <c r="W21" s="993" t="s">
        <v>5397</v>
      </c>
    </row>
    <row r="22" spans="2:23" ht="15.9" customHeight="1" x14ac:dyDescent="0.3">
      <c r="B22" s="1019" t="s">
        <v>5406</v>
      </c>
      <c r="C22" s="993" t="s">
        <v>3038</v>
      </c>
      <c r="D22" s="990">
        <f>G22/'Exchange Rates'!$C$13</f>
        <v>43.161998304539743</v>
      </c>
      <c r="E22" s="991">
        <f t="shared" si="2"/>
        <v>1.5109854187073151</v>
      </c>
      <c r="F22" s="991">
        <f t="shared" si="0"/>
        <v>1.6151487394798392</v>
      </c>
      <c r="G22" s="992">
        <f>((((J22)/(VLOOKUP(L22,deflator!$B:$D,3)))*deflator!$C$107)/(M22/12)/1000000000)</f>
        <v>45.320098219766734</v>
      </c>
      <c r="H22" s="992">
        <f t="shared" si="1"/>
        <v>3.6853333333333333</v>
      </c>
      <c r="I22" s="992" t="s">
        <v>260</v>
      </c>
      <c r="J22" s="992">
        <v>2764000000</v>
      </c>
      <c r="K22" s="993" t="s">
        <v>346</v>
      </c>
      <c r="L22" s="993">
        <v>1945</v>
      </c>
      <c r="M22" s="993">
        <v>9</v>
      </c>
      <c r="N22" s="993">
        <v>1945</v>
      </c>
      <c r="O22" s="992">
        <f>(((P22)/(VLOOKUP(R22,deflator!$B:$D,3)))*deflator!$D$107)</f>
        <v>2999373631185.6128</v>
      </c>
      <c r="P22" s="992">
        <v>2314667611553.2002</v>
      </c>
      <c r="Q22" s="992">
        <v>228173000000</v>
      </c>
      <c r="R22" s="993">
        <v>2011</v>
      </c>
      <c r="S22" s="993" t="s">
        <v>5394</v>
      </c>
      <c r="T22" s="993" t="s">
        <v>5395</v>
      </c>
      <c r="U22" s="993" t="s">
        <v>5396</v>
      </c>
      <c r="V22" s="993"/>
      <c r="W22" s="993" t="s">
        <v>5397</v>
      </c>
    </row>
    <row r="23" spans="2:23" ht="15.9" customHeight="1" x14ac:dyDescent="0.3">
      <c r="B23" s="1019" t="s">
        <v>3703</v>
      </c>
      <c r="C23" s="993" t="s">
        <v>3038</v>
      </c>
      <c r="D23" s="990">
        <f>G23/'Exchange Rates'!$C$13</f>
        <v>31.241307112163462</v>
      </c>
      <c r="E23" s="991">
        <f t="shared" si="2"/>
        <v>1.1820543940782684</v>
      </c>
      <c r="F23" s="991">
        <f t="shared" si="0"/>
        <v>1.4021791467181386</v>
      </c>
      <c r="G23" s="992">
        <f>((((J23)/(VLOOKUP(L23,deflator!$B:$D,3)))*deflator!$C$107)/(M23/12)/1000000000)</f>
        <v>32.803372467771638</v>
      </c>
      <c r="H23" s="992">
        <f t="shared" si="1"/>
        <v>2.6675</v>
      </c>
      <c r="I23" s="992" t="s">
        <v>260</v>
      </c>
      <c r="J23" s="992">
        <v>10670000000</v>
      </c>
      <c r="K23" s="993" t="s">
        <v>346</v>
      </c>
      <c r="L23" s="993">
        <v>1945</v>
      </c>
      <c r="M23" s="993">
        <f>SUM(M18:M22)</f>
        <v>48</v>
      </c>
      <c r="N23" s="993">
        <v>1945</v>
      </c>
      <c r="O23" s="992">
        <f>AVERAGE(O18:O22)</f>
        <v>2775115310438.0405</v>
      </c>
      <c r="P23" s="994">
        <f>AVERAGE(P18:P22)</f>
        <v>2141603653712.6001</v>
      </c>
      <c r="Q23" s="992">
        <f>AVERAGE(Q18:Q22)</f>
        <v>190239600000</v>
      </c>
      <c r="R23" s="993">
        <v>2011</v>
      </c>
      <c r="S23" s="993" t="s">
        <v>5394</v>
      </c>
      <c r="T23" s="993" t="s">
        <v>5395</v>
      </c>
      <c r="U23" s="993" t="s">
        <v>5396</v>
      </c>
      <c r="V23" s="993"/>
      <c r="W23" s="993" t="s">
        <v>5397</v>
      </c>
    </row>
    <row r="24" spans="2:23" ht="15.9" customHeight="1" x14ac:dyDescent="0.3">
      <c r="B24" s="1019" t="s">
        <v>5407</v>
      </c>
      <c r="C24" s="993" t="s">
        <v>3038</v>
      </c>
      <c r="D24" s="990">
        <f>G24/'Exchange Rates'!$C$13</f>
        <v>5.8350736567098664</v>
      </c>
      <c r="E24" s="991">
        <f t="shared" si="2"/>
        <v>0.20019077320254952</v>
      </c>
      <c r="F24" s="991">
        <f t="shared" si="0"/>
        <v>0.21647234551618982</v>
      </c>
      <c r="G24" s="992">
        <f>((((J24)/(VLOOKUP(L24,deflator!$B:$D,3)))*deflator!$C$107)/(M24/12)/1000000000)</f>
        <v>6.1268273395453603</v>
      </c>
      <c r="H24" s="992">
        <f t="shared" si="1"/>
        <v>0.48608865185660427</v>
      </c>
      <c r="I24" s="992" t="s">
        <v>260</v>
      </c>
      <c r="J24" s="992">
        <v>486088651.85660428</v>
      </c>
      <c r="K24" s="993" t="s">
        <v>346</v>
      </c>
      <c r="L24" s="993">
        <v>1944</v>
      </c>
      <c r="M24" s="993">
        <v>12</v>
      </c>
      <c r="N24" s="993">
        <v>1944</v>
      </c>
      <c r="O24" s="992">
        <f>(((P24)/(VLOOKUP(R24,deflator!$B:$D,3)))*deflator!$D$107)</f>
        <v>3060494368212.6367</v>
      </c>
      <c r="P24" s="992">
        <v>2361835523186.3999</v>
      </c>
      <c r="Q24" s="992">
        <f>1000000*224550</f>
        <v>224550000000</v>
      </c>
      <c r="R24" s="993">
        <v>2011</v>
      </c>
      <c r="S24" s="993" t="s">
        <v>5394</v>
      </c>
      <c r="T24" s="993" t="s">
        <v>5395</v>
      </c>
      <c r="U24" s="993" t="s">
        <v>5396</v>
      </c>
      <c r="V24" s="993"/>
      <c r="W24" s="993" t="s">
        <v>5397</v>
      </c>
    </row>
    <row r="25" spans="2:23" ht="15.9" customHeight="1" x14ac:dyDescent="0.3">
      <c r="B25" s="1019" t="s">
        <v>5408</v>
      </c>
      <c r="C25" s="993" t="s">
        <v>3038</v>
      </c>
      <c r="D25" s="990">
        <f>G25/'Exchange Rates'!$C$13</f>
        <v>14.374496833529243</v>
      </c>
      <c r="E25" s="991">
        <f t="shared" si="2"/>
        <v>0.5032124547030693</v>
      </c>
      <c r="F25" s="991">
        <f t="shared" si="0"/>
        <v>0.5379025845262998</v>
      </c>
      <c r="G25" s="992">
        <f>((((J25)/(VLOOKUP(L25,deflator!$B:$D,3)))*deflator!$C$107)/(M25/12)/1000000000)</f>
        <v>15.093221675205706</v>
      </c>
      <c r="H25" s="992">
        <f t="shared" si="1"/>
        <v>1.227348464191194</v>
      </c>
      <c r="I25" s="992" t="s">
        <v>260</v>
      </c>
      <c r="J25" s="992">
        <v>920511348.14339554</v>
      </c>
      <c r="K25" s="993" t="s">
        <v>346</v>
      </c>
      <c r="L25" s="993">
        <v>1945</v>
      </c>
      <c r="M25" s="993">
        <v>9</v>
      </c>
      <c r="N25" s="993">
        <v>1945</v>
      </c>
      <c r="O25" s="992">
        <f>(((P25)/(VLOOKUP(R25,deflator!$B:$D,3)))*deflator!$D$107)</f>
        <v>2999373631185.6128</v>
      </c>
      <c r="P25" s="992">
        <v>2314667611553.2002</v>
      </c>
      <c r="Q25" s="992">
        <f>1000000*228173</f>
        <v>228173000000</v>
      </c>
      <c r="R25" s="993">
        <v>2011</v>
      </c>
      <c r="S25" s="993" t="s">
        <v>5394</v>
      </c>
      <c r="T25" s="993" t="s">
        <v>5395</v>
      </c>
      <c r="U25" s="993" t="s">
        <v>5396</v>
      </c>
      <c r="V25" s="993"/>
      <c r="W25" s="993" t="s">
        <v>5397</v>
      </c>
    </row>
    <row r="26" spans="2:23" ht="15.9" customHeight="1" x14ac:dyDescent="0.3">
      <c r="B26" s="1019" t="s">
        <v>3709</v>
      </c>
      <c r="C26" s="993" t="s">
        <v>3038</v>
      </c>
      <c r="D26" s="990">
        <f>G26/'Exchange Rates'!$C$13</f>
        <v>9.413634507209883</v>
      </c>
      <c r="E26" s="991">
        <f t="shared" si="2"/>
        <v>0.32954601353427376</v>
      </c>
      <c r="F26" s="991">
        <f t="shared" si="0"/>
        <v>0.35508309874754701</v>
      </c>
      <c r="G26" s="992">
        <f>((((J26)/(VLOOKUP(L26,deflator!$B:$D,3)))*deflator!$C$107)/(M26/12)/1000000000)</f>
        <v>9.8843162325703773</v>
      </c>
      <c r="H26" s="992">
        <f t="shared" si="1"/>
        <v>0.80377142857142858</v>
      </c>
      <c r="I26" s="992" t="s">
        <v>260</v>
      </c>
      <c r="J26" s="992">
        <v>1406600000</v>
      </c>
      <c r="K26" s="993" t="s">
        <v>346</v>
      </c>
      <c r="L26" s="993">
        <v>1945</v>
      </c>
      <c r="M26" s="993">
        <f>SUM(M24:M25)</f>
        <v>21</v>
      </c>
      <c r="N26" s="993" t="s">
        <v>5409</v>
      </c>
      <c r="O26" s="992">
        <f>AVERAGE(O25:O25)</f>
        <v>2999373631185.6128</v>
      </c>
      <c r="P26" s="994">
        <f>AVERAGE(P25:P25)</f>
        <v>2314667611553.2002</v>
      </c>
      <c r="Q26" s="992">
        <f>AVERAGE(Q24:Q25)</f>
        <v>226361500000</v>
      </c>
      <c r="R26" s="993">
        <v>2011</v>
      </c>
      <c r="S26" s="993" t="s">
        <v>5394</v>
      </c>
      <c r="T26" s="993" t="s">
        <v>5395</v>
      </c>
      <c r="U26" s="993" t="s">
        <v>5396</v>
      </c>
      <c r="V26" s="993"/>
      <c r="W26" s="993" t="s">
        <v>5397</v>
      </c>
    </row>
    <row r="27" spans="2:23" s="996" customFormat="1" ht="15.9" customHeight="1" x14ac:dyDescent="0.3">
      <c r="B27" s="1019" t="s">
        <v>3707</v>
      </c>
      <c r="C27" s="993" t="s">
        <v>3637</v>
      </c>
      <c r="D27" s="990">
        <f>G27/'Exchange Rates'!$C$13</f>
        <v>3.6342980356046652</v>
      </c>
      <c r="E27" s="991">
        <f t="shared" si="2"/>
        <v>0.5080396677433221</v>
      </c>
      <c r="F27" s="991">
        <f t="shared" si="0"/>
        <v>0.82428412049088873</v>
      </c>
      <c r="G27" s="992">
        <f>((((J27)/(VLOOKUP(L27,deflator!$B:$D,3)))*deflator!$C$107)/(M27/12)/1000000000)</f>
        <v>3.8160129373848988</v>
      </c>
      <c r="H27" s="992">
        <f t="shared" si="1"/>
        <v>0.31030999999999997</v>
      </c>
      <c r="I27" s="992" t="s">
        <v>260</v>
      </c>
      <c r="J27" s="991">
        <f>308000000*4.03</f>
        <v>1241240000</v>
      </c>
      <c r="K27" s="991" t="s">
        <v>346</v>
      </c>
      <c r="L27" s="993">
        <v>1945</v>
      </c>
      <c r="M27" s="995">
        <v>48</v>
      </c>
      <c r="N27" s="993" t="s">
        <v>5410</v>
      </c>
      <c r="O27" s="992">
        <f>(((P27)/(VLOOKUP(R27,deflator!$B:$D,3)))*deflator!$D$107)</f>
        <v>751124996663.22729</v>
      </c>
      <c r="P27" s="992">
        <v>579655926800</v>
      </c>
      <c r="Q27" s="992">
        <v>37646000000</v>
      </c>
      <c r="R27" s="993">
        <v>2011</v>
      </c>
      <c r="S27" s="991" t="s">
        <v>5411</v>
      </c>
      <c r="T27" s="991" t="s">
        <v>5412</v>
      </c>
      <c r="U27" s="993" t="s">
        <v>5396</v>
      </c>
      <c r="V27" s="993"/>
      <c r="W27" s="993" t="s">
        <v>5397</v>
      </c>
    </row>
    <row r="28" spans="2:23" ht="15.9" customHeight="1" x14ac:dyDescent="0.3">
      <c r="B28" s="1019" t="s">
        <v>3719</v>
      </c>
      <c r="C28" s="993" t="s">
        <v>3038</v>
      </c>
      <c r="D28" s="990">
        <f>G28/'Exchange Rates'!$C$13</f>
        <v>86.545720320806296</v>
      </c>
      <c r="E28" s="991">
        <f t="shared" si="2"/>
        <v>1.4036087319579968</v>
      </c>
      <c r="F28" s="991">
        <f t="shared" si="0"/>
        <v>0.95649177707132027</v>
      </c>
      <c r="G28" s="992">
        <f>((((I28)/(VLOOKUP(L28,deflator!$B:$D,3)))*deflator!$C$107)/(M28/12)/1000000000)</f>
        <v>90.873006336846615</v>
      </c>
      <c r="H28" s="992">
        <f t="shared" ref="H28:H31" si="4">J28/(M28/12)/1000000000</f>
        <v>10.935222672064777</v>
      </c>
      <c r="I28" s="992">
        <v>738000000000</v>
      </c>
      <c r="J28" s="988">
        <v>111000000000</v>
      </c>
      <c r="K28" s="993" t="s">
        <v>346</v>
      </c>
      <c r="L28" s="993">
        <v>2010</v>
      </c>
      <c r="M28" s="995">
        <v>121.80821917808218</v>
      </c>
      <c r="N28" s="993" t="s">
        <v>5413</v>
      </c>
      <c r="O28" s="992">
        <f>(((P28)/(VLOOKUP(R28,deflator!$B:$D,3)))*deflator!$D$107)</f>
        <v>6474240596243.7393</v>
      </c>
      <c r="P28" s="992">
        <v>4996281510818.1797</v>
      </c>
      <c r="Q28" s="992">
        <v>1143263636363.6399</v>
      </c>
      <c r="R28" s="993">
        <v>2011</v>
      </c>
      <c r="S28" s="993" t="s">
        <v>5414</v>
      </c>
      <c r="T28" s="993" t="s">
        <v>260</v>
      </c>
      <c r="U28" s="993" t="s">
        <v>5396</v>
      </c>
      <c r="V28" s="993"/>
      <c r="W28" s="993" t="s">
        <v>5415</v>
      </c>
    </row>
    <row r="29" spans="2:23" ht="15.9" customHeight="1" x14ac:dyDescent="0.3">
      <c r="B29" s="1019" t="s">
        <v>3723</v>
      </c>
      <c r="C29" s="993" t="s">
        <v>3038</v>
      </c>
      <c r="D29" s="990">
        <f>G29/'Exchange Rates'!$C$13</f>
        <v>41.36136986008502</v>
      </c>
      <c r="E29" s="991">
        <f t="shared" si="2"/>
        <v>0.23110707467450192</v>
      </c>
      <c r="F29" s="991">
        <f t="shared" si="0"/>
        <v>0.24557769851390659</v>
      </c>
      <c r="G29" s="992">
        <f>((((I29)/(VLOOKUP(L29,deflator!$B:$D,3)))*deflator!$C$107)/(M29/12)/1000000000)</f>
        <v>43.429438353089274</v>
      </c>
      <c r="H29" s="992">
        <f t="shared" si="4"/>
        <v>32.148576512455513</v>
      </c>
      <c r="I29" s="992">
        <v>321000000000</v>
      </c>
      <c r="J29" s="988">
        <v>297000000000</v>
      </c>
      <c r="K29" s="993" t="s">
        <v>346</v>
      </c>
      <c r="L29" s="993">
        <v>2010</v>
      </c>
      <c r="M29" s="995">
        <v>110.86027397260276</v>
      </c>
      <c r="N29" s="993" t="s">
        <v>5416</v>
      </c>
      <c r="O29" s="992">
        <f>(((P29)/(VLOOKUP(R29,deflator!$B:$D,3)))*deflator!$D$107)</f>
        <v>18791912110114.578</v>
      </c>
      <c r="P29" s="992">
        <v>14502037981591.1</v>
      </c>
      <c r="Q29" s="992">
        <v>13091000000000</v>
      </c>
      <c r="R29" s="993">
        <v>2011</v>
      </c>
      <c r="S29" s="993" t="s">
        <v>5414</v>
      </c>
      <c r="T29" s="993" t="s">
        <v>260</v>
      </c>
      <c r="U29" s="993" t="s">
        <v>5396</v>
      </c>
      <c r="V29" s="993"/>
      <c r="W29" s="993" t="s">
        <v>5417</v>
      </c>
    </row>
    <row r="30" spans="2:23" ht="15.9" customHeight="1" x14ac:dyDescent="0.3">
      <c r="B30" s="1019" t="s">
        <v>3717</v>
      </c>
      <c r="C30" s="993" t="s">
        <v>3038</v>
      </c>
      <c r="D30" s="990">
        <f>G30/'Exchange Rates'!$C$13</f>
        <v>131.64927868559164</v>
      </c>
      <c r="E30" s="991">
        <f t="shared" si="2"/>
        <v>4.2169958914760075</v>
      </c>
      <c r="F30" s="991">
        <f t="shared" si="0"/>
        <v>2.7702269854736219</v>
      </c>
      <c r="G30" s="992">
        <f>((((I30)/(VLOOKUP(L30,deflator!$B:$D,3)))*deflator!$C$107)/(M30/12)/1000000000)</f>
        <v>138.23174261987123</v>
      </c>
      <c r="H30" s="992">
        <f t="shared" si="4"/>
        <v>9.729729729729728</v>
      </c>
      <c r="I30" s="992">
        <v>341000000000</v>
      </c>
      <c r="J30" s="988">
        <v>30000000000</v>
      </c>
      <c r="K30" s="993" t="s">
        <v>346</v>
      </c>
      <c r="L30" s="993">
        <v>2010</v>
      </c>
      <c r="M30" s="995">
        <v>37</v>
      </c>
      <c r="N30" s="993" t="s">
        <v>5418</v>
      </c>
      <c r="O30" s="992">
        <f>(((P30)/(VLOOKUP(R30,deflator!$B:$D,3)))*deflator!$D$107)</f>
        <v>3277967211191.3818</v>
      </c>
      <c r="P30" s="992">
        <v>2529663012500</v>
      </c>
      <c r="Q30" s="992">
        <v>351225000000</v>
      </c>
      <c r="R30" s="993">
        <v>2011</v>
      </c>
      <c r="S30" s="993" t="s">
        <v>5414</v>
      </c>
      <c r="T30" s="993" t="s">
        <v>260</v>
      </c>
      <c r="U30" s="993" t="s">
        <v>5396</v>
      </c>
      <c r="V30" s="993"/>
      <c r="W30" s="993" t="s">
        <v>5419</v>
      </c>
    </row>
    <row r="31" spans="2:23" ht="15.9" customHeight="1" x14ac:dyDescent="0.3">
      <c r="B31" s="1019" t="s">
        <v>3721</v>
      </c>
      <c r="C31" s="993" t="s">
        <v>3038</v>
      </c>
      <c r="D31" s="990">
        <f>G31/'Exchange Rates'!$C$13</f>
        <v>119.13902402544588</v>
      </c>
      <c r="E31" s="991">
        <f t="shared" si="2"/>
        <v>0.65126854446317051</v>
      </c>
      <c r="F31" s="991">
        <f t="shared" si="0"/>
        <v>0.66802009510332705</v>
      </c>
      <c r="G31" s="992">
        <f>((((I31)/(VLOOKUP(L31,deflator!$B:$D,3)))*deflator!$C$107)/(M31/12)/1000000000)</f>
        <v>125.09597522671818</v>
      </c>
      <c r="H31" s="992">
        <f t="shared" si="4"/>
        <v>91.276595744680847</v>
      </c>
      <c r="I31" s="992">
        <v>784000000000</v>
      </c>
      <c r="J31" s="988">
        <v>715000000000</v>
      </c>
      <c r="K31" s="993" t="s">
        <v>346</v>
      </c>
      <c r="L31" s="993">
        <v>2010</v>
      </c>
      <c r="M31" s="995">
        <v>94</v>
      </c>
      <c r="N31" s="993" t="s">
        <v>5420</v>
      </c>
      <c r="O31" s="992">
        <f>(((P31)/(VLOOKUP(R31,deflator!$B:$D,3)))*deflator!$D$107)</f>
        <v>19208048091718.086</v>
      </c>
      <c r="P31" s="992">
        <v>14823177191659.699</v>
      </c>
      <c r="Q31" s="992">
        <v>13663750000000</v>
      </c>
      <c r="R31" s="993">
        <v>2011</v>
      </c>
      <c r="S31" s="993" t="s">
        <v>5414</v>
      </c>
      <c r="T31" s="993" t="s">
        <v>260</v>
      </c>
      <c r="U31" s="993" t="s">
        <v>5396</v>
      </c>
      <c r="V31" s="993"/>
      <c r="W31" s="993" t="s">
        <v>5419</v>
      </c>
    </row>
    <row r="32" spans="2:23" ht="15.9" customHeight="1" x14ac:dyDescent="0.3">
      <c r="B32" s="1019" t="s">
        <v>5421</v>
      </c>
      <c r="C32" s="993" t="s">
        <v>3637</v>
      </c>
      <c r="D32" s="990">
        <f>(J32/1000000000)</f>
        <v>4.8864927960823152</v>
      </c>
      <c r="E32" s="982" t="s">
        <v>260</v>
      </c>
      <c r="F32" s="991">
        <f>(D32/(O32/1000000000))*100</f>
        <v>0.17705941037286232</v>
      </c>
      <c r="G32" s="993" t="s">
        <v>260</v>
      </c>
      <c r="H32" s="992">
        <f>J32/(M32/12)/1000000000</f>
        <v>5.330719413907981</v>
      </c>
      <c r="I32" s="992" t="s">
        <v>260</v>
      </c>
      <c r="J32" s="992">
        <f>SUMIFS('Bilateral Assistance, MAIN DATA'!S:S,'Bilateral Assistance, MAIN DATA'!B:B,"United Kingdom",'Bilateral Assistance, MAIN DATA'!D:D, "Military")</f>
        <v>4886492796.0823154</v>
      </c>
      <c r="K32" s="993" t="s">
        <v>364</v>
      </c>
      <c r="L32" s="993" t="s">
        <v>260</v>
      </c>
      <c r="M32" s="993">
        <v>11</v>
      </c>
      <c r="N32" s="993" t="s">
        <v>260</v>
      </c>
      <c r="O32" s="992">
        <f>'Country Summary'!H49*1000000000</f>
        <v>2759804060000</v>
      </c>
      <c r="P32" s="992" t="s">
        <v>260</v>
      </c>
      <c r="Q32" s="992" t="s">
        <v>260</v>
      </c>
      <c r="R32" s="993" t="s">
        <v>260</v>
      </c>
      <c r="S32" s="993" t="s">
        <v>5422</v>
      </c>
      <c r="T32" s="993" t="s">
        <v>260</v>
      </c>
      <c r="U32" s="993" t="s">
        <v>260</v>
      </c>
      <c r="V32" s="993"/>
      <c r="W32" s="993" t="s">
        <v>260</v>
      </c>
    </row>
    <row r="33" spans="2:23" ht="15.9" customHeight="1" x14ac:dyDescent="0.3">
      <c r="B33" s="1151" t="s">
        <v>5423</v>
      </c>
      <c r="C33" s="1155" t="s">
        <v>3038</v>
      </c>
      <c r="D33" s="1153">
        <f>(J33/1000000000)</f>
        <v>44.338095238095235</v>
      </c>
      <c r="E33" s="1152" t="s">
        <v>260</v>
      </c>
      <c r="F33" s="1154">
        <f>(D33/(O33/1000000000))*100</f>
        <v>0.21160708135336626</v>
      </c>
      <c r="G33" s="1155" t="s">
        <v>260</v>
      </c>
      <c r="H33" s="1150">
        <f>J33/(M33/12)/1000000000</f>
        <v>48.368831168831171</v>
      </c>
      <c r="I33" s="1150" t="s">
        <v>260</v>
      </c>
      <c r="J33" s="1156">
        <f>SUMIFS('Bilateral Assistance, MAIN DATA'!S:S,'Bilateral Assistance, MAIN DATA'!B:B,"United States",'Bilateral Assistance, MAIN DATA'!D:D, "Military")</f>
        <v>44338095238.095238</v>
      </c>
      <c r="K33" s="1155" t="s">
        <v>364</v>
      </c>
      <c r="L33" s="1155" t="s">
        <v>260</v>
      </c>
      <c r="M33" s="1155">
        <v>11</v>
      </c>
      <c r="N33" s="1155" t="s">
        <v>260</v>
      </c>
      <c r="O33" s="1150">
        <f>'Country Summary'!H50*1000000000</f>
        <v>20953030000000</v>
      </c>
      <c r="P33" s="1155" t="s">
        <v>260</v>
      </c>
      <c r="Q33" s="1155" t="s">
        <v>260</v>
      </c>
      <c r="R33" s="1155" t="s">
        <v>260</v>
      </c>
      <c r="S33" s="1155" t="s">
        <v>5422</v>
      </c>
      <c r="T33" s="1155" t="s">
        <v>260</v>
      </c>
      <c r="U33" s="1155" t="s">
        <v>260</v>
      </c>
      <c r="V33" s="1155"/>
      <c r="W33" s="1155" t="s">
        <v>260</v>
      </c>
    </row>
    <row r="34" spans="2:23" ht="15.9" customHeight="1" x14ac:dyDescent="0.3">
      <c r="D34" s="993"/>
      <c r="E34" s="993"/>
      <c r="F34" s="993"/>
      <c r="G34" s="993"/>
      <c r="H34" s="993"/>
      <c r="I34" s="993"/>
      <c r="J34" s="992"/>
      <c r="K34" s="993"/>
      <c r="L34" s="993"/>
      <c r="M34" s="993"/>
      <c r="N34" s="993"/>
      <c r="O34" s="992"/>
      <c r="P34" s="993"/>
      <c r="Q34" s="993"/>
      <c r="R34" s="993"/>
      <c r="S34" s="993"/>
      <c r="T34" s="993"/>
      <c r="U34" s="993"/>
      <c r="V34" s="993"/>
      <c r="W34" s="993"/>
    </row>
    <row r="39" spans="2:23" ht="15.9" customHeight="1" x14ac:dyDescent="0.3">
      <c r="C39" s="997"/>
      <c r="D39" s="998"/>
      <c r="E39" s="999"/>
      <c r="F39" s="999"/>
      <c r="K39" s="998"/>
      <c r="M39" s="998"/>
    </row>
    <row r="40" spans="2:23" ht="15.9" customHeight="1" x14ac:dyDescent="0.3">
      <c r="D40" s="1000"/>
      <c r="E40" s="1001"/>
      <c r="F40" s="1001"/>
      <c r="K40" s="1000"/>
      <c r="M40" s="1000"/>
    </row>
    <row r="41" spans="2:23" ht="15.9" customHeight="1" x14ac:dyDescent="0.3">
      <c r="D41" s="1000"/>
      <c r="E41" s="1002"/>
      <c r="F41" s="1002"/>
      <c r="K41" s="1000"/>
      <c r="M41" s="1000"/>
    </row>
    <row r="42" spans="2:23" ht="15.9" customHeight="1" x14ac:dyDescent="0.3">
      <c r="D42" s="1000"/>
      <c r="E42" s="999"/>
      <c r="F42" s="999"/>
      <c r="K42" s="1000"/>
      <c r="M42" s="1000"/>
    </row>
    <row r="43" spans="2:23" ht="15.9" customHeight="1" x14ac:dyDescent="0.3">
      <c r="D43" s="1003"/>
      <c r="E43" s="999"/>
      <c r="F43" s="999"/>
      <c r="K43" s="1003"/>
      <c r="M43" s="1003"/>
    </row>
    <row r="44" spans="2:23" ht="15.9" customHeight="1" x14ac:dyDescent="0.3">
      <c r="D44" s="1000"/>
      <c r="E44" s="999"/>
      <c r="F44" s="999"/>
      <c r="K44" s="1000"/>
      <c r="M44" s="1000"/>
    </row>
    <row r="45" spans="2:23" ht="15.9" customHeight="1" x14ac:dyDescent="0.3">
      <c r="D45" s="1000"/>
      <c r="E45" s="999"/>
      <c r="F45" s="999"/>
      <c r="K45" s="1000"/>
      <c r="M45" s="1000"/>
    </row>
    <row r="46" spans="2:23" ht="15.9" customHeight="1" x14ac:dyDescent="0.3">
      <c r="D46" s="1000"/>
      <c r="E46" s="1001"/>
      <c r="F46" s="1001"/>
      <c r="K46" s="1000"/>
      <c r="M46" s="1000"/>
    </row>
    <row r="53" spans="4:13" ht="15.9" customHeight="1" x14ac:dyDescent="0.3">
      <c r="E53" s="1004"/>
      <c r="F53" s="1004"/>
    </row>
    <row r="55" spans="4:13" ht="15.9" customHeight="1" x14ac:dyDescent="0.3">
      <c r="D55" s="999"/>
      <c r="E55" s="1005"/>
      <c r="F55" s="1005"/>
      <c r="G55" s="999"/>
      <c r="H55" s="999"/>
      <c r="I55" s="999"/>
      <c r="K55" s="999"/>
      <c r="M55" s="999"/>
    </row>
    <row r="56" spans="4:13" ht="15.9" customHeight="1" x14ac:dyDescent="0.3">
      <c r="D56" s="999"/>
      <c r="E56" s="1005"/>
      <c r="F56" s="1005"/>
      <c r="G56" s="999"/>
      <c r="H56" s="999"/>
      <c r="I56" s="999"/>
      <c r="K56" s="999"/>
      <c r="M56" s="999"/>
    </row>
    <row r="57" spans="4:13" ht="15.9" customHeight="1" x14ac:dyDescent="0.3">
      <c r="D57" s="999"/>
      <c r="E57" s="1005"/>
      <c r="F57" s="1005"/>
      <c r="G57" s="999"/>
      <c r="H57" s="999"/>
      <c r="I57" s="999"/>
      <c r="K57" s="999"/>
      <c r="M57" s="999"/>
    </row>
    <row r="58" spans="4:13" ht="15.9" customHeight="1" x14ac:dyDescent="0.3">
      <c r="D58" s="999"/>
      <c r="E58" s="1002"/>
      <c r="F58" s="1002"/>
      <c r="K58" s="999"/>
      <c r="M58" s="999"/>
    </row>
    <row r="59" spans="4:13" ht="15.9" customHeight="1" x14ac:dyDescent="0.3">
      <c r="D59" s="999"/>
      <c r="E59" s="1002"/>
      <c r="F59" s="1002"/>
      <c r="K59" s="999"/>
      <c r="M59" s="999"/>
    </row>
    <row r="60" spans="4:13" ht="15.9" customHeight="1" x14ac:dyDescent="0.3">
      <c r="D60" s="999"/>
      <c r="E60" s="1001"/>
      <c r="F60" s="1001"/>
      <c r="K60" s="999"/>
      <c r="M60" s="999"/>
    </row>
    <row r="61" spans="4:13" ht="15.9" customHeight="1" x14ac:dyDescent="0.3">
      <c r="D61" s="999"/>
      <c r="E61" s="1001"/>
      <c r="F61" s="1001"/>
      <c r="K61" s="999"/>
      <c r="M61" s="999"/>
    </row>
    <row r="62" spans="4:13" ht="15.9" customHeight="1" x14ac:dyDescent="0.3">
      <c r="D62" s="999"/>
      <c r="E62" s="1002"/>
      <c r="F62" s="1002"/>
      <c r="K62" s="999"/>
      <c r="M62" s="999"/>
    </row>
    <row r="63" spans="4:13" ht="15.9" customHeight="1" x14ac:dyDescent="0.3">
      <c r="D63" s="999"/>
      <c r="E63" s="1002"/>
      <c r="F63" s="1002"/>
      <c r="K63" s="999"/>
      <c r="M63" s="999"/>
    </row>
    <row r="65" spans="4:13" ht="15.9" customHeight="1" x14ac:dyDescent="0.3">
      <c r="D65" s="999"/>
      <c r="E65" s="1002"/>
      <c r="F65" s="1002"/>
      <c r="K65" s="999"/>
      <c r="M65" s="999"/>
    </row>
    <row r="66" spans="4:13" ht="15.9" customHeight="1" x14ac:dyDescent="0.3">
      <c r="D66" s="999"/>
      <c r="E66" s="1001"/>
      <c r="F66" s="1001"/>
      <c r="K66" s="999"/>
      <c r="M66" s="999"/>
    </row>
    <row r="67" spans="4:13" ht="15.9" customHeight="1" x14ac:dyDescent="0.3">
      <c r="D67" s="999"/>
      <c r="E67" s="1001"/>
      <c r="F67" s="1001"/>
      <c r="K67" s="999"/>
      <c r="M67" s="999"/>
    </row>
    <row r="68" spans="4:13" ht="15.9" customHeight="1" x14ac:dyDescent="0.3">
      <c r="D68" s="999"/>
      <c r="E68" s="1002"/>
      <c r="F68" s="1002"/>
      <c r="K68" s="999"/>
      <c r="M68" s="999"/>
    </row>
    <row r="69" spans="4:13" ht="15.9" customHeight="1" x14ac:dyDescent="0.3">
      <c r="D69" s="999"/>
      <c r="E69" s="1002"/>
      <c r="F69" s="1002"/>
      <c r="K69" s="999"/>
      <c r="M69" s="999"/>
    </row>
    <row r="71" spans="4:13" ht="15.9" customHeight="1" x14ac:dyDescent="0.3">
      <c r="D71" s="999"/>
      <c r="E71" s="999"/>
      <c r="F71" s="999"/>
      <c r="K71" s="999"/>
      <c r="M71" s="999"/>
    </row>
    <row r="72" spans="4:13" ht="15.9" customHeight="1" x14ac:dyDescent="0.3">
      <c r="D72" s="999"/>
      <c r="E72" s="999"/>
      <c r="F72" s="999"/>
      <c r="K72" s="999"/>
      <c r="M72" s="999"/>
    </row>
    <row r="73" spans="4:13" ht="15.9" customHeight="1" x14ac:dyDescent="0.3">
      <c r="D73" s="999"/>
      <c r="E73" s="999"/>
      <c r="F73" s="999"/>
      <c r="K73" s="999"/>
      <c r="M73" s="999"/>
    </row>
    <row r="74" spans="4:13" ht="15.9" customHeight="1" x14ac:dyDescent="0.3">
      <c r="D74" s="1002"/>
      <c r="E74" s="1002"/>
      <c r="F74" s="1002"/>
      <c r="K74" s="1002"/>
      <c r="M74" s="1002"/>
    </row>
    <row r="75" spans="4:13" ht="15.9" customHeight="1" x14ac:dyDescent="0.3">
      <c r="E75" s="999"/>
      <c r="F75" s="999"/>
    </row>
    <row r="76" spans="4:13" ht="15.9" customHeight="1" x14ac:dyDescent="0.3">
      <c r="D76" s="999"/>
      <c r="E76" s="999"/>
      <c r="F76" s="999"/>
      <c r="K76" s="999"/>
      <c r="M76" s="999"/>
    </row>
    <row r="77" spans="4:13" ht="15.9" customHeight="1" x14ac:dyDescent="0.3">
      <c r="D77" s="999"/>
      <c r="E77" s="999"/>
      <c r="F77" s="999"/>
      <c r="K77" s="999"/>
      <c r="M77" s="999"/>
    </row>
    <row r="78" spans="4:13" ht="15.9" customHeight="1" x14ac:dyDescent="0.3">
      <c r="D78" s="999"/>
      <c r="K78" s="999"/>
      <c r="M78" s="999"/>
    </row>
    <row r="83" spans="4:13" ht="15.9" customHeight="1" x14ac:dyDescent="0.3">
      <c r="D83" s="999"/>
      <c r="G83" s="999"/>
      <c r="H83" s="999"/>
      <c r="I83" s="999"/>
      <c r="K83" s="999"/>
      <c r="M83" s="999"/>
    </row>
    <row r="84" spans="4:13" ht="15.9" customHeight="1" x14ac:dyDescent="0.3">
      <c r="D84" s="999"/>
      <c r="G84" s="999"/>
      <c r="H84" s="999"/>
      <c r="I84" s="999"/>
      <c r="K84" s="999"/>
      <c r="M84" s="999"/>
    </row>
    <row r="85" spans="4:13" ht="15.9" customHeight="1" x14ac:dyDescent="0.3">
      <c r="D85" s="999"/>
      <c r="G85" s="999"/>
      <c r="H85" s="999"/>
      <c r="I85" s="999"/>
      <c r="K85" s="999"/>
      <c r="M85" s="999"/>
    </row>
    <row r="86" spans="4:13" ht="15.9" customHeight="1" x14ac:dyDescent="0.3">
      <c r="D86" s="999"/>
      <c r="G86" s="999"/>
      <c r="H86" s="999"/>
      <c r="I86" s="999"/>
      <c r="K86" s="999"/>
      <c r="M86" s="999"/>
    </row>
    <row r="87" spans="4:13" ht="15.9" customHeight="1" x14ac:dyDescent="0.3">
      <c r="D87" s="999"/>
      <c r="G87" s="999"/>
      <c r="H87" s="999"/>
      <c r="I87" s="999"/>
      <c r="K87" s="999"/>
      <c r="M87" s="999"/>
    </row>
    <row r="88" spans="4:13" ht="15.9" customHeight="1" x14ac:dyDescent="0.3">
      <c r="D88" s="999"/>
      <c r="G88" s="999"/>
      <c r="H88" s="999"/>
      <c r="I88" s="999"/>
      <c r="K88" s="999"/>
      <c r="M88" s="999"/>
    </row>
    <row r="89" spans="4:13" ht="15.9" customHeight="1" x14ac:dyDescent="0.3">
      <c r="D89" s="999"/>
      <c r="G89" s="999"/>
      <c r="H89" s="999"/>
      <c r="I89" s="999"/>
      <c r="K89" s="999"/>
      <c r="M89" s="999"/>
    </row>
    <row r="90" spans="4:13" ht="15.9" customHeight="1" x14ac:dyDescent="0.3">
      <c r="D90" s="999"/>
      <c r="G90" s="999"/>
      <c r="H90" s="999"/>
      <c r="I90" s="999"/>
      <c r="K90" s="999"/>
      <c r="M90" s="999"/>
    </row>
    <row r="91" spans="4:13" ht="15.9" customHeight="1" x14ac:dyDescent="0.3">
      <c r="D91" s="999"/>
      <c r="G91" s="999"/>
      <c r="H91" s="999"/>
      <c r="I91" s="999"/>
      <c r="K91" s="999"/>
      <c r="M91" s="999"/>
    </row>
    <row r="92" spans="4:13" ht="15.9" customHeight="1" x14ac:dyDescent="0.3">
      <c r="D92" s="999"/>
      <c r="E92" s="999"/>
      <c r="F92" s="999"/>
      <c r="G92" s="999"/>
      <c r="H92" s="999"/>
      <c r="I92" s="999"/>
      <c r="K92" s="999"/>
      <c r="M92" s="999"/>
    </row>
    <row r="93" spans="4:13" ht="15.9" customHeight="1" x14ac:dyDescent="0.3">
      <c r="D93" s="999"/>
      <c r="G93" s="999"/>
      <c r="H93" s="999"/>
      <c r="I93" s="999"/>
      <c r="K93" s="999"/>
      <c r="M93" s="999"/>
    </row>
    <row r="94" spans="4:13" ht="15.9" customHeight="1" x14ac:dyDescent="0.3">
      <c r="D94" s="999"/>
      <c r="G94" s="999"/>
      <c r="H94" s="999"/>
      <c r="I94" s="999"/>
      <c r="K94" s="999"/>
      <c r="M94" s="999"/>
    </row>
    <row r="95" spans="4:13" ht="15.9" customHeight="1" x14ac:dyDescent="0.3">
      <c r="D95" s="999"/>
      <c r="E95" s="1006"/>
      <c r="F95" s="1006"/>
      <c r="G95" s="999"/>
      <c r="H95" s="999"/>
      <c r="I95" s="999"/>
      <c r="K95" s="999"/>
      <c r="M95" s="999"/>
    </row>
    <row r="96" spans="4:13" ht="15.9" customHeight="1" x14ac:dyDescent="0.3">
      <c r="D96" s="999"/>
      <c r="K96" s="999"/>
      <c r="M96" s="999"/>
    </row>
    <row r="100" spans="5:6" ht="15.9" customHeight="1" x14ac:dyDescent="0.3">
      <c r="E100" s="1007"/>
      <c r="F100" s="1007"/>
    </row>
    <row r="101" spans="5:6" ht="15.9" customHeight="1" x14ac:dyDescent="0.3">
      <c r="E101" s="1007"/>
      <c r="F101" s="1007"/>
    </row>
    <row r="102" spans="5:6" ht="15.9" customHeight="1" x14ac:dyDescent="0.3">
      <c r="E102" s="1007"/>
      <c r="F102" s="1007"/>
    </row>
    <row r="103" spans="5:6" ht="15.9" customHeight="1" x14ac:dyDescent="0.3">
      <c r="E103" s="1007"/>
      <c r="F103" s="1007"/>
    </row>
    <row r="104" spans="5:6" ht="15.9" customHeight="1" x14ac:dyDescent="0.3">
      <c r="E104" s="1007"/>
      <c r="F104" s="1007"/>
    </row>
    <row r="105" spans="5:6" ht="15.9" customHeight="1" x14ac:dyDescent="0.3">
      <c r="E105" s="1007"/>
      <c r="F105" s="1007"/>
    </row>
    <row r="106" spans="5:6" ht="15.9" customHeight="1" x14ac:dyDescent="0.3">
      <c r="E106" s="1007"/>
      <c r="F106" s="1007"/>
    </row>
    <row r="107" spans="5:6" ht="15.9" customHeight="1" x14ac:dyDescent="0.3">
      <c r="E107" s="1007"/>
      <c r="F107" s="1007"/>
    </row>
    <row r="108" spans="5:6" ht="15.9" customHeight="1" x14ac:dyDescent="0.3">
      <c r="E108" s="1007"/>
      <c r="F108" s="1007"/>
    </row>
    <row r="109" spans="5:6" ht="15.9" customHeight="1" x14ac:dyDescent="0.3">
      <c r="E109" s="1007"/>
      <c r="F109" s="1007"/>
    </row>
    <row r="111" spans="5:6" ht="15.9" customHeight="1" x14ac:dyDescent="0.3">
      <c r="E111" s="1007"/>
      <c r="F111" s="1007"/>
    </row>
    <row r="112" spans="5:6" ht="15.9" customHeight="1" x14ac:dyDescent="0.3">
      <c r="E112" s="1007"/>
      <c r="F112" s="1007"/>
    </row>
    <row r="113" spans="4:13" ht="15.9" customHeight="1" x14ac:dyDescent="0.3">
      <c r="E113" s="1007"/>
      <c r="F113" s="1007"/>
    </row>
    <row r="114" spans="4:13" ht="15.9" customHeight="1" x14ac:dyDescent="0.3">
      <c r="D114" s="1008"/>
      <c r="E114" s="1007"/>
      <c r="F114" s="1007"/>
      <c r="K114" s="1008"/>
      <c r="M114" s="1008"/>
    </row>
    <row r="115" spans="4:13" ht="15.9" customHeight="1" x14ac:dyDescent="0.3">
      <c r="D115" s="1008"/>
      <c r="E115" s="1007"/>
      <c r="F115" s="1007"/>
      <c r="K115" s="1008"/>
      <c r="M115" s="1008"/>
    </row>
    <row r="116" spans="4:13" ht="15.9" customHeight="1" x14ac:dyDescent="0.3">
      <c r="E116" s="1007"/>
      <c r="F116" s="1007"/>
    </row>
    <row r="117" spans="4:13" ht="15.9" customHeight="1" x14ac:dyDescent="0.3">
      <c r="E117" s="1007"/>
      <c r="F117" s="1007"/>
    </row>
    <row r="118" spans="4:13" ht="15.9" customHeight="1" x14ac:dyDescent="0.3">
      <c r="E118" s="1007"/>
      <c r="F118" s="1007"/>
    </row>
    <row r="119" spans="4:13" ht="15.9" customHeight="1" x14ac:dyDescent="0.3">
      <c r="E119" s="1007"/>
      <c r="F119" s="1007"/>
    </row>
    <row r="120" spans="4:13" ht="15.9" customHeight="1" x14ac:dyDescent="0.3">
      <c r="E120" s="1007"/>
      <c r="F120" s="1007"/>
    </row>
    <row r="122" spans="4:13" ht="15.9" customHeight="1" x14ac:dyDescent="0.3">
      <c r="E122" s="1007"/>
      <c r="F122" s="1007"/>
    </row>
    <row r="123" spans="4:13" ht="15.9" customHeight="1" x14ac:dyDescent="0.3">
      <c r="E123" s="1007"/>
      <c r="F123" s="1007"/>
    </row>
    <row r="124" spans="4:13" ht="15.9" customHeight="1" x14ac:dyDescent="0.3">
      <c r="E124" s="1007"/>
      <c r="F124" s="1007"/>
    </row>
    <row r="125" spans="4:13" ht="15.9" customHeight="1" x14ac:dyDescent="0.3">
      <c r="E125" s="1007"/>
      <c r="F125" s="1007"/>
    </row>
    <row r="126" spans="4:13" ht="15.9" customHeight="1" x14ac:dyDescent="0.3">
      <c r="E126" s="1007"/>
      <c r="F126" s="1007"/>
    </row>
    <row r="127" spans="4:13" ht="15.9" customHeight="1" x14ac:dyDescent="0.3">
      <c r="E127" s="1007"/>
      <c r="F127" s="1007"/>
    </row>
    <row r="128" spans="4:13" ht="15.9" customHeight="1" x14ac:dyDescent="0.3">
      <c r="E128" s="1007"/>
      <c r="F128" s="1007"/>
    </row>
    <row r="129" spans="2:13" ht="15.9" customHeight="1" x14ac:dyDescent="0.3">
      <c r="E129" s="1007"/>
      <c r="F129" s="1007"/>
    </row>
    <row r="130" spans="2:13" ht="15.9" customHeight="1" x14ac:dyDescent="0.3">
      <c r="E130" s="1007"/>
      <c r="F130" s="1007"/>
    </row>
    <row r="131" spans="2:13" ht="15.9" customHeight="1" x14ac:dyDescent="0.3">
      <c r="E131" s="1007"/>
      <c r="F131" s="1007"/>
    </row>
    <row r="132" spans="2:13" ht="15.9" customHeight="1" x14ac:dyDescent="0.3">
      <c r="E132" s="1006"/>
      <c r="F132" s="1006"/>
    </row>
    <row r="133" spans="2:13" ht="15.9" customHeight="1" x14ac:dyDescent="0.3">
      <c r="E133" s="1006"/>
      <c r="F133" s="1006"/>
    </row>
    <row r="140" spans="2:13" ht="15.9" customHeight="1" x14ac:dyDescent="0.3">
      <c r="D140" s="996"/>
      <c r="K140" s="996"/>
      <c r="M140" s="996"/>
    </row>
    <row r="144" spans="2:13" ht="15.9" customHeight="1" x14ac:dyDescent="0.3">
      <c r="B144" s="982" t="s">
        <v>5424</v>
      </c>
      <c r="D144" s="982" t="s">
        <v>5425</v>
      </c>
    </row>
  </sheetData>
  <mergeCells count="1">
    <mergeCell ref="B4:E9"/>
  </mergeCells>
  <pageMargins left="0.7" right="0.7" top="0.75" bottom="0.75" header="0.3" footer="0.3"/>
  <legacy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8CBAD"/>
  </sheetPr>
  <dimension ref="B2:I109"/>
  <sheetViews>
    <sheetView zoomScaleNormal="100" workbookViewId="0"/>
  </sheetViews>
  <sheetFormatPr baseColWidth="10" defaultColWidth="8.09765625" defaultRowHeight="15.9" customHeight="1" x14ac:dyDescent="0.3"/>
  <cols>
    <col min="1" max="2" width="8.09765625" style="982"/>
    <col min="3" max="3" width="16.59765625" style="982" customWidth="1"/>
    <col min="4" max="4" width="10.59765625" style="982" customWidth="1"/>
    <col min="5" max="16384" width="8.09765625" style="982"/>
  </cols>
  <sheetData>
    <row r="2" spans="2:9" ht="24.75" customHeight="1" x14ac:dyDescent="0.35">
      <c r="B2" s="1010" t="s">
        <v>5426</v>
      </c>
    </row>
    <row r="4" spans="2:9" ht="15.9" customHeight="1" x14ac:dyDescent="0.3">
      <c r="B4" s="1231" t="s">
        <v>5427</v>
      </c>
      <c r="C4" s="1231"/>
      <c r="D4" s="1231"/>
      <c r="E4" s="1231"/>
      <c r="F4" s="1231"/>
      <c r="G4" s="1231"/>
      <c r="H4" s="1231"/>
      <c r="I4" s="1231"/>
    </row>
    <row r="5" spans="2:9" ht="15.9" customHeight="1" x14ac:dyDescent="0.3">
      <c r="B5" s="1231"/>
      <c r="C5" s="1231"/>
      <c r="D5" s="1231"/>
      <c r="E5" s="1231"/>
      <c r="F5" s="1231"/>
      <c r="G5" s="1231"/>
      <c r="H5" s="1231"/>
      <c r="I5" s="1231"/>
    </row>
    <row r="6" spans="2:9" ht="15.9" customHeight="1" x14ac:dyDescent="0.3">
      <c r="B6" s="1231"/>
      <c r="C6" s="1231"/>
      <c r="D6" s="1231"/>
      <c r="E6" s="1231"/>
      <c r="F6" s="1231"/>
      <c r="G6" s="1231"/>
      <c r="H6" s="1231"/>
      <c r="I6" s="1231"/>
    </row>
    <row r="7" spans="2:9" ht="15.9" customHeight="1" x14ac:dyDescent="0.3">
      <c r="B7" s="1231"/>
      <c r="C7" s="1231"/>
      <c r="D7" s="1231"/>
      <c r="E7" s="1231"/>
      <c r="F7" s="1231"/>
      <c r="G7" s="1231"/>
      <c r="H7" s="1231"/>
      <c r="I7" s="1231"/>
    </row>
    <row r="8" spans="2:9" ht="15.9" customHeight="1" x14ac:dyDescent="0.3">
      <c r="B8" s="1231"/>
      <c r="C8" s="1231"/>
      <c r="D8" s="1231"/>
      <c r="E8" s="1231"/>
      <c r="F8" s="1231"/>
      <c r="G8" s="1231"/>
      <c r="H8" s="1231"/>
      <c r="I8" s="1231"/>
    </row>
    <row r="9" spans="2:9" ht="15.9" customHeight="1" x14ac:dyDescent="0.3">
      <c r="B9" s="1231"/>
      <c r="C9" s="1231"/>
      <c r="D9" s="1231"/>
      <c r="E9" s="1231"/>
      <c r="F9" s="1231"/>
      <c r="G9" s="1231"/>
      <c r="H9" s="1231"/>
      <c r="I9" s="1231"/>
    </row>
    <row r="11" spans="2:9" ht="15.9" customHeight="1" x14ac:dyDescent="0.3">
      <c r="B11" s="982" t="s">
        <v>3821</v>
      </c>
      <c r="C11" s="982" t="s">
        <v>5428</v>
      </c>
    </row>
    <row r="13" spans="2:9" ht="15.9" customHeight="1" x14ac:dyDescent="0.3">
      <c r="B13" s="1011" t="s">
        <v>5383</v>
      </c>
      <c r="C13" s="987" t="s">
        <v>5429</v>
      </c>
      <c r="D13" s="987" t="s">
        <v>5430</v>
      </c>
    </row>
    <row r="14" spans="2:9" ht="15.9" customHeight="1" x14ac:dyDescent="0.3">
      <c r="B14" s="1012">
        <v>1929</v>
      </c>
      <c r="C14" s="982">
        <v>6.3769999999999998</v>
      </c>
      <c r="D14" s="982">
        <v>9.391</v>
      </c>
    </row>
    <row r="15" spans="2:9" ht="15.9" customHeight="1" x14ac:dyDescent="0.3">
      <c r="B15" s="1012">
        <v>1930</v>
      </c>
      <c r="C15" s="982">
        <v>6.1790000000000003</v>
      </c>
      <c r="D15" s="982">
        <v>9.0280000000000005</v>
      </c>
    </row>
    <row r="16" spans="2:9" ht="15.9" customHeight="1" x14ac:dyDescent="0.3">
      <c r="B16" s="1012">
        <v>1931</v>
      </c>
      <c r="C16" s="982">
        <v>6.1</v>
      </c>
      <c r="D16" s="982">
        <v>8.1359999999999992</v>
      </c>
    </row>
    <row r="17" spans="2:4" ht="15.9" customHeight="1" x14ac:dyDescent="0.3">
      <c r="B17" s="1012">
        <v>1932</v>
      </c>
      <c r="C17" s="982">
        <v>5.9489999999999998</v>
      </c>
      <c r="D17" s="982">
        <v>7.2089999999999996</v>
      </c>
    </row>
    <row r="18" spans="2:4" ht="15.9" customHeight="1" x14ac:dyDescent="0.3">
      <c r="B18" s="1012">
        <v>1933</v>
      </c>
      <c r="C18" s="982">
        <v>5.91</v>
      </c>
      <c r="D18" s="982">
        <v>7.0140000000000002</v>
      </c>
    </row>
    <row r="19" spans="2:4" ht="15.9" customHeight="1" x14ac:dyDescent="0.3">
      <c r="B19" s="1012">
        <v>1934</v>
      </c>
      <c r="C19" s="982">
        <v>6.1760000000000002</v>
      </c>
      <c r="D19" s="982">
        <v>7.3550000000000004</v>
      </c>
    </row>
    <row r="20" spans="2:4" ht="15.9" customHeight="1" x14ac:dyDescent="0.3">
      <c r="B20" s="1012">
        <v>1935</v>
      </c>
      <c r="C20" s="982">
        <v>6.383</v>
      </c>
      <c r="D20" s="982">
        <v>7.5030000000000001</v>
      </c>
    </row>
    <row r="21" spans="2:4" ht="15.9" customHeight="1" x14ac:dyDescent="0.3">
      <c r="B21" s="1012">
        <v>1936</v>
      </c>
      <c r="C21" s="982">
        <v>6.5309999999999997</v>
      </c>
      <c r="D21" s="982">
        <v>7.5970000000000004</v>
      </c>
    </row>
    <row r="22" spans="2:4" ht="15.9" customHeight="1" x14ac:dyDescent="0.3">
      <c r="B22" s="1012">
        <v>1937</v>
      </c>
      <c r="C22" s="982">
        <v>6.6849999999999996</v>
      </c>
      <c r="D22" s="982">
        <v>7.8739999999999997</v>
      </c>
    </row>
    <row r="23" spans="2:4" ht="15.9" customHeight="1" x14ac:dyDescent="0.3">
      <c r="B23" s="1012">
        <v>1938</v>
      </c>
      <c r="C23" s="982">
        <v>6.6989999999999998</v>
      </c>
      <c r="D23" s="982">
        <v>7.7279999999999998</v>
      </c>
    </row>
    <row r="24" spans="2:4" ht="15.9" customHeight="1" x14ac:dyDescent="0.3">
      <c r="B24" s="1012">
        <v>1939</v>
      </c>
      <c r="C24" s="982">
        <v>6.6950000000000003</v>
      </c>
      <c r="D24" s="982">
        <v>7.6319999999999997</v>
      </c>
    </row>
    <row r="25" spans="2:4" ht="15.9" customHeight="1" x14ac:dyDescent="0.3">
      <c r="B25" s="1012">
        <v>1940</v>
      </c>
      <c r="C25" s="982">
        <v>6.4850000000000003</v>
      </c>
      <c r="D25" s="982">
        <v>7.7009999999999996</v>
      </c>
    </row>
    <row r="26" spans="2:4" ht="15.9" customHeight="1" x14ac:dyDescent="0.3">
      <c r="B26" s="1012">
        <v>1941</v>
      </c>
      <c r="C26" s="982">
        <v>6.8879999999999999</v>
      </c>
      <c r="D26" s="982">
        <v>8.2050000000000001</v>
      </c>
    </row>
    <row r="27" spans="2:4" ht="15.9" customHeight="1" x14ac:dyDescent="0.3">
      <c r="B27" s="1012">
        <v>1942</v>
      </c>
      <c r="C27" s="982">
        <v>6.734</v>
      </c>
      <c r="D27" s="982">
        <v>8.8889999999999993</v>
      </c>
    </row>
    <row r="28" spans="2:4" ht="15.9" customHeight="1" x14ac:dyDescent="0.3">
      <c r="B28" s="1012">
        <v>1943</v>
      </c>
      <c r="C28" s="982">
        <v>6.6529999999999996</v>
      </c>
      <c r="D28" s="982">
        <v>9.3140000000000001</v>
      </c>
    </row>
    <row r="29" spans="2:4" ht="15.9" customHeight="1" x14ac:dyDescent="0.3">
      <c r="B29" s="1012">
        <v>1944</v>
      </c>
      <c r="C29" s="982">
        <v>6.524</v>
      </c>
      <c r="D29" s="982">
        <v>9.5359999999999996</v>
      </c>
    </row>
    <row r="30" spans="2:4" ht="15.9" customHeight="1" x14ac:dyDescent="0.3">
      <c r="B30" s="1012">
        <v>1945</v>
      </c>
      <c r="C30" s="982">
        <v>6.5709999999999997</v>
      </c>
      <c r="D30" s="982">
        <v>9.7739999999999991</v>
      </c>
    </row>
    <row r="31" spans="2:4" ht="15.9" customHeight="1" x14ac:dyDescent="0.3">
      <c r="B31" s="1012">
        <v>1946</v>
      </c>
      <c r="C31" s="982">
        <v>8.7439999999999998</v>
      </c>
      <c r="D31" s="982">
        <v>11.005000000000001</v>
      </c>
    </row>
    <row r="32" spans="2:4" ht="15.9" customHeight="1" x14ac:dyDescent="0.3">
      <c r="B32" s="1012">
        <v>1947</v>
      </c>
      <c r="C32" s="982">
        <v>9.5730000000000004</v>
      </c>
      <c r="D32" s="982">
        <v>12.242000000000001</v>
      </c>
    </row>
    <row r="33" spans="2:4" ht="15.9" customHeight="1" x14ac:dyDescent="0.3">
      <c r="B33" s="1012">
        <v>1948</v>
      </c>
      <c r="C33" s="982">
        <v>9.6039999999999992</v>
      </c>
      <c r="D33" s="982">
        <v>12.936999999999999</v>
      </c>
    </row>
    <row r="34" spans="2:4" ht="15.9" customHeight="1" x14ac:dyDescent="0.3">
      <c r="B34" s="1012">
        <v>1949</v>
      </c>
      <c r="C34" s="982">
        <v>9.9239999999999995</v>
      </c>
      <c r="D34" s="982">
        <v>12.933</v>
      </c>
    </row>
    <row r="35" spans="2:4" ht="15.9" customHeight="1" x14ac:dyDescent="0.3">
      <c r="B35" s="1012">
        <v>1950</v>
      </c>
      <c r="C35" s="982">
        <v>10.137</v>
      </c>
      <c r="D35" s="982">
        <v>13.055</v>
      </c>
    </row>
    <row r="36" spans="2:4" ht="15.9" customHeight="1" x14ac:dyDescent="0.3">
      <c r="B36" s="1012">
        <v>1951</v>
      </c>
      <c r="C36" s="982">
        <v>10.449</v>
      </c>
      <c r="D36" s="982">
        <v>13.94</v>
      </c>
    </row>
    <row r="37" spans="2:4" ht="15.9" customHeight="1" x14ac:dyDescent="0.3">
      <c r="B37" s="1012">
        <v>1952</v>
      </c>
      <c r="C37" s="982">
        <v>10.506</v>
      </c>
      <c r="D37" s="982">
        <v>14.244</v>
      </c>
    </row>
    <row r="38" spans="2:4" ht="15.9" customHeight="1" x14ac:dyDescent="0.3">
      <c r="B38" s="1012">
        <v>1953</v>
      </c>
      <c r="C38" s="982">
        <v>10.545</v>
      </c>
      <c r="D38" s="982">
        <v>14.426</v>
      </c>
    </row>
    <row r="39" spans="2:4" ht="15.9" customHeight="1" x14ac:dyDescent="0.3">
      <c r="B39" s="1012">
        <v>1954</v>
      </c>
      <c r="C39" s="982">
        <v>10.82</v>
      </c>
      <c r="D39" s="982">
        <v>14.574</v>
      </c>
    </row>
    <row r="40" spans="2:4" ht="15.9" customHeight="1" x14ac:dyDescent="0.3">
      <c r="B40" s="1012">
        <v>1955</v>
      </c>
      <c r="C40" s="982">
        <v>11.366</v>
      </c>
      <c r="D40" s="982">
        <v>14.78</v>
      </c>
    </row>
    <row r="41" spans="2:4" ht="15.9" customHeight="1" x14ac:dyDescent="0.3">
      <c r="B41" s="1012">
        <v>1956</v>
      </c>
      <c r="C41" s="982">
        <v>11.984999999999999</v>
      </c>
      <c r="D41" s="982">
        <v>15.286</v>
      </c>
    </row>
    <row r="42" spans="2:4" ht="15.9" customHeight="1" x14ac:dyDescent="0.3">
      <c r="B42" s="1012">
        <v>1957</v>
      </c>
      <c r="C42" s="982">
        <v>12.510999999999999</v>
      </c>
      <c r="D42" s="982">
        <v>15.82</v>
      </c>
    </row>
    <row r="43" spans="2:4" ht="15.9" customHeight="1" x14ac:dyDescent="0.3">
      <c r="B43" s="1012">
        <v>1958</v>
      </c>
      <c r="C43" s="982">
        <v>12.981</v>
      </c>
      <c r="D43" s="982">
        <v>16.187999999999999</v>
      </c>
    </row>
    <row r="44" spans="2:4" ht="15.9" customHeight="1" x14ac:dyDescent="0.3">
      <c r="B44" s="1012">
        <v>1959</v>
      </c>
      <c r="C44" s="982">
        <v>13.071</v>
      </c>
      <c r="D44" s="982">
        <v>16.402000000000001</v>
      </c>
    </row>
    <row r="45" spans="2:4" ht="15.9" customHeight="1" x14ac:dyDescent="0.3">
      <c r="B45" s="1012">
        <v>1960</v>
      </c>
      <c r="C45" s="982">
        <v>13.162000000000001</v>
      </c>
      <c r="D45" s="982">
        <v>16.626000000000001</v>
      </c>
    </row>
    <row r="46" spans="2:4" ht="15.9" customHeight="1" x14ac:dyDescent="0.3">
      <c r="B46" s="1012">
        <v>1961</v>
      </c>
      <c r="C46" s="982">
        <v>13.275</v>
      </c>
      <c r="D46" s="982">
        <v>16.803000000000001</v>
      </c>
    </row>
    <row r="47" spans="2:4" ht="15.9" customHeight="1" x14ac:dyDescent="0.3">
      <c r="B47" s="1012">
        <v>1962</v>
      </c>
      <c r="C47" s="982">
        <v>13.436999999999999</v>
      </c>
      <c r="D47" s="982">
        <v>17.007999999999999</v>
      </c>
    </row>
    <row r="48" spans="2:4" ht="15.9" customHeight="1" x14ac:dyDescent="0.3">
      <c r="B48" s="1012">
        <v>1963</v>
      </c>
      <c r="C48" s="982">
        <v>13.794</v>
      </c>
      <c r="D48" s="982">
        <v>17.202999999999999</v>
      </c>
    </row>
    <row r="49" spans="2:4" ht="15.9" customHeight="1" x14ac:dyDescent="0.3">
      <c r="B49" s="1012">
        <v>1964</v>
      </c>
      <c r="C49" s="982">
        <v>14.185</v>
      </c>
      <c r="D49" s="982">
        <v>17.465</v>
      </c>
    </row>
    <row r="50" spans="2:4" ht="15.9" customHeight="1" x14ac:dyDescent="0.3">
      <c r="B50" s="1012">
        <v>1965</v>
      </c>
      <c r="C50" s="982">
        <v>14.555999999999999</v>
      </c>
      <c r="D50" s="982">
        <v>17.785</v>
      </c>
    </row>
    <row r="51" spans="2:4" ht="15.9" customHeight="1" x14ac:dyDescent="0.3">
      <c r="B51" s="1012">
        <v>1966</v>
      </c>
      <c r="C51" s="982">
        <v>15.065</v>
      </c>
      <c r="D51" s="982">
        <v>18.283000000000001</v>
      </c>
    </row>
    <row r="52" spans="2:4" ht="15.9" customHeight="1" x14ac:dyDescent="0.3">
      <c r="B52" s="1012">
        <v>1967</v>
      </c>
      <c r="C52" s="982">
        <v>15.425000000000001</v>
      </c>
      <c r="D52" s="982">
        <v>18.812999999999999</v>
      </c>
    </row>
    <row r="53" spans="2:4" ht="15.9" customHeight="1" x14ac:dyDescent="0.3">
      <c r="B53" s="1012">
        <v>1968</v>
      </c>
      <c r="C53" s="982">
        <v>16.195</v>
      </c>
      <c r="D53" s="982">
        <v>19.614000000000001</v>
      </c>
    </row>
    <row r="54" spans="2:4" ht="15.9" customHeight="1" x14ac:dyDescent="0.3">
      <c r="B54" s="1012">
        <v>1969</v>
      </c>
      <c r="C54" s="982">
        <v>17.018000000000001</v>
      </c>
      <c r="D54" s="982">
        <v>20.577000000000002</v>
      </c>
    </row>
    <row r="55" spans="2:4" ht="15.9" customHeight="1" x14ac:dyDescent="0.3">
      <c r="B55" s="1012">
        <v>1970</v>
      </c>
      <c r="C55" s="982">
        <v>18.292999999999999</v>
      </c>
      <c r="D55" s="982">
        <v>21.661999999999999</v>
      </c>
    </row>
    <row r="56" spans="2:4" ht="15.9" customHeight="1" x14ac:dyDescent="0.3">
      <c r="B56" s="1012">
        <v>1971</v>
      </c>
      <c r="C56" s="982">
        <v>19.815000000000001</v>
      </c>
      <c r="D56" s="982">
        <v>22.760999999999999</v>
      </c>
    </row>
    <row r="57" spans="2:4" ht="15.9" customHeight="1" x14ac:dyDescent="0.3">
      <c r="B57" s="1012">
        <v>1972</v>
      </c>
      <c r="C57" s="982">
        <v>21.881</v>
      </c>
      <c r="D57" s="982">
        <v>23.745000000000001</v>
      </c>
    </row>
    <row r="58" spans="2:4" ht="15.9" customHeight="1" x14ac:dyDescent="0.3">
      <c r="B58" s="1012">
        <v>1973</v>
      </c>
      <c r="C58" s="982">
        <v>23.484999999999999</v>
      </c>
      <c r="D58" s="982">
        <v>25.045000000000002</v>
      </c>
    </row>
    <row r="59" spans="2:4" ht="15.9" customHeight="1" x14ac:dyDescent="0.3">
      <c r="B59" s="1012">
        <v>1974</v>
      </c>
      <c r="C59" s="982">
        <v>25.4</v>
      </c>
      <c r="D59" s="982">
        <v>27.292000000000002</v>
      </c>
    </row>
    <row r="60" spans="2:4" ht="15.9" customHeight="1" x14ac:dyDescent="0.3">
      <c r="B60" s="1012">
        <v>1975</v>
      </c>
      <c r="C60" s="982">
        <v>27.545000000000002</v>
      </c>
      <c r="D60" s="982">
        <v>29.827000000000002</v>
      </c>
    </row>
    <row r="61" spans="2:4" ht="15.9" customHeight="1" x14ac:dyDescent="0.3">
      <c r="B61" s="1012">
        <v>1976</v>
      </c>
      <c r="C61" s="982">
        <v>29.344999999999999</v>
      </c>
      <c r="D61" s="982">
        <v>31.469000000000001</v>
      </c>
    </row>
    <row r="62" spans="2:4" ht="15.9" customHeight="1" x14ac:dyDescent="0.3">
      <c r="B62" s="1012">
        <v>1977</v>
      </c>
      <c r="C62" s="982">
        <v>31.266999999999999</v>
      </c>
      <c r="D62" s="982">
        <v>33.423999999999999</v>
      </c>
    </row>
    <row r="63" spans="2:4" ht="15.9" customHeight="1" x14ac:dyDescent="0.3">
      <c r="B63" s="1012">
        <v>1978</v>
      </c>
      <c r="C63" s="982">
        <v>33.561</v>
      </c>
      <c r="D63" s="982">
        <v>35.774999999999999</v>
      </c>
    </row>
    <row r="64" spans="2:4" ht="15.9" customHeight="1" x14ac:dyDescent="0.3">
      <c r="B64" s="1012">
        <v>1979</v>
      </c>
      <c r="C64" s="982">
        <v>36.213999999999999</v>
      </c>
      <c r="D64" s="982">
        <v>38.741</v>
      </c>
    </row>
    <row r="65" spans="2:4" ht="15.9" customHeight="1" x14ac:dyDescent="0.3">
      <c r="B65" s="1012">
        <v>1980</v>
      </c>
      <c r="C65" s="982">
        <v>39.918999999999997</v>
      </c>
      <c r="D65" s="982">
        <v>42.250999999999998</v>
      </c>
    </row>
    <row r="66" spans="2:4" ht="15.9" customHeight="1" x14ac:dyDescent="0.3">
      <c r="B66" s="1012">
        <v>1981</v>
      </c>
      <c r="C66" s="982">
        <v>43.747</v>
      </c>
      <c r="D66" s="982">
        <v>46.24</v>
      </c>
    </row>
    <row r="67" spans="2:4" ht="15.9" customHeight="1" x14ac:dyDescent="0.3">
      <c r="B67" s="1012">
        <v>1982</v>
      </c>
      <c r="C67" s="982">
        <v>47.039000000000001</v>
      </c>
      <c r="D67" s="982">
        <v>49.098999999999997</v>
      </c>
    </row>
    <row r="68" spans="2:4" ht="15.9" customHeight="1" x14ac:dyDescent="0.3">
      <c r="B68" s="1012">
        <v>1983</v>
      </c>
      <c r="C68" s="982">
        <v>48.777999999999999</v>
      </c>
      <c r="D68" s="982">
        <v>51.018000000000001</v>
      </c>
    </row>
    <row r="69" spans="2:4" ht="15.9" customHeight="1" x14ac:dyDescent="0.3">
      <c r="B69" s="1012">
        <v>1984</v>
      </c>
      <c r="C69" s="982">
        <v>51.012999999999998</v>
      </c>
      <c r="D69" s="982">
        <v>52.86</v>
      </c>
    </row>
    <row r="70" spans="2:4" ht="15.9" customHeight="1" x14ac:dyDescent="0.3">
      <c r="B70" s="1012">
        <v>1985</v>
      </c>
      <c r="C70" s="982">
        <v>51.872</v>
      </c>
      <c r="D70" s="982">
        <v>54.533000000000001</v>
      </c>
    </row>
    <row r="71" spans="2:4" ht="15.9" customHeight="1" x14ac:dyDescent="0.3">
      <c r="B71" s="1012">
        <v>1986</v>
      </c>
      <c r="C71" s="982">
        <v>51.893999999999998</v>
      </c>
      <c r="D71" s="982">
        <v>55.637999999999998</v>
      </c>
    </row>
    <row r="72" spans="2:4" ht="15.9" customHeight="1" x14ac:dyDescent="0.3">
      <c r="B72" s="1012">
        <v>1987</v>
      </c>
      <c r="C72" s="982">
        <v>52.267000000000003</v>
      </c>
      <c r="D72" s="982">
        <v>57.003999999999998</v>
      </c>
    </row>
    <row r="73" spans="2:4" ht="15.9" customHeight="1" x14ac:dyDescent="0.3">
      <c r="B73" s="1012">
        <v>1988</v>
      </c>
      <c r="C73" s="982">
        <v>53.904000000000003</v>
      </c>
      <c r="D73" s="982">
        <v>59.018000000000001</v>
      </c>
    </row>
    <row r="74" spans="2:4" ht="15.9" customHeight="1" x14ac:dyDescent="0.3">
      <c r="B74" s="1012">
        <v>1989</v>
      </c>
      <c r="C74" s="982">
        <v>55.365000000000002</v>
      </c>
      <c r="D74" s="982">
        <v>61.331000000000003</v>
      </c>
    </row>
    <row r="75" spans="2:4" ht="15.9" customHeight="1" x14ac:dyDescent="0.3">
      <c r="B75" s="1012">
        <v>1990</v>
      </c>
      <c r="C75" s="982">
        <v>57.161999999999999</v>
      </c>
      <c r="D75" s="982">
        <v>63.636000000000003</v>
      </c>
    </row>
    <row r="76" spans="2:4" ht="15.9" customHeight="1" x14ac:dyDescent="0.3">
      <c r="B76" s="1012">
        <v>1991</v>
      </c>
      <c r="C76" s="982">
        <v>58.963999999999999</v>
      </c>
      <c r="D76" s="982">
        <v>65.777000000000001</v>
      </c>
    </row>
    <row r="77" spans="2:4" ht="15.9" customHeight="1" x14ac:dyDescent="0.3">
      <c r="B77" s="1012">
        <v>1992</v>
      </c>
      <c r="C77" s="982">
        <v>60.677999999999997</v>
      </c>
      <c r="D77" s="982">
        <v>67.278000000000006</v>
      </c>
    </row>
    <row r="78" spans="2:4" ht="15.9" customHeight="1" x14ac:dyDescent="0.3">
      <c r="B78" s="1012">
        <v>1993</v>
      </c>
      <c r="C78" s="982">
        <v>61.615000000000002</v>
      </c>
      <c r="D78" s="982">
        <v>68.873999999999995</v>
      </c>
    </row>
    <row r="79" spans="2:4" ht="15.9" customHeight="1" x14ac:dyDescent="0.3">
      <c r="B79" s="1012">
        <v>1994</v>
      </c>
      <c r="C79" s="982">
        <v>63.228999999999999</v>
      </c>
      <c r="D79" s="982">
        <v>70.341999999999999</v>
      </c>
    </row>
    <row r="80" spans="2:4" ht="15.9" customHeight="1" x14ac:dyDescent="0.3">
      <c r="B80" s="1012">
        <v>1995</v>
      </c>
      <c r="C80" s="982">
        <v>65.027000000000001</v>
      </c>
      <c r="D80" s="982">
        <v>71.819000000000003</v>
      </c>
    </row>
    <row r="81" spans="2:4" ht="15.9" customHeight="1" x14ac:dyDescent="0.3">
      <c r="B81" s="1012">
        <v>1996</v>
      </c>
      <c r="C81" s="982">
        <v>66.114000000000004</v>
      </c>
      <c r="D81" s="982">
        <v>73.132000000000005</v>
      </c>
    </row>
    <row r="82" spans="2:4" ht="15.9" customHeight="1" x14ac:dyDescent="0.3">
      <c r="B82" s="1012">
        <v>1997</v>
      </c>
      <c r="C82" s="982">
        <v>67.034999999999997</v>
      </c>
      <c r="D82" s="982">
        <v>74.399000000000001</v>
      </c>
    </row>
    <row r="83" spans="2:4" ht="15.9" customHeight="1" x14ac:dyDescent="0.3">
      <c r="B83" s="1012">
        <v>1998</v>
      </c>
      <c r="C83" s="982">
        <v>67.870999999999995</v>
      </c>
      <c r="D83" s="982">
        <v>75.218999999999994</v>
      </c>
    </row>
    <row r="84" spans="2:4" ht="15.9" customHeight="1" x14ac:dyDescent="0.3">
      <c r="B84" s="1012">
        <v>1999</v>
      </c>
      <c r="C84" s="982">
        <v>69.558999999999997</v>
      </c>
      <c r="D84" s="982">
        <v>76.272000000000006</v>
      </c>
    </row>
    <row r="85" spans="2:4" ht="15.9" customHeight="1" x14ac:dyDescent="0.3">
      <c r="B85" s="1012">
        <v>2000</v>
      </c>
      <c r="C85" s="982">
        <v>71.908000000000001</v>
      </c>
      <c r="D85" s="982">
        <v>78.016000000000005</v>
      </c>
    </row>
    <row r="86" spans="2:4" ht="15.9" customHeight="1" x14ac:dyDescent="0.3">
      <c r="B86" s="1012">
        <v>2001</v>
      </c>
      <c r="C86" s="982">
        <v>73.27</v>
      </c>
      <c r="D86" s="982">
        <v>79.813999999999993</v>
      </c>
    </row>
    <row r="87" spans="2:4" ht="15.9" customHeight="1" x14ac:dyDescent="0.3">
      <c r="B87" s="1012">
        <v>2002</v>
      </c>
      <c r="C87" s="982">
        <v>75.713999999999999</v>
      </c>
      <c r="D87" s="982">
        <v>81.013000000000005</v>
      </c>
    </row>
    <row r="88" spans="2:4" ht="15.9" customHeight="1" x14ac:dyDescent="0.3">
      <c r="B88" s="1012">
        <v>2003</v>
      </c>
      <c r="C88" s="982">
        <v>79.504999999999995</v>
      </c>
      <c r="D88" s="982">
        <v>82.635000000000005</v>
      </c>
    </row>
    <row r="89" spans="2:4" ht="15.9" customHeight="1" x14ac:dyDescent="0.3">
      <c r="B89" s="1012">
        <v>2004</v>
      </c>
      <c r="C89" s="982">
        <v>82.263000000000005</v>
      </c>
      <c r="D89" s="982">
        <v>84.841999999999999</v>
      </c>
    </row>
    <row r="90" spans="2:4" ht="15.9" customHeight="1" x14ac:dyDescent="0.3">
      <c r="B90" s="1012">
        <v>2005</v>
      </c>
      <c r="C90" s="982">
        <v>86.010999999999996</v>
      </c>
      <c r="D90" s="982">
        <v>87.49</v>
      </c>
    </row>
    <row r="91" spans="2:4" ht="15.9" customHeight="1" x14ac:dyDescent="0.3">
      <c r="B91" s="1012">
        <v>2006</v>
      </c>
      <c r="C91" s="982">
        <v>89.022000000000006</v>
      </c>
      <c r="D91" s="982">
        <v>90.212000000000003</v>
      </c>
    </row>
    <row r="92" spans="2:4" ht="15.9" customHeight="1" x14ac:dyDescent="0.3">
      <c r="B92" s="1012">
        <v>2007</v>
      </c>
      <c r="C92" s="982">
        <v>91.75</v>
      </c>
      <c r="D92" s="982">
        <v>92.653000000000006</v>
      </c>
    </row>
    <row r="93" spans="2:4" ht="15.9" customHeight="1" x14ac:dyDescent="0.3">
      <c r="B93" s="1012">
        <v>2008</v>
      </c>
      <c r="C93" s="982">
        <v>94.801000000000002</v>
      </c>
      <c r="D93" s="982">
        <v>94.397000000000006</v>
      </c>
    </row>
    <row r="94" spans="2:4" ht="15.9" customHeight="1" x14ac:dyDescent="0.3">
      <c r="B94" s="1012">
        <v>2009</v>
      </c>
      <c r="C94" s="982">
        <v>94.126000000000005</v>
      </c>
      <c r="D94" s="982">
        <v>95.019000000000005</v>
      </c>
    </row>
    <row r="95" spans="2:4" ht="15.9" customHeight="1" x14ac:dyDescent="0.3">
      <c r="B95" s="1012">
        <v>2010</v>
      </c>
      <c r="C95" s="982">
        <v>96.128</v>
      </c>
      <c r="D95" s="982">
        <v>96.164000000000001</v>
      </c>
    </row>
    <row r="96" spans="2:4" ht="15.9" customHeight="1" x14ac:dyDescent="0.3">
      <c r="B96" s="1012">
        <v>2011</v>
      </c>
      <c r="C96" s="982">
        <v>98.945999999999998</v>
      </c>
      <c r="D96" s="982">
        <v>98.156999999999996</v>
      </c>
    </row>
    <row r="97" spans="2:4" ht="15.9" customHeight="1" x14ac:dyDescent="0.3">
      <c r="B97" s="1012">
        <v>2012</v>
      </c>
      <c r="C97" s="982">
        <v>100</v>
      </c>
      <c r="D97" s="982">
        <v>100</v>
      </c>
    </row>
    <row r="98" spans="2:4" ht="15.9" customHeight="1" x14ac:dyDescent="0.3">
      <c r="B98" s="1012">
        <v>2013</v>
      </c>
      <c r="C98" s="982">
        <v>100.60899999999999</v>
      </c>
      <c r="D98" s="982">
        <v>101.76900000000001</v>
      </c>
    </row>
    <row r="99" spans="2:4" ht="15.9" customHeight="1" x14ac:dyDescent="0.3">
      <c r="B99" s="1012">
        <v>2014</v>
      </c>
      <c r="C99" s="982">
        <v>102.056</v>
      </c>
      <c r="D99" s="982">
        <v>103.66200000000001</v>
      </c>
    </row>
    <row r="100" spans="2:4" ht="15.9" customHeight="1" x14ac:dyDescent="0.3">
      <c r="B100" s="1012">
        <v>2015</v>
      </c>
      <c r="C100" s="982">
        <v>102.334</v>
      </c>
      <c r="D100" s="982">
        <v>104.66200000000001</v>
      </c>
    </row>
    <row r="101" spans="2:4" ht="15.9" customHeight="1" x14ac:dyDescent="0.3">
      <c r="B101" s="1012">
        <v>2016</v>
      </c>
      <c r="C101" s="982">
        <v>102.65</v>
      </c>
      <c r="D101" s="982">
        <v>105.703</v>
      </c>
    </row>
    <row r="102" spans="2:4" ht="15.9" customHeight="1" x14ac:dyDescent="0.3">
      <c r="B102" s="1012">
        <v>2017</v>
      </c>
      <c r="C102" s="982">
        <v>104.306</v>
      </c>
      <c r="D102" s="982">
        <v>107.74299999999999</v>
      </c>
    </row>
    <row r="103" spans="2:4" ht="15.9" customHeight="1" x14ac:dyDescent="0.3">
      <c r="B103" s="1012">
        <v>2018</v>
      </c>
      <c r="C103" s="982">
        <v>107.149</v>
      </c>
      <c r="D103" s="982">
        <v>110.34399999999999</v>
      </c>
    </row>
    <row r="104" spans="2:4" ht="15.9" customHeight="1" x14ac:dyDescent="0.3">
      <c r="B104" s="1012">
        <v>2019</v>
      </c>
      <c r="C104" s="982">
        <v>108.86499999999999</v>
      </c>
      <c r="D104" s="982">
        <v>112.303</v>
      </c>
    </row>
    <row r="105" spans="2:4" ht="15.9" customHeight="1" x14ac:dyDescent="0.3">
      <c r="B105" s="1012">
        <v>2020</v>
      </c>
      <c r="C105" s="982">
        <v>110.039</v>
      </c>
      <c r="D105" s="982">
        <v>113.81399999999999</v>
      </c>
    </row>
    <row r="106" spans="2:4" ht="15.9" customHeight="1" x14ac:dyDescent="0.3">
      <c r="B106" s="1012">
        <v>2021</v>
      </c>
      <c r="C106" s="982">
        <v>114.086</v>
      </c>
      <c r="D106" s="982">
        <v>118.92400000000001</v>
      </c>
    </row>
    <row r="107" spans="2:4" ht="15.9" customHeight="1" x14ac:dyDescent="0.3">
      <c r="B107" s="1013">
        <v>2022</v>
      </c>
      <c r="C107" s="984">
        <v>120.19499999999999</v>
      </c>
      <c r="D107" s="984">
        <v>127.193</v>
      </c>
    </row>
    <row r="109" spans="2:4" ht="15.9" customHeight="1" x14ac:dyDescent="0.3">
      <c r="D109" s="1009"/>
    </row>
  </sheetData>
  <mergeCells count="1">
    <mergeCell ref="B4:I9"/>
  </mergeCell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8CBAD"/>
  </sheetPr>
  <dimension ref="B2:X27"/>
  <sheetViews>
    <sheetView showGridLines="0" workbookViewId="0"/>
  </sheetViews>
  <sheetFormatPr baseColWidth="10" defaultColWidth="8.09765625" defaultRowHeight="15.9" customHeight="1" x14ac:dyDescent="0.25"/>
  <cols>
    <col min="1" max="1" width="8.09765625" style="1039"/>
    <col min="2" max="2" width="20.59765625" style="1039" bestFit="1" customWidth="1"/>
    <col min="3" max="3" width="17.3984375" style="1039" bestFit="1" customWidth="1"/>
    <col min="4" max="4" width="8.8984375" style="1039" customWidth="1"/>
    <col min="5" max="5" width="25" style="1039" bestFit="1" customWidth="1"/>
    <col min="6" max="6" width="9.5" style="1039" bestFit="1" customWidth="1"/>
    <col min="7" max="7" width="9.3984375" style="1039" customWidth="1"/>
    <col min="8" max="8" width="17.8984375" style="1039" bestFit="1" customWidth="1"/>
    <col min="9" max="10" width="14.69921875" style="1039" bestFit="1" customWidth="1"/>
    <col min="11" max="11" width="22.59765625" style="1039" bestFit="1" customWidth="1"/>
    <col min="12" max="12" width="25" style="1039" customWidth="1"/>
    <col min="13" max="13" width="17.09765625" style="1039" customWidth="1"/>
    <col min="14" max="14" width="11.09765625" style="1039" bestFit="1" customWidth="1"/>
    <col min="15" max="15" width="8.3984375" style="1039" bestFit="1" customWidth="1"/>
    <col min="16" max="16" width="7" style="1039" bestFit="1" customWidth="1"/>
    <col min="17" max="17" width="9.5" style="1039" bestFit="1" customWidth="1"/>
    <col min="18" max="18" width="14.09765625" style="1039" bestFit="1" customWidth="1"/>
    <col min="19" max="19" width="14.3984375" style="1039" bestFit="1" customWidth="1"/>
    <col min="20" max="20" width="9.09765625" style="1039" bestFit="1" customWidth="1"/>
    <col min="21" max="21" width="5" style="1039" bestFit="1" customWidth="1"/>
    <col min="22" max="22" width="100.59765625" style="1039" customWidth="1"/>
    <col min="23" max="23" width="152.59765625" style="1039" bestFit="1" customWidth="1"/>
    <col min="24" max="24" width="11" style="1039" bestFit="1" customWidth="1"/>
    <col min="25" max="16384" width="8.09765625" style="1039"/>
  </cols>
  <sheetData>
    <row r="2" spans="2:24" ht="24.75" customHeight="1" x14ac:dyDescent="0.35">
      <c r="B2" s="1040" t="s">
        <v>5431</v>
      </c>
    </row>
    <row r="4" spans="2:24" ht="15.9" customHeight="1" x14ac:dyDescent="0.25">
      <c r="B4" s="1232" t="s">
        <v>5432</v>
      </c>
      <c r="C4" s="1232"/>
      <c r="D4" s="1232"/>
      <c r="E4" s="1232"/>
      <c r="F4" s="1232"/>
      <c r="G4" s="1053"/>
    </row>
    <row r="5" spans="2:24" ht="15.9" customHeight="1" x14ac:dyDescent="0.25">
      <c r="B5" s="1232"/>
      <c r="C5" s="1232"/>
      <c r="D5" s="1232"/>
      <c r="E5" s="1232"/>
      <c r="F5" s="1232"/>
      <c r="G5" s="1053"/>
    </row>
    <row r="6" spans="2:24" ht="15.9" customHeight="1" x14ac:dyDescent="0.25">
      <c r="B6" s="1232"/>
      <c r="C6" s="1232"/>
      <c r="D6" s="1232"/>
      <c r="E6" s="1232"/>
      <c r="F6" s="1232"/>
      <c r="G6" s="1053"/>
    </row>
    <row r="7" spans="2:24" ht="15.9" customHeight="1" x14ac:dyDescent="0.25">
      <c r="B7" s="1232"/>
      <c r="C7" s="1232"/>
      <c r="D7" s="1232"/>
      <c r="E7" s="1232"/>
      <c r="F7" s="1232"/>
      <c r="G7" s="1053"/>
    </row>
    <row r="8" spans="2:24" ht="15.9" customHeight="1" x14ac:dyDescent="0.25">
      <c r="B8" s="1232"/>
      <c r="C8" s="1232"/>
      <c r="D8" s="1232"/>
      <c r="E8" s="1232"/>
      <c r="F8" s="1232"/>
      <c r="G8" s="1053"/>
    </row>
    <row r="9" spans="2:24" ht="15.9" customHeight="1" x14ac:dyDescent="0.25">
      <c r="B9" s="1232"/>
      <c r="C9" s="1232"/>
      <c r="D9" s="1232"/>
      <c r="E9" s="1232"/>
      <c r="F9" s="1232"/>
      <c r="G9" s="1053"/>
    </row>
    <row r="11" spans="2:24" s="1044" customFormat="1" ht="24.75" customHeight="1" x14ac:dyDescent="0.3">
      <c r="B11" s="1041" t="s">
        <v>5433</v>
      </c>
      <c r="C11" s="1041" t="s">
        <v>205</v>
      </c>
      <c r="D11" s="1042" t="s">
        <v>5434</v>
      </c>
      <c r="E11" s="1042" t="s">
        <v>5435</v>
      </c>
      <c r="F11" s="1042" t="s">
        <v>5436</v>
      </c>
      <c r="G11" s="1042" t="s">
        <v>5437</v>
      </c>
      <c r="H11" s="1042" t="s">
        <v>5438</v>
      </c>
      <c r="I11" s="1042" t="s">
        <v>5439</v>
      </c>
      <c r="J11" s="1042" t="s">
        <v>5440</v>
      </c>
      <c r="K11" s="1042" t="s">
        <v>5441</v>
      </c>
      <c r="L11" s="1042" t="s">
        <v>5442</v>
      </c>
      <c r="M11" s="1042" t="s">
        <v>5443</v>
      </c>
      <c r="N11" s="1042" t="s">
        <v>5444</v>
      </c>
      <c r="O11" s="1042" t="s">
        <v>5445</v>
      </c>
      <c r="P11" s="1042" t="s">
        <v>5446</v>
      </c>
      <c r="Q11" s="1042" t="s">
        <v>5447</v>
      </c>
      <c r="R11" s="1042" t="s">
        <v>5448</v>
      </c>
      <c r="S11" s="1042" t="s">
        <v>5449</v>
      </c>
      <c r="T11" s="1042" t="s">
        <v>5450</v>
      </c>
      <c r="U11" s="1042" t="s">
        <v>5451</v>
      </c>
      <c r="V11" s="1043" t="s">
        <v>5452</v>
      </c>
      <c r="W11" s="1043" t="s">
        <v>5453</v>
      </c>
      <c r="X11" s="1043" t="s">
        <v>5454</v>
      </c>
    </row>
    <row r="12" spans="2:24" ht="15.9" customHeight="1" x14ac:dyDescent="0.3">
      <c r="B12" s="1039" t="s">
        <v>5431</v>
      </c>
      <c r="C12" s="1045" t="s">
        <v>3038</v>
      </c>
      <c r="D12" s="1046">
        <f>F12/'Exchange Rates'!$C$13</f>
        <v>118.42407473809685</v>
      </c>
      <c r="E12" s="1046"/>
      <c r="F12" s="1046">
        <f>((G12)/(VLOOKUP(U12,deflator!$B:$C,2)))*deflator!$C$107</f>
        <v>124.34527847500169</v>
      </c>
      <c r="G12" s="1046">
        <v>61</v>
      </c>
      <c r="H12" s="1046"/>
      <c r="I12" s="1046">
        <f>VLOOKUP(C12,'Country Summary'!B:H,7,0)</f>
        <v>20953.03</v>
      </c>
      <c r="J12" s="1046">
        <f>K12/'Exchange Rates'!$C$13</f>
        <v>11955.257851521992</v>
      </c>
      <c r="K12" s="1046">
        <f>((L12)/(VLOOKUP(U12,deflator!$B:$C,2)))*deflator!$C$107</f>
        <v>12553.020744098092</v>
      </c>
      <c r="L12" s="1046">
        <v>6158.1289999999999</v>
      </c>
      <c r="M12" s="1046"/>
      <c r="N12" s="1046">
        <v>6.5720000000000001</v>
      </c>
      <c r="O12" s="1046">
        <v>10.012</v>
      </c>
      <c r="P12" s="1046">
        <v>4.0880000000000001</v>
      </c>
      <c r="Q12" s="1046">
        <v>16.056999999999999</v>
      </c>
      <c r="R12" s="1046">
        <v>0.35499999999999998</v>
      </c>
      <c r="S12" s="1046">
        <v>16.838999999999999</v>
      </c>
      <c r="T12" s="1046">
        <v>2.9000000000000001E-2</v>
      </c>
      <c r="U12" s="1047">
        <v>1991</v>
      </c>
      <c r="V12" s="1048" t="s">
        <v>5455</v>
      </c>
      <c r="W12" s="1049" t="s">
        <v>5456</v>
      </c>
      <c r="X12" s="1039" t="s">
        <v>5457</v>
      </c>
    </row>
    <row r="13" spans="2:24" ht="15.9" customHeight="1" x14ac:dyDescent="0.3">
      <c r="B13" s="1039" t="s">
        <v>5458</v>
      </c>
      <c r="C13" s="1045" t="s">
        <v>3038</v>
      </c>
      <c r="D13" s="1046">
        <f>VLOOKUP(C13,'Country Summary'!B:G,6,0)</f>
        <v>73.176684754285702</v>
      </c>
      <c r="E13" s="1046">
        <f>VLOOKUP(C13,'Country Summary'!B:G,5,0)</f>
        <v>44.338095238095235</v>
      </c>
      <c r="F13" s="1046"/>
      <c r="G13" s="1046"/>
      <c r="H13" s="1046"/>
      <c r="I13" s="1046">
        <f>VLOOKUP(C13,'Country Summary'!B:H,7,0)</f>
        <v>20953.03</v>
      </c>
      <c r="J13" s="1046">
        <f>K13/'Exchange Rates'!$C$13</f>
        <v>11955.257851521992</v>
      </c>
      <c r="K13" s="1046">
        <f>((L13)/(VLOOKUP(U13,deflator!$B:$C,2)))*deflator!$C$107</f>
        <v>12553.020744098092</v>
      </c>
      <c r="L13" s="1046">
        <v>6158.1289999999999</v>
      </c>
      <c r="M13" s="1046"/>
      <c r="N13" s="1046"/>
      <c r="O13" s="1046"/>
      <c r="P13" s="1046"/>
      <c r="Q13" s="1046"/>
      <c r="R13" s="1046"/>
      <c r="S13" s="1046"/>
      <c r="T13" s="1046"/>
      <c r="U13" s="1047">
        <v>1991</v>
      </c>
      <c r="V13" s="1050"/>
      <c r="X13" s="1039" t="s">
        <v>5457</v>
      </c>
    </row>
    <row r="14" spans="2:24" ht="15.9" customHeight="1" x14ac:dyDescent="0.3">
      <c r="B14" s="1039" t="s">
        <v>5431</v>
      </c>
      <c r="C14" s="1045" t="s">
        <v>1288</v>
      </c>
      <c r="D14" s="1046">
        <f>F14/'Exchange Rates'!$C$13</f>
        <v>19.782211807043009</v>
      </c>
      <c r="E14" s="1046"/>
      <c r="F14" s="1046">
        <f>((G14)/(VLOOKUP(U14,deflator!$B:$C,2)))*deflator!$C$107</f>
        <v>20.77132239739516</v>
      </c>
      <c r="G14" s="1046">
        <f>H14/1.658525</f>
        <v>10.189777060942705</v>
      </c>
      <c r="H14" s="1046">
        <v>16.899999999999999</v>
      </c>
      <c r="I14" s="1046">
        <f>VLOOKUP(C14,'Country Summary'!B:H,7,0)</f>
        <v>3846.4139300000002</v>
      </c>
      <c r="J14" s="1046">
        <f>K14/'Exchange Rates'!$C$13</f>
        <v>3628.3296022812497</v>
      </c>
      <c r="K14" s="1046">
        <f>((L14)/(VLOOKUP(U14,deflator!$B:$C,2)))*deflator!$C$107</f>
        <v>3809.7460823953124</v>
      </c>
      <c r="L14" s="1046">
        <v>1868.9451974071901</v>
      </c>
      <c r="M14" s="1046"/>
      <c r="N14" s="1046"/>
      <c r="O14" s="1046"/>
      <c r="P14" s="1046"/>
      <c r="Q14" s="1046"/>
      <c r="R14" s="1046"/>
      <c r="S14" s="1046"/>
      <c r="T14" s="1046"/>
      <c r="U14" s="1047">
        <v>1991</v>
      </c>
      <c r="V14" s="1050" t="s">
        <v>5459</v>
      </c>
      <c r="W14" s="1049" t="s">
        <v>5460</v>
      </c>
      <c r="X14" s="1039" t="s">
        <v>5457</v>
      </c>
    </row>
    <row r="15" spans="2:24" ht="15.9" customHeight="1" x14ac:dyDescent="0.3">
      <c r="B15" s="1039" t="s">
        <v>5458</v>
      </c>
      <c r="C15" s="1045" t="s">
        <v>1288</v>
      </c>
      <c r="D15" s="1046">
        <f>VLOOKUP(C15,'Country Summary'!B:G,6,0)</f>
        <v>6.1512000000000002</v>
      </c>
      <c r="E15" s="1046">
        <f>VLOOKUP(C15,'Country Summary'!B:G,5,0)</f>
        <v>2.3552</v>
      </c>
      <c r="F15" s="1046"/>
      <c r="G15" s="1046"/>
      <c r="H15" s="1051"/>
      <c r="I15" s="1046">
        <f>VLOOKUP(C15,'Country Summary'!B:H,7,0)</f>
        <v>3846.4139300000002</v>
      </c>
      <c r="J15" s="1046">
        <f>K15/'Exchange Rates'!$C$13</f>
        <v>3628.3296022812497</v>
      </c>
      <c r="K15" s="1046">
        <f>((L15)/(VLOOKUP(U15,deflator!$B:$C,2)))*deflator!$C$107</f>
        <v>3809.7460823953124</v>
      </c>
      <c r="L15" s="1046">
        <v>1868.9451974071901</v>
      </c>
      <c r="M15" s="1046"/>
      <c r="N15" s="1046"/>
      <c r="O15" s="1046"/>
      <c r="P15" s="1046"/>
      <c r="Q15" s="1046"/>
      <c r="R15" s="1046"/>
      <c r="S15" s="1046"/>
      <c r="T15" s="1046"/>
      <c r="U15" s="1047">
        <v>1991</v>
      </c>
      <c r="V15" s="1050"/>
      <c r="X15" s="1039" t="s">
        <v>5457</v>
      </c>
    </row>
    <row r="16" spans="2:24" ht="15.9" customHeight="1" x14ac:dyDescent="0.3">
      <c r="B16" s="1039" t="s">
        <v>5431</v>
      </c>
      <c r="C16" s="1045" t="s">
        <v>1804</v>
      </c>
      <c r="D16" s="1046">
        <f>F16/'Exchange Rates'!$C$13</f>
        <v>22.345263938286799</v>
      </c>
      <c r="E16" s="1046"/>
      <c r="F16" s="1046">
        <f>((G16)/(VLOOKUP(U16,deflator!$B:$C,2)))*deflator!$C$107</f>
        <v>23.462527135201139</v>
      </c>
      <c r="G16" s="1046">
        <v>11.51</v>
      </c>
      <c r="H16" s="1046">
        <v>1507</v>
      </c>
      <c r="I16" s="1046">
        <f>VLOOKUP(C16,'Country Summary'!B:H,7,0)</f>
        <v>5057.7589600000001</v>
      </c>
      <c r="J16" s="1046">
        <f>K16/'Exchange Rates'!$C$13</f>
        <v>6958.71526398893</v>
      </c>
      <c r="K16" s="1046">
        <f>((L16)/(VLOOKUP(U16,deflator!$B:$C,2)))*deflator!$C$107</f>
        <v>7306.6510271883772</v>
      </c>
      <c r="L16" s="1046">
        <v>3584.42007710084</v>
      </c>
      <c r="M16" s="1046"/>
      <c r="N16" s="1046"/>
      <c r="O16" s="1046"/>
      <c r="P16" s="1046"/>
      <c r="Q16" s="1046"/>
      <c r="R16" s="1046"/>
      <c r="S16" s="1046"/>
      <c r="T16" s="1046"/>
      <c r="U16" s="1047">
        <v>1991</v>
      </c>
      <c r="V16" s="1050" t="s">
        <v>5461</v>
      </c>
      <c r="W16" s="1049" t="s">
        <v>5462</v>
      </c>
      <c r="X16" s="1039" t="s">
        <v>5457</v>
      </c>
    </row>
    <row r="17" spans="2:24" ht="15.9" customHeight="1" x14ac:dyDescent="0.3">
      <c r="B17" s="1039" t="s">
        <v>5458</v>
      </c>
      <c r="C17" s="1045" t="s">
        <v>1804</v>
      </c>
      <c r="D17" s="1046">
        <f>VLOOKUP(C17,'Country Summary'!B:G,6,0)</f>
        <v>1.051764161904762</v>
      </c>
      <c r="E17" s="1046">
        <f>VLOOKUP(C17,'Country Summary'!B:G,5,0)</f>
        <v>2.3352380952380951E-3</v>
      </c>
      <c r="F17" s="1046"/>
      <c r="G17" s="1046"/>
      <c r="H17" s="1051"/>
      <c r="I17" s="1046">
        <f>VLOOKUP(C17,'Country Summary'!B:H,7,0)</f>
        <v>5057.7589600000001</v>
      </c>
      <c r="J17" s="1046">
        <f>K17/'Exchange Rates'!$C$13</f>
        <v>6958.71526398893</v>
      </c>
      <c r="K17" s="1046">
        <f>((L17)/(VLOOKUP(U17,deflator!$B:$C,2)))*deflator!$C$107</f>
        <v>7306.6510271883772</v>
      </c>
      <c r="L17" s="1046">
        <v>3584.42007710084</v>
      </c>
      <c r="M17" s="1046"/>
      <c r="N17" s="1046"/>
      <c r="O17" s="1046"/>
      <c r="P17" s="1046"/>
      <c r="Q17" s="1046"/>
      <c r="R17" s="1046"/>
      <c r="S17" s="1046"/>
      <c r="T17" s="1046"/>
      <c r="U17" s="1047">
        <v>1991</v>
      </c>
      <c r="V17" s="1050"/>
      <c r="X17" s="1039" t="s">
        <v>5457</v>
      </c>
    </row>
    <row r="18" spans="2:24" ht="15.9" customHeight="1" x14ac:dyDescent="0.3">
      <c r="B18" s="1039" t="s">
        <v>5463</v>
      </c>
      <c r="C18" s="1045" t="s">
        <v>2424</v>
      </c>
      <c r="D18" s="1046">
        <f>F18/'Exchange Rates'!$C$13</f>
        <v>0.68918928741023566</v>
      </c>
      <c r="E18" s="1046"/>
      <c r="F18" s="1046">
        <f>((G18)/(VLOOKUP(U18,deflator!$B:$C,2)))*deflator!$C$107</f>
        <v>0.7236487517807475</v>
      </c>
      <c r="G18" s="1046">
        <v>0.35499999999999998</v>
      </c>
      <c r="H18" s="1046"/>
      <c r="I18" s="1046">
        <f>VLOOKUP(C18,'Country Summary'!B:H,7,0)</f>
        <v>1637.8958027929</v>
      </c>
      <c r="J18" s="1046">
        <f>K18/'Exchange Rates'!$C$13</f>
        <v>641.91387399114842</v>
      </c>
      <c r="K18" s="1046">
        <f>((L18)/(VLOOKUP(U18,deflator!$B:$C,2)))*deflator!$C$107</f>
        <v>674.00956769070592</v>
      </c>
      <c r="L18" s="1046">
        <v>330.648530715211</v>
      </c>
      <c r="M18" s="1046"/>
      <c r="N18" s="1046"/>
      <c r="O18" s="1046"/>
      <c r="P18" s="1046"/>
      <c r="Q18" s="1046"/>
      <c r="R18" s="1046"/>
      <c r="S18" s="1046"/>
      <c r="T18" s="1046"/>
      <c r="U18" s="1047">
        <v>1991</v>
      </c>
      <c r="V18" s="1050" t="s">
        <v>5464</v>
      </c>
      <c r="W18" s="1049" t="s">
        <v>5456</v>
      </c>
      <c r="X18" s="1039" t="s">
        <v>5457</v>
      </c>
    </row>
    <row r="19" spans="2:24" ht="15.9" customHeight="1" x14ac:dyDescent="0.3">
      <c r="B19" s="1039" t="s">
        <v>5458</v>
      </c>
      <c r="C19" s="1045" t="s">
        <v>2424</v>
      </c>
      <c r="D19" s="1046">
        <f>VLOOKUP(C19,'Country Summary'!B:G,6,0)</f>
        <v>9.8647619047619067E-2</v>
      </c>
      <c r="E19" s="1046">
        <f>VLOOKUP(C19,'Country Summary'!B:G,5,0)</f>
        <v>3.4095238095238093E-3</v>
      </c>
      <c r="F19" s="1046"/>
      <c r="G19" s="1046"/>
      <c r="H19" s="1046"/>
      <c r="I19" s="1046">
        <f>VLOOKUP(C19,'Country Summary'!B:H,7,0)</f>
        <v>1637.8958027929</v>
      </c>
      <c r="J19" s="1046">
        <f>K19/'Exchange Rates'!$C$13</f>
        <v>641.91387399114842</v>
      </c>
      <c r="K19" s="1046">
        <f>((L19)/(VLOOKUP(U19,deflator!$B:$C,2)))*deflator!$C$107</f>
        <v>674.00956769070592</v>
      </c>
      <c r="L19" s="1046">
        <v>330.648530715211</v>
      </c>
      <c r="M19" s="1046"/>
      <c r="N19" s="1046"/>
      <c r="O19" s="1046"/>
      <c r="P19" s="1046"/>
      <c r="Q19" s="1046"/>
      <c r="R19" s="1046"/>
      <c r="S19" s="1046"/>
      <c r="T19" s="1046"/>
      <c r="U19" s="1047">
        <v>1991</v>
      </c>
      <c r="V19" s="1050"/>
    </row>
    <row r="20" spans="2:24" ht="15.9" customHeight="1" x14ac:dyDescent="0.3">
      <c r="B20" s="1039" t="s">
        <v>5463</v>
      </c>
      <c r="C20" s="1045" t="s">
        <v>5465</v>
      </c>
      <c r="D20" s="1046">
        <f>F20/'Exchange Rates'!$C$13</f>
        <v>7.9363543857268848</v>
      </c>
      <c r="E20" s="1051"/>
      <c r="F20" s="1046">
        <f>((G20)/(VLOOKUP(U20,deflator!$B:$C,2)))*deflator!$C$107</f>
        <v>8.3331721050132295</v>
      </c>
      <c r="G20" s="1046">
        <v>4.0880000000000001</v>
      </c>
      <c r="H20" s="1051"/>
      <c r="I20" s="1051"/>
      <c r="J20" s="1051"/>
      <c r="K20" s="1051"/>
      <c r="L20" s="1051"/>
      <c r="M20" s="1051"/>
      <c r="N20" s="1051"/>
      <c r="O20" s="1051"/>
      <c r="P20" s="1051"/>
      <c r="Q20" s="1051"/>
      <c r="R20" s="1051"/>
      <c r="S20" s="1051"/>
      <c r="T20" s="1051"/>
      <c r="U20" s="1047">
        <v>1991</v>
      </c>
      <c r="V20" s="1050" t="s">
        <v>5464</v>
      </c>
      <c r="W20" s="1049" t="s">
        <v>5456</v>
      </c>
    </row>
    <row r="21" spans="2:24" ht="15.9" customHeight="1" x14ac:dyDescent="0.3">
      <c r="B21" s="1039" t="s">
        <v>5463</v>
      </c>
      <c r="C21" s="1045" t="s">
        <v>5466</v>
      </c>
      <c r="D21" s="1046">
        <f>F21/'Exchange Rates'!$C$13</f>
        <v>31.172710951961001</v>
      </c>
      <c r="E21" s="1051"/>
      <c r="F21" s="1046">
        <f>((G21)/(VLOOKUP(U21,deflator!$B:$C,2)))*deflator!$C$107</f>
        <v>32.731346499559052</v>
      </c>
      <c r="G21" s="1046">
        <v>16.056999999999999</v>
      </c>
      <c r="H21" s="1051"/>
      <c r="I21" s="1051"/>
      <c r="J21" s="1051"/>
      <c r="K21" s="1051"/>
      <c r="L21" s="1051"/>
      <c r="M21" s="1051"/>
      <c r="N21" s="1051"/>
      <c r="O21" s="1051"/>
      <c r="P21" s="1051"/>
      <c r="Q21" s="1051"/>
      <c r="R21" s="1051"/>
      <c r="S21" s="1051"/>
      <c r="T21" s="1051"/>
      <c r="U21" s="1047">
        <v>1991</v>
      </c>
      <c r="V21" s="1050" t="s">
        <v>5464</v>
      </c>
      <c r="W21" s="1049" t="s">
        <v>5456</v>
      </c>
    </row>
    <row r="22" spans="2:24" ht="15.9" customHeight="1" x14ac:dyDescent="0.3">
      <c r="B22" s="1039" t="s">
        <v>5463</v>
      </c>
      <c r="C22" s="1045" t="s">
        <v>5467</v>
      </c>
      <c r="D22" s="1046">
        <f>F22/'Exchange Rates'!$C$13</f>
        <v>32.69086876253791</v>
      </c>
      <c r="E22" s="1051"/>
      <c r="F22" s="1046">
        <f>((G22)/(VLOOKUP(U22,deflator!$B:$C,2)))*deflator!$C$107</f>
        <v>34.325412200664807</v>
      </c>
      <c r="G22" s="1046">
        <v>16.838999999999999</v>
      </c>
      <c r="H22" s="1051"/>
      <c r="I22" s="1051"/>
      <c r="J22" s="1051"/>
      <c r="K22" s="1051"/>
      <c r="L22" s="1051"/>
      <c r="M22" s="1051"/>
      <c r="N22" s="1051"/>
      <c r="O22" s="1051"/>
      <c r="P22" s="1051"/>
      <c r="Q22" s="1051"/>
      <c r="R22" s="1051"/>
      <c r="S22" s="1051"/>
      <c r="T22" s="1051"/>
      <c r="U22" s="1047">
        <v>1991</v>
      </c>
      <c r="V22" s="1050" t="s">
        <v>5464</v>
      </c>
      <c r="W22" s="1049" t="s">
        <v>5456</v>
      </c>
    </row>
    <row r="23" spans="2:24" ht="15.9" customHeight="1" x14ac:dyDescent="0.3">
      <c r="B23" s="1039" t="s">
        <v>5463</v>
      </c>
      <c r="C23" s="1045" t="s">
        <v>5468</v>
      </c>
      <c r="D23" s="1046">
        <f>F23/'Exchange Rates'!$C$13</f>
        <v>5.6299969957455884E-2</v>
      </c>
      <c r="E23" s="1051"/>
      <c r="F23" s="1046">
        <f>((G23)/(VLOOKUP(U23,deflator!$B:$C,2)))*deflator!$C$107</f>
        <v>5.9114968455328681E-2</v>
      </c>
      <c r="G23" s="1046">
        <v>2.9000000000000001E-2</v>
      </c>
      <c r="H23" s="1051"/>
      <c r="I23" s="1051"/>
      <c r="J23" s="1051"/>
      <c r="K23" s="1051"/>
      <c r="L23" s="1051"/>
      <c r="M23" s="1051"/>
      <c r="N23" s="1051"/>
      <c r="O23" s="1051"/>
      <c r="P23" s="1051"/>
      <c r="Q23" s="1051"/>
      <c r="R23" s="1051"/>
      <c r="S23" s="1051"/>
      <c r="T23" s="1051"/>
      <c r="U23" s="1047">
        <v>1991</v>
      </c>
      <c r="V23" s="1050" t="s">
        <v>5464</v>
      </c>
      <c r="W23" s="1049" t="s">
        <v>5456</v>
      </c>
    </row>
    <row r="24" spans="2:24" ht="15.9" customHeight="1" x14ac:dyDescent="0.3">
      <c r="B24" s="1039" t="s">
        <v>5463</v>
      </c>
      <c r="C24" s="1039" t="s">
        <v>1288</v>
      </c>
      <c r="D24" s="1046">
        <f>F24/'Exchange Rates'!$C$13</f>
        <v>12.758738019324138</v>
      </c>
      <c r="F24" s="1046">
        <f>((G24)/(VLOOKUP(U24,deflator!$B:$C,2)))*deflator!$C$107</f>
        <v>13.396674920290346</v>
      </c>
      <c r="G24" s="1046">
        <v>6.5720000000000001</v>
      </c>
      <c r="U24" s="1047">
        <v>1991</v>
      </c>
    </row>
    <row r="25" spans="2:24" ht="15.9" customHeight="1" x14ac:dyDescent="0.3">
      <c r="B25" s="1039" t="s">
        <v>5463</v>
      </c>
      <c r="C25" s="1039" t="s">
        <v>1804</v>
      </c>
      <c r="D25" s="1046">
        <f>F25/'Exchange Rates'!$C$13</f>
        <v>19.437079283243044</v>
      </c>
      <c r="F25" s="1046">
        <f>((G25)/(VLOOKUP(U25,deflator!$B:$C,2)))*deflator!$C$107</f>
        <v>20.408933247405198</v>
      </c>
      <c r="G25" s="1046">
        <v>10.012</v>
      </c>
      <c r="U25" s="1047">
        <v>1991</v>
      </c>
    </row>
    <row r="27" spans="2:24" ht="15.9" customHeight="1" x14ac:dyDescent="0.25">
      <c r="D27" s="1052"/>
    </row>
  </sheetData>
  <mergeCells count="1">
    <mergeCell ref="B4:F9"/>
  </mergeCells>
  <hyperlinks>
    <hyperlink ref="W12" r:id="rId1" xr:uid="{00000000-0004-0000-3700-000000000000}"/>
    <hyperlink ref="W16" r:id="rId2" location=":~:text=On%20September%2021%2C%20Japan%20contributed,in%20transportation%20and%20medical%20services" xr:uid="{00000000-0004-0000-3700-000001000000}"/>
    <hyperlink ref="W14" r:id="rId3" xr:uid="{00000000-0004-0000-3700-000002000000}"/>
    <hyperlink ref="W20" r:id="rId4" xr:uid="{00000000-0004-0000-3700-000003000000}"/>
    <hyperlink ref="W21" r:id="rId5" xr:uid="{00000000-0004-0000-3700-000004000000}"/>
    <hyperlink ref="W22" r:id="rId6" xr:uid="{00000000-0004-0000-3700-000005000000}"/>
    <hyperlink ref="W23" r:id="rId7" xr:uid="{00000000-0004-0000-3700-000006000000}"/>
    <hyperlink ref="W18" r:id="rId8" xr:uid="{00000000-0004-0000-3700-000007000000}"/>
  </hyperlinks>
  <pageMargins left="0.7" right="0.7" top="0.78740157499999996" bottom="0.78740157499999996" header="0.3" footer="0.3"/>
  <pageSetup paperSize="9" orientation="portrait"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59999389629810485"/>
  </sheetPr>
  <dimension ref="A1:W59"/>
  <sheetViews>
    <sheetView showGridLines="0" zoomScaleNormal="100" workbookViewId="0"/>
  </sheetViews>
  <sheetFormatPr baseColWidth="10" defaultColWidth="8.59765625" defaultRowHeight="15.9" customHeight="1" x14ac:dyDescent="0.3"/>
  <cols>
    <col min="1" max="1" width="8.59765625" style="2" customWidth="1"/>
    <col min="2" max="2" width="37.59765625" style="24" customWidth="1"/>
    <col min="3" max="3" width="19" style="172" customWidth="1"/>
    <col min="4" max="4" width="13.59765625" style="172" customWidth="1"/>
    <col min="5" max="5" width="19" style="172" customWidth="1"/>
    <col min="6" max="6" width="8.59765625" style="24" customWidth="1"/>
    <col min="7" max="16384" width="8.59765625" style="24"/>
  </cols>
  <sheetData>
    <row r="1" spans="1:23" s="35" customFormat="1" ht="15.9" customHeight="1" x14ac:dyDescent="0.3">
      <c r="B1" s="24"/>
      <c r="C1" s="172"/>
      <c r="D1" s="172"/>
      <c r="E1" s="172"/>
    </row>
    <row r="2" spans="1:23" ht="24.75" customHeight="1" x14ac:dyDescent="0.3">
      <c r="A2" s="35"/>
      <c r="B2" s="638" t="s">
        <v>3531</v>
      </c>
    </row>
    <row r="4" spans="1:23" ht="15.9" customHeight="1" x14ac:dyDescent="0.3">
      <c r="B4" s="1181" t="s">
        <v>3532</v>
      </c>
      <c r="C4" s="1181"/>
      <c r="D4" s="1181"/>
      <c r="E4" s="1181"/>
      <c r="F4" s="1181"/>
      <c r="G4" s="1181"/>
      <c r="H4" s="1181"/>
      <c r="I4" s="1181"/>
      <c r="J4" s="444"/>
      <c r="K4" s="444"/>
      <c r="L4" s="444"/>
      <c r="M4" s="444"/>
      <c r="N4" s="444"/>
      <c r="O4" s="444"/>
      <c r="P4" s="444"/>
      <c r="Q4" s="444"/>
      <c r="R4" s="444"/>
      <c r="S4" s="444"/>
      <c r="T4" s="444"/>
      <c r="U4" s="444"/>
      <c r="V4" s="444"/>
      <c r="W4" s="444"/>
    </row>
    <row r="5" spans="1:23" ht="15.9" customHeight="1" x14ac:dyDescent="0.3">
      <c r="B5" s="1181"/>
      <c r="C5" s="1181"/>
      <c r="D5" s="1181"/>
      <c r="E5" s="1181"/>
      <c r="F5" s="1181"/>
      <c r="G5" s="1181"/>
      <c r="H5" s="1181"/>
      <c r="I5" s="1181"/>
      <c r="J5" s="444"/>
      <c r="K5" s="444"/>
      <c r="L5" s="444"/>
      <c r="M5" s="444"/>
      <c r="N5" s="444"/>
      <c r="O5" s="444"/>
      <c r="P5" s="444"/>
      <c r="Q5" s="444"/>
      <c r="R5" s="444"/>
      <c r="S5" s="444"/>
      <c r="T5" s="444"/>
      <c r="U5" s="444"/>
      <c r="V5" s="444"/>
      <c r="W5" s="444"/>
    </row>
    <row r="6" spans="1:23" ht="15.9" customHeight="1" x14ac:dyDescent="0.3">
      <c r="B6" s="1181"/>
      <c r="C6" s="1181"/>
      <c r="D6" s="1181"/>
      <c r="E6" s="1181"/>
      <c r="F6" s="1181"/>
      <c r="G6" s="1181"/>
      <c r="H6" s="1181"/>
      <c r="I6" s="1181"/>
      <c r="J6" s="444"/>
      <c r="K6" s="444"/>
      <c r="L6" s="444"/>
      <c r="M6" s="444"/>
      <c r="N6" s="444"/>
      <c r="O6" s="444"/>
      <c r="P6" s="444"/>
      <c r="Q6" s="444"/>
      <c r="R6" s="444"/>
      <c r="S6" s="444"/>
      <c r="T6" s="444"/>
      <c r="U6" s="444"/>
      <c r="V6" s="444"/>
      <c r="W6" s="444"/>
    </row>
    <row r="7" spans="1:23" ht="15.9" customHeight="1" x14ac:dyDescent="0.3">
      <c r="B7" s="1181"/>
      <c r="C7" s="1181"/>
      <c r="D7" s="1181"/>
      <c r="E7" s="1181"/>
      <c r="F7" s="1181"/>
      <c r="G7" s="1181"/>
      <c r="H7" s="1181"/>
      <c r="I7" s="1181"/>
      <c r="J7" s="444"/>
      <c r="K7" s="444"/>
      <c r="L7" s="444"/>
      <c r="M7" s="444"/>
      <c r="N7" s="444"/>
      <c r="O7" s="444"/>
      <c r="P7" s="444"/>
      <c r="Q7" s="444"/>
      <c r="R7" s="444"/>
      <c r="S7" s="444"/>
      <c r="T7" s="444"/>
      <c r="U7" s="444"/>
      <c r="V7" s="444"/>
      <c r="W7" s="444"/>
    </row>
    <row r="8" spans="1:23" ht="15.9" customHeight="1" x14ac:dyDescent="0.3">
      <c r="B8" s="1181"/>
      <c r="C8" s="1181"/>
      <c r="D8" s="1181"/>
      <c r="E8" s="1181"/>
      <c r="F8" s="1181"/>
      <c r="G8" s="1181"/>
      <c r="H8" s="1181"/>
      <c r="I8" s="1181"/>
      <c r="J8" s="444"/>
      <c r="K8" s="444"/>
      <c r="L8" s="444"/>
      <c r="M8" s="444"/>
      <c r="N8" s="444"/>
      <c r="O8" s="444"/>
      <c r="P8" s="444"/>
      <c r="Q8" s="444"/>
      <c r="R8" s="444"/>
      <c r="S8" s="444"/>
      <c r="T8" s="444"/>
      <c r="U8" s="444"/>
      <c r="V8" s="444"/>
      <c r="W8" s="444"/>
    </row>
    <row r="9" spans="1:23" ht="15.9" customHeight="1" x14ac:dyDescent="0.3">
      <c r="B9" s="1181"/>
      <c r="C9" s="1181"/>
      <c r="D9" s="1181"/>
      <c r="E9" s="1181"/>
      <c r="F9" s="1181"/>
      <c r="G9" s="1181"/>
      <c r="H9" s="1181"/>
      <c r="I9" s="1181"/>
      <c r="J9" s="444"/>
      <c r="K9" s="444"/>
      <c r="L9" s="444"/>
      <c r="M9" s="444"/>
      <c r="N9" s="444"/>
      <c r="O9" s="444"/>
    </row>
    <row r="11" spans="1:23" s="352" customFormat="1" ht="24.75" customHeight="1" x14ac:dyDescent="0.3">
      <c r="A11" s="2"/>
      <c r="B11" s="457" t="s">
        <v>3499</v>
      </c>
      <c r="C11" s="458" t="s">
        <v>3533</v>
      </c>
      <c r="E11" s="412" t="s">
        <v>3534</v>
      </c>
    </row>
    <row r="12" spans="1:23" ht="15.9" customHeight="1" x14ac:dyDescent="0.3">
      <c r="B12" s="2" t="s">
        <v>2792</v>
      </c>
      <c r="C12" s="173">
        <f>VLOOKUP(B12,'Data Transparency Index'!B:H,COLUMN('Data Transparency Index'!H14)-1,FALSE)</f>
        <v>5</v>
      </c>
      <c r="D12" s="173"/>
      <c r="E12" s="173"/>
    </row>
    <row r="13" spans="1:23" ht="15.9" customHeight="1" x14ac:dyDescent="0.3">
      <c r="B13" s="24" t="s">
        <v>856</v>
      </c>
      <c r="C13" s="173">
        <f>VLOOKUP(B13,'Data Transparency Index'!B:H,COLUMN('Data Transparency Index'!H17)-1,FALSE)</f>
        <v>4.6875</v>
      </c>
      <c r="D13" s="173"/>
      <c r="E13" s="173"/>
      <c r="F13" s="459"/>
      <c r="G13" s="459"/>
      <c r="H13" s="459"/>
      <c r="I13" s="459"/>
    </row>
    <row r="14" spans="1:23" ht="15.9" customHeight="1" x14ac:dyDescent="0.3">
      <c r="B14" s="24" t="s">
        <v>3038</v>
      </c>
      <c r="C14" s="173">
        <f>VLOOKUP(B14,'Data Transparency Index'!B:H,COLUMN('Data Transparency Index'!H25)-1,FALSE)</f>
        <v>4.614147909967846</v>
      </c>
      <c r="D14" s="173"/>
      <c r="E14" s="173"/>
    </row>
    <row r="15" spans="1:23" ht="15.9" customHeight="1" x14ac:dyDescent="0.3">
      <c r="B15" s="24" t="s">
        <v>2715</v>
      </c>
      <c r="C15" s="173">
        <f>VLOOKUP(B15,'Data Transparency Index'!B:H,COLUMN('Data Transparency Index'!H15)-1,FALSE)</f>
        <v>4.5272727272727273</v>
      </c>
      <c r="D15" s="173"/>
      <c r="E15" s="173"/>
      <c r="F15" s="459"/>
      <c r="G15" s="459"/>
      <c r="H15" s="459"/>
      <c r="I15" s="459"/>
    </row>
    <row r="16" spans="1:23" ht="15.9" customHeight="1" x14ac:dyDescent="0.3">
      <c r="B16" s="24" t="s">
        <v>2076</v>
      </c>
      <c r="C16" s="173">
        <f>VLOOKUP(B16,'Data Transparency Index'!B:H,COLUMN('Data Transparency Index'!H20)-1,FALSE)</f>
        <v>4.4649758454106276</v>
      </c>
      <c r="D16" s="173"/>
      <c r="E16" s="173"/>
      <c r="F16" s="459"/>
      <c r="G16" s="459"/>
      <c r="H16" s="459"/>
      <c r="I16" s="459"/>
    </row>
    <row r="17" spans="2:9" ht="15.9" customHeight="1" x14ac:dyDescent="0.3">
      <c r="B17" s="2" t="s">
        <v>255</v>
      </c>
      <c r="C17" s="173">
        <f>VLOOKUP(B17,'Data Transparency Index'!B:H,COLUMN('Data Transparency Index'!H16)-1,FALSE)</f>
        <v>4.46</v>
      </c>
      <c r="D17" s="173"/>
      <c r="E17" s="173"/>
      <c r="F17" s="459"/>
      <c r="G17" s="459"/>
      <c r="H17" s="459"/>
      <c r="I17" s="459"/>
    </row>
    <row r="18" spans="2:9" ht="15.9" customHeight="1" x14ac:dyDescent="0.3">
      <c r="B18" s="24" t="s">
        <v>1025</v>
      </c>
      <c r="C18" s="173">
        <f>VLOOKUP(B18,'Data Transparency Index'!B:H,COLUMN('Data Transparency Index'!H18)-1,FALSE)</f>
        <v>4.4210526315789469</v>
      </c>
      <c r="D18" s="173"/>
      <c r="E18" s="173"/>
    </row>
    <row r="19" spans="2:9" ht="15.9" customHeight="1" x14ac:dyDescent="0.3">
      <c r="B19" s="24" t="s">
        <v>517</v>
      </c>
      <c r="C19" s="173">
        <f>VLOOKUP(B19,'Data Transparency Index'!B:H,COLUMN('Data Transparency Index'!H19)-1,FALSE)</f>
        <v>4.3229166666666661</v>
      </c>
      <c r="D19" s="173"/>
      <c r="E19" s="173"/>
    </row>
    <row r="20" spans="2:9" ht="15.9" customHeight="1" x14ac:dyDescent="0.3">
      <c r="B20" s="2" t="s">
        <v>2168</v>
      </c>
      <c r="C20" s="173">
        <f>VLOOKUP(B20,'Data Transparency Index'!B:H,COLUMN('Data Transparency Index'!H21)-1,FALSE)</f>
        <v>4.3186813186813193</v>
      </c>
      <c r="D20" s="173"/>
      <c r="E20" s="173"/>
    </row>
    <row r="21" spans="2:9" ht="15.9" customHeight="1" x14ac:dyDescent="0.3">
      <c r="B21" s="24" t="s">
        <v>1701</v>
      </c>
      <c r="C21" s="173">
        <f>VLOOKUP(B21,'Data Transparency Index'!B:H,COLUMN('Data Transparency Index'!H22)-1,FALSE)</f>
        <v>4.0909090909090908</v>
      </c>
      <c r="D21" s="173"/>
      <c r="E21" s="173"/>
    </row>
    <row r="22" spans="2:9" ht="15.9" customHeight="1" x14ac:dyDescent="0.3">
      <c r="B22" s="2" t="s">
        <v>2206</v>
      </c>
      <c r="C22" s="173">
        <f>VLOOKUP(B22,'Data Transparency Index'!B:H,COLUMN('Data Transparency Index'!H23)-1,FALSE)</f>
        <v>3.931174089068826</v>
      </c>
      <c r="D22" s="173"/>
      <c r="E22" s="173"/>
    </row>
    <row r="23" spans="2:9" ht="15.9" customHeight="1" x14ac:dyDescent="0.3">
      <c r="B23" s="24" t="s">
        <v>937</v>
      </c>
      <c r="C23" s="173">
        <f>VLOOKUP(B23,'Data Transparency Index'!B:H,COLUMN('Data Transparency Index'!H28)-1,FALSE)</f>
        <v>3.9007936507936507</v>
      </c>
      <c r="D23" s="173"/>
      <c r="E23" s="173"/>
    </row>
    <row r="24" spans="2:9" ht="15.9" customHeight="1" x14ac:dyDescent="0.3">
      <c r="B24" s="24" t="s">
        <v>1288</v>
      </c>
      <c r="C24" s="173">
        <f>VLOOKUP(B24,'Data Transparency Index'!B:H,COLUMN('Data Transparency Index'!H26)-1,FALSE)</f>
        <v>3.8310608054751252</v>
      </c>
      <c r="D24" s="173"/>
      <c r="E24" s="173"/>
    </row>
    <row r="25" spans="2:9" ht="15.9" customHeight="1" x14ac:dyDescent="0.3">
      <c r="B25" s="37" t="s">
        <v>3426</v>
      </c>
      <c r="C25" s="173">
        <f>VLOOKUP(B25,'Data Transparency Index'!B:H,COLUMN('Data Transparency Index'!H27)-1,FALSE)</f>
        <v>3.8181818181818183</v>
      </c>
      <c r="D25" s="173"/>
      <c r="E25" s="173"/>
    </row>
    <row r="26" spans="2:9" ht="15.9" customHeight="1" x14ac:dyDescent="0.3">
      <c r="B26" s="24" t="s">
        <v>1919</v>
      </c>
      <c r="C26" s="173">
        <f>VLOOKUP(B26,'Data Transparency Index'!B:H,COLUMN('Data Transparency Index'!H29)-1,FALSE)</f>
        <v>3.7801932367149762</v>
      </c>
      <c r="D26" s="173"/>
      <c r="E26" s="173"/>
    </row>
    <row r="27" spans="2:9" ht="15.9" customHeight="1" x14ac:dyDescent="0.3">
      <c r="B27" s="24" t="s">
        <v>2066</v>
      </c>
      <c r="C27" s="173">
        <f>VLOOKUP(B27,'Data Transparency Index'!B:H,COLUMN('Data Transparency Index'!H24)-1,FALSE)</f>
        <v>3.5</v>
      </c>
      <c r="D27" s="173"/>
      <c r="E27" s="173"/>
    </row>
    <row r="28" spans="2:9" ht="15.9" customHeight="1" x14ac:dyDescent="0.3">
      <c r="B28" s="24" t="s">
        <v>1804</v>
      </c>
      <c r="C28" s="173">
        <f>VLOOKUP(B28,'Data Transparency Index'!B:H,COLUMN('Data Transparency Index'!H31)-1,FALSE)</f>
        <v>3.3863636363636362</v>
      </c>
      <c r="D28" s="173"/>
      <c r="E28" s="173"/>
    </row>
    <row r="29" spans="2:9" ht="15.9" customHeight="1" x14ac:dyDescent="0.3">
      <c r="B29" s="24" t="s">
        <v>344</v>
      </c>
      <c r="C29" s="173">
        <f>VLOOKUP(B29,'Data Transparency Index'!B:H,COLUMN('Data Transparency Index'!H30)-1,FALSE)</f>
        <v>3.3846153846153846</v>
      </c>
      <c r="D29" s="173"/>
      <c r="E29" s="173"/>
    </row>
    <row r="30" spans="2:9" ht="15.9" customHeight="1" x14ac:dyDescent="0.3">
      <c r="B30" s="24" t="s">
        <v>413</v>
      </c>
      <c r="C30" s="173">
        <f>VLOOKUP(B30,'Data Transparency Index'!B:H,COLUMN('Data Transparency Index'!H34)-1,FALSE)</f>
        <v>3.15</v>
      </c>
      <c r="D30" s="173"/>
      <c r="E30" s="173"/>
    </row>
    <row r="31" spans="2:9" ht="15.9" customHeight="1" x14ac:dyDescent="0.3">
      <c r="B31" s="24" t="s">
        <v>2864</v>
      </c>
      <c r="C31" s="173">
        <f>VLOOKUP(B31,'Data Transparency Index'!B:H,COLUMN('Data Transparency Index'!H32)-1,FALSE)</f>
        <v>3.1206733048838315</v>
      </c>
      <c r="D31" s="173"/>
      <c r="E31" s="173"/>
    </row>
    <row r="32" spans="2:9" ht="15.9" customHeight="1" x14ac:dyDescent="0.3">
      <c r="B32" s="24" t="s">
        <v>2024</v>
      </c>
      <c r="C32" s="173">
        <f>VLOOKUP(B32,'Data Transparency Index'!B:H,COLUMN('Data Transparency Index'!H43)-1,FALSE)</f>
        <v>2.925925925925926</v>
      </c>
      <c r="D32" s="173"/>
      <c r="E32" s="173"/>
    </row>
    <row r="33" spans="2:5" ht="15.9" customHeight="1" x14ac:dyDescent="0.3">
      <c r="B33" s="24" t="s">
        <v>696</v>
      </c>
      <c r="C33" s="173">
        <f>VLOOKUP(B33,'Data Transparency Index'!B:H,COLUMN('Data Transparency Index'!H33)-1,FALSE)</f>
        <v>2.875</v>
      </c>
      <c r="D33" s="173"/>
      <c r="E33" s="173"/>
    </row>
    <row r="34" spans="2:5" ht="15.9" customHeight="1" x14ac:dyDescent="0.3">
      <c r="B34" s="2" t="s">
        <v>2424</v>
      </c>
      <c r="C34" s="173">
        <f>VLOOKUP(B34,'Data Transparency Index'!B:H,COLUMN('Data Transparency Index'!H36)-1,FALSE)</f>
        <v>2.6969696969696972</v>
      </c>
      <c r="D34" s="173"/>
      <c r="E34" s="173"/>
    </row>
    <row r="35" spans="2:5" ht="15.9" customHeight="1" x14ac:dyDescent="0.3">
      <c r="B35" s="24" t="s">
        <v>1730</v>
      </c>
      <c r="C35" s="173">
        <f>VLOOKUP(B35,'Data Transparency Index'!B:H,COLUMN('Data Transparency Index'!H37)-1,FALSE)</f>
        <v>2.6538461538461542</v>
      </c>
      <c r="D35" s="173"/>
      <c r="E35" s="173"/>
    </row>
    <row r="36" spans="2:5" ht="15.9" customHeight="1" x14ac:dyDescent="0.3">
      <c r="B36" s="24" t="s">
        <v>664</v>
      </c>
      <c r="C36" s="173">
        <f>VLOOKUP(B36,'Data Transparency Index'!B:H,COLUMN('Data Transparency Index'!H35)-1,FALSE)</f>
        <v>2.3333333333333335</v>
      </c>
      <c r="D36" s="173"/>
      <c r="E36" s="173"/>
    </row>
    <row r="37" spans="2:5" ht="15.9" customHeight="1" x14ac:dyDescent="0.3">
      <c r="B37" s="24" t="s">
        <v>480</v>
      </c>
      <c r="C37" s="173">
        <f>VLOOKUP(B37,'Data Transparency Index'!B:H,COLUMN('Data Transparency Index'!H53)-1,FALSE)</f>
        <v>2.2999999999999998</v>
      </c>
      <c r="D37" s="173"/>
      <c r="E37" s="173"/>
    </row>
    <row r="38" spans="2:5" ht="15.9" customHeight="1" x14ac:dyDescent="0.3">
      <c r="B38" s="24" t="s">
        <v>716</v>
      </c>
      <c r="C38" s="173">
        <f>VLOOKUP(B38,'Data Transparency Index'!B:H,COLUMN('Data Transparency Index'!H40)-1,FALSE)</f>
        <v>2.210294117647059</v>
      </c>
      <c r="D38" s="173"/>
      <c r="E38" s="173"/>
    </row>
    <row r="39" spans="2:5" ht="15.9" customHeight="1" x14ac:dyDescent="0.3">
      <c r="B39" s="24" t="s">
        <v>1861</v>
      </c>
      <c r="C39" s="173">
        <f>VLOOKUP(B39,'Data Transparency Index'!B:H,COLUMN('Data Transparency Index'!H39)-1,FALSE)</f>
        <v>2.1999999999999997</v>
      </c>
      <c r="D39" s="173"/>
      <c r="E39" s="173"/>
    </row>
    <row r="40" spans="2:5" ht="15.9" customHeight="1" x14ac:dyDescent="0.3">
      <c r="B40" s="24" t="s">
        <v>1131</v>
      </c>
      <c r="C40" s="173">
        <f>VLOOKUP(B40,'Data Transparency Index'!B:H,COLUMN('Data Transparency Index'!H44)-1,FALSE)</f>
        <v>2.1140724946695095</v>
      </c>
      <c r="D40" s="173"/>
      <c r="E40" s="173"/>
    </row>
    <row r="41" spans="2:5" ht="15.9" customHeight="1" x14ac:dyDescent="0.3">
      <c r="B41" s="24" t="s">
        <v>2840</v>
      </c>
      <c r="C41" s="173">
        <f>VLOOKUP(B41,'Data Transparency Index'!B:H,COLUMN('Data Transparency Index'!H42)-1,FALSE)</f>
        <v>2.1111111111111112</v>
      </c>
      <c r="D41" s="173"/>
      <c r="E41" s="173"/>
    </row>
    <row r="42" spans="2:5" ht="15.9" customHeight="1" x14ac:dyDescent="0.3">
      <c r="B42" s="24" t="s">
        <v>2489</v>
      </c>
      <c r="C42" s="173">
        <f>VLOOKUP(B42,'Data Transparency Index'!B:H,COLUMN('Data Transparency Index'!H38)-1,FALSE)</f>
        <v>2</v>
      </c>
      <c r="D42" s="173"/>
      <c r="E42" s="173"/>
    </row>
    <row r="43" spans="2:5" ht="15.9" customHeight="1" x14ac:dyDescent="0.3">
      <c r="B43" s="24" t="s">
        <v>656</v>
      </c>
      <c r="C43" s="173">
        <f>VLOOKUP(B43,'Data Transparency Index'!B:H,COLUMN('Data Transparency Index'!H45)-1,FALSE)</f>
        <v>2</v>
      </c>
      <c r="D43" s="173"/>
      <c r="E43" s="173"/>
    </row>
    <row r="44" spans="2:5" ht="15.9" customHeight="1" x14ac:dyDescent="0.3">
      <c r="B44" s="24" t="s">
        <v>1646</v>
      </c>
      <c r="C44" s="173">
        <f>VLOOKUP(B44,'Data Transparency Index'!B:H,COLUMN('Data Transparency Index'!H46)-1,FALSE)</f>
        <v>2</v>
      </c>
      <c r="D44" s="173"/>
      <c r="E44" s="173"/>
    </row>
    <row r="45" spans="2:5" ht="15.9" customHeight="1" x14ac:dyDescent="0.3">
      <c r="B45" s="24" t="s">
        <v>1687</v>
      </c>
      <c r="C45" s="173">
        <f>VLOOKUP(B45,'Data Transparency Index'!B:H,COLUMN('Data Transparency Index'!H47)-1,FALSE)</f>
        <v>2</v>
      </c>
      <c r="D45" s="173"/>
      <c r="E45" s="173"/>
    </row>
    <row r="46" spans="2:5" ht="15.9" customHeight="1" x14ac:dyDescent="0.3">
      <c r="B46" s="24" t="s">
        <v>2547</v>
      </c>
      <c r="C46" s="173">
        <f>VLOOKUP(B46,'Data Transparency Index'!B:H,COLUMN('Data Transparency Index'!H49)-1,FALSE)</f>
        <v>1.8166666666666669</v>
      </c>
      <c r="D46" s="173"/>
      <c r="E46" s="173"/>
    </row>
    <row r="47" spans="2:5" ht="15.9" customHeight="1" x14ac:dyDescent="0.3">
      <c r="B47" s="2" t="s">
        <v>2820</v>
      </c>
      <c r="C47" s="173">
        <f>VLOOKUP(B47,'Data Transparency Index'!B:H,COLUMN('Data Transparency Index'!H48)-1,FALSE)</f>
        <v>1.7777777777777777</v>
      </c>
      <c r="D47" s="173"/>
      <c r="E47" s="173"/>
    </row>
    <row r="48" spans="2:5" ht="15.9" customHeight="1" x14ac:dyDescent="0.3">
      <c r="B48" s="24" t="s">
        <v>2303</v>
      </c>
      <c r="C48" s="173">
        <f>VLOOKUP(B48,'Data Transparency Index'!B:H,COLUMN('Data Transparency Index'!H50)-1,FALSE)</f>
        <v>1.7744565217391304</v>
      </c>
      <c r="D48" s="173"/>
      <c r="E48" s="173"/>
    </row>
    <row r="49" spans="2:5" ht="15.9" customHeight="1" x14ac:dyDescent="0.3">
      <c r="B49" s="24" t="s">
        <v>2460</v>
      </c>
      <c r="C49" s="173">
        <f>VLOOKUP(B49,'Data Transparency Index'!B:H,COLUMN('Data Transparency Index'!H41)-1,FALSE)</f>
        <v>1.6111111111111112</v>
      </c>
      <c r="D49" s="173"/>
      <c r="E49" s="173"/>
    </row>
    <row r="50" spans="2:5" ht="15.9" customHeight="1" x14ac:dyDescent="0.3">
      <c r="B50" s="24" t="s">
        <v>1606</v>
      </c>
      <c r="C50" s="173">
        <f>VLOOKUP(B50,'Data Transparency Index'!B:H,COLUMN('Data Transparency Index'!H51)-1,FALSE)</f>
        <v>1.5333333333333332</v>
      </c>
      <c r="D50" s="173"/>
      <c r="E50" s="173"/>
    </row>
    <row r="51" spans="2:5" ht="15.9" customHeight="1" x14ac:dyDescent="0.3">
      <c r="B51" s="24" t="s">
        <v>2615</v>
      </c>
      <c r="C51" s="173">
        <f>VLOOKUP(B51,'Data Transparency Index'!B:H,COLUMN('Data Transparency Index'!H52)-1,FALSE)</f>
        <v>1.4529914529914532</v>
      </c>
      <c r="D51" s="173"/>
      <c r="E51" s="173"/>
    </row>
    <row r="52" spans="2:5" ht="15.9" customHeight="1" x14ac:dyDescent="0.3">
      <c r="B52" s="289" t="s">
        <v>2370</v>
      </c>
      <c r="C52" s="298">
        <f>VLOOKUP(B52,'Data Transparency Index'!B:H,COLUMN('Data Transparency Index'!H54)-1,FALSE)</f>
        <v>1.2115384615384617</v>
      </c>
      <c r="D52" s="173"/>
      <c r="E52" s="173"/>
    </row>
    <row r="53" spans="2:5" ht="15.9" customHeight="1" x14ac:dyDescent="0.35">
      <c r="D53" s="388"/>
      <c r="E53" s="388"/>
    </row>
    <row r="54" spans="2:5" ht="15.9" customHeight="1" x14ac:dyDescent="0.3">
      <c r="B54" s="460" t="s">
        <v>3535</v>
      </c>
      <c r="C54" s="461">
        <f>SUM(C12:C52)/COUNT(C12:C52)</f>
        <v>3.0319253725669566</v>
      </c>
    </row>
    <row r="55" spans="2:5" ht="15.9" customHeight="1" x14ac:dyDescent="0.3">
      <c r="C55" s="24"/>
    </row>
    <row r="59" spans="2:5" ht="15.9" customHeight="1" x14ac:dyDescent="0.3">
      <c r="B59" s="140"/>
    </row>
  </sheetData>
  <sortState ref="B12:C52">
    <sortCondition descending="1" ref="C12:C52"/>
  </sortState>
  <mergeCells count="1">
    <mergeCell ref="B4:I9"/>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B4C6E7"/>
  </sheetPr>
  <dimension ref="B1:G53"/>
  <sheetViews>
    <sheetView showGridLines="0" zoomScaleNormal="100" workbookViewId="0"/>
  </sheetViews>
  <sheetFormatPr baseColWidth="10" defaultColWidth="8.59765625" defaultRowHeight="15.9" customHeight="1" x14ac:dyDescent="0.3"/>
  <cols>
    <col min="1" max="1" width="8.59765625" style="13" customWidth="1"/>
    <col min="2" max="2" width="25.5" style="13" customWidth="1"/>
    <col min="3" max="3" width="45.59765625" style="72" bestFit="1" customWidth="1"/>
    <col min="4" max="4" width="39.3984375" style="112" customWidth="1"/>
    <col min="5" max="5" width="32.3984375" style="95" customWidth="1"/>
    <col min="6" max="6" width="13.59765625" style="13" customWidth="1"/>
    <col min="7" max="16384" width="8.59765625" style="13"/>
  </cols>
  <sheetData>
    <row r="1" spans="2:7" s="35" customFormat="1" ht="15.9" customHeight="1" x14ac:dyDescent="0.3">
      <c r="B1" s="39"/>
      <c r="C1" s="148"/>
      <c r="D1" s="887"/>
      <c r="E1" s="148"/>
    </row>
    <row r="2" spans="2:7" s="647" customFormat="1" ht="24.75" customHeight="1" x14ac:dyDescent="0.3">
      <c r="B2" s="646" t="s">
        <v>3536</v>
      </c>
      <c r="D2" s="888"/>
    </row>
    <row r="3" spans="2:7" s="116" customFormat="1" ht="15.9" customHeight="1" x14ac:dyDescent="0.25">
      <c r="D3" s="889"/>
    </row>
    <row r="4" spans="2:7" s="116" customFormat="1" ht="15.9" customHeight="1" x14ac:dyDescent="0.25">
      <c r="B4" s="1182" t="s">
        <v>3537</v>
      </c>
      <c r="C4" s="1181"/>
      <c r="D4" s="1181"/>
      <c r="E4" s="444"/>
      <c r="F4" s="444"/>
      <c r="G4" s="444"/>
    </row>
    <row r="5" spans="2:7" s="116" customFormat="1" ht="15.9" customHeight="1" x14ac:dyDescent="0.25">
      <c r="B5" s="1181"/>
      <c r="C5" s="1181"/>
      <c r="D5" s="1181"/>
      <c r="E5" s="444"/>
      <c r="F5" s="444"/>
      <c r="G5" s="444"/>
    </row>
    <row r="6" spans="2:7" s="116" customFormat="1" ht="15.9" customHeight="1" x14ac:dyDescent="0.25">
      <c r="B6" s="1181"/>
      <c r="C6" s="1181"/>
      <c r="D6" s="1181"/>
      <c r="E6" s="444"/>
      <c r="F6" s="444"/>
      <c r="G6" s="444"/>
    </row>
    <row r="7" spans="2:7" s="116" customFormat="1" ht="15.9" customHeight="1" x14ac:dyDescent="0.25">
      <c r="B7" s="1181"/>
      <c r="C7" s="1181"/>
      <c r="D7" s="1181"/>
      <c r="E7" s="444"/>
      <c r="F7" s="444"/>
      <c r="G7" s="444"/>
    </row>
    <row r="8" spans="2:7" s="116" customFormat="1" ht="15.9" customHeight="1" x14ac:dyDescent="0.25">
      <c r="B8" s="1181"/>
      <c r="C8" s="1181"/>
      <c r="D8" s="1181"/>
      <c r="E8" s="444"/>
      <c r="F8" s="444"/>
      <c r="G8" s="444"/>
    </row>
    <row r="9" spans="2:7" s="116" customFormat="1" ht="15.9" customHeight="1" x14ac:dyDescent="0.25">
      <c r="B9" s="1181"/>
      <c r="C9" s="1181"/>
      <c r="D9" s="1181"/>
      <c r="E9" s="444"/>
      <c r="F9" s="444"/>
      <c r="G9" s="444"/>
    </row>
    <row r="10" spans="2:7" ht="15.9" customHeight="1" x14ac:dyDescent="0.3">
      <c r="B10" s="24"/>
    </row>
    <row r="11" spans="2:7" s="3" customFormat="1" ht="24.75" customHeight="1" x14ac:dyDescent="0.3">
      <c r="B11" s="413" t="s">
        <v>3499</v>
      </c>
      <c r="C11" s="886" t="s">
        <v>3538</v>
      </c>
      <c r="D11" s="501" t="s">
        <v>3539</v>
      </c>
      <c r="E11" s="500" t="s">
        <v>3540</v>
      </c>
      <c r="G11" s="438" t="s">
        <v>3541</v>
      </c>
    </row>
    <row r="12" spans="2:7" ht="15.9" customHeight="1" x14ac:dyDescent="0.3">
      <c r="B12" s="19" t="s">
        <v>2303</v>
      </c>
      <c r="C12" s="881">
        <v>1563386</v>
      </c>
      <c r="D12" s="880">
        <v>37950802</v>
      </c>
      <c r="E12" s="62">
        <f>(C12/D12)*100</f>
        <v>4.119507145066394</v>
      </c>
    </row>
    <row r="13" spans="2:7" ht="15.9" customHeight="1" x14ac:dyDescent="0.3">
      <c r="B13" s="19" t="s">
        <v>2460</v>
      </c>
      <c r="C13" s="881">
        <v>108663</v>
      </c>
      <c r="D13" s="880">
        <v>19286123</v>
      </c>
      <c r="E13" s="62">
        <f t="shared" ref="E13:E53" si="0">(C13/D13)*100</f>
        <v>0.56342583732355123</v>
      </c>
    </row>
    <row r="14" spans="2:7" ht="15.9" customHeight="1" x14ac:dyDescent="0.3">
      <c r="B14" s="19" t="s">
        <v>1646</v>
      </c>
      <c r="C14" s="881">
        <v>33603</v>
      </c>
      <c r="D14" s="880">
        <v>9749763</v>
      </c>
      <c r="E14" s="62">
        <f t="shared" si="0"/>
        <v>0.34465453160246051</v>
      </c>
    </row>
    <row r="15" spans="2:7" ht="15.9" customHeight="1" x14ac:dyDescent="0.3">
      <c r="B15" s="19" t="s">
        <v>3542</v>
      </c>
      <c r="C15" s="881">
        <v>108824</v>
      </c>
      <c r="D15" s="880">
        <v>2620495</v>
      </c>
      <c r="E15" s="62">
        <f t="shared" si="0"/>
        <v>4.1528031917633887</v>
      </c>
      <c r="F15" s="110"/>
    </row>
    <row r="16" spans="2:7" ht="15.9" customHeight="1" x14ac:dyDescent="0.3">
      <c r="B16" s="19" t="s">
        <v>2489</v>
      </c>
      <c r="C16" s="881">
        <v>107199</v>
      </c>
      <c r="D16" s="880">
        <v>5458827</v>
      </c>
      <c r="E16" s="62">
        <f t="shared" si="0"/>
        <v>1.9637735359629458</v>
      </c>
    </row>
    <row r="17" spans="2:5" ht="15.9" customHeight="1" x14ac:dyDescent="0.3">
      <c r="B17" s="19" t="s">
        <v>3543</v>
      </c>
      <c r="C17" s="881">
        <v>19673</v>
      </c>
      <c r="D17" s="880">
        <v>9379952</v>
      </c>
      <c r="E17" s="62">
        <f t="shared" si="0"/>
        <v>0.20973454874822386</v>
      </c>
    </row>
    <row r="18" spans="2:5" ht="15.9" customHeight="1" x14ac:dyDescent="0.3">
      <c r="B18" s="19" t="s">
        <v>1288</v>
      </c>
      <c r="C18" s="882">
        <v>1055323</v>
      </c>
      <c r="D18" s="880">
        <v>83240525</v>
      </c>
      <c r="E18" s="62">
        <f t="shared" si="0"/>
        <v>1.267799548357005</v>
      </c>
    </row>
    <row r="19" spans="2:5" ht="15.9" customHeight="1" x14ac:dyDescent="0.3">
      <c r="B19" s="19" t="s">
        <v>716</v>
      </c>
      <c r="C19" s="883">
        <v>486133</v>
      </c>
      <c r="D19" s="880">
        <v>10698896</v>
      </c>
      <c r="E19" s="62">
        <f t="shared" si="0"/>
        <v>4.5437678803495238</v>
      </c>
    </row>
    <row r="20" spans="2:5" ht="15.9" customHeight="1" x14ac:dyDescent="0.3">
      <c r="B20" s="19" t="s">
        <v>480</v>
      </c>
      <c r="C20" s="883">
        <v>151712</v>
      </c>
      <c r="D20" s="880">
        <v>6934015</v>
      </c>
      <c r="E20" s="62">
        <f t="shared" si="0"/>
        <v>2.1879387339081324</v>
      </c>
    </row>
    <row r="21" spans="2:5" ht="15.9" customHeight="1" x14ac:dyDescent="0.3">
      <c r="B21" s="19" t="s">
        <v>1730</v>
      </c>
      <c r="C21" s="883">
        <v>169306</v>
      </c>
      <c r="D21" s="880">
        <v>59554023</v>
      </c>
      <c r="E21" s="62">
        <f t="shared" si="0"/>
        <v>0.28428977837483793</v>
      </c>
    </row>
    <row r="22" spans="2:5" ht="15.9" customHeight="1" x14ac:dyDescent="0.3">
      <c r="B22" s="19" t="s">
        <v>2820</v>
      </c>
      <c r="C22" s="883">
        <v>95874</v>
      </c>
      <c r="D22" s="880">
        <v>84339067</v>
      </c>
      <c r="E22" s="62">
        <f t="shared" si="0"/>
        <v>0.11367685630195552</v>
      </c>
    </row>
    <row r="23" spans="2:5" ht="15.9" customHeight="1" x14ac:dyDescent="0.3">
      <c r="B23" s="19" t="s">
        <v>2615</v>
      </c>
      <c r="C23" s="884">
        <v>161012</v>
      </c>
      <c r="D23" s="880">
        <v>47351567</v>
      </c>
      <c r="E23" s="62">
        <f t="shared" si="0"/>
        <v>0.34003520939444304</v>
      </c>
    </row>
    <row r="24" spans="2:5" ht="15.9" customHeight="1" x14ac:dyDescent="0.3">
      <c r="B24" s="19" t="s">
        <v>344</v>
      </c>
      <c r="C24" s="884">
        <v>92436</v>
      </c>
      <c r="D24" s="880">
        <v>25687041</v>
      </c>
      <c r="E24" s="62">
        <f t="shared" si="0"/>
        <v>0.35985460528520974</v>
      </c>
    </row>
    <row r="25" spans="2:5" ht="15.9" customHeight="1" x14ac:dyDescent="0.3">
      <c r="B25" s="19" t="s">
        <v>1131</v>
      </c>
      <c r="C25" s="883">
        <v>118994</v>
      </c>
      <c r="D25" s="880">
        <v>67391582</v>
      </c>
      <c r="E25" s="62">
        <f t="shared" si="0"/>
        <v>0.1765710144629043</v>
      </c>
    </row>
    <row r="26" spans="2:5" ht="15.9" customHeight="1" x14ac:dyDescent="0.3">
      <c r="B26" s="19" t="s">
        <v>1919</v>
      </c>
      <c r="C26" s="884">
        <v>73606</v>
      </c>
      <c r="D26" s="880">
        <v>2794700</v>
      </c>
      <c r="E26" s="62">
        <f t="shared" si="0"/>
        <v>2.6337710666618959</v>
      </c>
    </row>
    <row r="27" spans="2:5" ht="15.9" customHeight="1" x14ac:dyDescent="0.3">
      <c r="B27" s="19" t="s">
        <v>937</v>
      </c>
      <c r="C27" s="882">
        <v>66074</v>
      </c>
      <c r="D27" s="880">
        <v>1331057</v>
      </c>
      <c r="E27" s="62">
        <f t="shared" si="0"/>
        <v>4.964024831393397</v>
      </c>
    </row>
    <row r="28" spans="2:5" ht="15.9" customHeight="1" x14ac:dyDescent="0.3">
      <c r="B28" s="19" t="s">
        <v>2370</v>
      </c>
      <c r="C28" s="884">
        <v>57109</v>
      </c>
      <c r="D28" s="880">
        <v>10305564</v>
      </c>
      <c r="E28" s="62">
        <f t="shared" si="0"/>
        <v>0.55415695831882661</v>
      </c>
    </row>
    <row r="29" spans="2:5" ht="15.9" customHeight="1" x14ac:dyDescent="0.3">
      <c r="B29" s="19" t="s">
        <v>2715</v>
      </c>
      <c r="C29" s="884">
        <v>51230</v>
      </c>
      <c r="D29" s="880">
        <v>10353442</v>
      </c>
      <c r="E29" s="62">
        <f t="shared" si="0"/>
        <v>0.49481129077653596</v>
      </c>
    </row>
    <row r="30" spans="2:5" ht="15.9" customHeight="1" x14ac:dyDescent="0.3">
      <c r="B30" s="19" t="s">
        <v>413</v>
      </c>
      <c r="C30" s="884">
        <v>67144</v>
      </c>
      <c r="D30" s="880">
        <v>11555997</v>
      </c>
      <c r="E30" s="62">
        <f t="shared" si="0"/>
        <v>0.58103164962746179</v>
      </c>
    </row>
    <row r="31" spans="2:5" ht="15.9" customHeight="1" x14ac:dyDescent="0.3">
      <c r="B31" s="19" t="s">
        <v>856</v>
      </c>
      <c r="C31" s="884">
        <v>39756</v>
      </c>
      <c r="D31" s="880">
        <v>5831404</v>
      </c>
      <c r="E31" s="62">
        <f t="shared" si="0"/>
        <v>0.68175691480130685</v>
      </c>
    </row>
    <row r="32" spans="2:5" ht="15.9" customHeight="1" x14ac:dyDescent="0.3">
      <c r="B32" s="19" t="s">
        <v>2864</v>
      </c>
      <c r="C32" s="884">
        <v>158800</v>
      </c>
      <c r="D32" s="880">
        <v>67215293</v>
      </c>
      <c r="E32" s="62">
        <f t="shared" si="0"/>
        <v>0.2362557580460149</v>
      </c>
    </row>
    <row r="33" spans="2:5" ht="15.9" customHeight="1" x14ac:dyDescent="0.3">
      <c r="B33" s="19" t="s">
        <v>1861</v>
      </c>
      <c r="C33" s="884">
        <v>45299</v>
      </c>
      <c r="D33" s="880">
        <v>1901548</v>
      </c>
      <c r="E33" s="62">
        <f t="shared" si="0"/>
        <v>2.3822170147690196</v>
      </c>
    </row>
    <row r="34" spans="2:5" ht="15.9" customHeight="1" x14ac:dyDescent="0.3">
      <c r="B34" s="19" t="s">
        <v>2792</v>
      </c>
      <c r="C34" s="884">
        <v>78888</v>
      </c>
      <c r="D34" s="880">
        <v>8636896</v>
      </c>
      <c r="E34" s="62">
        <f t="shared" si="0"/>
        <v>0.91338369710599732</v>
      </c>
    </row>
    <row r="35" spans="2:5" ht="15.9" customHeight="1" x14ac:dyDescent="0.3">
      <c r="B35" s="19" t="s">
        <v>1701</v>
      </c>
      <c r="C35" s="884">
        <v>73002</v>
      </c>
      <c r="D35" s="880">
        <v>4994724</v>
      </c>
      <c r="E35" s="62">
        <f t="shared" si="0"/>
        <v>1.4615822616024428</v>
      </c>
    </row>
    <row r="36" spans="2:5" ht="15.9" customHeight="1" x14ac:dyDescent="0.3">
      <c r="B36" s="19" t="s">
        <v>1025</v>
      </c>
      <c r="C36" s="884">
        <v>47067</v>
      </c>
      <c r="D36" s="880">
        <v>5530719</v>
      </c>
      <c r="E36" s="62">
        <f t="shared" si="0"/>
        <v>0.85101051056833654</v>
      </c>
    </row>
    <row r="37" spans="2:5" ht="15.9" customHeight="1" x14ac:dyDescent="0.3">
      <c r="B37" s="19" t="s">
        <v>1606</v>
      </c>
      <c r="C37" s="884">
        <v>20955</v>
      </c>
      <c r="D37" s="880">
        <v>10715549</v>
      </c>
      <c r="E37" s="62">
        <f t="shared" si="0"/>
        <v>0.19555694253276246</v>
      </c>
    </row>
    <row r="38" spans="2:5" ht="15.9" customHeight="1" x14ac:dyDescent="0.3">
      <c r="B38" s="19" t="s">
        <v>2076</v>
      </c>
      <c r="C38" s="884">
        <v>85210</v>
      </c>
      <c r="D38" s="880">
        <v>17441139</v>
      </c>
      <c r="E38" s="62">
        <f t="shared" si="0"/>
        <v>0.48855754202750173</v>
      </c>
    </row>
    <row r="39" spans="2:5" ht="15.9" customHeight="1" x14ac:dyDescent="0.3">
      <c r="B39" s="19" t="s">
        <v>2547</v>
      </c>
      <c r="C39" s="884">
        <v>9081</v>
      </c>
      <c r="D39" s="880">
        <v>2100126</v>
      </c>
      <c r="E39" s="62">
        <f t="shared" si="0"/>
        <v>0.43240262727093515</v>
      </c>
    </row>
    <row r="40" spans="2:5" ht="15.9" customHeight="1" x14ac:dyDescent="0.3">
      <c r="B40" s="19" t="s">
        <v>664</v>
      </c>
      <c r="C40" s="882">
        <v>20493</v>
      </c>
      <c r="D40" s="880">
        <v>4047200</v>
      </c>
      <c r="E40" s="62">
        <f t="shared" si="0"/>
        <v>0.50635006918363312</v>
      </c>
    </row>
    <row r="41" spans="2:5" ht="15.9" customHeight="1" x14ac:dyDescent="0.3">
      <c r="B41" s="19" t="s">
        <v>2206</v>
      </c>
      <c r="C41" s="884">
        <v>38581</v>
      </c>
      <c r="D41" s="880">
        <v>5379475</v>
      </c>
      <c r="E41" s="62">
        <f t="shared" si="0"/>
        <v>0.7171889450178689</v>
      </c>
    </row>
    <row r="42" spans="2:5" ht="15.9" customHeight="1" x14ac:dyDescent="0.3">
      <c r="B42" s="37" t="s">
        <v>517</v>
      </c>
      <c r="C42" s="884">
        <v>0</v>
      </c>
      <c r="D42" s="880">
        <v>38005238</v>
      </c>
      <c r="E42" s="62">
        <f t="shared" si="0"/>
        <v>0</v>
      </c>
    </row>
    <row r="43" spans="2:5" ht="15.9" customHeight="1" x14ac:dyDescent="0.3">
      <c r="B43" s="37" t="s">
        <v>696</v>
      </c>
      <c r="C43" s="884">
        <v>20603</v>
      </c>
      <c r="D43" s="880">
        <v>1207361</v>
      </c>
      <c r="E43" s="62">
        <f t="shared" si="0"/>
        <v>1.7064490239456136</v>
      </c>
    </row>
    <row r="44" spans="2:5" ht="15.9" customHeight="1" x14ac:dyDescent="0.3">
      <c r="B44" s="37" t="s">
        <v>1804</v>
      </c>
      <c r="C44" s="884">
        <v>0</v>
      </c>
      <c r="D44" s="880">
        <v>125836021</v>
      </c>
      <c r="E44" s="62">
        <f t="shared" si="0"/>
        <v>0</v>
      </c>
    </row>
    <row r="45" spans="2:5" ht="15.9" customHeight="1" x14ac:dyDescent="0.3">
      <c r="B45" s="37" t="s">
        <v>2024</v>
      </c>
      <c r="C45" s="884">
        <v>6756</v>
      </c>
      <c r="D45" s="880">
        <v>632275</v>
      </c>
      <c r="E45" s="62">
        <f t="shared" si="0"/>
        <v>1.0685223992724684</v>
      </c>
    </row>
    <row r="46" spans="2:5" ht="15.9" customHeight="1" x14ac:dyDescent="0.3">
      <c r="B46" s="37" t="s">
        <v>2066</v>
      </c>
      <c r="C46" s="884">
        <v>1541</v>
      </c>
      <c r="D46" s="880">
        <v>525285</v>
      </c>
      <c r="E46" s="62">
        <f t="shared" si="0"/>
        <v>0.29336455447994897</v>
      </c>
    </row>
    <row r="47" spans="2:5" ht="15.9" customHeight="1" x14ac:dyDescent="0.3">
      <c r="B47" s="13" t="s">
        <v>2168</v>
      </c>
      <c r="C47" s="884">
        <v>0</v>
      </c>
      <c r="D47" s="880">
        <v>5084300</v>
      </c>
      <c r="E47" s="62">
        <f t="shared" si="0"/>
        <v>0</v>
      </c>
    </row>
    <row r="48" spans="2:5" ht="15.9" customHeight="1" x14ac:dyDescent="0.3">
      <c r="B48" s="13" t="s">
        <v>2424</v>
      </c>
      <c r="C48" s="884">
        <v>0</v>
      </c>
      <c r="D48" s="880">
        <v>51780579</v>
      </c>
      <c r="E48" s="62">
        <f t="shared" si="0"/>
        <v>0</v>
      </c>
    </row>
    <row r="49" spans="2:5" ht="15.9" customHeight="1" x14ac:dyDescent="0.3">
      <c r="B49" s="37" t="s">
        <v>3038</v>
      </c>
      <c r="C49" s="884">
        <v>0</v>
      </c>
      <c r="D49" s="880">
        <v>329484123</v>
      </c>
      <c r="E49" s="62">
        <f t="shared" si="0"/>
        <v>0</v>
      </c>
    </row>
    <row r="50" spans="2:5" ht="15.9" customHeight="1" x14ac:dyDescent="0.3">
      <c r="B50" s="37" t="s">
        <v>255</v>
      </c>
      <c r="C50" s="884">
        <v>0</v>
      </c>
      <c r="D50" s="880">
        <v>25687041</v>
      </c>
      <c r="E50" s="62">
        <f t="shared" si="0"/>
        <v>0</v>
      </c>
    </row>
    <row r="51" spans="2:5" ht="15.9" customHeight="1" x14ac:dyDescent="0.3">
      <c r="B51" s="13" t="s">
        <v>656</v>
      </c>
      <c r="C51" s="884">
        <v>0</v>
      </c>
      <c r="D51" s="880">
        <v>1410929362</v>
      </c>
      <c r="E51" s="62">
        <f t="shared" si="0"/>
        <v>0</v>
      </c>
    </row>
    <row r="52" spans="2:5" ht="15.9" customHeight="1" x14ac:dyDescent="0.3">
      <c r="B52" s="13" t="s">
        <v>2840</v>
      </c>
      <c r="C52" s="884">
        <v>0</v>
      </c>
      <c r="D52" s="880">
        <v>23816775</v>
      </c>
      <c r="E52" s="62">
        <f t="shared" si="0"/>
        <v>0</v>
      </c>
    </row>
    <row r="53" spans="2:5" ht="15.9" customHeight="1" x14ac:dyDescent="0.3">
      <c r="B53" s="13" t="s">
        <v>1687</v>
      </c>
      <c r="C53" s="884">
        <v>0</v>
      </c>
      <c r="D53" s="880">
        <v>1380004385</v>
      </c>
      <c r="E53" s="62">
        <f t="shared" si="0"/>
        <v>0</v>
      </c>
    </row>
  </sheetData>
  <mergeCells count="1">
    <mergeCell ref="B4:D9"/>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59999389629810485"/>
  </sheetPr>
  <dimension ref="A1:AB54"/>
  <sheetViews>
    <sheetView showGridLines="0" zoomScaleNormal="100" workbookViewId="0"/>
  </sheetViews>
  <sheetFormatPr baseColWidth="10" defaultColWidth="8.59765625" defaultRowHeight="15.9" customHeight="1" x14ac:dyDescent="0.3"/>
  <cols>
    <col min="1" max="1" width="8.59765625" style="2" customWidth="1"/>
    <col min="2" max="2" width="58.5" style="160" bestFit="1" customWidth="1"/>
    <col min="3" max="3" width="21.5" style="160" bestFit="1" customWidth="1"/>
    <col min="4" max="4" width="13.59765625" style="160" customWidth="1"/>
    <col min="5" max="16384" width="8.59765625" style="160"/>
  </cols>
  <sheetData>
    <row r="1" spans="1:17" s="35" customFormat="1" ht="15.9" customHeight="1" x14ac:dyDescent="0.3">
      <c r="B1" s="160"/>
      <c r="C1" s="160"/>
    </row>
    <row r="2" spans="1:17" s="164" customFormat="1" ht="24.75" customHeight="1" x14ac:dyDescent="0.3">
      <c r="A2" s="35"/>
      <c r="B2" s="640" t="s">
        <v>3544</v>
      </c>
    </row>
    <row r="3" spans="1:17" s="164" customFormat="1" ht="15.9" customHeight="1" x14ac:dyDescent="0.35">
      <c r="A3" s="35"/>
      <c r="B3" s="165"/>
      <c r="E3" s="166"/>
    </row>
    <row r="4" spans="1:17" s="164" customFormat="1" ht="15.9" customHeight="1" x14ac:dyDescent="0.3">
      <c r="A4" s="35"/>
      <c r="B4" s="1177" t="s">
        <v>3545</v>
      </c>
      <c r="C4" s="1177"/>
      <c r="D4" s="1177"/>
      <c r="E4" s="1177"/>
      <c r="F4" s="1177"/>
      <c r="G4" s="1177"/>
      <c r="H4" s="1177"/>
    </row>
    <row r="5" spans="1:17" s="164" customFormat="1" ht="15.9" customHeight="1" x14ac:dyDescent="0.3">
      <c r="A5" s="35"/>
      <c r="B5" s="1177"/>
      <c r="C5" s="1177"/>
      <c r="D5" s="1177"/>
      <c r="E5" s="1177"/>
      <c r="F5" s="1177"/>
      <c r="G5" s="1177"/>
      <c r="H5" s="1177"/>
    </row>
    <row r="6" spans="1:17" s="164" customFormat="1" ht="15.9" customHeight="1" x14ac:dyDescent="0.3">
      <c r="A6" s="35"/>
      <c r="B6" s="1177"/>
      <c r="C6" s="1177"/>
      <c r="D6" s="1177"/>
      <c r="E6" s="1177"/>
      <c r="F6" s="1177"/>
      <c r="G6" s="1177"/>
      <c r="H6" s="1177"/>
    </row>
    <row r="7" spans="1:17" s="164" customFormat="1" ht="15.9" customHeight="1" x14ac:dyDescent="0.3">
      <c r="A7" s="35"/>
      <c r="B7" s="1177"/>
      <c r="C7" s="1177"/>
      <c r="D7" s="1177"/>
      <c r="E7" s="1177"/>
      <c r="F7" s="1177"/>
      <c r="G7" s="1177"/>
      <c r="H7" s="1177"/>
    </row>
    <row r="8" spans="1:17" s="164" customFormat="1" ht="15.9" customHeight="1" x14ac:dyDescent="0.3">
      <c r="A8" s="35"/>
      <c r="B8" s="1177"/>
      <c r="C8" s="1177"/>
      <c r="D8" s="1177"/>
      <c r="E8" s="1177"/>
      <c r="F8" s="1177"/>
      <c r="G8" s="1177"/>
      <c r="H8" s="1177"/>
    </row>
    <row r="9" spans="1:17" s="43" customFormat="1" ht="15.9" customHeight="1" x14ac:dyDescent="0.3">
      <c r="A9" s="35"/>
      <c r="B9" s="1177"/>
      <c r="C9" s="1177"/>
      <c r="D9" s="1177"/>
      <c r="E9" s="1177"/>
      <c r="F9" s="1177"/>
      <c r="G9" s="1177"/>
      <c r="H9" s="1177"/>
    </row>
    <row r="11" spans="1:17" ht="24.75" customHeight="1" x14ac:dyDescent="0.3">
      <c r="B11" s="408" t="s">
        <v>3546</v>
      </c>
      <c r="C11" s="409" t="s">
        <v>3547</v>
      </c>
      <c r="E11" s="648" t="s">
        <v>3548</v>
      </c>
      <c r="H11" s="161"/>
      <c r="I11" s="161"/>
      <c r="J11" s="161"/>
      <c r="K11" s="161"/>
      <c r="L11" s="161"/>
      <c r="M11" s="161"/>
      <c r="N11" s="161"/>
      <c r="O11" s="161"/>
      <c r="P11" s="161"/>
      <c r="Q11" s="161"/>
    </row>
    <row r="12" spans="1:17" ht="15.9" customHeight="1" x14ac:dyDescent="0.45">
      <c r="B12" s="37" t="s">
        <v>3038</v>
      </c>
      <c r="C12" s="285">
        <f>VLOOKUP(B12,'Aggregates by Country Group'!B:F,5,0)</f>
        <v>73.176684754285702</v>
      </c>
      <c r="D12" s="161"/>
      <c r="F12" s="161"/>
      <c r="G12" s="161"/>
      <c r="N12" s="161"/>
      <c r="O12" s="161"/>
      <c r="P12" s="162"/>
    </row>
    <row r="13" spans="1:17" ht="15.9" customHeight="1" x14ac:dyDescent="0.3">
      <c r="B13" s="37" t="s">
        <v>3549</v>
      </c>
      <c r="C13" s="285">
        <f>VLOOKUP(B13,'Aggregates by Country Group'!B:F,5,0)</f>
        <v>54.9241523358153</v>
      </c>
    </row>
    <row r="14" spans="1:17" ht="15.9" customHeight="1" x14ac:dyDescent="0.3">
      <c r="B14" s="109" t="s">
        <v>3550</v>
      </c>
      <c r="C14" s="285">
        <f>VLOOKUP("Other donor countries", 'Aggregates by Country Group'!B:F,5,0)+VLOOKUP("United Kingdom", 'Aggregates by Country Group'!B:F,5,0)+VLOOKUP("Canada", 'Aggregates by Country Group'!B:F,5,0)+VLOOKUP("Australia", 'Aggregates by Country Group'!B:F,5,0)+VLOOKUP("New Zealand", 'Aggregates by Country Group'!B:F,5,0)</f>
        <v>15.532262550796812</v>
      </c>
      <c r="D14" s="163"/>
      <c r="E14" s="163"/>
      <c r="F14" s="163"/>
      <c r="G14" s="163"/>
      <c r="H14" s="163"/>
      <c r="I14" s="163"/>
    </row>
    <row r="15" spans="1:17" ht="15.9" customHeight="1" x14ac:dyDescent="0.3">
      <c r="B15" s="278" t="s">
        <v>3517</v>
      </c>
      <c r="C15" s="286">
        <f>SUM(C12:C14)</f>
        <v>143.63309964089783</v>
      </c>
      <c r="G15" s="30"/>
    </row>
    <row r="16" spans="1:17" ht="15.9" customHeight="1" x14ac:dyDescent="0.3">
      <c r="G16" s="30"/>
    </row>
    <row r="17" spans="2:3" ht="15.9" customHeight="1" x14ac:dyDescent="0.3">
      <c r="B17" s="1184"/>
      <c r="C17" s="1184"/>
    </row>
    <row r="18" spans="2:3" ht="15.9" customHeight="1" x14ac:dyDescent="0.3">
      <c r="B18" s="1184"/>
      <c r="C18" s="1184"/>
    </row>
    <row r="19" spans="2:3" ht="15.9" customHeight="1" x14ac:dyDescent="0.3">
      <c r="B19" s="287"/>
      <c r="C19" s="287"/>
    </row>
    <row r="22" spans="2:3" ht="15.9" customHeight="1" x14ac:dyDescent="0.3">
      <c r="B22" s="37"/>
    </row>
    <row r="23" spans="2:3" ht="15.9" customHeight="1" x14ac:dyDescent="0.3">
      <c r="B23" s="37"/>
    </row>
    <row r="25" spans="2:3" ht="15.9" customHeight="1" x14ac:dyDescent="0.3">
      <c r="B25" s="37"/>
    </row>
    <row r="26" spans="2:3" ht="15.9" customHeight="1" x14ac:dyDescent="0.3">
      <c r="B26" s="37"/>
    </row>
    <row r="27" spans="2:3" ht="15.9" customHeight="1" x14ac:dyDescent="0.3">
      <c r="B27" s="37"/>
    </row>
    <row r="28" spans="2:3" ht="15.9" customHeight="1" x14ac:dyDescent="0.3">
      <c r="B28" s="37"/>
    </row>
    <row r="29" spans="2:3" ht="15.9" customHeight="1" x14ac:dyDescent="0.3">
      <c r="B29" s="37"/>
    </row>
    <row r="30" spans="2:3" ht="15.9" customHeight="1" x14ac:dyDescent="0.3">
      <c r="B30" s="37"/>
    </row>
    <row r="31" spans="2:3" ht="15.9" customHeight="1" x14ac:dyDescent="0.3">
      <c r="B31" s="37"/>
    </row>
    <row r="32" spans="2:3" ht="15.9" customHeight="1" x14ac:dyDescent="0.3">
      <c r="B32" s="37"/>
    </row>
    <row r="33" spans="2:28" ht="15.9" customHeight="1" x14ac:dyDescent="0.3">
      <c r="B33" s="37"/>
    </row>
    <row r="34" spans="2:28" ht="15.9" customHeight="1" x14ac:dyDescent="0.3">
      <c r="B34" s="37"/>
    </row>
    <row r="35" spans="2:28" ht="15.9" customHeight="1" x14ac:dyDescent="0.3">
      <c r="B35" s="37"/>
    </row>
    <row r="36" spans="2:28" ht="15.9" customHeight="1" x14ac:dyDescent="0.3">
      <c r="B36" s="37"/>
    </row>
    <row r="37" spans="2:28" ht="15.9" customHeight="1" x14ac:dyDescent="0.3">
      <c r="B37" s="37"/>
    </row>
    <row r="38" spans="2:28" ht="15.9" customHeight="1" x14ac:dyDescent="0.3">
      <c r="B38" s="37"/>
      <c r="J38" s="885"/>
      <c r="K38" s="885"/>
      <c r="L38" s="885"/>
      <c r="M38" s="885"/>
      <c r="N38" s="885"/>
      <c r="O38" s="885"/>
      <c r="P38" s="885"/>
      <c r="Q38" s="885"/>
      <c r="R38" s="885"/>
      <c r="S38" s="885"/>
      <c r="T38" s="885"/>
      <c r="U38" s="885"/>
      <c r="V38" s="885"/>
      <c r="W38" s="885"/>
      <c r="X38" s="885"/>
    </row>
    <row r="39" spans="2:28" ht="15.9" customHeight="1" x14ac:dyDescent="0.3">
      <c r="J39" s="885"/>
      <c r="K39" s="885"/>
      <c r="L39" s="885"/>
      <c r="M39" s="885"/>
      <c r="N39" s="885"/>
      <c r="O39" s="885"/>
      <c r="P39" s="885"/>
      <c r="Q39" s="885"/>
      <c r="R39" s="885"/>
      <c r="S39" s="885"/>
      <c r="T39" s="885"/>
      <c r="U39" s="885"/>
      <c r="V39" s="885"/>
      <c r="W39" s="885"/>
      <c r="X39" s="885"/>
    </row>
    <row r="40" spans="2:28" ht="15.9" customHeight="1" x14ac:dyDescent="0.3">
      <c r="J40" s="885"/>
      <c r="K40" s="885"/>
      <c r="L40" s="885"/>
      <c r="M40" s="885"/>
      <c r="N40" s="885"/>
      <c r="O40" s="885"/>
      <c r="P40" s="885"/>
      <c r="Q40" s="885"/>
      <c r="R40" s="885"/>
      <c r="S40" s="885"/>
      <c r="T40" s="885"/>
      <c r="U40" s="885"/>
      <c r="V40" s="885"/>
      <c r="W40" s="885"/>
      <c r="X40" s="885"/>
    </row>
    <row r="41" spans="2:28" ht="15.9" customHeight="1" x14ac:dyDescent="0.3">
      <c r="J41" s="885"/>
      <c r="K41" s="885"/>
      <c r="L41" s="885"/>
      <c r="M41" s="885"/>
      <c r="N41" s="885"/>
      <c r="O41" s="885"/>
      <c r="P41" s="885"/>
      <c r="Q41" s="885"/>
      <c r="R41" s="885"/>
      <c r="S41" s="885"/>
      <c r="T41" s="885"/>
      <c r="U41" s="885"/>
      <c r="V41" s="885"/>
      <c r="W41" s="885"/>
      <c r="X41" s="885"/>
    </row>
    <row r="42" spans="2:28" ht="15.9" customHeight="1" x14ac:dyDescent="0.3">
      <c r="J42" s="885"/>
      <c r="K42" s="885"/>
      <c r="L42" s="885"/>
      <c r="M42" s="885"/>
      <c r="N42" s="885"/>
      <c r="O42" s="885"/>
      <c r="P42" s="885"/>
      <c r="Q42" s="885"/>
      <c r="R42" s="885"/>
      <c r="S42" s="885"/>
      <c r="T42" s="885"/>
      <c r="U42" s="885"/>
      <c r="V42" s="885"/>
      <c r="W42" s="885"/>
      <c r="X42" s="885"/>
    </row>
    <row r="43" spans="2:28" ht="15.9" customHeight="1" x14ac:dyDescent="0.3">
      <c r="J43" s="885"/>
      <c r="K43" s="885"/>
      <c r="L43" s="885"/>
      <c r="M43" s="885"/>
      <c r="N43" s="885"/>
      <c r="O43" s="885"/>
      <c r="P43" s="885"/>
      <c r="Q43" s="885"/>
      <c r="R43" s="885"/>
      <c r="S43" s="885"/>
      <c r="T43" s="885"/>
      <c r="U43" s="885"/>
      <c r="V43" s="885"/>
      <c r="W43" s="885"/>
      <c r="X43" s="885"/>
    </row>
    <row r="48" spans="2:28" ht="15.9" customHeight="1" x14ac:dyDescent="0.3">
      <c r="R48" s="1183"/>
      <c r="S48" s="1183"/>
      <c r="T48" s="1183"/>
      <c r="U48" s="1183"/>
      <c r="V48" s="1183"/>
      <c r="W48" s="1183"/>
      <c r="X48" s="1183"/>
      <c r="Y48" s="1183"/>
      <c r="Z48" s="1183"/>
      <c r="AA48" s="1183"/>
      <c r="AB48" s="1183"/>
    </row>
    <row r="49" spans="18:28" ht="15.9" customHeight="1" x14ac:dyDescent="0.3">
      <c r="R49" s="1183"/>
      <c r="S49" s="1183"/>
      <c r="T49" s="1183"/>
      <c r="U49" s="1183"/>
      <c r="V49" s="1183"/>
      <c r="W49" s="1183"/>
      <c r="X49" s="1183"/>
      <c r="Y49" s="1183"/>
      <c r="Z49" s="1183"/>
      <c r="AA49" s="1183"/>
      <c r="AB49" s="1183"/>
    </row>
    <row r="50" spans="18:28" ht="15.9" customHeight="1" x14ac:dyDescent="0.3">
      <c r="R50" s="1183"/>
      <c r="S50" s="1183"/>
      <c r="T50" s="1183"/>
      <c r="U50" s="1183"/>
      <c r="V50" s="1183"/>
      <c r="W50" s="1183"/>
      <c r="X50" s="1183"/>
      <c r="Y50" s="1183"/>
      <c r="Z50" s="1183"/>
      <c r="AA50" s="1183"/>
      <c r="AB50" s="1183"/>
    </row>
    <row r="51" spans="18:28" ht="15.9" customHeight="1" x14ac:dyDescent="0.3">
      <c r="R51" s="1183"/>
      <c r="S51" s="1183"/>
      <c r="T51" s="1183"/>
      <c r="U51" s="1183"/>
      <c r="V51" s="1183"/>
      <c r="W51" s="1183"/>
      <c r="X51" s="1183"/>
      <c r="Y51" s="1183"/>
      <c r="Z51" s="1183"/>
      <c r="AA51" s="1183"/>
      <c r="AB51" s="1183"/>
    </row>
    <row r="52" spans="18:28" ht="15.9" customHeight="1" x14ac:dyDescent="0.3">
      <c r="R52" s="1183"/>
      <c r="S52" s="1183"/>
      <c r="T52" s="1183"/>
      <c r="U52" s="1183"/>
      <c r="V52" s="1183"/>
      <c r="W52" s="1183"/>
      <c r="X52" s="1183"/>
      <c r="Y52" s="1183"/>
      <c r="Z52" s="1183"/>
      <c r="AA52" s="1183"/>
      <c r="AB52" s="1183"/>
    </row>
    <row r="53" spans="18:28" ht="15.9" customHeight="1" x14ac:dyDescent="0.3">
      <c r="R53" s="1183"/>
      <c r="S53" s="1183"/>
      <c r="T53" s="1183"/>
      <c r="U53" s="1183"/>
      <c r="V53" s="1183"/>
      <c r="W53" s="1183"/>
      <c r="X53" s="1183"/>
      <c r="Y53" s="1183"/>
      <c r="Z53" s="1183"/>
      <c r="AA53" s="1183"/>
      <c r="AB53" s="1183"/>
    </row>
    <row r="54" spans="18:28" ht="15.9" customHeight="1" x14ac:dyDescent="0.3">
      <c r="R54" s="1183"/>
      <c r="S54" s="1183"/>
      <c r="T54" s="1183"/>
      <c r="U54" s="1183"/>
      <c r="V54" s="1183"/>
      <c r="W54" s="1183"/>
      <c r="X54" s="1183"/>
      <c r="Y54" s="1183"/>
      <c r="Z54" s="1183"/>
      <c r="AA54" s="1183"/>
      <c r="AB54" s="1183"/>
    </row>
  </sheetData>
  <sortState ref="B12:C14">
    <sortCondition descending="1" ref="C12:C14"/>
  </sortState>
  <mergeCells count="3">
    <mergeCell ref="R48:AB54"/>
    <mergeCell ref="B17:C18"/>
    <mergeCell ref="B4:H9"/>
  </mergeCells>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A1:N67"/>
  <sheetViews>
    <sheetView showGridLines="0" topLeftCell="A4" zoomScaleNormal="100" workbookViewId="0"/>
  </sheetViews>
  <sheetFormatPr baseColWidth="10" defaultColWidth="8.59765625" defaultRowHeight="15.9" customHeight="1" x14ac:dyDescent="0.3"/>
  <cols>
    <col min="1" max="1" width="8.59765625" style="2" customWidth="1"/>
    <col min="2" max="2" width="25.5" style="39" customWidth="1"/>
    <col min="3" max="5" width="19.09765625" style="148" customWidth="1"/>
    <col min="6" max="6" width="17.09765625" style="148" customWidth="1"/>
    <col min="7" max="7" width="13.59765625" style="39" customWidth="1"/>
    <col min="8" max="16384" width="8.59765625" style="39"/>
  </cols>
  <sheetData>
    <row r="1" spans="1:8" s="35" customFormat="1" ht="15.9" customHeight="1" x14ac:dyDescent="0.3">
      <c r="B1" s="39"/>
      <c r="C1" s="148"/>
      <c r="D1" s="148"/>
      <c r="E1" s="148"/>
      <c r="F1" s="148"/>
    </row>
    <row r="2" spans="1:8" s="643" customFormat="1" ht="24.75" customHeight="1" x14ac:dyDescent="0.3">
      <c r="A2" s="639"/>
      <c r="B2" s="962" t="s">
        <v>3551</v>
      </c>
      <c r="C2" s="642"/>
      <c r="D2" s="642"/>
      <c r="E2" s="642"/>
      <c r="F2" s="642"/>
    </row>
    <row r="3" spans="1:8" s="43" customFormat="1" ht="15.9" customHeight="1" x14ac:dyDescent="0.35">
      <c r="A3" s="35"/>
      <c r="B3" s="42"/>
      <c r="C3" s="147"/>
      <c r="D3" s="147"/>
      <c r="E3" s="147"/>
      <c r="F3" s="147"/>
      <c r="H3" s="167"/>
    </row>
    <row r="4" spans="1:8" s="43" customFormat="1" ht="15.9" customHeight="1" x14ac:dyDescent="0.3">
      <c r="A4" s="35"/>
      <c r="B4" s="1177" t="s">
        <v>3552</v>
      </c>
      <c r="C4" s="1177"/>
      <c r="D4" s="1177"/>
      <c r="E4" s="1177"/>
      <c r="F4" s="1177"/>
      <c r="G4" s="1177"/>
      <c r="H4" s="1177"/>
    </row>
    <row r="5" spans="1:8" s="43" customFormat="1" ht="15.9" customHeight="1" x14ac:dyDescent="0.3">
      <c r="A5" s="35"/>
      <c r="B5" s="1177"/>
      <c r="C5" s="1177"/>
      <c r="D5" s="1177"/>
      <c r="E5" s="1177"/>
      <c r="F5" s="1177"/>
      <c r="G5" s="1177"/>
      <c r="H5" s="1177"/>
    </row>
    <row r="6" spans="1:8" s="43" customFormat="1" ht="15.9" customHeight="1" x14ac:dyDescent="0.3">
      <c r="A6" s="35"/>
      <c r="B6" s="1177"/>
      <c r="C6" s="1177"/>
      <c r="D6" s="1177"/>
      <c r="E6" s="1177"/>
      <c r="F6" s="1177"/>
      <c r="G6" s="1177"/>
      <c r="H6" s="1177"/>
    </row>
    <row r="7" spans="1:8" s="43" customFormat="1" ht="15.9" customHeight="1" x14ac:dyDescent="0.3">
      <c r="A7" s="35"/>
      <c r="B7" s="1177"/>
      <c r="C7" s="1177"/>
      <c r="D7" s="1177"/>
      <c r="E7" s="1177"/>
      <c r="F7" s="1177"/>
      <c r="G7" s="1177"/>
      <c r="H7" s="1177"/>
    </row>
    <row r="8" spans="1:8" s="43" customFormat="1" ht="15.9" customHeight="1" x14ac:dyDescent="0.3">
      <c r="A8" s="35"/>
      <c r="B8" s="1177"/>
      <c r="C8" s="1177"/>
      <c r="D8" s="1177"/>
      <c r="E8" s="1177"/>
      <c r="F8" s="1177"/>
      <c r="G8" s="1177"/>
      <c r="H8" s="1177"/>
    </row>
    <row r="9" spans="1:8" s="43" customFormat="1" ht="15.9" customHeight="1" x14ac:dyDescent="0.3">
      <c r="A9" s="35"/>
      <c r="B9" s="1177"/>
      <c r="C9" s="1177"/>
      <c r="D9" s="1177"/>
      <c r="E9" s="1177"/>
      <c r="F9" s="1177"/>
      <c r="G9" s="1177"/>
      <c r="H9" s="1177"/>
    </row>
    <row r="10" spans="1:8" ht="15.9" customHeight="1" x14ac:dyDescent="0.3">
      <c r="B10" s="24"/>
    </row>
    <row r="11" spans="1:8" s="407" customFormat="1" ht="24.75" customHeight="1" x14ac:dyDescent="0.3">
      <c r="A11" s="406"/>
      <c r="B11" s="502" t="s">
        <v>3499</v>
      </c>
      <c r="C11" s="500" t="s">
        <v>405</v>
      </c>
      <c r="D11" s="500" t="s">
        <v>256</v>
      </c>
      <c r="E11" s="500" t="s">
        <v>285</v>
      </c>
      <c r="F11" s="500" t="s">
        <v>3517</v>
      </c>
      <c r="H11" s="439" t="s">
        <v>3553</v>
      </c>
    </row>
    <row r="12" spans="1:8" ht="15.9" customHeight="1" x14ac:dyDescent="0.3">
      <c r="B12" s="44" t="s">
        <v>3038</v>
      </c>
      <c r="C12" s="291">
        <f>VLOOKUP(B12,'Country Summary'!B:J,3,0)</f>
        <v>25.114285714285714</v>
      </c>
      <c r="D12" s="291">
        <f>VLOOKUP(B12,'Country Summary'!B:J,4,0)</f>
        <v>3.7243038019047616</v>
      </c>
      <c r="E12" s="291">
        <f>VLOOKUP(B12,'Country Summary'!B:J,5,0)</f>
        <v>44.338095238095235</v>
      </c>
      <c r="F12" s="291">
        <f>VLOOKUP(B12,'Country Summary'!B:J,6,0)</f>
        <v>73.176684754285702</v>
      </c>
    </row>
    <row r="13" spans="1:8" ht="15.9" customHeight="1" x14ac:dyDescent="0.3">
      <c r="B13" s="39" t="s">
        <v>3554</v>
      </c>
      <c r="C13" s="291">
        <f>VLOOKUP(B13,'Aggregates by Country Group'!B:F,2,0)</f>
        <v>30.322500000000002</v>
      </c>
      <c r="D13" s="291">
        <f>VLOOKUP(B13,'Aggregates by Country Group'!B:F,3,0)</f>
        <v>1.6</v>
      </c>
      <c r="E13" s="291">
        <f>VLOOKUP(B13,'Aggregates by Country Group'!B:F,4,0)</f>
        <v>3.1</v>
      </c>
      <c r="F13" s="291">
        <f>VLOOKUP(B13,'Aggregates by Country Group'!B:F,5,0)</f>
        <v>35.022500000000001</v>
      </c>
    </row>
    <row r="14" spans="1:8" ht="15.9" customHeight="1" x14ac:dyDescent="0.3">
      <c r="B14" s="44" t="s">
        <v>2864</v>
      </c>
      <c r="C14" s="291">
        <f>VLOOKUP(B14,'Country Summary'!B:J,3,0)</f>
        <v>3.0199781887370349</v>
      </c>
      <c r="D14" s="291">
        <f>VLOOKUP(B14,'Country Summary'!B:J,4,0)</f>
        <v>0.4002079296205569</v>
      </c>
      <c r="E14" s="291">
        <f>VLOOKUP(B14,'Country Summary'!B:J,5,0)</f>
        <v>4.8864927960823152</v>
      </c>
      <c r="F14" s="291">
        <f>VLOOKUP(B14,'Country Summary'!B:J,6,0)</f>
        <v>8.3066789144399067</v>
      </c>
    </row>
    <row r="15" spans="1:8" ht="15.9" customHeight="1" x14ac:dyDescent="0.3">
      <c r="B15" s="44" t="s">
        <v>1288</v>
      </c>
      <c r="C15" s="291">
        <f>VLOOKUP(B15,'Country Summary'!B:J,3,0)</f>
        <v>1.3</v>
      </c>
      <c r="D15" s="291">
        <f>VLOOKUP(B15,'Country Summary'!B:J,4,0)</f>
        <v>2.496</v>
      </c>
      <c r="E15" s="291">
        <f>VLOOKUP(B15,'Country Summary'!B:J,5,0)</f>
        <v>2.3552</v>
      </c>
      <c r="F15" s="291">
        <f>VLOOKUP(B15,'Country Summary'!B:J,6,0)</f>
        <v>6.1512000000000002</v>
      </c>
    </row>
    <row r="16" spans="1:8" ht="15.9" customHeight="1" x14ac:dyDescent="0.3">
      <c r="B16" s="44" t="s">
        <v>517</v>
      </c>
      <c r="C16" s="291">
        <f>VLOOKUP(B16,'Country Summary'!B:J,3,0)</f>
        <v>2.3804811525281488</v>
      </c>
      <c r="D16" s="291">
        <f>VLOOKUP(B16,'Country Summary'!B:J,4,0)</f>
        <v>0.34687740401426675</v>
      </c>
      <c r="E16" s="291">
        <f>VLOOKUP(B16,'Country Summary'!B:J,5,0)</f>
        <v>1.2893734795265364</v>
      </c>
      <c r="F16" s="291">
        <f>VLOOKUP(B16,'Country Summary'!B:J,6,0)</f>
        <v>4.0167320360689516</v>
      </c>
    </row>
    <row r="17" spans="2:6" ht="15.9" customHeight="1" x14ac:dyDescent="0.3">
      <c r="B17" s="44" t="s">
        <v>2303</v>
      </c>
      <c r="C17" s="291">
        <f>VLOOKUP(B17,'Country Summary'!B:J,3,0)</f>
        <v>0.95884326632016348</v>
      </c>
      <c r="D17" s="291">
        <f>VLOOKUP(B17,'Country Summary'!B:J,4,0)</f>
        <v>0.17200476190476188</v>
      </c>
      <c r="E17" s="291">
        <f>VLOOKUP(B17,'Country Summary'!B:J,5,0)</f>
        <v>2.4278310691428571</v>
      </c>
      <c r="F17" s="291">
        <f>VLOOKUP(B17,'Country Summary'!B:J,6,0)</f>
        <v>3.5586790973677824</v>
      </c>
    </row>
    <row r="18" spans="2:6" ht="15.9" customHeight="1" x14ac:dyDescent="0.3">
      <c r="B18" s="44" t="s">
        <v>1131</v>
      </c>
      <c r="C18" s="291">
        <f>VLOOKUP(B18,'Country Summary'!B:J,3,0)</f>
        <v>0.69940000000000002</v>
      </c>
      <c r="D18" s="291">
        <f>VLOOKUP(B18,'Country Summary'!B:J,4,0)</f>
        <v>0.3155896343657143</v>
      </c>
      <c r="E18" s="291">
        <f>VLOOKUP(B18,'Country Summary'!B:J,5,0)</f>
        <v>0.65962732814080649</v>
      </c>
      <c r="F18" s="291">
        <f>VLOOKUP(B18,'Country Summary'!B:J,6,0)</f>
        <v>1.6746169625065208</v>
      </c>
    </row>
    <row r="19" spans="2:6" ht="15.9" customHeight="1" x14ac:dyDescent="0.3">
      <c r="B19" s="44" t="s">
        <v>2076</v>
      </c>
      <c r="C19" s="291">
        <f>VLOOKUP(B19,'Country Summary'!B:J,3,0)</f>
        <v>0.34849999999999998</v>
      </c>
      <c r="D19" s="291">
        <f>VLOOKUP(B19,'Country Summary'!B:J,4,0)</f>
        <v>0.21205790476190478</v>
      </c>
      <c r="E19" s="291">
        <f>VLOOKUP(B19,'Country Summary'!B:J,5,0)</f>
        <v>0.85850000000000004</v>
      </c>
      <c r="F19" s="291">
        <f>VLOOKUP(B19,'Country Summary'!B:J,6,0)</f>
        <v>1.4190579047619047</v>
      </c>
    </row>
    <row r="20" spans="2:6" ht="15.9" customHeight="1" x14ac:dyDescent="0.3">
      <c r="B20" s="40" t="s">
        <v>2206</v>
      </c>
      <c r="C20" s="291">
        <f>VLOOKUP(B20,'Country Summary'!B:J,3,0)</f>
        <v>0.32207512522473153</v>
      </c>
      <c r="D20" s="291">
        <f>VLOOKUP(B20,'Country Summary'!B:J,4,0)</f>
        <v>0.32351725265111086</v>
      </c>
      <c r="E20" s="291">
        <f>VLOOKUP(B20,'Country Summary'!B:J,5,0)</f>
        <v>0.59214133326908946</v>
      </c>
      <c r="F20" s="291">
        <f>VLOOKUP(B20,'Country Summary'!B:J,6,0)</f>
        <v>1.2377337111449318</v>
      </c>
    </row>
    <row r="21" spans="2:6" ht="15.9" customHeight="1" x14ac:dyDescent="0.3">
      <c r="B21" s="44" t="s">
        <v>1804</v>
      </c>
      <c r="C21" s="291">
        <f>VLOOKUP(B21,'Country Summary'!B:J,3,0)</f>
        <v>0.57142857142857151</v>
      </c>
      <c r="D21" s="291">
        <f>VLOOKUP(B21,'Country Summary'!B:J,4,0)</f>
        <v>0.47800035238095234</v>
      </c>
      <c r="E21" s="291">
        <f>VLOOKUP(B21,'Country Summary'!B:J,5,0)</f>
        <v>2.3352380952380951E-3</v>
      </c>
      <c r="F21" s="291">
        <f>VLOOKUP(B21,'Country Summary'!B:J,6,0)</f>
        <v>1.051764161904762</v>
      </c>
    </row>
    <row r="22" spans="2:6" ht="15.9" customHeight="1" x14ac:dyDescent="0.3">
      <c r="B22" s="44" t="s">
        <v>1730</v>
      </c>
      <c r="C22" s="291">
        <f>VLOOKUP(B22,'Country Summary'!B:J,3,0)</f>
        <v>0.31</v>
      </c>
      <c r="D22" s="291">
        <f>VLOOKUP(B22,'Country Summary'!B:J,4,0)</f>
        <v>5.220712857142857E-2</v>
      </c>
      <c r="E22" s="291">
        <f>VLOOKUP(B22,'Country Summary'!B:J,5,0)</f>
        <v>0.66091838062565367</v>
      </c>
      <c r="F22" s="291">
        <f>VLOOKUP(B22,'Country Summary'!B:J,6,0)</f>
        <v>1.0231255091970821</v>
      </c>
    </row>
    <row r="23" spans="2:6" ht="15.9" customHeight="1" x14ac:dyDescent="0.3">
      <c r="B23" s="44" t="s">
        <v>2715</v>
      </c>
      <c r="C23" s="291">
        <f>VLOOKUP(B23,'Country Summary'!B:J,3,0)</f>
        <v>0.15034541943038915</v>
      </c>
      <c r="D23" s="291">
        <f>VLOOKUP(B23,'Country Summary'!B:J,4,0)</f>
        <v>0.10746886715780089</v>
      </c>
      <c r="E23" s="291">
        <f>VLOOKUP(B23,'Country Summary'!B:J,5,0)</f>
        <v>0.54638815978467004</v>
      </c>
      <c r="F23" s="291">
        <f>VLOOKUP(B23,'Country Summary'!B:J,6,0)</f>
        <v>0.80420244637286009</v>
      </c>
    </row>
    <row r="24" spans="2:6" ht="15.9" customHeight="1" x14ac:dyDescent="0.3">
      <c r="B24" s="44" t="s">
        <v>856</v>
      </c>
      <c r="C24" s="291">
        <f>VLOOKUP(B24,'Country Summary'!B:J,3,0)</f>
        <v>5.7500000000000002E-2</v>
      </c>
      <c r="D24" s="291">
        <f>VLOOKUP(B24,'Country Summary'!B:J,4,0)</f>
        <v>9.9200785326233124E-2</v>
      </c>
      <c r="E24" s="291">
        <f>VLOOKUP(B24,'Country Summary'!B:J,5,0)</f>
        <v>0.56299310419019966</v>
      </c>
      <c r="F24" s="291">
        <f>VLOOKUP(B24,'Country Summary'!B:J,6,0)</f>
        <v>0.71969388951643276</v>
      </c>
    </row>
    <row r="25" spans="2:6" ht="15.9" customHeight="1" x14ac:dyDescent="0.3">
      <c r="B25" s="44" t="s">
        <v>344</v>
      </c>
      <c r="C25" s="291">
        <f>VLOOKUP(B25,'Country Summary'!B:J,3,0)</f>
        <v>0.03</v>
      </c>
      <c r="D25" s="291">
        <f>VLOOKUP(B25,'Country Summary'!B:J,4,0)</f>
        <v>0.59200000000000008</v>
      </c>
      <c r="E25" s="291">
        <f>VLOOKUP(B25,'Country Summary'!B:J,5,0)</f>
        <v>3.4165467142857142E-3</v>
      </c>
      <c r="F25" s="291">
        <f>VLOOKUP(B25,'Country Summary'!B:J,6,0)</f>
        <v>0.62541654671428581</v>
      </c>
    </row>
    <row r="26" spans="2:6" ht="15.9" customHeight="1" x14ac:dyDescent="0.3">
      <c r="B26" s="44" t="s">
        <v>716</v>
      </c>
      <c r="C26" s="291">
        <f>VLOOKUP(B26,'Country Summary'!B:J,3,0)</f>
        <v>0</v>
      </c>
      <c r="D26" s="291">
        <f>VLOOKUP(B26,'Country Summary'!B:J,4,0)</f>
        <v>0.10596323263127799</v>
      </c>
      <c r="E26" s="291">
        <f>VLOOKUP(B26,'Country Summary'!B:J,5,0)</f>
        <v>0.46418603077692083</v>
      </c>
      <c r="F26" s="291">
        <f>VLOOKUP(B26,'Country Summary'!B:J,6,0)</f>
        <v>0.57014926340819883</v>
      </c>
    </row>
    <row r="27" spans="2:6" ht="15.9" customHeight="1" x14ac:dyDescent="0.3">
      <c r="B27" s="44" t="s">
        <v>2370</v>
      </c>
      <c r="C27" s="291">
        <f>VLOOKUP(B27,'Country Summary'!B:J,3,0)</f>
        <v>0.25</v>
      </c>
      <c r="D27" s="291">
        <f>VLOOKUP(B27,'Country Summary'!B:J,4,0)</f>
        <v>0.16838809523809523</v>
      </c>
      <c r="E27" s="291">
        <f>VLOOKUP(B27,'Country Summary'!B:J,5,0)</f>
        <v>4.4144784553516107E-2</v>
      </c>
      <c r="F27" s="291">
        <f>VLOOKUP(B27,'Country Summary'!B:J,6,0)</f>
        <v>0.46253287979161134</v>
      </c>
    </row>
    <row r="28" spans="2:6" ht="15.9" customHeight="1" x14ac:dyDescent="0.3">
      <c r="B28" s="40" t="s">
        <v>255</v>
      </c>
      <c r="C28" s="291">
        <f>VLOOKUP(B28,'Country Summary'!B:J,3,0)</f>
        <v>0</v>
      </c>
      <c r="D28" s="291">
        <f>VLOOKUP(B28,'Country Summary'!B:J,4,0)</f>
        <v>6.9014631619836855E-2</v>
      </c>
      <c r="E28" s="291">
        <f>VLOOKUP(B28,'Country Summary'!B:J,5,0)</f>
        <v>0.35821571928007251</v>
      </c>
      <c r="F28" s="291">
        <f>VLOOKUP(B28,'Country Summary'!B:J,6,0)</f>
        <v>0.42723035089990935</v>
      </c>
    </row>
    <row r="29" spans="2:6" ht="15.9" customHeight="1" x14ac:dyDescent="0.3">
      <c r="B29" s="44" t="s">
        <v>2615</v>
      </c>
      <c r="C29" s="291">
        <f>VLOOKUP(B29,'Country Summary'!B:J,3,0)</f>
        <v>0.20449999999999999</v>
      </c>
      <c r="D29" s="291">
        <f>VLOOKUP(B29,'Country Summary'!B:J,4,0)</f>
        <v>9.9788875333333332E-2</v>
      </c>
      <c r="E29" s="291">
        <f>VLOOKUP(B29,'Country Summary'!B:J,5,0)</f>
        <v>8.3123597366324242E-2</v>
      </c>
      <c r="F29" s="291">
        <f>VLOOKUP(B29,'Country Summary'!B:J,6,0)</f>
        <v>0.38741247269965756</v>
      </c>
    </row>
    <row r="30" spans="2:6" ht="15.9" customHeight="1" x14ac:dyDescent="0.3">
      <c r="B30" s="44" t="s">
        <v>1919</v>
      </c>
      <c r="C30" s="291">
        <f>VLOOKUP(B30,'Country Summary'!B:J,3,0)</f>
        <v>0.01</v>
      </c>
      <c r="D30" s="291">
        <f>VLOOKUP(B30,'Country Summary'!B:J,4,0)</f>
        <v>6.0999999999999999E-2</v>
      </c>
      <c r="E30" s="291">
        <f>VLOOKUP(B30,'Country Summary'!B:J,5,0)</f>
        <v>0.28000000000000003</v>
      </c>
      <c r="F30" s="291">
        <f>VLOOKUP(B30,'Country Summary'!B:J,6,0)</f>
        <v>0.35100000000000003</v>
      </c>
    </row>
    <row r="31" spans="2:6" ht="15.9" customHeight="1" x14ac:dyDescent="0.3">
      <c r="B31" s="44" t="s">
        <v>1025</v>
      </c>
      <c r="C31" s="291">
        <f>VLOOKUP(B31,'Country Summary'!B:J,3,0)</f>
        <v>8.1500000000000003E-2</v>
      </c>
      <c r="D31" s="291">
        <f>VLOOKUP(B31,'Country Summary'!B:J,4,0)</f>
        <v>5.1200000000000002E-2</v>
      </c>
      <c r="E31" s="291">
        <f>VLOOKUP(B31,'Country Summary'!B:J,5,0)</f>
        <v>0.20669999999999999</v>
      </c>
      <c r="F31" s="291">
        <f>VLOOKUP(B31,'Country Summary'!B:J,6,0)</f>
        <v>0.33940000000000003</v>
      </c>
    </row>
    <row r="32" spans="2:6" ht="15.9" customHeight="1" x14ac:dyDescent="0.3">
      <c r="B32" s="44" t="s">
        <v>1861</v>
      </c>
      <c r="C32" s="291">
        <f>VLOOKUP(B32,'Country Summary'!B:J,3,0)</f>
        <v>1.4999999999999999E-2</v>
      </c>
      <c r="D32" s="291">
        <f>VLOOKUP(B32,'Country Summary'!B:J,4,0)</f>
        <v>3.0970529999999998E-3</v>
      </c>
      <c r="E32" s="291">
        <f>VLOOKUP(B32,'Country Summary'!B:J,5,0)</f>
        <v>0.29499878461654938</v>
      </c>
      <c r="F32" s="291">
        <f>VLOOKUP(B32,'Country Summary'!B:J,6,0)</f>
        <v>0.31309583761654936</v>
      </c>
    </row>
    <row r="33" spans="2:10" ht="15.9" customHeight="1" x14ac:dyDescent="0.3">
      <c r="B33" s="44" t="s">
        <v>937</v>
      </c>
      <c r="C33" s="291">
        <f>VLOOKUP(B33,'Country Summary'!B:J,3,0)</f>
        <v>0</v>
      </c>
      <c r="D33" s="291">
        <f>VLOOKUP(B33,'Country Summary'!B:J,4,0)</f>
        <v>4.9702280000000001E-3</v>
      </c>
      <c r="E33" s="291">
        <f>VLOOKUP(B33,'Country Summary'!B:J,5,0)</f>
        <v>0.30780000000000002</v>
      </c>
      <c r="F33" s="291">
        <f>VLOOKUP(B33,'Country Summary'!B:J,6,0)</f>
        <v>0.31277022800000004</v>
      </c>
    </row>
    <row r="34" spans="2:10" ht="15.9" customHeight="1" x14ac:dyDescent="0.3">
      <c r="B34" s="44" t="s">
        <v>413</v>
      </c>
      <c r="C34" s="291">
        <f>VLOOKUP(B34,'Country Summary'!B:J,3,0)</f>
        <v>4.96E-3</v>
      </c>
      <c r="D34" s="291">
        <f>VLOOKUP(B34,'Country Summary'!B:J,4,0)</f>
        <v>9.4799999999999995E-2</v>
      </c>
      <c r="E34" s="291">
        <f>VLOOKUP(B34,'Country Summary'!B:J,5,0)</f>
        <v>0.14495</v>
      </c>
      <c r="F34" s="291">
        <f>VLOOKUP(B34,'Country Summary'!B:J,6,0)</f>
        <v>0.24470999999999998</v>
      </c>
    </row>
    <row r="35" spans="2:10" ht="15.9" customHeight="1" x14ac:dyDescent="0.3">
      <c r="B35" s="40" t="s">
        <v>2792</v>
      </c>
      <c r="C35" s="291">
        <f>VLOOKUP(B35,'Country Summary'!B:J,3,0)</f>
        <v>5.8967059780398533E-2</v>
      </c>
      <c r="D35" s="291">
        <f>VLOOKUP(B35,'Country Summary'!B:J,4,0)</f>
        <v>0.18300122000813338</v>
      </c>
      <c r="E35" s="291">
        <f>VLOOKUP(B35,'Country Summary'!B:J,5,0)</f>
        <v>0</v>
      </c>
      <c r="F35" s="291">
        <f>VLOOKUP(B35,'Country Summary'!B:J,6,0)</f>
        <v>0.24196827978853191</v>
      </c>
    </row>
    <row r="36" spans="2:10" ht="15.9" customHeight="1" x14ac:dyDescent="0.3">
      <c r="B36" s="39" t="s">
        <v>480</v>
      </c>
      <c r="C36" s="291">
        <f>VLOOKUP(B36,'Country Summary'!B:J,3,0)</f>
        <v>0</v>
      </c>
      <c r="D36" s="291">
        <f>VLOOKUP(B36,'Country Summary'!B:J,4,0)</f>
        <v>7.0600000000000003E-4</v>
      </c>
      <c r="E36" s="291">
        <f>VLOOKUP(B36,'Country Summary'!B:J,5,0)</f>
        <v>0.23928827078433376</v>
      </c>
      <c r="F36" s="291">
        <f>VLOOKUP(B36,'Country Summary'!B:J,6,0)</f>
        <v>0.23999427078433377</v>
      </c>
    </row>
    <row r="37" spans="2:10" ht="15.9" customHeight="1" x14ac:dyDescent="0.3">
      <c r="B37" s="44" t="s">
        <v>2489</v>
      </c>
      <c r="C37" s="291">
        <f>VLOOKUP(B37,'Country Summary'!B:J,3,0)</f>
        <v>0</v>
      </c>
      <c r="D37" s="291">
        <f>VLOOKUP(B37,'Country Summary'!B:J,4,0)</f>
        <v>8.9999999999999993E-3</v>
      </c>
      <c r="E37" s="291">
        <f>VLOOKUP(B37,'Country Summary'!B:J,5,0)</f>
        <v>0.2150631199047619</v>
      </c>
      <c r="F37" s="291">
        <f>VLOOKUP(B37,'Country Summary'!B:J,6,0)</f>
        <v>0.22406311990476191</v>
      </c>
    </row>
    <row r="38" spans="2:10" ht="15.9" customHeight="1" x14ac:dyDescent="0.3">
      <c r="B38" s="44" t="s">
        <v>1606</v>
      </c>
      <c r="C38" s="291">
        <f>VLOOKUP(B38,'Country Summary'!B:J,3,0)</f>
        <v>0</v>
      </c>
      <c r="D38" s="291">
        <f>VLOOKUP(B38,'Country Summary'!B:J,4,0)</f>
        <v>0</v>
      </c>
      <c r="E38" s="291">
        <f>VLOOKUP(B38,'Country Summary'!B:J,5,0)</f>
        <v>0.18270229371428573</v>
      </c>
      <c r="F38" s="291">
        <f>VLOOKUP(B38,'Country Summary'!B:J,6,0)</f>
        <v>0.18270229371428573</v>
      </c>
    </row>
    <row r="39" spans="2:10" ht="15.9" customHeight="1" x14ac:dyDescent="0.3">
      <c r="B39" s="40" t="s">
        <v>2424</v>
      </c>
      <c r="C39" s="291">
        <f>VLOOKUP(B39,'Country Summary'!B:J,3,0)</f>
        <v>0</v>
      </c>
      <c r="D39" s="291">
        <f>VLOOKUP(B39,'Country Summary'!B:J,4,0)</f>
        <v>9.5238095238095261E-2</v>
      </c>
      <c r="E39" s="291">
        <f>VLOOKUP(B39,'Country Summary'!B:J,5,0)</f>
        <v>3.4095238095238093E-3</v>
      </c>
      <c r="F39" s="291">
        <f>VLOOKUP(B39,'Country Summary'!B:J,6,0)</f>
        <v>9.8647619047619067E-2</v>
      </c>
    </row>
    <row r="40" spans="2:10" ht="15.9" customHeight="1" x14ac:dyDescent="0.3">
      <c r="B40" s="44" t="s">
        <v>2024</v>
      </c>
      <c r="C40" s="291">
        <f>VLOOKUP(B40,'Country Summary'!B:J,3,0)</f>
        <v>0</v>
      </c>
      <c r="D40" s="291">
        <f>VLOOKUP(B40,'Country Summary'!B:J,4,0)</f>
        <v>4.0000000000000001E-3</v>
      </c>
      <c r="E40" s="291">
        <f>VLOOKUP(B40,'Country Summary'!B:J,5,0)</f>
        <v>7.4999999999999997E-2</v>
      </c>
      <c r="F40" s="291">
        <f>VLOOKUP(B40,'Country Summary'!B:J,6,0)</f>
        <v>7.9000000000000001E-2</v>
      </c>
    </row>
    <row r="41" spans="2:10" ht="15.9" customHeight="1" x14ac:dyDescent="0.3">
      <c r="B41" s="44" t="s">
        <v>1701</v>
      </c>
      <c r="C41" s="291">
        <f>VLOOKUP(B41,'Country Summary'!B:J,3,0)</f>
        <v>0</v>
      </c>
      <c r="D41" s="291">
        <f>VLOOKUP(B41,'Country Summary'!B:J,4,0)</f>
        <v>6.8554615238095237E-2</v>
      </c>
      <c r="E41" s="291">
        <f>VLOOKUP(B41,'Country Summary'!B:J,5,0)</f>
        <v>0</v>
      </c>
      <c r="F41" s="291">
        <f>VLOOKUP(B41,'Country Summary'!B:J,6,0)</f>
        <v>6.8554615238095237E-2</v>
      </c>
    </row>
    <row r="42" spans="2:10" ht="15.9" customHeight="1" x14ac:dyDescent="0.3">
      <c r="B42" s="39" t="s">
        <v>2840</v>
      </c>
      <c r="C42" s="291">
        <f>VLOOKUP(B42,'Country Summary'!B:J,3,0)</f>
        <v>0</v>
      </c>
      <c r="D42" s="291">
        <f>VLOOKUP(B42,'Country Summary'!B:J,4,0)</f>
        <v>6.5238095238095234E-2</v>
      </c>
      <c r="E42" s="291">
        <f>VLOOKUP(B42,'Country Summary'!B:J,5,0)</f>
        <v>0</v>
      </c>
      <c r="F42" s="291">
        <f>VLOOKUP(B42,'Country Summary'!B:J,6,0)</f>
        <v>6.5238095238095234E-2</v>
      </c>
    </row>
    <row r="43" spans="2:10" ht="15.9" customHeight="1" x14ac:dyDescent="0.3">
      <c r="B43" s="44" t="s">
        <v>2547</v>
      </c>
      <c r="C43" s="291">
        <f>VLOOKUP(B43,'Country Summary'!B:J,3,0)</f>
        <v>0</v>
      </c>
      <c r="D43" s="291">
        <f>VLOOKUP(B43,'Country Summary'!B:J,4,0)</f>
        <v>4.3E-3</v>
      </c>
      <c r="E43" s="291">
        <f>VLOOKUP(B43,'Country Summary'!B:J,5,0)</f>
        <v>5.7416922906666668E-2</v>
      </c>
      <c r="F43" s="291">
        <f>VLOOKUP(B43,'Country Summary'!B:J,6,0)</f>
        <v>6.1716922906666666E-2</v>
      </c>
    </row>
    <row r="44" spans="2:10" ht="15.9" customHeight="1" x14ac:dyDescent="0.3">
      <c r="B44" s="40" t="s">
        <v>2820</v>
      </c>
      <c r="C44" s="291">
        <f>VLOOKUP(B44,'Country Summary'!B:J,3,0)</f>
        <v>0</v>
      </c>
      <c r="D44" s="291">
        <f>VLOOKUP(B44,'Country Summary'!B:J,4,0)</f>
        <v>2.3622095238095238E-4</v>
      </c>
      <c r="E44" s="291">
        <f>VLOOKUP(B44,'Country Summary'!B:J,5,0)</f>
        <v>6.1355714285714284E-2</v>
      </c>
      <c r="F44" s="291">
        <f>VLOOKUP(B44,'Country Summary'!B:J,6,0)</f>
        <v>6.1591935238095238E-2</v>
      </c>
    </row>
    <row r="45" spans="2:10" ht="15.9" customHeight="1" x14ac:dyDescent="0.3">
      <c r="B45" s="44" t="s">
        <v>1646</v>
      </c>
      <c r="C45" s="291">
        <f>VLOOKUP(B45,'Country Summary'!B:J,3,0)</f>
        <v>0</v>
      </c>
      <c r="D45" s="291">
        <f>VLOOKUP(B45,'Country Summary'!B:J,4,0)</f>
        <v>4.7284205515557245E-2</v>
      </c>
      <c r="E45" s="291">
        <f>VLOOKUP(B45,'Country Summary'!B:J,5,0)</f>
        <v>0</v>
      </c>
      <c r="F45" s="291">
        <f>VLOOKUP(B45,'Country Summary'!B:J,6,0)</f>
        <v>4.7284205515557245E-2</v>
      </c>
    </row>
    <row r="46" spans="2:10" ht="15.9" customHeight="1" x14ac:dyDescent="0.3">
      <c r="B46" s="44" t="s">
        <v>664</v>
      </c>
      <c r="C46" s="291">
        <f>VLOOKUP(B46,'Country Summary'!B:J,3,0)</f>
        <v>0</v>
      </c>
      <c r="D46" s="291">
        <f>VLOOKUP(B46,'Country Summary'!B:J,4,0)</f>
        <v>6.4410636604774535E-3</v>
      </c>
      <c r="E46" s="291">
        <f>VLOOKUP(B46,'Country Summary'!B:J,5,0)</f>
        <v>1.9445623342175065E-2</v>
      </c>
      <c r="F46" s="291">
        <f>VLOOKUP(B46,'Country Summary'!B:J,6,0)</f>
        <v>2.5886687002652519E-2</v>
      </c>
    </row>
    <row r="47" spans="2:10" ht="15.9" customHeight="1" x14ac:dyDescent="0.3">
      <c r="B47" s="40" t="s">
        <v>2168</v>
      </c>
      <c r="C47" s="291">
        <f>VLOOKUP(B47,'Country Summary'!B:J,3,0)</f>
        <v>0</v>
      </c>
      <c r="D47" s="291">
        <f>VLOOKUP(B47,'Country Summary'!B:J,4,0)</f>
        <v>2.4055809477988932E-3</v>
      </c>
      <c r="E47" s="291">
        <f>VLOOKUP(B47,'Country Summary'!B:J,5,0)</f>
        <v>1.8335310205390792E-2</v>
      </c>
      <c r="F47" s="291">
        <f>VLOOKUP(B47,'Country Summary'!B:J,6,0)</f>
        <v>2.0740891153189684E-2</v>
      </c>
      <c r="I47" s="45"/>
      <c r="J47" s="45"/>
    </row>
    <row r="48" spans="2:10" ht="15.9" customHeight="1" x14ac:dyDescent="0.3">
      <c r="B48" s="44" t="s">
        <v>2460</v>
      </c>
      <c r="C48" s="291">
        <f>VLOOKUP(B48,'Country Summary'!B:J,3,0)</f>
        <v>0</v>
      </c>
      <c r="D48" s="291">
        <f>VLOOKUP(B48,'Country Summary'!B:J,4,0)</f>
        <v>7.6871827960629645E-3</v>
      </c>
      <c r="E48" s="291">
        <f>VLOOKUP(B48,'Country Summary'!B:J,5,0)</f>
        <v>3.0000000000000001E-3</v>
      </c>
      <c r="F48" s="291">
        <f>VLOOKUP(B48,'Country Summary'!B:J,6,0)</f>
        <v>1.0687182796062965E-2</v>
      </c>
      <c r="H48" s="45"/>
      <c r="I48" s="45"/>
      <c r="J48" s="45"/>
    </row>
    <row r="49" spans="1:14" ht="15.9" customHeight="1" x14ac:dyDescent="0.3">
      <c r="B49" s="44" t="s">
        <v>696</v>
      </c>
      <c r="C49" s="291">
        <f>VLOOKUP(B49,'Country Summary'!B:J,3,0)</f>
        <v>0</v>
      </c>
      <c r="D49" s="291">
        <f>VLOOKUP(B49,'Country Summary'!B:J,4,0)</f>
        <v>3.0000000000000001E-3</v>
      </c>
      <c r="E49" s="291">
        <f>VLOOKUP(B49,'Country Summary'!B:J,5,0)</f>
        <v>0</v>
      </c>
      <c r="F49" s="291">
        <f>VLOOKUP(B49,'Country Summary'!B:J,6,0)</f>
        <v>3.0000000000000001E-3</v>
      </c>
      <c r="H49" s="45"/>
      <c r="I49" s="45"/>
      <c r="J49" s="45"/>
    </row>
    <row r="50" spans="1:14" ht="15.9" customHeight="1" x14ac:dyDescent="0.3">
      <c r="B50" s="39" t="s">
        <v>656</v>
      </c>
      <c r="C50" s="291">
        <f>VLOOKUP(B50,'Country Summary'!B:J,3,0)</f>
        <v>0</v>
      </c>
      <c r="D50" s="291">
        <f>VLOOKUP(B50,'Country Summary'!B:J,4,0)</f>
        <v>2.0820320632937745E-3</v>
      </c>
      <c r="E50" s="291">
        <f>VLOOKUP(B50,'Country Summary'!B:J,5,0)</f>
        <v>0</v>
      </c>
      <c r="F50" s="291">
        <f>VLOOKUP(B50,'Country Summary'!B:J,6,0)</f>
        <v>2.0820320632937745E-3</v>
      </c>
    </row>
    <row r="51" spans="1:14" ht="15.9" customHeight="1" x14ac:dyDescent="0.3">
      <c r="B51" s="43" t="s">
        <v>1687</v>
      </c>
      <c r="C51" s="291">
        <f>VLOOKUP(B51,'Country Summary'!B:J,3,0)</f>
        <v>0</v>
      </c>
      <c r="D51" s="291">
        <f>VLOOKUP(B51,'Country Summary'!B:J,4,0)</f>
        <v>1.8545238095238094E-3</v>
      </c>
      <c r="E51" s="291">
        <f>VLOOKUP(B51,'Country Summary'!B:J,5,0)</f>
        <v>0</v>
      </c>
      <c r="F51" s="291">
        <f>VLOOKUP(B51,'Country Summary'!B:J,6,0)</f>
        <v>1.8545238095238094E-3</v>
      </c>
      <c r="I51" s="1185"/>
      <c r="J51" s="1185"/>
      <c r="K51" s="1185"/>
    </row>
    <row r="52" spans="1:14" s="43" customFormat="1" ht="15.9" customHeight="1" x14ac:dyDescent="0.3">
      <c r="A52" s="2"/>
      <c r="B52" s="436" t="s">
        <v>2066</v>
      </c>
      <c r="C52" s="437">
        <f>VLOOKUP(B52,'Country Summary'!B:J,3,0)</f>
        <v>0</v>
      </c>
      <c r="D52" s="437">
        <f>VLOOKUP(B52,'Country Summary'!B:J,4,0)</f>
        <v>1.6999999999999999E-3</v>
      </c>
      <c r="E52" s="437">
        <f>VLOOKUP(B52,'Country Summary'!B:J,5,0)</f>
        <v>0</v>
      </c>
      <c r="F52" s="437">
        <f>VLOOKUP(B52,'Country Summary'!B:J,6,0)</f>
        <v>1.6999999999999999E-3</v>
      </c>
      <c r="I52" s="1185"/>
      <c r="J52" s="1185"/>
      <c r="K52" s="1185"/>
    </row>
    <row r="53" spans="1:14" ht="15.9" customHeight="1" x14ac:dyDescent="0.3">
      <c r="I53" s="1185"/>
      <c r="J53" s="1185"/>
      <c r="K53" s="1185"/>
    </row>
    <row r="54" spans="1:14" ht="15.9" customHeight="1" x14ac:dyDescent="0.3">
      <c r="B54" s="288" t="s">
        <v>3517</v>
      </c>
      <c r="C54" s="288">
        <f>SUM(C12:C52)</f>
        <v>66.210264497735167</v>
      </c>
      <c r="D54" s="288">
        <f>SUM(D12:D52)</f>
        <v>12.080386773949551</v>
      </c>
      <c r="E54" s="288">
        <f>SUM(E12:E52)</f>
        <v>65.342448369213102</v>
      </c>
      <c r="F54" s="288">
        <f>SUM(F12:F52)</f>
        <v>143.63309964089788</v>
      </c>
    </row>
    <row r="55" spans="1:14" ht="15.9" customHeight="1" x14ac:dyDescent="0.3">
      <c r="B55" s="47"/>
      <c r="C55" s="149"/>
    </row>
    <row r="56" spans="1:14" ht="15.9" customHeight="1" x14ac:dyDescent="0.3">
      <c r="B56" s="48"/>
      <c r="C56" s="150"/>
    </row>
    <row r="57" spans="1:14" ht="15.9" customHeight="1" x14ac:dyDescent="0.3">
      <c r="B57" s="48"/>
      <c r="C57" s="150"/>
    </row>
    <row r="58" spans="1:14" ht="15.9" customHeight="1" x14ac:dyDescent="0.3">
      <c r="B58" s="48"/>
      <c r="C58" s="150"/>
    </row>
    <row r="59" spans="1:14" ht="15.9" customHeight="1" x14ac:dyDescent="0.3">
      <c r="B59" s="48"/>
      <c r="C59" s="150"/>
    </row>
    <row r="60" spans="1:14" ht="15.9" customHeight="1" x14ac:dyDescent="0.3">
      <c r="B60" s="48"/>
      <c r="C60" s="150"/>
    </row>
    <row r="61" spans="1:14" ht="15.9" customHeight="1" x14ac:dyDescent="0.3">
      <c r="B61" s="48"/>
      <c r="C61" s="150"/>
      <c r="H61" s="1186"/>
      <c r="I61" s="1186"/>
      <c r="J61" s="1186"/>
      <c r="K61" s="1186"/>
      <c r="L61" s="1186"/>
      <c r="M61" s="1186"/>
      <c r="N61" s="1186"/>
    </row>
    <row r="62" spans="1:14" ht="15.9" customHeight="1" x14ac:dyDescent="0.3">
      <c r="B62" s="48"/>
      <c r="C62" s="150"/>
      <c r="H62" s="1186"/>
      <c r="I62" s="1186"/>
      <c r="J62" s="1186"/>
      <c r="K62" s="1186"/>
      <c r="L62" s="1186"/>
      <c r="M62" s="1186"/>
      <c r="N62" s="1186"/>
    </row>
    <row r="63" spans="1:14" ht="15.9" customHeight="1" x14ac:dyDescent="0.3">
      <c r="B63" s="48"/>
      <c r="C63" s="150"/>
      <c r="H63" s="1186"/>
      <c r="I63" s="1186"/>
      <c r="J63" s="1186"/>
      <c r="K63" s="1186"/>
      <c r="L63" s="1186"/>
      <c r="M63" s="1186"/>
      <c r="N63" s="1186"/>
    </row>
    <row r="64" spans="1:14" ht="15.9" customHeight="1" x14ac:dyDescent="0.3">
      <c r="B64" s="48"/>
      <c r="C64" s="150"/>
      <c r="H64" s="1186"/>
      <c r="I64" s="1186"/>
      <c r="J64" s="1186"/>
      <c r="K64" s="1186"/>
      <c r="L64" s="1186"/>
      <c r="M64" s="1186"/>
      <c r="N64" s="1186"/>
    </row>
    <row r="65" spans="2:14" ht="15.9" customHeight="1" x14ac:dyDescent="0.3">
      <c r="B65" s="48"/>
      <c r="C65" s="150"/>
      <c r="H65" s="1186"/>
      <c r="I65" s="1186"/>
      <c r="J65" s="1186"/>
      <c r="K65" s="1186"/>
      <c r="L65" s="1186"/>
      <c r="M65" s="1186"/>
      <c r="N65" s="1186"/>
    </row>
    <row r="66" spans="2:14" ht="15.9" customHeight="1" x14ac:dyDescent="0.3">
      <c r="B66" s="48"/>
      <c r="C66" s="150"/>
    </row>
    <row r="67" spans="2:14" ht="15.9" customHeight="1" x14ac:dyDescent="0.3">
      <c r="C67" s="150"/>
    </row>
  </sheetData>
  <sortState ref="B12:F52">
    <sortCondition descending="1" ref="F12:F52"/>
  </sortState>
  <mergeCells count="3">
    <mergeCell ref="I51:K53"/>
    <mergeCell ref="H61:N65"/>
    <mergeCell ref="B4:H9"/>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E423B73903DF54CA2C6660B97686D42" ma:contentTypeVersion="14" ma:contentTypeDescription="Ein neues Dokument erstellen." ma:contentTypeScope="" ma:versionID="3429abca57378634a8580ec28ae55484">
  <xsd:schema xmlns:xsd="http://www.w3.org/2001/XMLSchema" xmlns:xs="http://www.w3.org/2001/XMLSchema" xmlns:p="http://schemas.microsoft.com/office/2006/metadata/properties" xmlns:ns2="97730362-28ea-416b-a6a1-dc9545e4b212" xmlns:ns3="84ceb42c-ffa3-4866-bebc-19e83969e0fb" targetNamespace="http://schemas.microsoft.com/office/2006/metadata/properties" ma:root="true" ma:fieldsID="12150061d724a162be6e6b27b126a791" ns2:_="" ns3:_="">
    <xsd:import namespace="97730362-28ea-416b-a6a1-dc9545e4b212"/>
    <xsd:import namespace="84ceb42c-ffa3-4866-bebc-19e83969e0f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730362-28ea-416b-a6a1-dc9545e4b2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Bildmarkierungen" ma:readOnly="false" ma:fieldId="{5cf76f15-5ced-4ddc-b409-7134ff3c332f}" ma:taxonomyMulti="true" ma:sspId="5fb31c55-fb86-43d7-9681-5a6ace919588"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4ceb42c-ffa3-4866-bebc-19e83969e0fb" elementFormDefault="qualified">
    <xsd:import namespace="http://schemas.microsoft.com/office/2006/documentManagement/types"/>
    <xsd:import namespace="http://schemas.microsoft.com/office/infopath/2007/PartnerControls"/>
    <xsd:element name="SharedWithUsers" ma:index="16"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Freigegeben für - Details" ma:internalName="SharedWithDetails" ma:readOnly="true">
      <xsd:simpleType>
        <xsd:restriction base="dms:Note">
          <xsd:maxLength value="255"/>
        </xsd:restriction>
      </xsd:simpleType>
    </xsd:element>
    <xsd:element name="TaxCatchAll" ma:index="20" nillable="true" ma:displayName="Taxonomy Catch All Column" ma:hidden="true" ma:list="{48aa6bb4-92c8-4904-ae77-739708c830e5}" ma:internalName="TaxCatchAll" ma:showField="CatchAllData" ma:web="84ceb42c-ffa3-4866-bebc-19e83969e0f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E40424-D9DB-4C3A-86D5-9681E3E1F5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730362-28ea-416b-a6a1-dc9545e4b212"/>
    <ds:schemaRef ds:uri="84ceb42c-ffa3-4866-bebc-19e83969e0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C767CF3-F8F6-4A1A-A4C7-1C4F1907EAE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55</vt:i4>
      </vt:variant>
    </vt:vector>
  </HeadingPairs>
  <TitlesOfParts>
    <vt:vector size="55" baseType="lpstr">
      <vt:lpstr>ReadMe</vt:lpstr>
      <vt:lpstr>Updates and Corrections</vt:lpstr>
      <vt:lpstr>Bilateral Assistance, MAIN DATA</vt:lpstr>
      <vt:lpstr>Country Summary</vt:lpstr>
      <vt:lpstr>Aggregates by Country Group</vt:lpstr>
      <vt:lpstr>Fig 1. Transparency Index</vt:lpstr>
      <vt:lpstr>Fig 2. Refugee Number</vt:lpstr>
      <vt:lpstr>Fig 3. Country Groups</vt:lpstr>
      <vt:lpstr>Fig 4. Ranking (€)</vt:lpstr>
      <vt:lpstr>Fig 5. Ranking (%)</vt:lpstr>
      <vt:lpstr>Fig 6. Ranking (€ bn.+ EU)</vt:lpstr>
      <vt:lpstr>Fig 7. With Refugee Support, €</vt:lpstr>
      <vt:lpstr>Fig 8. With Refugee Support, %</vt:lpstr>
      <vt:lpstr>Fig 9. Financial Aid</vt:lpstr>
      <vt:lpstr>Fig 10. Budget Support</vt:lpstr>
      <vt:lpstr>Fig 11. Military Aid</vt:lpstr>
      <vt:lpstr>Fig 12 Heavy Weapon Ranking</vt:lpstr>
      <vt:lpstr>Fig 13. Weapon Stocks UKR RU</vt:lpstr>
      <vt:lpstr>Fig 14. NATO Stocks</vt:lpstr>
      <vt:lpstr>Fig 15. Share of stocks pledged</vt:lpstr>
      <vt:lpstr>Fig 16. Aid over Time</vt:lpstr>
      <vt:lpstr>Fig 17. Financial aid over time</vt:lpstr>
      <vt:lpstr>Fig 18. Comparison WW2 (weap.)</vt:lpstr>
      <vt:lpstr>Fig 19. Comparison WW2 % GDP</vt:lpstr>
      <vt:lpstr>Fig 20. Comp. with US wars</vt:lpstr>
      <vt:lpstr>Fig 21. Comparison Gulf War</vt:lpstr>
      <vt:lpstr>Fig 22. Comp. European Crises</vt:lpstr>
      <vt:lpstr>Fig 23. Domestic Priorities</vt:lpstr>
      <vt:lpstr>Fig 24. Priorities Germany</vt:lpstr>
      <vt:lpstr>Figure A1. Transparency Index</vt:lpstr>
      <vt:lpstr>Figure A2.  Ranking % GDP + EU</vt:lpstr>
      <vt:lpstr>Figure A3. In-kind over Time</vt:lpstr>
      <vt:lpstr>Figure A4. Units over Time</vt:lpstr>
      <vt:lpstr>Figure A5. Weapon Delivery</vt:lpstr>
      <vt:lpstr>Data Transparency Index</vt:lpstr>
      <vt:lpstr>EU Aid Shares</vt:lpstr>
      <vt:lpstr>EPF Aid Shares</vt:lpstr>
      <vt:lpstr>EIB Aid Shares</vt:lpstr>
      <vt:lpstr>Multilateral Assistance</vt:lpstr>
      <vt:lpstr>Commercial Assistance</vt:lpstr>
      <vt:lpstr>Price List, Weapons &amp; Items</vt:lpstr>
      <vt:lpstr>Exchange Rates</vt:lpstr>
      <vt:lpstr>Refugee Cost Calculations</vt:lpstr>
      <vt:lpstr>Comm. per Month (Heavy Weapons)</vt:lpstr>
      <vt:lpstr>In-kind Military per Country</vt:lpstr>
      <vt:lpstr>Share, Heavy Weapons to Ukraine</vt:lpstr>
      <vt:lpstr>Heavy Weapon Stocks</vt:lpstr>
      <vt:lpstr>Commitments per Month</vt:lpstr>
      <vt:lpstr>Comm per Month (Mil in-kind)</vt:lpstr>
      <vt:lpstr>Financial disb per Month (EUR)</vt:lpstr>
      <vt:lpstr>Table Aid vs Energy</vt:lpstr>
      <vt:lpstr>Table European Crisis</vt:lpstr>
      <vt:lpstr>Historical comparison (data) </vt:lpstr>
      <vt:lpstr>deflator</vt:lpstr>
      <vt:lpstr>Table Gulf War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Warlimont, Guido</cp:lastModifiedBy>
  <cp:revision/>
  <dcterms:created xsi:type="dcterms:W3CDTF">2022-03-23T09:04:55Z</dcterms:created>
  <dcterms:modified xsi:type="dcterms:W3CDTF">2023-02-23T14:57:58Z</dcterms:modified>
  <cp:category/>
  <cp:contentStatus/>
</cp:coreProperties>
</file>